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5F141E47-F8D0-4F4B-9324-C48D945F6910}"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385" i="2" l="1"/>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15201" i="1"/>
  <c r="J15200" i="1"/>
  <c r="J15199" i="1"/>
  <c r="J15198" i="1"/>
  <c r="J15197" i="1"/>
  <c r="J15196" i="1"/>
  <c r="J15195" i="1"/>
  <c r="J15194" i="1"/>
  <c r="J15193" i="1"/>
  <c r="J15192" i="1"/>
  <c r="J15191" i="1"/>
  <c r="J15190" i="1"/>
  <c r="J15189" i="1"/>
  <c r="J15188" i="1"/>
  <c r="J15187" i="1"/>
  <c r="J15186" i="1"/>
  <c r="J15185" i="1"/>
  <c r="J15184" i="1"/>
  <c r="J15183" i="1"/>
  <c r="J15182" i="1"/>
  <c r="J15181" i="1"/>
  <c r="J15180" i="1"/>
  <c r="J15179" i="1"/>
  <c r="J15178" i="1"/>
  <c r="J15177" i="1"/>
  <c r="J15176" i="1"/>
  <c r="J15175" i="1"/>
  <c r="J15174" i="1"/>
  <c r="J15173" i="1"/>
  <c r="J15172" i="1"/>
  <c r="J15171" i="1"/>
  <c r="J15170" i="1"/>
  <c r="J15169" i="1"/>
  <c r="J15168" i="1"/>
  <c r="J15167" i="1"/>
  <c r="J15166" i="1"/>
  <c r="J15165" i="1"/>
  <c r="J15164" i="1"/>
  <c r="J15163" i="1"/>
  <c r="J15162" i="1"/>
  <c r="J15161" i="1"/>
  <c r="J15160" i="1"/>
  <c r="J15159" i="1"/>
  <c r="J15158" i="1"/>
  <c r="J15157" i="1"/>
  <c r="J15156" i="1"/>
  <c r="J15155" i="1"/>
  <c r="J15154" i="1"/>
  <c r="J15153" i="1"/>
  <c r="J15152" i="1"/>
  <c r="J15151" i="1"/>
  <c r="J15150" i="1"/>
  <c r="J15149" i="1"/>
  <c r="J15148" i="1"/>
  <c r="J15147" i="1"/>
  <c r="J15146" i="1"/>
  <c r="J15145" i="1"/>
  <c r="J15144" i="1"/>
  <c r="J15143" i="1"/>
  <c r="J15142" i="1"/>
  <c r="J15141" i="1"/>
  <c r="J15140" i="1"/>
  <c r="J15139" i="1"/>
  <c r="J15138" i="1"/>
  <c r="J15137" i="1"/>
  <c r="J15136" i="1"/>
  <c r="J15135" i="1"/>
  <c r="J15134" i="1"/>
  <c r="J15133" i="1"/>
  <c r="J15132" i="1"/>
  <c r="J15131" i="1"/>
  <c r="J15130" i="1"/>
  <c r="J15129" i="1"/>
  <c r="J15128" i="1"/>
  <c r="J15127" i="1"/>
  <c r="J15126" i="1"/>
  <c r="J15125" i="1"/>
  <c r="J15124" i="1"/>
  <c r="J15123" i="1"/>
  <c r="J15122" i="1"/>
  <c r="J15121" i="1"/>
  <c r="J15120" i="1"/>
  <c r="J15119" i="1"/>
  <c r="J15118" i="1"/>
  <c r="J15117" i="1"/>
  <c r="J15116" i="1"/>
  <c r="J15115" i="1"/>
  <c r="J15114" i="1"/>
  <c r="J15113" i="1"/>
  <c r="J15112" i="1"/>
  <c r="J15111" i="1"/>
  <c r="J15110" i="1"/>
  <c r="J15109" i="1"/>
  <c r="J15108" i="1"/>
  <c r="J15107" i="1"/>
  <c r="J15106" i="1"/>
  <c r="J15105" i="1"/>
  <c r="J15104" i="1"/>
  <c r="J15103" i="1"/>
  <c r="J15102" i="1"/>
  <c r="J15101" i="1"/>
  <c r="J15100" i="1"/>
  <c r="J15099" i="1"/>
  <c r="J15098" i="1"/>
  <c r="J15097" i="1"/>
  <c r="J15096" i="1"/>
  <c r="J15095" i="1"/>
  <c r="J15094" i="1"/>
  <c r="J15093" i="1"/>
  <c r="J15092" i="1"/>
  <c r="J15091" i="1"/>
  <c r="J15090" i="1"/>
  <c r="J15089" i="1"/>
  <c r="J15088" i="1"/>
  <c r="J15087" i="1"/>
  <c r="J15086" i="1"/>
  <c r="J15085" i="1"/>
  <c r="J15084" i="1"/>
  <c r="J15083" i="1"/>
  <c r="J15082" i="1"/>
  <c r="J15081" i="1"/>
  <c r="J15080" i="1"/>
  <c r="J15079" i="1"/>
  <c r="J15078" i="1"/>
  <c r="J15077" i="1"/>
  <c r="J15076" i="1"/>
  <c r="J15075" i="1"/>
  <c r="J15074" i="1"/>
  <c r="J15073" i="1"/>
  <c r="J15072" i="1"/>
  <c r="J15071" i="1"/>
  <c r="J15070" i="1"/>
  <c r="J15069" i="1"/>
  <c r="J15068" i="1"/>
  <c r="J15067" i="1"/>
  <c r="J15066" i="1"/>
  <c r="J15065" i="1"/>
  <c r="J15064" i="1"/>
  <c r="J15063" i="1"/>
  <c r="J15062" i="1"/>
  <c r="J15061" i="1"/>
  <c r="J15060" i="1"/>
  <c r="J15059" i="1"/>
  <c r="J15058" i="1"/>
  <c r="J15057" i="1"/>
  <c r="J15056" i="1"/>
  <c r="J15055" i="1"/>
  <c r="J15054" i="1"/>
  <c r="J15053" i="1"/>
  <c r="J15052" i="1"/>
  <c r="J15051" i="1"/>
  <c r="J15050" i="1"/>
  <c r="J15049" i="1"/>
  <c r="J15048" i="1"/>
  <c r="J15047" i="1"/>
  <c r="J15046" i="1"/>
  <c r="J15045" i="1"/>
  <c r="J15044" i="1"/>
  <c r="J15043" i="1"/>
  <c r="J15042" i="1"/>
  <c r="J15041" i="1"/>
  <c r="J15040" i="1"/>
  <c r="J15039" i="1"/>
  <c r="J15038" i="1"/>
  <c r="J15037" i="1"/>
  <c r="J15036" i="1"/>
  <c r="J15035" i="1"/>
  <c r="J15034" i="1"/>
  <c r="J15033" i="1"/>
  <c r="J15032" i="1"/>
  <c r="J15031" i="1"/>
  <c r="J15030" i="1"/>
  <c r="J15029" i="1"/>
  <c r="J15028" i="1"/>
  <c r="J15027" i="1"/>
  <c r="J15026" i="1"/>
  <c r="J15025" i="1"/>
  <c r="J15024" i="1"/>
  <c r="J15023" i="1"/>
  <c r="J15022" i="1"/>
  <c r="J15021" i="1"/>
  <c r="J15020" i="1"/>
  <c r="J15019" i="1"/>
  <c r="J15018" i="1"/>
  <c r="J15017" i="1"/>
  <c r="J15016" i="1"/>
  <c r="J15015" i="1"/>
  <c r="J15014" i="1"/>
  <c r="J15013" i="1"/>
  <c r="J15012" i="1"/>
  <c r="J15011" i="1"/>
  <c r="J15010" i="1"/>
  <c r="J15009" i="1"/>
  <c r="J15008" i="1"/>
  <c r="J15007" i="1"/>
  <c r="J15006" i="1"/>
  <c r="J15005" i="1"/>
  <c r="J15004" i="1"/>
  <c r="J15003" i="1"/>
  <c r="J15002" i="1"/>
  <c r="J15001" i="1"/>
  <c r="J15000" i="1"/>
  <c r="J14999" i="1"/>
  <c r="J14998" i="1"/>
  <c r="J14997" i="1"/>
  <c r="J14996" i="1"/>
  <c r="J14995" i="1"/>
  <c r="J14994" i="1"/>
  <c r="J14993" i="1"/>
  <c r="J14992" i="1"/>
  <c r="J14991" i="1"/>
  <c r="J14990" i="1"/>
  <c r="J14989" i="1"/>
  <c r="J14988" i="1"/>
  <c r="J14987" i="1"/>
  <c r="J14986" i="1"/>
  <c r="J14985" i="1"/>
  <c r="J14984" i="1"/>
  <c r="J14983" i="1"/>
  <c r="J14982" i="1"/>
  <c r="J14981" i="1"/>
  <c r="J14980" i="1"/>
  <c r="J14979" i="1"/>
  <c r="J14978" i="1"/>
  <c r="J14977" i="1"/>
  <c r="J14976" i="1"/>
  <c r="J14975" i="1"/>
  <c r="J14974" i="1"/>
  <c r="J14973" i="1"/>
  <c r="J14972" i="1"/>
  <c r="J14971" i="1"/>
  <c r="J14970" i="1"/>
  <c r="J14969" i="1"/>
  <c r="J14968" i="1"/>
  <c r="J14967" i="1"/>
  <c r="J14966" i="1"/>
  <c r="J14965" i="1"/>
  <c r="J14964" i="1"/>
  <c r="J14963" i="1"/>
  <c r="J14962" i="1"/>
  <c r="J14961" i="1"/>
  <c r="J14960" i="1"/>
  <c r="J14959" i="1"/>
  <c r="J14958" i="1"/>
  <c r="J14957" i="1"/>
  <c r="J14956" i="1"/>
  <c r="J14955" i="1"/>
  <c r="J14954" i="1"/>
  <c r="J14953" i="1"/>
  <c r="J14952" i="1"/>
  <c r="J14951" i="1"/>
  <c r="J14950" i="1"/>
  <c r="J14949" i="1"/>
  <c r="J14948" i="1"/>
  <c r="J14947" i="1"/>
  <c r="J14946" i="1"/>
  <c r="J14945" i="1"/>
  <c r="J14944" i="1"/>
  <c r="J14943" i="1"/>
  <c r="J14942" i="1"/>
  <c r="J14941" i="1"/>
  <c r="J14940" i="1"/>
  <c r="J14939" i="1"/>
  <c r="J14938" i="1"/>
  <c r="J14937" i="1"/>
  <c r="J14936" i="1"/>
  <c r="J14935" i="1"/>
  <c r="J14934" i="1"/>
  <c r="J14933" i="1"/>
  <c r="J14932" i="1"/>
  <c r="J14931" i="1"/>
  <c r="J14930" i="1"/>
  <c r="J14929" i="1"/>
  <c r="J14928" i="1"/>
  <c r="J14927" i="1"/>
  <c r="J14926" i="1"/>
  <c r="J14925" i="1"/>
  <c r="J14924" i="1"/>
  <c r="J14923" i="1"/>
  <c r="J14922" i="1"/>
  <c r="J14921" i="1"/>
  <c r="J14920" i="1"/>
  <c r="J14919" i="1"/>
  <c r="J14918" i="1"/>
  <c r="J14917" i="1"/>
  <c r="J14916" i="1"/>
  <c r="J14915" i="1"/>
  <c r="J14914" i="1"/>
  <c r="J14913" i="1"/>
  <c r="J14912" i="1"/>
  <c r="J14911" i="1"/>
  <c r="J14910" i="1"/>
  <c r="J14909" i="1"/>
  <c r="J14908" i="1"/>
  <c r="J14907" i="1"/>
  <c r="J14906" i="1"/>
  <c r="J14905" i="1"/>
  <c r="J14904" i="1"/>
  <c r="J14903" i="1"/>
  <c r="J14902" i="1"/>
  <c r="J14901" i="1"/>
  <c r="J14900" i="1"/>
  <c r="J14899" i="1"/>
  <c r="J14898" i="1"/>
  <c r="J14897" i="1"/>
  <c r="J14896" i="1"/>
  <c r="J14895" i="1"/>
  <c r="J14894" i="1"/>
  <c r="J14893" i="1"/>
  <c r="J14892" i="1"/>
  <c r="J14891" i="1"/>
  <c r="J14890" i="1"/>
  <c r="J14889" i="1"/>
  <c r="J14888" i="1"/>
  <c r="J14887" i="1"/>
  <c r="J14886" i="1"/>
  <c r="J14885" i="1"/>
  <c r="J14884" i="1"/>
  <c r="J14883" i="1"/>
  <c r="J14882" i="1"/>
  <c r="J14881" i="1"/>
  <c r="J14880" i="1"/>
  <c r="J14879" i="1"/>
  <c r="J14878" i="1"/>
  <c r="J14877" i="1"/>
  <c r="J14876" i="1"/>
  <c r="J14875" i="1"/>
  <c r="J14874" i="1"/>
  <c r="J14873" i="1"/>
  <c r="J14872" i="1"/>
  <c r="J14871" i="1"/>
  <c r="J14870" i="1"/>
  <c r="J14869" i="1"/>
  <c r="J14868" i="1"/>
  <c r="J14867" i="1"/>
  <c r="J14866" i="1"/>
  <c r="J14865" i="1"/>
  <c r="J14864" i="1"/>
  <c r="J14863" i="1"/>
  <c r="J14862" i="1"/>
  <c r="J14861" i="1"/>
  <c r="J14860" i="1"/>
  <c r="J14859" i="1"/>
  <c r="J14858" i="1"/>
  <c r="J14857" i="1"/>
  <c r="J14856" i="1"/>
  <c r="J14855" i="1"/>
  <c r="J14854" i="1"/>
  <c r="J14853" i="1"/>
  <c r="J14852" i="1"/>
  <c r="J14851" i="1"/>
  <c r="J14850" i="1"/>
  <c r="J14849" i="1"/>
  <c r="J14848" i="1"/>
  <c r="J14847" i="1"/>
  <c r="J14846" i="1"/>
  <c r="J14845" i="1"/>
  <c r="J14844" i="1"/>
  <c r="J14843" i="1"/>
  <c r="J14842" i="1"/>
  <c r="J14841" i="1"/>
  <c r="J14840" i="1"/>
  <c r="J14839" i="1"/>
  <c r="J14838" i="1"/>
  <c r="J14837" i="1"/>
  <c r="J14836" i="1"/>
  <c r="J14835" i="1"/>
  <c r="J14834" i="1"/>
  <c r="J14833" i="1"/>
  <c r="J14832" i="1"/>
  <c r="J14831" i="1"/>
  <c r="J14830" i="1"/>
  <c r="J14829" i="1"/>
  <c r="J14828" i="1"/>
  <c r="J14827" i="1"/>
  <c r="J14826" i="1"/>
  <c r="J14825" i="1"/>
  <c r="J14824" i="1"/>
  <c r="J14823" i="1"/>
  <c r="J14822" i="1"/>
  <c r="J14821" i="1"/>
  <c r="J14820" i="1"/>
  <c r="J14819" i="1"/>
  <c r="J14818" i="1"/>
  <c r="J14817" i="1"/>
  <c r="J14816" i="1"/>
  <c r="J14815" i="1"/>
  <c r="J14814" i="1"/>
  <c r="J14813" i="1"/>
  <c r="J14812" i="1"/>
  <c r="J14811" i="1"/>
  <c r="J14810" i="1"/>
  <c r="J14809" i="1"/>
  <c r="J14808" i="1"/>
  <c r="J14807" i="1"/>
  <c r="J14806" i="1"/>
  <c r="J14805" i="1"/>
  <c r="J14804" i="1"/>
  <c r="J14803" i="1"/>
  <c r="J14802" i="1"/>
  <c r="J14801" i="1"/>
  <c r="J14800" i="1"/>
  <c r="J14799" i="1"/>
  <c r="J14798" i="1"/>
  <c r="J14797" i="1"/>
  <c r="J14796" i="1"/>
  <c r="J14795" i="1"/>
  <c r="J14794" i="1"/>
  <c r="J14793" i="1"/>
  <c r="J14792" i="1"/>
  <c r="J14791" i="1"/>
  <c r="J14790" i="1"/>
  <c r="J14789" i="1"/>
  <c r="J14788" i="1"/>
  <c r="J14787" i="1"/>
  <c r="J14786" i="1"/>
  <c r="J14785" i="1"/>
  <c r="J14784" i="1"/>
  <c r="J14783" i="1"/>
  <c r="J14782" i="1"/>
  <c r="J14781" i="1"/>
  <c r="J14780" i="1"/>
  <c r="J14779" i="1"/>
  <c r="J14778" i="1"/>
  <c r="J14777" i="1"/>
  <c r="J14776" i="1"/>
  <c r="J14775" i="1"/>
  <c r="J14774" i="1"/>
  <c r="J14773" i="1"/>
  <c r="J14772" i="1"/>
  <c r="J14771" i="1"/>
  <c r="J14770" i="1"/>
  <c r="J14769" i="1"/>
  <c r="J14768" i="1"/>
  <c r="J14767" i="1"/>
  <c r="J14766" i="1"/>
  <c r="J14765" i="1"/>
  <c r="J14764" i="1"/>
  <c r="J14763" i="1"/>
  <c r="J14762" i="1"/>
  <c r="J14761" i="1"/>
  <c r="J14760" i="1"/>
  <c r="J14759" i="1"/>
  <c r="J14758" i="1"/>
  <c r="J14757" i="1"/>
  <c r="J14756" i="1"/>
  <c r="J14755" i="1"/>
  <c r="J14754" i="1"/>
  <c r="J14753" i="1"/>
  <c r="J14752" i="1"/>
  <c r="J14751" i="1"/>
  <c r="J14750" i="1"/>
  <c r="J14749" i="1"/>
  <c r="J14748" i="1"/>
  <c r="J14747" i="1"/>
  <c r="J14746" i="1"/>
  <c r="J14745" i="1"/>
  <c r="J14744" i="1"/>
  <c r="J14743" i="1"/>
  <c r="J14742" i="1"/>
  <c r="J14741" i="1"/>
  <c r="J14740" i="1"/>
  <c r="J14739" i="1"/>
  <c r="J14738" i="1"/>
  <c r="J14737" i="1"/>
  <c r="J14736" i="1"/>
  <c r="J14735" i="1"/>
  <c r="J14734" i="1"/>
  <c r="J14733" i="1"/>
  <c r="J14732" i="1"/>
  <c r="J14731" i="1"/>
  <c r="J14730" i="1"/>
  <c r="J14729" i="1"/>
  <c r="J14728" i="1"/>
  <c r="J14727" i="1"/>
  <c r="J14726" i="1"/>
  <c r="J14725" i="1"/>
  <c r="J14724" i="1"/>
  <c r="J14723" i="1"/>
  <c r="J14722" i="1"/>
  <c r="J14721" i="1"/>
  <c r="J14720" i="1"/>
  <c r="J14719" i="1"/>
  <c r="J14718" i="1"/>
  <c r="J14717" i="1"/>
  <c r="J14716" i="1"/>
  <c r="J14715" i="1"/>
  <c r="J14714" i="1"/>
  <c r="J14713" i="1"/>
  <c r="J14712" i="1"/>
  <c r="J14711" i="1"/>
  <c r="J14710" i="1"/>
  <c r="J14709" i="1"/>
  <c r="J14708" i="1"/>
  <c r="J14707" i="1"/>
  <c r="J14706" i="1"/>
  <c r="J14705" i="1"/>
  <c r="J14704" i="1"/>
  <c r="J14703" i="1"/>
  <c r="J14702" i="1"/>
  <c r="J14701" i="1"/>
  <c r="J14700" i="1"/>
  <c r="J14699" i="1"/>
  <c r="J14698" i="1"/>
  <c r="J14697" i="1"/>
  <c r="J14696" i="1"/>
  <c r="J14695" i="1"/>
  <c r="J14694" i="1"/>
  <c r="J14693" i="1"/>
  <c r="J14692" i="1"/>
  <c r="J14691" i="1"/>
  <c r="J14690" i="1"/>
  <c r="J14689" i="1"/>
  <c r="J14688" i="1"/>
  <c r="J14687" i="1"/>
  <c r="J14686" i="1"/>
  <c r="J14685" i="1"/>
  <c r="J14684" i="1"/>
  <c r="J14683" i="1"/>
  <c r="J14682" i="1"/>
  <c r="J14681" i="1"/>
  <c r="J14680" i="1"/>
  <c r="J14679" i="1"/>
  <c r="J14678" i="1"/>
  <c r="J14677" i="1"/>
  <c r="J14676" i="1"/>
  <c r="J14675" i="1"/>
  <c r="J14674" i="1"/>
  <c r="J14673" i="1"/>
  <c r="J14672" i="1"/>
  <c r="J14671" i="1"/>
  <c r="J14670" i="1"/>
  <c r="J14669" i="1"/>
  <c r="J14668" i="1"/>
  <c r="J14667" i="1"/>
  <c r="J14666" i="1"/>
  <c r="J14665" i="1"/>
  <c r="J14664" i="1"/>
  <c r="J14663" i="1"/>
  <c r="J14662" i="1"/>
  <c r="J14661" i="1"/>
  <c r="J14660" i="1"/>
  <c r="J14659" i="1"/>
  <c r="J14658" i="1"/>
  <c r="J14657" i="1"/>
  <c r="J14656" i="1"/>
  <c r="J14655" i="1"/>
  <c r="J14654" i="1"/>
  <c r="J14653" i="1"/>
  <c r="J14652" i="1"/>
  <c r="J14651" i="1"/>
  <c r="J14650" i="1"/>
  <c r="J14649" i="1"/>
  <c r="J14648" i="1"/>
  <c r="J14647" i="1"/>
  <c r="J14646" i="1"/>
  <c r="J14645" i="1"/>
  <c r="J14644" i="1"/>
  <c r="J14643" i="1"/>
  <c r="J14642" i="1"/>
  <c r="J14641" i="1"/>
  <c r="J14640" i="1"/>
  <c r="J14639" i="1"/>
  <c r="J14638" i="1"/>
  <c r="J14637" i="1"/>
  <c r="J14636" i="1"/>
  <c r="J14635" i="1"/>
  <c r="J14634" i="1"/>
  <c r="J14633" i="1"/>
  <c r="J14632" i="1"/>
  <c r="J14631" i="1"/>
  <c r="J14630" i="1"/>
  <c r="J14629" i="1"/>
  <c r="J14628" i="1"/>
  <c r="J14627" i="1"/>
  <c r="J14626" i="1"/>
  <c r="J14625" i="1"/>
  <c r="J14624" i="1"/>
  <c r="J14623" i="1"/>
  <c r="J14622" i="1"/>
  <c r="J14621" i="1"/>
  <c r="J14620" i="1"/>
  <c r="J14619" i="1"/>
  <c r="J14618" i="1"/>
  <c r="J14617" i="1"/>
  <c r="J14616" i="1"/>
  <c r="J14615" i="1"/>
  <c r="J14614" i="1"/>
  <c r="J14613" i="1"/>
  <c r="J14612" i="1"/>
  <c r="J14611" i="1"/>
  <c r="J14610" i="1"/>
  <c r="J14609" i="1"/>
  <c r="J14608" i="1"/>
  <c r="J14607" i="1"/>
  <c r="J14606" i="1"/>
  <c r="J14605" i="1"/>
  <c r="J14604" i="1"/>
  <c r="J14603" i="1"/>
  <c r="J14602" i="1"/>
  <c r="J14601" i="1"/>
  <c r="J14600" i="1"/>
  <c r="J14599" i="1"/>
  <c r="J14598" i="1"/>
  <c r="J14597" i="1"/>
  <c r="J14596" i="1"/>
  <c r="J14595" i="1"/>
  <c r="J14594" i="1"/>
  <c r="J14593" i="1"/>
  <c r="J14592" i="1"/>
  <c r="J14591" i="1"/>
  <c r="J14590" i="1"/>
  <c r="J14589" i="1"/>
  <c r="J14588" i="1"/>
  <c r="J14587" i="1"/>
  <c r="J14586" i="1"/>
  <c r="J14585" i="1"/>
  <c r="J14584" i="1"/>
  <c r="J14583" i="1"/>
  <c r="J14582" i="1"/>
  <c r="J14581" i="1"/>
  <c r="J14580" i="1"/>
  <c r="J14579" i="1"/>
  <c r="J14578" i="1"/>
  <c r="J14577" i="1"/>
  <c r="J14576" i="1"/>
  <c r="J14575" i="1"/>
  <c r="J14574" i="1"/>
  <c r="J14573" i="1"/>
  <c r="J14572" i="1"/>
  <c r="J14571" i="1"/>
  <c r="J14570" i="1"/>
  <c r="J14569" i="1"/>
  <c r="J14568" i="1"/>
  <c r="J14567" i="1"/>
  <c r="J14566" i="1"/>
  <c r="J14565" i="1"/>
  <c r="J14564" i="1"/>
  <c r="J14563" i="1"/>
  <c r="J14562" i="1"/>
  <c r="J14561" i="1"/>
  <c r="J14560" i="1"/>
  <c r="J14559" i="1"/>
  <c r="J14558" i="1"/>
  <c r="J14557" i="1"/>
  <c r="J14556" i="1"/>
  <c r="J14555" i="1"/>
  <c r="J14554" i="1"/>
  <c r="J14553" i="1"/>
  <c r="J14552" i="1"/>
  <c r="J14551" i="1"/>
  <c r="J14550" i="1"/>
  <c r="J14549" i="1"/>
  <c r="J14548" i="1"/>
  <c r="J14547" i="1"/>
  <c r="J14546" i="1"/>
  <c r="J14545" i="1"/>
  <c r="J14544" i="1"/>
  <c r="J14543" i="1"/>
  <c r="J14542" i="1"/>
  <c r="J14541" i="1"/>
  <c r="J14540" i="1"/>
  <c r="J14539" i="1"/>
  <c r="J14538" i="1"/>
  <c r="J14537" i="1"/>
  <c r="J14536" i="1"/>
  <c r="J14535" i="1"/>
  <c r="J14534" i="1"/>
  <c r="J14533" i="1"/>
  <c r="J14532" i="1"/>
  <c r="J14531" i="1"/>
  <c r="J14530" i="1"/>
  <c r="J14529" i="1"/>
  <c r="J14528" i="1"/>
  <c r="J14527" i="1"/>
  <c r="J14526" i="1"/>
  <c r="J14525" i="1"/>
  <c r="J14524" i="1"/>
  <c r="J14523" i="1"/>
  <c r="J14522" i="1"/>
  <c r="J14521" i="1"/>
  <c r="J14520" i="1"/>
  <c r="J14519" i="1"/>
  <c r="J14518" i="1"/>
  <c r="J14517" i="1"/>
  <c r="J14516" i="1"/>
  <c r="J14515" i="1"/>
  <c r="J14514" i="1"/>
  <c r="J14513" i="1"/>
  <c r="J14512" i="1"/>
  <c r="J14511" i="1"/>
  <c r="J14510" i="1"/>
  <c r="J14509" i="1"/>
  <c r="J14508" i="1"/>
  <c r="J14507" i="1"/>
  <c r="J14506" i="1"/>
  <c r="J14505" i="1"/>
  <c r="J14504" i="1"/>
  <c r="J14503" i="1"/>
  <c r="J14502" i="1"/>
  <c r="J14501" i="1"/>
  <c r="J14500" i="1"/>
  <c r="J14499" i="1"/>
  <c r="J14498" i="1"/>
  <c r="J14497" i="1"/>
  <c r="J14496" i="1"/>
  <c r="J14495" i="1"/>
  <c r="J14494" i="1"/>
  <c r="J14493" i="1"/>
  <c r="J14492" i="1"/>
  <c r="J14491" i="1"/>
  <c r="J14490" i="1"/>
  <c r="J14489" i="1"/>
  <c r="J14488" i="1"/>
  <c r="J14487" i="1"/>
  <c r="J14486" i="1"/>
  <c r="J14485" i="1"/>
  <c r="J14484" i="1"/>
  <c r="J14483" i="1"/>
  <c r="J14482" i="1"/>
  <c r="J14481" i="1"/>
  <c r="J14480" i="1"/>
  <c r="J14479" i="1"/>
  <c r="J14478" i="1"/>
  <c r="J14477" i="1"/>
  <c r="J14476" i="1"/>
  <c r="J14475" i="1"/>
  <c r="J14474" i="1"/>
  <c r="J14473" i="1"/>
  <c r="J14472" i="1"/>
  <c r="J14471" i="1"/>
  <c r="J14470" i="1"/>
  <c r="J14469" i="1"/>
  <c r="J14468" i="1"/>
  <c r="J14467" i="1"/>
  <c r="J14466" i="1"/>
  <c r="J14465" i="1"/>
  <c r="J14464" i="1"/>
  <c r="J14463" i="1"/>
  <c r="J14462" i="1"/>
  <c r="J14461" i="1"/>
  <c r="J14460" i="1"/>
  <c r="J14459" i="1"/>
  <c r="J14458" i="1"/>
  <c r="J14457" i="1"/>
  <c r="J14456" i="1"/>
  <c r="J14455" i="1"/>
  <c r="J14454" i="1"/>
  <c r="J14453" i="1"/>
  <c r="J14452" i="1"/>
  <c r="J14451" i="1"/>
  <c r="J14450" i="1"/>
  <c r="J14449" i="1"/>
  <c r="J14448" i="1"/>
  <c r="J14447" i="1"/>
  <c r="J14446" i="1"/>
  <c r="J14445" i="1"/>
  <c r="J14444" i="1"/>
  <c r="J14443" i="1"/>
  <c r="J14442" i="1"/>
  <c r="J14441" i="1"/>
  <c r="J14440" i="1"/>
  <c r="J14439" i="1"/>
  <c r="J14438" i="1"/>
  <c r="J14437" i="1"/>
  <c r="J14436" i="1"/>
  <c r="J14435" i="1"/>
  <c r="J14434" i="1"/>
  <c r="J14433" i="1"/>
  <c r="J14432" i="1"/>
  <c r="J14431" i="1"/>
  <c r="J14430" i="1"/>
  <c r="J14429" i="1"/>
  <c r="J14428" i="1"/>
  <c r="J14427" i="1"/>
  <c r="J14426" i="1"/>
  <c r="J14425" i="1"/>
  <c r="J14424" i="1"/>
  <c r="J14423" i="1"/>
  <c r="J14422" i="1"/>
  <c r="J14421" i="1"/>
  <c r="J14420" i="1"/>
  <c r="J14419" i="1"/>
  <c r="J14418" i="1"/>
  <c r="J14417" i="1"/>
  <c r="J14416" i="1"/>
  <c r="J14415" i="1"/>
  <c r="J14414" i="1"/>
  <c r="J14413" i="1"/>
  <c r="J14412" i="1"/>
  <c r="J14411" i="1"/>
  <c r="J14410" i="1"/>
  <c r="J14409" i="1"/>
  <c r="J14408" i="1"/>
  <c r="J14407" i="1"/>
  <c r="J14406" i="1"/>
  <c r="J14405" i="1"/>
  <c r="J14404" i="1"/>
  <c r="J14403" i="1"/>
  <c r="J14402" i="1"/>
  <c r="J14401" i="1"/>
  <c r="J14400" i="1"/>
  <c r="J14399" i="1"/>
  <c r="J14398" i="1"/>
  <c r="J14397" i="1"/>
  <c r="J14396" i="1"/>
  <c r="J14395" i="1"/>
  <c r="J14394" i="1"/>
  <c r="J14393" i="1"/>
  <c r="J14392" i="1"/>
  <c r="J14391" i="1"/>
  <c r="J14390" i="1"/>
  <c r="J14389" i="1"/>
  <c r="J14388" i="1"/>
  <c r="J14387" i="1"/>
  <c r="J14386" i="1"/>
  <c r="J14385" i="1"/>
  <c r="J14384" i="1"/>
  <c r="J14383" i="1"/>
  <c r="J14382" i="1"/>
  <c r="J14381" i="1"/>
  <c r="J14380" i="1"/>
  <c r="J14379" i="1"/>
  <c r="J14378" i="1"/>
  <c r="J14377" i="1"/>
  <c r="J14376" i="1"/>
  <c r="J14375" i="1"/>
  <c r="J14374" i="1"/>
  <c r="J14373" i="1"/>
  <c r="J14372" i="1"/>
  <c r="J14371" i="1"/>
  <c r="J14370" i="1"/>
  <c r="J14369" i="1"/>
  <c r="J14368" i="1"/>
  <c r="J14367" i="1"/>
  <c r="J14366" i="1"/>
  <c r="J14365" i="1"/>
  <c r="J14364" i="1"/>
  <c r="J14363" i="1"/>
  <c r="J14362" i="1"/>
  <c r="J14361" i="1"/>
  <c r="J14360" i="1"/>
  <c r="J14359" i="1"/>
  <c r="J14358" i="1"/>
  <c r="J14357" i="1"/>
  <c r="J14356" i="1"/>
  <c r="J14355" i="1"/>
  <c r="J14354" i="1"/>
  <c r="J14353" i="1"/>
  <c r="J14352" i="1"/>
  <c r="J14351" i="1"/>
  <c r="J14350" i="1"/>
  <c r="J14349" i="1"/>
  <c r="J14348" i="1"/>
  <c r="J14347" i="1"/>
  <c r="J14346" i="1"/>
  <c r="J14345" i="1"/>
  <c r="J14344" i="1"/>
  <c r="J14343" i="1"/>
  <c r="J14342" i="1"/>
  <c r="J14341" i="1"/>
  <c r="J14340" i="1"/>
  <c r="J14339" i="1"/>
  <c r="J14338" i="1"/>
  <c r="J14337" i="1"/>
  <c r="J14336" i="1"/>
  <c r="J14335" i="1"/>
  <c r="J14334" i="1"/>
  <c r="J14333" i="1"/>
  <c r="J14332" i="1"/>
  <c r="J14331" i="1"/>
  <c r="J14330" i="1"/>
  <c r="J14329" i="1"/>
  <c r="J14328" i="1"/>
  <c r="J14327" i="1"/>
  <c r="J14326" i="1"/>
  <c r="J14325" i="1"/>
  <c r="J14324" i="1"/>
  <c r="J14323" i="1"/>
  <c r="J14322" i="1"/>
  <c r="J14321" i="1"/>
  <c r="J14320" i="1"/>
  <c r="J14319" i="1"/>
  <c r="J14318" i="1"/>
  <c r="J14317" i="1"/>
  <c r="J14316" i="1"/>
  <c r="J14315" i="1"/>
  <c r="J14314" i="1"/>
  <c r="J14313" i="1"/>
  <c r="J14312" i="1"/>
  <c r="J14311" i="1"/>
  <c r="J14310" i="1"/>
  <c r="J14309" i="1"/>
  <c r="J14308" i="1"/>
  <c r="J14307" i="1"/>
  <c r="J14306" i="1"/>
  <c r="J14305" i="1"/>
  <c r="J14304" i="1"/>
  <c r="J14303" i="1"/>
  <c r="J14302" i="1"/>
  <c r="J14301" i="1"/>
  <c r="J14300" i="1"/>
  <c r="J14299" i="1"/>
  <c r="J14298" i="1"/>
  <c r="J14297" i="1"/>
  <c r="J14296" i="1"/>
  <c r="J14295" i="1"/>
  <c r="J14294" i="1"/>
  <c r="J14293" i="1"/>
  <c r="J14292" i="1"/>
  <c r="J14291" i="1"/>
  <c r="J14290" i="1"/>
  <c r="J14289" i="1"/>
  <c r="J14288" i="1"/>
  <c r="J14287" i="1"/>
  <c r="J14286" i="1"/>
  <c r="J14285" i="1"/>
  <c r="J14284" i="1"/>
  <c r="J14283" i="1"/>
  <c r="J14282" i="1"/>
  <c r="J14281" i="1"/>
  <c r="J14280" i="1"/>
  <c r="J14279" i="1"/>
  <c r="J14278" i="1"/>
  <c r="J14277" i="1"/>
  <c r="J14276" i="1"/>
  <c r="J14275" i="1"/>
  <c r="J14274" i="1"/>
  <c r="J14273" i="1"/>
  <c r="J14272" i="1"/>
  <c r="J14271" i="1"/>
  <c r="J14270" i="1"/>
  <c r="J14269" i="1"/>
  <c r="J14268" i="1"/>
  <c r="J14267" i="1"/>
  <c r="J14266" i="1"/>
  <c r="J14265" i="1"/>
  <c r="J14264" i="1"/>
  <c r="J14263" i="1"/>
  <c r="J14262" i="1"/>
  <c r="J14261" i="1"/>
  <c r="J14260" i="1"/>
  <c r="J14259" i="1"/>
  <c r="J14258" i="1"/>
  <c r="J14257" i="1"/>
  <c r="J14256" i="1"/>
  <c r="J14255" i="1"/>
  <c r="J14254" i="1"/>
  <c r="J14253" i="1"/>
  <c r="J14252" i="1"/>
  <c r="J14251" i="1"/>
  <c r="J14250" i="1"/>
  <c r="J14249" i="1"/>
  <c r="J14248" i="1"/>
  <c r="J14247" i="1"/>
  <c r="J14246" i="1"/>
  <c r="J14245" i="1"/>
  <c r="J14244" i="1"/>
  <c r="J14243" i="1"/>
  <c r="J14242" i="1"/>
  <c r="J14241" i="1"/>
  <c r="J14240" i="1"/>
  <c r="J14239" i="1"/>
  <c r="J14238" i="1"/>
  <c r="J14237" i="1"/>
  <c r="J14236" i="1"/>
  <c r="J14235" i="1"/>
  <c r="J14234" i="1"/>
  <c r="J14233" i="1"/>
  <c r="J14232" i="1"/>
  <c r="J14231" i="1"/>
  <c r="J14230" i="1"/>
  <c r="J14229" i="1"/>
  <c r="J14228" i="1"/>
  <c r="J14227" i="1"/>
  <c r="J14226" i="1"/>
  <c r="J14225" i="1"/>
  <c r="J14224" i="1"/>
  <c r="J14223" i="1"/>
  <c r="J14222" i="1"/>
  <c r="J14221" i="1"/>
  <c r="J14220" i="1"/>
  <c r="J14219" i="1"/>
  <c r="J14218" i="1"/>
  <c r="J14217" i="1"/>
  <c r="J14216" i="1"/>
  <c r="J14215" i="1"/>
  <c r="J14214" i="1"/>
  <c r="J14213" i="1"/>
  <c r="J14212" i="1"/>
  <c r="J14211" i="1"/>
  <c r="J14210" i="1"/>
  <c r="J14209" i="1"/>
  <c r="J14208" i="1"/>
  <c r="J14207" i="1"/>
  <c r="J14206" i="1"/>
  <c r="J14205" i="1"/>
  <c r="J14204" i="1"/>
  <c r="J14203" i="1"/>
  <c r="J14202" i="1"/>
  <c r="J14201" i="1"/>
  <c r="J14200" i="1"/>
  <c r="J14199" i="1"/>
  <c r="J14198" i="1"/>
  <c r="J14197" i="1"/>
  <c r="J14196" i="1"/>
  <c r="J14195" i="1"/>
  <c r="J14194" i="1"/>
  <c r="J14193" i="1"/>
  <c r="J14192" i="1"/>
  <c r="J14191" i="1"/>
  <c r="J14190" i="1"/>
  <c r="J14189" i="1"/>
  <c r="J14188" i="1"/>
  <c r="J14187" i="1"/>
  <c r="J14186" i="1"/>
  <c r="J14185" i="1"/>
  <c r="J14184" i="1"/>
  <c r="J14183" i="1"/>
  <c r="J14182" i="1"/>
  <c r="J14181" i="1"/>
  <c r="J14180" i="1"/>
  <c r="J14179" i="1"/>
  <c r="J14178" i="1"/>
  <c r="J14177" i="1"/>
  <c r="J14176" i="1"/>
  <c r="J14175" i="1"/>
  <c r="J14174" i="1"/>
  <c r="J14173" i="1"/>
  <c r="J14172" i="1"/>
  <c r="J14171" i="1"/>
  <c r="J14170" i="1"/>
  <c r="J14169" i="1"/>
  <c r="J14168" i="1"/>
  <c r="J14167" i="1"/>
  <c r="J14166" i="1"/>
  <c r="J14165" i="1"/>
  <c r="J14164" i="1"/>
  <c r="J14163" i="1"/>
  <c r="J14162" i="1"/>
  <c r="J14161" i="1"/>
  <c r="J14160" i="1"/>
  <c r="J14159" i="1"/>
  <c r="J14158" i="1"/>
  <c r="J14157" i="1"/>
  <c r="J14156" i="1"/>
  <c r="J14155" i="1"/>
  <c r="J14154" i="1"/>
  <c r="J14153" i="1"/>
  <c r="J14152" i="1"/>
  <c r="J14151" i="1"/>
  <c r="J14150" i="1"/>
  <c r="J14149" i="1"/>
  <c r="J14148" i="1"/>
  <c r="J14147" i="1"/>
  <c r="J14146" i="1"/>
  <c r="J14145" i="1"/>
  <c r="J14144" i="1"/>
  <c r="J14143" i="1"/>
  <c r="J14142" i="1"/>
  <c r="J14141" i="1"/>
  <c r="J14140" i="1"/>
  <c r="J14139" i="1"/>
  <c r="J14138" i="1"/>
  <c r="J14137" i="1"/>
  <c r="J14136" i="1"/>
  <c r="J14135" i="1"/>
  <c r="J14134" i="1"/>
  <c r="J14133" i="1"/>
  <c r="J14132" i="1"/>
  <c r="J14131" i="1"/>
  <c r="J14130" i="1"/>
  <c r="J14129" i="1"/>
  <c r="J14128" i="1"/>
  <c r="J14127" i="1"/>
  <c r="J14126" i="1"/>
  <c r="J14125" i="1"/>
  <c r="J14124" i="1"/>
  <c r="J14123" i="1"/>
  <c r="J14122" i="1"/>
  <c r="J14121" i="1"/>
  <c r="J14120" i="1"/>
  <c r="J14119" i="1"/>
  <c r="J14118" i="1"/>
  <c r="J14117" i="1"/>
  <c r="J14116" i="1"/>
  <c r="J14115" i="1"/>
  <c r="J14114" i="1"/>
  <c r="J14113" i="1"/>
  <c r="J14112" i="1"/>
  <c r="J14111" i="1"/>
  <c r="J14110" i="1"/>
  <c r="J14109" i="1"/>
  <c r="J14108" i="1"/>
  <c r="J14107" i="1"/>
  <c r="J14106" i="1"/>
  <c r="J14105" i="1"/>
  <c r="J14104" i="1"/>
  <c r="J14103" i="1"/>
  <c r="J14102" i="1"/>
  <c r="J14101" i="1"/>
  <c r="J14100" i="1"/>
  <c r="J14099" i="1"/>
  <c r="J14098" i="1"/>
  <c r="J14097" i="1"/>
  <c r="J14096" i="1"/>
  <c r="J14095" i="1"/>
  <c r="J14094" i="1"/>
  <c r="J14093" i="1"/>
  <c r="J14092" i="1"/>
  <c r="J14091" i="1"/>
  <c r="J14090" i="1"/>
  <c r="J14089" i="1"/>
  <c r="J14088" i="1"/>
  <c r="J14087" i="1"/>
  <c r="J14086" i="1"/>
  <c r="J14085" i="1"/>
  <c r="J14084" i="1"/>
  <c r="J14083" i="1"/>
  <c r="J14082" i="1"/>
  <c r="J14081" i="1"/>
  <c r="J14080" i="1"/>
  <c r="J14079" i="1"/>
  <c r="J14078" i="1"/>
  <c r="J14077" i="1"/>
  <c r="J14076" i="1"/>
  <c r="J14075" i="1"/>
  <c r="J14074" i="1"/>
  <c r="J14073" i="1"/>
  <c r="J14072" i="1"/>
  <c r="J14071" i="1"/>
  <c r="J14070" i="1"/>
  <c r="J14069" i="1"/>
  <c r="J14068" i="1"/>
  <c r="J14067" i="1"/>
  <c r="J14066" i="1"/>
  <c r="J14065" i="1"/>
  <c r="J14064" i="1"/>
  <c r="J14063" i="1"/>
  <c r="J14062" i="1"/>
  <c r="J14061" i="1"/>
  <c r="J14060" i="1"/>
  <c r="J14059" i="1"/>
  <c r="J14058" i="1"/>
  <c r="J14057" i="1"/>
  <c r="J14056" i="1"/>
  <c r="J14055" i="1"/>
  <c r="J14054" i="1"/>
  <c r="J14053" i="1"/>
  <c r="J14052" i="1"/>
  <c r="J14051" i="1"/>
  <c r="J14050" i="1"/>
  <c r="J14049" i="1"/>
  <c r="J14048" i="1"/>
  <c r="J14047" i="1"/>
  <c r="J14046" i="1"/>
  <c r="J14045" i="1"/>
  <c r="J14044" i="1"/>
  <c r="J14043" i="1"/>
  <c r="J14042" i="1"/>
  <c r="J14041" i="1"/>
  <c r="J14040" i="1"/>
  <c r="J14039" i="1"/>
  <c r="J14038" i="1"/>
  <c r="J14037" i="1"/>
  <c r="J14036" i="1"/>
  <c r="J14035" i="1"/>
  <c r="J14034" i="1"/>
  <c r="J14033" i="1"/>
  <c r="J14032" i="1"/>
  <c r="J14031" i="1"/>
  <c r="J14030" i="1"/>
  <c r="J14029" i="1"/>
  <c r="J14028" i="1"/>
  <c r="J14027" i="1"/>
  <c r="J14026" i="1"/>
  <c r="J14025" i="1"/>
  <c r="J14024" i="1"/>
  <c r="J14023" i="1"/>
  <c r="J14022" i="1"/>
  <c r="J14021" i="1"/>
  <c r="J14020" i="1"/>
  <c r="J14019" i="1"/>
  <c r="J14018" i="1"/>
  <c r="J14017" i="1"/>
  <c r="J14016" i="1"/>
  <c r="J14015" i="1"/>
  <c r="J14014" i="1"/>
  <c r="J14013" i="1"/>
  <c r="J14012" i="1"/>
  <c r="J14011" i="1"/>
  <c r="J14010" i="1"/>
  <c r="J14009" i="1"/>
  <c r="J14008" i="1"/>
  <c r="J14007" i="1"/>
  <c r="J14006" i="1"/>
  <c r="J14005" i="1"/>
  <c r="J14004" i="1"/>
  <c r="J14003" i="1"/>
  <c r="J14002" i="1"/>
  <c r="J14001" i="1"/>
  <c r="J14000" i="1"/>
  <c r="J13999" i="1"/>
  <c r="J13998" i="1"/>
  <c r="J13997" i="1"/>
  <c r="J13996" i="1"/>
  <c r="J13995" i="1"/>
  <c r="J13994" i="1"/>
  <c r="J13993" i="1"/>
  <c r="J13992" i="1"/>
  <c r="J13991" i="1"/>
  <c r="J13990" i="1"/>
  <c r="J13989" i="1"/>
  <c r="J13988" i="1"/>
  <c r="J13987" i="1"/>
  <c r="J13986" i="1"/>
  <c r="J13985" i="1"/>
  <c r="J13984" i="1"/>
  <c r="J13983" i="1"/>
  <c r="J13982" i="1"/>
  <c r="J13981" i="1"/>
  <c r="J13980" i="1"/>
  <c r="J13979" i="1"/>
  <c r="J13978" i="1"/>
  <c r="J13977" i="1"/>
  <c r="J13976" i="1"/>
  <c r="J13975" i="1"/>
  <c r="J13974" i="1"/>
  <c r="J13973" i="1"/>
  <c r="J13972" i="1"/>
  <c r="J13971" i="1"/>
  <c r="J13970" i="1"/>
  <c r="J13969" i="1"/>
  <c r="J13968" i="1"/>
  <c r="J13967" i="1"/>
  <c r="J13966" i="1"/>
  <c r="J13965" i="1"/>
  <c r="J13964" i="1"/>
  <c r="J13963" i="1"/>
  <c r="J13962" i="1"/>
  <c r="J13961" i="1"/>
  <c r="J13960" i="1"/>
  <c r="J13959" i="1"/>
  <c r="J13958" i="1"/>
  <c r="J13957" i="1"/>
  <c r="J13956" i="1"/>
  <c r="J13955" i="1"/>
  <c r="J13954" i="1"/>
  <c r="J13953" i="1"/>
  <c r="J13952" i="1"/>
  <c r="J13951" i="1"/>
  <c r="J13950" i="1"/>
  <c r="J13949" i="1"/>
  <c r="J13948" i="1"/>
  <c r="J13947" i="1"/>
  <c r="J13946" i="1"/>
  <c r="J13945" i="1"/>
  <c r="J13944" i="1"/>
  <c r="J13943" i="1"/>
  <c r="J13942" i="1"/>
  <c r="J13941" i="1"/>
  <c r="J13940" i="1"/>
  <c r="J13939" i="1"/>
  <c r="J13938" i="1"/>
  <c r="J13937" i="1"/>
  <c r="J13936" i="1"/>
  <c r="J13935" i="1"/>
  <c r="J13934" i="1"/>
  <c r="J13933" i="1"/>
  <c r="J13932" i="1"/>
  <c r="J13931" i="1"/>
  <c r="J13930" i="1"/>
  <c r="J13929" i="1"/>
  <c r="J13928" i="1"/>
  <c r="J13927" i="1"/>
  <c r="J13926" i="1"/>
  <c r="J13925" i="1"/>
  <c r="J13924" i="1"/>
  <c r="J13923" i="1"/>
  <c r="J13922" i="1"/>
  <c r="J13921" i="1"/>
  <c r="J13920" i="1"/>
  <c r="J13919" i="1"/>
  <c r="J13918" i="1"/>
  <c r="J13917" i="1"/>
  <c r="J13916" i="1"/>
  <c r="J13915" i="1"/>
  <c r="J13914" i="1"/>
  <c r="J13913" i="1"/>
  <c r="J13912" i="1"/>
  <c r="J13911" i="1"/>
  <c r="J13910" i="1"/>
  <c r="J13909" i="1"/>
  <c r="J13908" i="1"/>
  <c r="J13907" i="1"/>
  <c r="J13906" i="1"/>
  <c r="J13905" i="1"/>
  <c r="J13904" i="1"/>
  <c r="J13903" i="1"/>
  <c r="J13902" i="1"/>
  <c r="J13901" i="1"/>
  <c r="J13900" i="1"/>
  <c r="J13899" i="1"/>
  <c r="J13898" i="1"/>
  <c r="J13897" i="1"/>
  <c r="J13896" i="1"/>
  <c r="J13895" i="1"/>
  <c r="J13894" i="1"/>
  <c r="J13893" i="1"/>
  <c r="J13892" i="1"/>
  <c r="J13891" i="1"/>
  <c r="J13890" i="1"/>
  <c r="J13889" i="1"/>
  <c r="J13888" i="1"/>
  <c r="J13887" i="1"/>
  <c r="J13886" i="1"/>
  <c r="J13885" i="1"/>
  <c r="J13884" i="1"/>
  <c r="J13883" i="1"/>
  <c r="J13882" i="1"/>
  <c r="J13881" i="1"/>
  <c r="J13880" i="1"/>
  <c r="J13879" i="1"/>
  <c r="J13878" i="1"/>
  <c r="J13877" i="1"/>
  <c r="J13876" i="1"/>
  <c r="J13875" i="1"/>
  <c r="J13874" i="1"/>
  <c r="J13873" i="1"/>
  <c r="J13872" i="1"/>
  <c r="J13871" i="1"/>
  <c r="J13870" i="1"/>
  <c r="J13869" i="1"/>
  <c r="J13868" i="1"/>
  <c r="J13867" i="1"/>
  <c r="J13866" i="1"/>
  <c r="J13865" i="1"/>
  <c r="J13864" i="1"/>
  <c r="J13863" i="1"/>
  <c r="J13862" i="1"/>
  <c r="J13861" i="1"/>
  <c r="J13860" i="1"/>
  <c r="J13859" i="1"/>
  <c r="J13858" i="1"/>
  <c r="J13857" i="1"/>
  <c r="J13856" i="1"/>
  <c r="J13855" i="1"/>
  <c r="J13854" i="1"/>
  <c r="J13853" i="1"/>
  <c r="J13852" i="1"/>
  <c r="J13851" i="1"/>
  <c r="J13850" i="1"/>
  <c r="J13849" i="1"/>
  <c r="J13848" i="1"/>
  <c r="J13847" i="1"/>
  <c r="J13846" i="1"/>
  <c r="J13845" i="1"/>
  <c r="J13844" i="1"/>
  <c r="J13843" i="1"/>
  <c r="J13842" i="1"/>
  <c r="J13841" i="1"/>
  <c r="J13840" i="1"/>
  <c r="J13839" i="1"/>
  <c r="J13838" i="1"/>
  <c r="J13837" i="1"/>
  <c r="J13836" i="1"/>
  <c r="J13835" i="1"/>
  <c r="J13834" i="1"/>
  <c r="J13833" i="1"/>
  <c r="J13832" i="1"/>
  <c r="J13831" i="1"/>
  <c r="J13830" i="1"/>
  <c r="J13829" i="1"/>
  <c r="J13828" i="1"/>
  <c r="J13827" i="1"/>
  <c r="J13826" i="1"/>
  <c r="J13825" i="1"/>
  <c r="J13824" i="1"/>
  <c r="J13823" i="1"/>
  <c r="J13822" i="1"/>
  <c r="J13821" i="1"/>
  <c r="J13820" i="1"/>
  <c r="J13819" i="1"/>
  <c r="J13818" i="1"/>
  <c r="J13817" i="1"/>
  <c r="J13816" i="1"/>
  <c r="J13815" i="1"/>
  <c r="J13814" i="1"/>
  <c r="J13813" i="1"/>
  <c r="J13812" i="1"/>
  <c r="J13811" i="1"/>
  <c r="J13810" i="1"/>
  <c r="J13809" i="1"/>
  <c r="J13808" i="1"/>
  <c r="J13807" i="1"/>
  <c r="J13806" i="1"/>
  <c r="J13805" i="1"/>
  <c r="J13804" i="1"/>
  <c r="J13803" i="1"/>
  <c r="J13802" i="1"/>
  <c r="J13801" i="1"/>
  <c r="J13800" i="1"/>
  <c r="J13799" i="1"/>
  <c r="J13798" i="1"/>
  <c r="J13797" i="1"/>
  <c r="J13796" i="1"/>
  <c r="J13795" i="1"/>
  <c r="J13794" i="1"/>
  <c r="J13793" i="1"/>
  <c r="J13792" i="1"/>
  <c r="J13791" i="1"/>
  <c r="J13790" i="1"/>
  <c r="J13789" i="1"/>
  <c r="J13788" i="1"/>
  <c r="J13787" i="1"/>
  <c r="J13786" i="1"/>
  <c r="J13785" i="1"/>
  <c r="J13784" i="1"/>
  <c r="J13783" i="1"/>
  <c r="J13782" i="1"/>
  <c r="J13781" i="1"/>
  <c r="J13780" i="1"/>
  <c r="J13779" i="1"/>
  <c r="J13778" i="1"/>
  <c r="J13777" i="1"/>
  <c r="J13776" i="1"/>
  <c r="J13775" i="1"/>
  <c r="J13774" i="1"/>
  <c r="J13773" i="1"/>
  <c r="J13772" i="1"/>
  <c r="J13771" i="1"/>
  <c r="J13770" i="1"/>
  <c r="J13769" i="1"/>
  <c r="J13768" i="1"/>
  <c r="J13767" i="1"/>
  <c r="J13766" i="1"/>
  <c r="J13765" i="1"/>
  <c r="J13764" i="1"/>
  <c r="J13763" i="1"/>
  <c r="J13762" i="1"/>
  <c r="J13761" i="1"/>
  <c r="J13760" i="1"/>
  <c r="J13759" i="1"/>
  <c r="J13758" i="1"/>
  <c r="J13757" i="1"/>
  <c r="J13756" i="1"/>
  <c r="J13755" i="1"/>
  <c r="J13754" i="1"/>
  <c r="J13753" i="1"/>
  <c r="J13752" i="1"/>
  <c r="J13751" i="1"/>
  <c r="J13750" i="1"/>
  <c r="J13749" i="1"/>
  <c r="J13748" i="1"/>
  <c r="J13747" i="1"/>
  <c r="J13746" i="1"/>
  <c r="J13745" i="1"/>
  <c r="J13744" i="1"/>
  <c r="J13743" i="1"/>
  <c r="J13742" i="1"/>
  <c r="J13741" i="1"/>
  <c r="J13740" i="1"/>
  <c r="J13739" i="1"/>
  <c r="J13738" i="1"/>
  <c r="J13737" i="1"/>
  <c r="J13736" i="1"/>
  <c r="J13735" i="1"/>
  <c r="J13734" i="1"/>
  <c r="J13733" i="1"/>
  <c r="J13732" i="1"/>
  <c r="J13731" i="1"/>
  <c r="J13730" i="1"/>
  <c r="J13729" i="1"/>
  <c r="J13728" i="1"/>
  <c r="J13727" i="1"/>
  <c r="J13726" i="1"/>
  <c r="J13725" i="1"/>
  <c r="J13724" i="1"/>
  <c r="J13723" i="1"/>
  <c r="J13722" i="1"/>
  <c r="J13721" i="1"/>
  <c r="J13720" i="1"/>
  <c r="J13719" i="1"/>
  <c r="J13718" i="1"/>
  <c r="J13717" i="1"/>
  <c r="J13716" i="1"/>
  <c r="J13715" i="1"/>
  <c r="J13714" i="1"/>
  <c r="J13713" i="1"/>
  <c r="J13712" i="1"/>
  <c r="J13711" i="1"/>
  <c r="J13710" i="1"/>
  <c r="J13709" i="1"/>
  <c r="J13708" i="1"/>
  <c r="J13707" i="1"/>
  <c r="J13706" i="1"/>
  <c r="J13705" i="1"/>
  <c r="J13704" i="1"/>
  <c r="J13703" i="1"/>
  <c r="J13702" i="1"/>
  <c r="J13701" i="1"/>
  <c r="J13700" i="1"/>
  <c r="J13699" i="1"/>
  <c r="J13698" i="1"/>
  <c r="J13697" i="1"/>
  <c r="J13696" i="1"/>
  <c r="J13695" i="1"/>
  <c r="J13694" i="1"/>
  <c r="J13693" i="1"/>
  <c r="J13692" i="1"/>
  <c r="J13691" i="1"/>
  <c r="J13690" i="1"/>
  <c r="J13689" i="1"/>
  <c r="J13688" i="1"/>
  <c r="J13687" i="1"/>
  <c r="J13686" i="1"/>
  <c r="J13685" i="1"/>
  <c r="J13684" i="1"/>
  <c r="J13683" i="1"/>
  <c r="J13682" i="1"/>
  <c r="J13681" i="1"/>
  <c r="J13680" i="1"/>
  <c r="J13679" i="1"/>
  <c r="J13678" i="1"/>
  <c r="J13677" i="1"/>
  <c r="J13676" i="1"/>
  <c r="J13675" i="1"/>
  <c r="J13674" i="1"/>
  <c r="J13673" i="1"/>
  <c r="J13672" i="1"/>
  <c r="J13671" i="1"/>
  <c r="J13670" i="1"/>
  <c r="J13669" i="1"/>
  <c r="J13668" i="1"/>
  <c r="J13667" i="1"/>
  <c r="J13666" i="1"/>
  <c r="J13665" i="1"/>
  <c r="J13664" i="1"/>
  <c r="J13663" i="1"/>
  <c r="J13662" i="1"/>
  <c r="J13661" i="1"/>
  <c r="J13660" i="1"/>
  <c r="J13659" i="1"/>
  <c r="J13658" i="1"/>
  <c r="J13657" i="1"/>
  <c r="J13656" i="1"/>
  <c r="J13655" i="1"/>
  <c r="J13654" i="1"/>
  <c r="J13653" i="1"/>
  <c r="J13652" i="1"/>
  <c r="J13651" i="1"/>
  <c r="J13650" i="1"/>
  <c r="J13649" i="1"/>
  <c r="J13648" i="1"/>
  <c r="J13647" i="1"/>
  <c r="J13646" i="1"/>
  <c r="J13645" i="1"/>
  <c r="J13644" i="1"/>
  <c r="J13643" i="1"/>
  <c r="J13642" i="1"/>
  <c r="J13641" i="1"/>
  <c r="J13640" i="1"/>
  <c r="J13639" i="1"/>
  <c r="J13638" i="1"/>
  <c r="J13637" i="1"/>
  <c r="J13636" i="1"/>
  <c r="J13635" i="1"/>
  <c r="J13634" i="1"/>
  <c r="J13633" i="1"/>
  <c r="J13632" i="1"/>
  <c r="J13631" i="1"/>
  <c r="J13630" i="1"/>
  <c r="J13629" i="1"/>
  <c r="J13628" i="1"/>
  <c r="J13627" i="1"/>
  <c r="J13626" i="1"/>
  <c r="J13625" i="1"/>
  <c r="J13624" i="1"/>
  <c r="J13623" i="1"/>
  <c r="J13622" i="1"/>
  <c r="J13621" i="1"/>
  <c r="J13620" i="1"/>
  <c r="J13619" i="1"/>
  <c r="J13618" i="1"/>
  <c r="J13617" i="1"/>
  <c r="J13616" i="1"/>
  <c r="J13615" i="1"/>
  <c r="J13614" i="1"/>
  <c r="J13613" i="1"/>
  <c r="J13612" i="1"/>
  <c r="J13611" i="1"/>
  <c r="J13610" i="1"/>
  <c r="J13609" i="1"/>
  <c r="J13608" i="1"/>
  <c r="J13607" i="1"/>
  <c r="J13606" i="1"/>
  <c r="J13605" i="1"/>
  <c r="J13604" i="1"/>
  <c r="J13603" i="1"/>
  <c r="J13602" i="1"/>
  <c r="J13601" i="1"/>
  <c r="J13600" i="1"/>
  <c r="J13599" i="1"/>
  <c r="J13598" i="1"/>
  <c r="J13597" i="1"/>
  <c r="J13596" i="1"/>
  <c r="J13595" i="1"/>
  <c r="J13594" i="1"/>
  <c r="J13593" i="1"/>
  <c r="J13592" i="1"/>
  <c r="J13591" i="1"/>
  <c r="J13590" i="1"/>
  <c r="J13589" i="1"/>
  <c r="J13588" i="1"/>
  <c r="J13587" i="1"/>
  <c r="J13586" i="1"/>
  <c r="J13585" i="1"/>
  <c r="J13584" i="1"/>
  <c r="J13583" i="1"/>
  <c r="J13582" i="1"/>
  <c r="J13581" i="1"/>
  <c r="J13580" i="1"/>
  <c r="J13579" i="1"/>
  <c r="J13578" i="1"/>
  <c r="J13577" i="1"/>
  <c r="J13576" i="1"/>
  <c r="J13575" i="1"/>
  <c r="J13574" i="1"/>
  <c r="J13573" i="1"/>
  <c r="J13572" i="1"/>
  <c r="J13571" i="1"/>
  <c r="J13570" i="1"/>
  <c r="J13569" i="1"/>
  <c r="J13568" i="1"/>
  <c r="J13567" i="1"/>
  <c r="J13566" i="1"/>
  <c r="J13565" i="1"/>
  <c r="J13564" i="1"/>
  <c r="J13563" i="1"/>
  <c r="J13562" i="1"/>
  <c r="J13561" i="1"/>
  <c r="J13560" i="1"/>
  <c r="J13559" i="1"/>
  <c r="J13558" i="1"/>
  <c r="J13557" i="1"/>
  <c r="J13556" i="1"/>
  <c r="J13555" i="1"/>
  <c r="J13554" i="1"/>
  <c r="J13553" i="1"/>
  <c r="J13552" i="1"/>
  <c r="J13551" i="1"/>
  <c r="J13550" i="1"/>
  <c r="J13549" i="1"/>
  <c r="J13548" i="1"/>
  <c r="J13547" i="1"/>
  <c r="J13546" i="1"/>
  <c r="J13545" i="1"/>
  <c r="J13544" i="1"/>
  <c r="J13543" i="1"/>
  <c r="J13542" i="1"/>
  <c r="J13541" i="1"/>
  <c r="J13540" i="1"/>
  <c r="J13539" i="1"/>
  <c r="J13538" i="1"/>
  <c r="J13537" i="1"/>
  <c r="J13536" i="1"/>
  <c r="J13535" i="1"/>
  <c r="J13534" i="1"/>
  <c r="J13533" i="1"/>
  <c r="J13532" i="1"/>
  <c r="J13531" i="1"/>
  <c r="J13530" i="1"/>
  <c r="J13529" i="1"/>
  <c r="J13528" i="1"/>
  <c r="J13527" i="1"/>
  <c r="J13526" i="1"/>
  <c r="J13525" i="1"/>
  <c r="J13524" i="1"/>
  <c r="J13523" i="1"/>
  <c r="J13522" i="1"/>
  <c r="J13521" i="1"/>
  <c r="J13520" i="1"/>
  <c r="J13519" i="1"/>
  <c r="J13518" i="1"/>
  <c r="J13517" i="1"/>
  <c r="J13516" i="1"/>
  <c r="J13515" i="1"/>
  <c r="J13514" i="1"/>
  <c r="J13513" i="1"/>
  <c r="J13512" i="1"/>
  <c r="J13511" i="1"/>
  <c r="J13510" i="1"/>
  <c r="J13509" i="1"/>
  <c r="J13508" i="1"/>
  <c r="J13507" i="1"/>
  <c r="J13506" i="1"/>
  <c r="J13505" i="1"/>
  <c r="J13504" i="1"/>
  <c r="J13503" i="1"/>
  <c r="J13502" i="1"/>
  <c r="J13501" i="1"/>
  <c r="J13500" i="1"/>
  <c r="J13499" i="1"/>
  <c r="J13498" i="1"/>
  <c r="J13497" i="1"/>
  <c r="J13496" i="1"/>
  <c r="J13495" i="1"/>
  <c r="J13494" i="1"/>
  <c r="J13493" i="1"/>
  <c r="J13492" i="1"/>
  <c r="J13491" i="1"/>
  <c r="J13490" i="1"/>
  <c r="J13489" i="1"/>
  <c r="J13488" i="1"/>
  <c r="J13487" i="1"/>
  <c r="J13486" i="1"/>
  <c r="J13485" i="1"/>
  <c r="J13484" i="1"/>
  <c r="J13483" i="1"/>
  <c r="J13482" i="1"/>
  <c r="J13481" i="1"/>
  <c r="J13480" i="1"/>
  <c r="J13479" i="1"/>
  <c r="J13478" i="1"/>
  <c r="J13477" i="1"/>
  <c r="J13476" i="1"/>
  <c r="J13475" i="1"/>
  <c r="J13474" i="1"/>
  <c r="J13473" i="1"/>
  <c r="J13472" i="1"/>
  <c r="J13471" i="1"/>
  <c r="J13470" i="1"/>
  <c r="J13469" i="1"/>
  <c r="J13468" i="1"/>
  <c r="J13467" i="1"/>
  <c r="J13466" i="1"/>
  <c r="J13465" i="1"/>
  <c r="J13464" i="1"/>
  <c r="J13463" i="1"/>
  <c r="J13462" i="1"/>
  <c r="J13461" i="1"/>
  <c r="J13460" i="1"/>
  <c r="J13459" i="1"/>
  <c r="J13458" i="1"/>
  <c r="J13457" i="1"/>
  <c r="J13456" i="1"/>
  <c r="J13455" i="1"/>
  <c r="J13454" i="1"/>
  <c r="J13453" i="1"/>
  <c r="J13452" i="1"/>
  <c r="J13451" i="1"/>
  <c r="J13450" i="1"/>
  <c r="J13449" i="1"/>
  <c r="J13448" i="1"/>
  <c r="J13447" i="1"/>
  <c r="J13446" i="1"/>
  <c r="J13445" i="1"/>
  <c r="J13444" i="1"/>
  <c r="J13443" i="1"/>
  <c r="J13442" i="1"/>
  <c r="J13441" i="1"/>
  <c r="J13440" i="1"/>
  <c r="J13439" i="1"/>
  <c r="J13438" i="1"/>
  <c r="J13437" i="1"/>
  <c r="J13436" i="1"/>
  <c r="J13435" i="1"/>
  <c r="J13434" i="1"/>
  <c r="J13433" i="1"/>
  <c r="J13432" i="1"/>
  <c r="J13431" i="1"/>
  <c r="J13430" i="1"/>
  <c r="J13429" i="1"/>
  <c r="J13428" i="1"/>
  <c r="J13427" i="1"/>
  <c r="J13426" i="1"/>
  <c r="J13425" i="1"/>
  <c r="J13424" i="1"/>
  <c r="J13423" i="1"/>
  <c r="J13422" i="1"/>
  <c r="J13421" i="1"/>
  <c r="J13420" i="1"/>
  <c r="J13419" i="1"/>
  <c r="J13418" i="1"/>
  <c r="J13417" i="1"/>
  <c r="J13416" i="1"/>
  <c r="J13415" i="1"/>
  <c r="J13414" i="1"/>
  <c r="J13413" i="1"/>
  <c r="J13412" i="1"/>
  <c r="J13411" i="1"/>
  <c r="J13410" i="1"/>
  <c r="J13409" i="1"/>
  <c r="J13408" i="1"/>
  <c r="J13407" i="1"/>
  <c r="J13406" i="1"/>
  <c r="J13405" i="1"/>
  <c r="J13404" i="1"/>
  <c r="J13403" i="1"/>
  <c r="J13402" i="1"/>
  <c r="J13401" i="1"/>
  <c r="J13400" i="1"/>
  <c r="J13399" i="1"/>
  <c r="J13398" i="1"/>
  <c r="J13397" i="1"/>
  <c r="J13396" i="1"/>
  <c r="J13395" i="1"/>
  <c r="J13394" i="1"/>
  <c r="J13393" i="1"/>
  <c r="J13392" i="1"/>
  <c r="J13391" i="1"/>
  <c r="J13390" i="1"/>
  <c r="J13389" i="1"/>
  <c r="J13388" i="1"/>
  <c r="J13387" i="1"/>
  <c r="J13386" i="1"/>
  <c r="J13385" i="1"/>
  <c r="J13384" i="1"/>
  <c r="J13383" i="1"/>
  <c r="J13382" i="1"/>
  <c r="J13381" i="1"/>
  <c r="J13380" i="1"/>
  <c r="J13379" i="1"/>
  <c r="J13378" i="1"/>
  <c r="J13377" i="1"/>
  <c r="J13376" i="1"/>
  <c r="J13375" i="1"/>
  <c r="J13374" i="1"/>
  <c r="J13373" i="1"/>
  <c r="J13372" i="1"/>
  <c r="J13371" i="1"/>
  <c r="J13370" i="1"/>
  <c r="J13369" i="1"/>
  <c r="J13368" i="1"/>
  <c r="J13367" i="1"/>
  <c r="J13366" i="1"/>
  <c r="J13365" i="1"/>
  <c r="J13364" i="1"/>
  <c r="J13363" i="1"/>
  <c r="J13362" i="1"/>
  <c r="J13361" i="1"/>
  <c r="J13360" i="1"/>
  <c r="J13359" i="1"/>
  <c r="J13358" i="1"/>
  <c r="J13357" i="1"/>
  <c r="J13356" i="1"/>
  <c r="J13355" i="1"/>
  <c r="J13354" i="1"/>
  <c r="J13353" i="1"/>
  <c r="J13352" i="1"/>
  <c r="J13351" i="1"/>
  <c r="J13350" i="1"/>
  <c r="J13349" i="1"/>
  <c r="J13348" i="1"/>
  <c r="J13347" i="1"/>
  <c r="J13346" i="1"/>
  <c r="J13345" i="1"/>
  <c r="J13344" i="1"/>
  <c r="J13343" i="1"/>
  <c r="J13342" i="1"/>
  <c r="J13341" i="1"/>
  <c r="J13340" i="1"/>
  <c r="J13339" i="1"/>
  <c r="J13338" i="1"/>
  <c r="J13337" i="1"/>
  <c r="J13336" i="1"/>
  <c r="J13335" i="1"/>
  <c r="J13334" i="1"/>
  <c r="J13333" i="1"/>
  <c r="J13332" i="1"/>
  <c r="J13331" i="1"/>
  <c r="J13330" i="1"/>
  <c r="J13329" i="1"/>
  <c r="J13328" i="1"/>
  <c r="J13327" i="1"/>
  <c r="J13326" i="1"/>
  <c r="J13325" i="1"/>
  <c r="J13324" i="1"/>
  <c r="J13323" i="1"/>
  <c r="J13322" i="1"/>
  <c r="J13321" i="1"/>
  <c r="J13320" i="1"/>
  <c r="J13319" i="1"/>
  <c r="J13318" i="1"/>
  <c r="J13317" i="1"/>
  <c r="J13316" i="1"/>
  <c r="J13315" i="1"/>
  <c r="J13314" i="1"/>
  <c r="J13313" i="1"/>
  <c r="J13312" i="1"/>
  <c r="J13311" i="1"/>
  <c r="J13310" i="1"/>
  <c r="J13309" i="1"/>
  <c r="J13308" i="1"/>
  <c r="J13307" i="1"/>
  <c r="J13306" i="1"/>
  <c r="J13305" i="1"/>
  <c r="J13304" i="1"/>
  <c r="J13303" i="1"/>
  <c r="J13302" i="1"/>
  <c r="J13301" i="1"/>
  <c r="J13300" i="1"/>
  <c r="J13299" i="1"/>
  <c r="J13298" i="1"/>
  <c r="J13297" i="1"/>
  <c r="J13296" i="1"/>
  <c r="J13295" i="1"/>
  <c r="J13294" i="1"/>
  <c r="J13293" i="1"/>
  <c r="J13292" i="1"/>
  <c r="J13291" i="1"/>
  <c r="J13290" i="1"/>
  <c r="J13289" i="1"/>
  <c r="J13288" i="1"/>
  <c r="J13287" i="1"/>
  <c r="J13286" i="1"/>
  <c r="J13285" i="1"/>
  <c r="J13284" i="1"/>
  <c r="J13283" i="1"/>
  <c r="J13282" i="1"/>
  <c r="J13281" i="1"/>
  <c r="J13280" i="1"/>
  <c r="J13279" i="1"/>
  <c r="J13278" i="1"/>
  <c r="J13277" i="1"/>
  <c r="J13276" i="1"/>
  <c r="J13275" i="1"/>
  <c r="J13274" i="1"/>
  <c r="J13273" i="1"/>
  <c r="J13272" i="1"/>
  <c r="J13271" i="1"/>
  <c r="J13270" i="1"/>
  <c r="J13269" i="1"/>
  <c r="J13268" i="1"/>
  <c r="J13267" i="1"/>
  <c r="J13266" i="1"/>
  <c r="J13265" i="1"/>
  <c r="J13264" i="1"/>
  <c r="J13263" i="1"/>
  <c r="J13262" i="1"/>
  <c r="J13261" i="1"/>
  <c r="J13260" i="1"/>
  <c r="J13259" i="1"/>
  <c r="J13258" i="1"/>
  <c r="J13257" i="1"/>
  <c r="J13256" i="1"/>
  <c r="J13255" i="1"/>
  <c r="J13254" i="1"/>
  <c r="J13253" i="1"/>
  <c r="J13252" i="1"/>
  <c r="J13251" i="1"/>
  <c r="J13250" i="1"/>
  <c r="J13249" i="1"/>
  <c r="J13248" i="1"/>
  <c r="J13247" i="1"/>
  <c r="J13246" i="1"/>
  <c r="J13245" i="1"/>
  <c r="J13244" i="1"/>
  <c r="J13243" i="1"/>
  <c r="J13242" i="1"/>
  <c r="J13241" i="1"/>
  <c r="J13240" i="1"/>
  <c r="J13239" i="1"/>
  <c r="J13238" i="1"/>
  <c r="J13237" i="1"/>
  <c r="J13236" i="1"/>
  <c r="J13235" i="1"/>
  <c r="J13234" i="1"/>
  <c r="J13233" i="1"/>
  <c r="J13232" i="1"/>
  <c r="J13231" i="1"/>
  <c r="J13230" i="1"/>
  <c r="J13229" i="1"/>
  <c r="J13228" i="1"/>
  <c r="J13227" i="1"/>
  <c r="J13226" i="1"/>
  <c r="J13225" i="1"/>
  <c r="J13224" i="1"/>
  <c r="J13223" i="1"/>
  <c r="J13222" i="1"/>
  <c r="J13221" i="1"/>
  <c r="J13220" i="1"/>
  <c r="J13219" i="1"/>
  <c r="J13218" i="1"/>
  <c r="J13217" i="1"/>
  <c r="J13216" i="1"/>
  <c r="J13215" i="1"/>
  <c r="J13214" i="1"/>
  <c r="J13213" i="1"/>
  <c r="J13212" i="1"/>
  <c r="J13211" i="1"/>
  <c r="J13210" i="1"/>
  <c r="J13209" i="1"/>
  <c r="J13208" i="1"/>
  <c r="J13207" i="1"/>
  <c r="J13206" i="1"/>
  <c r="J13205" i="1"/>
  <c r="J13204" i="1"/>
  <c r="J13203" i="1"/>
  <c r="J13202" i="1"/>
  <c r="J13201" i="1"/>
  <c r="J13200" i="1"/>
  <c r="J13199" i="1"/>
  <c r="J13198" i="1"/>
  <c r="J13197" i="1"/>
  <c r="J13196" i="1"/>
  <c r="J13195" i="1"/>
  <c r="J13194" i="1"/>
  <c r="J13193" i="1"/>
  <c r="J13192" i="1"/>
  <c r="J13191" i="1"/>
  <c r="J13190" i="1"/>
  <c r="J13189" i="1"/>
  <c r="J13188" i="1"/>
  <c r="J13187" i="1"/>
  <c r="J13186" i="1"/>
  <c r="J13185" i="1"/>
  <c r="J13184" i="1"/>
  <c r="J13183" i="1"/>
  <c r="J13182" i="1"/>
  <c r="J13181" i="1"/>
  <c r="J13180" i="1"/>
  <c r="J13179" i="1"/>
  <c r="J13178" i="1"/>
  <c r="J13177" i="1"/>
  <c r="J13176" i="1"/>
  <c r="J13175" i="1"/>
  <c r="J13174" i="1"/>
  <c r="J13173" i="1"/>
  <c r="J13172" i="1"/>
  <c r="J13171" i="1"/>
  <c r="J13170" i="1"/>
  <c r="J13169" i="1"/>
  <c r="J13168" i="1"/>
  <c r="J13167" i="1"/>
  <c r="J13166" i="1"/>
  <c r="J13165" i="1"/>
  <c r="J13164" i="1"/>
  <c r="J13163" i="1"/>
  <c r="J13162" i="1"/>
  <c r="J13161" i="1"/>
  <c r="J13160" i="1"/>
  <c r="J13159" i="1"/>
  <c r="J13158" i="1"/>
  <c r="J13157" i="1"/>
  <c r="J13156" i="1"/>
  <c r="J13155" i="1"/>
  <c r="J13154" i="1"/>
  <c r="J13153" i="1"/>
  <c r="J13152" i="1"/>
  <c r="J13151" i="1"/>
  <c r="J13150" i="1"/>
  <c r="J13149" i="1"/>
  <c r="J13148" i="1"/>
  <c r="J13147" i="1"/>
  <c r="J13146" i="1"/>
  <c r="J13145" i="1"/>
  <c r="J13144" i="1"/>
  <c r="J13143" i="1"/>
  <c r="J13142" i="1"/>
  <c r="J13141" i="1"/>
  <c r="J13140" i="1"/>
  <c r="J13139" i="1"/>
  <c r="J13138" i="1"/>
  <c r="J13137" i="1"/>
  <c r="J13136" i="1"/>
  <c r="J13135" i="1"/>
  <c r="J13134" i="1"/>
  <c r="J13133" i="1"/>
  <c r="J13132" i="1"/>
  <c r="J13131" i="1"/>
  <c r="J13130" i="1"/>
  <c r="J13129" i="1"/>
  <c r="J13128" i="1"/>
  <c r="J13127" i="1"/>
  <c r="J13126" i="1"/>
  <c r="J13125" i="1"/>
  <c r="J13124" i="1"/>
  <c r="J13123" i="1"/>
  <c r="J13122" i="1"/>
  <c r="J13121" i="1"/>
  <c r="J13120" i="1"/>
  <c r="J13119" i="1"/>
  <c r="J13118" i="1"/>
  <c r="J13117" i="1"/>
  <c r="J13116" i="1"/>
  <c r="J13115" i="1"/>
  <c r="J13114" i="1"/>
  <c r="J13113" i="1"/>
  <c r="J13112" i="1"/>
  <c r="J13111" i="1"/>
  <c r="J13110" i="1"/>
  <c r="J13109" i="1"/>
  <c r="J13108" i="1"/>
  <c r="J13107" i="1"/>
  <c r="J13106" i="1"/>
  <c r="J13105" i="1"/>
  <c r="J13104" i="1"/>
  <c r="J13103" i="1"/>
  <c r="J13102" i="1"/>
  <c r="J13101" i="1"/>
  <c r="J13100" i="1"/>
  <c r="J13099" i="1"/>
  <c r="J13098" i="1"/>
  <c r="J13097" i="1"/>
  <c r="J13096" i="1"/>
  <c r="J13095" i="1"/>
  <c r="J13094" i="1"/>
  <c r="J13093" i="1"/>
  <c r="J13092" i="1"/>
  <c r="J13091" i="1"/>
  <c r="J13090" i="1"/>
  <c r="J13089" i="1"/>
  <c r="J13088" i="1"/>
  <c r="J13087" i="1"/>
  <c r="J13086" i="1"/>
  <c r="J13085" i="1"/>
  <c r="J13084" i="1"/>
  <c r="J13083" i="1"/>
  <c r="J13082" i="1"/>
  <c r="J13081" i="1"/>
  <c r="J13080" i="1"/>
  <c r="J13079" i="1"/>
  <c r="J13078" i="1"/>
  <c r="J13077" i="1"/>
  <c r="J13076" i="1"/>
  <c r="J13075" i="1"/>
  <c r="J13074" i="1"/>
  <c r="J13073" i="1"/>
  <c r="J13072" i="1"/>
  <c r="J13071" i="1"/>
  <c r="J13070" i="1"/>
  <c r="J13069" i="1"/>
  <c r="J13068" i="1"/>
  <c r="J13067" i="1"/>
  <c r="J13066" i="1"/>
  <c r="J13065" i="1"/>
  <c r="J13064" i="1"/>
  <c r="J13063" i="1"/>
  <c r="J13062" i="1"/>
  <c r="J13061" i="1"/>
  <c r="J13060" i="1"/>
  <c r="J13059" i="1"/>
  <c r="J13058" i="1"/>
  <c r="J13057" i="1"/>
  <c r="J13056" i="1"/>
  <c r="J13055" i="1"/>
  <c r="J13054" i="1"/>
  <c r="J13053" i="1"/>
  <c r="J13052" i="1"/>
  <c r="J13051" i="1"/>
  <c r="J13050" i="1"/>
  <c r="J13049" i="1"/>
  <c r="J13048" i="1"/>
  <c r="J13047" i="1"/>
  <c r="J13046" i="1"/>
  <c r="J13045" i="1"/>
  <c r="J13044" i="1"/>
  <c r="J13043" i="1"/>
  <c r="J13042" i="1"/>
  <c r="J13041" i="1"/>
  <c r="J13040" i="1"/>
  <c r="J13039" i="1"/>
  <c r="J13038" i="1"/>
  <c r="J13037" i="1"/>
  <c r="J13036" i="1"/>
  <c r="J13035" i="1"/>
  <c r="J13034" i="1"/>
  <c r="J13033" i="1"/>
  <c r="J13032" i="1"/>
  <c r="J13031" i="1"/>
  <c r="J13030" i="1"/>
  <c r="J13029" i="1"/>
  <c r="J13028" i="1"/>
  <c r="J13027" i="1"/>
  <c r="J13026" i="1"/>
  <c r="J13025" i="1"/>
  <c r="J13024" i="1"/>
  <c r="J13023" i="1"/>
  <c r="J13022" i="1"/>
  <c r="J13021" i="1"/>
  <c r="J13020" i="1"/>
  <c r="J13019" i="1"/>
  <c r="J13018" i="1"/>
  <c r="J13017" i="1"/>
  <c r="J13016" i="1"/>
  <c r="J13015" i="1"/>
  <c r="J13014" i="1"/>
  <c r="J13013" i="1"/>
  <c r="J13012" i="1"/>
  <c r="J13011" i="1"/>
  <c r="J13010" i="1"/>
  <c r="J13009" i="1"/>
  <c r="J13008" i="1"/>
  <c r="J13007" i="1"/>
  <c r="J13006" i="1"/>
  <c r="J13005" i="1"/>
  <c r="J13004" i="1"/>
  <c r="J13003" i="1"/>
  <c r="J13002" i="1"/>
  <c r="J13001" i="1"/>
  <c r="J13000" i="1"/>
  <c r="J12999" i="1"/>
  <c r="J12998" i="1"/>
  <c r="J12997" i="1"/>
  <c r="J12996" i="1"/>
  <c r="J12995" i="1"/>
  <c r="J12994" i="1"/>
  <c r="J12993" i="1"/>
  <c r="J12992" i="1"/>
  <c r="J12991" i="1"/>
  <c r="J12990" i="1"/>
  <c r="J12989" i="1"/>
  <c r="J12988" i="1"/>
  <c r="J12987" i="1"/>
  <c r="J12986" i="1"/>
  <c r="J12985" i="1"/>
  <c r="J12984" i="1"/>
  <c r="J12983" i="1"/>
  <c r="J12982" i="1"/>
  <c r="J12981" i="1"/>
  <c r="J12980" i="1"/>
  <c r="J12979" i="1"/>
  <c r="J12978" i="1"/>
  <c r="J12977" i="1"/>
  <c r="J12976" i="1"/>
  <c r="J12975" i="1"/>
  <c r="J12974" i="1"/>
  <c r="J12973" i="1"/>
  <c r="J12972" i="1"/>
  <c r="J12971" i="1"/>
  <c r="J12970" i="1"/>
  <c r="J12969" i="1"/>
  <c r="J12968" i="1"/>
  <c r="J12967" i="1"/>
  <c r="J12966" i="1"/>
  <c r="J12965" i="1"/>
  <c r="J12964" i="1"/>
  <c r="J12963" i="1"/>
  <c r="J12962" i="1"/>
  <c r="J12961" i="1"/>
  <c r="J12960" i="1"/>
  <c r="J12959" i="1"/>
  <c r="J12958" i="1"/>
  <c r="J12957" i="1"/>
  <c r="J12956" i="1"/>
  <c r="J12955" i="1"/>
  <c r="J12954" i="1"/>
  <c r="J12953" i="1"/>
  <c r="J12952" i="1"/>
  <c r="J12951" i="1"/>
  <c r="J12950" i="1"/>
  <c r="J12949" i="1"/>
  <c r="J12948" i="1"/>
  <c r="J12947" i="1"/>
  <c r="J12946" i="1"/>
  <c r="J12945" i="1"/>
  <c r="J12944" i="1"/>
  <c r="J12943" i="1"/>
  <c r="J12942" i="1"/>
  <c r="J12941" i="1"/>
  <c r="J12940" i="1"/>
  <c r="J12939" i="1"/>
  <c r="J12938" i="1"/>
  <c r="J12937" i="1"/>
  <c r="J12936" i="1"/>
  <c r="J12935" i="1"/>
  <c r="J12934" i="1"/>
  <c r="J12933" i="1"/>
  <c r="J12932" i="1"/>
  <c r="J12931" i="1"/>
  <c r="J12930" i="1"/>
  <c r="J12929" i="1"/>
  <c r="J12928" i="1"/>
  <c r="J12927" i="1"/>
  <c r="J12926" i="1"/>
  <c r="J12925" i="1"/>
  <c r="J12924" i="1"/>
  <c r="J12923" i="1"/>
  <c r="J12922" i="1"/>
  <c r="J12921" i="1"/>
  <c r="J12920" i="1"/>
  <c r="J12919" i="1"/>
  <c r="J12918" i="1"/>
  <c r="J12917" i="1"/>
  <c r="J12916" i="1"/>
  <c r="J12915" i="1"/>
  <c r="J12914" i="1"/>
  <c r="J12913" i="1"/>
  <c r="J12912" i="1"/>
  <c r="J12911" i="1"/>
  <c r="J12910" i="1"/>
  <c r="J12909" i="1"/>
  <c r="J12908" i="1"/>
  <c r="J12907" i="1"/>
  <c r="J12906" i="1"/>
  <c r="J12905" i="1"/>
  <c r="J12904" i="1"/>
  <c r="J12903" i="1"/>
  <c r="J12902" i="1"/>
  <c r="J12901" i="1"/>
  <c r="J12900" i="1"/>
  <c r="J12899" i="1"/>
  <c r="J12898" i="1"/>
  <c r="J12897" i="1"/>
  <c r="J12896" i="1"/>
  <c r="J12895" i="1"/>
  <c r="J12894" i="1"/>
  <c r="J12893" i="1"/>
  <c r="J12892" i="1"/>
  <c r="J12891" i="1"/>
  <c r="J12890" i="1"/>
  <c r="J12889" i="1"/>
  <c r="J12888" i="1"/>
  <c r="J12887" i="1"/>
  <c r="J12886" i="1"/>
  <c r="J12885" i="1"/>
  <c r="J12884" i="1"/>
  <c r="J12883" i="1"/>
  <c r="J12882" i="1"/>
  <c r="J12881" i="1"/>
  <c r="J12880" i="1"/>
  <c r="J12879" i="1"/>
  <c r="J12878" i="1"/>
  <c r="J12877" i="1"/>
  <c r="J12876" i="1"/>
  <c r="J12875" i="1"/>
  <c r="J12874" i="1"/>
  <c r="J12873" i="1"/>
  <c r="J12872" i="1"/>
  <c r="J12871" i="1"/>
  <c r="J12870" i="1"/>
  <c r="J12869" i="1"/>
  <c r="J12868" i="1"/>
  <c r="J12867" i="1"/>
  <c r="J12866" i="1"/>
  <c r="J12865" i="1"/>
  <c r="J12864" i="1"/>
  <c r="J12863" i="1"/>
  <c r="J12862" i="1"/>
  <c r="J12861" i="1"/>
  <c r="J12860" i="1"/>
  <c r="J12859" i="1"/>
  <c r="J12858" i="1"/>
  <c r="J12857" i="1"/>
  <c r="J12856" i="1"/>
  <c r="J12855" i="1"/>
  <c r="J12854" i="1"/>
  <c r="J12853" i="1"/>
  <c r="J12852" i="1"/>
  <c r="J12851" i="1"/>
  <c r="J12850" i="1"/>
  <c r="J12849" i="1"/>
  <c r="J12848" i="1"/>
  <c r="J12847" i="1"/>
  <c r="J12846" i="1"/>
  <c r="J12845" i="1"/>
  <c r="J12844" i="1"/>
  <c r="J12843" i="1"/>
  <c r="J12842" i="1"/>
  <c r="J12841" i="1"/>
  <c r="J12840" i="1"/>
  <c r="J12839" i="1"/>
  <c r="J12838" i="1"/>
  <c r="J12837" i="1"/>
  <c r="J12836" i="1"/>
  <c r="J12835" i="1"/>
  <c r="J12834" i="1"/>
  <c r="J12833" i="1"/>
  <c r="J12832" i="1"/>
  <c r="J12831" i="1"/>
  <c r="J12830" i="1"/>
  <c r="J12829" i="1"/>
  <c r="J12828" i="1"/>
  <c r="J12827" i="1"/>
  <c r="J12826" i="1"/>
  <c r="J12825" i="1"/>
  <c r="J12824" i="1"/>
  <c r="J12823" i="1"/>
  <c r="J12822" i="1"/>
  <c r="J12821" i="1"/>
  <c r="J12820" i="1"/>
  <c r="J12819" i="1"/>
  <c r="J12818" i="1"/>
  <c r="J12817" i="1"/>
  <c r="J12816" i="1"/>
  <c r="J12815" i="1"/>
  <c r="J12814" i="1"/>
  <c r="J12813" i="1"/>
  <c r="J12812" i="1"/>
  <c r="J12811" i="1"/>
  <c r="J12810" i="1"/>
  <c r="J12809" i="1"/>
  <c r="J12808" i="1"/>
  <c r="J12807" i="1"/>
  <c r="J12806" i="1"/>
  <c r="J12805" i="1"/>
  <c r="J12804" i="1"/>
  <c r="J12803" i="1"/>
  <c r="J12802" i="1"/>
  <c r="J12801" i="1"/>
  <c r="J12800" i="1"/>
  <c r="J12799" i="1"/>
  <c r="J12798" i="1"/>
  <c r="J12797" i="1"/>
  <c r="J12796" i="1"/>
  <c r="J12795" i="1"/>
  <c r="J12794" i="1"/>
  <c r="J12793" i="1"/>
  <c r="J12792" i="1"/>
  <c r="J12791" i="1"/>
  <c r="J12790" i="1"/>
  <c r="J12789" i="1"/>
  <c r="J12788" i="1"/>
  <c r="J12787" i="1"/>
  <c r="J12786" i="1"/>
  <c r="J12785" i="1"/>
  <c r="J12784" i="1"/>
  <c r="J12783" i="1"/>
  <c r="J12782" i="1"/>
  <c r="J12781" i="1"/>
  <c r="J12780" i="1"/>
  <c r="J12779" i="1"/>
  <c r="J12778" i="1"/>
  <c r="J12777" i="1"/>
  <c r="J12776" i="1"/>
  <c r="J12775" i="1"/>
  <c r="J12774" i="1"/>
  <c r="J12773" i="1"/>
  <c r="J12772" i="1"/>
  <c r="J12771" i="1"/>
  <c r="J12770" i="1"/>
  <c r="J12769" i="1"/>
  <c r="J12768" i="1"/>
  <c r="J12767" i="1"/>
  <c r="J12766" i="1"/>
  <c r="J12765" i="1"/>
  <c r="J12764" i="1"/>
  <c r="J12763" i="1"/>
  <c r="J12762" i="1"/>
  <c r="J12761" i="1"/>
  <c r="J12760" i="1"/>
  <c r="J12759" i="1"/>
  <c r="J12758" i="1"/>
  <c r="J12757" i="1"/>
  <c r="J12756" i="1"/>
  <c r="J12755" i="1"/>
  <c r="J12754" i="1"/>
  <c r="J12753" i="1"/>
  <c r="J12752" i="1"/>
  <c r="J12751" i="1"/>
  <c r="J12750" i="1"/>
  <c r="J12749" i="1"/>
  <c r="J12748" i="1"/>
  <c r="J12747" i="1"/>
  <c r="J12746" i="1"/>
  <c r="J12745" i="1"/>
  <c r="J12744" i="1"/>
  <c r="J12743" i="1"/>
  <c r="J12742" i="1"/>
  <c r="J12741" i="1"/>
  <c r="J12740" i="1"/>
  <c r="J12739" i="1"/>
  <c r="J12738" i="1"/>
  <c r="J12737" i="1"/>
  <c r="J12736" i="1"/>
  <c r="J12735" i="1"/>
  <c r="J12734" i="1"/>
  <c r="J12733" i="1"/>
  <c r="J12732" i="1"/>
  <c r="J12731" i="1"/>
  <c r="J12730" i="1"/>
  <c r="J12729" i="1"/>
  <c r="J12728" i="1"/>
  <c r="J12727" i="1"/>
  <c r="J12726" i="1"/>
  <c r="J12725" i="1"/>
  <c r="J12724" i="1"/>
  <c r="J12723" i="1"/>
  <c r="J12722" i="1"/>
  <c r="J12721" i="1"/>
  <c r="J12720" i="1"/>
  <c r="J12719" i="1"/>
  <c r="J12718" i="1"/>
  <c r="J12717" i="1"/>
  <c r="J12716" i="1"/>
  <c r="J12715" i="1"/>
  <c r="J12714" i="1"/>
  <c r="J12713" i="1"/>
  <c r="J12712" i="1"/>
  <c r="J12711" i="1"/>
  <c r="J12710" i="1"/>
  <c r="J12709" i="1"/>
  <c r="J12708" i="1"/>
  <c r="J12707" i="1"/>
  <c r="J12706" i="1"/>
  <c r="J12705" i="1"/>
  <c r="J12704" i="1"/>
  <c r="J12703" i="1"/>
  <c r="J12702" i="1"/>
  <c r="J12701" i="1"/>
  <c r="J12700" i="1"/>
  <c r="J12699" i="1"/>
  <c r="J12698" i="1"/>
  <c r="J12697" i="1"/>
  <c r="J12696" i="1"/>
  <c r="J12695" i="1"/>
  <c r="J12694" i="1"/>
  <c r="J12693" i="1"/>
  <c r="J12692" i="1"/>
  <c r="J12691" i="1"/>
  <c r="J12690" i="1"/>
  <c r="J12689" i="1"/>
  <c r="J12688" i="1"/>
  <c r="J12687" i="1"/>
  <c r="J12686" i="1"/>
  <c r="J12685" i="1"/>
  <c r="J12684" i="1"/>
  <c r="J12683" i="1"/>
  <c r="J12682" i="1"/>
  <c r="J12681" i="1"/>
  <c r="J12680" i="1"/>
  <c r="J12679" i="1"/>
  <c r="J12678" i="1"/>
  <c r="J12677" i="1"/>
  <c r="J12676" i="1"/>
  <c r="J12675" i="1"/>
  <c r="J12674" i="1"/>
  <c r="J12673" i="1"/>
  <c r="J12672" i="1"/>
  <c r="J12671" i="1"/>
  <c r="J12670" i="1"/>
  <c r="J12669" i="1"/>
  <c r="J12668" i="1"/>
  <c r="J12667" i="1"/>
  <c r="J12666" i="1"/>
  <c r="J12665" i="1"/>
  <c r="J12664" i="1"/>
  <c r="J12663" i="1"/>
  <c r="J12662" i="1"/>
  <c r="J12661" i="1"/>
  <c r="J12660" i="1"/>
  <c r="J12659" i="1"/>
  <c r="J12658" i="1"/>
  <c r="J12657" i="1"/>
  <c r="J12656" i="1"/>
  <c r="J12655" i="1"/>
  <c r="J12654" i="1"/>
  <c r="J12653" i="1"/>
  <c r="J12652" i="1"/>
  <c r="J12651" i="1"/>
  <c r="J12650" i="1"/>
  <c r="J12649" i="1"/>
  <c r="J12648" i="1"/>
  <c r="J12647" i="1"/>
  <c r="J12646" i="1"/>
  <c r="J12645" i="1"/>
  <c r="J12644" i="1"/>
  <c r="J12643" i="1"/>
  <c r="J12642" i="1"/>
  <c r="J12641" i="1"/>
  <c r="J12640" i="1"/>
  <c r="J12639" i="1"/>
  <c r="J12638" i="1"/>
  <c r="J12637" i="1"/>
  <c r="J12636" i="1"/>
  <c r="J12635" i="1"/>
  <c r="J12634" i="1"/>
  <c r="J12633" i="1"/>
  <c r="J12632" i="1"/>
  <c r="J12631" i="1"/>
  <c r="J12630" i="1"/>
  <c r="J12629" i="1"/>
  <c r="J12628" i="1"/>
  <c r="J12627" i="1"/>
  <c r="J12626" i="1"/>
  <c r="J12625" i="1"/>
  <c r="J12624" i="1"/>
  <c r="J12623" i="1"/>
  <c r="J12622" i="1"/>
  <c r="J12621" i="1"/>
  <c r="J12620" i="1"/>
  <c r="J12619" i="1"/>
  <c r="J12618" i="1"/>
  <c r="J12617" i="1"/>
  <c r="J12616" i="1"/>
  <c r="J12615" i="1"/>
  <c r="J12614" i="1"/>
  <c r="J12613" i="1"/>
  <c r="J12612" i="1"/>
  <c r="J12611" i="1"/>
  <c r="J12610" i="1"/>
  <c r="J12609" i="1"/>
  <c r="J12608" i="1"/>
  <c r="J12607" i="1"/>
  <c r="J12606" i="1"/>
  <c r="J12605" i="1"/>
  <c r="J12604" i="1"/>
  <c r="J12603" i="1"/>
  <c r="J12602" i="1"/>
  <c r="J12601" i="1"/>
  <c r="J12600" i="1"/>
  <c r="J12599" i="1"/>
  <c r="J12598" i="1"/>
  <c r="J12597" i="1"/>
  <c r="J12596" i="1"/>
  <c r="J12595" i="1"/>
  <c r="J12594" i="1"/>
  <c r="J12593" i="1"/>
  <c r="J12592" i="1"/>
  <c r="J12591" i="1"/>
  <c r="J12590" i="1"/>
  <c r="J12589" i="1"/>
  <c r="J12588" i="1"/>
  <c r="J12587" i="1"/>
  <c r="J12586" i="1"/>
  <c r="J12585" i="1"/>
  <c r="J12584" i="1"/>
  <c r="J12583" i="1"/>
  <c r="J12582" i="1"/>
  <c r="J12581" i="1"/>
  <c r="J12580" i="1"/>
  <c r="J12579" i="1"/>
  <c r="J12578" i="1"/>
  <c r="J12577" i="1"/>
  <c r="J12576" i="1"/>
  <c r="J12575" i="1"/>
  <c r="J12574" i="1"/>
  <c r="J12573" i="1"/>
  <c r="J12572" i="1"/>
  <c r="J12571" i="1"/>
  <c r="J12570" i="1"/>
  <c r="J12569" i="1"/>
  <c r="J12568" i="1"/>
  <c r="J12567" i="1"/>
  <c r="J12566" i="1"/>
  <c r="J12565" i="1"/>
  <c r="J12564" i="1"/>
  <c r="J12563" i="1"/>
  <c r="J12562" i="1"/>
  <c r="J12561" i="1"/>
  <c r="J12560" i="1"/>
  <c r="J12559" i="1"/>
  <c r="J12558" i="1"/>
  <c r="J12557" i="1"/>
  <c r="J12556" i="1"/>
  <c r="J12555" i="1"/>
  <c r="J12554" i="1"/>
  <c r="J12553" i="1"/>
  <c r="J12552" i="1"/>
  <c r="J12551" i="1"/>
  <c r="J12550" i="1"/>
  <c r="J12549" i="1"/>
  <c r="J12548" i="1"/>
  <c r="J12547" i="1"/>
  <c r="J12546" i="1"/>
  <c r="J12545" i="1"/>
  <c r="J12544" i="1"/>
  <c r="J12543" i="1"/>
  <c r="J12542" i="1"/>
  <c r="J12541" i="1"/>
  <c r="J12540" i="1"/>
  <c r="J12539" i="1"/>
  <c r="J12538" i="1"/>
  <c r="J12537" i="1"/>
  <c r="J12536" i="1"/>
  <c r="J12535" i="1"/>
  <c r="J12534" i="1"/>
  <c r="J12533" i="1"/>
  <c r="J12532" i="1"/>
  <c r="J12531" i="1"/>
  <c r="J12530" i="1"/>
  <c r="J12529" i="1"/>
  <c r="J12528" i="1"/>
  <c r="J12527" i="1"/>
  <c r="J12526" i="1"/>
  <c r="J12525" i="1"/>
  <c r="J12524" i="1"/>
  <c r="J12523" i="1"/>
  <c r="J12522" i="1"/>
  <c r="J12521" i="1"/>
  <c r="J12520" i="1"/>
  <c r="J12519" i="1"/>
  <c r="J12518" i="1"/>
  <c r="J12517" i="1"/>
  <c r="J12516" i="1"/>
  <c r="J12515" i="1"/>
  <c r="J12514" i="1"/>
  <c r="J12513" i="1"/>
  <c r="J12512" i="1"/>
  <c r="J12511" i="1"/>
  <c r="J12510" i="1"/>
  <c r="J12509" i="1"/>
  <c r="J12508" i="1"/>
  <c r="J12507" i="1"/>
  <c r="J12506" i="1"/>
  <c r="J12505" i="1"/>
  <c r="J12504" i="1"/>
  <c r="J12503" i="1"/>
  <c r="J12502" i="1"/>
  <c r="J12501" i="1"/>
  <c r="J12500" i="1"/>
  <c r="J12499" i="1"/>
  <c r="J12498" i="1"/>
  <c r="J12497" i="1"/>
  <c r="J12496" i="1"/>
  <c r="J12495" i="1"/>
  <c r="J12494" i="1"/>
  <c r="J12493" i="1"/>
  <c r="J12492" i="1"/>
  <c r="J12491" i="1"/>
  <c r="J12490" i="1"/>
  <c r="J12489" i="1"/>
  <c r="J12488" i="1"/>
  <c r="J12487" i="1"/>
  <c r="J12486" i="1"/>
  <c r="J12485" i="1"/>
  <c r="J12484" i="1"/>
  <c r="J12483" i="1"/>
  <c r="J12482" i="1"/>
  <c r="J12481" i="1"/>
  <c r="J12480" i="1"/>
  <c r="J12479" i="1"/>
  <c r="J12478" i="1"/>
  <c r="J12477" i="1"/>
  <c r="J12476" i="1"/>
  <c r="J12475" i="1"/>
  <c r="J12474" i="1"/>
  <c r="J12473" i="1"/>
  <c r="J12472" i="1"/>
  <c r="J12471" i="1"/>
  <c r="J12470" i="1"/>
  <c r="J12469" i="1"/>
  <c r="J12468" i="1"/>
  <c r="J12467" i="1"/>
  <c r="J12466" i="1"/>
  <c r="J12465" i="1"/>
  <c r="J12464" i="1"/>
  <c r="J12463" i="1"/>
  <c r="J12462" i="1"/>
  <c r="J12461" i="1"/>
  <c r="J12460" i="1"/>
  <c r="J12459" i="1"/>
  <c r="J12458" i="1"/>
  <c r="J12457" i="1"/>
  <c r="J12456" i="1"/>
  <c r="J12455" i="1"/>
  <c r="J12454" i="1"/>
  <c r="J12453" i="1"/>
  <c r="J12452" i="1"/>
  <c r="J12451" i="1"/>
  <c r="J12450" i="1"/>
  <c r="J12449" i="1"/>
  <c r="J12448" i="1"/>
  <c r="J12447" i="1"/>
  <c r="J12446" i="1"/>
  <c r="J12445" i="1"/>
  <c r="J12444" i="1"/>
  <c r="J12443" i="1"/>
  <c r="J12442" i="1"/>
  <c r="J12441" i="1"/>
  <c r="J12440" i="1"/>
  <c r="J12439" i="1"/>
  <c r="J12438" i="1"/>
  <c r="J12437" i="1"/>
  <c r="J12436" i="1"/>
  <c r="J12435" i="1"/>
  <c r="J12434" i="1"/>
  <c r="J12433" i="1"/>
  <c r="J12432" i="1"/>
  <c r="J12431" i="1"/>
  <c r="J12430" i="1"/>
  <c r="J12429" i="1"/>
  <c r="J12428" i="1"/>
  <c r="J12427" i="1"/>
  <c r="J12426" i="1"/>
  <c r="J12425" i="1"/>
  <c r="J12424" i="1"/>
  <c r="J12423" i="1"/>
  <c r="J12422" i="1"/>
  <c r="J12421" i="1"/>
  <c r="J12420" i="1"/>
  <c r="J12419" i="1"/>
  <c r="J12418" i="1"/>
  <c r="J12417" i="1"/>
  <c r="J12416" i="1"/>
  <c r="J12415" i="1"/>
  <c r="J12414" i="1"/>
  <c r="J12413" i="1"/>
  <c r="J12412" i="1"/>
  <c r="J12411" i="1"/>
  <c r="J12410" i="1"/>
  <c r="J12409" i="1"/>
  <c r="J12408" i="1"/>
  <c r="J12407" i="1"/>
  <c r="J12406" i="1"/>
  <c r="J12405" i="1"/>
  <c r="J12404" i="1"/>
  <c r="J12403" i="1"/>
  <c r="J12402" i="1"/>
  <c r="J12401" i="1"/>
  <c r="J12400" i="1"/>
  <c r="J12399" i="1"/>
  <c r="J12398" i="1"/>
  <c r="J12397" i="1"/>
  <c r="J12396" i="1"/>
  <c r="J12395" i="1"/>
  <c r="J12394" i="1"/>
  <c r="J12393" i="1"/>
  <c r="J12392" i="1"/>
  <c r="J12391" i="1"/>
  <c r="J12390" i="1"/>
  <c r="J12389" i="1"/>
  <c r="J12388" i="1"/>
  <c r="J12387" i="1"/>
  <c r="J12386" i="1"/>
  <c r="J12385" i="1"/>
  <c r="J12384" i="1"/>
  <c r="J12383" i="1"/>
  <c r="J12382" i="1"/>
  <c r="J12381" i="1"/>
  <c r="J12380" i="1"/>
  <c r="J12379" i="1"/>
  <c r="J12378" i="1"/>
  <c r="J12377" i="1"/>
  <c r="J12376" i="1"/>
  <c r="J12375" i="1"/>
  <c r="J12374" i="1"/>
  <c r="J12373" i="1"/>
  <c r="J12372" i="1"/>
  <c r="J12371" i="1"/>
  <c r="J12370" i="1"/>
  <c r="J12369" i="1"/>
  <c r="J12368" i="1"/>
  <c r="J12367" i="1"/>
  <c r="J12366" i="1"/>
  <c r="J12365" i="1"/>
  <c r="J12364" i="1"/>
  <c r="J12363" i="1"/>
  <c r="J12362" i="1"/>
  <c r="J12361" i="1"/>
  <c r="J12360" i="1"/>
  <c r="J12359" i="1"/>
  <c r="J12358" i="1"/>
  <c r="J12357" i="1"/>
  <c r="J12356" i="1"/>
  <c r="J12355" i="1"/>
  <c r="J12354" i="1"/>
  <c r="J12353" i="1"/>
  <c r="J12352" i="1"/>
  <c r="J12351" i="1"/>
  <c r="J12350" i="1"/>
  <c r="J12349" i="1"/>
  <c r="J12348" i="1"/>
  <c r="J12347" i="1"/>
  <c r="J12346" i="1"/>
  <c r="J12345" i="1"/>
  <c r="J12344" i="1"/>
  <c r="J12343" i="1"/>
  <c r="J12342" i="1"/>
  <c r="J12341" i="1"/>
  <c r="J12340" i="1"/>
  <c r="J12339" i="1"/>
  <c r="J12338" i="1"/>
  <c r="J12337" i="1"/>
  <c r="J12336" i="1"/>
  <c r="J12335" i="1"/>
  <c r="J12334" i="1"/>
  <c r="J12333" i="1"/>
  <c r="J12332" i="1"/>
  <c r="J12331" i="1"/>
  <c r="J12330" i="1"/>
  <c r="J12329" i="1"/>
  <c r="J12328" i="1"/>
  <c r="J12327" i="1"/>
  <c r="J12326" i="1"/>
  <c r="J12325" i="1"/>
  <c r="J12324" i="1"/>
  <c r="J12323" i="1"/>
  <c r="J12322" i="1"/>
  <c r="J12321" i="1"/>
  <c r="J12320" i="1"/>
  <c r="J12319" i="1"/>
  <c r="J12318" i="1"/>
  <c r="J12317" i="1"/>
  <c r="J12316" i="1"/>
  <c r="J12315" i="1"/>
  <c r="J12314" i="1"/>
  <c r="J12313" i="1"/>
  <c r="J12312" i="1"/>
  <c r="J12311" i="1"/>
  <c r="J12310" i="1"/>
  <c r="J12309" i="1"/>
  <c r="J12308" i="1"/>
  <c r="J12307" i="1"/>
  <c r="J12306" i="1"/>
  <c r="J12305" i="1"/>
  <c r="J12304" i="1"/>
  <c r="J12303" i="1"/>
  <c r="J12302" i="1"/>
  <c r="J12301" i="1"/>
  <c r="J12300" i="1"/>
  <c r="J12299" i="1"/>
  <c r="J12298" i="1"/>
  <c r="J12297" i="1"/>
  <c r="J12296" i="1"/>
  <c r="J12295" i="1"/>
  <c r="J12294" i="1"/>
  <c r="J12293" i="1"/>
  <c r="J12292" i="1"/>
  <c r="J12291" i="1"/>
  <c r="J12290" i="1"/>
  <c r="J12289" i="1"/>
  <c r="J12288" i="1"/>
  <c r="J12287" i="1"/>
  <c r="J12286" i="1"/>
  <c r="J12285" i="1"/>
  <c r="J12284" i="1"/>
  <c r="J12283" i="1"/>
  <c r="J12282" i="1"/>
  <c r="J12281" i="1"/>
  <c r="J12280" i="1"/>
  <c r="J12279" i="1"/>
  <c r="J12278" i="1"/>
  <c r="J12277" i="1"/>
  <c r="J12276" i="1"/>
  <c r="J12275" i="1"/>
  <c r="J12274" i="1"/>
  <c r="J12273" i="1"/>
  <c r="J12272" i="1"/>
  <c r="J12271" i="1"/>
  <c r="J12270" i="1"/>
  <c r="J12269" i="1"/>
  <c r="J12268" i="1"/>
  <c r="J12267" i="1"/>
  <c r="J12266" i="1"/>
  <c r="J12265" i="1"/>
  <c r="J12264" i="1"/>
  <c r="J12263" i="1"/>
  <c r="J12262" i="1"/>
  <c r="J12261" i="1"/>
  <c r="J12260" i="1"/>
  <c r="J12259" i="1"/>
  <c r="J12258" i="1"/>
  <c r="J12257" i="1"/>
  <c r="J12256" i="1"/>
  <c r="J12255" i="1"/>
  <c r="J12254" i="1"/>
  <c r="J12253" i="1"/>
  <c r="J12252" i="1"/>
  <c r="J12251" i="1"/>
  <c r="J12250" i="1"/>
  <c r="J12249" i="1"/>
  <c r="J12248" i="1"/>
  <c r="J12247" i="1"/>
  <c r="J12246" i="1"/>
  <c r="J12245" i="1"/>
  <c r="J12244" i="1"/>
  <c r="J12243" i="1"/>
  <c r="J12242" i="1"/>
  <c r="J12241" i="1"/>
  <c r="J12240" i="1"/>
  <c r="J12239" i="1"/>
  <c r="J12238" i="1"/>
  <c r="J12237" i="1"/>
  <c r="J12236" i="1"/>
  <c r="J12235" i="1"/>
  <c r="J12234" i="1"/>
  <c r="J12233" i="1"/>
  <c r="J12232" i="1"/>
  <c r="J12231" i="1"/>
  <c r="J12230" i="1"/>
  <c r="J12229" i="1"/>
  <c r="J12228" i="1"/>
  <c r="J12227" i="1"/>
  <c r="J12226" i="1"/>
  <c r="J12225" i="1"/>
  <c r="J12224" i="1"/>
  <c r="J12223" i="1"/>
  <c r="J12222" i="1"/>
  <c r="J12221" i="1"/>
  <c r="J12220" i="1"/>
  <c r="J12219" i="1"/>
  <c r="J12218" i="1"/>
  <c r="J12217" i="1"/>
  <c r="J12216" i="1"/>
  <c r="J12215" i="1"/>
  <c r="J12214" i="1"/>
  <c r="J12213" i="1"/>
  <c r="J12212" i="1"/>
  <c r="J12211" i="1"/>
  <c r="J12210" i="1"/>
  <c r="J12209" i="1"/>
  <c r="J12208" i="1"/>
  <c r="J12207" i="1"/>
  <c r="J12206" i="1"/>
  <c r="J12205" i="1"/>
  <c r="J12204" i="1"/>
  <c r="J12203" i="1"/>
  <c r="J12202" i="1"/>
  <c r="J12201" i="1"/>
  <c r="J12200" i="1"/>
  <c r="J12199" i="1"/>
  <c r="J12198" i="1"/>
  <c r="J12197" i="1"/>
  <c r="J12196" i="1"/>
  <c r="J12195" i="1"/>
  <c r="J12194" i="1"/>
  <c r="J12193" i="1"/>
  <c r="J12192" i="1"/>
  <c r="J12191" i="1"/>
  <c r="J12190" i="1"/>
  <c r="J12189" i="1"/>
  <c r="J12188" i="1"/>
  <c r="J12187" i="1"/>
  <c r="J12186" i="1"/>
  <c r="J12185" i="1"/>
  <c r="J12184" i="1"/>
  <c r="J12183" i="1"/>
  <c r="J12182" i="1"/>
  <c r="J12181" i="1"/>
  <c r="J12180" i="1"/>
  <c r="J12179" i="1"/>
  <c r="J12178" i="1"/>
  <c r="J12177" i="1"/>
  <c r="J12176" i="1"/>
  <c r="J12175" i="1"/>
  <c r="J12174" i="1"/>
  <c r="J12173" i="1"/>
  <c r="J12172" i="1"/>
  <c r="J12171" i="1"/>
  <c r="J12170" i="1"/>
  <c r="J12169" i="1"/>
  <c r="J12168" i="1"/>
  <c r="J12167" i="1"/>
  <c r="J12166" i="1"/>
  <c r="J12165" i="1"/>
  <c r="J12164" i="1"/>
  <c r="J12163" i="1"/>
  <c r="J12162" i="1"/>
  <c r="J12161" i="1"/>
  <c r="J12160" i="1"/>
  <c r="J12159" i="1"/>
  <c r="J12158" i="1"/>
  <c r="J12157" i="1"/>
  <c r="J12156" i="1"/>
  <c r="J12155" i="1"/>
  <c r="J12154" i="1"/>
  <c r="J12153" i="1"/>
  <c r="J12152" i="1"/>
  <c r="J12151" i="1"/>
  <c r="J12150" i="1"/>
  <c r="J12149" i="1"/>
  <c r="J12148" i="1"/>
  <c r="J12147" i="1"/>
  <c r="J12146" i="1"/>
  <c r="J12145" i="1"/>
  <c r="J12144" i="1"/>
  <c r="J12143" i="1"/>
  <c r="J12142" i="1"/>
  <c r="J12141" i="1"/>
  <c r="J12140" i="1"/>
  <c r="J12139" i="1"/>
  <c r="J12138" i="1"/>
  <c r="J12137" i="1"/>
  <c r="J12136" i="1"/>
  <c r="J12135" i="1"/>
  <c r="J12134" i="1"/>
  <c r="J12133" i="1"/>
  <c r="J12132" i="1"/>
  <c r="J12131" i="1"/>
  <c r="J12130" i="1"/>
  <c r="J12129" i="1"/>
  <c r="J12128" i="1"/>
  <c r="J12127" i="1"/>
  <c r="J12126" i="1"/>
  <c r="J12125" i="1"/>
  <c r="J12124" i="1"/>
  <c r="J12123" i="1"/>
  <c r="J12122" i="1"/>
  <c r="J12121" i="1"/>
  <c r="J12120" i="1"/>
  <c r="J12119" i="1"/>
  <c r="J12118" i="1"/>
  <c r="J12117" i="1"/>
  <c r="J12116" i="1"/>
  <c r="J12115" i="1"/>
  <c r="J12114" i="1"/>
  <c r="J12113" i="1"/>
  <c r="J12112" i="1"/>
  <c r="J12111" i="1"/>
  <c r="J12110" i="1"/>
  <c r="J12109" i="1"/>
  <c r="J12108" i="1"/>
  <c r="J12107" i="1"/>
  <c r="J12106" i="1"/>
  <c r="J12105" i="1"/>
  <c r="J12104" i="1"/>
  <c r="J12103" i="1"/>
  <c r="J12102" i="1"/>
  <c r="J12101" i="1"/>
  <c r="J12100" i="1"/>
  <c r="J12099" i="1"/>
  <c r="J12098" i="1"/>
  <c r="J12097" i="1"/>
  <c r="J12096" i="1"/>
  <c r="J12095" i="1"/>
  <c r="J12094" i="1"/>
  <c r="J12093" i="1"/>
  <c r="J12092" i="1"/>
  <c r="J12091" i="1"/>
  <c r="J12090" i="1"/>
  <c r="J12089" i="1"/>
  <c r="J12088" i="1"/>
  <c r="J12087" i="1"/>
  <c r="J12086" i="1"/>
  <c r="J12085" i="1"/>
  <c r="J12084" i="1"/>
  <c r="J12083" i="1"/>
  <c r="J12082" i="1"/>
  <c r="J12081" i="1"/>
  <c r="J12080" i="1"/>
  <c r="J12079" i="1"/>
  <c r="J12078" i="1"/>
  <c r="J12077" i="1"/>
  <c r="J12076" i="1"/>
  <c r="J12075" i="1"/>
  <c r="J12074" i="1"/>
  <c r="J12073" i="1"/>
  <c r="J12072" i="1"/>
  <c r="J12071" i="1"/>
  <c r="J12070" i="1"/>
  <c r="J12069" i="1"/>
  <c r="J12068" i="1"/>
  <c r="J12067" i="1"/>
  <c r="J12066" i="1"/>
  <c r="J12065" i="1"/>
  <c r="J12064" i="1"/>
  <c r="J12063" i="1"/>
  <c r="J12062" i="1"/>
  <c r="J12061" i="1"/>
  <c r="J12060" i="1"/>
  <c r="J12059" i="1"/>
  <c r="J12058" i="1"/>
  <c r="J12057" i="1"/>
  <c r="J12056" i="1"/>
  <c r="J12055" i="1"/>
  <c r="J12054" i="1"/>
  <c r="J12053" i="1"/>
  <c r="J12052" i="1"/>
  <c r="J12051" i="1"/>
  <c r="J12050" i="1"/>
  <c r="J12049" i="1"/>
  <c r="J12048" i="1"/>
  <c r="J12047" i="1"/>
  <c r="J12046" i="1"/>
  <c r="J12045" i="1"/>
  <c r="J12044" i="1"/>
  <c r="J12043" i="1"/>
  <c r="J12042" i="1"/>
  <c r="J12041" i="1"/>
  <c r="J12040" i="1"/>
  <c r="J12039" i="1"/>
  <c r="J12038" i="1"/>
  <c r="J12037" i="1"/>
  <c r="J12036" i="1"/>
  <c r="J12035" i="1"/>
  <c r="J12034" i="1"/>
  <c r="J12033" i="1"/>
  <c r="J12032" i="1"/>
  <c r="J12031" i="1"/>
  <c r="J12030" i="1"/>
  <c r="J12029" i="1"/>
  <c r="J12028" i="1"/>
  <c r="J12027" i="1"/>
  <c r="J12026" i="1"/>
  <c r="J12025" i="1"/>
  <c r="J12024" i="1"/>
  <c r="J12023" i="1"/>
  <c r="J12022" i="1"/>
  <c r="J12021" i="1"/>
  <c r="J12020" i="1"/>
  <c r="J12019" i="1"/>
  <c r="J12018" i="1"/>
  <c r="J12017" i="1"/>
  <c r="J12016" i="1"/>
  <c r="J12015" i="1"/>
  <c r="J12014" i="1"/>
  <c r="J12013" i="1"/>
  <c r="J12012" i="1"/>
  <c r="J12011" i="1"/>
  <c r="J12010" i="1"/>
  <c r="J12009" i="1"/>
  <c r="J12008" i="1"/>
  <c r="J12007" i="1"/>
  <c r="J12006" i="1"/>
  <c r="J12005" i="1"/>
  <c r="J12004" i="1"/>
  <c r="J12003" i="1"/>
  <c r="J12002" i="1"/>
  <c r="J12001" i="1"/>
  <c r="J12000" i="1"/>
  <c r="J11999" i="1"/>
  <c r="J11998" i="1"/>
  <c r="J11997" i="1"/>
  <c r="J11996" i="1"/>
  <c r="J11995" i="1"/>
  <c r="J11994" i="1"/>
  <c r="J11993" i="1"/>
  <c r="J11992" i="1"/>
  <c r="J11991" i="1"/>
  <c r="J11990" i="1"/>
  <c r="J11989" i="1"/>
  <c r="J11988" i="1"/>
  <c r="J11987" i="1"/>
  <c r="J11986" i="1"/>
  <c r="J11985" i="1"/>
  <c r="J11984" i="1"/>
  <c r="J11983" i="1"/>
  <c r="J11982" i="1"/>
  <c r="J11981" i="1"/>
  <c r="J11980" i="1"/>
  <c r="J11979" i="1"/>
  <c r="J11978" i="1"/>
  <c r="J11977" i="1"/>
  <c r="J11976" i="1"/>
  <c r="J11975" i="1"/>
  <c r="J11974" i="1"/>
  <c r="J11973" i="1"/>
  <c r="J11972" i="1"/>
  <c r="J11971" i="1"/>
  <c r="J11970" i="1"/>
  <c r="J11969" i="1"/>
  <c r="J11968" i="1"/>
  <c r="J11967" i="1"/>
  <c r="J11966" i="1"/>
  <c r="J11965" i="1"/>
  <c r="J11964" i="1"/>
  <c r="J11963" i="1"/>
  <c r="J11962" i="1"/>
  <c r="J11961" i="1"/>
  <c r="J11960" i="1"/>
  <c r="J11959" i="1"/>
  <c r="J11958" i="1"/>
  <c r="J11957" i="1"/>
  <c r="J11956" i="1"/>
  <c r="J11955" i="1"/>
  <c r="J11954" i="1"/>
  <c r="J11953" i="1"/>
  <c r="J11952" i="1"/>
  <c r="J11951" i="1"/>
  <c r="J11950" i="1"/>
  <c r="J11949" i="1"/>
  <c r="J11948" i="1"/>
  <c r="J11947" i="1"/>
  <c r="J11946" i="1"/>
  <c r="J11945" i="1"/>
  <c r="J11944" i="1"/>
  <c r="J11943" i="1"/>
  <c r="J11942" i="1"/>
  <c r="J11941" i="1"/>
  <c r="J11940" i="1"/>
  <c r="J11939" i="1"/>
  <c r="J11938" i="1"/>
  <c r="J11937" i="1"/>
  <c r="J11936" i="1"/>
  <c r="J11935" i="1"/>
  <c r="J11934" i="1"/>
  <c r="J11933" i="1"/>
  <c r="J11932" i="1"/>
  <c r="J11931" i="1"/>
  <c r="J11930" i="1"/>
  <c r="J11929" i="1"/>
  <c r="J11928" i="1"/>
  <c r="J11927" i="1"/>
  <c r="J11926" i="1"/>
  <c r="J11925" i="1"/>
  <c r="J11924" i="1"/>
  <c r="J11923" i="1"/>
  <c r="J11922" i="1"/>
  <c r="J11921" i="1"/>
  <c r="J11920" i="1"/>
  <c r="J11919" i="1"/>
  <c r="J11918" i="1"/>
  <c r="J11917" i="1"/>
  <c r="J11916" i="1"/>
  <c r="J11915" i="1"/>
  <c r="J11914" i="1"/>
  <c r="J11913" i="1"/>
  <c r="J11912" i="1"/>
  <c r="J11911" i="1"/>
  <c r="J11910" i="1"/>
  <c r="J11909" i="1"/>
  <c r="J11908" i="1"/>
  <c r="J11907" i="1"/>
  <c r="J11906" i="1"/>
  <c r="J11905" i="1"/>
  <c r="J11904" i="1"/>
  <c r="J11903" i="1"/>
  <c r="J11902" i="1"/>
  <c r="J11901" i="1"/>
  <c r="J11900" i="1"/>
  <c r="J11899" i="1"/>
  <c r="J11898" i="1"/>
  <c r="J11897" i="1"/>
  <c r="J11896" i="1"/>
  <c r="J11895" i="1"/>
  <c r="J11894" i="1"/>
  <c r="J11893" i="1"/>
  <c r="J11892" i="1"/>
  <c r="J11891" i="1"/>
  <c r="J11890" i="1"/>
  <c r="J11889" i="1"/>
  <c r="J11888" i="1"/>
  <c r="J11887" i="1"/>
  <c r="J11886" i="1"/>
  <c r="J11885" i="1"/>
  <c r="J11884" i="1"/>
  <c r="J11883" i="1"/>
  <c r="J11882" i="1"/>
  <c r="J11881" i="1"/>
  <c r="J11880" i="1"/>
  <c r="J11879" i="1"/>
  <c r="J11878" i="1"/>
  <c r="J11877" i="1"/>
  <c r="J11876" i="1"/>
  <c r="J11875" i="1"/>
  <c r="J11874" i="1"/>
  <c r="J11873" i="1"/>
  <c r="J11872" i="1"/>
  <c r="J11871" i="1"/>
  <c r="J11870" i="1"/>
  <c r="J11869" i="1"/>
  <c r="J11868" i="1"/>
  <c r="J11867" i="1"/>
  <c r="J11866" i="1"/>
  <c r="J11865" i="1"/>
  <c r="J11864" i="1"/>
  <c r="J11863" i="1"/>
  <c r="J11862" i="1"/>
  <c r="J11861" i="1"/>
  <c r="J11860" i="1"/>
  <c r="J11859" i="1"/>
  <c r="J11858" i="1"/>
  <c r="J11857" i="1"/>
  <c r="J11856" i="1"/>
  <c r="J11855" i="1"/>
  <c r="J11854" i="1"/>
  <c r="J11853" i="1"/>
  <c r="J11852" i="1"/>
  <c r="J11851" i="1"/>
  <c r="J11850" i="1"/>
  <c r="J11849" i="1"/>
  <c r="J11848" i="1"/>
  <c r="J11847" i="1"/>
  <c r="J11846" i="1"/>
  <c r="J11845" i="1"/>
  <c r="J11844" i="1"/>
  <c r="J11843" i="1"/>
  <c r="J11842" i="1"/>
  <c r="J11841" i="1"/>
  <c r="J11840" i="1"/>
  <c r="J11839" i="1"/>
  <c r="J11838" i="1"/>
  <c r="J11837" i="1"/>
  <c r="J11836" i="1"/>
  <c r="J11835" i="1"/>
  <c r="J11834" i="1"/>
  <c r="J11833" i="1"/>
  <c r="J11832" i="1"/>
  <c r="J11831" i="1"/>
  <c r="J11830" i="1"/>
  <c r="J11829" i="1"/>
  <c r="J11828" i="1"/>
  <c r="J11827" i="1"/>
  <c r="J11826" i="1"/>
  <c r="J11825" i="1"/>
  <c r="J11824" i="1"/>
  <c r="J11823" i="1"/>
  <c r="J11822" i="1"/>
  <c r="J11821" i="1"/>
  <c r="J11820" i="1"/>
  <c r="J11819" i="1"/>
  <c r="J11818" i="1"/>
  <c r="J11817" i="1"/>
  <c r="J11816" i="1"/>
  <c r="J11815" i="1"/>
  <c r="J11814" i="1"/>
  <c r="J11813" i="1"/>
  <c r="J11812" i="1"/>
  <c r="J11811" i="1"/>
  <c r="J11810" i="1"/>
  <c r="J11809" i="1"/>
  <c r="J11808" i="1"/>
  <c r="J11807" i="1"/>
  <c r="J11806" i="1"/>
  <c r="J11805" i="1"/>
  <c r="J11804" i="1"/>
  <c r="J11803" i="1"/>
  <c r="J11802" i="1"/>
  <c r="J11801" i="1"/>
  <c r="J11800" i="1"/>
  <c r="J11799" i="1"/>
  <c r="J11798" i="1"/>
  <c r="J11797" i="1"/>
  <c r="J11796" i="1"/>
  <c r="J11795" i="1"/>
  <c r="J11794" i="1"/>
  <c r="J11793" i="1"/>
  <c r="J11792" i="1"/>
  <c r="J11791" i="1"/>
  <c r="J11790" i="1"/>
  <c r="J11789" i="1"/>
  <c r="J11788" i="1"/>
  <c r="J11787" i="1"/>
  <c r="J11786" i="1"/>
  <c r="J11785" i="1"/>
  <c r="J11784" i="1"/>
  <c r="J11783" i="1"/>
  <c r="J11782" i="1"/>
  <c r="J11781" i="1"/>
  <c r="J11780" i="1"/>
  <c r="J11779" i="1"/>
  <c r="J11778" i="1"/>
  <c r="J11777" i="1"/>
  <c r="J11776" i="1"/>
  <c r="J11775" i="1"/>
  <c r="J11774" i="1"/>
  <c r="J11773" i="1"/>
  <c r="J11772" i="1"/>
  <c r="J11771" i="1"/>
  <c r="J11770" i="1"/>
  <c r="J11769" i="1"/>
  <c r="J11768" i="1"/>
  <c r="J11767" i="1"/>
  <c r="J11766" i="1"/>
  <c r="J11765" i="1"/>
  <c r="J11764" i="1"/>
  <c r="J11763" i="1"/>
  <c r="J11762" i="1"/>
  <c r="J11761" i="1"/>
  <c r="J11760" i="1"/>
  <c r="J11759" i="1"/>
  <c r="J11758" i="1"/>
  <c r="J11757" i="1"/>
  <c r="J11756" i="1"/>
  <c r="J11755" i="1"/>
  <c r="J11754" i="1"/>
  <c r="J11753" i="1"/>
  <c r="J11752" i="1"/>
  <c r="J11751" i="1"/>
  <c r="J11750" i="1"/>
  <c r="J11749" i="1"/>
  <c r="J11748" i="1"/>
  <c r="J11747" i="1"/>
  <c r="J11746" i="1"/>
  <c r="J11745" i="1"/>
  <c r="J11744" i="1"/>
  <c r="J11743" i="1"/>
  <c r="J11742" i="1"/>
  <c r="J11741" i="1"/>
  <c r="J11740" i="1"/>
  <c r="J11739" i="1"/>
  <c r="J11738" i="1"/>
  <c r="J11737" i="1"/>
  <c r="J11736" i="1"/>
  <c r="J11735" i="1"/>
  <c r="J11734" i="1"/>
  <c r="J11733" i="1"/>
  <c r="J11732" i="1"/>
  <c r="J11731" i="1"/>
  <c r="J11730" i="1"/>
  <c r="J11729" i="1"/>
  <c r="J11728" i="1"/>
  <c r="J11727" i="1"/>
  <c r="J11726" i="1"/>
  <c r="J11725" i="1"/>
  <c r="J11724" i="1"/>
  <c r="J11723" i="1"/>
  <c r="J11722" i="1"/>
  <c r="J11721" i="1"/>
  <c r="J11720" i="1"/>
  <c r="J11719" i="1"/>
  <c r="J11718" i="1"/>
  <c r="J11717" i="1"/>
  <c r="J11716" i="1"/>
  <c r="J11715" i="1"/>
  <c r="J11714" i="1"/>
  <c r="J11713" i="1"/>
  <c r="J11712" i="1"/>
  <c r="J11711" i="1"/>
  <c r="J11710" i="1"/>
  <c r="J11709" i="1"/>
  <c r="J11708" i="1"/>
  <c r="J11707" i="1"/>
  <c r="J11706" i="1"/>
  <c r="J11705" i="1"/>
  <c r="J11704" i="1"/>
  <c r="J11703" i="1"/>
  <c r="J11702" i="1"/>
  <c r="J11701" i="1"/>
  <c r="J11700" i="1"/>
  <c r="J11699" i="1"/>
  <c r="J11698" i="1"/>
  <c r="J11697" i="1"/>
  <c r="J11696" i="1"/>
  <c r="J11695" i="1"/>
  <c r="J11694" i="1"/>
  <c r="J11693" i="1"/>
  <c r="J11692" i="1"/>
  <c r="J11691" i="1"/>
  <c r="J11690" i="1"/>
  <c r="J11689" i="1"/>
  <c r="J11688" i="1"/>
  <c r="J11687" i="1"/>
  <c r="J11686" i="1"/>
  <c r="J11685" i="1"/>
  <c r="J11684" i="1"/>
  <c r="J11683" i="1"/>
  <c r="J11682" i="1"/>
  <c r="J11681" i="1"/>
  <c r="J11680" i="1"/>
  <c r="J11679" i="1"/>
  <c r="J11678" i="1"/>
  <c r="J11677" i="1"/>
  <c r="J11676" i="1"/>
  <c r="J11675" i="1"/>
  <c r="J11674" i="1"/>
  <c r="J11673" i="1"/>
  <c r="J11672" i="1"/>
  <c r="J11671" i="1"/>
  <c r="J11670" i="1"/>
  <c r="J11669" i="1"/>
  <c r="J11668" i="1"/>
  <c r="J11667" i="1"/>
  <c r="J11666" i="1"/>
  <c r="J11665" i="1"/>
  <c r="J11664" i="1"/>
  <c r="J11663" i="1"/>
  <c r="J11662" i="1"/>
  <c r="J11661" i="1"/>
  <c r="J11660" i="1"/>
  <c r="J11659" i="1"/>
  <c r="J11658" i="1"/>
  <c r="J11657" i="1"/>
  <c r="J11656" i="1"/>
  <c r="J11655" i="1"/>
  <c r="J11654" i="1"/>
  <c r="J11653" i="1"/>
  <c r="J11652" i="1"/>
  <c r="J11651" i="1"/>
  <c r="J11650" i="1"/>
  <c r="J11649" i="1"/>
  <c r="J11648" i="1"/>
  <c r="J11647" i="1"/>
  <c r="J11646" i="1"/>
  <c r="J11645" i="1"/>
  <c r="J11644" i="1"/>
  <c r="J11643" i="1"/>
  <c r="J11642" i="1"/>
  <c r="J11641" i="1"/>
  <c r="J11640" i="1"/>
  <c r="J11639" i="1"/>
  <c r="J11638" i="1"/>
  <c r="J11637" i="1"/>
  <c r="J11636" i="1"/>
  <c r="J11635" i="1"/>
  <c r="J11634" i="1"/>
  <c r="J11633" i="1"/>
  <c r="J11632" i="1"/>
  <c r="J11631" i="1"/>
  <c r="J11630" i="1"/>
  <c r="J11629" i="1"/>
  <c r="J11628" i="1"/>
  <c r="J11627" i="1"/>
  <c r="J11626" i="1"/>
  <c r="J11625" i="1"/>
  <c r="J11624" i="1"/>
  <c r="J11623" i="1"/>
  <c r="J11622" i="1"/>
  <c r="J11621" i="1"/>
  <c r="J11620" i="1"/>
  <c r="J11619" i="1"/>
  <c r="J11618" i="1"/>
  <c r="J11617" i="1"/>
  <c r="J11616" i="1"/>
  <c r="J11615" i="1"/>
  <c r="J11614" i="1"/>
  <c r="J11613" i="1"/>
  <c r="J11612" i="1"/>
  <c r="J11611" i="1"/>
  <c r="J11610" i="1"/>
  <c r="J11609" i="1"/>
  <c r="J11608" i="1"/>
  <c r="J11607" i="1"/>
  <c r="J11606" i="1"/>
  <c r="J11605" i="1"/>
  <c r="J11604" i="1"/>
  <c r="J11603" i="1"/>
  <c r="J11602" i="1"/>
  <c r="J11601" i="1"/>
  <c r="J11600" i="1"/>
  <c r="J11599" i="1"/>
  <c r="J11598" i="1"/>
  <c r="J11597" i="1"/>
  <c r="J11596" i="1"/>
  <c r="J11595" i="1"/>
  <c r="J11594" i="1"/>
  <c r="J11593" i="1"/>
  <c r="J11592" i="1"/>
  <c r="J11591" i="1"/>
  <c r="J11590" i="1"/>
  <c r="J11589" i="1"/>
  <c r="J11588" i="1"/>
  <c r="J11587" i="1"/>
  <c r="J11586" i="1"/>
  <c r="J11585" i="1"/>
  <c r="J11584" i="1"/>
  <c r="J11583" i="1"/>
  <c r="J11582" i="1"/>
  <c r="J11581" i="1"/>
  <c r="J11580" i="1"/>
  <c r="J11579" i="1"/>
  <c r="J11578" i="1"/>
  <c r="J11577" i="1"/>
  <c r="J11576" i="1"/>
  <c r="J11575" i="1"/>
  <c r="J11574" i="1"/>
  <c r="J11573" i="1"/>
  <c r="J11572" i="1"/>
  <c r="J11571" i="1"/>
  <c r="J11570" i="1"/>
  <c r="J11569" i="1"/>
  <c r="J11568" i="1"/>
  <c r="J11567" i="1"/>
  <c r="J11566" i="1"/>
  <c r="J11565" i="1"/>
  <c r="J11564" i="1"/>
  <c r="J11563" i="1"/>
  <c r="J11562" i="1"/>
  <c r="J11561" i="1"/>
  <c r="J11560" i="1"/>
  <c r="J11559" i="1"/>
  <c r="J11558" i="1"/>
  <c r="J11557" i="1"/>
  <c r="J11556" i="1"/>
  <c r="J11555" i="1"/>
  <c r="J11554" i="1"/>
  <c r="J11553" i="1"/>
  <c r="J11552" i="1"/>
  <c r="J11551" i="1"/>
  <c r="J11550" i="1"/>
  <c r="J11549" i="1"/>
  <c r="J11548" i="1"/>
  <c r="J11547" i="1"/>
  <c r="J11546" i="1"/>
  <c r="J11545" i="1"/>
  <c r="J11544" i="1"/>
  <c r="J11543" i="1"/>
  <c r="J11542" i="1"/>
  <c r="J11541" i="1"/>
  <c r="J11540" i="1"/>
  <c r="J11539" i="1"/>
  <c r="J11538" i="1"/>
  <c r="J11537" i="1"/>
  <c r="J11536" i="1"/>
  <c r="J11535" i="1"/>
  <c r="J11534" i="1"/>
  <c r="J11533" i="1"/>
  <c r="J11532" i="1"/>
  <c r="J11531" i="1"/>
  <c r="J11530" i="1"/>
  <c r="J11529" i="1"/>
  <c r="J11528" i="1"/>
  <c r="J11527" i="1"/>
  <c r="J11526" i="1"/>
  <c r="J11525" i="1"/>
  <c r="J11524" i="1"/>
  <c r="J11523" i="1"/>
  <c r="J11522" i="1"/>
  <c r="J11521" i="1"/>
  <c r="J11520" i="1"/>
  <c r="J11519" i="1"/>
  <c r="J11518" i="1"/>
  <c r="J11517" i="1"/>
  <c r="J11516" i="1"/>
  <c r="J11515" i="1"/>
  <c r="J11514" i="1"/>
  <c r="J11513" i="1"/>
  <c r="J11512" i="1"/>
  <c r="J11511" i="1"/>
  <c r="J11510" i="1"/>
  <c r="J11509" i="1"/>
  <c r="J11508" i="1"/>
  <c r="J11507" i="1"/>
  <c r="J11506" i="1"/>
  <c r="J11505" i="1"/>
  <c r="J11504" i="1"/>
  <c r="J11503" i="1"/>
  <c r="J11502" i="1"/>
  <c r="J11501" i="1"/>
  <c r="J11500" i="1"/>
  <c r="J11499" i="1"/>
  <c r="J11498" i="1"/>
  <c r="J11497" i="1"/>
  <c r="J11496" i="1"/>
  <c r="J11495" i="1"/>
  <c r="J11494" i="1"/>
  <c r="J11493" i="1"/>
  <c r="J11492" i="1"/>
  <c r="J11491" i="1"/>
  <c r="J11490" i="1"/>
  <c r="J11489" i="1"/>
  <c r="J11488" i="1"/>
  <c r="J11487" i="1"/>
  <c r="J11486" i="1"/>
  <c r="J11485" i="1"/>
  <c r="J11484" i="1"/>
  <c r="J11483" i="1"/>
  <c r="J11482" i="1"/>
  <c r="J11481" i="1"/>
  <c r="J11480" i="1"/>
  <c r="J11479" i="1"/>
  <c r="J11478" i="1"/>
  <c r="J11477" i="1"/>
  <c r="J11476" i="1"/>
  <c r="J11475" i="1"/>
  <c r="J11474" i="1"/>
  <c r="J11473" i="1"/>
  <c r="J11472" i="1"/>
  <c r="J11471" i="1"/>
  <c r="J11470" i="1"/>
  <c r="J11469" i="1"/>
  <c r="J11468" i="1"/>
  <c r="J11467" i="1"/>
  <c r="J11466" i="1"/>
  <c r="J11465" i="1"/>
  <c r="J11464" i="1"/>
  <c r="J11463" i="1"/>
  <c r="J11462" i="1"/>
  <c r="J11461" i="1"/>
  <c r="J11460" i="1"/>
  <c r="J11459" i="1"/>
  <c r="J11458" i="1"/>
  <c r="J11457" i="1"/>
  <c r="J11456" i="1"/>
  <c r="J11455" i="1"/>
  <c r="J11454" i="1"/>
  <c r="J11453" i="1"/>
  <c r="J11452" i="1"/>
  <c r="J11451" i="1"/>
  <c r="J11450" i="1"/>
  <c r="J11449" i="1"/>
  <c r="J11448" i="1"/>
  <c r="J11447" i="1"/>
  <c r="J11446" i="1"/>
  <c r="J11445" i="1"/>
  <c r="J11444" i="1"/>
  <c r="J11443" i="1"/>
  <c r="J11442" i="1"/>
  <c r="J11441" i="1"/>
  <c r="J11440" i="1"/>
  <c r="J11439" i="1"/>
  <c r="J11438" i="1"/>
  <c r="J11437" i="1"/>
  <c r="J11436" i="1"/>
  <c r="J11435" i="1"/>
  <c r="J11434" i="1"/>
  <c r="J11433" i="1"/>
  <c r="J11432" i="1"/>
  <c r="J11431" i="1"/>
  <c r="J11430" i="1"/>
  <c r="J11429" i="1"/>
  <c r="J11428" i="1"/>
  <c r="J11427" i="1"/>
  <c r="J11426" i="1"/>
  <c r="J11425" i="1"/>
  <c r="J11424" i="1"/>
  <c r="J11423" i="1"/>
  <c r="J11422" i="1"/>
  <c r="J11421" i="1"/>
  <c r="J11420" i="1"/>
  <c r="J11419" i="1"/>
  <c r="J11418" i="1"/>
  <c r="J11417" i="1"/>
  <c r="J11416" i="1"/>
  <c r="J11415" i="1"/>
  <c r="J11414" i="1"/>
  <c r="J11413" i="1"/>
  <c r="J11412" i="1"/>
  <c r="J11411" i="1"/>
  <c r="J11410" i="1"/>
  <c r="J11409" i="1"/>
  <c r="J11408" i="1"/>
  <c r="J11407" i="1"/>
  <c r="J11406" i="1"/>
  <c r="J11405" i="1"/>
  <c r="J11404" i="1"/>
  <c r="J11403" i="1"/>
  <c r="J11402" i="1"/>
  <c r="J11401" i="1"/>
  <c r="J11400" i="1"/>
  <c r="J11399" i="1"/>
  <c r="J11398" i="1"/>
  <c r="J11397" i="1"/>
  <c r="J11396" i="1"/>
  <c r="J11395" i="1"/>
  <c r="J11394" i="1"/>
  <c r="J11393" i="1"/>
  <c r="J11392" i="1"/>
  <c r="J11391" i="1"/>
  <c r="J11390" i="1"/>
  <c r="J11389" i="1"/>
  <c r="J11388" i="1"/>
  <c r="J11387" i="1"/>
  <c r="J11386" i="1"/>
  <c r="J11385" i="1"/>
  <c r="J11384" i="1"/>
  <c r="J11383" i="1"/>
  <c r="J11382" i="1"/>
  <c r="J11381" i="1"/>
  <c r="J11380" i="1"/>
  <c r="J11379" i="1"/>
  <c r="J11378" i="1"/>
  <c r="J11377" i="1"/>
  <c r="J11376" i="1"/>
  <c r="J11375" i="1"/>
  <c r="J11374" i="1"/>
  <c r="J11373" i="1"/>
  <c r="J11372" i="1"/>
  <c r="J11371" i="1"/>
  <c r="J11370" i="1"/>
  <c r="J11369" i="1"/>
  <c r="J11368" i="1"/>
  <c r="J11367" i="1"/>
  <c r="J11366" i="1"/>
  <c r="J11365" i="1"/>
  <c r="J11364" i="1"/>
  <c r="J11363" i="1"/>
  <c r="J11362" i="1"/>
  <c r="J11361" i="1"/>
  <c r="J11360" i="1"/>
  <c r="J11359" i="1"/>
  <c r="J11358" i="1"/>
  <c r="J11357" i="1"/>
  <c r="J11356" i="1"/>
  <c r="J11355" i="1"/>
  <c r="J11354" i="1"/>
  <c r="J11353" i="1"/>
  <c r="J11352" i="1"/>
  <c r="J11351" i="1"/>
  <c r="J11350" i="1"/>
  <c r="J11349" i="1"/>
  <c r="J11348" i="1"/>
  <c r="J11347" i="1"/>
  <c r="J11346" i="1"/>
  <c r="J11345" i="1"/>
  <c r="J11344" i="1"/>
  <c r="J11343" i="1"/>
  <c r="J11342" i="1"/>
  <c r="J11341" i="1"/>
  <c r="J11340" i="1"/>
  <c r="J11339" i="1"/>
  <c r="J11338" i="1"/>
  <c r="J11337" i="1"/>
  <c r="J11336" i="1"/>
  <c r="J11335" i="1"/>
  <c r="J11334" i="1"/>
  <c r="J11333" i="1"/>
  <c r="J11332" i="1"/>
  <c r="J11331" i="1"/>
  <c r="J11330" i="1"/>
  <c r="J11329" i="1"/>
  <c r="J11328" i="1"/>
  <c r="J11327" i="1"/>
  <c r="J11326" i="1"/>
  <c r="J11325" i="1"/>
  <c r="J11324" i="1"/>
  <c r="J11323" i="1"/>
  <c r="J11322" i="1"/>
  <c r="J11321" i="1"/>
  <c r="J11320" i="1"/>
  <c r="J11319" i="1"/>
  <c r="J11318" i="1"/>
  <c r="J11317" i="1"/>
  <c r="J11316" i="1"/>
  <c r="J11315" i="1"/>
  <c r="J11314" i="1"/>
  <c r="J11313" i="1"/>
  <c r="J11312" i="1"/>
  <c r="J11311" i="1"/>
  <c r="J11310" i="1"/>
  <c r="J11309" i="1"/>
  <c r="J11308" i="1"/>
  <c r="J11307" i="1"/>
  <c r="J11306" i="1"/>
  <c r="J11305" i="1"/>
  <c r="J11304" i="1"/>
  <c r="J11303" i="1"/>
  <c r="J11302" i="1"/>
  <c r="J11301" i="1"/>
  <c r="J11300" i="1"/>
  <c r="J11299" i="1"/>
  <c r="J11298" i="1"/>
  <c r="J11297" i="1"/>
  <c r="J11296" i="1"/>
  <c r="J11295" i="1"/>
  <c r="J11294" i="1"/>
  <c r="J11293" i="1"/>
  <c r="J11292" i="1"/>
  <c r="J11291" i="1"/>
  <c r="J11290" i="1"/>
  <c r="J11289" i="1"/>
  <c r="J11288" i="1"/>
  <c r="J11287" i="1"/>
  <c r="J11286" i="1"/>
  <c r="J11285" i="1"/>
  <c r="J11284" i="1"/>
  <c r="J11283" i="1"/>
  <c r="J11282" i="1"/>
  <c r="J11281" i="1"/>
  <c r="J11280" i="1"/>
  <c r="J11279" i="1"/>
  <c r="J11278" i="1"/>
  <c r="J11277" i="1"/>
  <c r="J11276" i="1"/>
  <c r="J11275" i="1"/>
  <c r="J11274" i="1"/>
  <c r="J11273" i="1"/>
  <c r="J11272" i="1"/>
  <c r="J11271" i="1"/>
  <c r="J11270" i="1"/>
  <c r="J11269" i="1"/>
  <c r="J11268" i="1"/>
  <c r="J11267" i="1"/>
  <c r="J11266" i="1"/>
  <c r="J11265" i="1"/>
  <c r="J11264" i="1"/>
  <c r="J11263" i="1"/>
  <c r="J11262" i="1"/>
  <c r="J11261" i="1"/>
  <c r="J11260" i="1"/>
  <c r="J11259" i="1"/>
  <c r="J11258" i="1"/>
  <c r="J11257" i="1"/>
  <c r="J11256" i="1"/>
  <c r="J11255" i="1"/>
  <c r="J11254" i="1"/>
  <c r="J11253" i="1"/>
  <c r="J11252" i="1"/>
  <c r="J11251" i="1"/>
  <c r="J11250" i="1"/>
  <c r="J11249" i="1"/>
  <c r="J11248" i="1"/>
  <c r="J11247" i="1"/>
  <c r="J11246" i="1"/>
  <c r="J11245" i="1"/>
  <c r="J11244" i="1"/>
  <c r="J11243" i="1"/>
  <c r="J11242" i="1"/>
  <c r="J11241" i="1"/>
  <c r="J11240" i="1"/>
  <c r="J11239" i="1"/>
  <c r="J11238" i="1"/>
  <c r="J11237" i="1"/>
  <c r="J11236" i="1"/>
  <c r="J11235" i="1"/>
  <c r="J11234" i="1"/>
  <c r="J11233" i="1"/>
  <c r="J11232" i="1"/>
  <c r="J11231" i="1"/>
  <c r="J11230" i="1"/>
  <c r="J11229" i="1"/>
  <c r="J11228" i="1"/>
  <c r="J11227" i="1"/>
  <c r="J11226" i="1"/>
  <c r="J11225" i="1"/>
  <c r="J11224" i="1"/>
  <c r="J11223" i="1"/>
  <c r="J11222" i="1"/>
  <c r="J11221" i="1"/>
  <c r="J11220" i="1"/>
  <c r="J11219" i="1"/>
  <c r="J11218" i="1"/>
  <c r="J11217" i="1"/>
  <c r="J11216" i="1"/>
  <c r="J11215" i="1"/>
  <c r="J11214" i="1"/>
  <c r="J11213" i="1"/>
  <c r="J11212" i="1"/>
  <c r="J11211" i="1"/>
  <c r="J11210" i="1"/>
  <c r="J11209" i="1"/>
  <c r="J11208" i="1"/>
  <c r="J11207" i="1"/>
  <c r="J11206" i="1"/>
  <c r="J11205" i="1"/>
  <c r="J11204" i="1"/>
  <c r="J11203" i="1"/>
  <c r="J11202" i="1"/>
  <c r="J11201" i="1"/>
  <c r="J11200" i="1"/>
  <c r="J11199" i="1"/>
  <c r="J11198" i="1"/>
  <c r="J11197" i="1"/>
  <c r="J11196" i="1"/>
  <c r="J11195" i="1"/>
  <c r="J11194" i="1"/>
  <c r="J11193" i="1"/>
  <c r="J11192" i="1"/>
  <c r="J11191" i="1"/>
  <c r="J11190" i="1"/>
  <c r="J11189" i="1"/>
  <c r="J11188" i="1"/>
  <c r="J11187" i="1"/>
  <c r="J11186" i="1"/>
  <c r="J11185" i="1"/>
  <c r="J11184" i="1"/>
  <c r="J11183" i="1"/>
  <c r="J11182" i="1"/>
  <c r="J11181" i="1"/>
  <c r="J11180" i="1"/>
  <c r="J11179" i="1"/>
  <c r="J11178" i="1"/>
  <c r="J11177" i="1"/>
  <c r="J11176" i="1"/>
  <c r="J11175" i="1"/>
  <c r="J11174" i="1"/>
  <c r="J11173" i="1"/>
  <c r="J11172" i="1"/>
  <c r="J11171" i="1"/>
  <c r="J11170" i="1"/>
  <c r="J11169" i="1"/>
  <c r="J11168" i="1"/>
  <c r="J11167" i="1"/>
  <c r="J11166" i="1"/>
  <c r="J11165" i="1"/>
  <c r="J11164" i="1"/>
  <c r="J11163" i="1"/>
  <c r="J11162" i="1"/>
  <c r="J11161" i="1"/>
  <c r="J11160" i="1"/>
  <c r="J11159" i="1"/>
  <c r="J11158" i="1"/>
  <c r="J11157" i="1"/>
  <c r="J11156" i="1"/>
  <c r="J11155" i="1"/>
  <c r="J11154" i="1"/>
  <c r="J11153" i="1"/>
  <c r="J11152" i="1"/>
  <c r="J11151" i="1"/>
  <c r="J11150" i="1"/>
  <c r="J11149" i="1"/>
  <c r="J11148" i="1"/>
  <c r="J11147" i="1"/>
  <c r="J11146" i="1"/>
  <c r="J11145" i="1"/>
  <c r="J11144" i="1"/>
  <c r="J11143" i="1"/>
  <c r="J11142" i="1"/>
  <c r="J11141" i="1"/>
  <c r="J11140" i="1"/>
  <c r="J11139" i="1"/>
  <c r="J11138" i="1"/>
  <c r="J11137" i="1"/>
  <c r="J11136" i="1"/>
  <c r="J11135" i="1"/>
  <c r="J11134" i="1"/>
  <c r="J11133" i="1"/>
  <c r="J11132" i="1"/>
  <c r="J11131" i="1"/>
  <c r="J11130" i="1"/>
  <c r="J11129" i="1"/>
  <c r="J11128" i="1"/>
  <c r="J11127" i="1"/>
  <c r="J11126" i="1"/>
  <c r="J11125" i="1"/>
  <c r="J11124" i="1"/>
  <c r="J11123" i="1"/>
  <c r="J11122" i="1"/>
  <c r="J11121" i="1"/>
  <c r="J11120" i="1"/>
  <c r="J11119" i="1"/>
  <c r="J11118" i="1"/>
  <c r="J11117" i="1"/>
  <c r="J11116" i="1"/>
  <c r="J11115" i="1"/>
  <c r="J11114" i="1"/>
  <c r="J11113" i="1"/>
  <c r="J11112" i="1"/>
  <c r="J11111" i="1"/>
  <c r="J11110" i="1"/>
  <c r="J11109" i="1"/>
  <c r="J11108" i="1"/>
  <c r="J11107" i="1"/>
  <c r="J11106" i="1"/>
  <c r="J11105" i="1"/>
  <c r="J11104" i="1"/>
  <c r="J11103" i="1"/>
  <c r="J11102" i="1"/>
  <c r="J11101" i="1"/>
  <c r="J11100" i="1"/>
  <c r="J11099" i="1"/>
  <c r="J11098" i="1"/>
  <c r="J11097" i="1"/>
  <c r="J11096" i="1"/>
  <c r="J11095" i="1"/>
  <c r="J11094" i="1"/>
  <c r="J11093" i="1"/>
  <c r="J11092" i="1"/>
  <c r="J11091" i="1"/>
  <c r="J11090" i="1"/>
  <c r="J11089" i="1"/>
  <c r="J11088" i="1"/>
  <c r="J11087" i="1"/>
  <c r="J11086" i="1"/>
  <c r="J11085" i="1"/>
  <c r="J11084" i="1"/>
  <c r="J11083" i="1"/>
  <c r="J11082" i="1"/>
  <c r="J11081" i="1"/>
  <c r="J11080" i="1"/>
  <c r="J11079" i="1"/>
  <c r="J11078" i="1"/>
  <c r="J11077" i="1"/>
  <c r="J11076" i="1"/>
  <c r="J11075" i="1"/>
  <c r="J11074" i="1"/>
  <c r="J11073" i="1"/>
  <c r="J11072" i="1"/>
  <c r="J11071" i="1"/>
  <c r="J11070" i="1"/>
  <c r="J11069" i="1"/>
  <c r="J11068" i="1"/>
  <c r="J11067" i="1"/>
  <c r="J11066" i="1"/>
  <c r="J11065" i="1"/>
  <c r="J11064" i="1"/>
  <c r="J11063" i="1"/>
  <c r="J11062" i="1"/>
  <c r="J11061" i="1"/>
  <c r="J11060" i="1"/>
  <c r="J11059" i="1"/>
  <c r="J11058" i="1"/>
  <c r="J11057" i="1"/>
  <c r="J11056" i="1"/>
  <c r="J11055" i="1"/>
  <c r="J11054" i="1"/>
  <c r="J11053" i="1"/>
  <c r="J11052" i="1"/>
  <c r="J11051" i="1"/>
  <c r="J11050" i="1"/>
  <c r="J11049" i="1"/>
  <c r="J11048" i="1"/>
  <c r="J11047" i="1"/>
  <c r="J11046" i="1"/>
  <c r="J11045" i="1"/>
  <c r="J11044" i="1"/>
  <c r="J11043" i="1"/>
  <c r="J11042" i="1"/>
  <c r="J11041" i="1"/>
  <c r="J11040" i="1"/>
  <c r="J11039" i="1"/>
  <c r="J11038" i="1"/>
  <c r="J11037" i="1"/>
  <c r="J11036" i="1"/>
  <c r="J11035" i="1"/>
  <c r="J11034" i="1"/>
  <c r="J11033" i="1"/>
  <c r="J11032" i="1"/>
  <c r="J11031" i="1"/>
  <c r="J11030" i="1"/>
  <c r="J11029" i="1"/>
  <c r="J11028" i="1"/>
  <c r="J11027" i="1"/>
  <c r="J11026" i="1"/>
  <c r="J11025" i="1"/>
  <c r="J11024" i="1"/>
  <c r="J11023" i="1"/>
  <c r="J11022" i="1"/>
  <c r="J11021" i="1"/>
  <c r="J11020" i="1"/>
  <c r="J11019" i="1"/>
  <c r="J11018" i="1"/>
  <c r="J11017" i="1"/>
  <c r="J11016" i="1"/>
  <c r="J11015" i="1"/>
  <c r="J11014" i="1"/>
  <c r="J11013" i="1"/>
  <c r="J11012" i="1"/>
  <c r="J11011" i="1"/>
  <c r="J11010" i="1"/>
  <c r="J11009" i="1"/>
  <c r="J11008" i="1"/>
  <c r="J11007" i="1"/>
  <c r="J11006" i="1"/>
  <c r="J11005" i="1"/>
  <c r="J11004" i="1"/>
  <c r="J11003" i="1"/>
  <c r="J11002" i="1"/>
  <c r="J11001" i="1"/>
  <c r="J11000" i="1"/>
  <c r="J10999" i="1"/>
  <c r="J10998" i="1"/>
  <c r="J10997" i="1"/>
  <c r="J10996" i="1"/>
  <c r="J10995" i="1"/>
  <c r="J10994" i="1"/>
  <c r="J10993" i="1"/>
  <c r="J10992" i="1"/>
  <c r="J10991" i="1"/>
  <c r="J10990" i="1"/>
  <c r="J10989" i="1"/>
  <c r="J10988" i="1"/>
  <c r="J10987" i="1"/>
  <c r="J10986" i="1"/>
  <c r="J10985" i="1"/>
  <c r="J10984" i="1"/>
  <c r="J10983" i="1"/>
  <c r="J10982" i="1"/>
  <c r="J10981" i="1"/>
  <c r="J10980" i="1"/>
  <c r="J10979" i="1"/>
  <c r="J10978" i="1"/>
  <c r="J10977" i="1"/>
  <c r="J10976" i="1"/>
  <c r="J10975" i="1"/>
  <c r="J10974" i="1"/>
  <c r="J10973" i="1"/>
  <c r="J10972" i="1"/>
  <c r="J10971" i="1"/>
  <c r="J10970" i="1"/>
  <c r="J10969" i="1"/>
  <c r="J10968" i="1"/>
  <c r="J10967" i="1"/>
  <c r="J10966" i="1"/>
  <c r="J10965" i="1"/>
  <c r="J10964" i="1"/>
  <c r="J10963" i="1"/>
  <c r="J10962" i="1"/>
  <c r="J10961" i="1"/>
  <c r="J10960" i="1"/>
  <c r="J10959" i="1"/>
  <c r="J10958" i="1"/>
  <c r="J10957" i="1"/>
  <c r="J10956" i="1"/>
  <c r="J10955" i="1"/>
  <c r="J10954" i="1"/>
  <c r="J10953" i="1"/>
  <c r="J10952" i="1"/>
  <c r="J10951" i="1"/>
  <c r="J10950" i="1"/>
  <c r="J10949" i="1"/>
  <c r="J10948" i="1"/>
  <c r="J10947" i="1"/>
  <c r="J10946" i="1"/>
  <c r="J10945" i="1"/>
  <c r="J10944" i="1"/>
  <c r="J10943" i="1"/>
  <c r="J10942" i="1"/>
  <c r="J10941" i="1"/>
  <c r="J10940" i="1"/>
  <c r="J10939" i="1"/>
  <c r="J10938" i="1"/>
  <c r="J10937" i="1"/>
  <c r="J10936" i="1"/>
  <c r="J10935" i="1"/>
  <c r="J10934" i="1"/>
  <c r="J10933" i="1"/>
  <c r="J10932" i="1"/>
  <c r="J10931" i="1"/>
  <c r="J10930" i="1"/>
  <c r="J10929" i="1"/>
  <c r="J10928" i="1"/>
  <c r="J10927" i="1"/>
  <c r="J10926" i="1"/>
  <c r="J10925" i="1"/>
  <c r="J10924" i="1"/>
  <c r="J10923" i="1"/>
  <c r="J10922" i="1"/>
  <c r="J10921" i="1"/>
  <c r="J10920" i="1"/>
  <c r="J10919" i="1"/>
  <c r="J10918" i="1"/>
  <c r="J10917" i="1"/>
  <c r="J10916" i="1"/>
  <c r="J10915" i="1"/>
  <c r="J10914" i="1"/>
  <c r="J10913" i="1"/>
  <c r="J10912" i="1"/>
  <c r="J10911" i="1"/>
  <c r="J10910" i="1"/>
  <c r="J10909" i="1"/>
  <c r="J10908" i="1"/>
  <c r="J10907" i="1"/>
  <c r="J10906" i="1"/>
  <c r="J10905" i="1"/>
  <c r="J10904" i="1"/>
  <c r="J10903" i="1"/>
  <c r="J10902" i="1"/>
  <c r="J10901" i="1"/>
  <c r="J10900" i="1"/>
  <c r="J10899" i="1"/>
  <c r="J10898" i="1"/>
  <c r="J10897" i="1"/>
  <c r="J10896" i="1"/>
  <c r="J10895" i="1"/>
  <c r="J10894" i="1"/>
  <c r="J10893" i="1"/>
  <c r="J10892" i="1"/>
  <c r="J10891" i="1"/>
  <c r="J10890" i="1"/>
  <c r="J10889" i="1"/>
  <c r="J10888" i="1"/>
  <c r="J10887" i="1"/>
  <c r="J10886" i="1"/>
  <c r="J10885" i="1"/>
  <c r="J10884" i="1"/>
  <c r="J10883" i="1"/>
  <c r="J10882" i="1"/>
  <c r="J10881" i="1"/>
  <c r="J10880" i="1"/>
  <c r="J10879" i="1"/>
  <c r="J10878" i="1"/>
  <c r="J10877" i="1"/>
  <c r="J10876" i="1"/>
  <c r="J10875" i="1"/>
  <c r="J10874" i="1"/>
  <c r="J10873" i="1"/>
  <c r="J10872" i="1"/>
  <c r="J10871" i="1"/>
  <c r="J10870" i="1"/>
  <c r="J10869" i="1"/>
  <c r="J10868" i="1"/>
  <c r="J10867" i="1"/>
  <c r="J10866" i="1"/>
  <c r="J10865" i="1"/>
  <c r="J10864" i="1"/>
  <c r="J10863" i="1"/>
  <c r="J10862" i="1"/>
  <c r="J10861" i="1"/>
  <c r="J10860" i="1"/>
  <c r="J10859" i="1"/>
  <c r="J10858" i="1"/>
  <c r="J10857" i="1"/>
  <c r="J10856" i="1"/>
  <c r="J10855" i="1"/>
  <c r="J10854" i="1"/>
  <c r="J10853" i="1"/>
  <c r="J10852" i="1"/>
  <c r="J10851" i="1"/>
  <c r="J10850" i="1"/>
  <c r="J10849" i="1"/>
  <c r="J10848" i="1"/>
  <c r="J10847" i="1"/>
  <c r="J10846" i="1"/>
  <c r="J10845" i="1"/>
  <c r="J10844" i="1"/>
  <c r="J10843" i="1"/>
  <c r="J10842" i="1"/>
  <c r="J10841" i="1"/>
  <c r="J10840" i="1"/>
  <c r="J10839" i="1"/>
  <c r="J10838" i="1"/>
  <c r="J10837" i="1"/>
  <c r="J10836" i="1"/>
  <c r="J10835" i="1"/>
  <c r="J10834" i="1"/>
  <c r="J10833" i="1"/>
  <c r="J10832" i="1"/>
  <c r="J10831" i="1"/>
  <c r="J10830" i="1"/>
  <c r="J10829" i="1"/>
  <c r="J10828" i="1"/>
  <c r="J10827" i="1"/>
  <c r="J10826" i="1"/>
  <c r="J10825" i="1"/>
  <c r="J10824" i="1"/>
  <c r="J10823" i="1"/>
  <c r="J10822" i="1"/>
  <c r="J10821" i="1"/>
  <c r="J10820" i="1"/>
  <c r="J10819" i="1"/>
  <c r="J10818" i="1"/>
  <c r="J10817" i="1"/>
  <c r="J10816" i="1"/>
  <c r="J10815" i="1"/>
  <c r="J10814" i="1"/>
  <c r="J10813" i="1"/>
  <c r="J10812" i="1"/>
  <c r="J10811" i="1"/>
  <c r="J10810" i="1"/>
  <c r="J10809" i="1"/>
  <c r="J10808" i="1"/>
  <c r="J10807" i="1"/>
  <c r="J10806" i="1"/>
  <c r="J10805" i="1"/>
  <c r="J10804" i="1"/>
  <c r="J10803" i="1"/>
  <c r="J10802" i="1"/>
  <c r="J10801" i="1"/>
  <c r="J10800" i="1"/>
  <c r="J10799" i="1"/>
  <c r="J10798" i="1"/>
  <c r="J10797" i="1"/>
  <c r="J10796" i="1"/>
  <c r="J10795" i="1"/>
  <c r="J10794" i="1"/>
  <c r="J10793" i="1"/>
  <c r="J10792" i="1"/>
  <c r="J10791" i="1"/>
  <c r="J10790" i="1"/>
  <c r="J10789" i="1"/>
  <c r="J10788" i="1"/>
  <c r="J10787" i="1"/>
  <c r="J10786" i="1"/>
  <c r="J10785" i="1"/>
  <c r="J10784" i="1"/>
  <c r="J10783" i="1"/>
  <c r="J10782" i="1"/>
  <c r="J10781" i="1"/>
  <c r="J10780" i="1"/>
  <c r="J10779" i="1"/>
  <c r="J10778" i="1"/>
  <c r="J10777" i="1"/>
  <c r="J10776" i="1"/>
  <c r="J10775" i="1"/>
  <c r="J10774" i="1"/>
  <c r="J10773" i="1"/>
  <c r="J10772" i="1"/>
  <c r="J10771" i="1"/>
  <c r="J10770" i="1"/>
  <c r="J10769" i="1"/>
  <c r="J10768" i="1"/>
  <c r="J10767" i="1"/>
  <c r="J10766" i="1"/>
  <c r="J10765" i="1"/>
  <c r="J10764" i="1"/>
  <c r="J10763" i="1"/>
  <c r="J10762" i="1"/>
  <c r="J10761" i="1"/>
  <c r="J10760" i="1"/>
  <c r="J10759" i="1"/>
  <c r="J10758" i="1"/>
  <c r="J10757" i="1"/>
  <c r="J10756" i="1"/>
  <c r="J10755" i="1"/>
  <c r="J10754" i="1"/>
  <c r="J10753" i="1"/>
  <c r="J10752" i="1"/>
  <c r="J10751" i="1"/>
  <c r="J10750" i="1"/>
  <c r="J10749" i="1"/>
  <c r="J10748" i="1"/>
  <c r="J10747" i="1"/>
  <c r="J10746" i="1"/>
  <c r="J10745" i="1"/>
  <c r="J10744" i="1"/>
  <c r="J10743" i="1"/>
  <c r="J10742" i="1"/>
  <c r="J10741" i="1"/>
  <c r="J10740" i="1"/>
  <c r="J10739" i="1"/>
  <c r="J10738" i="1"/>
  <c r="J10737" i="1"/>
  <c r="J10736" i="1"/>
  <c r="J10735" i="1"/>
  <c r="J10734" i="1"/>
  <c r="J10733" i="1"/>
  <c r="J10732" i="1"/>
  <c r="J10731" i="1"/>
  <c r="J10730" i="1"/>
  <c r="J10729" i="1"/>
  <c r="J10728" i="1"/>
  <c r="J10727" i="1"/>
  <c r="J10726" i="1"/>
  <c r="J10725" i="1"/>
  <c r="J10724" i="1"/>
  <c r="J10723" i="1"/>
  <c r="J10722" i="1"/>
  <c r="J10721" i="1"/>
  <c r="J10720" i="1"/>
  <c r="J10719" i="1"/>
  <c r="J10718" i="1"/>
  <c r="J10717" i="1"/>
  <c r="J10716" i="1"/>
  <c r="J10715" i="1"/>
  <c r="J10714" i="1"/>
  <c r="J10713" i="1"/>
  <c r="J10712" i="1"/>
  <c r="J10711" i="1"/>
  <c r="J10710" i="1"/>
  <c r="J10709" i="1"/>
  <c r="J10708" i="1"/>
  <c r="J10707" i="1"/>
  <c r="J10706" i="1"/>
  <c r="J10705" i="1"/>
  <c r="J10704" i="1"/>
  <c r="J10703" i="1"/>
  <c r="J10702" i="1"/>
  <c r="J10701" i="1"/>
  <c r="J10700" i="1"/>
  <c r="J10699" i="1"/>
  <c r="J10698" i="1"/>
  <c r="J10697" i="1"/>
  <c r="J10696" i="1"/>
  <c r="J10695" i="1"/>
  <c r="J10694" i="1"/>
  <c r="J10693" i="1"/>
  <c r="J10692" i="1"/>
  <c r="J10691" i="1"/>
  <c r="J10690" i="1"/>
  <c r="J10689" i="1"/>
  <c r="J10688" i="1"/>
  <c r="J10687" i="1"/>
  <c r="J10686" i="1"/>
  <c r="J10685" i="1"/>
  <c r="J10684" i="1"/>
  <c r="J10683" i="1"/>
  <c r="J10682" i="1"/>
  <c r="J10681" i="1"/>
  <c r="J10680" i="1"/>
  <c r="J10679" i="1"/>
  <c r="J10678" i="1"/>
  <c r="J10677" i="1"/>
  <c r="J10676" i="1"/>
  <c r="J10675" i="1"/>
  <c r="J10674" i="1"/>
  <c r="J10673" i="1"/>
  <c r="J10672" i="1"/>
  <c r="J10671" i="1"/>
  <c r="J10670" i="1"/>
  <c r="J10669" i="1"/>
  <c r="J10668" i="1"/>
  <c r="J10667" i="1"/>
  <c r="J10666" i="1"/>
  <c r="J10665" i="1"/>
  <c r="J10664" i="1"/>
  <c r="J10663" i="1"/>
  <c r="J10662" i="1"/>
  <c r="J10661" i="1"/>
  <c r="J10660" i="1"/>
  <c r="J10659" i="1"/>
  <c r="J10658" i="1"/>
  <c r="J10657" i="1"/>
  <c r="J10656" i="1"/>
  <c r="J10655" i="1"/>
  <c r="J10654" i="1"/>
  <c r="J10653" i="1"/>
  <c r="J10652" i="1"/>
  <c r="J10651" i="1"/>
  <c r="J10650" i="1"/>
  <c r="J10649" i="1"/>
  <c r="J10648" i="1"/>
  <c r="J10647" i="1"/>
  <c r="J10646" i="1"/>
  <c r="J10645" i="1"/>
  <c r="J10644" i="1"/>
  <c r="J10643" i="1"/>
  <c r="J10642" i="1"/>
  <c r="J10641" i="1"/>
  <c r="J10640" i="1"/>
  <c r="J10639" i="1"/>
  <c r="J10638" i="1"/>
  <c r="J10637" i="1"/>
  <c r="J10636" i="1"/>
  <c r="J10635" i="1"/>
  <c r="J10634" i="1"/>
  <c r="J10633" i="1"/>
  <c r="J10632" i="1"/>
  <c r="J10631" i="1"/>
  <c r="J10630" i="1"/>
  <c r="J10629" i="1"/>
  <c r="J10628" i="1"/>
  <c r="J10627" i="1"/>
  <c r="J10626" i="1"/>
  <c r="J10625" i="1"/>
  <c r="J10624" i="1"/>
  <c r="J10623" i="1"/>
  <c r="J10622" i="1"/>
  <c r="J10621" i="1"/>
  <c r="J10620" i="1"/>
  <c r="J10619" i="1"/>
  <c r="J10618" i="1"/>
  <c r="J10617" i="1"/>
  <c r="J10616" i="1"/>
  <c r="J10615" i="1"/>
  <c r="J10614" i="1"/>
  <c r="J10613" i="1"/>
  <c r="J10612" i="1"/>
  <c r="J10611" i="1"/>
  <c r="J10610" i="1"/>
  <c r="J10609" i="1"/>
  <c r="J10608" i="1"/>
  <c r="J10607" i="1"/>
  <c r="J10606" i="1"/>
  <c r="J10605" i="1"/>
  <c r="J10604" i="1"/>
  <c r="J10603" i="1"/>
  <c r="J10602" i="1"/>
  <c r="J10601" i="1"/>
  <c r="J10600" i="1"/>
  <c r="J10599" i="1"/>
  <c r="J10598" i="1"/>
  <c r="J10597" i="1"/>
  <c r="J10596" i="1"/>
  <c r="J10595" i="1"/>
  <c r="J10594" i="1"/>
  <c r="J10593" i="1"/>
  <c r="J10592" i="1"/>
  <c r="J10591" i="1"/>
  <c r="J10590" i="1"/>
  <c r="J10589" i="1"/>
  <c r="J10588" i="1"/>
  <c r="J10587" i="1"/>
  <c r="J10586" i="1"/>
  <c r="J10585" i="1"/>
  <c r="J10584" i="1"/>
  <c r="J10583" i="1"/>
  <c r="J10582" i="1"/>
  <c r="J10581" i="1"/>
  <c r="J10580" i="1"/>
  <c r="J10579" i="1"/>
  <c r="J10578" i="1"/>
  <c r="J10577" i="1"/>
  <c r="J10576" i="1"/>
  <c r="J10575" i="1"/>
  <c r="J10574" i="1"/>
  <c r="J10573" i="1"/>
  <c r="J10572" i="1"/>
  <c r="J10571" i="1"/>
  <c r="J10570" i="1"/>
  <c r="J10569" i="1"/>
  <c r="J10568" i="1"/>
  <c r="J10567" i="1"/>
  <c r="J10566" i="1"/>
  <c r="J10565" i="1"/>
  <c r="J10564" i="1"/>
  <c r="J10563" i="1"/>
  <c r="J10562" i="1"/>
  <c r="J10561" i="1"/>
  <c r="J10560" i="1"/>
  <c r="J10559" i="1"/>
  <c r="J10558" i="1"/>
  <c r="J10557" i="1"/>
  <c r="J10556" i="1"/>
  <c r="J10555" i="1"/>
  <c r="J10554" i="1"/>
  <c r="J10553" i="1"/>
  <c r="J10552" i="1"/>
  <c r="J10551" i="1"/>
  <c r="J10550" i="1"/>
  <c r="J10549" i="1"/>
  <c r="J10548" i="1"/>
  <c r="J10547" i="1"/>
  <c r="J10546" i="1"/>
  <c r="J10545" i="1"/>
  <c r="J10544" i="1"/>
  <c r="J10543" i="1"/>
  <c r="J10542" i="1"/>
  <c r="J10541" i="1"/>
  <c r="J10540" i="1"/>
  <c r="J10539" i="1"/>
  <c r="J10538" i="1"/>
  <c r="J10537" i="1"/>
  <c r="J10536" i="1"/>
  <c r="J10535" i="1"/>
  <c r="J10534" i="1"/>
  <c r="J10533" i="1"/>
  <c r="J10532" i="1"/>
  <c r="J10531" i="1"/>
  <c r="J10530" i="1"/>
  <c r="J10529" i="1"/>
  <c r="J10528" i="1"/>
  <c r="J10527" i="1"/>
  <c r="J10526" i="1"/>
  <c r="J10525" i="1"/>
  <c r="J10524" i="1"/>
  <c r="J10523" i="1"/>
  <c r="J10522" i="1"/>
  <c r="J10521" i="1"/>
  <c r="J10520" i="1"/>
  <c r="J10519" i="1"/>
  <c r="J10518" i="1"/>
  <c r="J10517" i="1"/>
  <c r="J10516" i="1"/>
  <c r="J10515" i="1"/>
  <c r="J10514" i="1"/>
  <c r="J10513" i="1"/>
  <c r="J10512" i="1"/>
  <c r="J10511" i="1"/>
  <c r="J10510" i="1"/>
  <c r="J10509" i="1"/>
  <c r="J10508" i="1"/>
  <c r="J10507" i="1"/>
  <c r="J10506" i="1"/>
  <c r="J10505" i="1"/>
  <c r="J10504" i="1"/>
  <c r="J10503" i="1"/>
  <c r="J10502" i="1"/>
  <c r="J10501" i="1"/>
  <c r="J10500" i="1"/>
  <c r="J10499" i="1"/>
  <c r="J10498" i="1"/>
  <c r="J10497" i="1"/>
  <c r="J10496" i="1"/>
  <c r="J10495" i="1"/>
  <c r="J10494" i="1"/>
  <c r="J10493" i="1"/>
  <c r="J10492" i="1"/>
  <c r="J10491" i="1"/>
  <c r="J10490" i="1"/>
  <c r="J10489" i="1"/>
  <c r="J10488" i="1"/>
  <c r="J10487" i="1"/>
  <c r="J10486" i="1"/>
  <c r="J10485" i="1"/>
  <c r="J10484" i="1"/>
  <c r="J10483" i="1"/>
  <c r="J10482" i="1"/>
  <c r="J10481" i="1"/>
  <c r="J10480" i="1"/>
  <c r="J10479" i="1"/>
  <c r="J10478" i="1"/>
  <c r="J10477" i="1"/>
  <c r="J10476" i="1"/>
  <c r="J10475" i="1"/>
  <c r="J10474" i="1"/>
  <c r="J10473" i="1"/>
  <c r="J10472" i="1"/>
  <c r="J10471" i="1"/>
  <c r="J10470" i="1"/>
  <c r="J10469" i="1"/>
  <c r="J10468" i="1"/>
  <c r="J10467" i="1"/>
  <c r="J10466" i="1"/>
  <c r="J10465" i="1"/>
  <c r="J10464" i="1"/>
  <c r="J10463" i="1"/>
  <c r="J10462" i="1"/>
  <c r="J10461" i="1"/>
  <c r="J10460" i="1"/>
  <c r="J10459" i="1"/>
  <c r="J10458" i="1"/>
  <c r="J10457" i="1"/>
  <c r="J10456" i="1"/>
  <c r="J10455" i="1"/>
  <c r="J10454" i="1"/>
  <c r="J10453" i="1"/>
  <c r="J10452" i="1"/>
  <c r="J10451" i="1"/>
  <c r="J10450" i="1"/>
  <c r="J10449" i="1"/>
  <c r="J10448" i="1"/>
  <c r="J10447" i="1"/>
  <c r="J10446" i="1"/>
  <c r="J10445" i="1"/>
  <c r="J10444" i="1"/>
  <c r="J10443" i="1"/>
  <c r="J10442" i="1"/>
  <c r="J10441" i="1"/>
  <c r="J10440" i="1"/>
  <c r="J10439" i="1"/>
  <c r="J10438" i="1"/>
  <c r="J10437" i="1"/>
  <c r="J10436" i="1"/>
  <c r="J10435" i="1"/>
  <c r="J10434" i="1"/>
  <c r="J10433" i="1"/>
  <c r="J10432" i="1"/>
  <c r="J10431" i="1"/>
  <c r="J10430" i="1"/>
  <c r="J10429" i="1"/>
  <c r="J10428" i="1"/>
  <c r="J10427" i="1"/>
  <c r="J10426" i="1"/>
  <c r="J10425" i="1"/>
  <c r="J10424" i="1"/>
  <c r="J10423" i="1"/>
  <c r="J10422" i="1"/>
  <c r="J10421" i="1"/>
  <c r="J10420" i="1"/>
  <c r="J10419" i="1"/>
  <c r="J10418" i="1"/>
  <c r="J10417" i="1"/>
  <c r="J10416" i="1"/>
  <c r="J10415" i="1"/>
  <c r="J10414" i="1"/>
  <c r="J10413" i="1"/>
  <c r="J10412" i="1"/>
  <c r="J10411" i="1"/>
  <c r="J10410" i="1"/>
  <c r="J10409" i="1"/>
  <c r="J10408" i="1"/>
  <c r="J10407" i="1"/>
  <c r="J10406" i="1"/>
  <c r="J10405" i="1"/>
  <c r="J10404" i="1"/>
  <c r="J10403" i="1"/>
  <c r="J10402" i="1"/>
  <c r="J10401" i="1"/>
  <c r="J10400" i="1"/>
  <c r="J10399" i="1"/>
  <c r="J10398" i="1"/>
  <c r="J10397" i="1"/>
  <c r="J10396" i="1"/>
  <c r="J10395" i="1"/>
  <c r="J10394" i="1"/>
  <c r="J10393" i="1"/>
  <c r="J10392" i="1"/>
  <c r="J10391" i="1"/>
  <c r="J10390" i="1"/>
  <c r="J10389" i="1"/>
  <c r="J10388" i="1"/>
  <c r="J10387" i="1"/>
  <c r="J10386" i="1"/>
  <c r="J10385" i="1"/>
  <c r="J10384" i="1"/>
  <c r="J10383" i="1"/>
  <c r="J10382" i="1"/>
  <c r="J10381" i="1"/>
  <c r="J10380" i="1"/>
  <c r="J10379" i="1"/>
  <c r="J10378" i="1"/>
  <c r="J10377" i="1"/>
  <c r="J10376" i="1"/>
  <c r="J10375" i="1"/>
  <c r="J10374" i="1"/>
  <c r="J10373" i="1"/>
  <c r="J10372" i="1"/>
  <c r="J10371" i="1"/>
  <c r="J10370" i="1"/>
  <c r="J10369" i="1"/>
  <c r="J10368" i="1"/>
  <c r="J10367" i="1"/>
  <c r="J10366" i="1"/>
  <c r="J10365" i="1"/>
  <c r="J10364" i="1"/>
  <c r="J10363" i="1"/>
  <c r="J10362" i="1"/>
  <c r="J10361" i="1"/>
  <c r="J10360" i="1"/>
  <c r="J10359" i="1"/>
  <c r="J10358" i="1"/>
  <c r="J10357" i="1"/>
  <c r="J10356" i="1"/>
  <c r="J10355" i="1"/>
  <c r="J10354" i="1"/>
  <c r="J10353" i="1"/>
  <c r="J10352" i="1"/>
  <c r="J10351" i="1"/>
  <c r="J10350" i="1"/>
  <c r="J10349" i="1"/>
  <c r="J10348" i="1"/>
  <c r="J10347" i="1"/>
  <c r="J10346" i="1"/>
  <c r="J10345" i="1"/>
  <c r="J10344" i="1"/>
  <c r="J10343" i="1"/>
  <c r="J10342" i="1"/>
  <c r="J10341" i="1"/>
  <c r="J10340" i="1"/>
  <c r="J10339" i="1"/>
  <c r="J10338" i="1"/>
  <c r="J10337" i="1"/>
  <c r="J10336" i="1"/>
  <c r="J10335" i="1"/>
  <c r="J10334" i="1"/>
  <c r="J10333" i="1"/>
  <c r="J10332" i="1"/>
  <c r="J10331" i="1"/>
  <c r="J10330" i="1"/>
  <c r="J10329" i="1"/>
  <c r="J10328" i="1"/>
  <c r="J10327" i="1"/>
  <c r="J10326" i="1"/>
  <c r="J10325" i="1"/>
  <c r="J10324" i="1"/>
  <c r="J10323" i="1"/>
  <c r="J10322" i="1"/>
  <c r="J10321" i="1"/>
  <c r="J10320" i="1"/>
  <c r="J10319" i="1"/>
  <c r="J10318" i="1"/>
  <c r="J10317" i="1"/>
  <c r="J10316" i="1"/>
  <c r="J10315" i="1"/>
  <c r="J10314" i="1"/>
  <c r="J10313" i="1"/>
  <c r="J10312" i="1"/>
  <c r="J10311" i="1"/>
  <c r="J10310" i="1"/>
  <c r="J10309" i="1"/>
  <c r="J10308" i="1"/>
  <c r="J10307" i="1"/>
  <c r="J10306" i="1"/>
  <c r="J10305" i="1"/>
  <c r="J10304" i="1"/>
  <c r="J10303" i="1"/>
  <c r="J10302" i="1"/>
  <c r="J10301" i="1"/>
  <c r="J10300" i="1"/>
  <c r="J10299" i="1"/>
  <c r="J10298" i="1"/>
  <c r="J10297" i="1"/>
  <c r="J10296" i="1"/>
  <c r="J10295" i="1"/>
  <c r="J10294" i="1"/>
  <c r="J10293" i="1"/>
  <c r="J10292" i="1"/>
  <c r="J10291" i="1"/>
  <c r="J10290" i="1"/>
  <c r="J10289" i="1"/>
  <c r="J10288" i="1"/>
  <c r="J10287" i="1"/>
  <c r="J10286" i="1"/>
  <c r="J10285" i="1"/>
  <c r="J10284" i="1"/>
  <c r="J10283" i="1"/>
  <c r="J10282" i="1"/>
  <c r="J10281" i="1"/>
  <c r="J10280" i="1"/>
  <c r="J10279" i="1"/>
  <c r="J10278" i="1"/>
  <c r="J10277" i="1"/>
  <c r="J10276" i="1"/>
  <c r="J10275" i="1"/>
  <c r="J10274" i="1"/>
  <c r="J10273" i="1"/>
  <c r="J10272" i="1"/>
  <c r="J10271" i="1"/>
  <c r="J10270" i="1"/>
  <c r="J10269" i="1"/>
  <c r="J10268" i="1"/>
  <c r="J10267" i="1"/>
  <c r="J10266" i="1"/>
  <c r="J10265" i="1"/>
  <c r="J10264" i="1"/>
  <c r="J10263" i="1"/>
  <c r="J10262" i="1"/>
  <c r="J10261" i="1"/>
  <c r="J10260" i="1"/>
  <c r="J10259" i="1"/>
  <c r="J10258" i="1"/>
  <c r="J10257" i="1"/>
  <c r="J10256" i="1"/>
  <c r="J10255" i="1"/>
  <c r="J10254" i="1"/>
  <c r="J10253" i="1"/>
  <c r="J10252" i="1"/>
  <c r="J10251" i="1"/>
  <c r="J10250" i="1"/>
  <c r="J10249" i="1"/>
  <c r="J10248" i="1"/>
  <c r="J10247" i="1"/>
  <c r="J10246" i="1"/>
  <c r="J10245" i="1"/>
  <c r="J10244" i="1"/>
  <c r="J10243" i="1"/>
  <c r="J10242" i="1"/>
  <c r="J10241" i="1"/>
  <c r="J10240" i="1"/>
  <c r="J10239" i="1"/>
  <c r="J10238" i="1"/>
  <c r="J10237" i="1"/>
  <c r="J10236" i="1"/>
  <c r="J10235" i="1"/>
  <c r="J10234" i="1"/>
  <c r="J10233" i="1"/>
  <c r="J10232" i="1"/>
  <c r="J10231" i="1"/>
  <c r="J10230" i="1"/>
  <c r="J10229" i="1"/>
  <c r="J10228" i="1"/>
  <c r="J10227" i="1"/>
  <c r="J10226" i="1"/>
  <c r="J10225" i="1"/>
  <c r="J10224" i="1"/>
  <c r="J10223" i="1"/>
  <c r="J10222" i="1"/>
  <c r="J10221" i="1"/>
  <c r="J10220" i="1"/>
  <c r="J10219" i="1"/>
  <c r="J10218" i="1"/>
  <c r="J10217" i="1"/>
  <c r="J10216" i="1"/>
  <c r="J10215" i="1"/>
  <c r="J10214" i="1"/>
  <c r="J10213" i="1"/>
  <c r="J10212" i="1"/>
  <c r="J10211" i="1"/>
  <c r="J10210" i="1"/>
  <c r="J10209" i="1"/>
  <c r="J10208" i="1"/>
  <c r="J10207" i="1"/>
  <c r="J10206" i="1"/>
  <c r="J10205" i="1"/>
  <c r="J10204" i="1"/>
  <c r="J10203" i="1"/>
  <c r="J10202" i="1"/>
  <c r="J10201" i="1"/>
  <c r="J10200" i="1"/>
  <c r="J10199" i="1"/>
  <c r="J10198" i="1"/>
  <c r="J10197" i="1"/>
  <c r="J10196" i="1"/>
  <c r="J10195" i="1"/>
  <c r="J10194" i="1"/>
  <c r="J10193" i="1"/>
  <c r="J10192" i="1"/>
  <c r="J10191" i="1"/>
  <c r="J10190" i="1"/>
  <c r="J10189" i="1"/>
  <c r="J10188" i="1"/>
  <c r="J10187" i="1"/>
  <c r="J10186" i="1"/>
  <c r="J10185" i="1"/>
  <c r="J10184" i="1"/>
  <c r="J10183" i="1"/>
  <c r="J10182" i="1"/>
  <c r="J10181" i="1"/>
  <c r="J10180" i="1"/>
  <c r="J10179" i="1"/>
  <c r="J10178" i="1"/>
  <c r="J10177" i="1"/>
  <c r="J10176" i="1"/>
  <c r="J10175" i="1"/>
  <c r="J10174" i="1"/>
  <c r="J10173" i="1"/>
  <c r="J10172" i="1"/>
  <c r="J10171" i="1"/>
  <c r="J10170" i="1"/>
  <c r="J10169" i="1"/>
  <c r="J10168" i="1"/>
  <c r="J10167" i="1"/>
  <c r="J10166" i="1"/>
  <c r="J10165" i="1"/>
  <c r="J10164" i="1"/>
  <c r="J10163" i="1"/>
  <c r="J10162" i="1"/>
  <c r="J10161" i="1"/>
  <c r="J10160" i="1"/>
  <c r="J10159" i="1"/>
  <c r="J10158" i="1"/>
  <c r="J10157" i="1"/>
  <c r="J10156" i="1"/>
  <c r="J10155" i="1"/>
  <c r="J10154" i="1"/>
  <c r="J10153" i="1"/>
  <c r="J10152" i="1"/>
  <c r="J10151" i="1"/>
  <c r="J10150" i="1"/>
  <c r="J10149" i="1"/>
  <c r="J10148" i="1"/>
  <c r="J10147" i="1"/>
  <c r="J10146" i="1"/>
  <c r="J10145" i="1"/>
  <c r="J10144" i="1"/>
  <c r="J10143" i="1"/>
  <c r="J10142" i="1"/>
  <c r="J10141" i="1"/>
  <c r="J10140" i="1"/>
  <c r="J10139" i="1"/>
  <c r="J10138" i="1"/>
  <c r="J10137" i="1"/>
  <c r="J10136" i="1"/>
  <c r="J10135" i="1"/>
  <c r="J10134" i="1"/>
  <c r="J10133" i="1"/>
  <c r="J10132" i="1"/>
  <c r="J10131" i="1"/>
  <c r="J10130" i="1"/>
  <c r="J10129" i="1"/>
  <c r="J10128" i="1"/>
  <c r="J10127" i="1"/>
  <c r="J10126" i="1"/>
  <c r="J10125" i="1"/>
  <c r="J10124" i="1"/>
  <c r="J10123" i="1"/>
  <c r="J10122" i="1"/>
  <c r="J10121" i="1"/>
  <c r="J10120" i="1"/>
  <c r="J10119" i="1"/>
  <c r="J10118" i="1"/>
  <c r="J10117" i="1"/>
  <c r="J10116" i="1"/>
  <c r="J10115" i="1"/>
  <c r="J10114" i="1"/>
  <c r="J10113" i="1"/>
  <c r="J10112" i="1"/>
  <c r="J10111" i="1"/>
  <c r="J10110" i="1"/>
  <c r="J10109" i="1"/>
  <c r="J10108" i="1"/>
  <c r="J10107" i="1"/>
  <c r="J10106" i="1"/>
  <c r="J10105" i="1"/>
  <c r="J10104" i="1"/>
  <c r="J10103" i="1"/>
  <c r="J10102" i="1"/>
  <c r="J10101" i="1"/>
  <c r="J10100" i="1"/>
  <c r="J10099" i="1"/>
  <c r="J10098" i="1"/>
  <c r="J10097" i="1"/>
  <c r="J10096" i="1"/>
  <c r="J10095" i="1"/>
  <c r="J10094" i="1"/>
  <c r="J10093" i="1"/>
  <c r="J10092" i="1"/>
  <c r="J10091" i="1"/>
  <c r="J10090" i="1"/>
  <c r="J10089" i="1"/>
  <c r="J10088" i="1"/>
  <c r="J10087" i="1"/>
  <c r="J10086" i="1"/>
  <c r="J10085" i="1"/>
  <c r="J10084" i="1"/>
  <c r="J10083" i="1"/>
  <c r="J10082" i="1"/>
  <c r="J10081" i="1"/>
  <c r="J10080" i="1"/>
  <c r="J10079" i="1"/>
  <c r="J10078" i="1"/>
  <c r="J10077" i="1"/>
  <c r="J10076" i="1"/>
  <c r="J10075" i="1"/>
  <c r="J10074" i="1"/>
  <c r="J10073" i="1"/>
  <c r="J10072" i="1"/>
  <c r="J10071" i="1"/>
  <c r="J10070" i="1"/>
  <c r="J10069" i="1"/>
  <c r="J10068" i="1"/>
  <c r="J10067" i="1"/>
  <c r="J10066" i="1"/>
  <c r="J10065" i="1"/>
  <c r="J10064" i="1"/>
  <c r="J10063" i="1"/>
  <c r="J10062" i="1"/>
  <c r="J10061" i="1"/>
  <c r="J10060" i="1"/>
  <c r="J10059" i="1"/>
  <c r="J10058" i="1"/>
  <c r="J10057" i="1"/>
  <c r="J10056" i="1"/>
  <c r="J10055" i="1"/>
  <c r="J10054" i="1"/>
  <c r="J10053" i="1"/>
  <c r="J10052" i="1"/>
  <c r="J10051" i="1"/>
  <c r="J10050" i="1"/>
  <c r="J10049" i="1"/>
  <c r="J10048" i="1"/>
  <c r="J10047" i="1"/>
  <c r="J10046" i="1"/>
  <c r="J10045" i="1"/>
  <c r="J10044" i="1"/>
  <c r="J10043" i="1"/>
  <c r="J10042" i="1"/>
  <c r="J10041" i="1"/>
  <c r="J10040" i="1"/>
  <c r="J10039" i="1"/>
  <c r="J10038" i="1"/>
  <c r="J10037" i="1"/>
  <c r="J10036" i="1"/>
  <c r="J10035" i="1"/>
  <c r="J10034" i="1"/>
  <c r="J10033" i="1"/>
  <c r="J10032" i="1"/>
  <c r="J10031" i="1"/>
  <c r="J10030" i="1"/>
  <c r="J10029" i="1"/>
  <c r="J10028" i="1"/>
  <c r="J10027" i="1"/>
  <c r="J10026" i="1"/>
  <c r="J10025" i="1"/>
  <c r="J10024" i="1"/>
  <c r="J10023" i="1"/>
  <c r="J10022" i="1"/>
  <c r="J10021" i="1"/>
  <c r="J10020" i="1"/>
  <c r="J10019" i="1"/>
  <c r="J10018" i="1"/>
  <c r="J10017" i="1"/>
  <c r="J10016" i="1"/>
  <c r="J10015" i="1"/>
  <c r="J10014" i="1"/>
  <c r="J10013" i="1"/>
  <c r="J10012" i="1"/>
  <c r="J10011" i="1"/>
  <c r="J10010" i="1"/>
  <c r="J10009" i="1"/>
  <c r="J10008" i="1"/>
  <c r="J10007" i="1"/>
  <c r="J10006" i="1"/>
  <c r="J10005" i="1"/>
  <c r="J10004" i="1"/>
  <c r="J10003" i="1"/>
  <c r="J10002" i="1"/>
  <c r="J10001" i="1"/>
  <c r="J10000" i="1"/>
  <c r="J9999" i="1"/>
  <c r="J9998" i="1"/>
  <c r="J9997" i="1"/>
  <c r="J9996" i="1"/>
  <c r="J9995" i="1"/>
  <c r="J9994" i="1"/>
  <c r="J9993" i="1"/>
  <c r="J9992" i="1"/>
  <c r="J9991" i="1"/>
  <c r="J9990" i="1"/>
  <c r="J9989" i="1"/>
  <c r="J9988" i="1"/>
  <c r="J9987" i="1"/>
  <c r="J9986" i="1"/>
  <c r="J9985" i="1"/>
  <c r="J9984" i="1"/>
  <c r="J9983" i="1"/>
  <c r="J9982" i="1"/>
  <c r="J9981" i="1"/>
  <c r="J9980" i="1"/>
  <c r="J9979" i="1"/>
  <c r="J9978" i="1"/>
  <c r="J9977" i="1"/>
  <c r="J9976" i="1"/>
  <c r="J9975" i="1"/>
  <c r="J9974" i="1"/>
  <c r="J9973" i="1"/>
  <c r="J9972" i="1"/>
  <c r="J9971" i="1"/>
  <c r="J9970" i="1"/>
  <c r="J9969" i="1"/>
  <c r="J9968" i="1"/>
  <c r="J9967" i="1"/>
  <c r="J9966" i="1"/>
  <c r="J9965" i="1"/>
  <c r="J9964" i="1"/>
  <c r="J9963" i="1"/>
  <c r="J9962" i="1"/>
  <c r="J9961" i="1"/>
  <c r="J9960" i="1"/>
  <c r="J9959" i="1"/>
  <c r="J9958" i="1"/>
  <c r="J9957" i="1"/>
  <c r="J9956" i="1"/>
  <c r="J9955" i="1"/>
  <c r="J9954" i="1"/>
  <c r="J9953" i="1"/>
  <c r="J9952" i="1"/>
  <c r="J9951" i="1"/>
  <c r="J9950" i="1"/>
  <c r="J9949" i="1"/>
  <c r="J9948" i="1"/>
  <c r="J9947" i="1"/>
  <c r="J9946" i="1"/>
  <c r="J9945" i="1"/>
  <c r="J9944" i="1"/>
  <c r="J9943" i="1"/>
  <c r="J9942" i="1"/>
  <c r="J9941" i="1"/>
  <c r="J9940" i="1"/>
  <c r="J9939" i="1"/>
  <c r="J9938" i="1"/>
  <c r="J9937" i="1"/>
  <c r="J9936" i="1"/>
  <c r="J9935" i="1"/>
  <c r="J9934" i="1"/>
  <c r="J9933" i="1"/>
  <c r="J9932" i="1"/>
  <c r="J9931" i="1"/>
  <c r="J9930" i="1"/>
  <c r="J9929" i="1"/>
  <c r="J9928" i="1"/>
  <c r="J9927" i="1"/>
  <c r="J9926" i="1"/>
  <c r="J9925" i="1"/>
  <c r="J9924" i="1"/>
  <c r="J9923" i="1"/>
  <c r="J9922" i="1"/>
  <c r="J9921" i="1"/>
  <c r="J9920" i="1"/>
  <c r="J9919" i="1"/>
  <c r="J9918" i="1"/>
  <c r="J9917" i="1"/>
  <c r="J9916" i="1"/>
  <c r="J9915" i="1"/>
  <c r="J9914" i="1"/>
  <c r="J9913" i="1"/>
  <c r="J9912" i="1"/>
  <c r="J9911" i="1"/>
  <c r="J9910" i="1"/>
  <c r="J9909" i="1"/>
  <c r="J9908" i="1"/>
  <c r="J9907" i="1"/>
  <c r="J9906" i="1"/>
  <c r="J9905" i="1"/>
  <c r="J9904" i="1"/>
  <c r="J9903" i="1"/>
  <c r="J9902" i="1"/>
  <c r="J9901" i="1"/>
  <c r="J9900" i="1"/>
  <c r="J9899" i="1"/>
  <c r="J9898" i="1"/>
  <c r="J9897" i="1"/>
  <c r="J9896" i="1"/>
  <c r="J9895" i="1"/>
  <c r="J9894" i="1"/>
  <c r="J9893" i="1"/>
  <c r="J9892" i="1"/>
  <c r="J9891" i="1"/>
  <c r="J9890" i="1"/>
  <c r="J9889" i="1"/>
  <c r="J9888" i="1"/>
  <c r="J9887" i="1"/>
  <c r="J9886" i="1"/>
  <c r="J9885" i="1"/>
  <c r="J9884" i="1"/>
  <c r="J9883" i="1"/>
  <c r="J9882" i="1"/>
  <c r="J9881" i="1"/>
  <c r="J9880" i="1"/>
  <c r="J9879" i="1"/>
  <c r="J9878" i="1"/>
  <c r="J9877" i="1"/>
  <c r="J9876" i="1"/>
  <c r="J9875" i="1"/>
  <c r="J9874" i="1"/>
  <c r="J9873" i="1"/>
  <c r="J9872" i="1"/>
  <c r="J9871" i="1"/>
  <c r="J9870" i="1"/>
  <c r="J9869" i="1"/>
  <c r="J9868" i="1"/>
  <c r="J9867" i="1"/>
  <c r="J9866" i="1"/>
  <c r="J9865" i="1"/>
  <c r="J9864" i="1"/>
  <c r="J9863" i="1"/>
  <c r="J9862" i="1"/>
  <c r="J9861" i="1"/>
  <c r="J9860" i="1"/>
  <c r="J9859" i="1"/>
  <c r="J9858" i="1"/>
  <c r="J9857" i="1"/>
  <c r="J9856" i="1"/>
  <c r="J9855" i="1"/>
  <c r="J9854" i="1"/>
  <c r="J9853" i="1"/>
  <c r="J9852" i="1"/>
  <c r="J9851" i="1"/>
  <c r="J9850" i="1"/>
  <c r="J9849" i="1"/>
  <c r="J9848" i="1"/>
  <c r="J9847" i="1"/>
  <c r="J9846" i="1"/>
  <c r="J9845" i="1"/>
  <c r="J9844" i="1"/>
  <c r="J9843" i="1"/>
  <c r="J9842" i="1"/>
  <c r="J9841" i="1"/>
  <c r="J9840" i="1"/>
  <c r="J9839" i="1"/>
  <c r="J9838" i="1"/>
  <c r="J9837" i="1"/>
  <c r="J9836" i="1"/>
  <c r="J9835" i="1"/>
  <c r="J9834" i="1"/>
  <c r="J9833" i="1"/>
  <c r="J9832" i="1"/>
  <c r="J9831" i="1"/>
  <c r="J9830" i="1"/>
  <c r="J9829" i="1"/>
  <c r="J9828" i="1"/>
  <c r="J9827" i="1"/>
  <c r="J9826" i="1"/>
  <c r="J9825" i="1"/>
  <c r="J9824" i="1"/>
  <c r="J9823" i="1"/>
  <c r="J9822" i="1"/>
  <c r="J9821" i="1"/>
  <c r="J9820" i="1"/>
  <c r="J9819" i="1"/>
  <c r="J9818" i="1"/>
  <c r="J9817" i="1"/>
  <c r="J9816" i="1"/>
  <c r="J9815" i="1"/>
  <c r="J9814" i="1"/>
  <c r="J9813" i="1"/>
  <c r="J9812" i="1"/>
  <c r="J9811" i="1"/>
  <c r="J9810" i="1"/>
  <c r="J9809" i="1"/>
  <c r="J9808" i="1"/>
  <c r="J9807" i="1"/>
  <c r="J9806" i="1"/>
  <c r="J9805" i="1"/>
  <c r="J9804" i="1"/>
  <c r="J9803" i="1"/>
  <c r="J9802" i="1"/>
  <c r="J9801" i="1"/>
  <c r="J9800" i="1"/>
  <c r="J9799" i="1"/>
  <c r="J9798" i="1"/>
  <c r="J9797" i="1"/>
  <c r="J9796" i="1"/>
  <c r="J9795" i="1"/>
  <c r="J9794" i="1"/>
  <c r="J9793" i="1"/>
  <c r="J9792" i="1"/>
  <c r="J9791" i="1"/>
  <c r="J9790" i="1"/>
  <c r="J9789" i="1"/>
  <c r="J9788" i="1"/>
  <c r="J9787" i="1"/>
  <c r="J9786" i="1"/>
  <c r="J9785" i="1"/>
  <c r="J9784" i="1"/>
  <c r="J9783" i="1"/>
  <c r="J9782" i="1"/>
  <c r="J9781" i="1"/>
  <c r="J9780" i="1"/>
  <c r="J9779" i="1"/>
  <c r="J9778" i="1"/>
  <c r="J9777" i="1"/>
  <c r="J9776" i="1"/>
  <c r="J9775" i="1"/>
  <c r="J9774" i="1"/>
  <c r="J9773" i="1"/>
  <c r="J9772" i="1"/>
  <c r="J9771" i="1"/>
  <c r="J9770" i="1"/>
  <c r="J9769" i="1"/>
  <c r="J9768" i="1"/>
  <c r="J9767" i="1"/>
  <c r="J9766" i="1"/>
  <c r="J9765" i="1"/>
  <c r="J9764" i="1"/>
  <c r="J9763" i="1"/>
  <c r="J9762" i="1"/>
  <c r="J9761" i="1"/>
  <c r="J9760" i="1"/>
  <c r="J9759" i="1"/>
  <c r="J9758" i="1"/>
  <c r="J9757" i="1"/>
  <c r="J9756" i="1"/>
  <c r="J9755" i="1"/>
  <c r="J9754" i="1"/>
  <c r="J9753" i="1"/>
  <c r="J9752" i="1"/>
  <c r="J9751" i="1"/>
  <c r="J9750" i="1"/>
  <c r="J9749" i="1"/>
  <c r="J9748" i="1"/>
  <c r="J9747" i="1"/>
  <c r="J9746" i="1"/>
  <c r="J9745" i="1"/>
  <c r="J9744" i="1"/>
  <c r="J9743" i="1"/>
  <c r="J9742" i="1"/>
  <c r="J9741" i="1"/>
  <c r="J9740" i="1"/>
  <c r="J9739" i="1"/>
  <c r="J9738" i="1"/>
  <c r="J9737" i="1"/>
  <c r="J9736" i="1"/>
  <c r="J9735" i="1"/>
  <c r="J9734" i="1"/>
  <c r="J9733" i="1"/>
  <c r="J9732" i="1"/>
  <c r="J9731" i="1"/>
  <c r="J9730" i="1"/>
  <c r="J9729" i="1"/>
  <c r="J9728" i="1"/>
  <c r="J9727" i="1"/>
  <c r="J9726" i="1"/>
  <c r="J9725" i="1"/>
  <c r="J9724" i="1"/>
  <c r="J9723" i="1"/>
  <c r="J9722" i="1"/>
  <c r="J9721" i="1"/>
  <c r="J9720" i="1"/>
  <c r="J9719" i="1"/>
  <c r="J9718" i="1"/>
  <c r="J9717" i="1"/>
  <c r="J9716" i="1"/>
  <c r="J9715" i="1"/>
  <c r="J9714" i="1"/>
  <c r="J9713" i="1"/>
  <c r="J9712" i="1"/>
  <c r="J9711" i="1"/>
  <c r="J9710" i="1"/>
  <c r="J9709" i="1"/>
  <c r="J9708" i="1"/>
  <c r="J9707" i="1"/>
  <c r="J9706" i="1"/>
  <c r="J9705" i="1"/>
  <c r="J9704" i="1"/>
  <c r="J9703" i="1"/>
  <c r="J9702" i="1"/>
  <c r="J9701" i="1"/>
  <c r="J9700" i="1"/>
  <c r="J9699" i="1"/>
  <c r="J9698" i="1"/>
  <c r="J9697" i="1"/>
  <c r="J9696" i="1"/>
  <c r="J9695" i="1"/>
  <c r="J9694" i="1"/>
  <c r="J9693" i="1"/>
  <c r="J9692" i="1"/>
  <c r="J9691" i="1"/>
  <c r="J9690" i="1"/>
  <c r="J9689" i="1"/>
  <c r="J9688" i="1"/>
  <c r="J9687" i="1"/>
  <c r="J9686" i="1"/>
  <c r="J9685" i="1"/>
  <c r="J9684" i="1"/>
  <c r="J9683" i="1"/>
  <c r="J9682" i="1"/>
  <c r="J9681" i="1"/>
  <c r="J9680" i="1"/>
  <c r="J9679" i="1"/>
  <c r="J9678" i="1"/>
  <c r="J9677" i="1"/>
  <c r="J9676" i="1"/>
  <c r="J9675" i="1"/>
  <c r="J9674" i="1"/>
  <c r="J9673" i="1"/>
  <c r="J9672" i="1"/>
  <c r="J9671" i="1"/>
  <c r="J9670" i="1"/>
  <c r="J9669" i="1"/>
  <c r="J9668" i="1"/>
  <c r="J9667" i="1"/>
  <c r="J9666" i="1"/>
  <c r="J9665" i="1"/>
  <c r="J9664" i="1"/>
  <c r="J9663" i="1"/>
  <c r="J9662" i="1"/>
  <c r="J9661" i="1"/>
  <c r="J9660" i="1"/>
  <c r="J9659" i="1"/>
  <c r="J9658" i="1"/>
  <c r="J9657" i="1"/>
  <c r="J9656" i="1"/>
  <c r="J9655" i="1"/>
  <c r="J9654" i="1"/>
  <c r="J9653" i="1"/>
  <c r="J9652" i="1"/>
  <c r="J9651" i="1"/>
  <c r="J9650" i="1"/>
  <c r="J9649" i="1"/>
  <c r="J9648" i="1"/>
  <c r="J9647" i="1"/>
  <c r="J9646" i="1"/>
  <c r="J9645" i="1"/>
  <c r="J9644" i="1"/>
  <c r="J9643" i="1"/>
  <c r="J9642" i="1"/>
  <c r="J9641" i="1"/>
  <c r="J9640" i="1"/>
  <c r="J9639" i="1"/>
  <c r="J9638" i="1"/>
  <c r="J9637" i="1"/>
  <c r="J9636" i="1"/>
  <c r="J9635" i="1"/>
  <c r="J9634" i="1"/>
  <c r="J9633" i="1"/>
  <c r="J9632" i="1"/>
  <c r="J9631" i="1"/>
  <c r="J9630" i="1"/>
  <c r="J9629" i="1"/>
  <c r="J9628" i="1"/>
  <c r="J9627" i="1"/>
  <c r="J9626" i="1"/>
  <c r="J9625" i="1"/>
  <c r="J9624" i="1"/>
  <c r="J9623" i="1"/>
  <c r="J9622" i="1"/>
  <c r="J9621" i="1"/>
  <c r="J9620" i="1"/>
  <c r="J9619" i="1"/>
  <c r="J9618" i="1"/>
  <c r="J9617" i="1"/>
  <c r="J9616" i="1"/>
  <c r="J9615" i="1"/>
  <c r="J9614" i="1"/>
  <c r="J9613" i="1"/>
  <c r="J9612" i="1"/>
  <c r="J9611" i="1"/>
  <c r="J9610" i="1"/>
  <c r="J9609" i="1"/>
  <c r="J9608" i="1"/>
  <c r="J9607" i="1"/>
  <c r="J9606" i="1"/>
  <c r="J9605" i="1"/>
  <c r="J9604" i="1"/>
  <c r="J9603" i="1"/>
  <c r="J9602" i="1"/>
  <c r="J9601" i="1"/>
  <c r="J9600" i="1"/>
  <c r="J9599" i="1"/>
  <c r="J9598" i="1"/>
  <c r="J9597" i="1"/>
  <c r="J9596" i="1"/>
  <c r="J9595" i="1"/>
  <c r="J9594" i="1"/>
  <c r="J9593" i="1"/>
  <c r="J9592" i="1"/>
  <c r="J9591" i="1"/>
  <c r="J9590" i="1"/>
  <c r="J9589" i="1"/>
  <c r="J9588" i="1"/>
  <c r="J9587" i="1"/>
  <c r="J9586" i="1"/>
  <c r="J9585" i="1"/>
  <c r="J9584" i="1"/>
  <c r="J9583" i="1"/>
  <c r="J9582" i="1"/>
  <c r="J9581" i="1"/>
  <c r="J9580" i="1"/>
  <c r="J9579" i="1"/>
  <c r="J9578" i="1"/>
  <c r="J9577" i="1"/>
  <c r="J9576" i="1"/>
  <c r="J9575" i="1"/>
  <c r="J9574" i="1"/>
  <c r="J9573" i="1"/>
  <c r="J9572" i="1"/>
  <c r="J9571" i="1"/>
  <c r="J9570" i="1"/>
  <c r="J9569" i="1"/>
  <c r="J9568" i="1"/>
  <c r="J9567" i="1"/>
  <c r="J9566" i="1"/>
  <c r="J9565" i="1"/>
  <c r="J9564" i="1"/>
  <c r="J9563" i="1"/>
  <c r="J9562" i="1"/>
  <c r="J9561" i="1"/>
  <c r="J9560" i="1"/>
  <c r="J9559" i="1"/>
  <c r="J9558" i="1"/>
  <c r="J9557" i="1"/>
  <c r="J9556" i="1"/>
  <c r="J9555" i="1"/>
  <c r="J9554" i="1"/>
  <c r="J9553" i="1"/>
  <c r="J9552" i="1"/>
  <c r="J9551" i="1"/>
  <c r="J9550" i="1"/>
  <c r="J9549" i="1"/>
  <c r="J9548" i="1"/>
  <c r="J9547" i="1"/>
  <c r="J9546" i="1"/>
  <c r="J9545" i="1"/>
  <c r="J9544" i="1"/>
  <c r="J9543" i="1"/>
  <c r="J9542" i="1"/>
  <c r="J9541" i="1"/>
  <c r="J9540" i="1"/>
  <c r="J9539" i="1"/>
  <c r="J9538" i="1"/>
  <c r="J9537" i="1"/>
  <c r="J9536" i="1"/>
  <c r="J9535" i="1"/>
  <c r="J9534" i="1"/>
  <c r="J9533" i="1"/>
  <c r="J9532" i="1"/>
  <c r="J9531" i="1"/>
  <c r="J9530" i="1"/>
  <c r="J9529" i="1"/>
  <c r="J9528" i="1"/>
  <c r="J9527" i="1"/>
  <c r="J9526" i="1"/>
  <c r="J9525" i="1"/>
  <c r="J9524" i="1"/>
  <c r="J9523" i="1"/>
  <c r="J9522" i="1"/>
  <c r="J9521" i="1"/>
  <c r="J9520" i="1"/>
  <c r="J9519" i="1"/>
  <c r="J9518" i="1"/>
  <c r="J9517" i="1"/>
  <c r="J9516" i="1"/>
  <c r="J9515" i="1"/>
  <c r="J9514" i="1"/>
  <c r="J9513" i="1"/>
  <c r="J9512" i="1"/>
  <c r="J9511" i="1"/>
  <c r="J9510" i="1"/>
  <c r="J9509" i="1"/>
  <c r="J9508" i="1"/>
  <c r="J9507" i="1"/>
  <c r="J9506" i="1"/>
  <c r="J9505" i="1"/>
  <c r="J9504" i="1"/>
  <c r="J9503" i="1"/>
  <c r="J9502" i="1"/>
  <c r="J9501" i="1"/>
  <c r="J9500" i="1"/>
  <c r="J9499" i="1"/>
  <c r="J9498" i="1"/>
  <c r="J9497" i="1"/>
  <c r="J9496" i="1"/>
  <c r="J9495" i="1"/>
  <c r="J9494" i="1"/>
  <c r="J9493" i="1"/>
  <c r="J9492" i="1"/>
  <c r="J9491" i="1"/>
  <c r="J9490" i="1"/>
  <c r="J9489" i="1"/>
  <c r="J9488" i="1"/>
  <c r="J9487" i="1"/>
  <c r="J9486" i="1"/>
  <c r="J9485" i="1"/>
  <c r="J9484" i="1"/>
  <c r="J9483" i="1"/>
  <c r="J9482" i="1"/>
  <c r="J9481" i="1"/>
  <c r="J9480" i="1"/>
  <c r="J9479" i="1"/>
  <c r="J9478" i="1"/>
  <c r="J9477" i="1"/>
  <c r="J9476" i="1"/>
  <c r="J9475" i="1"/>
  <c r="J9474" i="1"/>
  <c r="J9473" i="1"/>
  <c r="J9472" i="1"/>
  <c r="J9471" i="1"/>
  <c r="J9470" i="1"/>
  <c r="J9469" i="1"/>
  <c r="J9468" i="1"/>
  <c r="J9467" i="1"/>
  <c r="J9466" i="1"/>
  <c r="J9465" i="1"/>
  <c r="J9464" i="1"/>
  <c r="J9463" i="1"/>
  <c r="J9462" i="1"/>
  <c r="J9461" i="1"/>
  <c r="J9460" i="1"/>
  <c r="J9459" i="1"/>
  <c r="J9458" i="1"/>
  <c r="J9457" i="1"/>
  <c r="J9456" i="1"/>
  <c r="J9455" i="1"/>
  <c r="J9454" i="1"/>
  <c r="J9453" i="1"/>
  <c r="J9452" i="1"/>
  <c r="J9451" i="1"/>
  <c r="J9450" i="1"/>
  <c r="J9449" i="1"/>
  <c r="J9448" i="1"/>
  <c r="J9447" i="1"/>
  <c r="J9446" i="1"/>
  <c r="J9445" i="1"/>
  <c r="J9444" i="1"/>
  <c r="J9443" i="1"/>
  <c r="J9442" i="1"/>
  <c r="J9441" i="1"/>
  <c r="J9440" i="1"/>
  <c r="J9439" i="1"/>
  <c r="J9438" i="1"/>
  <c r="J9437" i="1"/>
  <c r="J9436" i="1"/>
  <c r="J9435" i="1"/>
  <c r="J9434" i="1"/>
  <c r="J9433" i="1"/>
  <c r="J9432" i="1"/>
  <c r="J9431" i="1"/>
  <c r="J9430" i="1"/>
  <c r="J9429" i="1"/>
  <c r="J9428" i="1"/>
  <c r="J9427" i="1"/>
  <c r="J9426" i="1"/>
  <c r="J9425" i="1"/>
  <c r="J9424" i="1"/>
  <c r="J9423" i="1"/>
  <c r="J9422" i="1"/>
  <c r="J9421" i="1"/>
  <c r="J9420" i="1"/>
  <c r="J9419" i="1"/>
  <c r="J9418" i="1"/>
  <c r="J9417" i="1"/>
  <c r="J9416" i="1"/>
  <c r="J9415" i="1"/>
  <c r="J9414" i="1"/>
  <c r="J9413" i="1"/>
  <c r="J9412" i="1"/>
  <c r="J9411" i="1"/>
  <c r="J9410" i="1"/>
  <c r="J9409" i="1"/>
  <c r="J9408" i="1"/>
  <c r="J9407" i="1"/>
  <c r="J9406" i="1"/>
  <c r="J9405" i="1"/>
  <c r="J9404" i="1"/>
  <c r="J9403" i="1"/>
  <c r="J9402" i="1"/>
  <c r="J9401" i="1"/>
  <c r="J9400" i="1"/>
  <c r="J9399" i="1"/>
  <c r="J9398" i="1"/>
  <c r="J9397" i="1"/>
  <c r="J9396" i="1"/>
  <c r="J9395" i="1"/>
  <c r="J9394" i="1"/>
  <c r="J9393" i="1"/>
  <c r="J9392" i="1"/>
  <c r="J9391" i="1"/>
  <c r="J9390" i="1"/>
  <c r="J9389" i="1"/>
  <c r="J9388" i="1"/>
  <c r="J9387" i="1"/>
  <c r="J9386" i="1"/>
  <c r="J9385" i="1"/>
  <c r="J9384" i="1"/>
  <c r="J9383" i="1"/>
  <c r="J9382" i="1"/>
  <c r="J9381" i="1"/>
  <c r="J9380" i="1"/>
  <c r="J9379" i="1"/>
  <c r="J9378" i="1"/>
  <c r="J9377" i="1"/>
  <c r="J9376" i="1"/>
  <c r="J9375" i="1"/>
  <c r="J9374" i="1"/>
  <c r="J9373" i="1"/>
  <c r="J9372" i="1"/>
  <c r="J9371" i="1"/>
  <c r="J9370" i="1"/>
  <c r="J9369" i="1"/>
  <c r="J9368" i="1"/>
  <c r="J9367" i="1"/>
  <c r="J9366" i="1"/>
  <c r="J9365" i="1"/>
  <c r="J9364" i="1"/>
  <c r="J9363" i="1"/>
  <c r="J9362" i="1"/>
  <c r="J9361" i="1"/>
  <c r="J9360" i="1"/>
  <c r="J9359" i="1"/>
  <c r="J9358" i="1"/>
  <c r="J9357" i="1"/>
  <c r="J9356" i="1"/>
  <c r="J9355" i="1"/>
  <c r="J9354" i="1"/>
  <c r="J9353" i="1"/>
  <c r="J9352" i="1"/>
  <c r="J9351" i="1"/>
  <c r="J9350" i="1"/>
  <c r="J9349" i="1"/>
  <c r="J9348" i="1"/>
  <c r="J9347" i="1"/>
  <c r="J9346" i="1"/>
  <c r="J9345" i="1"/>
  <c r="J9344" i="1"/>
  <c r="J9343" i="1"/>
  <c r="J9342" i="1"/>
  <c r="J9341" i="1"/>
  <c r="J9340" i="1"/>
  <c r="J9339" i="1"/>
  <c r="J9338" i="1"/>
  <c r="J9337" i="1"/>
  <c r="J9336" i="1"/>
  <c r="J9335" i="1"/>
  <c r="J9334" i="1"/>
  <c r="J9333" i="1"/>
  <c r="J9332" i="1"/>
  <c r="J9331" i="1"/>
  <c r="J9330" i="1"/>
  <c r="J9329" i="1"/>
  <c r="J9328" i="1"/>
  <c r="J9327" i="1"/>
  <c r="J9326" i="1"/>
  <c r="J9325" i="1"/>
  <c r="J9324" i="1"/>
  <c r="J9323" i="1"/>
  <c r="J9322" i="1"/>
  <c r="J9321" i="1"/>
  <c r="J9320" i="1"/>
  <c r="J9319" i="1"/>
  <c r="J9318" i="1"/>
  <c r="J9317" i="1"/>
  <c r="J9316" i="1"/>
  <c r="J9315" i="1"/>
  <c r="J9314" i="1"/>
  <c r="J9313" i="1"/>
  <c r="J9312" i="1"/>
  <c r="J9311" i="1"/>
  <c r="J9310" i="1"/>
  <c r="J9309" i="1"/>
  <c r="J9308" i="1"/>
  <c r="J9307" i="1"/>
  <c r="J9306" i="1"/>
  <c r="J9305" i="1"/>
  <c r="J9304" i="1"/>
  <c r="J9303" i="1"/>
  <c r="J9302" i="1"/>
  <c r="J9301" i="1"/>
  <c r="J9300" i="1"/>
  <c r="J9299" i="1"/>
  <c r="J9298" i="1"/>
  <c r="J9297" i="1"/>
  <c r="J9296" i="1"/>
  <c r="J9295" i="1"/>
  <c r="J9294" i="1"/>
  <c r="J9293" i="1"/>
  <c r="J9292" i="1"/>
  <c r="J9291" i="1"/>
  <c r="J9290" i="1"/>
  <c r="J9289" i="1"/>
  <c r="J9288" i="1"/>
  <c r="J9287" i="1"/>
  <c r="J9286" i="1"/>
  <c r="J9285" i="1"/>
  <c r="J9284" i="1"/>
  <c r="J9283" i="1"/>
  <c r="J9282" i="1"/>
  <c r="J9281" i="1"/>
  <c r="J9280" i="1"/>
  <c r="J9279" i="1"/>
  <c r="J9278" i="1"/>
  <c r="J9277" i="1"/>
  <c r="J9276" i="1"/>
  <c r="J9275" i="1"/>
  <c r="J9274" i="1"/>
  <c r="J9273" i="1"/>
  <c r="J9272" i="1"/>
  <c r="J9271" i="1"/>
  <c r="J9270" i="1"/>
  <c r="J9269" i="1"/>
  <c r="J9268" i="1"/>
  <c r="J9267" i="1"/>
  <c r="J9266" i="1"/>
  <c r="J9265" i="1"/>
  <c r="J9264" i="1"/>
  <c r="J9263" i="1"/>
  <c r="J9262" i="1"/>
  <c r="J9261" i="1"/>
  <c r="J9260" i="1"/>
  <c r="J9259" i="1"/>
  <c r="J9258" i="1"/>
  <c r="J9257" i="1"/>
  <c r="J9256" i="1"/>
  <c r="J9255" i="1"/>
  <c r="J9254" i="1"/>
  <c r="J9253" i="1"/>
  <c r="J9252" i="1"/>
  <c r="J9251" i="1"/>
  <c r="J9250" i="1"/>
  <c r="J9249" i="1"/>
  <c r="J9248" i="1"/>
  <c r="J9247" i="1"/>
  <c r="J9246" i="1"/>
  <c r="J9245" i="1"/>
  <c r="J9244" i="1"/>
  <c r="J9243" i="1"/>
  <c r="J9242" i="1"/>
  <c r="J9241" i="1"/>
  <c r="J9240" i="1"/>
  <c r="J9239" i="1"/>
  <c r="J9238" i="1"/>
  <c r="J9237" i="1"/>
  <c r="J9236" i="1"/>
  <c r="J9235" i="1"/>
  <c r="J9234" i="1"/>
  <c r="J9233" i="1"/>
  <c r="J9232" i="1"/>
  <c r="J9231" i="1"/>
  <c r="J9230" i="1"/>
  <c r="J9229" i="1"/>
  <c r="J9228" i="1"/>
  <c r="J9227" i="1"/>
  <c r="J9226" i="1"/>
  <c r="J9225" i="1"/>
  <c r="J9224" i="1"/>
  <c r="J9223" i="1"/>
  <c r="J9222" i="1"/>
  <c r="J9221" i="1"/>
  <c r="J9220" i="1"/>
  <c r="J9219" i="1"/>
  <c r="J9218" i="1"/>
  <c r="J9217" i="1"/>
  <c r="J9216" i="1"/>
  <c r="J9215" i="1"/>
  <c r="J9214" i="1"/>
  <c r="J9213" i="1"/>
  <c r="J9212" i="1"/>
  <c r="J9211" i="1"/>
  <c r="J9210" i="1"/>
  <c r="J9209" i="1"/>
  <c r="J9208" i="1"/>
  <c r="J9207" i="1"/>
  <c r="J9206" i="1"/>
  <c r="J9205" i="1"/>
  <c r="J9204" i="1"/>
  <c r="J9203" i="1"/>
  <c r="J9202" i="1"/>
  <c r="J9201" i="1"/>
  <c r="J9200" i="1"/>
  <c r="J9199" i="1"/>
  <c r="J9198" i="1"/>
  <c r="J9197" i="1"/>
  <c r="J9196" i="1"/>
  <c r="J9195" i="1"/>
  <c r="J9194" i="1"/>
  <c r="J9193" i="1"/>
  <c r="J9192" i="1"/>
  <c r="J9191" i="1"/>
  <c r="J9190" i="1"/>
  <c r="J9189" i="1"/>
  <c r="J9188" i="1"/>
  <c r="J9187" i="1"/>
  <c r="J9186" i="1"/>
  <c r="J9185" i="1"/>
  <c r="J9184" i="1"/>
  <c r="J9183" i="1"/>
  <c r="J9182" i="1"/>
  <c r="J9181" i="1"/>
  <c r="J9180" i="1"/>
  <c r="J9179" i="1"/>
  <c r="J9178" i="1"/>
  <c r="J9177" i="1"/>
  <c r="J9176" i="1"/>
  <c r="J9175" i="1"/>
  <c r="J9174" i="1"/>
  <c r="J9173" i="1"/>
  <c r="J9172" i="1"/>
  <c r="J9171" i="1"/>
  <c r="J9170" i="1"/>
  <c r="J9169" i="1"/>
  <c r="J9168" i="1"/>
  <c r="J9167" i="1"/>
  <c r="J9166" i="1"/>
  <c r="J9165" i="1"/>
  <c r="J9164" i="1"/>
  <c r="J9163" i="1"/>
  <c r="J9162" i="1"/>
  <c r="J9161" i="1"/>
  <c r="J9160" i="1"/>
  <c r="J9159" i="1"/>
  <c r="J9158" i="1"/>
  <c r="J9157" i="1"/>
  <c r="J9156" i="1"/>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<sst xmlns="http://schemas.openxmlformats.org/spreadsheetml/2006/main" count="137559" uniqueCount="29891">
  <si>
    <t>Índice onomástico anual · Gacetas oficiales de 1822</t>
  </si>
  <si>
    <t>Del 1 de enero al 31 de diciembre de 1822 · Gaceta de Madrid</t>
  </si>
  <si>
    <t>Aviso: índice generado a partir del OCR de facsímiles históricos. Las grafías y lecturas dudosas deben cotejarse con la página enlazada.</t>
  </si>
  <si>
    <t>15195 menciones · 381 archivos oficiales · 1843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</si>
  <si>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</si>
  <si>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</si>
  <si>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</si>
  <si>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</si>
  <si>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</si>
  <si>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</si>
  <si>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</si>
  <si>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</si>
  <si>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</si>
  <si>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</si>
  <si>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</si>
  <si>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A'.x</t>
  </si>
  <si>
    <t>Actuación administrativa o judicial</t>
  </si>
  <si>
    <t>Noticias y disposiciones</t>
  </si>
  <si>
    <t>Gaceta de Madrid n.º 308</t>
  </si>
  <si>
    <t>PDF p. 5</t>
  </si>
  <si>
    <t>Nombre detectado automáticamente; cotejar si se va a citar</t>
  </si>
  <si>
    <t>…es prevenidas en los decreto* Linda..................................... *36.5 A°- 364- 93 que cita el mismo articulo. Logroño................................. 184,11/. 49i. 93 El Sr. A'.x manifestó entre otras cosas que no debían admitirte Luga..........-........................... *53.708. 676. 13 las excepciones que hasta aquí había habido , y que convendría enti Madrid................................... *9°&gt;49S- 774- '6 lar.a, únicamente i…</t>
  </si>
  <si>
    <t>Lectura OCR</t>
  </si>
  <si>
    <t>A'a-</t>
  </si>
  <si>
    <t>Publicación o actividad intelectual</t>
  </si>
  <si>
    <t>Gaceta de Madrid n.º 25</t>
  </si>
  <si>
    <t>…al que por él hubiese hecho aquel s- rvicio.” . probado. El Sr. Martínez de la Rosa; En suprimiéndose la palabra papeles, Se mandó pasar a la comisión la siguiente proposición del Sr. A'a- creo que queda el artículo como corresponde. Se trata de un caso qoe tnan: » Exprésese en un artículo adiciona! al cap. 5/ del tft. 7. que en el día se está verificando, pues hay personas, que a bu .ando dei asilo la autoridad de los amos para con los esclavo…</t>
  </si>
  <si>
    <t>A'aman</t>
  </si>
  <si>
    <t>Nombramiento o servicio público</t>
  </si>
  <si>
    <t>España</t>
  </si>
  <si>
    <t>Gaceta de Madrid n.º 14</t>
  </si>
  <si>
    <t>PDF p. 3</t>
  </si>
  <si>
    <t>…tivamente ha venido dicha repreaentacion 4 la secretaria, pane que se d¿ cuenta de ella en sesión púMica." •» S: el ministro de la religión correspondiere á la clase de los fun El Sr. A'aman dooque en efecto se habia recibido esta mafiana cionar o» pubi.c - , v como tal fu-re ofendido, se eN..-rearan lar regias dicha representa. on ; peto que como s • reducía únicamente .. ped r prescrita» . n -I car. fi. del M. 3.''de esta prrneri parte." una co…</t>
  </si>
  <si>
    <t>A'onso</t>
  </si>
  <si>
    <t>Gaceta de Madrid n.º 374</t>
  </si>
  <si>
    <t>PDF p. 2</t>
  </si>
  <si>
    <t>…de la población, cuanto fuera de ella, en todo el termino pr&gt; videncias que tomen , y sin necesidad de conformarse con la opi dei pueblo respectivo.” nión de los ayuntamientos. El Sr. A'onso: Este artículo habla de los términos respectivos de Art- 177. «También podrán requerir los alcalde* , y lo* ayunta ios pueblos: yo desearía que la comisión dijese terminantemente que mientos deberán prestarles , como previene el art. 311 de la Constitu cuando…</t>
  </si>
  <si>
    <t>A'rarez</t>
  </si>
  <si>
    <t>Gaceta de Madrid n.º 167</t>
  </si>
  <si>
    <t>…is, y nmbien fi la mala cosecha que habrá este afio en dicha is a, El Sr. Canga convino en esta modificación. puc. que en mucho* terreno* no se cogerá ni aun la semilla, pido á El Sr. A'rarez (D. Eías) pidió se dijese quién en el que debía fijar las Cuites que tomando en consideración io referido, se sirran dispo el plazo, si las Co tes ó el G biemo. ner que al hacer el repartimiento de las contribuciones del próximo afio El Sr. secretario de Haci…</t>
  </si>
  <si>
    <t>A, Amonio</t>
  </si>
  <si>
    <t>Amonio A</t>
  </si>
  <si>
    <t>Mención en noticia o disposición</t>
  </si>
  <si>
    <t>Gaceta de Madrid n.º 310</t>
  </si>
  <si>
    <t>PDF p. 1</t>
  </si>
  <si>
    <t>Lectura automática dudosa; cotejar el facsímil</t>
  </si>
  <si>
    <t>…cuya ciu y otra ríe cazadores voluntarios de la provincia de Calatayud, al man dad había llegado aviso pr r los pa:tcs circulados de varios pueblos de do fiel ci mandante de rsios D. Amonio A znar , para que ios batiese; ella, y su gefe político puesto en mov miento sus milicias, hallaron pero esta mañana al amanecer he tenido U «atisfarrin* .fus di cerca de Mores , y dispersaron aquella facción. cita facción d ¡apareció como el humo por la bizarr…</t>
  </si>
  <si>
    <t>Revisar OCR</t>
  </si>
  <si>
    <t>A, Antonio Merconchmi.s</t>
  </si>
  <si>
    <t>Antonio Merconchmi.s A</t>
  </si>
  <si>
    <t>Operaciones o servicios militares</t>
  </si>
  <si>
    <t>Noticias militares</t>
  </si>
  <si>
    <t>Gaceta de Madrid n.º 228</t>
  </si>
  <si>
    <t>…la de Potrera, componen una A nombre de los individuos todos de la compañía de M. N. V. de esta fuerza de 1600 hombres cuando menos, la cual te halla mandada en ciudad, su capitán comandante Antonio Merconchmi.s A los mili su mtyor número por insignes y valientes patriotas. La diputación pro cianos nacionales ¿ individuos de la guarnición de Madrid.** vincial, que mientras le tuvo a tu frente, jamas separó en los medios ARTICULO DE OFICIO.cuando te trataba de emplearlo…</t>
  </si>
  <si>
    <t>A, Bonifacio</t>
  </si>
  <si>
    <t>Bonifacio A</t>
  </si>
  <si>
    <t>Gaceta de Madrid n.º 220</t>
  </si>
  <si>
    <t>PDF p. 4</t>
  </si>
  <si>
    <t>…ervido nombrar Jaén.................................. 533*13&lt;* para jueces letrados de partido, en esta forma; para el de Oribuela á León................................. aap.» 34 D. Bonifacio A moros y Orozco: para el de Oniafia, en la provincia Lérida.............................. 468,182 **§ de León, á D. Josef Susrez Caen lias; y para al de Llanca, en la de Lugo................................. *7 S'°78 Asturias, i D. Gonzalo Vaidés Posada. Malag…</t>
  </si>
  <si>
    <t>A, Francisca Leonor</t>
  </si>
  <si>
    <t>Francisca Leonor A</t>
  </si>
  <si>
    <t>Actividad económica o mercantil</t>
  </si>
  <si>
    <t>Gaceta de Madrid n.º 354</t>
  </si>
  <si>
    <t>PDF p. 6</t>
  </si>
  <si>
    <t>…la corbe rera y Juan de Soto; y otro situado en media anata de mercedes , en ta Diana con el resto del convoy quedaba aobre el cabo de San An privilegio de 3759 mrs., en cabeza de Doña Francisca Leonor A!etonio. pre. Se suplica al sugeto que supiere su paradero se sirva avisarlo á S. E. Crédito público- en su casa calle ds Alcalá, núm. 9, cuarto principal, frente á la fábri En consecuencia del anuncio inserto en los periódicos de Gaceta, ca da cristales. Univ…</t>
  </si>
  <si>
    <t>A, FranciscoCa</t>
  </si>
  <si>
    <t>FranciscoCa A</t>
  </si>
  <si>
    <t>Gaceta de Madrid n.º 345</t>
  </si>
  <si>
    <t>…..... 24,393— un criado: D. Diego Escandon, tesorero de Granada: D. Juan Martí A pensiones-............................ 34,299— 8 nez Pimllos, ex-guardia: D. Juan Martinez Torres: D. FranciscoCa A cesantes y jubilados......... 94,4a í— 3Í tarais, «x-guardía: D. Sebastian Artllano: D. Josef AguiUra: Tomas A 'dudas del Monte pío da lunar : Miguel Campillo: D. Manuel Andreu: D. Juan Ortega. Dan oficinas.................................... *37.7í3-2« Marco…</t>
  </si>
  <si>
    <t>A, Joaquín</t>
  </si>
  <si>
    <t>Joaquín A</t>
  </si>
  <si>
    <t>Noticia política o diplomática</t>
  </si>
  <si>
    <t>Gaceta de Madrid n.º 127</t>
  </si>
  <si>
    <t>…staba el ayuntamiento, accediese a su solicitud. Sssi n ordinaria del 4. Aprobado. Se leyó y aprobó el acta de la anterior. La comisión de Premios, en vista de las exposiciones de D. Joaquín A la compon de Visita del Oré lito público se mandó pesar una ex - de Lasaeta, vecino de Aula, pidiendo se le recompensan sus mérito* posición de D. Francisco Lop-z de Omandi, reproduciendo una instan y servicios, op nsba que las Cortes podían declarar que les…</t>
  </si>
  <si>
    <t>…dama ia seguridad pública. y formula una columna de *50 infant-s y ao caballos, marchó i la¿ » Los alcaldes y ayuntamientos publicarán esta orden luego que la órdenes del valiente comandante D. Joaquín A yerbe, quien en breve al reciban para que llegue,á noticia de todos. Oios guarde á vds. muchos canzó i los rebeldes, y después de un vivo fuego los desalojó de su* altos. Zaragoza ao de julio de 1822. = Florencio García.” primeros puntos; continuó el ataque á…</t>
  </si>
  <si>
    <t>A, Joaquín Es</t>
  </si>
  <si>
    <t>Joaquín Es A</t>
  </si>
  <si>
    <t>Gaceta de Madrid n.º 75</t>
  </si>
  <si>
    <t>…a una instancia de Doña María Machurra, pidiendo Galicia: para la de Valencia al brigadier D. Francisco Plasencia, que una pensión- lo e, interino de la misma: para la de Cádiz al coronel D. Joaquín Es A l.i de Comercio un informe del Gobierno sobre habilitación de cario , que lo es de ia misma: para la de Sevilla al teniente coronel puertas de comercio á algunos de Ultramar, y asimismo sobre declarar D. Joaquín Alvistur, que lo es de i a misma : para la de Z…</t>
  </si>
  <si>
    <t>A, Joscf</t>
  </si>
  <si>
    <t>Joscf A</t>
  </si>
  <si>
    <t>Gaceta de Madrid n.º 202</t>
  </si>
  <si>
    <t>1079</t>
  </si>
  <si>
    <t>…bien público una medida cualquiera, el ayunta En el liberal Guiruzcuano se pub'ican ¡as noticias siguientes: miento recibir! siempre vuestro» avisos con la benignidad de un padre D. Joscf A..ion,o tdaragarz* , comandante de la milicia voluntaria y con la sinceridad de un amigo, pues en los venturosos paites donde de Amczqu.la, compuesta oe uno* id hou.b es , en su parte a r.uestro reina la libertad todos son igualmente interesados en custodiarla…</t>
  </si>
  <si>
    <t>Gaceta de Madrid n.º 364</t>
  </si>
  <si>
    <t>…esto de la reserva en observación de la Seo de Ur dejando por gobernador al teniente coronel comandanta del mismo ge!. Al anochecer he llegado á c:t: punto sin ninguna novedad , y D. Joscf A randa , determiné continuar mis operaciones en la dirección mañana me preparo á continuar mi inovimiento.rsDios guarde á V. E. de la Seo de Urgel seguro de hallar al enemigo en las posiciones impe muchos años. Cuartel general de Ansubeli 27 de Noviembre de 18…</t>
  </si>
  <si>
    <t>A, Josef Cuervo</t>
  </si>
  <si>
    <t>Josef Cuervo A</t>
  </si>
  <si>
    <t>Gaceta de Madrid n.º 242</t>
  </si>
  <si>
    <t>…tro apoyo en toras ocasion e. Los s-gio* Subímitnlts. D. Bernardo Fernandez, D. Diego Llórente, D. Pa coronarán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t>
  </si>
  <si>
    <t>A, Juan</t>
  </si>
  <si>
    <t>Juan A</t>
  </si>
  <si>
    <t>Gaceta de Madrid n.º 183</t>
  </si>
  <si>
    <t>988</t>
  </si>
  <si>
    <t>…no Valdés, diputado por la provine * de Sevilla ; Den E» **r. pret d»'Bte dijo que mañana te continuaría la discusión de los Josef María Quiñones, que lo es por la de Puerta-Rico; D. Juan A n•Ib otos pendient e: que pasado mañana se discutiría el dictamen sobra tonio Castejon por la de Madrid; D. Bartolomé García Romero por el empréstito rxtrangero; y qae esta noche te discutirían los asunto* la de Sevilla; D. Francisco Benito por la de Toledo;…</t>
  </si>
  <si>
    <t>A, Juan Bautista Gan</t>
  </si>
  <si>
    <t>Juan Bautista Gan A</t>
  </si>
  <si>
    <t>Gaceta de Madrid n.º 74</t>
  </si>
  <si>
    <t>…berá imponerse á los desertores de segunda vez del recode Mequinenza, J&gt;. Estiban Dovon, cx-capuchino, D. Mar ano servicio de la Armada. Pascual de Alcañlz, D. Miguel Juan Garc’a, D. Juan Bautista Gan A la de Marina una solicitud de Gabriel Barceló, pidiendo se le do, D. Joaquín Esteban, L&gt;. Ramón Toro y 1). Mariano Galindo, conceda una pensión por haberse inutilizado en el navio Santiago de ha mandado S. M. que en su Real nombre se les den las gracias, y Am…</t>
  </si>
  <si>
    <t>A, Juan Martí</t>
  </si>
  <si>
    <t>Juan Martí A</t>
  </si>
  <si>
    <t>…acreditado de G braltar: D. Pedro Grimarest, su esposa y dos hijas con id.............................................. 24,393— un criado: D. Diego Escandon, tesorero de Granada: D. Juan Martí A pensiones-............................ 34,299— 8 nez Pimllos, ex-guardia: D. Juan Martinez Torres: D. FranciscoCa A cesantes y jubilados......... 94,4a í— 3Í tarais, «x-guardía: D. Sebastian Artllano: D. Josef AguiUra: Tomas A 'dudas del Monte pío da lunar :…</t>
  </si>
  <si>
    <t>A, Manuel</t>
  </si>
  <si>
    <t>Manuel A</t>
  </si>
  <si>
    <t>Gaceta de Madrid n.º 169</t>
  </si>
  <si>
    <t>…bre La comiaion segunda de Hacienda presentó los siguientes dic vedad. Aprobado. támenes. La comisión de Marina, habiendo examinado las representaciones Uno sobre la exposición de D. Manuel A!varado, auditor de Guer- hechas á las Cortes por todos los cuerpos qu: constituyen la armada en Ta honorario, haciendo presentes sus méritos y servicios, y pidiendo los d.'partamentos d: Cádiz, Ferrol y Cartagena, quejándose del aban ae le hab litase para pod…</t>
  </si>
  <si>
    <t>A, María</t>
  </si>
  <si>
    <t>María A</t>
  </si>
  <si>
    <t>Gaceta de Madrid n.º 89</t>
  </si>
  <si>
    <t>…bienes; otta de D. Antonio González Resilla^so’.iciuado dispensa gurarme de que este dinero no se tira í la calle, voy á indicar la mar de edad para administrar su caudal; otra de Doña María A: berta Ne cha que han debido seguir nuestro* ministro*, j compararla con la que gro , vecina de Barcelona, pidiendo dispensa de ley, por haber pasado í han seguido. segundas nupcias, para continuar en la tutoría de su hijo menor: otra de » En la ¿poca de nues…</t>
  </si>
  <si>
    <t>A, O-Donojú</t>
  </si>
  <si>
    <t>O-Donojú A</t>
  </si>
  <si>
    <t>Gaceta de Madrid n.º 28</t>
  </si>
  <si>
    <t>…e convenientes para empezar á tratar, y puedan de este modo llevarse á ferido. efecto las demas bases que te proponen é indican. No se diga pues que Por otra parte la conducta del general O-Donojú A ha sido aprobada ton inútiles las medidas que manifiesta la comisión. por el Gobierno ó no. Si no lo ha sido, este debía habet expedido una El Sr. López ha dicho que todo consistirá en el Gobierno, pues ti circular, en la que lo hubiera dicho asi. Si lo habia…</t>
  </si>
  <si>
    <t>A, Ra</t>
  </si>
  <si>
    <t>Ra A</t>
  </si>
  <si>
    <t>Gaceta de Madrid n.º 171</t>
  </si>
  <si>
    <t>…com¡s:on una adición de Sr- Rico sobre Aprobado. hacer extensivo el dictamen á lo» militares que te casasen con licencia. La comisión i.1 de Hacienla, en vista de una solicitud de D. Ra A la comisión de Visita del Crédito público se pasó una adición món Ispío, vecino de Alicante, opinaba que en atención á sus servi dtl Sr. Cana , sobre que se tengan por propiedades las fincas adquiridas cios, y á la recomendación que había merecido del ayuntam…</t>
  </si>
  <si>
    <t>A, Rodrigo</t>
  </si>
  <si>
    <t>Rodrigo A</t>
  </si>
  <si>
    <t>Gaceta de Madrid n.º 124</t>
  </si>
  <si>
    <t>…e los impuestos el impulso debido , ha tenido ¿ Hab'éndose denunciado a! Sr. a&lt;caide constitucional de esta corta bien S. M. ademas mandar que se lleve á cabo con exactitud lo dis D. Rodrigo A randa por D. Pablo Infante en nombre del ayunta puesto en el expresado decreto, especialmente por lo que hace 4 su ar miento constitucional de Calatayud el impreso titulado: n cVoticia Je tículo 3.", cuidando de que los comisionados ésten adornados de las tas…</t>
  </si>
  <si>
    <t>Gaceta de Madrid n.º 352</t>
  </si>
  <si>
    <t>…tsrado. El Sr. fiscal de imprenta D. Joaquín de la Torre y Bossuct denun Lista de lat circulares, decretos iré. publicados en lar gacetae de cVo- ció al Sr. alcalde constitucional D. Rodrigo A randa rl folíete t talado viembre. el Zurriago números 77 y 78, en concepto de subversión y sedicioso. Güicmacion dé la Península. Ea su vista te reunió el jurada , compuesto de :os i res itwifM-s: D. Dominio Fernandez Angu’o, D. Josef Larr-átegui, D. Pedro M…</t>
  </si>
  <si>
    <t>A, Rodrigo de</t>
  </si>
  <si>
    <t>Rodrigo de A</t>
  </si>
  <si>
    <t>Gaceta de Madrid n.º 122</t>
  </si>
  <si>
    <t>…ancisco Moreda , como autor de los es La comisión de Visita del Crédito público, en vista de la solicitud candalosos desórdenes de Setiembre último en aquella provincia; y otra de D. Rodrigo de A randa, para que se le admitiese la capital zacion de D. Josef María Caldea y Mauria, vecino de Barcelona, quejándose de una pensión que goza, y que solicitó cuatro días antes de publicarse del vicario general y proviso» D. Pedro Abella por haber infringido el…</t>
  </si>
  <si>
    <t>A, Roirigo</t>
  </si>
  <si>
    <t>Roirigo A</t>
  </si>
  <si>
    <t>Gaceta de Madrid n.º 230</t>
  </si>
  <si>
    <t>1193</t>
  </si>
  <si>
    <t>…arza por todos loa trava , á nombre del brigadier D. Juan Meláis , coronel del misino pueblos de la Península , y corta por todas las manos interesadas en la cu rpo, dnuncó al Sr. alcalde D. Roirigo A randa dos aniculos m- -perfeccon de la agricultura y ganadería, para que con su lectura se s rtus • i. os núms. 179 y lé’o del Diaria nuevo en concepto de rnju- difunda suavemente la instrucción de que tanto carecen estos impor r n.rn. Un su mu s- r -unió el…</t>
  </si>
  <si>
    <t>A, Roten y</t>
  </si>
  <si>
    <t>Roten y A</t>
  </si>
  <si>
    <t>Gaceta de Madrid n.º 240</t>
  </si>
  <si>
    <t>…de Julio de 1831.” ñor D. Francisco Ferrar.” (Siguen las firmas.) (Spb-mos que el Sr. comandante general, después de elogiar de bidamente Ja bizarría y acertadas disposiciones del brigadier Roten y A la milicia nacional voluntaria de infantería y caballería de la ca demás gefes, ha mandado dar las mas expresivas gracias á los valien pital, y demas individuos de le benemérita guarnición de Madrid. tes det egército permanente, milicianos y miqueletes á nomb…</t>
  </si>
  <si>
    <t>A, Soares de</t>
  </si>
  <si>
    <t>Soares de A</t>
  </si>
  <si>
    <t>Gaceta de Madrid n.º 153</t>
  </si>
  <si>
    <t>…ha procurado la Sublime Puerta separar 4 un El Sr. Margiochi habló m favor de la» votaciones públicas; y el rolo súbdito de las potencias vecinas de sus obligaciones como súbdito Sr. Soares de A revedo dijo: El asunto de que te trata et una cnestíon de aquellas, cuando &lt;n todos t 'topes ya ,n paz, ya en guerra ae ha de cuya resolución resultará, á mi modo de ver, un gran bien ó un Visto 4 loa rusos seducir 4 los súbditos musulmanes: este es el papel…</t>
  </si>
  <si>
    <t>A, V. de</t>
  </si>
  <si>
    <t>V. de A</t>
  </si>
  <si>
    <t>Gaceta de Madrid n.º 365</t>
  </si>
  <si>
    <t>1849</t>
  </si>
  <si>
    <t>…utor del impreso titulado Núm. 3.a Plática con hurtaret de librería* de Sanz , de Antoran y en la imprenta de Dávila. También jermon del mismo cura Larraga, dada á luz por el l)r. D. V. de A.-, se completará á los que las han comprado por tomos ó nóvala* sueltas, pero advirtieion que la denuncia cr* informal, y que fallaba la licen y no tienen la colección entera. cia expresa del ordinario, no obstante tratara* «n dicha obra de dog Nota. En la gac…</t>
  </si>
  <si>
    <t>A-, Juan Luis de</t>
  </si>
  <si>
    <t>Juan Luis de A-</t>
  </si>
  <si>
    <t>Gaceta de Madrid n.º 344</t>
  </si>
  <si>
    <t>…dentí ; y la dif.-rerría esti sr. que e! per odi-ta u fr.» Echagu.bei , Fr. K»m.-i C r o. , e presbítero D. Forando Aibisu, es mas flanco d cc. rdo muera la l • qel español que e- D. Juan Luis de A- u i-i/.iu , D. Manu ' de Ira-usta , D. Martin lando -;v t ¡a Cmstltu. ' 1 '? c1" 1 al mismo t-etvp» el puñal hasta ti 1 n espaúola, v p-rMn uel il Ira /os v 1 &gt;. N' v o M.-ndiburii saliesen c\.'Uls«&gt;* del quinto coraz n. F.l ei.’írj no qui-re 'a l*-rtud de 1…</t>
  </si>
  <si>
    <t>A-con, Andr.t</t>
  </si>
  <si>
    <t>Andr.t A-con</t>
  </si>
  <si>
    <t>Gaceta de Madrid n.º 204</t>
  </si>
  <si>
    <t>…de la Nación. Ar En su vista se reunió el jurado , compuesto dj los señor s siguientes:tículo 2 r. Los ayuntamientos tendrán contra los contribuyentes la mis D. Santiago Dr vado, D. Andr.t A-con , D. Manuel hst.ban Cama acción de apremio que los intendentes usaren contra ellos. Art. 2 2. tata , D. Andrés Navarro , D. Simón González Yu-t , D. Isidoro deEl Gobierno fijará los plazos en los que los ayuntamientos hayan de Ho&gt;os, D. Ánton o banda 10 de An…</t>
  </si>
  <si>
    <t>Aa, Isidoro</t>
  </si>
  <si>
    <t>Isidoro Aa</t>
  </si>
  <si>
    <t>Gaceta de Madrid n.º 157</t>
  </si>
  <si>
    <t>PDF p. 8</t>
  </si>
  <si>
    <t>…tes á lo* «el* primero* ? , W* de * ca^&gt;* ,,&gt; Hacienda. ves al restablecimiento de la Constitución 7r. afi° **♦; 1 ‘°* Pollc"&lt;J' Resolución de las Coi tes declarando i la viuda de D. Isidoro Aa* Decreto de la* Corle* imodando^L^', ** 7 0 a (ilion en el mismo caso que á las de Portier y Laci, por lo respectivo oleo* de la milicia nacional local. (G^V^V ! ^enovat•0,, ée «»* al goce del sueldo de su marido. (Gaceta del 1° de Mayo.') Real orden en que *…</t>
  </si>
  <si>
    <t>Aadreossy</t>
  </si>
  <si>
    <t>Gaceta de Madrid n.º 12</t>
  </si>
  <si>
    <t>…os buques def resguardo marítimo se quiera pensaría que es una ciudad moderna fundada por los musulmanes. armarán y tripularán de cuenta de la Hacienda pública ó por contratas, El general Aadreossy había hecho una descripción muy circunstan según mas convenga pan la mayor brevedad, eficacia y economía de ciada de los acueductos de Constantinopla, y sin embargo no tuvo no este armamento. El servicio que hicieren los oficiales de la armada i ticia de todo…</t>
  </si>
  <si>
    <t>Aáia</t>
  </si>
  <si>
    <t>Gaceta de Madrid n.º 301</t>
  </si>
  <si>
    <t>…e la España tra cauterio ai fuese necesario, por mas que ia parte dolorida lo sienta. te de su conservación. El Sr. Adan dijo 1 Me parece que satisfaré á S. S. con decir que en El Sr. Aáia continiró: Una vez que el Sr. secretario del Despacho este aslon aseguró un antecesor suyo que ya tenia el hilo de la trama de Estado ha llenado ya su deber, según acaba de manifestar á lat Cor en su secretaría , y por tanto S. S. deberá tener los antecedente…</t>
  </si>
  <si>
    <t>Aatichamp</t>
  </si>
  <si>
    <t>Gaceta de Madrid n.º 343</t>
  </si>
  <si>
    <t>PDF p. 7</t>
  </si>
  <si>
    <t>…de Junio de este año; ó ; urdo niero*, todos frence&gt;e&gt;. Siendo esto cierto y exacto, es preciso creer que usar de esta facultad con toda U prudencia necesaria para no vií.jr in d general Aatichamp sirve al partido francés, declarado ant ¡.español, fructuosamente en buques que no « haiien en otado de rend r ¿rucees y no al Gobierno francés, ó bien que el Gobierno francés tiene dos utilidades ; á cuyo fio oirá antes de resolver al almirantazgo. .A ;. s.°…</t>
  </si>
  <si>
    <t>AatiHacienda, Iiidma</t>
  </si>
  <si>
    <t>Iiidma AatiHacienda</t>
  </si>
  <si>
    <t>Gaceta de Madrid n.º 116</t>
  </si>
  <si>
    <t>…Lacoatuioo primen de Haciende, co vota de la irnaanciad* Doda guno que no tea hecho en virtud de orden firmada por el ministro da María Jotef» Rabia dt Calis, vioda »W hiarmérito D. Iiidma AatiHacienda, aa la que te expram *1 objeto de m iavenaon, p «I decreto llon, acarea da la ptmion quedtbeganar,opindhnqaaaaaehora de de 1»i Corte» que lo autorice. bía goaaedal eualda da roegiwrailii que gandía n difama agido des Art. ata. Luego que tapa sido aprobada por…</t>
  </si>
  <si>
    <t>Aaul.era, G-spar</t>
  </si>
  <si>
    <t>G-spar Aaul.era</t>
  </si>
  <si>
    <t>…res itwifM-s: D. Dominio Fernandez Angu’o, D. Josef Larr-átegui, D. Pedro Ma Decreto de lar Corter en que se comprenden cinco de la* medí" tute, D. Andrea Alton, D- Joaquín Ro-z , D. G-spar Aaul.era, Don das aprobadas por las misma* para ocurrir al estado actual de la Na Isidoro de Moyos, D. Josef Anton o Ponzoa y D. Srnt a.o De'cado. ción. (Gaceta del j.) Habida la conferencia, resu uó por unanimidad haber lugar áia for Decreto de la* Cortes en que te c…</t>
  </si>
  <si>
    <t>Abad</t>
  </si>
  <si>
    <t>Gaceta de Madrid n.º 276</t>
  </si>
  <si>
    <t>1379</t>
  </si>
  <si>
    <t>…r sobre sus criminales cabezas. ción el ripido curso que necesita. Idem 8. » El atraso que se exp.r menta en el otorgamiento de las escritura* Hoy debe salir el esforzado patriota capitán Abad con ya caballos filos compradores es producido del que teman al enca-garme de .sta de Numancia en persecución del malvado Zaldivar, que rst« cometien comisión el examen y reconocimiento de los documentos entregado» do mil tropelías en la falda de la sierra. _…</t>
  </si>
  <si>
    <t>Gaceta de Madrid n.º 358</t>
  </si>
  <si>
    <t>…habían tomado ea todo dadanos unos triunfos, que lejos de haber contribuido i consolidar la aquel dia. libertad del pueblo francés, solo sirvieron para engrandecer á un-usur- » El coronel Abad me dió parte de haber llegado i la* doce de la pador , y proporcionarle medios de tiranizar la Francia y asolar la Euro noche 4 Porzuña, y recojido algunos caballos dispersos ; y en este mo pa , bien que en este modo de citar los sucesos favorables 4 las arma…</t>
  </si>
  <si>
    <t>Abad, D Francisco</t>
  </si>
  <si>
    <t>D Francisco Abad</t>
  </si>
  <si>
    <t>…mé J) vándo’e rita una hora de ventaja, y pidiéndome le enviase refuerzos. rito particular. Se hallará en la librería de sanz, en la de Villanu'-.ii, En ef. cío dispuse saliese el coronel D Francisco Abad con 41 caba y en el almacén de la calle del Turco á 6 rs. Se está grabando oua ds llos del regimiento de España en aquella dirección, y una hora des- no menos mérito, que te dará á la mayor brevadad. EN LA IMPRENTA NACIONAL.</t>
  </si>
  <si>
    <t>Abad, Felipe</t>
  </si>
  <si>
    <t>Felipe Abad</t>
  </si>
  <si>
    <t>Gaceta de Madrid n.º 76</t>
  </si>
  <si>
    <t>…. Cal mano acaso no hub.es: elegido al señor O ro de la misma para que se devuelva el Gobierno la solicitud de Valcarcel: tal vea hubiera creído que había otra persona mas á propó D. Felipe Abad, á ña de que se le indemnice ce las pérdidas que ha sito que esu. Asi pues ¡hubo elección, ó no: No señor, está demos sufrido por haber sido acusado de haber ¡arado fidelidad al Key in trado basta la evidencia; y si valen afúmenlos, yo me tomaré la li truso b…</t>
  </si>
  <si>
    <t>Abad, Joaquín de</t>
  </si>
  <si>
    <t>Joaquín de Abad</t>
  </si>
  <si>
    <t>Gaceta de Madrid n.º 145</t>
  </si>
  <si>
    <t>…a los con arreglo á la misma ley.” Antonio López, D. Agustín Alcaide , D. Manuel antin, D. Joa Lo cpcan .0 • V. d; orí n d.l R:y para inteligencia, cumpli quín banchez del Cacho , D. Joaquín de Abad y D. Mariano Catalan. miento y gobierno d; es: tribunal. Aran.uz ió de Mayo de 1022. Habiendo calificado los jueces de hecho con la nota de injurioso en D. Vicente Jatidén-’s y Nébot, caballero de la Real y distinguida primer grado desde la palabra parece hasta donde dice incompe…</t>
  </si>
  <si>
    <t>Abad, Manuel</t>
  </si>
  <si>
    <t>Manuel Abad</t>
  </si>
  <si>
    <t>Gaceta de Madrid n.º 57</t>
  </si>
  <si>
    <t>…Aprobados. Por resolución, i consulta del consejo de Estado de ij del corrien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 Faicon , Don vacante por muerte de D. Manuel Ros de Mcdrano. Domingo Cortés,…</t>
  </si>
  <si>
    <t>Gaceta de Madrid n.º 154</t>
  </si>
  <si>
    <t>…que les es ciudad de Lima, está en Madrid, y si quiere encargarse de a.r g r lo* taba sefialada, hasta que las Cortes determinasen lo conveniente. Y en pápele* de lo* herederos de D. Manuel Abad, muerto en el pueblo de su vista se han servido las mismas aprobar la determinación del Go Huancayo; en cuyo caso se servirá acudir i la calle Angosta de S. Ber bierno; pero debiendo este cuidar de que se vigile por lo* arqueos se nardo , número ao, casa del…</t>
  </si>
  <si>
    <t>Abad, Remigio</t>
  </si>
  <si>
    <t>Remigio Abad</t>
  </si>
  <si>
    <t>Gaceta de Madrid n.º 193</t>
  </si>
  <si>
    <t>…r ayu O . sedo á D. Pedro Francisco López , espitan graduado de t.miento dante del regimiento de Málaga; con el sueldo que goza. coronel del revuniento «1 zapadores, id. Aslorga a D. Remigio Abad , teniente coronel graduado y capi O una I). M.autI Ber,jum -, a, mayor comandante supernumera tán d-l regimiento infantería de Vitoria, id. rio del regirme oto mlánt-ría Oe Alrica, id. Alcalá á D. Joaquín Henriquez, mayor comandante supernume P'l tic a á D.…</t>
  </si>
  <si>
    <t>Abadía, Francisco Javier</t>
  </si>
  <si>
    <t>Francisco Javier Abadía</t>
  </si>
  <si>
    <t>Gaceta de Madrid n.º 72</t>
  </si>
  <si>
    <t>…lares que no llegaban £ comprometer blecido el orden y la tranquilidad por el nuevo gefe político el tenient1b tranquilidad pfiMica , se limitaba'á contestar que quedaba enterado; general D. Francisco Javier Abadía, se procedió a la formación porto que no habia pbdido considerar dicho papel como parte de las causa , que aunqu ■ ñor las cierurt tunen* de lo, jueces haya tal vez pi. turbulencias ocurridas después , sino como un delito aislado, sujeto al reculo esto tan ch…</t>
  </si>
  <si>
    <t>Gaceta de Madrid n.º 120</t>
  </si>
  <si>
    <t>…velan libertades patrias, en caso de verse atacadas, revocó la orden, y ya no arbitrariedades, aunque si se cometen deberán ser castigadas; la comi• salió la partida de cabañería. D. Francisco Javier Abadía, gefe políti sion puede decir aquí están los males, hé aquí su origen; pero las me co de Murcia, es persona muy poco conocida en los fastos de la liber didas que proponga , es preciso que recaigan sobre ellos. Hay otra cosa, tad; y yo creo que no cumpliría co…</t>
  </si>
  <si>
    <t>Gaceta de Madrid n.º 131</t>
  </si>
  <si>
    <t>…escotado por ia co razones que exponía que debía exigirse la responsabilidad, tanto al gc- misión de Gu.-rra , en atención í las razón •» qu; d jo txpu -sus. fe polít co de Murcia D. Francisco Javier Abadía, como á los alcaides $e declaró este asunto suficientemente discutido, y quedó aprobado y ayuntamiento de la ciudad de Lorca. el artículo. . Habiendo insinuado el Sr. presidente que este asunto quedaría so Se Lyó el art. a.°, y el $r. Valdés ( D Cayetano) man…</t>
  </si>
  <si>
    <t>Gaceta de Madrid n.º 132</t>
  </si>
  <si>
    <t>…a Guerra, en que que dice asi: „ Debe exigirse la responsabilidad al gefe político de la participaba á las Corte* que á consecuencia de la solicitud de D. Luí* provincia de Murcia D. Francisco Javier Abadía;” quedó aprobada Fernandez de Castro , comandante del batallón segundo de Asturias, por 86 votos contra 33. que se pasó al Gobierno, acompasando las de otros varios individuos Sres. que la aprobaron: Salvl, Saavedra, Buruaga, Domenech, del mismo cuerpo , pidi…</t>
  </si>
  <si>
    <t>Abadía, Ramón</t>
  </si>
  <si>
    <t>Ramón Abadía</t>
  </si>
  <si>
    <t>…con el sueldo 4ue mis provincias, y responsables de ella, no por cao pueden disponer ab disfruta. solutamente da las tropas del egército permanente, sino pedir i los «• Hj.-sca á D. Ramón Abadía, comandanta supernumerario del re mandantes militares el correspondiente auxilio, ios cuales con conoci gimiento infantería de-Navarra , id. miento dal objeto podrí n disponer la fuerza y calidad de ella &lt;j_e te IoSeito á D Jisef Palacio, capitán del batallón…</t>
  </si>
  <si>
    <t>Abarca, Dolores</t>
  </si>
  <si>
    <t>Dolores Abarca</t>
  </si>
  <si>
    <t>Gaceta de Madrid n.º 291</t>
  </si>
  <si>
    <t>…n Cacho, Doña Josefa de Gregorio de Torres, Doña Luisa Vicario de noticias en aquel pueblo de que el general Mourgeon vivia, de qile ha Morerfo. Camareras, Doña María Cervar tes , Doña Dolores Abarca, bía batido completamente á los colombianos, de que el batallón de Doña Manuela Cacho , D ña Antonia Bonilla y Val&lt; ro, Dora María Aragón y los pástenos habían rivalizado en valor, y de que el ilustre Rodríguez y Camina, Doña Jos.fa Azcirat-, Doña Brígida Per…</t>
  </si>
  <si>
    <t>Abascal, Estéban</t>
  </si>
  <si>
    <t>Estéban Abascal</t>
  </si>
  <si>
    <t>Gaceta de Madrid n.º 205</t>
  </si>
  <si>
    <t>…nas, atacándome, la una de cazadores Primera. D. Josef Molinero, herido. D. Juan Velasco, contuso. por la calle dé ¿oteros, y la otra de granaderos por la de la Amargura, Segunda. D. Estéban Abascal, herido. extendiéndose par su izquierda al callejón del Infierno; por cuyos tres” Tercera. D.Juan Cruz de Aldama , herido. puntos y en un tiempo'tnismcí hicieron Un horroroso fuego, el que fue Cuarta. Subteniente D. Pedro Gortez de Velasco fue herido lle corr…</t>
  </si>
  <si>
    <t>Abascal, Juan Fernando</t>
  </si>
  <si>
    <t>Juan Fernando Abascal</t>
  </si>
  <si>
    <t>Gaceta de Madrid n.º 136</t>
  </si>
  <si>
    <t>…or sueldo que el que tenían antes de babdr o sido. Manuel Pereira, como marido de D iña María Ramona Abascal , h ja La comisión segunda de Hacienda presentó los siguientes dic del general D. Juan Fernando Abascal, pa-a que se ie ex'm ese dei pa támenes. go de lanzas y medias anatas por el título de marques de la C ncordn Uno sobre el expediente da D. Antonio Alvarez Baraga&amp;a jr Gon que concedieron las Cortes i dicho D. Juan Fernando, opinaba que es zález, en solicitud…</t>
  </si>
  <si>
    <t>Abel, Juan</t>
  </si>
  <si>
    <t>Juan Abel</t>
  </si>
  <si>
    <t>Gaceta de Madrid n.º 293</t>
  </si>
  <si>
    <t>…a, pues en sábados de 4 y media á Ó.__EL viernes i.° de Noviembre se abre una todo lo demas, relativo á la emisión de las rentas á que se contrae ei cátedra de italiano á cargo de D. Juan Abel)*. Serán d&gt;as de lección presente tratado, rigen y deben regir los dos decretos de Iss Cortes los lunes, miércoles y viernes de 8 á 9 de la noche----El lunes 7 se de 19 de Junio próximo pasado, y las autorizaciones de S. M. C. que •bre la cátedra de geoarafia…</t>
  </si>
  <si>
    <t>Abella, Joaquín Sanchis</t>
  </si>
  <si>
    <t>Joaquín Sanchis Abella</t>
  </si>
  <si>
    <t>…al Rey , se ha servido mandarlo traslade Gramática de las lenguas latina y castellana, arreglada por el doc i V. \ para su inteligencia y efectos correspondientes á su puntual tor D. Joaquín Sanchis Abella, pr,sb tero, para enseñarlas, s -guu su método práctico. &gt;e vende en las iibrcua» de A'onso y Afiloran. cumplimiento, adviniendo á V. S. que la resolución de las Cortes se Los comuneros de ogaño no son como ios de an'año, conversación contrae únicamente á las…</t>
  </si>
  <si>
    <t>Abella, Juan</t>
  </si>
  <si>
    <t>Juan Abella</t>
  </si>
  <si>
    <t>Gaceta de Madrid n.º 95</t>
  </si>
  <si>
    <t>…ta maciza, ha mandar hacer este pago debía aprobirse. Y asi se acordó. ciendo otros gastos sumamente excesivo* *0 color de piedad y religión, La misma, en vista de la solicitud de D. Juan Abella, contador de con lo que quedaban arruina&lt;Jo*. la aduana de Alicante, manifestando sus padecimientos por el sistema Uno de los Sras. de la comisión contestó que el dictamen te en constitucional, y el estado miserable á que c»taba reducido, y pidien tendía exte…</t>
  </si>
  <si>
    <t>Abella, Juan de</t>
  </si>
  <si>
    <t>Juan de Abella</t>
  </si>
  <si>
    <t>Gaceta de Madrid n.º 185</t>
  </si>
  <si>
    <t>…sario interponer su indujo y au La comisión de Hacienda opinaba que no deba acced.-rse á la pre toridad , y usar de otros recursos mas enérgicos y activos para sostener tensión de D. Juan de Abella sobre que se le abonase desde el año nuestras empresas, en lo cual la comisión no desechaba la idea de la de 1814 ai de 1810 el sueldo que disfrutaba como oficial déla secre independencia ; pero (añadió el orador) debe tenerse presente que es taria de una dip…</t>
  </si>
  <si>
    <t>Abella, Patricio</t>
  </si>
  <si>
    <t>Patricio Abella</t>
  </si>
  <si>
    <t>…y la vida. F.sta es te aviso á efecto de que llegando á tu noticia se presenten ó den razón la resolución de los verdaderos españoles; rs la que tienen bien mani desús personas á D. Patricio Abella , del comercio de la ciudad de Va festada os pueblos y tropas de ia provaica , y rs la que cumplirá in— lencia , que les dará razón de asuntos que les interesan. defe t b am nt* vu stro comandan!: in ¡ taf=H «norato Dub aisel. Contestación al manifiesto que d…</t>
  </si>
  <si>
    <t>Abella, Pedro</t>
  </si>
  <si>
    <t>Pedro Abella</t>
  </si>
  <si>
    <t>…al zacion de D. Josef María Caldea y Mauria, vecino de Barcelona, quejándose de una pensión que goza, y que solicitó cuatro días antes de publicarse del vicario general y proviso» D. Pedro Abella por haber infringido el decreto, opinaba que debía ser admitida dicha capitalización con una ley de la Novísima recopilación, autorizando un matrimonio en forme al decreto de 9 de Enero último. Aprobado. tre Doña Marta Carefi y D. Jaime Caldea. La misma, en v…</t>
  </si>
  <si>
    <t>Abella, Pedro Josef</t>
  </si>
  <si>
    <t>Pedro Josef Abella</t>
  </si>
  <si>
    <t>…e ” Cortes con fecha de 17 de Abril de 1811, impreso en la oficina de De orden de S. M. lo traslado á V. para su inteligencia y efectos Marcha Dorca en esta ciudad, denunciado por D. Pedro Josef Abella, consivui ntes. Aranjuez de Mayo de 1821. vicario general y gobernador de este obispado: declaran á unanimidad de votos que ha lugar á la formación da causa. Barcelona 23 de Abril Los Sres. secretarios de las Curtes han comunicado con fecha 2 del de r8i2.=Ped…</t>
  </si>
  <si>
    <t>Abelto, Manuel de</t>
  </si>
  <si>
    <t>Manuel de Abelto</t>
  </si>
  <si>
    <t>Gaceta de Madrid n.º 5</t>
  </si>
  <si>
    <t>…r que se había Ia el ateneo etpefiol se hace la apertura da la cátedra de italiano equivocado en la términa que se ha dicho. Respecto de la última « $ de Enero de 18aa al cargo de D. Manuel de Abelto, y conp—- que foliaba dar al código, al mismo Sr. Marina confina que no lisuatA ea toe marta y sábados de 7 4 8 da la noche. SUPLEMENTO</t>
  </si>
  <si>
    <t>Aborto, Josef</t>
  </si>
  <si>
    <t>Josef Aborto</t>
  </si>
  <si>
    <t>Gaceta de Madrid n.º 106</t>
  </si>
  <si>
    <t>…villa, habiéndose observado los trámites prescri tiende que han de Mr al precio medio de que habla el decreto de g de tos por la ley, y calificado loa Sres. D. Fernando de Zurita, D. Josef Aborto de i8ao, facultando á la diputación provincial para que ha Fetez de León, D. Rodrigo Sanjnrjo, D. Josef Miro, D. Miguel Mo bilite cata introducción cuando el trigo excediere de 8o r*. la fancga( reno , D. Alfonso Carrera, D» Gabriel Rodríguez, D. Francisco 7…</t>
  </si>
  <si>
    <t>Abranles, Agustín</t>
  </si>
  <si>
    <t>Agustín Abranles</t>
  </si>
  <si>
    <t>…ido , y llegase á una suma exorbitante La misma comisión de-Hacienda presentó los siguientes dictámenes: que no pudiesen pagar Jos pueblos. . Uno sobre el expediente promovido por D. Agustín Abranles, se El Sr. Canga contestó que Ja comisión habia hecho esta edición en cretario-segundo del antiguo ayuntamiento perpetuo de Murcia, pata vista de la propuesta del Gobierno; pero que no tenia inconveniente que se le comprendiese en el decreto de cesantes: la c…</t>
  </si>
  <si>
    <t>Abrcu</t>
  </si>
  <si>
    <t>…ir voluntariamente por 74 votos, habiendo obtenido 6'é ei Sr. Vrlasco, uno el íir Ruiz en persecución de los facciosos, al paso que las tropas del ejército se de la Vega, otro &lt;1 Sr. Abrcu, y otro el Sr. Domenecb. Total 145. disputaban le gloria de poder marchar. En masa se levantaría la pro En la elección de secretario tuvieron en primer escrutinio el seCor vincia entera en defensa de la Constitución ti amenazase un peligro Florcz Calderón 70…</t>
  </si>
  <si>
    <t>Gaceta de Madrid n.º 363</t>
  </si>
  <si>
    <t>…e enteramente bloqueada ia castilla. Sa mandason pasar á la comisión de Comercio rarias adición» al Ha causado mucha sensación en Alemania el haba sido llamado ▼oto particular del Sr. Abrcu sobre arbitrios consular»; y á la comi al Congreso de Veron» el Rey de Baviera. Temíase que se tratara de sión que entiende en el proyecto sobre el gobierno económico-político inteivenir en la negocia doméstica de aquella Estados, y particu de I» ptorinci» ot…</t>
  </si>
  <si>
    <t>Abre</t>
  </si>
  <si>
    <t>Gaceta de Madrid n.º 96</t>
  </si>
  <si>
    <t>…e lo* Sen. Rom, Velaaco y Lapoeru. Inscripciones coa intereses»^..........784 4 79. En la segunda votación ao hubo elección por tener j8 votos el Sé- ANUNCIOS. Sor J'tnenez, 43 el Sr. Abre,-ó el'Sr. Letra, 3 el Sr. Boey, g el Sa- Plan general de hacienda, presentado i las Cortes ordinaria] de 1811 Sor Marchámalo, a los Sees. Lapuerta y Cuadra, y nao lo* Sra*. Ría. porD. Francisco Gallardo Fernandez. En el estado de abatimiento en go, Argfíelles…</t>
  </si>
  <si>
    <t>Abren</t>
  </si>
  <si>
    <t>Gaceta de Madrid n.º 175</t>
  </si>
  <si>
    <t>…e de agregado, reemplazándote la No se aprobó el artículo. vacante, y al regreso ocupará plaza efectiva en tu misma compañía, Se mandó pasar é la comisión la siguiente adición del Sr. Abren cuando multe otra vacante durante el tiempo de tu empleo.” Aprobado. al art. 35: » Entiéndase autorizadas á ¡as personas reelectas para renun Art. gi. » Los elegidos para reemplazar las vacantes que ocurran ciar sus empleos dentro de los tres días primeros de…</t>
  </si>
  <si>
    <t>Gaceta de Madrid n.º 290</t>
  </si>
  <si>
    <t>…de SS. MM- y AA, y en rera Bufamente uno, el Sr. Infante uno, el Sr. Seoane uno, el ae- virtud de resolución del Excmo. Sr. marques de Sta. Cruz, mayordomo fior Zu'ueta uno, y el Sr. Abren uno. mayor de S. M.; se hace saber al público para que la persona ó personas Finalmente fue electo para cuarto secretario el Sr. Zulueta por que quieran hacer postura i dicha provisión por tiempo de un a ño , que votos de t&gt;9 , reuniendo el Sr. Romero 50 , el…</t>
  </si>
  <si>
    <t>…se , tanto por titu.o de legí palabra yete.» con la de presa. tima , como por otro de sucesión , bien sea extest-mento, si abintcsSe nombro psra ia comisión de Marina en lugar del Sr. Abren al tato, no obstante cualquiera renunc.a hecha en laver de sus comunida des o familias: ha resuelto S. M , oído el dictamen üel consejo de Es Sr. Jener. , ,. El Sr. presidente anunció que mañana se continuaría la discusión tado , que para evit»r*frecusnu*s so…</t>
  </si>
  <si>
    <t>Abreser, Diez</t>
  </si>
  <si>
    <t>Diez Abreser</t>
  </si>
  <si>
    <t>…mento , y se la mandó pasar á la comisión de Hacienda. Se concedió dispensa de edad para manejar tus bienes á D. Manuel En la ciudad de Valencia, habiendo sido denunciado ante el señor Diez Abreser, subteniente del regimiento de Valencia. alcalde segundo constitucional D. Manuel Franco por Sebastian Cruz, Se concedió cairta de ciudadano á los individuos siguientes, según vecino de Alicante, el papel titulado Liberal Alicanti «, núm. 65, proponía la comi…</t>
  </si>
  <si>
    <t>Abreu</t>
  </si>
  <si>
    <t>Gaceta de Madrid n.º 123</t>
  </si>
  <si>
    <t>…sobre el arreglo económico, Sesión ordinaria del jo. político de las provincias, con los votos particulares del mismo Sr. di -Se leyó y aprobó el acta de la anterior. putado y del Sr. Abreu acerca de varios puntos de dicho proyecto; Se leyó un oficio de la comisión de Comercio , en el cual exponía lodo lo cual mandaron las Cortes que se imprimiese. que deseosa de dar curso á varios expedientes sobre aranceles y adua Ei Sr. Pedralvez leyó la prim…</t>
  </si>
  <si>
    <t>Gaceta de Madrid n.º 139</t>
  </si>
  <si>
    <t>…or ias f&lt;Se^ombr&gt;*&gt;*para U comisión que ha de «tender en la prodición Cortes para hs demas clases del Estado; y que ínterin se resuelve »obie ílw'uAde. ? “¡J"* , Premios¿ lo, al«M,Sr. Abreu,SaraTia Olíen ver,lugarBinabadel Sr., Casasfeotae.y dichascio queexposicioneshace de las virtudes, el Congresodel egércitono puedeespafioi;menos virtudesde expresirque elsiempreapre ^LlevóSToficio del Sr. secretario de la Gobernación de la Penin- sorprenden a…</t>
  </si>
  <si>
    <t>Gaceta de Madrid n.º 152</t>
  </si>
  <si>
    <t>…os para reparo de ¡as casas con males que son consiguientes á la desunión que ellos profesan. sistoriales. Aprobado. Como hasta ahora han gozado de una completa impunidad; como El Sr. Abreu presentó una proposición para que el derecho qu- se hasta ahora se les ha despreciado , han cobrado nuevo aliento, y parece cobra á los que pasan del campo de b. Roque a G¡í&gt;ia!UT se :i:vi; rt 1 en que alimentan las esperanzas de conseguir sus depravados fine…</t>
  </si>
  <si>
    <t>…e el padre anciano en inculcará su hijo Asimismo leyó el voto particular que formaba dicho Sr. diputado ideas de virtud.; ellos son los que deben emplear su imperioso influjo y el Sr. Abreu , lo/ cuales opinaban que el exp.-d ente estaba bastante paternal para atraerlos á sus hogares; y espero que será esta una de las instruido, y debía declararse puerto franco el de Cádiz, Ceuta y todos pruebas mas seguras que darán á la patria de su honradez.…</t>
  </si>
  <si>
    <t>…extraordinarias pasadas como en las ciones hechas por varios señores diputados. ordinarias actuales, una cuestión de tanta entidad y trascendencia se ha Respecto de la adición del Sr. Abreu para que se afiadiese á la medi tratado de resolver en los últimos dias de la legislatura , días en que por da 10 lo siguiente: *» Quedando autorizadas las diputaciones provincia los muchos asuntos que están pendientes , no se puede resolver con la les para c…</t>
  </si>
  <si>
    <t>Gaceta de Madrid n.º 360</t>
  </si>
  <si>
    <t>…mo que todo 10 hae-a a su v.» untad consulares que se habia mandado voiver á ella , y el voto particular hizo qu.- vo.vieran a confundirse y mutl p.icais: estos d.t—...o, ¿tre del Sr. Abreu, individuo de la com&lt;sion. chos muy perjud.c lies al comerco. Puesto á discusión el dictamen en su totalidad , el Sr. lituriz pidió Cuando desempeñé la secr taria de Hacienda fu: rr.i rp n on que la lectura de varios documentos y úidenes, y en seguida manifes…</t>
  </si>
  <si>
    <t>Gaceta de Madrid n.º 362</t>
  </si>
  <si>
    <t>…te resentirían de esta disposición , pues que se les pijartirsa del pas tamen. to espiritual en que se han ocupado hasta aquí unos 15 religiosos que Se leyó el voto particular del Sr. Abreu, variado por *u autor á existen en aquel sitio practicando la penitencia; y por II». mismo soy consecuencia de las ideas manifestadas ayer por el Sr. Canga. de opmion que este convento sea exceptuado de la regí) pueril. Los Sres. Roset y Ojén fueron de parece…</t>
  </si>
  <si>
    <t>Abreu, Jaime Ruiz</t>
  </si>
  <si>
    <t>Jaime Ruiz Abreu</t>
  </si>
  <si>
    <t>Gaceta de Madrid n.º 147</t>
  </si>
  <si>
    <t>…tes de su la conferencia se declaró por siete votos haber lugar á la formación de ministrarse en cada una de sus datas por los abanderados de los regi causa, disintiendo ios Sres. D. Jaime Ruiz Abreu y D. Joaquín de mientos ; y siendo admitido por estos, se procederá á su distribución; Huerta y Ccvallos. pero si no fuese, tendrán arbitrio les asentistas á pedir se reconozca par p ritos inteligentes, nombrados uno por su parte, y otro por la Habiéndose denunciado a! Sr…</t>
  </si>
  <si>
    <t>Gaceta de Madrid n.º 223</t>
  </si>
  <si>
    <t>…partimiento............ 150».. roo compuesto á: los ser ore&gt; siguiente. : D. Juan Manuel de Aréjula, Don a.a id............... no.... 80 Francisco Martínez Marina, D. Mivuei Ripa, D. Jaime Ruiz Abreu, g.a id............................................... 90.... 60 D L ino Campos, D Hifiiio Antonio Lócente, D. Pío Santos, Don 4.* id..................... do.... 40 Nicolás Alonso y D. Manuel Carnicero. Habida la conferencia, testilló §.* id..................…</t>
  </si>
  <si>
    <t>…Antonio Lorente, D. Aniceto Lirana, Contaduría general de D. Manuel Esteban Caíala , D. Gaspar Aguilera , D. Rafael Coala, Cuentas....................... 29,050 D. Andrés Orinaga, D. Jaime Ruiz Abreu y D. Lorenzo Lambes. 8i,4o£ Habida la conferencia, resultó por mayoría no haber lugar á laIdem de intervención... 5&gt;,i'94 y DonDepositaría..................... . 9,880 formación de causa, disintiendo los Sres. D. Lorenzo 1hr» Geipar Aguilera.Porteros maceros...—••• 11,358 Agente…</t>
  </si>
  <si>
    <t>Abreu, Marcos Nuñez</t>
  </si>
  <si>
    <t>Marcos Nuñez Abreu</t>
  </si>
  <si>
    <t>Gaceta de Madrid n.º 380</t>
  </si>
  <si>
    <t>…udiencia territorial puntos qu: acostumbra, cuanto porque no me era en el momento nece de Castilla la Nueva por el píeseme edicto citan , llaman y emplazan i saria aquella fuerza. D. Marcos Nuñez Abreu , gobernador político y militar que lia sido » No puedo menos de recomendar i V. E. loa oficiales expresados en la villa de Vitlanueva de los Infantes, procésalo en la causa pen de ia Reina que se distinguieron«n la jornada de Sos i Lumbier, y de diente en di…</t>
  </si>
  <si>
    <t>Abreu, N.</t>
  </si>
  <si>
    <t>N. Abreu</t>
  </si>
  <si>
    <t>Gaceta de Madrid n.º 170</t>
  </si>
  <si>
    <t>…que le diese destino en la primera vacante que ocurriese. .Aprobado. opinaba que las Cortes podían declarar que debe reintegrarse con les El Sr. Cuevas presentó una expcs.cion de D. N. Abreu , primer ternnos de propios á Us dueños ó poseedores de censos, y en seguida teniente d i primer regimiento de Ja Guardia Real, en que hacia va i los que Jos tuvieren impuestos sobre arbitrios suprimidos. Aprobado. ras observaciones sobre la misma. Se mandó p…</t>
  </si>
  <si>
    <t>Abril, Jotef</t>
  </si>
  <si>
    <t>Jotef Abril</t>
  </si>
  <si>
    <t>Gaceta de Madrid n.º 181</t>
  </si>
  <si>
    <t>…n encargada de arreglar la etiqueta de casa Real pedia clon sea como la de los párrocos de que habla el decreto de 13 de ae la concediese el permiso de agregar i ella el ciudadano D. Jotef Abril de este ano, opinaba que siempre que les h-r.aílciado» fuesen Matías Carato. Concedido. verdadero* coadjutores de los párrocos, se les debía considerar coma La com.sion primera de Hacienda, con el fin de «vitar ea lo po tales en sus asignaciones y preferencia…</t>
  </si>
  <si>
    <t>Abro</t>
  </si>
  <si>
    <t>Gaceta de Madrid n.º 367</t>
  </si>
  <si>
    <t>…se multas proporcionadas á los ayuntamientos que no re tan: a , y por internar al raí no en general, esten inmediatamente á mitan las listas con la puntualidad debiday la otra del Sr. Abro, cargo det Gobierno, y se hayan emprendido é costa del erario nacio que decía : » En lugar de la segunda parte del art. 89 desaprobado pido nal , tendrán las diputaciones respectivamente aquella intervención que se diga lo siguiente : El Gobierno, oyen Jo a l…</t>
  </si>
  <si>
    <t>Acau</t>
  </si>
  <si>
    <t>Gaceta de Madrid n.º 182</t>
  </si>
  <si>
    <t>…jante, y por lo mismo creo que ». debe desaprobar el tervención de efectos y caudales, y cxpei.a.aoi»» ir.»yor:s y menores articulo de que se trata. en los partirlos y pueblo*. E. Sr. Acau dijo que la comis'on no hzbia hallado otro midió mas Administradores,guarda-almacenes y tesoreros principales, reunidos eficaz y seguro para cobrar las contribuí ones que el indicado, de también estos destino* en una sola persona , de papel sellado y p ñas bi…</t>
  </si>
  <si>
    <t>Ace</t>
  </si>
  <si>
    <t>Gaceta de Madrid n.º 326</t>
  </si>
  <si>
    <t>…a, haciendo un fuego el mas vivo, al que contestando el enemi nosa marcha, por la que se consiguió dejar muertos en el campo i3 go , tan superior en número, cayó muerto el bizarro comandante Ace perversos con lot cabecillas el Pattorcillo y Orneta, cogiéndoles 20 do, que siempre se mantuvo á caballo con la mayor serenidad. caballos y todas sus armas , municiones y acémilas , sin que por nues » En este momento hice venir de la derecha al Imperial Alej…</t>
  </si>
  <si>
    <t>Ace-rcdo, Josef Soto</t>
  </si>
  <si>
    <t>Josef Soto Ace-rcdo</t>
  </si>
  <si>
    <t>Gaceta de Madrid n.º 379</t>
  </si>
  <si>
    <t>…o adelan para plazas de judicatura de Galicia, en esta forma; para la del partido tan ext: ¿ordinariamente aua intereses, y siempre participan del triunfo ric S. Martin de Latiu á D. Josef Soto Ace-rcdo; para la de Celanova á de la causa victoriosa. Estos hombres perniciosos en todos tiempos jr D. Nicolás Luaces; pata la de Castro de Caidelas á D. Josef González países, disfrazan su perversidad con el velo de una moderación y pru Varela; para ia de Caiballin…</t>
  </si>
  <si>
    <t>Aced, Julián</t>
  </si>
  <si>
    <t>Julián Aced</t>
  </si>
  <si>
    <t>Gaceta de Madrid n.º 97</t>
  </si>
  <si>
    <t>…atravesando nubes de Barcelona casa de Dolía Josefa Clausellas, calle del Hospital /núm. 15: humo. Salía del cráter una llama resplandeciente, y nada había que en Zaragoza casa de D. Julián Aced, dei comercio, calle Contamina, turbase la magnificencia de aquella vista , ni aun siquiera el temor de núm. &lt;$$: en Santander en la botica de D. Antonio de la'Cuesta y los desastres que comunmente lleva consigo este fenómeno terrible. En Ontafion: en Santiag…</t>
  </si>
  <si>
    <t>Acedo</t>
  </si>
  <si>
    <t>…el sort. o de los qu bndos que algunos clérigos. Por nuestra parte tengo el sentimiento da haber visto en la distribución por déc mat han correspondido 4 :a nu;or pane perec-r al comandante Acedo, qne había venido desde Bilbao volun- de los pueblos con proporción 4 su vecindario; y 4 fin d: qu: cuarto Utiam nte con mi segundo el brigadier O. Josef Ruiz de Porras, im antes quede definitivamente concluido este asunto con la turmaníad pulsado de su patro…</t>
  </si>
  <si>
    <t>Acedo, Anselmo</t>
  </si>
  <si>
    <t>Anselmo Acedo</t>
  </si>
  <si>
    <t>…los cuales tingue á las tropas nacionales. Los 400 hombres de la milicia activa de pagaron. I» n caro su arrojo, pues ambos muiieton , siendo uno de Soria y Avila, mandados por el comandante D. Anselmo Acedo , fue ellos el cjL-cji’a Pa iorcillo, en cuya hora , que era la una de la no ron destinados á sostener el fuego en la ermita , mientras Valencey se che, le lúe preciso drr descanso á aquellos valientes. Recomienda pjrapoderaba, como lo hizo, de Asarta. La seg…</t>
  </si>
  <si>
    <t>Acedo, Sebastian Oliver y</t>
  </si>
  <si>
    <t>Sebastian Oliver y Acedo</t>
  </si>
  <si>
    <t>…día 29 Toledo.................... ......... *-539.tf5^ **i de Junio último, página 1715, firmado por D. Josef Borrajo, denun Torios*............................. 77.601 ciado por D. Sebastian Oliver y Acedo, declaran á unanimidad de votoc Tudela............................... 18,428 que ha lugar á la formación Je cauta. Barcelona 12 de Julio de 181*. Tuy................................... 844.#*o Francisco Altes , Benito Plandolit, Juan María de Monserrate Terre…</t>
  </si>
  <si>
    <t>Acero, Gabriel</t>
  </si>
  <si>
    <t>Gabriel Acero</t>
  </si>
  <si>
    <t>…ios de juros en el mero 7456: una 137U id., id. á Doña Gertrudis Iragorri, núm. 6250: archivo general de la distribución de la Hacienda pública para la liqui una id. de 1440 , id. D. Gabriel Acero, núm. Ó243 : una id- *410 dación de sus capitales, deberán tener entendido los interesados, que sueldos y mesillas, D. Jos.f Manuel de Erenatro 6x52 : una, gastos han de hacerlo, asi da los juros corrientes como de los mandados sus de Rea! casa, núm. 10,016,…</t>
  </si>
  <si>
    <t>Acevcdo, Antonio María Moreno y</t>
  </si>
  <si>
    <t>Antonio María Moreno y Acevcdo</t>
  </si>
  <si>
    <t>Gaceta de Madrid n.º 329</t>
  </si>
  <si>
    <t>…er esclavos , y ciudadanos que se han clavado i la digni el juzgado de primera instancia de Plasencía , y por el oficio del escri dad de hombres libres , no puede ser dudoso. bano D. Antonio María Moreno y Acevcdo , á acreditarle, donde se lea — En suplemento i la gaceta anterior publicamos que los facciosos oirá y administrará justicia ti la tuvieren. han abandonado é Balaguer; y arriba en párrafo de B-xcelona se dice * ANUNCIOS. que los facciosos, abatidos por el des…</t>
  </si>
  <si>
    <t>Acevedo, Antonio María Moreno y</t>
  </si>
  <si>
    <t>Antonio María Moreno y Acevedo</t>
  </si>
  <si>
    <t>…á dicho juzgado por Ja •.asi, sino un gran aparato militar, que lejos de acarrear funestos re bultados...... consolidará mas y mas el estado actual de las cosas, des escribanía de D. Antonio María Moreno y Acevedo, por si ó por pro curador , dentro del termino de 30 dias, contados desde el de hoy. atrayendo para siempre esperanzas siniestras.” La imprenta de la carrera de b. Francisco, propia de D. León Ama- Se ve muy bien que todo va á quedar en regla y en reposo ; pe…</t>
  </si>
  <si>
    <t>Acevedo, Félix Alvares</t>
  </si>
  <si>
    <t>Félix Alvares Acevedo</t>
  </si>
  <si>
    <t>Gaceta de Madrid n.º 190</t>
  </si>
  <si>
    <t>…Cortes sobra los religiosos espafiolet secularizado* y Decreto de las Cortes mandando inscribir en el ealon de las mis ascriptos al clero romano. (Gaceta del J.) mas el nombre de D. Félix Alvares Acevedo. (Gaceta del 8.) Circular d_-l ministerio comprensiva de un breve de S. S. sobre loe Resolución de las Cortes sobre viudedades. (Gaceta del 8.) prebendados que sean directores de lugares píos, hospicio* &amp;c. (Gaceta Real orden mandando que la plana mayor del b…</t>
  </si>
  <si>
    <t>Acevedo, Félix Alvarez</t>
  </si>
  <si>
    <t>Félix Alvarez Acevedo</t>
  </si>
  <si>
    <t>Gaceta de Madrid n.º 140</t>
  </si>
  <si>
    <t>…n hab.r hecho este importante servicio i la causa de la libertad, qM! las medidas prontas y enérgicas, y me parece que por de pronto es absoluta Cortes decr.tasen que el nombre de D. Félix Alvarez Acevedo fuese mente necesario prescindir de las -chusas que pueden haber contr.buido inscrito en el salón de Cortes. Aprobado. i esto. La comisión á qu: tengo'gt honor de pertenecer puede informar Se mandaron pasar á ta comsion de Guerra dos proposiciones de ■sobre l…</t>
  </si>
  <si>
    <t>Gaceta de Madrid n.º 165</t>
  </si>
  <si>
    <t>…Artículo único. - Se inscribirá en el sa'on de Cortes el nombre del dia aprobar, y que todos los Mes. qu* habían hsb ado sobre este asunto benemérito de la patria en grado heroico D. Félix Alvarez Acevedo. también suban conformes en que «libia sulor zarse al Gobierno para Madrid 19 de Mayo de 181 a. = Miguel de Alava, presidente. = Vicen que modi&amp;case el tratado , v que por *0 mismo « no encontraba inconve te Salva, diputado secretario. = Jos«f Melchor Prat, d…</t>
  </si>
  <si>
    <t>Acevedo, Félix AU’arez de</t>
  </si>
  <si>
    <t>Félix AU’arez de Acevedo</t>
  </si>
  <si>
    <t>Gaceta de Madrid n.º 109</t>
  </si>
  <si>
    <t>…es susceptible la justicia de Cortes decretasen que se inscribiese en el salón de sus sesiones el nom los guerreros, prot-gidos del Dios de los ejército», por la qu: asiste bre de D. Félix AU’arez de Acevedo, puesto que no solo había inten i su causa , y manifestar de nuevo á !a Nación, al Rey y al digno gefe tado restablecer el sistema constitucional , sino que lo hab a puesto en que representa su Real persona en eslas provincias que el regimiento egecucion, sie…</t>
  </si>
  <si>
    <t>Acevedo, Josef</t>
  </si>
  <si>
    <t>Josef Acevedo</t>
  </si>
  <si>
    <t>Fallecimiento, herencia o memoria</t>
  </si>
  <si>
    <t>Gaceta de Madrid n.º 206</t>
  </si>
  <si>
    <t>…ición y milicia* por cla.es, habien Mateo. do sido convidado también el patriota D. Ignacio Acevetlo, padre del » Fa este momento acaba de presentírseme el oficial de Málaga héroe D. Josef Acevedo, muerte ppr los facciosos en el ataque de. D. Batto'omé Vizconde, quien en medio de la pérdida del camino que Montilla. le ocasionó el guie, ha caído, «aguo me dice, sobre una partida de cua Madrid Lañes ig de Julia. tro facciosos, que fueron muertos, y resca…</t>
  </si>
  <si>
    <t>Acevedo, Soares</t>
  </si>
  <si>
    <t>Soares Acevedo</t>
  </si>
  <si>
    <t>…la sesión de este día. SU'do a¡ m imo paso que las rentas públicas, y que todos los precios Idem del *6. traban subido. Pe r bu pidió que no hubiera lugar á Votar sobre la pro El Sr. Soares Acevedo leyó el dictsmrn de la convsion enca*g*da dt posición , y se acoidn «si per 1'6 vetos contra lot. redactar los art cu.os adiciónales á la Constitución para el Bras.i a lo» El d a 21 fue d.sésil do en la Crin ira de !os Pares por una mayo cuales precedía un di…</t>
  </si>
  <si>
    <t>Gaceta de Madrid n.º 222</t>
  </si>
  <si>
    <t>…zado los grandes talentos de la asamblea nacional de Francia en &gt;791 y 1791, cuando había trata 1MGIATBKCA. do de hacer una Constitución para sus colonia*. LSnJres /a de Julio. El Sr. Soares Acevedo dijo que los ilustres diputados que habian En la sesión de la Canasta de los Comunes se ha tratado del impugnado el proyecto habian demostrado basta la evidencia que no ulesse ruso, prohibiendo á l&lt;u buques extranjeros la navegación en el era admisible: prime…</t>
  </si>
  <si>
    <t>Acevetlo, Ignacio</t>
  </si>
  <si>
    <t>Ignacio Acevetlo</t>
  </si>
  <si>
    <t>…as en continuo movimiento , y pronto volveré á ocupar el de San mi llares y loa cuerpo* de la guarnición y milicia* por cla.es, habien Mateo. do sido convidado también el patriota D. Ignacio Acevetlo, padre del » Fa este momento acaba de presentírseme el oficial de Málaga héroe D. Josef Acevedo, muerte ppr los facciosos en el ataque de. D. Batto'omé Vizconde, quien en medio de la pérdida del camino que Montilla. le ocasionó el guie, ha caído, «aguo me dic…</t>
  </si>
  <si>
    <t>Acgtiellet</t>
  </si>
  <si>
    <t>Gaceta de Madrid n.º 129</t>
  </si>
  <si>
    <t>…no confundes loa derechos -racho* exclusivamente suyo*. de la propiedad particular con los Mflotiales. Yo bien conozco que en aquel tiempo te podrían acaso inf'iBtrbs Por últmo ei Sr. Acgtiellet reprodujo al argumento hecho en la le* leyes; pero esta infracción no podía producir reglas generala Toda gitíaturs anterior por el Sr. Martínez de la Rosa, i saber, que esta donación en que se comprenden las aguas, monta , campo*, mugere», cuestión versaba e…</t>
  </si>
  <si>
    <t>Achútegui, Francisco Javier de</t>
  </si>
  <si>
    <t>Francisco Javier de Achútegui</t>
  </si>
  <si>
    <t>Gaceta de Madrid n.º 99</t>
  </si>
  <si>
    <t>…y acompañó al Diario Gaditano de ag del mismo bsjo el nombra de £i 78134 de renta cada año, se suplica 4 la persona en cuyo poder se halle secular Ae la ley. se sirva entregarlo 4 D. Francisco Javier de Achútegui, qne vive en la Los jueces de hecho D. Francisco dt Paula Castro y Gómez, Don calle de los Gitanos , núm. 11, cuarto principal, en que recibirá merced. Martin Fernandez Elias , D. Jotcf Marta Villaranda, D. Juan Gonzá Dictamen sobre los diezmos por D. Antonio…</t>
  </si>
  <si>
    <t>Aciicro, Feópe Arco</t>
  </si>
  <si>
    <t>Feópe Arco Aciicro</t>
  </si>
  <si>
    <t>…tos en *•* Quela■ cruces correspoudirntes i los mariscales de catnp-&gt; Don livor del buen éxito de su empresa. No obstante, cuanto pata é nues Antonio Quiroga, D. Rafael d i Riego, D. Feópe Arco Aciicro, tra vista, y puede dar lugar i sacar ilaciones, no basta para hacer con D. Miguel López Baños, D. D «ttfíoO-Dav y D. Carlos F-ti tusa jeturas sobre la cuestión de si en medio de su gran prudencia tendrá a serán la» que es e! art. &gt; s se designan para la prim…</t>
  </si>
  <si>
    <t>Acilona, N.</t>
  </si>
  <si>
    <t>N. Acilona</t>
  </si>
  <si>
    <t>…pidieron al tiempo entraban en Motrico otros de la gavilla de Vizcaya. . „ I ayuntamiento, qne pusieron arrestado, las armas de la infantería y ra- Siete voluntarios unidos con el alcalde D. N. Acilona y D. Ma con'i, mas se negó i entregar cosa alguna, y ti antes de ahora hubie nuel Echeverría, maestro de escuda de dicho pueblo, resistieron’ á su se ten do este carácter y tetón no hubiera llegado este cato; y asi ellos acometida mucho mu numerosa, y aunque se viero…</t>
  </si>
  <si>
    <t>Ación</t>
  </si>
  <si>
    <t>…cas ditano, núm. 707, del día * del a.tuai; y teunido ei jurado... mpsct» del Crédito público, contestando á un oficio de esta comisión de Vs— de los señares D. Joaquín Mana Goñ', D. Ación o ce L .arara, Don aita, dice con fecha a a del actual lo que sigue: Francisco Ignacio, D. Juan del Pozo y Tejada, D.^Mait n fe-taanC-z — Mi primer cuidado al encargarme de la couvsion especial de in Elias, D. Francisco Escudero, D J .an Bautista \ ea Muren.j…</t>
  </si>
  <si>
    <t>Acliútegui, N.</t>
  </si>
  <si>
    <t>N. Acliútegui</t>
  </si>
  <si>
    <t>Gaceta de Madrid n.º 209</t>
  </si>
  <si>
    <t>…nar por bu»;: i- que 1.» ayu taparte era la primera vez que se hallaban en circundan, ius scmeiaa- Oiieatos ni»:; y d.cidzn las queju dr ios agraviados dentro da 1 j d.a», tes. Su capitán D. N. Acliútegui dió bien á conocer qu- con apiove- oejanco 4 «»to* ci dcrr.'.o tí; acudir i lo» intendentes á ¿educ.r . agra chamiento habla seguido la carrera militar. La tropa del cu.iq.» en los vio, ca,o deno confotmarse con aquel f..llo; y 2.^ que el intendente, siete d.…</t>
  </si>
  <si>
    <t>Acu, Antonio</t>
  </si>
  <si>
    <t>Antonio Acu</t>
  </si>
  <si>
    <t>Gaceta de Madrid n.º 81</t>
  </si>
  <si>
    <t>…ría Art. 11. i) Dispondrá también el Gobierno sean exhumados los del Cármen Monserrat, viuda del cirujano D. Manuel de Santisteban, restos del benemérito Comunero obispo de Zamora D. Antonio Acu sobre que se le concediese una pensión que debió disfrutar por el mon ña , enterrado en Simancas , y sean trasladados 4 aquella santa iglesia, te pío militar; opinaba que no ae hallaba el erario nacional en estado y sepultados donde lo están ios demas obispos…</t>
  </si>
  <si>
    <t>Acuña</t>
  </si>
  <si>
    <t>Gaceta de Madrid n.º 176</t>
  </si>
  <si>
    <t>…, manifestando, la necesidad da que los gas en un patíbulo, á pesar da haber alguno mas/mcrecedor de él que el tos causados por la milicia en persecución de los facciosos fuera da obispo Acuña, es absolutamente necesario que el Gobierno tenga en su sus respectivos' pueblos se satisfagan por la Hacienda nacional, y no mano un medio de. imponer á los que debiendo sus mitras é las prue por los mismos pueblos. bas de desafección al sistema, que han sid…</t>
  </si>
  <si>
    <t>Acuña, Antonio</t>
  </si>
  <si>
    <t>Antonio Acuña</t>
  </si>
  <si>
    <t>Gaceta de Madrid n.º 119</t>
  </si>
  <si>
    <t>…van reunidos , y los han visto i sus inmediaciones, i ios que van per ti. Dispondrá también ei Gobierno sean exhumados los restos del siguiendo. benemérito comunero .bspo de Zimo» D. Antonio Acuña, enterra Cada vez ae hace digno del mayor elogio el coronel Cruchaga y laa do en límm.ji, y que se trasladen a aquella santa iglesia, y sepul partida* destinada* 4 la referida comisión por su zelo, intrepidez y ten donde lo ésten los demas ob spes de la misma…</t>
  </si>
  <si>
    <t>Acuña, Bartolomé Gutiérrez de</t>
  </si>
  <si>
    <t>Bartolomé Gutiérrez de Acuña</t>
  </si>
  <si>
    <t>Gaceta de Madrid n.º 283</t>
  </si>
  <si>
    <t>…o muy obsequiado. enunciaros el peligro queda este en gran parte desvanecido. Idem ¡8. • Constitución ó muerte jurasteis: Constitución ó muert- ha jura Ha llegado i esta ciudad el Sr. D. Bartolomé Gutiérrez de Acuña* do y jura de nuevo vuestra diputación : ha llegado el tiempo de que nombrado por S. M. gefe superior poiít.co de la provincia. sellemos con todo linage de sacrificios, basta con el de nuestras v.cas, Esta mañana serió al OSO. una goleta corsaria insurgente,…</t>
  </si>
  <si>
    <t>Acursio</t>
  </si>
  <si>
    <t>…a saldremos da esta tres brigaoa» , que compon?a m., :s Lisboa IJ de Diciembre. jJ hombres , a recorre; les montañas } r bcul Vlrr , y ,ub. • - .a En la sesión de Corte» del 11 al diputado Acursio das Nenes hizo partí ds Ripoit y 0:~t c fin di no nejarlos parar dr día n. C ■ co-h: ” __Por un inicio liegado a Tarragora d. ut ir-mr. .nes c. l) ot la siguiente proposición -. , .... . » La Constitución política de la Monarquía se ha violado escanda se sabe…</t>
  </si>
  <si>
    <t>Gaceta de Madrid n.º 377</t>
  </si>
  <si>
    <t>…e:o de _ A c ntmuac.on ds este dietetnen sí b zi cergo la comVon de lasBumposta 2 de D.c::tr.bre de 182 2. = Conde dt Samptyo.—Osode de tazones en que se fundaba la m iicacion dii Sr. Acursio das Nev.s , y P£r.»fiel.=Fieití.=D»ntas.=s'^unhi.=:í&gt;liveita=:Iíriamt»ttip =:M&lt;jura. justificó la conducta de! G-ido. Documento número ib. Las Cortes han resuelto qu; todo lo expuesto se ¡mprim -si en el Manuel Cipriano da Costa, cabaiieio profeso de !a orden…</t>
  </si>
  <si>
    <t>AcuUiao, Pedro</t>
  </si>
  <si>
    <t>Pedro AcuUiao</t>
  </si>
  <si>
    <t>Gaceta de Madrid n.º 247</t>
  </si>
  <si>
    <t>…ces cuando se v- atacado para asegurar la m imo Medina use hace creer son fr.*» tslev •iT' t-.—E&gt; orxaedanliiga; si se sostiene es por la escandalosa ptoteccion que estos malva «e D. Pedro AcuUiao, destinado en persecución d« lsccíosos , Cica</t>
  </si>
  <si>
    <t>Ad</t>
  </si>
  <si>
    <t>Gaceta de Madrid n.º 68</t>
  </si>
  <si>
    <t>…-': Vi creo que para decir esto no se necesita mar cu; bundo la última boqueada, segun el estado en que se hallaba Por es h.rc.-r cuaipiir 1..» órdenes que no están cumplidas. Eli Sr. Ad ío me E.i tas rizones opinó que sin p.-riu cío de ex.g.rse la responsabilidad a quien prevenido en i.r&gt; i, jiv r..;.m:s que iba a •:j_ir. E.i secretario de Merina hubiese lugar se debía atender con urgencia á la marina. a! tratar de cite truislo lia dicho ,!e…</t>
  </si>
  <si>
    <t>Ada</t>
  </si>
  <si>
    <t>Gaceta de Madrid n.º 65</t>
  </si>
  <si>
    <t>…e determine la ley, y que se saprimicia la segunda parte del nifica el período de la* sesiones de Costes, y no el cuerpo represen articulo. tativo. Se suprimió el artículo 163. El Sr. Ada* manifestó ser juta la observación que se acababa da haArt. 164. » Los magistrados serán tes poní«bles de los delitos que ctt, y que te podrá adaptar la palabra cuerpo rqmmtjim en logar cometieren en el egercicio de sus funciones, particularmente de las in de…</t>
  </si>
  <si>
    <t>Gaceta de Madrid n.º 86</t>
  </si>
  <si>
    <t>…erno en etu parte según era muy urgente. las facultades que tiene no puede hacer mas que lo que dejo indicado. El Sr. Navarro Tejeiro dijo que no se.oponis á que esta msdida pe El Sr. Ada manifestó que la.comisión no quería que el Gobierno sare á la comisión de Milicias; pero que siempre ere necesario tomar te excediese de sus facultades, tino únicamente qué cooperas* por can alguna* disposiciones perentoria* robre esta materia, pues ul había…</t>
  </si>
  <si>
    <t>Gaceta de Madrid n.º 197</t>
  </si>
  <si>
    <t>…accedido á esta oferta. Compañía en el norueste de America. En medio de tanU» J ua «seontndea noticia* apenas sabe una á El iMÍratcrito cree ademas «te su deber al mami (estar al Sr. Ada»</t>
  </si>
  <si>
    <t>Adaman</t>
  </si>
  <si>
    <t>Gaceta de Madrid n.º 1</t>
  </si>
  <si>
    <t>…varias observaciones contra este artículo, y ma merciantes de Cádiz, y en seguida el código penal; y te levantó la ac nifestó que no debía aprobarse. ción 4 laa tres y cuarto. El Sr. Adaman i Estaba muy lejos de pensar en entrar en esta disen sión ; pera habiendo hecho presente la historia de los asilos en los di ARTICULO DE OFICIO. versos tiempos del Estado los Sres. Castrillo y Moreno, me ha pareci do que no sera fuera del caso manifestar é qu…</t>
  </si>
  <si>
    <t>Adan</t>
  </si>
  <si>
    <t>Gaceta de Madrid n.º 48</t>
  </si>
  <si>
    <t>…auxiliara los referidos puntos, con Continuó la votación pendiente, y quedó elegido individuo de la proporción al escaso número de buques y recursos de que podía dispo comisión el Sr. Adan en segundo escrutinio por 6 &gt; vuios de 121: ner. Es un hecho que la fragata Alaría Isabtl salió det puerto de Cá en primer escrutinio el Sr. Canga-Arguelles por 68 voto. de taz: el diz para el mar Pacífico en ocasión que su fuerza con la existente ahí Sr. Bir…</t>
  </si>
  <si>
    <t>Gaceta de Madrid n.º 53</t>
  </si>
  <si>
    <t>…unos cuatro afios y flor Cuadra , y opinó que no debían aprobarse los poderes del Sr. duque medio. del Parque. Habiéndose declarado ate punto por suficientemente discutido, te El Sr. Adan indicó que debia aprobarse el dictamen de la comisión, aprobaron todos los poderes de los diputados pot Valencia, menos los la cual solo había tratado de ver si los poderes que se presentaban ve del Sr. Valdés. nían ó no arreglados i la Constitución , sin ent…</t>
  </si>
  <si>
    <t>Gaceta de Madrid n.º 55</t>
  </si>
  <si>
    <t>…que debía tenerse pre Tercera junta preparatoria del dia st de Febrero. sente lo que decia ia Constitución. Leída el acta de la anterior, se dió cuenta de que se habían presen El .Sr. Adan expuso varias razones en apoyo del dictamen de la tado i la Diputación permanente los Sres. D- Josef Luis Septien , di comisión. putado por la provincia de Cataluña, D. Pablo de Santafé, primer su El Sr. Somoza dijo que todos los artículos de la Constitución…</t>
  </si>
  <si>
    <t>…n no 'acaecido en aquellas islas con respecto á ia-elección. sea quimérica! Pero aun en este caso ¡serán minina ó serán en breve El Sr. Buey apoyó el dictamen dele comisión ; y el Sr. Adan fue tiempo los gefes políticos lo que son ahora! No nos engañemos, de opinión que debería quedarse el expediente sobre la mesa para que señor, el corazón del hombre constituido en dignidad propende al des los Sres. diputados se instruyesen con.d-tencion. Habi…</t>
  </si>
  <si>
    <t>…l Gobierno francés en favor de los intereses de España. Et tiempo te aprobasen los poderes del Sr. Posadas. ha dado i conocer que ni el Gobierno español, ni el representante de El Sr. Adan: La comisión ha tenido presentes los documentos que la Nación cerca del Gabinete de las Tullerías, ni tos demás agentet ha presentado tanto el Sr. Posadas como los que se han remitido de Fi españoles han mirado con indiferencia estos negocios, sino que han sa…</t>
  </si>
  <si>
    <t>Adán</t>
  </si>
  <si>
    <t>…nos establecimientos de beneficencia, serán restituidos á estos, caso de ciones de la provincia de Cuenca. haberlos ocupado dichos empleados después de la segunda supresión de El Sr. Adán: Por la lectura del dictamen conocerán las Gnrtes que lo» jesuítas. Art. 3.' Si algunos de los bienes expresados en lo* dos an d Gobierno no tiene un motivo para hacer la consulta que ha dirigi teriores artículos hubiesen sido vendidos á favor del Crédito púb…</t>
  </si>
  <si>
    <t>Gaceta de Madrid n.º 66</t>
  </si>
  <si>
    <t>…alguna Se nombró para la comisión de Polica, á consecuencia de la pro comisión ; lo que seria muy largo. posición del Sr. López del Baño, á dicho Sr. diputado, y í los señores El Sr. Adan dijo que Jo que habia propuesto el Sr. Benito era in Saavedra, Oca y Meló, Belda, Gómez Becerra, Sanz de VitUvieja justo, porque seria decir que debía haber defensores que defend-esen !»* y Ruiz de la Vega causas, y en las Cortes no habia mas defensores qu.-…</t>
  </si>
  <si>
    <t>Gaceta de Madrid n.º 67</t>
  </si>
  <si>
    <t>…la Nación , se encuentran detenidas en lo mas principa!. Ae mas que no habia tenido tiempo para enterarse. yo desearía que en cuanto á este repartimiento de «ontr.lsuv:or t •Vi El Sr. Adan expuso que el ministro presentaba la memoria que es toria) y deroa» se diesen i 'as Corte» las noticias conver" .otes . ■ fc-i taba hecha por su antecesor , y que »¡ las Cortes después de examinarla de que cada Sr. diputado pudies- ooasu tar a su respectiva p…</t>
  </si>
  <si>
    <t>…os presupuestos , al paso que 35° • 3S1 y 3S* de la Constitución. ninguno se ha acordado de reconocer por su parte aquel sabio princi Asimismo se leyó la siguiente proposición del Sr. Adan :»No pio de que todo aquel qne maneja caudales de otro debe responder £ habiéndose acompañado por loa Sres. secretario* del Despacho á sus su tiempo de su inversión, y cato te debía ver por la presentación de presupuestos para el año siguiente las cuentas de…</t>
  </si>
  <si>
    <t>…i cumplirlo, to de 1820 , de 4 de Mayo de 1811, y de ctulesqui ra otros que &gt;¿aa no en ■ g dias sino en el momento. contrarios á las disposicionei anteriores. Primera lectura. El Sr. Adan retiró su proposición adicional. Del hr. Latrc: El Sr. Ruiz de la Vega amplió lo que babia manifiéstalo él Sr. pre i-4 Pido que pof la comisión de Hacienda se presente dentro de opinante, diciendo que todo aquel que debía responder de una cosa de término fijo…</t>
  </si>
  <si>
    <t>…toda advertencia relativa i pr.s- perjudicial , porque ocasionaba muel os gastos sin ningún provecho. tar s;rvicios íitües, que por su d. cilidad en aguardar y egecutxr las ór Ei Sr. Adan preguntó si se hab a cumplido con el artículo 6a del denes que para dicho fin se.tes comuniquen , concillando en todo caso decreto de 1 ¡j de Junio, en que s- mandaban distribuir los fondos déla la circunspección y la disciplina con el entusiasmo y el ansia d…</t>
  </si>
  <si>
    <t>Gaceta de Madrid n.º 69</t>
  </si>
  <si>
    <t>…Esta es la razón por que me he opuesto to; se han aprobado los poderes del or. Escovedo, luego debe entrar á al dictamen de la comisión , y pido que se vote por partes. jurar. El Sr. Adan dijo que primero se debían aprobar los poderes, y des El Sr. Adan dijo: Siendo tan sabidas las relaciones de amistad y pués se podría entrar en la otra cuestión. Confianza que tengo con el ''■t. Escovedo, no debería hablar en est : asun Se declaró este punto…</t>
  </si>
  <si>
    <t>…greso, para que puedan los Sres. diputados instruirse fundamental be aprobarse la proposición que se discute. mente de las razones que acompañan , pues asi lo exige la gravedad El Sr. Adan: He dicho por incidencia que se habia dado un paso del negocio.” extraordinario que nunca se ha visto; y verdaderamente miro como tal el Se acordó quedase sobre la mesa este expediente por el término de que al tiempo que se devuelve una ley á las Cortes negán…</t>
  </si>
  <si>
    <t>Gaceta de Madrid n.º 70</t>
  </si>
  <si>
    <t>…sos : pero es un principio de legislación que las leyes no determinar si ha ó no lugar ¿ la formación de causa. pueden tener un efecto retroactivo, y por lo mismo no podia impo El Sr. Adan ; Entre los interesantes negocios que las Cortes nos han nerse esta pena establecida por una ley de ia de Octubre á un delito dejado pendí- nt-s, este es uno de los que con mas motivo merecen la que se cometió en Agosto del mismo año. Asi pues yo no opino que…</t>
  </si>
  <si>
    <t>…ncias donde la verdadera tranquilidad fundada en justicia y orden.” ha habido reuniones de facciosos que han alterado la tranquilidad pú Se leyó en seguida dicha proposición, y el Sr. Adan dijo que le blica. Los demás hechos que cita ei seficr preopinante son anteriores al parecía que no debía entrarse en la discusión de esta proposición, por mes de Marzo, y de alguno de los cuales no tengo noticia. La tengo sí que era dar por consumada esta se…</t>
  </si>
  <si>
    <t>…uestras dietas ; pero no en otra « Señor , yo temo que por haber hablado con esta ingenuidad mis días forma. no serán muy largos.” Yo les dije que confiasen en el Gobierno y en El Sr. Adan: Firmar la proposición, pedir la palabra en contra, las Cortes; y en fin me consta que luego que yo hablé se fue cada uno y venir presentando argumentos que no tienen mas que carácter de sub ásu casa muy tranquilo, guardando un profundo silencio, y yo tam ter…</t>
  </si>
  <si>
    <t>…n las Cortes), y esta se vió obli de la Nación. ¡Cómo pues hemos de aumentar nosotros esta exclusión? gada á nombrar por secretarios del Despacho á personas que, aunque re Dice el Sr. Adan que el intervalo de un afio es bastante, porque comendables por sus circunstancias, no podían inspirar ta misma con los Gobiernos son por Jo regular ingratos, y en un año es fácil que te fianza que aquellos que la habían merecido de sus provincias. No se desb…</t>
  </si>
  <si>
    <t>…desempeñar destinos de con mismo modo ia dispensarían. Las Co tes esran facultabas para esto , y sideración. por lo mismo no creo que ha lugar a Csta obj-cion Tor estas razones El Sr. Adan deshizo una equivocación que dijo haber padecido el creo que las Cortes están en el caso de aprobar la proposición de qua Sr. preopinante. se treta. El Sr. Velasco: En mi concepto es de suma utilidad la proposi £1 Sr. secretario Salva : Aunque ei Sr. Arguelle…</t>
  </si>
  <si>
    <t>…áis da á los españoles en el de Mayo de 1814.” un breve término para ia rendición de las cuentas particulares. Se leyó la siguiente proposición del Sr. Alonso: » Pido que se de El Sr. Adan: Asi como soy inexorable contra todo empleado pú clare conforme al art. 79 del reglamento que no puede presentarse en blico que no cumple con su deber, también soy amigo de manifestar la sesión pública proposición , expediente ú oficio que tenga relación con…</t>
  </si>
  <si>
    <t>…ede el art. 131 de la Consti á la exactitud de la cuenta y razón. El br. preopinante sabe muy bien tución. lo que ha pasado hasta aquí en todas nuestras oficinas; y asi no debe El Sr. Adan, como de la comisión , contestó que el fijar este tér extrañarse que hubiese obstáculos y tropiezos continuos cuando no es mino era una atribución mas bien propia del Gobierno que de las taban organizadas en la forma en que se hallan ahora. Por mi parta Corte…</t>
  </si>
  <si>
    <t>…la ptj¡v.»c on del Sr. Ordur.x , para qu» tión está decidida , y que se debe aprobar ei coto del Sr. Homero. los KK. obispos y arzob spos no ordenen ha»ta qu: el Congreso huya Mi Sr. Adan : 1.a comparación que ha hecho el Sr. Argii.-iics me pa decretado el número de c.crigos que ha de haber. re.; que no es exacta , porque el matrimonio no tiene suplente, y Caa- Su autor la apoyó m.nií-stando lo n.-cesjrio que era el qa: las Cor ni.iño le tema.…</t>
  </si>
  <si>
    <t>Gaceta de Madrid n.º 77</t>
  </si>
  <si>
    <t>…aleza y circunstancias de estos acontecimientos, y que se abstiene reconocidos coma bu -nos y distinguidos. de referirlos por menor por ser demasiado públicos, y porque las Cor El Sr. Adan contestó que la comisión no había rehusado entrar ea tes han oido ya el oficio del Sr. secretario de la Gobernación de la Pe el examen que hab.a indicado el Sr. preopinante, y que ei motivo que nínsula. Dice después de algunas observaciones, que el carácter d…</t>
  </si>
  <si>
    <t>Gaceta de Madrid n.º 83</t>
  </si>
  <si>
    <t>…ali» unos frutos prematuro»; y asi yo desapruebo «»te dictamen de la ce dad; v para comprobar esta verdad pondré un egemplo, que aunque ní i»iun. trivial, creo que es oportuno. El Sr. Adan: El Sr. Trujillo al impugnar el dictamen de la con-*Si en una junta de méd;cos se limitase el de cabecera i manifestar tion ha divagado en las ideas sin hacer distinción de lo qu: son bas. ., á sus compañeros el p an curativo que liabia seguido ó que pensaba…</t>
  </si>
  <si>
    <t>Gaceta de Madrid n.º 84</t>
  </si>
  <si>
    <t>…iones , á fin de que no sufra recargos superiores á sus fuerzas. discusión de las bases del plan de Hacienda. Se suspendió esta discusión para continuar el asunto que había que El Sr. Adan : La primera de las economías que se proponen es re dado pendiente sobre las ocurrencias de Valencia. lativa á que se suspenda la traslación de los gefes políticos y la provi El Sr. secretario del Despacho de la Gobernación dijo que el Gobier sión de estos em…</t>
  </si>
  <si>
    <t>…es puntos, viesen que ti he habi á pesar de ser vagas , si se propagan pueden causar males irreparable*. do rebeliones, y si se ha gritado contra la Constitución, y en fin, que El Sr. Adán no ha querido entrar en al detalle y pormenor de loa he si ha habido extravío* en uno y otro sentido, ha sido porque las auto chos, y con suma prudencia se ha abstenido de su examen. En igual po ridades han querido, y no puede ser otra cota. Todo* loe dia* es…</t>
  </si>
  <si>
    <t>…s : saúgre que informados del verdadero enlace de los hechos, y de sus promotores y reclama la venganza de todos los hombres y y-qué se hubiera evitado egecutores. Mas diré: si el Sr. Adan ha prescindido de los pormenores, si el Gobierno no se complaciera en que se derramase. Si las súplicas como hago yo, es preciso también que no nos dejemos llevar de la pri del pueblo valenciano hubiesen sido atendidas, no se hubiera Visto este mera relación…</t>
  </si>
  <si>
    <t>Gaceta de Madrid n.º 85</t>
  </si>
  <si>
    <t>…osición del Sr. cardenal arzobispo de Tole tiría este dictamen en el momento , se acordó que se discutiese. do se pasase con especial recomendación al Gobierno para que lleve á El Sr. Adan : En este asunto deben tenerse presentes dos cosas: pri cumplido efecto cuanto previene la ley de 25 de Octubre sobre los mera , las medidas que sean conducentes para ocurrir a los males que puntos que abraza dicha exposición. Aprobado. pudieran renovarse en…</t>
  </si>
  <si>
    <t>…sable que el Congreso proceda por sí, y separarse tal vez dei camino que la ley tiene fijado de antemano. no se levante de su asiento ninguno de ios Sres. diputados mientras no El Sr. Adan se hizo cargo de las observaciones del Sr. secretario quede resuelto el asunto de Valencia. Asi pues pido á las Cortes que del Despacho que acababa de hablar; y contestando aellas dijo entre inmediatamente se ocupen en suplir el vacío que lo* Sres. secretario…</t>
  </si>
  <si>
    <t>…enda la pro tiempo; sin embargo para resolver el punto d.ficil, que es e. obj-to del visión de las qua igualmente vacaran en al Supremo tribunal de Jus dictamen de la comisión, el Sr. Adan ha tenido por conveniente La- ticia h.ista nueva ordea. g.° Que no te provean por ahora las pla mar la atención del Congreso, diciendo que era indispensable que an zas de la dirección de estudios qua estuvieren sin proveer. 4.0 Qus tes de entrar en el examen…</t>
  </si>
  <si>
    <t>…caso da Resulta pues que las Cortos no pueden fijar nn plazo para la ego- tomar b medida de que se trata. cueion de los decretos, sin saber el número de los que hap, su natura El Sr. Adan manifestó , que aunque hubiese algún expediente releza, y las dificultades que ha habido en su cumplimiento. Si se fija un nervado, se podría nombrar una comisión de ios eclesiásticos que actual plazo como el que se propone, no pueden multar mas que dos extre…</t>
  </si>
  <si>
    <t>Gaceta de Madrid n.º 87</t>
  </si>
  <si>
    <t>4¿« Witigeutcio, han detenido tu marcha, de lo que infieren que no ha bierno 4 que adopte las que estime precisas y convenientes. brá guerra. El Sr. Adan dijo que la comisión tema el disgusto da no haber Algunos partidario* de loa turoo* dicea &lt;• que nina la anot tran llenado los deseos de las Cortes, y que por lo mismo pedia que se sd quilidad en las frontera* ruta*, austríaca* y tuteas; y que es (alto cuan m…</t>
  </si>
  <si>
    <t>Gaceta de Madrid n.º 88</t>
  </si>
  <si>
    <t>…da aprobarse la proposición de 18*1, derozada solamente en lo relativo é laa asignacioms y inrmn. que se trata. dé viático. De Real orden lo comunico ¿ V. S. para w ''rgratic &gt; El Sr. Adan manifestó que las Corres debían aprobar am proposi puntual cumplimiento. Madrid 17 da Mamo da 18 &gt; 1.” ' ción , pues que de lo contrario incurrirían en una contradicción, no ha biendo admitido anteriormente 4 discusión la que había hecho el seftor » Para llev…</t>
  </si>
  <si>
    <t>…abiendo dicho lo bastanto el Sr. Ar- Moreno Guerra por denuncia de D. Josef Duval á nombre de Das giielles renunciaba la palabra. Juan Josef Ribas, cónsul español en Gibraltar. El Sr. Adan: La prudencia del Sr. Arguelles ha llamado la aten Se leyó el artículo /.''adicional al reglamento, y en tu virtud a ción sobre exquisitas doctrinas y saludables consejos , al mismo tiempo precedió al sorteo de los 12 Sres. diputados que debían ser jueces de…</t>
  </si>
  <si>
    <t>Gaceta de Madrid n.º 91</t>
  </si>
  <si>
    <t>…e* que se habrán pasado á las comi puede menos de dccretar.e que ha lugar á exigirle la responsabilidad. siones respectivas, y se levantó la sesión pública¿ las tres menos cuar El Sr. Adan manifestó que no habia motivo pera exigir la respon to pata continuar las Corte* en secreta. sabilidad al gefe político de Madrid, por cuanto no babia llegado el ARTICULO DB OFICIO.caso de avocar la causa pendiente, y porque ademas no se habia hecho la denunc…</t>
  </si>
  <si>
    <t>…one pued: tener muchos inconvenientes, y si se atiende á cuales 42 son cxtrangcNt» ' ? a importancia del'poder judiciál, estos serán de gravísima trascen. dencia. A . . CORTES. El Sr. Adán, como de la comisión, contestó que el dictamen ó atmiDixciA m anfión taiubi (bw emrAxt), esta no circunscribía í solado*’cesántas-elcírculo de los que pudiesen se propuestos para las magistraturas jipues sotcsdice que si entre estos ceStíion del 6 dt Atril, u…</t>
  </si>
  <si>
    <t>…euo de en lo sucesivo, porque ninguno de los que sirven actualmente puede •n un asunto de tanta importancia. ser removido sin conocimiento de causa. En resúmen los cesantes que El Sr. Adan dijo: El Sr. secretario del Despacho dice que i ios pud eran tener entrada son ó los que en los años ti J ia principiaron jueces de primera instancia se les debe dar una carrera para oblar á las la cañera de la magistratura, ,y se hallan ahora fuera de ella s…</t>
  </si>
  <si>
    <t>…o que por este desecho se hubiese devengado y devengue hasta qué naturaleza, y cuales ton los ptoductos anuales de estos bienes. que las Cortes decreten su abolición. Aprobado. El Sr. Adan man.festó que existía un expediente sobre abolición da Acerca de lea acequias de Jarame con sus pertenencias y la del Ta los derechos señoriales, y por lo mismo opinó debia suspenderse la re jo con las suyas, proponía la junta no fuesen comprendidas en la con…</t>
  </si>
  <si>
    <t>Gaceta de Madrid n.º 101</t>
  </si>
  <si>
    <t>…e hubo para esta dilación. Por otra parte para la elec nó que debia aprobarte el dictamen de la comisión. ción de diputados se requiere la mayoría absoluta de votos , que es la El Sr. Adan impugnó el dictamen de la mayoría, fundándose &lt;a m tad y uno mas, y esto no se ha verificado en cata elección, puea de que se habian infringido el art. 80 de la Constitución por haberse cela* biendo ser cinco los electores, y habiendo tenido tiea votos el ele…</t>
  </si>
  <si>
    <t>…nte de repartir Antonio del Vnlle, por reunir la mayoría absoluta de tres electores. el diezmo del afio s 1. Cuando la comisión se ocupe en el pian ge Per último , afiad ió que el Sr. Adan no habia satisfecho á la observa- neral de arreglo y dotación del clero, entonces lo hará con todos loa don del Sr. Alcalde, porque una provincia, declarada como tal, por slatos que sean necesarios. Ha dicho el Sr. secretario que en algunaa d hecho de tener g…</t>
  </si>
  <si>
    <t>Gaceta de Madrid n.º 105</t>
  </si>
  <si>
    <t>…enta , y la facilidad en escr.brame! ¿Será i los citados estudias por el medio que fuese mas breve y eficaz. acaso porque soy americano! ¡ AU! este nombre me h nra, me liena el El Sr. Adan expuso , que ia comisión no ignoraba lo que había alma , y me recuerda las obligaciones en que ¿1 me constituye. Si, ame manifestado el Sr. Lapuerta; pero que S. S. tampoco ignoraba que lo* ricano; pero americano que ama á tu país, que lo adora, que quiera pá…</t>
  </si>
  <si>
    <t>…grua de las 300 ducado* señalada a los pues «le lo contrario no se lograr j el objero que se ha propuesto. párrocos los derechos de estola, y la otra para que s: señale la dota El Sr. Adan manifestó que lo primero que d-bia haber h-chola co- ción que deben percibir los beneficiados que tengan cura de almas , vi msiot» era lijar la «cantidad , ó sea .1 cap.tal de donde se habían Je pa- carios perpetuos y tenientes. gir estis dotaciones; y que no…</t>
  </si>
  <si>
    <t>…s y perpetuarlos fectiblemente que tendrían que desatender otros gastos que serian de ma lo mas posible.” yor utilidad: que los fondos públicos de los pueblos estaban sumamente El Sr. Adán dijo: Este artículo parece una emanación de la orden reducidos, por lo cual no podían soportar mas gsstos de los que teman; comunicada en otro tiempo por el extinguido consejo de Castilla para y últimamente dijo, que aunque había algunas órdenes que trataban…</t>
  </si>
  <si>
    <t>Gaceta de Madrid n.º 107</t>
  </si>
  <si>
    <t>…uidos los catedráticos de Us universidades, abogados con estu tan comprendidos en ci decreto de 13 de Marzo. dio aberto, y los corregidores cesantes, y alcaldes mayores de Real El Sr. Adán: En el dictamen de la ce mi.ion no te propone que nombramiento, aunque no gocen de sueldo, pensión ni haber del era los magistrados cesantes sean exclusivamente ■que se propongan para rio, siempre que reúnan las calidades designadas en el decreto de 13 las pl…</t>
  </si>
  <si>
    <t>…mayores y profesores de las » Tengo la satisfacción de anunciar á V. E. que el Rey (que Dios universidades. guarde) continúa con alivio. S. M. la Reina y Sres. Infantes siguen El Sr. Adan &gt; Yo creó que el Gobierno tiene suficiente número da sin novedad en su importante salud.” vegetos de quienes echar mano, prescindiendo de los cesantes de que se Ministerio de Hacienda de Ultramar. trata, y de-ios que han obtenido habilitación para estos desti…</t>
  </si>
  <si>
    <t>…s estas al decoro del estado eclesiástico. razones dijo que no se debía aprobar el artículo de que te trataba. Habiéndose declarado «su punto por suficientemente discutido, que El Sr. Adan apoyó el articulo, manifestando que los obispos te dó aprobado el artículo. nían suficiente número de individuos de que poder valerse para el mi Art._8.u n Tampoco se proveerán los curatos vacantes en las ciu nisterio parroquial; que asimismo no se podía deci…</t>
  </si>
  <si>
    <t>Gaceta de Madrid n.º 110</t>
  </si>
  <si>
    <t>…icial; y últimamente en ios ar dida que ademas de parecerme injusta, la tengo también por antipolítica. tículos 6 y y propuestos por la comisión se establece una justa preferen El Sr. Adan: El presante proyecto sobre visita de las causas de los cia entre las causas que han de ser visitadas. tribunales es uno de los negocios mas grandiosos que pueden ocupar al Mi Sr; Buey se opuso al dictamen de la comisión, manifestando en Congreso; y rs tambié…</t>
  </si>
  <si>
    <t>Gaceta de Madrid n.º 111</t>
  </si>
  <si>
    <t>…ce que está ya aprobada por las Cortes; pero sin em se debe declarar no haber lugar í votar este aitículo. bargo, lo que ha dicho el Sr. $aniafe prueba hasta la evidencia la ne El Sr. Adan deshizo una equivocación que dijo había padecido el cesidad de esta visita, porque dice que U Nación estí quejándose da Sr. preopinante. los tribunales; ¡pues cómo las Cu tes pueden dejar de aplicar las me El Sr. Marau: No puedo menos de sorprenderme al ver q…</t>
  </si>
  <si>
    <t>Gaceta de Madrid n.º 112</t>
  </si>
  <si>
    <t>…usión sobre declaración el cód.go era inútil , pues que existiendo las 1-yes anter.ola pr treia proposición. res , habría mot vo para mil dulas, y no habríamos adelantado nada. El Sr. Adan apoyó la proposición , opinando que no era mas que Ademas el br. Arellano hizo una proposición para que *c impusiese una espec-e de abdicación que hacia la mesa de sus facultades para la una pena al que dij-sí c ó .1 et Rey ah Juta, y también se man-o pa mayo…</t>
  </si>
  <si>
    <t>Gaceta de Madrid n.º 113</t>
  </si>
  <si>
    <t>‘Eos ' 81 Sr. Adán dijo q«i la* do&gt; cofia* ao traían ningún carácter da ra recae la impugnación tob re qne ae baya de fijar un visitador en d miteutáufed, c importaba «1 decoro «fe la*,Cone* «pie la* copia* este- distrito de cada aodícncht; y par* esto te «ticeqira toa Cortes,…</t>
  </si>
  <si>
    <t>Gaceta de Madrid n.º 114</t>
  </si>
  <si>
    <t>607</t>
  </si>
  <si>
    <t>…habían perdido por un te hibtsn extraviado por na incidente inevitable. acaso en el bergantín llamado Sorpresa. A petición del Sr. Riego te leyeron los artículos 114 y 375 de U H Sr. Adan -. La comisión sin duda no ha tenido presente al dat Constitución. su dictamen la reclamación del alcalde constitucional de la Ha rana El Sr. OI i ver: lie perece que estos poderes no pueden aprobarse contra estas elecciones; y por lo mismo creo que este asun…</t>
  </si>
  <si>
    <t>Gaceta de Madrid n.º 118</t>
  </si>
  <si>
    <t>…. le componen. Asi pues creo que el dictamen de la comisión es justo, Se leyó asimismo ei voto adicional de los Sres. Alcala Galiano y sin que me oponga á lo que ha manifestado el Sr. Adan respecto de Grases, relativo 4 que no habiéndose portado el oficial mayor de un la indulgencia que debe tener el Congreso en este punto. modo decoroso en este negocio no practicando las diligencias oportu . El I&gt;r. González Alonso: No creo que puede haber hab…</t>
  </si>
  <si>
    <t>…eramente se deben hacer los gastos del Estado que cuestaciones pata atender á objeto» precisos del culto. sean necesarios. La comisión de las Cortes rebate la idea de la del Go El Sr. Adan apoyó el dictamen extrañando la oposición que á ¿I se bierno en cuanto al sueldo de 60Q rs. para los oficiales mayores; y se hacia, pues en su opinión no contenia sino una medida justísima, muy propone ahora que no se haga a.teracion en los sueldos que actual…</t>
  </si>
  <si>
    <t>Gaceta de Madrid n.º 125</t>
  </si>
  <si>
    <t>…ñala ría conservar los consideraba como una especie de plantel que debía da no fuete suficiente para ello. derramar después su instrucción por toda Espada; mirando bajo este as El Sr. Adan contestó, que tu puesto que los secretarios del Despa pecto la escuela central, la escuela poiitecu.ca, la academia nacional cho eran responsables dt ia distribución de los fondos, no habría in de bellas artes, la biblioteca nacional &amp;c.; y que ademas se habí…</t>
  </si>
  <si>
    <t>…cia del reino en el afio de i8sg ; y en el misero suso aquella iglesia que te hallaba en muy nial estado. debe bollarse el tribunal supremo de Justicia. Es ya tiempo de que las El Sr. Adan dijo que la cuestión te reducía 4 ti aquella cantidad Cortes hagan que se obedezcan sus órdenes; y es escandaloso ki qua debía pagarse por la Hacienda pública, y que nade tenia que ver con los que hubieran tenido a dicha el dar cumplimiento é una orden da est…</t>
  </si>
  <si>
    <t>Gaceta de Madrid n.º 126</t>
  </si>
  <si>
    <t>…Marzo último, la una sobre la abolición del derecho de registro,I de la comisión. y la otra sobrepatentes. I EI Sr. Lagasca deshizo una equivocación que dijo había padecido el El Sr. Adan contestó que la comisión se había hecho cargo de di-1 Sr. Canga. chas proposiciones, y asimismo de otras reclamaciones sobre lo mismo, I El Sr. Galiano hizo varias observaciones, apoyando la opinión de acerca de las cuales presentaría su dictamen á la mayor b…</t>
  </si>
  <si>
    <t>Gaceta de Madrid n.º 128</t>
  </si>
  <si>
    <t>…resi consideran cesantes, no carezcan de sus sueldos-pagado» por los fondos de dente levantó la sesión i las once y media. ' su originaria procedencia. Sesión del ¡ de Mayes. 1 El Sr. Adan dijo que la com ilion retiraba esta parte de su dictamen. Se leyó y aprobó e! acta de la anterior; - 'Se;mandaron pasar á Ja cotnision varias adiciones al proyecto que A la comisión 4* Hacienda se pasaron dns adiciones dé los set!ore» se acababa de: aprobar;…</t>
  </si>
  <si>
    <t>…s Cortes resuelvan este punto de , por conveniente, ínterin laa Cortes resolviesen si habia de existir ó no. berán tomar en consideración la justicia ó injusticia de estas avjiuEl Sr. Adan: La comisión no tiene inconveniente, como lo indica cione», y resolver si aun cuando te perdiese para siempre México y es en su dictamen, en que esta proposición pase á la comisión de Legisla taría la Nación española obligada á pagarlas; asi las Cortes, suspe…</t>
  </si>
  <si>
    <t>Gaceta de Madrid n.º 130</t>
  </si>
  <si>
    <t>…nsula, leído en la sesión del día 26 de Marzo por el Sr. AlvaInfanta para verificar dicho reconocimiento. rez Gutiérrez, impreso de orden de les Cortes. Se hallará en Jas libre Fl Sr. Adan contestó que ci acto del reconocimiento se hacia pre rías de Alonso y Antoran, de Escantilla y de Ranz. sentando S. M. al recien nacido , y que por lo mismo solo dos diputa Cartilla agraria, ó sea la práctica de la agricultura y ganadería , dis dos bastaban p…</t>
  </si>
  <si>
    <t>…cto de Uavieja han de pasar £ Aranjuez para asistís al parto de la cermi. S-r i Uclaie de ^ue m muta. (anta. El Rey habla icy-ilto qu; el 8 tó*c(ifr:er.'te*eitiiví.í&amp;sn e r-s s El Sr. Adán manifestó fue era demasiado general el articulo fu; se fiord dipuuiíos en Aranjiicz; peto debiéndose'"di : n r n ir e¡ o cdiscutía, y que en tu concepto todos los , oficiales comprendidos en el tamen déla comisión especiad sobre" ios azor.tíjriinrf.to» de F.o…</t>
  </si>
  <si>
    <t>…tran La comisión hs dicho muy b tn que sí ex:ii la responsabilidad á lo» quilidad pública y de su justicia. alcaldes y apuntamiento de ia ciudad de Lorca y al gefe po; t co de El Sr. Adan: El d'ct.inv n de la comisión está reducido á exigir la Murcia ; y tod.tv. » a o quisiera se ie exigiese al que ie habta nombrado; responsabilidad á Jas autondad-s municipales de Lotea y al gefe po.¡ti y a-i me parece sr queda corta la comisión, pues no deja…</t>
  </si>
  <si>
    <t>Gaceta de Madrid n.º 141</t>
  </si>
  <si>
    <t>…los decreto* quena que se traspasasen los trámites señalados para la fotmacion de de las Corte*, exigiendo en caao necesario la responsabilidad a los or las .leyes. dinarios.'’ Ei Sr. Adan manifestó que en urgentísimo resolver este asunto, Igualmente se aprobó el dictamen de la misma acerca de que sé ad por cuanto los facciosos no guardaban en sus excesos los tramites de mitirse la proposición siguiente del &gt;r. G mzalez A!on»o: -» Pido* ta* nin…</t>
  </si>
  <si>
    <t>Gaceta de Madrid n.º 144</t>
  </si>
  <si>
    <t>…n ver está el dictamen de la comisión , no be de apelar i otra cosa que á to, r se admitió á discusión. las sencillas y naturales reflexiones que me presenta la lectura del mis El Sr. Adan dijo que considerado el estado de los negocios públicos, mo dictamen , que procuraré analizar con la brevedad y claridad posi ▼ atendiendo i la indispensable necesidad de resolver asuntos de que bles. Se trata de que D. Juan Manuel S- Román y consortes se que…</t>
  </si>
  <si>
    <t>…Soberon apoyó las ideas del Sr. preopinante, refiriendo las sentaría su dictamen i ia mayor brevedad/ ' _ causas que habían dado motivo á algunas inquietudes en aquellas islas, El Sr. Adan dijo que ayer ac habia derogado de hercio ti iiy ai y manifestando el buen estado en que quedaban á su salida con respec de Octubre de i8ao sobre sociedades patrióticas, y en 'fu cocL.tiier.c a to á la tranquilidad pública; y concluyó diciendo que sin embargo…</t>
  </si>
  <si>
    <t>…ramientos que cada secretario «leí ciente para proveer 4 la subsistencia del culto y del clero.’* Despacho expida 4 cuenta de su presupuesto. Se preguntó en seguida 4 petición del Sr. Adan si el dictamen es 5. ’ n Las cuentas de los tesoreros de provincia sa presentarán di taba suficientemente discutido en su totalidad, y te declaró por la afir rectamente 4 la contaduría mayor , que lis cotejará con las de ia tesoro* mativa , habiendo lugar 4 v…</t>
  </si>
  <si>
    <t>Gaceta de Madrid n.º 148</t>
  </si>
  <si>
    <t>…misión habia resuello este expediente porque se había pasado i K-ey, i propuesta del ministerio de Hacienda. ella antes de nombrarse la comisión de Crédito público. Fidio en se El Sr. Adan dijo que desearía saber si las Cortes habían interpela guida que se Iryesen las firmas del dictamen. do al Sr. secretario del Despacho correspondiente para asistir á esta E' Sr. secretario Prat leyó las firmas, las cuales eran de los seño discusión. res V ill…</t>
  </si>
  <si>
    <t>…o Cun.idero que no corresponde á la comisión de D putaciones prolas expresiones denigrar,va» qu: contenía. v‘ucii¡es. pero a de Hacienda deberá tenerlo presente, y las Goites 10El Sr. Adan pidió qú j se leyese dicha exposición 1 y d spu.-s de leí fttar también en consideración por qué no se ha puesto en practica el da dijo que no habiendo venido por conducto del Gubuno t pod a sos tsfciidu decreto de 29 de Junio. pecharse que seria un anónimo,…</t>
  </si>
  <si>
    <t>Gaceta de Madrid n.º 155</t>
  </si>
  <si>
    <t>…ejr circunstanciadas de los adelantamientos de la industria , para que hallarse el interesado sirviéndola. las Cortes pudiesen tomar las medidas necesarias para remover Jos obs El Sr. Adan pidió que se leyese la Real oedan en que se habrá con táculos que se opusiesen á su fomento, y adoptasen las que tuviesen por cedido al marques este permiso (se leyó). convenientes ptra su prosperidad. El Sr. Isturix dijo que este habrá sido un privilegio que…</t>
  </si>
  <si>
    <t>838</t>
  </si>
  <si>
    <t>…o de las facultades de lasCortes; nifestar su opinión acerca del art. 4.0 de la mayoría de la comisión. y si no están fuera de estas facultades, no ha habido infracción alguna, El Sr. Adan: Me parece que los Sres. que han impugnado el dicta puesto que las Cortes autorizaron completamente al Gobierno para otor men de la comisión se hsn valido de razones que en vez de destruirle gar las condicciones del contrato. le sirven da apoyo. La comisión h…</t>
  </si>
  <si>
    <t>…abia po reglamento ,lpues era precito que antes se decidiese si se admitía ó no dido M.tiegart» ■&gt; a mesa. el dictamen de la mayoría de la comisión, para pasar después 4 la dis El Sr. Adan dijo que aunque no era su ánimo insultar á la comi cusión de los votos particulares. sión por el tiempo que se había pasado desde que fue nombrada para este El Sr. Ramírez Arellano dijo qne sin embargo da estar conforma encargo, no podía menos de ncoid.tr á l…</t>
  </si>
  <si>
    <t>Gaceta de Madrid n.º 159</t>
  </si>
  <si>
    <t>…la mesa. se derogase el art. 6.a del decreto de 4 de Enero de 1813 Continuo la discusión sobre el empréstito. Se leyeron por segunda vez las siguientes proposiciones, y se man El Sr. Adan dijo que en consecuencia de acabaste de repartir un daron pasar á las comisiones que á continuación *e expresan. impreso entre los se dore* diputados, relativo á la legalidad ó validez Una del Sr. Aíbnzo reproduciendo otra del :&gt;r. Bcrnabeu en la le de diebo…</t>
  </si>
  <si>
    <t>…ificar este empréstito , indemnizando i lo* prestamistas que por lo mismo no retiraba el primer artículo. por las cantidades que hayan anticipado; pero dándola antes la bata de El Sr. Adan replicó, que cualquiera que hubiese oido al Sr. Jiménez que el contrato es nulo. En k&gt; demas están conformes loa iifinam de ln y al Sr. preopinante, creería que había habido arbitrariedad por parte comisión , y en que pase este asunto á la de Casos de rngnaia…</t>
  </si>
  <si>
    <t>Gaceta de Madrid n.º 162</t>
  </si>
  <si>
    <t>…na propo ver de que era preciso d.clarar sobre d c'-io art, i.° para dar c: íhó e- — sición sobre esto. no una base para entrar en rransacion-s. ^ o digo que la base .la.-.» Js El Sr. Adan presentó» el dictamen de la cornisón de Hacienda so esta manera dejaría al Gobierno sin mid o ninguno de hace:lo a:, ni bre ei plan de contribuciones formado por el Gobierno para el presen de ade'antar un paso. te aló económico , Y se mando .imponer. Se d.ce…</t>
  </si>
  <si>
    <t>Gaceta de Madrid n.º 163</t>
  </si>
  <si>
    <t>…e no se puede negar ) que la tesorería en catas últi Se mandó pasar á la comisión primera de Legislación. mas ci cunsianc as estaba exhausta, y tuvo que acudir á una especie de El Sr. Adan leyó el dictamen de la comisión primera de Hacienda, su-erch tía, para que no se conociese que no había dinero; quedespuea acerca dd presupuesto de gasto* del egército permanente según su fusi d esto r'piíwí a esta corte el tesorero propietario, y dijo con un…</t>
  </si>
  <si>
    <t>…y itf del de* biera sido contradictorio al verdadero decreto de 27 del mismo mes creto de 4 Marzo de 1813. Repito pues que la resolución del 19 no es mas que una orden , én la El Sr. Adan dijo: El Sr. Beltran de Lis acusó al ministro de Guer cual ni siquiera se responde 4 la pregunta del ministerio; mas d iré, que ra de haber sido la cauta de los últimos acontecimientos de Valencia, en buena lógica es una negativa absoluta de io que pretendía;…</t>
  </si>
  <si>
    <t>Gaceta de Madrid n.º 166</t>
  </si>
  <si>
    <t>888</t>
  </si>
  <si>
    <t>…ivo cain sion se hal'aba «n el caso de sostener la totalidad del dictaaun, á se daba á la corte de- Roma." no pr-sentarse- uu m d o mas íacó y expedit-i para llevar á ef.cto el El Sr. Adan contistó que el Sr. s-cr. t irio d.l D-spacho de Gracia desi-o de pr m ar á ¡os 1 steur.iéor s del sistema cnnstitucional. y Justicia no había hecho me-nio d; esta cri.t.dil en el pr.supuesto ds Kl Sr. B-ldi se opuso al dictamen, manifestando qu-- de manera a…</t>
  </si>
  <si>
    <t>Gaceta de Madrid n.º 168</t>
  </si>
  <si>
    <t>…bía podido for necesita? Asi que, mientras el Gobierno no nos diga que necesita esta malizar todavía por hallarse ocupada en otros trabajos de mucha im fuerza apoyo la opinión del Sr. Adan, y excito el zelo del -r. prc».den portancia. hn su consecuencia proponía á las Curtes que se mandase te para que se discuta á la mayor brevedad ei dictamen de la comisión suspender dicha resolución de i.“ de Abril, haciendo esta franca ma encargada de examin…</t>
  </si>
  <si>
    <t>cfcnero de la catedral de Segovia, pediendo que en atención á tu* mé El Sr. Adán dijo que cuando la comisión {«untó este ritos y al mi! estado de su salud se le permitiese trasladarse á otra ca no se había presentado por el Gobierno el imprevisto general; pero que tedral, opinaba que podía accederse á lo que solicitaba. Aprobado. habiéndo…</t>
  </si>
  <si>
    <t>Gaceta de Madrid n.º 177</t>
  </si>
  <si>
    <t>…as misio El Sr. Lapnerta: Señor, se han venido expresiones que me parece nes que se predican en las plizas. ton bastante perjudiciales: se ba dicho que el confesonario es un ve El Sr. Adán pidió que igualmente se hiciese extensiva 4 los sermo hículo de malas doctrinas: yo interpelo á los Sres. de la comisión á nes que se predican en los oratorios particulares, v. gr., la bóveda da que me digan qué documentos se han presentado por el Gobierno pa…</t>
  </si>
  <si>
    <t>…irva de punto de reunión contra los evenvíos ción entre los sugetot propuestos por el consejo de Estado. de nuestra independencia y de nuestra libertad civil, estamos ob igados El Sr. Adan dijo que la comisión lejos de aproximarse i la Cons á conservarla y defenderla hasta perder nuestras vidas, porque asi lo titución ae separaba de eila todo lo posible. La Constitución no dice: exige la gloria de la Nación, ei crédito del cuerpo y nuestro prop…</t>
  </si>
  <si>
    <t>982</t>
  </si>
  <si>
    <t>…ribución propuesta á solos 10 mi manchen era la voz del poder egecutivo, y no marchen debía ser la llones. voz propia del Congreso, si se había de establecer un contrapeso á la El Sr. Adan manifestó que ciertamente no se sabia lo que había fuerza armada permanente. producido el medio diezmo; pero que según el cómputo de lo que im D el irado el punto suficientemente discutido , se acordó que la vo portaba antes el diezmo entero, se infería que e…</t>
  </si>
  <si>
    <t>…sertase en el acta esta manifestación. Asi se acordó. cuyas razones debían las Cortes desaprobar el artículo. Se dió cuenta de un oficio del Gobierno, en el que manifestando la El Sr. Adan pidió que te leyese la instrucción citada, para que las importancia de las proposiciones que últimamente había hecho á Jm Cortes viesen que en nada te oponía i la Constitución. El Sr. Gsliano expuso que era indispensable que los pueblos paga Coites D. Vicente…</t>
  </si>
  <si>
    <t>f8t La comisión da Premio*, tn ritu de una exposición da Dslli Tu» El Sr. Adan dijo que á la comisión qu: es el artículo ae preponía bel López, viuda da D- Manuel Cañizo, granadero provincial, u uer- tío te la daba ninguna facultad gubernativa , ciño que úu.cam-ru se la to en el campo del honor en persecución de lo* faccioso* de Sal» co…</t>
  </si>
  <si>
    <t>Gaceta de Madrid n.º 186</t>
  </si>
  <si>
    <t>…erior de sumos de los altos de 1810 y i8at , que deban aun los pueblos de las Cortes, y se admitió á disensión. provincias de Valladolid, Zamora, B'irgos, Santander, Salamanca, El Sr. Adán se opuso é ella, manifestando que tenían las Cortes dos L-on, Piasencia, Avila y Segovia , se destinen las cantidades asigna asuntos-de suma consideración que despachar ante todas cosas: á saber, das al canal de Castilla en los presupuestos de dichos dos años…</t>
  </si>
  <si>
    <t>Gaceta de Madrid n.º 188</t>
  </si>
  <si>
    <t>…n el afio económico venidero, con calidad de rendir la cuenta para la dotación del clero , sin qu* pueda alegarse como una prueba en de su inversión é la diputación provincial. El Sr. Adan se opaso é la concesión de dichas cantidades, por no contrario su insuficiencia en el año anterior por los particulares moti vos á que debe atr buirsr: y úiMnimmte que ahora solo re repetía locreerlas necesarias para aclimatar unas cuantas plantas de cochinil…</t>
  </si>
  <si>
    <t>…e pu ferente* asuntos entre ellos los siguientes. diese presentar el proyecto oficial mas arreglado en este tamo. Uno de la comisión primera de Hacienda , que opinaba pasase al El Sr. Adán dijo qua como diputado debía usar del derecho de pe Gobierno para que la atendiese en cuanto fuete justo una proposición dir cualquiera da catas do* cosas, ó que el expediente quedase sobre la de lo* Ste*.. diputados por la provincia de Aragón para que los 24…</t>
  </si>
  <si>
    <t>Gaceta de Madrid n.º 288</t>
  </si>
  <si>
    <t>…Vega por 57 votos del total 109 : el ¡sr. OI,ver por 58 del púb ¡cas, cuya gloria inmortal os estaba reservada. El Rey, que D.os total 114: el Sr. Salvato por 60 del total 113: el Sr. Adan por 58 del guarde, ha dispuesto la convocatoria de Cortes extraordinarias para los total ti 1; y el Sr. Gómez Bicerra por 59 del total ic8. objetos que ya sabéis, los cuales indican de un modo nada equívoco Se acordó que pasase á la comisión de Poderes una ex…</t>
  </si>
  <si>
    <t>Gaceta de Madrid n.º 289</t>
  </si>
  <si>
    <t>…do en la junta picparatoua anterior , en materno de los nacidos y muertos. la que se trató de este m.smo asunte. 1. ♦&gt; En el primer me» .ie cada afio , y en uno ó varios días quEl Sr. Adan pidió que se hyera la copia del acta de elección, !o se señalen y anuncien, se c taran ai ayurtarnin.to todos es cu cual se verileó. aturado en ei goce de los díric’-o» de ciuda.tano, y as ¡u El Sr. González Alonso: Según lo que se ha manifestado , la pro hay…</t>
  </si>
  <si>
    <t>Gaceta de Madrid n.º 296</t>
  </si>
  <si>
    <t>…itución. les hacia D. Antonio Cea, comandante de les Islas Baleares. Se leyó un oficio del Sr. secretario del Despacho de la Guerra, en Quedó aprobada la siguiente proposición del Sr. Adan: » Pido 4 lat el que manifestaba que en atención al estado actual de la Espafia te Cortes se sirvan acordar que el secretario del Despacho de la Guerra nia el egército permanente que cubrir atenciones muy importantes, y remita las últimas revistas del egércit…</t>
  </si>
  <si>
    <t>Gaceta de Madrid n.º 299</t>
  </si>
  <si>
    <t>…buques y otros objetos Muro. Igua'mente apoyó las razonas del ir. Vtlasco pira que las ca muy interesantes. pe.lacias vacantes del egército se proveyesen por oposición, por ser E Sr. Adan repuso que queria buscar el origen de donde procedían su caigo, c&lt; mo había indicado, conforme con el de los párrocos , pues estos atiasos , pues no resultaba de la memoria , y deseaba que viniesen ambos tenían i su cargo la cura de almas. _ los expedientes d…</t>
  </si>
  <si>
    <t>…facción de queletes , cazadores d: montaña y otras no alcanzan i cubrir estas Cataluña, indudablemente que el Gobierno no tiene necesidad de io atenciones ; por consiguiere si el Sr. Adan hubiese extendido su con que pide. Si el Gobierno cree que una invasión extrangera puede sideración á todas las provincias, hubiera visto no bastaba que el ge motivar este reemplazo, digo yo, que pues la convocatoria de las Cor neral Mina estuviese provisto d…</t>
  </si>
  <si>
    <t>…vincias del terruoro e.pañoi, la ¡mea tan grard: que ra cargo. bia que cubrir en las fronteras , y ia acumulación tan grande de la* fac Que en cuanto á lo que habia man;festado el Sr. Adan en la últi ciones dei germen det fanatismo; y pos étimo que cun do «.bscrvabn ma parte de au discurso para que volviese el dictamen de la comisión los acopios de municiones d: boca y cu.rra que se bac a,i ai fia,te de A ella , i fin di que lo amplíate mat, te…</t>
  </si>
  <si>
    <t>Gaceta de Madrid n.º 305</t>
  </si>
  <si>
    <t>…l artícu.o antes de la palabra españoles la siguiente duda- del posadero , y cuáles las de los huespedes. danos. El Sr. ArgüUes: S&gt;no »: aprobase este artículo seria este un me ti Sr. Adan: Ha dicho uno de los Sres propinantes que este ar dio seguro de retra-r á muchas personas de que ganasen su vida por tículo es r dun lintc, p irqus está ya expreso en ia Con.tltucion lo qua medio de casas públicas; porqu: dir.an, s ¡o porque t*n mos una en e…</t>
  </si>
  <si>
    <t>Gaceta de Madrid n.º 306</t>
  </si>
  <si>
    <t>…se pre extraordinarias por su instalación, pidi.ndo los últimos el pronto cas guntó si litaría á la comisión de Guerra. tigo de lo» facciosos. Lis Cortes lo oyeron con agrado. El Sr. Adan dijo que este asunto no era propio de aquella comi Entró - jurar, y tomó asiento un señor diputado, y se concluyó sión , pues ios individuo* de qu • s - trataba, aunque hubiesen sido sor la lectura del o .digo san tirio; leyéndose asimiimo los votos particula…</t>
  </si>
  <si>
    <t>…ño convino con la modificación propuesta por por separado en que se explicase mas este caso. el Sr. preopinante. Declarado el punto suficientemente discutido, quedó aprobado el El Sr. Adan: El artículo que se discute es sumamente interesante, artículo. y de él puede sacar la Nación grandes ventajas. Es muy recomendable La comisión presentó el capítulo segundo con el epígrafe siguiente el zelo que ha demostrado la comisión cuando dice que en el…</t>
  </si>
  <si>
    <t>…r ahora del clero; y yo quisiera qu: me contesta lujo, sino para fomentar y sostener las bandas d, facciosas. se ;de qué parte de la sociedad aalen enemigos mas encarnizados ni El Sr. Adan d jo entre cuas co&lt;a* que según una ley recopilada, mas enemigos de las libertades patrias ! Si estamos riendo por la expe nada se debía conceder á ios cr.m naics extrañados. riencia que en el clero está el foco de la rebelión, ¿no debemos tratar El Sr. Canga…</t>
  </si>
  <si>
    <t>Gaceta de Madrid n.º 309</t>
  </si>
  <si>
    <t>…rior de la ¡ rancia alguna, trocas y pertrechos d- ruer-a de no modificarse el artículo no puedo aprobarle. de los qui no seivian rural rn.ir ; • e'. ¡: . Otras var as dbp ■; c El Sr. Adan : Se ha querido suponer la raed.da de que se trata, co nes se publican , las cuales mar,!£ stan, á ,0 menos en la cpni.m a, mo un azote que va i descargar sobre los pueblos; y se ha dicho por que se ha variado di plan. Las ¡ropas de! ru.-vo cuerpo d- ch-ervac…</t>
  </si>
  <si>
    <t>Gaceta de Madrid n.º 312</t>
  </si>
  <si>
    <t>…variación á la da se mando pasar á ia comisión por 66 votos contia 58. medida: si la; Cortes se be.Usen conformes en las id as que s bre el Se aprobó ia siguiente proposición del Sr. Adan: *&gt; Pido 4 las Cor particu ar ha manifestado S. S., ia cumiaron desde luego la ict nrii tes se sirvan acordar que el gefe de la redacción dei diario pásente tra para redaciaria di- nu.ro, pero es neo-sario advertir que lacrmis-.cn en ducido en la sesión de ho…</t>
  </si>
  <si>
    <t>Gaceta de Madrid n.º 314</t>
  </si>
  <si>
    <t>…ecto se tomaban las precauciones con convencerme de qu: d cho artículo es muv ut 1 i ¡a sera mora . P ce venientes; por último que siindo la falta de talla una excepción física el Sr. Adan que t,i esta rdid e&lt; cu.:.-, r. e ri:; Us pa».oeie; en ;ii sf:r— para ser soldado, después de verificado el sorteo se exceptuarían todos V 'scrrrci:* , y sr; 'rrce; hay mu» iiiuiiv», oca qa ■ un j^verr se cas*' , peraquellos individúes que no tuviesen 1» tall…</t>
  </si>
  <si>
    <t>…isten al reconoc:miento! Asi digo que el artículo está bien, y cepciones podrán proponerlas el interesado ó cualquiera otra persona en debe aprobarse tal como está. au nombre.* El Sr. Adan: Los señores que me han precedido en la impugna Después de una ligera discusión, quedó aprobado. ción del arícu'o lo han hecho por un rumbo muy diferente del que Art. 10. » El dia después de concluido el termino concedido para yo pienso tomar: estoy confirme…</t>
  </si>
  <si>
    <t>Gaceta de Madrid n.º 316</t>
  </si>
  <si>
    <t>…es la mayor parte de las cátedras las sirven doctores jóvenes en cali tancial con respecto ¿ los labradores. dad de interinos, y con cortas dotaciones, por cuya causa no pueden El Sr. Adan dijo que las Cortes debían ser consecuentes en las ex tomar estado. cepciones, y supuesto que habían dispensado del servicio i los magis El Sr. Cano apoyó las ¡deas del Sr. Tejeiro con respecto i la des trados , jueces de primera instancia , labradores con yu…</t>
  </si>
  <si>
    <t>Gaceta de Madrid n.º 319</t>
  </si>
  <si>
    <t>…ivo racional pa Sesión del día jt. ta e Jo." Se abrió é lat once, y leída el acta d. la anterior quedó aprobada. Ei Sr. Alonso: Siento que el estado de mi salud me haya privado El Sr. Adan: La Nación turo el sentimiento de ver extraviad&gt;s de enterar á los señores de la com s.on del objeto de la propoic on que alguno* de lo* oficíale* de la guardia Real en lo* acontecmiento» de tuve el honor de presentar , y aun siento no poderlo explicar com í…</t>
  </si>
  <si>
    <t>Gaceta de Madrid n.º 320</t>
  </si>
  <si>
    <t>…dejando sobre esta frontera al batallón de voluntarios de Castilla con Se preguntó si pasaría á una comisión. aleuna caballería. Alguna fuerza de esta arma con la que había en El Sr. Adan pidió que se fijasen los datos sobre que debía fundat llursca de Infante D. Antonio han marchado el 21 á Monzon. Acti la comisión su dictamen, porque el Sr. Garelly no remira ningún an ve V. S. la salida de los individuos d:l mismo cuerpo que deben haber tece…</t>
  </si>
  <si>
    <t>Gaceta de Madrid n.º 327</t>
  </si>
  <si>
    <t>…ste dictamen en dife legislatura ordinaria 14 millones al fondo del imprevisto general , opi rentes partidas. na que no es n.cetaria una nueva concesión, y que et secretario de El Sr. Adan : El Gobierno ha preparado esta discusión manifestan la Gobernación de la Península puede librar contra aquel fondo el im do las necesidades que afligen por diferentes ramos , y para atender i porte de las consigo iciunes de que te trata. ellas debidamente ha…</t>
  </si>
  <si>
    <t>…sta fuerza total del egército y circunstancia da la guerra. sen el servicio principal i que estaban destinadas. Art. 4.a » La* divisiones se distinguirán por lo* números que el El Sr. Adan dijo que no habiendo el Gobierno propuesto i las Cor general en gefe la asigne, y ocuparán en al orden de batalla el iugat tes la suspensión de los efecto* del citado decreto con respecto á lo* ofi que el misma les señale. ciales , era prueba de que no creía…</t>
  </si>
  <si>
    <t>Gaceta de Madrid n.º 346</t>
  </si>
  <si>
    <t>…llegó el día 11. fii, como antes de ahora hemos dir las bulas para los obispados i que iban propuestos. dicho , nuestras avanzadas se presentaron á la vista de Urge!, nada mas El Sr. Adan: No entraré en disertaciones académicas, ni tampoco po tt eo, prudente y seguro que ei haberse ido la tal regencia siete le en la historia eclesiástica, para apoyar el dictamen de la comisión, con» guas mis aila par* eitar en m:jor proporción de guarecerse en…</t>
  </si>
  <si>
    <t>…dinero ó con una misma cantidad no puedo ía los recibos de Us casas, carteles ¿ce. atenderse á ambos objetos. En cuanto á la contr.bucion de icio bien sabido es que las Cort-&gt; El Sr. Adan: No sé porque la comisión ha presentado este arti la decretaron sin que ei Gobierno la propusiese, previn -ndo que sí culo. Por él se autoriza al Gobierno para que con lo que cobre de lo contribuya por ios coches y criado». Se me dirá que no ha p-r--uc do-, a…</t>
  </si>
  <si>
    <t>muestra que lo rítanlos parte* dado* por el brigadier Piasencia ( el El Sr. Adan: E&gt; Gobierno pidió con urgencia que lis Cortil aeororador los leyó). das-n ¡as cantidad s para cubrir ios gastos de qu.- se trata, y no s- ha Ei Sr. Belda: He tomado la palabra para rectificar un hecho que verrficado ano tu otorgamiento. Por este aitículo 1c…</t>
  </si>
  <si>
    <t>…u'o en que r, fácil que dé lugar t abusos. Para evitar en lo era mas propio de »u carácter y facult.- d s. prMÍ&gt;ie estos propondré iuoo una modificación , sin embargo de que es El Sr. Adán dijo que estaba mandado por las Cort-s qu; es Ja mipreciso convenir en que hay caso» en les cuales la justicia exige impe gsruciou de baldíos ae impusiese cieno canon • cada una d: las tuertes.</t>
  </si>
  <si>
    <t>Gaceta de Madrid n.º 371</t>
  </si>
  <si>
    <t>1865</t>
  </si>
  <si>
    <t>…amas diputaciones podían encargar á cada uno de tus empleados los aquella fuerza, obedezca las órdenes que le comunicare directamente al negocios que tuviesen á bien. efecto.*’ El Sr. Adan dijo que por el proyecto que te discutía se señalaban Lo que me apresuro á hacer saber al público para su conocimiento. dos oficiales pata cada secretaria de las diputaciones provincia.es, y Zaragoza id de Diciembre de 18aa.sAntonio Amar. en el art. 17a se de…</t>
  </si>
  <si>
    <t>…comisión propone en el art. 161 que las diputa faeul'.a-íes para r mover los empl-ados de su secretaría. ciones provine.ales podrán tener ademas de los empleados .en la secreta Ei.Sr. Adan d.jo que ya que las Cortes habían determinado que hu ría los oficiales, escribientes ó porteros que creyeren necesarios, pero biese pocos mi - eades en la» s.-cretar-as de las diputaciones, era de pa sin el carácter de empleados. En esta última circunstancia…</t>
  </si>
  <si>
    <t>Gaceta de Madrid n.º 375</t>
  </si>
  <si>
    <t>…stir é asta acto solemne, porque median los impedimento* qua El Sr. Munarriz: Quisiera qu# •• redactase el artículo de otro ha manifestado. Creo que con esto quedará satisfecho el Sr. Adan. modo con 'as mismas palabras, diciéndose, » la diputación provincial! Antes de concluir no puedo menos de decir que ha oido con el ma •1 ayuntamiento ," porque quisiera se observase el orden geráiquco. yor sentimiento que te quiere tildar i la comisión como…</t>
  </si>
  <si>
    <t>1911</t>
  </si>
  <si>
    <t>…á loa que pide el Gobierno es menos costoso y menos gravoso; y ia comisión, facciosos ó declararnos la guerra.pensando' hacer bien ha hecho mal. El Gobierno ha pedido qu: se de El Sr. Adan: Yo quisiera qne se leyese la consulta ó exposición roguen los attícuios 6.' y 9.0 de la ley orgánica, porque se habla hecho del Gobierno sobre la cual he-recaido este dictamen, (se leyó.) para tiempos ordinarios, y los legisladores que la hicieron no pudiero…</t>
  </si>
  <si>
    <t>Gaceta de Madrid n.º 381</t>
  </si>
  <si>
    <t>…trario pensa 'os por el Congreso no eran á las persona», siró á las corporacio que ia totalidad de ia misma. nes morales. Cuando el a-, untamiento constitucional de Madrid d.ó F.1 Sr. Adan : Imparc al m mis principios, y consecuente en m’s rpi- la comisa c rica á los defensores de la libertad como una manif.sriott's, voy a hacer ver a !as Cortes que no deben aprobar -1 Jictan» n ta; on Je su aprecio, coronó con laureles las oandera» de todos de…</t>
  </si>
  <si>
    <t>Adan, Juan</t>
  </si>
  <si>
    <t>Juan Adan</t>
  </si>
  <si>
    <t>…Por un parte posterior se ha sabido que en la mañana del ro te 8a loa dos principados ta mantienen las cosas en el mismo pie que presentó en la sala consistorial de aquella ciudad D. Juan Adan 1 ruantes. El 10 te decía enjssi que en laa inmediaciones as habían susci jillo á la cabeza de una porción de hombres armados, en ocasión de tado algunas desavenencias entre las tropas turcas recien llegada» y ios haberse reunido el ayuntamiento con asistenci…</t>
  </si>
  <si>
    <t>Adan-</t>
  </si>
  <si>
    <t>…40, como injurioso á los señorea Sr. Merced 70 votos, y el ir. Lapucrta uno. D. Juan Arguelles Valdés, D. Anadeto Fagoaga y D. Antonio Siles, Se leyó la siguiente proposición del Sr. Adan-, n Pido á las Cortes magistrados de la audiencia territorial, se reunió el jurado, compuesto se sirvan autorizar á los Sres. Villavieja y Meca para que intervengan de los Sres. siguientes: D. Francisco Colombo, D. Pedro de Alvaro y en los actos de presentació…</t>
  </si>
  <si>
    <t>…Ati pues creo que Se d.claró el asunto suficientemente discutido, y se aprobó el ar el articulo debe expresarse con mas claridad. tículo, poniendo en ¿I tiu ládanos españoles. El Sr. Adan-. La com'aion hi reconocido ya como ju*ts la observa Art. 5.0 » Quedan sin embargo sujetas á la inspección de la poli ción hecha por el Sr. Romero acerca de la pa'abra nacional. El Sr. Me cía las casas pút&gt; ¡cas de fondas, mesones , posadas, figones, bodegonea…</t>
  </si>
  <si>
    <t>Adanero</t>
  </si>
  <si>
    <t>…J Ojalá que me fuera po hecho; y recayó la suerte en los Sres. Martínez de Velasco, Apoitis sible recorrer la dilatada línea que S. S. ha trazado, y tocar todos los Mal lagar ay, conde Adanero, Alcalá Galiano, Alvarez Gutiérrez, pormenores de los acontecimientos' de que ha hablado: me ceñiré pues ViUanueva, Sarabia, Rey, Valdés (D. Dionisio), Ferret (D. Anto ó recordar la doctrina que expuso’el Sr.secretario de Estado,de que no nio) , R co y Valdés…</t>
  </si>
  <si>
    <t>…diencia.” Habiéndose vanado tas palabras vis decretase la visita que no determinando que esta sea general. Del mis el distrito con lat siguiente* para el di,trisa , a peisciun del Sr. Adanero. mo modo que un coronel no puede ofenderse de que el comisario pa Art. |.® » Los visitadores que nombren las Cortes temarán de ca se revista i su regimiento, puesto que io m imo se hace con todos ios da proceso las notos que debidamente pu dan hacer de 1» que…</t>
  </si>
  <si>
    <t>Gaceta de Madrid n.º 117</t>
  </si>
  <si>
    <t>…en las provincias que se reunían, era un principio de do i las respectivas audiencias territoriales , y manejándose con la eco derecho público; pero que sin embargo la adición del Sr. Adanero te nomía que d.ben manejarte los fondos públicos de cada partido, asig nia un objeto muy plausible , 7 que el progreso de esta discusión habrá nen las dotaciones á los promotores fiscales, alcaides 7 alguaciles de mostrado la necesidad de tomarla en considera…</t>
  </si>
  <si>
    <t>…n sufrido descuentos, ni con los hijos de los empleados cuyos suel ofrecían i mi entender discusión alguna. do* no te hallan en cata proporción. Digolo esto, porque la comisión El Sr. Adanero manifestó que nada tenia que añadir fi lo que ha hq dado tu dictamen en el supuesto de lo que está ya establecido cA bía dicho el Sr. secrctariode Hacienda, el cual le había prevenido con el decreto de 19 de Junio; y el Gobierno cree que no deben negarse su d…</t>
  </si>
  <si>
    <t>…el caso del primer artículo. ” motivo para variar «I método ordinario: y ú ,t&gt;mamerte por ío que resLa comisión de Hacienda informando sobre la instancia presentada p:cta á la del Sr. Adanero pera qu; los visitadores recorran los libro» en por el’hercdero de D. Francisco Domenech , consejero que fue de Cas que los jueces hayan salvado sus vetos particulares, ia comisión la juztilla , en solicitud de que los sueldos que dejó devengados se paguen ga…</t>
  </si>
  <si>
    <t>…orta discusión se aprobó, principiándolo en es tículo solo i fin de año , s no cuando lo crean conveniente. tos términos: » En todos lis puntos comprendidos en el artículo ante El Sr. Adanero: El artículo de ningún modo pone obstáculos á que rior cunip irá el ayuntimhnto &amp;c.” los ayuntamientos nombren estas comisionei, y remuevan los indivi Art. 61. «Si algún vecino ó otro interesado se sintiere agraviado duos de ellas cuando lo crean conveniente,…</t>
  </si>
  <si>
    <t>Ademas</t>
  </si>
  <si>
    <t>Gaceta de Madrid n.º 370</t>
  </si>
  <si>
    <t>…en libertad, ó entregarle á disposición de no juez de primera ins Crcssi.iret del ministerio de Gracia y Justicia. tancia. Con fecha .le 11 d: D cumbre de idai s: ha comunicad" í Don Ademas, ti tal artículo te sancionara, serían mayores las facultades Pedro Muñoz Atrt-yo , gobernador «cica;, suco de Malaga, la Rea. or de un agente d.-l Gobierno que laa del Rey mismo, puesto que no pue den siguí-nte: de este sin quebrantar el auícuio fundamental…</t>
  </si>
  <si>
    <t>Aden</t>
  </si>
  <si>
    <t>…a construct ion de dos fragatas , si dentro de un año va i costar rerz’arnento, y quedó admitida i discusión. otro tanto el componerlas! Lo mismo ha suced.do respecto de dos na 11 Sr. Aden: Seria muy ridículo que las Cortes recomendasen la vios que se Compraron no hace mucho tiempo. Por lo mismo pido que ob.'rvanc a de una cc-jV que está ya mandada, y creo que en caso de se exija la responsabilidad al secretario de lí:-ci-cr.da. aprobarse a’.un…</t>
  </si>
  <si>
    <t>…gan la aptitud cor tia ae na digno coapafiero nuestro, diría an qué circunstancias se halló, respondiente. y cómo supo en un departamento militar reunir y conciliar los ánimos, El Sr. Aden: En Valencia ha sido ultrajado d pueblo: la cansa de mi como contener lo» extravíos de la opinión. esto es que no se han removido lea persona* que estaban en tiempo Asi se manda, y el que no sea capaz de mandar mí, deje tu pues del anterior Gobierno, y siempr…</t>
  </si>
  <si>
    <t>…sumible 10143— 10000 ps. fs......... Puerto de Santa María. que se cerrasen los estudios de S. Isidro por las razones que habia ma «zgól— 4000............. En Madrid. nifestado el Sr. Aden, y tanto menos cuanto se observaba que se esta S?4«... IOOO..... *...... EnCádiz. ban formando en Madrid establecimientos gratuitos para la enseñanza a&lt;*4«7... IOOO.... «...... En Madrid. de varias ciencias , como el Ateneo, que tantos beneficies hacia. ... I…</t>
  </si>
  <si>
    <t>…dividuos que no habiendo servido en la armada tazones creo que debe empezarte i discutir la primera p*rt« de estas. pasen de 40 «lio* no puedan inscribirse en la quinta lista-” El Sr. Aden te opuso é que se accediese á lo que manifestaba el se Los arts. i-°, a.° y J* fueron aprobado* sin disensión. llos Infante; porque estando prevenido por la Constitución que prime Leído el 4.0 manifestó el Sr. Airear que lo* individuo* da que aa ro se discuti…</t>
  </si>
  <si>
    <t>Aden, Francisca Eatalelia y D Vicente</t>
  </si>
  <si>
    <t>Francisca Eatalelia y D Vicente Aden</t>
  </si>
  <si>
    <t>…decoro de la Nacioa que representamos. brar are tres plaza de ministra de le audiencia de Catetulto, 4 Don El Sr. Calatrava: Le comisión se veooofandida al va una iocul- LuisMoxó, D. Francisca Eatalelia y D Vicente Aden; v pera toada pociona que le hace nao de sus individua, y que ha concurrido 4 te- fiscalíadal propio tribunal AD. Angel Castellana y D. Julián deSojo. dos sas trabaja; y si toda asta ubteevtcioua kshubiera hecho pre En le misma forma ee be servido S. M. nombr…</t>
  </si>
  <si>
    <t>Adían</t>
  </si>
  <si>
    <t>…or Se mandaron pasar 1 la comisión espacial encargada del examen de menores de su egrcucion. E. Gobierno propuso acerca de U njtdidi la memoria del Gobierno seis proposiciones dai Sr. Adían. que «e discute, que las causas d: conspiración llevan Cin .ito rc-p rla También se mandó pasar á la comisión la siguiente proposición bilidad pt cuniaria; la comisicn cr-v.s oportuno que no fuesen .as cau del Sr. Posada: » toda persona, de cualquier clase, c…</t>
  </si>
  <si>
    <t>Adíe</t>
  </si>
  <si>
    <t>…bara# lo qoO Otra del misma Sr. al art. s ■ par* que i su final te pusiese: * Lo proponía el Gobierno. mismo se entenderá respecto de los terrenos d : pastos , cuyo disfrute en El Sr. Adíe di|o que &gt; b¡‘mbi con sorpresa se presentasen por el todo ó en parte pertenezca al común de los vecinos ” La comisión no Gobierno i la deliberación de las Cortes rn ios últimos días de sesio la admitía, porque seria lo mismo que revocar todo* lo» decreto* dad…</t>
  </si>
  <si>
    <t>Adinera</t>
  </si>
  <si>
    <t>…resentó los siguientes prescritas para el goce de la citada pensión , mandase que verificase su dictámenes. pago desde la fecha que lo solicitó. Aprobado. Uno sobre la adición del Sr. Adinera al dietsm n de la ro-is-ns , an-'11 • • Otro sobre la solicitud de varios empleados en las extinguidas con bido por las Cortes, sobre la reun.on de los dos Yebenr, lie tadurías de ptopios de Soria y Salamanca. La comisión opinaba que se opinaba que debia auto…</t>
  </si>
  <si>
    <t>Adinero</t>
  </si>
  <si>
    <t>…en cuanto El Sr. Lodaret hizo varias observaciones sobre la necesidad de ezai la primera parte debia pasar al Gobierne, 7 en cuanto á la segunda minar detenidamente la adición del Sr. Adinero, para no perjudicar á que no podía accedcrse á ella por la escasez del erario. Aprobado. los derechos de propiedad que tenia cada común ó reunión de vecinos, 7 Otro sobre le consulta del auditor de marina del departamento de que eran tan sagrados 7 respetable…</t>
  </si>
  <si>
    <t>…bro* de las respectivas conta elición en la com'sion de Premios hecha con este motivo; y que sobre durías.” el modo de llevar á efecto esta resolución se haba puesto de acuerdo El Sr. Adinero dijo que debía especificarse en el artículo ti los al la comisión de Gobierno interior de las Cortes con el arquitecto, y ha cances de que se hablaba eran desde el año de 1808 ó desde el 814, bía visto que no era fácil hacerlo durante las sesiones; con cuyo m…</t>
  </si>
  <si>
    <t>Adío</t>
  </si>
  <si>
    <t>…1 , y de 24 A Marzo ciones por medio del decano , manifestaba que no podía remitir la can A 1813. sa al tribunal de Cortes, porque lema hecha uaa consulta sobre esta A petición Al Sr. Adío se leyó la resolución A las Cortes cora apunto á las mismas por conducto del Sr. secretario de Gracia y Just icia. nicada al Gobierno sobre que la causa del Sr. Galiano estaba cu el El Sr. Lodares pidió que se leyese la consulta del supremo tr.bu- mismo caso…</t>
  </si>
  <si>
    <t>Adlon</t>
  </si>
  <si>
    <t>1009</t>
  </si>
  <si>
    <t>…r al nes de guardias la opeion para mandar los regimientos de infantería. reincidente que hubiese sido corregido; en inteligencia de que no &gt;e di- Después de h ib r contestado el Sr. Adlon i la» observaciones del simu ará ia menor negligencia en el cumplim ento de tan interesantes señor preopinante, apoyando el artículo, se declaró este punto sufi- disposiciones, y sobre cuya observancia se hace á toe.., los ayunta cientem.-nt - discutido , y p…</t>
  </si>
  <si>
    <t>Adm</t>
  </si>
  <si>
    <t>Gaceta de Madrid n.º 313</t>
  </si>
  <si>
    <t>…ola al mamo tiempo, no pudiendo ó no atreviéndose rar e tu regla, ¡i en algún caso la tuvieie por conven.ente. á hacerle una guerra abierta, echan mano de otros med.os, y son ei E Sr. Adm pregunto si la cem .ion cuando ..ababa de los con de ia intriga, y particularmente ei de «atender noticia» fa »as. En Esrventos en d:-poblado se referia también a lo* convenio» de monjas. ceiona han propagado ia voz de Ja pronta entrada de tropa» francesas fc…</t>
  </si>
  <si>
    <t>Adn</t>
  </si>
  <si>
    <t>El Sr. Adn mííImó ftt lo fH Mía £cko lm comisión era que el secretario dd Despacho de Hiriendo,ea el qne se ezprese el gmtn i «te artículo ao ae Mm foao á vosacion, porque laa Cortea do po que se destina su importe, y el decrete de Un Certet coa pe este te eem~ dían eat…</t>
  </si>
  <si>
    <t>Adral</t>
  </si>
  <si>
    <t>…rtillería , á quienes se enteró d: todo, indicando qu; el me supuesto de que la posición de la isla gaditana, y mas que todo el comandante general darla i reconocer su man loen «I general D. Adral» entus asmo patriótico y uniformidad de sentimientos de sus moradores I Jícoms , en quien por antigüedad debía recaer , y creyó el ayuntamien favor del sistema constitucional, harán en todo cato que se estrellen ett to conveniente encargar del mando político…</t>
  </si>
  <si>
    <t>Adsn</t>
  </si>
  <si>
    <t>…ue trata el artículo ; pero es im dar este testimonio de aprecio tan justamente merecido á los héroe* posible. del 7 de Julio sin darla también i los del i.° de Eneto, me había El Sr. Adsn: No estoy conforme con la contestación que ha dado propuesto hacer una adición ó proposición para que Jas Cortes se sir el Sr. Galíano al Sr. Buruaga. Según ha manifestado S. S., y según di vieran tomaría en consideración , y habiendo oído ya al Sr. Infante,…</t>
  </si>
  <si>
    <t>Adsnero</t>
  </si>
  <si>
    <t>…s pueblos que hubiesen de re capitanes, como inutilizado en acción de guerra, opinaba que debía re unirse. mitirse al Gobierno, para que uniendo presentes los méritos 7 circuns El Sr. Adsnero contestó que la razón del Sr. preopinante tendría tancias del interesado, le concediese S. M. el retiro que estimase con fuerza ti se tratase de conservar estos derechos peculiares; pero que lo veniente. Aprobado. . que proponía en su adición era que para evi…</t>
  </si>
  <si>
    <t>Adton</t>
  </si>
  <si>
    <t>Gaceta de Madrid n.º 303</t>
  </si>
  <si>
    <t>…venido en el articulo qne bibirStda cota en la otdentnra antigua que produjese ventajas, ti á que se refería el que ahora se discutía. déheri* adoptar para la ordenanza actual, El Sr. Adton se opuso *1 artículo , manifestando entre otras cosas El Sr. Gómez ( D. Manuel): Los artículos que actualmente se dis que en su concepto no estaba bien demarcado el modo de verificar las cuten remandaron volver é la comisión,'i.' para que se suprimiese propue…</t>
  </si>
  <si>
    <t>Advertimos, Ra</t>
  </si>
  <si>
    <t>Ra Advertimos</t>
  </si>
  <si>
    <t>…llas náuticas de distancia, exceptuando sola si se 1-» cobra el derecho de 20 rs. p.¡r tonelada. mente el casó de necesidad. A la misma comisión se pasó una memoria presentid! por D. Ra Advertimos que este ukase, cupo objeto es asegurar á la Rusia el fael Cavanílías, para que se Unga presente al tratar de las minas de Al comercio exclusivo de peleterías, ocasionaría graves desavenencias con madén , manifestando el estado actual de dichas minas. la Ingl…</t>
  </si>
  <si>
    <t>Advierto</t>
  </si>
  <si>
    <t>Gaceta de Madrid n.º 221</t>
  </si>
  <si>
    <t>…ta medio como se calma el ardimiento de un l8i2.=Josef de la ConchascSr. comandante general del 6° distrito.” pueblo guerrero: la revolución de Francia es un grande egemplo, do P. D. Advierto é V- S- que la partida de milicianos que marchan qu» debían haberse aprovechado ios enemigos de la revolución españo unidos » ia mia se han presentado é hacer este servicio vohintarámenla, y que debería inspirarles mas prudencia y reserva-” tc-sjosef Concha.…</t>
  </si>
  <si>
    <t>Aéufi</t>
  </si>
  <si>
    <t>Gaceta de Madrid n.º 100</t>
  </si>
  <si>
    <t>…la im Se ieyó y mandó quedar sobre la mesa el dictamen de la comisión prenta Nacional y en la de Campoy á 8 rs.; y en Barcelona en la de Eclesiástica acerca de la proposición del Sr. Aéufi* para que los M. Gaspar; en Cádiz en la de Zaragoza; en Málava , Granada, Corulla; RR. arzobispos y RR. obispos se abstengan de conferir órdenes hasta Bi bao , Badajoz, Zaragoza, Valencia y Santander en las administra qu: no esté determinado el número de indi…</t>
  </si>
  <si>
    <t>Afaman</t>
  </si>
  <si>
    <t>Gaceta de Madrid n.º 45</t>
  </si>
  <si>
    <t>…puesto; siendo muy dificil de creer lo contrario cuando este no había necesidad de discutir el voto adicional. individuo no podia apetecer en América mas de lo que por su mismo El Sr. Afaman manifestó que lat Cortes no podían aprobar la pri empleo gozaba. Asimismo dijo que el origen de los ú timos sucesos de mera m.-didaqne se proponía, en .razón de que las Cortes no tenían América no eran los que se creían, pues que dimanaban de ios enemi mas fa…</t>
  </si>
  <si>
    <t>Afán</t>
  </si>
  <si>
    <t>1005</t>
  </si>
  <si>
    <t>…. _ Et Sr. Isturiz preguntó hasta que punto podía descansar el Go lante lo que ya hab un aprobado ias.Cortes. bierno respecto de la conducta de las demas naciones de Europa con Ei Sr. Afán: No r.e votado las medidas anteriores, porq-ie en ra la América. no siria dar esta a-tor.zacion ai G.b cao, 1.0 pud endo » cumo ccn.t» El Sr. secretario de Estado : El r ©hierro no puede responder i esta á todos los Sres d pillado», proporcionarle cantidad «.…</t>
  </si>
  <si>
    <t>Afarau</t>
  </si>
  <si>
    <t>Gaceta de Madrid n.º 332</t>
  </si>
  <si>
    <t>…s tenerla plísente para apro F.l Sr. Oliver : Sin embargo de la modifirac'on que ha propuesto la barle. comisión todavía subsiste : mis dificultades , porqti* el arr. 3.' d: ia El Sr. Afarau: Convengo desde luego en que á los militares no se Constitución dicequ: »&gt; Si n españóle, todos los hombres bbr- S a.idosy les exijan para testar los rtqui^tos quí i le* dornas ciudadanos; pero avecindados en los dominios de las España», y lo» hijo» de estos;…</t>
  </si>
  <si>
    <t>Afcazar, Antonio del</t>
  </si>
  <si>
    <t>Antonio del Afcazar</t>
  </si>
  <si>
    <t>Gaceta de Madrid n.º 260</t>
  </si>
  <si>
    <t>…oficial de caballería, y se asegura se quín Ruiz Llord , D. Francisco Martínez Marina, D. Bernardo Alon hallarán ocultos bastantes cadáveres; les matamos tres caballos, y les so , D. Antonio del Afcazar, D. Antonio Díaz del Moral, D. Celes hicimos un herido prisionero, que permanece en este hospital tratado tino Olozaga, D. Casimiro Martin y D. Santiago Delgado. Fue de con una humanidad de que es indigno. Dios guarde á &amp;c. Tudela y Opinión contraria D. Joaqu…</t>
  </si>
  <si>
    <t>Afeman</t>
  </si>
  <si>
    <t>Gaceta de Madrid n.º 44</t>
  </si>
  <si>
    <t>…níamos allí grandes intereses; que El Sr. Torre Marin deshizo algunas equivocaciones que dijo habia nuestro comercio estaba paralizado; que estábanme sin fuerzas y sin padecido el Sr. Afeman; añadiendo que cuando se hizo el tratado de dinero, y que por lo mismo se debía aprobar el dictamen de fe comi Utrech , las Floridas y 1a Luitiana no pertenecían á 1a Nación espa sión como muy sabio , muy justo y de la mayor consecuencia para sal ñola , sino…</t>
  </si>
  <si>
    <t>Afianzo</t>
  </si>
  <si>
    <t>715</t>
  </si>
  <si>
    <t>…alia con una ccn„.¡f.n iirportart-. La comisión de Hacienda , informando sobre varias proposiciones Gañí nuan ios ircend o» en les d parta mentó* del Seca, de '.'.se y dei del Sr. diputado Afianzo, era de parecer que en cuanto á Ja primera, boma , y se asegura que van i salir de París algunos rcr.avenios de la relativa á que estando destinado* lo* fondos de tspolíos de Tenerife pa guarnición para marchar ccn otro* cuerpos del norte sebre la Picardía, r…</t>
  </si>
  <si>
    <t>Afon, Juan</t>
  </si>
  <si>
    <t>Juan Afon</t>
  </si>
  <si>
    <t>…agcn , o.dor que tue de Vea c.. . p.i a .. . ■ lleros de Malta, quienes pagaian cieita cantidad por ella. Va lads&gt; id s D Josef Fuente Herrero, d‘ M.idr d . par» a, d- y..,_ nadas D. Juan Afon», Morusa, de a Mora d. • r s ARTICULO DE OFICIO. Us de Sev ¡ia * D. Manue lnn; ia.r More-o-, ¡ a i i, y, » Circulares del m‘nTa:ri:) de ia Ct r' ’; i '¡ le .'i T1'■ 1 . ’ i. D l'ranc.sco 0«m ao, abogas4,, •’ • T p -a ... . • Siendo de la mayor urgencia «i qu:…</t>
  </si>
  <si>
    <t>Afonzo</t>
  </si>
  <si>
    <t>Gaceta de Madrid n.º 133</t>
  </si>
  <si>
    <t>…median espero que el explicarme en estos términos tal vez acarreará algunos te justa causa y examen doble. disgustos á mis infelices hermanas; pero esto no me arredra. Conozco El Sr. Afonzo dijo qu- debían desaparecer estas dispensas, aun que Lucena es en general un pueblo bueno, y que hay en él perso que se decía que solo podían concederse por causa legítima, pues nas muy apreciables, entre ellas el vicario eclesiástico, perseguido en no la hab…</t>
  </si>
  <si>
    <t>Gaceta de Madrid n.º 135</t>
  </si>
  <si>
    <t>…lecimiento, van sacado»&lt;n la actual fundición de mi dividuo» de la» órdenes monacales suprimidas. nerales, que dió principio en 3 del corrienia mes hqsta el 25 del mismo, Otra del Sr. Afonzo, para que se diga al Gobierno remita el ex *35i quintal'*, 37 libras de azogue. Dios guarde á VV. Si. lunches pediente que se formó sobre el rxeru tur rejfum de la bu:a del Papa años. Madrid 5cc.” Pió vi de 15 de Aeosto de 1794 conlia et sínodo de Pistoya, pa…</t>
  </si>
  <si>
    <t>…mas de que I. s alcaldes tienen muchos ne form* al art. 3.°, 9.0 y 1 j del decreto de 14 de Marzo de 1813. gocios á que atender, y que les impedirán el egercer las funciones de El Sr. Afonzo pidió que se leyera el art. 371 de '1 1 0':&gt;t tucion, 1“ -ces interinos de primera instancia: y no debe el Sr. Romero desco que dice qu- las Cortes en sus primeras sesione» tomarán en considera nocer que en ciertos nombramientos de jueces interinos, ó en todo…</t>
  </si>
  <si>
    <t>…determinan que se empiece i dis extraviado expediente alguno. “ cutir esta, resultará que se cerrarán las sesiones, no solo en esta legislatu Se leyó la siguiente proposición del Sr. Afonzo? * Pido i las Corte* ra, sino en la que vieue, y dejarán al egército en la ansiedad en que que el Sr. presidente sefiale dia para tratar sobre la responsabilidad del actualmente se halla, sin que cada uno de lo* individuos que le gefe político de Madrid y otr…</t>
  </si>
  <si>
    <t>…la segunda á ia comisión hl br.Castejon dijo que deseaba sab r si este era un nuevo proyecto de Ilac.enda. •obr- los ob|étos que comprendía, «i no cía mas qu • una aciaracion y Kl Sr. Afonzo dijo que había leído en algunos papelea públicas, modifirac on de los exiunu»; pues en el primer caso creía debía ex con referencia á una carta escrita desde hunchai por el teniente coro presarse asi; y en d segundo lenta por inútiles las disposiciones del ar…</t>
  </si>
  <si>
    <t>…ión y dí.tribu- El Sr. Becerra ha dicho que las juntas son inútiles , porque le pare cion del mediodiezmo. ce á S S. qu; la distribución se podría hacer mas simplemente señalan El Sr. Afonzo dijo que por este artículo sa dejaba á cargo de las do nna cuarta , quinta ó décima parte á los pueblos; pero esta regla no juntas diocesanas la recaudación del medio diezmo; y que no teniendo puede tener lugar, poique lleva consigo una desigualdad. La razón…</t>
  </si>
  <si>
    <t>…ía ati t ración en favor de Tarragona otras dos del Sr. Eacovedo á los arta. 9 Aunque suscribimos gustosos al precedente reglamento, no podemos y 10 de cate reglamento; y otra del Sr. Afonzo pera que se declara ■enot de reclamar que ia excepción del art. z.° á favor de algunas espe puerto de depósito al da las Palmas en la gran Canaria. tas te extienda á los frutos cereales y harinas, cuya introducción está Continuóse la lectura del código penal,…</t>
  </si>
  <si>
    <t>…a decisión y conducta heróica del cgéfcito permanente hace que y los hiciese las advertencias convenientes. puedan preverse los resultados que tendrán todas las tentativas para El Sr. Afonzo manifestó que estando ya resuelta la formación de trastornar i mano armada el sistema constitucional; pero tendiendo le causa en este asunto era menester revocar lo acordado para proceder de vista fuera de Espafia se ve que toda la Europa se halla en una acti…</t>
  </si>
  <si>
    <t>Gaceta de Madrid n.º 174</t>
  </si>
  <si>
    <t>…Diputaciones provecíales, Habiéndose leído dicho dictamen ( zé.tse .1 Oa.eta .1:1 4 He! cor tn el que manifestaba que en atención al poco tiempo que faltaba para riente), dijo el Sr. Afonzo: Puesto que la com s¡on ha presentado .as concluirse la actual legislatura , y á los muchos y graves asuntos que medidas que ha creído son conveniente» para remediar los ma'-s de ¡a tenían todavía que tratar las Cortes, seria dificil se concluyese ia dis Naci…</t>
  </si>
  <si>
    <t>…s observaciones de los Sres. Castejon , Beltran de ciones se oponen á esta pretensión, y últimamente con presencia del Lis y L(puerta c intra este artice.o , á Las que contesto el Sr. Afonzo, dictamen de las comisiones de Uscienda y Comercio de la legislatura te declaró no haber lu^ar é votar sobre ci; en su cocs. cucncir no sa anterior; opinaba que el expediente no estaba aun bastante instruido pusieron á votación los demas artículos por tener u…</t>
  </si>
  <si>
    <t>…rimer caso, entonce* fuera de allí le besaría la mano. Asi pues la proposieion, como ha di las autoridades harían disolver otra vez la reunión , y asi se haría ver cho muy bien el Sr. Afonzo, no debe ser objeto de discusión, y es que se hacían respetar las leyes, y no se querían los abusos. ofensiva á los oidos constitucionales. Declarado el punto suficientemente discutido, quedó aprobado el El Sr. Moreno: Esta mañana te ha leído un voto particul…</t>
  </si>
  <si>
    <t>…arios de Calatayud en las cercanías del convento de Sun El Sr. Munarriz pidió que se leyera el art. 188 del código penal, y Cristóbal de Alpartir, en la provincia de Calatayud. el Sr. Afonzo queae leyesen los attículos siguientes del mismo ca Las noticias de Cuspe con fecha del 14 se reducen á que no habis pítulo. novedad en toda la lima establecida nuevamente , que es como sigue: El Sr. Canga: Había resuelto no tomar la palabra en este asunto ,…</t>
  </si>
  <si>
    <t>AfU'</t>
  </si>
  <si>
    <t>Gaceta de Madrid n.º 207</t>
  </si>
  <si>
    <t>…teniente de guardias D Matías ' asero, que se calle de Alocha para caer po la d Ca'rrtas en ia Pu-rta .J:i : al ofreció voluntariamente i ir á parlamentar, y i quien dí un trompe brigadier AfU' a ,e d je el m*ndo de ia p.aza d- ia Con,t ruc ■ r. coa ta al efecto. Después de una larga conferencia con los guardias face lo el coman.tame de a m ¡icia D. Josef Amandi y ei corone. D. iJam.naos vino dicho primer t-niente acompañado de un oficial de estos,…</t>
  </si>
  <si>
    <t>Ageo, Juan Antonio</t>
  </si>
  <si>
    <t>Juan Antonio Ageo</t>
  </si>
  <si>
    <t>Gaceta de Madrid n.º 311</t>
  </si>
  <si>
    <t>…se ve atecada por bureándole *1 espitan f parte de la tripulación del bergantín Statira.^ periodistas ingleses que basta ahora bao seguido diferente po í.ica. Las Se ha presentado D. Juan Antonio Ageo, capitán del bergantín Sera- inscripciones de España estaban como sigue: Jiña (alias Statira'), que el 11 del corriente salió de este puerto para el Dia g___De 1810 á 78-J á 79—Id. i8it á 69 J í jt 6oá de Santand r con carga de sal, y declara que el i a á las…</t>
  </si>
  <si>
    <t>Agosto, Beuso y</t>
  </si>
  <si>
    <t>Beuso y Agosto</t>
  </si>
  <si>
    <t>Gaceta de Madrid n.º 265</t>
  </si>
  <si>
    <t>…el mundo sabe tros compañeros, que harán ver en todo caso que no en vano han jura que su egército le adora, nadie se atreve á faltarle al respeto. Aunque do Constitución ó muerte. D. Beuso y Agosto 6 de 1811.” (Signen no tiene mas título que el de doctor Francia, et en realidad un Sop las firmas.) rano absoluto, uu verdadero déspota, pues nunca consulta i nadie ut convoca al pueblo ni á quien le represente ¡ él solo es legislador. No ARTICULO DE OFICIO.…</t>
  </si>
  <si>
    <t>Agrelo, Pedro Josef</t>
  </si>
  <si>
    <t>Pedro Josef Agrelo</t>
  </si>
  <si>
    <t>Gaceta de Madrid n.º 273</t>
  </si>
  <si>
    <t>1557</t>
  </si>
  <si>
    <t>…he marchado 3 Jas cinco de ber: D. Carlos M. Alb-ar, D. M'guel E. Soler, D. Manuel Dorrego, la mañana con las tres compañías de cazadores de ¡os regimientos de D. Manuel Sarratea, D. Pedro Josef Agrelo, D. Manuel V. Pagóla, Jaén , Ord.nes militares, voluntarios de Castilla , la segunda compa D. Josef ¿ares, D. Manuel Rodríguez y D. Juan Balagué. ñía de pontoneros, y los granaderos de Ordenes Militares y Castilla : y Se está imprimiendo el Estatuto provision…</t>
  </si>
  <si>
    <t>Agu.ire, Florentino</t>
  </si>
  <si>
    <t>Florentino Agu.ire</t>
  </si>
  <si>
    <t>Edición extraordinaria</t>
  </si>
  <si>
    <t>Gaceta de Madrid n.º 322 (extraordinaria)</t>
  </si>
  <si>
    <t>…:*s i'ir.n de señal acometerles, moldando al cap-tan d.l regimiento infantería de Lium- para uun.r».- a grueso de a lección , cor s: h»l a'a ai &lt;f .' .c'o del da D. Juan Viia y á D. Florentino Agu.ire , comándame de ¡a s c- puente, acolada de una erm.ta. la guerr »U ios ci-f.,' S 7 ■-• erren re; cion de los milicianos volu.it «ros d • Vallado id, qu- con la int.i;.tc- pero v endose comprometida por el tu c » horroroso dei m-, tu-o rta impidiese la entrada…</t>
  </si>
  <si>
    <t>Aguado, Benito Alfonso</t>
  </si>
  <si>
    <t>Benito Alfonso Aguado</t>
  </si>
  <si>
    <t>…hacer él se cita, llama y emplaza i los interesados y acreedores i los bienes de cumplir las leyes qne no el dar mucha* Por **ta razón creo que si se la testamentaría del difunto D. Benito Alfonso Aguado, vecino que fue aprueba la proposición del Sr. Canga, debe ser sin perjuicio de que las de la villa de Yuncos, para que en el termino preciso de 30 dias, con Cortes se ocupen en otros asuntos mas interesantes que los qne en ellas tados desde la de este de la…</t>
  </si>
  <si>
    <t>Aguda, Luis del</t>
  </si>
  <si>
    <t>Luis del Aguda</t>
  </si>
  <si>
    <t>…corazón de sus comandante de la plaza de la Constitución al gefe de mas graduación, hermanos estos dos sentimientos tan propios para preparar el 4nimo á y hallándose ya en ella el brigadier D. Luis del Aguda le rogué to las cosas grandes, el deseo de instruirse y el amor 4 la patria.... mase el mando; pero sabiendo este mi mayor antigüedad eu la misma Esperad, ilustres hijos de la Grecia; uno de vuestros poetas llama clase , so quiso admitirlo; en su consecuencia…</t>
  </si>
  <si>
    <t>Agudo, Cesáreo</t>
  </si>
  <si>
    <t>Cesáreo Agudo</t>
  </si>
  <si>
    <t>…Valdés , conde D. Gabriel Rodríguez, D. Josef Rivat, D. Josef Alberola, D. Die de S. Esiéban, coronel graduado da egército, y comandante de milicias go Moraleja, D. Diego Angulo, D. Cesáreo Agudo, I). Francisco de c.bal.eria del Sur en la Hivana; y en at-ncion al donativo de ico® Ardila , D. Vicente Aparicio, D. Josef Parnés , D. Mguel Batalla, rea-s en metílico que ofreció pata las urgencias del Estado, le dispen D. Manuel Cataban, D Manuel Josef Cal…</t>
  </si>
  <si>
    <t>Agueda</t>
  </si>
  <si>
    <t>Gaceta de Madrid n.º 184</t>
  </si>
  <si>
    <t>…yor, D. Josef del Castillo, D. Cristóbal Josef dt Sancho Velasco, i 15 de Abril de 1468.Vrbina, D. Pedro Ramón de Jerez, D. Manuel Jiménez Pérez j Don Se desea saber el pandero de Doña Agueda de la Malla, natural de PoUcarpo Santisteban Morales. la villa de Bilbao, que hace años pasó á esta corte. Quien tuviese noti VARIEDADES. cia de su existencia tendrá la bondad «le avitat al almacén «te paños &lt;U Guadalajan, calle Mayor, pan comunicarla nn asun…</t>
  </si>
  <si>
    <t>Agüella</t>
  </si>
  <si>
    <t>Gaceta de Madrid n.º 321</t>
  </si>
  <si>
    <t>…pue dito por este registro, qu'mando y rasgando tus papeles por no verse de dar lugar á que ti la imprudencia ó la culpabilidad de alguno ó de expuestas á tus consecuencias; y el Sr. Agüella* ha presentado bien en algunos de los individuos de mi familia coadyuvan á un delito de cons claro los inconvenientes que podría producir esta medida respecto &lt;te piración, recaiga sobre mí esta sospecha; no basta el decir que yo ins las clases comerciantes;…</t>
  </si>
  <si>
    <t>Agüero, Felipe Arco</t>
  </si>
  <si>
    <t>Felipe Arco Agüero</t>
  </si>
  <si>
    <t>Gaceta de Madrid n.º 4</t>
  </si>
  <si>
    <t>…reglarse la concesión de la den, y de la rehabilitación de los mismos después de cumplir sus cruz deS. Fernando á los generales D. Antonio Quiroga , D. Rafael del comunas. Riego , D. Felipe Arco Agüero , D. Miguel López llanos , D. Deme Art. 147. «Por medio del arrepentimiento y de la enmienda el trio O-Daly, D. Carlos Espinosa y D. Manuel Latre. condenado á trabajos perpetuos podra , después de estar en el.o, 10 La comisión encargada de proponer las medula…</t>
  </si>
  <si>
    <t>…ácil y pronta impresión de dajoz, pidiendo que se tenga por capitán perpetuo de la misma al des esas entendía que seria lo mas conveniente que se encargase á la mis graciado héroe D. Felipe Arco Agüero, permitiéndole llevar una ban- ma secretaria que propusiese á la mayor brevedad posible el modo da dero'a en que esté escrito tu nombre. efectuar ia impresión , para que el Gobierno las circulase á las provin A la comisión de Libertad de imprenta se pasó una…</t>
  </si>
  <si>
    <t>Aguiar, Costa</t>
  </si>
  <si>
    <t>Costa Aguiar</t>
  </si>
  <si>
    <t>Gaceta de Madrid n.º 292</t>
  </si>
  <si>
    <t>…rán los espafiolet 4 disfrutar de lo* gos y elocuentes discursos en favor del dictamén de la comisión. beneficios que los facciosos les prometen , prefiriendo desde luego 4 los El Sr. Costa Aguiar dijo: Sr. presidente: toa 4 la verdad muy tris extrangero* para darles los destinos mas importantes. te» y dolorosss las circunstancias en que te hallan los diputados da laa La mitma Gaceta, aunque con graa sentimiento, se ha visto provincias meridionales del…</t>
  </si>
  <si>
    <t>Aguijar, Sebastiana</t>
  </si>
  <si>
    <t>Sebastiana Aguijar</t>
  </si>
  <si>
    <t>…oz á D. Luis Castillo Barrantes, que io t&gt; de 1 te, relativa á una pensión. la de Extremadura: para la de Lugo al teniente coronel D. Ana l del I A la de Premios una exposición de Doña Sebastiana Aguijar, soli- Arenal: pata la de Ciudad-Real a D Pedro Clemente Ligues , que lo ■ citando una pensión por los mé.itos contraídos pe r su difunto marido. «s de la de Valla dolid: para la de Murcia al ini est; general D Fran 1 A la de Hacienda una instancia de Doña Ma…</t>
  </si>
  <si>
    <t>Aguila, Juan de Soto y</t>
  </si>
  <si>
    <t>Juan de Soto y Aguila</t>
  </si>
  <si>
    <t>Gaceta de Madrid n.º 63</t>
  </si>
  <si>
    <t>…e arribar al jXt de D. Pedro Lince de Bcrústegui 1476 rs. 7 4 mrs__ La de Don Jepon^ penque si Gobierno de este país peasó quizá que aquellas gen grano Sano* 1J3 rs. 7 7 mrs—La de D. Juan de Soto y Aguila» 1Ó3 tes pertenecían 4 alguna tribu poco temible de u Siberia; pero 4 la lle ri»y 11 mri.__La de D. Martín Martínez da Pmillos 48 rs. 74 magada,del capitán Krasenstern con dos buques de guerra de bastante t¿7e&lt;iijra—La de D. Andrea Doval _,8&lt;» rt&lt;- 7 4 mrs__…</t>
  </si>
  <si>
    <t>Aguilar, Fernando</t>
  </si>
  <si>
    <t>Fernando Aguilar</t>
  </si>
  <si>
    <t>…s cerse en ellos reforma alguna mientras que el Gobierno no hay a apro de Inicio, conde de Rebolledo. bado por medio de las diputaciones provinciales los recursos que se hcija. El Sr. D. Fernando Aguilar , marques de Sta. Ella. propongan para los establecimientos que deban sustituirse 4 los anti- Ocaña. D. Bernardino Vicente Frías, escribano que fue del nú uos, debiendo estos continuar hasta el momento que los nuevos se mero de la villa de Ocaña , y murió en…</t>
  </si>
  <si>
    <t>Aguilar, Juan de Dios de</t>
  </si>
  <si>
    <t>Juan de Dios de Aguilar</t>
  </si>
  <si>
    <t>…3,868 mrs__ Otros dos so Asimismo ha tenido 4 bien nombrar S. M. para plazas de magistra bre 89 soldados de Toledo 4 pliegos 7, en cabeza de D. Josef de la dos de la de Mallorca á D. Juan de Dios de Aguilar, D. Juan Manuel Torre y D. Pedro de la Torre y Garces, de 4^6,400 mrs__ Otros dos de Junco, D. Francisco Calvet y Rubalcaba, D. Mariano de la Bode sobre millones de Toledo á pliegos 338, en cabeza de Manuel Ortiz y ga y M-sodío, D. Guillermo Moragues y D. Jui…</t>
  </si>
  <si>
    <t>Aguile, Antonio Cortes y</t>
  </si>
  <si>
    <t>Antonio Cortes y Aguile</t>
  </si>
  <si>
    <t>…s de dominio particular, ni á las que se á la formación de causa. Aprobado. satisfacen con arreglo 4 los mismos contratos por reconocimiento del La misma, en vista de una queja de D. Antonio Cortes y Aguile dominio directo ó por laudemio en los enfiteusis puramente alodiales; ra, vecino de Manzanares, contra el alcalde primero constitucional Don pero cesarán para siempre donde subsistan las prestaciones conced das Josef Jiménez, por haberle mandado poner preso s…</t>
  </si>
  <si>
    <t>Aguilera, Gaspar</t>
  </si>
  <si>
    <t>Gaspar Aguilera</t>
  </si>
  <si>
    <t>…uientes : El Sr. presidente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anteriormente para que las autoridades políticas D. Francisco Travesedo. bajo su responsabilidad rem…</t>
  </si>
  <si>
    <t>…to de loe Sres. siguientes: escribanos.................... 20,793 D. Joscf Castels, D. Higinio Antonio Lorente, D. Aniceto Lirana, Contaduría general de D. Manuel Esteban Caíala , D. Gaspar Aguilera , D. Rafael Coala, Cuentas....................... 29,050 D. Andrés Orinaga, D. Jaime Ruiz Abreu y D. Lorenzo Lambes. 8i,4o£ Habida la conferencia, resultó por mayoría no haber lugar á laIdem de intervención... 5&gt;,i'94 y DonDepositaría..................... . 9…</t>
  </si>
  <si>
    <t>Gaceta de Madrid n.º 307</t>
  </si>
  <si>
    <t>…ra atizar la contrarevolucion por todoi medios, y particularmente En la M. H. villa y corte de Madrid, reunidos los Sres. jueces de con 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t>
  </si>
  <si>
    <t>Aguirre</t>
  </si>
  <si>
    <t>Gaceta de Madrid n.º 42</t>
  </si>
  <si>
    <t>…n servido para la edición , con el objeto de que se vea la no gar para distraer su atención á otros objetos. En dicho artículo 101 table diferencia entre cate y el que "publicó el cardenal Aguirre, y se fijan sabiamente las Cortes las funciones que debe ejercer la direc observe que no es este el derecho canónico, como opinó Cerní y algu ción general de instrucción pública, y en que deben ocuparse los cono nos extrangeros, sino solo un sumario ó compend…</t>
  </si>
  <si>
    <t>…xclusivamente de todo ¡o concerniente a 1a orga be leyeron los artículos 361, 364 y 3Ó5 déla Constitución. nización de la milicia nacional , y por mas que se diga, «ta comisión El Sr. Aguirre; Es mdudaole la necesidad que b.b-a de reformar el se ve revestida de un catacier que no tienen tas mismas Cortes , estando reglamento que tenia antes la milicia nacional, pues han venido mul en egercicio continuo para inspeccionar un cuerpo permanente. b»to,…</t>
  </si>
  <si>
    <t>…isible» lu ba tencias extranjeras continúan del modo mas amistoso. Una perfecta sca que presenta la comisión. armonía ha dirigido lo» esfuerzos convenidos diariamente entre mis £1 Sr. Aguirre deshizo una equivocación. aliados y yo para poner término 4 las calamidades que abruman el El Sr. Zulu-ta: El Gobierno ha remitido á las Cortea un pro Oriente y afligen 4 la humanidad , y no he perdido la esperanza de v r yecto de reglamento para la milicia n…</t>
  </si>
  <si>
    <t>…dijo que también debían excluirse de la ai gran priorato de S. Juan, y sobre las proposiciones hechas por el milicia los que fuesen deudores á los fondos públicos. Sr. Lodares. El Sr. Aguirre expuso que este artículo descansaba sobre todo lo Se procedió ¿ la discusión del dictamen de la comisión especial en dispuesto en la Constitución y en las leyes sobre la materia. cargada de proponer las reglas convenientes para el repartimiento de El Sr. Beld…</t>
  </si>
  <si>
    <t>…e «o untinos a 'o» |. vrn.-s que lo «o . t.n »on tas dependientes del palacio del Rey de toda clase de destino. caudjdc* necesarias, y que hayan cump ido en el m.»mo año lo» 1$ El Sr. Aguirre contestó que no había inconveniente en que se di de edad.” jese : - Lo* dependiente* del palacio del Rey de cualquier* ciase de su Se aprob • poniendo se añas en lugar de los 1$, conforme se habla servidumbre.” hecho rn el art. 1 F.l Sr, Munarriz di|o que hab…</t>
  </si>
  <si>
    <t>…r al acta el voto particular de lo* Síes. Zulueta, ción hubiese de ser aprobada por la diputación provincial. Abreu y Reiilo, contrario á la aprobación del art. 1.- del plan de El Sr. Aguirre dijo que como el intervalo no era mas que de dos contribuciones. afios t con mujr pocos sugetos que hubiese idóneos se podrían desetnpe- Se procedió i la discusión del vt. i.°, que dice: •» Lo* reparti fiar las plazas de oficiales, haciéndose alternativamente…</t>
  </si>
  <si>
    <t>Gaceta de Madrid n.º 328</t>
  </si>
  <si>
    <t>…legaron ayer á esta capital dicen qu* ñor Vaidés Bustos otro, el Sr. Villaboa otro, al Sr. Infante otro, v el el Emperador Alejandro , cansado de tanta altivez de parte de un ene» Sr. Aguirre otro .- tota! di votos 132. No habietsdo reunido fUngur.c d« m go poco r»mib e, h» anunciado al Con creso de Velona su intención dichos Sres. ia m tad mas uno, se proc-d:ó i segundo escutrinio er.ire d- lunar enteram-ote de sist ma respecto de ia Turquía, y d…</t>
  </si>
  <si>
    <t>Aguirre, Dolores</t>
  </si>
  <si>
    <t>Dolores Aguirre</t>
  </si>
  <si>
    <t>…s prov ncia* gistrado del ir.bunal supremo de Justicia D. Josef María Puig, par« donde hay milicia de esta clase, quedando libre de el las provincia* que se concediese á su esposa Doña Dolores Aguirre la viudedad cor donde todavía no la hay; por lo cual ias Caites d b.an str muy cir respondiente , no obstante habetse casado después de la edad seña cunspectas en un otorgamiento que pesaba ct-n tanta desigualdad sobra lada, opinaba (conforme con el Gobierno)…</t>
  </si>
  <si>
    <t>Aguirre, González</t>
  </si>
  <si>
    <t>González Aguirre</t>
  </si>
  <si>
    <t>marejo; y ú la-especial ¿¿Legislación el Sr. González Aguirre. con detención délos documentos que le presentasen estos empleados, A la comisión Eclesiástica se mandó pasar una instancia de Don para ver si en efecto merecían ser atendidos, pasando este expedien Faustino Jiménez, cura párroco de Córdoba , sobre la asignac…</t>
  </si>
  <si>
    <t>…ndo confesar que mientras vi rgercilr. actual subcapaz de introducir la insubordinación en el Estado. sistiese , lejos de servir de instrumento del poder absoluta, se c. bis te El Sr. González Aguirre dijo que ni aun remotamente podia esta ner seguridad de que seria el mas firme apr yo de ios «crecí os d i puecomisión disponer ni aun de un solo individuo de la milicia como blo; pero que sin embargo de todo esto no podía mmos de cor*.¿erarquería suponer al…</t>
  </si>
  <si>
    <t>Aguirre, Josef Antonio</t>
  </si>
  <si>
    <t>Josef Antonio Aguirre</t>
  </si>
  <si>
    <t>Gaceta de Madrid n.º 194</t>
  </si>
  <si>
    <t>…o la ventaja de ser heredi canela, campeche, sanas ó telas de varias clases, y nanqumes. Viene tario el trono reccm ensa cuar.tas ios mayores entusiastas pueden atri con sg nada á D. Josef Antonio Aguirre, maestre de la misma fragata. buir ai sistema re rubí ciño en una parte del mundo tan corrompida El bergantín-goleta francés Marie Angeioj-se, capitán M.nerd, pro com¡ 1 la Europ;. Na e» bartolo (denominación insignificante), 110 es cedente de la Havana en 33…</t>
  </si>
  <si>
    <t>Aguirre, Mariano</t>
  </si>
  <si>
    <t>Mariano Aguirre</t>
  </si>
  <si>
    <t>Gaceta de Madrid n.º 142 (extraordinaria)</t>
  </si>
  <si>
    <t>…desde la Esplu- llegó á aquella villa, la cual estaba circunvalada por 600 facciosos, que ga con fecha de ayer. En dicho parte hablaba de combates ganados después de dar aviso al capitán D. Mariano Aguirre, que con su co por la causa de la libertad, y ahora doy á V. E. noticias mas lisonje lumna de 100 hombres del regimiento de Murcia est.ba dentro del ras. La partida del Fraile dos veces batida se ha dispersado como el pueblo, atacó i los facciosos por cinco p…</t>
  </si>
  <si>
    <t>Aguirre, Tomasa</t>
  </si>
  <si>
    <t>Tomasa Aguirre</t>
  </si>
  <si>
    <t>…ligiosos secularizados en servicio de parroquias, sacrist as rice. pait.miento de "los terrenos de propios y baldíos; pero que el Sr. Ro . - &gt;tta de la misma sobre la solicitud de Doña Tomasa Aguirre , re* mero podía baéer cuantas proposiciones quisiese sobre este obj 10 , lat ligios» bcinarria del monasterio de Tamarite en Aragón, pidiendo que que podría cum car otra comisión. en atención i haber salido de la clausura con el cbj to de restab ecer Ei Sr.…</t>
  </si>
  <si>
    <t>AguiUra, Josef</t>
  </si>
  <si>
    <t>Josef AguiUra</t>
  </si>
  <si>
    <t>…................. 34,299— 8 nez Pimllos, ex-guardia: D. Juan Martinez Torres: D. FranciscoCa A cesantes y jubilados......... 94,4a í— 3Í tarais, «x-guardía: D. Sebastian Artllano: D. Josef AguiUra: Tomas A 'dudas del Monte pío da lunar : Miguel Campillo: D. Manuel Andreu: D. Juan Ortega. Dan oficinas.................................... *37.7í3-2« Marcos Román: Joaquia de la Torre y Josef da la Torre: Juan Vare A obras de edificios de la y Juan Luquc. H…</t>
  </si>
  <si>
    <t>Agus</t>
  </si>
  <si>
    <t>…ara &lt;J Gobierno hñ&gt; distinguido y premiado con liberalidad. dar motivo á que se tomen medidas de mas rigor, como si las existen » Bien conoceréis por esta indicación que hablo del coronel D. Agus tes no bastaran.” Dejémoslos en sus quimeras, creyendo que algunos tín de Iturbide, y de los planes subversivos que según es público ha es escritores gritando siempre Constitutüos y ¡Untad, ni quieren lo uno ni parcido en esta cuidad. Ellos son injustos á tod…</t>
  </si>
  <si>
    <t>Agust</t>
  </si>
  <si>
    <t>Gaceta de Madrid n.º 297</t>
  </si>
  <si>
    <t>…rompeta mayor ó corneta mayor Nuestra perdHa consiste en 3 herid s de Santiago, que son el dignísi d.be considerarse con inmert ala dependencia de los porta-insignia, y mo alférez D. Agust n Ursainqui y los soldados Alfonso Canales y será el gefe de todos los tambores, pífanos , cornetas y trompetas dei Migue; Sausa, y 1 challes igua ni.-nte herido . regimiento, batallón ó escuadrones respectivos, quienes te estarán sub •» El coronel Ordoñ.z el…</t>
  </si>
  <si>
    <t>Agustín</t>
  </si>
  <si>
    <t>…nundar con la sangre de sus conciudadanos estas fértiles co virey. marcas. Dios guarde i V. E. muchos afios. Cuernavaca Main» 9da itai.s •» Sí, Sr. Excmo., ralea ton las ¡deas del coronel D. Agustín dd Excmo. Sr.sjoaef Joaquín Márquez y Donalic.=Ex^mo. Se. general Itúrbide, y las maquinaciones de sus infames secuaces, i quienes arras en gefe D. Pascual de Lifian.” tran mas sus propios intereses, su orgullo , vanidad y presunción , que A ¿a dividan de van…</t>
  </si>
  <si>
    <t>Gaceta de Madrid n.º 268</t>
  </si>
  <si>
    <t>…lla la Nueva, su fecha 30 de Agosto último, se ha man templo (sabida que fue la victoria), y dar gracias al Altísimo con una dado citar y emplazar á Doña Genara González, viuda de D. Agustín solemne misa y Te Deum por el triunfo que acababan de conseguir la* Ugena , y á D. Martin Lorenzo Cabo , cuyo paradero te ignora, para armas liberales, jurando de nuevo á la salida al frente de la lápida que en el término de 1 2 dias comparezcan en la misma p…</t>
  </si>
  <si>
    <t>Gaceta de Madrid n.º 275</t>
  </si>
  <si>
    <t>…la misma, ha acordado la nos , vec nos los tres primeros de Valdemoro, y la última de esta mi*, {'unta de catedráticos, se manifieste al público para el conocimiento de ma corte, D. Agustín, Doña María Ugaite y Díaz y Dolía Ana Ma os que aspiren á matricularse. Los requisitos necesarios al efecto se ría, viciaos de Antequera, todos tres hermanos, y i Doña Josefa Ugar czpr-sarán en un edicto fijo en la puerta de la secretaría de la referida te, v…</t>
  </si>
  <si>
    <t>Gaceta de Madrid n.º 287</t>
  </si>
  <si>
    <t>…gu ent- la nación Tama a la »uc-s on de la corona por muerte del de mis opiniones. Las grandes reformas y los benéficos efectos del sis-actual I imperador i su h jo primogénito el Sr. D. Agustín. La Cons t ma constitucional suiren los entorpecimientos ordinarios en todatitución de: imgerio fi|ará d ot.f n de suceder á la corona Tercer»: el trans ió politice, y los extraordinarios de la oposición impotente dapríncipe h redero se denominara Prínc pe im…</t>
  </si>
  <si>
    <t>…de las circulares, decretos &amp;c.t publicados en la ¿aceta tn el cante de licores, sobre pago de 1380 francos, ó sea 55jo is. vn., á mes de Setiembre. cuyo pago fue condenado dicho D. Agustín en providencia definitiva Gobernación de la Península. dictada en primera instancia á ao de Abril del corriente año*, que fue Real orden en que se decreta la erección de una universidad en Cú notificada á los procuradores de las partes, y por la del mismo Don…</t>
  </si>
  <si>
    <t>…traviado dos privilegios de juros, situados el t.° en la ren 2.0 Que no habiéndose reservado el Estado otras porciones deci ta de millones de Galicia, de 35,113 mrs., en cabera de D. Agustín males que las correspondientes ¿ las vacantes de las mitras, y de las Echevarri; y el otro sobre la renta de salina» de Galicia y Asturias, en dignidades y prebendas que fuesen vacando después de reducidas al nú cabeza de Rodrigo García Marcóte de 609 mrs.; y…</t>
  </si>
  <si>
    <t>Agustín, Basilio</t>
  </si>
  <si>
    <t>Basilio Agustín</t>
  </si>
  <si>
    <t>Gaceta de Madrid n.º 372</t>
  </si>
  <si>
    <t>1871</t>
  </si>
  <si>
    <t>…e exis También recomienda el mérito que han contraído en esta acción el te te en este artículo es el de que realmente resulten oficiales, escribientes niente coronel de ingenieros D. Basilio Agustín, su ayudante el te y porteros sobrantes, porque por la multitud de negocios que han de niente de Cantabria D Manuel Gómez Pena, y los alféreces de Lusita despachar las diputaciones no les sobraran muchos empleados, sino nia D. Nicolás García y D. Francisco Mo…</t>
  </si>
  <si>
    <t>Agustín, Juan</t>
  </si>
  <si>
    <t>Juan Agustín</t>
  </si>
  <si>
    <t>Gaceta de Madrid n.º 78</t>
  </si>
  <si>
    <t>…o abandonar lla provincia, y sobre que sr le conceda permiso para enagenar ciertos por tres ó cuatro meses sus parroquias no podían asistir á la capital. báñe» de propios: otro de D. Juan Agustín oanz sobreque se le exo Que no encontraba motivo para que se deprimiese a la clase de loa nere d;1 cargo de vocal de la d.putacion provincial de Avila. obispos del modo que se hab a hecho , y que era preciso que se tomas* A la de Milicias se pasó una exposici…</t>
  </si>
  <si>
    <t>Agustincódigo</t>
  </si>
  <si>
    <t>…15 del presente Setiembre ha tenido á bien mandar se Circular del ministerio fijando la ¿poca en que empezará á regir el emplazase por medio de la gaceta de esta capital al citado D. Agustincódigo penal. (Gaceta del 27.) Goulard , para que en el término preciso y perentorio de xo dias acu Guerra. da á mejorar la apelación que interpuso y le fue admitida; con aper Real orden en que se dan algunas disposiciones para el estableci cibimiento que de no veri…</t>
  </si>
  <si>
    <t>Agustino, Pedro</t>
  </si>
  <si>
    <t>Pedro Agustino</t>
  </si>
  <si>
    <t>Gaceta de Madrid n.º 258</t>
  </si>
  <si>
    <t>…ra entrada como en la infeliz Paterna la adhesión al Có se han hecho acreedores. digo const tu.¡onal con tantos vítores y aclamaciones. Oícese que nues Y e&lt; comandante de bata!Ion D. Pedro Agustino dice desde Algar, tra si1 ¡da para Chiclana será el 14, de modo que prohibir mente esta con fecha d i &gt;1, que desde que huyendo de las continuas correrías de remos en esa de domingo á lúnes; y parece nos acompañarán todas las la columna de su m iado y de la d…</t>
  </si>
  <si>
    <t>Gaceta de Madrid n.º 349</t>
  </si>
  <si>
    <t>…ntró en el pu'rto de Ferrol , pro •1 Esto no obstante, me es preciso decir á V E. que el comandante cedente del de Cádir , la goleta de la armada nacional nombrarla Hide la Corona D. Pedro Agustino recomi-nda de oficio al cap.ian gra qurlme , y el 14 slgu ente dió fondo en e! m «rno puerto la coih ta da duado de teniente coronel I). Migue! Orier, á los t-mentes I). Jo- guerra Aretiu.t después da haber cruzado en las aguas de la costa &lt;!• sef Rico y D. B…</t>
  </si>
  <si>
    <t>AgutíaMuio</t>
  </si>
  <si>
    <t>…s glorias. Francisco Alomo, D. Cristóbal Navarro , D. Joaquín Somoza , D. Jo Vencisteis: llenasteis de asombro í todos los espectador:* por vu-stra sef CaamaSo, D. Mate© Vnlaeco , D. AgutíaMuio 4c la* Hcra*, Don amble fidelidad nacional; pero no os entr-gueit a las delicias deCapua: Celedonio de Salazar , D. Josef Blanco, D. Josef Márquez , I). D -go coged primero el fruto de vuestros trabajos, aprovechad la cosecha , y ¿j Rute, D. Francisco María C…</t>
  </si>
  <si>
    <t>Ai</t>
  </si>
  <si>
    <t>…enido la comisión para proponer esta Puesta asi á votación la medida, quedó aprobada. medida, la cual no ret.raré. 16. - Se arreglarán los teatros de manera que correspondía al El Sr. Ai s: La com.s'on propone en esta medida que lo* con estado y á las opiniones de una nación libre, ofreciéndose en ello, re ventos que se hallan en despoblado y en los pueblos que no pasen da presentaciones que inspiren la sana moral, el ejercicio de las vutudea…</t>
  </si>
  <si>
    <t>Gaceta de Madrid n.º 323</t>
  </si>
  <si>
    <t>…, Torres , Meiced , Bauei, eso se impide el m.ínmuut y (I ra.d.e. t &gt; t. r se a r r b; »iort ex Bringas, iranchez , l.odare&gt; , B alee , Apoma , Lamas , Anas , Beato, puesta por el Sr. Ai. en nada tengo que aíad.r , ,..»rque cuantío r! tefe Lasas, Mam, Bcida, Lnriqu.z , Saraba , Viiuboa, Pedia vez, político luya concluido el usu de .a. .^u s, p t fuerza ha de con Ruiz dei Ri. , Manso . Cortes , González , Rey, Sotos, Paterna, tinuar el juez la…</t>
  </si>
  <si>
    <t>Ai, Mateo Miguel</t>
  </si>
  <si>
    <t>Mateo Miguel Ai</t>
  </si>
  <si>
    <t>Gaceta de Madrid n.º 137</t>
  </si>
  <si>
    <t>…lveat, Latorre y Rojo, contrarios i be puso á discusión el dictamen de ¡a comisión de l'oderes sobre loa la aprobación d 1 artículo 4.- del dictamen de la comisión de Marina , del Sr. D. Mateo Miguel Ai lon, diputado electo por la provincia de en vista de las dudes ocurridas al ayuntamiento de Cartagena sobre los Sevilla, acerca de lo* cuales la mayoría de la comisión era de paréete Saladores'd; mar. que debían aprobarte. . J Se mandaron pasar á la comisión…</t>
  </si>
  <si>
    <t>Ai.-.ruu</t>
  </si>
  <si>
    <t>Gaceta de Madrid n.º 339</t>
  </si>
  <si>
    <t>1701</t>
  </si>
  <si>
    <t>…p.-tqua roses n.-c^sria par* ..m.oidíi nu-.i:¿s minruy as: creo no delta aprobara* al voto pa&gt;t;cu’ar. «iones: nunca h rio* ñamado en que ct-os pu b::.s ir.i t.r. n..r tro , s« i. Sr. Ai.-.ruu desli zo una equivccac on dri Sr. preopinsr.te. t*na; ni nos ha ocetrii j jip.as aux ni » los descomerij, oe • tr . * ili Sr. CJrsri : Ics.sto en la cuestión de que no fca debido discutirse paisas. Apoyados tietnp.a la r:;t ¡ y ¡a i-..i.cia , hem i dr.vsJo .o…</t>
  </si>
  <si>
    <t>Aia</t>
  </si>
  <si>
    <t>Gaceta de Madrid n.º 6</t>
  </si>
  <si>
    <t>…andio a, como de la comisión, manifestó que no podía se cometa a gun defecto en punto á los , «os se resti£csrin ea me- os de c «testar 4 las objeciones que se habun he&lt;.ho p»i el Sr. Aia io sucesivo coa los informe* de las diputaciones provinciales; y aun man. » La cuestión está reducida i que los tenedores de Iuises que los han que aóora tengamos una larga discusión, el resultado será que aproba entregado en la casa de la moneda , al ir 4 re…</t>
  </si>
  <si>
    <t>Aiaman</t>
  </si>
  <si>
    <t>…ello de lo» mzdioa Iuises, y los Sres. diputados las votaron con la perdida de un real y *8 mrs. por ico por razón de la falta de peso en inteligencia necesaria. Por otra parte el Sr. Aiaman ba querido hacer dichos medios luiscv, que e* un decimoséptimo por marco. Ver que su inteligencia coincidía con la ski Gobierno, tinada la cir El Sr. Aiaman dijo: Para mi ea sumamente srocille la camión cular que trata de este asunto; pero el caso es diverso,…</t>
  </si>
  <si>
    <t>Aiba, Juan Gómez de</t>
  </si>
  <si>
    <t>Juan Gómez de Aiba</t>
  </si>
  <si>
    <t>…lo* peligros á qssa es Mariano Nassrre, D. Joaquín Jaques, D. Nicitio Manuel Villanueva, tá expuesta y el modo de avilarlo* , dió á lúa esta obra. Cada lectura D. Pascual Ciprés, D. Juan Gómez de Aiba y D. Ramón Gazol, de lleva al frente una estampa fias, que representa el suceso mas intere clararon por unanimidad , atendiendo al mérito intrínseco de la obra, sante de la novela. Consta de once tomos , que te veisderán por juegos cuyo examen te les cometió, no haber tugar é…</t>
  </si>
  <si>
    <t>Aibacte, Josef Gómez</t>
  </si>
  <si>
    <t>Josef Gómez Aibacte</t>
  </si>
  <si>
    <t>…do cuenta al Rey de la sumaria foimada en la comandancia ge. Cádiz...................................................... «.......... .......... tf. a-ral de este primer distrito á D. Josef Gómez Aibacte, natural de la Sevilla..........................................................—............... if ciudad de Murcia, que fue preso ea esta corte en s8 de Abril de t8ty por Valencia......................................................... (.............. if.…</t>
  </si>
  <si>
    <t>Aibisu, Forando</t>
  </si>
  <si>
    <t>Forando Aibisu</t>
  </si>
  <si>
    <t>…entos d-r d a 1: d i &gt;11 » ú 1 mo, J ci *ló que Fr. Francisco tece bien evidentí ; y la dif.-rerría esti sr. que e! per odi-ta u fr.» Echagu.bei , Fr. K»m.-i C r o. , e presbítero D. Forando Aibisu, es mas flanco d cc. rdo muera la l • qel español que e- D. Juan Luis de A- u i-i/.iu , D. Manu ' de Ira-usta , D. Martin lando -;v t ¡a Cmstltu. ' 1 '? c1" 1 al mismo t-etvp» el puñal hasta ti 1 n espaúola, v p-rMn uel il Ira /os v 1 &gt;. N' v o M.-ndiburii sa…</t>
  </si>
  <si>
    <t>Aíbnzo</t>
  </si>
  <si>
    <t>…onsecuencia de acabaste de repartir un daron pasar á las comisiones que á continuación *e expresan. impreso entre los se dore* diputados, relativo á la legalidad ó validez Una del Sr. Aíbnzo reproduciendo otra del :&gt;r. Bcrnabeu en la le de diebo empréstito , te vein en la necesidad de aclarar un punto muy gislatura anterior relativa á los RR. arzobispos y obispos que habían esencial, sobre el cual parecía que había incurrido en un error el autor…</t>
  </si>
  <si>
    <t>Aibsar</t>
  </si>
  <si>
    <t>…8 cio a* Sr. ministro, que ti prontamente no te le enviaba algún socorro coraría I. tesorería; ¡y es posible que cato se omita en un dictamen dé tt para dicho objeto. Aprobado. El Sr. Aibsar presentó una exposición de varios oficiales del segun comisión ext.ndido para ilustrar al Congreso, que debe entrar en «te do batallón del regimiento de infantería de Vitoria, pidiendo te le* asunto c mo un gran jurado? Yo no lo entiendo. En este estado no co…</t>
  </si>
  <si>
    <t>Aicaraz, Francisco López de</t>
  </si>
  <si>
    <t>Francisco López de Aicaraz</t>
  </si>
  <si>
    <t>…na, y remitido por expresado cuerpo militan bajo las sabias disposiciones de V. E- el br. secretario de Hacienda. « Oios guarde á V.B. muchos afios. México 10 de Marzo de r 8 z i. D. Francisco López de Aicaraz exponía que sin embargo de !o po =Excmo. Sr.=Por si jr i nombre de toda la tropa de dichas compañías, derosos que fueron los motivos que obligaron al Sr. D. Carlos tv á sscapitán de navio Josa! Lavayenvídeos de fragata Lorenzo Josef de fialarle la pensión de…</t>
  </si>
  <si>
    <t>Aidon</t>
  </si>
  <si>
    <t>1021</t>
  </si>
  <si>
    <t>…de la deuda nacional. El de los Sres. Ca Di t.teten mínima. Dotación máxima. se» y Trirj 11; o, contrario á lo resuelto sobre la adición del *sr. Ferrer al aius.no dictamen E&gt; d-l Sr. Aidon, contrario á la aprobación de la 500,000. M. R. cardenal arzobispo de Toledo................. 8s:,ooo preposición del Sr. O iv r ; y ei del sr. Romero á la aprobación de un 100,000. M- RR. arzobispos................................................. aoc.ooo iM…</t>
  </si>
  <si>
    <t>Aiduseo, Anastasio</t>
  </si>
  <si>
    <t>Anastasio Aiduseo</t>
  </si>
  <si>
    <t>…ndo Granaderos. Milicianos, D. Fermín Miranda; muerto. D. Juan la primera de fusileros, qué reforzó fiíja sexta del segundo en el mu Capdevila, ídem. D. Fer.mín Fernández, herido. D. Anastasio Aiduseo militar. - . ' , do, id em. D. Poiicarpo Fernandez, idem., D. Francisco López Novi ». A las ttefde la madrugada del diá de hoy me atacaron los ene llo, idem. D. Vicente Sedeño; contuso; D. Antonio María Iba trola, migos- por la calle del Arenal &gt; parroquia de…</t>
  </si>
  <si>
    <t>Aiegre, Mamiel</t>
  </si>
  <si>
    <t>Mamiel Aiegre</t>
  </si>
  <si>
    <t>Gaceta de Madrid n.º 264</t>
  </si>
  <si>
    <t>…su aprobación, ó que resuelvan .0 que tengan impedirme la entrada basta tiro de fusil (en cuyo punto me encontré al por convenirme, se observen las reglas siguientes: subteniente D. Mamiel Aiegre con unos cuantos mtiienm s ds caba i.1 »Qae los géneros de licito com-rcio qu: se comisaren por el llería que observaban á los facciosos); pero no obstante que de nin resguardo, guarda-costas, ó per corporaciones y particulares, pagu.a gún modo podía hacer fu…</t>
  </si>
  <si>
    <t>Aigiiellcs</t>
  </si>
  <si>
    <t>Gaceta de Madrid n.º 330</t>
  </si>
  <si>
    <t>…uide conservar esa calma y tranquilidad q-.re fallar sobre este negocio ! y por eso ha propuesto este dictamen. es incomparib e con la naturaleza humana; y si se me dice que no El Sr. Aigiiellcs: Guamo pedí la palabra con anuno de impugnar puedn las pasiones intervenir tn ellas, diré que es verdad ; pero esel dictamen de la comisión, no pude prever que la cuestión se extra ciuir los intereses pi, bucos que afectan á todos, digo que no. viara hasta el…</t>
  </si>
  <si>
    <t>Aigüelle</t>
  </si>
  <si>
    <t>…aquel-'a* que atacan á la moral pública, y que no prntrgan á la chos los escrúpulos que ha tenido el Sr- Prado. inocencia, me parece que no deberá aprobarse. Supongamos qoe ia El Sr. Aigüelle*: El Sr. preopinante ha anticipado tantas cuestio desgracia conduce á un hombre al crimen da conspiración. ; Habremos nes, y he expuesto tal variedad de materias, que me sera imposible de poner de antemano en el Gobierno el arma para qoe la esgrima con seguir…</t>
  </si>
  <si>
    <t>Aiiion</t>
  </si>
  <si>
    <t>…erificarlo remitirán los prelados El Sr. I'lorrz Calderón manifestó que la observación que había superiores ó superiores, rectores ó directores al regidor del barrio , en hecho el Sr. Aiiion era muy justa y oportuna, pues nada era mas co cuyo recinto se hallen , una nata individual firmada de mano propia ó mún que el que los forasteros que venían á las capitales por tiempo de del mayordomo si lo tuvieren , expresiva del nombre , apellido , pa ter…</t>
  </si>
  <si>
    <t>Aiilon</t>
  </si>
  <si>
    <t>1640</t>
  </si>
  <si>
    <t>…su ruego eu caso da no saber. Cuando los cir una revolución en este país g en cualquiera otro del universo. papeles g efectos que hagan de reconocerse sean de otra persona dis El Sr. Aiilon : Las autoridades no pueden muchas vece* hacer uso tinta del indiciado de conspirador, tendrá esta igual derecho é presen legal de lo* «lato* que tienen respecto de un delito. Supongamos que ciar su examen. Deberán también intervenir en el acto del reconoci u…</t>
  </si>
  <si>
    <t>Aiílon</t>
  </si>
  <si>
    <t>Gaceta de Madrid n.º 341</t>
  </si>
  <si>
    <t>…de buena con apruebe el dictamen que ahora presenta dcnu.vo la comisión. Las Cortea ducta con el malhechor. desecharon su antrrior dictamen, y no puede empezar I trabajar otro Et Sr. Aiílon dijo que este artículo era inr.ti , po-que ya estasuevo n&gt; estando fijada la opinión del Congreso: hay diputados bi mandado el que los pasaportes fuesen un:fo»míj ; p-ro qu- en su que creen debn ponerse en movimiento muchos resortes para impedir opinión en ca…</t>
  </si>
  <si>
    <t>Gaceta de Madrid n.º 373</t>
  </si>
  <si>
    <t>…rrido á la »:• 00 ó al despacito que U produzca, corpcracicn exceptuando los que hayan salvado fuimalmerr.. su .r tr.” EiCana apoyó el attículoy habiéndose declarado suficiente E. Sr. Aiilon fue de parecer que o bnu • ac-.se responsables de las mente d sc. t do, quedó aprobado. detr'mir.aciones y acu-.rdc* de as diputaciones, aun a ios ma,» dúos Art. 170. •• La» diputaciones provinciales tendrán como hasta aho que no hubiesen astático á las sesio…</t>
  </si>
  <si>
    <t>Aiir</t>
  </si>
  <si>
    <t>Gaceta de Madrid n.º 164</t>
  </si>
  <si>
    <t>…Alejandro, ha pasado por Vrena , dirigiéndose á toda priesa á Ña franceses á los bnqu-s de los Estados Unidos. póles , y encargado de una comisión muy importante—Ha mu.rio á la El Sr. Aiir di|o que hac.endo muy poco tiempo que Cartagena, edad de 50 años S. A. S. el príncipe Augusto , duque reinante de Sa» Viso y Tarragona d strut-ban de su habilitación, no poiia saberse si Xonia Gutha y Altemburgo; y al momento se encargó de la Regencia habían…</t>
  </si>
  <si>
    <t>Aiix</t>
  </si>
  <si>
    <t>…ponsabilidad ni al Sres. que la desaprobaron, duque del Parque, Navarro Tejairo, gefe político de Murcia ni al ayuntamiento de Lorca. Casas , Saravia , Buey , Prado y Escudero. Ei Sr. Aiix deshizo una equivocación del Sr. preopinante. Se procedió á la votación de la treen parte, que decía: » Qus El Sr. Sálvalo: La comisión no ha tenido i bien acumular todos igual responsabdidad se ex ja al ayuntam.ento const.tucionai de Lot los exp dientes que…</t>
  </si>
  <si>
    <t>Aiix, Juan de</t>
  </si>
  <si>
    <t>Juan de Aiix</t>
  </si>
  <si>
    <t>…e economista español, el conde de Gausa, de este mes, y en b&gt;s 15 primeros del inmediato en la casa del señor que en esta materia era maestro. Decía que no consiste la utilidad de diputado D. Juan de Aiix, que vive en la calle del Pozo, núm. 9, las reformas en la rebaja de tal ó cual gasto, sino en ia adopción de cuarto principal: en la inteligencia de que trascurrido este plazo , que tal 6 cual constitución. Con este motivo haré una breve reseña de las dará c…</t>
  </si>
  <si>
    <t>Ail.’on.-</t>
  </si>
  <si>
    <t>Gaceta de Madrid n.º 337</t>
  </si>
  <si>
    <t>…. Pablo y Guerrero. Ei Sr. presidente: Yo entré, pero era antes de rectificarse la vota ARTICULO DE OFICIO.ción , y hasta que se ha concluido esta no me he sentado en la silla. El Sr. Ail.’on.- El Sr. presidente no podia votar según lo que pre Egército da operaciones d«I 7." distrito militar__ *» Excmo. Sr.: Hoy viene ei reglamento. á las 11 del dia emprendí mi movimiento desde Balaguer con la colum El Sr. Berrán de Lis: El Sr. presidente ha podido votar,…</t>
  </si>
  <si>
    <t>Ailion</t>
  </si>
  <si>
    <t>79</t>
  </si>
  <si>
    <t>…r que d bia por el caballero de Ripies, ha tenido por misión tomar conocimiento de aprobarte el artículo. la situad * de los súbditos d:l Rey en esta rrozin da, y particularmen El Sr. Ailion manifestó entre otras cosas , que no era probable te en esta ciadad, y de aceyurarie • la protección de S. Á/., y para este que hubiese prófugos de alistamiento , pues que había padrón s en los efecto se puede creer que se -serán de tie nro en t e&gt;nro otros b…</t>
  </si>
  <si>
    <t>…apruebo en un darían excluidas de entender en muchos asuntos que les son y-cu!i.i ,-s, todo -„1 artículo. por cuya razón fue de parecer que ni las Corte» ni el Gobierne debían F.1 Sr. Ailion: Convengo con los Sres. que han habtado contra entender de esta» dispensas, tino la» diputaciones provinciales, porqus este Krtifu'o en que r, fácil que dé lugar t abusos. Para evitar en lo era mas propio de »u carácter y facult.- d s. prMÍ&gt;ie estos propondré…</t>
  </si>
  <si>
    <t>Aillo</t>
  </si>
  <si>
    <t>le*, por él atoen excedente que había de esta cíate. Art. j* n Los cuerpos de infantería y cabattstfa á w llagada al El Sr. Aillo* biso peescnt* que la Nació* concedía soeldoi, hono- parage señalado para la reunión del egército serán destinado» por el re&gt; y gracia» á la»diferente» dase* del qttcin, no por el servicio que gefe de atado mayor á brigadas coa arreglo A la oída* que baya re…</t>
  </si>
  <si>
    <t>Aillon</t>
  </si>
  <si>
    <t>…so de Ibarrofi y Echevarría. La comisión opinaba que de p dimento &lt;&gt; tacha por el cual no pudiese continuar siéndolo. En or bía pasar al archivo. Aprobado d.n á la residencia del .Sr. Aillon debe observarse que entre los juristas Ot o sobre la sollctud d Doña Manuela R-t che* para que se la pasa como doctrina sentada que el domicilio ói vecindad no se toma cono d* una per», on , *n »t-nc on á ios sersicoa de tu A fumo padre. precisamente por la m…</t>
  </si>
  <si>
    <t>…amental , en cuyo caso -a nulidad del acta es evident-, Pero aun hay de reputarse Ja sezunda elección como u- a continuación d;i mismo ¿,mas: aun cuando el acta fuese legitima, el Sr. Aillon no i.tne Jos sute lo en que sí egecura la prim ra? El caso a.tuai se gob erna a.erca de años de residencia que ia Constitución exige: asi pue. , b'en se atienda i la nuodad del acta , o bien á 1a fa ta de residenc.a necesaria, de nin e»t • punto por las m ama…</t>
  </si>
  <si>
    <t>…Inego echar á correr sin riesgo de manteniéndola ai hombro, al brazo ó descantando sobre elle , debien tu vida. do en cuanto pueda alejar de si todo tropel de gente.” Aprobxlo. El Sr. Aillon dijo qne aquí se establecía la mayor pena del mundo, Art. 33. El que estuviere de centinela á las armas cuidará con que era la de la vida, y «a menester advertir que muchos hombres del vigilancia de qus nadie las reconozca nt quite alguna de tu pu. tto. Es- c…</t>
  </si>
  <si>
    <t>…ja. pación de alguna* armas y caballos, un la menor perdida por parta Leída y aprobada el acta de la anterior, se mandó pasar i la comí•ion de Milicias nacionales una adición del Sr. Aillon al art. j.v’ de lasde las tropas nacionales. ordenanzas de la misma Alcaúiz 9 de Junio. El Sr. Roig presentó una exposición del aruntamiento de Mahon, •n la que después de manifestar el estado deplorable de los habitante* Anteayer llegaría á Lérida para refor…</t>
  </si>
  <si>
    <t>…e en estos últimos tiempos han adquiri te á las provincias que sufren esta carga de las demas del Estado. do tienen mayor peso en la prudencia del Emperador Alejandro que Otra del Sr. Aillon al párrafo i.° del art. 6.° de la ordenanza de mi» el entusiasmo de ios genízaros. En París continúa el pro y el contralicia local, pata que se afiadan ¿ su final las siguientes palabras y demás respecto de Ja guerra: el Diario ¡le Comercio dice que el genera…</t>
  </si>
  <si>
    <t>…torio que en el contorno de Guadalupe se han A la comisión primera Eclesiástica te mandó pasar una adición del promovido do* ó iré* revóluoioae* en una provincia qua ce de la* mal Sr. Aillon al art. a." del dictamen de la misma con respecto al mo constitucionales; i petar de que mas le han servido de gloria que de nasterio de Guadalupe. denigración, pue* en el momento la* han sufocado. Pero c* precito que La comisión de Visita del Crédito público…</t>
  </si>
  <si>
    <t>…obarse el artículocnseGa, se pretende todo cargo municipal, aun con los cargos que pe» de que te trataba.aan sobre ellos, supuesto que cuando cumplan con su deber no ae les mo- El Sr. Aillon se opuso al artículo manifestando entre otras cosaslestará con el apremio, supuesto que tienen facultades para apremiar i que no convenían siempre los apremios militares , y que la falta de colos primeros contribuyentes , supuesto que yo creo que no hay otro…</t>
  </si>
  <si>
    <t>…ado mis que aquel qua teman en el egército: esto la mente anticonstitucional, por lo cual no debía aprobar* *. cr-y.» coov -i-nie la com son; y asi lo proponía en uno de los proEl Sr. Aillon dijo que loa ayuntamientos eran también responsa y ctos que formó; pero se encontró con una ley terminante que lo pret bles de la tranquilidad pública en los pueblos; pero qu? siéodoio tam il b , ta es e art 70 de la ley orgánica del egército. Esto parece qua…</t>
  </si>
  <si>
    <t>…jeto á que se desti proyecto. nen.” Aprobado. La comisión opinaba no ser necesaria la variación propuesta por el Art. 5.a » Si algún ayuntamiento necesitare servirte de los fondos Sr. Aillon respecto del art. y.’, por no exigirse en él la calidad de de pósitos para emplearlos en el armamento de la milicia nacional lo egido.” Aprobado. cal, ó para reparación de caminos, puentes, cementerios ó de cualesquie Otra d.-l Sr. Lagasca al art j."i »Qie de…</t>
  </si>
  <si>
    <t>Gaceta de Madrid n.º 300</t>
  </si>
  <si>
    <t>1496</t>
  </si>
  <si>
    <t>…por lo mismo no existia mot.vo alguno para considerarlos perju Declarado el punto suficientemente discutido, quedó aprobado el dicado. en nada. artículo por 41 votos contta 39. E Sr. Aillon manifestó que era preciso no perder de vista que la Art. 49. » Para asegurar el acierto de estas propuestas el inspector Nación necesitaba oficiales mstru dos para ia guerra, y del mismo mo del arma en que ocurra la vacante formará bajo su responsabilidad uta…</t>
  </si>
  <si>
    <t>…ncia no anduvo en repaiui respecto del Empe Se mandó pasar á la comition respectiva la. siguiente adición del cinará , el tal Diario qniera imitarle; y hace que el general Mina ar Sr. Aillon al art. 60 del cap. 4.a, que decía asi: - Que se aliada al cabucee todo un ayuntamiento, y afiade que también á lot alcaldes y art. 60 lo siguiente ; pero luego qu* vuelvan á tus departamentos con regidora. Luego hace que ate general se va precisará i retirar…</t>
  </si>
  <si>
    <t>…nto es inútil: del reino i los eclesiásticos, sino que se les pueda trasladar de una lo que interesa é la Nación es que las Cortes obren siempre conse diócesis i otra. cuentes. El Sr. Aillon hizo varias observaciones impugnando la medida El Sr. Cistejon: Yo no creo que baya pronunciado una expresión qut te discutía, y dijo que en caso de aprobarse debería ser exceptuán |ue pueda ofender al Sr. Galiano ni á otro Sr. diputado. Si me he re- dose los…</t>
  </si>
  <si>
    <t>…había estado la memoria del Sr. secretario de la Gobernación de la Península las el general Riego en Tarifa; recorrió las nuevas obras nechas por el siguiente* adiciones: una del Sr. Aillon para que se afiada á la me Sr. Salmón, y par.ee que tuvo mucho guato al considerar cuanto allí dida lo siguiente: á excepción de aquellos que no gocen renta algu se ha hecho en bien de la Nación. na eclesiástica: otra de lo* Sre*. Somoza, Busafia, Prst y otro…</t>
  </si>
  <si>
    <t>…los amantes de este: por la misma, y opinaba que no eran admisibles las del Sr. Buruaga fi luego si aquel recoge los despachos de los que no admiten loa destinos, la 3 ■*, la del Sr. Aillon i la misma, la del Sr. Ulloa i la 4.a y la del sera precisamente de amantes del sistema, lo que no concuerda con el Sr Sedeño á la 5/ Aprobado. objeto de las medidas, y sobre todo no está conforme el que se recojan Opmaba asimismo que debía pasar al Gobierno…</t>
  </si>
  <si>
    <t>Gaceta de Madrid n.º 315</t>
  </si>
  <si>
    <t>…esempe para demostrarlo hasta la evidencia no hay mas que recorrer ligera ñen sus destinos en propiedad.” mente los sucesos acaecidos desde el principio de la guerra de la inde £1 Sr. Aillon opuso varias razones en contra del dictamen. pendencia. Bien notorios son á todo el mundo los sucesos que ocurrie El Sr. Pedralvez después de haber manifestado la protección que las ron desde el principio de esta guerra, que le tuvo en el año de 8 hasta nacio…</t>
  </si>
  <si>
    <t>…á dudas. Salan las lepes." Aprobado. Se leyeron los arts. saa y 123 de la ley orgánica del egército á En cuanto á la del Sr. Gómez Becerra á la medida 13 para que des petición drl Sr. Aillon. pués de la palabra magistrados se añadiese » y jueces ," era de opinión El Sr. Galiano; Con la mudanza de la palabra acantonamiento se que debía aprobarse. Aprobado. han desvanecido algunas dudas que tema; sin embargo voy á presentar Se acordó que no pasara…</t>
  </si>
  <si>
    <t>…ción secreta, dadanos ; pero que si las Cortes lo tenían i bien podía admitirse ia adi verificándolo la Ligera an combinación el ay, dlrigiéndow é Curazao. ción dzi Sr. Romero. El Sr. Aillon manifestó que no habiendo quedado los facciosos y El Rey. é consulta del consejo 4» Betade, ae ha servido nombrar malhechores suj-tos al fuero militar, tampoco lo debían estar los espías. para la judicatura de primen instancia «leí partido de lbiza, en Mallor…</t>
  </si>
  <si>
    <t>Gaceta de Madrid n.º 317</t>
  </si>
  <si>
    <t>…bido es que en rsya'a decimos que ios ve que no contengan un artículo como este; y asi creo debe aprobarse. cinos son las cabezas de familia, y que contr.buyen ai erar o púb co El Sr. Aillon: Yo aprobaría el artículo siempre que en éi se ex y al pueblo de tu residencia con las carcas o d rechos munic paics. presase que si para cortar la sedición fuese necesario quitar la vida al Los militares no se hallan en este caso; y sí vj»&gt;-n en ias -.c i qu…</t>
  </si>
  <si>
    <t>Gaceta de Madrid n.º 325</t>
  </si>
  <si>
    <t>…rme responsabilidad al que contribuya ó cause la falta decummezclados entre sus filas a los delincuentes. plím ento en un puDto un encargado, de tanta justicia ¿ interea al mis El Sr. Aillon sostuvo la adición propuesta por el Sr. Infante , fun mo titmpo. dándose en que la mayor parte de los facciosos habían sido engañados, 6 ° » Se conceden á la marina para tripular los buques que debes lo que habia sido muy fácil á los cabezas de facción atendi…</t>
  </si>
  <si>
    <t>…as de la rebelión á El Sr. Galiano: Para adoptar esta medida ha tenido presente la co las banderas nacionalet. misión que se trata de una clase de hombres que aunque cometen un El Sr. Aillon : Por mas que se diga en apoyo de este artículo no delito puede decirse que no son criminales; por tsnto creyó que no podrá desvanecerse la injusticia que en tí envuelve. Sea cualquiera la había mejor medio que ponerlos en un parage donde no pudiesen traer co…</t>
  </si>
  <si>
    <t>…ea conveniente, ateo-idas y a los demas que exceptúa la ley. las circunstancias políticas di la Península.” Se continuó la discusión del dictamen de la comisión de Marina Otra del Sr. Aillon al art. j.c', pidiendo é las Cortes s: sirvan pendiente en la sesión de ayer; y leído que fue el punto primero, que ■cordar que al fiual de este artículo i: añada : »&gt; No CBtend.érdase e.ta dó aprobado. disposrc.on con los que habiendo sido sacados á la fuerz…</t>
  </si>
  <si>
    <t>…divan. También ase» Leída y aprobada el acta de la anterior, se mandó agregar á alia el gunn que la Puerta invoca el principio de la gran alianza de las cinco voto particular del Sr. Aillon, contrario á la aprobación del art. *.* potencias, es decir, de comprimir las rebeliones. del proyecto de decreto sobre arresto de sospechosos de conspiración en » Las aclaraciones hechas por los Sres. de I.utzow y de Strangfcrd no *1 modo de reconocer las ca…</t>
  </si>
  <si>
    <t>…n reclama esta y las demas me zón , que tiene las pruebas; pero que sujeto á la calificación de la di didas. putación , sus individuos han resuelto contra su opinión; de manera El Sr. Aillon: Ademas de loa inconvenientes que el Sr. Alonso ue en esto mismo hallamos destruida la misma medula, pues hace baila en la egecucion de este dictamen , encuentro yo otros no menos S usorias sus disposiciones. No citaré en comprobación de mi dictamen considera…</t>
  </si>
  <si>
    <t>…diciaL-s puedan s,r asesinados. Un ex-secretario de1 Despa mación de causa, pasó el negocio é las Cortes. cho, sea quien quiera, es el que reclama la at-ncion de las Cortes; un El Sr. Aillon hizo varias reflexiones para impugnar la última par Sr diputado que ha impugnado el dictamen de ia comisión ha d.cho te del dictamen de la comisión , relativa á que jamas puede procederse des-aria separar en este caso la persona del destino. Asi como S. S eo.…</t>
  </si>
  <si>
    <t>Gaceta de Madrid n.º 338</t>
  </si>
  <si>
    <t>…, mol.fi.ando la Constitución repelióla en tér minos qus *t dé mayor latitud si poder Real , se rn-ivan la* grandesotras dos» S* leyó el dictamen de la misma sobra la adición del Sr. Aillon, potencias interrumpir con el Gobierno español toda especie de rela qne pedia ae sirviesen las Cortes afiadir á la resolución de 9 del corrien ciones sean diplomáticas , sran mercantil** , aunque probablemente no te sobre este asunto: » pero podrí el supremo…</t>
  </si>
  <si>
    <t>…s que mbmdonaban aquella Se procedió á la discusión del dictamen de la misma comisión so provincia, prettnló su dictamen sobre este asunto»en el cual op naba: bre otra adición del Sr. Aillon ( víase en la gaceta di ayer'). La co primero, que al gefe político deGeronano pudo di ctar tal providencia, misión opinaba que no d.bia admitirse por ser contrario i lo resuelto que se oponía i la libertad individual, y atacaba la facultad de las Cor en 9 de…</t>
  </si>
  <si>
    <t>…paña para evitar que un vecino atente el.Sr. secretario de Estado del mismo ramo. Se mandó imprimí'. contra su dignidad , ó la perjudique en sus intereses , podría parecer ex* Fil Sr. Aillon presentó una exposición de la junta munic pal de traño que se le disputase el derecho de hacer cesar un estado de cosas Sanidad de Sevilla, haciendo varias observaciones sobre el arr.z o de que se ha reconocido harto arriesgado para obligarla á tomar precauci…</t>
  </si>
  <si>
    <t>Gaceta de Madrid n.º 351</t>
  </si>
  <si>
    <t>…de la plaza, para mantener la Nac on en el caso de qu* tratan. el buen orden, con exclusión de las autoridades civiles , en lat cuales Se mandó pasar á la comisión una adición del Sr. Aillon al artí delegará la parte de estas facultades que tenga por conveniente.” culo &lt;/. del cap. 12 aprobado en la sesión de ayer, para que después de El Sr. Murfi : Este artículo no puede aprobarse, porque son tale* las las palabras d sH leguas de ella te añadan…</t>
  </si>
  <si>
    <t>Gaceta de Madrid n.º 368</t>
  </si>
  <si>
    <t>…cilidad Art. 20. » Respecto de haber el inspector comprobado en sus re que una diputación provincial. vistas las calidades que adornan á los gefes y oficiales del regimiento, y El Sr. Aillon hizo varias reflexiones en contra del artículo, para las que les pueda hacer desmerecer, expondrá sucintamente el concepto manifestar que en este punto de elecciones era preciso la mayor impar que haya formado de todos en general y cada uno en particular en e…</t>
  </si>
  <si>
    <t>…e justicia en justicia caminarán sin descansar de noche y día; y dirigido para que los remitan de nuevo. para que en este interesante servicio no se experimente la menor falta, El Sr. Aillon se opuso i qua las secretarías de las diputaciones pro ia autoridad que despache la vereda anotará en papel separado la hora vinciales devolviesen á los interesados las solicitudes que les hubiesen en que sale , cuyo papel circulará por las demas justicias, q…</t>
  </si>
  <si>
    <t>…me acuerdo, ya se ha aprobado el artí lio , se ponga también del i.° de Enero: yo por mi parte no lo tengo. culo que previene que te inscriban los nombres de los que perecieron El Sr. Aillon : Convencido por las razones del Sr. Infante , creo i consecuencia de íes acontecimientos de los primeros dias del m:s de que la determinación que te propone en el art. 3.a, relativo • los su Julio, en el monumento que debe levantarse; por ¡o tacto el nctnbr-…</t>
  </si>
  <si>
    <t>Gaceta de Madrid n.º 378</t>
  </si>
  <si>
    <t>…Cortes tengan por conveniente y por lo m smo se ha tratado d; rem-dur p ,r e! a:t tud ios per;u ..o, hacer.” que se podrían or.y nar de itt.it mucho tiempo vacante una pata dr El Sr. Aillon se opuso i la segunda parte del artículo, diciendo que gefe po'ít co. F.l Gobierno p'd.ó á las Cortes una reso uc'on sobre i.te en el hecho de hallarse prevenido en el arl. ti6 de este proyecto, ya asunto , tiabierdo crnsu'tído sobre el p-rt cu ar ai c-r. j:…</t>
  </si>
  <si>
    <t>…nas que ban serv.do 10 , ao ó 30 afios en et cgeicito, y eclesiástica, les casará el sueldo de retirados. que iiegan a tai estado de decrepitud que no pueden hacer el servicio, Hi Sr. Aillon: Pido se lea el art. 18 del decreto de Las Cortes da ni acaso apicndcr una nueva táctica cuando esta se varía. En este caso 19 de Junio de 1811. (Se leyó- ) He aqui, continuó el orador, qua no queda otro medio al Gobierno que separar del aervicio á estes ofi.…</t>
  </si>
  <si>
    <t>Aillon, Mateo Miguel</t>
  </si>
  <si>
    <t>Mateo Miguel Aillon</t>
  </si>
  <si>
    <t>…de la capilla 78 y 83 de la Constitución, no podía aprobarse ni el acta de elección, Kcal. La comisión opinaba que debia accederse á allá, en atención á que ni el nombramiento del Sr. D. Mateo Miguel Aillon. Quedó este dic por el decreto de 19 de Junio último debe satisfacerse d pago de iae tamen sobre la mesa. pensiones por el acervo común. Aprobado. La comisión primen de Haciende presentó su dictamen acerca de Se leyó la minuta del decreto sobre visita de trib…</t>
  </si>
  <si>
    <t>Aimás, Juan Amorío</t>
  </si>
  <si>
    <t>Juan Amorío Aimás</t>
  </si>
  <si>
    <t>…villa de Vitlanueva de los Infantes, procésalo en la causa pen de ia Reina que se distinguieron«n la jornada de Sos i Lumbier, y de diente en dicha sala y escribanía de Canuta de D. Juan Amorío Aimás individuos que se hallaron á sus órdenes, y al capita Verdugo, que mazan sobre residenciada los procedimientos que obró dutante el ti mtin duda su arrojo al puente del pueblo de Puente la Reina , á pesar poque estuvoá su cargo el mencionado gobierno, y le man…</t>
  </si>
  <si>
    <t>Aimazan, Juta Antonio</t>
  </si>
  <si>
    <t>Juta Antonio Aimazan</t>
  </si>
  <si>
    <t>Gaceta de Madrid n.º 51</t>
  </si>
  <si>
    <t>…cia se ignora, para que en el término de 20 días precisos y pe no i* hubieren remitido. Madrid 8 de Febrero da attaa. rentorios comparezca en la escribanía de Cámara «leí careo de D. Juta Antonio Aimazan, á fin de hacerle saber el traslado que se le ba con VARIEDADES. ferido del alegato de mejora presentado por parte de D. Josef Villar Frontín del auto que proveyó el Sr. D. Angel Fernandez de los Ríos, Concluye el artículo de ayer. juez de primera instancia e…</t>
  </si>
  <si>
    <t>Aimerich</t>
  </si>
  <si>
    <t>Gaceta de Madrid n.º 80</t>
  </si>
  <si>
    <t>…de la próxima llegada a Luuama de un cuerpo de ejer vestida y municionada su tropa. .-.te cito polaco mandado por un principe extranjero enlazado con la lami „ Se asei’ura que el general Aimerich banó en la provincia del So corro un cuerpo respetable de rebeldes al mando del mismo Bolívar, lla imperial de Rusia. ' __Luego'que los turcos han advertido los movimientos dé los rusas de cuyas resultas fue nombrado Paez sucesor ds dicho presidente, se han-a…</t>
  </si>
  <si>
    <t>Aimerich, Josef</t>
  </si>
  <si>
    <t>Josef Aimerich</t>
  </si>
  <si>
    <t>Gaceta de Madrid n.º 211</t>
  </si>
  <si>
    <t>…r el ministerio del cargo de V. E. en oficio nuye ya en gran parte algunos de lo* males que podían temerse. de to de Junio del año próximo pasado, sobre qu: se dictara una re __Ai general D. Josef Aimerich se le ha destinado de cuartel 4 la solución general acerca de la multitud de remates de fincas nacionales Corulla, y al coronel supernumerario de infantería D. Josef Boreau 4 que estaban pendientes al expedirse la orden de 14 de Abril del mis Cádiz. mo año, p…</t>
  </si>
  <si>
    <t>Aimernh</t>
  </si>
  <si>
    <t>Gaceta de Madrid n.º 108</t>
  </si>
  <si>
    <t>…de que se foiniase un proyecto alcanzan hasta 1.® de Diciembre, se confirma la completa rutona qua general; con lo que se levantó la sesión. obtuvieron nuestras armas al mando del general Aimernh el 1 a da ídem del t g. Setiembre en los campos de Guachi , cerca del puib.o de Ambito : Se dió cuenta de las cartas que el Príncipe Real había dirigido al I.'i aunque no expresan los pormenores de la derrota, confiesan que ade Rey con fecha de 33 de Diciembr…</t>
  </si>
  <si>
    <t>Ainon</t>
  </si>
  <si>
    <t>…didos todos El Sr. Galiano: El artículo que se propone i la discusión convórte los casos que pudiesi n ocurrir. nada menos que una ley, que no llámate de excep. or, pero si ca.iEl Sr. Ainon fue de parecer que todos los caso* estaban mejor ficaré de graves circunstancias, en una ley p-rman r.t- puesta en un especificad"* en la ley constitutiva del egercito, de la cual se separaba código militar. Con haber enunciado solamente esta proposic on , qu…</t>
  </si>
  <si>
    <t>Aionso</t>
  </si>
  <si>
    <t>…4 de Di reficciones__37. Servicio ordinario y extraordinario de Trujilío, juco ciembre de i8ia.=El duque del Parque Castrillo, p&gt;res¡dente.=Maria- 6oo9 mrt. , en cabeza del citado D. Aionso._aa. Servicio ordinario no Moreno , diputado secretario.sMartin Serrana , diputado secretario.’* y extraordinario de Llerena, juro $oo9 mrs., en la misma cabezt__ Por tanto mandamos 4 todo* lot tribunales, justicias, gefes , goberna 4. Renta general de la Pas…</t>
  </si>
  <si>
    <t>Aionso, Gonzai.-z</t>
  </si>
  <si>
    <t>Gonzai.-z Aionso</t>
  </si>
  <si>
    <t>Gaceta de Madrid n.º 304</t>
  </si>
  <si>
    <t>…a tienen. La Inglaterra tiene su reglamento, aunque ccu 10, y concepto debia terminar la discusión presente. establecido con tanto tiro, que al paso que ayuda al Gobierno no ss El Sr. Gonzai.-z Aionso contestó que el ano pasado en las primeras hace sentir. Yo residí alli tres años coa tanta libertad como en Ma sesiones extraordinarias se fritó de si debería ó no haber cnm'sion de drid; ¿pero dudaría yo de que aquel Gobierno no sabría mi existencia Gobierno…</t>
  </si>
  <si>
    <t>Aíonso, González</t>
  </si>
  <si>
    <t>González Aíonso</t>
  </si>
  <si>
    <t>Gaceta de Madrid n.º 353</t>
  </si>
  <si>
    <t>…e la cual se mandaban extinguir los convenio* en despoblado y en pue nes, y extenderán en cuanto tenga relación con el pormenor de las op.blos de menos de 450 vecinos. tac^nes. El Sr. González Aíonso pidió que se declarase no haber lugar i E&gt;te artículo quedó aprobado, sustituyendo á la palabra » exten deliberar sobre la citada exposición , pues ademas de no deberse hacer derán” la siguiente » entenderán.” una exoc|&gt;cion en una ley que acaba de darse , te…</t>
  </si>
  <si>
    <t>Aionzo</t>
  </si>
  <si>
    <t>…la facu.tad ig.’ que el art. i/i La comisión primera de negocios Eclesiásticos en vista de la propo de la Constitución concede al Rey, y i petición del Sr. Roset al ar sición del Sr. Aionzo, para que se suspenda por ahora la provisión del tículo is de ¡a ley de 17 de Abril de 1821. nuevo obispado de S. Cristóbal de la Laguna hasta el arreglo general También se leyó el oficio con que el brigadier D. Josef Manso, que del clero , opinaba que debía…</t>
  </si>
  <si>
    <t>Aipuente, Juan Romero</t>
  </si>
  <si>
    <t>Juan Romero Aipuente</t>
  </si>
  <si>
    <t>1878</t>
  </si>
  <si>
    <t>…erza las que la corrsspond.ncia. Lo que se anuncia al público para su noticia. contimporizm. Juicios de jurado. lVro en vista de este motivo de inacción militar, ;cuáles pueden El Sr. D. Juan Romero Aipuente , magistrado decano de la au Mr las miras u'teriores de las potencias con respecto al estado venidero diencia territorial de Madrid y Castilla la Nueva, denunció al Sr. al de España! Solo dos vemos posibles. La una seria una cruel indiferen calde D. Rodrigo A…</t>
  </si>
  <si>
    <t>Aipuente, Romero</t>
  </si>
  <si>
    <t>Romero Aipuente</t>
  </si>
  <si>
    <t>Gaceta de Madrid n.º 8</t>
  </si>
  <si>
    <t>…rita y distingui mas de 1300, ¡se les habrá de fusilar ó darles de cqmer? Sí cal da clase de que se trataba. culando la congrua conforme al número de eclesiásticos que desea la El Sr. Romero Aipuente opinó que este negocio era parte del ar comisión no hay bastante con el producto de los medios diezmos, reglo dei Ci edito público, que era muy interesante , y se debía resol ¿cómo podrán mantenerse los sobrantes! ver pronto, porque interesaba mucho aun para…</t>
  </si>
  <si>
    <t>Gaceta de Madrid n.º 41</t>
  </si>
  <si>
    <t>…e ia recaudación de laa.contribuciones El Se Tormo deshizo algunas.equivocaciones que dijo habia pade con la exactitud que exige imperiosamente la. importancia de los obje cido el Sr. Romero Aipuente. tos del servicio á que k hallan consignados sus productos. Cuan urgen El Sr. Martínez de la Rosa: Ante todas cosas debo manifestar que el te é indispensable sea la cooperación de ese ministerio 7 de las autori Sr. Torran he probado sin mas que con un artícul…</t>
  </si>
  <si>
    <t>Aiqu-.u.i</t>
  </si>
  <si>
    <t>…», para dar asi tiempo a que l.eg-se el refu-rzo pedido a T - c,i, de Conil, con rumbo al Estrecho, v ó un b rgantin que daba caza á otros donde al primer aviso sal.u en efecto el capitán Aiqu-.u.i con la uc.ca dos y ¡S un velachero español, y que uno de los b rgant n.s hab a sali partida de tropa de Valencei , tomando 1* dirección h.c.a el ba r.., de do de Rivad o con él , a todos los cuales los hizo atravesar ci b rg n- Ligarte para caer sobre Amezque…</t>
  </si>
  <si>
    <t>Airear</t>
  </si>
  <si>
    <t>…e á lo que manifestaba el se Los arts. i-°, a.° y J* fueron aprobado* sin disensión. llos Infante; porque estando prevenido por la Constitución que prime Leído el 4.0 manifestó el Sr. Airear que lo* individuo* da que aa ro se discutiese en su totalidad un proyeeto, era claro que no podía ve trataba habían estado inscritos en la listo de que te hablaba, y no con-, rificarse esto respecto del de que se trataba, pues que no te había pre lideraba arr…</t>
  </si>
  <si>
    <t>Airearse</t>
  </si>
  <si>
    <t>…ntre los acreedores á la juoia de reemplazos. volverá á adolecer de los mismos vicios que hasta ahora ha tenido. Las Cortes oyeron con particular satisfacción una exposición de El Sr. Airearse opuso i que se ap.obase el dxtamen de la comí- lo* oficiales é individuos del 4." departamento de artillería nacional, en *ion , apoyándose en las mismas reflexiones que había manifestado el que manifestaban lo sensible que le* había sido las ocurrencias de V…</t>
  </si>
  <si>
    <t>Ais.sua, Jáureguien</t>
  </si>
  <si>
    <t>Jáureguien Ais.sua</t>
  </si>
  <si>
    <t>…deberá muerto , según ellos , de sofocación en la continua batida que se le, da. mantener aquel establecimiento. Se espera que de este modo se conci Ultimamente se ha unido dicho coronel Jáureguien Ais.sua con su co llarán los intereses de un puerto libre con el bien del Estado- lumna á las de Pinto y Tabuenca.** Extracto de ¡a correspondencia de Francia del último correo A1EKAKTA. r&gt; Loa ultra/ tiran á Mr. de Vi.Ule y á Mr. Corber- por haber Utma a de Agosto.…</t>
  </si>
  <si>
    <t>Aisms</t>
  </si>
  <si>
    <t>…la probabilidad de una guerra con Ru mas órdtnes que ha recibido, se apresura á pasar con la presente nota sta , piense el divan en hacerse descont óla», introduciendo el esta al Sr. Aisms, secretario de Estallo y del D.spacho de Negocios exblecí miento de organizar sus trapas á la europea , y en rafomsr el cuer trangers, una copia impresa del reglamento adoptado por la compano de genízsroa; y en el día afieden que preparada otra nueva expedi f…</t>
  </si>
  <si>
    <t>Aita, Pedro</t>
  </si>
  <si>
    <t>Pedro Aita</t>
  </si>
  <si>
    <t>Gaceta de Madrid n.º 20</t>
  </si>
  <si>
    <t>…ecima clase. Mu.Ua de violin, i cargo de D. Manuel Ocon. Item en 34.875,051 florines, ademas de un crédito de un millón para gas de Jlauta, al de D. Santiago M.-ndizabai. Premio á D. Pedro Aita. tos imprevistos. Accésit ; D. Jacinta Madrid. El tribunal de Arel tñonts ha sentenciado hoy la causa que se yió Undécima ciase. Baile, á cargo de D. Juan González. Premio á el viernrs y el sébado último, declarando que un frunces no naturaliza D. Lcoucm Fern…</t>
  </si>
  <si>
    <t>Aitlon, Mateo Miguel</t>
  </si>
  <si>
    <t>Mateo Miguel Aitlon</t>
  </si>
  <si>
    <t>…e mitas. La comisión opinaba que debían amorti- La comisión de Poderes habiendo examinado ios presentares por el aarse todas las dichas memorias, menos aquellas en que se acredite Sr. D. Mateo Miguel Aitlon, diputado electo por Sevilla,opinaba de que forman parte de la cóngrua de algún eclesiástico. Aprobado. bían aprobarse por hallarlos conformes á lo que previene ia Constitu Otro sobra la solicitud de D. Francisco Oviedo, chantre de la tan ción. El Sr. Alcalde…</t>
  </si>
  <si>
    <t>Aituna, Julián</t>
  </si>
  <si>
    <t>Julián Aituna</t>
  </si>
  <si>
    <t>Gaceta de Madrid n.º 150</t>
  </si>
  <si>
    <t>…derán con arreglo á justicia. mercante española Union , su espitan el teniente de ftagata de la arma Et pues preciso que el Gobierno no se incline á ninguno de los par da nacional D. Julián Aituna, y á tu salida reinaba U mayor tranqui tidos, y que solo haga justicia al mérito de les ciudadanos: en una pa lidad en las islas Filipinas. labra, es menester emprender vida nueva. Es necesario amalgamar los ANUNCIOS.unos v 'o* otros, y que el Gobierno baga c…</t>
  </si>
  <si>
    <t>Aiüon</t>
  </si>
  <si>
    <t>…A :ór '¡I ,-j r c. s» aun reduce 1.a Sr. Moreno á que, s-gunda obs-rvacion del cu in sebr.- Ei Sr iu/ear Fai... : Para patfcu ti ar¡r f - : « aur haya presuponer do ia t n.co del Sr. Aiüon rtt.d.ncia o..;-, as r: ..*'.abr o A que ante 'a todas qu: cí-.lv.o .r&gt; v¿rin»&lt;rstf S.v¿ 1¿ se d be cor.siOerar como pérd da, por el p:,v&gt;.e-.o d. i , m . ;*•«». r.i i de una continuación «juc con or&lt;i.tunas arr Con.riiucjon alo s ja a mas ,m del cosa que que…</t>
  </si>
  <si>
    <t>…Por el art. 11 del préstamo res Arv’iú*iíc* v Cist.-pn; ▼ pan U secunda de Lcg:&gt;&gt;Jv.on *n de Ardouin se oh iza ei G b rno a entregar al prest un sta las inscrip del Sr Teffiro at Sr. Aiüon. ciones correspondo i't-s ■ un cap.tal de 140 millones al 5 por roo; lo Icualinenií anuncu hjue nu^ini contmua^ij la di¿«.ua«oo pcr.J í: ¡e, qu • pa-ece rs.andaioso , p r qu se entreva un espiral nte.ro en manos j ti hab»a tiempo a del prístíptieno de U Ctuer…</t>
  </si>
  <si>
    <t>…del reglamento y admitida á Ei Sr. Gómez sostuvo su proposición, exponiendo que no era regu discusión. lar que el que no hubiese podido casarse á causa de las disputas que ha- El Sr. Aiüon preguntó ti esta proposición hablaba de las excepcio b.a con la corte de Koma, quedase comprendido en el sorteo. nes ya aprobadas. El Sr. Moreno dijo que sin embargo de lo que expuso en Junio úl El Sr. Isturiz contestó que tolo hacia referencia i las adicione…</t>
  </si>
  <si>
    <t>…se hacen complicadísi es objeto de uns adición que podrá hacer S. S. Yo creo que pudiera mas , resultando de esta complicación grandísima dificultad de calificar haber añadido el Sr. Aiüon á sus objeciones otra que á mi me ocurre, el mérito del juicio preventivo, ó sea del ante juicio ó sumaria. Yo á saber, que estableciéndose un jurado de acusación, no ss designa el aseguro á las Cortes que aun los jueces mas perito* se ven embarazados término…</t>
  </si>
  <si>
    <t>Aíüon</t>
  </si>
  <si>
    <t>El Sr. Aíüon impugnó el dictamen, mtnlfeitando entre otras co secretarios del Despache pusdefl fa!ur i su d*b-r , ó en el werc c.o de tas que era inútil lo qu: proponía ia comisión d* qu: pasase U prime las funcione* propia* de tus destinos , cometiendo alguna accon cri r…</t>
  </si>
  <si>
    <t>…e puede conceder el perdón. posible los abusos , y con esta intención ha admitido en parte la pro • hl Sr. Meló: Si el artículo que se discute se limitase á decir: » No puesta del Sr. Aiüon. No se diga que no se d:b:n conceder perdo podrán las diputaciones provinciales conceder perdón de las deudas en nes; estos ton muy necesarios, pues á nadie pueden ocuirerse Jas des favor de los fondos comunes del pueblo,** con mucho gusto lo aproba gracias q…</t>
  </si>
  <si>
    <t>AiÜon</t>
  </si>
  <si>
    <t>Gaceta de Madrid n.º 369</t>
  </si>
  <si>
    <t>…c; mus residiese qa: * U á c .ro.»ion qu del acorii.indo articulo. restante lo v i'vio: -a ds i-sá, es la Las elecwic.rus absolu de prr-onas se harán pluralidad » también por m* E Sr. AiÜon: íir'v'r.j a prr--A0r.fr una ¡d. a qu? pu*dí pasará escrut y cuando de no se reúnen primer ta cu si votos; nio, se &lt;*. * 'a. *n aUl t\i ■ d • *s;e artéc^;-,; al segundo cutre les dos sugelos que hayan tenido trias sufragios. Si en ios ac¡J‘Mc*&gt; 4í í ;;íu;. *…</t>
  </si>
  <si>
    <t>Aivarez, Manuela</t>
  </si>
  <si>
    <t>Manuela Aivarez</t>
  </si>
  <si>
    <t>…■ citando una pensión por los mé.itos contraídos pe r su difunto marido. «s de la de Valla dolid: para la de Murcia al ini est; general D Fran 1 A la de Hacienda una instancia de Doña Manuela Aivarez, so- cisco Javier Abadía, que lo es de la misma : para interine de ¡a de ; licitando una pensión. Toledo al coronel graduado D. Salvador Linares: para ia de J. n i A la del Créd’to público una exposición de la junta nacional da D. Manuel Vadilio, que la es de…</t>
  </si>
  <si>
    <t>Aizcorbe, Fermín</t>
  </si>
  <si>
    <t>Fermín Aizcorbe</t>
  </si>
  <si>
    <t>Gaceta de Madrid n.º 302</t>
  </si>
  <si>
    <t>…de Navarra; era sin duda un hecho Sarasa dijo que presentado D. Miguel Legarra ante el capellan del público y notorio, de qu dieron noticia los periódicos, y estaba com santuario D. Fermín Aizcorbe para que dijese este si le conocía, al probada por las oficiales que publicó el Go bierno, y por el decreto de pronto respondió que no; pero que habiendo repuesto Levarra » ; no las Cortes extraordinarias de 18 de Enero último , dado á propuesta de me conoces…</t>
  </si>
  <si>
    <t>Akmao</t>
  </si>
  <si>
    <t>788</t>
  </si>
  <si>
    <t>…o» gun medio pan evitar tanto el que loa afínales brigadieres quedasen ■ochasen tomar la» medélMconvenientes. pospuedoaca los coranetes-'qup ascendiesen, (Md en adelante serían El Sr. Akmao «poyé le idea del Sr. marque» de la Merced, dicien marisca ler de campo, como a que los actuales coroneles no fuesen pttdo debería fijane co el articulo que el teitimonio fuete lo meaot de judicadot en sus ascensos por la multitud de brigadieres do» facultati…</t>
  </si>
  <si>
    <t>Al'on</t>
  </si>
  <si>
    <t>…dicho que no tuve 1* residencia continua, porque salí algunas ve .'ir ¡eyó un oficio del Sr. secretario de la Gobernación de la l'enín- ces; pues luego ¿cómo puede negarse que el Sr. Al'on que ha inter su'a , en que m ntfstaba que con motivo de las tepetidas dudas ocuiri- rumpido tantas vece* su residencia se halla en e&gt; mismo caso! Asi das . vanas diputa, unes provinciales, gefes políticos y ayuntamientos pues entiendo que la elección ha sido…</t>
  </si>
  <si>
    <t>Al, Agustín Arguelles</t>
  </si>
  <si>
    <t>Agustín Arguelles Al</t>
  </si>
  <si>
    <t>Gaceta de Madrid n.º 2</t>
  </si>
  <si>
    <t>…en tesorería consejero de Estado, é individuo de las academias Espafiola, de la His general, con el certificado de la entrega, extendido, según está man toria y de S. Fernando; á D. Agustín Arguelles Al varea, consejero dado, visado por mí, con arreglo á la Real orden de 7 de Octubre, honorario de ístado, y académico honorario de la academia de la His circulada ts 11; todo lo que publicará V. S. por edictos y en los pe toria; á D. Francisco Martínez Marina,…</t>
  </si>
  <si>
    <t>Al, Dalmacio</t>
  </si>
  <si>
    <t>Dalmacio Al</t>
  </si>
  <si>
    <t>Gaceta de Madrid n.º 187</t>
  </si>
  <si>
    <t>…1. 19 vecinos: su dotaciort 3300 rs., pagados de los fondos públicos por Consejo dt tillado. tercios en el año, ademas 4». porcada vecino, cuya cobranza es de Por fallecimiento de D. Dalmacio Al puente ha resultado vacante su cuenta, regulándose de pago 700 por ser los demas pobres. Los que la plaza que obtenía de magistrado de la audiencia territorial de Va aspiren 4 obtenerla dirigirán sus sol ic.ludes por el correo ó persona «le lerle a, para la q…</t>
  </si>
  <si>
    <t>Al, Josef</t>
  </si>
  <si>
    <t>Josef Al</t>
  </si>
  <si>
    <t>…reunidos en Besa'ú ios destacamentos de Soria se. Aprobado. T Córdoba bajo las órdenes del denodado gefe político d- Gerona, La comisión Eclesiástica, en vista de la solicitud de D. Josef Al que había salido para ponerse á su frrnt?, y no dib, dudarse que no fonso, D. Miguel Vicente Sánchez y D. F.ancisco Rico, vicarios descansaran hasta que hayan aniquilado las ut&lt;mas reliquias de tan exe eclesiásticos de N .vslda, manifestando que con rste títu…</t>
  </si>
  <si>
    <t>Al, Josef de</t>
  </si>
  <si>
    <t>Josef de Al</t>
  </si>
  <si>
    <t>…neral. dirigido á las Cortes por el Sr. secretario de Gracia y Justicia, dando Es indudable que la» Cortes pueden decretarla siempre que concur parte de que el consejero de Estado D. Josef de Al mansa acababa de ser ran causas para ello. Las causas te promueven por los clamores del pue nombrado individuo de la junta suprema del Gobierno independiente blo contra la arbitrariedad de les tribunales, ó contra la injusticia de establecido en México. sus p…</t>
  </si>
  <si>
    <t>Al, Josef Ignacio</t>
  </si>
  <si>
    <t>Josef Ignacio Al</t>
  </si>
  <si>
    <t>…acreedores á la comisión de vestuario* que en los años de 1808 y 1809 que lo declarasen las Corles hiciesen lo mismo con dicho puerto d: desempeñó en Sevilla el mariscal de campo D. Josef Ignacio Al vare* Santander; habiéndose dirigido tan tolo la solicitud dd ayuntamiento Campana , para que con presencia de las cuentas de este te les expida á pedir que ni en Cádiz ni en otro puno de la Península te estable por la misma las certificecipoee competentes, s…</t>
  </si>
  <si>
    <t>Al, Julián</t>
  </si>
  <si>
    <t>Julián Al</t>
  </si>
  <si>
    <t>Gaceta de Madrid n.º 227</t>
  </si>
  <si>
    <t>…á una gavilla de facciosos que había á algunas hora* de dis 3 - Yo piometo sacrificar á nuestra común venganza á cuantas tancia , y escalaron el castillo: el teniente de Astúriss D. Julián Al va turcos me pongan delante, sea por titrra ó por mar , y 4 todos los riz , su gobernador, uno de loa que proclamiron la libertad en tas Ca latinos que se nieguen á abrazar nuestra religión, que es la única santa, bezas, fue muerto con un sargento y otros val…</t>
  </si>
  <si>
    <t>Al, Manuel María Monse-</t>
  </si>
  <si>
    <t>Manuel María Monse- Al</t>
  </si>
  <si>
    <t>…en el depósito hi Huelva administrador D. Bartolomé Galvez, oficial de la conta drográfico por un mes de haber............ 11,995.-27. duría de la aduana de Cartagena. Interventor D. Manuel María Monse- Al mozo de la pagaduría por un gur, habilitado por las Cortes en virtud de cesión de una prestamera mes de su goce...................................... 310. que poseía. . _ . . , Para Us obras de la casa almiran Teruel administrador D. Antonio Benitos , espitan…</t>
  </si>
  <si>
    <t>Al, Manuela de</t>
  </si>
  <si>
    <t>Manuela de Al</t>
  </si>
  <si>
    <t>…sica: primero Doña Gerónima Lessenne: segundo Doña Teresa Uri ble p'M turbar t u stra tranquilidad interior, con el fin de hacer te.rible barri y Doña Benita Ochoa. Baile* primero Doña Manuela de Al y (dú o el s stema constitucional ; es porque han atizado con su oro, day: segundo Doña Carmen Crespo. Costura: primero Doña Carmen cor. su protección y con sus esperanzas el fuego de la discordia; si pa Crespo: segundo Doña Carmen Moreno. Bordados de estambr…</t>
  </si>
  <si>
    <t>Al-, Félix</t>
  </si>
  <si>
    <t>Félix Al-</t>
  </si>
  <si>
    <t>…s en la ciudad de Sevilla los jueces de hecho D. Manuel dentes que les dicte su ze!o, arreglen las diferencias y reclamaciones de Cosío , D. Antonio Mira'les, D. Joaquín Benjumea, D. Félix Al- da lo» pu b!os que se hayan de reunir acerca de los derechos y obli bao, D. Francisco García Otero, D. Diego Fernandez Mufioz, Don gaciones de sus respectivos vecinos at tiempo de su reunión. De acuer Josef Ruiz del Arco y D. Miguel Matute para declarar si ha…</t>
  </si>
  <si>
    <t>Al.'-</t>
  </si>
  <si>
    <t>Gaceta de Madrid n.º 333</t>
  </si>
  <si>
    <t>…. Infante dijo qu* La objeción de! Sr. Remero hv» &lt; «id- -4 te «ia ul segundo v ú.timo sup»ni: de la provincia de Granada, y centcstada p. r e! 'r Va íc. . y . n cria: to . 'a d 1 Sr. Al.'- -- - »_ f t lo momo no tema a quien convocar. v.-n.r que la c.':r. &gt;1. n I-.ib.i r-ch ' r'c ■ n-' le rué i.«:rS.¡ - - » El Sr. Morreo: lii pan iotisino ri.i Sr li.Marmnte, las circuns- «&gt; preven-d.» en e. d-r : que ¡a . : - s b : i- .v» c-r t-n 1 •. . tiu.uo…</t>
  </si>
  <si>
    <t>Alagues, Marisno</t>
  </si>
  <si>
    <t>Marisno Alagues</t>
  </si>
  <si>
    <t>…, procurador de D. Mi U, a; declaró nu haber lugar i la formación de cauta por los lefio- guel Ballcster y Catabas, y D. Juan Roig yMila, alca'des constitucio te* |u-c-.s de hecho D. Marisno Alagues, D. Simón Viré», D. M¡- nales de la villa de Sitges, d.claran haber lugar i ¡a formación de cau Sel1 SierraLaborda,y O. D.JuanJuanFranciscoJosef SavironSantoUria;, D. Manuelsiendo Canfín,de dictamenD. Cristo-con desa,l8aa.=shabiendoVicentedisentidoAleño,D. Jo…</t>
  </si>
  <si>
    <t>Alaiz, Heraclio</t>
  </si>
  <si>
    <t>Heraclio Alaiz</t>
  </si>
  <si>
    <t>Gaceta de Madrid n.º 282</t>
  </si>
  <si>
    <t>…nte cer á Ja patria en esta jornada, en la que, según las noticias que tengo, cimientos de España; pero creemos poder afirmar que en ningún caso ha tenido mucha parte el brigadier coronel D. Heraclio Alaiz, gefe del te concederá pato por ia Francia i tropa* extrangeras.” estado mayor del egército de operaciones del 5.' distrito, en razón á Et de presumir con efecto que la Francia no permitiría tránsito de que fue el primero que con los 40 granaderos que del bat…</t>
  </si>
  <si>
    <t>Alaman</t>
  </si>
  <si>
    <t>9</t>
  </si>
  <si>
    <t>…a h* hecho la mitad de Se leyó el dictamen de la comisión de Guerra, relativo á la propo la obra. Se dice que antes se habia puesto el máximum á los sueldos do sición hecha por el Sr. Alaman en la sesión de ayer , á consecuencia del los densos funcionarios públicos, y que á pesar de esto al de los genero» art. 1“ del primero de loa dictámenes de dicha comisión, que se arrobó tes se quedó conforme estaba: sea enhorabuena; pero las circunstanciar e…</t>
  </si>
  <si>
    <t>…strito por Aprobada el acta de la anterior, se dió cuenta de un oficio del sefior la mayoría de la comisión. secretario de Hacienda, al que acompañaban 100 ejemplares de la cir El Sr. Alaman: La razón de posesión en estas materias no me cular que trata del decreto de las Cortes de 18 de Diciembre de 182* perece de tanta importancia como se le ba querido dar, qai en la divi acerca de los créditos sin ínteres. Las Cortes quedaron enteradas, y acor…</t>
  </si>
  <si>
    <t>…de tres afios , contados des ciento coa que sucesivamente havar de gravarse los fondos públicos." de el día siguiente á aquel en que se cometió ci delito, ó se mzo el acto El Sr. secretario Alaman dijo que el primer articulo estaba confor que I; constituya, siempre que en el intermedio no se haya interpuesto me con el aprobado en la sesión anterior; que el 2 : era diferente del la acusación ó demanda, ó empezado de oficio el procedimiento cri aprobado,…</t>
  </si>
  <si>
    <t>Gaceta de Madrid n.º 7</t>
  </si>
  <si>
    <t>…proclamar en dó aprobado el dictamen. (Véase la sesión anterior.) aquel pais una república federativa, á cuja cabeza debería haber un No se admitió á discusión una proposición del Sr. Alaman, relativa presidente electivo. Todos los votos te dirigen hacia Demetrio Ipsilanti. á que las Cortes se sirviesen resolver que i los empleados, funcionarios Dicha república se compondría de seis estados, que serian la Motea, la públicos, corporaciones 7 parti…</t>
  </si>
  <si>
    <t>Gaceta de Madrid n.º 9</t>
  </si>
  <si>
    <t>…n de la primitiva lotería nacional, egecutada en la regni, y en vez de conexión se pusiese fui-.i conexión. tarde de ayer , han salido por el mismo orden con que aquí se anotan El Sr. Alaman manifestó que la secretaria había creído de su deber lo* cinco números siguientes: )(í, ia, 39• 34 y l7- el presentarlas todas para que la. Cort-s decidles n sobre este punto, cn&gt; 81 premio de 2500 rs. concedido en todas las extracciones á Isa no lo habían he…</t>
  </si>
  <si>
    <t>Gaceta de Madrid n.º 10</t>
  </si>
  <si>
    <t>…tamen era parte del proyecto cer , no hallaba inconveniente en que se adoptase la idea propuesta por de reforma de arancela, el cual estaba sometido 4 la deliberación de las dicha Sr. Alaman ; pero habiendo reconocido el local de la biblioteca, actúala Corta; y en cuanto al segundo, era muy justo que los derechos ee habia coa vencido de que no se podía verifica ara separación sin ha e se pagaban en Tarragona para la construcción del puerto de Bar…</t>
  </si>
  <si>
    <t>…l espectáculo que presentó la casa de socor correspondía 4 los demás individuos que se hubiesen retirado. ro á las 11 de un día en que la Iglesia celebra el nacimiento de su di El Sr. Alaman dijo que habiendo sido reformada la proposición vino Fundador. Aunque el día estaba encapotado, lluvioso y frió, no por su autor, según las rctíexion-s que se habían expuesto,no tendrían impidió que personas de todas clases, edades y sexos concurriesen i las…</t>
  </si>
  <si>
    <t>Gaceta de Madrid n.º 21</t>
  </si>
  <si>
    <t>…ni del tío ni del sobrino; por !o que lo anuncia en este periódico para que llegue á su noticia ó i la de sus herederos, bado.Se mandó pasar á la comisión la siguiente adición del Sr. Alaman y puedan dirigirse á él con los correspondientes títulos para percibir lo al art. 378 concebida en estos términos: » Donde dice sino £ médicos, que les corresponda. ANUNCIOS. (trujanos &amp;c. agregúense ¡as siguientes: naturalistas y establecimientos de educació…</t>
  </si>
  <si>
    <t>…culos anteriores ya aprobados: una de ellas del Sr. Carrasco: otra del señor De los que rehúsan al Estado los servicios que le deben. Uragat otra dei Sr. Echevarría; y la otra del Sr. Alaman. CAPITCIO UNICO. CAtlTVlO V. Alt 573. n El que contraviniendo á la obligación que todos los Del desacato de los hijos contra la autoridad de sus padres, y dei de ¡os espsfioles, sin distinción alguna, tienen de contribuir para las necesi menores de edad contr…</t>
  </si>
  <si>
    <t>Gaceta de Madrid n.º 26</t>
  </si>
  <si>
    <t>…eses devengados, pre No te admitió á discusión. sentando lo» oportuno» resguardos. Se mandó pasar ¿ la comisión una adición del Sr. Gisbert al artí culo $35, y una proposición del Sr. Alaman para que recopilándose • las penas que se imponen á los dueños de los negros por violencias ó ma’os tratamientos, se hage de ellas un capítulo particular, que forme Hoy t6 del corriente se pagará en la casa Nacional de moneda la paite 2.a del tít. i.° de este…</t>
  </si>
  <si>
    <t>…venga tan tarde á las Cortes extraor rácter , porque lo consideraba centra el decoro de la Nación española. dinarias, y que no se haya acompañado la última consulta del consejo El Sr. Alaman di¡o: Desconfiando de mí mismo en esta materia taa de Estado, relativa i las ocurrencias de México , si la ha habido. delicada , no creía entrar en esta dis.usion ; pero no puedo menos al ver Prescindiendo de los caracteres que tiene aquella revolución , la q…</t>
  </si>
  <si>
    <t>Gaceta de Madrid n.º 29</t>
  </si>
  <si>
    <t>…ion una eompleta satisfacción. Puco se 'pnede abadir á lo dicho en este que acabo de hécet, opino deba aprobarse el dictamen como lo asm materia por Id* Sres. de la comisión y el Sr. Alaman, que ha apopado justo, legal 7 político que pueda hacerse. el dictamen de la comisión , y creo qus en este punto tenemos derecho El Sr. Palarca dijo que todo lo que era hablar de loa motivos de la loe diputados dé'Ultramar i ser creídos, mayormente miando r|…</t>
  </si>
  <si>
    <t>Gaceta de Madrid n.º 32</t>
  </si>
  <si>
    <t>186</t>
  </si>
  <si>
    <t>…ó sociedades de igual clase, ó egeiciereti algún acto público cual casos.” quiera, serán también obligados á disolverlas inmediatamente, yiufri- Art. 378. Párrafo t.° (adición del Sr. Alaman): » Veterinarios, r.n una mulla de dos á cuarenta duro*, ó un arresto de cuatro días artistas, fabricantes, naturalistas ó establecimientos de instrucción que 4 tres meses. necesiten de ellos para su industria ó instituto , y tengan licencia &amp;c ” • Pero si co…</t>
  </si>
  <si>
    <t>Gaceta de Madrid n.º 33</t>
  </si>
  <si>
    <t>…tMon de dichas contaddría»; y otra del ayunia- Se leyeron y mandaron pasar á la comisión las siguientes adiciones; » eónstinríonal de Uñares, manifestando los perjuicios que so Dd Sr. Alaman: » Que ae pague por cada una «le las cruces de Car á los beneficiadores da las minas de plomo de aquella villa por ica 111 é Isabel la Católica *9 rs., por cada encomienda de Isabel U r . evidencias tomad*» por el Crédito público. Católica io9 ts., grandes cr…</t>
  </si>
  <si>
    <t>…ienes esta en relaciones amistosas , les manifieste que la Na sar de ella ni hacerla ningún daño.” Aprobada. ción española mirará en cualquiera época como un» violación de los Del Sr. Alaman al art. 806: » Pero el que por hacer daño ó ven tratados el reconocimiento parcial ó absoluto de la independencia de las garse incurra en este delito, sufrirá la pena de 10 á ao años de obras provincias españolas de Ultramar, entre tanto que no te hayan final…</t>
  </si>
  <si>
    <t>…. Afeman contestó también á varias equivocaciones, en laa países, sus caudales y efectos y los nuestros. cuate* dijo que habían incurrido los Sres. preopinantes, y dijo que fes El Sr. Alaman dijo que io único que podia hacerse en laa circuns Floridas habían sido conquistadas por los españoles, y se debió su con tancias actuales era aprobar el dictamen que antee propuso fe comisión, quista á Velazquez de León. que era fe primera parte del que ahor…</t>
  </si>
  <si>
    <t>AlamanLos</t>
  </si>
  <si>
    <t>…s de mu expoticiM dd ayuntamiento de Sorgos, en que le» data ques so9 rs. Por el de duque ó grande 8o9 rs. gracia» por haber designado á aquella ciudad por capital de distrito Del Sr. AlamanLos macstrantes de todas las maestranzas ■9».” ailiiar. Igualmente loquodaron.de upa aposición de un pueblo de Del Sr. Pelaran: » Que cuando se dispensen las pruebas en la conaquello provincia , en que daba gracias por haberle dejado en la misma. ' cesión de lea…</t>
  </si>
  <si>
    <t>Alamit</t>
  </si>
  <si>
    <t>Gaceta de Madrid n.º 23</t>
  </si>
  <si>
    <t>…4 su pais 4 fin de res* ó para dejar de hacer uno que no deba ejecutar, perderá su cargo ó tableccr su salud. empleo, y no podrá obtener otro alguno público en dos afios, m ei El Sr. Alamit hizo presente que al extender la secretaría el de juez cgercer mas la judicatura.” Aprobado. creto sobre el folietito diario en que deben expresarse las fincas del Art. 461. » Los jueces de hecho ó de desecho, ó cualesquiera otro* Crédito público que están de…</t>
  </si>
  <si>
    <t>Alamo</t>
  </si>
  <si>
    <t>Gaceta de Madrid n.º 3</t>
  </si>
  <si>
    <t>16</t>
  </si>
  <si>
    <t>…e mandó volver 4 ella* Las Cortes quedaron enterada* de una exposición del ayuntamien este artículo. to constitucional de F.iopar, en que daba gracias por la erección de I» El Sr. secretario Alamo dijo qne la discusión del artículo que ptovrncia y setal amiento de capital en Chinchilla. trataba de á sapeaion de la balanza quedaba suspendida. Se leyrt una proposición de los Srcs. Fondevila y González Allen Se continuó la discusión del código penal. de s…</t>
  </si>
  <si>
    <t>Alarcon, Facundo</t>
  </si>
  <si>
    <t>Facundo Alarcon</t>
  </si>
  <si>
    <t>…les, y siendo precisa su pro D. Joaquín Saez Quinlanilla y D. Gabriel Montaner; D. Francisco visión, se anuncia al público para’que loa empleados ea activo servicio Calvo y Marco, D. Facundo Alarcon, D. Joaquín Lombart y D. Pe 6 cesantes que aspiran á ella, y reúnan las circunstancias prevalidas «a dro Pascual Carbonell lo declararon subversivo en primer grada, y Don los decretos de les Cortes y órdenes de S. M., presenten les instancias Pedro Pascual Ll…</t>
  </si>
  <si>
    <t>Alarcor, Facundo</t>
  </si>
  <si>
    <t>Facundo Alarcor</t>
  </si>
  <si>
    <t>…das la contaduría y tesorería Sol; D. Honorato Piera, abogado; D. Joaquín Ibarra, subinspec de cgército de dicha plaza, estableciéndose en ella un pagador , con tor de artillería; D. Facundo Alarcor, coronel retirado; D. Josef forme al plan administrativo de hacienda militar con uno ó dos ofi Enguídanos; D. Vicente Marzo , abogado; D. Anastasio Naiis, ofi ciales de guerra si se estima suficiente.” cial de anillen* , y D. Pedro Calvo , después de haber ex…</t>
  </si>
  <si>
    <t>Alaría, Alvaro</t>
  </si>
  <si>
    <t>Alvaro Alaría</t>
  </si>
  <si>
    <t>…ndancias subalternas de provincia correspondientes ai noveno Causas de la división de ánimos y la suma escasez de dinero que Kajr distrito. Para la de Almería al mariscal de campo D. Alvaro Alaría en la España: medios c6cac.es para repararlas prontamente, y verificar uní Chacón que desempeña interinamente la comandancia general del Cam concordia y reconciliación general entre todos los españoles , condensapo de G&gt;braItar. Para Ja de Málaga al mariscal…</t>
  </si>
  <si>
    <t>Alava</t>
  </si>
  <si>
    <t>…a 3 de Diciembre de 1821 en que fue elegido era ciudadano español Total 95. en el egercicio de sus derechos, y las órdenes posteriores no pueden ser En Ja tercera quedó elegido el Sr. Alava por 57 votos de 93 , te retroactivas. Supuesto pues que la nota que hace tanta fuerza i la comi niendo 20 el Sr. duque del Parque, 7 el br. Villaboa, 3 el Sr. Pater sión no puede ser motivo para que no se aprueben los poderes del na , z el Sr. Marchámalo, y u…</t>
  </si>
  <si>
    <t>…ro y seis criad -s -i ew&gt;nh*n- to el Sr. liusuli!, d.potado por U pro. incia de Málaga. 21, para todos los cuales t.nia víveres sube.entes.”— be d.-e qui Se levo un oficio del 'r. diputado Alava, en ai que decía que en Al -Bajá ha juntado dos mil bamles de polvoia. LUiurseiiid-ba;j , ge atención a las circunstancias apuradas del Estado, y a fin de remediar neral del egército tur-o d..anle de Jamna, li.zo saber a Ají que lsmail las, cedía á favor del…</t>
  </si>
  <si>
    <t>…del.precipicio, y ha dictamen sobre pte negocio fuese la que entregase -el león 4 dicho cerlos caer en un abismo de males1. -Batallón. 'El Sr. presidente «Hedió 4 esta comisión al Sr. Alava. CORTES. Se concedió-permiso i D. -Florencio -Echevarría , fiscal de hacienda MUStDBNCIA DEL SEÑO* RIEGO. en la isla de Cuba,-para prestar el Juramento ante el gefe político da Sesión del'día 16 dt Marzo. la misma. Leída y aprobada el acta de la-anterior, se…</t>
  </si>
  <si>
    <t>…á S. M. sobre el estado de la ligera nube sobre una parte muy pequeña dei cuerpo de artillería que Nación. siempre ha manifestado su aversión al sistema; y viene ahora otra parEl Sr. Alava apoyó lo expuesto por los Sres. Cuadra y Castejon; te considerable del mismo cuerpo mostrando sus sentimientos patrióti y habiéndote preguntado si se admitía á discusión la proposición de cos y constitucionales. que se trataba, se acordó que no. Se leyó integ…</t>
  </si>
  <si>
    <t>…gefe -polí resolución ao&amp;re esta» exposiciones hasta que ie tomase la conveniente tico permaneciese tranquilo espectador de estos acontecimientos &gt; en virtud de la proposición del Sr. Alava. ql alcalde que las leyes no le permitían entregar el «umario; peto Se puto á discusión el dictamen de la comisión de Casos de res quisiera saber qué leyes son estas. Nn basta decir vagamente que Jiav U. ponsabilidad acerca del espediente promovido por P- Ant…</t>
  </si>
  <si>
    <t>…nas observacio El Sr. secretario de la Gobernación manifestó que et Gobierno, nes., concluyó manifestando que no creía necesaria la medida qae se deseando tomar lat medidas que el Sr. Alava habia indicado, man proponía , la cual ea cierto nsoito podía « el ly«)" de aquello* dó luego que tuvo noticia da aquellas ocurrencias, que el regimiento niilíciancs voluntar,es. de Lusitania pasase i aquella ciudad, y asimismo que pasas# tambiea d Ei &gt;r. hep…</t>
  </si>
  <si>
    <t>…ía nn motivo para que se pro disponer que todas laa corporaciones que hsyan solicitado ó ea tú|^ hibiese. solicitaren buenos, corralones ó cualesquier otros terrenos contiguosá El Sr. Alava manifestó qne ta voz deviva Riego am da alearía, f los edificios que pertenecieron á corporaciones suprimidas , y han tifo como do una recitación al amor da asta caudillo; pero quei en algunas cedidos por el Gobierno para objetos de beneficencia , acrediten c…</t>
  </si>
  <si>
    <t>…s, y ponerle en términos quo 2Vota. En la aesion de ayer el Sr. Alvarez de Bulara se opuso i la no pueda obrar. No estoy de acuerdo en es» parte con S. S.; pues no proposición del Sr. Alava sobre desarmar á la milicia nacional de Pancreo que las Cortes batí de estarse pasivas á vis» de la inquietud de piona, jodijo: qua conformándose con lo que dicho Sr. diputaiio haba Ja Nación. expuesto en cuanto á los peligros exteriores «le Francia y medidas…</t>
  </si>
  <si>
    <t>Gaceta de Madrid n.º 94</t>
  </si>
  <si>
    <t>…ctámenes de comiaionm En el primer escrutinio tuvo el Sr. Valdés (D Cayetano ) 6y vo de U legislatura anterior, y conformándote con el último, opinaba: tos , el Sr. Salvato 66, el Sr. Alava t, y el Sr Qgatslei Alonso uno; 1.* que ae declarase que el teniente coronel S&gt;. Joaquín Cabrera, me ’ no habiendo reunido ninguno de dicho* Sres. la mitad mas uno dn reció la gratitud de ia patria: ».* que su viuda está comprendida en al Íoa votos, no hubo e…</t>
  </si>
  <si>
    <t>…el acta de la anterior, se procedió é las de presidente, v ice-presiden te y un secretario. se la habían pesado, y se levantó la saion. En la votación para presidente tuvieron, el Sr. Alava 70 votos, el NOTICIAS DE ESPAÑA Sr. J'alvito 68 , el Sr. Alonso uno, y el Sr.Cutejon uno; y no habien do tenido ninguno de dichos sefiores la mitad mas uno del total 140, Barcelona ti de Atril. se procedió á segundo escrutinio entre los Sres. Alava y Sálvalo,…</t>
  </si>
  <si>
    <t>Donativo, suscripción o relación nominal</t>
  </si>
  <si>
    <t>Gaceta de Madrid n.º 173</t>
  </si>
  <si>
    <t>…to en d pulpito coqao ea vamente el pueblo que ha salido recargado al gg por too no lo está el confesonario. mas que aquel que paga un ro por too. La raron es muy sencilla: ios Ei Sr. Alava dijo que conocía personalmente é esto* religioso». y pueblos han sido libres para calcular tu* capitales, y al dar noticia da que en las pasadas ocurrencias d: Aícafivx habían procedido de un mi ellos han tenido en su mano hacer subir la contribución al 10 ó…</t>
  </si>
  <si>
    <t>Gaceta de Madrid n.º 179</t>
  </si>
  <si>
    <t>…tes anteriores por sus bu.r.c, ser guna parte se ha dado mas que en Irlanda , en dond- los habitan vicios. tes tlcn-n un carácter muy distinto que loe de Cata.uña. Por estas ra El Sr. Alava , después de referir la certeza de estos hechos, v I» zones me opongo al dictamen de la comisión. terrible conspiración c;¡ ’ se estaba tramando per algunos ma'ei otes que El Sr. secri tario de Estado se opuso á esta medida, manifestando contaban ya con fino…</t>
  </si>
  <si>
    <t>…............................ 1.288,248 é S. M., y participarle que i a» Cortes cerraban su» sesione» el dia 30 Madrid................................. 11.838,476 del corriente, el Sr. Alava, como presidente de ella, d.jo que S. M. Mancha............................... 1.''10,099 la hab a recibido con el mayor agrado, y que había manifestado que M laga................................. 2.610,378 agradecía la felicitación de la» Corte», y que queda…</t>
  </si>
  <si>
    <t>…ropa, alhajas y éx to io» puntos que ocupábamos. La llegada del dia puso por fin en dinero que se llevaron los defensores de la fe; en esta jornada perdie claro aquella es ena. El general Alava te presentó entonces en la pla ron unos aoo hombres entre muertos y heridos , y nosotros tuvimos 1 z zuela de Sto. Domingo, y bajo U$ órdenes de este gefe se continuaron muertos y »y heridos. A no haber sido el horror del incendio y del sa tomando todas ¡as d…</t>
  </si>
  <si>
    <t>…derosa que las razo Faicon : Al llegar aquí la votación , notándose bastante murmullo en nes que se quieran alegar contra ella, yo creo que se está en e. caso de las galerías , el Sr. Alava , que todavía no habla votado, excitó al se adoptarla ñor presidente á que impusiese orden en los espectadores, pues de lo El Sr. preopinante ha sostenido que la medida es anticonstitucional, contario podia darse lugar á decir que los señores diputados votaba…</t>
  </si>
  <si>
    <t>Alava, Miguel de</t>
  </si>
  <si>
    <t>Miguel de Alava</t>
  </si>
  <si>
    <t>Gaceta de Madrid n.º 30</t>
  </si>
  <si>
    <t>…icitador, aunque nada da esto se lie* tos diputados á Cortes el brigadier D. Manuel de Letra y el teniente fue á verificar, sufrirá un arresto de quince dias á tres meses, y se le general D. Miguel de Alava, que desempeñaban dictas comandancias podrá ademas obligar á petición del marido, padre ó encargado de la generales también interinamente. persona , cuyo robo ó fuga te hubiere solicitado, y al prudente jui Asimismo ha conferido el empleo de mariscal de campo…</t>
  </si>
  <si>
    <t>…dad que se le debo ta, en la qu; manifestaba qur contaov ido por el raigo patriótico del dig por el Crédito público, opinaba que mediante á haberse acordado asá nísimo diputado el Sr. D. Miguel de Alava, y anhelando imitaraunqud respecto de otros libramiento* de igual naturaleza á favor del eegiatieaen pequefio un egempto tan sublime, cedía en beneficio de la Nación los to de caballería de Almanta, se podía acceder á lo que pedían «Km in créditos que de los…</t>
  </si>
  <si>
    <t>Alb</t>
  </si>
  <si>
    <t>…ula. r: d: orden del ¡u z letrado , porque es bien seguro que no le abonará Continuó la discusión pendiente. los que haya sufrido antes, y haiá muy bien si conoce que la incomu El Sr. Alb ar: Por la Constitución tolo puede el Rey arrestar al nicación es necesaria. gún español cuando el bien y seguridad del Pistado. lo exijan; pero con Kn materias de esta clase es prccisp que sean las Cortes muy cir la condic on de que dentro de 48 horas deberá…</t>
  </si>
  <si>
    <t>Alb, Joaqirn</t>
  </si>
  <si>
    <t>Joaqirn Alb</t>
  </si>
  <si>
    <t>…de Oviedo, con ,c&gt; 410 rs. al mes Calahorra i D. Antonio H dalgo, espitan graduado de teniente co que disfruta en prov ncia. ronel del rcgitni' nto infantería de Burgos, d. Vich • D. Joaqirn Alb*rto Claver . capitán graduado de finiente Ferrol (antes Composteia) á &gt;. Juan de Medina, comandante en- coronel del regimiento miarte; s de Sevilla-con e su -idu qu.- d-.tiutapernum-rano de infantería, y sargento mivor del batallón de la milicia Zsra.’Oia i D…</t>
  </si>
  <si>
    <t>Alb-ar, Carlos M.</t>
  </si>
  <si>
    <t>Carlos M. Alb-ar</t>
  </si>
  <si>
    <t>…comunicación con Huesca, y aun el sonas » quienes se habia suspendido la entrada en la provincia: á sa que entrasen aquí después de nuestra salida, he marchado 3 Jas cinco de ber: D. Carlos M. Alb-ar, D. M'guel E. Soler, D. Manuel Dorrego, la mañana con las tres compañías de cazadores de ¡os regimientos de D. Manuel Sarratea, D. Pedro Josef Agrelo, D. Manuel V. Pagóla, Jaén , Ord.nes militares, voluntarios de Castilla , la segunda compa D. Josef ¿ares, D.…</t>
  </si>
  <si>
    <t>Alba, Manuel Callejo de</t>
  </si>
  <si>
    <t>Manuel Callejo de Alba</t>
  </si>
  <si>
    <t>Gaceta de Madrid n.º 19</t>
  </si>
  <si>
    <t>…aren ó com comunicarle cosas que le interesan , ó si hubiese fallecido , á sus herede petieren a alguna autoridad pública á hacer como tal alguna cosa, aun ros, los que acudirán á D. Manuel Callejo de Alba, que vive plazuela que sea justa, sufrirán una reclusión ó prisión de tres meses á tres años, de Matute , casa núm. 7, cuarto segundo. y un arresto de quince dias á un afio si cometieren este delito contra Habiéndose extraviado á D. Antonio Joaquín Pardo Pall…</t>
  </si>
  <si>
    <t>Albacete, Josef Gómez</t>
  </si>
  <si>
    <t>Josef Gómez Albacete</t>
  </si>
  <si>
    <t>…a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Sebastian de Andrés. último me dicen lo que sigue: Habida la conferencia se declaró por siete voto» no haber lugar 4 - Habiendo acudido 4 las Co…</t>
  </si>
  <si>
    <t>Gaceta de Madrid n.º 234</t>
  </si>
  <si>
    <t>…s jotra*indispen D. Francisco Travesado, D. Benito Ortega Romanillos, D. Juan La sables para cimentar y consolidat en la niñez lo* verdadero* conoci que , D. Antonio María Espejo, D. Josef Gómez Albacete, D. Gon mientos de la existencia civil 7 derecho* naturales del hombre social zalo Cárdenas, D. Joan Corté*, D. Mariano Zorraquin 7 Ó. Joaquín con las obligaciones patacón Dios, él mismo, tus semejante* 7 libre pa Manrique 7 Manrique. tria. Los pretendientes…</t>
  </si>
  <si>
    <t>Gaceta de Madrid n.º 243</t>
  </si>
  <si>
    <t>1248</t>
  </si>
  <si>
    <t>…s. de capital, número 3657; otra de 43,519 rs. y Faltaron su absolución los Sres. D. Juan Paz, D. Angel Bonal- 31 mrs. de réditos, núm. 4233, ambas 4 fsvor del hospital de San to, D. Josef Gómez Albacete, D. Pedro Alvaro Delgado y D. Joa Mateo de la ciudad de Sigüenza 1 otra de 2750 rs. de capital , número quín Manrique y Manrique. 3658, á favor de D. Miguel Mufioz; otra de 577 rs. y 17 mri. por Lo declararon sedicioso lo* Sres. D. Juan Antonio López, D. Sa r…</t>
  </si>
  <si>
    <t>Gaceta de Madrid n.º 250</t>
  </si>
  <si>
    <t>…rcos que eviian como una impiedad el disputar de lo Sret. jueces de hecho que lo absolvieron: £&gt;. Lorenzo Lambes, qus se les manda creer. Por último, los primaros no pronuncian ja D. Josef Gómez Albacete, O. Cario* González Llano*, D. Matías ma» una palabra ofensiva á los cristianos, y los segundos afectan pro Casero, D. Mariano Zorraqnin y O. Juan Manuel de Aréjula. ferir contra ellos en sus discursos expresiones chocan ts. Sres. que votaron en contrario: D.…</t>
  </si>
  <si>
    <t>Alban, Tomas</t>
  </si>
  <si>
    <t>Tomas Alban</t>
  </si>
  <si>
    <t>Gaceta de Madrid n.º 64</t>
  </si>
  <si>
    <t>…debe dejar otro Sr. diputado te resolvió que te tuviese por primen lectura. íe adelante esa turba de faccioso*; y supuesto que la* Cortes pasa- Se dió cuenta de una exposición de D. Tomas Alban , impresor nombraron una comisión de política, la cual entendía ea todos es en esta corte, haciendo varias proposiciones para, que so le concedieserees eMot particulares , opinó que debía aprobarse la propasación. la impresión exclusiva del diario de Us Corte…</t>
  </si>
  <si>
    <t>Albao, Félix</t>
  </si>
  <si>
    <t>Félix Albao</t>
  </si>
  <si>
    <t>…ea Porree, D. Martuel O'ozaga y D. Miguel Moreno García; habiendo les por todo su valor, en el caso de que los débitos sean posteriores al votado por la afirmar vi D. Josef Anima, D. Félix Albao, D. Josef ello de 1813. Pero si fuesen anteriores al afio 14, aquellos pueblos que María Tixe, D. Rodrigo Sanjurjo y D. Francisco de Paula Dhcrvc*. hubiesen renunciado á la liquidación y cobro de suministros en confor midad del decreto de 17 de Agosto de 1815…</t>
  </si>
  <si>
    <t>Albareda, Juan Ferrer y</t>
  </si>
  <si>
    <t>Juan Ferrer y Albareda</t>
  </si>
  <si>
    <t>…empezando de Juicios de jurados. este modo: En ti mts dt Entro dt cada año (re., á propuesta de la En la ciudad de Barcelona, reunidos en jurado de acusación los secomisión. ñores D. Juan Ferrer y Albareda, D. Juan Evaristo de Casteiiar, D.-n be mandó pasar i la comisión la siguiente adición del Sr. Can ¡on Josef Anv.lasell, D. Magín Corominas, D. Melchor Biuguera, Don al atr. 1H6, que décia: »&gt; Pido que se añada después de las palabras ins- Juan Liado y Torra,…</t>
  </si>
  <si>
    <t>Albear</t>
  </si>
  <si>
    <t>…una de las razones que se dan en apoyo del dicta pia , como que en ella estriban las libertades patrias. men de la comisión, es el de haber sido elegidos los escrutadores y se El Sr. Albear pidió que se lepen el acta de las elecciones de Caen- cretarlo por aclamación á propuesta del gefe político; pero esto no es ce , y asimismo el ert. 48 de le Constitución. exacto. Del acta resulta que el gefe político, á invitación de algunos Verifltada esta…</t>
  </si>
  <si>
    <t>…contribucio las proposiciones del Sr. Fcrrer, que fueron aprobadas en la sesión d¿| nes del aAo ao, que no habia podido satisfacer por haberse apedreado día 11; y opinó que la del Sr. Albear no era admisible, y que debía sus campos en el año 19: otra de la diputación provincial de Extrema, aprobarse la del mismo Sr. Ferrer á la cuarta proposición. Aprobado. dura , proponiendo algunas dudas ocurridas en el reparto de la contribu La misma comisión…</t>
  </si>
  <si>
    <t>…de nuevo, é informase especialmente E declaró ser esta su primera lectura. sobre la tarifa que se proponía. H Se di ó cuenta de un oficio del Sr. secretario del Despacho de la El Sr. Albear apoyó el dictamen. E Guerra, en el que decía que según lo acordado por Jas Cortea en el El Sr. Buey opinó que antes de resolverse este asunto debia oiría i I día de ayer, y a fin de que los deseos de ellas pudiesen llenarse, remi la diputación provincial de O…</t>
  </si>
  <si>
    <t>…ebe considerarse papel oficial 4s perdone la saca de sal, opinó que debía acceder se é esta solicitud. lo* diputados el conocido con el nombro de-Diario «le Cortea.” Aprobado.' El Sr. Albear dijo qise esta re solu(ñon tetaba «fado ante* de aben. La misma, presentando tu dictamen merca de la solicitud de loa El Sr. Atonto manifestó que lo*taquígrafos habían incurrido en jornaleros mas antiguos da la fábrica de tabacos de Sevilla 4 en quema* una gr…</t>
  </si>
  <si>
    <t>…de las mismas. Efectivamente Se acordó pasase á la comisión donde estaban los antecedentes; y á es indudable que las Cortes son las que han hecho el contrato, porque petición del Sr. Albear que fuese con urgencia. el Gobierno no ha hecho mas que lo que las Cortes le han encargado; Se mandó pasar á la comisión de D potaciones provinciales una ex y a,i se hace ver que estas no son juez competente para declarar nuó posición de la «fe Vitoria, manif…</t>
  </si>
  <si>
    <t>…es al artículo. Las Cortes Sriion ordinaria dtl 8. sin embargo resolverán , como siempre, lo mu conveniente. Laida y aprobada el acta de la anter.or, se mandaron agregar á ella El Sr. Albear se opuso á este voto particular, por considerarlo en los siguientes votos particular»: oposición con el ínteres de los pueblos situados en lugar montañoso. El de los Sr». Salva , Luque, Adan, di ver, Sedeño , Miran, So El Sr. Alvarez hizo varias observaciones…</t>
  </si>
  <si>
    <t>Alberola, Josef</t>
  </si>
  <si>
    <t>Josef Alberola</t>
  </si>
  <si>
    <t>…los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Francisco de c.bal.eria del Sur en la Hivana; y en at-ncion al donativo de ico® Ardila , D. Vicente Aparicio, D. Josef Parnés , D…</t>
  </si>
  <si>
    <t>Albert, Andrés</t>
  </si>
  <si>
    <t>Andrés Albert</t>
  </si>
  <si>
    <t>…«, núm. 65, proponía la comisión de Legislación : A D. Pedro Dejoui, coronel por contener un artículo que trata de su pe-son.i, y procedidose al sor del regimiento de Astúrias: á D. Andrés Albert, natural de Francia: teo de los nueve jueces de hecho;reunidos en las casas consistoriales el ¿ D. Gerónimo Damianjr, comandante del regimiento de caballería del dia 13 del corriente los Sres. D Jos f Sa-,,*»» , Soler, D. Francisco Rey, primero de coraceros ,…</t>
  </si>
  <si>
    <t>Alberto</t>
  </si>
  <si>
    <t>…nbe leyó un oficio del Sr. ministro de Estado, en el que participaba vueltos, idea» que por muy extendidas que yo las vea no tien'n el ca á las Cortes que habiendo muerto S. A. ci príncipe Alberto de baxo- rácter de cautivar mi epinion particuiar; y aunque conozco b en i nia después de una larga enfermedad, habia S. M. resuelto que hubiese fondo la dcsventija en que me encuentro por hallarme en contraposi luto de corte por ocho dias, debiendo empezarse…</t>
  </si>
  <si>
    <t>AlbertoForaster</t>
  </si>
  <si>
    <t>…con el núm. 37,593 de ao9 rs.: una con el de 39.594 de 59: una con dia 6 de Diciembre. el de 39,595 de58; una con el de 39,598 de 2572 rs. 18 mrs.: dos id. TarauNAins. en favor de D. AlbertoForaster,señaladas con los núms. 896: de 29,645 Por providencie del Sr. D. Angel Fernandec de los Ríos, magis rs. 5 mis. y núm. 1076, su vaor 1.11,353 rs. 20 mrs.; y otra id. proce trado honorario de la audiencia da Castilla la Viaja, juez de primera dente de vitalici…</t>
  </si>
  <si>
    <t>Albístur, Joaquín</t>
  </si>
  <si>
    <t>Joaquín Albístur</t>
  </si>
  <si>
    <t>Gaceta de Madrid n.º 13</t>
  </si>
  <si>
    <t>…fesor y apodante de la escuela fabrico-práctica. Estos últimos harán las preguntas que estimen convenientes , sin petjnicio de que ios Asimismo ba recibido el Gobierno un parte de D. Joaquín Albístur, demes hagan también las que les pareces para su mayor satisfacción. nombrado tiempo há gefe político de ia provincia de Sevilla, con fe Art. j.* „La aprobación ó desaprobación será á pluralidad de votos, cha de Córdoba 10 de Enero , comunicando que, á pesar…</t>
  </si>
  <si>
    <t>Albóniga, Santiago Manuel de</t>
  </si>
  <si>
    <t>Santiago Manuel de Albóniga</t>
  </si>
  <si>
    <t>…Junio; entendiéndote dicha habilita de primera instancia de esta heróica villa de Madrid, refrendada po, ción desde la facha de ta secularización, jr sin que tenga efecto retroac D. Santiago Manuel de Albóniga, escribano de provincia , y cattul». tivo. De Real orden lo comunico i V. para tu inteligencia y efectos rio del mismo juzgado, se ha señalado para celebrar junta gcnetal de oportunos. Madrid 9 de'Diciembre da i8aa " acreedores i los bienes de D. Francisco Pe…</t>
  </si>
  <si>
    <t>Albónlga, Santiago Manuel de</t>
  </si>
  <si>
    <t>Santiago Manuel de Albónlga</t>
  </si>
  <si>
    <t>…bandonó prteipitadamente el ai , ó por persona autorizada competentemente , á dicho juzgado y es campo refugiándose al territorio francés. Otra columna con parte de la cribanía de D. Santiago Manuel de Albónlga 4 deducir las acciones cuba liria se dirigió por el camino de Llivia , da cuyo pueblo los des que les asistan , pues al que no io hiciere le parará el perjuicio que ha alojé igualmente con los cuerpos de Tarragona , Barcelona y la caba ya lugar. llería ."obli…</t>
  </si>
  <si>
    <t>Albornoz, Carrillo de</t>
  </si>
  <si>
    <t>Carrillo de Albornoz</t>
  </si>
  <si>
    <t>…eron voluntariamente, pero estos le abando-aren En confirmación de estas rspeianza* citaremos también lo que dee pronto. A pesar de esto scstuio con solos ja hombres un comba»! ti brigadier Carrillo de Albornoz en un parte de gi de Mayo desde con 1 11 rebeldes, capitaneados por el cabecilla Vilaüa , y de iu- re*u ras Hurga , en que comunica su entrada en aqu la rula , y es como s gue: qu-dn pr.sionero con los subtenientes D. Josef Vives y D. Jo»ef Be- •Palpablemente…</t>
  </si>
  <si>
    <t>…e alistasen la condición Rubio, primer ayudante del mismo, con dirección á Cardona y en de ser licenciados del egército, robustos y sin nota , que se sujeten «l combinación con el brigadier Carrillo de Albornoz, quien desde B-ír rigor de la ordenan** militar. ga emprenderá igual movimiento para reunirse en el indicado punto, 4.0 » Si el número de los licenciados no llegase al de 400 hombres, se^ua disposición del Ezcmo. Sr. comandante general del séptimo dis sr admi…</t>
  </si>
  <si>
    <t>…roduce otro moral, que _Sin el menor antecedente ha entrado esta noche á las 8 en esta cu- les debe causar mayores perjuicios; pues el espíritu público en f.vor dad la columna del brigadier Carrillo de Albornoz que, según diem, del sistema constitucional toma un vuelo que ya r.o hay fuerza humana pasa á Vich, ignorándose el objeto. que pueda contener. Barcelona 7 de Julio. La alegría qu: tan plausible noticia causó fue tal, que todos se El ayuntamiento de Martorell…</t>
  </si>
  <si>
    <t>Albornoz, Joief María Carrillo</t>
  </si>
  <si>
    <t>Joief María Carrillo Albornoz</t>
  </si>
  <si>
    <t>Gaceta de Madrid n.º 180</t>
  </si>
  <si>
    <t>…a discusión, y se mandaran pasar á la comisión igual empleo del de Granada, vacante por remoción al de Córdoba del varias adiciones i los artículos apiobsdos de tabaco y patentes. brigadier D. Joief María Carrillo Albornoz, á D- Pedro Angulo, co Las Cortes quedaron enteradas de un oficio del Gobierno, que par ronel vivo y teniente coronel mayor del de Africa , y para el de Espa ticipaba haber resuelto S. M. trasladarse i esta corte con toda la fa ña, vacante por salida dei brig…</t>
  </si>
  <si>
    <t>Albornoz, Josef María Carrillo de</t>
  </si>
  <si>
    <t>Josef María Carrillo de Albornoz</t>
  </si>
  <si>
    <t>…rmada en las in mediaciones de Artes, pueblo distante tres horas de Manreta, de lo ÍOaTCOAl. que se dió aviso al comándame Gal! para los fines convenientes. Lisboa % $ de Mayo. El brigadier D. Josef María Carrillo de Albornoz entró en la no che del 14 con su columna en Cardona, y en ñolsooa en la del r g el Concluye ti artículo do ayer. brigadier D. Josef María Torrijos , habiendo sostenido ambos durante La Nación dice licitamente á cada uno de los individuo* que la su marcha a lo…</t>
  </si>
  <si>
    <t>…oia y otros cabecillas, cansándoles la 10 mas áspero del terreno para buscarlo*. pérdida que expresa. » El Gobernador interino de Tortosa me da parte de que el mismo n También el. brigadier D. Josef María Carrillo de Albornoz me dia 29 con un destacamento del primer batallón de Cantabria, manda participa desde el pueblo de Sallent, inmediato á Man risa, su trasla do por el espitan graduado de teniente coronel D. Rafael Diez Montes, ción á aquel punto deade Cardona, en consideració…</t>
  </si>
  <si>
    <t>Albornoz, Pedro Carrillo de</t>
  </si>
  <si>
    <t>Pedro Carrillo de Albornoz</t>
  </si>
  <si>
    <t>…úgtriáil 'c i- . -e hacían varios ind.viduosde la guardia Real sobre la rcíorma de la m s- necesaria mas lu.rr» qu * la de ,1o» de 1 1 hoen’**-es , ; que I a e' tj tna ; y otra de D. Pedro Carrillo de Albornoz , oficial de la misma , ma b.'erco en este ciw&gt;' ; Qu-cn seria cu yab'e de Ti* rrSa. 'i- &gt; u nifestando los perjuicios que sr le seguirían de aprobar el dictamen de por no traer el Gobernó m*d o» tañe entes pan obrar *__.jí la comisión sobre la reforma de dic…</t>
  </si>
  <si>
    <t>Alburquerque, Federico</t>
  </si>
  <si>
    <t>Federico Alburquerque</t>
  </si>
  <si>
    <t>…igadier D. Honorato Dublaisel, gobernador de la plaza de Jaca, S- Fernando de Figueras, Lérida , Tortosa, Alicante, Málaga y Ciudad-Rodrigo. Para la de Zamora al mariscal de campo D. Federico Alburquerque, asi como serán al mismo tiempo gobernadores de lar Castañon , gobernador de la plaza de Zamora. piaz.s de Pamplona, S. Sebastian, Cartagena y Cádiz ios respectivos Cuarto distrito. Para comandante general de él, que se compone de comandantes de las provincia…</t>
  </si>
  <si>
    <t>Alca</t>
  </si>
  <si>
    <t>…bernación qae en también que por «usa de la epidemia vano, oficiales de la m.lica na cional salieron de la ciudad , y que habiendo cesado aquella, y dismi viaría a buscarlo*. . El Sr. Alca a GaUor.o dijo deseaba saber si el Sr. secretarlo del nuido"- sus estragos, estos individuos trataron de regresar á Barcelona, Despacho cfeia que venia ai»l-&gt;r-¿ado pira responder soiamrrte *obr£ y quisieron que se les repusiese en sus emplees. Les que heb.an…</t>
  </si>
  <si>
    <t>Alca'de</t>
  </si>
  <si>
    <t>…o de azogues de resultas de hallarse confiada i sujetos meaos apto», y la juou par su ciones. . . parte ha ¿lanado algunas dificultades que entorpecían el mejor servicio, Otra del Sr. Alca'de, para que no sí ex ja a los jueces de primera instancia que se eligieren en adelante cantidad alguna por razón da y que no estaban al alcance dei visitador; concluyendo con decir á VV. SS. que i virtud de las deposiciones tomadas y de los fondos qv- sa montep…</t>
  </si>
  <si>
    <t>Alcaide</t>
  </si>
  <si>
    <t>…la» nulidades de esta» elec y circunspección que les es propia desaprobaron lo* poderes del dipu ciones. tado de Filipinas, porque era un magistrado de aquella audiencia , sin El Sr. Alcaide manifestó que la comisión habia tenido presentes todos embargo de la distancia de aquellos países, y creo que hay el mismo los documentos que acompañaban al expediente: dijo que la queja del motivo para que se desaprueben ios de los diputado* de la isla de Cu…</t>
  </si>
  <si>
    <t>Alcaide, Agustín</t>
  </si>
  <si>
    <t>Agustín Alcaide</t>
  </si>
  <si>
    <t>…cía en todos los su ¡teto* comprendido jatees de hecho de Zaragoza D. Josef Broto , D. Ramón Mateo, Don en éi pata que sean juz.-a los con arreglo á la misma ley.” Antonio López, D. Agustín Alcaide , D. Manuel antin, D. Joa Lo cpcan .0 • V. d; orí n d.l R:y para inteligencia, cumpli quín banchez del Cacho , D. Joaquín de Abad y D. Mariano Catalan. miento y gobierno d; es: tribunal. Aran.uz ió de Mayo de 1022. Habiendo calificado los jueces de hecho con…</t>
  </si>
  <si>
    <t>Alcalde</t>
  </si>
  <si>
    <t>…i empe El Sr. Va¡dés(JJ. Cayetano) dijo: Las comisiones de Us Cortes zando desdé las elecciones de partido. anteriores acabaron con ellas; nosotros no podemos pasar por lo qu$ Ei Sr. Alcalde« individuo de la comisión , formaba voto particular opinaron, pues en el dia no teniendo ya existencia, no tienen tampoco que se leyó, y después de una discusión entre los Sres. González Alon opinión ninguna; no tolodiben pasar estos negocios al exam.n de las…</t>
  </si>
  <si>
    <t>…el que te establezca esta tercera provincia. Si lo bay, que no podían aprobarse los poderes del Sr. Valle. deseo que se me cite, y quedaré satisfecho; pero si no le bey, no en El Sr. Alcalde apoyó el dictamen de la comisión con varias refle cuentro razón para que te hayan hecho elecciones de diputados á Cor xiones , y entre otras cosas hizo presente, que por un decreto de ln tas por la provincia de Puerto-Príncipe. Cortes anteriores te habia esta…</t>
  </si>
  <si>
    <t>…misión se ocupe en el pian ge Per último , afiad ió que el Sr. Adan no habia satisfecho á la observa- neral de arreglo y dotación del clero, entonces lo hará con todos loa don del Sr. Alcalde, porque una provincia, declarada como tal, por slatos que sean necesarios. Ha dicho el Sr. secretario que en algunaa d hecho de tener gefe político y diputación provincial, te hallaba con diócesis puede ocurrir que haciéndose la repartición del modo que todos…</t>
  </si>
  <si>
    <t>óo8 nal que presidia la ¡unta electoral de la parroquia de Guadalupe. _ reunión de todas las naciones belicosas y marítima* que habitas al 1*. El Sr. Alcalde manifestó que de la inspección de estos oficio* se dedor del mar Báltico, daría motivo 4 la creacios da asa naarisa fotdeducía claramente que el escribano que legalizó laa copias no hizo di midable que seria la única qne pudiese lachar coa lo* domiaadorct ac…</t>
  </si>
  <si>
    <t>…én quiere sostener esta comp tencia el tri ticular de las momas , y que nada tiene que ver con el Gobierno. bunal supremo de Justicia! Con e! cuerpo legislativo, que delibera y El Sr. Alcalde pidió que se leyeia el art. 71 del reglamento que declara ¡Acaso le toca al tribunal otra cosa que el egecutar las resolu trata de la asistencia de los Sres. secretarios del Despacho á las sesiones. ciones &lt;!e este mismo cuerpo! ¡Y' no declaro este que los di…</t>
  </si>
  <si>
    <t>…ua de algún eclesiástico. Aprobado. bían aprobarse por hallarlos conformes á lo que previene ia Constitu Otro sobra la solicitud de D. Francisco Oviedo, chantre de la tan ción. El Sr. Alcalde formaba voto particular, en el que exponía qu- no ta iglesia de Tuy , para que te U exonera del pago de la pensión de habiéndose observado en dicha elección lo que previenen los aitículos §9 rs. anuales coa que está grabada tu prebenda en favor de la capilla…</t>
  </si>
  <si>
    <t>…aron fueron Salrf, Sa.;v.&gt;dra , ón-n , TuEl Sr. Meló: lie pedido la palabra no para apoyar el voto particu marejo, Dom.-i: ch , Luqui, iórra , Ru 1 de ia Vera , M rcr . ’!»lar del Sr. Alcalde, cuyas razone* no *e han desvanecido , ni t-iupoco r.ntefRoj», Baruaga, Ció O d uña , léico, Canga, S-ptcn, i para reproducirlas que se han expuesto por lo* señores que han impug U-lmontí , Saivato, Viilarucva , Soh-ron , l-'etr-.r ^1&gt; j - cu 1nado el dictame…</t>
  </si>
  <si>
    <t>…s contri nsunto intensante, 7 por lo mismo digo que estoy legalmente autori buciones. A la de Hacienda. zado paza negar la existencia &lt;k semejante otden ¡ pero supongamos Otra del Sr. Alcalde para que á los jueces de primera instancia que que existe como dice el Sr. Canga, y lo asegura el Sr. secretario de hubieren sido nombrados desde el restablecimiento de la Constitución Hacienda; no perdamos de vista lo que ha dicho este último, es de no se le…</t>
  </si>
  <si>
    <t>…eferentemente de la química y mineralogía. menos que esta suspensión no proceda de una culpa ó delito.** Antes de entrar en la discusión se Lyó, i piticion de varios seño Otra del Sr. Alcalde para que en pago de los derechos cargados res diputados, el informe de la comisión encargada de presentar su dic tobre los títulos te admitan las certificaciones de juros. tamen sobre las proposiciones del fir. Sánchez, leídas en el dia 8 de Otra del Sr. Góme…</t>
  </si>
  <si>
    <t>Alcali, A San</t>
  </si>
  <si>
    <t>A San Alcali</t>
  </si>
  <si>
    <t>…coronel del regimiento de la Reina, caballería de Ulzurrun y Eraso, teniente coronel mayor del regimiento de Sevilla. línea. . Segorve: para primer comandante al coronel graduado D. A San Alcali: para coronel 1 D. Antonio García de loa Ríos, coronel dro Tello, comandante del primer batallón del regimiento de infante del regimiento de infantería de Mallorca. ría de Zaragoza. A cahíz: para primer comandante á D. Francisco Castañera, co S. Clemente: par…</t>
  </si>
  <si>
    <t>Alcana, Pedro</t>
  </si>
  <si>
    <t>Pedro Alcana</t>
  </si>
  <si>
    <t>…ción, que todos mis compañero* han dicho qu: en el momento de la causa, opinaba que debía aprobarse. Aprobado. que ei ministerio de Hacienda no pudiese proporcionar la* cantidades D. Pedro Alcana, D. Manuel López , D. Kamon García jr Don que se necesitaban para ia* grandes atenciones del día, seria preciso Manuel Bravo, exponiendo que habían dispertado una partida de la* ocurrir á lat c. orles para que tratasen de aumentar lo* presupuesto*. dronet jun…</t>
  </si>
  <si>
    <t>Alcántara</t>
  </si>
  <si>
    <t>Gaceta de Madrid n.º 58</t>
  </si>
  <si>
    <t>…n favor del Sr. Sánchez, 27 del Sr. Ta tar existente que de 159 hombres en toda la Francia. boada, uno del Sr. Navarro Tejeiro, uno del Sr. Calderón, uno del Sr. Tomas, y otro del Sr. Alcántara. Se han recibido periódicos extrangeros , cuya* mas interesantes no Quedó elegido cuarto secretario el Sr. Prat por 76 votos de 124, re ticias se reducen é lo siguiente : cayendo los restantes, 36 en el Sr. Sánchez, 2 en el Sr. Florez Capu Los desórdenes de I…</t>
  </si>
  <si>
    <t>…en la de egetcer un cargo tan grandioso, por ningún mct:rr&gt; p- J aorganización y servicio de estos cuerpos.*’ sospecharse tuviesen en ningún tiempo un d.s’grio in.euo, ga . que El Sr. Alcántara manifestó que de establecer esta comisión perma siempre presentaría, ya dependiese del Gob.crno , ó y* d *-ji rnente de Cortes para que cuidase de todos los neg cío» relativos á mi de* populares, y asi no debía establecerse una nortead , que adema, delicias ,…</t>
  </si>
  <si>
    <t>Alcarfz, Hermenegildo</t>
  </si>
  <si>
    <t>Hermenegildo Alcarfz</t>
  </si>
  <si>
    <t>Gaceta de Madrid n.º 235</t>
  </si>
  <si>
    <t>…. Martin Fernandez Elias, O. Manuel Moreno de Mora, D. Josef gimiento infantería de Galicia, con dio rs. María Viilaranda, D. Gerónimo Martínez Enrile y D. Juan Bautista Alcalá al capitán D. Hermenegildo Alcarfz, segundo ayudante su- Elejaburu, declaró por unanimidad haber lugar á la formación de cauta p-rnumerario del regimiento de caballería de Borbon, con 820 rs. al ANUNCIOS. mes. Reglamento interino que el Rey se ha servido aprobar, en el cual Alcafiíz al capitán…</t>
  </si>
  <si>
    <t>Alcázar, Antonio</t>
  </si>
  <si>
    <t>Antonio Alcázar</t>
  </si>
  <si>
    <t>…lieron los Sres. si nes que con nombre de fiestas hay en la* universidades. guientes : El Sr. presidente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anteriormente para que…</t>
  </si>
  <si>
    <t>Gaceta de Madrid n.º 102</t>
  </si>
  <si>
    <t>…s en el número que D Joscf Lsrreategui, D. Ventura Rubio, D. Isidro Merino,Do» s- quiera. La razón es porque en optando á las plaza» que tienen este ca- Josef Demetrio Rodríguez , D. Antonio Alcázar, D. Pedro Alvar» r , se pu -&gt;len dar de ba)a en sus respectivos cuerpos , y de consi Delgado, D. Andrés Alcon, D. Francisco de la Carrera, D. Josef guiente tienen que proveerse rstos destinos. R ve* Queraltó. De .q-ji rtsuua que el egército sufre un gravámen,…</t>
  </si>
  <si>
    <t>Gaceta de Madrid n.º 233</t>
  </si>
  <si>
    <t>…á los de cualquiera corporación. Fn su vista se reunió el jurado, compuesto de los Sres. siguientes: Alt. 14. «.Se escribirán en papel del sello 4.° los libros de laa D. Juan Paz, D. Antonio Alcázar, D. Cayetano Romero, D. Joa fábricas de las iglesias y los parroquiales en donde se alargan las parti quín Manrique; D. Mariano Zorraquin, D. Nicolás Alonso, D. An das de casados , nacidos y finados. tonio Puigblancb, D. Ramón Llord y D. Francisco Martínez Ma…</t>
  </si>
  <si>
    <t>Alcázar, F.</t>
  </si>
  <si>
    <t>F. Alcázar</t>
  </si>
  <si>
    <t>…mbién se portaron con el mayor valor. Fue dental__Josef Luis dé Amandi. también herido el ex-guardia de corps D. Josef Martin ;z Mugica, y' presente en la acción ei de igual clase D. F. Alcázar _ Después de lo Los oficiaies del segundo batallón del primer regimiento Je la guardia que se halla expresado, y como á las cinco de la mañana, se presentó' real han dirigido á S. Ai. ¡a exposición siguiente. el dignísimo y bravo general D. Francisco Balleste…</t>
  </si>
  <si>
    <t>Alcázar, Francisco</t>
  </si>
  <si>
    <t>Francisco Alcázar</t>
  </si>
  <si>
    <t>1698</t>
  </si>
  <si>
    <t>…taron 4 un cuarto de ministro togado, juez de primera instancia y de la hacienda púb ica legua del Bodonal dos soldados de infantería con sus fusiles y bayone *n esta corte , ante D. Francisco Alcázar, escribano ó; su núm ro tas: que preguntaron por el camino de Guadalupe, y se marcharon. se cita, llama y emplaza 4 la persona ó personas que tengan derecho Pieza de Herrera , fol. 129. 4 un censo de 730 ducados de capital, impuesto sobre una cata, sita León…</t>
  </si>
  <si>
    <t>Alcen, Andrés</t>
  </si>
  <si>
    <t>Andrés Alcen</t>
  </si>
  <si>
    <t>…omas, Quiñones, unió el jurado, compuesto de los Sres. siguientes: D. Matías Pinills, López Cuevas, Atienza , Marchámalo, Cano, Ladrón, Prado « Escude 1). Francisco de la Carrera, D. Andrés Alcen, D. Antonio Quiroea, ro , Munarriz, Diez, Buey, Latre, Lapuerta , Santalé, Saogenis, Cue 1). Angel Bonalto, D. Martin de Zarandia, D. Francisco Traveseó», vas, Lasala, Vega, Castran. Falcó , Alcántara, Becerra, Jaimes, Gis- D. Miguel Dolz y D. Josef María Pue…</t>
  </si>
  <si>
    <t>Alcmani, Lorenzo</t>
  </si>
  <si>
    <t>Lorenzo Alcmani</t>
  </si>
  <si>
    <t>…se aspiraba; cosa que en su entender no estaba La comisión primera de Legislación , en vista de la exposición de muy clara; pues aunque sehacian promesa* muy lisonjeras, no habia D. Lorenzo Alcmani , solicitando dispensa de edad para poder manejar otra cosa. Habiéndose manifestado que los directores actuales podían por sí los negocios de su casa de comercio, opinaba se pasase al Go pasar al nuevo establecimiento, hizo presente el orador que seria mas bi…</t>
  </si>
  <si>
    <t>Alcocer, Miguel Gundi y</t>
  </si>
  <si>
    <t>Miguel Gundi y Alcocer</t>
  </si>
  <si>
    <t>…ó del coche , y ya tenia de ID. Manuel Sartorio , Dr. D- Manuel Ramírez. Hor.orar os Fr. Gaspar lante i un señor com sarlo de policía y su comparsa para sccuestraile Tembequ-, Dr. D. Miguel Gundi y Alcocer, P. D Pedro JuFan lo* egemplares que tuviera. López, D . D. Marcos Cárdenas. Sum hr de pa acó D. Jos-f Maria ARTICULO DE OFICIO. no Fernand. z. Ma stro de ceremonias Dr. y Miro. D. Isidro Igna cio de lcaza. Gentileshombre* de cámara con egcrocio; mariscal En…</t>
  </si>
  <si>
    <t>Alcon, Andrea</t>
  </si>
  <si>
    <t>Andrea Alcon</t>
  </si>
  <si>
    <t>…ación con Puerto-Caballo, cuya pisa ae halle coa mucha D. Casimiro Martin, D. Josef Antonio Ponzoa, D. Josef Bardo, escássz de víveres.** Marques de Torrenueva, D. Aniceto Lizana, D. Andrea Alcon, Dos —•&gt; El marques de Casa-León , gafe político de la provincia de Vene Santiago Delgado, D. Pedro Alvaro Delgado, D. Josef Rives Qüszuela , desde Puerto-Cabello con fecha de 18 de Febrero dtoe que iba 4 anito. salir de aquella plaza una división para Valenc…</t>
  </si>
  <si>
    <t>Alcon, Andrés</t>
  </si>
  <si>
    <t>Andrés Alcon</t>
  </si>
  <si>
    <t>…ir del Moral, D.Carlos Romeral, D. Mamerto Landaburu , D. Francisco de Puerto Cabello varias expediciones contra loa disidentes de Coste- Martínez Marina, D. Simón Gonza’e, Vusté, D. Andrés Alcon y firme sinqse hubiesen surtido ningún buen efecto, ae embarcó en di D. Valentín Recio. Pero habiendo man festado el Sr. D. Francisco cha plaza con 400 hombrea que le sobraban de su guarnición, y que Martínez Marina y el Sr. D. Simón González Yuste no podían…</t>
  </si>
  <si>
    <t>…ptando á las plaza» que tienen este ca- Josef Demetrio Rodríguez , D. Antonio Alcázar, D. Pedro Alvar» r , se pu -&gt;len dar de ba)a en sus respectivos cuerpos , y de consi Delgado, D. Andrés Alcon, D. Francisco de la Carrera, D. Josef guiente tienen que proveerse rstos destinos. R ve* Queraltó. De .q-ji rtsuua que el egército sufre un gravámen, y que los esta Reunido el jurado y habida la conferencia se declaró por 1 dos n»-yoi«s están compuestos de of…</t>
  </si>
  <si>
    <t>Gaceta de Madrid n.º 212</t>
  </si>
  <si>
    <t>…se en el jurado, compuesto de los Sres. siguientes: D. Nicolás Alonso, Don cabezarán y concluirán conforme á lo que queda indicado para la pri Antonio Puigblanch, D. Ramón Llord, D. Andrés Alcon, D. An mera. drés Moya Luzura.a, D. Domingo Fernandez Angulo, D. Francisco Dirección general de impuesto/ indirectoi y efecto/ estancado/. de la Carrera, D. Gonzalo C rdvnas y D P dio Matute. Habida la Estado que demuestra los valores, gastos y líquido de las…</t>
  </si>
  <si>
    <t>Gaceta de Madrid n.º 225</t>
  </si>
  <si>
    <t>…e gozaba este. (Gaceta del 21. j Sres. que absolvieron dicho artículo: D Casimiro Martin; D. Se Ley'en que. se habilita á los regulares secularizados para adquiría bastian Andrés; D. Andrés Alcon; D. Pedro de Matute, y D. Joscf bienes.de cualquiera clase y por cua'quiertítuio. (Gaceta del sy. ) Pió Santos. D claracion de las Cortes sobre los oficios de subalternos de los tri áre*, que lo declararon injurioso: D. Valentín Recio, D. Josef bunales. ( Gac…</t>
  </si>
  <si>
    <t>AlcouD, Andrea</t>
  </si>
  <si>
    <t>Andrea AlcouD</t>
  </si>
  <si>
    <t>…aas qaa cootm ella se cometu, cisco López Obramela, D. Benito Ortega Romanillos, D. Juan Fer quedando reapooaablca taba resaltas dd juicio. Madrid ro «la Abril' nandez Casariego ,-D. Andrea AlcouD. Josef Antonio Ponsoa, de «8*a^sCayctaao Valdrá, pre»identc-=Juan Oliver y Oaicta, dipo- D- Nicolás Alonso , D. Antonio R«gm, P. Martin Miguel de Goicoetrdo arctclario^sViccáte Salvá , diputado secretario.” ebeay D. Josef Pío Santoe. Habida la conferencia, y…</t>
  </si>
  <si>
    <t>Alcy, Antonio del</t>
  </si>
  <si>
    <t>Antonio del Alcy</t>
  </si>
  <si>
    <t>H44 Sevilla interventor D. Antonio 11'güero , vice cónsul de Oran. Distribuido. Segovia administrador D. Antonio del Alcy:a 1, secretario de la in tendencia de Extremadura. Interventor D&gt; Josef Blanco Chtcarro, ofi Remitido* en letra al departamen 1 cial de la contaduría del Crédito público de León. to de Cádiz para una paga al navio San Barcelona interventor D. Diego Quiroga, c…</t>
  </si>
  <si>
    <t>Aldasoro, O. Ramón</t>
  </si>
  <si>
    <t>O. Ramón Aldasoro</t>
  </si>
  <si>
    <t>Gaceta de Madrid n.º 49</t>
  </si>
  <si>
    <t>…no lo hicieron basta el dia dos entonces (15 de Agosto) todos los recursos, ofició el capitán ge 11 de Diciembre próximo anterior , sin embargo de las repetidas ó do neral con el intendente O. Ramón Aldasoro, para que de los fondos nes dadas al intento y de lat amonestaciones de los gefes , á qui nes de la extinguida comisión de reemplazos facilitase 18 ó zo9 pesos ne contestaron que acudirían á los trabajos si se les hacia el pago de sus cesarios al intento; per…</t>
  </si>
  <si>
    <t>Aldave, Javier</t>
  </si>
  <si>
    <t>Javier Aldave</t>
  </si>
  <si>
    <t>…ulto, remitiendo al efecto una solicitud para el gefe po do la ocupaban aquellos facciosos, reuniese gentes y tomase algunas lítico de la provincia, la cual se presentó á este por D. Javier Aldave, deposiciones para que fuesen aprehendidos en aquel mismo punto: pero del comercio de Pamplona , como Legarra habia prevenido al conduc ya que nada de esto hizo, « qué fuerza física ni moral le arrastró para tor , cuyo memorial estaba unido á los autos ( fot.…</t>
  </si>
  <si>
    <t>Alday, Manuela da</t>
  </si>
  <si>
    <t>Manuela da Alday</t>
  </si>
  <si>
    <t>…ácter de moderación y de paz qus no ha Josefa Pdayo. Gramática castellana: primero Doña Bruta O:hoa: segun desmentido nunca; y si después ba toinado una actitud severa, ha sido do Doña Manuela da Alday. Dibujo: Doña Carmen Moreno. Constitu para defenderse de una facción desnaturalizada, que ha atacado i la Na ción: piirmio Doña Concepción García: segundo Doña Rosalía Doción mi sus derechos mas sagrados. aeijo. Doctrina cristiana: primero Doña Juana Duran: s…</t>
  </si>
  <si>
    <t>Alday, Manuela de</t>
  </si>
  <si>
    <t>Manuela de Alday</t>
  </si>
  <si>
    <t>…sagrados. aeijo. Doctrina cristiana: primero Doña Juana Duran: segundo Doña (3) :-,¡ el estado de España no es tan pacífico como debía ser es Cayetana Martínez. Historia sagrada: Doña Manuela de Alday. Mú poique Ies extrangeros han hecho y están haciendo cuanto es posi sica: primero Doña Gerónima Lessenne: segundo Doña Teresa Uri ble p'M turbar t u stra tranquilidad interior, con el fin de hacer te.rible barri y Doña Benita Ochoa. Baile* primero Doña Manue…</t>
  </si>
  <si>
    <t>Ale</t>
  </si>
  <si>
    <t>…correspondiente en la Ureta , D. Vntonó Quesada, D. D.cgo huar z , D. Francisco P-rcii», partida señalada para este tribuna!. D. F'ranc seo d - Faua M.-ndcz, D. Claudio Boute &lt;u, D. Ale ¡o El presidente dijo que mañana se continuaría la discusión sobre Sánchez'Mora , D. Josef Gómez Quintero y D. Jos.f de Forres , pai* el dictamen &gt;ij 'a comisión de Premios, y después la de los demas ne declarar si h»h&lt;a o no lugar á ia formación de causa con…</t>
  </si>
  <si>
    <t>Alean, Andrea</t>
  </si>
  <si>
    <t>Andrea Alean</t>
  </si>
  <si>
    <t>Gaceta de Madrid n.º 355</t>
  </si>
  <si>
    <t>…orumnir en aclamaciones En la M. H. villa y corta de Madrid, reunidos en jurado de califi sediciosas, la autoridad, ya tea el gefe político, ya el alcalde, ya un cación ioi ''íes. D. Andrea Alean, D. Joseí l’io hartos, D. M.t.url regidor con orden expresa de alguno de ellos, podrí suspender la se García d«i Barrio, D Miguel Hipa, D. Va'-ent.n O.tigo.a, D. l»i.lo sión , pera cuyo intento hará leer tres veces en voz alta esta ley , re ro de Hoyos, D. Fr…</t>
  </si>
  <si>
    <t>Alecar</t>
  </si>
  <si>
    <t>Gaceta de Madrid n.º 295</t>
  </si>
  <si>
    <t>…ramar de que no podían firmar espontá men de la comisión de Constitución acerca de los asuntos del Brasil. _ neamente la Constitución política de la Monarquía. En el daba la co El Sr. Alecar dijo: Es un prjocipio de derecho público, reconoci misión muchas razones para probar que debían firmar, y entre otras do por todos los pueblas libres del Universo, el que una nación tiene cosas d:cia: » Los Sres. diputados entraron en e'te Congreso en virtud…</t>
  </si>
  <si>
    <t>Alegre, Manuel</t>
  </si>
  <si>
    <t>Manuel Alegre</t>
  </si>
  <si>
    <t>Gaceta de Madrid n.º 236</t>
  </si>
  <si>
    <t>…ón , es e¡ clog.o mas grar.de que se puede cual di-puse como comandante de ambas columnas la de la derecha , á tributar a estos valient-s. cargo del teniente del resguardo militar D. Manuel Alegre, compues •ría columna de m. mando se compone de ¡as partidas siguientes: ta «le toda la tropa de ini cuerpo; la de la izquierda al del teniente co Gerona, ai mando de: capitán graduado D. Manuel Karros, Fernan ronel D. J -aqu.n Vara de Key con los destacament…</t>
  </si>
  <si>
    <t>Gaceta de Madrid n.º 267</t>
  </si>
  <si>
    <t>…fueron pcisrguidos por las Josef S erra y los tenientes D. Josef Sierra y D. Juan del Pino y el fii.rri.iic de an.bas columnas de cerro en cetro. La de Tolosana, desde subteniente D. Manuel Alegre, en la qu: no ha ocurrido novedad al que lomó la fald 1 de la s.cira, colocó una comp.ifiía en el olivar y cá gún 1, y de donde en la madrugada mandé salir la descubierta con el ramo recto d - Caianda paia impedir que los facciosos pudieran tomar teniente D.…</t>
  </si>
  <si>
    <t>…de la Noguera, tamente saliese una partida del resguardo militar de 24 hombres con inutilizados lo* puentes, y pronto el someten general de la Conca: he uu oficial, el subteniente D. Manuel Alegre, unida con ¡a de patr odispuesto este tarde que el comandante Gurrea con unas compañías de tas al mando del teniente D Jaime Gallan, .i su encuentro en la di cazadores y unos pocos caballos se adelante sobre el puente , con cuyo rección que llevaban, como lo…</t>
  </si>
  <si>
    <t>Aleja</t>
  </si>
  <si>
    <t>…a buenos españoles, que sin impotuncia de irte asueto. conocerlo ellos mismos están sirviendo al despotismo para la ruina de A la comisión de Artes se mandó pasar una solicitud de D. Aleja la España , y acarreándote la suya , es ptcsumib'e. Frimon , ex-capitan de Ingenieros , para que te le permitiese grabar j Que de todo esto resulte un barullo en que no nos entendamos, que publicar la Constitución política de Ja Monarquía española tegua ¿ nazca la desc…</t>
  </si>
  <si>
    <t>Alejandro</t>
  </si>
  <si>
    <t>Gaceta de Madrid n.º 191</t>
  </si>
  <si>
    <t>…Despuet de tan funesta relación serian ociosas cualesquiera reflexio que turcos fueron degollados en ella ¿ce. * todas esas ton fabuias ó nes. Notemos sin embargo, como lo hizo ya D. Alejandro de ¿aborda* cuentos de los turcos* porque apena* se presentó repentinamente la es que los parciales 7 los de tensor** de los turcos son justamente los des cuadra del capitán baja delante del puerto de Scio, cuando empezó el cendientes de aquellos antiguos cab…</t>
  </si>
  <si>
    <t>Alejo</t>
  </si>
  <si>
    <t>20</t>
  </si>
  <si>
    <t>…ba de instalarse. El des Por un buque llegado ayer á esta, procedente de Puerto-Cabello, contento público se habia manifestado enérgicamente en vista de la mar hemos sabido que el coronel Alejo se halla en la tierra llana con 29 cha que quieren seguir los ultras. Los fondos públicos habían bajado 4 hombres, la mayor parte de caballería; y que á su hermano, coman 85 fr., y todo anunciaba que podría haber ruidosas novedades. Todas dante de guerrillas’…</t>
  </si>
  <si>
    <t>Gaceta de Madrid n.º 39</t>
  </si>
  <si>
    <t>…ión de este donativo en el acta. » Asegúrase que nuestras tropas y guerrillas, si mando del general Se continuó la lectura de la minuta del código penal revisada por Morales y del coronel Alejo, han batido completamente á los disiden la comisión de Corrección de estilo. tes de Colombia, habiendo quedado muerto de tres balazos el titulado Continuó la discusión sobre la ley de libertad de imprenta. libertador Simón Bolívar y su segundo Bermudez.” Se a…</t>
  </si>
  <si>
    <t>Alemán</t>
  </si>
  <si>
    <t>…n pública. Por estas razones opinó que diputado que era en l« actúala Cortes por la provincia de Cataluña, no debie aprobarse dicho dictamen. habiendo examinado la proposición del Sr. Alemán, relativa 4 que los El Sr. Rovira dijo que el Sr. preopinante había tocado dos puntos libros de su biblioteca que había dejado 4 la de la Cortes se pongan en su discurso; el primero que este asunto no «taba sometido 4 la de en pieza separada, y en la misma el…</t>
  </si>
  <si>
    <t>…ón del puerto de Al|uni, lis Coila las calificarán, y deíerm Luirán lo que sea nías con muñecar. , . veniente. La comisión especial itombrada par* dar su dictamen acerca de Jes £1 Sr. Alemán apoyó el dictamen, porque el caso de que se lubls* proyectos de ley remitidos por el Gobierno para reprimir los abusos ba no podía, preverse cuando se dió el decreto, y por lo mismo pidió de la libertad de imprenta, derecho de petición y sociedades patrióti m…</t>
  </si>
  <si>
    <t>…tasen planes de conspiración por medio de ensayos direc Cancelada v Sancho. , tos ó indirectos, que á pretexto de ilustrar a las naciones de Europa pro Se concedió licencio al Sr. diputado Alemán pare regresar á su país. movían el desorden en España. Manifestaba igualmente que todos los Las comisiones de Hacienda y Beneficencia proponían las modifica diputados habían visto qué gente era la que empezó á promover el des ciones -siguientes el decreto sob…</t>
  </si>
  <si>
    <t>Alemán, Josef Ignacio</t>
  </si>
  <si>
    <t>Josef Ignacio Alemán</t>
  </si>
  <si>
    <t>Gaceta de Madrid n.º 359</t>
  </si>
  <si>
    <t>…s de hombres benéficos y justos; tamiento de esta ciudad, una comisión de liquidación compuesta de los quienes á tu vez tienen igual derecho á exigir de vosotros ambas virtu Srss. D. Josef Ignacio Alemán, alcalde primero; D. Jos;f Anton o iísrdes, tan recomendadas an al art. 6.° de nuestra ley fundamsntal.” tran y D. Guillermo Olí ver, regidores; O. Bruno Habata, contador, Hallándola ya dispuestas loa pólizas dtl seguro, la dirección haca D. Juan Casas , sínd…</t>
  </si>
  <si>
    <t>Aleu, Josef</t>
  </si>
  <si>
    <t>Josef Aleu</t>
  </si>
  <si>
    <t>…segundo tivo de su; achaq..e&gt; , y se ha hecho cargo interinamente de él el dig escuadrón ds artillería volante, y los se infantes, como el teniente no general D. Demetrio O-Da.y. D. Josef Aleu, el regimiento de Málaga: dejo á la consideración de Idem 8. V. E. calcular las ventaja* que ha producido esta acción, por donde En la mañana de boy han Legado á ntt c ridad con sus asistentes podrá juzgar el mérito qus han contraído estos valientes, sin excl…</t>
  </si>
  <si>
    <t>Alfon</t>
  </si>
  <si>
    <t>…o del batallón ligeto segundo de Cataluña D. Ramón Gali. ción del comercio, y que mañana se discutiría el arreglo del gobierno Logroño : para pr.mer comandante al coronel graduado D. Alfon económico-político de las provincias y las ordenanzas militares; con lo so Gallego, teniente coronel efectivo de infantería, y sargento mayor cual se levantó la sesión i las tres y media. del batallón de la milicia activa de Logroño. Laredo: para primer coman…</t>
  </si>
  <si>
    <t>Alfonso, Aniceto</t>
  </si>
  <si>
    <t>Aniceto Alfonso</t>
  </si>
  <si>
    <t>…n en bas fueron D. Fruncí co Riba s, empleado en la intendencia de esta pro tante número, y se han hecho fuertes 4 la otra parte del rio Es preciso vincia, D. N. Losada, médico, y D. Aniceto Alfonso, oficial de la que !a espada de la justicia descargue de una vrz sus go'pes so^re estos secretaria del gobierno político de L on. El patriota D. N. MisiMas perversos ciudadanos, que haciendo la guerra á su misma patria, y hizo pr-sionno al teniente de las gua…</t>
  </si>
  <si>
    <t>Alfonso, Gaciliano</t>
  </si>
  <si>
    <t>Gaciliano Alfonso</t>
  </si>
  <si>
    <t>…buidas del modo que na parecido aaas convenien La comisión de Poderes informando acerca de los presentado* por te, y bajo las condiciones mas ventajosas que han podido lograrte en D. Gaciliano Alfonso, diputado docto por las islas Canarias, opinaba combinación de sus solicitudes á intereses con los da la policía y del que debían aprobarse por estar conformes á lo prevenido ea la Consti público: mediante lo cual continuará abierto el teatro, aunque no son t…</t>
  </si>
  <si>
    <t>Alfonso, Josef García</t>
  </si>
  <si>
    <t>Josef García Alfonso</t>
  </si>
  <si>
    <t>…s: ^Francisco de Nestosa. tercera edición , corregida , cotejada con el original que se imprimió M ilan aro de 1784, y añadida con discursos analíticos á cada tomo Por renuncia de D. Josef García Alfonso ha quedado vacante la para que el lector pueda entrar á leerla con mayor conocimiento , acu judicatura de primera instancia del partido de Toreno , en ia provincia dirán i rrcoger el tomo 10, último de la obra, á la librería de liado. da I.eon. Desde este día…</t>
  </si>
  <si>
    <t>Alfonso, Oraciliano</t>
  </si>
  <si>
    <t>Oraciliano Alfonso</t>
  </si>
  <si>
    <t>…educá ¿ excitar el zelo de la comi Leída y aprobada el acta de la anter.or, entró i jurar y tomó asien sión. Yo bies conozco las grandes dificultades que hay en presentar el to el Sr. D. Oraciliano Alfonso , diputado por las islas Cananas. informe que deseamos; pero me parece que el examen no debe ser tan En vista de un oficio del Sr. secretario del Despacho de Gracia y prolijo 1 porque si debe seguir del modo con que la comisión lo ha Justicia se concedió perm…</t>
  </si>
  <si>
    <t>Ali</t>
  </si>
  <si>
    <t>…ar daewihan i los turcos. hospital de la Misericordia. Algunas canas de Crmsuntinopla del i $ de Enero dicsn que el A la de Guerra se pasó una representación de D. Agustín Arenas, príncipe Ali, i quien se suponía muerto del cholera mortus, esta vivo vecino de Murcia, solicitando que su hijo sea exceptuado de entrar en 7 sano- ¿ "■ _ raerte para el reemplazo del egércilo. NOTigt^S DS ESPAÑA. A la misma otra exposición de la diputación provincial de…</t>
  </si>
  <si>
    <t>…la causa para arrancar de Zaiagoza al retimieaio ds que quede aquí consignado , porque importa mucho , que el Gobierna caballería de la Constitución , ni tampoco para arrancar ai general Ali se cree con la facultad de remover al comand nt= general y gcte políti na del mando militar de Navarra, ni tamp ico para arrancar ai gata co de Valencia; pero ere: también que no debe hacerlo sin tener un político Puente de su destino en la Coruáa, y todo est…</t>
  </si>
  <si>
    <t>Ali, Antonio</t>
  </si>
  <si>
    <t>Antonio Ali</t>
  </si>
  <si>
    <t>…re noticia de su paradero se íirva dar aviso en la casa d-r &gt; 11 riel corrí ente , en que noticiándole la expedición queempren- núm. 26 y 27, cuarto 2 0 de ¡a plaausla del Angel á D. Antonio Ali) ó el d a 3 desde Burro» con una pequeña columna en persecución de vat-r , quien lo agradecerá y dará la corre»pondienta gratificación. freimos, da cuenti de !a acción sostenida al día 7 contra los cabeci ?Cota. F.n la gaceta del 11, co!. i.2, donde dice Cort…</t>
  </si>
  <si>
    <t>Ali-Carmachnh</t>
  </si>
  <si>
    <t>…los españoles emigrados de Montevideo D. Ramón Artiagu guna de qi« cese 1* guerra que noi haccn loa pcmas. Beitia, y D. Juan y D. Francisco de las Carreras, pagaran í n entrada El príncipe Ali-Carmachnh, hijo mayor del .Schab , excluido por los derechos correspondientes como si vinieran en bandera nacional." m padre de la sucesión al tsone, destinado i uno de eut hermano* me Alt. » Que se aprueben las reglas establecidas por la Real or nores , ha manifestado…</t>
  </si>
  <si>
    <t>Alia</t>
  </si>
  <si>
    <t>…errer (Don Se leyó d art. 17a de la Constitución , restricción 11 de las facul Joaquín) , Parque, Seoane , Velasco, Ibarra, Bel tran de Lis , Reillo, tades del Rey, á petición del Sr. Alia. Basaba, Bartolomé, Sedeño , Garoz , Vallé» (D. Dionisio), Alvarez Igualmente te leyeron á solicitud de otros Sres. diputados los artí Gutiérrez, Ltunz , Grases, Zu.urta , Abreu, Nuñez, Pacheco, Alix, culos 68 y 69 del reglamento, y se prorogó la sesión por u…</t>
  </si>
  <si>
    <t>…iales no son propiedad hasta que se pruebe que se han lances ací habían variado mocho las circunstancias. cumplido las condiciones; pero esto se opone á la definición que da de El Sr. Alia propuso que en vez del término que se fijaba, se dijese la propiedad la ley a7, tít. 1° de la Partida g.* i la mayor brevedad i con cují variación &lt;]ucdó aprobada la propo* Es menester distinguir los privilegios anejos é los señoríos , y que ckion. eran de or…</t>
  </si>
  <si>
    <t>Alian, Mariana</t>
  </si>
  <si>
    <t>Mariana Alian</t>
  </si>
  <si>
    <t>…s de 550 hom Por previdencia del tribunal especial de Guerra y Marina se cita bres cada una; pero que los facciosos, que principiaron i destilar hacia y emplaza á los herederos de Doña Mariana Alian para que en el los montes da Olot, huyeron i todo escape, y solo las guerrillas les hi término de 15 días se presenten en dicho tribunal con poder binante cieron algún fuego. Que mientras una de las columna» que había man á exponer lo que les convenga en razó…</t>
  </si>
  <si>
    <t>Alicante, Josef</t>
  </si>
  <si>
    <t>Josef Alicante</t>
  </si>
  <si>
    <t>…antería ligera D. Antonio María Guerrero, agregado al mis te supernumerario del regimiento de infantería del Rey. mo batallón. Monterey: para primer comandante al coronel graduado D. Josef Alicante: para coronel al coronel viro de infantería D. Josef Wi- Miranda Cabezón, comandante del primer batallón del regimiento da the, teniente coronel mayor del regimiento de Guadalajara. infantería de Navarra. Alcoy: para primer comandante al primer comandante de…</t>
  </si>
  <si>
    <t>Alienta</t>
  </si>
  <si>
    <t>…detrimento de los pueblos, si no se corta de raíz esta cos Pamplona. Las Corte* lo oyeron con agrado. tumbre. he leyó por segunda vez el proyecto de decreto sobre establecimien El Sr. Alienta apoyó con algunas reflexiones la opinión del señor to* de escuela* de enseñanza mutua en la* capitales de los distrito* Lapueria. militares. El Sr. Alix sostuvo el dictamen de la comisión, manifestando los La comisión de Casos de responsabilidad, en vista del…</t>
  </si>
  <si>
    <t>Aliman</t>
  </si>
  <si>
    <t>…idió que las Cartas le apro tar la* órdenes ó instrucciones que llevare, y nada mas; y todo lo qúe basen. haya sido separarse de esto ha contribuido á merecerle par lo menas el El Sr. Aliman dije que por lo mismo que el Sr. ministro de Ultra* nombre de criminal. Este individua nq fue sorprendido par lo» insur mar habia dicho que el dictamen del Sr. Olivar abrasaba muchas pun gentes, sino que salió de donde «e hqjUaba para unirse k Itúsbidj; por l…</t>
  </si>
  <si>
    <t>Alix</t>
  </si>
  <si>
    <t>…le competía, y concluyó di de Cortes en los casos que sean necesarios. ciendo que la cuestión debía versar sobre si por esta neta de la Dipu En la primera votación salió electo el Sr. Alix por 71 votos , te tación permanente debia ó no ser admitido en el Congreso el Sr. Esconiendo 9 el Sr. Villaboa, 5 el Sr. Marchámalo, 3 el Sr. Benito, a el vedo, y á su parecer este asunto debia pasar á 1a comisión de Legis br. Gómez Becerra, y uno cada uno de…</t>
  </si>
  <si>
    <t>Gaceta de Madrid n.º 71</t>
  </si>
  <si>
    <t>…á cuya cabeza se hallaba , sea inscri tales acontecimientos, y providencias que hayan dado en su razón. to en el salón de sesiones, por concurrir en su persona cuando menos las El Sr. Alix , como autor de la proposición, digo que el objeto de mismas circunstancias que en los demas que han merecido este honor. estas es que el Congreso foime idea del actual estado de la Nación. Se leyó y mandó unir á la proposición una exposición de D. Eu- Por to…</t>
  </si>
  <si>
    <t>Gaceta de Madrid n.º 73</t>
  </si>
  <si>
    <t>…o, proponga lo que estime conve El Sr. Romero opinó que este expediente podía pasar á la comisión niente. de Legislación: el Sr. Ojero fue de parecer que debía pasar i la de In El Sr. Alix manifestó , que los sucesos escandalosos de que se ha fracciones de Constitución; y habiendo manifestado el fr. Arguelles bía hecho mención no habian ocurrido solamente ayer , sino que ’ se que seria mejor pasase á una comisión especial, se acordó asi. habían…</t>
  </si>
  <si>
    <t>…anuel Arroyq, oficial de la administración de correes de la Co puente del rondo que proponía la comisión. I rulla, quejándosedia -infracción de Constitución cometida. por un ad El Sr. Alix opinó que has obras de utilidad común debían hacerse I ministrador delimítalo ramo; y otra de B.-Juan Manuel S. Román, 4 costa de los fondos que se señalan cu el presupuesto para caminos y I D. Luis Fernandez:Ramírez, D. Pedro Pascasio Fernandez sanJino y can…</t>
  </si>
  <si>
    <t>…p voluntaria* 1 ponería ea disposición de cubrir las islas; atacar taatbiea á los na milicia voluntaria idealvios da alto bordo, cuando ae hallen separados da la escuadra; y 6- E1 Sr. Alix, como individao.de la comisión dijo, que nalmcnt* aprovecharte da todas la* circaastaacias favorables. Hay fijado tu atención muy principal tueste ea la arrendad de antoría» é pues motivo para creer que ea aquello* paeages han da ocurrir al las corporaciones…</t>
  </si>
  <si>
    <t>…omisaría de policía aneja á mi cuartel general. aclaración de los hechos te manifieste haberlos desfigurado.” » Pasado este dia se empezara las visitas domiciliarias, y los que El Sr. Alix fue de opinión que esto no pertenecía á las Cortes, y conserven armas serán tratados con todo el rigor de las leyes. Los co que el Gobierno debía tomar medida* sobre ello. mandantes de las patrullas que guarden la entrada «le las calles que con El Sr. B ale m…</t>
  </si>
  <si>
    <t>…biendo oido á los Sres Falcó y Valdés es casi inútil actual , y sí el de la comisión de las Cortes anteriores. que yo use de la palabra. Sin embarco d.ré que se nota un singula El Sr. Alix: El Sr. preopinante para sacar á salvo al gefe político rísimo contraste entre ios dictámenes de las dos comis.ones, porque - .a ha confundido lo que es responsabilidad con lo que se llama delito. Las unanimidad opinan una y otra de un modo enteramente opuest…</t>
  </si>
  <si>
    <t>…os que gimen en las cárceles bajo el peso de tus críme que, en mi concepto d:ben desaprobarle las Cortes. nes, ha habilitado el lunes, martes y miércoles Santo de este año para El Sr. Alix: Lo que ha movido al Sr. Villanueva á retirar el el despacho de las causas criminales. dictamen de la comisión no son las razones que ha manifestado al se or«s?CTCX csxskai nn aornaiA* macíohaixs.ñor preopinante. Yo abundo en los mismos principios que cate Sr…</t>
  </si>
  <si>
    <t>Gaceta de Madrid n.º 93</t>
  </si>
  <si>
    <t>…duo tuvo en esta causa. Leída y aprobada el acta de la anterior, se mandó agregar ó ella el El Sr. Valdés (D. Cayetano) dijo: Antes de entrar en esta discusión ▼oto particular del Sr. Alix, contrario á la resolución de las Cortes, quisiera que se me dijese si la causa de que se trata se ha.la entestado por la cual se aprobó un impuesto municipal sobre los perros en les il de que pueda discutirse el dictamen de la comisión. E.ta causa deba las B…</t>
  </si>
  <si>
    <t>…ucha frecuencia que los que tra por su naturaleza se necesiten tomar medidas legislativas ó gubernativas. tasen de recusar i uno de los jueces de hecho no podían hacerlo , por- El Sr. Alix: Desearla saber cuáles ton los motivos de haberse pa ?ue siendo indispensable presentar documento auténtico del motivo de sado este oficio á las Cort’s. a recusación, podría hallarse aquel en un pueblo distante, por cuya El Sr. secretario del Despacho : La ca…</t>
  </si>
  <si>
    <t>…sobre establecimien El Sr. Alienta apoyó con algunas reflexiones la opinión del señor to* de escuela* de enseñanza mutua en la* capitales de los distrito* Lapueria. militares. El Sr. Alix sostuvo el dictamen de la comisión, manifestando los La comisión de Casos de responsabilidad, en vista del expediento perjuicios de estas cuestaciones y tu inutilidad, cuando por el arreglo promovido por D. Joscf Martínez, vecino de esta corte , para que te e…</t>
  </si>
  <si>
    <t>…ión ton tan zélosos, ruego al Sr. presi tes sobre las provincias dé que tenga los antecedentes necesarios.” dente que los agregue á la comisión , y entonces verán de cerca este El Sr. Alix: Hacemos esta proposición persuadidos de que la co mismo trabajo , y se convencerán de la imposibilidad; y asi les ruego misión , que ya tendrá noticia del estado de la Nación, podrá infor que si quieren auxiliarnos en esta materia se acerquen á la comisión,…</t>
  </si>
  <si>
    <t>…i la deliberación de las Cortes. Se tes por la diputación provincial en 30 de Marzo de este afio. (Jr /ryO leyó en seguida dicha nunuta'de decreto, siendo laa adiciones las si El Sr. Alix : Como de la comisión voy i contestar al Sr. preopi guientes: nante que ha impugnado el dictanu n , y ruego al Sr. presidente ate Al final d«l art. 8/: » Sin perjuicio de loa ascensos que por escala llame al orden si me excediera en la contestación.</t>
  </si>
  <si>
    <t>…i marriz ¿qué cosa mas sencilla que redactar con perfección y comprobar V. E. de orden d« S. M. para su conocimiento y efectos correspondien la minuta! tes en ese ministerio.*’ El Sr. Alix dijo que convenía en la necesidad de que pasase 4 le De la misma orden lo traslado 4 V. para su inteligencia y cum sanción el código; pro que según proponía el Sr. presidente te daba a plimiento en la parte que le corr iponle, y á fin de que lo publique y ent…</t>
  </si>
  <si>
    <t>…ividuos que componen el ejército nada tienen que ver con el código Madrid , y que por último ha parecido. de procedimientos militares y penal, que también han de ser .una parta El Sr. Alix: En la comisión de Caso* da responsabilidad no se ha de la ordenanza. Si las Cortes no determinan que se empiece i dis extraviado expediente alguno. “ cutir esta, resultará que se cerrarán las sesiones, no solo en esta legislatu Se leyó la siguiente proposici…</t>
  </si>
  <si>
    <t>…nio Alcalá Galiano, sobre lo cual hacia el Gobierno algunas obser tendía en los sucesos de Cataluña. vaciones. El Sr. Romero se opuso a que se hiciese esta pregunta, manifestan El Sr. Alix dijo que habiendo declarado las Cortes que esta causa do que debía pasar el oficio con la expoaicion á ta comis.on a .¡um viniese al tribunal de las mismas, la sala segunda del supremo de Jus correspondiese proponer si se había de indultar ó no á este cabecil…</t>
  </si>
  <si>
    <t>…nte, al mando del general Sacken, y en donde de dia en dia se acontecimientos ocurridos en aquel pueblo. estaba esperando al Emperador. En el mismo sitio decían públ i ca menta £1 Sr. Alix: Quisiera saber si en estas representaciones consta la los oficia'es del estado mayor que el eg¿Tcito ibaá avanzar; pero hasta el falsedad dé los hechos qus motivaron el dictamen de la comisión, y 16 de Abril no habia aun orden para ello, y se creía no lo hic…</t>
  </si>
  <si>
    <t>…uviese en ó mahiduos, que sera por donde debería empezar este. igualdad con lot extranjeros aunque fuete pequeño- Habiéndose conformado los Srts de la comisión con estas dos mo El Sr. Alix se opuso al artículo, manifestando que el servicio que dificaciones, quedó aprobado el artículo en los términos siguientes: hacia en el día la milicia voluntaria era igual al del ejército en mu » Los que entren á servir voluntariamente en el egército permanen…</t>
  </si>
  <si>
    <t>…o. ble recayese la opor á que por la segregación que se ha hecho de varios pueblos de la pro tuna decisión. vincia de Cuenca se ha disminuido la población que le estaba conrde- El Sr. Alix dijo: El Sr. secretario de la Gobernación de la P r nrada, pedimos que si por la diputación provincial se acreditase bastan suta trata de presentar un alegato de bien probado : ; -jué es 10 que na temente ser inexacto el calculo , se rebaje el cupo i dicha pr…</t>
  </si>
  <si>
    <t>…ia , según los principios generales de ia jurisprudencia y tes, y la misma podria tomarle en considera,:.on. de la economía. Me ha dicho, y se ba dicho muy bien, que las Cortes Él Sr. Alix dijo que laconrsion despacharía la exposición de la di son una de las partes contratantes, ó&gt; lo que es lo mismo, las Cortes putación provincial de Cádiz cuando le tocase su turno, jxmque no son los representantes de ia Nación espadóla, que es ¡a que cor trat…</t>
  </si>
  <si>
    <t>…que las objeciones que se hacían al dictamen lo haciéndose las modificaciones que pareciesen oportunas. eran mas bien al decreto de i s de Setiembre; y que ai este se había de El Sr. Alix hizo presente que muchos pueblos, como el de Cartage llevar á efecto, era preciso aprobar lo que propone el artículo, hl ora na, se habían declarado en favor del sistema constitucional antes de que dor biso otras varias reflexione» en apoyo del dictamen. S. M…</t>
  </si>
  <si>
    <t>…s opino que no debe exigirte te responsabilidad al gefe político de esto suceda. Asi pues, por todas estas razones creo debe aprobarse el que se trata. dictamen de la comisión. El Sr. Alix: Pidió que se leyere el dictamen del fiscal de la audien El Sr. Falcó: Si asi como ha sido el gefe político de Madrid el cia territorial sobre la exposición del interesado; y verificada que fue que mandó el arresto de la petsona de que se trata hubiese sido u…</t>
  </si>
  <si>
    <t>…:nr&gt;¡ que cobrarán tn ei cuerpo i propuesta de la comisión. De Real orden lo comunico á V. S , á fin de que haciéndolo circu Se mandó pasar ¿ la comisión la siguiente adición del Sr. Alix al lar á todos los ayuntamientos de esa provine.a, y mandando qu- se fi art. ili, que decía asii » No podrá ser g,.fe de la guardia Real ningún le en los sitios púb.icos de costumbre de cada pu blo, líecu: a noticia extranjero aunque tenga carta de ciudadano.…</t>
  </si>
  <si>
    <t>…los poderes del Infante D. Carlos lo asi, ó en aquella forma que estimen mas justa y acertada/* Lo firma Lu&lt;s. ban los Sres. Rojo, Ojero, Jaimes, Rose! y L.sata, formando mayo El Sr. Alix se opuso á este dictamen , manifestando que en su con ría ; y los Sres. Zalucia , Abreu , Soberon y Murfi presentaban su opi cepto no había razón para que un consejero de Estado perdiese el ca nión en votos particulares. rácter de funcionario público, auoque…</t>
  </si>
  <si>
    <t>…ad , es muy útil, y por lo mismo para formar un tratado completo. La policía pues debe dividirse en ur debe haber lugar 4 votar en su totalidad. bana , judicial y de seguridad. Ei Sr. Alix: El nombre tolo de policía es suficiente para alarmar La policía urbana en su riguroso significado se extiende á los ob i todos los individuos de una nación libre, pues que esta palabra en jetos de salubridad , comodidad y ornato. Policía judicial es la que t…</t>
  </si>
  <si>
    <t>…recursos necesarios al intento. El Sr. Meló: Me veo en la precisión de contestar á la impugnación Se mandaron imprimir todos estos proyectos , y se declararon pot que ha hecho &lt;1 Sr. Alix contra el articulo. Sé muy bien que en la de segunda lectura. Constitución está designada la autoridad á quien compte la conserva Se leyó y mandó imprimir el proyecto de decreto presentado por ción del orden público, y acaso se creerá que pu de haber redundan…</t>
  </si>
  <si>
    <t>…ional local, y tampoco me parece que satisface esto. Yo quisiera gos de trucos, villar , bochas y varios otroa permitidos.” que se dij »■ la milicia nacional local y la activa. El Sr. Alix: La comisión dice con atreglo 4 la Constitución qua El Sr. Va*c:é*(D Cayetano): Me parece que debe expresarse si las ca&gt;as de los españoles son inviolables , y ahora exceptúa los bode son los g fes los que'dcbcn prestar el auxi'io de que te trata , porque la…</t>
  </si>
  <si>
    <t>…ero ahora todas son poblaciones contingente , á fin de que al pu:b!o que por esta razón íe toque el au pequeñas. mento de un hombre presente el número inmediato al último de su El Sr. Alix: Me veo precisado á oponerme á este artículo por la* asignación." Aprobado. razone* qu: voy á manifes:ar. Las causas que en la medicina legal exi Art. 8.° » El sorteo de los mozos en cada pueblo se hará empleando men del set vicio de las armas son aquellas qu…</t>
  </si>
  <si>
    <t>…de cio , acreditándola por el modo expresado en el art. 13.” Aprobado. lógica si no te entend ia la ¡dea de la proposición , estando, corno es También informaba en favor de la del Sr. Alix, que propuso se taba , concebida con mucha claridad. añadiese al preámbulo, y dtmat deeretoi vigentes. Aprobado. No hubo lugar á votar sobre la proposición. Respecto de otra adición del mismo Sr. Aux, pare que después de Quedó aprobada la excepción 4.* del ar…</t>
  </si>
  <si>
    <t>Gaceta de Madrid n.º 318</t>
  </si>
  <si>
    <t>…inteligencia y cumplimiento. Madrid 19 de Octubre de i8aa. exención de alojamiento acordada á los militares en ciertos casos en el artículo a a.” ÍOVIKCIA DE niSTS ITO MtlITAX. El Sr. Alix: No tengo dificultad en aprobar este artículo en cuan Lista alfabética Je los partidos que contiene esta producía, ayunta- to i su primera parte; pero no asi en cuanto á la segunda, porque por mientas constitucionales que componen cada partido,y pueblos de qu…</t>
  </si>
  <si>
    <t>…beeorve y Candiel, y 1 a caballos , 4 de ia •reposición aa ha variado, y debo abrirse nueva discusión. (iosta y 8 voluntarios de Segorve. El resultado de esta Operación fue al El Sr. Alix pidió que se leyese el art. 106 del reglamento; y ve canzar i loa facciosos en número de 44 , los cuales s« pusieron en dis rificada que fue su lectura pidió que se abriese ia discusión. persión , haciendo un fuego desordenado: las guerrilla* lo* embistieron…</t>
  </si>
  <si>
    <t>Alix, Juan</t>
  </si>
  <si>
    <t>Juan Alix</t>
  </si>
  <si>
    <t>389</t>
  </si>
  <si>
    <t>…mo indicó que ei haber asistido á las bodas y caro res como te proponía. tulaciones del Rey e Infantes no probaba que estuviese en el eger-.cío Murcia. D. Josef Rodríguez Paterna, D. Juan Alix, D. Anto de su destino, pues lo hizo como consejero de Estado, / únicamente nio Peiez de Meca , D. Bonifacio Sotos y D. Ramón Reillo. para servir como una especie de testigo de aquel acto, del mismo mo La comisión, después de haber examinado los poderes de es…</t>
  </si>
  <si>
    <t>Aliyar, Antonio</t>
  </si>
  <si>
    <t>Antonio Aliyar</t>
  </si>
  <si>
    <t>…por su espontánea y libre declaración, hecha y quín R oliz y Mont- ro, D. J oaqu n Ruiz , D. Fiancisco la Caliera, firmada de propio puSo en ad de Noviembre, mifi.ado la que habí» D. Antonio Aliyar y D. Rafael Costa. hecho solemne y forma-mente en 2a del pr pío mes; á sab r : que con Síndicos. D- Antonio M:gt* y D. Mar.ur! Guadros. pleno conocimiento de la ley y de su sanción hab.a tomado Ja pos,tira y firme determinación de nr&gt; jurar la Constitución política de ta mo AR…</t>
  </si>
  <si>
    <t>Allende</t>
  </si>
  <si>
    <t>…las penas corporales ó infamatorias, ó pañada del reglamento del mismo. Habiéndose preguntado, á petición á cualesquiera otras que se impongan en dicha sentencia , nunca se cgedel Sr. Allende, si se imprimiría esté reglamento, se acordó que no. cutarán sino después de oír ai reo, admitirle sus excepciones , y juz Las Cortes quedaron enteradas de una exposición de la sociedad garlo di nuevo en tu presencia, si fuere aprehendido ó se presen económic…</t>
  </si>
  <si>
    <t>…ue 1: les permita introducir dos partidas de cacao misión. de Guayaquil en buques extrangeios, pagando solo ios derechos de bu El Sr. Marín Tauste contestó á las obaervacíon-s del Sr. Allende, que nacional. . . manifestando que no podía de modo alguno tener efecto rrtmact'vo ia A las comisiones d* Hacienda y Comercio con urgencia ae pasó suspensión de capitalizaciones qu&gt;* estaban entib'adas ante, de acordar un ohcio del Sr. secretario de Hacienda…</t>
  </si>
  <si>
    <t>Gaceta de Madrid n.º 17</t>
  </si>
  <si>
    <t>…estas permitan suspender la egecucion de las órdenes supe Iglesia. riores , será castigada con arreglo el cap. 6.a, titulo 6.a de esta parte.” El Sr. Fraile sostuvo el parecer del Sr. Allende, opinando que de Aprobado. bía haber absoluta libertad en la escritura sobreestá materia. Art. 323. » Es delito toda reunión secreta para tramar, preparar 6 Después de una ligera discusión quedó aprobado el artículo , supri egecutar alguna acción contraria i…</t>
  </si>
  <si>
    <t>…abajos perpetuos la de no poder obtener la gracia del articulo? (¿clamar el culpable si se sintiere agraviado.” 147 hasta después de estar en ellos 14 años. Art 340. ( Adic'on del Sr. Allende.) » Las penas respectivamen » En el caso de que para alguna &amp;c.” te señaladas en ellos; y si fuesen de otra clase las armas de que se Art. 409. (Adición del Sr. Echevarría.) hiciere uso, se aumentará una cuarta parte á las penas prescritas en di Debe colocars…</t>
  </si>
  <si>
    <t>Allende, González</t>
  </si>
  <si>
    <t>González Allende</t>
  </si>
  <si>
    <t>…, Feliu , Salvador y Vá dividuo que aseguró el tanto diario al monge. A la observación que ha llelo t de mi firme adhesión á la Constitución, y su inalterable lealtad ha heclio el Sr. González Allende de que ei Gobierno no había cumpli cia ¡a persona de S. M., había accedido i sus repetidas instancias para do exactamente lo que se le encargó, debo contestar que la comoion ha que les exonerase de sus cargo* cu atención 4 las actuales circunstancias. pedido…</t>
  </si>
  <si>
    <t>…ara siempre, p se ocuparán las temporalidades al dó que este artículo volviese i la comisión. eclesiástico.” Art. J2i. Aun entre las corporaciones, ¡untas ó asociaciones esta , £1 Sr. González Allende manifestó que podía impedir el articulo blecidas 6 autorizadas por las lejas, toda confederación que hicieren que se escribiese ó hablase sobre materias de disciplina exterior , p por unas con otras para oponerse i alguna disposición del Gobierno ó de lo tant…</t>
  </si>
  <si>
    <t>…» i Desterraremos ( dice ) de nuestro suelo este saludable invento , que va ni contraria á la Constitución. en el orden intelectual es tan importante como el de la vacuna en el El Sr. González Allende hizo algunas observaciones contra el artí físico , precisamente cuando los dos mundos le reciben con aplausos y culo, y el Sr. presidente dijo que mañana continuaría su discurso, y aclamaciones! Pero la vacuna ha sido ataeada lo mismo que lo fue la suspendió…</t>
  </si>
  <si>
    <t>Gaceta de Madrid n.º 18</t>
  </si>
  <si>
    <t>…legirán una paite de lea individuos de la &gt;Se continuó la discusión del art. $30. ( Víase ¡a gaceta de ayer.) segunda cámara. Loa de la primera serán nombrados por el Rey; pero El Sr. González Allende opinó qué eé artículo de que se trataba era no loe elegirá exclusivamente de entre los nobles, poraue la intención opuesto él aqe de la Constitución, por el que se prohíbe al poder egedé S. U. fes que este dignidad sea una recompensa de loa servicios be» cuti…</t>
  </si>
  <si>
    <t>…; La pena que Alimitmo hizo el orador, varias observaciones en contestación á se le impusiese «qué carácter tendría en una nación religiosa! El carác los argumentos hechos por el Sr. González Allende. ter del martirio; y lejos de conseguirse la idea de los señores que impug El;Sr. Cano Manuel: Las.controversias sobre opiniones producen nan este artículo, sucedería todo lo contrario j y por lo mismo ó habría algunas veces malos resultados; pero cuando esta…</t>
  </si>
  <si>
    <t>Gaceta de Madrid n.º 24</t>
  </si>
  <si>
    <t>…principal foco esta mas individuos, han sido las calenturas pútridas, malignas, biliosas, ba en Pamplona. biliosas-pútridas y pútrido-malignas, de que han fallecido 157: la ti El Sr. González Allende apoyó la opinión del Sr. Vallejo, mani sis pulmonar, afectos quirúrgicos, dentición difícil y males venéreos, festando que en Salvatierra había milicia local al tiempo del levanta de que respectivamente han muerto 76 , 59, 37 y 36 personas; y la miento; y opi…</t>
  </si>
  <si>
    <t>…cer sin era de modo alguno contrario á lo dispuesto en el decreto de ay de dispendio de las casas de moneda." Junio, sino que era una medida interina, adoptada mientras se efec El Sr. González Allende se opuso á este dictamen, y manifestó en tuaba lo dispuesto en el mismo decreto, 7 que previéndose la necesi tre otras cotas que no se había cumplido la ley que las Cortes (sabias dad de acudir 4 la subsistencia de los establecimientos públicos de be dado , o…</t>
  </si>
  <si>
    <t>Gaceta de Madrid n.º 38</t>
  </si>
  <si>
    <t>…Navas, no de tener el mismo derecho respecto de esta persona, imprimiendo su* debía aprobarse el artículo. ideas, y presentando aquellos hechos que acrediten hallarse los dipu El Sr. González Allende dijo que había tomado la palabra para tados en el caso de proceder á lo que les manda la Constitución, y contestar al Sr. Romero Alpuente; pero no lo hacia porque el Sefioi si las Cortes no existen la diputación permanente? Este es el único Cuesta lo había ve…</t>
  </si>
  <si>
    <t>…ntes grava si ae sanciona NtrtW» (D. Felipe),Becerra, Mullos, Añoro, Golfin, Solanot,Yut* ban una titula y otra no. te,Laibve(D. Vicente), Olirer,Quintana,Fernandas,Gateo,Codo, El Sr. González Allende a opuso al dictamen de la comisión, ha Otorio, Puigblanch j Ocboa: »Interesando al decoro de la representa- ciendo presente lo infructuoso que seria el haberse apresurado la Cor don nacional que la maledicencia no tema motivo de hacer 4 lo* dipu ta í forma al…</t>
  </si>
  <si>
    <t>AlLo, Francisco</t>
  </si>
  <si>
    <t>Francisco AlLo</t>
  </si>
  <si>
    <t>…a el de Badea á D. Manuel Salgado: para el de Guinzo de Cim:a á fue el primero de su arma que se pronunció por la Constitución.” _ D. Manuel Espada y Losada: para el de Monterey á D. Francisco AlLo qu: traslado á V. E. de orden de S. M. para su inteligencia y varez: para el de Viana del Bollo á D. Juan Balifía: para el del Barco la del referido cuerpo en el ínterin que te construye y remite el león de Valdeorras 4 D. Josef Valladares, y para el de Quiro…</t>
  </si>
  <si>
    <t>Allué</t>
  </si>
  <si>
    <t>Gaceta de Madrid n.º 334</t>
  </si>
  <si>
    <t>…omplicado en una causa criminal. Añade por Cn armada nacional. que la licencia para el bautizo fue denegada por el Excmo. Sr. carde nal arzobispo de Toledo, y obtenida después del Sr. Allué, tal vet En la gaceta dei r.° de Octubre último te dijo haber sido bautiza abusando de sn buena fe. do en esta corte con licencia del Exento. Sr. D. Antonio Allué *1 Sin entrometernos en un asunto sobre el cual carecemos de datos, y catecúmeno Majomet Ambar ,…</t>
  </si>
  <si>
    <t>Allúe, Antonio</t>
  </si>
  <si>
    <t>Antonio Allúe</t>
  </si>
  <si>
    <t>…lego, D. Francisco Travesedo, D. Antonio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 caballeros Pages, al catecú Habida la conferencia, declararon haber lu…</t>
  </si>
  <si>
    <t>Allué, Antonio</t>
  </si>
  <si>
    <t>Antonio Allué</t>
  </si>
  <si>
    <t>…edo, y obtenida después del Sr. Allué, tal vet En la gaceta dei r.° de Octubre último te dijo haber sido bautiza abusando de sn buena fe. do en esta corte con licencia del Exento. Sr. D. Antonio Allué *1 Sin entrometernos en un asunto sobre el cual carecemos de datos, y catecúmeno Majomet Ambar , natural de Guinea y de la secta de Ma respecto del que habrán de resolver los tribunales con arreglo á nues ltón» ócc. Hoy nos presenta el arraez moro Brahim Quer…</t>
  </si>
  <si>
    <t>Alma, Josef</t>
  </si>
  <si>
    <t>Josef Alma</t>
  </si>
  <si>
    <t>…e la Gu.na de ia derrota dei faccioso Zildivar y su mía tán cuando tenga qu.ji de este , á los gefes cuando la tenga de am me gavilla, acaecida ei 29 del anterior en el cortijo de D. Josef Alma bos, y asi sucesivamente por todos los grados superiores del egército. gro , en las inmediaciones de puerto Serrano, donde fueron curva Art. gt. ” D-b.rí distinguirse siempre por su (idelidad á la patria dos por 39 caballos del brillante rrgiiniento de Santia…</t>
  </si>
  <si>
    <t>Almansa, Josef Mariano</t>
  </si>
  <si>
    <t>Josef Mariano Almansa</t>
  </si>
  <si>
    <t>Gaceta de Madrid n.º 266</t>
  </si>
  <si>
    <t>…ros debe la pattia servicio tan la propuesta hecha por el Congreso constituyente. importante. Vosotros no os detuvisteis en abandonar vuestros bogares, D. Pedro Calestino Negrete. D. Josef Mariano Almansa. D. Ma preferisteis el procomunal i vuestras caras esposas y tiernos hijos; opu nuel Velazquez de León. D. Manuel de la Bircena. D. Nicoias Bravo. sisteis á guerreros infames vuestros pechos de bronce, y loa aterrasteis D. Pedro del Paso y Troncoso. D. Vicent…</t>
  </si>
  <si>
    <t>Almanta, V-.cer.t- Vdía- de</t>
  </si>
  <si>
    <t>V-.cer.t- Vdía- de Almanta</t>
  </si>
  <si>
    <t>…c inundo vover al cuartel, de donde vo'vió á salir al .ns- hj»ta el pueblo de Humera, porque no era pos ble que lo* cabal.os lante á reforzar un r bu» bajo .a, órd nes de! sap tan D. V-.cer.t- Vdía- de Almanta siguieran adelante por lo cansados que estaban , a causa d« same en la plazuela del r al paiacio, posición que mantuvo hasta el lío hab-T cs qu.tado las sillas hacia pdiat, en los qu-r constantemente estuvi ron 4 ia vista de los guardias cuando se situaron es…</t>
  </si>
  <si>
    <t>Almazan, Juan Antonio</t>
  </si>
  <si>
    <t>Juan Antonio Almazan</t>
  </si>
  <si>
    <t>Gaceta de Madrid n.º 217</t>
  </si>
  <si>
    <t>…acobardarán 4 la v sta de los que mancillan su nombre en la perfidia cía , comprendido* en la causa que pende en la misma sala y escribanía y el escandaloso perjurio. de c mira de D. Juan Antonio Almazan en grado de apelación por » No t -memos expresar i la faz da la respetable Diputación de Cor atribuirles infiaccion d; ley y bando sobre reuniones públicas y ocur les y del orbe ent ro nuestras disposiciones de sostener el sistema qu* rencias en ¡a fonda de l…</t>
  </si>
  <si>
    <t>…cu Cuenca.................................... 296,650. 791 rador con poder bastante por la escribanía de Cámara del caigo de Gerona................................... 191,243. 510 D. Juan Antonio Almazan á evacuarle y exponer lo que á su d r:ci-.o Granada................................. 346,984. 923 convenga; con apercibimiento de estrados, y de pararle el perjuicio Guadalajara........................... 2(2,655. 593 que haya lugar. Huelva...................…</t>
  </si>
  <si>
    <t>Almazan-, Juan Antonio</t>
  </si>
  <si>
    <t>Juan Antonio Almazan-</t>
  </si>
  <si>
    <t>…o de ra c! r-su tado de su temeridad. procurador ton poder bastante en la misma sala y escribanía de Cáma _E! d.a a habían bajado los fondos públicos en Viena: las obligacio ra de D. Juan Antonio Almazan-, con apercibimiento de pararle el nes en metálico estaban al 84}, y las acciones del banco á 965}. Se perjuicio que haya lugar. trataba de un empréstito d 30 millones de llorínes----Las noticias inf usías de Constantnopla no se aclaran todavía. El Observador…</t>
  </si>
  <si>
    <t>Almeí, Manuel Rodríguez</t>
  </si>
  <si>
    <t>Manuel Rodríguez Almeí</t>
  </si>
  <si>
    <t>Gaceta de Madrid n.º 249</t>
  </si>
  <si>
    <t>…que es ia libertad de la patria, y la consolidación del sistema consti dichos Vázquez, Soto,Chalus, D. Francisco Santos, D.Manuel Díaz, tucional. D. Francisco González Calderón r D. Manuel Rodríguez Almeí^a. Conseguida esta intima unioo entre lo* verdadero* amigos de le En geografis el referido Soto, D. Crispiniano Briset y D. AttonioPa- libertad, dcca.rán de ánimo sus mas obstinados adversarios, y los b!o Rodríguez. En navegación los mismos Soto , Briset, Rod…</t>
  </si>
  <si>
    <t>Almifiana, Viceate</t>
  </si>
  <si>
    <t>Viceate Almifiana</t>
  </si>
  <si>
    <t>…lápida, concurrió todo el pueblo á la igl.-sia, donde se cantó de no tuviese naturaleza ó domicilio;” y después de una larga discusión una misa y solemne Te Deum, y el presbítero D. Viceate Almifiana se aprobó, exceptuando la palabra domicilio, mandando volviese 4 la pronunció un discurso, en el que con claridad desenvolvió los princi comisión. pios de la Constitución, é inculcó sus ventajas, rebatiendo con energía También te aprotsó sin discusión , por e…</t>
  </si>
  <si>
    <t>Almizan, Juan Antonio</t>
  </si>
  <si>
    <t>Juan Antonio Almizan</t>
  </si>
  <si>
    <t>Gaceta de Madrid n.º 347</t>
  </si>
  <si>
    <t>…En que por este periódico, fijándole el término de 10 dias para que com la tarde del 11, y como á aso de las cuatro, entró en esta ciudad el parezca por la escribanía de cámara de D. Juan Antonio Almizan á brillante batallón de milicia activa de Murcia, que fue recibido por usar de su derecho con arreglo á la Constitución y las leyes; aperci los alcaldes , ayuntamiento y cuerpos de milicia , acompañados de la bido de que pasado se dará a la causa el curso que…</t>
  </si>
  <si>
    <t>Alomo, González</t>
  </si>
  <si>
    <t>González Alomo</t>
  </si>
  <si>
    <t>…erminasen quiénes habían de ser estas y cuáles los mo Se lepó la quinta medida (viaje ls mitms gacets.). tivos. El Sr. Buey se opuso á ella, manifestando que el Rey tenia la fa El Sr. González Alomo apopó la medida de la comisión contestan cultad de nombrar i los empleados, y que estando vigentes los decre do al Sr. preopinante , y manifestando que había muchos decretos da tos qne tratan de bs cualidades de estos, es indispensable que te hu las Cortes qu…</t>
  </si>
  <si>
    <t>…anifestó que debían excluirse aquellos que no goza los terrenos baldíos, realengos y de propios y arbitrios; y hablando so sen los dtrechos de ciudadano. bre su totalidad, dijo el Sr. González Alomo entre otras cosas que á El Sr. Salva contestó que lo único que para evitar toda duda podía su entender la comisión no había llenado las miras que las Corte* se añadirse al artículo era que no fuesen admitidos aquello» que debiesen habían propuesto al nombrarl…</t>
  </si>
  <si>
    <t>…derecho jeto que el de que el Gobierno tenga un comprobante de lo que le di cen los gefes políticos por medio de las autoridades populares ; y no se decretadas por la» Cortes. Del Sr. González Alomo, contrario 4 lo acordado acerca de la pri diga que este informe puede ser inquisitorial. Se ha asegurado que se trata de establecer una ley de excepción; pero verdaderamente no pue mera clase de patentes. Se mandó pasar 4 la comisión primera de Hacienda una c…</t>
  </si>
  <si>
    <t>Alon</t>
  </si>
  <si>
    <t>…esión al código cons que asi podía resolverse. Aprobado. titucional del año de 181 a que nos rige; sirviendo a V. S. de gobier La misma comisión, habiendo examinado la adición del Sr. Alon no que para su satisfacción , conocimiento del público y desengaño de so al art. 1del dictamen de la misma aprobado ayer para que después los incautos he mandado se imprima el citado oficio de V- •&gt;■ á que de las palabras tajo ningún título se añadiese ni dim…</t>
  </si>
  <si>
    <t>…ución: cualidades que marcan la probidad é ido tre el gefe político y la diputación provincial; porque en el hecho de neidad del sueeto elegido. De consiguiente tos argumentos del Sr. Alon excluirse del jurado al gefe político y al intendenta se da á emendar so no hacen fuerza para separarse del dictamen, pues tanque la comi á la diputación que resuelva contra la opinión de aquel, declarando no sión conoce los defectos que en s( reúne, cree que…</t>
  </si>
  <si>
    <t>Alon, Bernardo</t>
  </si>
  <si>
    <t>Bernardo Alon</t>
  </si>
  <si>
    <t>…Sres. que lo declararon absuelto: D. Juan Pablo Pascual, D. Joa camino real, entre ellos un oficial de caballería, y se asegura se quín Ruiz Llord , D. Francisco Martínez Marina, D. Bernardo Alon hallarán ocultos bastantes cadáveres; les matamos tres caballos, y les so , D. Antonio del Afcazar, D. Antonio Díaz del Moral, D. Celes hicimos un herido prisionero, que permanece en este hospital tratado tino Olozaga, D. Casimiro Martin y D. Santiago Delgado…</t>
  </si>
  <si>
    <t>Alonso</t>
  </si>
  <si>
    <t>…anto. En muchos de ellos se han cometido asesinatos horrorosos por la que ha dirigido el gefe político. I «n~ lis personas de los que han hecho alarde de sus ideas patrióticas; Ei Sr. Alonso: Ruego al Sr. secretario da la Guerra me diga si se I sm embargo de decitse que estos disturbios no tienen conexión ninguna ha mandado formar causa al brigadier O. Jui o Oren!. ton los sucesos politices de la Nación, yo Jos miro como los resulta El Sr. secrrf…</t>
  </si>
  <si>
    <t>…reviniendo al Gobierno que señaláis da á los españoles en el de Mayo de 1814.” un breve término para ia rendición de las cuentas particulares. Se leyó la siguiente proposición del Sr. Alonso: » Pido que se de El Sr. Adan: Asi como soy inexorable contra todo empleado pú clare conforme al art. 79 del reglamento que no puede presentarse en blico que no cumple con su deber, también soy amigo de manifestar la sesión pública proposición , expediente ú…</t>
  </si>
  <si>
    <t>…atrevería á prepon.rqu: al causa , opinaba que debía exigirse la responsabilidad á esto» n I vidu is. pasar este batallón se acercase una diputación suya á la barra , y en eíu K1 Sr. Alonso se opuso á que se aprobase este dictamen, manif s- s- le diese por ti Sr. vice-presideme (ya que el Sr. presidíete sena tando que estando este asunto pendiente en el juzgado ternturiai de parte) una señal que demostrase los interesantes servicios de este be a…</t>
  </si>
  <si>
    <t>Gaceta de Madrid n.º 79</t>
  </si>
  <si>
    <t>…bían podido ob&gt; otra dd tribunal supremo de Justicia acerca de la inteligencia de loa tarar todavía la de sus respectivos créditos. decretos de 7 de Abril y 9 Octubre de r8i a. El Sr. Alonso apoyó rato mismo; y dijo conocía á alguna qu* daA la de Negocio* eclesiásticos una exposición de ocho hermanos de el año 1 s no habías podido logra todavía se les despachase, por le del «actuario de Sancho Abarca, en la villa de Tautte, en Aragón, en cual deb…</t>
  </si>
  <si>
    <t>…la solicitad del ayuntamiento constitucional vea estas equivocaciones era qoe te «probase te proposición! peso si d de un pueblo M patudo de Aramia, provincia de Burgos, para que Sr. Alonso creía quo había otro mejor, attahs proaco pot tu paste i ae le rile ve del pago de te contribución por un año, dijo que la comi retiraría. sión anterior opinaba que ya se habían satisfecho los deseos de los su El Sr. Falcó apoyó la proposición. plicantes, y l…</t>
  </si>
  <si>
    <t>…pues siempre que se me haga ver que me equivoco, estoy pronto á 3*..... toO.................. ..... Idem. ceder de mi opinión. 15*2..... ao9.................. ..... En Córdoba. El Sr. Alonso apoyó el dictamen de la comisión, pidiendo que lat *a:..... ao9.................. ..... fin Valencia. Cortes declarasen si las palabras justad y ayuntamiento eran sinóni 11761..... 2 09.................. ..... En Madrid. mas, pues no siéndolo, era claro que e…</t>
  </si>
  <si>
    <t>…por partes, empezando por cion que está señalada al que mate alguno de estos animales. Añadió las fiestas. que los abusos que se notaban en la inversión de los caudales de&gt;: na El Sr. Alonso dijo que según la primera parre del dictamen acaso dos á este objeto no lo eran en realidad, puesto que el verdadero mo algunos pueblos entenderían que no habia mas fiesta nacional que la tivo de aumentarse demasiado tas partidas &lt;¡c estos gastos, »i.. q~.c r…</t>
  </si>
  <si>
    <t>…ivo. Y no se diga que la mala administración ción te solicitaba. de justicia nace de u oscuridad de nuestras leyes, porque, como dije El Sr. Oliver manifestó que en la adición del Sr. Alonso se pedia ayer, la de infracciones de Constitución está tan clara y terminante, que las Cortes declarasen que toe magistrado» no estaban comprendida qne cualquieta la puede aprender en nn cuarto de hora, y sin embargo en el decreto de Us mismas de 13 de Marzo…</t>
  </si>
  <si>
    <t>…s interesados en él, cuyos resguardos interinos tengan los núme ros desde el 173 al 199 inclusive, se sTvirin concurrir á recoger sus último.” Se leyó la siguiente proposición del Sr. Alonso: » Pido que las acciones y documentos de intereses ei martes 13 del corriente, desde las Cortes declaren que cuando se ha aprobado el dictamen de la comisión 10 de su mañana hasta las 2 de la tarde, á ia contaduría de ¡a direc de Hacienda, te ha acordado que…</t>
  </si>
  <si>
    <t>…ue na dado su dictamen respecto de lot todas sus partes. sueldos que á esta cia&gt;e están señalados por las Cortes. Las plantas de Se mandó pasar á la misma comisión ana adición del Sr. Alonso al todas las secretarías, minos la de Estado, vinieron á las Cortes, y ac artículo aprobado, que decia asi; »Y también que acompañen á los re tas las aprobaron; pero habiéndose echado de minos en los drcr&lt;.toa ligiosos en sus cuestaciones.” de Cortes ios suel…</t>
  </si>
  <si>
    <t>…Total 5.118,669 y 18 ron los gastos extraordinarios reducidos á las dos ciases únicas de gas maravedises. tos de secretaría y gastos de correo, habiéndose separado los respecti El Sr. Alonso leyó un discurso, en el que aumentando unas partidas vos al socorro de náufragos áte. , de donde proviene la diferencia qua y rebajando otras por las consideraciones que manifestaba, reñía í de ae nota respecto de esta clase de gestos entre los dos presupuest…</t>
  </si>
  <si>
    <t>…tan deci preverse si moriría ó no alguno de ello». Respecto de los gastos de se dido en que se deshiciese. cretaría manifestó que eran en algunas ocasiones absolutamente indis El Sr. Alonso observó que comparando los gastos que se conside pensables; añadiendo por último que al Gobierno era indiferente el raban i nuestros agentes diplomáticos en Londres y en los Estados- que estos gastos se asignasen en una ú otra parte; peto que 00 podía Unidos…</t>
  </si>
  <si>
    <t>…presiden te y un secretario. se la habían pesado, y se levantó la saion. En la votación para presidente tuvieron, el Sr. Alava 70 votos, el NOTICIAS DE ESPAÑA Sr. J'alvito 68 , el Sr. Alonso uno, y el Sr.Cutejon uno; y no habien do tenido ninguno de dichos sefiores la mitad mas uno del total 140, Barcelona ti de Atril. se procedió á segundo escrutinio entre los Sres. Alava y Sálvalo, en el Ayer salió para Mstaró el Excmo. Sr. gefe político; tambi…</t>
  </si>
  <si>
    <t>…de Diputaciones provinciales á fin La tercera partida de rebaja sobre los sueldos de los cesantes de la de dar su dictamen. contaduría general de propios se dejó para despuea. Kl Sr. Alonso pidió que te nombrase una comisión para que din: Instruido* publica. su dictara n sobre 4*1 representaciones de otros tantos pueblos de la » Para atender al pago de este importantísimo objeto, que si no fue provincia de Extremadura que se quejaban de la divis…</t>
  </si>
  <si>
    <t>…de propiedad particular los canales quu La comis-on Ecicsási.ea pirsetu. &gt;u informe sobre la adieten del en lo sucesivo se abrieren par particu.ares, y los existentes que continua Sr. Alonso al art. 3. del dictarni.n de la misma , rciat.vo a ia ,roh biren por ellos. cicn de que Jos ayuntamientos int*iv,-r6an en las cuestaciones, y era i’l Sr. secretario de la Gobernación dijo que los productos de lo* de parecer que podía api barse, añad.enjo al f…</t>
  </si>
  <si>
    <t>…ión; pero no sé qué razones haya para que en „n asun decreto citado , ni menos lo que previene et art. i-~ to tan interesante como es la visita de ios tribunales, á jen tas Cor El Sr. Alonso se opuso aJ dct-imcn de la comisión, haciendo va tes de designar los su^.to» que han de efectuara; y por lo in « noque rias observaciones sobre lo perjudicial que era á los ganaderos el decreto la materia es de suyo interesante , yo creo'que las Cortea son ia…</t>
  </si>
  <si>
    <t>…e separación de las funciones económicas de que no d^bia suspenderse la discusión. Acerca de lo prepucio por el ios ayuntamientos de las gubernativas que correspondían á los alcal Sr. Alonso manifestó que siempre debía principiarte por lo principal y des; y que hallándote bastante marcado en el artículo, no necesitaba es* no por lo accesorio, es dec r, decretar las reglas generales para el go te de mas expresión , ni podia tampoco considerarse co…</t>
  </si>
  <si>
    <t>…ro atolondrados ley no podían tomarlo en consideración en el mismo año. sin luces,sin ciiterio y sin reflexión, que arrastrados del anas necio Se leyó le siguiente proposición del Sr. Alonso: » Pido 4 las Cor orgullo, quieren erigirse en maestros universales; y como están tan fal tea acuerden que la comisión especial nombrada para entender en lo* tos de juicio como de buenas doctrinas procuran atraerte lectores, tan sucesos de Catalofia presente…</t>
  </si>
  <si>
    <t>…e los Sres. Somoza, Moreno y Alomo para que las C&lt; ríes se tendida por el facultativo ó facultativos.*’ lirv.o acordar la medida indicada en el afio anterior en una proposición El Sr. Alonso opmó que deb.-ra establecerse un registro civil, poc del Sr. Bernabíu , relativa al estado de varias iglesias de España, cuyos el cual se supiese cuál era el estado de los ciudadanos y de sus derechos, prelados fueron expatriados por motivos bien notorios. en…</t>
  </si>
  <si>
    <t>…n leído, de la man.ra que creta mas conforme á ia Const-tud-ui. ’ : *■r. Pi c. ira contestó qu t no era necesario lo primero, por ser una Después de unas ligeras observaciones del Sr. Alonso, á lu que C' r s -c-.ienc a n c sana d-i orden de pres íeucía, y que no había d.ficontestó el Sr. Cano, quedó aprobado c' artículo. cu t.id n acc.- Irá !j Jiv isa co ocacíoa de la última parte. Art. 42. n hl alcalde , y ai hubiere mas de ano el primer nombra…</t>
  </si>
  <si>
    <t>…acienda antes de presentar su dictamen tuvo A petición del Sr. Buey ae leyó el art. 138 del reglamento. fa franqueza de verse con el Sr. secretario de este ramo para asegurarse El Sr. Alonso dijo que 00 se trataba de una certificación indivi de que los hechos estaban expuestos con toda fidelidad: creo que esto dual, tino de saber lo que pasó en una comisión, y por consiguiente no lo negará S. S., y por lo mismo me relevará de la prueba. singan tr…</t>
  </si>
  <si>
    <t>…Cantabria qua debían venir por Al mayorazgo fundado por D. Alonso Gómez dé Montoro, del la Espluga á situarse en Montblancb, te atrageron sobre sí toda la masa qne hoy es poseedor D. Alonso de'Montoro y Andrtdez, corresponden del enemigo que te habia diseminado por los montes: viéndola dividida los juros siguiente*: Uno en los millonea de la ciudad d: Cúrdobi, ex la cargaron con fuerza, y siguió todo su camino rodeadq de enemigo*, pedido en Z4 d…</t>
  </si>
  <si>
    <t>…demas circunstan decreto de 8 de Jun o d: 813, pu s no era Irc t :no el privóte o tc"icias particulares de aquel pueblo, determinase lo que estimase conve ceddo rn tiempo del Rey D. Alonso \¡ • porque rst- atb tr o h ia niente. Apaobado. sido témpora*; y por último que este pr v.! *c o deb a hab r coi V&gt; s a, Otro acerca de la exposición de D. Ramón Busga, vecino de Ba y que no stando en las atr b.ic on s de las Cortes el conocer de » ni sa , p…</t>
  </si>
  <si>
    <t>…uo El sfc Infante se opuso á este artículo y los siguientes hasta el 4 -, había para hacerlos sobre otra base. desaprobando el método de clecc on por medio de comprom sanos que El Sr. Alonso h'zo varias observaciones acerca de la Inexactitud quo en ellos proponía la comis-on , j urque sucedería que una compañía les en su opinión h»b.a en decir que salía á lot pueblos la misma cuenta diría á los compromisarios que nombrasen o eligiesen por capitán…</t>
  </si>
  <si>
    <t>ximaJa que. deberán producir, i fia de que la reatante tea la que ae caballos muertos, uno de dicho regimiento de la Constitución y otro reparta.** _í del resguardo militar. Ei Sr. Alonso te oputo i la primera parte de este artículo, consi » Daremos á V. S. un parte mas detallado recomendando el méri derando i]|K t: atacaba i la industria, y manifestó que en muchos to de los dignos oficiales y tropas que tenemos el honor de mandar; pu bloS ie'…</t>
  </si>
  <si>
    <t>…os jr armados, que pretendieron Se leyó y aprobó el acta de la anterior, y ta mandó agregar é alia llevarse i lo* mozo* del pueblo. Lo m imo sucedió en llaneza y otros «I voto del Sr. Alonso, contrario á lo acordado por las Coi tes respecto pueblos sucesivamente; pero en todas partes encontraron oposición, jr de los erts. *a, *3 y *4 del dictamen de la comisión especial encarga tolo lograron arrancar violentamente á algunos que despuet ae fufaron…</t>
  </si>
  <si>
    <t>…esirvó este dictaflien para cuando te tratase de dicho plan. ración al art. 3.a del decreto de 23 de Abril ó.timo, 4 consecuencia de La misma comisión , en vista de la adición del Sr. Alonso sobra una providencia acordada por la mayoría de la misma junta, opinaba que en lo acordado acerca de los suministros no se comprendiesen la* que era muy extraño que la mayoría de dicha junta hubiese dado una liqu 'daciones hechas, opinaba d.bia admitirse. Ap…</t>
  </si>
  <si>
    <t>…ción á ser una cantidad alzada para gastos de escritorio. Aprobado. quilinos , y no por los duefios de las catas. Se mandó pasar á la comisión de Diputaciones provinciairs una El Sr. Alonso se opuso también al artículo. exposición de D. Josef María Srits, vocal de la diputación provincial El Sr. Sánchez se conformó con lo dispuesto en él, mediante la de S. Sebastian , sobre que te tiat!ad:n 4 aquel punto las autoridades de gran baja ó reducción…</t>
  </si>
  <si>
    <t>…l ir. Avuirrc contestó que la comisión estaba persuadida de que no tos no bastasen para dichos objetos. se había entendido su idea , pues se suponía que quena que la milicia na El Sr. Alonso dijo que creía que la comisión debía haber buscado cional fuese mandada en los putblot por los ayuntamientos, la de toda ante todas cosas el motivo por que no producían las pena» de cantara, la provincia por la diputación piovincial respectiva, y la de toda l…</t>
  </si>
  <si>
    <t>…e* ex fuerzos habían sido impotentes, habian ocasionado á ia Nación los traordinarias debían entender en este asunto. males, de cuyo remedio tenían que ocuparse las Cortes. El Sr. secretario Alonso dijo: La secretaría en cumplimiento de lo Por lo que respecta al segundo hac a presente la persecución que acordado por las Cortes acerca de la impresión de las memorias de habían sufrido los patriotas, calificándolos de anarquistas y republica Gu rra y Hacie…</t>
  </si>
  <si>
    <t>…odrían H simarse al reemplazo del egé.cito. Enviados i las Se leyó y iprobó el acta d.- .a anterior. provincias que gozan de una p-rfecta tranquilidad , y repartidos en di- El Sr. secretario Alonso d jo que la :ue&gt;* habra (Jalado si d-b-tT* fer ntrs cuerpos d:l egerciio permanente, no darían que temer, y es de dar conocim.ento i las Cortes de a’gunas expo* c&gt;on-s que *e h*b¡*n eaptTflT &lt;}ti¿ agradecidos á la generosidad con qua sa íes traíase v serví» r…</t>
  </si>
  <si>
    <t>…üellui Si yo hubiera creído que se trataba en esta pro de cada nno para decidir con el lleno de luz necesario. posición da coartar en lo ma mínimo la facultada del Congreso, ma El Sr. Alonso dijo que se trotaba de bacer una especia de privile hubiera opuesto é ella; pao yo desde le primas lectura conocí que al gio en favor del tribunal Supremo, y que no podían imprimirse tus objeto de loa Sra. diputados, autora de ella, no ero ataca la (acui obse…</t>
  </si>
  <si>
    <t>…tropa del ejercito permanente, la o; ¡a milic a nacional , y aquellos, debía pasar á ella esta consulta aun lo* v-emos , est.n obligados á prestar el auxilio que les pidaa ’li El Sr. Alonso dijo que se presentaban dos cuestione* que necesita autoridades encargadas de la policía'’ ban Otras tantas medida*: que sobre la una , relativa a la fuga de los El Sr. A llon manifestó que en este a tículo no se expresaba si la mozos, era necesaria una medid…</t>
  </si>
  <si>
    <t>…esarias para salvar i la patria «in traspasar jamas una línea los decre cuaodo hablen en las discusiones. tos de las Cortes, y se sujeta desde ahora á la responsabilidad mas es El Sr. Alonso pidió que se leyesen los arts. 107 y 108 del re trecha siempre que traspase esta barreta que ha impuesto la ley. glamento , y reclamó el orden. El Sr. Galiano; Debo hacer una observación sobre el asunto de El Sr. Casteion manifestó que estaba en el orden, y q…</t>
  </si>
  <si>
    <t>…olo los alcaldes; Se mandó pasar á la com von especial encantada del examen de las no sujeta en ningún modo á los pii ’b os para que los vecinos no sa m'fT&gt;cr:a&lt;¡, una ad cion del Sr. Alonso i la medida g.3 aprobada ya por resistan á dar parte d* las novedades que notrn , ni á llevar .1 egército las Cotí s, r ducida a que solo tenga efecto mientras duren las Cotíes ec.nst tuciona! el parte que te les encaijue; A- modo que r¡ alcalde pue extraord…</t>
  </si>
  <si>
    <t>…espués de restablecida la Cons lidaron del sistema; y una experiencia triste, que como secretario de titución.” la Gobernación de la Península he adquirido, me ha convencido de El Sr. Alonso: Cuando trato de impugnar la medida que se pre que una gran parte de los objetos encomendados á los ayuntamientos senta á la consideración del Congreso, me veo en ia necesidad para se hallan abandonados; y cualquiera que sea la causa que haya para este hacerl…</t>
  </si>
  <si>
    <t>…e los expedientes Habiéndose declarado el punto suficientemente discutido, quedó que i- citan en la misma, y i haber admitido é discusión la proposi aprobada esta medida. ción del Sr. Alonso, pidiendo se suspendan para los que conspiren 14. » Todo funcionario público ó empleado civil ó militar que se dir:cra ó indirectamente contra el Estado las fórmulas de los artículos niegue á admitir el nuevo desuno que en su respectiva carrera le diere de la…</t>
  </si>
  <si>
    <t>…e compran para libertar tar este termino para todas ó para algunas de las citadas determinacio se de ia quinta. Por unto opino que esU excepción es inadmisible. nes." Aprobada. El Sr. Alonso: Ha manifestado el Sr. preopinante que nadie ha sa 20. •• A fin de que la comisión pueda proponer á ias Cortes las de tisfecho á la dificultad propuesta por los señores que se han opuesto á mas medidas importantes para la salud de la patria, correspondiendo l…</t>
  </si>
  <si>
    <t>…tado inflamaciones de ia membrana minio de los enemigos de la patr.a. Las Cortes lo oyeron con agrado. cerosa y parenquima que cubre, como pleuritis, pneumonía y hepatitis, El Sr. secretario Alonso dijo:'La secretaría para dar cumplimiento entrado mas el caler fueron comunes las fiebres biliosas, algunas de ella, i lo acordado en la sesión de ayer, á fin de que se nombren los visita con espasmos de los conductos biliarios. Los que han fallecido en dicha…</t>
  </si>
  <si>
    <t>…O» I41VATO. también de la ncgligenc.a cu u.aila. cuando haya motivo racional pa Sesión del día jt. ta e Jo." Se abrió é lat once, y leída el acta d. la anterior quedó aprobada. Ei Sr. Alonso: Siento que el estado de mi salud me haya privado El Sr. Adan: La Nación turo el sentimiento de ver extraviad&gt;s de enterar á los señores de la com s.on del objeto de la propoic on que alguno* de lo* oficíale* de la guardia Real en lo* acontecmiento» de tuve e…</t>
  </si>
  <si>
    <t>…cnd.i las A petición dei Sr. o.¡ver s: leyó el párrafo 5-ü del art. aót de la formalidades para el arresto de ciertos delincuentes, conforme al arti Constitución, y á petición del Sr. Alonso el 306 de la misma. culo 308 de la Constitución; de consiguiente ¿I es el que nos puede £1 Sr. R-jiz de la Vega: Antes de entrar a contestar a los argu servir de guia para entrar en esta discusión. mentos del Sr. preopinante creo deber manifestar que la comí,…</t>
  </si>
  <si>
    <t>…o de 400 , inclusos diez caballos , dirigidos por el díscolo D. Dona ngo las ordinarias señalada» por las leves. Ou.ra'l , y los cabecillas Ñas, Bofí, Isidro Casas de Mocacgr y El Sr. Alonso: No creo tdmisib’e el dictamen de ¡a comisión un teniente coronel , cuyo nombre *e ignora, entraron en Cali por las razones que voy a manifestar: en pr.mer luqar u-.a de ¡a, ..»nlla en la madrugada del ití del corriente; saquearon las casas de al dicones del…</t>
  </si>
  <si>
    <t>…que en reali para esto mucho tiempo, y esta medida es de poca duración, y necesa• dad es el jurado, es lo mismo que anticipar una idea de lo que es esta ría en el momento. Dice el Sr. Alonso que el gefe político tendrá in institución, equivocada y acaso funesta. Ademas, el jurado que se pro flujo en los individuos de la diputación provincial; pero el mismo ten pone por la comisión tiene un defecto de muchísima consideración , y drá en estos que e…</t>
  </si>
  <si>
    <t>…stalación y por las medid** extraordinarias que se Cutdlfoilit, dando un público testimonio de sus gloriosos hechos. Sí, han adoptado; esta última exposición fue presentada por el Sr. Alonso. cimpmrros mios de armas: vuestro sufrimiento, vuestro valor, vues La* Cortes la oyeron con agradotra constancia han vencido todas las dificultades, han superado los ma La comisión especial encargada del examen de la memoria del Go yores bstáculos; llenisteis…</t>
  </si>
  <si>
    <t>…stado, según la letra y espíritu de la Constitución. Me sus fuerzas físicas y con sus lucas para conservar la libertad? Caro et parece que be satisfecho i la objeción hecha por el Sr. Alonso: vamos que tí: cabalmente lee petsonss mas ricas de las provitrtc iei, y 'is que tie i ia discusión que se ha suscitado sobre si al delito de conspiración et nen mas Interes en que se tranquilícen, son las que ase van á pa »?» cxde responsabilidad. Se ha dich…</t>
  </si>
  <si>
    <t>…trópicos de los individuos que la componen; sé muy bien convenientes que ahora se presentan. lo qu- pueden exigir las circunstancias del Estado en estos casos de ex A petición del Sr. Alonso se leyeron algunos pirrafos del discurso terminio; sé lo que nos enseña la historia de los pais-s en las ¿pocas de preliminar del dictamen de la comisión y varios artículos del código revolución , y sé que los señores de la comisión están penetrados de es pec…</t>
  </si>
  <si>
    <t>…enerales, para que recaigan en Ei fir. secretario Moreno manifestó que aunque estaba acorde con las él los premios ó castigos á que se haya hecho acreedor, con arreglo i ideas del Sr. Alonso creía deberse pasar la exposición á la comisión que ordenanza.” hab a entendido en este asunto, á causa de haber sido dirigida por el Quedó aprobado, suprimiéndose la cUusu'a que dice « para .¡jí Gobierno. Asi se acordó. recaigan en él ócc. hasta ei final del…</t>
  </si>
  <si>
    <t>….'’ Apro ronda. Con la misma formalidad se rccibr-n -as contrarondas. badaArt. 22. •&gt; Part el servicio de rondís y contrarondas se nombrará La com s on, en vista de la adición del Sr. Alonso para que sr fijs (si mpre que el número de cuerpos que guarnecen ur.a plaza lo permi la graduación que han de tener los coma idante. ;:an 1 e, J ■ d ,tr to, tí) de cuerpo d',timo de aquel que esté de servicio, arreglando su que decía: d aspas* de las pa ’ abr…</t>
  </si>
  <si>
    <t>…obierno ; por glamento para el gobierno económico-político de las provinc as. lo mismo no puedo menos de insistir en la supresión d; esu expre Se lepó la siguiente proposición del Sr. Alonso: « No habiéndo sión, por los inconvenientes que de su interpretación puedn resul se dado aun regias sobre el modo de elegir los alcaldes en los pueblos tar. Hay tanta miyor n.-cesidad de hacerlo asi, cuinto que en el ar que por su corto vecindario no tienen a…</t>
  </si>
  <si>
    <t>…e 1812; y no añadiendo nada el artículo qua jese •» con arreglo á las leyes.” se dii.ute , creo que deb. aprobarse. Declarado el pumo suficientemente discutido, se aprobó el ar El Sr. Alonso: El artícu.o q-.r- se discute le considero ¡nuil, por tículo con ia adición de estas palabras. que no puede derogar la ley de y de Octubre, que en el día esti vigen Art. &gt;82. n L' i alcaldes pedrán requerir en los casos que lo esti te; y como ha dicho muy bie…</t>
  </si>
  <si>
    <t>Alonso, Claudio</t>
  </si>
  <si>
    <t>Claudio Alonso</t>
  </si>
  <si>
    <t>….......... 40,000. esta secretaría. Interventor D. Manuel Batalon, auxiliar de esta secro- Al inúndente del depattamento del Ferrol D. Diego de la Vega por Guadalajari interventor D. Claudio Alonso, escribiente del archi la parte de .paga que percibe aqui, jr vo de la seciciaría del Despacho de Hacienda de Ultramar. pertenece i los mese* de Mayo y Junio. £,000. Murcia interventor D. Tomas Pefia, oficial cesante de la dirección A tos -individuos de la di…</t>
  </si>
  <si>
    <t>Alonso, Diego AntonioGonzalea</t>
  </si>
  <si>
    <t>Diego AntonioGonzalea Alonso</t>
  </si>
  <si>
    <t>…ismo dia entre á d •srmptfiár Yandiola 4 Extremadura. D. Alvaro Gómez Becerra, D- Facundo Infante, destino de tesorero general, quedando Martínez en cesación.” D- Manuel de Silva, D. Diego AntonioGonzalea Alonso, D. Pablo De orden de S. M. lo comunico á V. para su inteligencia y efec Montesinos. La comisión, después de haber examinado los poderes de tos oportunos. Madrid 19 de Febrero de 181a. míos individuos, como asimismo tas reclamaciones que te habían he cho , op…</t>
  </si>
  <si>
    <t>Alonso, Diego González</t>
  </si>
  <si>
    <t>Diego González Alonso</t>
  </si>
  <si>
    <t>…ques de Guadalupe Cia ario. M-yordrmos de meme h, diputado por la provincia de Valencia , y pa-a secretarios á S'mana : cond-de la T&lt; rr Cosío , marqu ,d l !u;p.i , c n.lt d;Ciia- D. Diego González Alonso , que lo ;* por ia p-ov ncia de Extrema Huí , D. Ct tón mo ViI’jiti'' , D J , f Rano n Mi o, D. Manuel dura , a D. Mar ano Momo, por :a de Cuenca . i D. Martin Serrano, Agreda, D. Juan M chau. , D J -,-f Ani 10 i az- , ID J&gt;»s*f María por la de Valencia, y a…</t>
  </si>
  <si>
    <t>Alonso, Gmealez</t>
  </si>
  <si>
    <t>Gmealez Alonso</t>
  </si>
  <si>
    <t>Gaceta de Madrid n.º 348</t>
  </si>
  <si>
    <t>…, porque en 'a mayor parte de los dictamen:* hay si mpre a .una acm s.b.e el d.clami.i d-. ia cutn su r. parte admisible; pero vo tengo repugnancia d: votar ios t es a.tiernos, El Sr. Gmealez Alonso . Qu.sien pod -r pronunc ar mi discurso y para impumar os seguiié un rumba c.uy distóte» d~i que ha seguioo con el misii.u puíso que ¡ s ores preop motes. el Sr. Infante. Todo lo que ha dicho su s-ñona es muy oportuno para Ei S . Infante ha marnf stado en el…</t>
  </si>
  <si>
    <t>Alonso, Gonalez</t>
  </si>
  <si>
    <t>Gonalez Alonso</t>
  </si>
  <si>
    <t>…oteger d comen;io en aquella n Como descendientes de una nación célebre por «na luces y por provincia. su civilización, alcanzando una época en que esta mona civilización Otra del Sr. Gonalez Alonso, pora que llegad» el caso de sancio esparce con una profusión vivificadora sus beneficios aobre los Jemas narse el código penal, y loa demás que han de componer nuestra legis pueblos de Europa ; y teniendo continuamente 4 la vista el espectáculo lación , mand…</t>
  </si>
  <si>
    <t>Alonso, Gone-tiez</t>
  </si>
  <si>
    <t>Gone-tiez Alonso</t>
  </si>
  <si>
    <t>Gaceta de Madrid n.º 138</t>
  </si>
  <si>
    <t>…fundos para subvenir a sus Htw mun cipa Ies- no poOia acc.derse a -a -.u-p.nsion dei decirlo de 8 de Junio. La ccinision opinaba que este ayuntamiento debía acudir á la diputa ni Sr. Gone-tiez Alonso presento ia siguiente proposic.on : Pido á ción provincial de Vallado.id. Aprobado. las Cortes se sirvan acordar se nomtzre una coitos on expe. al que pro. Se leyó una proposición de los bres. Saavedra, Herrera y otros, ponga los m-dios de llevar a efeuo el d…</t>
  </si>
  <si>
    <t>Alonso, Gonzaiez</t>
  </si>
  <si>
    <t>Gonzaiez Alonso</t>
  </si>
  <si>
    <t>…as leyes, y yo no se por que no f.cmus de va el d.clamen á la comisión para que le r. forme en esta parte. examinar antes con la mayor escrupulosidad si estas leyes son .as mis Ei Sr. Gonzaiez Alonso : Y’o ■ r o ai contrario , que si la audiencia mas que te acordaron en la legislatura antea.o; , comprobando cui de Val adalid hubi-ra admitido el recurso de nulidad, habría infringido dadosamente su ident.dad. E» bien conocida .a necesidad de! ..oi go la ley…</t>
  </si>
  <si>
    <t>Alonso, González</t>
  </si>
  <si>
    <t>González Alonso</t>
  </si>
  <si>
    <t>…trámites que estas demarcados en las leyes, y para promuy diferente del del comisario de guerra Velasco. bario no me valdré de otras razones sino de las mismas que da el fiscal Él Sr. González Alonso pidió que se leyese el parecer fiscal de la causa togado. En su parecer se culpa á sí mismo, y culpa al tribunal dice de Velasco; y habiéndolo verificado uno de los Sres. secretarios, con que el papel de Velasco es altamente sedicioso, y que su publicación ti…</t>
  </si>
  <si>
    <t>…gislatura, se declare permanente. con arrecí &gt; al espír.tu del art. 101 del reglamento. Se declaró ser esta proposición de las comprendidas en el art. too Adm tid i á d.scuüon, el Sr. González Alonso pidió que se leyera del reglamento, y quedó admitida í discusión. el art- toi del reglamento; y apoyo la proposición , manifestando que Habiendo pedido la palabra varios Sres. diputados en pro de la pro debía aprobarse , pues no decía mas que lo que se expres…</t>
  </si>
  <si>
    <t>…a insistido en que se disue.van. mente desplegaría toda su energía cuando se *11 em muera la ktertaJiré. &gt;1 gefe político de Galicia lia dicho también que si se conservan sobre El Sr. González Alonso: Deseo que se sirva decirme el Sr. -ecr.talas armas las milicias, responde de la tranqu lisiad, que ya se halla resta rio de la Gobernación si ¡as autoridades de Barcelona se han reunido blecida. Ei Gobierno veri K que ha de determinar sobre este punto; de co…</t>
  </si>
  <si>
    <t>…manifestó este patriota sesión del Sr. Fernandez, acerca de la moneda. lo que hab.a sucedido si dieron las disposiciones convenientes para que No se admitieron á discusión las del Sr. González Alonso leída se acudiese al sitio donde decia. El Gobierno ha asegurado que dará las en la sesión del 3 del corriente. ordenes ccuv~.Mcr.tes para que no se altere la tranquilidad pública. Lo mismo se verificó con las del Se. Latre que se leyeron por pri Lo-, -res. s…</t>
  </si>
  <si>
    <t>…ia responsabilidad á los sccicta- Se acordó que pasase a una comisión especial la siguiente proposi rios del Despacho, sustituyéndose en lugar de dichos art.cjtos las re ción del Sr. González Alonso y otros: v Siendo escandalosas las ocur glas siguientes: 1 todo diputado tiene derecho para proponer se exija rencias que á fines del año último se han notado en algunas provincias la responsabilidad á los secretarios del Despacho ó á cualquiera de y asimismo…</t>
  </si>
  <si>
    <t>…que en el dia se sigue con respecto á la tesorería general , y asimismo á na determinada en mi propo&gt;icion. que D. Domingo de Torres con motivo de las ocurrencias particulares El Sr. González Alonso manifestó que no habia ningún artículo de del año pasado no pudo rendir las cuentas de su cargo. Por otra parta lt Constitución que mandase que los secretarios debían acompañar las no creo que compete á las Cortes el fijar el término en que deban pre cuentas…</t>
  </si>
  <si>
    <t>…curato* vacantes se publi entonces le darb mayor claridad. Asi se acordó. ca! án con la anterioridad de costumbre y estatuto en toda* las diócesis Se leyó b siguiente adición del Sr. González Alonso, que decía asi: de la Península. Aprobado. » Pido á be Cortes que en seguida de las palabras del art. 1 Art. 5. n Si en algunas diócesis, verificadas las oposiciones á cura se abstendrán dt dar órdenes mayores bajo ningún título, se añada nr tos con las circu…</t>
  </si>
  <si>
    <t>…, i.® de la impunidad de esta clase de delitos; y j.® de minos que se prefijan para una excepción de ley. la impunidad de los reos contra lat cuales declaran , pues que tul vea El Sr. González Alonso manifestó que cuando se habii aprobado pueden llegar i cumplir las amenazas que hacen , principalmente cuan el decreto de 13 de Marzo , efectivamente se haba comprendido en él do son facinerosos, asesinando á los que deposierori ellos. Asi á los magistrados;…</t>
  </si>
  <si>
    <t>Gaceta de Madrid n.º 121</t>
  </si>
  <si>
    <t>…riendo; y menos malo es De tio,ooi 4 X 10,000. 37- 44.400. 75,600. gravar temporalmente á la Nación por medio de una reforma , que no dejar empleados con calidad de temporales. El Sr. González Alonso fue de parecer que lot tueldot debían re Debe tenerse presente que los males se reproducen si no se cortan ducirte mocho matde lo que proponía la comition , en atencon al de ra&gt;z Respecto dé la objeción del Sr. Sar-via d¡.bo decir que .os grande aumento de va…</t>
  </si>
  <si>
    <t>…unarriz manifestó que no debia decirse que se adoptase testación á las observaciones que acababan dé lucera;. precitamente el método de Lancaster, sino aquel que te creyese mas El Sr. González Alonso, en comprobación de lo que habia dicho conveniente, y que te estableciese en lo sucesivo. el Sr. secretario del Despacho reprodujo lo que ayer manifestó en el El Sr. Infante contestó que la comisión no tenia inconveniente en discurso que leyó al Congreso sobr…</t>
  </si>
  <si>
    <t>…y. ; Y en qué consiste esta? ¡Cómo se conserva? Consiste en qua discute demasiada latitud, me opongo i él. ni lat Cortes ni el Rey son los que juzgan i los magistrados que han F.I Sr. González Alonso: fiiento seguramente que se repitan las faltado i tus deberes; los juzga otro tribunal, y aquí es donde se fun mismas impugnaciones que te hicieron cuando se discutió al dictamen da la independencia de este poder. Cuando se declara que un juez ó de la comisió…</t>
  </si>
  <si>
    <t>…con el Gobierno, si es posible, te tomen medidas que levante la cabeza contra el sistema que nos rige. prontas y enérgicas, capaces de salvar á la madre patria de los peligros El Sr. González Alonso: Creo que no se puede ocultar á la sabi que la amenazan. Ya dije dias pasados que nunca mas que ahora necesi duría y penetración de todos los representantes del pueblo español el taba el pueblo español de tales medidas, las que ti no se adoptan, los su estado…</t>
  </si>
  <si>
    <t>…á su cargo todo lo que se había expresado en el art. i.°, era menes los d catinos que habían desempeñado. ter ó que lo desempeñasen por sí, ó que se valiesen de otras personas; Ei Sr. González Alonso manifestó que no podia discutirse el pro y esto era precisamente lo que se explicaba y aclaraba por el art. a.° yecto que la comisión proponía sin que cada pueblo tuviese un regla El Sr. Ruiz de la Vega dijo que los alcaldes estaban autorizado* mento munici P…</t>
  </si>
  <si>
    <t>…a comisión Registro. Papel sallado. Letras de cambie pera que le refórmese conforme á las luces que habia arrojado de sí ia discusión. Cataluña—.—... Cataluña........ Cataluña. El Sr. González Alonso: En otra ocasión be manifestad o mi opi Toledo. Córdoba.......... Córdoba. nión sobraba causas que influyen en el estado de nuestra patria , y he Cuenca,............. Cuenca, indicado que el recurso mas principal que puede salvarla de cualquier ■ Toledo—.....…</t>
  </si>
  <si>
    <t>…para que liquidasen sus sumi atrasos desde 814 á 819 hasta que se haya verificado la liquidación. nistros, obligándoles á pagar todas las contribuciones vencidas durante Otra del Sr. González Alonso sobre la loma de razón y reconoci la guerra de la independencia , si no acreditaban haberlas satisfecho por miento de lo* ciédit»s de que se trata. aquel medio- Con esta disposición se apresuraron todos los ayunta Y otra del Sr. Zulueta sobre la admisión de d…</t>
  </si>
  <si>
    <t>…stos. Después de una corta discusión »; rcrVió vo para añadir lo que en ellas se proponía, por estar ya expresado en se procediese á la del dictam n. otros a;:,cu os. Aprobado. El Sr. González Alonso impugnó en la totalidid dicho d'cfam-r, También se aprobó otro dictam-n de las nvsmas comisiones, en el manifestando en primer lugar quj adm t r a u-t v» la . Suc--&gt;n que opinaban que no debía aprobar»,' una adición de! Sr. Ro p para que territor al como un e…</t>
  </si>
  <si>
    <t>…á usar en el tér filosóficas y los sentimientos naturales que la comisión tiene, como mino de dos meses.” puede tenerlos cualquiera otra persona de una mediana ilustración ? Yo El Sr. González Alonso se opuso á esta medida, como contraria al no apelo mas que á la comparación de los resultados, yen llegando á lo art. 18 de la ley de p de Octubre de 81 a , por el que se declaraban que una triste experiencia nos ha ensefiado, es preciso seguir á esta y inamo…</t>
  </si>
  <si>
    <t>…ión que hacia 6. M. Segovia.......................... 2.290,454 Se pasaron á la comisión primera de Hacienda dos adiciones del Soria..................................... 1.003,895 Sr. González Alonso y de los Sres. 'Apoitia y Xortes sobre el repar Tol-do ............................ 1.881,140 timiento de contribuciones. Va'ladolid........................... 1.93 ,047 Se declaró comprendida en el art. 100, y admitida 4 discusión qiu&gt; Valencia..............…</t>
  </si>
  <si>
    <t>…era la copia del acta de elección, !o se señalen y anuncien, se c taran ai ayurtarnin.to todos es cu cual se verileó. aturado en ei goce de los díric’-o» de ciuda.tano, y as ¡u El Sr. González Alonso: Según lo que se ha manifestado , la pro hayan cumplido ¡aedal pr icr ta para abslars- n ;a mob.t', ;.ivincia de Fi.ipluas estaría sin representantes teda la eternidad , puesto tmos serán reconocidos y ta.iadas, y los nctrbr s cees v qu- nc se ha tratado sol'…</t>
  </si>
  <si>
    <t>…sto por se tienen las Cortes que ocupar, leerán las razones en que se fundan. tanto en lo que he propuesto. En seguida el Sr. secretario del Despacho de la Guerra leyó la me E Sr. secretario González Alonso dijo que podía pasar el oficio á moria correspondiente al suyo respectivo. la coi» sion que si nombrase, y que esta pata dar su dictamen podría Concluida U lectura de esta memoria , dijo el Sr. Soria que en ella pedir al Gobierno las revistas ó cualquiera otr…</t>
  </si>
  <si>
    <t>…res, cabos y furrieles de ca pueb o quien la impuso, no hay otro med .o de correar e&gt;to &gt;- -:o&gt; tadores. qu* ti de reit.hl -cer -i Rey en !a ateta 'idai de su poder. A« pu.-- n El Sr. González Alonso dijo que el sobre de esta consulta venia tal estado de las cosas los anuyes del orden , sean ¡as qor qu-rio ,ut dirigido á los secretarios de las Cortes, y el membrete al de ia D.pu- opinion*s, deben et-.’.xr i::-.» &lt;1 Rcx ar&gt;el*t •__t.os rea &gt;st»&gt; consl tuta…</t>
  </si>
  <si>
    <t>…ín) dijo que precisamente estábamos en la Se mandaron pasar á la misma comisión las siguiente* adiciones del capital de la monarquía, en donde era preciso corregir el desorden que Sr. González Alonso al reglamento de policía. se notaba en la numeración de las calles, pues las había que tenian un capitulo 1. mismo número repetido, lo que nacía de la costumbre de numerar por mmzmas, cota que no se hacia en ninguna parte de Europa: y que te Disposiciones gen…</t>
  </si>
  <si>
    <t>…se ex en este articulo quiénes son los que ios han de supir en este caso: por plicase mas sobre este punte. consigu ente lo que propone la convsion en esta medida está apoyado Kl Sr. González Alonso: Satisfaré *1 Sr. preopinante. por este decreto d: las Cortes Ad mis el art. 33^ de la Const tucion, Cuando yo be hablado esta mañana, no ni: he acordado de que el cu indo hab a de la smp-nsion de los voca!es de :as diputación.s pro Sr. D. Agustín Arguelles e…</t>
  </si>
  <si>
    <t>…ion total de lo» regulares es una med da que tvc.m* ia sentación d.*l proytclo de deerto que ha oír cido." opin on publica , y también es conveniente a los r. cuiarr» ir,ornes. El Sr. González Alonso dijo que cuanto en esta medida se decía E'loa teman sus renta, y sus ber.es, i cutí di « puede ri ,.r qu.' no que se daría un tesl.monio solemne de gratitud y aprecio al ayuma- tienen roas que el hab lo , y están su ¡.tu» * .os ord.n*! .0» , que es lo 1</t>
  </si>
  <si>
    <t>…a pueden, mientras ro se derola voz justicia en la de autoridad local. ue este articu.o , poner ningún genero de contribución a la ciase de Después de haber apoyado el artículo el Sr. González Alonso, se os nul tares. declaró el punto suficientemente discutido , y quedó aprobado el ar be sabe muy bien que las Cortes pueden variar los sueldos de los tículo. funcionarios pub eos , prro no e, e»to de lo que se trsta; y por io in $Art. ai. &lt;1 Todos los milita…</t>
  </si>
  <si>
    <t>…odos los partidos, de todos los principios y de todas Art. i.° ( Víase la ¿aceta J.'l 1.' del corriente. ) las personas que son ultrsu. Nos persuadimos que no encirgará. ni san El Sr. González Alonso: He pedido la palabra solo para hacer una cionará , ni sufrirá que se emplee la fuerza para inculcar sus principios observación. Es constante que la libertad es hija de muchos sacrifi 6 hacer egecutar tus decretos. , cios; pero siempre es menester que haya un…</t>
  </si>
  <si>
    <t>…ei gefe poíó'co , puede aquel presentar las co de la C nst iu. ion. (se leyó.) sas de otro modo, y puede recib.r dr.lalaciones de nuevo; test-eos, T . uli en se 11 í&gt; á pendón del Sr. González Alonso el art. 17 da buscando aquel os que sean lávorab.e» al reo ; y por cons.guiente no sa la b y de 14 *¡c Marzo d- 1813. Lena el objeto de la eom sion: en el segundo c&gt;»o va he dicho que ios El ir. O iv.r: S. opon- el Sr. preopinante á que los gefes políticos gr…</t>
  </si>
  <si>
    <t>…n el bicho de haber sometido el Gobiern.» este asunto á la que la adición del Sr. Aillon no es admisible. resolución de las Cotice deja al arbitrio de estas el imponer ó no una El Sr. González Alonso dijo que le comisión hasta ahora no había contribución sobre los bienes de ios que ss hallan «ns paites extraña contestado directamente é las objeciones que se le hacían, y que desea ros, y las Cortes lo harán ó no, según las circunstar. ..as ú otn» raz nei b…</t>
  </si>
  <si>
    <t>Gaceta de Madrid n.º 357</t>
  </si>
  <si>
    <t>…consiguiente responsables de su inobservancia. El Sr. Infante: Ya la comisión ha redactado el artículo de un mo do que debe quedar satisfecho el Sr. preopinante. cAriTUto 11 r. El Sr. González Alonso: Los señores que me han precedido han De los gobernadores de las plazas. hecho ya algunas de las observaciones que tenia yo que hacer sobre es Art. 1 » Los gobernadores ó comandantes de la* plazas manda te artículo ; pero añadiré que él tiende á desterrar las…</t>
  </si>
  <si>
    <t>…ara obs-rvar mejor lo qu* pase entre ctiOf. y para ¡a de código de procedimientos, en lugar dei momo o.. O.iver Art. 20. » E' c'&gt;ma:.d*utd de una guardia mandará pasar listas á al Sr. González Alonso. la suya ccn frecuencia , siempre que lo crea conveniente. El br. presidente anunció que mañana se discurría dictan» *n de A I. ai. «be cuidará en cuanto a.a pot.b * qu las centinelas etten la comisión especial sobre el ¿odultar á varios fa..¡o»os aprrhend do…</t>
  </si>
  <si>
    <t>Alonso, Gonzilez</t>
  </si>
  <si>
    <t>Gonzilez Alonso</t>
  </si>
  <si>
    <t>…e parte en la invasión del y de Julio , porque si no hubo lactiltad:s ni todos ellos una gracia tan general. en el Rey ni en el brigadier Palana para hacer ejit.rsivo ei perdón El Sr. Gonzilez Alonso ¡ La comisión no descrnocs los hec' os d; la vida á !os cabezas de facciosos que se reunieron en )a casa de con que desgraciadamente atiigieron á la madre patr a los guardias re Campo , si las Cortes les conceden esta gracia, justo será qu: se con beldes en e…</t>
  </si>
  <si>
    <t>Alonso, Joan Francisco</t>
  </si>
  <si>
    <t>Joan Francisco Alonso</t>
  </si>
  <si>
    <t>…, por lo cual siempre se dejará un hueco como el de este modelo. En Cataluffa. En las mudanzas de los individuos de un barrio á otro se tacharán La de Montblanch por traslación de D. Joan Francisco Alonso los asientos en rl primero , y te copiarán en el segundo. Caballero á la de Fraga. Kn los asientos de cada barrio se dejará alguna hoja en blanco pata En Chinchilla. las notas explicativas de los asientos que convenga extender. La del pérfido de Chinchilla po…</t>
  </si>
  <si>
    <t>Alonso, Josef</t>
  </si>
  <si>
    <t>Josef Alonso</t>
  </si>
  <si>
    <t>Gaceta de Madrid n.º 43</t>
  </si>
  <si>
    <t>…mando para la plaza de re^-nte de la audiencia de Aragón, vacante por jubila después de haber recibido orden para «lejarlo es la mayor después de la ción de D. Pedro María Ric, á D. Josef Alonso, ministro de la de Made la vi«la. Por lo mismo no aprobaré que se ponga la misma en el caso «lrid. En la propia forma, ha venido S. M. en nombrar para dos plazas actual, porque tratándose del derecho de petición, es preciso que tenga de magistrados, de las de…</t>
  </si>
  <si>
    <t>…e Febrero dé i8»z. clase de inspector general de las tropas del cordon sanitario, acaba de dar fin á su encargo, y de visitar toda la línea del cordon desde uno á Por promoción de D. Josef Alonso á la plaza de regente de la au otro extremo de la cordillera del Pirineo. Este general ha dado los in diencia de Aragón ha quedado vacante la de magistrado qu* obtenía formes mas satisfactorios de la organización del servicio sanitario , y en la de Castilla l…</t>
  </si>
  <si>
    <t>…e teniente coronel I). Migue! Orier, á los t-mentes I). Jo- guerra Aretiu.t después da haber cruzado en las aguas de la costa &lt;!• sef Rico y D. Bernardo Echalegur , al subteniente D. Josef Alonso , al Galicia. EN LA IMPRENTA NACIONAL.</t>
  </si>
  <si>
    <t>Alonso, Juan Bautista</t>
  </si>
  <si>
    <t>Juan Bautista Alonso</t>
  </si>
  <si>
    <t>…os de del Morro , en la íiavana, en solicitud de que se,le aumente el sueldo. gente que se dice estaban reunidos en la puerta de Toledo; ha dado la A Ja de Marina una soli-ilud de D. Juan Bautista Alonso , empica casualidad que al mismo tiempo ha entrado en ¡a secretaría de ia Guer- do en el depósito de Marina de la Coruña, en solicitud de aumento de ra el comandante general de esta provincia, el cual, sabedor también sueldo. de estas noticias, había mandado…</t>
  </si>
  <si>
    <t>Alonso, Juan Francisco</t>
  </si>
  <si>
    <t>Juan Francisco Alonso</t>
  </si>
  <si>
    <t>…caballería del mismo género, igual al que ha estado vendiendo en esta cor retirado, con 810 rs. al mes. te , donde lo anunció como superior en todas sus cualidades á los Cuenca al capitán D. Juan Francisco Alonso, segundo ayudanta que hasta el presente se han introducido del extrangero, como lo fia del regimiento infantería de Jaén , con 670 rs. acreditado el consumo que se hace de él en esta capital, como también Cádiz al capitán D. Josef Matía Miranda, segundo ayuda…</t>
  </si>
  <si>
    <t>Alonso, Manuel</t>
  </si>
  <si>
    <t>Manuel Alonso</t>
  </si>
  <si>
    <t>…menos conspicua que su ambición á la baraja, que les La comisión de Premios, en vista de la solicitud de Doña María consume la mas preciosa parte del tiempo. de la Paz, viuda del capitán D. Manuel Alonso, mamf.stando Jos Veracruz Marzo 12. Negrete ha bajado í México con 700 caballos; mér.tos y servicios de c:tj, y ¡os que contrajo la interesada en t empo y Cruz, con quien dicen haber tenido conferencias Iturbide, se halla de la guerra de la independencia , en…</t>
  </si>
  <si>
    <t>Alonso, Nícoiat</t>
  </si>
  <si>
    <t>Nícoiat Alonso</t>
  </si>
  <si>
    <t>…está casi enteramente destinado á v°tos hafier lugar á ta formación de causa , habiendo disentido loa tratar de la vid, de su cultivo, de tus enfermedades, del modo de hacer Sris. D. Nícoiat Alonso, D. Lorenzo Calvo de Rozas y D. Juan Cortés. Jos vioos'&amp;c. Sin repetir los elogios que ya dimos i esta obra en su» pri meros cuadernos , elogios que deben comprender á todos los demás, Don Gregorio Lagarda , alférez del regimiento caballería de Cala— manifest…</t>
  </si>
  <si>
    <t>Alonso, Nicolás</t>
  </si>
  <si>
    <t>Nicolás Alonso</t>
  </si>
  <si>
    <t>…nso , V¡llavieja, Ovsile, Sequera , Adan , Calderón, Puma- muchas proposiciones; se reunió el jurado compuesto de lot señores si rejo , Salvato y Seoane. guientes: D- Lino Campos, D. Nicolás Alonso, D- Antonio del Al Se leyó la siguiente adición del Sr. Becerra: » Pido que la remisión cázar, D. Joaquín Cevallos, D. Felipe López Valdemoros, D. Higi«leí código penal á la sanción del Rey se eotienda corregidos y com nio Antonio Llórente, D. Sebastian André…</t>
  </si>
  <si>
    <t>…f Anto la persona que se despoja? ademas tampoco hay posesión, poique las nio Ponzoa y D. Antonio Regas. cosas afectas i señoríos territoriales y solariegos no son susceptibles de D. Nicolás Alonso declaró no haber lugar. posesión, y solo lo son por el origen vicioso ó no vicioso que pueden tener; pues que estas concesiones se hicieron en contravención á las le En la villa y corte de Madrid , habiéndose observado los trámites yes del reino , que declara…</t>
  </si>
  <si>
    <t>…e Madrid, núm. 195, en concepto de injurioso. En su vista se reunió Nota. Las liquidaciones de que tratan lot dot últimos casos se en el jurado, compuesto de los Sres. siguientes: D. Nicolás Alonso, Don cabezarán y concluirán conforme á lo que queda indicado para la pri Antonio Puigblanch, D. Ramón Llord, D. Andrés Alcon, D. An mera. drés Moya Luzura.a, D. Domingo Fernandez Angulo, D. Francisco Dirección general de impuesto/ indirectoi y efecto/ estanca…</t>
  </si>
  <si>
    <t>…s de laa D. Juan Paz, D. Antonio Alcázar, D. Cayetano Romero, D. Joa fábricas de las iglesias y los parroquiales en donde se alargan las parti quín Manrique; D. Mariano Zorraquin, D. Nicolás Alonso, D. An das de casados , nacidos y finados. tonio Puigblancb, D. Ramón Llord y D. Francisco Martínez Marina. Art. 15. « Los fondos de las fábricas de las iglesias costearán sus Habida la conferencia, se declaró por unanimidad n« haber lugar 4 libros y los parr…</t>
  </si>
  <si>
    <t>…libremente puede elegir á Sres. que fueron de opinión contraria: D. MitíasCitero, D. Joaquín •Hat ¿MÍt otras «pie crea convenientes para el efecto. Manrique , D. Gonzalo Cárdenas, D. Nicolás Alonso , D. Andrés Art. 8.a » Cuidará el Gobierno de dar á sus encargados en Madrid, Alcoa y D. saturnino Lozano. Lóndres y París las órdenes necesarias para el mejor y mas pronto des Ateneo español. empeño ele cuanto deban piacticar para la cgecucion del presento E…</t>
  </si>
  <si>
    <t>Alonso, Pedro</t>
  </si>
  <si>
    <t>Pedro Alonso</t>
  </si>
  <si>
    <t>…ió ayer la nota de S. E. al como calumniólo 4 dicha ciudad, y en el z,°coi»o denigrativo 4 la mis Sr. secretario de Estado con fecha de t.° del corriente , en que se le pi ma y al D. Pedro Alonso «le la Espina en particular, se reun ó el jura de alguna aclaración 4 una supuesta repulsa de secularización hecha A do , compuesto de lossrfiores siguientes: D. Tomas María Z&gt;non, Don un* monja de Mallorca por falta de facaltade*. Sin duda qne debe ha Joaquí…</t>
  </si>
  <si>
    <t>Alonso, Podro</t>
  </si>
  <si>
    <t>Podro Alonso</t>
  </si>
  <si>
    <t>…su petición por haber espirado ai tncional de esta muy heróica villa, por D. Francisco de Flores 4 nom término por el que te había autorizado 4 dicho Sr. nuncio , quien me bra «le D. Podro Alonso de la Espina, vecino de la ciudad de Avila, contesta con fecha del 3 en los términos siguientes: do» artículos insertoaen el núm. ais y 156 del Espectador, el primero » El infrascrito nuncio apostólico recibió ayer la nota de S. E. al como calumniólo 4 dicha…</t>
  </si>
  <si>
    <t>Alonso---I</t>
  </si>
  <si>
    <t>…cionada abzi. cabeza y en la de D. Antonio Manrique de Guzman._i 14. Dichas sa* El Gotismo ha recibido el oficio siguiente t linas, juro y haber 155,10a mrs., en cabeza del citado D. Alonso---I. Servicio ordinario de Toro, juro 111,500 mrt,, en la misma cabe n Excmo. Sr.: Pot el parte que tuve el honor de dirigir i V. B. con za__8. Alcabalas de Valladolid , juro 17,04$ mrt., en cabeza de Don fecha 2 del corriente se habrá enterado de las disposicion…</t>
  </si>
  <si>
    <t>Alosaron, Juta Antonio</t>
  </si>
  <si>
    <t>Juta Antonio Alosaron</t>
  </si>
  <si>
    <t>Gaceta de Madrid n.º 31</t>
  </si>
  <si>
    <t>…e ignora, pero que and térmiau preciso 7 perentorio de ijén, comparezca en le « Habiendo publicado varios periódicos de esta capital en la sesión escrí hanía de Cámara dd cargo de D. Juta Antonio Alosaron, á efecto da de Cortes de del corriente, que en el oficio pesado á las mismas por que se le notifique el traslado que ae le ha conferido de la acusación del se* el ministerio de la Gobernación de Ultramar, comunicando el Real fior fiscal en la causa pendiente…</t>
  </si>
  <si>
    <t>Alotiso, González</t>
  </si>
  <si>
    <t>González Alotiso</t>
  </si>
  <si>
    <t>…del sujeto que aspire s .entrar y no recavo resolución alguna sobre ésta proposición. en ella, y será admitido si asi lo resoiviere la mayoría de los volunta P opo*.piones del S’. diputado González Alotiso. rios que se hallen presentes. 1. Que se declare que están suspensos de lo» derechos de ciuda 3.0 Para ser vo. untarlo no se requiere otra circunstancia que la de danos todos los sirvientes domésticos de palacio que han est.pu’aro «star en el goce de los dere…</t>
  </si>
  <si>
    <t>Aloy, Miguel</t>
  </si>
  <si>
    <t>Miguel Aloy</t>
  </si>
  <si>
    <t>…oldado que fue del batallón He Tiradores de Castilla, natu antemano á juicio de le dirección, quedando sin embargo sujetos 4 la ral de la villa de Laseca, provincia de Val adolid. D. Miguel Aloy, cuota q« les corresponda en su escala. De su acuerdo lo comunicamos teniente coronel graduado de milicias urbanas, y vecino -de h igueras. i V. E. para su inteligencia, y que se sirva disponer» cumplimiento.” D. Antonio Calderón , teniente que fue del regimi…</t>
  </si>
  <si>
    <t>Alpnente, Romero</t>
  </si>
  <si>
    <t>Romero Alpnente</t>
  </si>
  <si>
    <t>…en examinar la cuestión de si en este caso seria justo castigar oportunas.* la tentativa con la misma pena del delito consumado; pero fundándo Se leyó la siguiente proposición del Sr. Romero Alpnente , la cual me en loe principios asentados en las anteriores observaciones, opino no se admitió á discusión: o que vuelva é la comisión todo el título que por este artículo se fulmina una pena que no guarda proporción primero de la primera parte, en cuanto teng…</t>
  </si>
  <si>
    <t>Alpoente, Romero</t>
  </si>
  <si>
    <t>Romero Alpoente</t>
  </si>
  <si>
    <t>Gaceta de Madrid n.º 11</t>
  </si>
  <si>
    <t>circular &gt; ;N« es om ¡atracción M decreto ? A't reenjsm vmds. nada; 8 Sr. Romero Alpoente apoyó el dictamen de le comisión, ma limítense i mandar listas de las tienes (¡tu hssya , y rita par las rstzsmes nifestando la justicia que habia para reintegrar é los partícipes legos, que les den tos entoldes. Esto ha sido m iimmc* lo que se ha manda»’ pue…</t>
  </si>
  <si>
    <t>Gaceta de Madrid n.º 40</t>
  </si>
  <si>
    <t>…or El Sr. Cuesta reprodujo algunas sacones de las que habia maní frita conveniente retirarlo. do anteriormente. Art. 15* - La declaración de los jueces de hecho, en que se dice El Sr. Romero Alpoente manifestó que tratándose de aclarar un » ha lugar ó no ha lugar á la formación de causa," se publicará de oficio artfeulo de la ley de ta de Octubre te había propuesto uno que abso en la gaceta de Madrid, cómo se previene en el art. 73 de la ley de az lutamen…</t>
  </si>
  <si>
    <t>Alpucnte, Romero</t>
  </si>
  <si>
    <t>Romero Alpucnte</t>
  </si>
  <si>
    <t>Gaceta de Madrid n.º 37</t>
  </si>
  <si>
    <t>…as; pero mi opi mayor grado! No, ni se necesitan: ¡ojalá que yo y todos poseyésemos nión está comprometida. las de sus Señorías! Sin embargo de cuanto se ha manifestado insisto El Sr. Romero Alpucnte te opuso al dictamen.de la comisión, y todavía en mi proposición, porque debemos precaver que los diputados manifestó que no se debía declarar haber lugar á votar, tanto porque en que no puedan tener Ja fortaleza de sus Señorías dejen de usar de liber él habí…</t>
  </si>
  <si>
    <t>Alpuedte, Rotnero</t>
  </si>
  <si>
    <t>Rotnero Alpuedte</t>
  </si>
  <si>
    <t>…ue se coartaba el derecho de pe bremente. En otra por una facción miserable se obligó 4 que un ayun tición. . - tamiento enviara diputados al Rey para que regresara i la corte. El Sr. Rotnero Alpuedte manifestó que se había opuesto al adjeti Yo bien sé que el Congreso no se ha dejado llevar en todas ocasio vo mdhidüal en los artículos anteriores, por considerar que con él se nes de lo* amafió* que se ponían en práctica pera hacer que se tuviera daba pie pa…</t>
  </si>
  <si>
    <t>Alpuente, Hornero</t>
  </si>
  <si>
    <t>Hornero Alpuente</t>
  </si>
  <si>
    <t>…estar en contradicción rica fe bandera española, á no ser que te reconociese fe independencia. con dicho tratado. Manifestó en seguida que tu voto particular habia sido á conse El Sr. Hornero Alpuente dijo que ni el dictamen de fe comisión cuencia de las observaciones que se habían hecho al tiempo de fe dis ni alguno de los «otos particulares suponía nada de independencia, y cusión del anterior dictamen y de 1a opinión del Gobierno, y sobre por lo mismo el…</t>
  </si>
  <si>
    <t>Alpuente, Romero</t>
  </si>
  <si>
    <t>Romero Alpuente</t>
  </si>
  <si>
    <t>…en ningún modo contrario á la Cons Se mandaron pasar á la comisión dos adiciones al art. r&amp;$, unz titución. de los Sres. Gaseo, Quintana, Camas Herrera y Yu te, que deesa así: El Sr. Romero Alpuente dijo que algunos Sres. diputados querían pero en ningún caso ex njormata eanseientia , y otra del Oaipli, hacer creer que los eclesiásticos quedaban desaforados p-r el artículo concebida en estos términos: en el modo que determine el cCJigo de -¡pro— que se d…</t>
  </si>
  <si>
    <t>78</t>
  </si>
  <si>
    <t>…, y manifestó que por este artículo se daba margen á las de tiene que atender á otras muchas cosas. laciones. Se declaró suficientemente discutido este artículo , y quedó apro El Sr. Romero Alpuente se opuso ¿ este artículo, manifestando bado.</t>
  </si>
  <si>
    <t>…igo para poner en libertad á lo, delincuentes, jueces sobre un hecho, lo que no correspondía al Congreso. ó pira asesinarlos ó herirlos, ó para arrancarlos a la fuerza de manos El Sr. Romero Alpuente contestó que las Cortes tenían una ins de ia justicia.” pección particular sobre todo lo que correspondía al Crédito publico, Art. *88. ( Adición de la comisión.) » Si en la sedición consuma para que en este establecimiento no tuviese ninguna especie de i'',-…</t>
  </si>
  <si>
    <t>…l que ha Cortes declaren que ha lugar á Ve tar sobre ia totalidad dea dictamen de blase. la comisión écc. ¿re. En el art. 8.° s'trata del lugar en donde se ha de sufrir la pena El Sr. Romero Alpuente deshizo algunas equivocaciones que d io prescrita por la ley, y se dice que sea en un casólo ó fortaleza la an hab a padec.do e; Sr. preopinante. terior dice quesea en una carecí. Pero yo hallo tr.uy bien di.puesto este A petición de var o» Sres. diputados se…</t>
  </si>
  <si>
    <t>…a ser creía que seria lo mas conveniente. castigado; pero que no estaba comprendido en la ley de 2 a de Octubre. Después de haber hecho varias observaciones concluyó manifestan El Sr. Romero Alpuente: Este artículo está extendido bajo un su do que no se debía aprobar el artículo. puesto constitucional explicado por la bandera de regimiento, y por El Sr. DoJarea: Nuestro edificio social está sostenido por tres co esta razón se colige que la Constitución ha…</t>
  </si>
  <si>
    <t>…iaria que allí se es rativos en el Dniéster—.En Ode» se tiene siempre por inevitable la guer tablece.” ra , para la que se están haciendo millares de cartuchos en dicha ciudad. El Sr. Romero Alpuente se opuso á este artículo, manifestando que Se tenia en ella la confirmación del levantamiento en Ttebisonda con por 41 se duplicaban sin necesidad las penas que se habrán impuesto en tra la Puerta—S. A. el Sultán parece resuelto ¿ ponerse al frente del la ley…</t>
  </si>
  <si>
    <t>…ente debía apro en ti art. gj dt la ley, iré.-, por consiguiente aquí no se hace ninguna barse el artículo. innovación, y solamente se reduce a una ampliación de aquel artículo El Sr. Romero Alpuente impugnó el artículo, manifestando que * el 10 del dictamen de la comisión , y dice que ademas del hscal ten no solo se había doblado la pena, sino que se aumentaba mucho mas, gan obligación los promotores finales de los juzgados de primera ins privando á los…</t>
  </si>
  <si>
    <t>…azarla una clíusula que hay en el art. (4, la cual cuando llegue el caso de discutirse se aprobará ó no se aprobará. Por las refle ARTICULO DE OFICIO. xiones que acaba de hacer el Sr. Romero Alpuente me veo precisado á repetir lo que muchas veces se ha dicho ya. ¡Es posible que te nos El Rey ha expedido los decretos siguientes: diga que con esta ley se dan armas al Gobierno, y que por ella puede Don Fernando vrr por la gracia de Dios y por la Constitu dis…</t>
  </si>
  <si>
    <t>…juz que trataba de la observancia de la Constitución, y modo de proceder gare conveniente al baca público.’* para hacer variaciones en ella, creyeron los fundadores de la misma El Sr. Romero Alpuente dijo que todo español tenia el derecho Constitución, como mejor y mas saludable medio, establecer el ar de petición concedido por la misma Constitución , y que ahora se da tículo jyi (primero de este título), en el cual se decia que las Cortes ba a entender p…</t>
  </si>
  <si>
    <t>…rdar ó dictar providencias nos nombradas por el Gobierno, los desempeñan ciudadanos particu unidamente. lares avecindados en los pueblos respectivos. Esta es una teoría exacta, El Sr. Romero Alpuente dijo; La comisión no ha tenido presente que no debe confundirse. lo que ha ocurrido dias pasados, y lo que sucederá siempre, á saber, Las Cortes han visto que muchas representaciones que se les han que un pueblo arrastre á una autoridad porque no haga lo que…</t>
  </si>
  <si>
    <t>…. y castigo, nté no tea de escala en su respectiva carrera.'' penque inmediatamente rigiese el código penal. El Sr. presidente dtjjo que esta proposición en contraríe i la Cons El Sr. Romero Alpuente «atuvo el dictamen de b comisión, ma titución, le que prevenía lo conveniente acerca de este punto: que por nifestando que todo el código penal giraba bajo el supuesto de haber su peste estaba libra deobtener ningún ascenso por parte del Gobierno, jurada; y p…</t>
  </si>
  <si>
    <t>…z. 14, oponernos á la aprobación de los poderes. En las juntas preparatorias de con 4965 i pies, y 49 rales de la carga de alumbrado, su valor líqui las legislaturas anteriores el Sr. Romero Alpuente se opuso á que se do 68,901 rs., rematada en 2859. En su virtud se han señalado 30 dias, aprobasen los poderes del Sr. Cano Manuel por tener causa pendiente, que principiarán i contarte desde el primero siguiente 4 su anuncio eu la cual se le había formado en…</t>
  </si>
  <si>
    <t>…Becerra se aprobó este dictamen. relativas 1 lo acordado por las Costes á consecuencia, de una proposiciota he &lt;iió cuesta de una exposición de D. Josef Site?, ciuJadano espa del Sr. Romero Alpuente acerca de los consejeros (fe Estado que ha ñol, en la que teiteraba uní solicitud que hizo i las Cortes anteriores, bían entendido en las causas formadas ¿ los patriotas constitucionales y hacia presente que el Gobierno no había atendido á la recomendación de…</t>
  </si>
  <si>
    <t>Alrr.los, Eugenio</t>
  </si>
  <si>
    <t>Eugenio Alrr.los</t>
  </si>
  <si>
    <t>…en Momblanc tiene 150 hombres; habiendo percibía. Aprobado. ido en su persecución dos compafiía* del valiente batallón de .Barcelona La misma comisión, en vista de la solicitud de D. Eugenio Alrr.los ha encontrado posesionados de las montañas, hl otro se conoce por so Gaseo, sobre que se le perdonasen 6*&gt; fanegas de trieo'que adeuda al Estudiante, y según noticias tiene ya 80 hombres. ba al pósito de su pueblo, opinaba que debía pasar á informe de la di S…</t>
  </si>
  <si>
    <t>AlSe</t>
  </si>
  <si>
    <t>…vo para ello les mandarán exigir la responsabilidad.” habían sido gratos i la misma, recomendándole al Gobierno. Aprobado. La misma comisión opinaba dibia aprobarse la adición del Sr. AlSe leyó un oficio del Sr. ministro de Gracia y Justicia, en el qua vsrez al art. 2 ■ ya aprobado , y de consiguiente aludirse después de las participaba á las Cortes que el Rey había se Balado la hora de la una del palabras Crédito público, ó al contrario. Aprob…</t>
  </si>
  <si>
    <t>Alsinan</t>
  </si>
  <si>
    <t>…pan ce SS. MM., y citó á los señores diputados para la hora de las nueve del lebrar el tratado? ¡Puede ser válido por ventura! día de mañana , y levantó la sesión á lat cinco. El Sr. Alsinan ha dicho que no seria útil, político ni congenien- . te al que se aprobase el voto particular que se discute; pera precisamen No habiéndose presentado algunos sugrtos en los días que les cor te yo creo todo lo contrario , porque habiéndote presentado demasiad…</t>
  </si>
  <si>
    <t>Alt, Ramón</t>
  </si>
  <si>
    <t>Ramón Alt</t>
  </si>
  <si>
    <t>…pd 'iracíomisión de Comercio dos expedientes rem.t.dos por el Sr. secretario de aes, y peras tifias ahora , siendo asi que no se perjudiceba t* nada a Jos Hacienda, promovidos por D. Ramón Alt 1 garra ja , del comercio de interesado* en no admitirlas, pues se le detaban sus su- .'os , pensiones C*diz, J la viuda de Aguirre é Ibartondo é hijo», del comercio de y demas; y que por lo mismo no debía aprobarte el dictan*.n dé la co Ri.bao, solicitando q…</t>
  </si>
  <si>
    <t>Alta, Vicente de</t>
  </si>
  <si>
    <t>Vicente de Alta</t>
  </si>
  <si>
    <t>Gaceta de Madrid n.º 54</t>
  </si>
  <si>
    <t>…o lo siguiente. Art. i." Lo* bro último per parte de IX Antonio Riaño y O. Miguel Upas ; la .producto* de la agricultura ty de la industria nacional conducidos direc ley condenó • D. Vicente de Alta, editor principal da aqtK.I- pesió tamente de un puerto hábil lado,de le Monarquía, y en buquoetpaftol, dico, y responsable de dicho impreso , a la pena dsaresmesesdeptssiam no pagprin á su introducción en le isla de Cuba’dertcbo'R¡juno 'gene y multa de tgeo…</t>
  </si>
  <si>
    <t>Altamira, Joscf Mana Moscoso de</t>
  </si>
  <si>
    <t>Joscf Mana Moscoso de Altamira</t>
  </si>
  <si>
    <t>…uentro el mismo y el oficial del circule. = Esta rubríca lo de la Keal mano. = En Palacio á 5 de Marzo regimiento de Africa, que coa la tropa de tu partida auxilió la* de 1822.= A D. Joscf Mana Moscoso de Altamira. operaciones de esta acción, batiéndose todos con la mayor intrepidea y valentía , son prueba de los buenos sentimientos patriótico» que loe Don Fernando vii por la gracia de Dios y por la Constitución de animan ; por cuyo motivo «s ha servido al Rey mandar q…</t>
  </si>
  <si>
    <t>Altamira, Josef María Moscoaode</t>
  </si>
  <si>
    <t>Josef María Moscoaode Altamira</t>
  </si>
  <si>
    <t>…e re supone suprema, y de sesíoria á las Está rubricado de la Real mano. =En Aranjucz i 13 de Mapo de subalternas, con otras imputaciones de esta especie: hacemos á ta no iSaa.s A D. Josef María Moscoaode Altamira. toriedad de nuestros sentimientos p conducta la justicia de creer que no es de nosotros ni de nuestra sociedad de quien se trata en aquellos D. Fernando vtx por la gracia de Dio* y por b Constitución de la papeles; v no podemos persuadirnos que hapa español…</t>
  </si>
  <si>
    <t>Altamira, Josef María Moscoto de</t>
  </si>
  <si>
    <t>Josef María Moscoto de Altamira</t>
  </si>
  <si>
    <t>…imprima, publique y circulen el Gobierno de que SS. MM. y AA. continuaban sin novedad en tía Está rubricado de la Real isanosEn Palacio 4 5 de Mano de i8aa.ro importante talud. A D. Josef María Moscoto de Altamira. Se aprobaron los dictámenes siguientes de Is comisión de Hacienda. Circular de la Coiernacitm de la Península. Uno sobre que te pase al Gobierno la representación del ayunta «Para llevar 4 efecto cuanto se proviene en el reglamento general de miento de Casta…</t>
  </si>
  <si>
    <t>Altamira, Jusef María Mosco-o de</t>
  </si>
  <si>
    <t>Jusef María Mosco-o de Altamira</t>
  </si>
  <si>
    <t>…siguientes: pintan la impresión que en ellas han hecha ios grandes acontecimien &gt;&gt; íi bi. n 'o tenida A bi-n admitir la dimisión que 1m hecho de su tos de esta capital. d-,t i.-. D. Jusef María Mosco-o de Altamira, mi secretario qu« .r* En Cáli z , aun sin saberse todavía el resultado feliz de la crsis de de 1). pirho de la Gobernac on para la Península é islas adyacent s Madrid , se turnaron pre videncia», en las qu; se manifiesta tamb en que h: ven d ■ en nombrar par…</t>
  </si>
  <si>
    <t>Altamirano, Antonio</t>
  </si>
  <si>
    <t>Antonio Altamirano</t>
  </si>
  <si>
    <t>…nte y tropa de las fa Lérida administrador D. Diego Rapelta, alcaide que fue de la lúas del Rey.......................................... a,73°... 4. aduana de Málaga. Interventor D. Antonio Altamirano, oficial de la Al comandante general de ingenie contaduría de distribución. .... ros por un mes de gratificación de es Cádiz interventor D. Pedro de Juan , contador principal de están- critorio.................................................... 485.-10. cadt…</t>
  </si>
  <si>
    <t>Altamisa, Josef Marta Motcoso da</t>
  </si>
  <si>
    <t>Josef Marta Motcoso da Altamisa</t>
  </si>
  <si>
    <t>…bargo de las repetidas di miento. = Está rubricado de la Real manaes En Aran jura é 14 da ligencias practicadas para su averiguación; ae cita, llama y emplaza 4 Marzo de 1811. = A D. Josef Marta Motcoso da Altamisa.” referido conde y tu hermano D. Manuel, para que en el término ds dos meses te presenten por si ó por medio de procurador coa poder Cireulares Jet ministerio Je la Gíkemaeio* Je la Peníntula. bastante á usar del derecho que crean asistirle* en los referidos…</t>
  </si>
  <si>
    <t>Altaoja, Mariano</t>
  </si>
  <si>
    <t>Mariano Altaoja</t>
  </si>
  <si>
    <t>…ación, que con mejor moral y mas utilidad En la ciudad de Huesca, reunidos en jurado de acusación los seño que el infinito número de las extranjeras divirtiesen ai propio tiem res D. Mariano Altaoja , D. Jotef Lloro, D. Caferino Lagrava, Don po qu* instruyesen á la juventud, haciéndola ver lo* peligros á qssa es Mariano Nassrre, D. Joaquín Jaques, D. Nicitio Manuel Villanueva, tá expuesta y el modo de avilarlo* , dió á lúa esta obra. Cada lectura D. Pasc…</t>
  </si>
  <si>
    <t>Altes, Francisco</t>
  </si>
  <si>
    <t>Francisco Altes</t>
  </si>
  <si>
    <t>Gaceta de Madrid n.º 271</t>
  </si>
  <si>
    <t>…Manuel Francisco Vilomara : para el de Caldas de Re Se ve que en este bando no firma el secretario del ayuntamiento yes á D. Antonio Ramón Careaga: para el d: S. Salvador de Lama D. Francisco Altes, el cual fue también comprendido entre los expulsos. á D. Andrés Fon tan y Rodríguez: para el de B emposta á D. Juan La correspondencia particular habla cambien de estos extraños su Taboada: para el de Riradavia á D. Jaccbo Mas Villafuerte; y para cesos ; per…</t>
  </si>
  <si>
    <t>Alto</t>
  </si>
  <si>
    <t>…a independencia han de ser admitidos al Congreso. justicia, sin perdonar medio para averiguar cual sea su origeo. Respec A la comisión de Hacienda se pasó la siguiente adición del Sr. Alto de los de hoy no tenia conocimiento; pero por la indicación que se vear á las proposiciones de la comisión de Hacienda aprobadas por lat hizo aquí , mandó el capitán general un coronel i caballo al puente de Se- Co:tes » que en la provisión de los empleos ten…</t>
  </si>
  <si>
    <t>Altoiamanos, Pascual de</t>
  </si>
  <si>
    <t>Pascual de Altoiamanos</t>
  </si>
  <si>
    <t>…acciones de 49 rs. cadi una del empréstito de 160 millones, con muchas reclaman su atención, y quizá el juez de primera instancia de los nüms. 29,2 5 y 19,206, dadas a la orden de D. Pascual de Altoiamanos que misma otras naturaleza tendría entrePamplona de la caso estos deben diligencias intervalos en este con sente; mas cubrrse la pre Í[ulrre,as que sey conextraviaron;el últmo a-endososuplicaá laá della p citadorsona D.en Juancuyo Pascualpoder seBaquero,halle…</t>
  </si>
  <si>
    <t>Alton, Andrea</t>
  </si>
  <si>
    <t>Andrea Alton</t>
  </si>
  <si>
    <t>…nió el jurada , compuesto de :os i res itwifM-s: D. Dominio Fernandez Angu’o, D. Josef Larr-átegui, D. Pedro Ma Decreto de lar Corter en que se comprenden cinco de la* medí" tute, D. Andrea Alton, D- Joaquín Ro-z , D. G-spar Aaul.era, Don das aprobadas por las misma* para ocurrir al estado actual de la Na Isidoro de Moyos, D. Josef Anton o Ponzoa y D. Srnt a.o De'cado. ción. (Gaceta del j.) Habida la conferencia, resu uó por unanimidad haber lugar áia…</t>
  </si>
  <si>
    <t>AltsÉn'la, Josef María Mostoso de</t>
  </si>
  <si>
    <t>Josef María Mostoso de AltsÉn'la</t>
  </si>
  <si>
    <t>…mente ¿ * D. Felipe di ayer .no existia en ninguna de sus embarcaciones ni un solo enfeimo. de Sierra y Psmbley. (Gaceta dtl zo.) Juicio!, de juradoe. Decreto deS. M- exonerando á-D. Josef María Mostoso de AltsÉn'la corte de Madrid, reunidos los juecei de hecho en turado da mira dcl encargo de ministro de la Gobernación de la Península , y con* calificación^absolvieron el artículo inserto en el periódico Ululado nue fiándosele interinamente á D. Joaquín Fondevila. (Gacet…</t>
  </si>
  <si>
    <t>ALua, Juan Domingo Zuvin y</t>
  </si>
  <si>
    <t>Juan Domingo Zuvin y ALua</t>
  </si>
  <si>
    <t>…ecretario del Congreso, por parte del A nutra; fcch vrna, D. rrancisco Javier Aoiz de Zura, D. Juan de Irazoz, el conde de Neseirode por la de Rusia; el conde de Brrnstorff por la D. Juan Domingo Zuvin y ALua, D. Lu s Gaicia, E&gt;. Josef Mana de Prusia; el príncipe Ruifo por la de Ñapóles, y el duque de We- d. i. ¡Latina , D. M guel J.s.f de Borda, D. Miguel Josef Viiiacuellington por la de Inglaterra. Creen algunos que el vizconde de Mcnt- va, D. Antonio de Ganjeag…</t>
  </si>
  <si>
    <t>Alva.-sz-, Pedro</t>
  </si>
  <si>
    <t>Pedro Alva.-sz-</t>
  </si>
  <si>
    <t>…Cortes de 30 de Mayo último ; en la inteli recibo de rédito, de vales de Enero de este año , núm. 15, á favor de gencia de que con arreglo á lo mandado, se impone la caducidad de D. Pedro Alva.-sz- E.tos documentos se han extraviado; y se su todos los que no te presenten, asi de una como de otra clase , hasta di plica al sugeto que los tenga en su poder lo* entregue en Gijon á dicho cho dia 6 de Diciembre, pues aunque no puede procederse é la liqui llevia,…</t>
  </si>
  <si>
    <t>Alvaiez, Segundo</t>
  </si>
  <si>
    <t>Segundo Alvaiez</t>
  </si>
  <si>
    <t>…tinúan sin novedad en tu importante D. Clemente Máximo de la Torre, D. Ju'uan teme de .al..fatua, aalud. S. M. la Reina no ha tenido mejoría en su indisposición. D. Marcos Quirós, D. Segundo Alvaiez y D. Dom ngo saer Moa. jo. Habida la conferencia resu.tó kater lujar a la formación Je causa por DIXUCCION CBNBXAt SI LOTERIAS NACIONALES. seis votos, habiendo disentido D. Josel de la Ve¿a, D. l^as.m.ro oera— Noticia de los pueblos donde han cabido los premios mayore…</t>
  </si>
  <si>
    <t>AlvaInfanta</t>
  </si>
  <si>
    <t>…re la memoria del Sr. secretario de la Gobernación da que según el reglamento debían estar en el cuarto inmediato de la la Península, leído en la sesión del día 26 de Marzo por el Sr. AlvaInfanta para verificar dicho reconocimiento. rez Gutiérrez, impreso de orden de les Cortes. Se hallará en Jas libre Fl Sr. Adan contestó que ci acto del reconocimiento se hacia pre rías de Alonso y Antoran, de Escantilla y de Ranz. sentando S. M. al recien nacido , y…</t>
  </si>
  <si>
    <t>Alvar</t>
  </si>
  <si>
    <t>…go p dieron que se relevase i loi dos Sr*s. di va, Navarra y Vizcaya. putados que se hadaban en A?anjuez, por el mucho tiempo qu? hacia Se leyó por segunda vez una proposición del Sr. Alvar, z (D.Elías), estaban en aquel sitio, y por los gastos extraordinarios que les causaba relativa á la derogación del art. 6.a del reglamento de instrucción pú la permanencia en el mismo. blica ; y adm tida á discus-on se mandó pasar i la comYon de este ramo. E…</t>
  </si>
  <si>
    <t>Alvar, Pedro</t>
  </si>
  <si>
    <t>Pedro Alvar</t>
  </si>
  <si>
    <t>…Joscf Lsrreategui, D. Ventura Rubio, D. Isidro Merino,Do» s- quiera. La razón es porque en optando á las plaza» que tienen este ca- Josef Demetrio Rodríguez , D. Antonio Alcázar, D. Pedro Alvar» r , se pu -&gt;len dar de ba)a en sus respectivos cuerpos , y de consi Delgado, D. Andrés Alcon, D. Francisco de la Carrera, D. Josef guiente tienen que proveerse rstos destinos. R ve* Queraltó. De .q-ji rtsuua que el egército sufre un gravámen, y que los esta…</t>
  </si>
  <si>
    <t>Alvar, Silvestre de Agustín y</t>
  </si>
  <si>
    <t>Silvestre de Agustín y Alvar</t>
  </si>
  <si>
    <t>…79, TaiZDMALXS. 4 favor de D. Gerónimo Bravo,7 otra de 6866 rs. y 16 mrs. por redi» Por providencia de la sala segunda del crimen de la audiencia ter tos , número 4468, 4 fsvor de D. Silvestre de Agustín y Alvar sauz; ritorial de Castilla la Nueva te manda citar y emplazar por medio de y habiéndose extraviado los referidos documentos, se hace notorio al los papeles públicos 4 Casimiro Pasa montes y Juan Barbe , vecinos de público para que los sugetos en cuyo poder ex…</t>
  </si>
  <si>
    <t>Alvaree'Euliste</t>
  </si>
  <si>
    <t>…l'día 16 dt Marzo. la misma. Leída y aprobada el acta de la-anterior, se mandó agregar 4 ella el A. ia comisión de Comercio te mandaron putar una exposición da voto particular del Sr. Alvaree'Euliste , contrario 4 la resolución de las Jos'corredores de cambios de C4diz, paraque se les exima de «na con Cortes en que aprobaron el dictamen de la comisión de Premios , rela tribución - que pagan; y otra de un vecino de Murcia, haciendo varia tivo 4 la solicitu…</t>
  </si>
  <si>
    <t>Alvarer, Josef</t>
  </si>
  <si>
    <t>Josef Alvarer</t>
  </si>
  <si>
    <t>Gaceta de Madrid n.º 238</t>
  </si>
  <si>
    <t>…en esta dependencia y su archivo, con las rebajas de escala, 1.097»,tó tos suprimidos, y para la continuación del que de Real orden trabaja reales. Gasto* giO. en Roma el escultor D. Josef Alvarer 8o9. Academia nacional 176Í. Contadurías generales de Indias, Total 4 004,948 rs. y 31 mrs. Sueldos de los contadores, onciai.’s y drp. nd .-otes de estas conta Fomento Je agricultura , artee y comercio. durías , hecha; las deducciones decretadas, 366. *6o rs…</t>
  </si>
  <si>
    <t>Alvarez</t>
  </si>
  <si>
    <t>…oficio de las catedrales y cole La de Instrucción pública , en vista del expediente promovido por giatas.” el ayuntamiento de Arenzana de Ahajo. (Búrgos), para que se invierta El Sr. Alvarez (D. Elias) presentó, como adición al dictamen de la en la dotación de la escuela de primeras letras de aquella villa un lega comisión de Instrucción pública leída ayer, una proposición reducida do de io9 pesos hecho por un particular con este objeto en 1804,…</t>
  </si>
  <si>
    <t>…cuota la mayor utilidad del indivi y Alonso; para ia de Comarco el Sr. Soberon; para la segunda de Ha duo, filándola al mismo tiempo en razón inversa de U mayor utilidad cienda el Sr. Alvarez (D. El.as); para la de Agricultura el Sr. Sierra; de la Nación; pues en su dictamen la mayor utilidad para el indivi para la de Instrucción pública el Sr. Moreno; para la de Libertad de duo suponía también mayor utilidad parala Nación , y de consiguiente impr…</t>
  </si>
  <si>
    <t>…derarlo en los siguientes votos particular»: oposición con el ínteres de los pueblos situados en lugar montañoso. El de los Sr». Salva , Luque, Adan, di ver, Sedeño , Miran, So El Sr. Alvarez hizo varias observaciones sobre el mismo voto, y moza , Gil Ordufta , Sierra , Rico , Septien, Beimonte, Alix, Reillo, apuso entre otras cosas que con solo decir que en un puerto existia de Aguirre, Serrano , Zulueta, Isturiz , Kuiz de I* Vega y otros, contra…</t>
  </si>
  <si>
    <t>…:zu r.eu s i-, c-nt-odas , y de nuche lo rgeC'itara c-.da media hora, díndole pira esto el oficial una señal , qu.- oímente , al punto seria pu-sro en libertad y desagraviado. El Sr. Alvarez (I). Elias) fue de parecer que la discusión te dejase da de la- errt nelas á dis-ancia compeler le , reconozcan »er la vjs.ta de su c*bo, surefoto ú 'final: y 4 fin de quí las guardias mir.dataspara cuando se tratase de las l yes penales. El Sr. Férrer (D. Jo…</t>
  </si>
  <si>
    <t>…al de policía, tendremos Untos reglamentos como Kn seguida se declaró el punto suficientemente discutido. leyes hay en ella. Es cierto que en los Gobiernos libres no debe haber El Sr. Alvarez ( D. Elias) dijo que si la comisión no tenia in reglamentos de policía permanentes; pero la Grecia y la misma Roma conveniente, podría añadirse rn el artículo despu-s de las palabras ,tr&lt;los tuvo constantes, ya fuese con un nombre ó con otro. El Areopago x¡Ha…</t>
  </si>
  <si>
    <t>…duzca ningunt enfermedad qu - sea sos voló; y asi yo cr o que la comisión no ha podido llenar mejor su objeto. pechosa de infección , propagación ó contagio , ya sea del país ó El Sr. Alvarez (D- Elias) : Yo creo que ant.» de d..cu::rse e.te indígena , ya sea extrangera ó exótica. proyecto deberíamos haber entrado en la cuestión de si la fiebre amari £1 S’. s-cretario del Despacho dé la Gobernación de la P-mnsula. lla es ó no contagiosa , porque a…</t>
  </si>
  <si>
    <t>Alvarez, Antonio</t>
  </si>
  <si>
    <t>Antonio Alvarez</t>
  </si>
  <si>
    <t>…iraIdo, segundo teniente coronel del los 450 rs. al me» que dofruta en provincia. cuerpo de Ingenieros, id. Villafranca 1 P. Josef de Moure, comandante de infamaría agre Córdoba a D. Antonio Alvarez, espitan graduado de teniente co gado al bata Ion de la miucia activa de Orense , coa los 600 rs. al ronel del batalon ligero de voluntarios je Valéosla, id. mes que disf uta en prov nc a Cuenca á D Santiago Otero y Velezquez, capnan g aduado de te Vitoria á…</t>
  </si>
  <si>
    <t>…al público , dn d: que tos emplea aviso en la casa núm. 16 y 17 , cuarto segundo da ¡a plazuela del An dos -■ activo servicio ó cesantes que aspiren á obtener dicho empleo, gel á D. Antonio Alvarez , quien lo agradecerá y dará la correspon y reúnan las circunstancias prevenidas en los decretos de las Cortes y diente gratificación. órdenes del Gob.erno, presenten sus instancias p ir conducto de sus res Se nan extraviado los privilegio* originales de juro…</t>
  </si>
  <si>
    <t>Alvarez, Antonio Celestino</t>
  </si>
  <si>
    <t>Antonio Celestino Alvarez</t>
  </si>
  <si>
    <t>…de ao9 personas fueron víctimas D. Paulino Alegría de Quilchano, D. Francisco Saleta , D Manuel de ota catástrofe , que en algún modo ha alcanzado mas ó menos á las de Oiavarría , D. Antonio Celestino Alvarez, D. Msr.uel de la Puen ciudades de Antab, Antakáa, Gesses, Látale.a, Alejandreta , Tirsis, te López, D. Miguel de Espiga , D. Vicente Cantón SaiazaT y D. Ju Mir.'-v;, llama y Mems, como también á Damasco y á la isla de Chi lián Izquierdo. pre. En Mosul y Mard…</t>
  </si>
  <si>
    <t>Alvarez, Elias</t>
  </si>
  <si>
    <t>Elias Alvarez</t>
  </si>
  <si>
    <t>…etende , se renuncia, y puede ser ju derón, D: Manuel Herrera Bustamante, D. Antonio Martínez de Ve- bilado el que lo disfruta. Fuera de esto todos en palacio han visto que lasco, D. Elias Alvarez y D. Tomas Alvarez. Fueron aprobados los el duque del Parque ha desempeñado este empleo: el año de 19 asistió poderes de estos señores. á la mesa del Rey cuando dió de comer á los pobres, ademas ha asisti Canarias. D. Josef Murfi. La comisión opinaba que debían apro do á las bo…</t>
  </si>
  <si>
    <t>Alvarez, Eusebío</t>
  </si>
  <si>
    <t>Eusebío Alvarez</t>
  </si>
  <si>
    <t>ió-jí cuarta y quinta d:l mismo apoyaban tú izquierda en la derecha de loa idem. D. Eusebío Alvarez, idem. D. Simón Gircfa; ídem. D. Juan granaderos' del mismo, defendiendo el boquete de la calle de la Sal, y Antonio Maruri, idem. D. Josef Orejuela , idem. D Máximo B=n¡las dos entradas del cuartelillo i corto también lá de la calle de Bote sia., i.dem, pais…</t>
  </si>
  <si>
    <t>Alvarez, Josef</t>
  </si>
  <si>
    <t>Josef Alvarez</t>
  </si>
  <si>
    <t>…a, propo ganet; á D. Josef Madrazo, de la academia de S. Fernando; á D. Sil niendo las reformas que la experiencia y la ilustración de nuestros tiem vestre Perez, de la misma, y á D. Josef Alvarez de la misma. Tcn- pos hacen necesarias, para que la Nación saque de su marina todas laa drsislo entendido, y dispondréis lo conveniente á su cumplimiento. Pe- ventaja* que exije su situación peninsular y sus dilatados dominios de bm 4 «le Diciembre de 1821. =…</t>
  </si>
  <si>
    <t>Alvarez, Juan</t>
  </si>
  <si>
    <t>Juan Alvarez</t>
  </si>
  <si>
    <t>…uta. La comisión opinaba que no podía accederse á ella. ción»'. Aprobado. La comisión opinaba que debia accederse í esta sol orud. Aprobado. Otro sobre la representación hecha por D. Juan Alvarez , guardia Otro acerca de una exposición de ia diputación piov nc-a. de as Is Alabardero de ia persona del Rey , pidiendo se le paguen con preferen las Baleares, relativa al señalamiento de term no a ios puib.os que sa cia tos alcances correspondientes al tiem…</t>
  </si>
  <si>
    <t>Alvarez, Lorenzo Gallegos Vargas y Antonio González</t>
  </si>
  <si>
    <t>Lorenzo Gallegos Vargas y Antonio González Alvarez</t>
  </si>
  <si>
    <t>Gaceta de Madrid n.º 27</t>
  </si>
  <si>
    <t>…sticia del concepto de inep dias, contados desde su publicación con los documentos que lo acredi titud fisica ó moral del oficial subalterno, el inspector de su arma hará ten ante D. Lorenzo Gallegos Vargas y Antonio González Alvarez, la propuesta competente á ia superioridad para que se le expida el reti nombrados para el efecto á pedimento de partes , y autorizados judicial ro que le corresponda. Art. 4.° Si el individuo que se halle en el caso mente;! cuyo goce de dicho patronato, segú…</t>
  </si>
  <si>
    <t>Alvarez, Manuel</t>
  </si>
  <si>
    <t>Manuel Alvarez</t>
  </si>
  <si>
    <t>…ia dr D. Francisco Javier Campa, al mi que en vista de este documento presentase nuevamente su dictamen. nistro honorario de la audiencia de Gálica D- Basilio García Manri Zamora. D. Manuel Alvarez. Quedaron aprobados ios poderes de que; para la del de Cervera, en Catalufia, vacante por promoción de este individuo como se proponía. D. Gine» María Serrano á la del de Avila, á D. Manuel de Pedro!»; La comisión de Poderes presentó su dictamen acerca de tre…</t>
  </si>
  <si>
    <t>Alvarez, Rafael Melchor</t>
  </si>
  <si>
    <t>Rafael Melchor Alvarez</t>
  </si>
  <si>
    <t>…lamanca al cap.'tan D. Rosendo l.opez de Longoria, teniente del batallón de la mucia activa de Cuenca, con 450 rs. al mes. regimiento infantería de Málaga, con 570 rs. Calahorra i D. Rafael Melchor Alvarez, teniente del batallón del Segovia á D. Santos San Martin, t niente supernumerario del re depósito de infantería , con 570 rs. al mes. gimiento infant ría de Zamora, con 570 rs. C udad-Rodngo al cap.tan D. Ramón Alvarez Arias, teniente de Sevilla al capian D.…</t>
  </si>
  <si>
    <t>Alvarez, Sebaitian Rodríguez</t>
  </si>
  <si>
    <t>Sebaitian Rodríguez Alvarez</t>
  </si>
  <si>
    <t>…a el de la Pola da Lena ; i D. Febx Fernandez Tel’ez . psra el dstado en su anterior discurso. -. á Don El Sr. conde de Tareno dijo que habia sido uno de los que habían Teberga; i D. Sebaitian Rodríguez Alvarez, para d de Giado contribuido á que se pusiese el artículo que reclamaba el Sr. Martel, Diego López longoria, para el de Sala,; j D. Franc-.sco Rodrigues Espina, para el de Canga* de Tin-o; 1 D. Cr ,robil M.-iender Vi des,que trata de que el clero se reserve u…</t>
  </si>
  <si>
    <t>Alvaro</t>
  </si>
  <si>
    <t>…ca era El Sr. Falcó presentó i consecuencia de este expediente la siguien propio dei Gobierno. te proposición: » Pido que se nombre una comisión especial que entien E! Sr. Gómez ( D. Alvaro) dijo que nunca habia pensado en que. da en cuantos negocios correspondan á las Cortes sobre extravíos pú las Cortes se entrometiesen en una cosa que no les pertenecía , y solo se blicos de opiniones , sin traspasar las líneas que separan sus facultades habia…</t>
  </si>
  <si>
    <t>…antea sa debian leer la* att y valora* del papel sellado. memorias de loa secretarios del Despacho. Otra del mismo, relativa al modo de cobrar el derecho de patentes. 81 "r. Gómez D. Alvaro) dijo qu* el objeto de Is comisión qw Otra det Sr. Ordufia, relativa á que teniendo entendido que en los Babia propu-sto era el que tenían la* damas, esto es, dirigía la marcha seminar ios conciliares de Teruel, Aibamcia, Tarazón* y otros, ao se de lo* negoci…</t>
  </si>
  <si>
    <t>Alvaro, Pedro</t>
  </si>
  <si>
    <t>Pedro Alvaro</t>
  </si>
  <si>
    <t>…ecto que se dió en' la gaceta de .Madrid da Miguel de Mendivil, D. Manuel García de Barrio, marques de Cusa- 30 de Marzo , núm. 91, Espectador de 9 de Abril, núm. góo , Diario no, D. Pedro Alvaro Da gado, D. Martin de Zarandia, D. Josef Ma Nuevo de id., núm. 91, y reimpreso al fin del tomo 1.° de la mencio ría Pu nte. Habida la conferencia, resultó por cinco votos haber lugar nada obra. d ia formación de causa, habiendo disentido lot Sréa. marques de Cus…</t>
  </si>
  <si>
    <t>Alvaro, Pedro de</t>
  </si>
  <si>
    <t>Pedro de Alvaro</t>
  </si>
  <si>
    <t>…s de la audiencia territorial, se reunió el jurado, compuesto se sirvan autorizar á los Sres. Villavieja y Meca para que intervengan de los Sres. siguientes: D. Francisco Colombo, D. Pedro de Alvaro y en los actos de presentación de los hijos ó hijas de los Sres. Infan Delgado, D. Joaquín Ceva!los,D. Gonzalo Cárdenas , marques de tes D. Cárlos y D. Francisco de Paula, y resolver que se retiren los Cusano,D- Josef Larreitepui, D. Antonio María Espejo, D.…</t>
  </si>
  <si>
    <t>Alvarrz, Juan</t>
  </si>
  <si>
    <t>Juan Alvarrz</t>
  </si>
  <si>
    <t>…o último. mos de la mar de Castilla, en cabeza de D. Vicente de Moles: otro de Ramos. Valores. Gastos. Líquido. 30,683 id. sobre el servicio de millones de Salamanca, en cabeza de Don Juan Alvarrz: otro de 88,400 id. sobre la renta general de tabaco, rn Tabacos.................. 3- 2 21,393 3» 54&gt;.655 3° 1.678,738 cabeza «le D- Payo Montenegro. El que supiere de su paradero se ser Salinas...................... *.087,778 31 7^8,664 25 289,114 7 virá acu…</t>
  </si>
  <si>
    <t>Alvarsani, Silvestre de Agustín</t>
  </si>
  <si>
    <t>Silvestre de Agustín Alvarsani</t>
  </si>
  <si>
    <t>…n Manrique y Manrique. 3658, á favor de D. Miguel Mufioz; otra de 577 rs. y 17 mri. por Lo declararon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Sebastian Andrés. Burriezo; otra de 16,316 rs. y 23 mrs. por réditos, núm. 4…</t>
  </si>
  <si>
    <t>Alvartz, Josef García</t>
  </si>
  <si>
    <t>Josef García Alvartz</t>
  </si>
  <si>
    <t>Gaceta de Madrid n.º 257</t>
  </si>
  <si>
    <t>…impr-nta , se lee lo siguiente: Los in Se les da esta noticia i fin de que acudan desde luego á recogerles de frascritos ¡urces de hecho, habicuco examinado el impreso que expresa Don Josef García Alvartz, que vive calle de las Huertas, núm. 3, la denuncia hecha al señor alcalde const.iucional sezendo por la señora cuarto principal. r uda Berges, hijos y Rabasa, como calumníala í infamatoria, del ar Mota. En ia lista de decretos publicada rn la gaceta de ayer…</t>
  </si>
  <si>
    <t>Alvcar</t>
  </si>
  <si>
    <t>…rdenillo en Catalufia, en que pedían se fijara en d arancel traido méritos particulares que debían sed atendidos. penad el derecho miximo que be «le pega este género, opada que El Sr. Alvcar dijo que no tenia inconveniente en que «t «coman mediente hallarse esmalto d poatopot d dacrato de 18 de Diciembre dase al Gobierno ¡ pero que esto debía proponerlo la comisión de Pre de i8ii d-rbía volver este expediente é la secretaría pera que se archí mio…</t>
  </si>
  <si>
    <t>Alvear</t>
  </si>
  <si>
    <t>…o hacer ver que en España subsiste una liga, creo que el Rjrro no puede ser prohibido por ninguna autrr idrl." Gobierno debe adoptar las medidas convenientes. Ls primera que se El Sr. Alvear te opuso á esta propos.cion, mar.ilesUndo &lt;ue en su debe tomar es la que manifiesta el $r. Alava, esto es, desarmar i aque concepto podría producir males de consideración Desde ei «•'*■ ccr.de lla milicia, aunque sea por ahora. Sin embargo «le esto, si Us Cor…</t>
  </si>
  <si>
    <t>…ta de la exposic on de D. Josef BoSe mandó pasar á la comisión de Diputaciones provinciales una farull en solicitud de que se le habilite para poder obtener empleo , y adición del Sr. Alvear al art. 8.° sobre el gobierno económico-políti del informe favorable del Gobierno, opinaba que deba accederse a su co de las provincias, para que después de las palabras come.tibies Je solicitud. Aprobado. bu ¡na calijad, te añadiese y ti buen peso y medida d…</t>
  </si>
  <si>
    <t>Gaceta de Madrid n.º 156</t>
  </si>
  <si>
    <t>…ta Francisca j otros 11 buques mas, de los que se separó al d a tablecimiento del sistema constitucional. siguiente de su sslida sobre Punta Bernal. Trae pliegos, de los que na El Sr. Alvear manifestó que en el supuesto de que todos los señoree da se trastuce. Lo* oficiales han dado á entender que las miras dei señor convenían en que el cuerpo de artillería era eminentemente libera1, Di vi'a se extendían á una contrarevo'.ucion. — Aseguran que el…</t>
  </si>
  <si>
    <t>…, y expuestos su» individuo» bal de Campos la carretera de Asturias á Castilla, pido que se haga • entrar en una guerra intestina unos con otros. igual declaración.” Aprobado. El Sr. Alvear manifestó en apoyo de la proposición que antes qu» Del Sr. Oliver: »&gt; Pido á las Cortes se sirvan decretar que de los nada era comer, y por 10 mismo qu.- si las Cortes no repartían las con atrasos d» contribuciones de los años 1820 y 1811 que debe !a pro trib…</t>
  </si>
  <si>
    <t>Alvistur, Joaquín</t>
  </si>
  <si>
    <t>Joaquín Alvistur</t>
  </si>
  <si>
    <t>…forme del Gobierno sobre habilitación de cario , que lo es de ia misma: para la de Sevilla al teniente coronel puertas de comercio á algunos de Ultramar, y asimismo sobre declarar D. Joaquín Alvistur, que lo es de i a misma : para la de Zaragoza á á Palma puerto de primera clase. D. Francisco Cantero , que lo es de la de Salamanca: para la de Gra A la de Hacienda una representación de Doña Josefa Castilla en nada al teniente coronel D. Josef de lieceta: y…</t>
  </si>
  <si>
    <t>Alvs, Juan</t>
  </si>
  <si>
    <t>Juan Alvs</t>
  </si>
  <si>
    <t>…, votando solamente por el sí D. Joeef María Ro Modo de extinguir la deuda pública, eximiendo á la Nscion de to tor 1 ii lo- da clase de contribuciones por espacio de 10 seos, por D. Juan Alvs__En 1 a del corriente acudió D. Maleo Mondejar, vteino-dt teta cor rez Guerra: quinta edición. Se hallará en la librería de Miyar, y ea te, al Sr. alcalde constitucional D. Rodrigo Atanda, dtnunciando en Cádiz aa la de Zaragoza , i i» n. EN LA IMPRENTA NACION…</t>
  </si>
  <si>
    <t>Alzate, Sebastian Ignacio de</t>
  </si>
  <si>
    <t>Sebastian Ignacio de Alzate</t>
  </si>
  <si>
    <t>…o ó territorio de la ¡un» de Aguirrezabal, oficial de correos ; D. Manuel de Irazusla, factor de ta por razón del subsidio de go millones, y en partida t.parada de la provisiones; D. Sebastian Ignacio de Alzate, escribano; D. Martin que efectivamente haya satisfecho por su cuenta. Miguel Iraizos j Nicolás Mendiburu , residente* en aquella ciudad. Ig 11. Item de las pensiones con que esten gravadas la dignidad epis noramos las cau.as que han motivado estas prisiones;…</t>
  </si>
  <si>
    <t>Al’.tblico, O. Plrancheo Javier</t>
  </si>
  <si>
    <t>O. Plrancheo Javier Al’.tblico</t>
  </si>
  <si>
    <t>…«le causa contra el autor de un papel denunciado por el promotor fiscal, El Sr. Becerra dijo que habia dos comisiones , una del Crédito pú titulado: Asir01 y bienvenida al Exento. Sr. O. Plrancheo Javier Al’.tblico y otra de Visita del mismo establecimiento i y que esta última día, teniente leneral, como ¿efe político de rita provincia. En la mis &lt;ra la que debía nombrarse por las Cortes. ma junta se acordó también no haber lugar á formación de causa F.l Sr. Prat dijo q…</t>
  </si>
  <si>
    <t>Amaadi, Josef Luis de</t>
  </si>
  <si>
    <t>Josef Luis de Amaadi</t>
  </si>
  <si>
    <t>Gaceta de Madrid n.º 213</t>
  </si>
  <si>
    <t>…esde el dia i.J del próxi Se reunió el jurado, compuesto de los Sres. siguientes: D. Andrés mo Juóo podrá el Gobierno conceder licencia ilimitada con medio anel háartinez Orinas*, D. Josef Luis de Amaadi, D. Joaquín Ruiz , Don do, á igual número de los oficiales de todas clases que hay excedentes en Josef Gómez Albacete, D. Mariano Zorraquin, D. Francisco Barra, el ejército si la soi-.ctan. Art. a.° Los oficiales que obtengan licencias D. Antonio Gamonal , co…</t>
  </si>
  <si>
    <t>Amador, Cándido</t>
  </si>
  <si>
    <t>Cándido Amador</t>
  </si>
  <si>
    <t>…ernardo Solari, vecino de continuará) esta corte. ARTICULO DE OFICIO. El templo de Gnido, ó sea del Amor, escrito en francés por Mr. de Montesquieu , y traducido al castellano por D. Cándido Amador. Este Ministerio de la Guerra. poemita en prosa,, dividido en siete cantos, es una de las composicio Habiendo dado cuenta al Rey de una instancia de D. Agustín Ca nes mas agradables del célebre autor del Espíritu de las leves. En ¿1 se ballero, vecino de la c…</t>
  </si>
  <si>
    <t>Amalla, Blas</t>
  </si>
  <si>
    <t>Blas Amalla</t>
  </si>
  <si>
    <t>…s. La exequias de Julio Cesa: cuadro pintado por Juan Lanfranco, Para cortar de raíz «tos males te ha servido S. M. mandar, que desde dibujado por D. Agustín Esteva, y grabado por D. Blas Amalla en el día en que el gefe político Ktpectivo expida la certificación «le cón- ran pliego «fe marca imperial. Se halla en la catcografia «fe iu imprenta grua á cualquier religioso para secularizarse, no sea «te considerado co flacio nal á ido rs. cada egempiar…</t>
  </si>
  <si>
    <t>Amandi, Joief Luis</t>
  </si>
  <si>
    <t>Joief Luis Amandi</t>
  </si>
  <si>
    <t>…allería, ia* primeras al mando del ciado con el teniente coronel comandante del regimienta mi'icia racio teniente D. Martin de Puiduhés y del capitán del regimiento de Ainal local D. Joief Luis Amandi y el coronel comandante del regi túiias D. Antonio Pimcntcl , y lea segunda* á U del capitán y alférez</t>
  </si>
  <si>
    <t>Amandi, Josef</t>
  </si>
  <si>
    <t>Josef Amandi</t>
  </si>
  <si>
    <t>…un trompe brigadier AfU' a ,e d je el m*ndo de ia p.aza d- ia Con,t ruc ■ r. coa ta al efecto. Después de una larga conferencia con los guardias face lo el coman.tame de a m ¡icia D. Josef Amandi y ei corone. D. iJam.naos vino dicho primer t-niente acompañado de un oficial de estos, pro go Mateos, m tinto que yo con la primera compañía de cazacur.s da poniéndome que entregarían las armas y se rendirían prisioneros Siem la m l.cia ai mando de D- Josif…</t>
  </si>
  <si>
    <t>Amandi, Josqf Luis de</t>
  </si>
  <si>
    <t>Josqf Luis de Amandi</t>
  </si>
  <si>
    <t>…m r'-c el ■ !a r ha . 3 -h- D.jh pu-sto de los Sr-s. siguientes: D. Juan Isidoro Perez, O. Juan Anto Gerónimo Bermudcz , rscribjno de d'cho ¡i'zc-sdo, leq.timar.'lo mis nio López, D. Josqf Luis de Amandi, D.Saturnino Lozano, D. Juan personas , é instruyendo sus solicitudes, aperuh ’os d.r que pasado di Cortes, conde de la Torre del Fresno, Ó. Lorenzo Calvo de Rozas, cho término les paiará periu cío , pues cbia exped ente para la poicsion D. hant sgo Delgado y…</t>
  </si>
  <si>
    <t>Amandi, Luis</t>
  </si>
  <si>
    <t>Luis Amandi</t>
  </si>
  <si>
    <t>…o se lamentan de meridional y occidental de la p.aza, y al teniente coronel comandante vuestros infortunios, maldicen fi vuestros perseguidores, y ru gan al de la milicia nacional D. Luis Amandi el de su pane oriental y norte, cielo que permita algún dia fi los’descendientes de Arí,tide» y de The- mandando subiesen 4 las casas de las bocas calles algunas mitades, y místoctes vivir y morir libres en medio de tos monumentos de sus cubriendo estas con m…</t>
  </si>
  <si>
    <t>Amandt, Josef Luis</t>
  </si>
  <si>
    <t>Josef Luis Amandt</t>
  </si>
  <si>
    <t>…que la hayan Llanos, Habida la conferencia resultó no haber lugar por cinco voto», usado á lo menos un año. Art. 3.' Teniendo i¿utl consideración los habiendo disentido los Srss. D. Josef Luis Amandt, D. Francisco Bar oficiales supernumerarios que los que obtienen plaza efectiva, cuando ra. «I conde de Floridablanca y D. Carlos González Llanos. EN LA IMPRENTA NACIONAL</t>
  </si>
  <si>
    <t>Amar, Antonio</t>
  </si>
  <si>
    <t>Antonio Amar</t>
  </si>
  <si>
    <t>…da dos onzas...................................................................... — 6 E-tado honorarios D. Josef Cienfueges, D..Tomas Moreno, y Daoiz y Bateítas y latas de reiré. D. Antonio Amar, tenientes generales de! egército nacional, ha teni Da una libra................. S* do i bien resolver, después di haber o-do al consejo de Estado, y con De m dia...................... 16 formándose con su dictamen , que debiendo reputarse en ia misma ca De…</t>
  </si>
  <si>
    <t>Amari, Fernando</t>
  </si>
  <si>
    <t>Fernando Amari</t>
  </si>
  <si>
    <t>…it.mo; indicaba que San ador Martines y Miguel Teresi ; y de los cinco que restan , ademas podía haber tenido partí en dicha prisión el haber instruido el espe de dicho barón, son D. Fernando Amari , D. Cayetano de Chiara, diente que acompañaba ; y emir de íc-do resultaba que era contrario al D. Vicente Im-rass-a y D. Gerónimo Lamanna._^a han desarmado decreto de las Cuites de 24 de Miren de 1813, del cual se desentendie en Sicilia á los habitantes de M…</t>
  </si>
  <si>
    <t>Amat, Jaime Jener y</t>
  </si>
  <si>
    <t>Jaime Jener y Amat</t>
  </si>
  <si>
    <t>…fecto notorio al siste Í¡ant.n Margarita, de 140 toneladas , su capiun Matías Bicolovich, en ma ; pero lograron fugaise el canónigo Colomer y el alcalde segundo astre : conduce al coronel D. Jaime Jener y Amat, primer coman Bericat, que han sido recibidos en triunfo por los facciosos, y nucios dante del batallón de milicia activa &lt;fe Mílaga, con a a oficiales, tyi otros canónigos, frailes y paisanos , cuya salida parece ha restituido ¡a individuos de tropa , una mu…</t>
  </si>
  <si>
    <t>Amatria, Cirios</t>
  </si>
  <si>
    <t>Cirios Amatria</t>
  </si>
  <si>
    <t>…bal Se ha extraviado una certificación de crédito dada por la contaduría díos y de propios , con arreglo al decreto de las Cortes de 39 de Junio de egército de Sevilla; i favor de D. Cirios Amatria, scfialada con el último, ha acordado que se invite á los acreedores pir censo, hipoteca húm. 9280 en la contaduría de Distribución , en donde se tomó razon, ú otra obligación sobre los propios á que te presenten i liquidar sus é importante 13,458 rs. 38 mrs.…</t>
  </si>
  <si>
    <t>Ambroz, Nicasio María</t>
  </si>
  <si>
    <t>Nicasio María Ambroz</t>
  </si>
  <si>
    <t>…iones para que ea Muro , electo diputado por la provincia de Galicia. su vista se decidiese si debian representar en estas Cortes los individuo* A la de Hacienda una exposición de D. Nicasio María Ambroz, de Montevideo y su campiña, que les unían conferidos sus poderes, y proto-médico, en solicitud de que se le considere como empleado ce los habían ya presentado: acompañaba otra exposición de un diputado sante. de Buenos-Aires y Montevideo, en la que pedia qu…</t>
  </si>
  <si>
    <t>Amcktscb-j-'</t>
  </si>
  <si>
    <t>Gaceta de Madrid n.º 284</t>
  </si>
  <si>
    <t>…urante la ausencia del Emperador de Rusia se han encargado al Zante ti Je Agosto.. príncipeLapcacbm todo* los asuntos civiles, r el minutero de la Guer ra al general de infantería conde Amcktscb-j-'»'. Luego que el Gobierno griego tuvo noticia de que un cutpo de El secretario de Estado conde Capo «Tlstria salió el 18 de P ten- «pército turco habla penetrado en el Peloponeso , y que la escuadra oto burgo pura los baños de Ea» 7 Carlsbad , 7 de allí pisara…</t>
  </si>
  <si>
    <t>América</t>
  </si>
  <si>
    <t>…e él, deben examinarse estos tres puntos: Aprobado. i." &lt; Tenemos alguna esperanza de conservar las varias provincias d* La misma comisión presentó su informe sobre la adición del señor América pertenecientes á España ? a.' En el caso en que no haya esta Gómez (D. Manuel) á la medida fti , que decía: n Disponiéndose en esperanza, ¡convendrá seguir en un empeño inútil y costoso cual es &lt;1 la medida 16 que los gefes políticos y diputaciones provincial…</t>
  </si>
  <si>
    <t>Amherst</t>
  </si>
  <si>
    <t>marques de Londondwri, y que ei lord Amherst be sida nombrado netrados de estas ídem para que jaaaas adoptan ese sistema de política gobernador de U India- débil, de que en otro tiempo hizo la Francia una experiencia funesta, 7 que el Courier procura volver á poner en vigor.” El Monitor oculta __Laa obs…</t>
  </si>
  <si>
    <t>Amo</t>
  </si>
  <si>
    <t>…pinaba que el mejor y mas propio destio» misión de Guerra. que podia dártele en beneficio de la patria era devolverlo al mismo ge La comisión de Podera, bebiendo examinado loe del Sr. D. Amo nera Riego para que le osase, y con él defendiese la Constitución de la nio Feriar, diputado electo por la isla Baleara , los Julló arreglados, monarquía apañóla y al Rey constitucional de ella, reservándose la y que debían aprobarse. Y ai se acordó. Nación l…</t>
  </si>
  <si>
    <t>Amon</t>
  </si>
  <si>
    <t>…se irev. esta La Cortes concedieron carta de ciudadano , á propuesta d? la m«ma estab.vcim ento, parrecron admirables ¡os reglamentos que se dirr n conii.íon, á D. Luis Antoni y á D. Amon o Gippm, y de naturalen á IX Juan Macrohon. pata su sob. rno, sin embarco de .o cual la reperenca haba acred la do qu- no se hab a desempeñado b.en , y no d.bia por lo mismo t- ner- Se procedió á la discusión del dictam-n de !a ccm-'sion de Hacien se la mavor…</t>
  </si>
  <si>
    <t>Gaceta de Madrid n.º 277</t>
  </si>
  <si>
    <t>…no cesó el bre de 18 z 2. =5 Antonio González de Ccvuiios. csSr. comandaste ge fuego d ; una y otra part - hasta entrar la noche. neral del 6.*’ d stiitu militar.” La columna &lt;1- D. Amon o González Ccvailos, superando iguales Gobierno po ítico superior de la provincia de Castellón. dificultad s dispersó ipualmcnt' los en migo» por la d.recha , obligán n El cabec ¡la Chambo con su banda de facciosos y otros que se le doos á amparan &lt;) * lo» pu…</t>
  </si>
  <si>
    <t>Amonio</t>
  </si>
  <si>
    <t>…o lo que prevenía la Real orden del año 15 ; el infor S. Bartolomé en aquella provincia, que habían tenido arrendadas: otra me evacuado por el Gobierno, relativo á la solicitud de D. Amonio de D. Pablo Torres, vecino de Barcelona, acompañando el plan que Moreno sobre que se le concediese una pensión, y una representación habia formado sobre el arreglo del Crédito público: otra de D. Fran de D. Miguel González, capitán agregado al estado mayor, sobre qua cisco Manu…</t>
  </si>
  <si>
    <t>…ndo de Figueras. Para la de Lérida, do; D. Vicente Llopis , canónigo magistiai de la santa igusia de Va al mariscal de campo D. Josef Vellido, gobernador de la plaza de Lé lencia; D. Amonio (Jasanova y Ravana-s, abogado; D. Juaqu n Ro rida. Para la de Tarragona al mariscal de campo D. Miguel de Hato, maguera, id.; 1&gt;- Félix Mora, capitán de infantería, teniente del ex gobernador de la plaza de Tortora. presado regimiento; ui mar.scal de campo D.…</t>
  </si>
  <si>
    <t>…resolución d las Cortes, la consulta qu* el tribu la representación que D. Ramón de Garc.be como procurador de nal supremo de Ju r cía hic 1 á 5. M sobre si deben ser juzgadas con D. Amonio de E,ter y Barcena, presentó denunciando por injurioso el arreglo á la ley de 2Ó de Abi l del mismo año ¡as causas pendientes impreso titulado Suplemento al diario cinstitucional y mercantil de Bar contra cuadrillas de salteadores y ladrones por delitos cometido»…</t>
  </si>
  <si>
    <t>…Arias Mercado, comandanta del primer ba Cádiz á D. Manuel Jones, mayor conMOdante supernumerario del tallen drl r.-gimi nto infam ría de Vitoria, id. regimiento infant-ria Infante D. Amonio; con el sueldo que disfruta. Tala vera á D. Víctor Cordero , espitan graduado de teniente coro Calatayud a D. Antonio Ma;az, temante coronel graduado y ea- nel dei regimiento coraceros de la Reina , id. ¡tan primer ayudante supernumerario del regimiento úKant…</t>
  </si>
  <si>
    <t>Gaceta de Madrid n.º 356</t>
  </si>
  <si>
    <t>…er una salida y situarse en e¡ a to de Buirr. car p¡.-i c-s cua diana, papel revista en grado eminente, tora i todas horas la genera'a. tro de la mañana , dispuse que el tenie-.t- D. Amonio ino.a s¿! c»e No hace muchos diasque comparándose con R maído decía que no con uns part da de mi tropa en unicr. con ios voluntarios de e-.;e pue necesitaba mas que sacar su espida para desvanecer ¡as fantasmas y pres blo, para que reunidos con los de Rentara…</t>
  </si>
  <si>
    <t>Amor</t>
  </si>
  <si>
    <t>Gaceta de Madrid n.º 241</t>
  </si>
  <si>
    <t>…nicas. ef CIO de no haber dido av-s &gt; algún-, los pueblo, por donde trans, a- :f, El Gobierno austríaco continúa concediendo á los griegos las mis peto el comandante de la milicia D. Amor, o Ochoteco con 3 ! t rr.mas ventajas mercantiles que el traíalo de Passarowitz de tri8 asegu btes se hizo fuerte en la c:sa ¡lamida Cist 'lo, d- que r.o poJ : n ra á los musulmanes, porque todavía los mira como súbditos de la apoderárselos face osos, qa.cn t…</t>
  </si>
  <si>
    <t>Gaceta de Madrid n.º 281</t>
  </si>
  <si>
    <t>1399</t>
  </si>
  <si>
    <t>…Esta tzrje hemos tenido ei gusto de ver entrar la colnmr.a expe dicionaria que sai.o .a noche &lt;lci 9 al 10 del con ente , compuesta ds frente e! comandante general del distrito el Sr. D. Amor.¡o R-mors Z'.rco del Valle c .n su acostumbrada energía y patriotismo , ha im los dos primeros batallón-.* de milicias , un» part.da de Soria, una de provisado un discurso capaz d; entusiasmar el ánimo mas débil : los Jas compañías d.1 partido y alguno. cabal…</t>
  </si>
  <si>
    <t>Amorío</t>
  </si>
  <si>
    <t>…por su ¡nsta'acior. Las Cort.s ia oyeron con a;.-an ■. sueldo, y habilitado para cualquier destino, por estar comprendidos sus La comisión de Premios en vista de 'a exposición de D. Amorío méritos en la segunda pule del ait. 4. del decreto de las Cortes de 13 OLver Cupóns , teniente agregado at estado mayor d- M ila’i, pi-a de Marzo último. Aprobado. que se le continuase el pago de una pensión de 5 s. d.ar o» que e con Otro sobre el expediente…</t>
  </si>
  <si>
    <t>Amosarena, Pedro Josef de</t>
  </si>
  <si>
    <t>Pedro Josef de Amosarena</t>
  </si>
  <si>
    <t>…aos que so- plica pues i la persona que tenga noticia de unos ú otios tenga ia bon Isnt.ntj veis una débil copia de un bello original:” pero el cesante dad de avisarlo en Madrid i D. Pedro Josef de Amosarena , agente dt tradii.tor hi querido en algún modo salir á esta dificultad, teniendo la negocios, que vive en las Plateriss, esquina 4 la cabe de Mi un cíes, va crt¡. de gub icar al lado el origina). En nuestro dictamen este debe quien agradecerá el aviso. ría s…</t>
  </si>
  <si>
    <t>Amozoila, E. E.</t>
  </si>
  <si>
    <t>E. E. Amozoila</t>
  </si>
  <si>
    <t>Gaceta de Madrid n.º 61</t>
  </si>
  <si>
    <t>…D. Roberto Loiiete é hijo por dos ídem, según el que está í su favor mar d decreto de y de Noviembre de itao. (G«tt* dtl a/.) en Cádiz á ay de Abril de 1814 por J. D. Hocknell: A. D. E. E. Amozoila por uno en ídem á 5 de Enero de 1813, por P. P. Debol, VARIEDADES. hermano* jr compañía Francisca «le Paula Chiocchiní: á D. Antonio (Contmda ti viatt al rtdtdor dtl mundo. Garría dtl a6). Val y Rovira por uno de 600 peto* en Barcelona á 10 de Octubre de los…</t>
  </si>
  <si>
    <t>Ampucro, N.</t>
  </si>
  <si>
    <t>N. Ampucro</t>
  </si>
  <si>
    <t>Gaceta de Madrid n.º 161</t>
  </si>
  <si>
    <t>…utoridades, las tomaron, y también mo cuerpo, por concurrir en él iguales circunstancias que en D. Jolos del segundo y tercer batallón que estaban suprimidos por el ante aefPuig y D. N. Ampucro, que consiguieron esta gracia, opinaba que rior gefe pol'tico. El actual, i quien le causó mas escozor el vez ar podia acceder*: á su solicitud. Aprobado. mados á los milicianos que el que le causaban loa facciosos, se fu* Continuó la discusión sobre el empré…</t>
  </si>
  <si>
    <t>Ampuero, N.</t>
  </si>
  <si>
    <t>N. Ampuero</t>
  </si>
  <si>
    <t>…imiento provincial de Soria, que im La de Guerra, informando sobre el expediente promovido por Don porta la cantidad de 4010 rs. y 12 mrs., cuya expos cion se mandó Pascual Puig y D. N. Ampuero , cadetes aspiiantes en la academia de también que pasase al Gobierno. Zapadores de Alcalá , para que sq, les ascendiese á subtenientes, opina A la comisión de Hacienda se mandaron pasar un oficio del Sr. se ba que eran acreedores á este ascenso. Aprobado. cr…</t>
  </si>
  <si>
    <t>An</t>
  </si>
  <si>
    <t>…dispondré» se imprima , publique y circuíe.sRubricado de Aida. La junta diocesana del arzobispado de Toledo, desama de hacer la Real nuas.=En Palacio 4 18 de Diciembre de t8ai.=A D. An dora parecer dd concepto público las equivocaciones que contenía el voto gel Vallejo» dd Sr. diputado Ocho* en la discusión del proyecto para indemniza» Circular del ministrrio Je la Guerra. á los legos partícipe* de diezma*, aeslon y de Enero, y viendo ta di…</t>
  </si>
  <si>
    <t>…a de forastero! de este año se ha colocado filosóficas que les sugiere su situación. No hay cosa mas natural tu inas equivocadamente en clase de jubilado al intendente de egército D. An notable que las r-ilrxiones de .Mr. Jomaid , cuando se vió por la pri tonio b tola , el cual, ademas de no estarlo , se halla desempeñando ac mera vez d tajo de las bóvedas dei templo d* Os.ns. tualmente en virtud de Real ord.n el cargo de gefe de la comisión…</t>
  </si>
  <si>
    <t>…la de Lugo al brigadier D. Francisco Moreda, actual ge le de campo D. Juan Ordovás, que desempeña en propiedad la coman político de Aragón. Para la de Orense al mariscal de campo D. An dancia general de Canarias. tonio Kosclló, actual gobernador de la plaza de Pamplona. Para la Comandancias subalternas de provincia correspondientes al decimo de Vigo al brigadier D. Ramón Romay, que desempeña actualmente tercio aistrito. No las hay según el…</t>
  </si>
  <si>
    <t>Gaceta de Madrid n.º 90</t>
  </si>
  <si>
    <t>…ntantes de una nación que qu- re ser libre, Aprobadle con qué odio tan profundo miran toda institución liberal, y con qué Otro acerca de la solicitud de Doña Irene Siles, viuda de D. An furor insano harían la guerra á la libertad de España, si estuviera en su tonio Muñiz, para que se Je conceda una pensión: la comisión (-pisa mano la disposición de la fuerza. ba que no debía accederse á ella. Aprobado. Otro sobre la solicitud de D. Pablo Lóp…</t>
  </si>
  <si>
    <t>…tra Real orden mente. Las Cortes quedaron enteradas. de 10 de Octubre siguiente resolvió S. M. que los cuerpos de caba.iena La comisión de Poderes, en vista de los presentados por D. An deberían usar de zapato ruso en lugar del que se l: fijaba con botín en drés García, diputado suplente por la provincia de Granada, opinaba la citada de 20 de Setiembre. Todo io que de Real orden cemur.co á que debían aprobarse. Aprobado. V. para su inteligen…</t>
  </si>
  <si>
    <t>…sados en el dia de hoy A as Oíiez , calle de Postas: en Santiago en la de D. Pedro Romero : en Sa respectivas comisiones. lamanca en la de D. Marcelino Sánchez: en Oviedo en la de D. An El Sr. presidente señaló para discutirse mañana el dictamen de la drés Vázquez Prada : en Vitoria en la de D. Sebastian Antonio Zarria: comisión Eclesiástica que estaba señalado para el dia de hoy, y levantó en Jaca en la de D Bernardo Josef Vasallo: en Burgos en l…</t>
  </si>
  <si>
    <t>…o una exposición de la sala segunda del tribunal supremo de tencia, la cual estaba pronto á sacrificar en su obsequio. Justicia acerca de la r. misión de la causa mandada formar á D. An El Sr. Fiat pidió que esta exposición pasase á 1a comisión que en tonio Alcalá Galiano, sobre lo cual hacia el Gobierno algunas obser tendía en los sucesos de Cataluña. vaciones. El Sr. Romero se opuso a que se hiciese esta pregunta, manifestan El Sr. Alix dijo que…</t>
  </si>
  <si>
    <t>…z Olabarrieta. Y habida la conferencia, se decaro por puesto ; y á mayor abundamiento se reputara también por fianza el re ocho votos » no haber lugar á la formación de causa.” El Sr. D. An traso de dos meses con que debe pagárseles lo que vayan suminis drés Navarro votó haber lugar. trando. ANUNCIOS. 8. a Que todos los remates prescritos por las órdenes se ejecutarán con arreglo á ellas , y principalmente á las citadas de ao de Enero y Por prov…</t>
  </si>
  <si>
    <t>…en la dri je , tiende dice en balde , |, 3st ¡r, ba d-. Se previene ( los ¡nt- rudo» que acudan á sacar los títulos corres Otra. En la gaceta de ayer , col. 3 ‘, I r. , eonde dice D. An pondientes dentro del términa&lt;lb 15 dias, según está mandado pos tonio María del Valle , léase D. Antonio Mana llaf.ex. EN LA IMPRENTA NACIONAL.</t>
  </si>
  <si>
    <t>…da Filipira», en el q-.ie se vendían teneros de la mbrr.a. blos que no saben absolutamente qué hacerse , ni pueden tomar nin Se dió cuenta de ura instancia de D. Joaquín Pem idcr, D. An guna determinación cuando se ven invadidas por mayores fuerzas ? ¿ Es tonio Rúa, f&gt;. Juan Ca-.tillo y otros vecinos de esta corte , en :a ;ue tá tan lejos ia guerra de la independencia! ¡No se han visto ccmpio- después de manif.-'tar que habían descubierto (a…</t>
  </si>
  <si>
    <t>…iento debiera cansarle perjuicio en su reputación. bad¿lia__Otro de un juro da 163,846 mrs. sobre la* remas de Granada Sres. que compusieran el jurado: D. Francisco de Sales Arni, D. An i favor de D. Antonio de Rojas, marques de Poza, conde de Cabra,tonio de Torres Pardo, D. Josef López de Arriba, D. Antonio Josef á 1.“ de Marzo de 1637__Otro de un juro de ioo9 mrs. en varios pue González «le Aguilera, D. Lorenzo Ruano, D. Josef María Jiméne…</t>
  </si>
  <si>
    <t>…compuesto de los Sres. siguientes: D. Nicolás Alonso, Don cabezarán y concluirán conforme á lo que queda indicado para la pri Antonio Puigblanch, D. Ramón Llord, D. Andrés Alcon, D. An mera. drés Moya Luzura.a, D. Domingo Fernandez Angulo, D. Francisco Dirección general de impuesto/ indirectoi y efecto/ estancado/. de la Carrera, D. Gonzalo C rdvnas y D P dio Matute. Habida la Estado que demuestra los valores, gastos y líquido de las rentas…</t>
  </si>
  <si>
    <t>…z, D. Antonio Alcázar, D. Cayetano Romero, D. Joa fábricas de las iglesias y los parroquiales en donde se alargan las parti quín Manrique; D. Mariano Zorraquin, D. Nicolás Alonso, D. An das de casados , nacidos y finados. tonio Puigblancb, D. Ramón Llord y D. Francisco Martínez Marina. Art. 15. « Los fondos de las fábricas de las iglesias costearán sus Habida la conferencia, se declaró por unanimidad n« haber lugar 4 libros y los parroquiale…</t>
  </si>
  <si>
    <t>…ara ser empleado en el importante servicio ya demos » El diz s.° de Mayo á las 6 de la tarde debió hacerse la apertura trado. El teniente D. Joscf García Plmentel y el subteniente D. An de las sesione* del cuerpo representativo, según la convocación hecha gel García, del predicho regimiento de la Corona, desempeñarán res anticipadamente. Entre las varias corporaciones que debieron asistir pectivamente las funciones de ayudantes de órdenes; e…</t>
  </si>
  <si>
    <t>Gaceta de Madrid n.º 244</t>
  </si>
  <si>
    <t>…do noticias de Cataluña, que alcanzan hasta el 13 in tras funciones parlamentarias, sin r. anilcsrams cuinii aprecio el zelo clusive. El día 11 i la una de la tarde fue atacado el brigadier D. An con que os habéis spiieado « ¡os muchos e ¡mpartantes objetos que se tonio Gaspar Blanco en las alturas de Besalú por una columna de fac hin sometido a vuestro examen en el discurso de esta inga y laboriosa ciosos , ci mpu-sta de cerca de a3 hombres, la cual…</t>
  </si>
  <si>
    <t>…tidades rocos sobre la vigilancia con su retado. Siguientes: por cada carnero ú oveja 5 rs.; cada macho cabrío 6; la ter Sres. que compusieron el jurado: D. Cirilo Josef Sánchez , D. An nera 8 , y por cada vaca 20 rs.; y para que llegue á noticia de las per gel Pefia, D. Josef María Domínguez, D. Juan de Dios Hidalgo Vaz- sonas á quienes se interese se hace saber el púbiieo. u z , D- Rafael Mariano Pavón, D. Julián Alvarez de Gnlmago, Don A…</t>
  </si>
  <si>
    <t>1410</t>
  </si>
  <si>
    <t>…Boado, G. P. presidente.=Benito María Millan.=Josef Marti17 del corriente refieren que los turcos habían hecho y» una incur- ntz.ssRoque Aliste.=Josef Montes, secretario intcrino.=Sr. D. An sion en la Morea 15 dias antes de haber llegado su escuadra. ILb/an tonio Quiroga, comandante general del segundo distrito militar. sido trasportados de Lepanto á la costa meridional del golfo en buques Idem so. europeos, esto es, austríacos , y se había adel…</t>
  </si>
  <si>
    <t>…el oficio del Sr. secretatio de Hacienda pasase á la comisión de este ramo que se había de nombrar. CORTES EXTRAORDINARIAS. Se mandó pasar 4 la comisión de Guerra un expediente de D. An msinisciA OEi skSor salvato. tonio María Ibaóti, solicitando la revalidación del ascenso 4 subtenien Sesión del día 8. te , á que el Gobierno le consideraba acraedor; el cual había remitido el Se abrió i las diez y media , y leídas las actas de la tercera jun…</t>
  </si>
  <si>
    <t>…obaron fu.-ron los Sres. Surra , V.ldés (D. Caye político hub ese cotttiu do Su» d.Lgencra» a'.tus d; ist: te-nir o bari tano), Arguelles, Cuadra, Albear, F'alcon , Alava, Ferrer (D. An la entrega al juez, púa, es sabido que fij»nJ&lt;. -.i el , no por tonio) , Ko.et, Bastos , Alvar.z , Trujiilo, Torres , Meiced , Bauei, eso se impide el m.ínmuut y (I ra.d.e. t &gt; t. r se a r r b; »iort ex Bringas, iranchez , l.odare&gt; , B alee , Apoma , Lamas ,…</t>
  </si>
  <si>
    <t>An, Joan</t>
  </si>
  <si>
    <t>Joan An</t>
  </si>
  <si>
    <t>…e su paradero , en conformidad á lo mandado por ;a sala se brigadier D. Josef de Torres persiguiendo constantemente á los de gunda del crimen, en D que, y escriban a de C/rnaia de D. Joan An -Lean , y dirigiéndose por Montaiban i Aliaga, me avisa desde aquel ionio Almazan , se halla pendiente la mencióna la causa en gra to depueblo que los restos de ia facción, compuesta ya solo de 80 á 90 in fantes y 26 caballos , se di-’^ n al abrigo de los mon…</t>
  </si>
  <si>
    <t>An, Josef</t>
  </si>
  <si>
    <t>Josef An</t>
  </si>
  <si>
    <t>Gaceta de Madrid n.º 92</t>
  </si>
  <si>
    <t>…te por el Sr. presiente D. Faustino del Toro , Sr. intenden La misma, en vista de la solicitud de los ayuntamientos cnnsi ra te interino D. Juan de Guillcrmeti , 7 Sres. diputados D. Josef An cionales da Aranjuez, $. Lorenzo del Escoria! 7 el Pardo, para que se</t>
  </si>
  <si>
    <t>An, Ju.m</t>
  </si>
  <si>
    <t>Ju.m An</t>
  </si>
  <si>
    <t>…y por lo mismo no se impone ninguna traba ai poder 1). V.cent- Garc a v'a. r , O. H . c C n ido d- i’az , O. Ramea judicial de desechar el dictamen de la comisión. Macia Lleopatt, D. Ju.m An.4- s de Sitovia y D. Jo&gt;:¡ A'm.r, Se dirá sin embargo que te trata de aprehender á un reo conspira cont'a Vt 'nano Jjat z, v .na d: tsti corte, casado , de cficio dor contra el sistema , en el caso de que todavía no se ha mamust do revocador de .a.ac , v son.…</t>
  </si>
  <si>
    <t>An, Juan</t>
  </si>
  <si>
    <t>Juan An</t>
  </si>
  <si>
    <t>…z Albornoz, ssrgento mayor de la milicia activa de Cuenca. mayor comandante supernumerario del regimiento de caballeó* del In Calahorra: para coronel al coronel vivo de infantería D. Juan An fante. tonio Tabuenca, teniente coronel mayor del regimiento de Valencia. Villafranca: para coronel al coronel vivo de infantería D. Benito Ellin (ligero): para coronel al coronel vivo de infantería D. Ma Losada, supernumerario del regimiento de Málaga. nuel…</t>
  </si>
  <si>
    <t>…pelea antiguos modernos sobre dispenses matrimo Junio de 1803 , ni la Real gracia que de ellas le liberta , le sirvan de niales y otros punto* de disciplina eclesiástica: su autor D. Juan An •ota ni obsnculos para los dest-no* i que te haya hecho acreedor ó tonio Llórente: segunda edición: un lomo en 4.' á 18 rs. rustica. Am pueda merecer en lo sucesivo, mandándose anotar asi en la caja de bas obfaa se hallan da venta en la libre-ja de Antoian. E…</t>
  </si>
  <si>
    <t>An, Pedro</t>
  </si>
  <si>
    <t>Pedro An</t>
  </si>
  <si>
    <t>Gaceta de Madrid n.º 200</t>
  </si>
  <si>
    <t>…cantidades que respectivamente se l.s han asignado so tscimientos de Etpafia. No bastándoles este medio i los intrígtntet, bre las capitalidades á razón de un 37 octavos por 100: D. Pedro An procuran darle mayor extensión; y asi intentan borrar de la culta Ale tonio del Sobria! ó su representación 19,561 rt. y 5 mrs. D. Juan de mania las ideas de admiración que hasta ahora tenían formadas de Es la« Llanas id. 6713 r». y 4 mrs. D. Félix Pont id. Ü…</t>
  </si>
  <si>
    <t>An-</t>
  </si>
  <si>
    <t>…atriies t beco—Un c’jon vaini las__ ia fuerza. 33 t reíos zurza__ 107,345} ps. fs. en plata y 0 0 acufac'o.__11 l arras » S noble me es que hayan sido heridos los bravos oficiales D. An- y barretones p ata__Un cajón p ata ¡abra’a._ Me Cuba—125 picas toei &gt; 6 n, ayudante d: Astúrias, D. Junan Sanz, subt niente d: S-- a godon__jr&gt;5 sacos cacao Caracas----349 barriles y 37 r .:cs ccíc__ pii-m y D. Ferx de Hi'i, subteniente del mismo , todos de a…</t>
  </si>
  <si>
    <t>Ana</t>
  </si>
  <si>
    <t>…a de Vuo al brigadier D. Ra-.noa Losada: para la de Badajoz á D. Luis Castillo Barrantes, que io t&gt; de 1 te, relativa á una pensión. la de Extremadura: para la de Lugo al teniente coronel D. Ana l del I A la de Premios una exposición de Doña Sebastiana Aguijar, soli- Arenal: pata la de Ciudad-Real a D Pedro Clemente Ligues , que lo ■ citando una pensión por los mé.itos contraídos pe r su difunto marido. «s de la de Valla dolid: para la de Murcia al i…</t>
  </si>
  <si>
    <t>….a .. n.. cñ V -r ^ . 1 ¿.. - i ■ ?■ i» r.;wi n d.- i- s uu ve wi.v '.1 -v -J w • -.s r» , ?'*: tu ».»» A o e..u: ■ • s'- l-a .»*. q a *c nob* n . ■. . ■ j 4 wAsú- coabt.tjciunal D. Ana» G Uv. .'.i.UAÍv*a un aiii-u.o d. v .*» v ,^.,o ¿ •;»: i a 2-.tL;iRnda, y qu; ei a»vo. ----- v . - -</t>
  </si>
  <si>
    <t>Ana, Francisco</t>
  </si>
  <si>
    <t>Francisco Ana</t>
  </si>
  <si>
    <t>…te es el origen de tantas noticias con Séptima ciase. Lengua fratutsa , á careo de D. Juan Ribera. Pufo re‘ac:on al ultimátum del Gabinete ruso; y aunque al día siguiente se mió i D. Francisco Ana. Accésit á D. Jacinto Madrid y » D. JomX vee que son falsas, se repiten sin embargo de allí á dos días. Villa roe!. Octava clase. Lengua ¡atina, á cargo del mismo. Premio á Don VAISISSAJOS. J.nan Madrid. Accésit a Castro. Novena clase. Dibujo, i cargo de D. C…</t>
  </si>
  <si>
    <t>Aña, Rodrigo</t>
  </si>
  <si>
    <t>Rodrigo Aña</t>
  </si>
  <si>
    <t>…tenia el carácter de ley como suponía el S. Castejon, tu reputación. qu dó aprobada, retirando la comisión la última porte,como había pro __D Leonardo Gil de la Cuesta denunció al Sr. D. Rodrigo Aña puesto el Sr. Infante. da , alcalde constitucional de esta M. H. villa, un artículo inserto en Se lyó la tercera, y el Sr. presidente, habiendo dejado su silla,dijo: el Tribuno, número i¡, como injurioso á su persone. F.i G&lt;-bremo no debe proveer los destinos…</t>
  </si>
  <si>
    <t>Ana, Santa</t>
  </si>
  <si>
    <t>Santa Ana</t>
  </si>
  <si>
    <t>…t Octubre. de el Gobierno republicano, y que ha derrotado una dir:tion de tropaa Corre la vos de que, creyendo el Gabinete de Lóndres deber des del nuevo Emperador, mandada por el general Santa Ana___Fondos embarazarse de la extremada condescendencia que turo el difunto mar públicos en Lóndres el 15 del corriente. Billetes del banco 14Ó-, tres ques de Londonderri á las miras del príncipe de .Vlctternich , ba hecho por ciento consolidados 8a; cuatro por…</t>
  </si>
  <si>
    <t>Anacido</t>
  </si>
  <si>
    <t>…ovincia de Sevilla en favor Excmo. Sr. secretario de Estado y del Dispacho de la Guerra.” del ayuntamiento de la villa de Utrera con el núm. 833 , de reales ve _ Por jubilación de D. Anacido de las Casas, fiscal de la audiencia llón 133,839 con 12 mrs. Se suplica al que la hubiere encontrado se de Puesto Príncipe, en la isla de Cuba, ha quedado vacante la referida sirva avisar en la calle de S. Onofre, r.útn. 23, cuarto 2.0, donde da plaza, cuyo…</t>
  </si>
  <si>
    <t>Anas</t>
  </si>
  <si>
    <t>…ultad de juzgar y Se leyó y aprobó el id; de la anterior, mundíndole agregar fi ella hacer que se egecute lo juzgado con arreglo a lo que previene el articu el roto particular del Sr. Anas , contrario á lo r sue'to sobre varios ar lo 34; de la Constitución, será de su atribución obligar á los multa tículos del dictamen de la comisión de Hacienda sobre el pa el sellado; dos á que paguen la mulla que se les huya impuesto, procediendo en 7 otro de…</t>
  </si>
  <si>
    <t>Anbres</t>
  </si>
  <si>
    <t>…e sirva avisar en esta corte á D. Ignacio Nogues, te y con destino ó oficio paiticular á una banda de foragidos, hom calle de Silva, núm. 4, cuarto principal, ó en Cabra al citado D. Anbres perversos, indignos españoles, que de mano armada conspiraban á gfl Tejeiro. destruir el Gobierno constitucional. Legarra era un eclesiástico que por La p’rsona que tuviese noticia de los herederos ó testamentarios su mismo estado tenia mas conocimientos y ma…</t>
  </si>
  <si>
    <t>Anca</t>
  </si>
  <si>
    <t>…gencias, porque en el día 17 se tomó la confesión al reo. ilusos quieren echar el yugo sobre sus cuellos, y para el efecto predi Veamos ahora cuites son los cargos que se hacen al Sr. Anca : 1.“ Que can la doctrina del despotismo. Estos nos hacen una gran guerra pot no hizo laa diligencias que debia , ó no evacuó las citas de la conver- desgracia. Otros hay que apetecen la libertad civil lo mismo que los salaacion que se dice haberse tenido en…</t>
  </si>
  <si>
    <t>Anca, Francisco</t>
  </si>
  <si>
    <t>Francisco Anca</t>
  </si>
  <si>
    <t>…a tres millonea y me La comisión de Guerra opinaba que debia acceders: i la solicitud dio'de reales, y todavía llegaría' á producir hasta cuatro, sin embargo del auditor de Guerra D. Francisco Anca sobre que se le abonase lo le parecía que podía aprobarse el artículo, mediante 4 que el pago del que antes percibía como fiscal de los cuerpos de la casa Real , en aten papel sellado para los recibos de alquileres se debería hacer por lo* in ción á ser una c…</t>
  </si>
  <si>
    <t>And</t>
  </si>
  <si>
    <t>…A do , compuesto de lossrfiores siguientes: D. Tomas María Z&gt;non, Don un* monja de Mallorca por falta de facaltade*. Sin duda qne debe ha Joaquín Huerta Cerillos, D. Manuel Mermo, D. And re. Martínez ber una equivocación acerca da esto , pues el qne escribe está autoriza Oriniga, D. Lino Campos, D. Carlos Romeral, D. Josef Demetrio do 4 expedir los rescript a de secularización pora las monjas basta todo Rodríguez, D. Josef Radon, D. Isidro Me…</t>
  </si>
  <si>
    <t>Andraca, Juan de</t>
  </si>
  <si>
    <t>Juan de Andraca</t>
  </si>
  <si>
    <t>Gaceta de Madrid n.º 98</t>
  </si>
  <si>
    <t>…slativo en aquel Gobierno- dro Armengoli y Pujol: i D. Mariano de Mendicta, en Bilbao á 26 La Constitución del mes de Mayo de id 17 reconoce tres autorida de Noviembre de 1813 por D. Juan de Andraca por uno de 300 pe des : el comisario superior, el senado y la asamblea legislativa. sos: á los Sres. Pinos y compañía , en Barcelona á 10 de Diciembre de i.° Kl comisario superior siempre es un ingles nombrado por el Rey 1814 por Jaime Canto por otro de idem:…</t>
  </si>
  <si>
    <t>Andrace, Juan de</t>
  </si>
  <si>
    <t>Juan de Andrace</t>
  </si>
  <si>
    <t>…ee nota la hermosura mas varonil j ? ujol: i D. Mariano de Mendieta en Bilbao á 26 de Noviembre «la ana robustez extraordinaria , gustan mucho de ademarte con un dibujo i8ig, por D. Juan de Andrace por uno de goo pesos: á lot señores muy complicado que le* cubre enteramente el cuerpo, y que representa Piros y compañía en Barcelona i 10 de Diciembre de 1814, por Jai la armadura mas vistosa y rica que pudiera llevaren lo* tiempo* de caba me Canto por otro…</t>
  </si>
  <si>
    <t>Andrade, Francisco</t>
  </si>
  <si>
    <t>Francisco Andrade</t>
  </si>
  <si>
    <t>…«Coruña, su ayuntamiento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milicia nocional de Madrid. El Excmo. Sr. secretario de Estado y del Despacho de Hacienda A lo* héroes de…</t>
  </si>
  <si>
    <t>Andrade, Juan de Ponte y</t>
  </si>
  <si>
    <t>Juan de Ponte y Andrade</t>
  </si>
  <si>
    <t>…les del renta del servicio ordinario y extraordinario de las ciudades de la Co regimentó de Villaviciosa , el ayudante D. Agustín Solera, el te rulla y Betanzos, en cabeza ds! Dr. D. Juan de Ponte y Andrade y men- D. Antonio Perez, el alférez D. Andrea Baranda y el cadete Do'a Antonia Saavedra, su muger, perteneciente al mayorazgo que D. Donato Torro», y yo los recomiendo á V. E. por el mérito que fundó dicho Dr. Ponte ; se suplica á la persona en cuyo poder exi…</t>
  </si>
  <si>
    <t>Andrade, Ribeiro de</t>
  </si>
  <si>
    <t>Ribeiro de Andrade</t>
  </si>
  <si>
    <t>…jun producen , el influjo y autoridad qne en el sistema anterior egeteian, y ta de Gbi'rno de S- Pablo. lo que es p.-or , la ignorancia genera! y falta de principio* entorpecen El Sr. Ribeiro de Andrade dijo que m levantaba pura impugnar al el éxito de nuestras continua lateas, y icudu la ¿poca «le la felicidad guna i idctt del preopinante, y manifestar que era enteramente fallo que general. los acontecimientos de Rio-Jzneiro fneien efecto de una facción de…</t>
  </si>
  <si>
    <t>…la seguridad de sus moradores, hoy es aun mas sagrada asta obli el árbol de la libertad tuviese dos troncos. gación , porque no contentos los enemigos del bien público con aten £1 Sr. Ribeiro de Andrade dijo: Ciertamente es nuevo el modo de tar á la ley fundamental, encendiendo la guerra civil en ctras provin erguir del ilustre preopinante; y sino ha entendido el proyecto, es cias distantes, maquinan ademas los odiosos medios de extender loe porque no se ha…</t>
  </si>
  <si>
    <t>Andrade, Ríbeiro de</t>
  </si>
  <si>
    <t>Ríbeiro de Andrade</t>
  </si>
  <si>
    <t>…diar los gandas males que imt&gt; rncral á la luz de las hachas da viento que ardían en toda ella; y ha* SUabia Eiéndolaa arengado en seguida, concluyó aclamando á la Nación, á ía El Sr. Ríbeiro de Andrade pronunció un largo discurso, en el cual Constitución y al Rey constitucional , después de lo cual se retiraron de.pues da demostrar que no debería hablar porque parecía estar el todos á disfrutar del descanso, repitiéndose las aclamaciones que ct Congreso cas…</t>
  </si>
  <si>
    <t>Andrade, Ribeuo de</t>
  </si>
  <si>
    <t>Ribeuo de Andrade</t>
  </si>
  <si>
    <t>Gaceta de Madrid n.º 253</t>
  </si>
  <si>
    <t>…ceurio yo iré de vigilante mas fiel á quien cita confiada la guarda y coru-rvacion del capellán de ellas. sagrado Código , que en tan delicada, circun.lancias no apirte la vota Mi Sr. Ribeuo de Andrade dijo que esta idea er&gt; verdaderamente de los grandes cuidados que exige el estado político de la Nación. Kjut</t>
  </si>
  <si>
    <t>Andrade, Rivciro de</t>
  </si>
  <si>
    <t>Rivciro de Andrade</t>
  </si>
  <si>
    <t>Gaceta de Madrid n.º 279</t>
  </si>
  <si>
    <t>…Doucet , &gt;jue en estas circuns'an- r»Omo en la sesión del dia 30 del pesado, al tratarse de la indi cias tan importantes se han conducido de un modo que tos hace acree cación dat Sr. Rivciro de Andrade «obre que aaliesen del Congr so dores á la gratitud de todos los nantesrs. los diputados de lai provincia» difidente» del Brasil, el argumento mi: He creído que debía abreviar la nairacion de los hechos por hallar fuerte que se hizo contra ella fue el no habe…</t>
  </si>
  <si>
    <t>Andrade, Riveiro de</t>
  </si>
  <si>
    <t>Riveiro de Andrade</t>
  </si>
  <si>
    <t>…e la espada sin ya sancionada por este Congreso en el dictamen de la comisión sobre darle otra contestación. Entonces Mr. Polo viéndose sin armas y sin de Ja citada indicación d-l Sr. Riveiro de Andrade. Lisboa 10 dj Setiem fensa se retiró. bre de 1822 erjosef Lino Coutinfco.rcCipriano Josef Barata de A mei» Este altercado se verificó al mismo tiempo que se reunia el comer d».r= Francisco Antonio Gomes. = Alejandro Gomes Fcrrao. — Do cio , y fue tanto lo que…</t>
  </si>
  <si>
    <t>Andrea</t>
  </si>
  <si>
    <t>Gaceta de Madrid n.º 34</t>
  </si>
  <si>
    <t>…7 aabe- Echevarría, Rodríguez de Lpdama,Obregon, Aguirre, Pareja, Dasmoc punta apoyó por tu parte ma» ó mano» ai dictamen del Congre prat, Píetela, García Sosa , Méndez, Navarro ( D. Andrea), Solano?, go: jy qué nao ae ha hacho de otto! Si el Congreao nacional había-do- García (D. Justo), Lallave (D. Pablo) , Uraga , Mora , Apartado, clarado que «¡ere individuos no tenían la fuerza moral, «seria por ven Micbdena , Dd Rio , Fagoaga, Castoreña , V…</t>
  </si>
  <si>
    <t>Gaceta de Madrid n.º 115</t>
  </si>
  <si>
    <t>…n bierno pan que le confine» nu dattira en rentas. A paofaadet 6tt apoderado de na cutíale* , te ha hecho i la reía coa mi acuadrilla pa Se dió cuan» de un oficio del Sr. dipntado D. Andrea 'T ra la coala del Norte; y que el coronel González ae- halla, íes un ac Bustamante, haciendo la misma cesión que los demas Sres. diputados de ucias , robre Guayaquil, deapuca de habar batido cerca de Quito al co- 1* cuarta parte de sus dietas» Las Cortes que…</t>
  </si>
  <si>
    <t>…o el tiem periódico de Granada nos comunican lo siguiente i po en una cuestión de tan poca entidad. La comisión dice que las Cor » El diputado á Cortes por la provincia de Granada D. Andrea tes, qu: tienen la facultad de imponer las contribuciones y de sefialar María García y Bustamante , natural de Huesear de Baza , falleció los sueldos á los militares al principio de cada legislatura, lo bagan repentinamente en la villa de Carivaca el día 19 d…</t>
  </si>
  <si>
    <t>Andrés</t>
  </si>
  <si>
    <t>Gaceta de Madrid n.º 35</t>
  </si>
  <si>
    <t>…,una desdeñosa mira Rivera,' Obregon, Aguirré, Fagoaga, Puchet, Picrola , López Cons da sobre el ciudadano humilde y laborioso; Heno de disgustos, no pue tante , Mepdez , Navarro (D. Andrés), Solanot , García (D. Juan de imaginar que el pobre labrador conozca la felicidad, ni que pueda justo), Úraga, Mora, Cristo, del Rio, Castoreña, Ciscar, Aparta tomar parte en la suerte de su patria; pero ¡cuánto se equivoca! Loe do, Michelena, Quintana, Argí…</t>
  </si>
  <si>
    <t>…ban los Sres. Marina , Priego , Lallave (D. Pablo) , Díaz dictamen, añadiendo solo que los comisionados del Gobierno estuvie Morales , López Constante, Vadillo, Palarea , Navarro (D. Andrés), sen autorizados para desechar las proposiciones que les hiciesen contra Puigblancb, Desprat, Ramírez (D. Miguel), García Sosa, Gutiérrez rias á la libertad (en su persona y bienes) de los españoles americanos Acuña, Ciscar, Florez Estrada, Navarro (D. Felip…</t>
  </si>
  <si>
    <t>…tes dic le conceda una huerta del extinguido convento de S Francisco da ta trenes r aquella villa, á fin de construir un cementerio rural, opinaba que de Uno sobre la solicitud de D. Andrés, D Manuel y D. Fernando bía accederse á lo que pedia dicho ayuntamiento, deciaran io que el lasjr.s , hermano», vecinos d: Cá-liz , para qje se les dispense la edad Gobierno está autorizado por el decreto de a de Febrero último para qu: les faltaba para admin…</t>
  </si>
  <si>
    <t>…s concede por la Cionstitu- rioso i sus poderdante*. c.on , han decretado lo siguiente: Art. i.° Desde el dia i.J del próxi Se reunió el jurado, compuesto de los Sres. siguientes: D. Andrés mo Juóo podrá el Gobierno conceder licencia ilimitada con medio anel háartinez Orinas*, D. Josef Luis de Amaadi, D. Joaquín Ruiz , Don do, á igual número de los oficiales de todas clases que hay excedentes en Josef Gómez Albacete, D. Mariano Zorraquin, D. Fra…</t>
  </si>
  <si>
    <t>Andrés, Francisco de Sales</t>
  </si>
  <si>
    <t>Francisco de Sales Andrés</t>
  </si>
  <si>
    <t>…18 honorario de la de S. Fernando, y diputado en Cortes; á D. Marcial de Diciembre de 18a 1.3 Antonio Alonso. Antonio López, de la academia de la Historia, y diputado en Cortés; á D. Francisco de Sales Andrés, colectar general de Espolios, y acadé mico supernumerario de la academia Espafiola; á D. Antonio Siles, En el Ateneo etpafiol se hace el dia y de Enero á 1» cinco y me magistrado de la audiencia de Madrid, é individuo de la academia de dia de la tarde la ape…</t>
  </si>
  <si>
    <t>Andrés, Pedro</t>
  </si>
  <si>
    <t>Pedro Andrés</t>
  </si>
  <si>
    <t>Gaceta de Madrid n.º 270</t>
  </si>
  <si>
    <t>…icen pasó el sefiot TKI1UNA1.ES. Topete al Gobierno ,” denunciado como injurioso. Para cumplir con lo pactado en juicio de conciliación cefebr.v'o Sres. que compusieron el jurado: D. Pedro Andrés. D. Antonio anta el Sr. D. Arias Gonzalo de Mendoza, alcalde constitucional de Co’omar. D. Pedro de la Cantolla. D. Francisco Javier Hernández. esta villa, se vende una cata de recreo y jardín perteneciente a&gt; i-vc - D. Bartolomé Espinosa. D- Domingo Menguar.…</t>
  </si>
  <si>
    <t>Andrés, Sebastian</t>
  </si>
  <si>
    <t>Sebastian Andrés</t>
  </si>
  <si>
    <t>…ra: » Pido que la remisión cázar, D. Joaquín Cevallos, D. Felipe López Valdemoros, D. Higi«leí código penal á la sanción del Rey se eotienda corregidos y com nio Antonio Llórente, D. Sebastian Andrés, D. Antonio María Espe probados exactamente los dos egemplares.” jo y D. Valentín de Nicolás. Y habida la conferencia, se declaró poc El Sr. Oliver se opuso á esta adición, manifestando que esta opera unanimidad haber lugar 4 la formación de causa. ción ara s…</t>
  </si>
  <si>
    <t>…otra turnino Lozano, D. Joaquín Ruir, D. Casimiro Martin , D. Lorenzo de 64,83. rs. de capital, número 3878 , 4 favor de Dofia Gerónimo Calvo de Rozas, al marques de Torrcnucva y D. Sebastian Andrés. Burriezo; otra de 16,316 rs. y 23 mrs. por réditos, núm. 4467, 4 fa vor de D. Santos Zorra; otra de 31,185 rs. de capital, número 3879, TaiZDMALXS. 4 favor de D. Gerónimo Bravo,7 otra de 6866 rs. y 16 mrs. por redi» Por providencia de la sala segunda del cri…</t>
  </si>
  <si>
    <t>…n el acto del remate: i.° en &gt;4 de Diciembre, y Andrés Martínez Orinaga, D. Ramón Llord, D. J aqum Lumbre 3.“ en 30 de Abril del año de 1813. Se hace saber al público pata su ras, D. Sebastian Andrés, D. Matías Casero ,D. Juan Paz, D. Casi inteligencia, adviniéndole que su primero y último remate se ha de ce miro Marín, D. Antonio Sandalio de Arias, D. Antonio Regas, lebrar el dia 5 del próximo nv» de Set embre de 11 á 12 de su mañana. D. Lorenzo Lambes y…</t>
  </si>
  <si>
    <t>Andrés, Sebastian de</t>
  </si>
  <si>
    <t>Sebastian de Andrés</t>
  </si>
  <si>
    <t>…s María Zanon , D. Andrés Martínez Orinaga, D. Josef Gómez Albacete, D. Julián «fe Fuentes , marques de CutaLos Sres. diputados Secretarios de las Cortea con fecha 30 de Mayo no y D. Sebastian de Andrés. último me dicen lo que sigue: Habida la conferencia se declaró por siete voto» no haber lugar 4 - Habiendo acudido 4 las Cortea varios toneleros y barrileros de la la formación de causa. ciudad de Mi a. a en solicitud de que atendidos los perjuicios que se s…</t>
  </si>
  <si>
    <t>Andreu, Esteban</t>
  </si>
  <si>
    <t>Esteban Andreu</t>
  </si>
  <si>
    <t>…Fernan Bilbao (ligero): para coronel al coronel vivo de infantería D. Juan do VII. López Campillo , teniente coronel del regimiento de Zamora. Tarragona.- para primer comandante i D. Esteban Andreu, coman Bujalance: para coronel al coronel electivo de infantería D. Julián dante del primer batallón del regimiento de infantería de Málaga. Romero, supernumerario de ia milicia activa, que ha mandado la ter Teruel (ligero): para primer comandante i D. Pedro…</t>
  </si>
  <si>
    <t>Andreu, Manuel</t>
  </si>
  <si>
    <t>Manuel Andreu</t>
  </si>
  <si>
    <t>…s: D. FranciscoCa A cesantes y jubilados......... 94,4a í— 3Í tarais, «x-guardía: D. Sebastian Artllano: D. Josef AguiUra: Tomas A 'dudas del Monte pío da lunar : Miguel Campillo: D. Manuel Andreu: D. Juan Ortega. Dan oficinas.................................... *37.7í3-2« Marcos Román: Joaquia de la Torre y Josef da la Torre: Juan Vare A obras de edificios de la y Juan Luquc. Hacienda................................ 2,500 ARTICULO DB OFICIO; A devoluc…</t>
  </si>
  <si>
    <t>Andreu, S-rapio</t>
  </si>
  <si>
    <t>S-rapio Andreu</t>
  </si>
  <si>
    <t>…ervo A rango, D. Fmaciaco Macíac, D. Jotcf admirable. Morale*, D. Pedro Badiere, D. Pió Larténdo, D. Pedro Po illtru, «Coruña, su ayuntamiento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t>
  </si>
  <si>
    <t>Anecio, Manuel</t>
  </si>
  <si>
    <t>Manuel Anecio</t>
  </si>
  <si>
    <t>…us comitentes. duos que gocen sueldos, sean estos parte de sus dietas. La comisión encargada de pretenur su dictamen acerca de .lt Con A la de Legislación se pasó una solicitud de D. Manuel Anecio», testación que debía darse al discurso de S. M. presentó su ÓKtámen, el' vecino de Valencia, pera que se le dispensen siete meses que le faltan cual leyó uno de los Sres. secretarios; asimismo el voto particular .del para entrar en la edad de poder administr…</t>
  </si>
  <si>
    <t>Ange</t>
  </si>
  <si>
    <t>…a y t n. o. de to por el ayuntamiento como por los señores de mas i ustracion que Castilla por los derechos de lanzas y medís anatas, x ’.Vt. 1.1 , as stieron , entre otros el hr. D. Ange1 Casim ro Govantes, ex-dipu- con disgusto que esta clase, que debiera dar egi-mp o de puntua &lt;i,d i tado de Cortes, y magistrado de la audiencia de Valladolid. Cuando sa todos los contribuyentes, es por desgracia la mas r trusa en el P,,o .le lieron d- la hjs…</t>
  </si>
  <si>
    <t>Angel</t>
  </si>
  <si>
    <t>…dréis se imprima , publique y circule. =: Rubricado de la Real en los que se hacen en la industria agrícola. No habla:é de las má mano. = En Palacio á 34 de Diciembre de tSai.st A D. Angel quinas que se han inventado, y cuyo uso no se ha generalizado to Vallejo. davía , como la hidrópota de Barcelona y otras; ni tampoco de la ex plotación de minas, especialmente de carbón de piedra; y solo haté D. Fernando vn por la gracia de Dios y por ta Cons…</t>
  </si>
  <si>
    <t>…éis se imprima, publique y circule. = Rubricado de la Real de la cual se pone una estufilla, y que se cubre cotí un tapete. Las per mano. = En Palacio á a8 de Diciembre de itu.s A D. Angel sonas que tienen la dicha de ser convidadas i sentarse al rededor de es Vallejo. te brasero pueden entablar con toda seguridad las correspondencias mas interesantes. Se mete en un zapato un billete amoroso, y mediante Junta general directiva de catas de moned…</t>
  </si>
  <si>
    <t>…a; los heridos fueron bastantes;': Argiiello, idem. D. Juan Escorial; ídem. D josef Miguel, de Góicopero no puedo detallar su número por ahora por haber tenido que con chea, idem. D. Angel.¿erez, idem. D. Juan Esteban García , contuso. ducirlos i diversos hospitales: por mi parte he tenido ia pérdida qué D. Jacobo Gilvan, ídem. D. Josef Coriúri, ídem. Paisano i D. Juan manifiesta el adjunto estado: Josef Ibarr.ta , contuso , agregado. •s El bri…</t>
  </si>
  <si>
    <t>Gaceta de Madrid n.º 262</t>
  </si>
  <si>
    <t>…Maeiia. Con acuer sicon v parnotismo. Ei ciruiano dei pueblo de Creta, FV Vicerre Un* ban, que con al mayor patriotismo y desprend m . nlo ha abanderado do del comandante de Caspe D. Angel l'erez, y de Azcuerasa , ter a determinado el caer con todas las fuerzas sobre el punto de Maeila, su pueblo para prestar servicios act.vos á la patria , v que ,i u’ m co después que la tropa descamase y tomase algún alimento; pero los ene lumna desde su form…</t>
  </si>
  <si>
    <t>…l Emperador, y grand.s cruces de la familia itap.nai minan rastreramente para sumergirnos en la anarquía y en intestinas SS. A A. el prí-cipi del imprio , e! príncipe de la Union, D. Angel disensiones: al efecto calumnian al egército, trabajan por alarmar al príncipe mejicana, y D Sa vador prínc p; mejicano.__Prelados grande* pu.b'o , corrompen á los inocentes , hacen desconfiir al reflexivo, exas cruces 'I arzobispo di Goat mala y los obispos…</t>
  </si>
  <si>
    <t>…ue tinpi.za : - on este motivo ,” y core uve con ademas del ministro de negocios extranjeros, emeo embajadores; á sa las paiibia» ’&gt; en que lo ap &gt;y.roo» ,” por lo que hace ai Dr. D. Angel ber: los Sres. de la Ferronaye, de Caraman, de Ramevai, de Seircs y Sígasela de I.urdoz y a D Joscf Leen c? V..ur.a: en cuya .■ nsecu nde Latour-du-Pin. También se anuncia la llegada de Mr. de Chat.au- cia ta icy condeno a D- Joaquín Domingo, responsable de d…</t>
  </si>
  <si>
    <t>AngelVallejo</t>
  </si>
  <si>
    <t>…señores Surcda y l’eñalvcr, tenga felices Rubricado de la Real mano-=En Palacio á a8 de Diciembre de t8zi. resultados. Otras muchas manufacturas prosperan igualmente que la de aA D. AngelVallejo. paños: las de seda reciben cada día mucho impulso por los métodos que se han adoptado, como el hilarla en Irlo, el torno de Regas: las fábricas de lonas progresan en Granarla y Ccrvcra; las de gorros y m dias en Cata El 8 del corriente se pagará en la casa n…</t>
  </si>
  <si>
    <t>AngelValtcjc</t>
  </si>
  <si>
    <t>…ivo hablaba veidadcranienu resentido de Rubricado de la Real mano-=En Palacio á 14 de Diciembre de i8z 1. lo que té había hecho respecto á dicha provincia. Manifestó en seguida —A D. AngelValtcjc. que el partido de la Puebla dehanabria y olios lugares habian hecho tepresentaciones muy enérgicas á las Cunes para que no ios agregasen á lia D. Fernando vn por la gracia de Dios y por la Constitución de España*, presen á todos de las la Monarquía españoa.…</t>
  </si>
  <si>
    <t>Angu, Miguel Ar.tort'O de</t>
  </si>
  <si>
    <t>Miguel Ar.tort'O de Angu</t>
  </si>
  <si>
    <t>…les , a'c iiile constitucional de primer voto de ia ciudtd de Vitoria pagarán los derechos que les correspondan por arancel. Art. 1 a. Si se y su jurisdicción Scc.: hace saber que D. Miguel Ar.tort'O de Angu nrc 'sitare algún propio para el aviso de ia salida del egecutor se le abe— lo, catea! de S. Pedro de Mollinedo , valle de Villavrrde de Ttua? rán dos rs. por cada legua de ida y vuelta. Art. 13. Todos los gastos cios , encartaciones de Vizcaya , y del comerc…</t>
  </si>
  <si>
    <t>Anguín, Juan Bautista</t>
  </si>
  <si>
    <t>Juan Bautista Anguín</t>
  </si>
  <si>
    <t>…regimiento infantería Gerona al t *nirnte coronel graduado D. Antonio de Pol, teniente de la Reina, con 570 rs. del r e mi nto infantería de Fernando vil, con 570 rs. Tarragona A D. Juan Bautista Anguín, teniente del regimiento in Ganada á D. Agustín Josef Rada, teniente del regimiento infan fantería de Aragón, con 570 rs. tería de 'a Corona, con 570 rs. Teruel á D. Juan Ramiro, teniente del regimiente infantería de Guadix á D. Josef María Canelo, teniente d…</t>
  </si>
  <si>
    <t>Anguio, Domingo Fernandez de</t>
  </si>
  <si>
    <t>Domingo Fernandez de Anguio</t>
  </si>
  <si>
    <t>666</t>
  </si>
  <si>
    <t>…ués de la ceremonia acos D. Josef Bardo, D. Manuel Josef de Gallego, D. Valentín Rcc o, tumbrada , y habiendo hecho una elocución al pueblo, te dirigió A la D. Joaquín de Cevaüos, D. Domingo Fernandez de Anguio , D. Juan iglesia de S. Isidro, en donde se celebró la misa de Réquiem, con una Paz, D. Iliginio Antonio Lorente, el marques de Casano, el conde •locución adecuada á las circunstancias, pronunciada por uno de los de Florida-Blanca y D. Juan Antonio López. Sre…</t>
  </si>
  <si>
    <t>Angulo, Diego</t>
  </si>
  <si>
    <t>Diego Angulo</t>
  </si>
  <si>
    <t>…D. Agustín Ramón Valdés , conde D. Gabriel Rodríguez, D. Josef Rivat, D. Josef Alberola, D. Die de S. Esiéban, coronel graduado da egército, y comandante de milicias go Moraleja, D. Diego Angulo, D. Cesáreo Agudo, I). Francisco de c.bal.eria del Sur en la Hivana; y en at-ncion al donativo de ico® Ardila , D. Vicente Aparicio, D. Josef Parnés , D. Mguel Batalla, rea-s en metílico que ofreció pata las urgencias del Estado, le dispen D. Manuel Cataban,…</t>
  </si>
  <si>
    <t>Angulo, Domingo</t>
  </si>
  <si>
    <t>Domingo Angulo</t>
  </si>
  <si>
    <t>…os poco granaderos y cazadores al mando de sus capitanes D. Francisco Dalman mas ó menos, te esperaban en contacto con las otras de la montaña, ¿en y ü. Antonio Ru z de Guzman, al teniente D. Domingo Angulo tonces reforzó el general á Gurrea con bigiienza, previniendo á su co con la primera compañía, al teniente coronel D. Josef Rodríguez, mandante Bacigaiupi conservase la comunicación de aquel gefe con quien ba manifestado haberse distinguido en particular lot…</t>
  </si>
  <si>
    <t>Angulo, Domingo Fernandez</t>
  </si>
  <si>
    <t>Domingo Fernandez Angulo</t>
  </si>
  <si>
    <t>…5 a mrs. sobre las alca-Valentín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Espejo; D. Pedro Matute y D. Casi ques de Leganes, á 4 de Diciembre de 1655.—Otro de un juro dt miro Martin. 79,800 mrs. sobre las alcabalas de vario* pu…</t>
  </si>
  <si>
    <t>…es: D. Nicolás Alonso, Don cabezarán y concluirán conforme á lo que queda indicado para la pri Antonio Puigblanch, D. Ramón Llord, D. Andrés Alcon, D. An mera. drés Moya Luzura.a, D. Domingo Fernandez Angulo, D. Francisco Dirección general de impuesto/ indirectoi y efecto/ estancado/. de la Carrera, D. Gonzalo C rdvnas y D P dio Matute. Habida la Estado que demuestra los valores, gastos y líquido de las rentas conferencia, declararon por unanimidad no haber lugar…</t>
  </si>
  <si>
    <t>Angulo, Hipólito</t>
  </si>
  <si>
    <t>Hipólito Angulo</t>
  </si>
  <si>
    <t>…regimiento de infante del regimiento de infantería de Mallorca. ría de Zaragoza. A cahíz: para primer comandante á D. Francisco Castañera, co S. Clemente: para primer comandante i D. Hipólito Angulo, co mandante del primer batallón del regimiento de infantetía Ordene* mandante del primer batallón del regimiento infantería Imperial Ale militares. jandro. Barcelona: pan primer comandante al coronel graduado D. Ramón Tolosa (ligero): para coronel al coronel…</t>
  </si>
  <si>
    <t>Angu’o, Dominio Fernandez</t>
  </si>
  <si>
    <t>Dominio Fernandez Angu’o</t>
  </si>
  <si>
    <t>…talado viembre. el Zurriago números 77 y 78, en concepto de subversión y sedicioso. Güicmacion dé la Península. Ea su vista te reunió el jurada , compuesto de :os i res itwifM-s: D. Dominio Fernandez Angu’o, D. Josef Larr-átegui, D. Pedro Ma Decreto de lar Corter en que se comprenden cinco de la* medí" tute, D. Andrea Alton, D- Joaquín Ro-z , D. G-spar Aaul.era, Don das aprobadas por las misma* para ocurrir al estado actual de la Na Isidoro de Moyos, D. Josef An…</t>
  </si>
  <si>
    <t>Aniandi, Josof Luis de</t>
  </si>
  <si>
    <t>Josof Luis de Aniandi</t>
  </si>
  <si>
    <t>…ar un agente secreta D. Martin de Zarandia, D. Joaquín Manrique y Manrique, D. Do cerca de la regencia de Urgel.” Otroa periodista» dicen que se retiran al mingo Fernandez Angulo, D. Josof Luis de Aniandi, D. Joaquín de interior varios regimientos. la Vega y Quintana, D. Andrés Moya y Luzuriaga, D. Valentín de Austria. Muchas eran las conjeturas que se hacían en Viena sobre Nicolás, D. Pedro de Matute y D. Juan Manuel de Arejula. los puntos que han de discutir…</t>
  </si>
  <si>
    <t>Anice</t>
  </si>
  <si>
    <t>…e subversivo y sedicioso, te r-unió el jurado tener para si los dones y efecto* de esta prodigalidad. El partido decaído compuesto de los se Sores siguientes: D. Marcos Izquierdo, D. Anice boy daba m,hiu la ley 4 su sucesor, y esu es la historia en general to Lizana, D. Jotef Radon , D. Francisco Msrt&lt;nez Marina, D. Jode esas leyes. tef Reher, D. Lino Campos , D Jotef Larteategui, D. Antonio Ra Es pues preciso no desconocer esto, y tener presen…</t>
  </si>
  <si>
    <t>Aniceto</t>
  </si>
  <si>
    <t>bride i8iz¿=Fxcmo. Sr.=Miguel de IIaro.=Fxcmo. Sr. comandante Igual suerte que el prim ro sofrió el cirujano de la plaza D. Aniceto general del 7.a distrito militar. Moreno, que de aficionado, y sin que precediese orden a'guna, te incor Comandancia general de la primera linea de operaciones cernirá faccioso!. poró en las guerrillas, con las que se batió la mayor parte del día bi n hxcoio.…</t>
  </si>
  <si>
    <t>Aniel</t>
  </si>
  <si>
    <t>…ere hacer postura á dichas fincas, la* cuales se hiUn Rey por el poco z lo con que proceden algunos pueblos y autoridades libres de todo gravamen y carga, acuda al juzcrdo del &gt;r. D. Aniel subalternas en orden á facultar á las superiores las noticias oportunas Fernandez de loa Ríos, ministro honorario de la audíenca territor al para contener i los facciosos en sus ñecas tentativas, han llamado la de Castilla la Vieja, juez de primera instancia…</t>
  </si>
  <si>
    <t>Añila, Jiotcf</t>
  </si>
  <si>
    <t>Jiotcf Añila</t>
  </si>
  <si>
    <t>…4 de Egea de los Caballeros , y en tu nombre Aatooio Pcrez, alcaldc.s un tiempo la tranquilidad da loa pueblos y *1 exterminio de los Dionisio de Alqnesar. s Mariano Ventura. 3Por D. Jiotcf Añila, re malvado*. gidor, que no sabe escribir, y de acuerdo dei ayuntamientosjulisn Ga __El jff del pasado aalierou de Cardona con dirección i Navés y San llado, secretario. =1L 1. Sr. gefe político de le provincia de Zaragoza* ta Lucia dos divisiones, llevando c…</t>
  </si>
  <si>
    <t>Anima, Josef</t>
  </si>
  <si>
    <t>Josef Anima</t>
  </si>
  <si>
    <t>…eguida dirigió su marche sobre Coro, Cosío, D. Pedro Fuenmayorj D. Francisco Javier Perez, D. Leandro en donde se le reunieron 400 bombees da fiaguerrillas, 4 quienes ar Pallares, D. Josef Anima, D. Vicente Martines Gómez , D. Anto mó con los fusiles que 4 prevención sacó da Puerto-Cabello, con loe nio María Guillen, D. Antonio de Quesada , D. Josef Diez de Usu cuales y su fuerte marchó 4 sitiar 4 800 y pico de enemigos que ocu ren* y D. Josef da Goy…</t>
  </si>
  <si>
    <t>…idados ó vale* Rea Porree, D. Martuel O'ozaga y D. Miguel Moreno García; habiendo les por todo su valor, en el caso de que los débitos sean posteriores al votado por la afirmar vi D. Josef Anima, D. Félix Albao, D. Josef ello de 1813. Pero si fuesen anteriores al afio 14, aquellos pueblos que María Tixe, D. Rodrigo Sanjurjo y D. Francisco de Paula Dhcrvc*. hubiesen renunciado á la liquidación y cobro de suministros en confor midad del decreto de 17 d…</t>
  </si>
  <si>
    <t>Anís, Jaun Bautista</t>
  </si>
  <si>
    <t>Jaun Bautista Anís</t>
  </si>
  <si>
    <t>…objeto por medio de las diputaciones La comisión segunda de Hacienda, en vista de un expediente pro provinciales, á cuya autoridad confia la Constitución tan importante movido por D. Jaun Bautista Anís n, vecino de Barcc.ona, sobre el objeto. reint gro de varias cantidades que se le ocúpalos en tiempo de la geerEl Sr. secretario de la Gobernación de la Península dijo que si no ra de ia independencia, opinaba qua est.» caat.dades debían considerar tenían inc…</t>
  </si>
  <si>
    <t>Anitua, Josef</t>
  </si>
  <si>
    <t>Josef Anitua</t>
  </si>
  <si>
    <t>…j." del reglamen nio Marfa Comieras, D. Manuel Friaza , D- Francesco de Paula Mén to dal mismo consejo. Ramo t'mil. Por los títulos de jueces I.irados ó dez, D. Claudio Boutelou , D. Josef Anitua, D. Manuel del Casti de primen instancia se cobrará un a por 160 sobre el valor i- los llo, 1). Andrés de Monti, D. Amonio Lucent, D. Joaquín Medina, Xq9 rt. que se regulan por sueldos y emolumentos. Por los de magiar D. Pedro Urda y D. Manuel de Jesús Carmon…</t>
  </si>
  <si>
    <t>Anproporcionada, María Antonia</t>
  </si>
  <si>
    <t>María Antonia Anproporcionada</t>
  </si>
  <si>
    <t>…entaja en la ha* cional no permitía esta ciase de recompensas. Aprobado. Dilatación que se le concede, y por lo mismo debe pajar una eantdad La misma , en vista de la solicitud de Doña María Antonia Anproporcionada: respecto de la segunda dijo que favorecía sobremanera á duaga, huéifana, natural del Real sitio de S. Ildefonso , pidiendo se le los habilitados, pues suponiendo que hubiesen ganado tres cursos de di conceda una pensión por haber muerto un hermano tuy o en l…</t>
  </si>
  <si>
    <t>Anreposo, Vicente Alonso</t>
  </si>
  <si>
    <t>Vicente Alonso Anreposo</t>
  </si>
  <si>
    <t>….iiip t.tat todas ias que d be tener la audiencia de Altu pr p a de las c rcutistanc'as , coot.niendo á los ni los , y asegurando el ras , se;un ia i.y de 9 de Octubte de 181 a, á D. Vicente Alonso Anreposo de los bu no». Extremadura, Sevilla, Cádiz, Aiagcn, provin drad -, D. ant ato de los Rio» y D. I-'rancisco Calillo M randa para cias Vascongadas, Corulla &amp;c. kan sabido ya parte de los sucesos de l.s n a. i lraiu-as, y ú D. Juan N primic-no Fcrnand.z S- Aligu…</t>
  </si>
  <si>
    <t>Ansa, Joaquín Gómez y</t>
  </si>
  <si>
    <t>Joaquín Gómez y Ansa</t>
  </si>
  <si>
    <t>…villa dt Yt- larde , natural de Tarragona, y soldado que fue «leí regimiento de mi vents, teniendo un solo ayuntamiento, con el númeto de alcaldes, re licias urbanas de la misma. D. Joaquín Gómez y Ansa , coronel de in gidores y síndicos que correspondan é su vecindario, según lo estable fantería, y secretario de campaba que fue del Si. general conde del Ab¡*&gt; cido en los decretos vigentes. Art. a.° Los do» ayuntamientos que exis bal. Francisco Perez, soldad…</t>
  </si>
  <si>
    <t>Anselmo</t>
  </si>
  <si>
    <t>…n minas y Alaman á lo* artícelos 786 y flor. terino de la Guerra. (Id. del //.) Se leyó por primera xcz la siguiente proposición de loe Srea. Fer COSEXMACIOU DB LA ntlIWU. nandez (D. Anselmo) y García (D. Antonio): • Que les particulares Real orden contestando á la exposición de las tntnridmfri de Ifm que usen de cochea para m conveniencia paguen a9 rs. á beneficio de cía de 17 de Diciembre. (Gaceta del dia s.°) los establecimiento* de beoeficten…</t>
  </si>
  <si>
    <t>Ant</t>
  </si>
  <si>
    <t>…tin Serrano, Agreda, D. Juan M chau. , D J -,-f Ani 10 i az- , ID J&gt;»s*f María por la de Valencia, y a D. Pedro Juan de Zuiueta , que io es por la Icaza, I&gt;. Juan Baut sta Lob 1 , D. Ant n &lt;-G uai" , D. M gu-l Or de Cádiz. la , D. Josef Mana Ztrd-n la, t n-ni c rom D. G br 1 Manu I de hurbe. Cap-i an pr vado de aF.&gt;nv&lt; a Fr G'-po 1 rrblrque. Man C.'-t.rvf.i*:. :.r '•-'.■.'-.i.' id d' ?■ ilo de los caballeros pagos coronel U. Mauuel Farde. Med…</t>
  </si>
  <si>
    <t>…ocrac i pura es el fon ch cer d-r ay .'r.=;N'o puedo m.nc» de r-a rr. n:ar á V. &gt;. el crio c;n do de la po' t ca del pártelo ~ qu.en reprtserta la ti t diana ■ y qrn e¡ te- 1 -nte D. Ant mió Esp r.csa , ve untaros y t-opa qje 1; icornsu doctrina es d -tru rio todo antes qu- d-jar de salir-e con su tana, prñirrn h se. d.-c-m p-f. jdo su encargo, pu-s sa.i-ron de a!' punto i prosigue su par. ten una audacia incr.ible. la ur’.r. dr .a r- - , á::…</t>
  </si>
  <si>
    <t>Ant-'n</t>
  </si>
  <si>
    <t>Gaceta de Madrid n.º 274</t>
  </si>
  <si>
    <t>…ativo, do o expidan á su favor los óticos de cuen'a * rzi-on de ecer.v v en vistadel t lulo j.° de la Constitución política de la Monarquía , y al marina, con los que les devuelva D. Ant-'n o Mirt-n-r.v con i &gt; citado reglamento y decreto» posteriores de las Cortes ; y j1’ que como qu- tuviesen en su poder sin h-b rlosd rígido a t-sorer.a genes!. habia propuesto el consejo de Filado, 4 los informes quediese la con 13 lo m imo haré e! j'rop o l-s…</t>
  </si>
  <si>
    <t>Anteado, Jderteli</t>
  </si>
  <si>
    <t>Jderteli Anteado</t>
  </si>
  <si>
    <t>…n íntima con «Me ramo inte todoi los que lo sean en ellas respectivamente, de la cual será indivi resente. duo 7 presidente el comisionado especia! da que habla el art. 9. «leí hl Sr. Jderteli Anteado empesar i hacer al guias reflexiones aceres decreto de 19 «le Junio. del dictamen de la contaren, pido que se tes el art. 10 dei decreto do Art. (g. » Se creará en la cor*.’ otra junta central «le cuatro indi ay de Jumo anterior, be leyó el articulo , 7 conti…</t>
  </si>
  <si>
    <t>Antequera, Benito Ortega Roma</t>
  </si>
  <si>
    <t>Benito Ortega Roma Antequera</t>
  </si>
  <si>
    <t>…ó compu&gt;to de los individuos siguientes: Sr. Conde de Floridablanca, 4 O. Nicolás Guerrero por frutos de excusado de las vicarias de Coin y Sr. D. Juan Paz, Sr. D. Aniceto Ltzana, Sr. D. Benito Ortega Roma Antequera en 1814; y persuadido S. M. de que no hay otro medio de nillos, Sr. D. Josef K yser, Sr. le. Marcos Izquierdo, Sr. D. Josef hacer efectivos los descubiertos que tanto necesita la Hacienda pública María Pu nte, Sr. D. Isidro Merino, y Sr. D. Pedro Alvaro Delga…</t>
  </si>
  <si>
    <t>Antillon, B-'nito</t>
  </si>
  <si>
    <t>B-'nito Antillon</t>
  </si>
  <si>
    <t>…te: si el gallardete estuviere infe La comisión de Caso* de responsabilidad, en vista de la queja dad* rior , que está en el tercero; y si la bandera fuese sola sin agregación por D. B-'nito Antillon contra la audiencia territorial de Pamplona del gallardete, es que demora en el segundo.—Se mantendrá la señal por no haber admitido un recurso de nulidad en una causa que se se constantemente puesta mientras el buque a que se refiere esté á la vista. guía en…</t>
  </si>
  <si>
    <t>Antillon, Isidoro</t>
  </si>
  <si>
    <t>Isidoro Antillon</t>
  </si>
  <si>
    <t>…j,-to de suma importancia , y En vista de las instancias de Doña María Josefa de Piles, riada del que no acaba de aclararse. La corte de Viena esp.ra todavía para últi mag strad.i D. Isidoro Antillon, sobre que se le abonen sus haberes, mos de Abril una mu va respuesta d;l diván, al que ha pedido que re como á las viudas de los generales Lacy y Portier desde el día de la coja y considere como si nunca hubiera existido la famosa nota llena muerte de su mar…</t>
  </si>
  <si>
    <t>Anto</t>
  </si>
  <si>
    <t>…rnando; á D. Ignacio Ruis Lusuriap, secretario de le acade del día 19 de Setiembre último bajo la relación núm. 31/, con U ca mia Médica; á D. Domingo García Fernandez, químico; á D. Anto bida de 8 fanegas, varios árboles frutales y una casa en mal estada, nio Gutiérrez, profesor de fiaica en los estudios d¡e S. Isidro, é indi valorado todo en 36,398 rs. en venta, y 1300 rs. en renta; te ha pro viduo «le la academia Médica; á D. Mariano Lagasc…</t>
  </si>
  <si>
    <t>…ei haber asistido á las bodas y caro res como te proponía. tulaciones del Rey e Infantes no probaba que estuviese en el eger-.cío Murcia. D. Josef Rodríguez Paterna, D. Juan Alix, D. Anto de su destino, pues lo hizo como consejero de Estado, / únicamente nio Peiez de Meca , D. Bonifacio Sotos y D. Ramón Reillo. para servir como una especie de testigo de aquel acto, del mismo mo La comisión, después de haber examinado los poderes de estos in do…</t>
  </si>
  <si>
    <t>…e hab.lite á aquel puerto por de depósito de primera clase. Decazes, para el de Guerra al conde Daru, y para el de Justicia al A la comisión de Caminos y Canales una exposición de D. Anto conde Mole. nio Valle, espitan de cuerpos francos en Cataluña, acompañando el De Odesa con fecha 9 de Febrero se sabe haber declarado el divan plan de una carretera que termina en el lugar de Pons en dicha pro* á las potencias mediadoras » que la Puerta no en…</t>
  </si>
  <si>
    <t>…r ay, conde Adanero, Alcalá Galiano, Alvarez Gutiérrez, pormenores de los acontecimientos' de que ha hablado: me ceñiré pues ViUanueva, Sarabia, Rey, Valdés (D. Dionisio), Ferret (D. Anto ó recordar la doctrina que expuso’el Sr.secretario de Estado,de que no nio) , R co y Valdés Bustos. convenía la manifestación de toda* laa providencias del Gobierno. Por El Sr. presidente anunció que mañana te discutiría un dictimes di lo que he oido al Sr. A…</t>
  </si>
  <si>
    <t>…D. Pedro Fuenmayorj D. Francisco Javier Perez, D. Leandro en donde se le reunieron 400 bombees da fiaguerrillas, 4 quienes ar Pallares, D. Josef Anima, D. Vicente Martines Gómez , D. Anto mó con los fusiles que 4 prevención sacó da Puerto-Cabello, con loe nio María Guillen, D. Antonio de Quesada , D. Josef Diez de Usu cuales y su fuerte marchó 4 sitiar 4 800 y pico de enemigos que ocu ren* y D. Josef da Goyonet*, jueces de hecho, con la nota d…</t>
  </si>
  <si>
    <t>…esivo día de gala , c„mo lo ha s do hasta aquí. paradero de padie é hija, qne tienen que percibir la herencia de su abue lo en dicha ciudad, se publica a fin de que acuden al Lie. D. Anto Los g.ifi. s políticos de Vigo y Orense han dado parte .i S. M. en nio Sánchez Pascual en Sevilla , ó en Ecija á D. Francisco Perez Car 15 y 16 di este mes de que en la línea divisoria de ambas provincias vajal. se liaba preséntalo ura gavilla de 10 á ia hombres…</t>
  </si>
  <si>
    <t>…l fondo que debe estar depositado en el ayuntamiento. otro* despachos que se expidan por las secretarias del con* ju de Esta Señores que compusieron el jurado: D. Josef Quintero , D. Anto do , conforme á lo prevenido en el art. ■ 7 del cap. j." del reglamen nio Marfa Comieras, D. Manuel Friaza , D- Francesco de Paula Mén to dal mismo consejo. Ramo t'mil. Por los títulos de jueces I.irados ó dez, D. Claudio Boutelou , D. Josef Anitua, D. Manuel…</t>
  </si>
  <si>
    <t>…otaron en contrario: D. Juan Pablo Pascual, D. Fran Aunque los turcos y los persas creen igualmente en Ja predestinación, cisco Barra, D. Valentín de Nicolás, D. Francisco Marina, D. Anto los segundos no siguen etis doctrina tan ciegamente como los primeros, nio PuigblancJi y D. Josef Radon. los cuales son por consecuencia apático* é indolentes. Los persas nopuc'iendo persuadirte que sea imposible evitar la adversidad, hacen cuanto es VARIEDAD…</t>
  </si>
  <si>
    <t>…y, hemos recibido también los de Cataluña Ateneo español. hasta el ai inclusive; y cuyas principales noticias dejamos insertas en El mártes 8 de Octubre á las siete de la noche el doctor D. Anto sus correspondientes párrafos. Añadiremos aquí algunas otras, tanto de nio Fernandez de Vailejo abrirá su cátedra de fisiología aplicada á la los periódicos como de la correspondencia patticular. moral , explicándose la ideología al tiempo de tratar de las fu…</t>
  </si>
  <si>
    <t>Gaceta de Madrid n.º 340</t>
  </si>
  <si>
    <t>…llos; ó comenzándolo a meter por obra en alguna mace ra semejante de estas, m-igíier uun lo hubiese l’.xho acabadamente:;:; Se halla vacante la judicatura d« Cieza por dimisión de D. Anto ca magifer non lo cumpliese , meresre ser escarmer.tcdo asi como ai lonio Martínez Arroyo; y se admiten memoriales acompañado» de su» hubiese cumplido, porque non fincó por él de cumplir ti pudiera.” respectivos extractos de méritos por término de 30 dias. Em…</t>
  </si>
  <si>
    <t>…Excmo. Sr. secretario del Despacho de la Guerra, insertando* por sí ó por medio de procurador con suficiente poder á deducir y ex le el que le comunica con la del 10 d-sde Moya el brigadier D. Anto poner de su derecho y justicia en los autos de abintestato dentro drl nio Roten , comandante general de la cuarta división del egercito de preciso término de nueve días, que por segundo se les prefija y señala, operaciones de aquel distrito, manifestándole qu…</t>
  </si>
  <si>
    <t>Anto, Domingo</t>
  </si>
  <si>
    <t>Domingo Anto</t>
  </si>
  <si>
    <t>…los individuos del tribunal especial de Guerra y Marina que senten A las comisiones de Hacienda y Guerra se mandó pasar una con ciaron en segunda instancia la causa seguida contra D. Domingo Anto sulta del Gobierno sobre el modo de verificar el abono de las raciones nio Ve!asco,por autor del papel titulado Centinela centra refu'f. canos, de campaña concedida al egército de Andalucía en el afio de 1820 has al auditor de Guerra interino de la capitanía…</t>
  </si>
  <si>
    <t>…id. 6713 r». y 4 mrs. D. Félix Pont id. Ü723 rs. y 4 mara pilla, é imbuirla de otras enteramente contrarias, haciéndonos odioso* vedises. D. Joaquín Olivares id. 67*3 rt. y 4 mrs. D. Domingo Anto i los honrados alemanes. A este efecto te valen de dos conductos, que nio Barreiro id. 4481 rs. y 3 mrs. D. Santiago Cascos id. 3361 rs. y 6 con .c-n pueden serles útiles para sus depravados fine*. mrs D. Domingo de Veira id. 1241 r*. y 1 maravedí. D.Crist/.b…</t>
  </si>
  <si>
    <t>Anto, Isabel</t>
  </si>
  <si>
    <t>Isabel Anto</t>
  </si>
  <si>
    <t>…corte , como capellán cumplidor de la memoria de misas que fundó Se verificó la segunda lectura del dictamen de la comisión Especial Dofia Isabel Gómez, viuda de Sebastian Ruiz, y Doña Isabel Anto encargada de informar á las Corles sobre varias proposiciones relativas nia Zoa González de Córdoba, viuda, vecina de esta corte, en concep á la visita de las causas fenecidas. to de pariente del fundador de dicha memoria, en cuyos autos se halla La comisión…</t>
  </si>
  <si>
    <t>Anto, Jnsef</t>
  </si>
  <si>
    <t>Jnsef Anto</t>
  </si>
  <si>
    <t>…me Busana , D. Felipe Bertrán y Rosas, D. Macario Rin , Don trios eviten la formación de expedientes generales que la retardarían Joaquín Ruira y Lacren, D. Josef Miguel Corriols, D. Jnsef Anto notablemente. nio BjIcl-IIs , D. Felipa Fernandez Arias, D. Pablo María Verdalet y Y 4.a » Que las obras se ejecuten en los términos que i juicio de D. Josef María Baldrich, declararon por unanimidad haber lugar A las diputacicnes sean mas económicos, debiend…</t>
  </si>
  <si>
    <t>Anto, Josef</t>
  </si>
  <si>
    <t>Josef Anto</t>
  </si>
  <si>
    <t>…licitudes acerca de la admisión de capitalizaciones; una de sus ministros, ó el comandante de la fuerza armada que vaya en su D. Juan de la Vera, coronel de ingenieros , y otra de D. Josef Anto auxilio, se presentará á la vista de los sediciosos ó rebeldes con la me nio Barona y Vargas, vecino de Plascncia. nor distancia posible; enarbolará una bandera blanca, y hará dar tres Se concedió licencia al Sr. diputado D. Josef María Castro para toques de…</t>
  </si>
  <si>
    <t>…a, D. Benito Olga Romanillos, D. Juan Fernandez Casariego, pojo, porque este supone violencia en ei acto , y falta de autoridad en D. Andrés A Icón, !). Martin Miguel deGoicochea, D. Josef Anto la persona que se despoja? ademas tampoco hay posesión, poique las nio Ponzoa y D. Antonio Regas. cosas afectas i señoríos territoriales y solariegos no son susceptibles de D. Nicolás Alonso declaró no haber lugar. posesión, y solo lo son por el origen vicios…</t>
  </si>
  <si>
    <t>…dades de este distrito se hallaban en conflicto desda el cabildo abierta repetidos vivas, y la columna se dirigió ¿ su cuartel, donde la ofi habido en 6 de Enero último, en que el gobernador D. Josef Anto cialidad le tenia dispuesto un abundante rancho, y en el cual reinó nio Sánchez fue acusado de haber admitido por sí solo á la junta elec el mayor orden y alegría en medio de vivas á la Constitución. toral su renuncia, y haber ordenado á la municipalidad la r…</t>
  </si>
  <si>
    <t>Anto, Juan</t>
  </si>
  <si>
    <t>Juan Anto</t>
  </si>
  <si>
    <t>Gaceta de Madrid n.º 52</t>
  </si>
  <si>
    <t>…o del afio pasado de 1808 hasta fin de Julio del mis gios y liberta les propias, y esté ademas sujeta í obligaciones ó á res mo se presentarán en esta corte al comisario ordenador D. Juan Anto tricciones particulares. Generalmente hablando, cuanto mas elevada es nio Rodrigue* de Tordesillas, que vive calle de Einbijadores, núme la cuta, tanto menos arbitrio tiene en la elección de los alimentos, y ro 1 ■, cuarto principal, comisionado por 8. M. par…</t>
  </si>
  <si>
    <t>…disputándose la preferencia para toda fatiga y paradero se le notifica por este anuncio, para que en el ténnino de ■ a riesgo. días comparezca en la sala y escribanía de cámara de D. Juan Anto » En mi jornada de Lumbier á Puente hice marchar con los demas nio Almazan , por medio d: p'ocurador con poder bastante, á evacuar enfermos y prisioneros ia segunda sección, ai mando del coronel Sal lo , y deducir lo que a su derecho viere convertirle, con ap…</t>
  </si>
  <si>
    <t>Anto, Manuel</t>
  </si>
  <si>
    <t>Manuel Anto</t>
  </si>
  <si>
    <t>…ces letrados de partido en esta forma: para el de la Co Obra histérica, graciosa y muy á propósito para librarse de las artería rona á D. Vicente García Díaz: para el del Ferrol 4 D. Manuel Anto y refinada maldad de los muchos picaros de que abunda la sociedad, tra nio Saavedra: para el de Orense á D. Juan Meruéndano-. para el de ducida de la quinta edición del francés a\ castellano, aumentada por Mondoñedo 4 D- Henrique Posada: para al de Lugo 4 D-…</t>
  </si>
  <si>
    <t>Anto, Miguel</t>
  </si>
  <si>
    <t>Miguel Anto</t>
  </si>
  <si>
    <t>…te asunto i excitación y por requerimiento del gefe político, foi. 93. Y no puede omitirse que presentándose D. Miguel Antonio Lede cuya orden procedió la aprehensión y arresto de D. Miguel Anto garía en el grado, pidiendo los autos para mejorar la apelación, se lenio Legarra. En la formación de esta causa hubo también alguna morosidad, aun concedieron pot término de seis dias. Si en ia segunda instancia, en que supone la ley sentenciado ya el pleito…</t>
  </si>
  <si>
    <t>Antoa.o</t>
  </si>
  <si>
    <t>…eopinante- Valdes (I) Cayetano), Argüe.ic, , G.i de Ja Cuadra, Aov.-ar, Tabo..K; tiob'.erno hizo una propuesta á las Corles; ¡pera cuál ha sido da, Nu hez halcón , Alava , Ferrar (D. Antoa.o), Murfi, Busto», Mesta propuesta 2 La suspenden de la. formalidvl-s para el arresto d: &gt;os varez (IJ. El.a,) , Roset, To.re., Tr.i] lio, JU.ig, M.io , Bauzi, M rdelincuentes de que trata el art. 308 de la Constitución*, y ¡cuálit son Cíd , Apota, Canga, Prat,…</t>
  </si>
  <si>
    <t>Antón</t>
  </si>
  <si>
    <t>…r.sp cto á las circunstancias La comis'on pr mera de Leg's'acion, en vista de la solicitud de particulares que exponía el ayuntamiento de Ronda resolviste lo con D- Francisco Roí-,D. Antón 10 Baücsur y otro» vecinos de la isla de veniente, teniendo en consideración el modo con qu* se expr taba en Menorca, solicitando»; 1-s dispensase la falta de pr el ca para egrreer tu orden el intendente de la provincia de Málaga. Aprobado. la abogac'a , opin…</t>
  </si>
  <si>
    <t>Gaceta de Madrid n.º 172</t>
  </si>
  <si>
    <t>….1 de las fórmulas ó recetas; y la 3/ D. Juan Antón.o I opez; t). Valentin Ruiz; D. Felipe López W- de las enfermedades, be vende en las librerías de Paz y eu ladeQuiroga, demoro; D. Antón o Seoíne; D. Manujl Esteban Catal &gt; ; D. Cavtniro á 18 rs. El autor avisa i los libreros de las provincias que si gustan Martin; D. Mat as Casero , D. Ramón l.lord, y D. Antonio Ke^as. comprar ejemplares por mayor y venderlos de su cuenta, se les hará la Habi…</t>
  </si>
  <si>
    <t>Ánton</t>
  </si>
  <si>
    <t>…endentes usaren contra ellos. Art. 2 2. tata , D. Andrés Navarro , D. Simón González Yu-t , D. Isidoro deEl Gobierno fijará los plazos en los que los ayuntamientos hayan de Ho&gt;os, D. Ánton o banda 10 de Anas, D. Antonio Gamonal y Donentregar en tesorería el importe de las contribuciones, y dictará las re Lorenzo Lambea. Habida la conferencia, resultó por unanimidad n nogias oportunas para la puntual observancia de lo preven do en el pre haber l…</t>
  </si>
  <si>
    <t>…ro vista por de Zapadores, a d su capital! D. t-steb-n C-&gt;iti)o, y de ios rficia.es de aquella c-nalia la dirección de las tropas, después de dos horas de fue la misma el ten ente D. Antón o NoO-a y o subten-nr D. Antonio go , tomada á viva fuerza su principal posición del castillo por la &lt;uw- Koiser; part da de Fx'rrtnadura, ai dei c-r»tan D- Frir.c-.svO -icé riba de Valencia y algunos del resguardo militar, al mando del te- y de los oficiales…</t>
  </si>
  <si>
    <t>…icos formidables ot acometieron , y Jaén. Interventor D. Melchor G*'«rá , cesante de rentas. la tiaicion concebía tal vz y preparaba fuerzas exrjrminadcras. ¡Qus Ja¡n a:mmist-Ador D. Antón o Va dés, administrador de Baza. impavidez: qué sublime patrict'imo: qué ardor y disciplina marcial no Interventor D. Manuel García, primer oficial de «¡u j.a cortadutia. habéis ostentado en el combate! Sin perder un momer to en la estre To’edo i»tirv* ;or D.…</t>
  </si>
  <si>
    <t>…orizaciones de S. M. C. que •bre la cátedra de geoarafia á cargo de D. Francisco Fabo?. Serán dias se han citado al.principio. detección miércoles y viernes de 7 á 8 de la noche.__D. Antón a Art. 10. * Los Sres. Ardoin, Hubbard yr compañía presentarlo al Garrido continúa sus lecciones d; ingles en los martes, jueves y s ha Gobierno deS. M. C en el término preciso de 30 días, contados des dos de 6 í 8 de la noche. _ El miércoles 9 se abre la cát…</t>
  </si>
  <si>
    <t>…y parapetados en un buranco inmediato &gt; la represada ba sa. de i» esp-ce d. que se va hablando; plumas que desde sus primitas li Las gu'rriiias nuestras, ai mando de los t-nicxtes D. Antón oCarruana ncas i-scubr n claramente que »o es el deseo del bien el que las anima, y drl aíferez de caba. ería de -apaña O. B*rnardo F.manlrz, ¿p nat sirio ot os fin » particulares! plumas que vierten tan atroces é insultan divisaron ¡a canalla ia atacaron con…</t>
  </si>
  <si>
    <t>…to se halla persuadido el Sr. secretario de ga votos d- 99. site runo. Esto es pues lo que propone la comisión, i saber, que se |1 n ii celos presupuestos. Para Canarias los Sres. D. Antón o Ru.z Burtamant-: , D. V cents Cárdenas y D. Estéfano Martínez de Bonilla, y fue e.e.to d - r. Mar t.i iic/úir proviene de que las rentas de los aSos anteriores no han tínez por §4 votos de total 96- producido &gt;' que debían , y de que el importe de las contr…</t>
  </si>
  <si>
    <t>…nues cada esta, se ad ianto el resticam nto de G'rona en gucrrii.as sobre la tra parte so i o hemos tenido c neo heridos sin muerto alguno. Esta maizquierda; Extremadura, Infante D. Antón,o y una compafi-a de za ñani sal una división en p-rsecucion de los pequeños grupos que por padores desplegaron la bata ¡a. E batal on de Ov.edo en dos masas i todas parte» se han dispersado. Lo qu; pongo en conocim ento de vmd. d-Techa é izquierda aposaba nu…</t>
  </si>
  <si>
    <t>Antón, Josef</t>
  </si>
  <si>
    <t>Josef Antón</t>
  </si>
  <si>
    <t>…s de Salvati rra; ayudantes de S. M. teniente gen-ral D. Gi» no Const tucion. La *íac ta de F.itadn d. B r n se burla d- ia r.ct cía Gainza, brigadier D. Donvngo Malo e llúbd, id. D. Josef Antón o (que liama absurdi), n qu se fecaqa: u » «ust iacr, ,.asa nr. por Echevarri, id. D. Rafa-I Ramiro, id. D. Lu s Cortázar, id. I). Gi- el Med ouia d a Francia para r forzar el llamado co’d &gt;1 . .m r.ir.’u; briel Arm’jo, id. D. Agustín Buslil-os , id. D- Jo, f…</t>
  </si>
  <si>
    <t>Anton, Josef</t>
  </si>
  <si>
    <t>Josef Anton</t>
  </si>
  <si>
    <t>…omprenden cinco de la* medí" tute, D. Andrea Alton, D- Joaquín Ro-z , D. G-spar Aaul.era, Don das aprobadas por las misma* para ocurrir al estado actual de la Na Isidoro de Moyos, D. Josef Anton o Ponzoa y D. Srnt a.o De'cado. ción. (Gaceta del j.) Habida la conferencia, resu uó por unanimidad haber lugar áia for Decreto de la* Cortes en que te comprenden ocho de lu medidas mación de cesuses. aprobadas por las mismas para ocurrir al estado actual de…</t>
  </si>
  <si>
    <t>Antón-, Francisco</t>
  </si>
  <si>
    <t>Francisco Antón-</t>
  </si>
  <si>
    <t>…ada vez m-s hác a el Oecidente. F&gt;te poscion de* O. Jofccf Montova , O. Francisco Ve ardura, i’5 .1es pu s el monopolio mercantil &lt;1- peletería i que aspira la política del Mo-may D. Francisco Antón-*» Mart nrz , indir Juos del ai G-b ncte ruso h 1 verdadero objeto de la cu st on ts si las compañías m ente de Lorca, rdese d. !c&gt; p*cv:ed iros-ntc-s d* V* m.vx o ini lesas de la bahía de Hudson y del Noroeste han de p-rder un co dei mismo ayuntamiento hjue h…</t>
  </si>
  <si>
    <t>Antoni, Juan Bautista</t>
  </si>
  <si>
    <t>Juan Bautista Antoni</t>
  </si>
  <si>
    <t>…el regimiento de caballería del dia 13 del corriente los Sres. D Jos f Sa-,,*»» , Soler, D. Francisco Rey, primero de coraceros ,yíD. Cayetano Ansiut. Arólas, D. Matías Sanmartín, D. Juan Bautista Antoni, D. Joaquín La comisión Eclesiástica, en vista de la exposición de Fr. Basilio Romaguera, D. Pedro Cordobés, D. Pedro Pascual Liob-t, D. Re Larraita, carmelita descalzo en Vizcaya , quejándose de no habérsele non Gascón y D. Vicente ¿.lopis, canónigo, después…</t>
  </si>
  <si>
    <t>Antoni, Luis</t>
  </si>
  <si>
    <t>Luis Antoni</t>
  </si>
  <si>
    <t>…también ]ue cuando se irev. esta La Cortes concedieron carta de ciudadano , á propuesta d? la m«ma estab.vcim ento, parrecron admirables ¡os reglamentos que se dirr n conii.íon, á D. Luis Antoni y á D. Amon o Gippm, y de naturalen á IX Juan Macrohon. pata su sob. rno, sin embarco de .o cual la reperenca haba acred la do qu- no se hab a desempeñado b.en , y no d.bia por lo mismo t- ner- Se procedió á la discusión del dictam-n de !a ccm-'sion de Hacien…</t>
  </si>
  <si>
    <t>Antonia</t>
  </si>
  <si>
    <t>…o público pasaron las siguientes exposiciones: una torial. de varios labradores de Ja provincia de Valladolid, pidiendo se decla A la de Hacienda se mandaron pasar la solicitud de D. Antonia ra ve quién debia satisfacer las labores que habían hecho en varias obra Segarra sebre que se le permitiese el uso de la cruz de " ta. Ana de Ru das de tierra del extinguido monasterio de S. Gerónimo del lugar de sia, satisfaciendo lo que prevenía la Real ord…</t>
  </si>
  <si>
    <t>…es de la mbm»: pira ía de Pam I cíenles á la audcncia de V.uludolid. plona al coronel D. Mariano Viila: pava !a de Salamanca a lJ Flo A ia di? Hacienda un expediente promovido por Doña Antonia rencio García , que lo es de la de Gr nada: para la de Santander D-n Blanco, pidiendo una pensión. Antonio Fícrez Estrada , que lo es de la misma : para ia de T^ruenna á D. Juan Valle: para la de Córdoba al brigadier D. Luí» del Ac.j.iu, A la de Ultramar una…</t>
  </si>
  <si>
    <t>Antonia, Juan</t>
  </si>
  <si>
    <t>Juan Antonia</t>
  </si>
  <si>
    <t>…ina eclesiástica, con un apéndice de escrituras en qu: cons al dicho regimiento fijo sin tiempo limitado , eximiéndole en su con tan lo* hechos citados en la disertación: su autor D. Juan Antonia secuencia del cumplimiento dé dicha condena , y dejándole en plena y Llórente ,doctor en cánones y abogado de los tribunales nacionales: absoluta libertad: que ni la separación del regimiento fijo, ni la muta segunda edición : un tomo en 4.0 á 14 rs. rústica—…</t>
  </si>
  <si>
    <t>Antonia, María</t>
  </si>
  <si>
    <t>María Antonia</t>
  </si>
  <si>
    <t>…sesión á las cuatro dadas. «fe Quijada , Doña María Josefa Velasen, viuda de D. Pedro Celestino ARTICULO DE OFICIO. González de Salazsr, curado a de sus cinco hijos , D Nicolás , Doña María Antonia, Doña Ana María, D. Francisco «fe Paula y Cofia El Sr. secretario del Despacho de la Gobernación «le Ultramar con Mu ía Josefa de Salazar, Doña Tomasa Quqada , y por su muerte su fecha de ayer dice «lesde el Real sitio de Aranjuez lo que sigue: hijo D. Bernar…</t>
  </si>
  <si>
    <t>Antonio</t>
  </si>
  <si>
    <t>…1822 y 23 los Sres. D. Felipe Bauzá, capitán de navio, Se declaró suficientemente discutido este asunto , y quedó aprobado y director del establecimiento d: hidrografía en Madrid: D. Antonio el tercer distrito. rerrer, teniente retirado del egército: D. Francisco Roix, abogado, Cuarto distrito. ex-auditor de Marina. Suplente: el Sr. D- Luí» Balanzat, brigadier da Falencia, Búrgoa, Santander, Soria, Segóvía. Su capital Búrgos. lo» egército» nacion…</t>
  </si>
  <si>
    <t>…dispuestos en medio pliego , de ancho menor que el común , im no de un hopital de Moscow, se le suplicó asistiese i ij persona, qte presos y firmados de estampilla por el tesorero general D. Antonio habian sido mordidas por un perro rabio,o. Mientras hacia los pr.paMartínez, el contador general de valores conde de lhangrande, y el de rativos necesarios se le presentó una diputación de muchos ancianos pi la distribución D. Joscf Moreno, expresan el número…</t>
  </si>
  <si>
    <t>…l por tsetíto propagare' cualquiera otra máximaó doctrina que tenga que escribiese la anterior una tendencia directa 4 datruir ó trastornarla Constitución política .El Sr. García (D. Antonio) : No puedo convenir con este artículos de la múnaraula, sufrirá una prisión '-do dós é mí*' años, perderá sus La sátira por su aencia no puede provocar sino indirectamente, porque empleos , sueldos y honores, y se le ócuparin las temporalidades ti fue- esta…</t>
  </si>
  <si>
    <t>…ate el dia 8 de Febrero del corriente á les *0 bajo las con ARTÍCULO DE OFICIO. diciones qu- se manifestarán en la escribanía, de Cámara del cargo del secretaría honorario del Rey D. Antonio de loa Rio*, sita en la pla Los tagetes que quieran manifestarse pretendientes á la judicatura tuda de Celenque. de primera instancia del partido de Campillos, en la provincia de Má Lot Sres. de Ja sala segunda del crimen da esta audiencia de Madrid laga, acu…</t>
  </si>
  <si>
    <t>…artícelos 786 y flor. terino de la Guerra. (Id. del //.) Se leyó por primera xcz la siguiente proposición de loe Srea. Fer COSEXMACIOU DB LA ntlIWU. nandez (D. Anselmo) y García (D. Antonio): • Que les particulares Real orden contestando á la exposición de las tntnridmfri de Ifm que usen de cochea para m conveniencia paguen a9 rs. á beneficio de cía de 17 de Diciembre. (Gaceta del dia s.°) los establecimiento* de beoefictencia.’* Decreto de S. M…</t>
  </si>
  <si>
    <t>…orioso. Un hombre de Atiman , García Page, Zortáquin , Marina, Romero Alpuente, esta clase no mirará nunca con indiferencia la suerte de su patria; tran Lastarriaí Cortés, García (D. Antonio), Florea Evtnda, Díaz del quil o y satisfecho, amará y defenderá a) Gobierno, que ampara su pro Moral, Viljanueva, Lázaro, Bernabeu , Becerra, Yandiola, Novo», piedad , origen de su venturosa existencia. El rico faustuoso deja caer Gallegos, Puigblanch, O-Dal…</t>
  </si>
  <si>
    <t>…é suerte cabrá á todas las suntuosas p-,, Alemán';'Zorraquin, Marina, Romero Al puente , Lastarria, García aianes qúe existen en el dia? «Qué será del esplendor de tanta» ¡lustre (D. Antonio), Florea Estrada, Díaz del Moral, V¡llanueva|, Lázaro, familias ociosa» y brillantes, cuyo lujo se alimenu con los producto Barhabeu , Novoa, Becerra , Gallegos, Alvarez Guerra, Sancho, Su- territoriales? Es» es el clamor que excita la costumbre mas bten n# b…</t>
  </si>
  <si>
    <t>222</t>
  </si>
  <si>
    <t>…uera, D. Domingo Sancha , D. Félix de la Riba , D. Jacobo So* menos importancia. El centro lo ocupaba una fi.ura de muger, 1 Ir bregra , D. Ramón Capóles, D. Josef Marín Quiroga , D. Antonio cual los autores de la descripción llaman una hit, que tenia las piernas Rodrigues, D. Vicente Torrea , D. Manuel García Riobó, D. Ma 'untas, los brazos levantados, la cabeza hacia la entrsda de la sala, y nuel Montero y D. Pedro Perez, que acreditaron adelan…</t>
  </si>
  <si>
    <t>…tos á la metrópoli, y quisie Romero (D. Josef), Muftoz Arroyo, Quiroga , Cortarar, Guerra sen sel ir de aquellas provincias. (D. Josef Basilio), Yuste, Lallave (D. Vicente),García(D. Antonio) El Sr. Oliver presentó su roto particular , en que opinaba debía y Diaz del Moral. exigirte la responsabilidad.! quien hubiese lugar por las últimas ocur El Sr. Gaseo manifestó qne el objeto de esta proposición era que rencias de la América. les Cortes inmed…</t>
  </si>
  <si>
    <t>Gaceta de Madrid n.º 47</t>
  </si>
  <si>
    <t>2</t>
  </si>
  <si>
    <t>…Mazuelit Cambantes , sitos en esta corte y fugar de bleceos por el arancel general, con rebaja de lo que hubieren pagado á Villaseca de la Sagra, partido de Toledo, denunciadospor D. Antonio su introducción en las islas C.nanas, llevando documentos que lo acre de la Pastora, de esta vecindad, y D. Manuel Gregorio Velasco, que diten ; y no podrán conducirse á otras provincia» los género* ó efectos lo es de Toledo, en la extinguida subdelegaron de…</t>
  </si>
  <si>
    <t>…aprobados los poderes de los Sres. D. Lorenzo quicl Diez. Aprobado. Villanueva, D. Ramón Adan y D Josef Canga Argiieiies, dipu Sevilla. D. Cayetano Valdés, D. Juan Josef Sánchez , D. Antonio tados por las provincias de Valencia , Cataluña y Asturias. González Aguirre ,D. Joaquín de Puente y Ríos. La comisión, des Se empezaron á leer por el Sr. Canga Argiieiies los dictámenes de pués de hqber examinado los poderes y el acta de elección, opinaba la…</t>
  </si>
  <si>
    <t>…de Abril de 1814 por J. D. Hocknell: A. D. E. E. Amozoila por uno en ídem á 5 de Enero de 1813, por P. P. Debol, VARIEDADES. hermano* jr compañía Francisca «le Paula Chiocchiní: á D. Antonio (Contmda ti viatt al rtdtdor dtl mundo. Garría dtl a6). Val y Rovira por uno de 600 peto* en Barcelona á 10 de Octubre de los pueblos que Krusenstern ha observado presentan aun aquellos 1814, por Francisco Marti y Oriol: á D. Juan Gaseo y compañía por caracte…</t>
  </si>
  <si>
    <t>…ntañrbe por la senda constitucional, Bustamante, Alvear , Abreu, Busaña , Melendez Fernandez, Masau, rodee su treno de ministros impávidos, identificados y comprometido* González (D. Antonio), Podra)vez, Tomas González, Fcrrer(Don por las nuevas institncionea, consumados en fe ciencia del Gobierno, y Joaquín) , Atienza, Perez Vargas, Villaboa , Castejon, Rey, Loda- dignos por w tsbiduris y patriotismo 4 toda prueba de la «Mtfaoza dé res, Soto, Es…</t>
  </si>
  <si>
    <t>…orro de &lt; &gt;8.644,01 2 as. respecto del Albacete: el 11 i D. Josef Eduard, ingles-residente en Alicante: el pr-supuesto del afío económico anterior. Asimismo se mar.tfesuoa en 12 i D. Antonio‘Matin Tint, natural de Viena; y el 13 á D. Fran ella lo que producirían las rentas, que era 66¡ millones, resultando de cisco Benebel, natural de Francia. déficit 197 millones y tantos mil rs.; concluyendo con ía advertencia Se leyó la siguiente proposición d…</t>
  </si>
  <si>
    <t>…usa mandada formar i D. Manuel Veíasco y 1&gt; Ramón rior legislatura. Luí» ¡•scov.Jo, con motivo de los sucesos de Sev.üa: v un expoA la comisión di Guerra se pasó un» exposición de D. Antonio sem d- D. Francisco Javier Osuna , brigadier que !ae del egército es OI ¡ver , teniente agregado al E. M. de Málaga, haciendo presentes sus pañol, manifestando los motivos que le oblig con i prestar juramento méritos contraídos en la última guerra de la indep…</t>
  </si>
  <si>
    <t>…o, y á D. Nicolás González, y el permiso para que pueda las provincias que en Madrid se están batiendo unos regimientos con egercer la abogacía el -cura párroco del lugar de Salas D. Antonio tra otros. Las Cortes deben tener presente que estos sucesos son muy González Prieto. parecidos i los que precedieron ¿ la destrucción del régimen constitucio Se dió cuenta de una exposición del mariscal de campo D. Manuel nal en el afio 14; y ademas, que no…</t>
  </si>
  <si>
    <t>…da b (D. Cayetano),Cuadra, Albear,Taboada , Nufiez Falcon , Alvarez, Industria í Respondan si pueden é «tas reflexiones tan naturales como Trujilio, Meló, Roset, Herrera , Ferrar (D. Antonio), Bauaá, Do exactas los qbe saben ocuparla imprenta en sarcasmos y argumentos ri mínguez , Séptica, Ojera, Alave, conde de Adancro, Seoane , Sán dículos; ¡pero que han de contestar en favor de unos hombres que le chez , Blek, Tornei, Rubinat, Arguelles, Cueva…</t>
  </si>
  <si>
    <t>486</t>
  </si>
  <si>
    <t>…ndan incorporadas á la Nación las acciones del banco entre ellos. y demas créditos pertenecientes á las comunidades.” Quedó aprobado en todas tus partes. Otra de los Sres. Fcrrer (D. Antonio), Bauza y Roig: » Excep Se leyeron por segunda vez las proposiciones siguientes, leídas per tuándose las acciones, que aunque fueren de propios ó arbitrios, no pro primera en las sesiones anteriores, y se mandaron pasar á las comisio cedan en realidad ni de u…</t>
  </si>
  <si>
    <t>494</t>
  </si>
  <si>
    <t>…. diputado Moreno Guerra, los Sres. Apoíta, conde de Adancro, Sara7.* Si la junta protectora se ha de renovar por entero mediante k via, Rey, Valdés Bustos (D. Dionisio) y Fcrrer (D. Antonio), sa haberse renovado también la legislatura, ó si en atención 4 que no lle cados á ia suerte para calificar un impreso publicad* con el nombre d« va mas que un afto de existencia se deberán únicamente llenar ias va dicho Sr. Moreno Guerra, lo comunicaba i la…</t>
  </si>
  <si>
    <t>…de la junta nacional del mismo ramo sobre la amortización la* Corte* podían avocas causas pendientes; pero que nabia pedido de las fincas de memorias de misas; y una exposición de D. Antonio unos autos, no para intervenir en funciones judiciales, uno solo para Mufloz , remitida por el Sr. secretario de Hacienda. formar juicio sobre las infracciones que se reclamaban en la causa. A la comisión primera de Hacienda se mandó pesar una copia del El Sr…</t>
  </si>
  <si>
    <t>…en árbitros para ello. Voy iles Faicon, Muifi , Bustos, A. varez , Torre, Bauza, Meló, Herrera, pues á hablar de cada una de las persoms responsables que se nos pre Roset, Ferrer ^D. Antonio), B lda, Ojero, Alava, Adanero, Sán sentan en este asunto. Principiando por ei Sr. secretario de la Guerra chez, Apoitia, Bialc, Torner, Cuevas, Cortés, Alcalde , Rey, Lamas, D. Estanislao Sánchez "alvador , no puedo menos de recordar el art. 126 Casas, Marti…</t>
  </si>
  <si>
    <t>…e en Zaragoza casa de D. Julián Aced, dei comercio, calle Contamina, turbase la magnificencia de aquella vista , ni aun siquiera el temor de núm. &lt;$$: en Santander en la botica de D. Antonio de la'Cuesta y los desastres que comunmente lleva consigo este fenómeno terrible. En Ontafion: en Santiago en casa de D. Antonio Stolle, del comercio, ca la presente erupción la lava se dirigió por terrenos abrasados y ente lle de Preguntoiro. ramente desiert…</t>
  </si>
  <si>
    <t>…nte para todos, que coman los segunde* Los Sres. que aprobaron el dictamen fu-ron lo* siguiente» : Ar de los ahorros que tengan. guelles, Cuadra, Albear, Tabosds, Fatcon, Ferrer ( D. Antonio),' El Sr. secretario de Gracia y Justicia: El Congreso sabe muy bir» Murfi, Bustos , Alvarez , Torre, Hotel, Meló, Bauza , Herrera , Tru- que ademas de los canónigos hay otra infinidad de partícipes del m.dio jiiio , Roig, Brida, Alava, A dañero, Sánchez, Apo…</t>
  </si>
  <si>
    <t>…al pedia i las Cortes que se desaten - : .ol.citud de este. El Sr. Canga contestó qu: la comisión había cre:do ¡nut 1 re.\r:r m A la comisión de Ultramar se pasó una expo. c cu de D. Antonio su dictamen lo. méritos de Vida!, porque juzgaba qu; no he'."..-, n.i. dei Valle y Castillo haciendo varias observaciones, las cuales pedia .e gun e.pafiol q*i- ignorase quen era Vida!, y a quirn no bub sen 'le Hiriesen presentes al discutirse cld&gt;clam*n de í…</t>
  </si>
  <si>
    <t>579</t>
  </si>
  <si>
    <t>…. Aprobado. decreto. - .. Se mandó pesar á la comisión á que correspondía, una adición de , 9-° Si las diputaciones provinciales estimasen útil establecer montes los Sr.s. Ferrcr (D. Antonio) , Buazá y Rom, que decia asi: ** Pedi pu&gt;* de cosecheros de bárrüta para que auxilien 4 do* Labradores á fin mos que la resoluc.on dada ayer por las Cortes relativa ai p rdon de de que no malvendan sus cosechas, quedan autorizadas para aprobarlos ja contribu…</t>
  </si>
  <si>
    <t>…idad, Josef Espiga y Gadea, arzobispo electo de Sevilla; á D. Diego Mu esto no me. pondría á cubierto de que se me creyese desnudo de todas ñoz Torrero, obispo electo de Guadix; á D. Antonio de la Cuesta y ]as pasiones que tiene el hombre; por lo mismo yo me abstendría de Torre, individuo del tribunal especial de las Ordenes militare*, y fi decir una sola palabra sobre este punto. El Congreso puede tener á D. Josef María Calrtrava, individuo del…</t>
  </si>
  <si>
    <t>…los empleados que no sa presenten dentro de ello* no ten sirca, que la aprobaron 1 Argliellc*, Cuadra, Alvear, Tiboada iNu» drán después acción 4 reclamar. ftez Falcon , Ferrer ( D. Antonio) , Infante, Murfi, Bustos , Al va fea, Torre, Meló, Herrera, Bauzi, Roset, Roig, Trujillo, Beltfa, Habiéndose denunciarlo al Sr. alcaUle D. Miguel de Nájen por «1 Alava , Adinero , Sánchez , Blek, Torner, Cortés, Alcalde , Lamas, Señor fiscal de imprentad fol…</t>
  </si>
  <si>
    <t>…s vecino* «le la misma ciudad , en donde te hálln Mojada yor facilidad da tus comunicaciones interiores, y considerando que las la oficialidad del regimiento infantería dd Infante D. Antonio, y en del norte de la Península no podrán obtener este bndulo sino por me aquellas manifiesta el ayuntamiento, que á pesar «le haber reclamado dd dio de camino*, que construido* con la conveniente solidez y comodi comamlante general dd distrito militar que ce…</t>
  </si>
  <si>
    <t>…. siguientes: D Pedro Alvaro Delgado, D. Celestino Olohasta dejar realizado el cobro dé los adeudos, y haber exigido de los zaga, D. Joaquín Huerta Cevallos , D. C ayetano Romero, D. Antonio responsables sus dietas; en la inteligencia deque se impondrá ¡í los in Regas, D. Felipe López Valdemoiot, D. Ramón Llord, D. Antonio tendentes la mas estrecha responsabilidad si se descuidase por su parle María Espejo, y D. Lino Campos. el cumplimiento de es…</t>
  </si>
  <si>
    <t>…os pretendier.t :s han de (D. Cayetano), Arguelles , Cuadra, Alvear, Taboada, Patifio, Nu- tener ademas del título de aprobación las demas calidades y circuns fiez Fa'con, Ferrer (D. Antonio), Bustos, Alvarez, Meló, Roig, tancias que deben adornar á los que profesan esta primera enseñanza. Bauza, Adan ero , Lodares, Apoitia, BlecltAlcalde, Lamas, Hemi- El examen será según el método uitimamente adoptado, y en el día se qu z. Casas, Fernandez Cid,…</t>
  </si>
  <si>
    <t>…Alvear, Taboada, tema i los patriotas, y no extrañemos que la patria peligre si no cor Peleón, Valdés Bustos, Alvarez, Torre, Trujitlo , M-'lo, Roset, tamos este incendio. Ferrer (D. Antonio), Roig, Herrera, Bauza, Lod.ires, Black, Tor El Sr. Rico: Lorca no es mas que nn punto ó una ciudad , y no nar, Alcalde, Lamas, Casas, Marti, Sarabia, Vil i abo*, Merc:d, debemos circunscribir nuestra vista á ella sola ; no seilor: en Madrid Ruiz dei Rio, Gon…</t>
  </si>
  <si>
    <t>…un obstáculo, y produciría di.ac.cnes inc\.febles» gara Paterna, Alcalde, Bauza, Merced, L.ipuerta , Lodaret, Falcó, Aprobado. Casas, Nuüez Fa'con, Sarabia, Rulz del Rio y Ferrer(D. Antonio), La comisión segunda de Negocios eclesiásrcru opinaba que drh:a* contrarios i la reso!ucion de las Cortes, por la cual se suprimió la bri pasar á la primera la exposición del obispo y eib Ido de Calahoin so gada de Carabineros Reales. bre que se desestimase…</t>
  </si>
  <si>
    <t>…el al coronel vivo de infantería Don Brandis, comandanta del primer batallón del regimiento infantería Josef María Co'ubi, teniente coronel mayor del regimiento de Aragón. Infante D. Antonio. Guadix: para primer comandante al comandante de infantería, gra Zaragoza: para primer comandante al coronel graduado D. Luis duado de coronel, D. Brnarlino Asen jo, sargento mayor del batallón del Corral, comandante de escuadrón del regimiento de caballería…</t>
  </si>
  <si>
    <t>…ea liberal, y lo juro: ai algún dia viniese el despo Manuel), Sotos, Gutiérrez, Tomas, Qu:ñones, Cuevas, Ferrer tismo sobre mi patria, desde ahora para entonces me declaro su mas (D. Antonio), Isturiz, Zulueta , Roset, Muro, Marau , Atienza, terrible enemigo: mi corazón es el mas patriótico que hay en el mun Marchámalo, Cano, Prado, Guevara, Escudero, Eu'ate , Munarriz, do : ¡ Señor, y cuando estoy habiendo por el bien de mi patria se me Vega, Al…</t>
  </si>
  <si>
    <t>…o, denunciado a nombra de esti provinc’a. de I ,» áres. D. Juan Arguelles Valdés, D. Anacleto Fagoava y Duta Por t i ministerio de Hacienda con fecha 4 del actual se me ha co ri y D. Antonio hiles , magistrados de la audiencia de Madrid ; la ley municado la Ib. al ord n que sigue: condenó á Alejo Lop.zGarcía, responsable de dicho impreso, á la pe « Los Sres diputados -.rcratarios de lar Cortes con fecha 2 de este na de seis meses de prisión y en…</t>
  </si>
  <si>
    <t>Gaceta de Madrid n.º 151</t>
  </si>
  <si>
    <t>…aderos D- Manuel D az, &amp;om, ."'rabil, Viltaboa, Paterna, Merced, Ruiz del Rio, O &gt;nza- qu con un cabo y cinco soldados, pasan io por aquel pueblo á desemtrz, Manto. Sotos, Ferrer (D. Antonio) , Marcha malo , «ano , Escu p-f ar una comisión, había dado á ¡a lápida lo» vivas acostumbrados, dero, Prado, a ulate, Munarriz, Vega, Alvarez, Buey, Diez, Latre, concluyendo con el del héroe de las Cabeza». Se refería ea dicha expo-t Lapuerta, Lr&gt;j z Cueva»…</t>
  </si>
  <si>
    <t>…de Toledo, acerca de la reunión del logar de Yévenes de 5 'oledo á la villa de Yévenes de S. Juan , han resuelto lo siguiente: nio Velasco, capitán de milicia* urbanas, y su hijo D. Antonio , te niente de las mismas. D. Gregorio Vicente Unida, sargento segundo Ait. i.° El lugar de Yévenes de Toledo y la villa de Yévenes de San que fue del regimiento de infantería de Sevilla. D- Magín Berga y Ve- Juan formarán en adelante un soto pueblo con el tí…</t>
  </si>
  <si>
    <t>…sabilidad, para qu: examinado el as-Lio, de H nsr’s, los oficiales de artillería de Ba*ajz y Cá nz, los del regi- prop. nta su dictamen á las Cortes ” Aprobada. m.erto del Infante D. Antonio , los de S. M»r.ia! , y finalmente ¡os d 1 4. * » Que la misma c.misión examine igua'mente la inr bserrancía reá m enlo de la Corona ( manifestando los principio» mas puros de ci del de.reto de 14 de Mayo de 1811 sobre el reemp a,o; in-.b» rvanc a vismo y de…</t>
  </si>
  <si>
    <t>…ión del ái. Sierra Patobución sobre consumos de la ciudad de Málaga, y otra de los señores bley, y otra del Sr. Moreno Guerra, diputado* en la* anteriores Cortes, Baurá y Ferrcr ( D. Antonio) sobre que en atención á que la cosecha relativa al mismo asunto. La comisión informaba que debía pasar a[ da legumbres en la isla de Mallorca estaba enteramente perdida, y la de Gobierno pan que expresase individualmente las cargas afectas á dichas glanos se…</t>
  </si>
  <si>
    <t>…r Ja ilegali ración ninguna Quedó apr&lt; hado el dictamen de la comisión. dad de lo cometido en la calificación de dicha representación , y que el ' tra de los Sres. Bauzá y Ferrer (D. Antonio): » Habiéndose ver sindico del ayuntamiento de Cádiz debía haber acudido al Gobierno ó tido en la discusión del art. 1.’ algunas ideas que bacen ver que el cen- i las Cortes pidiendo la responsabilidad á la diputación por la alocu •u de ay de Enero 181* no es…</t>
  </si>
  <si>
    <t>…var que aun en el día se tiene en la zález CD. Manuel), Manso, Sotos, Paterna, Tomas, Quiñones , Fer carecí á los detenidos por no haber parage te fia! ado para ello, asi co rer ( D. Antonio ), Guevara, Marchámalo, Cano , Prado , Escudero, mo tampoco hay casas de corrección y otros establecimientos de esta Eulate, Munarriz , Vega , Alvarez (D. Manuel) , Buey , Diez, Latre, naturaleza; pero aun hay mas en esto, y es que respecto de los dete- Lapue…</t>
  </si>
  <si>
    <t>…ión ma «le contribuciones que deberá establecerse en Puerto-Rico. profunda. Se leyó igua1 mente por primera vez otra proposición de lo* señorea NOTICIAS DE ESPAÑA. Bauzi y Ferrer (D. Antonio), reducida a que no se resuelva sobre la del Sr. Roig y otros para que se «leclsre puerto franco el de Mahon Cervera del Rio Alhama Cfrevmeia de Logroño) 1.” de Junio, sin haber oído antes á la diputación provincial y al ge fe político de la* Mientras que en…</t>
  </si>
  <si>
    <t>…pasar al Gobierno para los efectos convenientes. Aprobido. cido las personas, irrá el juicio mucho mas severo, mucho mas exacto La comisión de Premios, en vista de ia solicitud de D. Antonio y menos expuesto i pasiones. Digo pues que este dictamen no sien Beltran sobre que en atención á sus servicios se le dispense de lo pre do un proyecto de ley, y no teniendo sus partes una coherencia tal que venido en el decreto de 13 de Marzo último, y te le…</t>
  </si>
  <si>
    <t>…e responsabilidad acerca de la queja dada por el ayuntamiento la nueva forma que se daba al establecimiento del Crédito público se constitucional de Murcia sobre haberse negado el juez D. Antonio activaría la venta de fincas, en donde se emplearían los créditos. Martínez Arroyo á despachar los asuntos pendientes en el juzgado de El Sr. Ferrer dijo que siempre era algo chocante el que el deudor D. Tomas Benito Escame z. diese reglas al acreedor, obligá…</t>
  </si>
  <si>
    <t>…os votos particulares de los Sres. Alelecdez, López del Baño , Alon que esta medida añade alguna casa nueva á la ley citada , entonces tie so , Oliver , Ruiz de la Vega , Ferrer ( D. Antonio ) , Seoane y Ojene el carácter de una nueva ley, y por consiguiente debe seguir los trá ro, contrarios á Ij acordado sobre varios particulares del derecho de pa mites regúlales; ademas de que habiendo producido la ley de Abril to tentes. dos los efectos salud…</t>
  </si>
  <si>
    <t>…i se quiere, el que esté en ab (D. Manuel) , Valúe»(D. Dionisio), Garoz , Paterna, Tomas, Cue soluta libertad la venta de este género ; porque, por grande que sea la vas , Ferrer (D. Antonio), Cano, Guevara , Marchámalo , Prado, Es contribución que haya de sustituirse á esta renta no equivaldrá á la ga cudero , Eulate , Munarriz , Vega , Alvarez(D. Manuel), Buey, Diez, nancia que podrá dejar el trafico, ¡ Pero el intere» del consumidor , el Latre…</t>
  </si>
  <si>
    <t>…e Galicia, vacante por fallecimiento del brigadier temala 64 rs. La de tusas fabricadas en la Península 36. La de cigarros D. Manuel Mirallaa, que lo obtenía, al de la misma clase D. Antonio havanos 60. La de cigarros de hoja havana labrados en la Península 34$. Roten, coronel supernumerario de infantería; para el mismo destino La de cigarros mixtos de la Havana 7 Virginia 3a. La de cigarros de del de Africa vacante por retiro de D. Francisco Gar…</t>
  </si>
  <si>
    <t>…ficios aquellos que estos. Pedralvez, Ruiz del Rio, González (D. Manuel), Manso, Solos, Después de haber contestado el Sr. Ruiz á la* observaciones del se Paterna , Tomas, Ferrer (D. Antonio), Cano , Marchámalo, Prado, ñor Somoza se declaró este asunto suficientemente discutido, y quedó Escud-ro, Culate, Munarriz, Vega, Alvarex ( D. Manuel), Buey, aprobado el dictamen de la comisión. Quiñones , Gishert, Diez, Latre, Lapuerta , Santafé, Sangenis,…</t>
  </si>
  <si>
    <t>…an eran ó no convenientes. sa*, Ruiz del Rio, González, Valdés (D. Dionisio ), Tomas, Buey, Aben me veo obligado á publicar ante la Nac.on entera que ja Cuevas , Paterna , Ferrer (D. Antonio), A'cántara, Merced , Escu mas ha sido esta mi opinión; por eso cuando se t.ató de nominar una dero, Prado, Eulate, Munarriz, Vega, Ladrón, Alvarez, Lapuerta, comisión especial que diera su dictamen acerca de las modificaciones Diez, Latre, Jiménez, Santafe,…</t>
  </si>
  <si>
    <t>…ijo, que aunque era ci rto Lalre, Lapuerta, bantafé,ban genis, Marchámalo, Lasa)a , D.cz, G&gt;tque por varios decretos se había dicho que se aplicasen estas fincas pa bert, Fdrrer ( D. Antonio). Jaimes, Castejon, Falcó, Guevara y Lo ra la ind mnizacion de parlíe pet y para el Crédito público, también pes Cuevas. lo era qu ■ por otro d.-cr.to posterior se había puesto la condición de En su consecuencia se procedió á la dimisión de lo que restaba del…</t>
  </si>
  <si>
    <t>…en lo digo á Metida á D. Antonio Sánchez Donoso , comandanta supera ame— V. pea tu inteligencia y efectos correspondientes á su puntual cum rar o d i regimiento infantería Infante D. Antonio, id. plimiento. Madrid 16 de Junio de 181 j .” Minr sa á D. Antonio Crespo y Domínguez, mayor comandanta sup.'rnumrario del batallón infantería ligera cazadores de Barbas-JtelacUm dt los segundos comandantes fut S. M. ¡t ka servido nom tro, d. brar en los bat…</t>
  </si>
  <si>
    <t>Gaceta de Madrid n.º 203</t>
  </si>
  <si>
    <t>…onero en el pajar del me primera D. Josef J&lt;.-au!«.s, J - 18 soldados de infantería del regimien lón a un cabecilla de S. Andrés. El comandante l’.r.garron salió al to del Infante D. Antonio, á las órdanesde D. Lona i no Corrales, d# encu. otro con su tropa para envolver á los facciosos ; pero su precipita ló volunt.rio» de llltsci* á las d* D Mar año Sejornal, y de ey aoda fuga no le permitió alcanzarlos. lutitjno» de Toledo al mando del tenient…</t>
  </si>
  <si>
    <t>…. D. Miguel becilla Misas, cogido en acción de guerra. deHaro. Idem 7. Por noticias recibidas del pueblo de Molas se sabe que los murrtos Ayer á las 9 de la noche entró en esta el brigadier D. Antonio fueron mas de 28, y que el cabecilla muerto por Pesino cía un gsfede Rotten con tres compañías del constitucional batallón de Canarias, tan somaten, que aseguran llamarse Calaf de Selma. Al día siguiente una decidido como el de Murcia; salieron todos los ofic…</t>
  </si>
  <si>
    <t>…nsejo de Ejtado. Falencia al espitan D. Pedro Ruiz de la Peña , segundo ayudante Provincia de León, Por promoción de D. Josef Suarez Cuenlla á la del regimiento infantería Infante D. Antonio, con 670 rs. judicatura de primera instancia del partido de Omafia ha quedado va Pamplona al capitán D- Juan Domingo Olejus, segundo ayudante cante la de Valdeuron: se admiten memoriales acompañados de sus res del regimiento infantería de la Reina , con 610 n…</t>
  </si>
  <si>
    <t>…su capital! D. t-steb-n C-&gt;iti)o, y de ios rficia.es de aquella c-nalia la dirección de las tropas, después de dos horas de fue la misma el ten ente D. Antón o NoO-a y o subten-nr D. Antonio go , tomada á viva fuerza su principal posición del castillo por la &lt;uw- Koiser; part da de Fx'rrtnadura, ai dei c-r»tan D- Frir.c-.svO -icé riba de Valencia y algunos del resguardo militar, al mando del te- y de los oficiales el subten.ente D. Jcaqu.n Barrid…</t>
  </si>
  <si>
    <t>…Moran , teniente del regimiento Játiva al cap tan graduado D. Luis Ocheu, teniente del regimien infanrería de León, con 570 rs. to :nfantrría de .Soria , con 5^0 rs. Villafranca á D. Antonio Do 1 », teniente del regimiento de z.'-piLeón i D. Ramón Candía, teniente supernumerario del batallón dores, con 570 r» ligero pnin rod. Caía uña, con 570 rs. Vitoria .&lt; D. Vicent.r C-u-ado , t niente supernumerario del regi Lérida i I&gt;. Francisco Javier bosiats…</t>
  </si>
  <si>
    <t>…ntonio Gamonal, D. Francisco de la Carrera , D. Benito Orteea el Rosellon i las órdeaea del conde de Calderón 4tc." Como el conde Romanillos, D. Cas-miro Martin, D. Antonio Regés, D. Antonio «le Calderón te halla en Valencia, sin haber pensado ni pensar en PuigbUnch, D. Francisco López Otavarrieta, D. Pedro Matute 7 Don contarse entre los refugiado* á Francia que vuelven sus arma* contra Juan Paz. la patria, creemos que Mr. Predi ha padecido equi…</t>
  </si>
  <si>
    <t>…lazar , D. Josef Blanco, D. Josef Márquez , I). D -go coged primero el fruto de vuestros trabajos, aprovechad la cosecha , y ¿j Rute, D. Francisco María Cte*po, O. Fermín Alcega , D. Antonio no omitáis medio m fatiga para consumar ‘a grande obra de la Nación Carriola, D. Cristóbal Tille: , D. Pedro dala Liare, D. Jo*ef Aba etpaño a, !* segundad del sisteme y ei desengaño de los mas extraño* llan y D. Félix Cetndla*. ilusos. Este pueblo será vuest…</t>
  </si>
  <si>
    <t>H44 Sevilla interventor D. Antonio 11'güero , vice cónsul de Oran. Distribuido. Segovia administrador D. Antonio del Alcy:a 1, secretario de la in tendencia de Extremadura. Interventor D&gt; Josef Blanco Chtcarro, ofi Remitido* en letra al departamen 1 cial de la contaduría del Crédito público de…</t>
  </si>
  <si>
    <t>Gaceta de Madrid n.º 255</t>
  </si>
  <si>
    <t>…chos años. Tudeia 24 de Agostóle iSaa.n: Patn- dada, por el benemérito coman Unte general del sexto distrito militar cío Djmirrgu.z. = $r. comandante de armas de Zaragoza.” el &gt;r. D. Antonio ü^.mjn. Zarco d:l Valle, exterminaron con la ve La caíu que se cita efi «1 partí anterior ella que sigue: locidad del rayo la infame-gavilla del asesino Trapense, haciendo huir Tafallu 22 Je A¿o,to 4 las lo Je ¡a nocir. » Valientes : Luego despavoridos aquell…</t>
  </si>
  <si>
    <t>…ot TKI1UNA1.ES. Topete al Gobierno ,” denunciado como injurioso. Para cumplir con lo pactado en juicio de conciliación cefebr.v'o Sres. que compusieron el jurado: D. Pedro Andrés. D. Antonio anta el Sr. D. Arias Gonzalo de Mendoza, alcalde constitucional de Co’omar. D. Pedro de la Cantolla. D. Francisco Javier Hernández. esta villa, se vende una cata de recreo y jardín perteneciente a&gt; i-vc - D. Bartolomé Espinosa. D- Domingo Menguar. D. Joscf Ar…</t>
  </si>
  <si>
    <t>Gaceta de Madrid n.º 272</t>
  </si>
  <si>
    <t>…vista se reunió el jurado compuesto de los Sres. siguientes: flicto obedezca al impulso de su conciencia. Me acuerdo de una cir X&gt;. Josef Gómez Albacete, D. Marcos Amonio Menezo , D. Antonio cunstancia relativa á un tal Baldwin, diputado distinguido del Con Puigblanc, D. Miguel Ripa , D. Higinio Antonio Loreme, D. Va greso por la parte occidental da la Pensilvsnia , el cual voló en cierta lentín Recio, D. Joaquin Vaga y Quintana, D. Santiago Vice…</t>
  </si>
  <si>
    <t>…an Manuel Lnrr, D. Josef Sucarana, D. Josef Morales, D. Ma hecho otra gestión, é ignorándose su residencia, se le avisa por medio nuel Melero , D. Josef Perez, D. Antonio Pereira, D. Antonio Por de ote periódico con el mismo objeto, en el concepto de que por la ta, D. Vicente Ramón, D. Manuel Ron, D- Francisco Rollo, Don propia dirección te dispondrá lo conveniente para el zecibo de los refe- Jaime Sola , D. Josef Travieso, D. 1 d fonso Tranche, D. B…</t>
  </si>
  <si>
    <t>…apitán ó presidente de ella á uno de los subalternos para que mientras marchan é Baibastro los regimientos de Monterey , León y haga ias veces d-* secretario en esta acto. Infante D. Antonio á formar otra división de operaciones. Dios guar Art. 2*5. » D cho oficial leerá seguidamente la orden para la for- de á V. S. muchos años. Cuartel g-neral de Tamaríte y Octubre 4 de micon de la propuesta, que ha de ponerse por cabeza en el !&lt;bro de 1822. = A…</t>
  </si>
  <si>
    <t>…D R I D. MIERCOLES 3o DE OCTUBRE DE i8»a. NOTICIAS DE ESPAÑA. procedentes de la guarnición de Mequ:n*nza se han extendido hacia Se na. He dado orden para que ¡a fu rza del Infante D. Antonio , que lle Zar.troza 22 de O:titbrt. gó i Hujsca el 17, co ra t Monzan , y para que los roa hombres del Nu-slros periódicos publican las siguientes noticia»: mismo suerpo, que habnn sido relevados en Teruel por otros tanto» de Sexto distrito m.Ttar__ Comandanc…</t>
  </si>
  <si>
    <t>…s para boada , Falcon , Alara, Murfi , Bustos, AI varee ( D. Elias) , Roset, formar el presupuesto general de los gastos del ramo de sanidad. ( (sa Torre , Trufillo, Roig, Ferrer (D. Antonio ), Bauzá , Vargas, Sán etía dei 17.) chez, Apoitia, Blake, Alcalde, Lamas , Arias, Benito, Martos , Ca Decreto de las Cortes sobre el reemplazo de 19,973 hombres, y re ta» , Belda , Cortés , Rey , Sara»¡a , Vitlaboa , Ruiz del Rio , Gon monta de 7695 caballos…</t>
  </si>
  <si>
    <t>…ó si pasaría á una comisión. aleuna caballería. Alguna fuerza de esta arma con la que había en El Sr. Adan pidió que se fijasen los datos sobre que debía fundat llursca de Infante D. Antonio han marchado el 21 á Monzon. Acti la comisión su dictamen, porque el Sr. Garelly no remira ningún an ve V. S. la salida de los individuos d:l mismo cuerpo que deben haber tecedente ni documento; y se opuso á que se tomase en consideración llegado ahí desde Te…</t>
  </si>
  <si>
    <t>…o descubierto 4 a.csndm á 400 infantes , compuestos de los destacamentos de Ge vuestras viles asechanzas: si los padres de la patria no existen reunidos, rona , Zapadores, Infante D. Antonio, Asturias, y de Us milicias existe V. E.; que vela por la conservación del sistema , y . xiste en cada a-t:vas de Búr,os y Mondoñedo , y un oficial con *6 caballos de vo ciudadano español un héroe que en torno de esa diputación permanente luntarios de I-paña…</t>
  </si>
  <si>
    <t>…cretano Ga rá, Valdé» (D. Cayetano), Arguelles, Cuadre, Albear,Taboada , Burelly. Esta fue presentada en la secretaría de la Gobernación , y en ella ruaga, Faicon, Alava, Feirer ( D. Antonio), Domenech, Muro, Li« pretendía del Gobierno, no que le diese protección, sino que declarase Lo,Infante, Seoane, Cid, Somoza, Rojo, Bustos, Alvarez (Don que la exposición que le acompañaba debia ser objeto de las Cortes Elias), Trujillo, Apoita, Roig, Bauzá,…</t>
  </si>
  <si>
    <t>…ntos en defensa de las libertades patrias y trono consti as pinta esta pasión , la mas fuerte de todas, con el mayor calor , gra tucional, por cuya razón hace la oferta de su hijo D. Antonio, da cia y delicadeza , abundando en él las expresiones mas finas y las mas edad de 20 años, montado, vestido y armado á costa de su hijo polí agradables y nuevas ideas. Se incluyen también en este opúsculo el tico D- Nicolás de Castro , secretario del gobiern…</t>
  </si>
  <si>
    <t>…ono, por tumor de entrar en una (D. Cayetano), Arguelles, Cuadra, Albiar, Taboada , Falcon, Ala discusión prolija. Toda» ¡as razones qu- acaba de manifestar e. Sr. Fal va, Ferrer (D. Antonio), Murfi, Bustos, Alvarez (D. Elias), Roset, có se dirigen a probar que r.o d;b: aprobar,- ta proposición pnr el Torre, Trujólo, Roig,Bauza, Vargas, Apoita, Salva, Canga, Prat, motivo que dejo indicad'-’- Me atrevo á a&gt;:^urar que mucha pa :; de Bringas, Sánche…</t>
  </si>
  <si>
    <t>Gaceta de Madrid n.º 350</t>
  </si>
  <si>
    <t>…n, y quiúdoie todo cuarto tuvo , porque era herma -o del nador en ella no to o tenia cuas facultades sino muchas mas, pue&gt; que genera!: le. mismo han padecido, aunque s n pr.sion, D. Antonio (Jeestaba declarada en estado de sitio; y las Cortes tuvieron á bien dar un reda y tu h:jo , D. Benito Scrrcño y su hijo, el pací: Castillo y otros bando, por el que se le dabe al grbernador una autoridad p ena. Asi varios. pue» cr.oqueel artículo es de absol…</t>
  </si>
  <si>
    <t>…el uno sobre sali por derecha é izquierda del pueblo, mientras que la caballería y el des nas dt Andalucía, tierra adentro, de 720,800 mrs. de capital, en ca tacamento del Infante D. Antonio flanqueaban la derecha de la posi beza de Doña Catalina de Torres , expedido en Madrid á 8 de Abril ción ; las restantes fuerzas en columna protegían el movimiento. La bi del año de 1644; y el otro juro sobre alcabalas de Puffonrostro en zarría de las tropa*…</t>
  </si>
  <si>
    <t>…l ha dado parte al Exento. Sr. secretario de Estado y del motivo plausible para rompes con nosotros , 7 asi procurarán excitar Despacho de la Guerra de que una partida del Infante D. Antonio, nos á quebrantar el freno saludable de las leyes, ya por medio de es compuesta de 40 hombres , ha destrozado en el pueblo de Bronebay la critos que paguen, ó promuevan con este objeto, ó ya valiéndose de facción que infestaba aquella comarca, cogiendo dos pr…</t>
  </si>
  <si>
    <t>…Puer los motivos que han dado lugar á esu providencia: fe concurrencia de to. Rico, amanerado pee algunos aveatameos de S. Bartolomé. Tam los curiosos qua querrías ver al hermano D. Antonio seria ocason de bién había dado la veto otra expedición, compuesta de los buques la que se turbase continuamente el silencio y vi orden que db: mear en Clarisa y Superior, cuatro lanrba» con un callón cada una, y do» bote* los paragrs donde estos ángeles de l…</t>
  </si>
  <si>
    <t>…ico-canónico de los párrocos, su origen, autoridad, proyecto de ley sobre la reforma y reducción del clero, deben consi obligaciones y derechos , por el doctor en sagrado* cánones D. Antonio derarse comprendidas en la supresión propuesta en el mismo, y por Mendizibal, cura propio de la villa da Navarrete, en el obispado de consiguiente quedaron renunciados sus productos en favor del clero y Calahorra. Se vende en las librería* de Bran y Rodríguez…</t>
  </si>
  <si>
    <t>…es, como dias, primer os siguientes al en que se hace este anuncio , comparez el:os dicen , deb.mos agradecíales que hayan tomado la resolución ge can en dicho juzgado y oficio de D. Antonio ( asarlo , escr.bar.o del nerosa de dejarnos en paz. número, por predio de procurador de el, autorizado con poder bastan (4) Un periodista ingles hizo la observación de que la revolución te, y dirección de letrado , á deducir sus acciones y derecho en el jui…</t>
  </si>
  <si>
    <t>…ayun ción para el Gobierno económico-político de las provincias varias tamientos , y tratándose en este artículo solamenta de las que corres adiciones de los Sres. Buey y Ferrer (D. Antonio) á los artículos ya ponden i los alcaldes, paree* indispensable , para que no se confunden aprobados del mismo reglamento, y una proposición de los Sres. Ve- astas atribuciones, suprimir en el artículo la cláusula que he citado. lasco, Hscovedo y Ailion, para…</t>
  </si>
  <si>
    <t>Antonio'Llináa, Juan</t>
  </si>
  <si>
    <t>Juan Antonio'Llináa</t>
  </si>
  <si>
    <t>…ia Puer festado ccn mis fuerza con motivo de la rerurc'a hecha por e! teióta; por to Cual , y no pudieniio prever con certeza ral nsullaiio de Jai te coronel del mismo regimiento D. Juan Antonio'Llináa» Acornó!*. 1 negociación** ptrdicntes entre ambas potencias , entra en su política fiaba un egempiar del folleto intitulado Constitución fundamental j I prepararse de antei‘ \r.o para cualquier evento: r cedo al puveer casi los libertadora del finteo humano,…</t>
  </si>
  <si>
    <t>Antonio, Domingo</t>
  </si>
  <si>
    <t>Domingo Antonio</t>
  </si>
  <si>
    <t>…á nacionales , y con derecho á ser colocado •*n alguna audiencia territorial; parte á las Cortes para sus disposiciones con* cuentes, asi como dará opinaba que podía declararse al D. Domingo Antonio benemérito de la parte a las mismas para su aprobación del tratado de transacción que patria, y recomendarlo al Gobierno para que le colocase según sus me ajustase. recimientos. Aprobado. 4.° Para dejar al Gobierno en absoluta independencia para esta La misma…</t>
  </si>
  <si>
    <t>Antonio, Francisco</t>
  </si>
  <si>
    <t>Francisco Antonio</t>
  </si>
  <si>
    <t>Gaceta de Madrid n.º 15</t>
  </si>
  <si>
    <t>…ante en los so natural de Burdeos en Francia, capitán de la goleta de la misma nación lemnes juramentos que tiene hechos, protesta que se halla animada de nombrada Pomboyense, con D. Francisco Antonio de la Cuesta y Tos mismos sentimientos que Cádiz, Sevilla , Galicia y demas puntos D. Josef Plasencio Rubio , vecinos y del comercio de la ciudad de la indicador; que cuantas disposiciones se tomen contra estos pueblos, los Havana, como fiador y síndico de D.…</t>
  </si>
  <si>
    <t>…el 48 D. Jos.f Manuel de laa Llanas como heredero «le D. Juan «le las JCamstchatlu dependían da un imperio colosal 7 de una nación euro limas 1788 rs. 7 4 mrs., la de los hijos de D. Francisco Antonio pea. En haberse .pues negado 4 toda comunicación con una potencia {agüeros 1472 rs. 7 7 mr,—La de D. Nicolás de Casas 2041 rs. y 4 cristiemi y europea no han hacho maa qne seguir un sistema político ¿wts._La del R. P. Fr. Juan Bermudez de Castro 16,185 rs. 7…</t>
  </si>
  <si>
    <t>…ultaría que el presupuesto obispado de Segorbe , que se hallaba vacante por fa lecitniento del con del mmeterlo de Guerra se aumentaría considerablemente, y no me sejero de Estado D. Francisco Antonio de la Dueña y Cisnetos que It parece qu estamos en este caso. Por otra parte si un individuo que dis obtenía. fruta en actual servicio i-9 rs. puede retirarse con go9, es claro que con este aliciente lo hará, y privará á la Nación de lo* importunes Debiendo p…</t>
  </si>
  <si>
    <t>…e nada se trasluce aceros de lo sona en cuyo poder se hallen las entregue al referido Etutain en Madrid; que tratan estos dos diplomáticos, algunos suget s á quienes noce dei; ó á D. Francisco Antonio lluici, del comercio de Pamplona; en in conocida la corte creen, según perece, que el éxito que han tepido ia* teligencia que están tomadas todas las medidas preventivas para su r.« negociaciones entablada* enCottslantinopla.producirá griftdes mudanzas tenció…</t>
  </si>
  <si>
    <t>…ios expresados, se sirva entregarlos al referido D. Pedro de Hiera diencia territorial de Castilla la Nueva, su fecha 15 del corriente, se Peso y Quiñones, en Avila, ó en Madrid á D. Francisco Antonio de ha mandado citar y emplazar á Cirios Pasamente* y Juan Barba , veci Hiera, qué vive calle dél Amor de D.01, núm. 3.°, cuarto a.J, quienes nos de Aldea del Rey, partido de Aimodovar del Campo, cuyo para lo agradecerán. dero se ignora, para que en el término…</t>
  </si>
  <si>
    <t>Antonio, Frencitco</t>
  </si>
  <si>
    <t>Frencitco Antonio</t>
  </si>
  <si>
    <t>…e se repartan sin que aparezca antes cuál es ia suma de los primeros Le comisión de Hacienda de la legislatura anterior, habiendo exa y la de los segundos. minado la exposición de D. Frencitco Antonio firingas y otros varios La compañía de Filipinas es la responsable de los fondos que tenga accionistas del banco nacional de S. Carlos, en qne se quejaban de la en su poder, y por tanto ella dará sus cuentas. Ella tiene muchos cré junta de este establecimient…</t>
  </si>
  <si>
    <t>Antonio, Jaan</t>
  </si>
  <si>
    <t>Jaan Antonio</t>
  </si>
  <si>
    <t>Gaceta de Madrid n.º 195</t>
  </si>
  <si>
    <t>…stros nan e -n la te» sreria genera- d la Nac.on , he vanido en declarar útivo corazones deber an s.-r tan lluros com &gt; i-sta materia, y hacer.os impene t-sor.ro general de el a a D. Jaan Antonio Y"a~d ola , por »: r mas trables á las seducción;» que sus en.mrgos os h cutan ¿ Y será posible ant guo de lo» d^s t soreros íXi»t_-ni.-» , y por ias par. -a are, y recoque un extravio de razón os Conduzca hasta el extrmo de volver con mendib'es circunstancias…</t>
  </si>
  <si>
    <t>Antonio, Josef</t>
  </si>
  <si>
    <t>Josef Antonio</t>
  </si>
  <si>
    <t>…ación de causa, y salieron los Sres. siguientes: EX Joaquín Ce- Sr. D. Angel Fernandez de los Ríos, magistrado honorario de la au valles ,conde de Florida-Blanca, D. Pedro Matute, D. Josef Antonio diencia de Castilla la Vieja, y escribanía del número de esta M. H. Ponzoa , D. Josef Radon, D- Andrés Moya Lnzuriaga, D. Bernardo villa de D. Jacinto Gaona y Loeches, se vende en pública subasta una A sen jo, D. Miguel Ripa, conde de la Torre del Fresno. cas…</t>
  </si>
  <si>
    <t>Antonio, Juan</t>
  </si>
  <si>
    <t>Juan Antonio</t>
  </si>
  <si>
    <t>…compuesto de los señores siguientes: D. Gonzalo Cárdenas, D. Josef les se construye toda e*p*cie de tonelería con la misma y mayor per Radon, D. Santiago Delgado, D. Miguel Ripa, D. Juan Antonio fección que m el extrangero ■ y en cuanto 4 la prohibición del retorno Lop z, D. Joaquín Huerta Cerillos, D. Josef Gómez Albacete , Don de la nao onal que hubiese salido con caldos para el extrangero, no han Francisco López de Olabarrieta , D. Higinio Antonio…</t>
  </si>
  <si>
    <t>…en el término de so dias se muestre prrte en la causa pendiente en la ti nombre de banco de lot Litados Unidos ó banco nacional, *s misma tala y ateribaoía de cámara del cargo de D. Juan Antonio obligó i gratificar al Gobierno en un millón y medio de pesos fuertes Almaean , y deduzca tu derecho según viere convenirle, con apercibi en tres distintos plazos, aunque el Gobierno puso en él 7 millones á miento de que petado sin haberle hecho , se sustanci…</t>
  </si>
  <si>
    <t>Antonio, Jusn</t>
  </si>
  <si>
    <t>Jusn Antonio</t>
  </si>
  <si>
    <t>…espitan giaduado da tem nta del reg'mi-nlo infantrría de Aragón, id. coronel del reg:nu r; 1 ■ zapadores, idArar.dad Da.toé D. Ramón oantillaa, espitan dt! regimiento Saiamancm á D. Jusn Antonio i'v -rtaa. tcrier.te coronel graduado caballería d* Barbón , id. y cap.t in pr mee a udant- ■_ resirriento infantería da Malaca, Badajoz a D. Joan Ensebio Manzano, comandante del segundo brgovia « D Dion o Cr&lt;i &lt;t B rnabé , captan del CuerpoÚt a-.tibatelion d…</t>
  </si>
  <si>
    <t>Antonio, León</t>
  </si>
  <si>
    <t>León Antonio</t>
  </si>
  <si>
    <t>…* Cazadoret. Capitán D. Josef Mana Morenti ; herido. Sargento pri observado exactamente, suplica á V. M. que se digne mandar se haga mero D, Angel Escamóla , contuso. Idem segundo D. León Antonio pública la conducta que ha cbse-vado, y el modo con que se ha con Elejad , herido. Cabo primero IX Francisco María Ortun , herido. Otro ducido en las últimas desgraciadas ocurrencias de la espita!. De esté idem D. Juan Ramón Delgado, contuso. IJ. IX Francisco…</t>
  </si>
  <si>
    <t>Antonio, Miguel</t>
  </si>
  <si>
    <t>Miguel Antonio</t>
  </si>
  <si>
    <t>…i enn cierto* j que prestigio pudo obcecar á la audiencia para cional , y que en el término de un mes, contado desde esta fecha , se persuadirse que no habia culpa ni cargo contra D. Miguel Antonio proveerá. Xxgarrai V. E. ha visto ya que este presbítero, abad de tíoidaraz, des Habiendo sido robado en el camino de Cabra á Córdoba á últimos pués de haber dado entrada i Balda en su propia casa en dos distintas de Julio D. Argel Tejeiro , oficial de la arm…</t>
  </si>
  <si>
    <t>Antonio, Simón</t>
  </si>
  <si>
    <t>Simón Antonio</t>
  </si>
  <si>
    <t>…Al mayorazgo que fundó D. Rodrigo Vadillo, vecino que fue de no había lugar á duales , tino que no era necesario exponer estas razo la ciudad de Sevilla, de qu: es actual poseedor D. Simón Antonio de nes ; que bastaba la lectura del expediente y del titulo’ ale adquisición, S. Pedro VHIamor y Vadillo, vecino de le villa de Velorado, pro para probar qne esta concesión había sido realmente un privilegio j vincia de Bfirgos, pertenece un juro-de 4.908,640…</t>
  </si>
  <si>
    <t>Antufíez, Pedro</t>
  </si>
  <si>
    <t>Pedro Antufíez</t>
  </si>
  <si>
    <t>…udante de Bailen D. Nicolás B'ac Rico, el teniente del mismo •1 decreto de laa Cortea de 6 de Enero de 1813 y las que le da la or D. Jos f M iría Onlin, y el ayudante de Luaitaaia D. Pedro Antufíez, denanza general del egérciR». g.® El intend.nte general militar con que nombré pare que como ayudantes comunicasen las órdenes ¿ las presencia del artículo del citado decreto propondrá c&lt;m ur columnas, han desempeñado pcrfcctamenta tu encargo, recorriendo to…</t>
  </si>
  <si>
    <t>Antunes, Pedro</t>
  </si>
  <si>
    <t>Pedro Antunes</t>
  </si>
  <si>
    <t>Gaceta de Madrid n.º 278</t>
  </si>
  <si>
    <t>…nos pres- nos de hacer mención por haber sido los que cargaron cen la cabañe cr.be igual obligación. Un ilustre filosofo Je nuestro* tiempos, tratan ría, del ayudante de Lusitama D. Pedro Antunes, del alférez rct iado do de .iquel d ■ que disfruta toda corporación cuando se le falta á la D. Pedro Gurrea, y del cap.tan de cgerctio y de la milicia voíunt.r.a justicia, se expresa a,i : •* De la obligación indispensable que ia natura» de Tafalla D. Joaquí…</t>
  </si>
  <si>
    <t>ANUNCIO</t>
  </si>
  <si>
    <t>…ando aviso del recibo. Madrid 28 de Junio da en los arsenales de Rocheíort y de la Rochela se dirige hácia el de 1823. cordon sanitario. El mariscal de campo marques de llautpoul, coronel ANUNCIO. de la artillería volante de la guardia Real, ha concluido ye la inspec ción de la artillería de tas p.aras del departamento de lot Pirineos Canción patriótica puesta en música nueva para guitarra elogiando oriental's. Aseguraban que el general Lauriston , á…</t>
  </si>
  <si>
    <t>ANUNCIOS, Afa</t>
  </si>
  <si>
    <t>Afa ANUNCIOS</t>
  </si>
  <si>
    <t>…se , y manifestó igualmente ios principios de blicado «I dia 4 desde el núm. 747. justicia en que se fundaba ei dictamen. _ El br. Gaseo dijo que todavía no te había contestado al Sr. Afa ANUNCIOS. man , y solo se hacían olculos, desviándose del verdadero punto de le Sucrifeion á la faceta. Desde 1. del corriente está abierta la sus cuestión , que debía reducirse solo 1 si debíanlo no sufrir ios tenedores cripción i este periódico bajo las mismas condi…</t>
  </si>
  <si>
    <t>ANUNCIOS, Anto</t>
  </si>
  <si>
    <t>Anto ANUNCIOS</t>
  </si>
  <si>
    <t>…a para que de aóos pueda dispo £1 principal para la prisión da aquellos fue la declaración de Min- ner como á bien tenga. go» pieza de Valdemoro, folio 193 ; y de ella resulta que D. Anto ANUNCIOS. nio Sánchez era uno de ios conjurados, y en su casa se celebraban lat D. Cayetano Sixto, actualmente catedrático de literatura é historia juntas: que Salas no solo concurría á ellas , sino que llevaba la voz y •n la universidad central, abrirá un curso, part…</t>
  </si>
  <si>
    <t>ANUNCIOS, Joaef</t>
  </si>
  <si>
    <t>Joaef ANUNCIOS</t>
  </si>
  <si>
    <t>…u madre 7 4 su hermana, 7en sa defecto tía de Barcelona 13 y 14—JD. Diego Sette Lnstene de Málaga 81 7 18.é los hijos da esta. —D. Esteban Drovilet 7 compafiía de Madrid 1617 7 18—D. Joaef ANUNCIOS. Vilart de Cidiz *3 7 i8._Gan 7 compañía da id. 113 7 4—Don Por decreto del consulado de Cádiz en autos aúm. apa del alio Pedro Rogs 7 compafiía de id. 107 7 10. Y adema» loa portadores de pasado de 1804 se manda citar 7 emplazar por el preciso término de ace…</t>
  </si>
  <si>
    <t>ANUNCIOS, Josef Martínez de San</t>
  </si>
  <si>
    <t>Josef Martínez de San ANUNCIOS</t>
  </si>
  <si>
    <t>…la clase de ciencias fisicti y matemáticas colegios de esta corte. á D. Ramón Gil de la Cuadra, consejero honorario de-Estado, é indi viduo de la academia médica de cata corte; ¿ D. Josef Martínez de San ANUNCIOS. Martín , gefe político de esta provincia, é individuo de le ecademie Médica; i D. Felipe Bauzá, director del depósito hidrográfico, y aca Habiéndose declarado pertenecer á D. Tomas del Valle parte da démico supernumerario de la academia de la Historia; á D.…</t>
  </si>
  <si>
    <t>Anzures, Diego de</t>
  </si>
  <si>
    <t>Diego de Anzures</t>
  </si>
  <si>
    <t>…e mes, en que se verifican loe principal, en Madrid 4 31 de Mayo de 1780, en favor del mayorazgo segundos de las demas provincias; »eHalándose para el tegundo el dia 4 fundado por D. Diego de Anzures, D. Diego Duque y Doña Leonor de Julio 4 la hora de las diez, y para el tercero le misma hora del 9 de Luna, sefialado con el núm. 126.__Otra de 18,515 rs. y 11 mrs. del citado mes; y te admitirán laa posturas y mejoras que se hagan vellón, en favor de los ma…</t>
  </si>
  <si>
    <t>Aoanero</t>
  </si>
  <si>
    <t>…1.031,179 rs. y 7 mara vedises, según expresan los respectivos contadores de provincia; y sobre el dictamen de la comisión. Se mandó pasar á la comisión la' siguiente adición del Sr. Aoanero: este gasto se ratifica lo anotado en ei resumen del me* anterior de Ene * Que los visitadores no puedan ser propuesto! de. entre los letrados que ro. Madrid 17 de Abril de 18 a a. ss V.a~B. = Iiuaz.=sComo gef-.s de tengan su residencia en el terrítorío de la…</t>
  </si>
  <si>
    <t>Aparici, Joscf Narciso</t>
  </si>
  <si>
    <t>Joscf Narciso Aparici</t>
  </si>
  <si>
    <t>Gaceta de Madrid n.º 60</t>
  </si>
  <si>
    <t>…ndientes á ¡as abusos. Art. 6. La excita esta corta por «1 encargado de negocios de España cerca de la de Roma ción á la desobediencia por medio de sátiras q invectivas, de que ha D. Joscf Narciso Aparici las 2541 gracias detenidas allí desde 1." de blan el art. 21 de la ley de 22 de Octubre de 1820 y el j.J de esta, Setiembre último hasta 2 de Diciembre. El público no podrá saber sin se castigará con seis meses de prisión. Art. y.° I.a pena que señala el ar m…</t>
  </si>
  <si>
    <t>Aparici, Josef Narciso de</t>
  </si>
  <si>
    <t>Josef Narciso de Aparici</t>
  </si>
  <si>
    <t>…an decla pase á las que no traigan el vi.tu bueno de su agente general en Roma, rar que quedan responsables los partícipes á la parte que les toque pa que lo es rn la actúa, i Jad D. Josef Narciso de Aparici; el cual no lo gar pac el subsidio , verificada que sea !a rebaja.” pondrá á las que se soliciten por agentes particulares. Asimismo se leyó la siguiente del Sr. Rico : » Pido á las Cortes que Y á fia de dar á estas providencias toda la publicidad y franqueza…</t>
  </si>
  <si>
    <t>Aparicio, Mariano González</t>
  </si>
  <si>
    <t>Mariano González Aparicio</t>
  </si>
  <si>
    <t>…angre fría y sin causa, ó con Las Cortes oyeron con agrado, y mandaron pasar al Gobierno una el fin de cometer ú ocultar otro delito , ó sin ser movido por alguno do exposición de D. Mariano González Aparicio, capitán retirado , por los estímulos siguientes: la que cedía á favor de la Nación los atrasos de los sueldos devenga » Primero: por una provocación, oFensa, agresión, violencia , ul dos por razón de dicha graduación desde 14 da Junio de 1808 hasta traje , i…</t>
  </si>
  <si>
    <t>Aparicio, Mmuel González</t>
  </si>
  <si>
    <t>Mmuel González Aparicio</t>
  </si>
  <si>
    <t>…cx.ge un egér- Se abrió i las nueve , y Kida el a .-a de la anterior quedó aprobada. cito grande en tiempo de paz. Estamos soportando todas las cargas de Se leyó una exposición de D. Mmuel González Aparicio, capitán ia guerra sin disfrutar de ninguna de sus Ventajas , y este ord.u de co de la qu r.ta compañ a 0:1 pnni.t batallón de la milicia nacional vo sas no se pu-de ya tolerar. luntaria de esta cort-, en ta que p..r sí y i nombre de ios in :;v di o* *« Si no…</t>
  </si>
  <si>
    <t>Aparicio, Vicente</t>
  </si>
  <si>
    <t>Vicente Aparicio</t>
  </si>
  <si>
    <t>…da egército, y comandante de milicias go Moraleja, D. Diego Angulo, D. Cesáreo Agudo, I). Francisco de c.bal.eria del Sur en la Hivana; y en at-ncion al donativo de ico® Ardila , D. Vicente Aparicio, D. Josef Parnés , D. Mguel Batalla, rea-s en metílico que ofreció pata las urgencias del Estado, le dispen D. Manuel Cataban, D Manuel Josef Calzado, D. Manuel Cruzado, saron rl tiempo de servicio con Real despacho que le falt-.ba para po D. Jos tí Castro ,…</t>
  </si>
  <si>
    <t>Apo</t>
  </si>
  <si>
    <t>…cmnHuesca, Calatayud, Lérida, Temei , Tarragona, G ran; y Buc lona p i miento i lo dispuesto en el artículo. se prohíbe la libre venta del plomo y pólvora por el tiempo que el H1 Sr. Apo tía apoyó el articulo, manifestando le utilidad que-po Gobierno estime conveniente, con tal que no pa&gt;e del presente año eco dría resultar de su aprobación; añadiendo que en el debería compren nómico. derse á ios c- lonos. Art. a.9 »No se entiende por el artí…</t>
  </si>
  <si>
    <t>Apoitia</t>
  </si>
  <si>
    <t>…de Leída y aprobada el acta de la anterior, se mandaron pasar á la la opimon en aquella parte de la Monarquía española, y r sulla ser bien comisión Eclesiástica dos adiciones del Sr. Apoitia , y otras dos del se diferente del qu: algunos han pretendido persuadirnos, isábese también ñor Flores Calderón , al dictamen de Ja misma comisión sobre el re que en estos últimos ines.s ha cair.b ado efectivam nie esta opinión , sin partimiento de las existe…</t>
  </si>
  <si>
    <t>…ría la cuarta parte de la comribuc.on de perfumistas ios que venden aguas para feñ.r las canas. pitantes. Ei Sr. Surra contesto qu= respecto de ios arquitectos, escultores ¿CC. El Sr. Apoitia hizo varias observaciones para demostrar que el de se 1 s podía inc u r en otra cíase si parecía convenirme por m d o recho de patentes que se exigía á los ab 'gados y escribano* debería ser d: una adición; que tocante a los tejeros era de adv—tr q ; en a ju…</t>
  </si>
  <si>
    <t>…se fes de la Real casa, y habiendo tomado asiento en el tiono, leyó el aprobó el dictamen de la mayoría de la comisión. discurso que se publicó en gaceta extraordinaria de hoy. El Sr. Apoitia presentó una proposic-on para que se le permitiese En seguida el Sr. presidente de las Cortes contestó a S. M- en loa recurrir a! Gob ernó, á fin de informarse sobre &lt;1 mo lo de servir un be términos que se ve por la misma gaceta extraordinaria citada. nefici…</t>
  </si>
  <si>
    <t>…ar) pero debe serlo por La misma comisión presentó su dictamen sobre una adición del re la jurisdicción ordinaria por toda aquellos delitos comunes que haya dor Munarriz: otra del Sr. Apoitia, Lapuerta y Eulate, y otra del re cometido en su deserción. Esto es lo que dice la ley orgánica y el có dor Buruaga, opinando que no eran admisibles. Aprobado. digo penal, con los que no está conforme este artículo. Enhorabuena La misma comisión, en vista de…</t>
  </si>
  <si>
    <t>Apoitia, Josef</t>
  </si>
  <si>
    <t>Josef Apoitia</t>
  </si>
  <si>
    <t>…y compuata de unos 400 vecinos, cu Vizeaya. La comisión opinaba que debían aprobarte los poderes de ya plaza até dotada en 39 rs. anuala, quedando 4 beneficio del facul los Sres. D. Josef Apoitia y D. Domingo Eulogio de la Torre. Queda tativo losgolpade mano airada, partos y sangría y barbas; el que ron aprobados. quiera obtenerla dirigirá los memoriales al secretario del ayuntamiento Los poderes acerca de los cuales se había ofrecido alguna dificultad constitucional de d…</t>
  </si>
  <si>
    <t>Aprobada, Agustín Lozano</t>
  </si>
  <si>
    <t>Agustín Lozano Aprobada</t>
  </si>
  <si>
    <t>…obre esta parte tan tBSSIDBHClA DSt SZÜOt DON XATAEI 9E1 SritCO. interesante de la instrucción pública. Jffiuit del dia 1.° Je Marzo. Al concluirte el acto del tercer dia el joven D. Agustín Lozano Aprobada el acta de la última junta preparatoria, se leyeron los ar pronunció un discurso, al cual contestó» el Sr. prior del consulado, tículos 121, 112 y 113 de la Constitución, y los 15Ó, 15/, 158, manifestando cuán satisfecho quedaba el tribunal, y debía quedarlo…</t>
  </si>
  <si>
    <t>Aprobado</t>
  </si>
  <si>
    <t>…e número de ciudadanos de Barcelona y Murcia, Gobierno hasta que se hiciesen las variaciones que creía oportunas. pidiendo se derogase el decreto sobre derecho de registro: una de Don Aprobado. Ignacio Manso, procurador de un pueblo de la provincia de Guadala- La de Hacienda presentó su dictamen sobre las adiciones hechas í jara, quejándose de que se les apremiaba para el pago de contribucio las proposiciones del Sr. Fcrrer, que fueron aprobadas en…</t>
  </si>
  <si>
    <t>…1.11 o de la guardia Real. 80,0-o. RR. obispos.............................................................. 160,000 J- I comisión segunda de Hacienda, en vista de la solicitud de Don Aprobado. Per.ro I ia&lt;,,, negociante portugués, pidiendo el pago por t-soreria del Art. id - No se comprend»n en ta dotación anterior vai. r de v r.os gen ros qu: se te ocuparon en 8o'S por la Hacienda na los gastos de proviso ralo y s-cr taría. Para ello y sus vica c…</t>
  </si>
  <si>
    <t>…olegios, academias, establecimientos de enseñanza, casas consis paso del foso. ten ia'es y los almacenes militares y públicos." Art. rtj. » En el caso de hacer uso de lat minas el comandante Aprobado después de una corta discusión. gen-ra! de ingenieros propondrá al general en gefe ó el que mande el Se suspendió esta discusión. s t o el proyecto de ataque subterráneo, para su aprobación ó variación; Sj mando par ir i la comisión de Guerra ana adición de l…</t>
  </si>
  <si>
    <t>AQUI, Pe A LOS ILUSTRES PATRIOTAS</t>
  </si>
  <si>
    <t>Pe A LOS ILUSTRES PATRIOTAS AQUI</t>
  </si>
  <si>
    <t>…teresadas estaban comprendidas en el art. j." del decreto de LOS ANTIGUOS FUEROS DE ARAGON 25 de Setiembre de 1820. Aprobado. La misma comisión habiendo examinado la exposición de D. Pe A LOS ILUSTRES PATRIOTAS AQUI DECAPITADOS dro Girón, propietaiio de la fábrica de papel pintado de esta corte, en POR HABER SALIDO EN SU DEFENSA JUAN DE LANUZA, DIEGO DE HEREDIA Y JUAN solicitud de que se permitiese la entrada libre del extranjero de las dro gas y demas materias necesaria…</t>
  </si>
  <si>
    <t>Ar</t>
  </si>
  <si>
    <t>…ía de los Sres. diputados, cumto porque los mismos individuos de de debe verse con él cara acara, y no en otra parte- El segundo mal U comisión habian suscrito á ella. que dice el Sr. Ar*ii,U_.t envuelve' la proposición, es el que se creerá El Sr. Ruiz de la Vega expuso que la comisión había dado tácita que miramos conódio i determinada clase de personas. Perdóneme S. Si mente su dictamen en el hecho de estar firmada la proposición por to que…</t>
  </si>
  <si>
    <t>…aga no cobrará la mitad los curas párrocos son los mas beneméritos de esta ciase , y los que de este subsidio. menos han percibido, creo que únicamente en favor de dios debería £1 Sr. Ar¿iiellcs: Discusiones de esta naturaleza, ó no se provo rebujarse el subs «lío: en este concepto apruebo el artículo; pero no en can , ó di hacerlo asi es preciso dejarlas correr. Estoy de acuerdo con el de que la rebaja del subsidio ha de ser para atender á l…</t>
  </si>
  <si>
    <t>…ce y&gt; o-:t » •-* -. si bre el particular. ró-, y con la variación siguiente : en lugar da las pai.-.bras en-itr r .-.r El br. Ferrer contestó que las razones que hab a expuesto el Sr. Ar fuede limitarte d /o millones , se sustituyeron las siguientes : ent. ’. i; guelles con resp-cto á ¡a plaza de Ceuta eran del mayor peso para la $ut rueden limitarte día millones. cornis ón; mucho mas cuando solo ascendían los gastos de esta plaza i No hubo l…</t>
  </si>
  <si>
    <t>…o se había señalado en el presupuesto ve Gobierno. nera! cantidad ninguna psra cubrir esta obligación , no teniendo de don El Sr. Canga contestó i algunas de las observaciones del Sr. Ar de sacarla, por cuya causa Jas solicitudes de estos individuos las había guelles; y ent»e otras noticies que dió en apoyo del dictamen de la remitido ¡ las Cortes, sin otro objeto sino para que eJ Congreso deter mayoría de la comisión fue ,que habiéndose auto…</t>
  </si>
  <si>
    <t>…nifestó que si se convenía en qu* hubiese jurado, cabalmente cuando se ponga en cgecucion esta medida será cuando las como diputado no tendría inconveniente en adoptar ia idea del Sr. Ar diputaciones se hallen en este caso Se dirá que aunque ésten terminadas guelles. las sesiones puede reunirse de nuevo la diputación para hacer de jurado, El Sr. Galiano: No te me oculta la fuerza de los argumentos del pu-s las s -siones que para el efecto ten…</t>
  </si>
  <si>
    <t>Ar, Canga</t>
  </si>
  <si>
    <t>Canga Ar</t>
  </si>
  <si>
    <t>…porque asi se expresa en el decreto de las Cor préstito. tes: ¡y qué ha hecho este Gobierno en este tratado que esté fuera del El Sr. Isturiz : Protesto que respeto la opinión del Sr. Canga Ar decreto de autorización? Se dice que ha establecido un gran libro; que guelles ; pero no puedo convenir con S. S. en muchos de los puntos ha establecido una caja de amortización , y que estipuló la reúnen de que ha manifestado, aunque estoy conforme con algun…</t>
  </si>
  <si>
    <t>Ar, Francisco Martínez</t>
  </si>
  <si>
    <t>Francisco Martínez Ar</t>
  </si>
  <si>
    <t>…as que se les bagan á consecuen gia en toda la Península el régimen constitucional, existia en Valencia cia de la proposición aprobada. un juez de primera instancia que se llamaba D. Francisco Martínez Ar El Sr. Reilio: Sin que se me conteste á esta pregunta no puedo des royo : después de abolida la Constitución apareció bajo el. carácter de envolver mis ideas. alcalde mayor , que era la denominación que se sustituyó i la de juez El Sr. secretario de la Gobernación:…</t>
  </si>
  <si>
    <t>Ar-</t>
  </si>
  <si>
    <t>…eclesiásticos para examinar la colección de cá que conserve su destino por dos ó mas el que hubiese obtenido el em nones que se ha publicado en estos dias. Si las reflexiones del Sr. Ar- pleo , y en las que se hagan en el afio siguiente podrán ser propuestos [iiclles hacen tanta fuerza como é mí á los demas Sres. del Congreso, los mismos. no habrá reparo en sustituir á la palabra eomiiion de Legislación la ■ 1. Cuando por muerte ú otra causa…</t>
  </si>
  <si>
    <t>Ar.iisi.t</t>
  </si>
  <si>
    <t>…v c-’s no ha ,¡do su.pendido ei «a ..sr c rrar : En el a:'o d i»,q el co confnrm* 1 nuestras leyes, y poco conveniente en las circunstancia* cciclir* in i.istrv qj* h.. c ta.lo ci Sr. Ar.iisi.t, p-'puso la su,p r.&gt; un actuales. Yo la consideraré bajo otro aspecto, y tratare de confitar i c ¿qc.l*. ley. ps.o dice b. S. que para esto f..c jx .iss cue ¡r . ni-sa los argumentos del Sr. Arguelles. En prim-r lugar defender,: que la una cop a a. dato,, que…</t>
  </si>
  <si>
    <t>Ar.scun, Francisco</t>
  </si>
  <si>
    <t>Francisco Ar.scun</t>
  </si>
  <si>
    <t>…causa que se yió Undécima ciase. Baile, á cargo de D. Juan González. Premio á el viernrs y el sébado último, declarando que un frunces no naturaliza D. Lcoucm Fernandez. Accésit a D. Francisco Ar.scun. do, cualquiera que sea el tiempo de su residencia en la Bélgica, no puede servir de i- stigo en los testamentos. Asi pues debe considerarse CORTES EXTRAORDINARIAS DEL AÍxO DE i8sa. esta jurisprudencia como extensiva á todos los actos públicos. Se aregura que…</t>
  </si>
  <si>
    <t>Ar.te.i-e</t>
  </si>
  <si>
    <t>…ito últimamente ay udante L&gt;. Joaquín Aragón , al esp ían de .« cornpañ a :• n q.o. letc* decretado corres-sonda a ios pu b'.&gt;-que se han drf-r.d ido d- los fac-tosor, de Cámaia&gt;a D. Ar.te.i-e brceo r.l, il sirc r.to l ‘ de ia r- -o-a y á ios que se lian aprestad - y pu--r &gt; -n eecon ios m dios para delen- c seo l’*dro! , -obten ente de les! o. ' P. J -el' , : o . t. .. r’l derse de aquellos. An. O. 1 l.c - , : 1. 1 :,nUs generales de us r* speul v…</t>
  </si>
  <si>
    <t>Ar.’ueües</t>
  </si>
  <si>
    <t>…a nada, cuantas copias de ellos pui.es presentar aquci ministra? •1 cual habla de casos ext aordinarios, pues dice «si en circunstan Cabalmente los principíus qu. ha man.fa»uio et Sr. Ar.’ueües , esa cias extraordinarias la seguridad del Estado exigiese en toda ia Mo oseüacion de oainicn-.s , toda tudu auivur.t» nae.t-.o pei stiu; v al pa narquía , ó en parte de ella, la tuip'ntion de algunas de las formali so que hacen estas medida, mis at . sgaa»,…</t>
  </si>
  <si>
    <t>Ara, Jotef Rodríguez</t>
  </si>
  <si>
    <t>Jotef Rodríguez Ara</t>
  </si>
  <si>
    <t>…Cortes fueron hasta el 22 del pasado; y con fecha del ij, que CORTES. corresponde al correo de hoy &lt;la parte aquel gefe político de la brillan te acción que ha tenido el teniente coronel D. Jotef Rodríguez Ara li nXSIDBNCrA DEL ieRo» DOM MICOBL D* ALAVA. go contra ios restos de lo* faccioso» de U partida de Misas, el cual con Se/ion extraordinaria del día y de Mayo. una cuadrilla había entrado en Cani prodon y Oiot. Esto es en resumen Se leyó y aprobó el acta de la…</t>
  </si>
  <si>
    <t>Ara, Juan Francisco</t>
  </si>
  <si>
    <t>Juan Francisco Ara</t>
  </si>
  <si>
    <t>…am.'t canos se han hecho beneméritos de ta humanidad , aque toran. llos «on sus tuhtttt ála Congrtte, y estos con sus nueva# maquinal in- Los acreedores si concurso del presbítero D. Juan Francisco Ara ftrnain. los, difunto, acudirán á O. Josef Caballero, que vive calle de Jua ANUNCIOS. nete, núm. ti, cuarto principal, á recoger un pequeño resto que les Habiéndose extraviado de los archivos de la casa del Ftremo, señor marques de Astorga, condt dt Altamuz,…</t>
  </si>
  <si>
    <t>Arago</t>
  </si>
  <si>
    <t>…les,é fin do dedicado por muchos años i la pesca de la baMena, é individuo de la que la justicia , hermanada con la magnanimidad,dé un nuevo egemplo sociedad Real de Edimburgo. El Sr. Arago, individuo del instituto de de lo que ton los españoles, tan calumniados por los que deseen con Francia, presentó un extracto de esta obra a la academia de las Cien ansia que s* aparten del camino de le generosidad. cias , en el cual manifestó sus deseos de q…</t>
  </si>
  <si>
    <t>Aragón, Alberto Lisia y</t>
  </si>
  <si>
    <t>Alberto Lisia y Aragón</t>
  </si>
  <si>
    <t>…español. empeño ele cuanto deban piacticar para la cgecucion del presento El viernes 11 del corriente se abre una cátedra de elocuencia y lite tratado. ratura española á cargo de D. Alberto Lisia y Aragón. Ser.n días de Art. p.° •» Se declara que la referencia ó cita de las resoluciones lección los lunes y viernes á las 7 de la noche. — El martes 8 se abre de las Cortes de a? y 19 de Jun.o de 1811 ,jr j; de Junio de i8ai, una cátedra de elocuencia latina á car…</t>
  </si>
  <si>
    <t>Aragón, Cristóbal Bar</t>
  </si>
  <si>
    <t>Cristóbal Bar Aragón</t>
  </si>
  <si>
    <t>…ado de primera instaura de Cannona, y escribanía públ-ca qu: recree D. Marcos Joscf Reales , solicitando ia d-vision d: los perteuecienl s al patronato fundado en dicha ciudad por D. Cristóbal Bar Aragón.................................. 961,031. ba Príiaranda: las personas que se erran deudos del dicho fundador se Asuanas......................................... 151 361. presentir .n á dedo, ir sus acciones en -1 término de 30 días. Avila...... .............…</t>
  </si>
  <si>
    <t>Aragón, Eduardo</t>
  </si>
  <si>
    <t>Eduardo Aragón</t>
  </si>
  <si>
    <t>…i8aa el término señalado por el se hallaba Ja tesorería general. art. 8.° del decreto de 9 de Noviembre para la presentación de créditos A la da Crédito público ana exposición de D. Eduardo Aragón y contra *1 Estado, era de paraca que te cumpliese lo acordado por Jna D. N. Martínez para que ae les perdonase cierta cantidad que debían ¿ Corta, y que achirándose ate expediente te pasase el aviso oportu dicho establecimiento. no al establecimiento del Cré…</t>
  </si>
  <si>
    <t>Aragón, Eladio Martínez de</t>
  </si>
  <si>
    <t>Eladio Martínez de Aragón</t>
  </si>
  <si>
    <t>…l premio de gramá Por el alio de 1815 se formó causa por opiaionc* políticas al co tica extraordinario, ofrecido i la alumna mas instruida en este ramo de ronel de húsarea de León D. Eladio Martínez de Aragón , é qui-n las cinco escuelas de nifias, á Dolía María de los Dolores-Talaban, alum- privó de su libertad D. Francisco de Eguia, ministro en aquella ¿poca zia de la de Santa Justa y Rufina.* el de Constitución i Dolía Manuela del Despacho de la Guerra, por hab…</t>
  </si>
  <si>
    <t>Aragón, Felipe Martínez de</t>
  </si>
  <si>
    <t>Felipe Martínez de Aragón</t>
  </si>
  <si>
    <t>…per! -u ares de V ma del Para visitador de 1 audiencia de Ma Uid proponía la comisión una día 5 ( pues no las hay pnst r:orcs ) aúiUi n qur hasta aquí d a rada terna, compuesta de D. Felipe Martínez de Aragón, D. Juan Manuel había decido el congreso c-n respecto á la E.pa'a. Xo bao a - ir de Certzo y D. Diego Ilahmga; y habiéndose procedido á la votación, salió cretada d ciaracion a zuna , ni se había env ado ultimátum algu:.; a Ma electo D Felipe Martínez de Arag…</t>
  </si>
  <si>
    <t>Aragón, Gabriel de</t>
  </si>
  <si>
    <t>Gabriel de Aragón</t>
  </si>
  <si>
    <t>…instrumentos, sidere con derecho á sus bienes y herencia acuda á deducirlo ante el que nunca se cargaren al reo. Art. &gt;4- Como por ei actual sistema de dicho juez por el oficio de D. Gabriel de Aragón por sí ó por medio •dministrac on del fondo de penas de cámara no será posible que se sa de apoderado dentro del termino preciso y perentorio de 30 días, con quen de él tan pronto como ex,je la administración de justicia las can tados desde ia fijación ó publ…</t>
  </si>
  <si>
    <t>Aragón, Joaquín de</t>
  </si>
  <si>
    <t>Joaquín de Aragón</t>
  </si>
  <si>
    <t>…e y la plaza de la Constitución. anoche; y ahora puedo extenderme á decir que su valor , unido al de i3. Retirada la tropa, se colocarán las músicas, á saber: la de la mi ayudante D. Joaquín de Aragón , el subteniente D. Pedro Gurrea, milicia en el balcón de la Panadería, y las del Infante y Guadaiajara el sargento segundo Juan Bala, y los soldad ;s Antonio Ponce y Pedro en el de la obra r&gt;u:va, para tocar carciones patrióticas, contradanzas Molina, de Lus…</t>
  </si>
  <si>
    <t>Aramburu, Desiderio da</t>
  </si>
  <si>
    <t>Desiderio da Aramburu</t>
  </si>
  <si>
    <t>…aloics en dichas provincias en razón á te casi lo mismo que ha estado por mucho tiempo Buenos-Aires. hallarse desestancada. ARTICULO DE OFICIO. S. M. se ha dignado conceder al Dr. D. Desiderio da Aramburu, El Sr. secretario del Despacho de la Gobernación de Ultramar dice profesor de farmacia , par recompensa de sus distinguidos méritos rn ■on fecha de ayer desde el Real sitio de Aranjuez lo que sieue: las planas mayores y hospitales militares de los egército*…</t>
  </si>
  <si>
    <t>Aramburu, Márcos</t>
  </si>
  <si>
    <t>Márcos Aramburu</t>
  </si>
  <si>
    <t>…icular Reai orden fuere declaiado. recho qu* les convenga en los autos que sobre tu reclamación tienen 16. Tampoco se abonarán los servicios hechos en las dependencia* instaurados D. Márcos Aramburu y D. Juan Ignacio SaUamendi, de la Real casa, conforme i la reaolucton de tas Cortes de 25 da Mayo vecinos de la* villa* de Beasaim y Guadañera , eñ Guipúzcoa , apee de 1821,yá Ja Real orden de 2 a de Junio de rite año. cibidos de que pasado sin hacerlo se procederá sin mas citación ni…</t>
  </si>
  <si>
    <t>Aramburu, Mart'n</t>
  </si>
  <si>
    <t>Mart'n Aramburu</t>
  </si>
  <si>
    <t>…dar estas facultades á ios un alistamiento general de cívicos sin excepción de persona?. Se ia sa gobernadores! Yo creo que no son necesarias , y que el artiemo se di.be bido por D. Mart'n Aramburu , que sa ió el 11 de Junio del Cal ao, desaprobar. qua dejó el mando el marques de Torre-Tagle (hty ma-qu-s de Truji£1 Sr. Valdés (D. Cayetano): La plaza de Cádiz , que acaba de ci llo), y que lo obten an los tres ministro* Monte- A;udo , Guido y tar el Sr. p…</t>
  </si>
  <si>
    <t>Aramburu, Martin de</t>
  </si>
  <si>
    <t>Martin de Aramburu</t>
  </si>
  <si>
    <t>…y te acerca una escuadra, 30 grado* contra el caprtan y ir.pulacion para irse i Intermedios-- noti no i 18 tino á 8 ó menoa legua* de Cádiz, y «1 gobernador de aquella cia que dió D. Martin de Aramburu, en el Janeiro, por hab r os en plaza ae halla autorizado suficientemente para tomar estas dispon, contrado en esta Operación: entre estos no ven a conocido alguno. A 1a oonet. fragata Laura te trasbordaron mas, y entre ellos el inqu sidor v tri Yo me admiro…</t>
  </si>
  <si>
    <t>Arana, Antonio de</t>
  </si>
  <si>
    <t>Antonio de Arana</t>
  </si>
  <si>
    <t>…ntro. Los individuos de la milicia voluntaria de infantería de este pneblo, Dt los dtlitot contra los particularti. que á las inmediatas ordenes del espitan de la tercera compañía Don Antonio de Arana persiguieron á los facciosos la mañana del 29 de TITULO PRIMERO. Diciembre próximo pasado sobre el alto de Miradilla, son los sifuientes:'ancorvo,elD.capitánFelipeD-EguiliortD.Antonio de Arana:Nicolás losVillavaso,voluntariosD. D.DomingoSimeón BE IOS DELITOS…</t>
  </si>
  <si>
    <t>Aranda, D Rodrigo</t>
  </si>
  <si>
    <t>D Rodrigo Aranda</t>
  </si>
  <si>
    <t>…dio de su obcecación, no dejarán de El Sr. D. Joaquín de la Torre y Bossuet, fiscal de imprenta, de penetrar que en una guerra descubierta pudieran muy bienirsc sucedien nunció al Sr. D Rodrigo Aranda, alcalde constitucional, el impreso do tales y tales acontecimientos, bien funestos á sus misinos promo titulado: Ser tima y última parte del diálogo entre el alende constitucio tores. Lo hemos dicho ya muchas veces, y lo repetiremos otras nal de un lugar de…</t>
  </si>
  <si>
    <t>Aranda, Rodrigo</t>
  </si>
  <si>
    <t>Rodrigo Aranda</t>
  </si>
  <si>
    <t>…ó te llevaw Venezuela por le decisión de sus matareleí en favor de lea armas nacio á debido efecto , y te borrase el artículo denunciado. nales. —D. Constantino Viceré denunció al Sr. D. Rodrigo Aranda, alai » El faccioso Reyes Verga* y otros de su partido fueran batidos el de constitucional de esta M. H. villa, un artículo inserto en el núme 17 de Enero en le jurisdicción de Carón por una columna que man ro da del Universal como injurioso 4 su persona. dó…</t>
  </si>
  <si>
    <t>…imer grado. dirigí al Sr. nuncio de S. S. la nota respecto 4 las dificultades que se habían presentado para is secularización de una monja de Mallorca, su Habiéndose denunciado al Sr. D. Rodrigo Aranda, alcalde conitíponiéndose que había llegado tarde su petición por haber espirado ai tncional de esta muy heróica villa, por D. Francisco de Flores 4 nom término por el que te había autorizado 4 dicho Sr. nuncio , quien me bra «le D. Podro Alonso de la Espina,…</t>
  </si>
  <si>
    <t>…para que la tesorería lo satisfaga. Habiéndose denunciado por D. Manuel Bsrmudez al Sr. alcalde 5. * Al fin de los do* primero* meses de principiado el suministro, constitucional D. Rodrigo Aranda el núm. 2. del Trabuco como se y «n los primeros 15 días del siguiente, se satisfará al asentista por la dicioso, se reunió el jurado compuesto de los Sres. siguientes: D. San tesorería de ejército el importe de lo que en aquellos haya suministra tiago Vicent…</t>
  </si>
  <si>
    <t>…na móvil, vuestro ayuntamien El Sr. D. Joaquín de la Torre y Bossuet, fiscal de imprenta, de to constitucional al felicitaros cordialmente os repite que la unión, el nunció al Sr. alcalde D. Rodrigo Aranda un folleto titulado Carta respeto á Us autoridades y la mas ciega obediencia á las leyes son la* tercera de la RemaWitinia á su hermana ia princesa Fernandma , co armas que aseguran el triunfo de la libertad. Cádiz 51 de Agosto do mo subversivo en su totalida…</t>
  </si>
  <si>
    <t>…as con respecto al estado venidero diencia territorial de Madrid y Castilla la Nueva, denunció al Sr. al de España! Solo dos vemos posibles. La una seria una cruel indiferen calde D. Rodrigo Aranda dos artículos insertos en el periódico inti cia, que creyese ulil para reprimir las ideas exaltadas de los demócratas tulado el Espectador, números óot y 594, que empieza el primero de Europa, dejar la revolución española devorarse á sí misma, y pere )i bien…</t>
  </si>
  <si>
    <t>Aranda, Rodrigo de</t>
  </si>
  <si>
    <t>Rodrigo de Aranda</t>
  </si>
  <si>
    <t>…la Puerta. celebrado juicio de conciliación ante el Sr. alcalde constitucional de es ’* Las últimas cartas de Viena hablan de que la mayor parte de las ta villa y corte de Madrid D. Rodrigo de Aranda, en el cual D. Juan tropas del reino Lombardo-Véneto ran á formar un cuerpo de obser López Pinto, teniente coronel de artillería , y autor del referido artículo, vación en las fronteras de la Dalmicii turca.__Sé dice que lord Clan- ha declarado francamente es…</t>
  </si>
  <si>
    <t>…o. Trastornos , ira*, huestes de animales, El Sr. D. Antonio Perez de Meca, actual diputado á Cortea, de Y guerras como suyas sanguinarias, nunció al primer alcalde constitucional D. Rodrigo de Aranda un ar Drl tiempo en que como hoy los racionales, tículo inserto en el núm. 145 del UnhtrtsU, y fechado en Lorca á 19 También hablaba el bruto: hechos extraños, de Mayo último, como injurioso á la persona d* su padre D. Juan ; f Que nos oculta el velo de los a…</t>
  </si>
  <si>
    <t>…rrero el 5 del cor del presente ello. Expone ademas los diverso* trámite* judiciales que riente ; el bergantín correo Vengador al 6 sucesivo , procedente de ha seguido ante el Sr. alcalde D. Rodrigo de Aranda y el Sr. juez da Ultramar , con la correspondencia pública y de oficio ; el navio San primera instancia D. Angel Fernandez de lo* Rio*, en reclamación del Pablo y goleta primera Mahonesa el 7 del mismo, todos buques de la negro , que se halla complicado en un…</t>
  </si>
  <si>
    <t>Arang, Joaef Rodrigues de</t>
  </si>
  <si>
    <t>Joaef Rodrigues de Arang</t>
  </si>
  <si>
    <t>…ntos de bellas arte* que no se reputan El Sr. secretario de la Gobernados leyó dicho parte, y otro del como de primer orden; y que 1* cantidad de 8o9 rs. ara suficiente pateniente coronel D. Joaef Rodrigues de Arang», que había citado en ra hacer la traslación de lea de esta última dase; pareciéndole exorbiau anterior discurro; afiadiendo que loa so hombre» vertidos de aailiciaaoe de «na hablaba el último parte eran igual número de fecdoaoa tante lo que pedia al Gobierno…</t>
  </si>
  <si>
    <t>Arango</t>
  </si>
  <si>
    <t>…z de facción: for battro, que habían hecho prisioneros en S. Marsal de resultas del cho memos todos una misma familia; desterrad todo espíritu de división, que que tuvieron con el comandante Arango, habiéndoseles fugado ya y descansad bajo la segura prometa que sucederá á It calma vuestra ci espitan del mismo Batbastro desde Sta. Susana. Solo queda el senti completa felicidad, en la que se emplea vuestro compañero. Gerona 6 miento á la valiente tropa qu…</t>
  </si>
  <si>
    <t>Arango, Juan</t>
  </si>
  <si>
    <t>Juan Arango</t>
  </si>
  <si>
    <t>…é una columna, compuesta nes que de antemano la tenis dadas; haciendo lo mismo el espitan adic de los batallones de Galicia , la Cotona, siete compafiías de la milicia to al E. M. D. Juan Arango, y mis ayudantes de campo el teniente movible de la provincia, ao caballos de coraceros del Rey, y 31 del coronel capitán de Barcelona D. Manuel Bancea, y el ayudante de Can escuadren provincial, cuya fuerza total constaba de 1500 hombres. tabria D. Francisco…</t>
  </si>
  <si>
    <t>Arango, Manuel</t>
  </si>
  <si>
    <t>Manuel Arango</t>
  </si>
  <si>
    <t>…os agentes, en que (emitido por extraordinario, con referencia á los partes del brigadier estoy ocupado. Estos son los resultados de la vil seducción, y serán J&gt;. Jewf Manso y del comandante D. Manuel Arango, haber sido siempre los mismos. Metes pete combinar planes; y cuatro dias ban bas desslojadas las cuadrillas capitaneadas por Mosen Antón de la escabrosa tado , y bastarán siempre para desconcertar y exterminar toda gavilla. montafia de Monseoy, donde tenían…</t>
  </si>
  <si>
    <t>ArangoC</t>
  </si>
  <si>
    <t>…ituciones sinodales y lepes del remo, marcha para emprender ia acción que pa tenia combinada de acuerdo los refrescos y,otros obsequios j agasajos semejantes, de cualquiera con el comandante ArangoC Los facciosos en vista del plan que nos ha clase, que con motivo de fiestas ó aolaanidades eclesiásticas se hacen bíamos propocsto fueron atacados vigorosamente por cuatro diferentes á los individuos de laa cofradías i otros cuerpos , ó i todos los vecinos, punto…</t>
  </si>
  <si>
    <t>Aranguren, Pedro Regalado</t>
  </si>
  <si>
    <t>Pedro Regalado Aranguren</t>
  </si>
  <si>
    <t>…efinitiva. Aprobado. tado seguramente é las observaciones que se han hecho en la dis La comisión de Casos de responsabilidad, informando sobre el ex cusión. pediente promovido por D. Pedro Regalado Aranguren, sargento ma Dijo también que la minuta del meniege no debía aprobarse , por yor del extinguido batallón de Alava, pidiendo 1a responsabilidad 1 que do contenta todos los puntos que debían hacerse presentes á S. M t quien hubiese lugar por los procedimientos…</t>
  </si>
  <si>
    <t>Araoz, Bernabé de</t>
  </si>
  <si>
    <t>Bernabé de Araoz</t>
  </si>
  <si>
    <t>…i toda carrera á la cañada para Corrientes, y los otros des hacia el Uruguay y Gualeguaichu. continuar en seguida á la montaña, los demás armando la bayoneta , y Idem 18__Tucuman. D. Bernabé de Araoz se manun a en su ha al grito de v'va la Constitución, treparon , amias á discreción , 1 ¡a altura cienda de campo con fu-rza reunida , y D. Diego dentro de la ciudad las dos columna» de Castilla y zapadores , en tanto que U de Ordenes con la que capitanea. Qu…</t>
  </si>
  <si>
    <t>Arara</t>
  </si>
  <si>
    <t>1408</t>
  </si>
  <si>
    <t>…M C. y S. M. Sarda : 4 , i dos reales—Conyets Mi Id'eton , his Art. 19. » La diputación repartirá á los pueblos la contribución toria de la vida de M. T. Cicerón, tradúcela por el Sr. Arara: cua extraordinaria decr tada con pr &gt;porción ai cupo del total de .as ordina tro tomos en 4.', 140rs.cn papel y 1-4 en pasta----Correspondencia ria» que en el último año económico les ha correspondido. de cinco cartas sobre acusación del jansenómo: 4.", a 11…</t>
  </si>
  <si>
    <t>Araujo, Benito</t>
  </si>
  <si>
    <t>Benito Araujo</t>
  </si>
  <si>
    <t>…ngular. No obstante presenciaron Jarea de I). Manuel Sánchez Cueto 196 rs. 7 a mrs__La de lo* herealgunas audiencias dadas por les magistrados 7 los ministros, 4 los ena Jaroa «le D. Benito Araujo 59a rs. y 14 mrs__ La deD. Antonio «le lta no te acercában los; japoneses de gtrarquía inferior sino 4 nutras, lle torres 766 rs. 7 9 mrs__La «le la viuda y hetederos de D- Domingo vando la cabeza caída, 7 deudo suspiros como si hubiesen querido es jU Otero 6…</t>
  </si>
  <si>
    <t>Araujo, Francisco</t>
  </si>
  <si>
    <t>Francisco Araujo</t>
  </si>
  <si>
    <t>…su atención y de su estudia. Se sacó una cop a, cabeza completa; adjudicándole otro estuche de cuarto orden con doe y ahora veremos si se egecutó con cuidado y exactitud. láminas: D. Francisco Araujo, D. Manuel Mosquera, D. Manuel ,,Toda la sala estaba sembrada, como ordinariamente sucede, de obras Ca nbos y Senes, D. Manuel García, D. Eulogio López, D. Cirios de escultura: el planisferio ocupaba la parte del techo que a¡ entrar se Esteves, D. Josef Moren…</t>
  </si>
  <si>
    <t>Araujo, Josef María</t>
  </si>
  <si>
    <t>Josef María Araujo</t>
  </si>
  <si>
    <t>…n infantería ligrra de Gerona, con el sueldo que disiruta. Rorda á D. Tomas Ramírez, comandarte de ir.fantet a. Huelva á D. Pedro Doa, espitan de infantería graduado da te Ser a á D. Josef María Araujo , com odante d.- infarlería. niente coronel y de la extinguida primera div.tum de granaderos pro Granada á D. Ignacio Caveto,comandante de infununa, vinciales , coa los 4$o rs. al mea que guza en provincia. Ecija á D. Juan Basson, comandante de iníaster a.</t>
  </si>
  <si>
    <t>Araujo, Juan Martinez</t>
  </si>
  <si>
    <t>Juan Martinez Araujo</t>
  </si>
  <si>
    <t>…el de Tuy 4 D. Josef Rivera y Gil: para el de Santiago 4 D. Bles Olo y de Sanz , donde se bailarán juegos completos en pasto y í la rústica. res; y para el de Sta. María de Sar 4 D. Juan Martinez Araujo. nota. En la gaceta del 28 de Enero al principio de la col. 4.a a dice haberte dado cuenta en las Cortes de una exposición del coronel Los dueños de los bultos presentados con sello acudirán mañana 6 del regimiento del Infante D. Cirios, acompañando un crédit…</t>
  </si>
  <si>
    <t>Araujo, Matías de</t>
  </si>
  <si>
    <t>Matías de Araujo</t>
  </si>
  <si>
    <t>…or sino 4 nutras, lle torres 766 rs. 7 9 mrs__La «le la viuda y hetederos de D- Domingo vando la cabeza caída, 7 deudo suspiros como si hubiesen querido es jU Otero 69: rs__ La de D. Matías de Araujo ó sus herédete* 118 rs. pirar el aire que circundaba 4 sus superiores. A las preguntas que les v-La deD Domingo Mateus 221 rs. y 7 mrs.—La de Fr. Juan «le hacían loe sedarte respondían con el grito: eh! eh! que según conjetu Ktsus María 76 rs—La del P- procur…</t>
  </si>
  <si>
    <t>Arb</t>
  </si>
  <si>
    <t>…la cuestión, de h -r terpelación que como individuo de la com smn acaba de dirigume mi abogado por ia Francia mis.ii.;, y &lt;is hacer v-.r que .0 último qu- c-.o* digno compañero el Sr. Arb(i iies, me ob i. a '■ contestar á las princi perderá* es ei din precioso ese -a i herrad, recuerdo ia h.st.-ria c-, ¡r *. pales objeciones que ha hecho contra esta medida. Ierra , y entro en un campo rr.u.ho mu vasto que el qu* :.r tr.u :a Su iño-ía ha emplea…</t>
  </si>
  <si>
    <t>Arce, Manuel Perez de</t>
  </si>
  <si>
    <t>Manuel Perez de Arce</t>
  </si>
  <si>
    <t>…nsula, de donde puede recibir toda especie La comisión de Diputaciones provinciales en vista de la solicitud de protección y cuanto necesite para dar en esta provincia el mayor de D. Manuel Perez de Arce, vocal de la diputación provincial de San impulso i la ilustración, artes, ciencias, agricultura, industria y co tander , para que se le exonere de este encargo, opinaba que debía acmercio, é igualmente leyes, reglamentos 7 ordenanzas particulares coa cederse…</t>
  </si>
  <si>
    <t>Arciidlc</t>
  </si>
  <si>
    <t>…iéndose hecho la pregunta al Congreso de si .e aprobabi ¡ &gt; qu í frutar ínterin se le colocaba. Las Cortes oyeron con agrado una exposición del regimiento pro había manifestado el Sr. Arciidlc» , se dc-lar.. , r la -fcro.at ■■a. vincial de Mondoñedo, manifestando sus sentinventos patrióticos, y que A 1» comisión de Legislación &gt;e paso ur. cepos.».. :: de D Pedro Cslá pronto .1 sacrificarse por las libertades públicas Laliave, solicitando la dísona…</t>
  </si>
  <si>
    <t>Arcíielle</t>
  </si>
  <si>
    <t>…s al cu*r¡v» dr ¿ ■&gt; habian ó no de abandonar ó enagenar. de Co'ps al carceleio , d-jandole en la clase de cesante con su »ue... El Sr. Pumarcjo para deshacer una equivocación del Sr. Arcíielle* en ptemio de sus distinguidos servicie» y ancianidad. dijo que la compañía mora no era tal compañía , sino un pelotón de Se mandaron pasar a la comisión de Gj.rra dos adiciones H:1 stgente; y que en cuanto á las fijas eran forzadas, y el Gobierno no de fior…</t>
  </si>
  <si>
    <t>Arco-Agüero, Felipe</t>
  </si>
  <si>
    <t>Felipe Arco-Agüero</t>
  </si>
  <si>
    <t>Gaceta de Madrid n.º 82</t>
  </si>
  <si>
    <t>…conocida la dificultad de tener la estadís se un capitán en la compañía, á cuya cabeza habia de estar perpetua tica de una Nación como corresponde. El censo í que se ha refe mente D. Felipe Arco-Agüero. Quedó aprobado el dictamen en esta rido S. S. es tan inexacto, que lejos de dar un resultado aproximado, términos. so te verifica asi. Por todas estas razones creo que el Congreso está La comisión de Guerra , en vista de la solicitud de varios sargento) en e…</t>
  </si>
  <si>
    <t>Arcos, Juan</t>
  </si>
  <si>
    <t>Juan Arcos</t>
  </si>
  <si>
    <t>…a satisfacción las funciones de ayudantes de campo. Lea oficiales D. Vicen dado nueras pruebas de su pericia y arrojo; constipando con oportuni te Carsi, D. Josef Llanos Carranza, D. Juan Arcos , D. Pascual Ru dad para obrar ranas compañías del primero y segundo batallón de la bio, y otros cuyos nombres ignoro, me acompañaron con ios mejore* milicia con una pieza de artillería, mandada por e¡ capí Un O. Javier deseos á todas partes; siéndome sensibl…</t>
  </si>
  <si>
    <t>Arctielles</t>
  </si>
  <si>
    <t>…e no hacerlo que fuese des terse decir ninguna cosa nueva, porque todaa se han presentado, ya bajo aprobado. esta forma, ya ba*r&gt; la otra; y creo que en esta parte tienen todo* El Sr. Arctielles: Nunca crei que en la discusión de ua dictamen los Sres. diputados formada su opinión. Ahora bien, ¿de que se tra se tratara so'o de impugnar un voto particular; peto puesto que el se ta* Podremos decir como dijo el dignísimo diputado el Sr. Calatra- fior pre…</t>
  </si>
  <si>
    <t>Arcürlb</t>
  </si>
  <si>
    <t>…dancia militar de la provincia de labrasen :.__ti comandan procuraría conc u&gt;rlo euanto ante* fuese posible. te militar de Ktus roe dice con esta fecha lo qu: cop o: - Tengo !a El Sr. Arcürlb*: Mu parece qu: la idea del Sr. Galrano no está sat'sfaccion de poner en not cía d- V. S. la derrota sufr-da ror los fac en contradicción con la qu: ha manifestado el Sr. Canga. De manera ciosos en la villa de Vifo's é mmecbacones de esta en &lt;1 día de .-y r,…</t>
  </si>
  <si>
    <t>Are</t>
  </si>
  <si>
    <t>Gaceta de Madrid n.º 335</t>
  </si>
  <si>
    <t>…en dis Art. 3a. » A los coroneles ausentes He sus cuerpos ó sin mando posición de emprender su marcha con este orden. por estar retirados ó supernumerarios acompañará un teniente coronel Are. 39. « Romperá la marcha la compañía de preferencia det re con cuatro compañías *ia insignia ni ilsvar enlutados los instrumento* gimiento de caballería nombrado, precedida de un cabo y cuatro ba militares. tidores ; á ella seguirá el teniente general, marisc…</t>
  </si>
  <si>
    <t>Are-, Josef Ramírez</t>
  </si>
  <si>
    <t>Josef Ramírez Are-</t>
  </si>
  <si>
    <t>…rtes oyeron con agrado, y acordaron se tuviese presente en Moldavia y la Va’aquia. Se acequiaba que el Einp' rador dtbia .legar á la discusión i que se refería , una expos&lt;cion de D. Josef Ramírez Are- "VVilnacl 17 de Mayo. Su salida de la capita podrá mirarse como la llano, D. Carlos Miguel Yanguat y D. Ramón Carreño, oficiales del señal de la guerra. No s: sabe que la retirada de los turcos haya ¡ cas osegundo resrim ento de la guardia Real, pidiendo se d…</t>
  </si>
  <si>
    <t>Areiiano</t>
  </si>
  <si>
    <t>…n llegado 4 nuestros oidos ciertos clamores públicos , indignos tinción de ia deuda de la Nación. de hombres libres y criados en el centro de la Europa cristiana y civili Otra del Sr. Areiiano, que decía asi: » Cowstaud» y tiendo públi zada, que se han levantado contra nuestra causa. ¡Pero qué! ¡los grie co y notorio qu.’ en la ciudad de Lucena, provincia de Córdoba, don gos solos entre todos los europeos debían ser excluidos como indignos de el es…</t>
  </si>
  <si>
    <t>Areiiellcs</t>
  </si>
  <si>
    <t>…tas duda» presentadas por el avcrigujcicnr» de cosa» notorias , y presentar sus rvsuitac.i* á laso. : . Crédito público, resueltas ya por las Cort-s, &gt; ■ p nabi que debí.; oírse É Sr. Areiiellcs dijo que en la epoca en qu; ocurrió ia tent-t va tobre el particular á la expresada junta, y que s n p;¡-;uic.o de esto se de Vidal se hallaba en una situación en que ro pudo ’ aber ur do no llevase i efecto lo decretado por lasCortes i prop.sta de la m sitia…</t>
  </si>
  <si>
    <t>Areílino, Antonio Ramírez de</t>
  </si>
  <si>
    <t>Antonio Ramírez de Areílino</t>
  </si>
  <si>
    <t>…muchos diputados que lo fuesen. Córdoba. D. Angel Saavedra Ramiriz de Baquedano, D. Josef Me- El Sr. duque del Parque: El art. 95 de la Constitución dice: •» Los lcnJez Fernandez, D. Antonio Ramírez de Areílino y D. Agustín secretarios del Despacho, ios consejeros de Estado, y los que sirven em López del Baño. La comiaion opinaba que debían aprobarse los poderes pleos de la casa Real no podrán ser elegidos diputados de Cortes.” de estos Sres. Aprobado. Por este artículo se deben…</t>
  </si>
  <si>
    <t>Areíúlies</t>
  </si>
  <si>
    <t>…do arbitrios para sus gastos municipales, opinaba medio de una empresa particular la impresión del Diario. que podía autorizarse á la diputación provincial de la misma para que El Sr. Areíúlies d jo : No pensaba hablar sobre este asunto; pero en vista de ios gastos de aquella villa, y sin sujeción á antiguos regla como ver que algunos Sres. lo han hecho ya, unos en pro y otros en con mentos, decretase lo mas conveniente. Apr. bado. tra, haré algunas…</t>
  </si>
  <si>
    <t>Aréjula, Juan Manuel</t>
  </si>
  <si>
    <t>Juan Manuel Aréjula</t>
  </si>
  <si>
    <t>…cio voluntario , por si te hallasen en de los Sres. siguientes; D. Valentín de Nicolás, D. Valentín Rec-.o, disposición , y 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t>
  </si>
  <si>
    <t>Aréjula, Juan Manuel de</t>
  </si>
  <si>
    <t>Juan Manuel de Aréjula</t>
  </si>
  <si>
    <t>…l DrVs» que siguen: rio nuevo , en concepto de injerknos. En sa vista se reunió el ¡uredo, 1.a clase de repartimiento............ 150».. roo compuesto á: los ser ore&gt; siguiente. : D. Juan Manuel de Aréjula, Don a.a id............... no.... 80 Francisco Martínez Marina, D. Mivuei Ripa, D. Jaime Ruiz Abreu, g.a id............................................... 90.... 60 D L ino Campos, D Hifiiio Antonio Lócente, D. Pío Santos, Don 4.* id..................... do..…</t>
  </si>
  <si>
    <t>Gaceta de Madrid n.º 280</t>
  </si>
  <si>
    <t>…la, anuncio i V. K. que en la madruga mona'; D. Benito Ortega Romanillos; D. Gonzalo de Cárdenas; Don da de este dia he sorprendido tin completamente é 300 facciosos que Juan Paz; D. Juan Manuel de Aréjula; D. Manuel Mermo, y Don ae hallaban en este pu.blo, qu- de ellos solo viv-n 47 prisioneros, y Marcos Menezo. como unos 20 qu: tengo cnceirados en la torre da la iglesia: todos loa Habida la c nt -rencia , declaró no haber lugar á la formación de demas absolut…</t>
  </si>
  <si>
    <t>Aréjula, León</t>
  </si>
  <si>
    <t>León Aréjula</t>
  </si>
  <si>
    <t>tud de D. León Aréjula, reclamando el pago de )9 doblones que se te que esta haya presentado su informe, dijo que el mismo argumento di adeudan por haber asistido en varias epidemias, como comisionado por que se bab:a valido ci Sr. Cuadra para manifestar las razones por qm el Gobie…</t>
  </si>
  <si>
    <t>Arel</t>
  </si>
  <si>
    <t>…iente al Gobierno para que informase en vist» » SS. MM. y A A. continúan sin novedad en su importante salud.” &gt; de los documentos correspondientes. Después de haber manifestado el Sr. Arel laño que en efecto esto* Los Sres. secretarios de la Cortes avisan al del Despacho de Gracia sacerdotes estaban «n la mayor indigencia por no haber cobrado lo que y Justicia que la sala de segunda instancia del tribunal especial de las les pertenecía, se acor…</t>
  </si>
  <si>
    <t>Arellael, Ramírez de</t>
  </si>
  <si>
    <t>Ramírez de Arellael</t>
  </si>
  <si>
    <t>…aoo zurrones de aún que tenía á bordo. tos de igual naturaleza. Aprobado. Las últ mas noticias que tenemos de Nueva-España alcanzan hasta La misma, en vista de una proposición del Sr. Ramírez de Arellael 1 ; del pasado; pero aguardamos por momentos ia llegada de varios no para que se recomendase al Gobierno la continuación de las obras buques que estaban pira sa ir de Veracruz. Estos nos sacaran de la del puerto de Málaga, señalando A este fin las cantidad» n…</t>
  </si>
  <si>
    <t>Arellano</t>
  </si>
  <si>
    <t>…edimientos militares D. Santiago Pifieiro, capitán de artillería. tisfacer el derecho de patente. A la comisión Eclesiástica se pasó una exposición del ayuntamiento Se leyó la del Sr. Arellano, relativa á que esté sujeto á la pena de de Bilbao en solicitud de que se le aprurbe la imposición de medio muerte el que dijese viva el Rey absoluto; y si fuese extrangero, que sea real en cántaro de vino, y dos rs. en cada arroba de jabón y aceite echado de…</t>
  </si>
  <si>
    <t>Arellano, Joaquín</t>
  </si>
  <si>
    <t>Joaquín Arellano</t>
  </si>
  <si>
    <t>…lique por edictos en di á quien iba dirigida por el correo: en Pamplona á D. Vicente Ciriza, cha ciudad, y se inserte en la gaceta de Madrid para que llegue i no y en esta coite i D. Joaquín Arellano , oficial del correft general; ba ticia de los interesados; advirtiendo que el término sefialado para li lo el supuesto que se han tomado todas las precauciones para que no sea quidar los forasteros et el de 33 días contados desde i.° del corriente. presentad…</t>
  </si>
  <si>
    <t>Arellano, Jostf Remírez de</t>
  </si>
  <si>
    <t>Jostf Remírez de Arellano</t>
  </si>
  <si>
    <t>…sin atender é que sus es había sido electo para capitán de la primera compañía de voluntarios, critos pu-den producir mayores mates que las bayon-ias ti- tos enemi por vacante de D. Jostf Remírez de Arellano, ascendido é comandan gos del sistema constitucional. La imparcialidad \ la buena crianza , ti te, al conde de Rio Molino; y el escuadrón de caballería había elegido decoro y el amor á ia justicia ton calidades de que las mas veces prescin por comandante ai c…</t>
  </si>
  <si>
    <t>Arellano, Ramírez</t>
  </si>
  <si>
    <t>Ramírez Arellano</t>
  </si>
  <si>
    <t>…de 115, repar da Mar Unet, calla del Gallo. tiéndose los restantes entre los Sres. Becerra, Marchámalo, Viliaboa, Villanueva , Soria, Cano y Arellano. torntu. Lo fue en seguida el Sr. Ramírez Arellano por 88 votos de 113, repartiéndose los restantes entre los Sres. Becerra, Viliaboa , Romero, Lisboa 14 de Febrero. Marchámalo, García, Domenech y Ladrón de Guevara. Sesión de CoaUt Jet xa. Después lo fue el Sr. González (D. Diego) por 84 votos de 111, Cata se…</t>
  </si>
  <si>
    <t>…ntar fe dt vida también legalizada y firmada por loa mismos, sin gulares secularizados.” Primera lectura. necesidad de exhibir ei reconocimiento de las acciones ni ds expresar Del Sr. Ramírez Arellano: » Para aliviar á la Nación de las enor sus núincios.TampAco los exhibirán los patronos ó administradores de mes cargas que pesan sobre ella, como asimismo por el bien que re obras pias , cofradías ú hospitales, pues bastará que entreguen sus po sulta de que…</t>
  </si>
  <si>
    <t>…si pues por estas razones no apruebo el dictamen de la comisión. ei el regidor obró como alcalde constitucional. El Sr. Canga.- Esta propuso como base de la reforma de Hacienda El Sr. Ramírez Arellano: No resulta sino qu«i el regidor y el al la suspensión del decreto de división territorial: pero el Congreso tuvo calde de barrio se presentaron en la casa del exponente, y pidiendo es á bien no admitir la propuesta , y en su consecuencia se cumplió dicho te…</t>
  </si>
  <si>
    <t>…la dis El Sr. Adan dijo que aunque no era su ánimo insultar á la comi cusión de los votos particulares. sión por el tiempo que se había pasado desde que fue nombrada para este El Sr. Ramírez Arellano dijo qne sin embargo da estar conforma encargo, no podía menos de ncoid.tr á las Cortes que sino se hubieran en gran parte con lo qua exponía la comisión en el preliminar de se prologado sus sesiones un mes mas, se hubiera concluido la legislatu dictamen , no…</t>
  </si>
  <si>
    <t>Arellano, Ranrrez de</t>
  </si>
  <si>
    <t>Ranrrez de Arellano</t>
  </si>
  <si>
    <t>…s los discursos y todas las teorías del mun mirarían con la confianza que tan necesaria era para tales cargos. do; y por lo mismo aunque la medida de que se trata se suavice al El Sr. Ranrrez de Arellano convino con el Sr. Seoane en que muchos gún tanto, creo que debe aprob rse. de los jueces no habían correspondido i los deseos de la Nación; pero El Sr. secretario de Estado-, el Sr. preopinante ba defendido la me opinó que ’a medida de trasladarlos a otros p…</t>
  </si>
  <si>
    <t>Arellino, Remires</t>
  </si>
  <si>
    <t>Remires Arellino</t>
  </si>
  <si>
    <t>$ir ydiencn* y jaece* de primera initancia, dijo el Sr. Remires Arellino paisano que no* hiciese fuego, ni pueblo que hubiese tocado i somat® do rabia qué razón habia tenido la comisión para excluir á los jue- por segunda vez, no obstante la amenaza que con pena de la vida ira ]n¿e primera instancia del servicio en la milicia, y q…</t>
  </si>
  <si>
    <t>Arena</t>
  </si>
  <si>
    <t>…algunas bandas poco considerable! de facciosos, y de manifestar la apre vor de un pueblo desgraciado, que redama su independencia natural, hensión que hizo en la segunda borda del almirante Arena, entre la oprimida por una nación poco menos que salvage , y cuya existencia Aburres baja y Ochagavía, del que fue coronel del batallón de la mi tiene tan poca analogía con la conservación del género humano, que licia activa de Sigiienza y otros dos compañero…</t>
  </si>
  <si>
    <t>Arena, Rsizti</t>
  </si>
  <si>
    <t>Rsizti Arena</t>
  </si>
  <si>
    <t>…tica opinaba no debían hac r nueva oposición í plaza» de Ciprllanias de anas indecente, y con una «mpaiítuea que deia vislumbrar tus des-oa ejército para ser agraciados con ellas D. Rsizti Arena» (debió decir de qua no CXsMan sobre la tierra ni aun lo* nombre* de libertad, Cont- Cadenas) y D. Josef Luis Mariscal de Villegas, regulares » culartfaüos, titueimr, representación nocional, Rey constitucional. La Cotidiana, en atención a haberlas ya obtenid…</t>
  </si>
  <si>
    <t>Arenales</t>
  </si>
  <si>
    <t>…11. NOTICIAS BRTR ANGERAS. dole precedido antes el general Canterac con una división combinada pata hacer su reunión en Jauja, y obligar á evacuar aquellas provincias rx ancla. al general Arenales que las ocupaba, como en electo se verificó. San Martin ocupo la capital el 9, y la caballería el día anterior, j Parii 36 de Enero. pocos días después se le incorporó Arenales. Como á los 40 volvió Canterac con una fuerte división, quedando el virey en Jauja…</t>
  </si>
  <si>
    <t>Arenas, Agustín</t>
  </si>
  <si>
    <t>Agustín Arenas</t>
  </si>
  <si>
    <t>…í «i pat rio inspirar daewihan i los turcos. hospital de la Misericordia. Algunas canas de Crmsuntinopla del i $ de Enero dicsn que el A la de Guerra se pasó una representación de D. Agustín Arenas, príncipe Ali, i quien se suponía muerto del cholera mortus, esta vivo vecino de Murcia, solicitando que su hijo sea exceptuado de entrar en 7 sano- ¿ "■ _ raerte para el reemplazo del egércilo. NOTigt^S DS ESPAÑA. A la misma otra exposición de la diputación…</t>
  </si>
  <si>
    <t>Arenas, Leoncio Nufiez de</t>
  </si>
  <si>
    <t>Leoncio Nufiez de Arenas</t>
  </si>
  <si>
    <t>…olíticas; despases de lo cual reduce á tres puntos y Martínez de le Rosa. su consulta: i.° Si se ha observado el orden debido en los procedimien Se dió cuenta de una exposición de D. Leoncio Nufiez de Arenas, tos seguidos sobre la pastoral de 5 de Enero: *.° Sobre la deporta administrador de correos de is ciudad de Jiuete, presentando al Con- ción &lt;M obispo desaprobada por S. M., y Cuya orden para que aquel o una memoria sobre varias reformas de que es susceptibl…</t>
  </si>
  <si>
    <t>Arenas, Leoncio Nufiez y</t>
  </si>
  <si>
    <t>Leoncio Nufiez y Arenas</t>
  </si>
  <si>
    <t>…DE t8aa. --- ------------1~---- ----------------------------------------------NOTICIAS DE ESPAÑA. . Le comisión primen de Hacienda, habiendo examinado ha obser vaciones hechas por D. Leoncio Nufiez y Arenas, relativas 4 mtyaeet Barcelona ty de Maye. la.reata de correos, creía conveniente que dicho empleado te presentase En el Disríe eemetítaeimat «e lee lo que sigue: d como qne venía 4 la comisión para oirle sobre el particular , y esperaba que las Corte de Madr…</t>
  </si>
  <si>
    <t>Arengo, Manuel</t>
  </si>
  <si>
    <t>Manuel Arengo</t>
  </si>
  <si>
    <t>…Merino , D. Josef Dmetrío Rodríguez , D. Do sai de a.ju con este objeto c. ino á as once de la mañana. í-i coman mingo Fernandez \ngu!o, D. Pedro Matute, D. Jos f Antonio Pondante D. Manuel Arengo, qu; iba á la vanguardia con 24 soldados del zoa , D. Josef María Puente, D. Marcos Antonio Menczo, D. Juan b¡: ilion d*«liarb.isiro , se encontró con los facciosos en Coll-sacreu Francisco Travesedo y D. Carlos González Llanos. sobre Sagit c.-, y los peisigu…</t>
  </si>
  <si>
    <t>Areor, Ramón de</t>
  </si>
  <si>
    <t>Ramón de Areor</t>
  </si>
  <si>
    <t>1910</t>
  </si>
  <si>
    <t>…úmero de 1500, comandados por elcabecil'a Chambo, ocupaban i TRlBUNAI ES. Gherta, en cujo punto entró, encontrándolo abandonado de los habi Por el juzgado de primera instancia del Sr. D. Ramón de Areor, tantes , qu - noticiosos de la llegada de los valientes te habian retirado y escribanía cartularia d- D. VaIdom:ro Moral.‘da, se citan siguiendo i los montes con los facciosos; pero qu: habiéndolos llamado, volvie autos á pedimento de D. Tomas de Velasco , c…</t>
  </si>
  <si>
    <t>Areos, Rtmon da</t>
  </si>
  <si>
    <t>Rtmon da Areos</t>
  </si>
  <si>
    <t>…uel Pareja, D. Josef bieran'quedado lodos prisioneros, sin qus de nuestra parte hubiese la dcSandorat y D Josef Lop¡z de Artibe. menor pérdida. Habiéndose dado sentencia por el Sr D. Rtmon da Areos, mr‘«* ARTICULO DE OFICIO. trsdo honorario de I* audiencia territorial de Coti a Is Nu.va, t ¡o. s El Sr. secretario del Despacho de la Gobaraacioa de Uluamat dice de primera instancia en «su corte, *a la causa que se tigu&gt;« en v. '.ud</t>
  </si>
  <si>
    <t>Arep, Gregorio Jiménez de</t>
  </si>
  <si>
    <t>Gregorio Jiménez de Arep</t>
  </si>
  <si>
    <t>…inr , Han- sus mu ver-s Doña María de Ocampo y Doña Isabel de Chaves, va t-is ) G -t. Lo» o p nv.ro» lo declararon » d cioso y subversivo en can! » por fa Iromiento del presbítero D. Gregorio Jiménez de Arep* ni r sir.d., y -n tercero el *r. Santos , aHso viéndole ei Sr. 1 c.sta cHa.a , pu-d^n acudir á deducirte en el juzgado de primera instancia de en ciai i-i !a nota de subversivo; p.ro con t.njndole como sedicioso la vi ha dt Ocara y su partido , por la escrib…</t>
  </si>
  <si>
    <t>Aréque, Juan Manuel de</t>
  </si>
  <si>
    <t>Juan Manuel de Aréque</t>
  </si>
  <si>
    <t>…Cré- tínez Orinaga; D Pedro de Alvaro Delgado; D. Antonio Puigblanch; dito público procederá inmediatamente á la extinción de los crédito* D- Valentin de Nicolás; D. Antomo Rcgás; D. Juan Manuel de Aréque tenga en caja, ejecutándolo indefectiblemente cada mes con los qu# jula y D. Josef Radon. lleguen á sus mano* , y haciéndolo notorio al público por medio de loa Habida la conferencia, resultó por unanimidad aso haber lugar 4 la p&lt; riódicot. a.° Igualmente pro…</t>
  </si>
  <si>
    <t>AreUaao, Remiras</t>
  </si>
  <si>
    <t>Remiras AreUaao</t>
  </si>
  <si>
    <t>…r no haber registrado la historia para ignorar que el modo da establecer militarmente. el despotismo ha sido sujetar á una 1er marcial á los ciudadanos. Se concedió permiso al Sr. diputado Remiras AreUaao pan vol El Sr. Infante: La comisión esté de acuerdo con ios principios ge ver á su provincia, y permanecer an ella por al tiampo da trae meen nerales que ha tentado al Sr. Galiaoo; para ha extrañado que se dé i con el objeto de recobrar su talud. estas ordtna…</t>
  </si>
  <si>
    <t>Arevalo, Vicente</t>
  </si>
  <si>
    <t>Vicente Arevalo</t>
  </si>
  <si>
    <t>…alencáa'sBaronde Campo Oli- fantería.=: Vicente Ros.sGenaro RoIdati.=Francisco Mnriman y ServaesFrancisco Baldos-sFrancitco de Paula Juno.sVicente Vergaras rasBeaito Izquierdo^=El teniente D. Vicente Arevalo^sDel comer AnastasioCarsi.s Adriano García^sjoaquin BenaventesBonifacio Mi- cio Francisco Llove.=:Drl comercio Josef SapckisJostí CarboadLs randa^=TadeoBorras.sVentura María AseoaiseAlonsoGuzman de Vi Vicente Ramos —Pascual Blanco^cJuaD Alvarez Se Córdoba, te…</t>
  </si>
  <si>
    <t>Arg</t>
  </si>
  <si>
    <t>…de suspender para continuarla el día que ei ir. pre bailarín ciudadanos que por su dispos'cion sean acreedores al desempe sidente señaleño de los destinos de mas consideración. El Sr. Arg selles manifestó que jamas se le había pasado por la ima El Sr. Falcó desconociendo las ventajas de esta proposición ha que ginación hacer una inculpación sem jante á la mesa rido demostrar que las Cortes no tienen íacutsd-s para adoptar esta me En seguida se…</t>
  </si>
  <si>
    <t>Argaix</t>
  </si>
  <si>
    <t>…e la familia Real, y le hizo con el mayor afec volvieron é'Pete «hurgo, desde donde á principios de Febrero volverán to diferente* preguntas (amillares, á todo lo cual contestó el Sr. Argaix cqn el Emperador Alejandro al cuartel general de Minsk , en el cual de un modo un satisfactorio, que no podtá menos S. M. I. de haber permatti’C'-tá V M- I. por algún tiempo. formado la mejor idea de tu carácter y disposiciones. En seguida fue L« fuerzas prin…</t>
  </si>
  <si>
    <t>Argficllet</t>
  </si>
  <si>
    <t>…ar el estado político de le Nasiou el Sr. Vega Infanzón ; para la de Jos términos que solicitaba este interesado, por no ser conforme 4 I4a Sanidad, en lugar del Sr. prmideaie, al Sr. Argficllet; pera le especial bases de este establecimiento. Aprobado. encargada del Código de procedimientos militaros al Sr. Infante , y pa Se mandó pasar á la comisión de Hacienda el plan de contribucio ra (a de Premio* al Sr. Riego. nes presentado 1 Jas Cortes por D.…</t>
  </si>
  <si>
    <t>Argi</t>
  </si>
  <si>
    <t>…de las autoridades que tienen mtetes, y es confor de m:s operaciones. me á sus opiniones el ocultarlos de la viita de las tropas constituciona- Ei 'r. presidente: A la cuestión . Sr. Argi¡ lies. le.? Ya se ha rl;cho en este mismo sitio que mientras hubo en Lucena El Sr. Argürlhs: A ia cu.stior. voy, ;r. presidente: pero esta es un buen ayuntamiento fue const tucional, y cuando a este le retmp'a- muy importante. zó uno malo , se corrompió el es…</t>
  </si>
  <si>
    <t>Argi'ietlcs</t>
  </si>
  <si>
    <t>…e cubrirá con el producto de la bula de la cruza tadores por aclamación y á propuesta del gafe político. da , sin perjuico de la aplicación de su quinta parte al pago de los in El Sr. Argi'ietlcs: Este asunto se hall* resuelto por la ¡unta prepa tereses de la deuda nacional, y sin que por este afio económico se d.ba ratoria , la cual declaró nulo* los poderes de los electos diputados por hacer novedad en esta parte. Art. 6.° Por ahora y hasta que dich…</t>
  </si>
  <si>
    <t>Argii</t>
  </si>
  <si>
    <t>…contra el Estado expedi siguientes : desde el año de 1814 hasta el.fin de 1819. dos por el Crédito público.” El art. g.0 fue aprobado después de una ligera discusión en los tér El Sr. Argii:lles manifestó que debería ponerte con mayor claridad minos siguiente* : « Se declara que en pago de los referidos alcances, ó el artículo , expresando qué clase de contribuciones eran las que se po séase descubiertos de los pu- blos y fondos de propios á fav…</t>
  </si>
  <si>
    <t>Argii-les</t>
  </si>
  <si>
    <t>…e con esto t vo recomendaba á las Gut s los individuos de d-cha milicia. Las mis una prueba d - m: nobleza. mas lo oyeran con satisfacción, y mandaron que se hiciese mención en El Sr. Argii-les: H: p*d do la palabra pira que qu-d* consignada ei asta. mi Opinión en este asunto. Yo apoyo ia operación del rtnprésl lo ; pe Cont.r.uó la discusión del plan de contribuciones. ro sepan los Sr:s. diputado, que no ío h-*o porque 110 haya rico.iocido Penat dt…</t>
  </si>
  <si>
    <t>Argii.-iics</t>
  </si>
  <si>
    <t>…tión está decidida , y que se debe aprobar ei coto del Sr. Homero. los KK. obispos y arzob spos no ordenen ha»ta qu: el Congreso huya Mi Sr. Adan : 1.a comparación que ha hecho el Sr. Argii.-iics me pa decretado el número de c.crigos que ha de haber. re.; que no es exacta , porque el matrimonio no tiene suplente, y Caa- Su autor la apoyó m.nií-stando lo n.-cesjrio que era el qa: las Cor ni.iño le tema. Asi pues, en mi concepto la elección fue válida,…</t>
  </si>
  <si>
    <t>Argíi.-lle, Canga</t>
  </si>
  <si>
    <t>Canga Argíi.-lle</t>
  </si>
  <si>
    <t>…robarse el dictamen de la vencido de que debe aprobarse el dictamen que se discute, sino tam comisión. bién porque de él resulta que se ha faltado á la letra de lo que previene El Sr. Canga Argíi.-lle* manifestó los motivos que habia tenido la la misma Constitución. comisión para proponer tu dictamen sobre este asunto en los términos El Sr. Martínez Velasco indicó que no creía fundado el dictamen que lo había hecho, siendo uno de ellos el que no podía ser…</t>
  </si>
  <si>
    <t>Argii.jles</t>
  </si>
  <si>
    <t>…secundarias, ó lo que es lo mismo, y El Sr. López d.-I Baño dijo que la comisión retiraba este articulo, y porque las leyes fundamentales no pueden trasladarse al código donde el Sr. Argii.jles manifestó que lo apoyaba. . : , hay leyes secundarias. Dícese que es inútil el artículo; yo no lo creo El Sr. Ferrer ( D. Joaquín): Mi horror 4 Ta palabra policía ms •si, porque cuando se expresa ’&gt; ni se podrán mezclar en ia conducta obliga 4 impugnar este a…</t>
  </si>
  <si>
    <t>Argiieiies, Canga</t>
  </si>
  <si>
    <t>Canga Argiieiies</t>
  </si>
  <si>
    <t>…n Josef Sánchez , D. Antonio tados por las provincias de Valencia , Cataluña y Asturias. González Aguirre ,D. Joaquín de Puente y Ríos. La comisión, des Se empezaron á leer por el Sr. Canga Argiieiies los dictámenes de pués de hqber examinado los poderes y el acta de elección, opinaba la comisión de Poderes acerca de los que se habian presentado en la que debían aprobarse; y que por haber fallecido Q. Angel Caamaño, primera junta preparatoria; y habiéndose…</t>
  </si>
  <si>
    <t>Argiieiies, Ramón Adan y D Josef Canga</t>
  </si>
  <si>
    <t>Ramón Adan y D Josef Canga Argiieiies</t>
  </si>
  <si>
    <t>…men de ia comisión. Taro. La comisión opinaba debían aprobarse los poderes de D. EzeAsimismo fueron aprobados los poderes de los Sres. D. Lorenzo quicl Diez. Aprobado. Villanueva, D. Ramón Adan y D Josef Canga Argiieiies, dipu Sevilla. D. Cayetano Valdés, D. Juan Josef Sánchez , D. Antonio tados por las provincias de Valencia , Cataluña y Asturias. González Aguirre ,D. Joaquín de Puente y Ríos. La comisión, des Se empezaron á leer por el Sr. Canga Argiieiies los dictámenes de…</t>
  </si>
  <si>
    <t>Argiieiles</t>
  </si>
  <si>
    <t>…do »irvicios en el. ; Despurs de algunas ligeras reflx'ones que hicieron los fres. Ferrer, Fl Sr. F- rrer d jo que siendo estas compañías ocho, resultaban 6 ca Infante y Canza, el Sr. Argiieiles manifestó que no port.a m. nos de re pitanes, 15 teniente», 1 5 subteniente» y 269 h&lt; mhr.» ce tu pa , con comendar i la» Cortes al carcelero que habia servid" nía, 40 años en el tando con 16 j presidiario», y que la com s-on re había coníoimado coa cuai tel…</t>
  </si>
  <si>
    <t>Argíieiles</t>
  </si>
  <si>
    <t>…artículo tal como se halla debe comprender La com sion de Hachada pr:,raió su d¡.timen sobre una adíelo* á personas que no estando sumariadas tuvieron pa-te en ii glorio,» ac del Sr. Argíieiles al proyecto s.bre ias rsclamrc.on-s de licuaos subción del f de Julio. Las Cortes, al conceder la honran distinción de d tos españoles contra el Gob truo franc:» , que dec.a a, : Los ere-: t * que trata el artículo, deben ser muy circunspectas en excluir i un…</t>
  </si>
  <si>
    <t>Argiiel'es</t>
  </si>
  <si>
    <t>…do tus servicios, y pi bondad de disimular los defectos de explicación en que haya podido m- diendo se le conceda su retiro con arreglo á la ley de 10 de Enero currir. de 1810. El Sr. Argiiel'es: Yo accedería gustoso i lo que ha dicho mi díg- A ia de Crédito público una exposición de D. Joaquín Covarruno compañero el Sr. Galiano, si pudiese creer que el C ngreso haba bias en solicitud de que se le paguen por dicho establecimiento tenido el mas mínimo…</t>
  </si>
  <si>
    <t>Argiielies</t>
  </si>
  <si>
    <t>…s prestaciones sefioriate* El Sr. Fuentes del Rio leyó un discurso en que impugnaba el voto habia algunas que eran solo a'odiales, siendo las otras reversibles 4 la particular del Sr. Argiielies , y las dos proposiciones que hacia este Se Nación, cuyas calidades resudarían efectivamente de los títuloi de ad fior individuo de la comisión ai final del mismo. Decía en su discur quisición , y que pira esto era preciso aclarar el sentido del art. g.0 del…</t>
  </si>
  <si>
    <t>Argiielle</t>
  </si>
  <si>
    <t>…) , R co y Valdés Bustos. convenía la manifestación de toda* laa providencias del Gobierno. Por El Sr. presidente anunció que mañana te discutiría un dictimes di lo que he oido al Sr. Argiielle» parece que no quiere que se residencio Is comisión de Visita del Crédito público, qne estaba sobre le mesa des al Gobierno, ó que las Cortes averigüen su conducta. S. S. ha incul de ei día a a , y si habia tiempo otro de la de Comercio rabee averías, cado de…</t>
  </si>
  <si>
    <t>Argiielles</t>
  </si>
  <si>
    <t>…ero de los refugiados en Burdeos que el Sr. presidente hiciese la entrega al batallón, y no á la comisión. era de anos 40, que desgraciadamente sienten ahora todo el peso de su El Sr. Argiielles dijo que aunque por su parte convendrá c-n mucho inconsideración , y de fas seducciones de que han sido victimas. Tal es gusto cu que el Sr. presidente entregase esta insignia militar í dicho ba el estado de miseria enquecasi todos se hallan , que muchos de e…</t>
  </si>
  <si>
    <t>Argíielles</t>
  </si>
  <si>
    <t>…agra xiones que requiere un asunto tan interesante, si las Cortes se confor do , y mandaron pasar uno á la comisión de la Biblioteca, y otro a la maban con las de la comisión. El Sr. Argíielles presentó tu voto particular, en el cual, de&lt;pun de Legislación. ... . , .. La comisión de Ultramar, en vista de la exposición de la diputa de indicar la importancia de la materia , manifestaba que el objeto d&lt; ción provincial de la Havana, relativa i la plant…</t>
  </si>
  <si>
    <t>…á tución y las leyes. Bajo este supuesto apoyo la proposición que se tan claro como la luz del d a. discute. Por otra parte habiendo anu'ado el Sr. d'pu.ario Alcali Gaiiano la* £1 Sr. Argíielles: Si los Sres. que han hecho la proposición hu elecciones de ayuntamient» de la ciudad de Luc-na por razones que bieran tenido presente lo que ha manifestado «1 Sr. Soria, d-sde luego tuvo para elio , nadie apareció reclamando contra esu pr .v.d.rvcia , has es…</t>
  </si>
  <si>
    <t>Argííelles</t>
  </si>
  <si>
    <t>…rse de que que te habien adquirido por derecho de conquista; peto yo verdadera M aclaren otos derechos: mente no di i estas idea* la latitud con que se han entendido; y solo di Ei Sr. Argííelles cree que dq oro puede suscitarse una guerra civil je que el derecho de conquista no podía legitimar en manea» agota las entra los señores y los pueblos, indicando que muchos de estos se ha- donaciones generales eme se hacian entonces de los pntbros, porque la…</t>
  </si>
  <si>
    <t>…cio del Sr. secretarle de la Gobernaron de la Pen nsu- En seguida se prorogo ¡a sesión por una hc-ia mas. la , en que part opaba i las Con ■&gt; que -i de Marina con fecha de ayer El Sr. Argiielles : Estoy de acuerdo con el Sr. preopinante en lo le d cía desde el R:al sitio de Atanjuez que SS. MU. y A V conti impórtame que es el código penal, puesto que encierra mas de 80c ¡cnuaban sin novedad en su importante salud. Las Cortes lo oyeron con v:s; en est…</t>
  </si>
  <si>
    <t>…de aprobar el dictamen de la responsabilidad á que esté sujeto. Los intendentes en el día no tienen comisión. tanta representación como antes, y su responsabilidad es sumamente El Sr. Argiielles: Quisiera que los Sres. de la comisión me dijesen corta: asi pues por estas razones no apruebo el dictamen de la comisión. ei el regidor obró como alcalde constitucional. El Sr. Canga.- Esta propuso como base de la reforma de Hacienda El Sr. Ramírez Arellano:…</t>
  </si>
  <si>
    <t>…me ta» razones me opongo 4 la preposición en tu segunda parte. dida tan justa. Ctd.z 9 de May o de ffim.sComandante Juan Percz.s Habiendo concedido el Sr. presidente la palabra al Sr. Argiielles dijo Primer ayudante, FranciscoGouzalez.sicgundos, Bernardo Lámelas asi: Tengo que contestar i una indicación que ha hecho en tu discur Pedro Baídivieso.sCtpellan, Francisco Caüete.sCapitanes, Eudaldo so el Sr. preopinante. Se trata de una vindicación propia,…</t>
  </si>
  <si>
    <t>…do Se continuó la discusión de la minuta del mensaje que han dirigi de una expresión mas vulgar, se han dicho favor.» y disfavores respec do las Cortes a S. M. to del Gobierno. El Sr. Argiielles: Dijo muy bien en la sesión de ayer el Sr. Galia- Hablando del secretario del Despacho de Hacienda dijo el Sr. pre no, que no se debe atacar á nadie tino en su presencia , y que hubiera opinante que no había podido menos de escanda izarse al verle presen dese…</t>
  </si>
  <si>
    <t>…o del afio de i8ao hizo á sus El Sr. Galiano contestó que la comisión accedería gustosa á lo pro tropas el general Quiroga. Algunos de los Sres. que han impugnado el puesto por el Sr. Argiielles si no hubiese sugetos de un mérito relevan artículo que se discute han dicho que no son acreedores á las mismas te, que quedarían en tal caso privado» de) premio i que te habían he ventajas los militares que proclamaron la Constitución después que lo cho aere…</t>
  </si>
  <si>
    <t>…sta que se ha manifestado entre los mismos que debería tenerse presente para la discusión de este dictamen. aman y proclaman la Constitución, y que solo disienten en las aplica El Sr. Argiielles: Ha tratado de impugnar con mucha vehemencia el ciones de estos mismos principios. Vo creo que la comisión en este Se. Galiano el preámbulo del informe de la comisión en la parte en punto desde luego resuelve el problema contra cierta clase determinada de que…</t>
  </si>
  <si>
    <t>…cirá el daño por repartimiento El Sr. Seoane apoyó esta exposic'on , y dijo que supuesto que la vecinal.” Nación española era de las di Europa la que per desgrac-a mu sufría de El Sr. Argiielles: Siempre que la comisión me convenza de que esta plaga, debía ser la primera que hiciese experimentos soH-e la mis en un pueblo en donde los facciosos hayan cometido una tropelía ma, para que si no era contagiosa cesasen las med.das tiránicas qua ha podido im…</t>
  </si>
  <si>
    <t>…co), cuando Guillermo Pit propuso la suspen deben aprobarla, porque es el único medio que nos queda. sión de esta ley, no fue porque se ttausc de dividir la Nación, sino porque £1 Sr. Argíielles; Sefior, ha llegado el fatal momento cu que la se la amenazaba. Tengan la bondad las Cortes de oír cómo procedió el Nación espafiola espera de sus representantes una medida, que si bien Parlamento ingles excitado por este grande hombre: dos años estuvo el las…</t>
  </si>
  <si>
    <t>…en que la casa de un espafiol de quien se sos ro es preciso hacerlo asi para lograr algún resultado. pecha hallarse indiciado de conspiración pueda ser allanada y reconoci Dice el Sr. Argiielles que dejando el artículo como lo ha presenta da por la autoridad; porque ademes de ser este le práctica constante, do la comisión , podrá muchas veces suceder que el inocente padezca; no es contraria i la Constitución, pues esta dice en su art. go6 que que el…</t>
  </si>
  <si>
    <t>…énticos, y es en que lo» individuos que Argiielles fije proposición sobre ei modo de establecer este júralo. componen el gran jurado ingles , deben ser poseedores de tierras en El Sr. Argiielles: Es verdid que el Sr. Canga tiene derecho a pedir cierta cuantía, 7 los individuos de las dipuuc onea provinciales de que yo forma, .ce proposición sobre el modo de establecer este jurado; España son acomodados 7 de una regular fortuna, generalmente ha peto t…</t>
  </si>
  <si>
    <t>…a averiguación de si lo preten El Sr. Becerra expuso que el artículo no decía deberán hacer, sino dió ó no. Irruirán fretente; por cuya razón no se imponía una obligación i lo* El Sr. Argiielles ¡ Yo creo que en el afio 10 se dió una resolución acer militares, sino que se establecía un simple modelo; pero sin embargo ca de esto á consecuencia de varias dudas que se suscitaron sobre loe convino en que el artículo no debía aprobarse, porque no contenis…</t>
  </si>
  <si>
    <t>Argíiellet</t>
  </si>
  <si>
    <t>…anifestó qve creyendo la cem »¡on qne uno de loa decretos de lat Cortes, sino que se empezasen 4 cumplir. principales motivos que había para que hubiese» sucedido los ú!; liras El Sr. Argíiellet: He pedido la palabfe porque t.ngo algunas du acortes m•eB*~ escandalosos de Valencia ara la f.lu &lt;k admiv..bra das respecto del dictamen de la comisión en esta parte. La primera du cio» de justicia, era conveniente que se viese si estos nombtam-utos da que m…</t>
  </si>
  <si>
    <t>…n 6 no aquella reputación que se ha otra cosa que compensase m producto; pero que como había dicho muy bía creído para la recolección y repartición del medio diezmo, ante» bien el Sr. Argíiellet, no se esuba en este caso, y que la comisión no da decidir que estas mismas juntas continuasen por este alio esta opera debia abora entrar en la cuestión de si el medio diezmo era ó no sufi ción : ademas de que en muchos obispados no había tale* diputaciones…</t>
  </si>
  <si>
    <t>Argiiellet</t>
  </si>
  <si>
    <t>…orar lea sula , manifestando que cuando había llegado A sus manos el que le ha juntas de que te trataba. bían pasado los Sres. secretarios de las Cortes en el dia de ayer, comu El Sr. Argiiellet como de la comisión contestó, que introducien nicándole la resolución de estas para que se procediese 4 la averigua do una variación esencial en el proyecto el pensamiento del Sr. pre ción de loa delincuentes en los sucesos de Orihncla, había dado ya ór opina…</t>
  </si>
  <si>
    <t>Argiiellts</t>
  </si>
  <si>
    <t>…finalizasen las causas da ti objeto da las Cortes en nombrar la comisión, y el de esta en propo Estado. ner la msdida de qoa re trataba. Uno de lo* Sres. recretario* manifestó El Sr. Argiiellts: Deseo que las inculpaciones que en este materia que la comisión proponía: • Que parare con premura etu medida i la puedan hacerse con el tiempo recaigan ea quien deben. No bien un cominoa da Milicias nacionales pare remover inmediatamente loe obs oinisterio,…</t>
  </si>
  <si>
    <t>Argiietles</t>
  </si>
  <si>
    <t>…preciso que en estas circunstancias no se detenga en los abusot y arbitrariedades é que pueda dar lugar. inquirir todas Iss noticias que puedan aclarar el hecho; tino que en el El Sr. Argiietles: El art. t:° adolece é mi entender de un vicio tal momento en que se le dé parte de la existencia da una conspiración que le hace inadmisible: este vicio consiste en la generalidad en que debe pasar á la casa dondt los conspiradores se reúnan para los objrtos…</t>
  </si>
  <si>
    <t>Argiiillet, Canga</t>
  </si>
  <si>
    <t>Canga Argiiillet</t>
  </si>
  <si>
    <t>…actuales co estos perteneciesen al clero. Vamos á ver k&gt; que hay acerca de lo que misiones hubiesen tenido presente lo que en .otro ti. mpo propuso la co ha dicho el Sr. Ochoa. El Sr. Canga Argiiillet en la memoria que pre misión Eclesiástica sobre este asunto, para lo cual era de absoluta nece sentó á las Cortes en el año de shas dice: "Que las disposiciones so sidad que se fijaran las bases que habían de avr.v.r tanto para la indem bre los diezmos, enseñ…</t>
  </si>
  <si>
    <t>Argil</t>
  </si>
  <si>
    <t>…ado' para que no debe crearse e.ta guardia por las razones que he indicado. •ale debía de entrar la guardia Real : que no se debía crear un regimien El Sr. Infante: La opinión del Sr. Argil lie* la tuvo en un princi to de caballería de la guard a, pues que la situación de la Nación no pio la comisión; pero conocedora de los males que podrían sobrevenir lo permitía absolulamert-, habiendo v ito las Cortes que apenas se po si se aprobaba lo que S.…</t>
  </si>
  <si>
    <t>Argilelles</t>
  </si>
  <si>
    <t>…autores de la Constitución de un arre,!o con los trámites de un proceso. cuando pusieron este artículo, pues según los principios tentados por Esta es la principal idea en que el Sr. Argilelles se ha fijado, y la los sefiores qu; se oponen al dictamen de la comisión, para nada pue que es menester atacar muy por menor para desimpresionar á los sc- de convenir. Sin embargo yo nunca lo he creído, y aun ahora mis fiores diputados que esten en esta intel…</t>
  </si>
  <si>
    <t>Argitel</t>
  </si>
  <si>
    <t>…rocos castrenses gozasen el sueldo de de que llegase prontamente al estado de p rí'CC on que era de óoeir. 500 rs. cada mes, y asimismo gozasen de igual sueldo los capellanes ó El Sr. Argitel i es se opuso ai articulo, porqu- en su concepto al párrocos castrenses de los castillos de primer orden , 400 rs. los de los teraba enteramente la naturaleza de ia muios n.ciara!, pu s .a sacaba castillos de segundo orden, y goo los de tercer orden; y se enc…</t>
  </si>
  <si>
    <t>Argitelle, Canga</t>
  </si>
  <si>
    <t>Canga Argitelle</t>
  </si>
  <si>
    <t>…Marau por 78 de 93 , el sr. Luque por 70 de 96, el Sr. La- estaba bien marcado en la Constitución, eran estos los motivos que le gssea por 69 de 97 , d Sr. Lilio por 69 de 96 , el Sr. Canga Argitelle* habían animado á él y á sus compañeros pira hacer esta proposición, por 73 de 94 , el Sr. Mur6 por 69 de 93, *1 Sr. Garoz por 74 da 97, prescindiendo de las personas, porque solo atendían á las cosas. y el Sr. Fernandez Cid por a2 de 103. No se admitió á dis…</t>
  </si>
  <si>
    <t>ArgiteUes</t>
  </si>
  <si>
    <t>…también á la comisión el ex efectivamente contestó lo que ro podía mena de contestar , que aa lo tenderlo.* que ha dicho muy bien el Sr. Gareli. Sin embargo .de cato no aatitfiEl Sr. ArgiteUes dijo que aprobaba Isa ideas de le comisión; pero xo; y aunque considero redundante la excitación que propone la comi ue sin embargo le quedaban algunos escrúpulo* sobre lo que acababa sión , suscribiré gustoso á ella, no tanto porque el Gobierno dé esta 2 e p…</t>
  </si>
  <si>
    <t>Argitilla</t>
  </si>
  <si>
    <t>…ma, en d expediente promovido por la diputación provincial lio hubiera firmado lapropaicion de que te trata. de Alara sobre el abuso que te experimentaba da enviar comisionado* El Sr. Argitilla: Esta propaicion que hace tanto honor al Con á la puebla dotada d* bt fonda pública, informaba que t* debía greso se me presenta á mí bajo *1 mismo aspecto que alguna otra que pasar al Gobierno para qu* lo instruyera. Aprobado,’ hace poco se presentó i la del…</t>
  </si>
  <si>
    <t>Argíülles</t>
  </si>
  <si>
    <t>…omisión se reúna para una imprenta á proceder contra un escrito antes de que saliese á luz. rectificar su dictamen. El Sr. Salvá dijo que quedaba satisfecho con esta respuesta. El Sr. Argíülles: A pesar de lo que se ha dicho me parece conve El Sr. Murfi dijo que no quedaba enteramente satisfecho con la niente que la comisión se siiva encargarse nuevamenta de resolver con respuesta del Sr. Galiano, pues podía haber casos en que un impresor mas amplit…</t>
  </si>
  <si>
    <t>Argliellesi-M</t>
  </si>
  <si>
    <t>…Se levantó la icsion á las tres. culo que sa'discutía todo lé que el Sr. preopinante habia echado de menos, Extracte dt ¡os feriéJicos dt Earttlena^JEttot alcanzan hasta el 8 . Ei Sr. Argliellesi-M* permitirá la comisión de Guerra que diga inclusive; y en ellos se sigue guardando el mayor secreto en cuanto á que tal vez nos ha envuelto en una cuestión que no es del momento los planes y disposiciones que se toman par* las operaciones que debemos ai oeeré…</t>
  </si>
  <si>
    <t>ArgOrlIes</t>
  </si>
  <si>
    <t>…e te tomase 1a medi«fe estos términos (fe leyó); y la comisión , en vista de la* observaciones propuesta; pero este clamor es la noble impaciencia que teacinoa «fe que que hizo el Sr. ArgOrlIes, lo ha reformado en los término* qne te ha se castigue i los que infringen las leyes ; lo cual no tes puede hacer con visto, suprimiendo le* palabras oyendo 4 las difutadot &amp;e.; maa aho fe brevedad que seria de desear, potqus verdaderamente so ce posible.</t>
  </si>
  <si>
    <t>Argos</t>
  </si>
  <si>
    <t>…s habientes derecho se presentarán en el término de seis tución, han aprobado en el pr supuesto de la fu.rza auxiliar del egér- meses desde este publicación en el juzgado de dicho Sr. Argos , y por clto pata el año económico da i3i* á 1823 las economías que expresa la escrib&gt;nía de D. Claudio Sauz; apercibidos de que pasado dicho tér el calado siguiente: mino te procederá á lo que haya lugar. Reales vn. Por providencia del tribunal del consulado…</t>
  </si>
  <si>
    <t>Argos, Pa</t>
  </si>
  <si>
    <t>Pa Argos</t>
  </si>
  <si>
    <t>…ue se vende para pago de acreedores, de su secularización. señalado por el juzgado de primera instancia del Sr. D. Ramón de La misma comisión , habiendo examinado la exposición de D. Pa Argos, y escribanía de D. Pedro Josef de lbib- , para el dia 3 de Abril blo María Camacho , en la que manifestaba que la practica de llevar al próximo, te ha suspendido, y s- vuelve i señalar panel 15 del mismo cuello los primeros peraoaages da los pueblos la llave…</t>
  </si>
  <si>
    <t>Argos, Ramón de</t>
  </si>
  <si>
    <t>Ramón de Argos</t>
  </si>
  <si>
    <t>Gaceta de Madrid n.º 50</t>
  </si>
  <si>
    <t>…y la asombrosa industria de sus antiguos habi del afio próximo. tantes, eleva el alo» «leí viajero á pensamientos filosóficos, y le ob'iga í A virtud del cumplimiento dado por el Sr. D. Ramón de Argos, quejarse amargamente de cae despotismo religioso y político que embrute juca logado de primen instancia, refrendado del escribía® de Ciña» ce al hombre, y le tiene agobiado bajo el yugo afrentoso de la fatalidad. rafe í M., del colegio de esta corta, y cartu…</t>
  </si>
  <si>
    <t>…e, no sirvió de nada la tacha que había puesto ó cualquiera de ella dentro de los términos respectivos ,acudizial juz al Sr. Cano Manuel. gado de primera instancia qne despacha el Sr. D. Ramón de Argos, Por esta razón quisiera que no se considerase 4 ningún Sr. diputado ministro honorario de la audiencia territorial, por la escribanía del nú inhabilitado para desempeñar este cargo mientras no se presente docu mero de D. Martin Santin y Vázquez; en el concep…</t>
  </si>
  <si>
    <t>…os en la capitulación se entregarán En autos que se siguen en el juzgado de primera instancia del SeGot religiosamente á sus duefios respectivos, es decir, á los oficiales de cuya D. Ramón de Argos, y escribanía cartularia de D. Valdomcro Morapertenencia sean. 15. Se entenderá fiel y exactamente en su literal sentido leda , á pedimento de D. Tomas de Velasco, sobre reclamación de 2* cada uno de los artículos y palabras contenidas en la presente capitula…</t>
  </si>
  <si>
    <t>…la formación de causa. Reina y Sres. Infantes continúan sin novedad en su importante salud.” ANUNCIOS. Gradar del ministerio dt la Guerra. Por el juzgado de primera instancia del Sr. D. Ramón de Argos, y » El inspector general de infantería hizo presente al Rey las dudas escribanía cartularia de D. Valdomero MorsieJj , se siguen autos a pe que le ocurrían sobre el abono del doble tiempo de campada que debía dimento de D. Tomas de Velasco sobre reclamación…</t>
  </si>
  <si>
    <t>…armas, sien adelante fue resguardos. re necesario, participen de la gloria que i ellos les cabe , y en que no han tenido hasta ahora parte á causa de estar ausentes, se ha servido D. Ramón de Argos, magistrado honorario de la audiencia terri S. M. resolver que los geles, oficiales y demas individuos pertenecien torial , y juez de primera instancia de esta villa de Madrid. tes á todos los cuerpos del egército nacional que se hallan existentes ó Por el pr…</t>
  </si>
  <si>
    <t>…Turquía están Ccmo esta corte, vecino que ha sido de ella, á fin de que se personalicen «n ae halaban en 1 3 de Mayo: e! di van piomet. de palabra evacuar los prin el juzgado del Sr. D. Ramón de Argos, por la escribanía de D. Pedro cipado», y no lo cumple _ Austria é Inglaterra insisten de nuevo so Jis.f de Iba be a deducirlos en forma; adviniéndose qu* se ha señalado bre lo mismo: el d.van vu. ve á prometer,y nocuinpr; y p r ce es para |un'a genera: de ac…</t>
  </si>
  <si>
    <t>…n de los conventos , el percibir alguna renta civil ó TXIBUNAIEJ. eclesiástica, y no saberse su importe pata descontarle, si no llega a! que En el juzgado de primera instancia del Sr. D. Ramón de Argos, y les corresponde por la pensión y cóngrua, y algunos otros, por los escribanía de número de D. Claudio Sanz, penden tos autos de t.stacuaies no puede pagárseles con la puntualidad que á ios demas.” m.nuría de Daña María Luisa Caro y Ugaite, de estado solter…</t>
  </si>
  <si>
    <t>…á abonárseles este tiempo, por estar decla videncia* mas estrecha* que haya lugar. rados destinos ocasionales, y no permanentes, según la Real orden de A virtud de providencia del Sr. D. Ramón de Argos, ministro i.° de Junio de 1821. togado, juez de primera instancia de esta II. V. , dada ante el eicr.bi 14. Pero ti los servicios indicados en la regla 13 los hubiese pres no del número D. Tomas María Manrique, ss cita, llama y emplaza tado alguno, que ante»…</t>
  </si>
  <si>
    <t>Argot, Ramón da</t>
  </si>
  <si>
    <t>Ramón da Argot</t>
  </si>
  <si>
    <t>…feroce* nukahivjano*. (ir con tatuará.) lo* ayudantes dtl tgkt activa. (Garata dtl 8.) ANUNCIOS. Decreto de la» O erritorio de la Penínsu- Por el juzgado de primera instancia «leí Sr. D. Ramón da Argot, la é iala* adyacente* « da dtl y) y escribanía cartulina de D. Valdotnero Moraleda, se han promovido Decreto de S. M. is cuerpo* se hagan con auto* á pedimento de D. Tome* de Velatco como heredero de DoBa arreglo i lot «fio* ecc María Marta Ruiz, sobre redam…</t>
  </si>
  <si>
    <t>Argot, Ramón de</t>
  </si>
  <si>
    <t>Ramón de Argot</t>
  </si>
  <si>
    <t>…s sus plazas. tema constltuc onal te haya inflamado de nutro; que los ilusos se ANUNCIOS. hayan confundido, y que los malvados facc oso-, que d &gt;ped zan la Por pr-v:dcnc.a del cr. D. Ramón de Argot, juez da primera Ins Jiemn.isa España, conozcan que ha de llegar pronto ci dia de tu sx- tancia d: tst.. corte , te llama y emplaza á los que s* crean con derecho timlno. á los b.-.nes quedado» por el piesunto fallecimiento del Sr. D. Rosen Eu el número anter…</t>
  </si>
  <si>
    <t>…r, causa. cump ir y eyeeular el pr xrte decreto en to tas sus partes. Tendréis!» TiracwAtKs. •rundid* para su cumplim ento, y dispondréis se impr.ma , publique Por providencia del Sr. D. Ramón de Argot, jner de primera in*. y circule. = Ksti lubricado de ia K-ai mano.=Palacio i 9 de Julio de rancia de esta corte, se cita , llama y emplaza á las personas que se con l8a&gt; = A D. F- ipe de ..ierra jr Pambiey. sideren con derecho á los efectos que fueran de Marí…</t>
  </si>
  <si>
    <t>Argtiei.e</t>
  </si>
  <si>
    <t>…s, los que se lla reino, y últimamente otra para informar sobre Ir» »u..»»&gt;, de V-noc.a; man • rbitro» de la Europa ; expres.on que no se como se pronuncia en ro sabe muv b,&lt;-n c! Sr. Argtiei.e» que en m.,.é - mas ocas o "es li qlgunos países de ella. , Quien les ha dado este titulo? , Lo eran acase L bido ditercats» comisiones encargadas de un ai smo objeto , y ..b*</t>
  </si>
  <si>
    <t>Argtíeliet</t>
  </si>
  <si>
    <t>….nlo los subalternos de este cuerpo como lo» sarg nEl Sr. Valdét ( D. Cayetano ) deshija una equivocación. tos, cabos y carabineros, aeran destinados á los regí míenlos de -.ba El Sr. Argtíeliet: Hubiera deseado reservar mi voto para cuando llena, conservando los sueldos v hab-res que goian *.utaimeMe.*' . hubiese podido hablar con mas conocimiento* en la materia. Bajo dos Ei V. V ai des VD. Cayetano) dijo que en su opimos a ios solda aspectos se pre…</t>
  </si>
  <si>
    <t>Argtiellea</t>
  </si>
  <si>
    <t>…de lo que pre sabil-dad', del mismo modo que si estuviese egerciendo su cargo. Y viene la ley fundamental. a.° que jamas puede proceden: contra un secretario del D.-spacho por El Sr. Argtiellea deshizo una equivocación que dijo haber padecido el delito de conspiración cometido durante el tiempo de su empleo, el Sr. preopinante. sino en calidad de tal secretario.*’ El Sr. Flores CalderónPor desgracia la comisión no ba acertado á Se aprobó el dictamen…</t>
  </si>
  <si>
    <t>Argtiellei</t>
  </si>
  <si>
    <t>…n plan como el que la co los mismos interesados no puede ser mas oportuna. No sirve fijar tér misión proponía. minos ni mucho menos imponer penas á los acreedores que no se pre El Sr. Argtiellei apoyó la idea del Sr. Ferrer, y observó al mismo senten en él á la liquidación , es necesario tomar medidas de otra espe tiempo que no debia perderse de vista que la misma junta directiva que cie. Esta liquidación se practica ahora por las oficinas que están…</t>
  </si>
  <si>
    <t>Argtielles</t>
  </si>
  <si>
    <t>…erminado lo conveniente acerca de este particular. Aprobado. cho estaban haciendo muchos esfuerzo* pata oir. ' La m.sma , en vista de ia exposición de la sociedad patriótica da El Sr. Argtielles: Antes de ahora ha visto yo que lo que paree* fá Villafranca del Vierzo, manifestando que la contribución directa era cil de hacer á veces no lo es: tal vez habrá diputado qoe por no salir gravosa á aquel vecindario, y asimismo otros varios impuestos, exponía…</t>
  </si>
  <si>
    <t>Argtiellet</t>
  </si>
  <si>
    <t>…te la tosísimo al dlctamea referido de que no exista verdaderamente la guar fuerza de estas: yentonces serán suficientes, pues que hay dos regimien dia Real; pero dado caso que el Sr. Argtiellet no quiera extender su tos da infantería que tienen que atender as.mismo á cubrir algunos dictamen en una proposición, entonces accederé mejor al dictamen de puestos interiores de pilacio. Ademas no cree la comisión que es nece la comisión, que no á que se dej…</t>
  </si>
  <si>
    <t>Argtlclles</t>
  </si>
  <si>
    <t>…para que con conocimien cuanto lot proyectos estaban ya impresos, y únicamente podría impri to de causa puedan las Corte* determinar sobre el asunto, opinaba que mirse el voto dei Sr. Argtlclles y las razones que presentaba la comi debía aprobarte. Aprobado. sión , aunque no era muy necesaria esta impresión. La comisión de Marina, en vista del expediente promovido por los Se leyó la siguiente proposición de los Sres. Saavedra y Salva: - Pepescadores…</t>
  </si>
  <si>
    <t>Argtlílles</t>
  </si>
  <si>
    <t>…ovedo, contra quien ha procedido el tri tenca puntnel cnroplimiento lo dispuesto en loa artículos anteriores.” bunal supremo de Justicia en cama mandad* femar por la* extraordi El Sr. Argtlílles manifestó la necesidad de tomar en consideración narias en *4 de Diciembre Ultimo, examinando la propuesta de S. M. este dictamen para fijar del modo posible la tuerte del clero, perticu- sobro que se dé regla en semejantes caro*; han venido en declarar, qne…</t>
  </si>
  <si>
    <t>Argttellea</t>
  </si>
  <si>
    <t>…e pagasen con puntualidad, no se lograría acreditar el papel con mejore* esperanzas. mientras no se corrigiesen los vicios radicales del establecimiento. El Sr. Surra: Ha dicho el Sr. Argttellea que por desgracia desde Ei Sr. secretario de Hacienda dijo: Los objetos principales que de que las Cortes extraordinarias de Cádiz principiaron á tratar del Crédi ben proponerse en un proyecto de arreglo del establecimiento del Cré to público se han ido hacie…</t>
  </si>
  <si>
    <t>Argü-.lles</t>
  </si>
  <si>
    <t>…anticipaciones, por lo cual era preciso descargar jetos útiles. del presupuesto la partida de que se trataba. El Sr. Tejeiro: Es ciertamente doloroso tener que desatender obje El Sr. Argü-.lles dijo que supuesto que se oponía este último arre tos de cuya utilidad estamos todos convencidos; pero no hay otro ar glo á Jas anticipaciones , y que en Cuba se cobraban 709 rs. para el se bitrio, pues los pueblos están sobrecargados, y es imposible que se le…</t>
  </si>
  <si>
    <t>Argü-lles</t>
  </si>
  <si>
    <t>…debía haber cuatro, sin separación no son fundados, y por consiguiente repare el perjuicio que perju-t'o de los temporiros que se necesitasen. se había ocasionado al rmp eado. El Sr. Argü-lles: Todos los señorea que han impugnado el articulo Discutido sufic intemmie est; artículo quedó aprobado , excepto la han su-unto que no hay otro modo de desempeñar los negocios que diu'ula que dic: t rttnim.lo mziammte ri cmcmtinitnij .»ei C*. b\n~*\o. por med…</t>
  </si>
  <si>
    <t>Argü.-llet</t>
  </si>
  <si>
    <t>…por lo cual drán dilatarse, y aun ea esta tercera parte no habrá las gravs.ma* di se opuso al artículo, exponiendo ademas entre otras razones la de que laciones que ha indicado el Sr. Argü.-llet. según el orden que basta aquí se había seguido , aunque se exigía la pre Solo resta hacerme cargo de una reflexión qu: te ha hecho sobre la sentación de títulos de parte de los señores, siempre se les concedía poca utilidad que podrá resultar á los pueblos d…</t>
  </si>
  <si>
    <t>Argüclles</t>
  </si>
  <si>
    <t>…áneo, ta y sencilla, y por lo mismo no puede menos de parecer extralia la que expresamente dice lo contrario, y e» el respectivo 4 los intereses opinión que acaba de manifestar el Sr. Argüclles. S. S- supone que atrasado* de la deuda de Holanda, por el cual se ve que aun cuando se esta conferencia fue meramente confidencial; pero ao es asi, pues la quisiese decir que no valia como decreto, valdría 4 lo menos Ja creen comisión y el ministro concurrie…</t>
  </si>
  <si>
    <t>Argue</t>
  </si>
  <si>
    <t>…s que en sí encierra, y a la mayor suma de males Sres. diputados; pero no creo que éste sea un motivo suficiente, porque que puede producir. Uno de estos, según ha maní ¡estado el Sr. Argue debemos tener presente lo que ha sucedido ya; á saber: que algunos lles , es el d: que los Sres diputados no pueden acercarse al Gobierno Sres. diputados que en otra ocasión firmaron una proposición semejan á tratar asuntos is sus respectivas provincias, añad…</t>
  </si>
  <si>
    <t>…17,000 *4 70,000 *4 de la Constitución etpafiola; pero que habiendo examinado las razones Idem «le Bear rento.. so»ooo 4 en que este se había fundado, observaba que su iu: -&gt;r, el diputado Argue lles, se había apoyado en las circunstancias paitsculirc; en que se ba 41*000 9 ilaba la B*p** en aquella ¿poca; y qua no hacicnd.ise la Constitu &gt;4*000 S ción portuguam para abora únicamente, amo para 1 &gt; tuturo , rei ... 69,000 *4 naba que para suspender di…</t>
  </si>
  <si>
    <t>…es, y por lo memo a cornisón ha propuesto una medida, que rándonos de cuestiones que no son del caso, nos contrajésemos á la aunque provisional, luna aquel objeto. Ya dijo ayer el Sr. Argue principal, que es si se puede ó no dotar á los curas párrocos con 30a</t>
  </si>
  <si>
    <t>Argüe</t>
  </si>
  <si>
    <t>…mpeño; y ;»caso sería&lt;*ymas poración ó comunidad qus i un particular. . breve de esta modo «1 litigio! Yo creo que no, porque presentadas .as Pero criminémoslos malea que según el Sr. Argüe 11 es pueden ori demandas por tos señores, tegua la rsb.rgacion que u¿aea d- presentar ginarse de'ettu disposiciones. (Qbé mal puede seguirse de que por me lo* títu.os, serán mucho mas cortes. Ademas, d= este aztícu'o resu'ta dio de la presentación de los tít…</t>
  </si>
  <si>
    <t>…s dar en tendría que pagar la enorme cantidad de to6 mib'*ne« anua!:». inscripciones el $ por 100 , y 7a millones de mt resé»! ,- No nsu:ta puta He contestado a los argumentos d»i Sr. Argüe!¡es, y paso a' exa aqui un aumento de 807 millones de cap: . , 32 mil.on.s de intere minar los de otros Sr.s. d.putadc». El Sr. Se: : ccar.50 en qu; el tra ses, y de fondo de amortización 24, y 9 millones de gastos para poner tado es enormemente lesivo, y que…</t>
  </si>
  <si>
    <t>…e acaba su existencia; por consiguiente está en sino con un banco que obtendrá la confianza de los acreedores del Esta oposición la administración con la rapidez de las ventas. El Sr. Argue do , y esto es lo que se propone. lles ha creído que lo que interesa es poner en circulación lo* bienes na Hi dicho tamb.en el Sr. Arguelles, qu: no sabia por qué el papel cionales , asi por el beneficio que de elloa resultaría al Estado, como •e halla en una…</t>
  </si>
  <si>
    <t>…los términos qua ae propone, en mi concepto no pue 29. - Las disposiciones contenidas en las seis medidas anteriores se de aprobarse: ia principal razón es la que ha enunciado el Sr. Argue entenderán desde el día hasta la apertura de las sesiones de Cortes ea lles , á saber, que cuando el Gobierno no pide una ley mas fuerte y la próxima legislatura ordinaria.'” Aprobada. efectiva qua la de aó de Abril, no parece coaveniente dictarla. Se ha 30.…</t>
  </si>
  <si>
    <t>…lo que he dicho y d.re rs, que claros, tan conocidos y notorios á todos, que no hay necesidad de ci en mi opinión la disolución del eLérc to de la Is a fu: art poní ca. tarlos. El Sr. Argüe:les: Pu.** tenga entendido el ir Gonza.cz Aíonsa, Nosotros hemos visto á un Zildivar, á un Merino , i un Rojo de qu: su opinión no la miro mas que como la de un d putado , y que a Vaideras estar ocultos en los pueblos , y volver ¿ aparecer después de mi no m:…</t>
  </si>
  <si>
    <t>…o nados á envidiar lo ageno, como á no estimar lo propio. debe decir que no le propone con el carácter de permanente, y sí co Digo esto con alusión á cierta ida man.fritada por el Sr. Argue mo un correctivo en las circunstancias en que nos hallamos. lles ; pero 70 convendré con S. S. en que &lt;1 gran jurado que se propo Declarado el punto suficientemente discutido, no hubo tugar á vo ne no se parece á ninguno de los establecidos en países que cono…</t>
  </si>
  <si>
    <t>Argue'let</t>
  </si>
  <si>
    <t>cion nombrada en la anterior legislatura: el i.° de (os cuales era relati» . El Sr. Argue'let pidió que te preguntase 4 las Corte» ai ae ceeria la vj á que las Cortes podían conceder carta de naturaleza á O. Juan Do memoria, porque esta discusión era vaga, no tema origen y de nada mingo Fiz: el a.° i P tosef Metiche , teniente coronel de los ejérci se…</t>
  </si>
  <si>
    <t>Argüe, Aguar.n de</t>
  </si>
  <si>
    <t>Aguar.n de Argüe</t>
  </si>
  <si>
    <t>…rtes están en el caso de Sres. D. Ramón Salvato, diputado por la provincia de ditiiuña : D &gt;n api obar el dictamen &gt;de que se trata. Josef Rafael Fernandez Cid, por la ds Galicia; D. Aguar.n de Argüe• En seguida se declaró este asunto por suficientemente discutido, jr lies, por la di Asturias; D. Josef Canga Argüsiics, por ia misma; y quedó aprobado el dictamen de la comisión. D. Pablo Lillo, por la de Jaén. j." El ;r. D. Pablo Santaíe, diputado .Se nombr…</t>
  </si>
  <si>
    <t>Argüe, Canga</t>
  </si>
  <si>
    <t>Canga Argüe</t>
  </si>
  <si>
    <t>…leyes no deben poner á pru-ba la virtud, porque e» muy pregunta á la junta , te resolvió por la afirmativa. expu.sto. Asi que, en mi concept' deb-n declararse nulas las eleccio El Sr. Canga Argüe! l's dijo que se habia presentado una redama nes de Cuenca , porque se han infringido abierta y conocidamente va ción de un ciudadano de Zaragoza respecto de las elecciones de los di rios artículos d* la Constitución. putados i Cortes por Aragón ; piro que no…</t>
  </si>
  <si>
    <t>Argüe, Josef Canga</t>
  </si>
  <si>
    <t>Josef Canga Argüe</t>
  </si>
  <si>
    <t>…s ultrajare 6 es do 4 las Cortes que dicten las medidas convenientes para que se les in carneciere manifiestamente y á sabiendas alguno de lo* objete»del cul demnice; y la otra de D. Josef Canga Argüe) les, pidiendo que la» Cor- to religioso en los lugares destinado» al ejercicio de este, ó en cualquier íes se sirvan ir.andar que se le abone por el Crédito público la diferencia acto en que se ejerza, sufrirá una reclusión ó pristan de 15 dias á que ha recl…</t>
  </si>
  <si>
    <t>Argüe-</t>
  </si>
  <si>
    <t>…io de saber el lenguaje de que debo usar en el del egército 4 la milicia activa puede verificarte para todos los cuerpo* Congreso. No he tratado de hacer aplicaciones respecto del Sr. Argüe- asi antiguos coifao de nueva creación.” llea; y tí S. S. ha tratado de hacérselas 4 ti mismo, no et culpa mía. Ha D: Real orden lo traslado 4 V. para su inteligencia y efecto* con dicho que observaba que hasta aquello* que podían mirar estas cotas venientes.…</t>
  </si>
  <si>
    <t>ArgüeHes</t>
  </si>
  <si>
    <t>…rtes drl des dos d.rectores actuales, ai asi pareciere á la junta directiva , dejando de empeño de las obligaciones que se impongan i su departamento.” «■latir la junta actual. El Sr. ArgüeHes expuso que haciéndose á dicho gafe único respira-</t>
  </si>
  <si>
    <t>Argüeliet</t>
  </si>
  <si>
    <t>…e d.ca asi: cido en ella, sino porque parecía que estaba destinada á ser tormento de Por cate acsultado se re que en r« de los 70 millones que la co diputados; y asi que rogada al Sr. Argüeliet dejase correr el presupues misión debería conceder á la marina por todas sus atenciones, se la to en esta parte confor me-estaba, ofreciéndole que suscribiría con tu pueden otorga^ 8s millonea deducida ia cantidad asignada al colegio Señoría á una proposición…</t>
  </si>
  <si>
    <t>Argüelka</t>
  </si>
  <si>
    <t>776</t>
  </si>
  <si>
    <t>…Aatoa cia de los comisionado* del Crédito público en las juntas diocesanas que Uó descubierto m juego eo qu« no perdía jr podía ganar. no estuviesen en la capital de provincia. El Sr. Argüelka dijo que habiendo resuelto la» Cortea que la ex- El Sr. Gome* (D. Manuel) manifestó que atendida la importancia ídoa no pesa** 4 la comisión que había entendido en los negocios da este asunto para el atreglo de la dotación dd clero, podia discutiría Catatada,…</t>
  </si>
  <si>
    <t>Argüellcs</t>
  </si>
  <si>
    <t>…., y por lo mismo me relevará de la prueba. singan tribunal debia intervenir en este asunto sino el de Cortes. La comisión, en vista de todos los antecedentes que cita en su ex El Sr. Argüellcs dijo que no lubia razón alguna para pretender que posición , después de un meditado examen, creyó unánimemente , e* M hiciese de repente una ley nueva, pues el diputado que exigiese Ja decir , todos los ocho individuos que la componen, que el empréstito respo…</t>
  </si>
  <si>
    <t>Arguelle</t>
  </si>
  <si>
    <t>…aquel ramo de le inversión de es dar cantidad alguna para el afio siguiente.* tos , tino únicamente cuidar de que se hagan efectivos por ta tesorería Admitida á discusión, dijo el Sr. Arguelle»: La* proposiciones que general. Este es el vacío que se encuentra, supuesto que elSr. secretario te hacen en el Congreso deben mirarte alguna* veces con bastante de de Hacienda no hace mérito de las cuentas. Por esta raron soy de Opi tenimiento para que las…</t>
  </si>
  <si>
    <t>469</t>
  </si>
  <si>
    <t>…la cantidad que se le tefiala , ¡cómo no habré «lan influir en la seguridad del Rttsila. de condescender en esta asignación! ¡cómo podré prescindir de nues Con esta motivo tocó el Sr. Arguelle* una cuerda muy d*Ucada;i tra situación respectiva en d orden que actualmente se presentan saber, si el presupuesto del mioistatio de Guaría que te ha premiad» las naciones de Europa) ¡cómo no be de exigir que estos y otros ae podría 6 no reducir con aircglo…</t>
  </si>
  <si>
    <t>…porque con el total de ellos se debían comprasen en grandes porciones con grandes cantidades de créditos. cumplir las obligaciones, ademas de que seria muy perjudicial esta dis El Sr. Arguelle» : Desearía aprobar ei dictamen de la comisión ; pe posición i la compañía de Filipinas, y que por consiguiente no debía ro para mí son incontestables Iss observaciones que se han hecho en haber lugar á votar sobre el dictamen. contra de él. Es indudable que…</t>
  </si>
  <si>
    <t>…ustria de las personas gocio. Que la compañía de Filipinas se había convenido con el Gobier que los sirven. no en Junio de 98 en anticiparle seis millones de reales á cuenta de El Sr. Arguelle* contestó que so podía adoptarse la base de indemlos derechos que adeudasen los géneros asiáticos que lub&gt;a de introdu ■ zar á los poseedores por solas las cantidades de la egresión , sino que cir en España por valor de 40 millones de reales, habiendo introdu…</t>
  </si>
  <si>
    <t>Arguellé</t>
  </si>
  <si>
    <t>…n que se halla concebido el artículo lo cual es una Verdad innegable. Respecto de ia obiecíon que ha hecho me parece que son bastantes para resolver los puntos que ha insinuado el Sr. Arguellé», d-bo decir que no se trata precia-mente de cacultr la el Sr. preopinante. La comisión señala en su dictamen un hecho, qué fuerza de ios fac..osos de un modo tan exacto como podía hacerse en á primera vista padece culpable : impone después una pena; ; pero d…</t>
  </si>
  <si>
    <t>…s que debían formarse, y aun no se habían sobre el cual creo qu: las Cortes proveerán lo conveniente. formado. El Sr. Canga: Si el imprevisto tiene por objeto lo que ha manifes El Sr. Arguelle* dijo que desearía saber ai loa cuatro millones que tado ei Sr. secretario déla Guerra, ni el que se pide, ni otro ma ae pedían para atender a la milicia activa eran con respecto al aumen yor seria bastante para el objeto. S. S&gt;. se hará el cargo de que la gu…</t>
  </si>
  <si>
    <t>Arguelle, Canga</t>
  </si>
  <si>
    <t>Canga Arguelle</t>
  </si>
  <si>
    <t>…i lidad), y entonces ira a formarse a corta distancia de ,a sánente sobre siones Eclesiástica y de Política reunida*, «obre la proposición presen la izquierda de rila. tada por el Sr. Canga Arguelle* , y suscrita por otros Sret. diputados Art 5.0 » Los comandantes de ambas guardias sa'drin á encon en la sesión del 13 de Noviembre, para que se impida la circulación de trarse y reconoc dos conducirá el de la salu-nt- ai de la entrante á un breve de S. S. d…</t>
  </si>
  <si>
    <t>Arguelle-</t>
  </si>
  <si>
    <t>…esponden; a. Los asuntos da Italia se cubren con cierto velo, que no deja lujar hacia mérito en esta minuta. mas que i conjeturas. Parece que sí han enviado ordene* a Us ,ropas El Sr. Arguelle- dijo que la comisión habia tratado de ella, y que austiiacas que desde la Lombirdía deb an dirigirse a Nipo.es pira que por alguna inaHvertenc.a se habría pasado el decreto * la com sien He suspendan su marcha. Esto es muy natural, pues ». el Austria se ve Go…</t>
  </si>
  <si>
    <t>Arguelles</t>
  </si>
  <si>
    <t>…* meses no recho el que te cita que la misma Constitución da i todos los españo ae repitan! les ; piro en esto ha padecido una-equivocacion, porque no se ha dado I-* expresión del Sr. Arguelles, qa:*s á quien ha citado el Señor por aquella esta lititod al derechoéfe-priicioa; y asi solo se re que en preopinante, prescindiendo de que lo «pie ce diga en uts dacuno 00 es el art. 373 se da este derecho á los españoles; pero limitándole soio £ d: grande…</t>
  </si>
  <si>
    <t>…capital hace alguno* años, en el día se halla en Viliaboa, Arguelles, Villanueva y González AlonsoPisa. Luego que se hizo la elección salió de Missolongi un buque ar Se eligió al Sr. Arguelles por 93 votos de 117, recayendo los res mado con dirección á Liorna, donde debe hallar al príncipe Karadscha tantes entre los Sres. Gómez Becerra, Villanueva, Marchámalo, Gon y á su yerno el príncipe Suzzo, antiguo hospodar de Moldavia, cuyo zález Alonso y Sor…</t>
  </si>
  <si>
    <t>…go Fiz: el a.° i P tosef Metiche , teniente coronel de los ejérci servia. tos nacionales, y ag },do al E. M. de esta plaza: el g.° á D. Isidro Se hizo la pregunta propuesta por el Sr. Arguelles, y tas Cortes tePacha, romano y domiciliado en Pa'ma de Mallorca: él 4.0 í D. Ni solvieron que se leyese. colás Munusid, teniente coronel retirado: el 5.0 á D. Juan de Broche, El Sr. secretario del despacho de Hacienda leyó la memoria de su comandante de arti…</t>
  </si>
  <si>
    <t>…Gobierno! Oímos hablar de rentas perpe larse el término de sg dias para la presentación de las cuentas. tuas , £y que rentas son estas! ;quién las ba fundado! He aquí la falta El Sr. Arguelles manifestó que el Sr. secretarlo podía indicar el mas notable que en mi concepto tiene la memoria que acaba de leerse. plazo que le parecía necesario. Ei Sr. secretario de Hacienda manifestó que en la memoria se ha ElSr. secretario de Hacienda dijo: Si las cue…</t>
  </si>
  <si>
    <t>…iesen permitir que leyese su memoria con anticipación al por lo mismo creo que no dvbe aprobarse la proposición det Sr. Fa'cti. de Ultramar , porque debía marchar hoy con S- M. El Sr. Arguelles: Por lo que ha manifestado el Sr. preopinante de El Sr. ministro de Marina leyó su memoria, en la cual hacia pre bo decir que se debe tronar en consideración la proposición del Señor sente que se habían llevado á efecto varios decretos de Jas Cortes; que Falc…</t>
  </si>
  <si>
    <t>…ación no podría muar con indiferencia el que se estos no se podían imprimir en razón de su inmenso coste. permitiera que aquella se perturbase en la capital del reino. Asi que, El Sr. Arguelles: Ningún gasto que ocasione Ja impresión de que me parece que todos los deseos del Sr. Galiano están satisfechos. Ade se trata sen motivo suficiente para privar á ios Sres. diputados del ex^ mas el Sr. individuo de la comisión , que ha dado cuenta á nombre men…</t>
  </si>
  <si>
    <t>…lla vacante la plaza de médico titular, con la dotación de 7Í ra. anua quedaron admitidas á discusión. les , cuya asignación se paga en la tesorería de su ayuntamiento consti F.l Sr. Arguelles manifestó que debería decirse principalmente que tucional por tercios anualmente, con la obligación de asistir á sns ve los empleos que se proveyesen recayesen en personas que hubieran dado cinos y los de sus barrios, incluso el de Tarrueza, que se halla i un…</t>
  </si>
  <si>
    <t>…ulos 373, pública, ni vi esa reunión, solo sí un gran número de persona, que loo y 129 de 1» Constitución. iban allí por curiosidad como nosotros para ver lo que pasib.; vi tam hl Sr. Arguelles: Esta es la primera de las cuestiones importarte» bién í una partida de soldados del Príncipe que no íicgar.an a 13 ó 14 que se presentan á la deliberac'on de estas Cortas, y era necesario que y varias gentes del pueblo que estaban bebiendo con la mayor quie…</t>
  </si>
  <si>
    <t>…Romero apoyó la proposición, y manifestó que eran muy El Sr. Falcó deshizo algunas equivocaciones que dijo habia padeci distintas las circunstancias políticas de la época á que el Sr. Arguelles do el Sr. preopinante. se habia referido, respecto de las circunstancias en que actualmente se El Sr. Valdés: La proposición de que se trata la considero perjudi hallaba la Nación, y que exigían que se adoptase una medida de esta cial. Mi mayor dificultad con…</t>
  </si>
  <si>
    <t>…r flaca'.” Madrid 6 de Marzo de 1822. las proposiciones dirigidas á que se nombre una visita de tribunales. Por tanto mandamos á todos los tribunales , justicias , gefes, gober El Sr. Arguelles indicó que para cortar las repetidas quejas que nadores y demas autoridades, asi civiles como militares v eslssia~t-cjs, continuamente se hacían acerca de la mala administración de justicia, de cualquiera clase y dignidad , que guarden y hagan guardar, currpl…</t>
  </si>
  <si>
    <t>El Sr. Arguelles: Tánimo* un artículo di !a Constitución claro y Sr. «cretino de la Gobernación de que SS. MM. y AA. continuaban termíname , el cual da'á toda* la» provincias ol derecho de elegir di sin novedad en su importante salud. putados á Cortes, tanto propietarios como…</t>
  </si>
  <si>
    <t>…a ser ; opinaba que en atención á haber pagado moria leída á las Cortes por el Sr. secretario de dicho ramo. estos Ja inulta impuesta por aquel gefe político, se sobreseyese ea El Sr. Arguelles: Creo que todos los Sres. diputados conocerán que este asunto. no es suficiente que los dignos individuos que componen la comisión de El 'r. Becerra se opuso al dictamen, manifestando que ames de Hacienda puedan contestar á los reparos que se pongan á su dict…</t>
  </si>
  <si>
    <t>…e asi. Estos , cargados de decretales y metido* dades del reglamento , porque son una verdadera traba. entre cristales, están tal vez oyendo decretos, y diciendo: á mi rrnitor¡ El Sr. Arguelles apoyó la necesidad de que recayese alguaa resolu resultando que los coadyutores son los que verdaderamente trabaran, ción sobre el particular, sobre lo cual dijo se estaba ya ocupando la no los obispos. Estos pastores, que substituyen á los 7a discípulo», quo…</t>
  </si>
  <si>
    <t>…o ta importancia coma la que se votó el otro día. Yo confesaré de buena meterse. Yo no vengo á calificar aqui la conducta de nuestros antece fe al principal impugnador de esta, el Sr. Arguelles , qué es ínsúfictea^ sores: los Sres. diputados que tengan la virtud , que yo no puedo me te para cortar de todo punto en el Congreso la entrada á la corrupción; nos de reconocer en todos¿ no querrán ir i las secretarías del Despacho confesaré que dado caso q…</t>
  </si>
  <si>
    <t>…men de este librilo que se tome la molestia de pasarse por cualquiera de las en lo. términos expresado*. librerías de Paz ó de Sanz, donde por la friolera de 4 rs. satisfará sa El Sr. Arguelles pid o que este asunto volviese á la misma co- curiosidad. mis ori , para que propusiese en este a,unto una medida general tcp.c- Colección diplomática de varios papeles antiguos y modernos sobre to de todos los empicados. dispensas matrimoniales y otros punto…</t>
  </si>
  <si>
    <t>…a , sobre la asignación de te á informe del consejo de Estado para la conveniente resolución. congrua. Aprobado. Se concedió permiso á D. Pedro Martínez de Velasco, juez de pri El Sr. Arguelles dijo que en atención á la solemnidad del dia , pa mera instancia de Coria , para jurar su plaza ante aquel ayuntamiento recía conveniente celebrarla con la discusión y aprobación del dictamea constitucional, dispensándosele el hacerlo en la audiencia territor…</t>
  </si>
  <si>
    <t>…aumente su pensión Se preguntó si este dictamen se discutiría inmediatamente, ó ti hasta ano ducados, opinaba que no debe accederse á esta solicitud, se quedaría sobre la mesa. El Sr. Arguelles dijo que en él había algu porque es en contravención de la ley de ij de Octubre de t8so. nos artículos que podían producir ley ó decreto general, y de consi Aprobado. guiente que no podia discutirse inmediatamente sin contravenir i la La misma, informando sob…</t>
  </si>
  <si>
    <t>…las Espafias , i todos los que las pre gunas adiciones que se habían propuesto en el curso de este negocio. sentes vieren y entendieren , i bed: Que las edites han decretado lo El Sr. Arguelles: El cuftto que ha temado esta discusión hace ra siguiente : * Las Cortes, usando de la facultad que se les concede por la teramente imposible el que puros contraerme i soto la totalidad d:l Constitución, han decretado: i.° Quesa suspenda ¡a consulta y prodict…</t>
  </si>
  <si>
    <t>…o que ha manifestado *1 El Sr. Caitejon manifestó qne era mai oportuno qne se exigiese el Sr. preopinante. cumplimento de los decretos de las Cortes sobre estos asuntos, que no El Sr. Arguelles: Lo que he dicho ha sido por haber visto na re el extender la base en los términos qne lo estaba. presentación del ayuntamiento de Valencia , manifcstamlo que por ser El Sr. Marau: Fl pu blo español ve cometer crímenee, y que estos un delito extraordinario el…</t>
  </si>
  <si>
    <t>…haber una obligación de qu* sión ha tenido presentes mucho* de los «latos que en ella se hsn presen los ministros que se suceden unos 4 otrae adopten las mismas opiniones tado. El Sr. Arguelles ha hablado sobre el estado actual «le la Éuropa, de sus antecesores! ¡Quién du«la que tal vez no podrin convenir! Sia y aun ha indicado el caso en que nos hallaríamos si fuésemos ó no embargo de esto «lité que el principio sentado en la memoria no es d acocoe…</t>
  </si>
  <si>
    <t>…in ■Riego: que á po;o tiempo se restableció el orden sin que hubiese dependiente de ellos en ciertos casos. ocurrido novedad alguna: que en la tarde del dia 19 á la misma hora K1 Sr. Arguelles dijo que deseaba saber de los Sres. de la comisión se había vuelto á alterar el orden, y que habiéndose presentado en la si con arreglo á lo que previene el reglamento sobre el modo de exi pjaza de la Constitución en compañía de varios oficiales, se habías gi…</t>
  </si>
  <si>
    <t>…ra repetida* acontecimientos de Pampíona, Vaiencia, Madrid potros que cortemos esta hidra de siete cabezas. puntos^ que se pregunte al Gobierno el estado en que se encuentra la El Sr. Arguelles: Aplaudo la proposición de mi digno compañero causa formada por ia de la delación hecha por el criado de Eguía , ds el Sr. Alava, y debo decir que estoy convencido de que sin perjuicio que ha hab'ado el Sr. Ferrer en el Congreso; y últimamente que este de muc…</t>
  </si>
  <si>
    <t>…ia entre nosotros, y paralizar la mar mismas , y particularmente las extrangeras , de que ha hecho mención cha del sistema; y es bien seguro que no se valdrán de orn miserables el Sr. Arguelles, son las que me han ob.igado a presentar esa proposi que se han refugiado en Bayona á buscar un asilo de ignominia. Si ellos ción ,y estas son las que me obligan á pedtt se sepa que es lo que pien hubieran sido titiles para algo, hubieran tratado de tenerlos…</t>
  </si>
  <si>
    <t>…también que estas discusiones aca en aumento cada die, y que es preciso remediarlos «le una vez. El ag, loradas ó exaltadas, si se quiere, no producen resultado alguno, jr que ■no Sr. Arguelles reconoce el poder de nuestros enemigos, y que a los enemigos de nuestra felicidad saben sacar partido de ellas. Lo que menester atacar sus maquinaciones en su origen; no pudiendo decinc *n yo sé es que estas discusiones exaltadas han hecho bajar el papel, y s…</t>
  </si>
  <si>
    <t>…jese que había sido ror , y de no haber tenido la intención de infringir la ley; pero al con indignación. mismo tiempo creia que estas consideraciones podrían ser atendibles ea El Sr. Arguelles manifestó que no había necesidad de que la* Cor otro juicio; mas que no bastaban para eximir á dicho gefe político tes entrasen en estas calificaciones, puesto que la resolución ya acorda de la responsabilidad en que habia incurrido por haber infringido el da…</t>
  </si>
  <si>
    <t>…ue quedatográfico hecho en aquella población por alguno* naturales de la mis baa atmediado* «odo* lo* abuso*. ma con piedra de una abundante cantera que existe en Fuente rabia. El Sr. Arguelles dijo que entra tanto que ce «lecidia ai debía haber Las Cortes las recibieron con aprecio, y mandaron se pasase una mues semejantes cofradías, cuyo* gasto* petaban sobra los fondo» públicos, y tra á la comisión de Industria. qu* se determinaba hace* una visit…</t>
  </si>
  <si>
    <t>…a, 4 la qu: acompañaba copia del sumarlo practicado coa liiitice, pues que se ha laba entendiendo en esto. motivo de las últimas ocurrencias acaecidas en SqjiHja ciudad, pidien Et Sr. Arguelles. No apoya.é el que esta solicitud pote 4 la co do que se exiinga elregímiento segundo de artillería, y sé exija la res misión Eclesiástica , poique lo considero absolutamente inútil, en ra ponsabilidad ai gefe publico y comandante general de la misma. mo de q…</t>
  </si>
  <si>
    <t>Argüelles</t>
  </si>
  <si>
    <t>…n lomar Los Sres. que le desaprobaron fueron los siguientes: Oliver, Salví, una medida general para lo sucesivo. Prat, Sasvedra, Buruaga, Domencch , Luque , Putnarrjo, Infante, El Sr. Argüelles: La comisión se ha visto precisada á proponer laa Riego , Somoza, Llórente, Muro , Ruiz de la Vega , Rojo , Rico, medidas que han oído las Cortes, con motivo de las infinitas reclama Orduña, Canga, Septien, Baiges, Salvato , Vilíanueva, Ojero, F:r- ciones de…</t>
  </si>
  <si>
    <t>…rta 4 D- Antonio Chaubet, del comercio te» ante?.ores con ob,i to de fi.vor.xer á usti benemérita clase. de Sevilla, en la que le incluía dos certificaciones de crédito dadas í Ei Sr. Arguelles: H» verdad que en estas juntas diocesanas se com favor de D. Tomas Urrecha , la una de 61,304 rs. y 17 mrs. vn., y la pone 'a mayoría d • curas párrocos; p.ro no se puede m.nos de reco otra de 13,30a rs. y 18 mrs., señaladas en la contaduría de provincia noce…</t>
  </si>
  <si>
    <t>…rado, opinaba que la administración debía dejarse al sumidos en la miseria. Asi que, soy de dictamen que debe aprobarse cargo de los curas párrocos. el proyecto de la comisión. El Sr. Arguelles: La comisión ha manifestado ya que su dicta Se dirá que esta medida es insuficiente, que no es mas que provi men era insuficiente; pero se halla en gran parte justificada de que ha sional , y que no se fija la suerte del clero: que es menester una medida dese…</t>
  </si>
  <si>
    <t>…ar sobre la total dad dn di.tarr.en , hab..núo queda Jo bailase cada diócesis, y de este modo se calmaría ia ansiedad del clero. suspenso este asunto hasta la sesión de mañana. El Sr. Arguelles: La com sioti, al proponer que cada cura pinoco Se leyeron las siguientes proposic ones de los Sres. Infante , F perciba la cantidad de soo ducados, supone que en el caso de que hu to y Saavcdra: •• Pcd.mos á ¡as Cort.» acunden se 'J . t a- G:--b -r.o biesen…</t>
  </si>
  <si>
    <t>Gaceta de Madrid n.º 103</t>
  </si>
  <si>
    <t>…ara salir de ellos en ocas¡on opor partícipes de diezmos pagasen alguna parle, á fin de que se pusiesen al tuna. nivel de aquella, en que se hubiese pagado la parte respectiva. El Sr. Arguelles: Se supone que en poder de las juntas diocesanas El Sr. Ojero manifestó que aprobándose ei artículo, debía mandar no hay mas existencias que las necesarias para el pago de! subsidio ; pe se que cesasen los embargos que se habian egecutado en muchas provin ro…</t>
  </si>
  <si>
    <t>…iendo que las Cortes señalaban para su manuten Eclesiástica sobre distribución de existencias decimales. ción cuanto les era posible. De que no se incluyese en esta repartición El Sr. Arguelles expuso : La couiísioo dijo ayer que había encon 4 !o« individuo: de les cabildos no se psdits quejar estos, pues -(oc trado un estímulo poderoso en el segundo decreto de 29 de Junio del habian estado en posesión de sus fincas; y e» indudable que esta» son ali…</t>
  </si>
  <si>
    <t>…0, que siendo notoria el patriotismo de D. Jnadictamen de la misma sobre el modo de distribuir las cxiitcn^.a. del qu.n Vidal podía accederse á dicha preposición. medio diezmo. E; Sr. Arguelles manifestó que era necesario proceder ccn mu ¡ a A ia comisión de Artes una exposición de D. Josef María de San circunspección en decretar este honoi; y que no arrojando ei c.c.-n&gt; n tiago, grabador de Cámara de S. M., recordando a las Cortos ¿1 ¡-.er- mas iuz…</t>
  </si>
  <si>
    <t>…aturaleza sin que se avocasen las causas pendientes. y se decidirá por dos votos de los tres, sin apelación. El Sr. secretario de Gracia y Justicia manifestó que el Gobierno al El Sr. Arguelles hizo algunas observaciones acerca del término que tomar esta consulta deseaba que las Cortes se sirviesen declarar lo con se señalaba , el cual le parecía excesivo. veniente respecto de cualquier caso que ocurriese de la misma naturaleza El Sr. Meca dijo que…</t>
  </si>
  <si>
    <t>…ia reprodujo algunas observa yo producto no basta pan cubrir las escasas dotaciones que designaba ciones de su discurso. la comisión Eclesiástica de 300 ducado* i cada párroco. El Sr. Arguelles: La primen dificultad qu: ha presentado el Sefior De todo esto se infiere que el clero actual de Espilla no está sufi secretario del Despacho ha sido que por el dictamen de la comis ion se cientemente dotado, ni su decente dotación está en proporción con trat…</t>
  </si>
  <si>
    <t>…ección espiritual de persecución, y al concluirte b guerra fue tal su moderación, qus con sus feligreses. tentándose con el Real despacho de coronel y el sueldo que se le se.'.aEl Sr. Arguelles dijo que el objeto de la comisión era quitar pre lase por el tamo de Hacienda, se volvió á U administración del Excu textos para ordenar ; y que aunque era indudable que la catedral de Bar sado que obtenía antes de b revolución: y considerando asimismo que ce…</t>
  </si>
  <si>
    <t>…orme á las leyes; y en fin, se trata principalmente, como dijo en siciones como unas verdaderas quejas! Precisamente la opinión general otra ocasión nuestro dignísimo compañero el Sr. Arguelles, de evitar de toda Espilla después del restablecimiento del sistema, esta opinioa que llegue á constituirse en soberanía el poder judicial. manifestada por todos los medios con que ella suele pronunciarse, se ha El Sr. Vi i labua: Reconozco hasta cierto punto…</t>
  </si>
  <si>
    <t>…rticulo, suponiendo qu: la visita se verifi respectivos al distrito de cada audiencia ó tribunal especial.” caría únicamente respecto de aquellas causas que se determinasen des £1 Sr. Arguelles: Parece que la comisión propone á las Cortes que pués. estas nombren los visitadores, ó sea una comisión de las mismas, pre El Sr. Prado se opuso al artículo en el caso de que se tratase de sentando la lista de los sugetus que consideren de mas confianza para…</t>
  </si>
  <si>
    <t>…sto acerca de las dotaciones que deben gozar los promotores fiscales, alcai en el decreto de 4 de Enero. des 7 alguaciles «le los juzgados de primera instancia, era de dictamen El Sr. Arguelles dijo que la refundición de derechos, lo mismo en que las Cortes podían decretar que las diputaciones provinciales, oyen los pueblos que en las provincias que se reunían, era un principio de do i las respectivas audiencias territoriales , y manejándose con la…</t>
  </si>
  <si>
    <t>…ontinuará.) con las cuestaciones; pero si ere ¡a qu* estas última* no podían prohi Madrid Viemts *6 de Abril. birse por una regla tan general como la que establecía el súdenlo. El Sr. Arguelles dip&gt; que las cuestaciones piadosa*, como las que CORTES. te hacían en las iglesias ó en tus puertas para lo* pobces, para la* fá r*nau»NCiA su tilot vAtona (don caybtaxo X brica* dalas iglesias y otros objetos de esta naturaleza, eran muy lauda Setion dri *6.…</t>
  </si>
  <si>
    <t>…in cos no deben estar expuestos á las tentaciones peligrosas que acarrean tervenir en estas cuestaciones. los apuros de dinero. Yo convengo; ¡pero será preciso para que un ofi El Sr. Arguelles hizo otras varias observaciones sobre la necesidad cial mayor de una secretaría esté fuera del peligro de esta» tentaciones de aprobar este artículo, manifestando particularmente que con su apro que se le deo 6o9 rs.? ¡Oro una cantidad menor no pudiera muy bi…</t>
  </si>
  <si>
    <t>…ño 14, y que se prometía la comisión; porque siendo aquellos distintos cargos, de ningún modo en dinero. la persona que los reuniere tendría que hacer con separación ios gastos Ei Sr. Arguelles manifestó que convenía por sn parte en que se propios y peculiares de cada uno de clioa. descartasen del presupuesto que se discutía íes partidas da regalos a las F.l Sr. Ferrer vD. Joaquín) contestó que todos los que han viajado potencias berberiscas y gasto…</t>
  </si>
  <si>
    <t>…an otro distinto origen. El Sr. secretario «le Gracia y Justicia ha coin por el Sr. Soria. No hay tal cosa: habrá sido injusto, impolítico y lodo cidido en esta doctrina, y aun e! Sr. Arguelles en su voto particular lo que se quiera; pero no lo resiste la naturaleza de la cosa misma. Por parece que manifiesta lo mismo. Pero el decreto citado no se dirige so lo demas, aun en el caso de creerse dos con posesión á una cosa, ei des lamente á la abolició…</t>
  </si>
  <si>
    <t>…culos que tiendan á la pérdida de la tranquili ferente que vuelvan ó no á Ceuta, y yo convengo en lo primero. dad pública, separando á los prelados que con su conducta comprome El Sr. Arguelles: Soy enemigo de hablar de personas; pero he si tan la seguridad del sistema; y acaso en este mismo momento podría do como interpelado por el Sr Valdés en esta cuestión, y no puedo anunciar el Gobierno que toma medidas de esta clase: repito pues que menos de h…</t>
  </si>
  <si>
    <t>…l art. 16 del decreto de las Cortea artículo, dijo que iba á manifestar su opinión concret. ndose a! dis de y de Novi mbre de t8zo, y por lo mismo no debía haber lug-r á curso d?l Sr. Arguelles. E.te señor dputaío ( añidió ) sentó como una deliberar. Aprobado. base que aunque se aprobase el proyecto de ley no se lograría el objeto Se leyó la siguiente proposición de los Sret. Afunto y Adanero: que las Cortes desean, y aun se daría ocasión á pleitos…</t>
  </si>
  <si>
    <t>…os. Hsy dos muy recientes, cuyos resultados contra &gt; respecto de lu concesiones pontificias que se hicieron á España y parte* que todo el mundo sabe ; y sm em dicen la opinión del Sr. Arguelles. Los pueblos de Manzinera y de ?orfugal para conquistar los Catatdau entraron tn-la corona, y sotohan pagado las contribuciones or bargo te dirá que esta concesión se hizo en virtud de las facultades que dinarias', peto i o lu partes alícuotas que pagaban á l…</t>
  </si>
  <si>
    <t>…omiiion se active, dib: ser con referencia ¿ ios menores, re» que mueran en acción de guerra. que á Ja verd.d no son mas que un d -pó,!i'j de contra!»!.d £1 Sr. Castejon excitó al Sr. Arguelles para que si lo tenia á bien Ei ‘r. herrar contestó que la .j^e.'.ucion siempre se tabea entendi retirase tu voto particular sobre scfioríoa, y lo presentase como propo do respecto de los presídeos di.í ji.i. sición para que ta comisión lo examinase. Ei Sr. Ca…</t>
  </si>
  <si>
    <t>…e los oacia.es dei estado mayor de la mi.ma , opinaba que los Se leyó y aprobó et acta di la anterior. oficiales de los estados mayores de las plazas estaban comprendidos en el El Sr. Arguelles presentó un nuevo ensayo iirogrífico hecho por un art. tu del decreto orgánico del egército- Aprobado. ciudadano español, que le hab.a encargado le ofreciese a las Coits. la A la comisión de Visita del Crédito público se mandó pasar una tas lo recibieron con…</t>
  </si>
  <si>
    <t>…Rojo, Bustos, Alvarez, Torre, Trujitlo, Meló, cuestión , renunció la patabra. Ferrer (D. Antonio), Roset, Roig , Herrera, Bauzí, Rico,Orduña, Al tiempo de levantarse á perorar el Sr. Arguelles hubo una vio Septien, Canga, Salvato , Baiges , Bel monte, Moreno, Villanueva, lenta agitación en las galerías, y renunció la palabra después de haber Henriquez , Ojero , Ferrer (D. Joaquín) , Soberon, Seoane, Adan ro, reclamado el orden el Sr. presidente, y…</t>
  </si>
  <si>
    <t>…M. tomada por el minis quisitos que no tiene la minutt del código penal; las razonesd¡ política terio de Hacienda de U tramar, y comunicada en 15 del próximo an que ha expuesto eI Sr. Arguelles no han de inducir á ras Cortes a co terior , suprimiendo los juzgados de Arribadas, y mandando qué en su meter una infracción d • la Constitución ¡ y rn contentación a S. S. diré lugar expidan las líeme as ic embarque para aquellas provincias los in que en ta…</t>
  </si>
  <si>
    <t>…1822. el caso de que se trata, que es que el a.ca.de egciza interinamente el juzi-ado de primera instancia. Con fecha de 23 de este mes me dice el Sr. secretario del Despacho ~E1 Sr. Arguelles: La comisión se ha hecho cargo de las dificnlta- de listado lo que sigue: des que se hacen presentes en el voto particular; p ro «n la aciaiacion » Los Sres. secretarios de las Cortes con fecha de 18 del presente de estas dudas no ha podido pr.scindir Ja comi…</t>
  </si>
  <si>
    <t>…estigos de necesario verificar el nombramiento de los intendentes como propone la infracción que se comete.” el Gobierno. Aun hay mas: la comisión no puede prescindir de los ar El Sr. Arguelles: No resulta, según se ve, que el regidor obrase tículos 32Ó,332 y 333 de la Constitución , por los cuales se exige que comisionado del alcalde constitucional, en cuyo caso el alcalde seria haya tantos intendentes como diputaciones provinciales: los intenden e…</t>
  </si>
  <si>
    <t>…su insignia en acción de guerra( regla preventiva que en nada se oponia á lo dispuesto por la* Corles. quedará privado de e;la hasta que por su brillante y heroica conducta se El Sr. Arguelles fue de parecer que en caso de que la España ne haya hecho acreedor á que se le devuelva.” cesitase el auxilio de tropas extrangeras, se debían dejar las condicio El Sr. Oiiver manifestó que siendo lo que se disponía en este ar nes de admisión para los tratado…</t>
  </si>
  <si>
    <t>…rdia porque me la Yo veo que estas conspiraciones poeden tener *1 mismo elemento echaban á perder loi frailes, y tuve noticias positivas de que ponian en que nos ha manifestado el Sr. Arguelles han tenido otras , buscando el aul sentido ia población, diciendo en el pueblo que iban los libertino* origen de ellas. Muchas serán las causas; pero considero que el impulso (por los patriotas); y en fin llegó al extremo de que sus partidarios der principal…</t>
  </si>
  <si>
    <t>…cipal de sus d.tensiones que te vido por las contestaciones que ha habido entre los administradores Botaban. dei aizobispado d: Toledo y del Seroso. Sr. Infante D. Carlos robre El Sr. Arguelles: El Congreso tiene resuelto que seenrie un men la cobranza de ios diezmos pertenecientes á vanas encomienda»: deasage á S. M.; por consiguiente la proposición que se d »cut- no puede pu-s ei de la com sion de Casos de responsabilidad sobre la qu ja dada tener…</t>
  </si>
  <si>
    <t>…que considere á la brigada de Carabinero* como de la guardia Cgérc.io con su mismo haber. Real, y la razón que ha ten&lt;do para creerlo asi et que no ha sido lla El Sr. Infante: El Sr. Arguelles ha sentado que ninguna economía mada esta brigada en el momento en que fue extinguido el cuerpo de resulta en el momento al erario de adoptar esta medida; pero es preciso Guardias de Corps ; y por lo tanto le comisión de ninguna manera pue que no pierda de vi…</t>
  </si>
  <si>
    <t>…tuvimos aquí discutiendo ata proposición, y del atado actual de la Nación. Para mí es muy r«p:tab’e ia op por haberte mirado como producida por esto que llaman exaltación ■ion del Sr. Arguelles: y hace muy pocas horas que ec este lugar ha (que me ennoblece mucho, porque fue por lo que te me persiguió insinuado S. S. que ros amenazaba una revo'ucion que «taba c ica : v cuando «a diputado en el año de 14) no se aprobó; y afora ve el por consiguiente «…</t>
  </si>
  <si>
    <t>…ición; pro lo que yo quite decir es esto mismo qucel señor co Fino—Juan B*ccrra.=Jotef Maitinez.sManucl Felipe Tovar.= preopinante había indicado anteriormente. Jaime Ticsetra. El Sr. Arguelles: El Sr. preopinante no te dará por ofendido de ARTICULO DE OFICIO. qu- yo trate de vindicarme, habiéndome movido á ello el gran preám bulo con que S. S. ha precedido mi indicación. En un cuerpo represen El Sr. secretario del Despacho de la Gobernación de Ultr…</t>
  </si>
  <si>
    <t>Gaceta de Madrid n.º 143</t>
  </si>
  <si>
    <t>…n ios arsenales y bata Ei Sr. Isturiz dijo que la comisión se babia visto precisada í dar llones de marina. su dictamen sin saber el número de individuos que debían comp.-.r.er El Sr. Arguelles dijo que desearía que los señores de la comisión este cuerpo; y como no existia aun el almirantazgo, pidió a! Sr. se dijesen terminantemente qué era io que se entendía por servic.o activo cretario del Despacho que le dijese quién debía propenr ¡a fuerz* que e…</t>
  </si>
  <si>
    <t>…el pago de las cantidades que en el actual presupuesto se señalaban los muchos males que se iban á seguir si se aprobaba en esta parte el á la marina. dictamen de la comisión. El Sr. Arguelles apoyó lo que habia manifestado el Sr. Zuluett, El Sr. Istmia manifestó que era preciso repetir la reflexión de siem exponiendo la necesidad urgentísima de que este ramo estuviese aten pre , á saber, que aunque el deseo de la comisión era que nuestra ma dido c…</t>
  </si>
  <si>
    <t>…que pertenece tolo a las motivaron el que se valiese la autoridad del último recurso que le da Cortes. la ley; y la a.1' el no ser ciudadanos conocidos, sobre lo cual pidió el El Sr. Arguelles : El Sr. preopinante ha procurada dar un nuevo correspondiente informe al ayuntamiento de esta capital. £1 gefe polí giro á la cu.-stion, diciendo que ei objeto de la comisión no era el que tico es responsable de los abusos que puede haber en las reuniones pa…</t>
  </si>
  <si>
    <t>…istema actual de gobierno, principalmente lo mismo creo que no debe aprobarse el dictamen que se discute. en Cataluña, se sirviesen las Cortes nombrar una comisión especial, pa El Sr. Arguelles; Bajo malo* auspicios penco que te presenta el ra que acercándose al Gobierno acordase con este las medidas que debían dictamen de la comisión, pues que tiene cuando principia la discusión adoptarse para asegurar la tranquilidad pfiblica , informando A las Co…</t>
  </si>
  <si>
    <t>…endo 4 las Cortes estados y noticias sobre al número de eclesiás ■na carga bien pesada para la Nación. ticos partícipes de diezmos Stc.: que por todo esto se veia que sin estas El Sr. Arguelles contestó que aunque se acordase que volviese el noticias esenciales no era posible decidir la cuestión de si el medio diez dictamen 4 la comisión , no por eso estele variaría, porque la premura mo era bastante ó no para la indemnización de tus partícipes, y q…</t>
  </si>
  <si>
    <t>…Gobierno, siguiendo Ja máxima sentada por el dera mayoría; y continuó: Conserva, digo, el mimst rio en ¡as y. zas referidas á unos sugeto», cuyo conato es perseguir a una c!a-. de Sr. Arguelles de que no debe atacarse á nadie sino en su presencia, y ciudadanos designada con el nombre de exaltados: y de aquí r i considerando que esta míxima es tan útil al impugnador como al im pugnado , quisiera, digo, que los Sres. secretarios del Despacho se en que…</t>
  </si>
  <si>
    <t>…Por lo demas d.hemos camnir on grande d oa m • t &gt; s : ^a ;a tando que debía desaprobarse este articulo. en tomar medidas de ex.epcion ; y p'&lt;r 1 ■ m.,m 1 . e ' q . »e d &gt; aeruF.l Sr. Arguelles manifestó que ta disposición qu: ahora proponía la bar «ta proposcion sin per¡-k o d.‘ q le &gt;r. KT re 1 1 a ot a comisión que se tomase pira la recolección y distr bncion del medio Se prorogói la sesión p r una ‘-iva mas, v ; a-ó diezmo era como un en,ayo que…</t>
  </si>
  <si>
    <t>…tes te hiciese la renovación de La comisión de Hacienda, en vista del oficio del Sr. secretario del aquellas. mismo ramo sobre que te autorizase al Gobierno pera colocar con al El Sr. Arguelles contestó que no era la recaudación aisladamente la gún sueldo 4 los tris escribientes auxiliares de aquella secretaría ( cuya que causaba la responsabilidad, sino todo al contrario; y que ia* Cor instancia remitía), y que habían estado sirviendo su destino du…</t>
  </si>
  <si>
    <t>…t .: par-ce -’Ue estamos en loa tiempos de tas repúblicas antiguas, dad dcscorgcida i.ot D Constitución. eo que i.-., ciudadanos se dedicaban á ios negocios públicos, y los es— El Sr. Arguelles contestó que el art, 8-° hacia ver cuan tejo* había clavo* i|u. tenían eran los que araban y egerctan las artes; pero es estado del ánimo de la comisión ,el dar á los alcaldes una autoridad preciso convenir en qae lo» ciudad-no» españoles no están en -s:e ca…</t>
  </si>
  <si>
    <t>…, y que por sumísSet retaría del Despacio dt ¡a Guerra. nía profesión debía ser recompensado por las Cortee. la comisión proponía una rebata de 360,978 is. sobre la cantidad de El Sr. Arguelles repuso que si las Cortes encontraran un derecho 1.31,7,791 rs. que importaba la p'anta anterior de esta secretaria; pe para que i este individuo se le conservase el sueldo como tal carcelero, ro en atención á habérsele dado otra nueva , se acordo que s. estuv…</t>
  </si>
  <si>
    <t>…ballería, la comisión no la habia tenido quedar desatendidas las necesidades del cuerpo de artillería. presente. El So Valdés (D. Ciyetino) djo que si se dejaban ios dos rn'¡io El Sr. Arguelles dijo, que desearía que el zelo por las reformas no nes que se aumentaban pita las stenc ones del cuerpo de artillería, ape arrastrase al congreso á adoptar algunas que podían acarrear funestas nas bastarían pata pólvora, y así que era preciso se señalas: otra…</t>
  </si>
  <si>
    <t>…amen debía ó contrato? ¡Qué motivo de confianza podrá tenerse cor. una Nacicn que no volver á la comisión. asi s- conduce? Este es el pT,mer efecto que p. Jr¡a producr la decla Fl Sr. Arguelles manifestó que no podía hablarte del ministerio ración de nulidad. Esto no es decir que se aprn-be en todas &gt;us parres anterior sin tomar las Cortes en considerac on su conducta. el contrito: el Gobierno ha d.cho que lo d. tiende hoti -i.::' pun El Sr. Saavedr…</t>
  </si>
  <si>
    <t>…ur ser condenada* por el tribunal correspondiente á guardar el contrato! Supoagatno* por otra parte que el tribunal, hallando justa la recla rido el Sr. secretario de Hacienda. El Sr. Arguelles dijo: Después de los días que van de esta discusión mación de Us Cortes , declarase qtse la Nación quedaba libre de la parecería abusar de la tolerancia de la* Cortes ti yo me creyese ser oído contrata: una de dos, ó el Gobierno tendría que gravar la Nación p…</t>
  </si>
  <si>
    <t>…cir, El Sr. Beltran da Lis dijo que no podía menos de manifestar la sor y cuan indecotoaas son i la Nación las estipulaciones contenidas en vi presa que le había causado el que el Sr. Arguelles hubiese impugnado rio* artículos del tratado, como son rl 6/, 1 y, iH , ia y ¡3. una proposición-tan justa como la que acababa da hacer, pues no podía Que el contrato es sumamente lesivo, es una cosa que nadie ha ducomprendet que 4 un diputado ra le privase d…</t>
  </si>
  <si>
    <t>…ser centrar.o á varios aliculo» d; ministro no procedió bien en esto, y haga v r sus errores! Dx: tam li Constitución política de la Monarquía y á su índole, oneroso a .a bién el Sr. Argüelles que el Sr. Barata encontró Ja tesorer a en un es Nación, e indecoroso á la misma. tarlo d: desahozo, pu.js que tenia cubiertas todas sus ob'igiciones. Yo i.3 En cumplimiento del articulo anterior, e! Gobierno devo'vni no m; atrevo á concebir que la tesorería…</t>
  </si>
  <si>
    <t>…soío de Lima as de donde vienen algunos pocos, para cuyo socorro es contribuir á la prosecución de una obra peculiar de Madrid. n as que suficcnte la cantidad de dos millones. El Sr. Arguelles manifestó que la razón que había tenido la ante fc. Sr. secretario de Hacienda: Siento mucho fio traer aquí las liarior legislatura para acordar que los gastos de esta obra se pagasen por tas de los ird viduos que han venido de America para contestar á lo la…</t>
  </si>
  <si>
    <t>…i funcionario responsable del orden y de su disposición ; y asi debe aprobarse el dictamen de la com*»ion. la tranquilidad de la provincia, cual es el gefe político, no tuviese El Sr. Arguelles: Dos grandes cuestiones se ofrecen en este día á nada de egecut vo, haciéndole depender de los ayuntamientos, y te la consideración de las Cortes; á sab r, la de presentar la cornisón un niéndolos en cierto modo subordinados i estas autoridades; asi yo creo p…</t>
  </si>
  <si>
    <t>…istración con la rapidez de las ventas. El Sr. Argue do , y esto es lo que se propone. lles ha creído que lo que interesa es poner en circulación lo* bienes na Hi dicho tamb.en el Sr. Arguelles, qu: no sabia por qué el papel cionales , asi por el beneficio que de elloa resultaría al Estado, como •e halla en una especie de desp-ecio , »i. rrlo as- que las Cosí. s han de porque cuantos mas sean los adquiridores da esto* bienes, otros tantoa cretado ab…</t>
  </si>
  <si>
    <t>…ierno pudiese tener necesidad con los lo millones cargado* bado, y que ahora la discusión recaía sobre el de los Sres. Riego, Gra a gastos fijos y á imprevistos. ses y Galiano. El Sr. Arguelles manifestó que seria ana inconsecuencia autorizar El Sr. Galiano dijo que el asunto estaba ya resuelto, y mediante i al Gobierno para que pudiese disponer de la fuerza que pedia, y no que el primer voto se hallaba aprobado y acrisolada la conducta de los otorg…</t>
  </si>
  <si>
    <t>…. Gómez (O. Manuel) hizo vanas observaciones , á las qua menos de lo preciso para mantener 4 un individuo. contestó e! sr. Lodarcs; y en seguida se declaró el punto suficiente* El Sr. Arguelles; Dice el artículo que se repartan las tierras restan mentí discutido. tes de baldíos y realengos con arbolado ó sin él. En todcs les pa.ses Hab endose declarado no haber lugar 4 votar sobre el artículo, an cultos y libres se ha tenido suma consideración con l…</t>
  </si>
  <si>
    <t>dilección general de estudios para loa usos convenientes el catecismo El Sr. Arguelles fue de parecer que siempre se debia tener conside constitucional presentado por D. Antonio García. Aprobado. _ ración á los actuales empleados en el Crédito público, y que mientras También te aprobó otro dictamen de la comisión de Legislación, no estuvieran c…</t>
  </si>
  <si>
    <t>…ue para decidirlas aun gubernativa derse á la exponeute el goce de la viudedad de ocho reales diano». Se mente era menester consultar á un letrado. mandó quedase sobre la mesa. El Sr. Arguelles observó que si el comisionado especial habia de Otro sobre la solicitud de D. Gerónimo Muñlz, presbítero, en la ser el único responsable en la mataría, tendría buen cuidado de consul que manifestaba su adhesión al sist.-ma constitucional, y tu» iré'ito- y tar…</t>
  </si>
  <si>
    <t>…os estos. 4.* La extensión de las órdenes y acuerdos de que en Plasencia han proclamado el Rey absoluto. todo Jo que conforme é Ja* leyes é instrucciones corresponde á la auto* El Sr. Arguelles dijo que aunque apoyaba el artículo, creía debía r.dad de los intendentes.” Aprobado. expresarte en él que te autorizaba al Gobierno para que hiciese lo que Art. 14. » El establecimiento del Crédito público quedará en en prevenía, pues de lo contrario seria d…</t>
  </si>
  <si>
    <t>…géneros nacionales ultramarinos ó cxtran- provincia*. Cuando estemos en el caso ala que los capa fióles lean y ae geros. instruyan , entonces vendrán muy bien las reflexiones del Sr. Arguelles. a.* Los cambiantes A banqueros. Después de hab:r hecho varias observaciones el Sr. Lodarca costra j* Los capitalistas, sean'ó no comerciantes, que por sí A por me el dictamen de la comisión, se desaprobó la 5.* especie, y se mandó dio de otras personas emple…</t>
  </si>
  <si>
    <t>…tria añadirse en el artículo qoese hiciese ex cultades que las que tienen. Asi creo que debe aprobarse la medida que tensiva esta medida respecto de las catedrales. ac discute. El Sr. Arguelles pidió que te hiciese extensiva también 4 las misio El Sr. Lapnerta: Señor, se han venido expresiones que me parece nes que se predican en las plizas. ton bastante perjudiciales: se ba dicho que el confesonario es un ve El Sr. Adán pidió que igualmente se hici…</t>
  </si>
  <si>
    <t>…tó que esto mismo se expresaba ya en la ley hieles-n sospechosos, ó que no dieren fianza correspondiente que 1* ase de 16 de Abril de 18a 1, con cuyo motivo se leyó esta. gure." E Sr. Arguelles: Me parece que esta medida rada añade de nue Quedó aprobada después de una ligera discusión. vo i la ley de Abril, y me opondré i ella eternamente, porque sa 15. » Los pueblos que amparen ó auxilien á los facciosos armados confunden los pueblos con las person…</t>
  </si>
  <si>
    <t>…ordinaria fiel se. dar un impulso á los pueblos para que se uniesen á los facciosos, Leída y aprobada el acta de la anterior , se mandaron agregar á ella como ha dicho muy bien el Sr. Arguelles. Si por el contrario se cree los votos particulares de los Sres. Alelecdez, López del Baño , Alon que esta medida añade alguna casa nueva á la ley citada , entonces tie so , Oliver , Ruiz de la Vega , Ferrer ( D. Antonio ) , Seoane y Ojene el carácter de una…</t>
  </si>
  <si>
    <t>…oiend» se paso el inloinic que se li ilna pedirlo que no fuesen los últimos que hablasen en una discusión. I al ( hibierno sobre unas proposiciones de los Sres. GonZaicz y Ru.z El Sr. Arguelles, después de manifestar cual fue el origen de esta del Rio. proposición en la anterior legislatura , dijo que por mas que se quisi;- ■ 1,4 comisión de Legislación , informando sobre la a l e on del señor sen prescribir reglas que determinasen la voluntad de lo…</t>
  </si>
  <si>
    <t>…a propunto á la deliberación de las Corles. El Sr. Qaiiano ; Si yo crey^s: que el parecer que acaba de expresar Contrayéndonre pues al art. i.*, diré que en cuanto á la observa el Sr. Arguelles habia de prevalecer , y si fuera práctica en ei Congre ción que ha hecho el Sr. secretario del Despacho, de que las dos tom- so de España la que se observa en otros países de poder hacer una pefifaade alabarderos no son suficientes para el servicio que se nec…</t>
  </si>
  <si>
    <t>…los países, y ventajoso á sobre que se le permita enagenar algunas fincas de su fabrica para satis la España. facer sus deudas, habiendo de hacerlo con intervención del comisio fl Sr. Arguelles manifestó que se oponia enteramente á la idea nado del Crédito público. Aprobado. propuesta por el Sr. Galiano, pues las Cortes t: hallaban en el caso La comisión segunda de Hacienda opinaba que d:bía concederse á de hacer valer un derecho no inútil, sino es…</t>
  </si>
  <si>
    <t>1004</t>
  </si>
  <si>
    <t>…ida por lo que dispo lior Somoza para que fuese extensivo á tod s las comisiones lo dispues ne su última parte. to respecto de la de Hacienda, y otra d los Sres. Domenech, Rome El Sr. Arguelles: Si no riese que habla una notable diferencia en ro y Aguirte para que se nombren comisiones que preparen los traite tre establecer en las Améticas la dominación de la metrópoli como jos para la próxima iegis'aiura. * existía antes de !a gloriosa restaurse on…</t>
  </si>
  <si>
    <t>…rdia. egército; y que el Gobierno creía que los «pitan» da alabarderos po El Sr. Infante convino con ia adición de que se trataba. dían ser de la clase de coronel» de egéicito. El Sr. Arguelles 1 A una de las das oposición» que yo tenia á «te El Sr. Infante contestó que le comisión , habiendo propuesto que artículo te ha contestado ya; por consiguiente me limitare soinm-nte á los soldados de alabarderos fuesen sargentos, había tenido buen cuida do d…</t>
  </si>
  <si>
    <t>…a Na dité Yo solo que:carao itsats v&gt;si*ssiiisv«irisa -Santander» *13-737: cósa examem sin que preceda ninguna ción no puedo aprobir el debido iissiMm _5ígavia~»...... i8s.93*- El Sr. Arguelles r;El Sr. diputado que acaba * de hablar ha roa- S - v illa............. í- a.Tor.ósS ntfestádo i que debia precéder un examen pievio en asúmes de con- - So na........... ~ 431,154 y tribucionnitEl sistema general ha sido discutido en las Cortes con toda Toled…</t>
  </si>
  <si>
    <t>…un. en la masa de bieües destinados á ia indemnización de los participes le Se aprobaron las dos primeras, r el ?r. Me'endez retiró la tercera. gos de diezmos.” Se aprobó otra del Sr. Arguelles para que en el art. 6.1’ s- di¡c»í.Se exceptúan solamente las fincas ó bienes que constituyen la dota *. Pero donde no hubiesen llegado ias d-gnidades y cancr.g as a esta, do ción de las capellanías ó b*neficios d; patronato pasivo de lana los, con tan on s,…</t>
  </si>
  <si>
    <t>…ras los haya, pues solo se debe* es lo que se expresa en ei aitículo , y asi creo que debe aprobarse. rá atender á lot empleos efectivos para toda clase de servicio.” Aprobado. El Sr. Arguelles: Me parece que quitándose del artículo Ja última Art. 14. « Siempre qu: tropas de diferentes cuerpos se reúnan en cláusula, que dice lo qut no puede reputarse un acto de servicio, que un puesto para cooperar juntas á un acto de servicio , tomará el mando daba…</t>
  </si>
  <si>
    <t>…to tan importante i los in sificador de firmas y letras. A tal amo tal criado " dividuos del cuerpo en que sirvan." En la noche del j fueron presos en Barcelona el P. Quintana, El Sr. Arguelles pidió que en vez de nueva/ instituciones te dijese el P. Andrio, el P. Orfila, carmelita , el P. Catate, franciscano, Don Á ia Constitución. Pablo Duran, juez de primera instancia de Granollers, y D. Julián El Sr. Flores Calderón hizo varias observaciones con…</t>
  </si>
  <si>
    <t>…ones que acaba de hacfr el Sr. López declaren hib.-r lugar 4 votar sobre la totalidad de este proyecto. del Baño me parece que no satisfacen 4 las objeciones que pesan sobre el El Sr. Arguelles: En todas época* he sido enemigo de lo que te liaproyrcto, pues cuando la comisión se propuso formar este reglamento ma policía por las razones que diré después; peto habiendo llamado el de policía según los deseos de las Cortes, debió haber tratado este asun…</t>
  </si>
  <si>
    <t>…afe porque se llama regla mento provisional; pero las leyes de esta especie por la inisma Consti REGLAMENTO PROVISIONAL DE POLICIA. tución, y por las razones que manifestó ayer el Sr. Arguelles, deben CAriTUlO PRIMERO. ser provisionales; y asi se dijo Umbleh en Cádiz por las Cortes extraor dinarias que se formase un reglamento de policía según las circunstan Dt las autoridades £ quienes compete el inmediato conocimiento en cuanta cias,' y como estas…</t>
  </si>
  <si>
    <t>…ESPAÑA. parados de sus diócesis, cuyo máximum en ningún caso podrá exceder Madrid Domingo 10 dt Ottubrt. de ao9 rs. vn., redue endose á esta cantidad las que esten conc didas. El Sr. Arguelles: D.searia que el Gobierno me dijese si ha seña S. M. el Rey y SS. A A continúan sin novedad en su importante lado alguna dotación á los prelado* extrañados, ó si cobran alguna talud. S. M. la Reina continúa aliviada. cantidad de subsidio. CORTES EXTRAORDINARI…</t>
  </si>
  <si>
    <t>…ha expuesto el Sr. preopinante, pues el Este ts un principio cierto, que reconocen todos , y ha confesado el Gobierno no está facultad o para trasladar á los empleados de un punta Sr. Arguelles. ¡Qué motivos puede haber pues para que en el mismo á otro, aunque renuncien sus sueldos , y por lo mismo es preciso au mom'nto en que el empleado renuncia su sueldo el Gobierno le tras torizarle con esta medida. lade i otro punto! Si el empleado renuncias: á…</t>
  </si>
  <si>
    <t>…. Si no se epruebe la medida que se propone, todo aquel ó el comandante del distrito destine para ocuparlo. que no proceda de buena fe sacará patiido de la misma ley que se tra El Sr. Arguelles : Este artículo califica una acción criminal, é im taba de poner. ¡ Y esta especie de leyes es una cosa nueva en nuestra pone una pena , y seguramente diría que es excelente artículo si corres legislación ? ¡ Qué cosa mas sagrada que la propiedad i ; y qué co…</t>
  </si>
  <si>
    <t>…deben aprobar el urt cuio. Rl Sr. Sotos i En los términos en que se propone esta medida no Ei Sr. Canga: Pudieiu decirse que este art eu’o volviese á la ¿emi debe ser aprobada. El Sr. Arguelles ha demostrado hasta la evidencia la sión para que lo leriaclj-.r de r.-c.vc , tu.s no d.;3n de habrr hecr j al imposibilidad en que se hallaran ios pueblos de caicular el número de guna fuera muchas razones que se han c.'rpu.-sto por algunos señores pre facci…</t>
  </si>
  <si>
    <t>…ficios de la Constitución los criminales que cion están en el mismo centro del poder egecutivo. conspiran contra ella, se declara llegado el caso del art. 308 de la Ha indicado el Sr. Arguelles que no tendría inconveniente en admitir misma Constitución, y suspensas las formalidades prescritas pira el ar una ley dura , con tal que fuese constante y no estuviese en contradic resto de los delincuentes en las cansas que se formen contra los que di ción…</t>
  </si>
  <si>
    <t>…la cias son de tal naturaleza que debamos llevar i efecto *1 art. go8 de la declaración que respecto otro ministerio hicieron las Cortas extraor Const.tucicn. dinarias de i8ai. Ei Sr. Arguelles ha citado el egempio de Roma; y yo no ig Por urdís estas razonas concluyo manifastando que aunque deseo noro cuan d.fer-nte era ei estado de aquella república; pero tam ** revista ai Gobierno de ia autoridad que necesita , no puedo confor poco se me negará la…</t>
  </si>
  <si>
    <t>…ederse con energía por ios ticia i la i.ustracion del Congreso; y he aqui también por que la comi tribunales. sión no ha determinado en su dictamen las personas que han de ejer El Sr. Arguelles be manifestado la duda de si se depositaba esta cer estas facultades, porque no es necesario, y porque esta bien claro en facultad en las manos de todos los administradores de justicia , ó sola la misma Constitución, cuáles son las formalidades del arresto qu…</t>
  </si>
  <si>
    <t>…te discutido, y haber tugará vo del Congreso que parta de lo» argumentos explicados con tanta elegan tar sobre la medida , y que la votación fuese nominal. cia y vehemencia por el Sr. Arguelles me han aterrado. Conozco «I Algunos señores diputados hicieron varias preguntas sobre la inte desprendimiento que va á hacer la Nación de una de las regalías en ligencia de la med.da , á las cualas se contestó por los Sres. de la co que estr.ba la seguridad i…</t>
  </si>
  <si>
    <t>…o debe ahora producir algunos otros, pues este no estar i hecho de las sumas de que se habia hecho mérito. en t." de Diciembre. El tiempo que se tarda en pontr las tropas sobre El Sr. Arguelles dijo que en este caso apoyaba el dictamen del las armas , las batas de los cuerpos, la tropa que se inútil' zj -ve. , son Gobierno. otras tantas economías. Asi pues yo votaría porque esta, c-i-nonva» &lt;■; El Sr. Galiano apoyó que se concediesen al Gobierno los…</t>
  </si>
  <si>
    <t>bre tila*; y en cuanto i la de loa Sres. Sedeño y Lillo pata que se El Sr. Arguelles preguntó al Sr. secretario si en los art-'culos' del declarasen comprendidos en la suspensión de qu: trau la medida Ü.J á código p nal que se habían leído había la expresión acant.nam ento. los secretarios de los apuntamientos, opinaba que era inútil , porque…</t>
  </si>
  <si>
    <t>1631</t>
  </si>
  <si>
    <t>…di;.clamen .ur,:-i el h.:a,.o , v de la tiranía , y asi soy de parecer que el proyecto debe aprobarse. qué reglas s: han de seguir para calificarla. ¡Por vente,-a cuando se :.aEl .Sr. Arguelles: Cabalmente el mismo temor de caer en la exe bió de las conspiraciones en el código penal, se abn t ron ...d rectas? cración de mis comitentes me ha puesto á mí ea la precisión de im No Señores; yo podre ser cons.aerado como conspiraior mi.recto pugnar este p…</t>
  </si>
  <si>
    <t>…a la restricción it de sus facultades. Entonces diré yo, tes deben aprobar el artículo, digan lo que quieran todas las alian i para que es necesario el decretar lo que pretende el Sr. Arguelles, zas del mundo. ¡Hrmos necesitado de ella» pera establecer la Constitu puesto que el Gobierno lo puede llevar á efecto? «Y este con qué mo ción ? Es claro que no: y si dicen que es escandalosa la suspensión de tivo ha venido i pedir á las Cortes una ley para…</t>
  </si>
  <si>
    <t>…ida en sí no merece impugnación, porque no con- berá extenderse i todos los españoles. tirne otra cosa sino lo que la Constitución y las leyes tienen ya acordado. El Sr. Marau: El Sr. Arguelles ha manifestado tos abusos fi qus Ha propuesto el Sr. Romero una adición con al objeto de evitar cierto puede dar lugar este artículo por el modo en que está concebido; pero abuso Instante trascendental que puede cometerse en el reconocimiento por mas riesgo»…</t>
  </si>
  <si>
    <t>…patria. Voy á das preventivas; á loque se opon: es al juicio, du.s ciu ya p:ifn.rca los ai t umentos que se han hecho para hacer ver que prisión y detención a) jurz. Ha dicho el. Sr. Arguelles que es una aiteriaei hacer d &gt;t n.io no L-. igual : se trata aquí de que 30 dias ha de estar privado un hom nes entre el atristo , la prisión y la det.ncion ; p ro nadie podrá ne bre de su libertad: ;en qué consiste esta libertad! en que un hombre garme qu: e…</t>
  </si>
  <si>
    <t>…ece gue que para conservar la paz y asegurar los tronos se pugna contra los sario para tu msnutencion. partidarios de la libertad ¡ ¡pero quién sostiene este combate! Egércitos El Sr. Arguelles indicó la necesidad da tomar en consideración !o disciplinados, cuyos Gobiernos no conocen el nombre de libertad, y que proponía el Sr. Vsldés. que 1 aman rsbeldes ¿ los reformadores para tener un pretexto de suje El Sr. Canga dijo que loa detenidos que hubie…</t>
  </si>
  <si>
    <t>Gaceta de Madrid n.º 331</t>
  </si>
  <si>
    <t>…; por loque la comisión no hablaba palabra viese á la comisión pata que presentase un dictamen mas favorable. de diputados 4 Cortes ni de consejeros de Estado; confirmando esto El Sr. Arguelles; La comisión no ha podido desentenderse de que mismo el que la comisión no decía que se desaprobase la adición, sino habia de mediar en este asunto la iniciativa del Gobierno. Este ha pe que era inoportuna , porque dejaba las cosas conforma estaban. dido á la…</t>
  </si>
  <si>
    <t>…o qus no están en el mis ligro de la patria fuete mayor, j qué deberíamos hacer entonces mas que mo caso. salvar la libertad política de cualquiera manera! Habiendo el Gobierno El Sr. Arguelles: Yo me contraerá en esta discusión solamente 4 propuesto estas medidas, y apoyado aquí el dictamen de la comisión, la doctrina relativa al caso en que S. M- debo dar su sanción , y el cato yo creo que se «ti en el caso de no mandar 4 la sanción «te decreto. e…</t>
  </si>
  <si>
    <t>….° » ÍLiliándos* acampado el egército, se montarán las guar de guerra, había llegado el caso del art. 41. dias si salir el sol, y empezara á tocar la asamblea en toda la linca, El Sr. Arguelles dijo que si al discutir las Corta* el decreto de 29 precediendo la señal de uua llamada con tras golpes de caja. A este de Junio previó el Gobierno el considerable número de bajas que ha aviso tocarán todas las bandas de tambores, cornetas y trompetas d.l bía…</t>
  </si>
  <si>
    <t>…al, y probab.emeute no se p-esentó ai gtr.-ril M 1 ep u r, ti n-i-mo - f- ' ? &gt; t.* « •&gt; un duro á cada u-iis : rn .» :» s • pres-nteron cuatro \ -. 1 : sabrá cómo hacerlo. , . El Sr. Arguelles: Por este artu.10 se autoriza al Gob ernó pa pisa d a qu; r . s • fe.-ita lo m siv.o rr. *-,*os lo» pu-1' o;, er. ■; ;; . 0: :. :■■ ■ i" que tí p" 1 h..b a t ra el pago de atrasos de les yr.suo.il’r slos de los años primero y luna se va tas.-a;:d.' . 1 segnnd…</t>
  </si>
  <si>
    <t>…d: aprobar igualmente e: qu.* s: discute. da haré proposición formal para que se acuerde lo que he poj-iiesto. Dice el Sr. U.iver qu: no hay convenieneia p,.b'ica en que el in E! Sr. Arguelles: Las Cortes cor.oc.rnn culi será mi embarazo at dulto se haga extensivo á los individuo} de guHiil’s que s-* presentar n manifestar mis ideas cuando veo que se habrá d sv,u;:cido rn gran par en Vica-.bato; peto yo dir: que la misma con; ■ r. rrcia pibiica y l…</t>
  </si>
  <si>
    <t>…r ó subdelegado del intendente, y de los co forme ha propuesto el Sr. Canga , todos estaríamos conformes. mandantes de artillería e ingenieros, hará un reconocimiento exacto de El Sr. Arguelles: Si los señores de la comisión convienen en re los almacenes y repuestos de municiones de boca y guerra , de la arti dactar el artículo del modo que le ha propuesto el Sr. Canga, renun llería y sus pertrechos , de todas las fortificaciones de la plaza, y de c…</t>
  </si>
  <si>
    <t>…misión Habiendo pedido algunos señores diputados que se contase nueva de Hacienda de la legislatura anterior. mente, por haber entrado en el Congreso algún br. diputado, se con El Sr. Arguelles : Por mas protestas que se ban hecho por lo* se testó por algunos señores que ya estaba decidido. ñores que baa hablado sobre este asunto de qu* tu ánimo no era Se hizo la pregunta de ti este asunto era de gravedad , á fin de pro entrar en la cuestión de si d…</t>
  </si>
  <si>
    <t>Gaceta de Madrid n.º 361</t>
  </si>
  <si>
    <t>…ales tolos 6 ú 8 millones se inver hay mas escuelas dotadas que donde le hay. tían en objetos de común utiiidad- Ademas al Gobierno es al que corresponde decir i los consulado* El Sr. Arguelles, después de manifestar que era inútil el recordar que presenten s^s cuentas á liquidar, porque en estas materias general i las Cortes la parte odiosa de los consulados, puesto que no era el ob mente se abultan los gastos mas de lo qu: en realidad son. Esto mi…</t>
  </si>
  <si>
    <t>…á los españoles interesados en las redamaS. M. la Reina esta aliviada; y SS. AÁ. siguen sin novedad en su im ciones de la manera que lo determinen tas Cortes. portante salud.” El Sr. Arguelles dijo que se tesetvaba hacer una adición i este ar CORTES EXTRAORDINARIAS. tículo , y luego quedó aprobado, Art. ta. » Se procederá desde loego á la liquidación de las men VKASIDBMCTA DHL SESO* OLIVA*. cionadas reclamaciones, y ei pago de las cantidades recono…</t>
  </si>
  <si>
    <t>…iiirro para 1 ¡- se les perol I:;-.* e’:-¿rr ia poderosos para que se tomase en consideración este asunto. pesca , se ve que no está en armonía este dictrm-n con lo qu; en -! a El Sr. Arguelles dijo que se oponia í la cláusu a a que había hecho se previene; y asi yo soy de cp.ni n que d be i secha-s; c d ctam n refe-encía el Sr. preopinante , y después de una corta discusión con el que se eit-ute, por cuanto r.sucva ton ii";... i 'ia precipitación u…</t>
  </si>
  <si>
    <t>…puesto falso. Discutido suficientemente este artículo quedó aprobado, excepte la El Sr. Becerra: No se puede resolver de pronto esta proposición; segunda pane, que á propuesta del Sr. Arguelles retiró la comisión para sin embargo debe tenerse presente que solamente será objeto de alguna reformarla. ad icicn í los artículos de este capítulo, ó de algún artículo nuevo. En Quedaron aprobados dos artículos adicionales, referentes el prm-ro cuanto á ia o…</t>
  </si>
  <si>
    <t>…guna manera pu-den considerarse comprendido* desaprobado. tn ¿l por las razone* que ha manifestado al Congreso. S: leyó la siguiente adición al art. 9°díl decreto da las Co-te* El Sr. Arguelles: Desearla que los señores secretarios del Despacho •obre el testimonio de gratitud por ios aeont-c'm;- ntos de! 7 de Ju..o se sirviesen decir si el comandante general de que se (rata tiene causa de los- Srrs. Oí ver, Zuíutta , Serrano , Valam y Grases. pendie…</t>
  </si>
  <si>
    <t>…ever este caso , y evitar por todos los medio* verá gustosísimamente a tomar este asunto en consideración. posibles el que se nos insulte y el que te no» invada ; y no cesar de El Sr. Arguelles: Deseo hacer una pregunta, qua ro compromete al tomar disposiciones hasta que *e nos den las correspondientes segurida Gob eino en manera alguna; et solo una duda mía, que deseo , si pue des de qne se nos conservará la paz : muchas disposiciones se han to de…</t>
  </si>
  <si>
    <t>…¡argentos y demás (latee de tropa. propone se exijan á la Nación , se reduzcan á dos sextos ó un tercio. ' Art. (.* »• Los guardias alabarderos gozarán á los 15 aftas de servi Ei Sr. Arguelles: Me obliga á aprebar el dictamen el intimo con cio la tercera parte da su htber: á los so la mitad: á los 15 dos ter vencimiento que tengo de que el único medio de evitar á la Nación cios; f á los 30 aa les considerará para sn retiro como subtenientes de mil…</t>
  </si>
  <si>
    <t>…el negocio guber Real á ningún funcionario del poder egecutivo. nativo la resolución era de los gefes políticos. Yo soy individuo de la ccnmkn que turo el honor de presentar á El Sr. Arguelles propuso se dijese oido el dictamen de la Jifut.uion las Cortes medidas casi de esta naturaleza para extirpar lo males de ia provincial, y no de acuerdo 6 ton acuerdo, cuya* palabras impugnó en Nación; pero aquellas son momentánea*, y se accudaron con cierta*…</t>
  </si>
  <si>
    <t>Arguelles, Agustín</t>
  </si>
  <si>
    <t>Agustín Arguelles</t>
  </si>
  <si>
    <t>…ución de 18 de Junio del afio último acordaron laa Cor tados. Asi se verificó. tes, i propuesta del Gobierno, que el tesorero general de la Nación As tib ias. D. Diego de la Vega, D. Agustín Arguelles. La comi D. Antonio Martínez continuara en el ejercicio de sus funciones por sión opinaba que debían aprobarte estos poderes, devolviéndolos para todo el tiempo en que su compafiero D. Juan Antonio Yandiola se ha que se legilicen como corresponde. Aprobado».…</t>
  </si>
  <si>
    <t>…s Cortes Ad mis el art. 33^ de la Const tucion, Cuando yo be hablado esta mañana, no ni: he acordado de que el cu indo hab a de la smp-nsion de los voca!es de :as diputación.s pro Sr. D. Agustín Arguelles era secretario d: la Gobernación d: la Pe vinciales , hab a de una susp osion gubernativa , y no por pma; y por nínsula en la época en que ocurrieron les h-chota que me contraje: eso añade que se d¿ cuenta i las Cortes de esta medida ; por consi- Yo no he tra…</t>
  </si>
  <si>
    <t>Arguelles, Canga</t>
  </si>
  <si>
    <t>Canga Arguelles</t>
  </si>
  <si>
    <t>…las elecciones de Alava, den lo digo i V. para su conocimiento, gobierno y exacto cumpli manifestaba estar arreglada i la Constitución. miento. Madrid 18 de Febrero de 18» 1.” El Sr. Canga Arguelles dijo que se podía aprobar el acta, sin em Circular dtl ministerio de Hacienda, bargo de que todavía no se había presentado ninguno de los Sre*. dipu n Por resolución de 18 de Junio del afio último acordaron laa Cor tados. Asi se verificó. tes, i propuesta del…</t>
  </si>
  <si>
    <t>de* de la* provincias , rendiéndose *1 público i coste y eosta*.” ' El Sr. Canga Arguelles apoyó lo que había expuesto el Sr. pre El Sr. Canga Arguelles manifestó que ayer te había leído una pro opinante, manifestando que te debía responder al Gobierno, porque ti posición sobre policía, asunto que el Gobierno recomendaba con mu no , volvería á insi…</t>
  </si>
  <si>
    <t>…isensiones últimamente ocurridas, i las cuales dió origen la descon la del Gobierno interior de Cortes. fianza que infundieron las causas indicadas por las Cortes anteriores en El Sr. Canga Arguelles dijo: Yo no tengo inconveniente en que se su mensage de 15 de Diciembre. reúnan las comisiones que se citan; lo que quiero es que U reforma *» Las Corte* se duelen con V. M. de estas disensiones , y emplearán empiece por nosotros 7 nuestra casa, para luego pa…</t>
  </si>
  <si>
    <t>…te* pera el la misma plaza de la Constitución procede á la quinta. ¡Y qué cxtia- objeto a que se dirigía. ño seria que una operación de esta naturaleza, operación tan terrible, El Sr. Canga Arguelles: Ya dije ayer qu: m: era muy sensible el qué extraño sena, digo, que pus ese en movimiento las maquinacio haber tenido parte en una proposición que creí ser muy sencilla , tamo nes de una facción extrangera, que lleva 30 años de escuela de 1 evolu por el modo…</t>
  </si>
  <si>
    <t>Argüelles, Canga</t>
  </si>
  <si>
    <t>Canga Argüelles</t>
  </si>
  <si>
    <t>…ual asunto, y 1 Se leyó asimismo d voto particular de los Síes. Jiménez y Adán. oían últimamente al Gobierno, sin que nada Ies constase de su atole. Otro del Sr. Istunz y rtio del Sr. Canga Argüelles. Concluyó diciendo que el decoto del Congreso y la utilidad pública Se acordó que se imprimiese con urgencia , y se levantó la sesión á exigían que las Cortes aprobasen esta proposición. las doce y medra. El Sr. marques de la Merced te 01 uso á esta propctici…</t>
  </si>
  <si>
    <t>Arguelles, Juan</t>
  </si>
  <si>
    <t>Juan Arguelles</t>
  </si>
  <si>
    <t>…direccio Habiéndose denunciado al Sr. alcalde constitucional de esta M. II. nes de los trasportes y los azares de la navegación. villa por D. Juan Cornejo, en nombre de los Sres. D. Juan Arguelles 6.a Si a la dirección general ocurriese algún pedido extraordinario Vaidés, D. Anacleto Fagoaga y Dutari y D. Antonio Siles, magis por alvun suceso imprevisio, y que no dé lugar á la anticipación y trados de la audiencia territorial de Madrid, el Zurriago núm…</t>
  </si>
  <si>
    <t>Argüellet</t>
  </si>
  <si>
    <t>Gaceta de Madrid n.º 104</t>
  </si>
  <si>
    <t>…s Sres. diputados al hablar él días pasados acerca de trada de puertos , como si fuesen buques españoles.* este interesado. Que tampoco se concedía un privilegio exclusivo, poi Ei Sr. Argüellet dijo que al paso que aplaudía el zelo de la comíque habia diferentes modos de pagar una deuda; y teniendo la Nación sion de Comercio en tratar de remover los obstáculos que se oponiaa un fondo de 10 millones de reales para satisfacer los altasos resultantes a…</t>
  </si>
  <si>
    <t>Arguelle’</t>
  </si>
  <si>
    <t>…alió el Sr. secretario de Hacienda, diciendo que uno y uno ro e&gt; mas mismos particulares, y qu; ha sido vencida en jucio; p-ro est-- ro es el que uno, solo ht hallado apoy &gt; en el Sr. Arguelle’: S. S., cuya mode caso del d;a: aquí es la Nación quien contrata Jachuda, puesto que ración y cortesía favorece á ios mismos á quienes impugna, no te ha ella es la obligada á su pi.-o; y como este haya de hacerse por. n.ed o mostrado tan indulgente con la com…</t>
  </si>
  <si>
    <t>Arguello, Manuel</t>
  </si>
  <si>
    <t>Manuel Arguello</t>
  </si>
  <si>
    <t>…puesto de los sefiores D. Francisco Ig del batallón de la milicia activa de Búrgoa, con 670 rs. al mea. nacio Marti, D. Francisco Antonio Larraza, D. Francisco Hidalgo, Asiorga al capitán D. Manuel Arguello, segundo ayudante del re D. Martin Fernandez Elias, O. Manuel Moreno de Mora, D. Josef gimiento infantería de Galicia, con dio rs. María Viilaranda, D. Gerónimo Martínez Enrile y D. Juan Bautista Alcalá al capitán D. Hermenegildo Alcarfz, segundo ayudante su-…</t>
  </si>
  <si>
    <t>Argüeties</t>
  </si>
  <si>
    <t>…a encargó £ los taquígrafos que tuviesen el mayor cuida comisión de Hacienda. ( Víate ¡a sesión del ss.) do , especialmente en las cotas esenciales p de trascendencia; p que si El Sr. Argüeties: Yo encuentro aquí un obstáculo insuperable, que so oían ó no estaban bien enterados de ellas, nada escribiesen. no me permite unir ai voto £ los «le mis dignos compañeros. Es im El Sr. Oliver dijo, que en efecto se notaban equivocaciones en loa posible , Señ…</t>
  </si>
  <si>
    <t>ArgüeUes</t>
  </si>
  <si>
    <t>…para la Diputación paraúsente los tres dipu fería de 1a patria y mantenimiento de su independencia y libertad civil.” tados americanos que te hallaban en las Cortes. Aprobado, El Sr. ArgüeUes dijo que en todos los Sres. diputados taoto en TITCIO vi. los que defendían como en loa que impugnaban el dictamen s- rcita los mismos deseos de cumplir con lo que prevenía la Constitución; Instrucción. pero que no dependiendo ni siendo culpa de las Cortes el…</t>
  </si>
  <si>
    <t>Arguiano, Juan Domingo</t>
  </si>
  <si>
    <t>Juan Domingo Arguiano</t>
  </si>
  <si>
    <t>…gefes pe imos, que ciosos, dispuso enviar á perseguirlos una de milicianos de dicha villa, vendrán á formar por si un poder diferente , y esto no d.b mos tole al mando del oficial D. Juan Domingo Arguiano, tomando de paso rarlo, ni tampoco está en nuestras facultades el permitirlo, bi los d puen Ktgoibar un refuerzo; y habiendo mandado el comandante de tados á Cortes quedan sujetos i la medida de que se trata , puede ser la de este último pueblo D. Santiago Mu…</t>
  </si>
  <si>
    <t>Arguindegui, Juan Josef</t>
  </si>
  <si>
    <t>Juan Josef Arguindegui</t>
  </si>
  <si>
    <t>…de capitán general, mandando ademas ayudante D. Josef María Quijano, el comandante de la caballería que en la víspera de la solemnidad se cgecutase lo mismo que se haca voluntaria D. Juan Josef Arguindegui, y el sargento de voluntarios en el memorable dia Dos de Mayo. de infantería D. Josef Obeso , son acreedores i la gracia de S. M., co Este es pues el triste, aunque célebre recuerdo que hoy se ha hecho mo igualmente todos los que se hallaron en la acción. Me…</t>
  </si>
  <si>
    <t>Argürlhs</t>
  </si>
  <si>
    <t>…s el ocultarlos de la viita de las tropas constituciona- Ei 'r. presidente: A la cuestión . Sr. Argi¡ lies. le.? Ya se ha rl;cho en este mismo sitio que mientras hubo en Lucena El Sr. Argürlhs: A ia cu.stior. voy, ;r. presidente: pero esta es un buen ayuntamiento fue const tucional, y cuando a este le retmp'a- muy importante. zó uno malo , se corrompió el espíritu púb ico, y 110 tuvo lugar la La naturaleza de los avuntamiert. s y el car i^terqu* le…</t>
  </si>
  <si>
    <t>Argüsiics, Josef Canga</t>
  </si>
  <si>
    <t>Josef Canga Argüsiics</t>
  </si>
  <si>
    <t>…&gt;de que se trata. Josef Rafael Fernandez Cid, por la ds Galicia; D. Aguar.n de Argüe• En seguida se declaró este asunto por suficientemente discutido, jr lies, por la di Asturias; D. Josef Canga Argüsiics, por ia misma; y quedó aprobado el dictamen de la comisión. D. Pablo Lillo, por la de Jaén. j." El ;r. D. Pablo Santaíe, diputado .Se nombró á los Sres. Nuñez, Ruiz de la Vega, Becerra, Meló y por la provincia de Aragoo, ejercerá en di.ho tribunal ¡a» funcion…</t>
  </si>
  <si>
    <t>Argüsllet</t>
  </si>
  <si>
    <t>…ficio del «tirio público desde i-° de Enero dd presen» no* á una facción liberticida que nos estaba minando. alo de la asignación de 31 rs. mensuales que disfruU de retiro, man E&gt; Sr. Argüsllet dijo que ni apoyaba ai impugnaba la proposición, dando te hagan pfihlicai tan patrióticas sentimiento* y loable detíutoporque todavía no hab a formado juicio sobre día, y solo qu* aat. pan que sirve de satisCtccion del interesado y de estimulo á otras. ao aut…</t>
  </si>
  <si>
    <t>ArgütUes</t>
  </si>
  <si>
    <t>…de ardida* para excitar al desorden , á la torios , debía decir dependientes del ministerio de Haciénda desunión y i la desconfiaría 1, únicos elementos en que saben vivir , ha os Sr. ArgütUes te opuso i ama artículo , manifestando que ni po bían propagado voces tan desagradable*, que se deseaba con ansia que día ni debía corresponder i un tribunal el conocimiento de ia causa llegase el correo; y este, con efecto, nos hi desengañado, manifestan que…</t>
  </si>
  <si>
    <t>ArgüUes</t>
  </si>
  <si>
    <t>…r , no siendo fácil distinguir cuál era la habitación añadirse al artícu.o antes de la palabra españoles la siguiente duda- del posadero , y cuáles las de los huespedes. danos. El Sr. ArgüUes: S&gt;no »: aprobase este artículo seria este un me ti Sr. Adan: Ha dicho uno de los Sres propinantes que este ar dio seguro de retra-r á muchas personas de que ganasen su vida por tículo es r dun lintc, p irqus está ya expreso en ia Con.tltucion lo qua medio de…</t>
  </si>
  <si>
    <t>Aria</t>
  </si>
  <si>
    <t>…y Pambley. parroquUI.de la misma, y de la* comandantes de U milicia legal, de U. Fernando vn por la gracia de Dios y por la Constitución de la nunció al Sr. alcalde constitucional D. Aria* Gonzalo de Mendoza un Monarquía española, R*y de ias Españas, á todos los que las presentes artículo comunicado, inserto eu el Espectador núm. 449, que empie vieren y entendí ren , sabed i Que las Cortes han decretado loque sigue: za: wGastuera (provincia de…</t>
  </si>
  <si>
    <t>Aria, Felipe Fernandez</t>
  </si>
  <si>
    <t>Felipe Fernandez Aria</t>
  </si>
  <si>
    <t>…amento, los de Olea y Cárnico, D. Francisco Salvi, D. Antonio Cenia, D. Josef cuales te leyeroá; y « acordó proceder después d nombramiento de loa Marañes, D. Ramón Diu de Ortega, D. Felipe Fernandez Aria*, sedos Sres. diputado* que en ello* te citan. dar marques de ja Torro, D. Juan María Fcnct y D. Joan Bautista Se leyó d dictamen de la comisión de Premio* para que te conti Dotan*. núe pagando 4 D. Antonio Díaz del Moral, ex-diputado de la* Cor Sefiom qne di…</t>
  </si>
  <si>
    <t>Arias</t>
  </si>
  <si>
    <t>…anto estaba su familia, á la viuda del desgraciado Sánchez, al mayor Gonzá deliberando la Cámara sobre verdaderas leyes, cuanto sobre intereses de lez , al oidor de Lima Cupe y al capitán Arias. partido. Por otro conducto no menos respetable se han sabido las misma* « ¡Qué motivos verdaderamente públicos (prosiguió), qué considera circunstancias acerca de los sucesos de Lima , añadiéndose ademas que ciones verdaderamente generales han dictado el pro…</t>
  </si>
  <si>
    <t>…mayor utilidad para el indivi para la de Instrucción pública el Sr. Moreno; para la de Libertad de duo suponía también mayor utilidad parala Nación , y de consiguiente imprenta el Sr. Arias; para la de Marina el Sr. Roig; para la de Mi debía calcularse la cuota en razón directa de a'nbis utilidad.s. licias el Sr. Belmont:, y para la de Policía el Sr. Mar.so. El Sr. Sotos contestó que podía haber profesiones que fuesen muy La comisión de Gu;rra ,…</t>
  </si>
  <si>
    <t>…un oficio del Sr. secretario de la G ibrrnac'on de t.nd dos con las formalidades que están prevenidas.** la Penínsu'a, en el que informaba fe; orab.emente la sol.Jtud de la di Ei Sr. Arias dijo que si los depositarios habían de ser removido* to putación provincial de Guipúzcoa y ayuntamiento de Ti losa, para qua dos los años, encontraba un inconveniente, cual era el gasto extraordi S. Sebastian tío sea capital de provincia, y lo sea en su lugar…</t>
  </si>
  <si>
    <t>…drían á quedar tujeto* otra vea á ganar la subsistencia.” Lo retiró la comisión. la* trabas de las antiguas ordenan»*. Art. 6.' * Están dispensados del servicio de csu milicia: El Sr. Arias hizo una pregunta acerca de la desigualdad que podia i." Los diputado* á Cortes. haber entre las necesidades de do* familias de igual número de perso z.° Los individuos de la» diputaciones provinciales y ana se nas; á lo cual contestó el -sr. O.iver, que la c…</t>
  </si>
  <si>
    <t>40</t>
  </si>
  <si>
    <t>….1, y sin n.-eesición del Sr. Munarriz al párrafo 8.° del art. 6/ del reglamento para dad de nueva declaratoria, podía mandarse al Gobierno se diese cum dichos cuerpos; y otra del Sr. Arias al art. 8.a del mismo. plimiento al estallo decreto, siu hacer excepciones que retardasen la La comisión de Guerra, informando sobre Ja proposición del 1:- cobranza del medio diezmo , imposibilitándose de esta manera la subsis Bor Ada ñero , reducida á que se…</t>
  </si>
  <si>
    <t>…tribución de consumos. dría sacrificar un egérc.to de 10 ó 15® hombres, sin incurrir en otra Aprobada. pena que la de dos años de prisión; pena que no guardaba proporción Otra del Sr. Arias al art. ■ 1 , párrafo 2.0, para que después de las con el delito, ni la menor conformidad con las ordenanzas militares. palabras cualquiera que sea , se añada las retengan en poder suyo sin El Sr. Zu'u ta contestó que la comisión no pudiendo hacer un có entre…</t>
  </si>
  <si>
    <t>…ai se practicó diligencia alguna en su busca- Pieza principal , fol. 73. extraordinarias qu: subsigu'eroft al cerrarse la legislatura ordinaria , lo Al mismo tiempo que formaba el juez Arias esta cauta, formaba que impidió seguramente que el Gobierno utilizase la mayor parte del también por desgracia la del capellán de honor D. Matías de V.nuetérmico que se te concedió para ella. Lo que comunicamos á V. E. d* sa por el mismo delito de conspiració…</t>
  </si>
  <si>
    <t>Arias, Antonio Sandalio de</t>
  </si>
  <si>
    <t>Antonio Sandalio de Arias</t>
  </si>
  <si>
    <t>…Se hace saber al público pata su ras, D. Sebastian Andrés, D. Matías Casero ,D. Juan Paz, D. Casi inteligencia, adviniéndole que su primero y último remate se ha de ce miro Marín, D. Antonio Sandalio de Arias, D. Antonio Regas, lebrar el dia 5 del próximo nv» de Set embre de 11 á 12 de su mañana. D. Lorenzo Lambes y D. Manuel Estaban Caíala. Los testamentarios de D. Josef María de Galdot, vecino y agen te de negocios que fue en esta corte, se hal'an con algunos re…</t>
  </si>
  <si>
    <t>…iones dirigidas á la milicia nacional dt Madrid. Señores en cuyo concepto debía declararse absuelto d.cho artículo: » Milicianos voluntarios de ambas armas de Madrid: vuestros com D. Antonio Sandalio de Arias, D. Juan Isidoro Perez , D.' Manuel pañeros de armas de infantería y caballería de esta ciudad han sabido Carnicero, marques de Torrenueva, D. Francisco Martínez Marina, con admiración los heroicos esfuerzos que habéis hecho en unión con D. Josef Castel , D.…</t>
  </si>
  <si>
    <t>…Agosto de ger.li s este año. El aprecio que mereció est: tratadito al benemérito catedráti Ot: 1 del Sr. Melend'z al art: 4 ', relativa á que se dé cuenta á la* co de agricu'tura D. Antonio Sandalio de Arias, y a la comisión de Cortes m tisualm inte del resiftadode astas medidas. censura que le examinó con ias demas obra* que aspiraban á los premias, Otra del Sr. Mutmr 1 para que la d: irgac‘on de que habla el ar basta para recomendarle á los qu: gusten de las he…</t>
  </si>
  <si>
    <t>Arias, Antonio Sandaliode</t>
  </si>
  <si>
    <t>Antonio Sandaliode Arias</t>
  </si>
  <si>
    <t>…d central. espíritu de estos países es muy bueno. Las tropas se bailan llenas de ard’in euto, y están deseando manifestar tu adhesión. Los gefes se ven, El profesor de agricultura D. Antonio Sandaliode Arias dará prin por decirlo asi, obligados á moderar la impaciencia que tienen los mi- cipio á sus lecciones en el jai din botánico de esta corte el dia 7 de litjres de acabar de salir de la inacción. Bien se necesita todo el zelo y En ro próximo á las 4 en punto d…</t>
  </si>
  <si>
    <t>Arias, Felipa Fernandez</t>
  </si>
  <si>
    <t>Felipa Fernandez Arias</t>
  </si>
  <si>
    <t>…cario Rin , Don trios eviten la formación de expedientes generales que la retardarían Joaquín Ruira y Lacren, D. Josef Miguel Corriols, D. Jnsef Anto notablemente. nio BjIcl-IIs , D. Felipa Fernandez Arias, D. Pablo María Verdalet y Y 4.a » Que las obras se ejecuten en los términos que i juicio de D. Josef María Baldrich, declararon por unanimidad haber lugar A las diputacicnes sean mas económicos, debiendo preferirse para trabajar formación de causa contra el…</t>
  </si>
  <si>
    <t>Arias, Juan García</t>
  </si>
  <si>
    <t>Juan García Arias</t>
  </si>
  <si>
    <t>…. Ulum-mente, la sala omitiendo corregir y castigar los jueces d* Concluye el informe del visitador de la causa fenecida en la audiencia priin-t* in.tsncia L&gt;. Francisco Herrero y D. Juan García Arias por de Madrid contra í). Manuel Hernández., llamado el Abuelo, Don los defectos .ustanciaies é insubsanables que Cometieron, infringió Is Josef Mineo Otalora y consortes , sobre conspiración contra el si. te ley ds 11 ds Setiembre de tüioeo «1 arl. 7. , que d…</t>
  </si>
  <si>
    <t>Arias, Juan Gsic.'a</t>
  </si>
  <si>
    <t>Juan Gsic.'a Arias</t>
  </si>
  <si>
    <t>…ra del Pilar de plata; una caja de id.; una bandeja de id-: dos candilero* consecuencias necesarias. y un platillo con sus espabiladeras de id.: una cadena de oro ; siete relo El juez D. Juan Gsic.'a Arias falló también al cumplimiento da jes; á tabee: una repetición da oro con cilindra: otra guarnecida de •us obligación-s. diamantes; otra con sobrecaja de similor: otra con miniatura con igual No subsanó la omisión escandalosa del de Valdemoro, como pudo sobrec…</t>
  </si>
  <si>
    <t>Arias, Manuel Eduardo</t>
  </si>
  <si>
    <t>Manuel Eduardo Arias</t>
  </si>
  <si>
    <t>…olea , j Cuyos por ral enemigo el teniente gobernador de Jujui D. Agustín Divi:a y el menores se imnifi-estan ea el citado parte. No puedo menos de recomen comandante de Humahuaca D. Manuel Eduardo Arias, á quienes el dar á V.S. el distinguido mérito con que se han conducido en esta jor gobierno de Salta por una política inevitable tolera sin duda en lo» nada los oficiales y tropa que tengo ei honor de mandar , cuyo vaior y empleos que obtien. n. Esta clase d…</t>
  </si>
  <si>
    <t>Arias, Ramón Alvarez</t>
  </si>
  <si>
    <t>Ramón Alvarez Arias</t>
  </si>
  <si>
    <t>…del Segovia á D. Santos San Martin, t niente supernumerario del re depósito de infantería , con 570 rs. al mes. gimiento infant ría de Zamora, con 570 rs. C udad-Rodngo al cap.tan D. Ramón Alvarez Arias, teniente de Sevilla al capian D. Rafael de la Vega Campuzano, teniente agre infantería jr del batallón de le milicia activa de Oviedo, con 450 rea gado al regimiento infantería dei R-ey, con 570 rs. les a' mrs. Soria á D. Fermín de líucsso , teniente del reg…</t>
  </si>
  <si>
    <t>Aries, Antonio Sendaiio</t>
  </si>
  <si>
    <t>Antonio Sendaiio Aries</t>
  </si>
  <si>
    <t>…te ha pro viduo «le la academia Médica; á D. Mariano Lagasca, profesor de bo cedido á nueva tasación da lo restante, que se reduce á una (anega de tánica á individuo de U misma; i D. Antonio Sendaiio Aries, profe tierra «le riego, á tres cuartillas de secano y á dos fanegis, en las que se sor de agricultura, é individuo supernumerario de la misma; á D. Do bailan los arboles y la casa, en la cantidad de 34,998 rs. en venta, nato García, profesor de mineralogía,…</t>
  </si>
  <si>
    <t>Ariielln</t>
  </si>
  <si>
    <t>…a Constitución , sean per vieja y otros Sres. sobre la formación de las juntas diocesanas. mutadas con bienes nacionales que produzcan la renta igual.” Con bte motivo manifestó el Sr. Ariielln lo recargada qee te ha Las Cortes oyeron con agrado la felicitación que Isi hacia por su llaba de negocios la cototsioa Edeiintui t y ptdió 4 las Corte* quese instalación la milicia local y ayuntamiento de D. Benito (partido de sirviesen nombrar otra segunda…</t>
  </si>
  <si>
    <t>Arillo, Fernando</t>
  </si>
  <si>
    <t>Fernando Arillo</t>
  </si>
  <si>
    <t>…zón de loa rio- n El bizarro y bian conocido en la hiitoria de la libertad coman janos existe un sentimiento de justicia opuesto diametralmente á loe dante del batallón de Galicia D. Fernando Arillo, viendo empellado privilegios que ellas pretenden restablecer. Llenaos de orgullo} pero te el combata obstinadamente en el pueblo , me rogó repetidas veces á una ned siempre presente que si la cadena de la esclavitud es por su natu con mi oficiala* el pasar á…</t>
  </si>
  <si>
    <t>Arizmendi, Tomas</t>
  </si>
  <si>
    <t>Tomas Arizmendi</t>
  </si>
  <si>
    <t>Gaceta de Madrid n.º 259</t>
  </si>
  <si>
    <t>…cual los pueblos hayan da presentarse á liquidar los alcances que tuvie túrias. ren por atrasos de rentas y contribuciones desde el año de 1814 has» De la audiencia de Valladolid. D. Tomas Arizmendi á la audien in de 1819 i previniéndoles que si pasado el tiempo señalado no lo cia de Valencia. D. Josef Martínez de Arrta á la de Galicia. D. Josef verificaran, se procederá al cobro en metálico de loe descubiertos que María Jaime á la de Sevilla. El fiscal…</t>
  </si>
  <si>
    <t>Arjona, Francisco de</t>
  </si>
  <si>
    <t>Francisco de Arjona</t>
  </si>
  <si>
    <t>…de haber leído Us veinte y ocho cartas de que se compone el tomo, sus padres en dicho pueblo. es preciso creer que la América te halla en un estado progresivo da Los herederos del Sr. D. Francisco de Arjona, maestre escuela prosperidad. La autora ha sabido pintar con loa colores mas vivos y que fue de la santa iglesia de Sevilla, acudirán á la escribanía de Cá brillantes el interior de la» familias, la vida social, el carácter del mara del tribunal supremo de Ju…</t>
  </si>
  <si>
    <t>Arlen</t>
  </si>
  <si>
    <t>…pos.cio i de T.cr- Cortes por el Sr. secr.tar¡-» de este ramo .1 m,tunen de lo» criados del mis , y p--rs-.vui.los hasta el monastit-o ■&lt; Le re, aun d.spues de en difunto Infante D. Arlen o para que se ¡es paguen sus sueldo» por trada í.i nr-c'ie, a.lquir da la seguridad &lt;J - que se hadaban en Lumb-er, la t -íoreria general de a N:c:on á cuenta de un. mólon y pico de rs. i n lo interior de Navarra , y l* p^ bab -dad dJ que no esperar an allí,…</t>
  </si>
  <si>
    <t>Arlor, Arturo</t>
  </si>
  <si>
    <t>Arturo Arlor</t>
  </si>
  <si>
    <t>…adiéndole que se Victoriano Valediola, gravemente herido. Villaviciosa, 5.“ de ligero* gún se me ha informado en la noche anterior, entre muchos vivas da de caballería, el alférez D. Arturo Arlor, contuso. Soldado Alonso dos á la Constitución y al Rey constitucional, se oyeron también al Martin, herido; y Bernardo del Rio, herido, y continuó en la acción. gunas de viva el Rey y moer* le Coastitucioa; peto que perseguidos Ñota. El caballo del soldado A…</t>
  </si>
  <si>
    <t>Armada, Josef</t>
  </si>
  <si>
    <t>Josef Armada</t>
  </si>
  <si>
    <t>…, de obras Ca nbos y Senes, D. Manuel García, D. Eulogio López, D. Cirios de escultura: el planisferio ocupaba la parte del techo que a¡ entrar se Esteves, D. Josef Moreno Montea, D. Josef Armada», D. Diego encuentra á la mano izquierda, y á la derecha había ct¡os adorno, de Mosquera, D. Domingo Sancha , D. Félix de la Riba , D. Jacobo So* menos importancia. El centro lo ocupaba una fi.ura de muger, 1 Ir bregra , D. Ramón Capóles, D. Josef Marín Quiro…</t>
  </si>
  <si>
    <t>Armada, Luis Murgon y</t>
  </si>
  <si>
    <t>Luis Murgon y Armada</t>
  </si>
  <si>
    <t>…lar acompañados con gulas. lana y estambre podrán efectuarlo en esta corte avistándose y tratando Art. 8. s&gt; La circulación interior entre la Ifnea de confraregistro de ajuste con D. Luis Murgon y Armada , que vive calle de la Palma f. le de aduanas de los'frutos y efectos ó géneros, cuya exportación es cata mm. 1 cuarto *.% jumo al convento de las Maravillas; bajo el tuviere prohibida ó snjeu al pago de un derecho mayor que el de 4 supuesto deque estas máqui…</t>
  </si>
  <si>
    <t>Armayor, Pedro Alcántara</t>
  </si>
  <si>
    <t>Pedro Alcántara Armayor</t>
  </si>
  <si>
    <t>…extrangeros y secretarios de legación: entre estosfue presentado 4 una gu-rra con la Puerta otomana. El editor parece ser sugeto de la S. M. 1. el encargado de Negocios de España D. Pedro Alcántara Armayor distinción. Lo axttaflo es que publiquen ésto los periodistas fran aix, el agregado D. Angel Calderón de la Prezca y el cónsul Don oaquin de Zea Bermudcz. El Emperador manifestó el mayor agrado ceses , defensores de la media luna. f Después de haber pasado re…</t>
  </si>
  <si>
    <t>Armcatía, Hilario</t>
  </si>
  <si>
    <t>Hilario Armcatía</t>
  </si>
  <si>
    <t>…a suspensión de órdenes eclesiásticas ; y en las costas causadas, i justa tasación. asimismo el de la comisión de Haciende reformado sobre la provisión —En la villa de Briviesa el Sr. D. Hilario Armcatía, juez de pri de magistraturas, y se levantó la sesión á las tres' y cuarto. mera instancia de la misma , habiendo visto la causa criminal seguida contra el ex-monge D. Bonifacio Goma, presbítero, cura de la parro ARTICULO DE OFICIO. quial da Cillaperlata, á v…</t>
  </si>
  <si>
    <t>Armendariz, Miguel</t>
  </si>
  <si>
    <t>Miguel Armendariz</t>
  </si>
  <si>
    <t>…ieta, fucirse cualquiera que la mandara, si encontrara enemigos que la hicie que manda las fuerzas que salieron de Algeciras, con referencia al co ran frente. La caballería con su capitán D. Miguel Armendariz á la ca mandante de armas de Estepona, que el 6 salía «te con 100 infanta beza , sin embargo de que el terreno no la permití'* obrar , manifestó la del resguardo militar y 30 caballos con dirección á Ubrique; que el mayor serenidad, entrando en el pueblo detr…</t>
  </si>
  <si>
    <t>Armeni</t>
  </si>
  <si>
    <t>…ión se cree sea de unas 89 almas. El trabajo, salvarte en Stanchir ,adonde llegaron el ig de Diciembre. hi|á pidió después a los religiosos que interviniesen en lo» negocios de El coronel Armeni, comandante de la división naval austríaca del la lesaba, á lo cual accedieron, y en su consecuencia se enviaron va Archipiélago, luego que tuvo noticia di este acontecimiento, resolvió rían comisionados á la Tesalia para hacer al caudillo de los insurgente»…</t>
  </si>
  <si>
    <t>Armentía, Hilario</t>
  </si>
  <si>
    <t>Hilario Armentía</t>
  </si>
  <si>
    <t>…diaNOTICIAS DE ESPAÑA. to al Canal............. 11,869 Paseo del Prado.............. 4,048..! 7 Brrctesea ia de Febrero. Camino de la puerta de I70,5i3..i4 Habiéndose dado parte á D. Hilario Armentía, como juez de primera Toledo á la de Segovia. 26,339..! 7 instancia de este pueblo, de que en las inmediaciones de Belorado an El de V allecas por de daban cuatro facciosos de siete que en la noche del i.°al a del corriente tras de las tapias del habían robad…</t>
  </si>
  <si>
    <t>Arnedo, Francisco</t>
  </si>
  <si>
    <t>Francisco Arnedo</t>
  </si>
  <si>
    <t>…titulado el Zurria de su fusil contribuyeron como el que mas al feliz éxito de la empresa. go, núm. 43 , denunciado como subversivo y sedicioso; en cuya con » El coronel retirado D. Francisco Arnedo, concurriendo á igual secuencia la ley absolvió á D. Antonio Solana, responsable de dicho objeto, como lo hace á nuestras filas en todas las alarmas no obstante impieso; y se canceló el recargo que por esta c.usa se le impuso de la su edad de 74 años, fue hec…</t>
  </si>
  <si>
    <t>Arnera</t>
  </si>
  <si>
    <t>…verdadero origen del mismo, y que nada tente que chos que cita el artículo. ver con ii historia de Mo.ses. El Sr. Gisbert dijo que no era la autoridad civil sino la eclesiásti El Sr. Arnera dijo que este artículo era muy vago é indeterminado ca la que calificaba lo que refería el artículo, y después entraba la au en cuanto á las palabras escritos &lt;¡ut tersan sobre la sagrada Escritura. toridad civil, lo cual era muy conforme con la ley de Partid…</t>
  </si>
  <si>
    <t>…ion. Por último manifestó que hasta los partícipes legos estaban mas mayor la pena en los casos respectivos.” interesados en que este asunto estuviese en manos de los diputados El Sr. Arnera hizo varias observaciones respecto de las blasfemias que no en el Crédito público, en razón de que este establecimiento prí /adas , y manifestó que por este artículo se daba margen á las de tiene que atender á otras muchas cosas. laciones. Se declaró suficien…</t>
  </si>
  <si>
    <t>Arni, Francisco de Sales</t>
  </si>
  <si>
    <t>Francisco de Sales Arni</t>
  </si>
  <si>
    <t>…de Bo-ain que este procedimiento debiera cansarle perjuicio en su reputación. bad¿lia__Otro de un juro da 163,846 mrs. sobre la* remas de Granada Sres. que compusieran el jurado: D. Francisco de Sales Arni, D. An i favor de D. Antonio de Rojas, marques de Poza, conde de Cabra,tonio de Torres Pardo, D. Josef López de Arriba, D. Antonio Josef á 1.“ de Marzo de 1637__Otro de un juro de ioo9 mrs. en varios pue González «le Aguilera, D. Lorenzo Ruano, D. Josef María…</t>
  </si>
  <si>
    <t>Aroaarena, Josef</t>
  </si>
  <si>
    <t>Josef Aroaarena</t>
  </si>
  <si>
    <t>…positivos el íntegro cobro de las contribuciones, asi como el au fantería de América, con 670 rs. mento de los valores de las rentas; y S. M. en este caso te veri en la Huesca al capitán D. Josef Aroaarena , segundo ayudante super precisión de castigar con la destitución de empleo al que incurra ea numerario del regimiento 1 ufan tena de Zaragoza, con dio rs. una falta de tan trascendentales consecuencias. De Real orden lo dúo Infiesto al capitán D. Joaquín Aiv…</t>
  </si>
  <si>
    <t>Arocena, Juan Antonio</t>
  </si>
  <si>
    <t>Juan Antonio Arocena</t>
  </si>
  <si>
    <t>…DomingoSimeón BE IOS DELITOS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Laureano dian para matar~ Eguilior , D. Ramón Eguillor y D. Francisco Eguillor…</t>
  </si>
  <si>
    <t>Aróstegui</t>
  </si>
  <si>
    <t>…y que suscribe el titulado presidente Nuñez, auditor de guerra y juez de Se han recibido periódicos extrangeros, cuyo extracto de noticias letras que era en ella, nuestro capitán general Aróstegui ha publicado publica el Liberal Guipnzcoano en estos términos.-^ ' . hoy un manifiesto, ó séase Aviso dtl Gobierno, en que después de ha n En este instante nos llegan periódicos de París hasta el 9 inclusi cer presente que solo la obcecación, la ignorancia ó…</t>
  </si>
  <si>
    <t>Arozarena, Juan Bautista</t>
  </si>
  <si>
    <t>Juan Bautista Arozarena</t>
  </si>
  <si>
    <t>…al imprevisto general. Aprobado. •e podrán repartir la cuarta parte ú otra menor que sea suficiente.’* La comisión de Crédito público, informando sobre la exposición di Apr&lt; hado. D. Juan Bautista Arozarena, opinaba que las fincas de que se trattbi Art. 8.a » Luego que se verifique lo prevenido en «I art. y en los se debían sacar de nuevo á pública subasta. Aprobado. anteriores , se repartirán también ¡Jijo las mismas reg'as las tierras d« Se leyó la siguiente p…</t>
  </si>
  <si>
    <t>Arpa, Ramón de</t>
  </si>
  <si>
    <t>Ramón de Arpa</t>
  </si>
  <si>
    <t>…levarán ademas los mismos gefes una faja gar, y les pararé perjuicio. de seda azul turquí con borlas de plata , y nn orden de bordado igaal al A virtud del cumplimiento dado por d Sr. D. Ramón de Arpa; de la casaca, algo separado de ellas, sombrero con presilla da plata y juez logado de primera instancia, refrendado del escribano cartulario cucarda , bastón y espada con borlas ¿I mismo metal. Este unifoime sa da sus |tugados da primera instancia D. Joaquín…</t>
  </si>
  <si>
    <t>Arr</t>
  </si>
  <si>
    <t>…opi todo* los aleone» que resultan liquidados á tu favor. naba que las Cortes podran aprobar los artículos siguientes; - c Se leyeron dos exposiciones, una de U. Fernando Chacón, capitán Arr. rC » Que por el ministerio de Hacienda y por la tesorería gtde artillería, y otra de varios oficiales del regimiento de Toledo, pi neral se prevenga al intendente de Galicia pague inmediatamente á diendo ser comprendidos en la rebaja de sueldos decretada par…</t>
  </si>
  <si>
    <t>Arretagui, Francisco</t>
  </si>
  <si>
    <t>Francisco Arretagui</t>
  </si>
  <si>
    <t>…hallan en el caso de ha que se ha hecho allí el repartimiento de contribuciones. cer un acto de justicia , mandando que dichos vales se admitan en pago Otro de la misma para que á D. Francisco Arretagui, arrendador de de las obligaciones que contrajo el Gobierno intruso con varios part.los frutos del noveno, ae la perdonen g9 rs. en lugar de loa yfi que cularet y corporaciones en la época de su dominio, 7 que deben con solicita. siderarse y se consideran por…</t>
  </si>
  <si>
    <t>Arriaga, Pedro</t>
  </si>
  <si>
    <t>Pedro Arriaga</t>
  </si>
  <si>
    <t>…del primer sobre la renta y alcabalas de Madrid en cab.-za d* D. Gabriel de comandante de esta cuerpo D&gt; Fernando Arillo, ataoó aquella mañana Enao, y se sentó en cab:za del Lie. D. Pedro Arriaga en el año de 4 la facción de Caragol, que durante la noche pudo reunirse en las ven 161 j : otro de 7oo9 mrs. , librados en *9 de Mayo de 1556 en favor tajosas posiciones de Castelltersol, habiendo sido Js acción algo soste del conde de Miranda , situado en a…</t>
  </si>
  <si>
    <t>Arriara, Juan Bautista de</t>
  </si>
  <si>
    <t>Juan Bautista de Arriara</t>
  </si>
  <si>
    <t>…iup , me dirigí por Alcoiea á Alba al-, r ond: se había reunido tuda fin del tomo ú timo. la calmil, riu d- h urrr.es, y mucha ¡nfaM na, pr. t g dos por un re- Poesías líricas de D. Juan Bautista de Arriara, reducidas á un solo fu .tíu &lt;¡u; hzb a su ido d; M qu nen/a , y amparados del (linca , que Volumen, que comprende los géneros erótico , drscró tivn y her* ico: v ni. ^-udaln..,. guando me pícente á vad.ar el no encontré a los quinta edición. Véndese en el de…</t>
  </si>
  <si>
    <t>Arriata</t>
  </si>
  <si>
    <t>…laró este asunto suficientemente discutido, y des había ocasionada retractándose de lo que había dicho antes. pués de haberse aprobado el articulo, se suspendió esta discusión. El Sr. Arriata dijo que no podía aprobar este artículo, parque la Se continuó la discusión del código penal. potestad civil te irrogarte por ci mismo unas funciones que eran pro Se lejró el art. 230, cuya discusión quedó suspendida en la sesión pias de la eclesiástica. de 9…</t>
  </si>
  <si>
    <t>Arriba, Josef López de</t>
  </si>
  <si>
    <t>Josef López de Arriba</t>
  </si>
  <si>
    <t>…obre la* remas de Granada Sres. que compusieran el jurado: D. Francisco de Sales Arni, D. An i favor de D. Antonio de Rojas, marques de Poza, conde de Cabra,tonio de Torres Pardo, D. Josef López de Arriba, D. Antonio Josef á 1.“ de Marzo de 1637__Otro de un juro de ioo9 mrs. en varios pue González «le Aguilera, D. Lorenzo Ruano, D. Josef María Jiménez, blo* de las metindades de Burtba, Logroño y otroe á favor «le DonD. Luis de Casamayor, D. Josef del Castillo,…</t>
  </si>
  <si>
    <t>Arricia, Agustín</t>
  </si>
  <si>
    <t>Agustín Arricia</t>
  </si>
  <si>
    <t>…con la Nación, sino con sus de Madrid, y ¿ D. Simón de Rojas Clemente; y para la clase de lite respectivas provincias. Asi que, reservándome hablar en la disensión ratura y anea á D. Agustín Arricia, individuo de la academia E.pa'de los demas artículos, digo que aunque se apruebe la primera parte fiola; á D. Juan Nicasio Gallego, individuo de la academia de ban del artículo a.°, me opongo absolutamente i Ja segunda , porque me Fernando; ¿ D. Alberto List…</t>
  </si>
  <si>
    <t>Arrie</t>
  </si>
  <si>
    <t>…tando que aquellos Se mandó pasar 4 las comisiones de Hacienda y Visita del Crédi habitantes solo quieren Constitución ni mas ni oíanos, y que la sosten to público una adición del Sr. Arrie:» al artículo que antes era 19 del drán i costa de cualquiera ciase de sacrificios: otra det regimiento de dictamen de la» mismas comisiones sobre las fincas que se han de des caballería de la Constitución, octavo ligero , dardo gracia» i las Cortes tinar á l…</t>
  </si>
  <si>
    <t>Arríela</t>
  </si>
  <si>
    <t>…c meta injuria, lo presento en el cap. t.v\ tic : ' de la a.’ par a ñas.” Aprobado. te. Si la fuerza fuere para obligar ó oompeler a la autoridad pública á j.1* Que la adición del Sr. Arríela al art. 6.a se apruebe, añadien que haga alguna cosa , se observara lo dispuesto en les «t*. jjy y 340. do despue» de este y ante» del 7. «Uro articulo, qu; deberá decir: » El que en Igual caso cometiere igual delito contra cualquier otro « Verificada la ¡nde…</t>
  </si>
  <si>
    <t>Arriera</t>
  </si>
  <si>
    <t>…contra la religión, y el ingles protestante ú otro cualquiera mismo impugnaba lo que él mismo había hecho. que viniese á propagar en F.spafia el arrianismo ó alguna otra secta, El Sr. Arriera dijo que no culpaba á la comisión , sino que insis porque in Jadablemtnte el uno era mas culpable que el otro. tía en que te explicase mas este articulo. Fl Sr. Calatrava leyó las objeciones que habían hecho algunos de El .T Romero \lpuente dijo que también t…</t>
  </si>
  <si>
    <t>…anente, y actualmente pertenecen i la mi después será expelido para siempre de Hspefia.” licia activa, pidiendo que se les comprenda en el aumento concedido Art. 233. (Adición del Sr. Arriera.) «Algún escrítoque vena á las respectivas clases del egército permanente por decreto de i8zo. principal ó directamente sobre la sagrada escritura Su.” La comisión opinaba no ser extensivo cate aumento á las clases de la Art. 133. (Adición de los Sres. Puigbl…</t>
  </si>
  <si>
    <t>Arrieta</t>
  </si>
  <si>
    <t>…l cap. 3.°, se dió cuenta de las adiciones que tor , y todos los demas caractéres de ella sin ofensa de la claridad, á la sobre el mismo habían hecho el Sr. Espiga al art. 131; el Sr. Arrieta que se ha consultado sobre todo. En la parte tipográfica, para que la im a al Z33: el Sr. Ramonet al &gt;35: el Sr. Puigblanch al mismo; y los presión sea elegante y correcta , nada ha omitido la imprenta Nacional, Sres. Cepero y López ( D. Marcial) al 236; que…</t>
  </si>
  <si>
    <t>Arriidles</t>
  </si>
  <si>
    <t>…i se queran susp nder las formalida No parece sino que adoptando los principios sentados en el discur des para el arresto con arreglo á la Const tucion, pudiera muy bien to so del Sr. Arriidles quedaba al arbitrio del juez por la medida que marse conocimiento de la causa, y elevarla á aquella clase de jueces de se discute, no solo el arresto de una persona, sino el poder alterar loa que ha hecho mérito al Sr. Romero en tu proposición. Entonces ha tr…</t>
  </si>
  <si>
    <t>Arrllano</t>
  </si>
  <si>
    <t>…Alix , Buruaga, No será pues necesario inculcar mas la necesidad de tomar prontas Kuiz de la Vega y Soria. medida» para atender al estado de la Nación , y por lo mismo pasaré á El Sr. Arrllano: Sin entrar en el fondo de la cuestión me concre ver si las que propone la comisión son las mas propias para hacrr cesar taré á hacer una ligera observación. Cuando uno de los Sres. secretario» la agitación de los patriota». Teniendo que discutirse artículo p…</t>
  </si>
  <si>
    <t>Arro</t>
  </si>
  <si>
    <t>Gaceta de Madrid n.º 261</t>
  </si>
  <si>
    <t>…s visto hoy un hecho que prueba en algún modo esta noticia, civil no es la licencia de obrar á tu capricho, sino la facultad de ha pues ha llegado el nuevo gobernador del obispado Sr. Arro cer lo que no se oponga 4 la religión ni á las leyes. yo, magistral de Antequera, y ex-diputado á Corte*. „Asi que, amados diocesanos, estad seguros de que la Constitución Madrid Jutvts g dt Sttirmbrs. •n nada se opone á nuestra sagrada religión ni á las buen…</t>
  </si>
  <si>
    <t>Arronca, Joaquina</t>
  </si>
  <si>
    <t>Joaquina Arronca</t>
  </si>
  <si>
    <t>…cía del Otro sobre la solicitud de varios vecinos de Monreherm-so , en la p-ovmcia de Extremadura, los que habiendo comprado var as fin* is Hoyo. A la de Premios una exposición de Doña Joaquina Arronca), viu de sus prop os que se cnagenaron'para atender á las necesidades públicas da, en solicitud de una pensión por los méritos de su difunto mar d . en el año de 1811 , y cuya vciyi fue anulada después , piden se ; •* A la de Visita del Crédito público una ex…</t>
  </si>
  <si>
    <t>Arroyo</t>
  </si>
  <si>
    <t>…specto de los acaecimientos bierno y al consejo de Estado, si no me engaito, en el afio de 1811, ¡r políticos nada sabe. aun creo que en otra época anterior, sobre la conducta del Sr. Arroyo; El Sr. Rico: Si nos atenemos á las cartas que todos los días recibi no hay ningún valenciano que ignore que el Sr. Arroyo no goza la mos de diferentes puntos , y á que se ve que el espíritu público está ex mejor reputación, y esta es la causa por que be preg…</t>
  </si>
  <si>
    <t>Arroyo, Antonio Martínez</t>
  </si>
  <si>
    <t>Antonio Martínez Arroyo</t>
  </si>
  <si>
    <t>…ila ANUNCIOS. en 145 días de navegación , con carga de efectos asiáticos y producciones naturales de las isia* Filipinas. Se ha recibido correspondencia de ofi Por providencia del Sr. D. Antonio Martínez Arroyo, juez de cio , y de ella resulta que á proporción que fue desapareciendo la epidemia primera instancia de Murcia, se ha señalado por último término el de de aque¡ país se apresuraron los habitantes 4 jurar la Constitución políti ao días, contados desde el 30…</t>
  </si>
  <si>
    <t>…el ayun el orden de sueldos que sigue: tamiento de Murcia contra rl juez de prim ra instancia de aquella ca n Hasta 4400 rt.en el sello 4.0 Desde mas de 4400 rt. hasta 660o pital D. Antonio Martínez Arroyo, por haber avocado 4 sí todas laa en sello j.“ Desde mas de 6600 hasta 8800 en sello a.° Desde me* causas pendientes en otro juzgado de primera instancia de aquella pro de B800 en adelante en el sello 1 .J vincia , á cuyo juez se hab a exigido la responsabili…</t>
  </si>
  <si>
    <t>Arroyo, Joscf</t>
  </si>
  <si>
    <t>Joscf Arroyo</t>
  </si>
  <si>
    <t>…o’omar. D. Pedro de la Cantolla. D. Francisco Javier Hernández. esta villa, se vende una cata de recreo y jardín perteneciente a&gt; i-vc - D. Bartolomé Espinosa. D- Domingo Menguar. D. Joscf Arroyo. Dan Jentismo Sr. duque de Medínaceli y Santistcban, sita en el lu zar de lJ.rni.negitdo Vinadea y D. Salvador Caqui». Carabanchel de Aba jo, entre Ies-calles que llaman del Cura y Sacris VARIEDADES. tán , que forma una figura polígona irregular de 2 a lados,…</t>
  </si>
  <si>
    <t>Arroyo, Mufioz</t>
  </si>
  <si>
    <t>Mufioz Arroyo</t>
  </si>
  <si>
    <t>…le* exigían ; que era La cornisón de Hacienda de ias Cortes anteriores, habiendo exami bien sabido que la mayor parte de los buques del norte, particularmen nado la indicación del Sr. Mufioz Arroyo para que las Cortes declaren te los suecos, que venían al Mediterráneo, acudían á los puertos de no hallarse comprendidos entre los bienes adjudicados al Crédito públi España para cargar de sal, y regresar á su pais, y los buques suecos que co para indemnizar…</t>
  </si>
  <si>
    <t>Arroyo, Muñoz</t>
  </si>
  <si>
    <t>Muñoz Arroyo</t>
  </si>
  <si>
    <t>…ldo, Moreno, 7 en pro Ion entre rodar la distribución de la mata general del medio diezmo, se Sres. Ochoe 7 La MadruL gún las reglas que contiene arte decreto y los anteriores. El Sr. Muñoz Arroyo pidió m leyóse el oficio de remisión de esta Art. as. • .-'eran individuos dn esta junta central lo» directores gá asunto a las Cortes t á lo carel contestó el Sr. Sierra Pambicy que no lo nenles «lo coatriboctonee directas é indirectas, 7 de la» diócetis loa…</t>
  </si>
  <si>
    <t>…bato no solamente mo previene la Constitución; pero en la discusión de f del corriente, habia confundido la excepción con la regia general , sino también ci habiendo preguntado el Sr. Muñoz Arroyo por el oficio de remisión, derecho que tenían á su indemnización con los bienes del clero, poce le contestó el Sr. Sierra Pambtey que so había tal oficio por parte del que lo* clérigos no tenían otro carácter que el de empleados públicos, y Gobierno, y solo e…</t>
  </si>
  <si>
    <t>Arroyq, Manuel</t>
  </si>
  <si>
    <t>Manuel Arroyq</t>
  </si>
  <si>
    <t>…el derecho parecía excesivo , podría re- I A la de Eutasa de tiws de responsabilidad una exposición de bajarse; pero que consideraba muy justo que se satisfaciesen las obras dd I D. Manuel Arroyq, oficial de la administración de correes de la Co puente del rondo que proponía la comisión. I rulla, quejándosedia -infracción de Constitución cometida. por un ad El Sr. Alix opinó que has obras de utilidad común debían hacerse I ministrador delimítalo ramo;…</t>
  </si>
  <si>
    <t>Arrta, Josef Martínez de</t>
  </si>
  <si>
    <t>Josef Martínez de Arrta</t>
  </si>
  <si>
    <t>…uciones desde el año de 1814 has» De la audiencia de Valladolid. D. Tomas Arizmendi á la audien in de 1819 i previniéndoles que si pasado el tiempo señalado no lo cia de Valencia. D. Josef Martínez de Arrta á la de Galicia. D. Josef verificaran, se procederá al cobro en metálico de loe descubiertos que María Jaime á la de Sevilla. El fiscal D. Francisco Crespo Rascón a la resultaren por los libros de las respectivas contadurías. de Extremadura. 5.0 » Se declara…</t>
  </si>
  <si>
    <t>Arsüdles</t>
  </si>
  <si>
    <t>…uiere conceder á los gef-s político, es anticonstitucional y tículo por las demás observaciones del Sr. Prado, funesta en sus efectos , porque no sabe nadie adonde va á par ir. K! Sr. Arsüdles: Yo no repetiré las reflexiones que se lian hecho El Sr. O ¡ver: En esta discusión s: nos ha querido probar que pre poi varios Sres. diputados para demostrar que ya no estamos en el caso viniendo el reglamento que las Cortes no pueden volvr- á tratar sob e de…</t>
  </si>
  <si>
    <t>Art</t>
  </si>
  <si>
    <t>…onores , y te ocuparán la temporalidades mi eclesiástico. patria, es traidor , y sufrirá como tal la pena de mu -rte. Se suspendió esta discusión, y se dió cuenta de un oticio del señor Art. i¡4. - El espafiol que por medio de emisarios ó de corres Secretario de la Gobernación de la Península, en el que participaba pondencia , ó por cualquiera otra inteligencia, intriga ó maquinación á las Corta de orden del Rey haber entregado D. Manuel J-'raoc…</t>
  </si>
  <si>
    <t>…stión alguna; y que habia creído que ni en el voto particular visto bueno de los jueces que hayan dado las Mntcncias. de (os Sres. Ramonet y Giraldo, del cual habia hablado el Sr. conde Art. 4.0 » Los reparos de las cárceles y de ias audiencias se satis de Toreno, ni en la proposición del Sr. Sancho habia la mocion de farán acreditando su necesidad por certificación de peritos; y en el caso que hablaba el decreto de las Cortes de 1813, porque no…</t>
  </si>
  <si>
    <t>…eses sufrirá un arresto de cuatro i doce dias, ó una multa de dos á seis con apercibimiento.” Aprobado. duros.” Aprobado. Se mandó pasar á la comisión la siguiente proposición del Señor Art. 534. » El que en lengua vulgar diere á luz libro ú otro pa Alaman al art. 336: «Exceptúame de estas disposiciones las estatuas, pel impreso, ó pusiere al público algún manuscrito que contenga cuadros y grabados que pueden considerarse como obras clásicas de…</t>
  </si>
  <si>
    <t>…edan comprendidos en el art. i.° «leí Hospital de mugeres del Carmen. Quedaron existentes en fin de Se mismo decreto. tiembre 78 enfermas: han entrado 100 en estos tres meses: han cura Art. j.a » Sin embargo de lo prevenido en los artículos anteriores, do 75 : han muerto 39 , y queda una existencia de 64. todos los facciosos que pertenezcan i la milicia nacional local, serán Cata de Misericordia. Éste establecimiento según los últimos par separ…</t>
  </si>
  <si>
    <t>…al poder que la defiende una arma igual á aque tres meses, y una multa del ttes unto del valor del daño causado. lla con que la atacan las pasiones. Si el espíritu y la tendencia general Art. 813. « Cualquiera que maliciosamente hubiere muerto una de un periódico, dice el proyecto de ley, son de tal naturaleza &lt;{iie ti caballería ó cabeza de ganado mayor agena, sufrirá igual arresto y mul ren é destruir nuestros mas caros intereses, lo* tribunale…</t>
  </si>
  <si>
    <t>…hasta las 4 cualquier soldado de su escuadra; y tanto de esta providencia como clases mas elevadas del egércuo.” Aprobado. de cualquiera otra que tome extraordinaria dará parte al sargento Art. i.” ti En todos ios casos en que no se reúnan los tambores, para que llegue por su conducto 4 noticia de los oficiales de su com cornetas, pífanos y trompetas estiran dependientes de los cabos, sar pañía.” gentos y oficiales de la compañía , donde comerán ,…</t>
  </si>
  <si>
    <t>Gaceta de Madrid n.º 298</t>
  </si>
  <si>
    <t>…a o falta que notare por sí,ó llegar* á tu noticia haberse cometido Caten copiadas á (a letra , como asimismo de i as actas de las juntas en aun en distancia. que intervenga como secretario Art. 13. „ Con relación fi este mismo objeto, que tanto interesa al bim del servicio nacional, será precisa obligación del coronel , en CAPITULO XIII. los dias que su regimiento cubra puesto* de la plaza en que esté de guar ot iigaciuHti del coronel. nición, visi…</t>
  </si>
  <si>
    <t>…dón de la casaca de este lado con nn lazo de Art. 14. » A un uniente general comandante en gefe de un egér cinta encarnada. cito se le dará una guardia de una compañía, y ai fuese comandante Art. 5.° * En las insignias se pondrán unas corbatas de tafetán de un distrito militar se compondrá la guardia de un capitán, un negro. subalterno y cuarenta hombres, y en ambos casos le hará dicha guar El Sr. presidente suspendió esta discusión, y sa mandó pasar…</t>
  </si>
  <si>
    <t>…randes que pueda cia se practicará precisamente cuando haya orden de que continúen has hacérsele al gefe que las mande. ta el cuartel general, en cuyo caso serán conducidos por un sargento Art. 10. » A la mitad de cada jornada harán las tropas un descan y dos toldados, S fin de que no comuniquen con persona alguna. so de hora y media á do* horas, jr á cada legua un alto de diez á quin Art. 14. » Ningún individuo que se halle de gran guardia podrá c…</t>
  </si>
  <si>
    <t>…e tengan estampadas en las las diputaciones provinciales en materias económicas. hojas de servicio que han firmado. E&lt; Sr. lsturiz , contestando á las objeciones propuesta: por el señor Art. 19. n Darán dia y hora en que concurran á su casa todos los Becerra, d jo que las diputaciones piovincialesdistribuían el número de oficiales; el coronel le presentará las hojas de servicio que existen en sus sesiones de modo que. siempre les quedarla tiempo…</t>
  </si>
  <si>
    <t>Art, Andrés</t>
  </si>
  <si>
    <t>Andrés Art</t>
  </si>
  <si>
    <t>…gir á Sres. que fueron de opinión contraria: D. MitíasCitero, D. Joaquín •Hat ¿MÍt otras «pie crea convenientes para el efecto. Manrique , D. Gonzalo Cárdenas, D. Nicolás Alonso , D. Andrés Art. 8.a » Cuidará el Gobierno de dar á sus encargados en Madrid, Alcoa y D. saturnino Lozano. Lóndres y París las órdenes necesarias para el mejor y mas pronto des Ateneo español. empeño ele cuanto deban piacticar para la cgecucion del presento El viernes 11 del…</t>
  </si>
  <si>
    <t>Art, Deme</t>
  </si>
  <si>
    <t>Deme Art</t>
  </si>
  <si>
    <t>…tación de los mismos después de cumplir sus cruz deS. Fernando á los generales D. Antonio Quiroga , D. Rafael del comunas. Riego , D. Felipe Arco Agüero , D. Miguel López llanos , D. Deme Art. 147. «Por medio del arrepentimiento y de la enmienda el trio O-Daly, D. Carlos Espinosa y D. Manuel Latre. condenado á trabajos perpetuos podra , después de estar en el.o, 10 La comisión encargada de proponer las medulas necesarias para años , pasar ¿ la dep…</t>
  </si>
  <si>
    <t>Art, Fernando</t>
  </si>
  <si>
    <t>Fernando Art</t>
  </si>
  <si>
    <t>…valle ]y cualquiera otro de igual había motivo para exigir la responsabilidad á dicho alcalde. Aprobado. naturaleza.” Aprobado. La comisión de Guerra , en vista de la instancia de D. Fernando Art. 9" n Asi los laudemio* como las pensiones y cualesquiera García, subteniente de caballería retirado, para que se le concediese otras prestaciones anuales que deban subsistir en los enfiteusis referidos, volver otra vez al servicio , opinaba que no podía acce…</t>
  </si>
  <si>
    <t>Art, Joaef María</t>
  </si>
  <si>
    <t>Joaef María Art</t>
  </si>
  <si>
    <t>…quella Se leyó y mandó quedar sobre la tn.sa el dictamen de la comisión te manifestase ó abrigase.** Volvió á la comisión. de- Cavo» de responsabilidad acerca de ia queja dada por D. Joaef María Art. 149. » Los ayuntamientos, con aprobación de las diputacio Caidet, vecino de Barcelona, contra el provisor y v.cano general da nes provinciales, harán inscribir en la tala de sus sesiones los nombres aquella diócesi* D- Pedro Fé .x Abcl.a, por haber autorizad…</t>
  </si>
  <si>
    <t>Art, Josef</t>
  </si>
  <si>
    <t>Josef Art</t>
  </si>
  <si>
    <t>…autoridad pública que egecutc alguna orden del La comisión especial de Hacienda y segunda de Legislación exami Rey ic.” naron en la última legislatura el expediente promovido por D. Josef Art. 169. (Adición del Sr. Salvador.) « A algún súbditode la po Urrutia y Arratia sobre la venta de la casa de la extinguida inquisición tencia ó potencia, enemigas ó neutrales , sufrirá una prisión áte.” de Madrid; y en vista de todo lo que resultaba de él .opin…</t>
  </si>
  <si>
    <t>Art, Juana Zamo</t>
  </si>
  <si>
    <t>Juana Zamo Art</t>
  </si>
  <si>
    <t>…rno Nación , en la forma que te ha expresado en el art. 3” respecto a lospara los efectos convenientes. Aprobado. héroes de Castilla. La misma comisión en vista de la solicitud de Doña Juana Zamo Art. 8.° 1» La inscripción del monumento será la siguiente .ra , viuda de un sargento mayor de voluntarios de Castilla , pidiendo RESTABLECIDOS VENTAJOSAMENTE que se continuase á sus hijas la pensión que disfrutaba, era de parecer CON LA CONSTITUCION POLITICA DE…</t>
  </si>
  <si>
    <t>Art, María</t>
  </si>
  <si>
    <t>María Art</t>
  </si>
  <si>
    <t>…enga en adelante la España, seaa to de la patria. Se aprobó este dictamen haciéndose dicha deciaractoa. colocados en el mismo." La comisión de Hacienda en vista de lo expuesto por Doña María Art. 11. i) Dispondrá también el Gobierno sean exhumados los del Cármen Monserrat, viuda del cirujano D. Manuel de Santisteban, restos del benemérito Comunero obispo de Zamora D. Antonio Acu sobre que se le concediese una pensión que debió disfrutar por el mon ña…</t>
  </si>
  <si>
    <t>Art, Ramón</t>
  </si>
  <si>
    <t>Ramón Art</t>
  </si>
  <si>
    <t>…la Mo tlrio del Despacho de Hacienda, relativo á Jo» dudas ocurrida» en el narquía portuguesa que se ha puesto en mis manos, y e.yos derechos despac,.o de una partida de cacao de D. Ramón Art*g* Veirii y otro» juré conservar ilesos de cualquier ataque; y como las Corles de Lisboa españoles em.gracos de Montevideo, que embarcaron en band-ra ex continúan en rl momo sistema erradj e injusto i todas luces de reco- tranjera para que los insurgentes no…</t>
  </si>
  <si>
    <t>Art, S. Martin</t>
  </si>
  <si>
    <t>S. Martin Art</t>
  </si>
  <si>
    <t>…!• siguiente? CAFITtlLO XIX. La gaceta de Lima del sábado 13 de Abril de 182 a trae ia si Modo con que han de ser admitidos , y obligaciones de los cirujanos. guiente proclama del general S. Martin Art. i.° » Siempre que vaque en un cuerpo el empleo de cirujano, n F.n el curso de ios acontecimientos humanos no solo son inevi el coronel ó comandante del regimiento pedirá al cirujano mayor una tables las vicisitudes, sino qu: ellas entran muchas vrc-s en ia c…</t>
  </si>
  <si>
    <t>Arta, Roque</t>
  </si>
  <si>
    <t>Roque Arta</t>
  </si>
  <si>
    <t>…ían Carril. Interventor D. Pedro de Olmos , depos.tario de aquel a ciudad. entre sí como los perros de Zurita , ó como naturalmente sucede entra Castellón de la Phna administrador D. Roque Arta .-jo, cap uta los facinerosos y salteadores! Empero ¡desarmar la milicia nacional da retirado agregado i la teaorería de Valencia. Interventor D. Florenti Madrid, la de España 1 ¡ Apagar ó debilitar el fuego sagrado de la Na no Montoya , fiel contador de las…</t>
  </si>
  <si>
    <t>Arteaga, Joaquín de</t>
  </si>
  <si>
    <t>Joaquín de Arteaga</t>
  </si>
  <si>
    <t>…íz Abreu , D. Valentín de Nicolás, D. Antonio Díaz del Moral y Madrid á 15 de Junio de 1614; se suplica á la persona en cuyo D. Ramón Llor. poder se hallen, se sirva entregarlos á D. Joaquín de Arteaga,que vive Habida la conferencia y procediéndose á la votación, los Sres. Don calle Ancha de S. Bernardo , casa núm. 4, cuarto principal, junto al Joaquín Huerta C-vallos, O. Bernardo Asenjo , D. Antonio Díaz del convento del Rosario, quien dará una gratificaci…</t>
  </si>
  <si>
    <t>Arteasi, Lms</t>
  </si>
  <si>
    <t>Lms Arteasi</t>
  </si>
  <si>
    <t>…ago de attasos, auounto de fuerza iScc. (Ga mo, que empieza: — ín i'or-&gt; rd tores," » conc'uv; : — Sr. mtrivdeeite ge ceta del ají) neral de este cgetcilo y pronreia," firmado por D. Lms Arteasi, de Sociedad econimica M.Uritense. 1 Itce muchos aña* que convencida nunciado por D. Antón.o Zanotioo; han declarado por ts&lt;s m dad 1 -1 *■ N'oi- . tr'sr.- de la sociedad económica d; esta corta de las utilidades del estudio de di que ha lugar i la formación…</t>
  </si>
  <si>
    <t>Artiagu, Ramón</t>
  </si>
  <si>
    <t>Ramón Artiagu</t>
  </si>
  <si>
    <t>…t. quil en el bergantín ingles Sratla, depositadas en Cádiz, y pertene la* noticia* que hcmo* recibido de Al«f* a» dan «*f ataña al cientes i los españoles emigrados de Montevideo D. Ramón Artiagu guna de qi« cese 1* guerra que noi haccn loa pcmas. Beitia, y D. Juan y D. Francisco de las Carreras, pagaran í n entrada El príncipe Ali-Carmachnh, hijo mayor del .Schab , excluido por los derechos correspondientes como si vinieran en bandera nacional." m pa…</t>
  </si>
  <si>
    <t>Artigas, Magín</t>
  </si>
  <si>
    <t>Magín Artigas</t>
  </si>
  <si>
    <t>…ión de estos terrenos: pido pues á por la bombarda española Santa Inés (alias ¡a blanca), su capitán y las Cortes se sirvan acordar que pasen estas observaciones a la comi maestre D. Magín Artigas, que ha fondeado hoy en esta bahía, pro. sión de Agricultura para que en su vista proponga io conducente. c dente del mismo Puerto-Rico, en 4a dias de viage; á su salida, qu« j.' » Debiendo presentarse á la aprobación de las Cortes las dota fue el az de Enero…</t>
  </si>
  <si>
    <t>Artíi.Hcs</t>
  </si>
  <si>
    <t>…ener una revolución con estas: yo quiero perecer antes que asta medida como necesaria, opoituna y eficaz. ver puesta en práctica esta máxima: el Gobierno tiene en su auxilio to El Sr. Artíi.Hcs: La doctrina que acaba de verter el Sr. preopi das las leyes vigentes de España, con las que podrá perseguir i las per nante me obliga á mudar de rumbo en mi impugnación. Los individuos sonas que atesten contra la seguridad del Estado: ¡y quién me ne que comp…</t>
  </si>
  <si>
    <t>Artllano, Sebastian</t>
  </si>
  <si>
    <t>Sebastian Artllano</t>
  </si>
  <si>
    <t>…A pensiones-............................ 34,299— 8 nez Pimllos, ex-guardia: D. Juan Martinez Torres: D. FranciscoCa A cesantes y jubilados......... 94,4a í— 3Í tarais, «x-guardía: D. Sebastian Artllano: D. Josef AguiUra: Tomas A 'dudas del Monte pío da lunar : Miguel Campillo: D. Manuel Andreu: D. Juan Ortega. Dan oficinas.................................... *37.7í3-2« Marcos Román: Joaquia de la Torre y Josef da la Torre: Juan Vare A obras de edificios de…</t>
  </si>
  <si>
    <t>Arto-A, Felipe</t>
  </si>
  <si>
    <t>Felipe Arto-A</t>
  </si>
  <si>
    <t>…tenga. al malogrado héroe D. Felipe Arco-Agüero Stc-, opinaba que en la» El Gobierno pide que se imponga una contribución, y las Cortea dos banderolas se inscribiese el nombre de D. Felipe Arto-A¿ütn, lo primero qus deben examinar es si esta contribución es necesaria. Su defensor de la libertad, teniéndole por capitán perpetuo; que cuando puesta su necesidad, es preciso arreglarla á los gastos que haya que ha se pasase revista respondiese el que lleva…</t>
  </si>
  <si>
    <t>Arttor</t>
  </si>
  <si>
    <t>Gaceta de Madrid n.º 254</t>
  </si>
  <si>
    <t>…tía Igualm-nt: ha trnído á b!en ncmbtat S. M. para ias des f-i ss anoche en Arguenas, y rescató al alcalde, adonde le remití y8&lt;5 pa de la de Galicia i D. Josef Moreno Remirez y a D. Arttor o \r as res de *1 pirraras para su tropa. de Prada. C-'A ésta fecha me dice el comandante militar de esta provincia lo Se proviene i los interesados, qu- di-otro def tírnvro de 1; d ,» acudan á solic'tar la expedición di su» correspondí -t-s t tulrii ru s iig…</t>
  </si>
  <si>
    <t>Arvíielles</t>
  </si>
  <si>
    <t>…ocurrencias de Va Sr. Ru t ai Río. lencia del dia 30 del pasado Mayo; como asimismo sus patrióticos sen El Sr. Canga: Voy á contestar á las observaciones que ha hecho timientos. d Sr. Arvíielles. Fs preciso que no olvide S. S. que en materias de Se aprobaron varias minuta* de decreto corregidas por la comisión bacirnda es absolutamente necesario contar con la opinión , y contar de Corrección de estilo. con la parte moral; y d.agraciado el Gobierno qu…</t>
  </si>
  <si>
    <t>Arvit-lles</t>
  </si>
  <si>
    <t>…da Art. 13. » Los individuos de tropa del cuerpo de alabarderos con guardias, servarán los sueldos que disfrutan en el día.” Aprobado. Cop.trayéndome ¿ la objeción que ha hecho el Sr. Arvit-lles, apo Art. 14. « Los regimientos de infantería de i* guardia Real serán yándose en lo que se acerdó respecto de los Carabineros Reales, diré Jos mismos que actualmente existen.” Aprobado. que estaban estos rn otra- circunstancias, porque rn la caballería no Ar…</t>
  </si>
  <si>
    <t>Ar’iacab, Ramón</t>
  </si>
  <si>
    <t>Ramón Ar’iacab</t>
  </si>
  <si>
    <t>…a.” el bergantín ingles S.-.ia, depositadas en Cádiz, v pcrtroecierres á tes El br. secretario Zorraquin dijo que la comisión habia suprimido la españoles talterados de Monicvideo D. Ramón Ar’iacab ■ ¿ . Juan última cláusula de este artículo, y en su lugar habia sustitu do lo si y D. Fr «cisco de las Carreras, pa aran ¡ su ent ala -os c.r „v.o&gt; cor guiente: ” Previa formación de causa, y sin perjuicio de las demas pe respondientes como si vinieran cn ba…</t>
  </si>
  <si>
    <t>Ascencio, Mariano</t>
  </si>
  <si>
    <t>Mariano Ascencio</t>
  </si>
  <si>
    <t>…de D. Francisco da Fau'a Rull, en La comisión de Visita del Crédito público, informando sobre le que ped.a se le satisfaciesen varios créditos que tiene contra un mo- solic tud de D. Mariano Ascencio para que en atención á sus méritos naslerio extinguido. Aprobado. y painc miento: s: le admitiesen ea pago de varias cantidades que adeu Otro sobre la solicitud hecha al Gobierno por I) Anlres Rojo da a. Crédito púbhc i, por las cuales se halla apremiado , va…</t>
  </si>
  <si>
    <t>Asco, Vicente</t>
  </si>
  <si>
    <t>Vicente Asco</t>
  </si>
  <si>
    <t>…nio Diez, oficial de la contaduría da cias militares por un mes de sn haber.. *»39S—3*- ” 170,47 «_« 5. León. Al comandante y partida de tropa Chinchilla administrador el teniente coronel D. Vicente Asco, destinada en esta capital por su* habe falleció el i a del corriente. Interventor D. Antonio Espiaeira , oficial res de Julio....................... ... 5,189...10. de la contaduría de la Coruña. Al comandante y tropa de las fa Lérida administrador D. Diego…</t>
  </si>
  <si>
    <t>Asen, Bernardo</t>
  </si>
  <si>
    <t>Bernardo Asen</t>
  </si>
  <si>
    <t>…dirección de contribuciones directas, comprensiva de Sres. qua lo creyeron sed cioso: D. Josef Demetrio Rodrigues, una Real orden sobre pagos As medias anatas. ( Gaceta del xa. ) D. Bernardo Asen jo, D. Jotef María Pucnt* y D. Josef Larrc.legui* EN LA IMPRENTA NACIONAL.</t>
  </si>
  <si>
    <t>Asen, Brnarlino</t>
  </si>
  <si>
    <t>Brnarlino Asen</t>
  </si>
  <si>
    <t>…iento de Aragón. Infante D. Antonio. Guadix: para primer comandante al comandante de infantería, gra Zaragoza: para primer comandante al coronel graduado D. Luis duado de coronel, D. Brnarlino Asen jo, sargento mayor del batallón del Corral, comandante de escuadrón del regimiento de caballería li de la milicia activa de Guad x. gero de la Reioa. Guadalajara: para primar comandante al coronel graduado D. Al Los gefes del ejército disfrutarán el mismo sue…</t>
  </si>
  <si>
    <t>Asenjo, B-rnnrdo</t>
  </si>
  <si>
    <t>B-rnnrdo Asenjo</t>
  </si>
  <si>
    <t>…id; á saber: un privilegio de to9 mrs. al En su vista se reunió el jurado , compuesto da los Sres. siguientes: millar de renta, 13,125 mrs. situados sobre las tercias de Carteen*, D. B-rnnrdo Asenjo, D. Joaquín Huerta Cevallos, D. Angel Bonal- fecha en'Madrid á 14 de Julio de 1578: otro de io3 mn. al millar, to, D. Martin Z»randia,D. Francisco López Olavarrieta, D. Jaime renta 33,660 mrs., situados en el partido de Sigüenza , fecha en Raíz Abreu , D. Val…</t>
  </si>
  <si>
    <t>Asenjo, Bernardo</t>
  </si>
  <si>
    <t>Bernardo Asenjo</t>
  </si>
  <si>
    <t>…hado á favor da A su consecuencia se reunió el jurado, compuesto de los señores si Doña firianda de la Cerda en 14 de Abril de 1 |yo—Otro de un juroguiente»'. D. Cayetano Romero i D. Bernardo Asenjo; O. Josef María de 160,714 mri. sobra laa alcabala» de Ecija á favor da D. Pedro Lo.fuente; D. Pedro Metate; D. lino Campos; D. Antonio Sandalio de pez Portocarrero, á 13 de Marzo «la 1J64.—.Otro da un juro de &gt;6) Arias» D. Francisco Lopes de OlararrieU; X&gt;.…</t>
  </si>
  <si>
    <t>1380</t>
  </si>
  <si>
    <t>…argumentos de estas últimas esD. Joaquín Manrique y Manrique, D&gt; Francisco Martínez Marina, tan sacados del viejo y del nuevo Testamento, y fueron hechas en épo D. Lorenzo Lambe*, D. Bernardo Asenjo, D. Francisco López de cas posteriores, es decir, eu ¡os primeros siglos del cristianismo. En fin, Olavarrieta, D. Isidoro de Hoyo» y D. Joaquín Huerta y Cevallos, algunos residuos menos considerables, unidos á los que hemos citado, calificaron con la fórmula…</t>
  </si>
  <si>
    <t>…rio deben hacer lo posible por abstenerse D. Matías Casero, D. Joaquín Huerta Ccvallo», D. Julián de Fuen de elle. Ñu sno Gabinete ha seguido este cuerdo parecer, peto cierta tes, D. Bernardo Asenjo, marques de Torrenueva, D. Angel Bonalcorte ha maniLstado una opimon enteramente opu sta, la cual dicen toy D. Andrea Navarro; y habida la conferencia que previene la ley que sen apoyada por otra gran potencia del Norte.” de libertad de imprenta, declararon p…</t>
  </si>
  <si>
    <t>Así</t>
  </si>
  <si>
    <t>…á sus in Leída y aprobada el acta de la anterior, continuó la lectura de la tereses y i los de algunos Gobiernos. cansa formada contra D. Francisco Serrano , IX Florencio Gcruti y Don Así como Francfort es el centro de las noticiar, de virios diplomá- Agustín Chinchilla hasta concluir la* declaraciones de los testigos: se ' ticos defensores de la medía luna, también lo es (Mesé de las noticia» leyeron después 4 petición de algunos Sre». diputa…</t>
  </si>
  <si>
    <t>Asi, Golfín</t>
  </si>
  <si>
    <t>Golfín Asi</t>
  </si>
  <si>
    <t>…e persona del Rey era agrada equivalía á decir que uadia pañol está autorizado y obligado so pena de traidor i hacerlo asi. pudiese injuriarla ni insultarla de ningún modo. Que el Sr. Golfín Asi en mi concepto, y examinando loque dice la Constitución, no había dicho que la persona del Rey era la piedra fundamental del edi debe aprobarse este artículo, pues de otro modo parece que se trata de ficio constitucional; y siguiendo este principio, preguntab…</t>
  </si>
  <si>
    <t>Asia, María Francisca de</t>
  </si>
  <si>
    <t>María Francisca de Asia</t>
  </si>
  <si>
    <t>497</t>
  </si>
  <si>
    <t>…Consignación de S. M............ 3.091,863....4”) Idem de S. M. la Rana. «M«M*MM ***«i 53.333 -II I Sermo. Infante D. Carlos *37,500_ ,., 1 Casa Real............. ' Serma. Infanta Doña María Francisca de Asia....... 45,833-11 3.5*2,029-26 Sermo. Infante D. Francisco de Paula........................... *37,500 . Serma. Infanta Doña Luisa Carlota.......... 50,000 ISermo. Infante D. Carlos María Luis.» , .•»••«»•• 6,000 (Giro nacional i*»*****a*******o»***»»*****aaaa…</t>
  </si>
  <si>
    <t>Asiles.o</t>
  </si>
  <si>
    <t>…can sus ca En la M. H. villa y corte de Madrid , reunidos ios ¡utfc -sde h.-.boñaveres en dos ca|as, tina de madera, forrada de terciopelo carmesí, y D. Andrés de Moja y Luzunaga, D. Asiles.o htpi &gt; D. Mac .si U olía de plomo.</t>
  </si>
  <si>
    <t>Asís, María Francisca de</t>
  </si>
  <si>
    <t>María Francisca de Asís</t>
  </si>
  <si>
    <t>…rroroso combate naval, habiendo los griegos conseguido una Gobierno de que Si. .V)M. y AA. continuaban sin novedad, siguien completa victoria. do Con alivio la Serma. Sra. Infanta Doña María Francisca de Asís. £1 Sr. presidente anunció para la discusión de mañana los asuntos ARTICULO DE OFICIO. pendientes , y ademas otros varios expedientes , y levantó la sesión i El Sr. secretario del Despacho de la Gobernación de Ultramar dice las cuatro menos cuarto. con fecha…</t>
  </si>
  <si>
    <t>…la suerte decretada por la Providencia Reina 6409. Consignación dsl Sermo. Sr. Infante D. C rios 16509. para los enemigos de la Constitución. Gastos de la Cunara d: la Scrma. Sra. Doña María Francisca de Asís, Luego que llegó la infantería continuaron el fuego las compañías su esposa, 6oo3. Consignación del Sermo. Sr. Infante D. Francisco de Zaragoza , las de emigrados italianos 7 voluntarios de Matará , 7 i.6gc9.Gastos de la Cámara de la Serma. Sra. Doña Luisa, s…</t>
  </si>
  <si>
    <t>…st.tuc an y R-y cent.tuc.ora; ) .orí Reina en la tribuna que le estaba dispuesta, acompañada de la Sra. In otras lindezas, n-ecsaras ( r* preciso decirio) ptra cont ruar tc;ifanta Doña María Francisca de Asís y de la hra Princesa de ia B:ira, ñanda i los sencillos catalanes y á los cándidos u.t'at. El secretario de y á su vista se levantaron los Sres. diputados y los espectadores que la famosa regencia parece s r un francés: creemos que esta en el orden ocupaban U…</t>
  </si>
  <si>
    <t>Asís, Marta Francisca de</t>
  </si>
  <si>
    <t>Marta Francisca de Asís</t>
  </si>
  <si>
    <t>…ar la car nuaban sin novedad en su importante talud , siguiendo en el mismo ta ó patente al banco de Lóndrcs por mas de seis ó siete años, y cada estado de mejoría la Sra. Infanta Doña Marta Francisca de Asís. vez que la renu-.va le exige un derecho de. 8oo9 pesos. As i pues con La comisión primera de Hacienda presentó su dictamen acerca de vengo en esta parte del dictamen; pero me parvee que se debe exten un o'.icio del Sr. secretario de este ramo sobre el contra…</t>
  </si>
  <si>
    <t>Asta, Estéban de</t>
  </si>
  <si>
    <t>Estéban de Asta</t>
  </si>
  <si>
    <t>…hallen ya reconocidos por el Crédito públi drígu z Busto , fiscal, á Valladolid. co, y anotados y numerados en la página correspondiente al libro ó De ¡a audiencia dt Extremadura. D. Estéban de Asta á Valencia. partida, corran libremente en las transaciones de la sociedad , en las D. Ignacio Marín Sánchez i la de Astúrias. D. Alfonso de Cavia á la compras de bienes nacionales y en el pago de contribuciones atrasadas, da Cañar .as. D. Pedro Porro Cidoncho…</t>
  </si>
  <si>
    <t>Astrasi, Pedro Nicolás</t>
  </si>
  <si>
    <t>Pedro Nicolás Astrasi</t>
  </si>
  <si>
    <t>…cnte. La comisión de Visita de! Créd;to púb'ico, en v¡»ta de la »¿ c:^n Aprobado. propuesta por el Sr. Lerrer al d -temen de la moma v»b-r la ip»r*» 1 a Otro sobre la instancia de D. Pedro Nicolás Astrasi, secretario del d- los ere titos contra el Estado pertcnec c r.t-'s 2 Saneo nac-ona ce -an ayuntamiento de Santiago, solicitando queco nene on a su» méritos Carlos (veace en li d; 1 - d I c. rn. rt ' . pa-a ,ar m r; n y servicios, se le «onc-da la jubilación…</t>
  </si>
  <si>
    <t>Astúrias, Ala</t>
  </si>
  <si>
    <t>Ala Astúrias</t>
  </si>
  <si>
    <t>…estos Sres. di Jiinrnez: ia comisión opinaba que debían aprobarse los poderes de es putados. to* Sres. diputados. Aprobado. Valladolid. Sr. duque del Parque, Sr. conde de Adanero, D. Ala Astúrias. I). Rafael del Riego y D. Rodrigo Valdés Bustos. La teo Sedaño Sobral. La comisión opinaba que estando los poderes de comisión opinaba que debisn aprobarse los poderes de estos dos señores estos individuos arreglados á lo que previene la Constitución debían…</t>
  </si>
  <si>
    <t>Asumir, Joeef María Moscoso de</t>
  </si>
  <si>
    <t>Joeef María Moscoso de Asumir</t>
  </si>
  <si>
    <t>…tar á las familias de -cumplimiento. = Está rubricado de la Real mano. = En Aran juez i ij estos, excesivamente numerosas algunas, y qne por consiguiente hacen de Abril de t8ai.=A D. Joeef María Moscoso de Asumir*.” insoportable ette servicio, de tuyo gravoso, y el mas pesado para las vecinos «le los pueblos. Entre las diferentes representaciones dn,ornas se n Coa el objeto de que todas las provincias de la Nación partic'pen acaban de dirigir al Rey las dei ayuntamien…</t>
  </si>
  <si>
    <t>Asura</t>
  </si>
  <si>
    <t>…a en iruizur: , v por .1 tar tenientes coroneles , 3 capitanes, 8 teniente» y otros 9 oác.alcs. de pas&lt;&gt; a Ligarte-Araquii; pero Quesana se suh o ai morre de . Mi Idem 6. guel. El coronel Asura con una columna c-.i iha ci j s tuad e- 1 e— F.l Platón, que publicó úlrmanunte la noticia de la deserción de loa cumlrerri , y se dirigían á tomar la izqu erda .‘c d c-o moni.-. Qu -id* toldados d- la Costa , la desmiente ya.anunciando haber sido falsa. tuvo…</t>
  </si>
  <si>
    <t>…o y «I de A,bar (cerca de Sangüisa). Las colum sante á una con su entusiasmada milicia. nas d- persecución sigu n los movimientos. El 9 se reunieron en Tafa En la noche "del 6 el coronel Asura pasó i Arriba, punto poco lla sobre 800 hombres de tropas, y el 10 se Irs enviaron de Pamp.ona distante entre Amezquta, Villafranca j Zaldivia, d.spurs de hab r mun cionrs, pues parece van á salir luego en dos columnas sobre loa tenido un pequeño encuentro en…</t>
  </si>
  <si>
    <t>Gaceta de Madrid n.º 219</t>
  </si>
  <si>
    <t>…ino y 31 raciones de pan , e incorporándoseles el domin meme perseguidos. go anterior tres mozos del mismo Mundragoo. Noticiosos de esto en El coronel Jiaregui entregó el mando al coronel Asura, y se halla Vergtra, se puso y permanece su mu:cia sobre las armas, y todo el de vuelta en Tolos* para obrar de acuerdo con nuestra, dos colu nr.as vecindario con el ayuntamiento resuelto a resistir ha.ta al ultimo ex- en esta provincia. La gavilla de los cur…</t>
  </si>
  <si>
    <t>…alupi con sus tropas victoriosas estarían ayer en Po de nuestras fuerzas no alcanzó i pesar de su bizarría i cubrir todo el mar , y por tanto unidos o en relación inmediata con el coronel Asura; frente que los enemigos batían, logrando adelantarte sobre nuestras alas. que la casa fuerte de Huesca se haliaba en muy buen estado, conser El coronel Tabuenca hizo el último esfuerzo volviendo 4 situar la ar vándose la tranquilidad en aquella capital, y fi…</t>
  </si>
  <si>
    <t>…civil, y lió í causa de un movimiento que hizo la ru stra al mando de! te asolar ¿ su salvo esta provincia , recibo aviso» oficiales de la destruc niente coronel OuTira. Este y el coronel Asura con las fuerzas unidas ción de la tal gavilla , y especial y circunstanciadamente me la refiere te hallaban anoche en Pcnusa, y se creía qur entraría el nv.mo día en el comandante provisional de la compañía de milicia nacional volun ísibastro el grueso de los…</t>
  </si>
  <si>
    <t>…oo de los primero* 7 70 ca, dirigiéndote pot la Puebla la* tres divisiones, 7 queda allí la se de los segundos, sobre poco mas ó menos, se bailaban situados ea gunda del mando del coronel Asura: ha seguido á Torres del Obispo una posición ventajosísima, 7 dispuse por lo mismo que las guerrilla* sobre el flanco izquierdo del enemigo en tu retirada la primera, del se colocasen i la parte opuesta del camino, en una línea de piedras, mando del teniente…</t>
  </si>
  <si>
    <t>Asura, D Francisco</t>
  </si>
  <si>
    <t>D Francisco Asura</t>
  </si>
  <si>
    <t>…a; esto solo basta para hacer la felicidad cumberri, dejando aquel punto cubierto con la columna ai mando del de la madre patria, que con tanto derecho lo esperaba de sus hijos.'’ coronel D Francisco Asura, pues no parecía que á los facciosos le* Se terminó con .gran número de vivas patrióticos , correspondidos quedase otra salida que la de esta proe.ncja. Por esta misma razón nues con el mas tierno entusiasmo por la tropa y milicia voluntaría, quienes tro gefe…</t>
  </si>
  <si>
    <t>Asura, Francisco Ignacio</t>
  </si>
  <si>
    <t>Francisco Ignacio Asura</t>
  </si>
  <si>
    <t>…ilmente á los habitantes de Sal y dispersado en las escabrosas alturas de Sevíl, sostenida por el coronel. ta , sacando fuerzas de debilidad para manifestarse entonada ; pero a (a D. Francisco Ignacio Asura, ¿ los facciosos mandados porBesíeres; in verdad es muy notable mantengan comunicación franca con este gene clusa la fuerza de dos compañías de los dispersados de Bolea , j Cuyos por ral enemigo el teniente gobernador de Jujui D. Agustín Divi:a y el menores s…</t>
  </si>
  <si>
    <t>Atacar</t>
  </si>
  <si>
    <t>…ero: Pido se lea el decreto de las Cortes de *7 de Abril fuático de las prozin.ias. de este alio, (se leyó.) Art. 164. n Los oficiales .escribientes r porteros que sirvan acto !El Sr. Atacar: Pa:a mi es una cosa indudable que las materias de mente en las diputaciones provinciales, ya s:a en clase de propietarias prests no están colhprendidas en el decreto de a/ de Abril, y que al ya en la de interinos, con tal que havan sido nombrados cea esta de…</t>
  </si>
  <si>
    <t>Atanda, Rodrigo</t>
  </si>
  <si>
    <t>Rodrigo Atanda</t>
  </si>
  <si>
    <t>…Juan Alvs__En 1 a del corriente acudió D. Maleo Mondejar, vteino-dt teta cor rez Guerra: quinta edición. Se hallará en la librería de Miyar, y ea te, al Sr. alcalde constitucional D. Rodrigo Atanda, dtnunciando en Cádiz aa la de Zaragoza , i i» n. EN LA IMPRENTA NACIONAL.</t>
  </si>
  <si>
    <t>Ataujo, Laureano</t>
  </si>
  <si>
    <t>Laureano Ataujo</t>
  </si>
  <si>
    <t>…opuesta de La misma opinaba que debía pasar al Gobierno la solicitud de algunos señores diputados; entendiéndose quedar autorizado el Gobier D. J ossf Euscluo Gallego en nombre de D. Laureano Ataujo, reciño no para poder sacar de sus respectivas provincias la fuerza indicada; ele Puerto-Rico, para que la informase. Aprobado. bien que debía economizarse esta medida lo mas que fuese posible. La La comisión de Instrucción pública, en vista de la adición del…</t>
  </si>
  <si>
    <t>Atcnd, Juan Dañe</t>
  </si>
  <si>
    <t>Juan Dañe Atcnd</t>
  </si>
  <si>
    <t>…IC9 pilotos y 33 pilotines; pero bastará indicar o» pniicipaes ds construir cinco tablados para e¡ n't'tt mo re. rrp’azo riel vere to. destinos ae la marina, que son como sigue : almirante D. Juan Dañe Atcnd endo a que la función espu:am:c:e cu ica, se ce.;b:ara en 1« ro, que parece ser español: vice-aimirantes lossefi res Lunches», Strr- forma siguiente: lich , Caxagna, Vicuña , Staiti, Lettien, G as-previbe y Maunci». l.~ A las 11 de la mañana del dia 14 esta-r…</t>
  </si>
  <si>
    <t>Atendiendo, Juan Quen</t>
  </si>
  <si>
    <t>Juan Quen Atendiendo</t>
  </si>
  <si>
    <t>…ndo López Acrvedo, subteniente Juan J.mencz , subunitiue Eusede i8ai.” b o M.nacl.o , sargento primero D .mineo Amor, primer ayudante Manuel Molina, «argento primero V-ceote A os, teniente Juan Quen Atendiendo á las repetidas instancias de D. Josef María Moscoso sada , el segundo ayudante abanderado Vicente Morro, subteniente de Altamira para que le exonere del encargo de s-cr-t ir o de E.t -do y Domingo Acansí, sargento s-gundo Rvnuu do Gai.gnaxo, subtenien del De…</t>
  </si>
  <si>
    <t>Atenúa</t>
  </si>
  <si>
    <t>…coa que lo solicita el ayuntamieao de ciemla ó arcrctarioe del Rejr Stc. (9 rs. 1 por loa títulos de prelados doméstico» da sa Santidad ic9 ; por otros honores de la corte roma El Sr. Atenúa se opuso i este dictamen, y después de une cor- na 69 rs.” li dñcMioi i probado. Del Sr. Palarea ; » Pido qne se extienda la contribución para les Las coeeisioees de Hacienda y Comercio en vísta de la consulta dd establecimientos de beneficencia á las condeco…</t>
  </si>
  <si>
    <t>Ateos, Andrea</t>
  </si>
  <si>
    <t>Andrea Ateos</t>
  </si>
  <si>
    <t>…icas, siguientes.- D. Francisco López ds Obrera irte, D. Benito Ortega Ro de cualquiera clase y dignidad, que guarden y lúa guardar, cumplir manillo», D. Juan Fernandez Casariego, D. Andrea Ateos, D-Martin y ejecutar*! presente decreto en todas sus partes. Tendíeislo entendido Miguel de Goicmcbm, D. Josef Amonio Fonam, D. Antonio Reves 1 9Enu bocadosu cumplimientode la Real ,mano.=Eny dispondré»Arantejuezimpeima,i 17 dspubliqueAbril ydaciicole.s:«8ii¿…</t>
  </si>
  <si>
    <t>Atgflelles, Canga</t>
  </si>
  <si>
    <t>Canga Atgflelles</t>
  </si>
  <si>
    <t>El Sr. Canga Atgflelles dijo: Por aqui conocerá la Nación el espíritu Altamira, secretario del Despacho de la Gobernación de la Península. de economía que anima á las Cortes; pero yo quisiera que ya que hemos Salió en seguida la diputación que debía entregar al Rey la contes empezad…</t>
  </si>
  <si>
    <t>AtgiiéÜcsde</t>
  </si>
  <si>
    <t>…salón de em el verdadero crim'nal es el que estará incomodadísimo porque vepióbajadores de pa'acio, veremos lo que dirán, be dice es necesario-, pero xlmo el castigo, lia usado el Sr. AtgiiéÜcsde un -arg .inenln qu: tn la ; • ■&gt;]■ mos f.cultad para ello! Nótese que el articulo constitucional dí apariencia quiere decir mu.lio; p:i j que en realidad es nulo : dice S. S. te- que el Rey no puede pnver á nadie de su libertad sino por 48 qu: mañana pueden s…</t>
  </si>
  <si>
    <t>Atienza</t>
  </si>
  <si>
    <t>Gaceta de Madrid n.º 158</t>
  </si>
  <si>
    <t>…ratado mismo nos pone en ¡a precisión Sr. Escovedo. 7 uuo el o haber de desaprobar el empréstito si se ha de desaprobar la ama'gaEn la elección de vice-presidente tuvo 69 votos el Sr. Atienza v, macion. Voy a presentar en pocas palabras una idea rápida de lo que •1 Sr. Murfi, y uno respectivamente los Sres. Infante, Soberon v Al este contrato , es decir , de sus consecuencias, prescindiendo por ahovarez Gutiérrez; y no habiendo reunido ninguno de…</t>
  </si>
  <si>
    <t>Atiste, Josef</t>
  </si>
  <si>
    <t>Josef Atiste</t>
  </si>
  <si>
    <t>…nio Lloret, comandante supernumera guard a Real de infantería, con el sueldo qu- d.sfruta. rio de infantería del regimiento de León; con el aneldo que disfruta. Medina del Campo &gt; D. Josef Atiste , cap tan graduado de tenien Almería á D Nicolás .Sánchez y Chavea, comandante del secundo te coronel del regimiento infantería de Zamora, ¿d. batallón del regimiento infantería de la Corona; con el sueldo qat Navia i D. Leonardo Bonet, capitán del regimiento…</t>
  </si>
  <si>
    <t>Atmazan, Juan Antonio</t>
  </si>
  <si>
    <t>Juan Antonio Atmazan</t>
  </si>
  <si>
    <t>…te salud , y que la Sra. Infanta Doña Marta Fran afio» de edad , reo prófugo en la causa criminal pendiente en la misma cisca secuta con atirió. ... sala y escribanía de cámara da D. Juan Antonio Atmazan en grado El Sr. presidente dijo que mañana ae continuarían laa disensiones de segunda instancia por las heridas hechas á Ambrosio Val le jo, y le pendientes, y .que esta noche habría sesión extraordinaria , en la qu; se mandan que dentro de 9 días, contados d…</t>
  </si>
  <si>
    <t>Atocha, Joscf García</t>
  </si>
  <si>
    <t>Joscf García Atocha</t>
  </si>
  <si>
    <t>…Rojo , Ruiz de la D. Arias Gonzalo de Mendoza por D. Matías Martínez Rivabelloso, Vega, Riego, Rico, Canga, Septien, Ferrer (D. Joaquín), Parque, en nombre de D. Lesmet Bravo y de D. Joscf García Atocha, vecinos Rubinat, Ibarra , Reillo , Te jeito, Velasco, Ordufia, Busaña, Gar de Tiujillo, el folleto titulado: Nudo constitucional sacado por O. Ai. cía, Valdés CD. Dionisio), Abreu, Giases, Zulueta, Nufiez, Pache JC C. C., administrador de todas rentas del pa…</t>
  </si>
  <si>
    <t>Atomo, González</t>
  </si>
  <si>
    <t>González Atomo</t>
  </si>
  <si>
    <t>…tu conducta y de sus procedimientos! Esto se hacia ea mas benéficos de la seguridad y «lela justicia. secreto, y aun eran necesarias ciertas precauciones para huir del castigo El Sr. González Atomo hizo ayer una comparación de la gangrena «le la persecución. que padece un cuerpo humano con la que puede padecer el cuerpo so Asi pues creo que hay suficientes motivos para que las Cortes acuer cial ; y en efecto, yo convengo hasta cierto punto en la exactit…</t>
  </si>
  <si>
    <t>…ar debían examinarte y oirte las razones dal -Gobierno. mas contra su patria no debían ex'»tir en la Nac-or. A petición de un Sr. diputado te luyó el perecer del fiscal del tri El Sr. González Atomo nu ni fot ó que reservándose su ojv'o :cn pa bunal de Cortes. ra cuando la comisión presentase su dictamen sobre este asunto , n &gt; poAlgunos Sres. diputados pidieron que ene exposición pesase á la co d a menos de decir «futr ios Sres. que'tlabian impugnado la…</t>
  </si>
  <si>
    <t>Atonto</t>
  </si>
  <si>
    <t>…el nombro de-Diario «le Cortea.” Aprobado.' El Sr. Albear dijo qise esta re solu(ñon tetaba «fado ante* de aben. La misma, presentando tu dictamen merca de la solicitud de loa El Sr. Atonto manifestó que lo*taquígrafos habían incurrido en jornaleros mas antiguos da la fábrica de tabacos de Sevilla 4 en quema* una grava equivocación, que influía.muchoea su opinión como diputa nilestabaA el mal estado á que habían quedado (educidos, y pedían seles…</t>
  </si>
  <si>
    <t>Atteilis, Horacio de</t>
  </si>
  <si>
    <t>Horacio de Atteilis</t>
  </si>
  <si>
    <t>…de una guerra para el En la 86: Los infrascritos jueces de hecho, habiendo examinado la comercio, artes , industria y agricultura ; y según va. es capaz de pro denuncia hecha por D. Horacio de Atteilis é impresos que acusa, á bar que el degollarse los hombres es muy bueno , segun aquel chistoso saber, un artículo comunicado inserto en el Diario constitucional de dicho frasees: ti faut tutr les gens four ¡tur apprtndrt 4 bien viere. *7 de Noviembre prúx no p…</t>
  </si>
  <si>
    <t>Attellis, Horacio de</t>
  </si>
  <si>
    <t>Horacio de Attellis</t>
  </si>
  <si>
    <t>…por haya oíros Principes que aspiren al cetro, como efectivamente los hay. _ El periód co ministerial de Londres intitulado el Courier ha publi Victoriano Alessi, y denunciado por D. Horacio de Attellis, mayor de cab.i I ría ; han declarado na haltr lugar á la formación de causa cado una carta de París, en la que - ae dice que corría muy valida en por siete votos; lubi-ndo opinado que sí dos, que son D. Jos*f An esta capital la voz de que el Gobierno francés…</t>
  </si>
  <si>
    <t>Atura, Francisco</t>
  </si>
  <si>
    <t>Francisco Atura</t>
  </si>
  <si>
    <t>Gaceta de Madrid n.º 226</t>
  </si>
  <si>
    <t>…. sobre el clero. {Gaceta del 17.) da Toledo , Lusitania y la Reina y siete patriotas voluntarios, y al co Decreto de las Cortes en que se fija el número de legaciones y con ronel D. Francisco Atura se dirigiese con la suya por la izquierda, sulados , y sus respectivos sueldos. (¡Gaceta del sf.) con el objeto de flanquear al enemigo, lo que no pudo verificarse con la Decreto de las Cortes sobre aduanas. {Gaceta del sí.) - velocidad que yo deseaba por el…</t>
  </si>
  <si>
    <t>Auger, Baltasar</t>
  </si>
  <si>
    <t>Baltasar Auger</t>
  </si>
  <si>
    <t>…comparación el estado en que te ha del partido, que ha sido herido; del miliciano de la segunda de caza llaba ia provincia en el año de 180ÍJ, en que una invasión enemiga en dores D. Baltasar Auger, que lo ha sido gravemente, y d:l teniente de todo el reino oh i i ¿o i discurrir los medios para defenderse por sí sola, la misma D- Ramón Ferter , que también lo ha sido, con otros tres había también concebido la idea de imitar los esfuerzos y los medios ca…</t>
  </si>
  <si>
    <t>Augura, Josi-f</t>
  </si>
  <si>
    <t>Josi-f Augura</t>
  </si>
  <si>
    <t>…colás Munusid, teniente coronel retirado: el 5.0 á D. Juan de Broche, El Sr. secretario del despacho de Hacienda leyó la memoria de su comandante de artillería de Marina: el 6.a i D. Josi-f Augura , r.si- ramo, en la cual , después de dar una notica circunstanciada de lo que dente en Monzón: el 7“ á D Juan Rolando , natural de Genova; el habían producido las rentas, y de lo que se había pagado 3cc., trataba 8.a á D. Juan Antonio Frasquirri, italiano: e…</t>
  </si>
  <si>
    <t>Augusto</t>
  </si>
  <si>
    <t>…s de los Estados Unidos. póles , y encargado de una comisión muy importante—Ha mu.rio á la El Sr. Aiir di|o que hac.endo muy poco tiempo que Cartagena, edad de 50 años S. A. S. el príncipe Augusto , duque reinante de Sa» Viso y Tarragona d strut-ban de su habilitación, no poiia saberse si Xonia Gutha y Altemburgo; y al momento se encargó de la Regencia habían usado poco ó mucho de ella, por lo cual opino que no se su del Estado un hermano de S. A—Parec…</t>
  </si>
  <si>
    <t>AUimn</t>
  </si>
  <si>
    <t>…motr. en justic*. Con esto se responde catear cemente á ia inculpación que Opinó que debía aprobarse el dictamen de la comisión , tai como ah ara se ha hecho á la como!'.n por el Sr. AUimn; y deb-’ decir qu; cuan lo proponía. do se trata de estas materias en los cuerpos legislativos, tírbemos ate Kl ír. Lobato diji que nincutil de las reflexiona que ae hab an he nernos principalmente aflRt Fechos: por mi parte aseguro al Congreso cho I favor de…</t>
  </si>
  <si>
    <t>Aüion</t>
  </si>
  <si>
    <t>…ción , el empleado quedaría sepa que se tomen los sugetos que se crean necesarios para este desempeño. rado , acaso sin mnt.vo ; piro como s.-gun este articulo !as diputaciones El Sr. Aüion dijo que era imposible que dos oficiales empleados tienen qu: dar conocimiento al Gobierno de esta separación , sucederé pudiesen tener á su carpo todos los objetos d: entidad que se sujetaban a:guna vez que al ext nder su inferen: hallen que ios mot.vos para…</t>
  </si>
  <si>
    <t>Aulica, Juan</t>
  </si>
  <si>
    <t>Juan Aulica</t>
  </si>
  <si>
    <t>…es en realizar =Juan Ncbot =Juan Iñiguez Perzlta.3 Antonio S. Juan , pmbitero.3. tus abominables proyectos de pocos ignorados; y supuesto que V. M. Pelegrin Sabater, presbítero. 3 D. Juan Aulica, presbítero.=Feliciaestá encargado de que en todo el reino se administre pronta y cumpli no Mejía, presbílero-sAntonio RoscarasJuan Antonio Jiménez 3 damente la justicia, habiendo , como hay, leyes establecidas , é intere Aparicio Romeu.sPedro Al varado.3lzna…</t>
  </si>
  <si>
    <t>Aulzen, Cristian Andrés</t>
  </si>
  <si>
    <t>Cristian Andrés Aulzen</t>
  </si>
  <si>
    <t>…ámara de D. Manuel de Chasco, se están siguiendo autos eñ grado de frescas es de 7 á 10 grados. Me parecía que cuando soplaba este viento apelación desde el año pasado de 1807 por D. Cristian Andrés Aulzen, se esparcía por la atmósfcia un color entre amarillo y cárdeno, y que en capitán del navio dinamarqués nombrado Amia, con la casa comercio de sus períodos mas violentos se ponía el sol de color de fuego. Su olor Málaga titulada Manescau y compañía, en repres…</t>
  </si>
  <si>
    <t>Auñon, Manuel</t>
  </si>
  <si>
    <t>Manuel Auñon</t>
  </si>
  <si>
    <t>1191</t>
  </si>
  <si>
    <t>…fue extre formaron á sus inmed.aciones; é irm.dt.iam nte que fueron vistos por mado, y solo pudo interrumpirlo la obligaron sacratía de acompañar los nac onales de cabal!, ría, su comandante D. Manuel Auñon , con ia con sable en mano á la Divina Magostad que pasaba por alti á la sazón, intrepidez que le ccract.nza , ios cart&lt;&gt; solo ct n los milicianos c!e su y hasta la iglesia le futtron rindiendo las adoraciones y tr.bulos de res mando ; y á pesar de que .us fu…</t>
  </si>
  <si>
    <t>Aunque, Fran</t>
  </si>
  <si>
    <t>Fran Aunque</t>
  </si>
  <si>
    <t>…tan pro Casero, D. Mariano Zorraqnin y O. Juan Manuel de Aréjula. ferir contra ellos en sus discursos expresiones chocan ts. Sres. que votaron en contrario: D. Juan Pablo Pascual, D. Fran Aunque los turcos y los persas creen igualmente en Ja predestinación, cisco Barra, D. Valentín de Nicolás, D. Francisco Marina, D. Anto los segundos no siguen etis doctrina tan ciegamente como los primeros, nio PuigblancJi y D. Josef Radon. los cuales son por consec…</t>
  </si>
  <si>
    <t>Aurrecoechea, Josef María de</t>
  </si>
  <si>
    <t>Josef María de Aurrecoechea</t>
  </si>
  <si>
    <t>…a del po los egércitos de la Monarquía española), pág. 40, se olvidó poner en bre mendigo, porque este á lo menos conserva en medio de su miseria tre los intendentes de egércita i D. Josef María de Aurrecoechea antes el mayor de iodos los bienes, la libertad. El pobre vive en medio de de D. Manuel Huerta—En 1811 y aa te ha publicado la Guia de los sayos, y el atractivo de los aféelos domésticos puede en cierto modo Forasteros sin la cita del año en los egemplares qu…</t>
  </si>
  <si>
    <t>Austria, Valentín de</t>
  </si>
  <si>
    <t>Valentín de Austria</t>
  </si>
  <si>
    <t>…oa periodista» dicen que se retiran al mingo Fernandez Angulo, D. Josof Luis de Aniandi, D. Joaquín de interior varios regimientos. la Vega y Quintana, D. Andrés Moya y Luzuriaga, D. Valentín de Austria. Muchas eran las conjeturas que se hacían en Viena sobre Nicolás, D. Pedro de Matute y D. Juan Manuel de Arejula. los puntos que han de discutirse en el Congreso, objeto que llama la Habida la conferencia resultó por unanimidad no haber lugar í atención de to…</t>
  </si>
  <si>
    <t>Autzen, Cristian Andrés</t>
  </si>
  <si>
    <t>Cristian Andrés Autzen</t>
  </si>
  <si>
    <t>…y por por el expresado tribunal, mandando que en atención i ignorarse la la dificultad con que se respira i causa de su fetidez. Este sudor me pa existencia y paradero del citado capitán Cristian Andrés Autzen, se le reció mas denso y mas viscoso que el sudor natural; el viento mismo cite por medio de la gacela del Gobierno, á fin de que dentro del pre deposita un fluido craso. A fin de examinar mejor su naturaleza y ca ciso terminó de dos meses, que con denegación…</t>
  </si>
  <si>
    <t>Aüx</t>
  </si>
  <si>
    <t>…de ios clamores de ia ignorancia engañada y ñet or después de ser elegido diputado i Cortes; y que ademas no se ie había gullo interesado. admitido la renuncia por el Gobierno. El Sr. Aüx se opuso al dictamen de la comisión, y manifestó que CORTES. los empleados tenían y se les contaba el vecindario ó r s d -tic a en un pueblo para poder ser diputado á Cortes desde que tomaban pise» 13 Cuarta junta preparatoria del dia 24 sle Febrero. de su de…</t>
  </si>
  <si>
    <t>…der; robre lo cual voy i hacer una proposición formal. bispo de Toledo , informada favorablemente por la junta nacional del Se leyó el decreto de a6 de Marzo último á petición dei Sr. Aüx, Crédito público, opinaba que las Cortes podían aprobar lo resuelto por en el que te declaraba que los diputados desde la publicación de ktclccS. M. en favor de dichos religiosos. Aprobado. ciones debían ser juzgados por el tribunal de Cortes. La misma , en v…</t>
  </si>
  <si>
    <t>…daron pasar la exposición á la comisión de M r. cías nacionales. , 1 *" reales., ,La deuda.««-icsesde queHolandaeran deeraa 1 demillones249 millones,se han elevadoy sus*5°'á 2i El Sr. Aüx presentó una exposición de los individuos del reai. miento de infantería de Málaga, haciendo presente el horroroso at^I 13.5009 rs.: esta deuda se ha elevado * 34? .71 *9 rs., y sus Ínter;* tado cometido por algunos vecinos de Orihuela en el dia ic de Mavó »e…</t>
  </si>
  <si>
    <t>Aux</t>
  </si>
  <si>
    <t>…se taba , concebida con mucha claridad. añadiese al preámbulo, y dtmat deeretoi vigentes. Aprobado. No hubo lugar á votar sobre la proposición. Respecto de otra adición del mismo Sr. Aux, pare que después de Quedó aprobada la excepción 4.* del art. 15 presentada por la co las palabras que nombre el ayuntamiento (art. 13 ) ae añada » no ad misión en estos términos: » Los retirados y cumplidos con buena li mitiendo certificación de otros, ni ni…</t>
  </si>
  <si>
    <t>Avalle</t>
  </si>
  <si>
    <t>…n ria», reforzado con toda la caballería, te d.ngió velozmente tobr. su arrostrado en defensa de la justa causa, y la enhorabuena por el í.¡ i flaneo, alando orden á su segundo el coronel Avalle que con las de éx to, asesturardoies que !a cap tal de esta pfor nc.a , s &lt; mpr. aenove mas fuerzas ocupase el pueb.o y Je reconociese. oía a su . ficaz coopoacion, * hs.ia pronta a tr het.-r es ios r o. a Lo verifico asi, apagando los fuegos que se Ies prese…</t>
  </si>
  <si>
    <t>Avalle, Jacobo Gil de</t>
  </si>
  <si>
    <t>Jacobo Gil de Avalle</t>
  </si>
  <si>
    <t>…. conveniente permanecer en equel punto por lo expuesto que estaba á » La posteridad admirará siempre la sensatrz de los ¿«pañoles; la una sorpresa, reuní al coronel de artillería D. Jacobo Gil de Avalle misma historia imparcial eternizará vuestros nombres; la patr.a, honran y al comandante de coraceros D. Adriano Damian, y con acuerdo de do como debe í un beneméritos hijos, no olvidará jamas los relevan todos determinamos retirarnos i este punto, no obstante…</t>
  </si>
  <si>
    <t>Avclla, Francisco Kodriguz</t>
  </si>
  <si>
    <t>Francisco Kodriguz Avclla</t>
  </si>
  <si>
    <t>…te de infantería, y sargento mayor del batallón de ia milicia activa Igualmente se aprobó el dictamen de la comisión de Visita del de Jaén. Crédito p.' b ico sobre la solicitud de D. Francisco Kodriguz Avclla, Jerez: para primer comandante á D. Josef María Joanis, coman Tecino de Santiago , para que se le perdonase lo que restaba drl arrien dante del segundo batallen del regimiento de infantería Infante Dua do de varias fincas pertenecientes al mor.aa rio de S. Ma…</t>
  </si>
  <si>
    <t>Avellana, Gerónimo</t>
  </si>
  <si>
    <t>Gerónimo Avellana</t>
  </si>
  <si>
    <t>…os intimidados, que creyeron .xas y de D. Esteban Estorch, regidores, y las que ocupaban D. Ra seraneado» por un número considerable, retrocedieron en desorden, món Maciá y Bagó y D. Gerónimo Avellana, habiendo también pe d jando en las calles una porción considerable da armas y mochilas, y gado fuego á la de V. Francisco Fontanella y Masó, teniente de mili cambaron da d reccion, desesperanzados naturalmente de atacar con cias voluntarias. Es de crecidísim…</t>
  </si>
  <si>
    <t>Avilez</t>
  </si>
  <si>
    <t>…os de igualdad patacón el Brasil, y declaró pelida* d* Fernambuco; la aprobacioa qje di,ron i la conducía del que la ley fundamental que iba á promulgar no se pondría en egscucion general Avilez, que fue causa de la muerte prematura de mi Ocsaraciado en el Brasil basta que el pueblo representado por sus diputados diese su hijo el Príncipe D Juan, y el ningún caso que hici ron dz 'as esc---*» consentimiento-, paro i cuín grande no fue el asombro de es…</t>
  </si>
  <si>
    <t>Aviraneta, Eugenio de</t>
  </si>
  <si>
    <t>Eugenio de Aviraneta</t>
  </si>
  <si>
    <t>…efecto te señala. guir la gavilla de facciosos mandada por Escandon , con la noticia de haber amo arrestado con dos hijos que estaban en su compañía , dos No habiéndote presentado D. Eugenio de Aviraneta en la oficina centinelas avanzadas y otros do* facciosos. Escandon viéndose atacado de la dirección general de contribuciones directa* , tegun ofreció al abandonó cobardemente i sus hijo*, se arrojó por un precipicio, y Sr. intendente de la provincia de Búrgo…</t>
  </si>
  <si>
    <t>AVruíry</t>
  </si>
  <si>
    <t>…iento , que proveerá la Otra. En la gaceta del 9, col. i.1, lín. I.J, donde dice el dipu Vacante en presbítero secular &lt;í secularizado con la edad de 35 y 49 tado Manuel, leas: el diputado AVruíry._Jdem, col. lín. 70, «Aos, suficiencia necesaria legitimada con el título correspondiente. den le dice ( Murmullos á la izquierda ) lease sí la derecha. EN LA IMPRENTA NACIONAL.</t>
  </si>
  <si>
    <t>Ay, Josef</t>
  </si>
  <si>
    <t>Josef Ay</t>
  </si>
  <si>
    <t>…ocurrencias de la espita!. De esté idem D. Juan Ramón Delgado, contuso. IJ. IX Francisco Valero, modo se tranquilizaran sus individuos, y continuarán* gustoso* en el herido. Idem D. Josef Ay uso, contuso. Milicianos D. Antonio Enci- cumplimiento de sus deberes. Vicá'varo 11 de Julio de iSm.’’ s o, herido, D. Ramón líarro y A xoyocontuso- D. Vicente Pérez, El alcalde, regidores v procurador síndico general de) ayuntamien 11X111. IX Jossf bolahude,…</t>
  </si>
  <si>
    <t>Ayalde</t>
  </si>
  <si>
    <t>…en que fia su atención será diz , millón y medio; á mas de otros inmensos caudales van muchos ó no crimina!, si aquellos sonó no vicioso,; y 11 v ida al extremo, será asageros. Ei general Ayalde va para Cidiz en el A.jtiiies , y su fa:ia M Siempre un exceso que en ¡o, I ,rubr o público pirticul irmínte puede ará sentir mucho. El que le reemplaza es G»,tcu.” produc r conse, uenc a» bien fon st¡ .. La 1ec:si"ii por ia Constitución, Después sí ha recibi…</t>
  </si>
  <si>
    <t>Ayer</t>
  </si>
  <si>
    <t>Gaceta de Madrid n.º 59</t>
  </si>
  <si>
    <t>…an loa billete» numerada» desde el 777 hasta el 800, ambo» inclusive. NOTICIAS DE ESPAÑA.' ANUNCIOS. Barcelona 18 dt Febrero. En virtud de providencia del Sr. D. Martin de Pineda, magistrado Ayer se ha celebrado en el talón de Ciento de las casas consistoria honorario de la audiencia territorial de Cutida la Nueva, y juez de les la solemne instalación de las cátedras que no* faltaban para com primera instancia en esta camnl, dada á consecuencia de un…</t>
  </si>
  <si>
    <t>Azao</t>
  </si>
  <si>
    <t>…en el ejercicio obligación como allí se expresa." de sus funciones y con relación á ellas, ó delito ó culpa sujeta i p.na Si mandó pasar á la comisión la siguiente proposición del Sr. Azao* ponía ley civil, y cometida por cualquiera otro contra la causa públi la: * Pido que la comisión extienda un articulo imponiendo pena á loa ca en lot casos en que la moma ley conceda acción popular para aco que roben nidos ó ni fias.” tarlos ó denunciarlos ,…</t>
  </si>
  <si>
    <t>Azaola</t>
  </si>
  <si>
    <t>…cesos que han ocurrido eh Se leyó el dictamen de la comisión de Guerra, relativo fi la propo lo mas interior del Africa en medie de algunas tribus bárbaras. Es sición hecha por el Sr. Azaola en la sesión 'de ao de Noviembre acer muy probable que haya alguna exageración en todo lo que se cuenta, ca de Jos distritos militares, y sobre ladelSr. López (D. Marcial), pi pero tambirn hay algo de verdad. diendo que se reduzca á rs. el sueldo de los coman…</t>
  </si>
  <si>
    <t>…sufrirá una reclusión de uno á doe afina, decir que después de una discusión en que hablaron algunos safio res y pagará la multa de 13 á 30 duros. ea pro y en contra, manifestó el Sr. Azaola que si se aprobaba aquel ” La que en iguales términos se etercitaro habitualmanta en esta artículo , se ponía una traba pcrjudicialfsima á las artes que usen má vergonzoso tráfico, sufrirá el aumento dal duplo al triplo da las referi quinas de fuerte presión,…</t>
  </si>
  <si>
    <t>…ulación relativos al reconocimiento de la independencia mexicana frirá el reo la pena de muerte.” Aprobada. por dicho general, son ilegítimos y nulos en sus efectos para el Go Del Sr. Azaola al 664: » Entiéndese incurrir en la pena de este ar bierno español y sus súbditos. tículo como raptor con violencia al que robe niño ó niña que no hu a.4 »Que el Gobierno español, por medio de una declaración á los biese llegado á la edad de su pubertad, aunq…</t>
  </si>
  <si>
    <t>Azaola, Gregorio González</t>
  </si>
  <si>
    <t>Gregorio González Azaola</t>
  </si>
  <si>
    <t>…a me papel, nueve edición. Se vende en las librerías de Sauz y Razóla , y ea mora sobre el modo de poblar la orilla izquierda del Guadalquivir, tu las principales del reino. autor D. Gregorio González Azaola: se adjudicó el premio de gramá Por el alio de 1815 se formó causa por opiaionc* políticas al co tica extraordinario, ofrecido i la alumna mas instruida en este ramo de ronel de húsarea de León D. Eladio Martínez de Aragón , é qui-n las cinco escuelas de nifi…</t>
  </si>
  <si>
    <t>Azcar, Antonio</t>
  </si>
  <si>
    <t>Antonio Azcar</t>
  </si>
  <si>
    <t>…or el convencí &gt;» Una pequefia columna de cazadores voluntarios de Calatayud y ds an nto que teman di que los pu blos se hallaban casi desiertos por ia milicia activa al mando del capitán D. Antonio Azcar ccnCcrrió al fiesta de la virgen del Pilar en Ziragoza, en donde todos estaban. punto del convento de Alpartir, y en su transito aptehcnció á un in » Eí resudado de esta brillante acción ha sido haber cogido los bra dividuo perteneciente á la misma facción; o…</t>
  </si>
  <si>
    <t>Azcirat-, Jos.fa</t>
  </si>
  <si>
    <t>Jos.fa Azcirat-</t>
  </si>
  <si>
    <t>…os, de que el batallón de Doña Manuela Cacho , D ña Antonia Bonilla y Val&lt; ro, Dora María Aragón y los pástenos habían rivalizado en valor, y de que el ilustre Rodríguez y Camina, Doña Jos.fa Azcirat-, Doña Brígida Perez Pa Cero había entregado para el egército cuanta p ata tenia, manifestan lacios. Guatdaiopa de la Emperatriz Doña Rafaela Repeto. do cada día el pueb o mas adhesión á la metrópoli. También se sabia que Aimer ch había batido á la división de…</t>
  </si>
  <si>
    <t>Azcuénaga</t>
  </si>
  <si>
    <t>…s fac » Mañana probablemente darán i V. S. un parte detallado de toda ciosos, y salí con la caballería é infantería; pero como el convento es la acción el comandante Tolosana y el capitán Azcuénaga, pues á mi ta situado en aito vieron pronto mi movimiento, y ya no me quedaba me es imposible hacerlo por la razón que dejo expresada. Entretanto otro recurso que dividir los ¡o hombres que d: ambas armas llevaba, debo manifestar i V. S. que las tropas todas…</t>
  </si>
  <si>
    <t>Azcuénaga, Josef Benito</t>
  </si>
  <si>
    <t>Josef Benito Azcuénaga</t>
  </si>
  <si>
    <t>…an conducido Columna motil del bajo Aragón. « ¡Viva la Constitución! A una en esta jornada los cazadores del provincial de bigtienza, como igual con la columna votante al mando de D. Josef Benito Azcuénaga, acabo mente el particu ar mérito que ha contraído el patriota D. Miguel de de batir, destruir y arrollar á tos facciosos en número de 1100, *1 Totrea.ríDios ruarde á V. S. muchos afios.=Lanaja y Agosto 23 de mando de los cabecillas Rambla y Chambo. La acción…</t>
  </si>
  <si>
    <t>Azcuénaga, Josef Benito de</t>
  </si>
  <si>
    <t>Josef Benito de Azcuénaga</t>
  </si>
  <si>
    <t>…te individua, zai á nirzu^o de y al llegar á las cuatro de la mañana ya encontré sobre las armas a la ellos: Gerona , Y i.lavioos*, Extremadura, A .czar y mi.c ,n. s vo columna d* D. Josef Benito de Azcuénaga, que ocupando á Capuchr- luntario» »on cuerpos de ia patria, y n » putden nunca de»;n nt r su nonos, adelantaba su* descubiertas sobre el camino de Maeiia. Con acuer sicon v parnotismo. Ei ciruiano dei pueblo de Creta, FV Vicerre Un* ban, que con al mayor pat…</t>
  </si>
  <si>
    <t>Aziola</t>
  </si>
  <si>
    <t>…ara otras cosas mty Guerra, el uno acerca de ia proposición que hizo en la sesión de 20 interesantes, proponemos qu? se discutan y voten de por junto So* lí de Noviembre último el Sr. Aziola ; y otro sobre la consulta que hizo mites de todas las provincias que aun no se havan votado.” *1 Gobierno relativa al dictamen del consejo de listado acerca de la Después de una dítctu.ou , en la que hablaron los Sres- SmaÉMy</t>
  </si>
  <si>
    <t>Aznat</t>
  </si>
  <si>
    <t>…l gefe políti períir su entraría en Navarra. co superior Juan Lopea Pinto.” •* Dios cunda á V. muchos años. Cuartel gertra! d- Mon.-rn 14 __Por partes recibidos posteriormente del comandante Aznat he sabi d* tKCut re de 182 i.mAntomo Remon Zarco del ValL.ecdsi. L. .- _r do que va siguiendo los restos de la citada facción. barón de Camódele!." Idem iS. Zaragora 17 de Octubre. Sexta distrito militar----ív‘mtanJanea frnerai. Vfich del alcalde constitucion…</t>
  </si>
  <si>
    <t>Azpiroz, Amonio</t>
  </si>
  <si>
    <t>Amonio Azpiroz</t>
  </si>
  <si>
    <t>…to, 10 ó 12 quieran contribuir á tan digno obeto podría suscnbrs- en la librería muertos y un nínn ro He her dos cuatro ó cinco veces nuyor que el de Ranz ó» en la trimbreferta de D. Amonio Azpiroz, calle d« la Mon nuestro, habiéndoles cocido ademas dos prisioneros con las armas en tera. Esta suscripción tiene por principal objeto desagraviar los manea la mano y un caballo herido. En la glanos* acción d* este dia todos dtl fieros viltnsnt* asesinado. EN…</t>
  </si>
  <si>
    <t>Azpiroz, Miguel</t>
  </si>
  <si>
    <t>Miguel Azpiroz</t>
  </si>
  <si>
    <t>…e imprima, publique y circule.=Rubrcado Hallándose radicada la testamentaría de Doña María Pereda, viuda de la Real mano.=En Palacio i 17 de Febrero de 1822. s A Don y heredera de D. Miguel Azpiroz, vecinos que fueron de esta corte, Luis Sorda. en el juzgado de primera instancia delSr. D. Juan Gómez y Díaz,y es criban! . del cartulario D. Manuel López de Riras, que despacha por La junta de gobierno del banco nacional de S. Carlos, en virtud habilitación…</t>
  </si>
  <si>
    <t>Azquria, Francisco</t>
  </si>
  <si>
    <t>Francisco Azquria</t>
  </si>
  <si>
    <t>….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 Hilario Brihuega, cargada de la recaudación de lanza* y media anata, que el título de Cas D. Antonio Bravo, D. Antonio Cumbres, D. Juan Galvan, D. M…</t>
  </si>
  <si>
    <t>Azsvedo, Soeree'</t>
  </si>
  <si>
    <t>Soeree' Azsvedo</t>
  </si>
  <si>
    <t>…ente para otra sesión. aunque sea tarde, que según la ralea ultra el ai dt Julio hubo en Ma Jdtm dtl y. drid , sí, en Madrid , una conlrarevo’.ucion, en que perecieran seis mil El Sr. Soeree' Azsvedo leyó el proyecto de tos artículos adiciónale* personas; pero triunfaron los constitucionales. La noticia fue volando é la Constitución para el reino del Brasil; y habiendo dicho el sefior del Sena ai Támesis, y nosotros la traemos ahora muy despacio al presid…</t>
  </si>
  <si>
    <t>Azur, Vicente</t>
  </si>
  <si>
    <t>Vicente Azur</t>
  </si>
  <si>
    <t>…e esta c.uJací y tarde del dia 11 del corriente loe Sres. D. Francisco »'r los qne hayan de impetrar bulas y gracias apostólicas. (Gottta átl Llano, del comercio; D. Josef Vecino, D. Vicente Azur, merques sjáe id.) de Rio-Flor do; D. Gerónimo Masía, presbítero; D. Vicente Iranzo, Circular del ministerio en que so inserta una contestación del hacendado; D. £ non Gascón, presbítero; D. Vicente Vergara y MesSr. nuncio de S. S. sóbrela secularización do u…</t>
  </si>
  <si>
    <t>A’Court</t>
  </si>
  <si>
    <t>…n de Cortes del 14. enterrado $4cadáveres, y toda la comarca está llena de dispersos. Este sesión te ocnf6 en la última lectura del proyecto de Constitu _Anteayer pasó por Irun el caballero A’Court, enviado de Ingla ción , que quedó aprobada. terra cerca de la corte de España. Nuestro cónsul en Bayona se f alsía El Sr. Fernandes Pinheiro leyó una proposición , en la que detpuee anticipado i avisar al Sr. gefe político el día de su traes to, y el deseo d…</t>
  </si>
  <si>
    <t>A’o-.so, González</t>
  </si>
  <si>
    <t>González A’o-.so</t>
  </si>
  <si>
    <t>…del gooierno interior cc las cerse en aquel E-tado; por donde se ve que doji.Kia »u or¡_-:i - la i.ort s. usurpación del poder. Si te continúa ia historia di ios reglamento, de El Sr. González A’o-.so: S; ha acordado ya por las Cortes que policía en las naciones modernas, te vera que ma&gt; que otra cos-a t'ilo es haya comisión interior de las mismas; y ia Constitución no p-.'ii ic ia historia de los abusos. que cuando haya D.putacioo permanente pueda también…</t>
  </si>
  <si>
    <t>B'anco, Hemeurio López</t>
  </si>
  <si>
    <t>Hemeurio López B'anco</t>
  </si>
  <si>
    <t>…documento» Musiente». acompañados d' un eremp ir dr su cx:raeio da memo, o M-uiocoiot Palacio 1.* de Agotto de 181a. íebic.tntcs. Palacio s.** da Agosto de 1811. Por tratación de D. Hemeurio López B'anco 4 «arvir la judíaatu. Despus» ds algunos d.*&lt; d- ailenc.o »obr' los asuntos de la brida (a da pruaata lattaocia dal partido da Cogo Judo *4 quedado vacante da da carabmciu» pod.uso» ya cap.ciñcai vario» retaliado» qua dea</t>
  </si>
  <si>
    <t>B'C</t>
  </si>
  <si>
    <t>…autoridad; y respecto de los de mas nunca podia dudarse da creía oportuno, formalizaría una proposición. que los ayuntamientos tenían la facultad y arbitrio de valerse de quie El Sr. B'C 'rra contesto que las observaciones y dudas de diferentes nes les pareciese para poner en egecucion lo que acordasen. diputación s provinciales dirigidas á las Cortes y al Gobierno hab an El Sr. Lodaret manifestó que había cierta clase de cosas que podían pro…</t>
  </si>
  <si>
    <t>B'cerra</t>
  </si>
  <si>
    <t>…e harían estos individuos con cumplir con las funciones propias de su expiden por la Sarta Sede. ministerio. Otra del Sr. Infante para que se supriman los colegios de abogados, El Sr. B'cerra contestó que hasta ahora se había cumplido lo que y puedan egercer esta facultad lodos aqueles que tengan los requisitos se prevenía en este articulo , y no estaba de mas el que ¡o aprobasen que en la preposición se expresan. las Cortes, aunque después se aco…</t>
  </si>
  <si>
    <t>B'tda</t>
  </si>
  <si>
    <t>…ee habían acordado que no podía pre que se está en el caso de que las Corles impongan esita contr¡bu; on. cederse contra loe aecretarios del Despacho en los delito* de conspira El Sr. B'tda: P.du qua »* observe lo prevenido, en el art. 101 del ción e&gt;no en calidad de tales, y que por lo mismo el hablar contra esto reglamento, y que se l;a dicho artículo. ( Se leyó. &gt; era hablar contra lo determinado por las Cortes. Cuando í un secreta El Sr. Mar…</t>
  </si>
  <si>
    <t>B, Alrj.indro</t>
  </si>
  <si>
    <t>Alrj.indro B</t>
  </si>
  <si>
    <t>…nacional voluntaria. jindro P.’ñasco, D. Fiancisco Iribarren, D. Santiago Jrsrf T rri, Don U no de los alcaldes pisó al curttei de dicha milicia con el fin de aren Pablo Matheu , D. Alrj.indro B.'u.cia y !•&gt;. Joaqu.n de Erras. Entera gar á los voluntarios qu; se reuniesen , inspirándoles ideas de orden y dos de esta disposición los bát ilíones ds la milicia nacional , enviaron confianza en las autoridades. A corto rato se presentaron tres indivi d pot…</t>
  </si>
  <si>
    <t>B, Aseoslo</t>
  </si>
  <si>
    <t>Aseoslo B</t>
  </si>
  <si>
    <t>…da si estabs en el m.sino caso respecto de la imposibilidad de nifestase si existía la junta aux liar de guerra, de qué individuos se acudir al desempeño de sus funciones el vocal D. Aseoslo B t-ral; y componía, y qué sueldos gozaban. la tercera si se hallaba en el mismo caso á causa de la imposibilidad da A la miama comisión se pasó un estado de la tesorería general, pre D. Félix Maeda; opinaba que debia exonerarse á los referidos sujetos sentado…</t>
  </si>
  <si>
    <t>B, Diego</t>
  </si>
  <si>
    <t>Diego B</t>
  </si>
  <si>
    <t>…barón de Holbachcabeza , del Dr. D. Francisco Reancos: otro de 56,230, en la indicada un «omito en 8.° i 6 , rs. en la librería de la viuda de Quiroga__ Discur renta y cabeza, de D. Diego B.-ancos y Salcedo &gt; otro de 2 24.400 , en sos del abad Claudio Fleuri sobre la jurisdicción eclesiástica y sobre el la referida renta y cabeza: otro de 429, en alcabalas del principado origen, progresos y decadencia de las órdenes religiosas, traducidas de Aslú…</t>
  </si>
  <si>
    <t>B, Francisco</t>
  </si>
  <si>
    <t>Francisco B</t>
  </si>
  <si>
    <t>…con este ntoti- ra instancia los Sres. L&gt;. Jaquir. García Dornen-ch, diput.do y.: la vo pidió que las Cortes le autorizasen para dar la cuenta de las canti provincia de Valencia; D. Francisco B a, Gar.z , por .a r&lt;_ laico. ; dades que por sí hubiere manejado. ¿Pueden darse unos deseos mas no D. Josef Batges y Oliva , por la de Cataluña; y D. Mei.hjr Marau, bles en este ciudadano? El no haber cumplido con la ley no ha estado por la de Valencia. 2.' L…</t>
  </si>
  <si>
    <t>B, Francisco de Paula Roset y</t>
  </si>
  <si>
    <t>Francisco de Paula Roset y B</t>
  </si>
  <si>
    <t>…o el aprecio que el duque del Cataluña. D. Pedro Surra y Rull, D. Josef Grases, D. Ramón Parque se merece, y el patriotismo qne le acompaña , creo que se halla Sal vito de Fsteve, D. Francisco de Paula Roset y B*bí , D. Josef Bai- en la imposibilidad de ser diputad»; y mi creo obligado por la ley mis yes Oliva, D. Josef Melchor Ptat, D. Mariano Rubinat, D. Ramón ma i reclamarlo asi, pues si ahora se admitiese un empleado de palacio, Busaña y D. Hemeterio Martí. Fuero…</t>
  </si>
  <si>
    <t>B, Gerónimo</t>
  </si>
  <si>
    <t>Gerónimo B</t>
  </si>
  <si>
    <t>…olifiino , con el fin de reconocer la vinciaies de Soria, que debían I egir segur, su itir. rmo.e »ubt-n:cnts diT-cha de mis operfie.onrs. Gon el resto de la fuerza me dirigí á Ro D. Gerónimo B ratón , qu con cuatro dr os mitos me encentre en bres, en cuyo pueblo r.o pude averiguar cosa alguna. No obstante i el fuerte, y los cuales contr huyeron rficaznurt; a 'a defensa con el favor de a punas noticias dispuse seguir mi movimiento con dirección valo…</t>
  </si>
  <si>
    <t>B, Gómez</t>
  </si>
  <si>
    <t>Gómez B</t>
  </si>
  <si>
    <t>…obligación que me impone el cargo de diputado, no puedo llenaba todos sus deseos, creía que debía aprobarse. menos de hacer presente al Congreso que por este artículo se quiere El Sr. Gómez B. cerra : No sé por qué en este negocio se confun decir f a mi cnt.ndcr) al criminal que puede arrojarse a atntar con den dos cuestiones, que aunque pueden tener contacto entre sí, en la tra la seguridad del Estado , y que puede comprometer su ex stencia con es…</t>
  </si>
  <si>
    <t>…tes sobre los atrasos qu: deben aplicarse al canal artículo s.° de Castilla y carretera de León á Astórias, según lo que previene la Se leyó el art. 3.0, y habiendo manifestado el Sr. Gómez B.cerra orden de las Cortes de 19 de Junio í t mo." que le consideraba mótil, pues sin él se conseguían todos los deseos La comisión d: Corr-.ccón de estilo presentri el d-cr-to de las Cor de Ja comisión, se puso á votación dicho aiticulo, y quedó d sapro- tes s…</t>
  </si>
  <si>
    <t>B, Grtn.a</t>
  </si>
  <si>
    <t>Grtn.a B</t>
  </si>
  <si>
    <t>…movimiento muchos resortes para impedir opinión en cada pueblo deb an tener esté-, una seña part cu.v-. los estragos de la firb-e amarilis; y hay otros que creen que estas medi E' Sr. Grtn.a B.cerra contestó que Ja cornis ón prc.cntaha *qui das son inútiles y perjudiciales ; por lo mismo viendo la comisión la im una base , y de ningún modo trataba de coartar a! G. b croo Is facu'.ad posibilidad en que se halla devolverá prest mar de nuevo un trabajo…</t>
  </si>
  <si>
    <t>B, J</t>
  </si>
  <si>
    <t>J B</t>
  </si>
  <si>
    <t>…procurará hacer en los ajustes igual conveniencia a* Que tan luego como llegue cualquiera de lot citados individuos que cualquiera otro. Pueden dirigirle ios pedido* fi nombre de D. J B. i aigun punto de la Península se dirija al que se halle mas inmediato Clement Sturne y compaliía, calle de Calatreva, dúos. 18, Valencia, de los de Bic.iuns, Cadie ó la Coruha , y por los respectivo* coman con la seguridad de dejar complacidos á tus comitente…</t>
  </si>
  <si>
    <t>B, Manuel</t>
  </si>
  <si>
    <t>Manuel B</t>
  </si>
  <si>
    <t>…n la ciudad de Pamp.uua, reunido» los Sres. jueces de hecho Don Cerdefia. Los ministros aeran el príncipe de Mettermch , presidente Pedro Javier de Astram, D. Joscf Joaquín Lcoca, D. Manuel B r.10 nato, y Mr. Oentz, secretario del Congreso, por parte del A nutra; fcch vrna, D. rrancisco Javier Aoiz de Zura, D. Juan de Irazoz, el conde de Neseirode por la de Rusia; el conde de Brrnstorff por la D. Juan Domingo Zuvin y ALua, D. Lu s Gaicia, E&gt;. Jose…</t>
  </si>
  <si>
    <t>B, Pedro López y</t>
  </si>
  <si>
    <t>Pedro López y B</t>
  </si>
  <si>
    <t>…ealizado la presentación de sus créditos la citada villa de S. Pedro Mmrique, ó á su apoderado en esta corte en esta contaduría general y sus rivp-ndencias , y tengan derecho a ha D. Pedro López y B anco, calle de la Montera, núm. 34, cuarto 2.* cerlo, lo verifiquen dentro del plazo indicado, respecto á que finaliza Ha sa ido el núm. a.° del 6.° trinte tre ( 47 de la colección) de do este no podran de modo alzm.o admitirse, asi cono en las de cvér- las D…</t>
  </si>
  <si>
    <t>B, Teresa Pacheco y</t>
  </si>
  <si>
    <t>Teresa Pacheco y B</t>
  </si>
  <si>
    <t>…mos á todos los tribunales, 31,369 mrs., situados en el derecho de la media anata de mercedes, justicias, gefet, gobernadores y demas autoridades, asi civiles como mi en cabeza d; Doña Teresa Pacheco y B.navent: , condesa de Fontanar, litares y eclesiásticas, de cua'qui:ra ciase y dignidad , que guarden y ha su fecha a de Junio de iñji: otro di 16 ds Agosto de 1645 , tn ca gan guardar, cumplir y rgreutar la presente ley en todas sus partes. beza de D Cristóbal…</t>
  </si>
  <si>
    <t>B, Vicente</t>
  </si>
  <si>
    <t>Vicente B</t>
  </si>
  <si>
    <t>…Sr. fiscal de imprenta por ai y £ virtud de excitación del Go ministraciones del reino. El antor de esta interesante obra , reclamada bierno denunció al Sr. alcaide constitucional D. Vicente B.rtran da Lis tiempo bá por el ilustre Jovciianos á nombre de la sociedad de Amigos un .-Tticu o inserto en el Diario nuevo de 1; del mea pasado, núm ato, del País de Madrid en «u informo sobre la ley agraria , continúa tratan en concepto de subversivo. En su v…</t>
  </si>
  <si>
    <t>B-'tton</t>
  </si>
  <si>
    <t>…a anterior. ¿ti estado mayor. A la comisión de Comercio se mandaron pasar dos expediente* .. Sabemos (añade el L'b.’rat), por lo que nos han asegurado perso nas fidedignas, que el general B-'tton si ha salvado, y se halla en terri promovidos por el comercio de Cádiz, sobre que se le amp i; el ter mino señalado para el despacho de los géneros existentes en depósito. torio español no lejos de esta frontera. Anteayer llegaron á esta ciu La comisión de Di…</t>
  </si>
  <si>
    <t>B-c</t>
  </si>
  <si>
    <t>…el erl e_da, me parece que debe apro t.m -nte expresivos r los alca^d s de lo. pueblos comarcanos, para que barse. dispongan por su parte ¡a practica de iguales dilig. nc.a&gt;.” El Sr. B-c*rr» dijo que la cernís: n niG..1 Ec»bi el artícu’o en esD spues d una 1 z ia di.cus un couv.no la commun en añadir á tos té minos: •» E» ob-¡¿ación de !.» ¿1Lw H - , z :í» l.Z¿ :as pi r i&gt; dieste articulo d spu s d- las pal.bras » otros vecino» armado»,” .as…</t>
  </si>
  <si>
    <t>B-c-rra</t>
  </si>
  <si>
    <t>…xpresado en lo que prece putado, porque el artículo dice : no podrá haber ¡-«f-, pu.it eos subal de a dicha parte. ternos sin que lo acu rd.-n las Cortes á propuesta de. Gobierno. Sr. B-c-rra contestó i la observación del Sr. Pedralvez, mani El ur. Becerra: Las Cortes pueden acordar que se e»t. b..zea un g-Í4 festando que pu-de haber otros d fectos, ademas de la desobediencia y político subalterno, y en este teni do hsb.a el artículo , y ei G-b .r…</t>
  </si>
  <si>
    <t>B-cerra</t>
  </si>
  <si>
    <t>Gaceta de Madrid n.º 366</t>
  </si>
  <si>
    <t>….1 !as or.:l-s d-1 P«&gt; ni a ias d-l !''rv„b o der hacer responsable. rn busca de qUi-n n .-..bema-a . a n,-. s-r jue p. r'» «'« o-: tac on Deipu-s de haber apovado el artículo el Sr. B-cerra , s* d claró Tejara a md carsr e-l- . iit, r&gt;o , y s-gun se expresa ir, -u a-t. iS: este asunto suficirntem-nt- H.scut d&lt; , se dcsjp'obó el artcuo , y acor Conciu r-m &gt;s dt- . 0H0 nu *- im-np son ::-.t«-o .?.»» r,- , tedó que volviese a la com non. inore», s«…</t>
  </si>
  <si>
    <t>B-cerra-</t>
  </si>
  <si>
    <t>…isión preséntate su dictamen sobre la adición del cesita poner en pus un formidable egerc.to, sm Cuyo requisito na es fá Sr. Sotos. Continuó la discusión sobre la pro posición del Sr. B-cerra- ( Véase cil hacer pretensiones que suttao eCtao. en la ¿aceta de ayer-) CORTE?. El Sr. Gómez Becerra: La idea de esta proposición me la dió el Sr. Flores Calderón, pues dijo su señoría que en la comisión había nxiiDSxciA bel S«. Vaibm ¿Don Catetasó). do* copi…</t>
  </si>
  <si>
    <t>B-guer, Miguel Bois de</t>
  </si>
  <si>
    <t>Miguel Bois de B-guer</t>
  </si>
  <si>
    <t>…icho como tutor y curador de tu sobrino D. Manuel Biíios y Medina , re título , las cuales podn n aumentar hasta una tercera parte mas del ex mitió en el año de 1817 sus poderes á D. Miguel Bois de B-guer, cón sul de S. M. en Pflermo, para que tomase posesión de una renta de 50 presado uaaáwm.” Aprobado. Art. 381. « Los que introdujeren ó propagaren enfermedades con duros anuales que'pertenecía en Sicilia á dicho menor; á cuya conse cuencia, habiéndolo logrado…</t>
  </si>
  <si>
    <t>B-ída</t>
  </si>
  <si>
    <t>…di. Apiolado. del modo de hacer efectivo el decreto de ¡as cAnt-* d- 11 de Se:.«.nb-* Otro sobre la exposición del ayuntamiento de Sabanilla, p'ovincia de 1810 Los argumento* del Sr. B-ída huberan v.-n.do muv befl en d: Cierres , solicitando permiso para vender varios teitctio» de sus pro la no.he de 14 de Enero de 8 jo, cuando se estaba discutiendo la pr »— pios para acudir i los gastos municipales. La comisión opinaba se acce mesa qu: se habí…</t>
  </si>
  <si>
    <t>B-ldi</t>
  </si>
  <si>
    <t>…. s-cr. t irio d.l D-spacho de Gracia desi-o de pr m ar á ¡os 1 steur.iéor s del sistema cnnstitucional. y Justicia no había hecho me-nio d; esta cri.t.dil en el pr.supuesto ds Kl Sr. B-ldi se opuso al dictamen, manifestando qu-- de manera al su ramo. guna se llevaba á efecto la Irtene on de las Cortes al d-crctar cor. techa El Sr. Septien añadió á esto qu ; !a comVoi no t-ni* la cu’tn da de 1 1 de N || mbre que ¡os que hubiesen tenido una parle…</t>
  </si>
  <si>
    <t>B-rtier</t>
  </si>
  <si>
    <t>…ínea; y i ia que se a¿regari una bat-ria de artillería de fi.ultad d-t pa-o dei r.o y la es.a’» &gt;: '¡! de ia montaña • , c ¡rn,- &gt;i-á pie : terc*ra, al mando del mariscal de campo vizconde B-rtier de bic íes pueda d»r aicsr.ee; sin emba-y si esta mtdida ofre.iese a ¿ua Sauvigny, compu*sta de ios T-vimi'ntos 37 y 38 de línea , con una bi- riscli.’do ¡o yarlic-pare a V. Ic. , as. c ¡tr.o de lo, tf.ct-.'s encontrado*t-ra de a.tilieria d- á pie Tambi.n se…</t>
  </si>
  <si>
    <t>Ba</t>
  </si>
  <si>
    <t>…che para sesión extraordinaria para tratar Guerra. del dictamen pendiente ; y levantó la ordinaria de este día á las tres. Drcr-to de S- M. concediendo el uto de la media firma al Sr. Ba lanza!. (Gaceta del 9 dt id.) ARTICULO DE OFICIO. Decreto de S. M. nombrando i los comandantes venérales r subal El Sr. secretario dei Despacho de Marina, con fecha de ayer, dice ternos de los distritos y provincias que les corresponder., conforme a desde el…</t>
  </si>
  <si>
    <t>Gaceta de Madrid n.º 246</t>
  </si>
  <si>
    <t>…ado escrito hables: hab a-io la N teion española con mas imparciali Ayuntamiento eomtitucLnal At Madrid. dad, y ie hubi.ra hecho la justicia á que -s acreedora; pero de tal ma Por D. Ba&gt; d o Antonio García , vecino de esta corte, se han en nera le cenaba la pasión y el enojo, que ni aun siquiera se acordó , ya tregado ai Fxcmo. ayuntamiento io0 rs. vn. que le ha r:m tido i_&gt;. Ma qu: ciaba a historia de España, d: la inmortal victoria ds Lepi…</t>
  </si>
  <si>
    <t>Ba'agurr, Agustín</t>
  </si>
  <si>
    <t>Agustín Ba'agurr</t>
  </si>
  <si>
    <t>…ala segunda del supremo tribuna! de Jo— creyese conveniente. Aprobado. ticia hab a infringido abiertamente-las leyest y para probarlo hizo al La misma, en vista de la instancia de D. Agustín Ba'agurr, natural orador un resumen de todos las trámites que habia tenido este negocio, de Agramunt en Cataluda sobre que se legitimase á su bija nato* empezando desde el decreto de 16 de Marzo, y concluyendo con el úl tal María, hsbida en. Doga Agustina Borras, erad…</t>
  </si>
  <si>
    <t>Ba, Felipe</t>
  </si>
  <si>
    <t>Felipe Ba</t>
  </si>
  <si>
    <t>…n de las Cortes, basta que se den para su De ¡a audiencia de Navarra. D. Fermín Sauz López á la de Ara egecucion reglas ciertas y rigorosas, que eviten los graves daños y per gón. D. Felipe Ba&gt;absr á la de Valladolid. juicios hasta aqui experimentados. Dt ia audiencia de Sevilla. D. Teot mo Escudero á la de Extrema 3." » Que i fin de conseguirlo el Gobierno i la mayor brevedad y dura. D. Josef de Mier a la de Granada. D. Pedro Simó á la de Ca con p…</t>
  </si>
  <si>
    <t>Ba, Francisco</t>
  </si>
  <si>
    <t>Francisco Ba</t>
  </si>
  <si>
    <t>…espitan del cuerpo nacional de artillería D. Ignacio López Pinto Decreto de las Cortes, en que se establecen algunas variaciones en nos patticipa hallarse autoriztdo par el Excmo. Sr. D. Francisco Ba el ramo de loterías ( Gaceta del íj.) llesteros par* manifestar que el benemérito diputado en Corta D. Fa Decreto de las Cortes sobre la contribución de ayo millones para cundo Infante, primer ayudante del atado mayor, adema délos útiles *1 servicio público d…</t>
  </si>
  <si>
    <t>Ba, Luis López</t>
  </si>
  <si>
    <t>Luis López Ba</t>
  </si>
  <si>
    <t>…spaña de primera clase; para la de Gueira al teniente ge legítima para castigar por sí á otros, se excluye tai bien la premedita neral D. Josef Cienfuegos; y para la de Hacienda á D. Luis López Ba ción cuando se excedan en el castigo por un arrebato del enojo que Ies llesteros, director general de rentas. causen en aquel acto las faltas ó excesos giaves que hayan cometido El Sr. Palarea observó que en este oficio se usaba de un lenguage las personas ca…</t>
  </si>
  <si>
    <t>Babamonde</t>
  </si>
  <si>
    <t>…e no pueden tenerte. Quedó aprobado el artículo , añadiéndose al final y decretal de leu Si la ley ha señalado las atribuciones que estas corporaciones deben Cortes á petición del Sr. Babamonde. tener, no se querrá que tengan influjo ó derecho mayor que el mismo Art. 10. ' » Autoridades diferentes no pueden reunirse para hacer que la Constitución les da; y todo lo que tea pasar de aquí pu-de con peticiones ni para acordar ó dictar providencias unida…</t>
  </si>
  <si>
    <t>Babia, Manuel Sant de</t>
  </si>
  <si>
    <t>Manuel Sant de Babia</t>
  </si>
  <si>
    <t>…s Cortes y el Gobierno; pero no es necesario apelar orden qué sigue: á la tanta alianza ni á otros resortes, de que tan generalmente sa » He dado cuenta al Rey de ana instancia de D. Manuel Sant de Babia, para lograr tan funestos designios, pues bastaría cierta clase ban , dependiente jubilado del resguardo de Santander, remitida por el de españoles, que guiados por el gemo de la discordia parece que solo antecesor de V. S al ministerio de mi cargo, pidiendo…</t>
  </si>
  <si>
    <t>Bac'gatupi, Castro y</t>
  </si>
  <si>
    <t>Castro y Bac'gatupi</t>
  </si>
  <si>
    <t>…ien cara su osadía á loa advirt éndole que para este momento ya se hallarán r-un da. 14, co enemigos de la libertad , viles satélites del d.-spotismo y ¡a superstición. lumna* del comandante Castro y Bac'gatupi, á las que i;* común co No: la cara libertad no acabará jamas: ei 7 de Jubo nos lo garant ía: este mismo oficio , dictándoles que interesa que luego se d riun h c a el / de Julio ea el dia clásico, que haciendo palptar de gozo a todo Jaca en combinación con l…</t>
  </si>
  <si>
    <t>Bacigaiupi, Pablo Luis</t>
  </si>
  <si>
    <t>Pablo Luis Bacigaiupi</t>
  </si>
  <si>
    <t>…o nos permite esta trozada en menos de a.f horas. M 1 5 me reuní en barifiena con ia co miitnu razón , apoyada sobre tantos hechos , us»r con él de represalias, lumna de. teniente coronel D. Pablo Luis Bacigaiupi, y desde .u-go sin que per elio mereciésemos el dictado de agresores! Cualquier hom dispuse atacar la sierra de los Monegrot por mi frente y en varia» .1bre que esté adornado de ideas justas y razonables contestará con la recciones ia mañana del 16. Bacigaiup…</t>
  </si>
  <si>
    <t>Bacigalupi, Luis</t>
  </si>
  <si>
    <t>Luis Bacigalupi</t>
  </si>
  <si>
    <t>Gaceta de Madrid n.º 263 (extraordinaria)</t>
  </si>
  <si>
    <t>…clasificar en este momento- La brillante victoria se ha lle. = Excmo. Sr. secretario de Estado y del D.spacho de la Guerra.” conseguido i costa de algunos heridos, entre ellos el comandante Don Luis Bacigalupi, el subteniente del batallón de Sigiúnza D. Junan » Comandancia general del 6.3 distrito müitar.ssExcmo. Sr.: Ayer Sanz, el ayudante de Astúr-a, D. Antonio Ven, gravemente contuso dije á V. E. que esperaba un día de gloría de resultas de los movi el capitán d…</t>
  </si>
  <si>
    <t>…de recibir el oficio que de su Ladrón, Juanito y el Trapense reunidos. orden ha dado por duplicado, respecto á haber jido interceptado ti »7 El comandante del batallen de S'guenza D. Luis Bacigalupi con primero , el t a'tan de lixtreui t.lura si. Manuel l'rrez y comandan fecha de ayer me dice lo que sigue: Consiguiente á las órdenes de V. S. te de una columna de zoo injanter y 10 caballos que dicho general retrocedí desde el pueblo de Beiillas, ejecutand…</t>
  </si>
  <si>
    <t>Bacigalupi, Pab'.o</t>
  </si>
  <si>
    <t>Pab'.o Bacigalupi</t>
  </si>
  <si>
    <t>…n corrieron ¿ncia a.l&lt;, y s-: ¡cu un.do en Ayerb-‘, la que al mando de! cr mand,,'t * de las muio.s df btiim- *» Primera brigada de la primera divís.on.=Con el mas indecible jú za D. Pab'.o Bacigalupi hab a sa.ido de H i.‘»ci ;n dirección del Cinca, bilo de mi corazón comunico a V. S. ia victoria que las armas nacio y la que al cargo dei commdante de A;túr as D. Luis Fernandez de nales han conseguido contra los facciosos á las 9 de esta roche sobre Cas'.ro…</t>
  </si>
  <si>
    <t>Bacigalupi, Pab.o Luis de</t>
  </si>
  <si>
    <t>Pab.o Luis de Bacigalupi</t>
  </si>
  <si>
    <t>…a columna de la izquiertía.” Sevilla s ¿e Setiembre. Sexto distrito militar..Comandancia general .El comandante Entre los excesos y tropelías que cometió Zatdivar en el cortijo de D. Pab.o Luis de Bacigalupi me dice desde Sariñena ayer 3 ias cinco . las Torres de Aiocaz la noche del Junes de esta semana fue el mayor de la tarde lo siguiente: ,,Después de marchar con une celeridad increí , haberse apoderado de la partida de remonta que allí habia de 8 soldados ble…</t>
  </si>
  <si>
    <t>Back</t>
  </si>
  <si>
    <t>…amistoso, y vo el Sr. duque del Parque 41 votos, el Sr. Gener 45, el Sr. Ci'.deroa en no admitir ni aun ia sombra de una intirvencion a favor délos grie 39, el Sr. Sedeño uno , el Sr. Back otro, el Sr. Hen-iquez otro, ei se gos. Ais-una» cartas fidedignas que llegaron ayer á esta capital dicen qu* ñor Vaidés Bustos otro, el Sr. Villaboa otro, al Sr. Infante otro, v el el Emperador Alejandro , cansado de tanta altivez de parte de un ene» Sr. Agu…</t>
  </si>
  <si>
    <t>Bacovedo, Ramón Luis</t>
  </si>
  <si>
    <t>Ramón Luis Bacovedo</t>
  </si>
  <si>
    <t>…ortea bao decretado lo si que gravitan robre ¿1. guiente: * Lw Cortes, en b declinatoria de fuero promovida por el Alt. 6.• • Loa gefet políticos de cada provincia cnidarin de qoe diputado D. Ramón Luis Bacovedo, contra quien ha procedido el tri tenca puntnel cnroplimiento lo dispuesto en loa artículos anteriores.” bunal supremo de Justicia en cama mandad* femar por la* extraordi El Sr. Argtlílles manifestó la necesidad de tomar en consideración narias en *4 de Dicie…</t>
  </si>
  <si>
    <t>Bad, Luis</t>
  </si>
  <si>
    <t>Luis Bad</t>
  </si>
  <si>
    <t>…que le remite por el conduito del mariscal de campo d crie no anh-lan otro premio á sus afanes que el dar np.-tid.s dias D. Felipe l'e re na el comandante del batallón de SigiLnza D. Luis Bad g or a á la l.b rtad y á la patria.:=D &lt;&gt;j guarde á V. S. mucho» años. cigalupi , en el que manifiesta las circunstancias de la victoria que las Mis de las Matas 4 de Setiembre de i822.=Pedro Antonio Barrena. armas nacionales consiguieron el dia 3 del corrien…</t>
  </si>
  <si>
    <t>Badiere, Pedro</t>
  </si>
  <si>
    <t>Pedro Badiere</t>
  </si>
  <si>
    <t>…z, D. Diego Llórente, D. Pa coronarán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 ) na , D. Juan Elias Montano , D. Francisco Andrade, D. Manuel Gar articu…</t>
  </si>
  <si>
    <t>Baeigalupi, Luis</t>
  </si>
  <si>
    <t>Luis Baeigalupi</t>
  </si>
  <si>
    <t>…te de su dirección, y á nadie ha gii.nza con fecha de a a del actúa!, haber recibido con ia d.l at del hallado al comandarte, ni ha podido adquirir mas noticia* que la da teniente coronel D. Luis Baeigalupi el parte siguiente: continuar los ficciosos en un total espanto y consternación. n Excmo. Sr.: El comandante de la M. N. A. de Soria D. Jostf • Hoy te ha colocado la lápida da la Constitución con toda so María Araujo me dice con fecha de ayer lo que á la letr…</t>
  </si>
  <si>
    <t>Baeza, Joaquín</t>
  </si>
  <si>
    <t>Joaquín Baeza</t>
  </si>
  <si>
    <t>…pensión del erario nqpional. j.“ T&gt;. Manuel Carrillo por 61 de 114. 4.a D. Joaquín Fondevila por 58 de x 11. Habiéndose denunciado a! Sr. alcalde constitucional de esta muy héf.“ D. Joaquín Baeza por 63 de 10a. róica villa D. Arias González de Mendoza por el Sr. fiscal de impren 6° O. Martin Navas por 58 de 99. ta el impreso titulado -. 'Nudo constitucional sacado por D. M. X. t\ C., 7.° D. Evaristo S. Miguel por 47 de 91. administrador de todas renta…</t>
  </si>
  <si>
    <t>Bafio, López del</t>
  </si>
  <si>
    <t>López del Bafio</t>
  </si>
  <si>
    <t>…tránsito, juco* * 1 y 5 legos; trinitarios uno._En una causa de conspiración for te detuviese i la persona. mada contra chutos individuo*, te hallaban comprendidos Fr. Mar uno El Sr. López del Bafio contestó que la experiencia había demostra da Villasaca, Fr. Policarpo da Sabadell, Fr. Felió María de Mataré, do que muchas personas saltan de noche de los pueblos i robar, y coa Fr. Bruno de la Nou, Fr. Francisco da Barcelona, Fr. Domingo d: otros fines sin…</t>
  </si>
  <si>
    <t>…darle gracias La com i-ion lo retiró con el mismo objeto que el anterior, á con— con un solemne Te Deum por la protección que dispensa á los verda secuencia de la observación del Sr. López del Bafio , reducida i lo mis deros y decididos españoles &amp;c. — Per una carta de Cal viña, en las mo que la del Sr. Homero. inmediación» de Urgel, del caa 3 se sabe que el barón andiba erranta Art. 75. » Lo prev-nidu en los srtículos anteriores se observará con 70 homb…</t>
  </si>
  <si>
    <t>Bafios, López</t>
  </si>
  <si>
    <t>López Bafios</t>
  </si>
  <si>
    <t>…que al muy cantados y caído* de ánimo, y también te bailaban con ¿I La hombre que ha nacido y vivido libre , antes de sucutrbiz a la asclavitud drón y algunos otros cabecillas. El general López Bafios continuaba su y. *1 despotismo la es preferible la muerte. actira persecución , habiendo salido la misma mañana del tf de Le* » Union, egército y milicia; esto solo basta para hacer la felicidad cumberri, dejando aquel punto cubierto con la columna ai mando d…</t>
  </si>
  <si>
    <t>Bafios, Miguel López de</t>
  </si>
  <si>
    <t>Miguel López de Bafios</t>
  </si>
  <si>
    <t>…................................................... to. 35 Rubricado de la Real mano, s En palacio á 8 de Agosto da Por la de hoja Virginia de Trieste, de Kentuki, Santo *822. = A D. Miguel López de Bafios.” Domingo ó de otra clase que no sea havana,'siendo de buena calidad paracigarros puros.........—;.. ......1......... a Don Fernando tu por la gracia de Dios y por la Constitución de la Por la qu: de dichas ciases pueda aprovecharse para tri Monarquía español…</t>
  </si>
  <si>
    <t>Baftos, López</t>
  </si>
  <si>
    <t>López Baftos</t>
  </si>
  <si>
    <t>…arnicione* que crepi ducta tan propia de las circunstancias que observa el nuevo gefe políti taban otros tanto* caballos de tiro, que debían dirigiese i Bayi.m, Perco interino. El general López Baftos comió ea Hugsrte el *y , y des pifian y Tolos* antes dd to da Agosto. Un periódico sefiere que aun pués de tener una corta conferencia con el comandante general Sán que el general Donnadieu había recibid» orden de salir pira las i:..li chez Salvador en el con…</t>
  </si>
  <si>
    <t>Bag, Antonio</t>
  </si>
  <si>
    <t>Antonio Bag</t>
  </si>
  <si>
    <t>…e tener garantía mejor qur esa luña D. Domingo Shnuricrr dió parte en 1. del cc-r ente al coman misma firmeza con que he observado las bases que he jurado, manifes dante principal D. Antonio Bag s de hah*r bar do y d spenado i los tando la sinceridad de mis palabras y la pureza de mía intenciones. face‘osos, que en número de 15o -&gt; tníant « v 110 c ,bu. los beb an ataca » Yo me fel cito tanto de merecer ¡a confianza y el amor de la do á Cambrils, en…</t>
  </si>
  <si>
    <t>Bai</t>
  </si>
  <si>
    <t>…nto entre las dos potencias. un c udidano r-betde á las ¡eye» de su patr »; p ro .st* ha d.mostrado, *&gt; El magnánimo corazón &lt;R1 Emperador abraza á un mismo tiem igualmente que el general Bai!e»t-ros, que ¡a i.bertad rspafo.a no ten.a po cuanto exige la humanidad y prescribe .a re-v on. La dcc'aracion defensor mas g-n.ro.o, y este nuevo laurel es el compl-mentó d.- su de la guerra, en vez dr prot ger á ios griegos, hub ra sido .a señal gloria- Rie…</t>
  </si>
  <si>
    <t>Bai-, Josef</t>
  </si>
  <si>
    <t>Josef Bai-</t>
  </si>
  <si>
    <t>…a. D. Pedro Surra y Rull, D. Josef Grases, D. Ramón Parque se merece, y el patriotismo qne le acompaña , creo que se halla Sal vito de Fsteve, D. Francisco de Paula Roset y B*bí , D. Josef Bai- en la imposibilidad de ser diputad»; y mi creo obligado por la ley mis yes Oliva, D. Josef Melchor Ptat, D. Mariano Rubinat, D. Ramón ma i reclamarlo asi, pues si ahora se admitiese un empleado de palacio, Busaña y D. Hemeterio Martí. Fueron aprobados los pod…</t>
  </si>
  <si>
    <t>Baianzat, Luis</t>
  </si>
  <si>
    <t>Luis Baianzat</t>
  </si>
  <si>
    <t>…cundo se traba;a tanto por con Gareli, para el de Hacienda á D- Felipe Sierra Pambley , para el de la solidarle; y por último cuando la vehemente imaginación de los espa Guerra á D. Luis Baianzat, y para el de Marina á D. Jacinto Rema ñoles se baila entregada á un entusiasmo tan justo como fen»; s-rá nte , quedando satisfecho de los servicios de aquellos, y siendo mi Real posible, r&lt;qtztintos, que en circunstancias tan ventajosas pueda arrepen volunta…</t>
  </si>
  <si>
    <t>Baíanzat, Luis</t>
  </si>
  <si>
    <t>Luis Baíanzat</t>
  </si>
  <si>
    <t>…siamos la honrosa ocasión de comba y circuIe.scRubrtcado de la Real mane.sEn Palacio a 4 dé Julio da tir y anonadar las siniestras facciones que perturban el reposo de loa t8az aA D. Luis Baíanzat. buenos, arrostrando, si nos fuere prec io, lo* horrores del fuego y la ■rxistrvAiHt. unjre; pues aquel, le'os de confundirnos y hacernos t mblar, inflama Los Sres. de la audiencia territorial de Ctttilla la Nueva en sala se rá mas nuestros p-chos en fuego sa…</t>
  </si>
  <si>
    <t>Baianzsi, Luis</t>
  </si>
  <si>
    <t>Luis Baianzsi</t>
  </si>
  <si>
    <t>…ado res d- sus obispados á invita y circule.=Rubricado de la Real nuno.=kn Aranjuez á tj de Junio ción del mismo Gobierno._h n la misma, pág. 955 , col. 1.*, lín. 6.*, de |1]&gt;.=:A D. Luis Baianzsi. dice «cuanto menos srin los put b o» d: l»e dcir a cuanto menores sean lo» pueblos." __Fn la mi-mi , col. 3 Ifn. 44 y 43 , donde dice Don Finando vn por Ja gracia He Dios y por la Constitución de Euisa Coturm, leas- Fratuisca 2?«*rt.n._En algunos egi-mplsrei…</t>
  </si>
  <si>
    <t>Baiges</t>
  </si>
  <si>
    <t>…ido Crio» espectadores en medio de tantos d-Vdén,., Se mandó pasar á la comisión de Casos de responsabilidad. que antes no tenían, i 8.9639. Por manera que estas cantidades hic El Sr. Baiges dijo que había sabida con placer que el Gobierno ha- un .total de 1169 millones, y sus intereses 58.9589. Por el nuevo íi bia destinado un millón de reales para invertirlos en obras públicas en prestito se han dado 280 millones de inscripciones ,.es.decir ».l…</t>
  </si>
  <si>
    <t>…s que *1 Gobierno debe exigir , y sacando si es yosibi* que debe darse á los facciosos que se aptehendieren. una ganancia en razón de ias anticipaciones K» recetario que tas CoiEI Sr. Baiges presentó una exposición de D. Josef-Fernandez, y tea tengan presente que ei tamo de la guena absorve tres yo-na» y- (es adjunto un tgemplar de una obra que ha publicado, be mando pasar á de los fondos destinado* a ia adm.nislra.ion pud.i.a, ; tu si que .os la…</t>
  </si>
  <si>
    <t>Baiges, Antonio</t>
  </si>
  <si>
    <t>Antonio Baiges</t>
  </si>
  <si>
    <t>III© dos» según parece a por los cabecillas Cabras J Uranga » en dirección __Parte__ El teniente del regimiento de Pavía D. Antonio Baiges, á de los montes de Achorrocb. quien como noticié ayer á V. S. comisioné para proteger el paso del __Por carta particular d¿ Vitoria del 16 se sabe que el coronel Fw* correo, y contener las insolencias de los facciosos, me ha dado hoy ntidtr ha derrotado en N…</t>
  </si>
  <si>
    <t>…an D. Francisco Vidiella, toda la caballería mandada por al distin Los dueños de mas de *a9 vales de todas clases de la creación de guido comandante de las milicias de ambas armas D. Antonio Baiges, Enero de este año, presentados para el cobro del primer semestre en I* el batallón de la Corona, al mando de tu digno comandante D. Pedro arccion de renovación del Crédito público desde el día 7 de S.tambre Agustino, y la tercera del segundo de movibles, al…</t>
  </si>
  <si>
    <t>Bailester, Laureano</t>
  </si>
  <si>
    <t>Laureano Bailester</t>
  </si>
  <si>
    <t>…án también usar de otro pe cho librado por los señores de la audiencia territorial da Valencia 4 pe queño , compuesto de casaca, calzón blanco y la faja, limitándose el dimento de D. Laureano Bailester en los autos instaurados por parte dt bordado del pequeKo uniforme 4 la vuelta y cuello de la ce sea. Los ga este contra la Sra. condesa de Cancelad* en $ de Julio dd afio pasad* fes políticos no podrán asistir 4 ningún acto público da aquellos 4 que de 181 ■…</t>
  </si>
  <si>
    <t>Bailo, López del</t>
  </si>
  <si>
    <t>López del Bailo</t>
  </si>
  <si>
    <t>…expuesto el Sr. López dacr : y presente de nuevo con arreglo 4 las observaciones que se han del Baño. hec'10. Se ha dicho que es inútil, porque no contiene los artículos que de El Sr. López del Bailo: De las reflexiones que se han hecho sobre be contener; pero es preciso se tengan presentes las circunstancias en el reglamento provisional de policía, unas son relativas á la totalidad , y que se encontró la comisión , y la prontitud con qu-: tuvo que dar su…</t>
  </si>
  <si>
    <t>Bailo.que, López del</t>
  </si>
  <si>
    <t>López del Bailo.que</t>
  </si>
  <si>
    <t>…tribuciones, ó bien por via de Ja Península haga respetar la seguridad y propiedad de los españoles. apremio, ó bien por corrección en caso de desobediencia , falta de Ha dicho el Sr. López del Bailo.que el reglamento de policía era bas cumplimiento, ó de advertirse otros defectos. tante para llenar esta cíate de servicio público; pero la fuerza que este El Sr. Meló: Yo quisiera que las diputaciones provinciales pasasen decreta no está formada; cuando te haya…</t>
  </si>
  <si>
    <t>Bajá</t>
  </si>
  <si>
    <t>…nte de Atenas al conejo g n ral estado de las negociaciones con la Puerta. Una carta de Viene preve* ademas de los que pa habían ido. fue las ventajas que ha conseguido en Scio el capitán Bajá pueden con El ministro de la Guerra del Gobierno griego es un sul.ota lla tribuir á que el diván se manifieste menos tratable* mado Botziaris; el de policía se Lama Laísmo Nano, p p -rienece á Frantfurt 18 de Mayo. uñad: las principales familias de la Livadia…</t>
  </si>
  <si>
    <t>Baji, Juan</t>
  </si>
  <si>
    <t>Juan Baji</t>
  </si>
  <si>
    <t>…regimiento d.- Fxtrsmadura, que al mando del caprt-n D Antonio las á ia vez, una corneta y varios tquipages, entre ellos el del mar Fraile, de los subtenientes D. Mar.ano CH ner y D. Juan Baji sta Jiques. La perdida nuestra ha consistido en un soldado d-1 resguardo meno, á los que v ivan icunidos el captan dei ml,mo r . munro mi i itar hetido levemente. Tengo la satisfacción de anunciar á V. S. D. Manual Gaivan, ueíe del estado miyor de esta column…</t>
  </si>
  <si>
    <t>Bajo, Pedro García</t>
  </si>
  <si>
    <t>Pedro García Bajo</t>
  </si>
  <si>
    <t>Gaceta de Madrid n.º 56</t>
  </si>
  <si>
    <t>…s no tengan la habilitación legal p la ins En el tribunal de primera instancia de Béjar, p por el oficio de trucción necesaria, que debe calificarse por los cuerpos donde te hayan D. Pedro García Bajo, escribano de tu número, te sigue expediente instrudo los pretendientes 4 ella. Esta opinión no es solo de los expo contra los herederos de D. Alfonso Antonio Hernández, vecino que nentes , sino de diferentes cuerpos literarios de las facultades que lo tie fu…</t>
  </si>
  <si>
    <t>Bakyy</t>
  </si>
  <si>
    <t>…primera votación salió electo el Se. Sedefio por óg voto* de Intereses de valcs.....»...^............................. 8ü4* tai, teniendo 33 el Sr..Alava, 18 ti Se. Atienta, y el Sr. Bakyy el Certificaciones sin intereses. • S«MW*Msa»SS&lt;*s«**MiSS,irMMS 8í&gt;f. Sr. Cuadra, y uno cada uno de lo* Sen. Rom, Velaaco y Lapoeru. Inscripciones coa intereses»^..........784 4 79. En la segunda votación ao hubo elección por tener j8 votos el Sé- ANUNCIOS. S…</t>
  </si>
  <si>
    <t>Bal</t>
  </si>
  <si>
    <t>…do tenido por nuestra parte la de un oficial del peligros para defender nuestros hogares, reclaman el haber correspon partido herido , y el cazador y teniente de la misma compañía D. Bal diente, y con harto dolor se han de desatender muchas veces sus clamo tasar Auger y D. Ramón Ferrer, y trea cazadores contusos. res. Este cuerpo político no puede por mas tiempo sufrir en silencio es __Se nos acaba de asegurar que el general Mina se halla en…</t>
  </si>
  <si>
    <t>…33,660 mrs., en dicha cab.-za._4. Tercero medio por no dará á las Cort-s noticia circunstanciada del producto de esta ope ciento de Aranda de Duero, juro 44,974 mr* • en cabeza de D. Bal ración. Art. 4° Ei Gobierno destinará al fondo de la amortización de tasar García Calzada, como administrador de los bienes de la junta de dichas ventas la cantidad que estime conveniente. Madrid 4 de Di reficciones__37. Servicio ordinario y extraordinario de…</t>
  </si>
  <si>
    <t>Bal, Sebastian</t>
  </si>
  <si>
    <t>Sebastian Bal</t>
  </si>
  <si>
    <t>Gaceta de Madrid n.º 336</t>
  </si>
  <si>
    <t>…, hay otras en que se Salvador hanjuan, D. Manual Marco, presbítero, D. Pedro Pascual halla algo de verdad y bástame exageración; pero no cabe duda en Carbonell, D. Joaquín f:;ri, D. Sebastian Bal!las , D. Remigio Cruz, qua el resultado de ellas es que el partido ultra francés, qu* tanta pre- D. Joaquín Satz de Qumtaniüa , D. Mariano Orrit y D. Vicznte Azpondsrancia ha sabido arrogarse, toma muchas medidas que pudieran su nar, dtspucs de haber examinad…</t>
  </si>
  <si>
    <t>Balan, Luis</t>
  </si>
  <si>
    <t>Luis Balan</t>
  </si>
  <si>
    <t>…D. Josef de Castellar, |sub-secretario del Despacho « la Guerra; servará una conducta arreglada, 6 á que si no lo diere, salga dester nombrando para sucedería cu dicho destino al brigadier D. Luis Balan rado por uno á tres afios del pueblo respectivo y so leguas en con zas , gefe de sección de la propia secretaría; y para el que este deja á torno. D. Juan Bautista Goicoechea, oficial primero segundo de la misma. » Si ademas de la solicitación hiciere su auto…</t>
  </si>
  <si>
    <t>Balanaat, Luis</t>
  </si>
  <si>
    <t>Luis Balanaat</t>
  </si>
  <si>
    <t>…publique y circule.3 rior del oficio del brigadier Llobcra desde JPuigcerdé í 18 del mismo, Está rubricado de la Real mano^Ea Aranjuez á ag de Mayo de idas. que es como signe: =A D. Luis Balanaat. » Despees de sais dias da continuas p penosas marchas conseguí al Circular dtl mimittrrio de la Gotemacñm dt la Península. canzar el 33 á los facciosos del rebelde Misas, que capitaneados por JoEl Sr. secretario del Despacho de Gracia j Justicia me dice en o…</t>
  </si>
  <si>
    <t>Balanza, Ignacio</t>
  </si>
  <si>
    <t>Ignacio Balanza</t>
  </si>
  <si>
    <t>…individuos militares proceden El Rey se ha servido nombrar inspector general de infantería, tes de Ultramar 434,043 rs. y 18 tnrs. N cuyo empico d: srmp-ñaba el ¡nar.scat de Campo D. Ignacio Balanza!, Fstado mayor ¿enera!. al teniente general cíe los egércitos nacionales conde del Abitbal. Sueldos del gefe é individuos txistentes en el estado mayor gene ral 418,260 rs. L1 Rey se i:a s-rvido nombrar inspector gen-ral de cabaüerír, Administración militar.…</t>
  </si>
  <si>
    <t>Balanza, Luía de</t>
  </si>
  <si>
    <t>Luía de Balanza</t>
  </si>
  <si>
    <t>Fdip« de Sierra y Pambtey secretario de Hacienda: á D. Nicolás Gi- hace por «1 delirio da bajas pasiones, ha producido inmediatamente reli secreutio de Gracia y Justicia: á D. Luía de Balanza! secretario de aquella indignación santa que se apódete del corazón el ver profanada Guerra: á D. Manuel de la Bodega secretario de la Gobernación da lamagestad y soberanía del pueblo , y el vivísimo dmeo de que V-M. Ultramar; y á D. Francisco Rotúrate secret…</t>
  </si>
  <si>
    <t>Balanza, Luis</t>
  </si>
  <si>
    <t>Luis Balanza</t>
  </si>
  <si>
    <t>…eis á quienes corresponda para su cumplimiento.. Rubricado de la decir que aun no se habia perpetrado el deliro; pero ;¿ qué efecto ha Real maao.sEa Palacio i 5 de Marzo de 182 mA D. Luis Balanza!.” cer imprimir este papel ? Para publicar aquellas ideas, para hacer coa el papel la guerra ¿ la pitria, y para poner en desconfianza i los mie Hoy 9 del corriente se pagará en la casa nacional de moneda de mos hombres amantes del sistema; por lo mismo se de…</t>
  </si>
  <si>
    <t>…enterado tes ordinarias de 1811 el 4 de Marzo conforme el en. » drl regla de los negocios del Estado, pues todo el que ocupa destino se dedica mento inrarioc de las Cortea, por el brigadier D. Luis Balanza! ,secre en lo* primeros dias á informarse ó procura que le informen «le los tario de Estado y del Despacho «la la Guerra. Véndase á 4 ti. en rt negocios que están i su cargo; á la manera que un general cuando re Despacho de la imprenta Nacional. fera á otro l…</t>
  </si>
  <si>
    <t>…u cumplimiento, y dispondréis se imprima, publique y cie- cu!e.=Est&lt; rubricado de la Real asano = Ea Aranjuez 4 &gt;0 de May A cuenta de lo que en el empréstito Nacional de 181 x.= \ D. Luis Balanza t. se halla interesada esta M. H. villa»........... 250,009 Dirección general dd registro y penas de timara. De lo respectivo á la contribución de casas..... 100,000 Resúmen de loa productos del rama de penas de cámara en lee ut»U Fajos fuera de presupuesto p…</t>
  </si>
  <si>
    <t>…viene á decir lo mismo que la blique y circule. = Rubricado de la Real mano. =En Aranjuez á 33 famosa de :8 de Febrero- Accede ia Turquía á la evacuación de la de Mayo de i8aa.= A D. Luis Balanza!. Moldavia y la Valaquia y á otras varias pr tensiones de la Ru,ia; pero persiste en que hasta que te pacifiq ten las griegos de ningún mo Don Fernando vu por la gracia de Dios y por la Const tucion de do asentirá á la menor variación en su po'ílica, que es l…</t>
  </si>
  <si>
    <t>Balanzas, Luis</t>
  </si>
  <si>
    <t>Luis Balanzas</t>
  </si>
  <si>
    <t>…absolvió á Venancio Olivara y circule. = En Aranjuez á 9 de Abril de 1811.«Rubricado de la responsable de d&lt;cho impreso , y en su consecuencia mandó que foca Real mano de S. M.=A D. Luis Balanzas. puesto inmediatamente ea libertad , sin que este procedimiento le cau sase perjuicio en su reputación. Los Sres. jueces de hecho que declara Dirección general de aduanas y resguardos. ron aisucito dicho impreso fueron D. Matías de Velasco, D. Maria Hallándot…</t>
  </si>
  <si>
    <t>Balanzat, Luis</t>
  </si>
  <si>
    <t>Luis Balanzat</t>
  </si>
  <si>
    <t>…ublique y cir- Juicio Je jurados. cule^=Esrá rubricado de la Real mano'. = En Aranjuez i j/ de Mayo En la página 64 del libro que se lleva en Barcelona con el título de de 1812.=A D. Luis Balanzat.” Jueces de hecho, en que se hallan extendidas las declaraciones de si ha Circu.ar del ministerio dt la Gobernación de la Península. ó no lugtr á la formación de causa i los autores de los impresos acusa Los ¡eres, diputados secretarios de las Cortes con fech…</t>
  </si>
  <si>
    <t>…a conservación de lo conquistado, de y circule.=Rubricado-de U Real mano.» En Palacio á 4 de Julio de cidnos si necesitáis cooperadores; la patria no reclama jra tan impe 1811.= A D. Luis Balanzat.” riosamente nuestra permanencia en esta capital; hablad , y si es preci Don Fanando vu por la gracia de Dios y por la Constitución da so volaremos basta ponernos i vuestro lado; afirmaremos de consuno f de una manera indestructible el sistema constitucional;…</t>
  </si>
  <si>
    <t>Balda</t>
  </si>
  <si>
    <t>…ido en V.ena una admitan en pago de derechos en las aduanas, y la otra mitad quedase baja considerable. Las cartas recibida» últimamente en París de Cons- en clase de depósito. El Sr. Balda dijo que st este interesado había contraído méritos y tantinopla y del Norte dan por cierta la guerra; y asegurao que el reiscffend?ba pasado sobre esto una nota nada satisfactoria ib» embaja servicios para con la patria, debían remunerársele por otra parte,…</t>
  </si>
  <si>
    <t>…tutos se aliada HMote neral iba a avanzar hasta Kaminieck. En Berlín se lisonjeaban con que tarías. se conservarla la paz. En Varsovia ansiaban par la guerra, y la tenían Otra del Sr. Balda para que se exceptúe del servicio de la milicia porasegura. En Leipsick. dudaban ya que rompieran ias hostilidades, por é los jornalero». que el Emperador de Rusia comenzaba á rcütxionar que sus resultados Otra de los Sres. Seoaoe y lodires al dictamen de las…</t>
  </si>
  <si>
    <t>…istó que deb a t n- rs- pre fante al párrafo J.° del art. 5.a: otra del Sr. Cortés al art. 8.~: otra del sente la situación del Estado y la falla de fondos, causa que hab&gt;.i &lt;.L&gt;. Sr. Balda al Sr. del por art. objetos muchas vrces desatender muy preciso-, al Gobierno á i.9, otra Munarriz al párrafo 8.° del art. 6.°i Í;ado Sr. Tejeiro 4.0 Aprobado. al art. dal otray hubiese como que no se extrafio ocurrido corresp-rd.a o que no era al armamento d…</t>
  </si>
  <si>
    <t>Baldrich, Josef María</t>
  </si>
  <si>
    <t>Josef María Baldrich</t>
  </si>
  <si>
    <t>…Miguel Corriols, D. Jnsef Anto notablemente. nio BjIcl-IIs , D. Felipa Fernandez Arias, D. Pablo María Verdalet y Y 4.a » Que las obras se ejecuten en los términos que i juicio de D. Josef María Baldrich, declararon por unanimidad haber lugar A las diputacicnes sean mas económicos, debiendo preferirse para trabajar formación de causa contra el autor de un artículo comunicado, inserto tn ellas, cualquiera qu: sea el método que se adopte, i los jornaleros en el…</t>
  </si>
  <si>
    <t>Balifía, Juan</t>
  </si>
  <si>
    <t>Juan Balifía</t>
  </si>
  <si>
    <t>…nstitución.” _ D. Manuel Espada y Losada: para el de Monterey á D. Francisco AlLo qu: traslado á V. E. de orden de S. M. para su inteligencia y varez: para el de Viana del Bollo á D. Juan Balifía: para el del Barco la del referido cuerpo en el ínterin que te construye y remite el león de Valdeorras 4 D. Josef Valladares, y para el de Quiroga á D. Gre en la forma que se exprese para el efecto indicado. Dios guarde i V. E. gorio Goyanes. muchos afío». P…</t>
  </si>
  <si>
    <t>Balín, Manuel</t>
  </si>
  <si>
    <t>Manuel Balín</t>
  </si>
  <si>
    <t>…ren, sabed: Que la* Cortes extraordinaria» han &lt;k- haberse retirado cuando ae I* manió ei alcalde toár telo dd barrio da arotada la ‘siguiente: Mere nariat Descalza» del Barquillo D. Manuel Balín, estando ron n La» Co-t 1 extraordinarias, usando de la facultad que ** les concede dando b citada noche de 3 da Mayo, y por el insulto que hicieron ea porta Constitución, han decretado: ■nina d*l difunto Montaba á parte da (a ronda , deque resultó la muer Ar…</t>
  </si>
  <si>
    <t>Ballester, Laureano</t>
  </si>
  <si>
    <t>Laureano Ballester</t>
  </si>
  <si>
    <t>…á los pueblos. En otro tiempo dedi por lo» señores de la audiencia territorial de Valencia á pedimento di caba sos mas nobles tareas, y hacia consistir tus me* bellas arta» en for D. Laureano Ballester en los autos instaurados por parte da este costo mar hombres, de lo cual estaba tan persuadida la Orecia, que sus mar la difunta Sra. condesa tic Cancelada en 5 de julio del afio pasado dt insignes varones , un Homero, un Pitágores, un Platón, y aun los dos 1…</t>
  </si>
  <si>
    <t>Ballestero</t>
  </si>
  <si>
    <t>…laza de la rodeo que tenia que egecutar para llegar fi la Puerta del Sol, f mas to Constitución, punto qué juzcué eó mas peligro, para coadyuvar i su davía la p nntrtud con que el general Ballestero* le* desalojó de ella, defensa con todas mis fuerzas, Cómo ciudadan rail f.r utart Beata con no m ' permití-ron llegar 4 ver el grueso de »u columna. * ' la existencia de las libertades públicas; y después de hab-r conf ten- - Mis cu rrillas de infantería y c…</t>
  </si>
  <si>
    <t>Ballesteros</t>
  </si>
  <si>
    <t>…al del pr.mct hlcia i-l puente de Srgevia, me dirigí i dicho punto con toda la caba disti.iomi dar. llería de mi cargo, y las dos compañías tererra de granaderos y cuar r.t't! del general Ballesteros al comandante general de este dLtrité ta del primero, y la mitad de catatares. Al llegar a la pue-ta de mi.it.r. Segovia supe que los enemigos hablan ya pasado el Portazgo , y •un quizá se hadarían junto * las ventas de A I coreon , porta ve.o- * Exento. Sr.…</t>
  </si>
  <si>
    <t>Ballesteros, Francisco</t>
  </si>
  <si>
    <t>Francisco Ballesteros</t>
  </si>
  <si>
    <t>…del primer regimiento Je la guardia que se halla expresado, y como á las cinco de la mañana, se presentó' real han dirigido á S. Ai. ¡a exposición siguiente. el dignísimo y bravo general D. Francisco Ballesteros acompañado de una porción Ai oficiales, quien deápues de vitorear á nuestro sagrado •* Señor: Los oficiales qus han seguido el segundo batallón de! pri Código, mandó se cotocase una pieza de artillería en lacáll'e Mayor, ' mer regimiento de reales guardias ¿e…</t>
  </si>
  <si>
    <t>…ue os amaron, que se unieron la de Antón Martin , y cuando estaba 4 puntó de marchar llegó el Ex con vosotros por medio de una especie de fraternidad hospitalicia, y á celentísimo Sr. D. Francisco Ballesteros con la mi!ic:a nacional de ca quienes ia Eotopa ha apellidadb los nuevos atenienses. ballería y dos piezas de artillería que V. E. enviaba de refuerzo. El ge NOTICIAS DE ESP AÑA. neral fue recibido con un entusiasmo dificil de explicar , y su sola pre sencia…</t>
  </si>
  <si>
    <t>…estar en armonía con el orden En el almacén de estampas de la calle Mayor se venden los retra udicial prescrito en la Constitución ; S. M. tuvo á bien mandar que tos á caballo del general D. Francisco Ballesteros , el brigadier Don e consultase el consejo de Estado, y que hiciese extensivo su dictamen Juan Martin (el Empecinado), los coroneles D. Juan Palarea (el Mé al derecho que convenga conceder á ios referidos aprehensores respec dico ) , gefe político de Madrid ,…</t>
  </si>
  <si>
    <t>Ballesteros, Luis López</t>
  </si>
  <si>
    <t>Luis López Ballesteros</t>
  </si>
  <si>
    <t>…festaba que S. M. «lo* casos expresados en el artículo anterior.” ■ había accedido i la renuncia hecha por el Sr. marques de Sta. Cruz y Se aprobaron los artículos siguientes. por D. Luis López Ballesteros da los ministerios de Estado y Hacien da , para que habían sido nombrados , quedando encargado* de ellos in- CAP1TUIO vt. termimcute ios Sres. D. Ramón López Pelegrin y D. Luía bótela. Continuó la discusión del código penal. Jfe los fw reponen, ocultan 6cambi…</t>
  </si>
  <si>
    <t>…nación en. orden á los tes Accediendo á las repetidas y eficaces instancias dei marques de San designios de ia providencia; y apartando nuestra viste de lo pasado que ta Cruz y de D. Luis López Ballesteros, he tenido i bien admitirles la podría contristarnos, dirijámosla hácia lo venidero. La prosperidad tie demisión que respectivamente han hecho de las secretarías del Despacho ne sus inconvenientes , la adversidad sus ventaja*, y la virtud recibe de Estado y d…</t>
  </si>
  <si>
    <t>Ballesteros, Pío</t>
  </si>
  <si>
    <t>Pío Ballesteros</t>
  </si>
  <si>
    <t>…órdenes de nio Seoane, el espitsn de artillería D. Irsacio Lcpíz Pinto y el dr Morept: en la calle dd Arenal, y U segunda de granatíero* en i» de igual clase de ia milicia activa D. Pío Ballesteros , drseai;-ñarun á mi Bordadores bajo ias del vaíietua clones aeoane, que en esta ocasión ha satisfacción las funciones de ayudantes de campo. Lea oficiales D. Vicen dado nueras pruebas de su pericia y arrojo; constipando con oportuni te Carsi, D. Josef Llanos…</t>
  </si>
  <si>
    <t>Balo, Lepes del</t>
  </si>
  <si>
    <t>Lepes del Balo</t>
  </si>
  <si>
    <t>…no prosperaba ningún na» de la felicidad nomía. Stdcciaró por de primera lectura. pública por las muchas turbulencia* que sobrevenían , .y por lo mismo he leyó una proposición del Sr. Lepes del Balo, relativa á qae lee tocaba al legislador dar las providencias oportuna* y lea leyes que ere- Cortea manden formar un reglamento general de pulida. Se yes; justas para contenería*; por consiguiente debía ser una de las pri nombrar para esto una comitiun especi…</t>
  </si>
  <si>
    <t>Balsia</t>
  </si>
  <si>
    <t>…andante de las tro caballos, sin que por nuestra parte haya habido la menor desgracia.= pas del bajo Aragón y ds las armas de Alcafnz , remite á dicho se F.i teniente Córdoba , el sargento Balsia y los demas de Aimansa y Lu- ñor comandante general la copia del parte dado por D. Felipe Tolosa sitana han llenado completamente su* deberes; pero no puedo dejar de na , y añade entre otra* cosas lo que sigue: recomendar á V. S. el entusiasmo y valor con qu:…</t>
  </si>
  <si>
    <t>Bancea, Manuel</t>
  </si>
  <si>
    <t>Manuel Bancea</t>
  </si>
  <si>
    <t>…ías de la milicia to al E. M. D. Juan Arango, y mis ayudantes de campo el teniente movible de la provincia, ao caballos de coraceros del Rey, y 31 del coronel capitán de Barcelona D. Manuel Bancea, y el ayudante de Can escuadren provincial, cuya fuerza total constaba de 1500 hombres. tabria D. Francisco González Checa, que con mucha oportunidad co » A las dos de la mafiana salí da Reus con parte de estas tropas, y municaron mis órdenes en toda la vasta…</t>
  </si>
  <si>
    <t>Banceils, Buenaventura</t>
  </si>
  <si>
    <t>Buenaventura Banceils</t>
  </si>
  <si>
    <t>…on atacados por los bandidos; sale una Francesco Col leí, rector de Sarria—_D. Jos-f Miril PonsicS, hacenda fu.izi con ei objeto de averiguar de qué Cesa era, y conseguido d-»do.__D. Buenaventura Banceils, parce-o de la torre ds Pons ch y su •: jo truir.a completamente, jystui.ando ¡a persona que cometió ci atentado Francisco—1&gt;. Antonio Abadal, auditor de guerra.—D Jos f Vi.ior para pr.tt.r.a bajo la ley, en el entre lar to que todos sus bienes se apli de Ofi…</t>
  </si>
  <si>
    <t>Bandín, María</t>
  </si>
  <si>
    <t>María Bandín</t>
  </si>
  <si>
    <t>…como era debido? Asi que, en el caso de impugnar la cuota que la comisión seña'a en su dictamen, es ANUNCIOSindispensable entrar en las razones que la ban movido para proponerla. Doña María Bandín!, viuda de D. Sebastian Rosell, desea saber el El Sr. secretario de Gracia y Justicia: Es preciso que el Congreso paradero de tu hermano D. Juan Bandioi, el que hallándose en San ten a pr sen te que el tribunal que existía antea, y por el cual el clero Agustí…</t>
  </si>
  <si>
    <t>Bandini, Juan</t>
  </si>
  <si>
    <t>Juan Bandini</t>
  </si>
  <si>
    <t>…Josef, núm. 64, de lo que ae vivir4 agradecido; advirtien lacóncrua necesaria, habrá sido porque las rentas no habrán alcanzado do para que no haya equivocación que he habido otro D. Juan Bandini, á cMo. Ilaya el núm ro que ce quiera de individuos de cabildos en las tío suyo, el cual murió en la Habana hace dosafios. juntas d.oci saris , siempre resu tari que hay mayor número de curas En 18 de Diciembre último dirigió D. Antonio Mejía, agente de p.iir…</t>
  </si>
  <si>
    <t>Bandioi, Juan</t>
  </si>
  <si>
    <t>Juan Bandioi</t>
  </si>
  <si>
    <t>…movido para proponerla. Doña María Bandín!, viuda de D. Sebastian Rosell, desea saber el El Sr. secretario de Gracia y Justicia: Es preciso que el Congreso paradero de tu hermano D. Juan Bandioi, el que hallándose en San ten a pr sen te que el tribunal que existía antea, y por el cual el clero Agustín de las islas Floridas cuando los españoles tomaron aquella pla reclamaba el pa¿o de los diezmos, ha quedado abolido del mismo mo za , se trasfirió 4 la…</t>
  </si>
  <si>
    <t>Bango, Ramón</t>
  </si>
  <si>
    <t>Ramón Bango</t>
  </si>
  <si>
    <t>…n tres adiciones: una dd tor dal Crédito público, á D. Raimundo Orrisn, intendente de egér- Sr- Ojero; otra del Sr. Ferrer , y otra del Sr. Lagssca. cito y director de rentas, y i D. Ramón Bango, antiguo oficial mayor Se leyeron y hallaron conformes varia* minutas de decreto, y te de la consolidación de este ramos y habiéndose procedido á la votación levantó la sesión á la una y media. tuvo el primero 84 votos, el segundo 8, y el tercero 34, quedando…</t>
  </si>
  <si>
    <t>Bañi, López del</t>
  </si>
  <si>
    <t>López del Bañi</t>
  </si>
  <si>
    <t>…de ayurumúnto , al paso qur aquello* Cortes. pod an abusar del aux Lo de la fuerza armada que *e les coneedia. El Sr. Moreno: Es cierto que esta consulta ha pasado á las Cortes KI Sr. López del Bañi contestó que en el segundo ca»o d I art. 38c con motivo de haberse ido con los facciosos algunos mozos d* la pro de la Const.tucion se decía que era ob.lgacon de los a?untamientos el vincia dr Castellón; pero aquí te insinúa que se trata de tomar mrdi- aux.La…</t>
  </si>
  <si>
    <t>Baño</t>
  </si>
  <si>
    <t>…s ia unión que una y no haber lugar i votar sobre ella. buena cauta produce se vigoriza y fortifica -on el tiempo, yendo siem Se verificó ia primera lectura de una proposición del Sr. Baño, re pre en aumento. Puede ei fanatismo hacinar y unir en su apoyo gavi ducida i que los bichilieres de medicina á quienes quepa la suerte de llas de hombres ignorantes , que poseídos de ia misma ilusión y engallo toldados sirvan á la Nación en los hospitales…</t>
  </si>
  <si>
    <t>Baño, Francisco López del</t>
  </si>
  <si>
    <t>Francisco López del Baño</t>
  </si>
  <si>
    <t>…r. aqu I tr hunal , » ndo asi dicho dictamen. La comisión de Hacienda, en vista del expediente promovido por que por e. art. tri de la coi-stitucinn, -a primera f cuitad que se i« D. Francisco López del Baño, apoderado de D. Jo.quta Futrir* de concede al Rey e» la de cv&gt; dir lo» d.crrtns, r-rlim wos e it-s iu.cioAimeida, vecino de Lisboa, sobre que se hiciese efectivo el pago de nes que ere* conducentes para la eg&lt;. ucú-n de as 'eve» , v una délas unas letras lib…</t>
  </si>
  <si>
    <t>Baño, Lop-z del</t>
  </si>
  <si>
    <t>Lop-z del Baño</t>
  </si>
  <si>
    <t>…conformaban El Sr. Pedralvrz: Según este artículo podrán ser registradas las ca coa las reformas expresadas. sas de juego , de trucos, villar &amp;c-, y también las de otros juego* El Sr. Lop-z del Baño contestó que podría volver el artículo i la p.rm'tídos. ¡Y por qué no se hade poner esto con mas claridad ? Si se com.sion para qu: lo redactase de nuevo. Asi te acordó. dice que las casas de juegos no prohibidos son las que se pueden alla Art. 4.° » Siendo l…</t>
  </si>
  <si>
    <t>Baño, López</t>
  </si>
  <si>
    <t>López Baño</t>
  </si>
  <si>
    <t>…No seSor; han sido enviadosá sus Ei Sr. secretario: De i.° de Marzo no hay ninguna noticia sobra casas. este punto. Yo rogaría á los Sres. diputados se sirviesen hacer sus pre E! Sr. López Baño: Ya qus en el Gobierno no existen noticias sufi guntas de una vez , con lo que se ganar.a tiempo en la discusión, y no cientes para contestar de un modo terminante a las preguntas del Sr. Saa divagaría esta , y los secretarios podríamos contestar de una vez á…</t>
  </si>
  <si>
    <t>Baño, López del</t>
  </si>
  <si>
    <t>López del Baño</t>
  </si>
  <si>
    <t>…scutirse , y entonces seria necesario que se mandasen pasar á alguna Se nombró para la comisión de Polica, á consecuencia de la pro comisión ; lo que seria muy largo. posición del Sr. López del Baño, á dicho Sr. diputado, y í los señores El Sr. Adan dijo que Jo que habia propuesto el Sr. Benito era in Saavedra, Oca y Meló, Belda, Gómez Becerra, Sanz de VitUvieja justo, porque seria decir que debía haber defensores que defend-esen !»* y Ruiz de la Vega ca…</t>
  </si>
  <si>
    <t>…estado de cada pueblo de los del a&amp;o , desechando los maravedises. que estamos tratando; y si ahora se aprobase este repartimiento, acudi También se leyó por primera vez otra del Sr. López del Baño, re rían luego muchos pueblos solicitando lo mismo, porque es sabido el lativa á que las Cortes declaren que el colegio de Cabra no está com ínteres que tienen los escribanos en esta clase de repartimientos, y ellos prendido en el art. 125 del reglamento de e…</t>
  </si>
  <si>
    <t>…rédito público la siguiente adi que los que haya sobrantes en él. ción del Sr. Buey &gt; » Pido que i la resolución de la duda segunda se A la de Instrucción pública se pasó otra del Sr. López del Baño, añada salvo el derecho de tercero, procedente del mismo origen que relativa á que permanezca el colegio de la villa de Cabra, considerán tuvie-en las cualidades que .están gravadas en los propios y en favor, dole como universidad de segunda clase. de obras p…</t>
  </si>
  <si>
    <t>…os de medicina, entre cuyas ciencias .. engañado de que no podia sacar ningún partido. no había ninguna analogía, era claro-que seria un mal médico. Expuso A mi digno compañero el Sr. López del Baño le ban insultado ce en seguida que en la última parte del articulo no se comprendían las mil maneras, solamente por haber hablado contra los asesinatos co ciencias naturales, lo cual opinó que era contrario á los artículos &lt;¡.u y metidos en Lucena. El comanda…</t>
  </si>
  <si>
    <t>…imiento de fa facciosos__ Anteayer llegó una partida del regimiento de Cantabria á cultativos de medicina.’* EscornalboU) y encontró el convento totalmente desierto. Esta noche El Sr. López del Baño te opuso al artículo , manifestando que esta pasada debían dormir en Sana Coloma de Queralt unos mil hombrea misma disposición te establece en el código sanitario, y por lo mitin» entre tropas del egército permanente jr milicias voluntarias, y partir debía de…</t>
  </si>
  <si>
    <t>…da Sesión dtl 17. elecciones, y que asi para abreviar la discusión podra preguntarse al Se leyó y aprobó el acta de la sesión anterior. Congreso si se admitía ó no esta forma. El Sr. López del Baño presentó una exposición de la milicia nacio El Sr. Pedralvcz impugnó el artícu'o, manifestando que lo que se nal local de ambas armas de Montilla , pidiendo á las Cortes les permi puede hacer de un modo simple y sencillo se echa á perder cuando se tiese emple…</t>
  </si>
  <si>
    <t>…papel sellado se sujetará i todo* lo* casos y contrarios á lo acordado acerca de la contribución del clero. cosas prevenidas en la instrucción que rige espedida por el Gobierno El Sr. López del Baño presentó una exposición de D Juan Tello, en 18 de Junio de 1794 , y á los caso* y cosas que se prevendrán en pott a-estandar te del extinguido cuerpo de guardias de la Real Persona, este decreto, usando en unos y otro* del sello que para cada acto se en que p…</t>
  </si>
  <si>
    <t>…otra disposición: que i su parecer la pr mera ecr- cuando s*. pidiese con el objeto de contratsiar ia» i-ies. respondías la com sien nombrada para entender de las m morías pre- Fl Sr. López del Baño: La tropa Hel egercdo permanente se puede sentadas por os ires. secretario* d i Despacha, y la segunda a ia de cons i rar ba;o aoi aspados, uro formando cu:;po, y tro como c¡u* Guerra i y divididas de este modo las dos cust iones, la que pertenece dadanos par…</t>
  </si>
  <si>
    <t>…por ningún individuo los procuradores síndicos de los ayuntamientos, los cuales tenian por de ayuntamiento. las nuevas instituciones la misma consideración que gozaban los regi El Sr. López del Baño contestó que cuando la autoridad fuete á dores; y que en su concepto debería decirse en el artículo que se en registrar una casa de posada , fonda &amp;c., y se le dijese por el posadero tregase la nota individual de que s: trataba á los regidores ó procura que t…</t>
  </si>
  <si>
    <t>…concedido las Cortes: discurra ahora el Congreso, en vista de estas autoriza fo para resolver en este cato. egemplot, ti tetá conveniente conceder nuevos perdones. Por unto mi El Sr. López del Baño: Bajo ningún concepto puede tener lugar el opinión es que este artículo debe desaprobarse. perdón qu: se propone en este artículo. El que solicite el perdón tiene El Sr. Indares: La comisión , en vista de la consulta del Gobier ó no responsabilidad; ti la tie…</t>
  </si>
  <si>
    <t>…ciudadano está autorizado para arrestar á cua.qu.rr d.i.ccu»u;e ¡•¡/■ata la palabra partido , retirando la comisión lo testante á propuesta del g.mtr. y asi me opongo al articulo. Sr. López del Baño. El ¿r. Falcó: Yo creo que la razan que ha tenida i a com «ion para Art. 143. «Con raspéelo i los pueblo* que perteneciendo en lo proponer á la» Coi te» que lo» gef.s paot cas tengan ia ,'acultjd de qae político á una provincia , correspondan en 10 judiéis’ á…</t>
  </si>
  <si>
    <t>Baños, Gabriel López</t>
  </si>
  <si>
    <t>Gabriel López Baños</t>
  </si>
  <si>
    <t>…un concordato, por el que la Na diese á lo que hubiese lugar. Aprobado. ción redimió el pago de sumas mucho mas cont.derabies; y que asi na La misma, en vista de la exposición de D. Gabriel López Baños, ciendo esto de un concordato que es un verdadero Halado, la comisión capitán del regimiento de Fernando vn , manifestando el mal estado de Haciénde no podía tomar en consideración lo que deseaba; el t-ñor en que se encontraba la provincia de Guadalajara, y p…</t>
  </si>
  <si>
    <t>Baños, López</t>
  </si>
  <si>
    <t>López Baños</t>
  </si>
  <si>
    <t>…en profundas reflexiones las anteriores discusiones sobre ios su de Pamplona, en la cual se mandaba activar la causa que se había em cesos de Valencia. pezado ; y asimismo que el general López Baños pasase inmediatamen Desempeñando yo el ministerio se me presentó colocado á este su- te í Pamplona, y también el brigadier Sánchez Salvador ,y que se ha geto en la mas alta categoría liberal, y en estas últimas sesiones he bían tomado otras medidas reseivadas…</t>
  </si>
  <si>
    <t>…niciones , sin orden ni disciplina ; y parece que era su objeto irte i Na Aquí te habla sabido la noticia de que uno* *40 refugiados en Fran- varra , donde contaban c.n apoyo. El general López Baños ha vuelto cía intentaban entrar por esta provincia, y afiadian que se verificaría por boy desde Alegría , donde por el conocimiento que tuvo de la facción la parte del monte de Irati, próximo i la villa de Ochagaviaen el va vió que no debía dar cuidado. lle d…</t>
  </si>
  <si>
    <t>…una correspondencia secreta muy inte Nuestro Liberal Guiruzcoano publica en su corresrondencia del día resante del bajá de Egipto con el famoso Ali; y que lo que de ella re que ei general López Baños había salido de Vitoria para Pamp.ona y ja u pone á la Puerta en mucho cuidado sobre los proyectos ulteriores tus inmediaciones con 600 infante» y 80 caballos. de aquel bajs el cual en ve* de enviar un egército a la &gt; uerta , como Madrid Jueves 37 de Junio. s…</t>
  </si>
  <si>
    <t>…la Lo. ficciosos capitanea lo, por Quesada y Ladrón se han dispersada ruta hacia Ara ar por Iota: añadí a qu: López Baños cubría toda su al acercarse lis columna* mandadas por «l general López Baños, y so izquierda desde Echarri, Arana*, Ugatte Araquil é Irurzun, dando la ban esparcido en p quenas porciones por t» sierra de Aadia. Las ro vuelta Hasta las inmediacones «le Lecumb-rruEl mismo día 7 escribía pas dr¡ c.nton de Éstella les has acosad» continua…</t>
  </si>
  <si>
    <t>Baños, López de</t>
  </si>
  <si>
    <t>López de Baños</t>
  </si>
  <si>
    <t>Gaceta de Madrid n.º 198 (extraordinaria)</t>
  </si>
  <si>
    <t>…hombres que tenia á su mando Quesada en 26 de Junio último, solo le había quedado en 3 del corriente una tercera parre * que «e encaminaba h-cía Lanz, para donde había mandado el Sr. López de Baños que se dirigiese desde Eauí la columna del comandante D. Antonio Ro mero de Leis, habiendo dispuesto tomar por sí la izquierda el re ferido general para salirles al encuentro en caso de que trataren de reunirse, como parecía probable, con los 200 y tantos hom…</t>
  </si>
  <si>
    <t>Baños, Miguel López</t>
  </si>
  <si>
    <t>Miguel López Baños</t>
  </si>
  <si>
    <t>…Fernando fi ios generales U causa de los griegos. D. Antonio Quitoga, D. Rasad del Ric^o , X). Fe.¡pe Arco Agüero, Chineo hace una guaira muy nctiva i las turcos de Epito; y h« co D. Miguel López Baños, D. Demetrio Q-Duly, D. Carlos Espinosa y el gido muchos convoyes de municiones destinados para la Mores. brigadier D. Manuel Larrc, resolviendo ¡a dona de si debería ser con ar Por alguno» buques que hoy han llegado de Corfú te ba rábido, reglo al reglamento…</t>
  </si>
  <si>
    <t>…, individuo de la junta Las Cortes oyeron con agrado la manifestación que hacia de sus sen municipal de Fraga; D. Antonio M ilán de Fabara, D. Manuel Cor timientos patrióticos el Sr. D. Miguel López Baños. tés , D. Juan J.ssef Perez, D. Pedro Antonio Barena, gefe militar del A la comisión de Marina se pasó una consulta del Gobierno acer cordon; I). Josef S. Juan , I?. Amonio boro, D. Andrés Vahe , pirca de la pena que deberá imponerse á los desertores de segun…</t>
  </si>
  <si>
    <t>…de las comandan las provincias de Pamplona , Logroño , S. Sebastian , Vitoria y Bilbao, cias generales que quedan suprimidas por el citado decreto, pasaran á al mariscal de campo D. Miguel López Baños, que desempeña actual los de la, comandancias generales del distrito correspondiente. Todo lo mente la comandancia general de Guipúzcoa en propiedad. que de orden del Rey comunico á V. S. para su intaligcncia y cumpli Comandancias subalternas de provincia cor…</t>
  </si>
  <si>
    <t>Baños, Miguel López de</t>
  </si>
  <si>
    <t>Miguel López de Baños</t>
  </si>
  <si>
    <t>…comisión para comprobar lo que en ellas se alega, é con fecha it se sirvió V. S. pasarme, incluyéndome otro d.-l Sr. co informar á la Cámara.” mandante general de estas provincias D. Miguel López de Baños. Las Después de una larga discusión, en la cual los Sres. Ricardo, Wo- expresiones con que este digno gefe te sirve manifestar vi aprecio que dehouse, Peel y otros hicieron discursos profundo* sobre el crédito hace de los voluntarios, fueron recibidas por est…</t>
  </si>
  <si>
    <t>…LIO DE l822. ARTICULO DE OFICIO. / Madrid 8 dt Julio. Después del último parte que dirigí&lt;5 desde Aoizal Excmo. se ñor ministro de la Guerra el general del quinto distrito militar Don Miguel López de Baños, siguió sin intermisión en bmca de la facción capitaneada por Quesada, pasando por los pueblos de Zunzarae, Erro* Viscarret y otros* de donde con noticia de la aproximación del referido general y su fuerza, habían salido an ticipadamente los malvados* Sin emb…</t>
  </si>
  <si>
    <t>Banqucr, Roque</t>
  </si>
  <si>
    <t>Roque Banqucr</t>
  </si>
  <si>
    <t>…guardia Real, y que los cara permita pasar á aquella provincia para perseguir i los facciosos, i cuyo bineros tienen dadas muchas pruebas de no quererla; y asi yo creo que fin el teniente D. Roque Banqucr ofrecía mantener á toda la compafiia estaremos también conformes ¿a que conviene dispersar estos soldados, basta pisar el territorio catatan. para que de aquel foco no se haga un germen de rebelión; por lo mis Las Cortes oyeron con particular satisfacción los…</t>
  </si>
  <si>
    <t>Banqueri</t>
  </si>
  <si>
    <t>…pues vale'mas una palabra de un general, y remedia mas males que buena fe qne debe tener todo diputado. cien oficios. Asi que, yo creo que debe fijarse la capital en Pamplona» El Sr. Banqueri apoyó el dictamen de ta comisión , manifestando hl ór. Riinonet apoyó el dictamen de la comisión , y manifestó que debían aprobarse estos sueldos hasta el arreglo general de todos loe que la razón que habia dado el $r. Alaman para que se fijase la capital sue…</t>
  </si>
  <si>
    <t>…iene este dato tan necesario. ¡Y por qué? porque no son sol a menta dijeron haber padecido el Sr. Moscoso. particulares á los que hay que indemnizar, sino á una multitud de cor K1 Sr. Banqueri: Habiendo oído qua el dictamen que se discute se poraciones , establecimientos literarios y de beneficencia. ¡Y estos tie reduce solo a la indemnización de los partícipes legos, teniendo el de nen derecho á esta indemnización I Ea indudable, y con tanta mas r…</t>
  </si>
  <si>
    <t>Banquerí</t>
  </si>
  <si>
    <t>…de bautismo, confirmación y diocesanas, resultará que estas administrarán como corresponde el matrimonio necesita dos ó tres amanuenses , está bien dotado con 69 medio dieamo. El Sr. Banquerí supone que por el artículo de que se reale*, que lo digan loa Señores de la comisión. Yo no reproduciré mis trata *e dan á estas juntas unas facultades mas extensas que las que se ideas en este punto, porque las he manifestado ya; solo sí diré que la «■presan…</t>
  </si>
  <si>
    <t>…omo en efecto corrió la voz de que trataban de robarla. Con arbitrios destinados á dichos establecimientos. este motivo se trató de disponer un lugar donde se depositasen estas El Sr. Banqueri impugnó el artículo , opinando que lo dispuesto en cantidades, y el comercio estuvo pronto; pero reflexionó lo expuesto el decreto de Junio sobre las pabordias de Valencia era una circuns que era el dar este aliciente á los facciosos , v qu: ral vez por acudi…</t>
  </si>
  <si>
    <t>Baqu-ro, Juan Pascual</t>
  </si>
  <si>
    <t>Juan Pascual Baqu-ro</t>
  </si>
  <si>
    <t>…della p citadorsona D.en Juancuyo Pascualpoder seBaquero,hallen que acrediten el motivo de la dilación , bien sea la ocupación del juez, se sirva entregarlas en Granad* a', mismo D. Juan Pascual Baqu-ro, ú otro que impida el proseguir rápidamente en el proceso. ó en esta corte al rrfendo D. Juan García Monroy, que vive en la Después de puesta la causa en estado de plenario , ninguna dilación calle de Hurtal-za, núm 35 déla manz. 316; en al conceptd de qua ha…</t>
  </si>
  <si>
    <t>Baquedano, Angel Saavedra Ramiriz de</t>
  </si>
  <si>
    <t>Angel Saavedra Ramiriz de Baquedano</t>
  </si>
  <si>
    <t>…s los poderes de estos en las Cortes siguientes habría dos, luego seis, y en fin podría haber señores diputados como proponía la comisión. muchos diputados que lo fuesen. Córdoba. D. Angel Saavedra Ramiriz de Baquedano, D. Josef Me- El Sr. duque del Parque: El art. 95 de la Constitución dice: •» Los lcnJez Fernandez, D. Antonio Ramírez de Areílino y D. Agustín secretarios del Despacho, ios consejeros de Estado, y los que sirven em López del Baño. La comiaion opinaba que deb…</t>
  </si>
  <si>
    <t>Baquero, Juan Pascual y</t>
  </si>
  <si>
    <t>Juan Pascual y Baquero</t>
  </si>
  <si>
    <t>…i otras justicias para la práctica de algunas de primera instancia de ia ciudad á ■ Burgos. diligencias. ANUNCIO». Es verdad, y debe conocerte asi, que un solo juez no puede dedi D. Juan Pascual y Baquero, v ciño de Granada, dirigió en últi carte exclusivamente á la actuación de una sola causa, aunque sea muy mos d Miyo am-r or 1 l). Juan Gírela Monroy , vecino da esta corimportante, porque ademas del despacho diario de audiencia, otras I , dos acciones de 49…</t>
  </si>
  <si>
    <t>Baquero, Vicente Martínez</t>
  </si>
  <si>
    <t>Vicente Martínez Baquero</t>
  </si>
  <si>
    <t>…ar H nriqu-z de Cabrera, y que el de marque* Jct'f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 D. B rnardo Rodríguez, ahora quiénes ton los poseedores d 1 estos títu'os, sin embargo de las D. Pablo haracibsr, D. M…</t>
  </si>
  <si>
    <t>Bar, Amonio</t>
  </si>
  <si>
    <t>Amonio Bar</t>
  </si>
  <si>
    <t>…1803 por el br. D. Carlos iv. mera infancia de Sepúlveda. Aprobado. La comisión , atendiendo á quí esta pensión fue concedida por ha La misma, después de examinar la instancia de D. Amonio Bar ber summ strado varios adornos para -.1 palacio Real , opinaba que de quero, vecino del valle de la Serena, pidiendo qu: se . x- im la res bía satisfacerse por ia tesorería de la Reai casa, y no por la nacional. ponsabilidad al alcalde constduJ nal de la mism…</t>
  </si>
  <si>
    <t>Bar, Francisco</t>
  </si>
  <si>
    <t>Francisco Bar</t>
  </si>
  <si>
    <t>…Habida la conferencia resultó no haber lugar por cinco voto», usado á lo menos un año. Art. 3.' Teniendo i¿utl consideración los habiendo disentido los Srss. D. Josef Luis Amandt, D. Francisco Bar oficiales supernumerarios que los que obtienen plaza efectiva, cuando ra. «I conde de Floridablanca y D. Carlos González Llanos. EN LA IMPRENTA NACIONAL</t>
  </si>
  <si>
    <t>Bar, Jos-f</t>
  </si>
  <si>
    <t>Jos-f Bar</t>
  </si>
  <si>
    <t>…Joaquín Huerta Cevallo» , D. Ignacio Pajares ,D. Josef Gómez ta clase, y que tarto redunda en beneficio de ellos mismos y del pú Albacete, D. Antonio Regai, D. Juan Antonio López, D. Jos-f Bar blico. Asi es que desde su fundación lleva ya empleadas Jas siguientes do , D. Josef Radon» D. Isidoro de Hoyos y D. Antonio Díaz del sumas : en pago de cata , muebles, libros, papeles y demas objetos pro Moral. pios de su instituto 121,540 rs.: en suscripcio…</t>
  </si>
  <si>
    <t>Bar, Josef</t>
  </si>
  <si>
    <t>Josef Bar</t>
  </si>
  <si>
    <t>…Félix Ramón Beaudot, responsable de dicho impreso: y en ayer, y seguía coa mucho alivio; y que S. M. la Reina y Sres. Infan su consecuencia mandó el Sr. juez de primera instancia D. Josef Bar tes continuaban sin novedad ra su importante salud. Las Cortes lo ragan y Carballar se alzase la caución y la suspensión de la venta da ojerop coa pan ¡caler satisfacción los egcmplares, declarando que este procedimiento no debía cansarle El Sr. presidente se…</t>
  </si>
  <si>
    <t>Bar, Ledro Antonio</t>
  </si>
  <si>
    <t>Ledro Antonio Bar</t>
  </si>
  <si>
    <t>…co bu.-n sent do =D’Os guarde ; V. S. mucho» año». Mor.- .1 14 marcha con el obj to de tomar tos dos desfiladeros de la si.-rra, a fin de Setiembre de itíar.=D..go Medrana.=r &gt;r. D. Ledro Antonio Bar d“ cortar la retirada al - nrm o, que deb a haber sido atacado por el co rena.” mandante To’osana en el pu blo de Valdetobr »; pero sabedor sin du IA1.V11.J 17 .ir Sct.rrr.tr-. da de nu, stro movimiento , r-plegó tas partidas que tenia en dicho pun 6on fecha…</t>
  </si>
  <si>
    <t>Baraga, Antonio Alvarez</t>
  </si>
  <si>
    <t>Antonio Alvarez Baraga</t>
  </si>
  <si>
    <t>…s dic del general D. Juan Fernando Abascal, pa-a que se ie ex'm ese dei pa támenes. go de lanzas y medias anatas por el título de marques de la C ncordn Uno sobre el expediente da D. Antonio Alvarez Baraga&amp;a jr Gon que concedieron las Cortes i dicho D. Juan Fernando, opinaba que es zález, en solicitud de que se le rehabilite pura obtener cualquier desti ta exposición debía pasar i la comisión de Premios. Aprobado. no que se le confiera en atención á que S. M. p…</t>
  </si>
  <si>
    <t>Baranda, Andrea</t>
  </si>
  <si>
    <t>Andrea Baranda</t>
  </si>
  <si>
    <t>…udades de la Co regimentó de Villaviciosa , el ayudante D. Agustín Solera, el te rulla y Betanzos, en cabeza ds! Dr. D. Juan de Ponte y Andrade y men- D. Antonio Perez, el alférez D. Andrea Baranda y el cadete Do'a Antonia Saavedra, su muger, perteneciente al mayorazgo que D. Donato Torro», y yo los recomiendo á V. E. por el mérito que fundó dicho Dr. Ponte ; se suplica á la persona en cuyo poder exista han contraído , y por la g'ona de haber contribuid…</t>
  </si>
  <si>
    <t>Barata</t>
  </si>
  <si>
    <t>…ea de la manera mas con este capital en vez de durar 1$ años ha sido menester que llegue hasta veniente.” 29 años, y contará en vez de los 1497 millones , como ames se ha El mismo Sr. Barata no se creyó autorizado bastantemente por esta dicho, 2789 millones. resolución , siendo una buena pro ba de ello la Real orden de 24 de Re.u.ia pues por la comparación entre el tratado y el convenio Enero de 1821, con motivo de una solicitud de los interesado…</t>
  </si>
  <si>
    <t>…réstito de los 140 en este aumento! millones de que se trata » ó no emanación del contrato que se estipuló El orador recorrió algunos cálculos , de los que dedujo que el au con el ministro Barata. mento del capital había sido de 572 millón» , y el de los ínteres» de Si ei Sr. secretario de Hacienda conviene en que lo es , como no 18 millones y pico, y continuó. Respecto del tercer principio que puede menoa de convenir S. S. , y « preciso que yo reclam…</t>
  </si>
  <si>
    <t>…, como lo verificó su ante minando la colección de cánones de la Iglesia espadóla , publicada en estos últimos dias, diese su dictamen sobre la resolución que conviniese cesor el Sr. Barata. I as Cortes tienen demasiada penetración, y por lo mismo no es mtn sur que yo me extienda en manifestar los males adoptar. Se mandó quedar sobre la asesa. El Sr. Moreno leyó una exposición tuya contra la permanencia que te podían seyuir. del tribunal especia…</t>
  </si>
  <si>
    <t>…os aliculo» d; ministro no procedió bien en esto, y haga v r sus errores! Dx: tam li Constitución política de la Monarquía y á su índole, oneroso a .a bién el Sr. Argüelles que el Sr. Barata encontró Ja tesorer a en un es Nación, e indecoroso á la misma. tarlo d: desahozo, pu.js que tenia cubiertas todas sus ob'igiciones. Yo i.3 En cumplimiento del articulo anterior, e! Gobierno devo'vni no m; atrevo á concebir que la tesorería estuviese en aquel…</t>
  </si>
  <si>
    <t>Barata, Juan</t>
  </si>
  <si>
    <t>Juan Barata</t>
  </si>
  <si>
    <t>V7&lt;$ con fecha de ayer de.de el Real sitio de Aran juez lo que sigue: Por renuncia de D. Juan Barata se halla vacante la plaza de juez „SS- MM. y A A. continúan sin novedad en au importante salud.” letrado del partido de Tatrasa, en Cataluña. Los prctendienus que te Circulares del ministerio de la Guerra. consideren con las circunstancias prescritas por la C…</t>
  </si>
  <si>
    <t>Barcelona</t>
  </si>
  <si>
    <t>…na en esta crisis de circunstancias no pueda Idem ¿. contar con una fuerte división que contrareste á los malvados. A las siete y media de esta tarde ha sido con i-acido á esta el obispo Barcelona £ de Noviembre. de Vich Sr. Strauch con otros varios sugetos. M entras el poder judi Nurstros periódicos publican las siguieutes noticias: cial no declare la causa de su pri.ion en las cr ticas circunstancias del Esta noche se ha tomado una providencia que in…</t>
  </si>
  <si>
    <t>Barcena, Leandro</t>
  </si>
  <si>
    <t>Leandro Barcena</t>
  </si>
  <si>
    <t>…no debe ser tan En vista de un oficio del Sr. secretario del Despacho de Gracia y prolijo 1 porque si debe seguir del modo con que la comisión lo ha Justicia se concedió permiso á D. Leandro Barcena, juez electo de pri empezado , por mucho qne haga nunca podrá hacer mas, sino consumir mera instancia del partido de Mahon, para prestar el juramento pres el tiempo inútilmente, porque el rcsu.tado será saber que hay una cau crito en la Constitución ante el a…</t>
  </si>
  <si>
    <t>Barcena, Leoncio</t>
  </si>
  <si>
    <t>Leoncio Barcena</t>
  </si>
  <si>
    <t>…media. del batallón de la milicia activa de Logroño. Laredo: para primer comandante al comandante del primer bata ARTICULO DE OFICIO. llón del regimiento de infantería de Zaragoza D. Leoncio Barcena. Bl Sr. secretario del Despacho de la Gobernación de Ultramar dice Motril: para primer comandante á D. Josef Moreno , comandanta con fecha de ayer desde el Real sitio de Aranjuez lo que sigue: del segundo batallón del regimiento de infantería de Toledo. n SS.…</t>
  </si>
  <si>
    <t>Barctló, Matuno</t>
  </si>
  <si>
    <t>Matuno Barctló</t>
  </si>
  <si>
    <t>…ampoco lo debían estar los espías. para la judicatura de primen instancia «leí partido de lbiza, en Mallor El Sr. Infante contesto que era mayor el delito de un espía qua el ca, é D. Matuno Barctló, interino del de Manacor. de uno que con las ai mas en a mano conspiraba contra el Estado, por que este d-tde luezo se presentaba como enemigo , y aquel vendiéndose ANUNCIOS. acaso por amigo, malograba las operaciones militares. El Nr. Valdés ( L&gt;. Cay-tino)…</t>
  </si>
  <si>
    <t>Bardo, Josef</t>
  </si>
  <si>
    <t>Josef Bardo</t>
  </si>
  <si>
    <t>…a de Co debían ver dicho escrito, y salieron los Sres. siguientes: ro en comunicación con Puerto-Caballo, cuya pisa ae halle coa mucha D. Casimiro Martin, D. Josef Antonio Ponzoa, D. Josef Bardo, escássz de víveres.** Marques de Torrenueva, D. Aniceto Lizana, D. Andrea Alcon, Dos —•&gt; El marques de Casa-León , gafe político de la provincia de Vene Santiago Delgado, D. Pedro Alvaro Delgado, D. Josef Rives Qüszuela , desde Puerto-Cabello con fecha de 18…</t>
  </si>
  <si>
    <t>…las to llegó el Exento, ayuntamiento consti Señores que suscribieron á dicha calificación. D. Ignacio Pajares, tucional de esta M. H villa al Prado, y después de la ceremonia acos D. Josef Bardo, D. Manuel Josef de Gallego, D. Valentín Rcc o, tumbrada , y habiendo hecho una elocución al pueblo, te dirigió A la D. Joaquín de Cevaüos, D. Domingo Fernandez de Anguio , D. Juan iglesia de S. Isidro, en donde se celebró la misa de Réquiem, con una Paz, D.…</t>
  </si>
  <si>
    <t>Barel, María</t>
  </si>
  <si>
    <t>María Barel</t>
  </si>
  <si>
    <t>…descendientes de Doña Juana Villanueva, viuda de Alon por el inspector de su arma el expediente instructivo de que se habla en so Humanes, vecina de la villa de Paradas, y los de Doña María Barel art. z.°, i fin de que los demás vocales de la junta de inspectores, rionuevo, muger que fue de Juan García de Sigura, vecina de la villa que es á la que ha de corresponder en este caso la propuesta para el re de los Molares. Asi se acordó con dictamen de let…</t>
  </si>
  <si>
    <t>Barena, Pedro Antonio</t>
  </si>
  <si>
    <t>Pedro Antonio Barena</t>
  </si>
  <si>
    <t>…a manifestación que hacia de sus sen municipal de Fraga; D. Antonio M ilán de Fabara, D. Manuel Cor timientos patrióticos el Sr. D. Miguel López Baños. tés , D. Juan J.ssef Perez, D. Pedro Antonio Barena, gefe militar del A la comisión de Marina se pasó una consulta del Gobierno acer cordon; I). Josef S. Juan , I?. Amonio boro, D. Andrés Vahe , pirca de la pena que deberá imponerse á los desertores de segunda vez del recode Mequinenza, J&gt;. Estiban Dovon, cx-c…</t>
  </si>
  <si>
    <t>Bargent</t>
  </si>
  <si>
    <t>Gaceta de Madrid n.º 269</t>
  </si>
  <si>
    <t>…ancesa -n Francia, y 50 pie. cúbicos, medida americana allanar su d-micil.o y apoderarse de sus p-rtonai y papeles; que por -t— en ios Estafos-Un doi. ta razón fcab a suplicado al almirante Bargent se av.atase con el gefe de »» Algodone» «04 l.bras de peso ó 3*5 k. Tabacos 1600 I bras de la casa de com-rcio Bigard, y que parecía haber quedado el almirante peso ó yjj k. Potasa y otTas drogas 1240 libras de peso ó 725 kiló contento de la conferencia. metr…</t>
  </si>
  <si>
    <t>Bario, D</t>
  </si>
  <si>
    <t>D Bario</t>
  </si>
  <si>
    <t>…a de la izquierda al del teniente co Gerona, ai mando de: capitán graduado D. Manuel Karros, Fernan ronel D. J -aqu.n Vara de Key con los destacamentos de Valenca y do vii, al d-l teniente D Bario,orne Aparicio y dei suhren.e.-.te D An Extremadura, quedando la caballería con su comandante para acudir tonio Val sera; Aslúr a», al mando ce' t.ni.cte D. juan Jr-sef Mar adonde lo exigiesen las circunstancias. Todo lo que se verifico , avan fil; ¡asegunda c…</t>
  </si>
  <si>
    <t>Baro, Florentino López</t>
  </si>
  <si>
    <t>Florentino López Baro</t>
  </si>
  <si>
    <t>…ento , y dis juez de primen instancia de esta heróica villa, refrendada por el es pondréis se imprima, publique y circuie.=Está rubricado de la Real cribano de número y su juzgado D. Florentino López Baro, se ha mano.sEn palacio á 18 de Noviembre de j8ii.= V L&gt;. Mariano Egca. mandado sacar á pública subasta , por término de 30 día* contados desde cuatro del corriente , una viña, sita en término y jurisdicción El Gobierno ha recibido el parte siguiente: «le la…</t>
  </si>
  <si>
    <t>…a instancia en esta heroica villa , han sefialado el día nue Caballería ligeta........... «... 611 ve de Diciembre próximo de sa á una de su mafiana en la escribanía del número da D. Florentino López Baro, calle de las Platerías, jun to i la iglesia de S. Salvador, para el remate de los bienes raíces si { Artillería i pie.................. 70 tos en el término y jurisdicción de la villa de Sesefia, anunciad * en el M. N. A..... »..................- 1500. diari…</t>
  </si>
  <si>
    <t>Barola, Josef Antonio</t>
  </si>
  <si>
    <t>Josef Antonio Barola</t>
  </si>
  <si>
    <t>…y por el contrario las que por tu apatía, La de Visita del Crédito público, informando sobre la exposición omisión ó negligencia den lugar á que no se cumpla el presente dccre. de D. Josef Antonio Barola, en que pedia se llevase á efecto Ja capi ti en todas sus partes, incurrirán en el desagrado de las Cortes, lai talización que tenia solicitada antes de publicarse el decreto que las cuales, si te hallare motivo para ello, les mandarán exigir la responsa proh…</t>
  </si>
  <si>
    <t>Barón, Jotcf de Llano y</t>
  </si>
  <si>
    <t>Jotcf de Llano y Barón</t>
  </si>
  <si>
    <t>…battaglie irttr.de , existentes en esta corte, procedentes de rentas decimales. Para verlo y Che fui o al tempo che le Be.tie at.tuht tratar de ajuste se acudirá al administrador D. Jotcf de Llano y Barón, Possedean la ragiane e la loqutla , en la Caba-baja, número it , quien arrutará los precios , teniendo Cose che a noi dei tempi il bujo ceta. presente su calidad y circunstancia de tiempo. Canto del btuto las costumbres varias, Juicio di jurado. Trastornos ,…</t>
  </si>
  <si>
    <t>Barr.o, Manuel García del</t>
  </si>
  <si>
    <t>Manuel García del Barr.o</t>
  </si>
  <si>
    <t>…de Céd:z resistió tan gloriosa Habida la conferencia , declararon &gt;10 haber hipar J la formación do mente ai usurpador del trono de los Botijones (5) , y que fue la pri causa : ei Sr. D. Manuel García del Barr.o dijo haber lugar. mera qu: lanzó una flecha mortal al corazón Jet coloso que oprimía con su poder á toda la Furopa. (St continuará.') Dolía Rafaela Feleguía de Miranda, directora de la casa de edu Añ-d.-nse ahora varias noticias de la correspondencia particul…</t>
  </si>
  <si>
    <t>Barra, Francisco</t>
  </si>
  <si>
    <t>Francisco Barra</t>
  </si>
  <si>
    <t>…para que corra la dirección de camino* con las obras de D. Marcos Izquierdo, D- Francisco Travesedo, D. Celestino Ololos puertos del Pico y Menga , en la provincia de Avila. ugi, D. Francisco Barra, 1). Gonzalo Cárdenas , el marques de TorA la comisión de Guerra dos del Sr. Herrera Buslamente; la una reuueva, D. Joaquín Lumbreras , D. Francisco López Oiavarricta f sobre que no se concedan ascensos de brigadieres y oficiales generales, D. Valentín Recio.…</t>
  </si>
  <si>
    <t>…licado y equivocado. Las Cor Cárlos Romeral, D. Juau Labio Pascual, D Lino Campos, D. Josef tes , atendiendo á la utilidad pública, que es el único objeto del legis María Puente y D. Francisco Barra. Los tais primeros declararon inju lador, deben cortar con mano fuerte los abusos que hasta aqui ha ha rioso dicho impreso. bido , haciendo de este modo la felicidad de los pueblos. En seguida se declaró esta asunto suficientemente discutido, ha Reunido* la m…</t>
  </si>
  <si>
    <t>…tinez Orinas*, D. Josef Luis de Amaadi, D. Joaquín Ruiz , Don do, á igual número de los oficiales de todas clases que hay excedentes en Josef Gómez Albacete, D. Mariano Zorraquin, D. Francisco Barra, el ejército si la soi-.ctan. Art. a.° Los oficiales que obtengan licencias D. Antonio Gamonal , conde de Floridabianca y D. Carlos González ilimitadas pódrtn volver á sus respectivos cuerpo» siempre que la hayan Llanos, Habida la conferencia resultó no haber…</t>
  </si>
  <si>
    <t>…rte activa en los nego subversivo y excitador á la desobediencia- Reunido el jurado, compues cios interiores de la Península, á no ser en caso de una io:vilab-e ne to de los brea. D. Francisco Barra , D. Josef Demetrio Rodríguez, cesidad ; y que por el contrario deben hacer lo posible por abstenerse D. Matías Casero, D. Joaquín Huerta Ccvallo», D. Julián de Fuen de elle. Ñu sno Gabinete ha seguido este cuerdo parecer, peto cierta tes, D. Bernardo Asenjo,…</t>
  </si>
  <si>
    <t>Barra, Josef Gil</t>
  </si>
  <si>
    <t>Josef Gil Barra</t>
  </si>
  <si>
    <t>…los que se hallan en aptitud de servir al Bey guida fue aprobado el dictamen de la comisión. (dice nuestro Sesior; peio jo lo callo), á los Sermess. Sres. Infantes &amp;c. Guatemala. D. Josef Gil Barra. Quedaron aprobados los poderes Yo no me hallo, como se puede probar, en esta segunda clase, por de este Sr. diputado- que cuando desempeñé este empleo lo dejé por ser espitan de Guar Guadaiajara. D. Francisco Mateo Marchámalo y D. Miguel de dias de Corps. fc…</t>
  </si>
  <si>
    <t>Barrada, Juan Cabello</t>
  </si>
  <si>
    <t>Juan Cabello Barrada</t>
  </si>
  <si>
    <t>…e de Oc tra el alcalde constitucional de aquella ciudad D. Juan FeruanAx de la tubre de 1810, opinaba que ea efecto tro lo estaba. Aprobado. Cámara y contra el regidor de la misma D. Juan Cabello Barrada, por La comisión de Legislación, en vista del expediente promovido haber altanado su casa; en el cual Is comisión, en vísta de hallarse (ra por D. Ramón MuSiz Miranda , vecino del concejo de Oviedo , en tificado este hecho, opinaba debía exigirse la responsab…</t>
  </si>
  <si>
    <t>Barranquer, Ramón</t>
  </si>
  <si>
    <t>Ramón Barranquer</t>
  </si>
  <si>
    <t>…usado de I» nimiento que tanto le distingue, destinó al teniente coronel capitán del armas con que pretendieron esclavizarnos, pues disparó 14 tiros at refe regimiento de Navarra D. Ramón Barranquer para que en unión con rido Busca hasta que fue herido por Antonio Galipicnso, uno de los el de igual clase del cuerpo nacional de artillería don Rafael Melgarejo pasado» de la cuadril!— de J-itr.c." observasen sus disposiciones, encargado el primero de dar av…</t>
  </si>
  <si>
    <t>Barrantes, Luis Castillo</t>
  </si>
  <si>
    <t>Luis Castillo Barrantes</t>
  </si>
  <si>
    <t>…tendencia en Panamá. [ A la de Hacienda una solicitud de Doña María Concepción Puen- que lo es de la de Zimora: para la de Vuo al brigadier D. Ra-.noa Losada: para la de Badajoz á D. Luis Castillo Barrantes, que io t&gt; de 1 te, relativa á una pensión. la de Extremadura: para la de Lugo al teniente coronel D. Ana l del I A la de Premios una exposición de Doña Sebastiana Aguijar, soli- Arenal: pata la de Ciudad-Real a D Pedro Clemente Ligues , que lo ■ citando una…</t>
  </si>
  <si>
    <t>Barreda, Joaquín</t>
  </si>
  <si>
    <t>Joaquín Barreda</t>
  </si>
  <si>
    <t>1766</t>
  </si>
  <si>
    <t>…ames. pre,idente.=Por la milicia nacional activa el coronel Alfonso Valderábano.=Por la artillería el coronel Manuel del Pino.rsl’or la caballe ARTICULO DE OFICIO. ría el teniente coronel Joaquín Barreda.=Por el estado mayor general el coronel Santiago Méndez de Vigo,=Por la Hacienda nacional mi PAGADURIA DEL MINISTERIO DE LA GOBERNACION DE IA PENINSULA. litar el intendente honorario de provincia comisario de guerra Ramón María Diaz.=Ei capitán Amonio María d…</t>
  </si>
  <si>
    <t>Barrena</t>
  </si>
  <si>
    <t>…te Dicho t menta hiciesen variaciones. coronel Ceval los se hillaba el 8 con su columna en Calanda en reipcica E Congreso decidió que la comisión de Constitución y la de Re con el coronel Barrena y el comandante Tolosana , cuya co¡ enana , des dice on de leyes acabasen de redactar la Constitución á fin de presen pués de haber perseguido i los restos de Capapé fusta lo mas i. a .oso da tar! I a Gobierno, y que la primera se encargase de designar el día…</t>
  </si>
  <si>
    <t>Barrena, Pedro Antonio</t>
  </si>
  <si>
    <t>Pedro Antonio Barrena</t>
  </si>
  <si>
    <t>…general del sex ron arrollados y dispersados, dejando el campo cubierto de armas y to distrito militar.” efectos militares, habiendo tenido algunos muertos, 1 prisioneros y 8 «El coronel D. Pedro Antonio Barrena, comandante de las tro caballos, sin que por nuestra parte haya habido la menor desgracia.= pas del bajo Aragón y ds las armas de Alcafnz , remite á dicho se F.i teniente Córdoba , el sargento Balsia y los demas de Aimansa y Lu- ñor comandante general la copi…</t>
  </si>
  <si>
    <t>…dida, pero » Dios guarde á V- S- muchos a Sos. Valderobret 14 de Octubre de ai me opondré á que los militares puedan sujetar á las autoridades ci 1«, 1 —Pedro Meadet de Vigo.ssSr. D. Pedro Antonio Barrena.” viles, porque esto es un daño para los pueblos. Si este medida fuesu Cádiz. tg de Octubre. tolo con respecto á aquellos países que están declarados en estado de Extracto del pliego de correspondencia de oficio dirigido por el Excmo. guerra, seria menos malo…</t>
  </si>
  <si>
    <t>Barrera, Antonio</t>
  </si>
  <si>
    <t>Antonio Barrera</t>
  </si>
  <si>
    <t>…búlgaros y otros. Las tro cho conforme á la Constitución y á las leyes. Aprobado. pas de este cuerpo continuar in llevando el uniforme negro y una cala Otro sobre la instancia de D. Antonio Barrera , natural de Francia, vera sobre el morrión. Si esta noticia se confirma, será una prueba se para que se i* concediese carta de ciudadano espaiol. La cimis.on cu gura de que la Rusia no espera ya que se conserve la paz. vista del informe del Gobierno opinaba…</t>
  </si>
  <si>
    <t>Barrera, Juan</t>
  </si>
  <si>
    <t>Juan Barrera</t>
  </si>
  <si>
    <t>…mundos labios a! mismo tiempo qua embarcarse á Marsella. Y por Perpifian han entrado en Cataluña «I te respiran venganza, exterminio , y exhortan á la rebelión cetro si fue niente coronel D. Juan Barrera, el capitán de milicianos de Costa Don ra un precepto divino. Sus vicios son por consiguiente tu Dios único, Josef Clarct, y ei teniente piamontés D. Vicente Storti. Har. debido su cuidad, su patria y su Rey. igualmente entrar por la parte de San Girón* D. Lu…</t>
  </si>
  <si>
    <t>Barrida, Jcaqu.n</t>
  </si>
  <si>
    <t>Jcaqu.n Barrida</t>
  </si>
  <si>
    <t>…or la &lt;uw- Koiser; part da de Fx'rrtnadura, ai dei c-r»tan D- Frir.c-.svO -icé riba de Valencia y algunos del resguardo militar, al mando del te- y de los oficiales el subten.ente D. Jcaqu.n Barrida, y e d- .a misma nientr D. Joaquín Moreno, se pusieron lodos en precipitada y vergon ciase D Ignac.o Tast-iy, y el lamente D. Aniceto Le: ms , -»-romeo zosa fuga, retirándose en peiorone* por distintos caminos, que p rsi- funcionas de ayudante de ¡a columna;…</t>
  </si>
  <si>
    <t>Barrio, Manuel García de</t>
  </si>
  <si>
    <t>Manuel García de Barrio</t>
  </si>
  <si>
    <t>…drá al fin del tomo úl D. Ben.to O tega Romanillos, D. Zoilo Gómez Casero, D. Gregario timo , todo conforme al prospecto que se dió en' la gaceta de .Madrid da Miguel de Mendivil, D. Manuel García de Barrio, marques de Cusa- 30 de Marzo , núm. 91, Espectador de 9 de Abril, núm. góo , Diario no, D. Pedro Alvaro Da gado, D. Martin de Zarandia, D. Josef Ma Nuevo de id., núm. 91, y reimpreso al fin del tomo 1.° de la mencio ría Pu nte. Habida la conferencia, resultó…</t>
  </si>
  <si>
    <t>Barrio, Manuel García del</t>
  </si>
  <si>
    <t>Manuel García del Barrio</t>
  </si>
  <si>
    <t>…onde me fue ya ro 11 , como injurioso á dicho señor; se reunió el jurado, compu sto pnciso detenerme porque se adelantaba la noche, y porque la tropa es de los señores siguientes: D. Manuel García del Barrio, D. Juan Fer taba extraordinariamente fatigada, y había acaba lo ya todas sus municio. nandez Casariego, D. Antonio R ‘g*¿ , p. Miguel Polz, D. Josrf Ma n-s : de-piies de concluida esta acción, que duró mas de tres horas, lla ría de Larnategui, D. Joaquín Lum…</t>
  </si>
  <si>
    <t>Barros, Borgd de</t>
  </si>
  <si>
    <t>Borgd de Barros</t>
  </si>
  <si>
    <t>…r al pueblo á que no ponga de bierno pudiese desempeñar en esta parte su obligación. mandas injustas &amp;c. &amp;c. El Sr. secretario Infante* dijo que precitamente estaba sobre la ma El Sr. Borgd de Barros manifestó la necesidad que habia de los juicios ta esta consulta del Gobierno. de conciliación entre las gentes del campo y en los pueblos pequeños, Se leyó la minuta de la contestación al discurro de S. M. que babá pues por leves cotas, como el haber entrado…</t>
  </si>
  <si>
    <t>Barros, Borges de</t>
  </si>
  <si>
    <t>Borges de Barros</t>
  </si>
  <si>
    <t>…acer cada uno impune é inculpablemente provecto de Constitución d:bia decidir el Congreso la proposición del todo aquello y solo aquello que no esté proh bido por la recta razón ó Sr. Borges de Barros, sobre que no se discutiese dicho título hasta que por la Itjr. Nadie 4 pret'xto de libertad puede arrogarse derecho para te hallasen en el Congreso 4 lo menos do* terceras partes de los dipu atropellar las leyes positivas,/ mucho menos las leyes naturales. L…</t>
  </si>
  <si>
    <t>…an semejante disposición; pero cstus por evitar denes agradas.” * que se averíen sus mercancías se dejan visitar en secreto, y siguen tu Se leyó por segunda vez la proposición del Sr. Borges de Barros viagc: de lo que resulta que los espitan** hacen su negocio y ios minis sobre que pudiesen votar en la elección de diputados á Cortes las mutros el suyo, porque se supone que estos ignoran lo que pare , y en geres que tuviesen seis hijos legítimos. mejor ocas…</t>
  </si>
  <si>
    <t>…taba reducido á jo) hombres, con cuya del Brasil, con motivo di negarse á firmar y jurar la Constitución; y fu-rza no podía ei Gobierno atender a las importantes atenciones que el Sr. Borges de Barros dijo: Sr. presidente, ¡cuán crítica y triste es le están cometidas, estaba acorde con la propuesta que había hecho á hoy la posición d: los diputados del Brasil para no faltar i su honor Jas Cortes de que te decretase el reemplazo de 19,973 hombres y 798j y á…</t>
  </si>
  <si>
    <t>Barros, Manuel García</t>
  </si>
  <si>
    <t>Manuel García Barros</t>
  </si>
  <si>
    <t>…a en la opinión pública. sido gratas la conducta y decisión de la milicia nacional local de San Por otra parte debo hacer presente que en loa primeros meses del sis tiago, y de tu comandante D. Manuel García Barros; y han resuelto tema constitucional era admirable el ver los procedimientos de los ma que se hags entender asi al ayuntamiento de aquella ciudad para que |a gistrados, que consultaban continuamente sobre muchas dudas que se comunique á lo* interesados, y que…</t>
  </si>
  <si>
    <t>Barrutia, Gorostidi y</t>
  </si>
  <si>
    <t>Gorostidi y Barrutia</t>
  </si>
  <si>
    <t>Gaceta de Madrid n.º 342</t>
  </si>
  <si>
    <t>…generoso ,1 el coronel Jiuregui para concertar las operaciones , suponiendo qua recordar á este partido los beneficies que debe al Gobierno ingl- , los faccioso*, al mando del mal cura Gorostidi y Barrutia , ocupaban el cual ha expendido con profusión sus tesoros y derramado su sanj: A OHate y sus cercanías como lo hacían al medio día del 11—L)e Eli- por ¿1; pero con todo no es ocioso hablar ahora de ello , puesto iju ■ zondo, valle del Bastan , escriben lo que…</t>
  </si>
  <si>
    <t>Bartolo</t>
  </si>
  <si>
    <t>…publico en Mondoñedo, sobre las facultades de cosst’tucional, ha empezado en estos d&lt;as á estrei.atse , atacando á los in&gt; este.» comisionados: otro promovido por el de Tarragona D. Bartolo ¿triduos de mayor indujo y mas zelosos patriotas que hay en estas C ir mé Soieza acerca de que no sea c. mprendida en las fincas eclesiásticas te*. Un tal Alnie.da Sandoval ha sido por su* vicios y corrupción ele adjudicadas á ios participes legos la casa que…</t>
  </si>
  <si>
    <t>…, lo que no sucede en los privados. Jas Cort ». Aprobado. El Sr. P.uruaga apoyó las ideas del Sr. Infante, añadiendo que en su La comisión especial de Hacienda,’en la solicitud de D. Bartolo concepto debían nombrarse los examinadores anualmente como se ha mé Colomer y D. Miguel Soriano sobre el remate de una finca, opi hecho hasta aqui en varias universidades; y que ademas debía fijarse al saba que debía procederse á este por el método adoptado e…</t>
  </si>
  <si>
    <t>…, por otro privilegio de 30 de Octubre de 1614, 17,294 mrs, truyendo sus reclamaciones, apercibidos que de no verificarlo dentro en la renta de los diezmos del mar de Castilla: el secretario Bartolo dei termino prefijado, les parará todo perjuicio. Las reclamaciones se mé Matizólo, por otro privilegio de 13 de Noviembre dé 1655, 18,759 recibirán por el oficio de la escribanía de.D. Andrés Benito Granado, mrs., situados en I* renta del servicio de millone…</t>
  </si>
  <si>
    <t>Bartolomé</t>
  </si>
  <si>
    <t>…hibiese que los otros no podían darle, ¡y qué violencia podia haber en la elec el caso di que se trataba , era muy cierto que se mandaba lo contrario; ción cuando resultaba que el Sr. Bartolomé tuvo cinco votos, habien y siendo esto lo mismo que prohibirlo, opinaba que debían declararse do dado los testantes electores el suyo al que les dió la gana! Otros aulas las elecciones de Segovia. tres electores parece que estaban en tu favor; pero sea cualqu…</t>
  </si>
  <si>
    <t>…r nulas las elecciones da qu: no se podía hacer mérito de que el gc-fe político de Cuenca tuviese Cuenca. el carácter de presidente y elector, pues que no habia ningún articulo El Sr. Bartolomé: Es muy extraño que se inculpe á la comisión del de la Constitución que lo prohibiese; y que aunque podía ser un objeto modo que se ha hecho, cuando esta no ha considerado nulas las elec de declaración para lo sucesivo, no asi para el caso presente, respecto…</t>
  </si>
  <si>
    <t>…o, Continuando la discusión del proyecto de Constitución, el Sr. pre Meló, Diez, Taboada y Jaime. sidente manifestó que debiendo discutirse las adiciones del Sr. Borges Después el Sr. Bartolomé por 80 votos de 111, repartiéndose los Girneiro y villa al axt. a66, no podía menos de recordar al Congreso restantes entre los Sres. Gómez Becerra, Somoza, Luque, Viliaboa, que era la terrera sesión en que se discutían estas adiciones, y que es Taboada , Gar…</t>
  </si>
  <si>
    <t>…diputado se leyó el decreto de las Cotíes de y nos han reducido á la dtsrsperccion.” go de Marzo de 1813. —El cuadro de la situación actual de Inglaterra es como sigue: Los gas El Sr. Bartolomé dijo que la legitimidad del nombramiento del setos durante el curso de este afio tendrán una rebaja de dos millones, ade fior Escovedo era tan clara, que no sabia cómo habia Sres. diputad s mas del millón y medio del afio pasado. El impuesto sobre la cerveza…</t>
  </si>
  <si>
    <t>…bunal especial de Guerra y sa de Velasco conocieron desde luego la d ficu'.tad de este encargo, y Marina. aun consultaron sobre si su dictamen se hab a de extender á manifestar El Sr. Bartolomé dijo: Con sentimiento tomo la palabra para hasi habia ó no lugar i la formación de causa. En el mero hecho de ha b'ar en este asunto. Yo quisirra que los jueces fueran tan justos cana, ber dicho la comisión últimamente que había lugar á la formación de la ley…</t>
  </si>
  <si>
    <t>…que se conclu Discutido suficientemente este punto, se aprobó el artículo r.° del yese á la mayor brevedad. dictamen de la comisión de la anterior legislatura como lo proponía El Sr. Bartolomé dijo : En los decretos y reglamentos vigentes está la comisión ; se retiró el a.’ en virtud de la observación que habia he señalado el termino dentro del cual han de rendir sus cuentas todos cho el Sr. Adan , diciendo que las Cortes habían ya determinado so l…</t>
  </si>
  <si>
    <t>…en público oiiatiJOy La misma comisión presentó su dictamen sobre la adición que en absoluto , que vaie tanto como decir que ta- Nación sea esclava.,y su 14 del corriente hizo el Sr. Bartolomé, para que lo acordado en el Rey tirano y despota, pido á las Coito des.aren que cuaiqaier espa art. i.° dei dictamen sobre tesoreros de provincia se entienda solo en fiol que profiera en púbnco ta voz de visa r» ¿ty absoluto sea juaga favor de aquellos que po…</t>
  </si>
  <si>
    <t>…abouda dijo: Que tomaba la palabra, no para impugnar es guiente que asta medida te patas* á fe misma comisión. ta medid*, sisi para manifestar que en *1 decreto de 4 d« Mayo da El Sr. Bartolomé hito varias obacrvaginar* sobre 1a a-cetidad da &gt;8at se provee á cnanto ea ella te dispone, por lo cual no la creía tomar medidas eficaces para fomentar fe milicia voluntaria, ln que no necesaria; y aliadió que acabando de enviar el Gobierno un proyecto podrí…</t>
  </si>
  <si>
    <t>…sobre los acontecimientos fe político de Valencia había infringido la Constitución, suspendiendo de Valencia. de su empleo al alcalde constitucional de la misma ciudad; y opinó El Sr. Bartolomé contestó que no se podían hacer sumarios guber que debía haber lugar á la formación de causa. nativamente en materia criminal, y que los alcaldes constitucionales Se suspendió esta discusión por la llegada de los Sres. secretarios pueden formar estos sumarios…</t>
  </si>
  <si>
    <t>…ar á que pidió informe al gefe político y diputación provincial , con cuyo mo se le exija la responsabilidad. tivo y para evacuarle fueron ped.dos ío&gt; antecedentes a la extinguida Sr. Bartolomé: Yo quiero mirar ia cuest'on con el anteojo de ia contaduría de Pósitos, y esta se excusó á remitirlos, i pretexto de te lev. Del expediente consta que el gefe político pidió unos actos eg:cuner ya concluidos los índices de todos los papeles que obraban en el…</t>
  </si>
  <si>
    <t>…traría en la discusión del dic se podrá pagar el coste que tuvo á su amo el esclavo Henrique Martí tamen. nez , que se estaba instruyendo en los principios de la religión en el El Sr. Bartolomé dijo que la comisión había tenido desde luego un convento de capuchinos del Prado, á consecuencia de lo acordada testimonio de esta causa ,el que bastaba para formar juicio sobre las in por S. M. formalidades que se habían cometido; pero que por delicadeza ha…</t>
  </si>
  <si>
    <t>…oficinas de la administración política, se habilite aquel que CMc , db.n ia» Corte» aprobar ■» propcsicioa. r una las proporciones convenientes al efecto; ha resucito $ M. que El Sr. Bartolomé: La comisión tenia bastantes documentos c&lt;&gt;n el V. S., en umon con la d putacion provincial p oponga el edificio que tMinofiu remitido por el Gobierno i la Diputación permanente de podrá servir al efecto indicado. De Rtal orden, lo comunico a V. S. Corte» par…</t>
  </si>
  <si>
    <t>…enda el consejo. $i la cauta es larga, se tardará mucho mas tivo fundado, pues que no cumplió con su deber. tiempo en verla; pero después de vista no se puede suspender su vela El Sr. Bartolomé: ¡Qu én no se estremece al considerar el cuadro ción; pues la ordenanza quiere que se eviten confabulaciones, y que triste y horroroso que presenta la causa d; que tratamos! Un anónimo es cada uno vote en el momento sin diferirlo. Se ha visto el efecto de la…</t>
  </si>
  <si>
    <t>Bartolomé, Antonio</t>
  </si>
  <si>
    <t>Antonio Bartolomé</t>
  </si>
  <si>
    <t>…cieito que por el art. "7 de la ley orgánica de que estimase conveniente. Aprobado. marina drbian reunirse estos dos cuerpos en uno solo, también lo era Otro sobre la solicitud de D. Antonio Bartolomé parí qu* so le ei que no por esto seria menor su costo qu; en el día; y que rcba^ahabilite para obtener un empleo, sin embargo de no gozar sueldo ni dose cuatro millones de los siete que se proponían, seria exponerse á haber por el erario. La comisión, en vot…</t>
  </si>
  <si>
    <t>Bartolomé, Pedro</t>
  </si>
  <si>
    <t>Pedro Bartolomé</t>
  </si>
  <si>
    <t>…compromisarios: esta provincia y los poderes presentados por D. Santiago Sedeño, obis es verdad; pero no se disuelve por esto la junta, sino que la junta que po electo de Coria; y D. Pedro Bartolomé; y no hallaba mas defecto da instalada, y se retira , porque asi lo expresa la Constitución. que haber mandado despejar la pieza en que te hacían las elecciones Por cuyas razones concluyó que la ¡unta debía ser á puerta abierta para conferenciar los electores…</t>
  </si>
  <si>
    <t>…ar los poderes de los c'rc-i indi aprobarse. viduos que componen la de Poderes presentó su dictam*n acerca de El Sr. Tomas se opuso al dictamen de I* com's'on , y manf aló los del Sr. D. Pedro Bartolomé; y habénloos encontrado arreglados que un tmp'eado podía hacer la renuncia de su d st no cuando no qui 4 la Consttucon, opinaba qua d-hian aprobarse- asi se verifico. siese s'tv ríe por mu, tiempo, v que esto nvsino ;r* lo qu- haba hrSe continuó la discusión…</t>
  </si>
  <si>
    <t>Barutell, Juan Antonio</t>
  </si>
  <si>
    <t>Juan Antonio Barutell</t>
  </si>
  <si>
    <t>…y sin comer en todo el dia mas que un poco todo el dia de mañana, pues al efecto he dirigido oficio al brigadier de gazpacho, me obligaran i volver 3 este pueblo á proporcionarla D. Juan Antonio Barutell, comandante general de la serranía de alimento y descanso, para ponerla en disposición de perseguir de muer Ronda, jr á otros pontos de donde he creído poder adquirirlas: suce te á ata canalla en el momento que averigüe el punto donde se han sivamente seguiré…</t>
  </si>
  <si>
    <t>Basadre, Vicente</t>
  </si>
  <si>
    <t>Vicente Basadre</t>
  </si>
  <si>
    <t>….em"navegación; pero los periódicos no traen las noticias políticas que ha bre de i8az.” brán llegado por aquel buque---- Acaba de darse á luz en la Coruña un folleto, escrito por D. Vicente Basadre, intendente de egército y «Habiendo advertido el R:y qu* se dirigen al ministerio de mi superintendente general de la lliciendi nacional que fue de Caracas, cargo muchos expedientes solicitando edificios pertenecientes á la N»intitulado: Memoria kistórica-pul…</t>
  </si>
  <si>
    <t>Basagoitia, Luis</t>
  </si>
  <si>
    <t>Luis Basagoitia</t>
  </si>
  <si>
    <t>…arse cho Sr. comandante militar hace una particular recomendación de tan en la provincia de mi mintió, inmediatamente dispuse la reunión de valientes voluntarios, señaladamente de D. Luis Basagoitia, concep las columnas que dirigían desde Traspaderne, Medina y Moneo: no se tuándolos á todos acreedores á las gracias de S- M. pudo verificar mas que la de Medina, 20 soldados del resguardo mili » Lo hago saber al público con el júbilo consiguiente á que son…</t>
  </si>
  <si>
    <t>Basaguren</t>
  </si>
  <si>
    <t>Gaceta de Madrid n.º 251</t>
  </si>
  <si>
    <t>…alaces prometas de unos desal ae ha retirado un.b;en á Navarra , habiéndosele unido un diputado mados , cubierto* «le vicios y cargados «le deu«ias. provincial de la de B.ibao, el secretario Basaguren y un oficial de la • Las tropa* que los persiguen te conducen con las virtudes milita misma secretaría» res propias de hombres libres, y la milicia nacional local de esta ciu La columna de nuestro infatigable coronel Jiuzrgui M ha aumen dad se ha comportado c…</t>
  </si>
  <si>
    <t>Basaguren, Antero</t>
  </si>
  <si>
    <t>Antero Basaguren</t>
  </si>
  <si>
    <t>…S.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Laureano dian para matar~ Eguilior , D. Ramón Eguillor y D. Francisco Eguillor. Art. 605. » Los que maten á otra persona…</t>
  </si>
  <si>
    <t>Basas, Juan</t>
  </si>
  <si>
    <t>Juan Basas</t>
  </si>
  <si>
    <t>…el terremoto que destruyó á la opulenta Ale hubiese en poder del impresor. po el dia 13 de Agosto continuaba llenando de terror á diferentes pue Señores que compusi-ron el jurado D. Juan Basas, D. Pedro Turblos. El 5 de Setiembre repitió en Alepo y: acabó de destruir los po rientes, D. Juan Domínguez, D. Victoriano de U Puente López, cos edificios que aun quedaban. Mas de ao9 personas fueron víctimas D. Paulino Alegría de Quilchano, D. Francisco Sa…</t>
  </si>
  <si>
    <t>Basas, Segismundo</t>
  </si>
  <si>
    <t>Segismundo Basas</t>
  </si>
  <si>
    <t>…an á los sencillos catalanes, Marzo y 25 de Abril ú:timos respecto de las solicitudes de D J &gt;s-f cuya imaginación exaltan huta el punto de de» pe fiar lo» en todo géne Montovio y D. Segismundo Basas , vecinos d: Barcelona , dr qu - ss ro de excesos contra la patria que les dió el ser. Allí es en donde se les despachen al primero tres baias de desperdicios d • s da cruda en ra les halaba todavía con la tantas veces fallida esperanza del auxilio de ma, y a…</t>
  </si>
  <si>
    <t>Basco, Juan</t>
  </si>
  <si>
    <t>Juan Basco</t>
  </si>
  <si>
    <t>…omo ea cieno , y me consta por haberlo visto jo mismo dea- do en Salaguer , según aviso psuado por el subteniente de arti da la referida altura á qua desde luego mi dirigí. llería D. Juan Basco. » Aquella noche hice descanso en Artesa del Sagra; y como tengo da Batería Jel Juego de Pelota. dos á V. E. avisos separados' de loa movimientos de ayer y hoy, excuso Un callón de hierro del calibre de 4 itf , tres cufias, díer espeques, mayores explicacione…</t>
  </si>
  <si>
    <t>Basigalupí, Pablo Luis</t>
  </si>
  <si>
    <t>Pablo Luis Basigalupí</t>
  </si>
  <si>
    <t>…ón de la milicia Zsra.’Oia i D. Ramón .1 .ncl-aiar, comandaste supernumerario del activa de Monterey , con el suelda que disfruta- rtgímiVnto infantería de E-paín., td. Figu-ras á D. Pablo Luis Basigalupí, teniente coronel graduado y Asimismo se ha s n-ido S. M Jrc'arar segund-» comandantas da sargento mayor de la extinguida primera división de granaderos pro los batallones que á continuación se «x?re»*n , crtif, m a ia rtiev» o-vinciales, id. ganizacion de ia…</t>
  </si>
  <si>
    <t>Basilio</t>
  </si>
  <si>
    <t>Sr«s. Clrmercin , Tcrtens, Cabezas, Yandiola, Sancho, González vor de ía ley que había citado el Sr. Calatrava; que tenia ahora las mis A)ha&lt;lc ,'Li&gt;fít'(D&gt; Maisitl), Gucna (D. Basilio) * Camut Herrera, mas intenciones que entonces, 7 sin embargo te parecía que lo que cho Eeftafiei, €epero*, Fernandez Quio, Cristo , Ramonet, Govantes, Oso- ra proponía la comisión no debía aprobarse, porque estaba en contra aio, Maniau, Cabarcas, Sierra Pamb…</t>
  </si>
  <si>
    <t>Basilio, Joaef</t>
  </si>
  <si>
    <t>Joaef Basilio</t>
  </si>
  <si>
    <t>…modo de dártela reducirlo» «olamente á crea, como ai eato» bo tana, Freiré, LopeaConstante, Quiroga, Cortaza, Moreno, Mnrfi, binen de tener la'fuera naacaaria de todo* ? Guerra &lt; D. Joaef Basilio*), Alcaraz, Amati, Navarrete, Gateo, Na A lat Corte» te ha comunicado d decreto da la «operación da loa varro (D. Felipe), Ynste, Priego, Romero (D. JosaQ, Diez Mom miníanos; y loa Sres. diputado* que lo hayan oído no habrán podido ia, Fernandez, Muñoz Arroyo…</t>
  </si>
  <si>
    <t>Basilio, Jocef</t>
  </si>
  <si>
    <t>Jocef Basilio</t>
  </si>
  <si>
    <t>…dividir sus bienes la rea , Priego, Romero ( D. josef), Diez Morales, Fernandez (Don les excita 4 una prudente economía para que por medio de ella puedas Anselmo), Solana, Guerra (D. Jocef Basilio), Muñoz Arroyo, Ocho#, dejar 4 sus descendientes un caudal correspondiente i su ele». Ea u Cosío, Golfín, Paul, Gutiérrez Acuña, Vadillo, Calatrava, Lallave siglo ¡lustrado y bajo un reinado paternal no hay hombre de lúea ^ (D. Vicente), Olive/, López (D. Pat…</t>
  </si>
  <si>
    <t>Basilio, Josef</t>
  </si>
  <si>
    <t>Josef Basilio</t>
  </si>
  <si>
    <t>…olfin, Gaseo, y europeos que hubiesen permanecido adictos á la metrópoli, y quisie Romero (D. Josef), Muftoz Arroyo, Quiroga , Cortarar, Guerra sen sel ir de aquellas provincias. (D. Josef Basilio), Yuste, Lallave (D. Vicente),García(D. Antonio) El Sr. Oliver presentó su roto particular , en que opinaba debía y Diaz del Moral. exigirte la responsabilidad.! quien hubiese lugar por las últimas ocur El Sr. Gaseo manifestó qne el objeto de esta proposición…</t>
  </si>
  <si>
    <t>Basogoitia, Luis</t>
  </si>
  <si>
    <t>Luis Basogoitia</t>
  </si>
  <si>
    <t>…os papeles, escapularios 7 otras menudencias. hl gefe político de San persos, están ya fuera de combate y ansiosos de pod rse escond-r en tander hace particular elogio del oficial D. Luis Basogoitia, 7 de la bi sus casas. halabern que tnqu ciaba !* r-berz, no se sab- qu- se ';vj zarría de los voluntarios íe aquella ciudad , que han salido á escarmen ate rida a levantar cabeza desde ia derrota qu- sufrió en Tudel* v i* tar é lo* facciosos á 14 leguas de l…</t>
  </si>
  <si>
    <t>Basse, Juan de</t>
  </si>
  <si>
    <t>Juan de Basse</t>
  </si>
  <si>
    <t>…an ¡on Josef Anv.lasell, D. Magín Corominas, D. Melchor Biuguera, Don al atr. 1H6, que décia: »&gt; Pido que se añada después de las palabras ins- Juan Liado y Torra, D. Pedro Comes, D. Juan de Basse y l&gt;. L . atitucion tan sabia las siguientes: Jándose pruvüienc¡a sobre ellos. cio Andreu y Sanz, declararon por unanimidad haber lujar a forma* Se suspendió esta discusión, y el Sr. presidente dijo: el reglamento tion de causa contra el autor del suplemento…</t>
  </si>
  <si>
    <t>Bassecourt, Luis</t>
  </si>
  <si>
    <t>Luis Bassecourt</t>
  </si>
  <si>
    <t>…n, precisamente en los Antonio Gustaman, D. Narciso Mataolivas , D. Sebastian Cortijo, dias que han dé preceder al sorteo para el reemplazo del egército en es IX Bartolomé Solano, D. Luis Bassecourt, D. Fernando Capuzco, Don ta capital: En estas circunstancias parece mas oportuno que el llamar á Pablo Orbinto, D. Francisco Porto, y otros. Asimismo se aprobaron los secretarios del Despacho nombrar una comisión especial, para que, otros dictámenes de la mi…</t>
  </si>
  <si>
    <t>Basson, Juan</t>
  </si>
  <si>
    <t>Juan Basson</t>
  </si>
  <si>
    <t>…coronel y de la extinguida primera div.tum de granaderos pro Granada á D. Ignacio Caveto,comandante de infununa, vinciales , coa los 4$o rs. al mea que guza en provincia. Ecija á D. Juan Basson, comandante de iníaster a.</t>
  </si>
  <si>
    <t>Basto</t>
  </si>
  <si>
    <t>…covia, Situada entre cuatro po* plomática sobre los asunta* de Montevideo por ser ya demasiado tar teueíet fronteriza*, u miief por decirlo ni# aitiada jr leperada del de; pero el Sr. Basto* manifestó que hablándote resuelto que dichos retío de la Europa, 7 la* línea* de aduanas que actua'mente la rodean asunto* pasasen ádiversas comisionas,y no habiendo presentado su dic por tods* parte» la privan de todo* tos recurso* que en otro tiempo le tam…</t>
  </si>
  <si>
    <t>Bastos</t>
  </si>
  <si>
    <t>…imo que el Austria y la Rusia t&gt;cnen diversos in Se continuó la disensión del art. 148 del proyecto de Comeitacion; tereses en su po it'ca resp*ctode lo» negocios de Turquía. y el Sr. Bastos pronunció nn largo y elocuente discurso para proba El Constitucional pubica una «artq de Corfú del 13 de Diciembre que el careo de juez no d-bis ser vitalicio; pero el Se- Miláonsi» sos con las part cuíaridad*-» siguientes: tuvo que loa jaece* ds primera inst…</t>
  </si>
  <si>
    <t>…es al supremo Iribunsl de Justicia.” tismo. Ei Sr. Borges Carneiro dijo que debía suprimirse este artículo, y el n Bien venidos seáis, dignísimos diputados de la Nación; la patria Sr. Bastos apoyó la idea, fundmdose en que había llegado el tiempo que os envía disfruta anticipadamente la mas consoladora esperanza de de que se acabase la monstruosidad de que unos ministros juzgasen de los bienes que le prometen la ilustración que os distingue y las…</t>
  </si>
  <si>
    <t>276</t>
  </si>
  <si>
    <t>…prueba* de rectitud 7 quería preservar á su patria por ahora del yugo de los sacristanes 7 mo probidad. naguillos , 7 para en adelante del influjo mortal del ateísmo 7 de la ir El Sr. Bastos se opuso á que por el dictamen de una comisión se religión. ( Murmullos á ,1a derecha........ Vivísima aprobación i la iz hiciese una adición á la dificil ley de libertad de imprenta; 7 dijo que quierda.) Y que por tanto votaba contra el artículo por consider…</t>
  </si>
  <si>
    <t>…Cortas , al Gobierno ni á lasautcr-dsces públi contrario la revista debía concederse á ambos litigantes. cas sino acerca de los objeto» de su resp-ctivo instituto. Art. 7.' Nin El Sr. Bastos apoyó la proposición, y citó lo que se practicaba en guna autoridad legalmente constituida t eñe derecho de pet.cion s no Inglaterra, donde el magistrado podía apelar del juicio de jurados si ha dentro déla esfera déla* atribuciones que le están señaladas por…</t>
  </si>
  <si>
    <t>…n su propósito de no volv.r á los trabajos, Idem del 2g. y aun han amenazado i sus camaradas con que los arrojarían al agua si Esta ses-on se ocupó en discutir una proposición del Sr. Bastos so volvían á trabajar. Hallándose dispuestos para llevar á efecto esta ame bre que se ofreciese un prem-'o a. que presentase el mejor provecto de naza ,¡ha sido necesario valerse del auxilio de la policía y de la fuerza código civil, la cual se mandó pasara u…</t>
  </si>
  <si>
    <t>…on to te , relativa 4 ti el escrutinio para la elección de diputado* á Cortea de da tr.nquii dad el resultado, y que la Rusia cedeié retirando su ultima bía ser secreto ó no; y el Sr. Bastos d jo: Cuando las votaciones vetean tum , ó habrá de ser la agresora. Sin embargo es muy dudoso que esta •obre negocios deben ser siempre públicas; pero cuando *enat&gt; so - tranquilidad pueda durar mucho tiempo, porque en el caso de que se bre personas deba ser…</t>
  </si>
  <si>
    <t>…aquella provincia al Reino-Unido de cho* anal indos por la inqniaicioa de Maguncia. Portugal, Brasil y Algarbe*. La inquisición en tu primer informe á la Dieta se extendió lar El Sr. Bastos dijo que esto negocio hacia meses que se había tratado gamente sobra las inmensas tareas en que debió empearse para en d Congreso, el cual había decidido contra los deseos del minis -, pero bacar alguna cota que no es nada. » Nucen obligación, dice, era com t…</t>
  </si>
  <si>
    <t>…de introductor. En if-ut - qu.n.ncs cv.:ar tsmb' in aáitut.rse la rev.sta en los cases y terru ños de la ley.” toda sospecha, y de-.eándo por otra parte corocrr a ionio u&gt; irtmK1 Sr. Bastos dijo que era muy aventurado el confiar á un hombre cior.es de aquel g neral, fui á verte, y ha.le que ja ei suhpuf ,e to'o la sue t de otro, ó lo que es lo mismo, poner la vida de cual- había informado de mi llegada y de: obj to d; m. v ag.-. 2'¡y Jts, n-.e q…</t>
  </si>
  <si>
    <t>Bastos, Martin</t>
  </si>
  <si>
    <t>Martin Bastos</t>
  </si>
  <si>
    <t>…icos publican muchas noticias de Irlanda; y tal es la aituacion de aquel paia, que una pintura exacta de los acontecimientos Sesión Je Cortes Jel a8. nos cubriría de vergüenza. El Sr. Martin Bastos, cismo individuo de la comisión de Justicia, __Según algunas cartas del Cabo de Buena Esperanza de 14 de Noviem leyó .el dictamen de esta sobre un oficio del ministro de Justicia, en el bre los cafres han vuelto á renovar las hostilidades contra nuestro esta…</t>
  </si>
  <si>
    <t>Batalla, Mguel</t>
  </si>
  <si>
    <t>Mguel Batalla</t>
  </si>
  <si>
    <t>…go Moraleja, D. Diego Angulo, D. Cesáreo Agudo, I). Francisco de c.bal.eria del Sur en la Hivana; y en at-ncion al donativo de ico® Ardila , D. Vicente Aparicio, D. Josef Parnés , D. Mguel Batalla, rea-s en metílico que ofreció pata las urgencias del Estado, le dispen D. Manuel Cataban, D Manuel Josef Calzado, D. Manuel Cruzado, saron rl tiempo de servicio con Real despacho que le falt-.ba para po D. Jos tí Castro , D. Francisco Capdevila, D. Euscbio F…</t>
  </si>
  <si>
    <t>Batalon, Manuel</t>
  </si>
  <si>
    <t>Manuel Batalon</t>
  </si>
  <si>
    <t>…oo9 rs., y cumpli Tarragona administrador D. Félix Corrales, oficial del archivo de da con ................................................... 40,000. esta secretaría. Interventor D. Manuel Batalon, auxiliar de esta secro- Al inúndente del depattamento del Ferrol D. Diego de la Vega por Guadalajari interventor D. Claudio Alonso, escribiente del archi la parte de .paga que percibe aqui, jr vo de la seciciaría del Despacho de Hacienda de Ultramar. pertene…</t>
  </si>
  <si>
    <t>Batanero, Miguel</t>
  </si>
  <si>
    <t>Miguel Batanero</t>
  </si>
  <si>
    <t>…o,con razóndestinadacomoi Eh la dt tdutaemu. Notició haberse adjudicado el premioexttaor* contener los pueblos comarcano* del mar Negro y del Eufrates. Estodtnarto de i9 rt. vn. é D. Miguel Batanero, director de la escuela de era verdaderamente estimarla eu tu justo valor; pero haberla hecho ta emefiansa mutua establecida en cate ciudad por el gobierno superior capital del imperio, dislocando da esta modo la fuerza pública central, político,-en pruebe de…</t>
  </si>
  <si>
    <t>Batasar</t>
  </si>
  <si>
    <t>…altasar Cerezo y D. Benito Cutí. En trigonometría esférica hombres irreflexivos han procurado deprimir á todo el que no piensa co los mencionado* Vázquez, Rodríguez Romero, Casal, D. Batasar mo eilos aun en cosas muy subalternas. Estas denominaciones suponen Cerezo, D. Bernardo de Soto, D. Bernardino López, D. Vicente Cha partidos que r.alm-nte no existen, pues todos vamos á un mismo fin, los, D. Josef Toribio Rodríguez y D. Josef Pereira. En com…</t>
  </si>
  <si>
    <t>Batios, López</t>
  </si>
  <si>
    <t>López Batios</t>
  </si>
  <si>
    <t>…uesada, persegui cieron al enemigo. Mas de too de catea quedaron tía vida en este villa y sus términos en el discurso de la guerra por el esfuerzo de sus dos constantement: por el general López Batios, huyen precipitadamente, babeado perdido en tu fuga goo hombre* de los goo que llevaba aquel habitantes; tilos fueron las primeros partidarias de toda Eiptfia contra *u perse el usurpador-, pues asi como salieron loe franceses de Pamplona para infame cabecill…</t>
  </si>
  <si>
    <t>Batos, Miguel López de</t>
  </si>
  <si>
    <t>Miguel López de Batos</t>
  </si>
  <si>
    <t>…ose anulado el acta de elecciones de el siguiente oficio al comandante general de la provincia vas- Puerto-Príncipe , pido á las Cortes se sirvan declarar si para la presen ¿oüñda D. Miguel López de Batos, con motivo de la ocurrencias te legislatura podrá elegirse diputado á Cortes por dicha provincia.” Ultimas de Pamplona , y contestación de dicho Se. comandante general. »« Cortea recibieron con agrado las felicitaciones que les hacían ■ Los últimos acontecim…</t>
  </si>
  <si>
    <t>Bauzá, Felipe</t>
  </si>
  <si>
    <t>Felipe Bauzá</t>
  </si>
  <si>
    <t>…do por las Por las islas Baleares han sido electos para diputado» á Cortes de la mismas su primitivo dictamen en contraposición al del Gobierno. legislatura de 1822 y 23 los Sres. D. Felipe Bauzá, capitán de navio, Se declaró suficientemente discutido este asunto , y quedó aprobado y director del establecimiento d: hidrografía en Madrid: D. Antonio el tercer distrito. rerrer, teniente retirado del egército: D. Francisco Roix, abogado, Cuarto distrito.…</t>
  </si>
  <si>
    <t>…io de-Estado, é indi viduo de la academia médica de cata corte; ¿ D. Josef Martínez de San ANUNCIOS. Martín , gefe político de esta provincia, é individuo de le ecademie Médica; i D. Felipe Bauzá, director del depósito hidrográfico, y aca Habiéndose declarado pertenecer á D. Tomas del Valle parte da démico supernumerario de la academia de la Historia; á D. Martin las tierras que comprendía la huerta existente en el término de la ciu Fernandez Navarret…</t>
  </si>
  <si>
    <t>Bauzi, Felipe</t>
  </si>
  <si>
    <t>Felipe Bauzi</t>
  </si>
  <si>
    <t>…n mi poder la lista de los indivi to este individuo no había presentado sus poderes. Aprcbido. duos que tienen este empleo, y entre ellos está el Sr. Duque del Par lilas Bolearet. D. Felipe Bauzi. La comisión opinaba debían que. Este individuo no desempeña este servicio; pero aun cuando esto aprobarse lo* poderes de este Sr. diputado. Aprobado. se verifique no por eso deja de ser gentilhombre. Este es verdadera Burgos v Santander. D. Lucas Oca y Meló,…</t>
  </si>
  <si>
    <t>Bayo, Juan Francisco</t>
  </si>
  <si>
    <t>Juan Francisco Bayo</t>
  </si>
  <si>
    <t>…. Ap obado. alforja. Inmediatamente se han tomado por este Sr. gefe po! t co toda» las providencias necesarias, resultando d; los pr meros informes v de Otro sobre la solicitud de D. Juan Francisco Bayo, para que se la dispensen las pruebas para condecorarse con ta cruz de Carlos ni coa claraciones que lo* agresores eran meiamente ladrones . v no llevaban que í&gt;. M. le hab 1 agraciado. L* com sion hallaba |Jsta esta solicitud, ama un fin político, puesto que…</t>
  </si>
  <si>
    <t>Bayon, Joaquín Aivarez</t>
  </si>
  <si>
    <t>Joaquín Aivarez Bayon</t>
  </si>
  <si>
    <t>…titución de empleo al que incurra ea numerario del regimiento 1 ufan tena de Zaragoza, con dio rs. una falta de tan trascendentales consecuencias. De Real orden lo dúo Infiesto al capitán D. Joaquín Aivarez Bayon, segundo ayudanta é V. S. para su inteligencia, gobierno y cumplimiento, y el de ¡os de del batallón ligero voluntarios de Barcelona , con 610 rs. mas empleados de esa provincia , previniéndole que me avise el reci Játiva á D. Carlos Lcll, segundo ayudante su…</t>
  </si>
  <si>
    <t>Baza, N.</t>
  </si>
  <si>
    <t>N. Baza</t>
  </si>
  <si>
    <t>…tro Gabinete nos tienen por aquí á los tacada del a.° batallón de Córdoba al mando de su comandante acci buenos en una terrible inquietud y desazón , pues ciertamente no quidental D. N. Baza. El tiroteo duró tres horas , y hasta tanto que in aiéramos que los españoles y la Europa eotera nos reprochasen una troducidos dentro de la villa unos 300 hombres iban robando en algu nueva felonía como la del año de 8, y que deshonró , por decirlo nas casas…</t>
  </si>
  <si>
    <t>Bccanegra, Juan</t>
  </si>
  <si>
    <t>Juan Bccanegra</t>
  </si>
  <si>
    <t>…iouai local, y por lo mismo no es que cualquiera que tome esu empresa ha de perder si no se le da un debían aprobarse. Aprobado. giro diverso. la misma, en visu de la solicitud de D. Juan Bccanegra , vecino Las Cortes no pueden menos de estar satisfechas de los individuos de Selvaleon, informada por el ayuntamiento de Vi.ianueva de! Fres que han estado encargados del Diario desde su establecimiento en la is no y diputación provincial de Extremadura, par…</t>
  </si>
  <si>
    <t>Bccens</t>
  </si>
  <si>
    <t>…n impreso i costa de la misma au habido algún motivo pora hacerla I ¡ Ha tomado el Congreso alguna diencia. resolución fuera de tus facultada, pero que se le recuerda el cumpli El Sr. Bccens dijo que la observaciona de qne te trotaba eran so miento da una ley que tiene presenteé toda hora! ¡Puede creerte con bre nn proyecto qne en el dia no se sabia ti serviría, y que tolo po fundamento que a necesario lo que en esta proposición w pide para los d…</t>
  </si>
  <si>
    <t>Bcicoles, Modesta</t>
  </si>
  <si>
    <t>Modesta Bcicoles</t>
  </si>
  <si>
    <t>…n de Agricultura presentó los siguientes dictámenes. La comisión de Legislación, informando sobre la exposición de Uno sobre la solicitud de los sexmeros procuradores generales ás Doña Modesta Bcicoles, viuda , vecina de Valencia, solicitando dis Zamora , pdiendo la suspensión del decreto de 8 de Jumo de 1813 pensa de ley para manejar sus b enes y los de su hijo, opinaba que po respecto á aquella provincia, por los malos efectos que causa. La comi día acced…</t>
  </si>
  <si>
    <t>Bcíoro, Andrés</t>
  </si>
  <si>
    <t>Andrés Bcíoro</t>
  </si>
  <si>
    <t>…ocada por ios infames y temera ayer ao ha ocurrido nov-dad a'guna, y subsistimos en nuestras posi rios Aguuar y Tinoco en Ronda, y Mateos y Rosillos en Algotacin y ciones. Pata el teniente D. Andrés Bcíoro á incorporarse rn su com Jubriquc la Nueva. Todo* oliste nfi mnorieoi por de una conducta pañía, asi canto también loa capitanes pismontesst qui va!untar.anca-</t>
  </si>
  <si>
    <t>Bclda</t>
  </si>
  <si>
    <t>…el término que se prefijaba , sustituyendo d para el dia Dos de Mayo, supuesto que estaba tan próximo. de tres dias, y añadiendo que esta serviría para todas lat recusaciones. El Sr. Bclda apoyó las ideas del Sr. Marau, y declarado d punto Se acordó que pasase á la comisión la siguiente adición del SeSor por suficientemente discutido, se aprobó el dictamen de la comisión. Oliver: » En el caso de que por las recusaciones no quede el número su '…</t>
  </si>
  <si>
    <t>…Guerra, como de la de Hacienda, lo hicieron presente al se cuyos haberes no puede calcular por esta razón. cretario da Estado de la Guerra, y de sus resultas se ha reformado el El Sr. Bclda di|u que estas compañías se componían de presidiarios i estado número 23 , quedando por consiguiente reducirlo el gasto de este individuos de tropa, y que ef.ct iva mente resp-cto de los primaros era extinguido cuerpo, según el estado núm. 1° que va por apénd…</t>
  </si>
  <si>
    <t>Bclliard</t>
  </si>
  <si>
    <t>…de un cardón: mañr.ia r.solución al.una. ya te reemplaza el mariscal Soult: al siguiente día es el nombrado el El Sr. l.tur z mmifastó la necesidad qie habia de que *e resolviese general Bclliard; al otro día ya debe ser el mariscal Suchet ; al quinto este &gt;-xídient ■, qu.* ya estaba sobre U mesa, cuauto antes fuese posible; día ninguno de estos generales mandará, sino un alto personage &amp;c. &amp;c. á 'oqu* contestó el Sr. presidente que es o no p*nd&gt;a pre…</t>
  </si>
  <si>
    <t>Bcnstain, Josef Vicente</t>
  </si>
  <si>
    <t>Josef Vicente Bcnstain</t>
  </si>
  <si>
    <t>…er egecutivo; que la democracia pura c» La fragata española Nuestra Satura del Carmen, capitán y primer impos ble en los grandes Estados europeos, é incompatible aun en loa piloto D. Josef Vicente Bcnstain, con ¡4 hombres de tripulación y pequeños con nuestros usos y costumbres, y con la infinidad de ocu- cinco pasageros, que salió de Manila el a a de Diciembre de luí ■ : su p eiorjes que exige nu'stro estado social; verdad demostrada por las úl cargamento cons…</t>
  </si>
  <si>
    <t>Bcraabeu</t>
  </si>
  <si>
    <t>…l ramo de pesca un 3 por too de salida sobre el valor que bierno quisiere conferírselos.” los pescados tuviesen en las plazas ó mercados, como se hacia ante Art. 138. (Adición del Sr. Bcraabeu, en párrafo separado) riormente. m Comprénde» en la disposición de este artículo el ultraje ó escarnio Igualmente se aprobó el dictamen de la comisión del Código de pro manifiesto de dichos objetos hecho por medio de pintura,, estampas, cedimientos, formado e…</t>
  </si>
  <si>
    <t>Bcrgeret</t>
  </si>
  <si>
    <t>…esimos armados dcbin hacer un desembarco en esta co'onia para acelerar la por ton lada de géneros, ademas de los derecho, que pagan los mis insurrección. íl conde de Lar.tenoy* el almirante Bcrgeret y yo os mos productos natualas ó manufacturados de Francia cuando se in denunciamos estas tramas-, y estamos persuadidos de que seguramente troducen en buques da los Estados-Unidos. mirareis con indignación el qu- *- haya eleg'do por centro de estas Art. 3."…</t>
  </si>
  <si>
    <t>Bcrion</t>
  </si>
  <si>
    <t>…n embargo de que d ao se notó una acria desobediencia 4 las animi cidad de esta preciosa iala tin las mutaciones de un Gobierno que nin dades por parte de varios estudiantes.__Del general Bcrion nada se sa guna* ventatas te produciría. V. E. ha pronunciado el roto público cuan bia.—El Diario dt lo» Debate» y la Gaceta dt Francia del ag dicen quo do fot ubi identidad de ideas y de sentimiento» ha hecho la manifes ae habían recibido por el telégrafo no…</t>
  </si>
  <si>
    <t>Bcrnabcu</t>
  </si>
  <si>
    <t>…a sobre Ja dificultad de adquirir noticias exactas del comercio de una sobre Ja primera parte del art. 1 gy, y otra sobre la segunda ; y aquel país con España. una proposición dei Sr. Bcrnabcu sobre que se establezcan penas para Se acordó pasar al Gobierno una exposición del ayuntamiento de los que por med o de caricaturas ú otras láminas critiquen ios obpios Sevilla, manifestando los motivos que habian influido en su conducta de la religión católi…</t>
  </si>
  <si>
    <t>Bcrústegui, Pedro Lince de</t>
  </si>
  <si>
    <t>Pedro Lince de Bcrústegui</t>
  </si>
  <si>
    <t>…Laxmann, que había ido anteriormeate l, 7 7 mrs__ La de D. Dionisio Rodríguez Taboas 119a rs. 7 4 mrs. de Kamstchatka, había obtenido un puntúo pera loa tusos de arribar al jXt de D. Pedro Lince de Bcrústegui 1476 rs. 7 4 mrs__ La de Don Jepon^ penque si Gobierno de este país peasó quizá que aquellas gen grano Sano* 1J3 rs. 7 7 mrs—La de D. Juan de Soto y Aguila» 1Ó3 tes pertenecían 4 alguna tribu poco temible de u Siberia; pero 4 la lle ri»y 11 mri.__La de D. Mar…</t>
  </si>
  <si>
    <t>Bctancourt, Antonio Rafael</t>
  </si>
  <si>
    <t>Antonio Rafael Bctancourt</t>
  </si>
  <si>
    <t>…ntarios de Aragón, con &lt;5oo rs. nacionales de la villa de Sta. Clara, en la isla de Cuba, por jubilaron Mérida á D. Josef Bootello, segundo ayudante del batallón de la concedida á D. Antonio Rafael Bctancourt, que la servia, ha manda Constitución ,con 610 rs. al mes. do S. M. se publique etta vacante, á fin de que los empleados en ac Manresa al capitán D. Josef María Hernández, segundo ayudante tual servicio ó cesantes que aspiren á ella, y reúnan las circunstanci…</t>
  </si>
  <si>
    <t>Be</t>
  </si>
  <si>
    <t>…n-, d ce ñor sobre el presupuesto de la marina. fertilixar alguno» terreno» por medio de no» , qu: despeñar.,:.&gt;• a. ¡as Se mandi* pesar i la comisión Eclesiástica una adición del Sr. Be sierra* con un co to atajo podrían llenar este ob|sto , pudicr.-V' ,1: :ar cerra sobre el reintegro al Crédito público de lo que hubiese satisfecha desvanecidas la» dificultades que se proponían con so.o ia U\....:a .. a por la pensión de la icligiosa del mon…</t>
  </si>
  <si>
    <t>Be, Josef</t>
  </si>
  <si>
    <t>Josef Be</t>
  </si>
  <si>
    <t>…andante militar del bajo Aragón, ios siguientes nel marques del I’a'acio, por hallarse la restante de gu-rríHa , formaran partes del teniente coronel D. Fciipe Tolo sana y espitan D. Josef Be en balaba en la maceta de la altura , y la caballería de Villavic osa, ai rnia Azcuénaga, que detallan la acción gloriosa en que á las inmedia mando del primir ayudante D. Manuel S. Román, permaneciere en ciones de Caspc el 25 último con las columnas de su mi…</t>
  </si>
  <si>
    <t>Be, Schouwsloff</t>
  </si>
  <si>
    <t>Schouwsloff Be</t>
  </si>
  <si>
    <t>…eno gue njui al 7 de Setiembre, «coa* pillado de trea avudsntrs generales, seria también que se esmerase en aumentar las compañías de cazadores «aire loe cualea ae cita al general conde Schouwsloff Be probable que de montaña, y cotonees lograría el objeto de proporcionar subsisten S. M. I. ae detenga en Viena, porque ae dice qné loa Soberano* ó cia i mucho* ntisersbles, que ún este auxilio acato te convertirán en loe miniarme extranjero* celebraran alguna*…</t>
  </si>
  <si>
    <t>Beamurguia, Juan Bautista</t>
  </si>
  <si>
    <t>Juan Bautista Beamurguia</t>
  </si>
  <si>
    <t>…es á cada uno de los expresados visitadores por gratificación 8o rs. diarios, que empezarán á gozir desde el día en que emprendan su D. Joaquin de Tru.ba, D. Miguel García Ortiz , D. Juan Bautista Beamurguia, D. Domingo Saizcbaga, D. Amonio Caaadell, Donviage para desempeñar sus funciones , que d berán pagarse por loque falta del presente año económico del fondo del imprevisto general. Francisco Pujol y D. Manuel Moreno de Mora, declararon por unanim.dad haber lu…</t>
  </si>
  <si>
    <t>Beatriz</t>
  </si>
  <si>
    <t>Gaceta de Madrid n.º 22</t>
  </si>
  <si>
    <t>…e. 89,130 rs. sobre que se fundaron los dos patronatos mandados fundar » Tercero: Los que á sabiendas y de la manera expresada en el pár por Dofia Juana Caldera Freile, hija de la Doña Beatriz , en el con rafo i." dan consejo á alguno de lo* que litigan ante dios con perjuicio vento que fue de Sta. Ciara de esta corte; y á cuyo goce y obtención de de la parte contraria, ó proceden de cualquiera otro modo contra la* dichos patronatos está reservado…</t>
  </si>
  <si>
    <t>Gaceta de Madrid n.º 201</t>
  </si>
  <si>
    <t>…Francisco de la Rocha; García Ramiro, Lorenzo Suarez pa «? sfrarínríose en liberales, y con el objeto de promover conmociones no ra sus hijos Fernando y María da Toro; Pedro Duna, Doña Beatriz o*-, -rven &lt;o que s-puramente cumplirán todos los d cididos por aquel; Gutiérrez, monja rn el convento de Jesús de Cáceres á favor de su o* mando igualmente detengáis y entreguéis i cualquiera de ios señores hermtna María y d-: los hijos de esta; Rodrigo Alva…</t>
  </si>
  <si>
    <t>Beaudot, Félix Ramón</t>
  </si>
  <si>
    <t>Félix Ramón Beaudot</t>
  </si>
  <si>
    <t>…hacia ¿ las Cortea partici* fallo de respeto á la sagrada persona del Rey, y alarmante; la ley absol (■¡índoles con satisfacción que S. M. el Rey se había vestido el dia de vió á D. Félix Ramón Beaudot, responsable de dicho impreso: y en ayer, y seguía coa mucho alivio; y que S. M. la Reina y Sres. Infan su consecuencia mandó el Sr. juez de primera instancia D. Josef Bar tes continuaban sin novedad ra su importante salud. Las Cortes lo ragan y Carballar se…</t>
  </si>
  <si>
    <t>…iguiente: tor ti* la patria, denunciado á instancia dal Sr. gefe político D. Joa Don Fernando vn por la gracia de D os y por la Const'tuciott de quín de Aibiitu, la ley absolvió á D. Félix Ramón Beaudot, autor y la Monarquía capahola, Rey de lar Espinas, i todo* lo* que la* pre responsable de dicho impreso; en cuya consecuencia se mandó fuese sente* rieren y entendieren, sabed: Que las Cortes han decretado lo s¡- puesto inmediatamente ea libertad, y ae decla…</t>
  </si>
  <si>
    <t>Beaumout, Luis</t>
  </si>
  <si>
    <t>Luis Beaumout</t>
  </si>
  <si>
    <t>…íiormert ■ .1 'r. O f-rs, ministro de Prusa en nuestra cor Hacienda nacional la gratJicacion señalada. te, p üc nc a para irtro-ucir un » .b-os un pagar derechos según Capitanes. D. Luis Beaumout, D. Antonio IIíVÍ* , D. Joaquín costumbre: y cnnvi .n ¡a qu - s- • rxpiluí a: dj-se que se le ha Ramos, D. Mariano Moreno. D. Aranasio Cuadros, D. Buenaven ba torced do a introduce.on cu ndo . ra encarnado de Negocios de tura Basas, D. Gaspar Delvado, D. Jact…</t>
  </si>
  <si>
    <t>Bec, Gómez</t>
  </si>
  <si>
    <t>Gómez Bec</t>
  </si>
  <si>
    <t>…Sr. Canga contestó que estos consultores los habia igualmente y lacion. eran necesarios en cualesquiera otros establecimientos; que los inten Se leyó la siguiente proposición del Sr. Gómez Bec^r* - ? -G -u» dentes los tenían en el ramo de Hacienda, y que el Gobierno mismo declaren la» Corte»que los Sres. diputados no yu den aus r.tar&gt;- d e»:a tenia el consejo de Estado, que era tu consultor ,sin que por eso se exi corte concluida la legislatura sin…</t>
  </si>
  <si>
    <t>Bec-rra, Gomvz</t>
  </si>
  <si>
    <t>Gomvz Bec-rra</t>
  </si>
  <si>
    <t>…atoria para las Cortes ordinaria-. P r .o-5, .1 c-te En seguida se declaró el punto suficientemente discutido. no puede caber duda en qu; debe nombrarse la com s n 1:i: r.or de El Sr. Gomvz Bec-rra: P.do que se léala proposición del Sr. Rodri Cortes. gue.: de l.cdesma , que dió lugar i la formación de este reglamento. Se leyeron las siguientes •.liciones d-í Sr. VaMt.- D. Carmn - \ El '■r. Gonza ez Alonso : Es verdad que el Sr. Ledesma hizo una pro las…</t>
  </si>
  <si>
    <t>Becar, Miguel de</t>
  </si>
  <si>
    <t>Miguel de Becar</t>
  </si>
  <si>
    <t>…blicó en la gaceta de 19 del cor- en favor de D. Clemente Elcano: cuatro dicha* de á 800 rs. cada u, a rient. , relativo á haberse prorogado en virtud de decreto de lu» Sres. de ■ D. Miguel de Becar , réditos impuestos, núms. 36,19, 3703,3706, la comisión de Visita del Crédito público hasta el dia 6 de Diciem 3710: una de 1489 rs-, mesillas, en favor de D. Domingo baenz , nú bre próximo venidero la preaentacíon de los privilegios de juros en el mero 7456…</t>
  </si>
  <si>
    <t>Becer</t>
  </si>
  <si>
    <t>…tares de sión 4 su fina) é islas adyacentes. Aprobada. sus destinos recogiéndoles sus despachos cuando no se porten como de Igualmente opinaba que podía aprobarse la siguiente del Sr. Becer ben : asi es que tanto en España como en los demas países civilizados, el ra i la medida s -gunda: Pido que se declare qus no se dará cosa algu Gobierno está autorizado para decidir si los militares cumplen con sus na á los extrañados del reino. Aprobada. deb…</t>
  </si>
  <si>
    <t>Becerra</t>
  </si>
  <si>
    <t>…propone per ei dictamen de la relig on de nu stros padres. Por lo mismo debemos estar alerta, y des conusion. mentir tas ca umnia» de esta naturaleza con que nos atacan conti- El Sr. Becerra dijo: Convengo con el Sr. OI i ver en que en la deno j3usmjrítc. minación de empleados públicos se comprenden ios magistrados y jue El tr.bunal especial de Guerra y Marina, repito que debió haber ces ; pero es preciso que las Cortes tengan presente la indep.…</t>
  </si>
  <si>
    <t>…este nombra brero próximo, se declaró por unanimidad haber lugar á la formación miento por las Cortes. «le causa contra el autor de un papel denunciado por el promotor fiscal, El Sr. Becerra dijo que habia dos comisiones , una del Crédito pú titulado: Asir01 y bienvenida al Exento. Sr. O. Plrancheo Javier Al’.tblico y otra de Visita del mismo establecimiento i y que esta última día, teniente leneral, como ¿efe político de rita provincia. En la mi…</t>
  </si>
  <si>
    <t>…te. empezarán á contarse desde mafia na , por la muerte de S. A. el duqus El Sr. Belda como autor de la proposición la apoyó también con Alberto de Sajorne. nuevas reflexiones. El Sr. Becerra: Mi opinión es que en esta materia no se debe to Se avisa al público que desde el día de hoy saldrá el parte diaria mar ninguna resolución general. Si se pregunta si todos estos expedien para el sitio de Aranjuez. Lis cartas de los particulares deberán estar…</t>
  </si>
  <si>
    <t>…las tres proposiciones continúen asistiendo á ellas que han de observar como todos los espec siguientes. tadores, único carácter que tienen en este caso, el reglamento de las Del Sr. Becerra: ..Siendo demasiado generales y frecuentes las que Cortes de que hemos hablado.” jas sobre la mala administración de justicia, y conviniendo s brtmane- be verificó la primera lectura de la siguiente proposición del »e"or ra que en el imperio de la ley desapar…</t>
  </si>
  <si>
    <t>…ase de repartimientos, y ellos prendido en el art. 125 del reglamento de estudios, 7 que se forma en son ios que manejan los ayuntamientos. él una universidad de segunda clase. El Sr. Becerra apoyó el dictamen manifestando que loa pueblos de be leyó asimismo una preposición de lo* Sre*. Lagetca, Alix, que se trataba carecían de arbitrios. , Prat y Calderón, compuesta de 9 aris, sobre la elaboración de la sosa Ei Sr. marques de le Merced se opuso a…</t>
  </si>
  <si>
    <t>…re misma hasta la palabra organización; pero no lo restante. presentación que se biso al Congreso sobre si Elfo débil estar desafo Asimismo se aprobó ia siguiente proposición del Sr. Becerra, que rado , y sujeto á la jurisdicción ordinaria, en última de Junio de la I» decía asi: » Pido á las Cortes que la primera medida propuesta por la gitlatura pasada te acorrió asi por lat Cortes. Ahora bien, {quién tie cornisón pase á la de la Milicia naciona…</t>
  </si>
  <si>
    <t>…les debía egercer en toda tu extensión las funciones «le gefe político £ extender el mensage ¡ p levantó la sesión i las nueve p usarte. falta de este. Sesión dtl tg de Marzo. El Sr. Becerra apopó el dictamen de la comisión, manifestando Leída p aprobada el acta de la anterior, te mandaron agregar £ ella que había diferencia entre las ¡untas electorales de partido p las de pro los rotos particulares de los Sres. Lodares, Nulíez (D. Joaquín), Ruii…</t>
  </si>
  <si>
    <t>…y ti no lo estaban, ¿por qué los Sres. diputados, tanto mas cuanto que creo que el dictamen señala los había enviado el Gobierno? do para hoy es el relativo ¿ Fuente la Encina. El Sr. Becerra pidió que se leyese la contestación del Gobierno al El Sr. presidente dijo que ayer aefialó este asunto, como podía muy oficio pasado por la secretaría de Cortes. bien haberlo entendido el Sr. preopinante si estuvo presente al concluir Se leyó dicho oficio, e…</t>
  </si>
  <si>
    <t>…d en los cias particulares, como aquí sucedió: lo que dice es que si algún vocal términos que aquella propone. quisiese dar voto particular, no por esto ae suspenda el proceso, El Sr. Becerra: La cuestión de que se trata se reduce i examinar si que quiere decir que no se suspenda cuando se está en el acto de la ha habido infracción de la Constitución y de las leyes en la causa que votación. Por consiguiente tampoco encuentro mérito pira que se hag…</t>
  </si>
  <si>
    <t>…conforman, esta retirará el judicial contra el impresor, y probó que en el papel había intervenido artículo. cierto pertonage, y quién sea este todavía no se ha podido probar. El Sr. Becerra: La ley tiene permitida la recusación, y.no es nece Apareció por ultimo una persona que también dijo ser el autor del sario decir cómo se hade proceder en cato, ni quién ha qe fótipcer en papel; y aunque yo no creo que lo fuese, ha hecho una retractación las…</t>
  </si>
  <si>
    <t>…grat'ficacioen cuenta , tanto por tocar las campanas jr otras cosas; y por consi nes que están señaladas. guiente era menester que los pueblos no entrasen en dudas ni equivoca El Sr. Becerra apoyó el dictamen de la comisión , mmifestanio que ciones. El orador añadió que se reservaba para después impugnar la eran escandalosos los abusos que con este motivo se cometían , pues que parta que trata de lobos y zorras. ai fuera posible reunir las notici…</t>
  </si>
  <si>
    <t>…da.=Francisco Xavier de Ole» y Carrasco.=Juan Reináis. cesarias. En la pág. 38. Los infrascritos jueces de hecho , habiendo examiA la de Diputaciones provinciales se pasó otra del Sr. Becerra pa nado el suplemento al diario de Barce'ona del jueves 7 de Marzo dd ra que 1» Cortes deciaren que ios gastos que han de abonarse de Jos presente año, que empieza: Copia del artículo sobre motines y asonaisi caudales públicos en las festividades del Corpus y…</t>
  </si>
  <si>
    <t>…de la de caballería de Bilbao.” sef María Meneos , comendador de la orden de A cántara , era inadm.Madrid Martes f de Abril. siblc. Aprobado. ge leyó la siguiente proposición dr¡ Sr. Becerra: ** II jhi-.noosa CORTES. aprobado el d ctamen de la compon de Hacienda , acerca de que no rtSSIOZSCtA Plt SS80I VALOBS C OOir CAYETASO). se comprendan en los presupu. .to» generales las dotaciores de ¡o. jur la dos de primer* instancia , pido a las Cortes se…</t>
  </si>
  <si>
    <t>…e momento a convertirte en una facción: contra ¿1 y al el a fio 1807 al J8J4, opinaba que debía accederse. »rededor de él se elevan otras facciones, cuyo choque, victorias y re El Sr. Becerra manifestó» que esto se hallaba ya resuelto por un ír presillas atraen y prolongan laa revoluciones, á cuyo beneficióse es- decreto de las Cortes, y se mandó volver á la comisión. «p:ru siempre consolidar las garantías individuales, sin obtenerlas ja La misma…</t>
  </si>
  <si>
    <t>…er y perfeccionar la instrucción pública ; por cuyo quedaban enteradas , sin ocuparse mas en este asunto. motivo debía merecer á las Cortes una particular atención; y que entre Ei Sr. Becerra expuso que estas representaciones debían pasar á la todos los percepforts de diezmos levos, ningunos d Irían ser indemni comisión, purt convenía que lastuvi.se presentes para pr .poner en su zados mas prontamente que ¡os establecimientos d • que &gt;c trataba. v…</t>
  </si>
  <si>
    <t>…as 17 victimas, lo que pereció que lemnidad que en de desear. causaría mucha deformidad en la lápida. Después do haber hecho el Sr. Meló algunas brevet observación^ A petición del Sr. Becerra se leyó el decreto de 1$ de Setiembre de á las que contestó el Sr. Galiano , se declaró este asunto suficiente 1810. mente discutido , y quedó aprobado el dictamen de la comisión , va El Sr. Inftnte pidió que te dejase la resolución sobre este asunta riando,…</t>
  </si>
  <si>
    <t>…ar para dichas deudas, era también extensivo al Crédito público. Aprobado. aquel de acuerdo con el Excmo. Sr. virey: siendo asi que este gefe, co Se leyói la siguiente adición del Sr. Becerra, fi la que suscribían mo padre el mas amante de los pueblos , i cuya frente se halla, detes los Sres. Marau, Rico, Orduña , Belda, Domenech , Navarro , £ -1ta sus proyectos , como es público í todo el reino, y se desvela sin ce tran de Lis , Villanueva y otro…</t>
  </si>
  <si>
    <t>…n al dia siguiente, y aun El ir. Ojer&lt;&gt; se opuso i la proposición, «poyando las razones expues volvieron sane onadjs al otro dia. Si se hubiesen dejado de firmar dicho* tas por el Sr. Becerra, y añadiendo que de ningún modo podía fijarse ejemplares por un caso imprevisto, desde luego cnnvendna en qu* sí ■n límite á esta discusión. debia haber firmado por el Sr. presidente y secretarios de las Corte* El Sr. Salva manifestó que reformaba la proposic…</t>
  </si>
  <si>
    <t>…osiciones; se reunió el jurado compuesto de lot señores si rejo , Salvato y Seoane. guientes: D- Lino Campos, D. Nicolás Alonso, D- Antonio del Al Se leyó la siguiente adición del Sr. Becerra: » Pido que la remisión cázar, D. Joaquín Cevallos, D. Felipe López Valdemoros, D. Higi«leí código penal á la sanción del Rey se eotienda corregidos y com nio Antonio Llórente, D. Sebastian Andrés, D. Antonio María Espe probados exactamente los dos egemplares…</t>
  </si>
  <si>
    <t>…onformaba con esta variación, á menos «fe que no se fennicte pan todas rátrazones que te han alegado yo no encuentro motivo para tratar «leí asunto. «ponería é la modificación del Sr. Becerra. EI Sr. Prcdo continuó: Me es muy doloroso entrar de nuevo ea El Sr. Soria dijo que nadie te habia opuesto á que d códigopetate una discusión, que ha llamado muchísimo la atención pública; y es á la sanción Real, y tolo había sido objeto de discusión la espec…</t>
  </si>
  <si>
    <t>…so con los demas Sres. que me han precedido que hay magis tirado la comisión la parte que dice con r&gt; Jas é-r. trados muy dignos y beneméritos; pero hay otros de quienes no pue E1 Sr. Becerra dijo que iosdema* aiticiUi s se podrían vo’Vtr i la de decirte lo mismo , y no estamos en el cato de de ignar quiénes son comisión para que lo* redactara según las bases que habían aprobado estos, porque ha de resultar necesariamente de las causas: por lo de…</t>
  </si>
  <si>
    <t>…puntos que podían dar ocasión á de Pontevedra, en que opinaba se-debia archivar. Aprobado. estas disensiones. Otro sobre una representación del cuerpo de pilotos de Cartagena, El Sr. Becerra dijo que si la adición no ts.'.ia mis objeto que el que en le que opinaba que se estuviese á lo mandado en el decreto orgáni había insinuado su autor era inútil; pero que ti en el decreto se hacia co de marina, 7 qut se archivase. Aprobado. esta indicación, s…</t>
  </si>
  <si>
    <t>…rticulares de su ram , y uní ofiv.ua que se establezca. que intervenga ambas operaciones, y liquide k&gt;s haberes de las cU.es, Se mandó pasar á la comisión la siguiente adición de! Sr. Becerra individuos y obligaciones dtl ministerio. al art. a.°: * Pido que se declare que en ios productos líquidos de que El Sr. Sánchez: Respecto de la primera parte del art'culo, que dice: habla el ert. t.®, no se entienda de modo que los empleados i sueldo «Cada s…</t>
  </si>
  <si>
    <t>…la comisión que explicasen mas su dic tado tu atención á todo lo sucedido, sino que basta ha tomado previ tamen. dencias para lo que pueda pensarse por los enemigos de la pura. El Sr. Becerra se opuso á que te rehabilitase por una regla general i Habiendo pedido la pa'abra algunos Sres. diputados, dijo el señor una clase que no se sabia ti era grande ó pequeña: y opinó que la reha Galiano que sin que se hiciese alguna proposición no se podía entra…</t>
  </si>
  <si>
    <t>…oleda Discutalo el punto suficientemente se aprobó el artículo , suprimien- no, soldado dei regio;.ecto de la Const.tucaon, y un*, de tos itsd.v.dúos rfo lo que había propuesto el Sr. Becerra. de la columna móvil dei genial Riego, opi'-aba que las gratificaciones *. Vil. de que hab.a el art. to -sel decreto de ■ 1 dehet.embre de i8ao, en cu Correos, caminos , eanalei y tUvhion territorial. yo artículo estaba comprendido el interesado, debían ser v…</t>
  </si>
  <si>
    <t>…l, no había lugar i la declaración que solicitaba esta interesada. El Sr. Sufra como de la comisión manifestó que esta habia fundado Después de haber hecho varias observaciones el Sr. Becerra contra su dictamen en el convencimiento que tenia de que el ínteres personal el dictamen, y contestado el Sr. Homero como de la comisión, quedó era el mejor agente para la egecucion de obras grandiosas; por io cual •probado. - proponía en el punto segundo que…</t>
  </si>
  <si>
    <t>…la Península, á saber; que si llegaran á ocurrir otros gastos, Se leyó la rebaja i-1 (Fruir la ¿atete drl 6 ¿ti corriente.) pueda acudir al fondo de imprevistos pare cubrirlos. El Sr. Becerra ; Mientras la Constitución reconozca el fuero ecle En seguida hubo lugar á votar sobre asta parte, y quedó aprobada, siástico, es indispensable que haya tribunales que entiendan en cstot a.* Teroreríe ¿enera!. asuntos. El tribunal de que se trata cuenta su es…</t>
  </si>
  <si>
    <t>…y desaprobado lo restante de añadiendo sea ¿oble después de las palabras el tiempo pretérito para el la proposición por 44 votos contra 37. examen. Se aprobó una adición del mismo Sr. Becerra á la parte aprobada Se pasó i la discusión de la base ó.* (Véate la gaceta de 6 del de la anterior proposición, reducida á que la medida que contiene sea torriente.) extensiva á las religiosas secularizadas. El Sr. Trujillo propuso que después de las palabras…</t>
  </si>
  <si>
    <t>Gaceta de Madrid n.º 134</t>
  </si>
  <si>
    <t>…antos y tan costosos sacrfictos, estáis declararse asi. Aprobado. prontos á hacer todos aquellos qde exijan las circunstancias. La misma comisión, informando sobre la adición d.-l Sr. Becerra al » El consejo egecutivo considera como su primer deber el amsr y pro art ».° del dictamen «le la misma tobre arreglo de tesorería general, teger 4 iodos los ciudadanos como á hijos suyos; y exige de ellos como discutido y aprobado en la sesión de i de este…</t>
  </si>
  <si>
    <t>…icio público para que pr.pare los proyectes de ley relati tiempo para que se pudiesen organizar de nuevo las junas &lt;1o_Cwn ,s. vos á este ramo. Pasemos á la rrsponsabi.idad que el Sr. Becerra ha dicho que no Art. 36. r* Todo individuo del senado podrá proponer un proyecsirve de nada. Esto será si si quiere nn def.cto común de todo lo que lo de |-y escrito, que titnitirá el presidente al examen de la comisión se llama responsabilidad i en vano la i…</t>
  </si>
  <si>
    <t>…vos cuando los hubiese Gobernación de la Península i canales y caminos se apliquen en cuan en el pueblo. to sea posible é las obras del canal de Aragón , carretera que va desde El Sr. Becerra contestó que los avuntamientos lo harían asi, sin embargo de que no era necesario, porque solo se trataba de que cstae esta provincia á Barcelona, y acequia de Urge!.</t>
  </si>
  <si>
    <t>…deserción sob-e lo* pueblo*, no ten tus méritos y servicios lo hacían acreedor i la gracia que solicitaba. dría intere* alguno el toldado en no desertar , lo que podía producir El Sr. Becerra expuso las razones que había tenido ia comisión para malos resultados. »o acceder á esta instancia , y en seguida quedó aprobado ci d ctamen. El Sr. Infante contestó que la comisión no trataba mas que de ha Otro sobre el expediente promovido por D. Antonio Ma…</t>
  </si>
  <si>
    <t>…mas ventajoso Se continuó la discusión del art. i.° del dictamen de la comisión que el de que se trata. Eclesiástica sobre el modo de Iterar ¿efecto la recaudación y dí.tribu- El Sr. Becerra ha dicho que las juntas son inútiles , porque le pare cion del mediodiezmo. ce á S S. qu; la distribución se podría hacer mas simplemente señalan El Sr. Afonzo dijo que por este artículo sa dejaba á cargo de las do nna cuarta , quinta ó décima parte á los pue…</t>
  </si>
  <si>
    <t>…idualmente, porque se componía.» dJ de la estatura que s ■ previene ei este articulo. Ciudadanos españoles. El sr. Becerra d ¡o q.ie no pol i conven r en quf sr aprobase cjt: arEl Sr. Becerra dijo que las autoridades gubernativas nece» ¡ iban au t'eu'o con ¡as pa;aSra» . „*i .1. r .. .ñu, r-é.. . s : i.i.i r., .1 xilio, deotras cía,’», y estos erar» ¡&lt;», que d-bun prestar lo, uvuu'a 11 en* /n ” de. ,-f , r.i-s c o s ■ s, *e .:&gt;■ s ¡.i-,. o , qjr o…</t>
  </si>
  <si>
    <t>…s los qu* te hallen den dieta , extendida según la idea del Sr. Val dé*. Ku cuanto á la - obter- tro de la Península , y dé seis kpqüe te hallen fuera de elle, y de lo vaciona del Sr. Becerra dijo que hasta aquí los capitanes aprobantes contrario te entienda que renuncian tos beneficios, ocupándote sus an habían tenido las mismas facultades expresadas en el artículo, y era tas por el Crédito público; que se exceptúen de esta obligación los preciso…</t>
  </si>
  <si>
    <t>…, y el otro de los Sres. G iroz, Ronn.ro y Areilano. por lo qu: se prevenía en ei decreto de a de CCtubr: de fiao; pero que Se mandó pasar á la comisión la siguí, nt: adic.on del Sr. Becerra al sin embargo, atendiendo á lo ventajoso que s.r.a aclimatar los came art. 14 ds las ordenanzas militares, ipr.iba.io .n esta sesión, qua decía llos en Ispiña se podía conceder al caballero Corsel por tiempo de :a asi: » Pido que se añada á mtnut que je prúe…</t>
  </si>
  <si>
    <t>…cia* en que te habian hallado por falta de asunto. tiempo, el poco producto que habia rendido el medie diezmo. Habiendo manifestado el Sr. Infante que no tenia inconveniente en El Sr. Becerra fue de parecer que la proximidad de la cosecha que que se mandase pasar esta proposición i una comisión, se acordó pasa te exponía como causa única en el artículo para que no te hiciese la re se i la He Premios. novación de lo* vocales eclesiásticos por este…</t>
  </si>
  <si>
    <t>…ca el da dijo que no habiendo venido por conducto del Gubuno t pod a sos tsfciidu decreto de 29 de Junio. pecharse que seria un anónimo, por cuya razón ti A»1* declararte no ha Ei Sr. Becerra conteste) que la comisión al extender este articulo ber lugar a delib.rar. *°lo había tenido presente 10 qae si dispone por el párrafo 4.0 del El Sr. presidente apoyó esta idea, y en seguida se declaró no haber art- 311 de la Const tucion , sobr; que el repai…</t>
  </si>
  <si>
    <t>…to particular de los londcs de propios y pósitos ó por rep rtmueniu vecinal, opina del Sr. Oliver, contrario i la aprobación de los artículos 1. y 3.'’ del ba , en cuanto á la del Sr. Becerra, que 1&lt;4 empleados en el Crcd.to dictamen de la comisión de Comercio acerca de la representación de la público se comprendan en la rebaja que establece ia tabla de dcscucnti ■ compañía de Filipinas. aplicando las cantidades que produzca al mismo Crédito públi…</t>
  </si>
  <si>
    <t>…confusión que Castellón........... 188,0/9................... *33.4 podría resultar. Chinchilla........ 186,260........... 131,1 El Sr. Galiano manifestó que habiendo expuesto el Sr. Becerra lo Ciudad-Real.... a96»S *5............ 2 10,4 mismo que él tenia que decir, solo añadía que interesando á la Nación Córdoba........... 337.105............ ...... *39&gt;S que el reemplazo «e hiciese lo mas pronto posible, debía aprobarse este Corufia ..........…</t>
  </si>
  <si>
    <t>…laban actual Quedó aprobado el dictamen de la misma comisión, la cual opina mente en dicho establecimiento, porque había creído que debia hacerlo ba debia aprobarse la adición del Sr. Becerra á otro dictamen de la asi, en vez de que el Sr. Arguelles habia atendido mas á las personas misma comisión , reducido á que la religiosa secularizada, á quien por que no á las instituciones ; que una vez establecida la base de haber de este dictamen ae permit…</t>
  </si>
  <si>
    <t>…e le conceda el grado de subte titud con que te ha procedido en las causas de los asesinos de C-dz, niente. conspiradores de Búrgos &amp;c., y el ningún castigo que se ha irrpu .io El Sr. Becerra opinó que este asunto no pertenecía i las Corte* ex á los perpetradores de tamaños atentados, cuyo egerupio animo á ios traordinarias. enemigos del sistema á presentarse d ^caradamente 1 y aunque sus es El Sr. Romero dijo que el Gobierno indicaba que las Cort…</t>
  </si>
  <si>
    <t>1480</t>
  </si>
  <si>
    <t>…o se oponga á que quede en la parroquia donde se haya ce ción. lebrado el sacramento el asiento respectivo.” . El Sr. Grases manifestó que la comisión no tenia ya inconveniente El Sr. Becerra manifestó debería hacerse el asiento en la parroquia en sustituir la palabra párrocos castrenses á la de capellanes. respectiva, y por lo mismo fue de parecer que se afiadiesen en el artí Declarado el punto suficientemente discutido, quedó aprobado el ar culo…</t>
  </si>
  <si>
    <t>…habiendo examinado la *d cion del Sr. Ruiz de la Vega, creyó oportuno adoptar.a , aunque PKESIDXNCIA DEL lEfiot SALVATO. no Ilesa los d&lt; seos de la comisión. Sesión del dia 1». E Sr. Becerra dijo que la cuestión estaba en redactar el artru'o de Leída y aprobada el acta de la antrricr , te (nandú agregar á el'» el modo que se comb nase la circunstancia de no privar la facultad d ha voto particular del Sr. Romero , contrario á la resolución de lat…</t>
  </si>
  <si>
    <t>…de su nuevo empleo , mientras no tu trataba el articulo en cuestión era designar el presidente su voto. viese el despacho correspondiente; y asi que en beneficio del erario na El Sr. Becerra convino con la idea del Sr. Sotos, que podía ser bas cional debería estarse á la fecha del despacho. tante perjudicial que el presidente designase su voto, porque este cono Declarado el punto suficientemente discutido, quedó aprobado el cimiento «Rastraría ul…</t>
  </si>
  <si>
    <t>…sea un delito, verse nuestra libertad sin enemigas que la combatan abicitam r.ie, y no» esta la razón..... pues por lo que hace á ios que trabajan á la zapa, es erro cuento, y El Sr. Becerra reclamó el reglamento diciendo que este artículo lo se necesita contra ellos de otra tectica muy distinta, que contra loa había retirado la comisión. que al menos tienen la franqueza de dar la cara.” El Sr. Meló: No es extraño que yo apoye el artículo, pues q…</t>
  </si>
  <si>
    <t>…no puede ver lo que el Gobierno al poner en egecu competente facultad para proveer sus dignidades. cion las leyes. Sepan las Cortes, si descantan en la fe que cree el Go Otra del Sr. Becerra , que decía asi; » Pido que á la a.* medida se bierno merecer, que casi todas las autoridades provinciales están im añadan las palabras siguientes:pero no te dará tota alguna d fot ex plorando un remedio para que á los curas separados de su ministerio trañado…</t>
  </si>
  <si>
    <t>…. 8ji. 81 E. S . Val des ( D. Cayetano) indico que r o podía tardarse en ha Oviedo.................................. 367,501. 979- 39 cer el reemplazo ei tiempo que había dicho el Sr. Becerra, porque las L aléñela................................. 118,697. S43 97 m ¡m.s d.iposicic.net y el mismo ticb.jo costaba el sortear lo, mizos Palma..................................... *'-7.76 5. 5S4- 69 de un pueb o para 100 quintos que para 500 ; y que en cu…</t>
  </si>
  <si>
    <t>…ulos JI5 y 316 de la d: acordar loque s: propon:, refiriendo las t.’tl xínnes que á nn ine Constitución. ocurren en la materia , y considerando, primero, las razones que pueden El Sr. Becerra pidió que se leyese el art. 336 de la misma. alegarse para que se apru- !&gt;: el artículo , segundo I» calidad de este , y F.I Sr. Bertrán de Lis preguntó) si la comisión adoptaba la modifi tercero lo qu: ofrece la experiencia respecto de la impunidad qu: cació…</t>
  </si>
  <si>
    <t>…ori acusación procediese con arreglo i las leyes. Aprobada. ginan i la patria de estas escusas, porque con ellas [se entorpecen sus La misma comisión , en vista de la adición del Sr. Becerra fi la providencias, ha tenido por justo para evitar estos inconvenientes pedir medida 11." para que después de la palabra jueces se añadiese y magis fi las Cortes la facultad de que trata la medida que se discute, sin per trados , opinaba que debía aprobarse.…</t>
  </si>
  <si>
    <t>…unos miserables, dotados por los pueblos mezquinamente, de modo cántaro, resu'lando en perjuicio de ellos. que en el momento que no se Jes paga su haber dejan de subsistir ; ea El Sr. Becerra contestó que la comisión, al decir que el sorteo fuese resumen son unos hombres mercenario* sujeto* i los ayuntamientos. sin interrupción, no habia tenido otro oblato que el evitar cualquier En esto conocerán las Cotíes que se hallan en un compromiso extraor…</t>
  </si>
  <si>
    <t>…ar alguna injusticia; pero mayores serian los y según el art. 10 del decreto de 8 de Junio de este ario.” males que resultarían si se redactase como quieren los sefiores que lo El Sr. Becerra: Aunque el reemplazo extraordinario del egército impugnan; por esto no encuentro ninguna razón para que no se aprue que las Cortes han decretado va á producir en los pueblo* sensaciones be el artículo, porque aun cuando el nijo de viuda ó de padre sexage desa…</t>
  </si>
  <si>
    <t>…ate , Lapuerta , Falcó , Prado, Apoitia, Buey y Soto ocupará el lugar de este con igual aumento de tiempo. hicieron una proposición, reducida á que declarasen las Cortes que la El Sr. Becerra se opuso í este articulo en cuanto á su última parte, medida acordada con motivo de la proposición del Sr. Várela se en porque de su aprobación resultaba un perjuicio considerable S los qua tienda con aprobación de la autoridad eclesiástica. saliesen quintos…</t>
  </si>
  <si>
    <t>…s cxtrangeras, porque tendría que apelar i sus pro va excepción á la ley del reemplazo del ejercito.” ductos. El Sr. Infante dijo que ia comisión admitiría gustosísima esta pro El Sr. Becerra dijo que los labradores con yunta propia y todos loa posición ; pero que seria una contradicción que habiéndose admitido las demás que se habían exceptuado lo habían sido hasta ahora, pero no adiciones de que se había dado cuenta, no se hiciese lo mismo con l…</t>
  </si>
  <si>
    <t>…te hayan tomado las armas que á los que han hecho fortuna, y en el dia son ciudadanos muy recomendables. las hayan tomado seducidos; y yo craoque si te califica la gravedad del El Sr. Becerra opinó que la segunda parte del articulo no estaba delito que cometen en uno y en otro caso, se hallará una diferencia expresada con exactitud, y pidió que la comisión la reformase. muy notable entre la libre voluntad y la seducción, porque la libre vo El Sr.…</t>
  </si>
  <si>
    <t>…tad contra el despotismo no será dudoso el triun tículo 291 de la Constitución, cuando en efecto lo están. fo, y nosotros eo podemos dejsr de amparar 4 unos infelices, víctimas El Sr. Becerra dijo que no habia hablado en su discurso de los di de su amor á aquella. Podrá causar rezelos 4 las naciones extranjeras la putados presos in fraganti. institución de esta fuerza extrangera; pao hartos reztlos no# causan Declarado este punto suficientemente d…</t>
  </si>
  <si>
    <t>…El Sr. Fedialvez: Yo no puedo aprobarle, porque si i un oficial de derársele como desempeñando su encargo. caballería se le qmti ei caballo que ia Nación le suministra para que El Sr. Becerra se opuso a! artículo, diciendo que no era necesario baga el servicio, á uno de infantería ei sable que también le ha dado ponerlo en ia ordenanza, porque lo que en él se expresaba era una re con el m sino objeto, y sobre todo los vestidos neccsiiios para el s…</t>
  </si>
  <si>
    <t>…ar pierda los ascensos en su carrera, so, y que solo contenía una fórmula, por cuya razón debía aprobarse. y sin que baya necesidad de entrar en la averiguación de si lo preten El Sr. Becerra expuso que el artículo no decía deberán hacer, sino dió ó no. Irruirán fretente; por cuya razón no se imponía una obligación i lo* El Sr. Argiielles ¡ Yo creo que en el afio 10 se dió una resolución acer militares, sino que se establecía un simple modelo; per…</t>
  </si>
  <si>
    <t>…ecreto de 3 de fluir tojo el ínteres de la deuda p.ib.i.a cspafo.u en .a misma Na.i -n. Setiembre de 1810 por cuso memo podramos libeiUrn. s , d . imosio asi , de s.r pr. *a da El Sr. Becerra pira apoyar el d clamen dijo que las Cortes debian especuladores ext'angero». Asi pues desearía que lj.» oríes me ptrm.n-tener presente que los cesantes habían sutrido cu &gt;u, suri do» una reba sen leer este pr.,sv.¡.s , ,-n q e »i 1. e-t.m.n c uvecicnte pu*c…</t>
  </si>
  <si>
    <t>…a de ellas será el aprotñr los reglamentos de poíicía ca que había quedado pendiente en la aetion de ayer. y sanidad, suponiendo implícitamente que han de ser propnestvs por el El Sr. Becerra : F.1 Sr. Pedralvec expuso ayer la multitud de regla Gobierno. El orador'pisó i manifestar que mi bases habían sido todas mentos y dato» que la comisión ha tenido presentes para formar el códi desaprobadas, pues que ti lo-hubies: sido solamente una ; se hubie…</t>
  </si>
  <si>
    <t>…la Reina está mas molestada de las convulsiones. po carecería el egército de un número considerable de sargentos, lo que CORTES EXTRAORDINARIAS. ocasionaría mucho* perjuicios. El Sr. Becerra dijo que estaba conforme en que se suspendiesen loe VRBSIDBNCIA OBI sitos BUQUX BU FASQC*. efectos del decreto di áp de Junio con respecto i ¡a cla*e da urgenSesión del dia se. tos, según había propuesto el Gobierno; pero que no podía convenir Leid* el acta d…</t>
  </si>
  <si>
    <t>…stros periódico* publican las noticias siguientes-. rio* pedidor por el secretario dsl Despacho del mutuo ramo.” Caiaf 16 dt Novitmbrt de 18* a. Son muchos los facciosos que ae El Sr. Becerra hizo presente que la comisión hab a presentado ya pasan á nuestras banderas, y no poco* toman partido en las compañías su dictamen y ae haba mandado imprimir, y «1 Sr. Presidente añadió de miqtielete*. Romanillos está preso en las cárceles de la Seo, después…</t>
  </si>
  <si>
    <t>…bía hacer en el Art. *6. » Rondaré y visitaré frecuentemente todos los puntos del caso de que se trataba. recinto de la plaza, proveyendo á cuanto en ellos ocurriere, y cuidará El Sr. Becerra dijo que este artículo no determinaba con certeza si de que el teniente gobernador y sargento mayor vigilen igualmente. en el caso de juntarse el consejo de guerra había de resolver este sobre Art. ay. » Si mere é reconocer lat obraa exteriores, sea de dia ó…</t>
  </si>
  <si>
    <t>…ares. Tanto una tendría lugar, como he dicho, respecto de otro asunto. buena como una mala causa pueden un ir moraímente ios hombres; peDespuetde haber impugnado ia proposición el Sr. Becerra, manifes ro hay la notable diferencia que ia un.on que produce el «sor dei en tando que era inútil, ofensiva á la comisión, y que acaso podría pro tendimiento y el engaño no dura mas tiempo que el que tarda en reco ducir malos resultados, se declaró este asun…</t>
  </si>
  <si>
    <t>…stuviesen en disposición de poder •* ha apostado con toda su división en dicha villa: que lento á su asistir. vnelta como cuando estuvo de pato por ella, algunos curas, y singu El Sr. Becerra dijo: El artículo establece que concurran á la cele larmente la comunidad de capuchinos, tomaron todos la* de villadie- bración de los ayuntamientos la mitad mas uno del número de sus in fo; tanto que Costa mandó publicar un bando, ó sea orden, pira qua divid…</t>
  </si>
  <si>
    <t>…n de varios ciudadanos yes; y que debía sustituirse otra palabra que expresase mejor ia idea de de Badajoz, pidiendo se tomín medidas vigorosas contra loa enemigoa la comisión. El Sr. Becerra dijo que la comisión se convenía en que se aprobase del sistema. ... . .... La comisión de Guerra presento su d clamen sobre vanas adicione* el artículo diciéndose : » Pertenece á los ayuntamientos desempeñar to i los artículos de la ordenanza militar que se…</t>
  </si>
  <si>
    <t>…que pueda haber perjuicio en caso de dilación. El Sr. Melendez manifestó que ni aun con la adición que proponía Art. 84. « Para obtener la aprobación de las Cortes se observará el Sr. Becerra podía aprobarse el artículo, pues podría suceder que los que si la facu lad concedida por la diputación provincial no excediere mismos vecinos que solicitasen la moratoria consiguiesen que los ayun. de tantos mr.lua «(uros cuantos sean lo. v-cinos del pueblo…</t>
  </si>
  <si>
    <t>…n trataba de derogar aque nientes creo yo que en el cato de concederse los perdones, nadie mejor lla ley. que las diputaciones provinciales pueden hacerlo, pues se hallan en el El Sr. Becerra dijo que aquellos artículos trataban sobre que las ma caso de conocer mejor que las Cortes y el Gobierno el pormenor de la no* muerta» no pudiesen adquirir, y aquí no se trataba de adquisición, fortuna de la persona y familia del que lo pide; por tanto el art…</t>
  </si>
  <si>
    <t>…rendía también á aquellos ter ocupado, que no puede atender ai examen de las cuentas Por estas ra renos. zones , y siendo las diputaciones provinciales ccmpu.stas de ánd'v.duos £1 Sr. Becerra contestó que en ei artículo siguiente se hablaba de de todos ios partidos de «a provincia que 1.eoec coa »c. miento» ir.me aquellos terrenos; y en cuanto á la objeción del Sr. Castrón dijo que díalo, de los pueb os, creo que son chas ia» que deben tener 11 fa…</t>
  </si>
  <si>
    <t>…y del buen desempeño de loa bierno de todas las obras que emprendan , quedando á cargo de ellas maestros.” el proporcionar todos los medios que crean necesarios para adelantar El Sr. Becerra dijo que la comisión no había tenido presente al d,días obras; sin embargo para evitar toda duda acerca de este punto, formar este proyecto lo resuelto últimamente acerca de los maestros ds cr’o que la comisión no tendrá inconveniente en que después de este p…</t>
  </si>
  <si>
    <t>…establecida con solemnidad por tn-dio de una de la provincia , pagado da los fondos públicos de esta.” función cívica religiosa , sufrirá una contribución i discrec'on del gefe El Sr. Becerra pidió se leyese un dictamen que la comisión había de la fueiza armada nacional que pase por el pueblo, cuya mitad será presentado sobré este artículo dctpnea de habet formado el proyecto. satisfecha por las justicias i individuos del clero. Se leyó dicho dict…</t>
  </si>
  <si>
    <t>…ciones especiales d-»emp;ii,-r» las otra» que s- le en conrorme á las observaciones que se habían lucho. carguen , según las reglas establecidas por U diputación pa:a eí gobier El Sr. Becerra dijo que no podia convenir en que los trabajos de no di la secretaria ” la secretaría de las Cortes fu-sen m-ñores que los de cualouina de las Lo re: ró la comisión para reformar’o. secretarías de las diputaciones provinciales, porque estas de»pa-.hi- A i. 16…</t>
  </si>
  <si>
    <t>…robarse el artículo de pólvora , 500 piedras de chispa, das cajas de guerra, 13 casacas y que se discute. 14 morriones , sin que por nuestra parte hubiese mas pérdida que la de El Sr. Becerra: La contradicción que el Sr. preopinante ha dicho cuatro caballos heridos. Con este motivo el mismo comandante gene existe entre los arts. 161 y *64 de que se trata no es cierta, porque de ral recomienda muy perticularmeme al comandante del segundo bstabe ten…</t>
  </si>
  <si>
    <t>El Sr. Gómez Bicerra: ta comisión conviene en añadir la palabra no el Sr. Becerra, habiendo dicho S. 5. que io* g«f:s pc,ft‘cc¡ co tie manifiestos en el final del ari cu o. nen por la Constitución la pr.s der.ci» de los ajüi lsmitrio-, ia ley Ki cr. Moreno: Yo c-ncitiUro defectuoso el artíru’o en cuanto deja funCanirtiUl en el arlícuío 309…</t>
  </si>
  <si>
    <t>…to, y una proposición de los Sres. Ve- astas atribuciones, suprimir en el artículo la cláusula que he citado. lasco, Hscovedo y Ailion, para que se comuniquen desde luego al Go El Sr. Becerra: La modificación que el Sr. Romero quiere se haga bierno los artículos del mismo proyecto pa aprobados, sobre los recur en el artículo no es necesaria, porque en los artículos anterior-s se han sos de nulidad en las elecciones de ayuntamientos, * fin de que e…</t>
  </si>
  <si>
    <t>…articulo está mo me*. Repet.roos pues que es r..c.*»ar.a mecha precave.cr. para dar fuera de su lugar. crédito á tales not e a., á pesar de que se quieren ccrfirtr.ar en a’gun El Sr. Becerra: El señor preopinante echa de menos en este artí modo por otros cerdocto» , pues se af.tde también que el Gran Sul culo el que no se desenvuelvan tobas las funcionas que tienen los alcal tán se ha refugiado ai A» 1 de re»u'ti» de h.b r asaltado los je des por…</t>
  </si>
  <si>
    <t>…la misma gefatura. Asi qu* pu*dc haber casos ó ci'cuustancias paiticulí-&lt;oso el defacto que las ocasiona. larcs que redamen la medio* «le que trata el artícu o, y por cato deba El Sr. Becerra manifestó que la comisión adoptaba la modificación •probarse. propuesta por ei Sr. Romero. Declarado el artículo bastantemente discutido, quedó aprobado. El Sr. Moreno: Yo encuentro una Inexactitud en la primera parra Art. a26. «Cada gefe político tendrá un s…</t>
  </si>
  <si>
    <t>…razone* djo que lo rr»p ct-, de los encargados de Ne:'o'- estiren:--ros. No qu.sier* *-:■■desaprobaba. rara inte que tos intendentes u;seinp_-:',ísen ias funciones de que se t'jEl Sr. Becerra contestó que la comisión había querido er'tar lo ex ta , porque estos t.en-n atribucos;* tr.oy distintas, pu.s so'o se r«d„puesto por S. S.; que la prim.-ra parre del artículo estaba lomada de la cen á a í-ctudac.on d: .a, rentas. Y-. bien sé que esto s: ha s…</t>
  </si>
  <si>
    <t>…azo total de la mi milicia activa si no se está sobre las armas, no es mas que estar alista licia activa. do para cuando la patria necesite fuerzas; por lo mismo , si se necesi El Sr. Becerra manifestó que la comisión debía haber prevenido el tan regimientos de milicias en campafta ó fuera de ella, es m jor que modo de hacer el reemplazo, no solamente de los milicianos que ye estén completos: para que esto se verifique yo he discurrido un medio, h…</t>
  </si>
  <si>
    <t>…segunda las cantidades que se libren 3 las 1 sp.ct vas d pendencias para gastos parte de este articulo. de escritorio ; cuidando estas por uicd o de ios porteros matute» de re Fl Sr. Becerra: La cuestión que ha promovido el Sr. preopinante integrarse de los interesados á quienes se expidan. Lo comunico á está reducida á suponer que los gefes políticos solo son presidentes de V.'S. para tu notic&gt;a y exacto cumpiim.-nto, hacendo'o saber a', pú los…</t>
  </si>
  <si>
    <t>Becerra, Alvaro Gómez</t>
  </si>
  <si>
    <t>Alvaro Gómez Becerra</t>
  </si>
  <si>
    <t>…arlo para el t.° de Marzo próximo, te ha servido res de este Sr. diputsdo como proponía la comisión. •1 Rey mandar que en el mismo dia entre á d •srmptfiár Yandiola 4 Extremadura. D. Alvaro Gómez Becerra, D- Facundo Infante, destino de tesorero general, quedando Martínez en cesación.” D- Manuel de Silva, D. Diego AntonioGonzalea Alonso, D. Pablo De orden de S. M. lo comunico á V. para su inteligencia y efec Montesinos. La comisión, después de haber examinado…</t>
  </si>
  <si>
    <t>…onal con Valdemoro, fol. i.°*l «9. 4nitno de reunir mas gente; pero habiendo recibido el gefe político de Confesó el plan de conspiración, de que sa ha hecho mérito, y Extremadura D. Alvaro Gómez Becerra un oficio del de Toledo, en que en el dia *2 de Enero, en que fue preso, caminsbi 4 reunirse con que le comunicaba que el Abuelo con su partida de facciosos era pro ei Abuelo, comprob ndose su cor.f-sion con la realidad de la exis bable se internase en aquell…</t>
  </si>
  <si>
    <t>Becerra, Bernardo</t>
  </si>
  <si>
    <t>Bernardo Becerra</t>
  </si>
  <si>
    <t>…énero, lo hallarán á prec'os convencionales m su regimiento infantería de la Corona, con 610 rs. casa botica, ca le de Segovía, frente al jardín de Osuna, en bot.s de Castellón al capitán D. Bernardo Becerra, segundo ayudante su vidrio negros de la misma forma que la de los tarros ingleses, de ca pernumerario del reg miento infantería de Navarra , con 670 rs. bida de cuartillo y medio cuartillo. Los da fuera harán sus pedidos al Calahorra al cap tan D. Rufo Mi Ma…</t>
  </si>
  <si>
    <t>Becerra, G-omez</t>
  </si>
  <si>
    <t>G-omez Becerra</t>
  </si>
  <si>
    <t>…xtensiva a cito, ¡n.;.i • Juvs la grac.a que va de . se ha concedido á los di ia casa de Campo y del Escena1. El Sr. Infinta hizo ver cuan aventurado hubiera sido que el briga- El Sr. G-omez Becerra: Para aprobar este articulo no ha lo yo las ra d-er Pal reí decidiese la lucha por las armas; nos describió la pos-cion tones qu: han tenido ¡as Cortes para aprobar el pr:m’ro. En rf-cto, es qu ocupaban los guardia, rebe.des, por io cual no hubiera sido difíc…</t>
  </si>
  <si>
    <t>Becerra, Gomes</t>
  </si>
  <si>
    <t>Gomes Becerra</t>
  </si>
  <si>
    <t>…Sr. Múñame tomó la palabra, y dijo que la desgraciada muerta una providencia general, como lo habia hecho. del coronel D. Juan Josef Cruchaga, deque hablaban los periódico*, £ Él Sr. Gomes Becerra: Creo que la comisión Edesi4*tica debería manos de una partid* de 14 faccioso* al mando del cabecilla Armen- haber propuesto las bases generales para la formación de las juntas dio gol en el pueblo de Nardites, habia impelido é lo* diputado* de la cesanas, pu…</t>
  </si>
  <si>
    <t>Becerra, Gómez</t>
  </si>
  <si>
    <t>Gómez Becerra</t>
  </si>
  <si>
    <t>…umentos que haya sobre el Finalizada la lectura de la memoria, el Sr. Canga dijo: ” Las Cortes particular. habrán visto como yo sin satisfacción que no ha sido en vano el deseo El Sr. Gómez Becerra dijo que el nombramiento de una comisión que he tenido de que se empezara hoy a leer la memoria del ministro especial siempre tenia inconvenientes, porque ocupaba á muchos indi de Hacienda- La Nación verá por ella la penosísima y tr.ste situación viduos, y po…</t>
  </si>
  <si>
    <t>…di cional, que es una fuerza popular independiente del Gobierno , y por plomático. lo mismo incapaz de corrupción. Sa-mandaron repartir too egeapiaics de la memoria laida i laa El Sr. Gómez Becerra dijo que la milicia voluntaria era una de tas Cosfls por al Sr. secretario de la Guerra ea 4 dd comenta, remitida* principales áncoras y garantías dt la rauta de la libertad, lo qua salva por el mismo Sr. secretario. por experiencia propia; y qoa asi estaba c…</t>
  </si>
  <si>
    <t>….te rn ¡a Nadan: entonces se dió también el sabio de llas causas que se crean convenientes é interesantes. creto de la división de los tres poderes, y por esta moma división no El Sr. Gómez Becerra: Yo creía que no deb'ria sufrir ninguna podía menos el poder judicial de tener ú independencia que en todos contradicción la primera parte del dictamen, porque como solo dice los paites libres. Por lo demas debe tenerse asimismo en consideración que se haga u…</t>
  </si>
  <si>
    <t>…Cuyo requisito na es fá Sr. Sotos. Continuó la discusión sobre la pro posición del Sr. B-cerra- ( Véase cil hacer pretensiones que suttao eCtao. en la ¿aceta de ayer-) CORTE?. El Sr. Gómez Becerra: La idea de esta proposición me la dió el Sr. Flores Calderón, pues dijo su señoría que en la comisión había nxiiDSxciA bel S«. Vaibm ¿Don Catetasó). do* copias, y no concordaban entre si; pero las Cortes no se dctuv.VTon ff» obtírvacivt!, sin duda porque cre…</t>
  </si>
  <si>
    <t>…claró comprendida en el artículo 100 del reglamento. Se leyó y aprobó el acta de la ánima sesión extraordinaria. Ei Sr. Cano la apoyó con varias reflexiones; y habiéndose decla El Sr. Gómez Becerra leyó el proyecto de decreto presentado pof rado que uo se admitía á discusión, se levantó la sesión á las once. la comisión de Diputaciones provinciales sobre el arreglo económico, Sesión ordinaria del jo. político de las provincias, con los votos particulare…</t>
  </si>
  <si>
    <t>…provincia , pac los cuales formará sus asiento» art- 11, porque en él te exprésala que ios secretario* dei D spsebo rusla contaduría de Valorea.” diesen sus cuentas anualmente. El Sr. Gómez Becerra fue de perecer qne se quitase la palabra lí El Sr. secretario de Hacienda dijo qne podía atad irte al art. 9.a quidos, ó en otro caso se explicase et sentido de elle, pora evitar al después de habrá* de presentar la palabra *nttalmente ; y de este modo que en…</t>
  </si>
  <si>
    <t>…menos de conformarse con es do con los conquistadores, repartiéndose conforme á él los terrenos, te dictamen. aldeas &amp;c.; por consiguiente su señoría mismo vino á probar lo con El Sr. Gómez Becerra pidió quedase sobre la mesa, pues que ere un trario de lo que deseaba, pu.-s ya se ve que tos tenedores tienen un de asunto de bastante importancia ; y asi se acordó. recho á la posesión; aunque es verdad que también añadió el Sr. Soria Se aprobó un dictamen…</t>
  </si>
  <si>
    <t>…tantas como se suponía, especialmente si der é los establecimientos de bea&lt;ficencia y al ramo de sanidad*e trataba de aquellos cuadros originales que son da inestimable valor. El Sr. Gómez Becerra pidió que se aprobase el dictamen de la co Xa namiainu ha creído también que debías quedarse au las do misión, pacato qu* «1 Gobierno ao pedia aras qu* dos mülooss par*</t>
  </si>
  <si>
    <t>…en que lo hayan verificado. Se acordó que pasase al Gobierno. rera diferente de la que antes se habían propuesto; y por úítimo que vn También se leyó la siguiente proposision del Sr. Gómez Becerra: este artículo encontraba una homogeneidad con los demas, esto es, faci o Pido á las Cortes se sirvan mandar que la junta nacional del Cré litar la insuuccion pública para que tuviesen ventajas los grandes ta dito público, bajo su responsabilidad, dé las órde…</t>
  </si>
  <si>
    <t>…la common había usado ción ha cundido esternal por varias partes; y es ya tiempo que las de dicha palabra. autoridad» tomen medidas muy rigorosas y eficaces contra estos males, El Sr. Gómez Becerra opinó como el Sr. OÜver que debía dejarse ya que la prudencia, la política, la moderación y el laudable medio para cuando se tratase del estado mivnr el expresar los requisto* do de atraer d •sengafiando no son suficiente» para contener a los que se los que h…</t>
  </si>
  <si>
    <t>…justo se les dieron tus créditos para promover mayores. la venta de las fincas nacionales en pequeñas porciones. 4. ° Que no se obligue í dejar en los fondos de estes estableci El Sr. Gómez Becerra ro opuso al dictamen, man fritando que en su mientos los créditos expresados i ninguno de todos loa referido* que opinión no debía darse facultad á los deudores para que distribuyesen no quieran hacerlo voluntariamente. lo qua no era suyo. La comisión actual…</t>
  </si>
  <si>
    <t>…arios y muchos agentes, todos los cuates se mantenían tes; y asi que la exposición debía pasar al Gobierno. del medio diezmo; pura si bien era verdad que no salían directamente Él Sr. Gómez Becerra dijo que ni á las Cortes ai al Gobierno les sus sueldos del fondo decimal, salían de vario* derechos á que se suje competía, ni debían indultar i un individuo que habia empuñado las taba á los postores i dichos productos, y se disminuía de este modo el armas…</t>
  </si>
  <si>
    <t>…rporaciones, ademas de ser obra de mucho tos inteligentes, aunque reservasen en sí la intervención de ellas. tiempo, no solia las mas vec .producir los resultados que se espera El Sr. Gómez Becerra contestó por último á las observaciones he ban ; por lo que siendo urgente el proyecto que se discutía , y r. unien chas contra el articulo que este contenia un principio muy importante, do ios Sres. de la comisión todos los conocimientos necesarios , opinó y…</t>
  </si>
  <si>
    <t>…que !c remita el cuniaria tienen ó no bienes ó fincas que puedan servir de hípot ca para cortejo cgecutivo , y ios aprobará, mod.fi-aiá ó desechará. al caso. Pero 70 preguntaré al Sr. Gómez Becerra, ¿no estamos impo Art. 38. *1 Toda declaración de guerra y todo tratado de paz pasa niendo una u-sponsab.lidad pecuniaria a personas que no tunen mas rá á la aprobación del secado; y en general todos los tratados que haga que su destino? Ha claro que sí; por…</t>
  </si>
  <si>
    <t>…una partida de god rs. para pago de un censo , sobre lo to en la ordenanza de 1800 y sus adicione» de 1819*7 1820. cual opinaba qu-debía formar.e expediente separado. Aprobado El Sr. Gómez Becerra opinó que d b a redactarse el artículo de Otro sobre el expediente promovido por e ayuntamiento de Olot, otro modo mas adecuado í la idea del M. Infante, pues no Ja expresaba •n Cataluña , para que se aprobasen lo* arbitrios que pr poma para ia bien, antes po…</t>
  </si>
  <si>
    <t>…ente en ia aprobación de Se suspendió esta discusión , y se dió cuenta de una con;uha del este artículo. Gobierno, dirigida por el Sr. secretario de Gracia y Justicia, sobre si El Sr. Gómez Becerra dijo qus observaba no estaba perfectamente el nombramiento de jueces interinos tendrá luzar siempre que la ind is conforme la opinión de los Sres. de la comisión en cuanto á que la posición de los propietarios pueda durar un tiempo considerable á jui recaudac…</t>
  </si>
  <si>
    <t>…s, y ds consi- E -r. Vadesf'.-). Dion »&gt;o) cont stó que no era necesario, por gu rr.te d b a suprimirse. cuam no s- sui. tdiaá ios gef -s políticos i rnponsabi.idad sobre este F.I Sr. Gómez Becerra contestó qu* la comisión había t-:n¡do por punto, como s. lubu hecho respecto de ias sociedad.s patrióticas. obiito el ■ Vrt.ir toda esp*cie de duda , por cuanto siendo el alcaide pre- k sr. V'a dés ( D. Cayetano) se opuso al articulo, opinando qU3 tid rite,…</t>
  </si>
  <si>
    <t>…o había nece ria , seguro ele que dirime muchos pleitos y dudas impertinentes. sidad de esta declaración. Quedó aprobado el dictamen de la comisión. Quedó aprobado el dictamen. El Sr. Gómez Becerra dijo: La ley está tan terminante y expresi Otra del sr. Ladrón de Guevara: » Pn atenc'on á que la instruc va qua no necesita ninguna aclaración. En ella se dan tres dias para el ción adiciona' de 1819 no sujeta al sorteo al m: z &gt; soltero que tenga juicio de…</t>
  </si>
  <si>
    <t>…ta de una queja de diputado eurnp o, resultó electo el Sr. Valdés ( D. Cayetano) por yí varios vecinos de Santander contra la diputación provincial y g.fe po votos, teniendo 48 el Sr. Gómez Becerra,7 el Sr.Salvato, a el aefior lítico, pidiéndose les exigiese la responsabilidad per haber cargado un Aura,y uno cada uno de los Síes. Baey y Ruiz de la Vega.Total 135. impuesto sobre vinos y licores, opinaba que no debia haber lugar áde En ia eegtr da votació…</t>
  </si>
  <si>
    <t>…o* españoles de S. Juan de Ulua está en su mano la llave del ya aprobados les poderes. imperio ¡ y que acaso si no se dictasen oportunamente las medid &gt;s de S: leyó á petición del Sr. Gómez Becerra el artículo ti del regla seguridad, las naves enemigas pudieran ser el primer anuncio de una mento , que previene que hasta el dia &gt; 1 de Febrero te celebrarán tas invasión. sesiones que fuesen necesarias para la aprobación de loa poderes , y qua Campeche *0…</t>
  </si>
  <si>
    <t>…se les escapa de las manos , todos , sin quedar uno,caerán bajo de las Cortes para elegir este número. la cuchilla de su feroz enemigo; las muge res , los ancianos, los niños, El Sr. Gómez Becerra: La comisión no esperaba que porque la todos perecetán entre las manos de unos bárbaros, que no respetan edad provincia de Filipinas ha nombrado dos diputados, debiendo haber ni sexo'; ¡y la Europa se hará sorda i los gritos de todo un pueblo? nombrado cuatro…</t>
  </si>
  <si>
    <t>…s ocultan sus verdaderos nombra y patria al tiem de piedad y auxilio espiritual propios de su instituto.” po de sentárseles su plaza, no obstante la pena que para precaver este El Sr. Gómez Becerra pidió se sustituyese en lugar de la palabra ca inconveniente está prescrita, cuidarán los capellanes que les asistan á la pellanes la de párrocos castrenses. hora de su mu- rte de interrogarles si han faltado á la sincera declara El Sr. Valdés ( D. Cayetano )…</t>
  </si>
  <si>
    <t>…no cía menos interesante el con propusiese un número mayor de hombres. servar la libertad que la independencia. El Sr. secretario del Despicho de la Gobernación de Ultramar ma El Sr. Gómez Becerra fue de op n on que no se debía concedet al nifestó qu? el Gobierno estaba sumamente persuadido de que ningún Gobierno mas fuerza que la que pedia, aunque ant-s de la discusión sacrificio estaba de mas cuando te trataba del bien del Estado , asiéndo habia sido…</t>
  </si>
  <si>
    <t>…tres heridos , el uno de gravedad , y sa abiendo sido aprobado este dictamen. vieron precisados á abandonar varios efectos y nueve caballerías carga En cuanto á la proposición del Sr. Gómez Becerra , relativa á qua das de trigo y paños , rescatando al mismo t.empo á dos pa.senes qua la comisión de Guerra proponga los correspondientes artículos acerca llevaban presos, hl comandante de Esparraguera persiguió entre tanto á del modo de verificar el reemplaz…</t>
  </si>
  <si>
    <t>…naba que era inútil , porque El ¡&gt;r. secretario volvió á leer los artículos, en los cuales no se ha estos empleados son amovibles. Aprobado. llaba esta palabra. En cuanto i la del Sr. Gómez Becerra á la misma medida , para El Sr. Valdés (D. Cayetano); No me opongo á este articulo , sino que después de la palabra apuntamiento se añadiese &gt;7 precediendo la al modo ccn que está redactado, porque no expresa b en ia id:? iU: imposición de multas proporcionad…</t>
  </si>
  <si>
    <t>…el resultado seria que la determinación de las Cortes admitirla; y asi que debia aprobarse ei artículo. en cuanto ai sueldo que deben disfrutar quedaría frustrada enteramente. El Sr. Gómez Becerra reprodujo los mismos argumentos hechos Asi me parece que las Cortes deben aprobar el articulo en los términos contra el artículo, añadiendo que era incompatible el cargo de tura en que se halla concebido. do e n el empleo militar, porque las atribuciones del…</t>
  </si>
  <si>
    <t>…ley. La comisión justa y prudentemente ha establecido garantías efica Inri: el dictamen de la comiiion. ces para evitar loa abusos que. en esta parte pudiera haber; y aunque se El Sr. Gómez Becerra : La comisión ha dado tu dictamen en loa dice que para esto no se necesiten formalidades previas, no se supone términos que han oido lea Cortes, atendiendo i la escasez del erario, que haya de procederse arbitraria méate, puesto que siempre ha de ha y desde l…</t>
  </si>
  <si>
    <t>…servicios á nuestra Nación; pero está sujeta 4 muchas dificultades: men se mandase pasar 4 otra comisión. ¡y quién puede negar que podrían introducirse en esta legión personas El Sr. Gómez Becerra: Dé ningún modo puedo conformarme con que so color de amantes de la libertad trajesen intenciones dañosas 4 la el dictamen de la comisión, porque los diputados no son dueíios de Nación! La historia de todas los paises libres ofrece egemplares muy renunciar lo…</t>
  </si>
  <si>
    <t>…n individua dos por el dinero, y por lo mismo quisiera que se les señalase íao lidad y explicación del comandante saliente al entrante del contexto do reales diarios. cada una. El Sr. Gómez Becerra: Estoy de acuerdo con los principios que ha A rt. 9.a « La* centinela* de la* grande* guardia* te mantendrán manifestado el Sr. Prado; pero la comisión ha tenido presente el estado dobles de noche , y aun de día si el oficial comandante lo considerase en que…</t>
  </si>
  <si>
    <t>…s aplicables á una guerra de la puede aprobarse el dictamen. natu raleza de la de aquel dia! ¡Acaso puede celebrar algún general amnis El Sr. Garoz como de la comisión contestó ti Sr. Gómez Becerra, tía con tos facciosos armados! ¡En dónde estila ley que lo permita : Es manifestando entre otras cosas, que asuntos de esta naturaleza podrían pues el punto de que se trata absolutamente nuevo; y no habiendo po comprometer á las Cortes si diesen una resoluci…</t>
  </si>
  <si>
    <t>…u disposición, Creo : .:c» ¡v.r ot as muchas razones &lt;¡ue no ap'ique a e&gt;:e canal, en cuyo caso quedará i.u&gt;or:o ci cecr-to d« te debe admit r el dictam n de ¡a comóton. estas. El Sr. Gómez Becerra: La :a mej ¡ lia nnn Tests do ya en su d'c- D-spuei de haber impugnada el a-tículo el Sr. ( &gt;[ ero , ¿ n c en tamen y de palabra el verdad-o di.':.i: que d ben co: -id.-rar las Cortes, ^ -* 1 — ‘ -.í. , tita , se d.- ct-.. t'.íC.:.m. mente d-.C’ut.do , v &lt;. .…</t>
  </si>
  <si>
    <t>…lo por los ría sin embargo se dijese que las dudas de hecho que ocurriesen sobre perjuicios que ocasionaría. los ramos de que en él se trata, se resuelvan por los mismos ayunta El Sr. Gómez Becerra -. Una de la* razones que ha habido para mientos, y la resolución se pase luego! la diputación provincial par.» formar el proy teto que se discute es la resolución ds algunas dudas pro que resuelva lo conveniente. puestas por el Gobierno : entre ellas se hall…</t>
  </si>
  <si>
    <t>…iendo también la diputación nación, no solo estaba animada de los mas fraternales sentimientos provincial. con respecto i nosotros, sí que en caso necesario contribuiría eficaz El Sr. Gómez Becerra : La comisioft admite gustosa que después ds mente al logro y sosten de un sistema, cuyas ventajas admiran hoy, j la palabra expediente te añada: oyendo al ayuntamiento respectivo. ya nos envidian todos los hombres libres de la Europa. El Sr. Seplien: Los señ…</t>
  </si>
  <si>
    <t>…el 103. lo* 113 , 114, 115 y 116 para redactarlos de nuevo. Declarado el punto suficientemente discutido, se adoptóla idea Se aprobaron los artículos siguientes : propuesta por el Sr. Gómez Becerra, y quedó aprobado el art. 98. Art. 117. » Por ahora continuarán las diputaciones en el encargo Art. 100. «Pura la conservación da las obras públicas de la pro da hacer examinar á los agrimensores, arreglándose á lo dispuesto por vincia , ya construidas, y par…</t>
  </si>
  <si>
    <t>…s quiera de los subalternos de las mismas que el inspector eligiere, be tructiva, sin ulterior recurso. presentarán en este particular egercicio todos los oficiales, sargentos, El Sr. Gómez Becerra impugnó este artículo con las razones ex cabos y soldadas que hubiesen pasado la revista;y si alguno de ellos no puestas en su voto particular, insistiendo principalmente en que ias di supiese su obligación, ti espitan expondrá el motivo del atraso. putación.…</t>
  </si>
  <si>
    <t>…ute, á fin de que esté en armonía alcaldes egec .tar las primera» d i .-reías-ij! s. -nr.o.” Én estos ter con el código penal mino» me par;ce que podría aprobarse el nrl c-. j. El Sr. Gómez Becerra : Aunque la comisión cree que es un caso di Ei Sr. Cano-, b-gu'amente no »é porqué rizón hay opcs:c;on á este ferente aquel de que trata el código penal, sin embargo no tiene incon artículo, pues ya se sabe que es ur.a obligan:rn de los aicrd.-s formar venien…</t>
  </si>
  <si>
    <t>Becerra, Gornrz</t>
  </si>
  <si>
    <t>Gornrz Becerra</t>
  </si>
  <si>
    <t>…tervenir en todas jr cada bién a la aprobación del senado la cuenta exacta de los ingresos y de las una de las o.j.racion.-s de las juntas diocesanas; pero yo pregunto al salidas. Sr. Gornrz Becerra como práctico, ; los gefes políticos ademas de ser • Sin embargo , como tas circunstancias hacen imposible la presen presidentes de las diputaciones provinciales no lo ton de otras juntas, y tación d: un estado apreximativo para este primer año , el senado at…</t>
  </si>
  <si>
    <t>Becerra, Oom’z</t>
  </si>
  <si>
    <t>Oom’z Becerra</t>
  </si>
  <si>
    <t>…cada ayuntamiento ds la pro pirarse esta atribución di un modo terminante en el artículo que se vincia. discute. Art. ni. » En lo tocante al tamo de talud pública desempeñarán E: Sr. Oom’z Becerra: Se ha impugnado este artículo por las pa las diputaciones provinciales la parte que les corresponda,según las le labras rs:ar y promover que en él se encuentran, la* que han alarmado yes y reglamentos que rijan. á ay unos Sres. diputarlos, creyendo que no qu…</t>
  </si>
  <si>
    <t>Becerrai</t>
  </si>
  <si>
    <t>…dicho abono basta la can Congreso para laa plazas fortificadas no son efectivamente mas que tidad expresada. para su manutención: lo que el Gobierno pide ahora es para ponerlas El Sr. Becerrai La comisión no se opone í que el ministerio de la en un estado regular de defensa , y poder evitar una sorpresa , pues Guerra tenga un imprevisto de sa millones , ademas de los 10 qu: se tenas necesitan rastrillos y esplanadas; en otras hay que hacer estacadas,…</t>
  </si>
  <si>
    <t>Becerril, Mariano</t>
  </si>
  <si>
    <t>Mariano Becerril</t>
  </si>
  <si>
    <t>…ría ligera cazadores de Barbas-JtelacUm dt los segundos comandantes fut S. M. ¡t ka servido nom tro, d. brar en los batallones dt la milicia nacional activa dt nurva crea Motril á D. Mariano Becerril, espitan de infantería graduado da ción , y tn ¡ot antiguos fut tienen tac antee titos emplea. teñí:nt&lt; coronel, y de :a extinguida pridtera división de granaderos Alicante «1 teniente coronel graduado conde de Cesa-Rojas, espí provine aies, con tos 450 n. a…</t>
  </si>
  <si>
    <t>Becerta</t>
  </si>
  <si>
    <t>…también de las providencias que rápida y espontáneamente deban ría no podía menos de ponerlo en consideración de las Cortes. adoptarse para remediar los males que ia aqu. jan." El Sr. Becerta dijo que esta memoria decía que en las contribucio Muscr.fcí.ron i esta proposcio.n los 5res GonziLz Alonso, Gómez nes había un déficit de 3jo millones, y era preciso saber en qué Becerra, Infante, Moreno, Sálvelo, Canga .Yr.üeóes, lsturtz, cuque consistía ,…</t>
  </si>
  <si>
    <t>Beci-rra</t>
  </si>
  <si>
    <t>…ependencia y el derecho d: arrjci.r ios había copiado lo que tas ordenanzas establecían en asta parte. negocio* domésticos »¡n intervención extran ;era ;y si el congreso do VrcF.l Sr. Beci-rra; En cuanto a las dos partes pr.meras del artículo es roña nos diere buenos avisos, agraciezcámo»ii m»¡ nos hiciere ver qu:nues toy conform- en que deben ap« barse; pero no asi respecto de la tercera, tra Uonstitccion exija modificac ones , pongámosle á la vis…</t>
  </si>
  <si>
    <t>Bedoya, Gregorio de</t>
  </si>
  <si>
    <t>Gregorio de Bedoya</t>
  </si>
  <si>
    <t>…os, porque general pellanía vacante de nuestra Sra. del Buen Suceso, fundada en el lugar mente son pobres los que te dedican 4 la profesión de la* ciencias mi de Bores por el Lie. D. Gregorio de Bedoya , para que su parte los per el ca«. Por estas consideraciones dejamos expuesto que no conviene el ciba y disponga de ellos en concepto de seculares p libres; se proveyó nombramiento de secretario del proto-medicato basta que las Cortes de auto con la misma fe…</t>
  </si>
  <si>
    <t>Bedoya, Joscf Mollinrdo de</t>
  </si>
  <si>
    <t>Joscf Mollinrdo de Bedoya</t>
  </si>
  <si>
    <t>…era* de la patria, loe térnr no. Esta providencia e* del s8 de Junio. Se advierte que al últi emp'caremor sin fin; y esta digna prometí la firmaremos reiteradamen mo poseedor fue D. Joscf Mollinrdo de Bedoya. te con negra tinta de la* venas de cuantos se desvien del sendero cons AVISO. titucional. Para «nterarles de tina orden de) gefe del cuerpo, y con el fin da pre • Los que ttiecf ¡bimo* por siempre seremos unánimes en estos sen parar lo* documentos necesarios…</t>
  </si>
  <si>
    <t>Bedoya, Manuel</t>
  </si>
  <si>
    <t>Manuel Bedoya</t>
  </si>
  <si>
    <t>…la .dominica tescera de cuaresma predicó en la catedral de Orea tejer la conducción de los tesoros de Alí. El mando del Epiro ha quedado se el canónigo cardenal de aquella iglesia D. Manuel Bedoya un ser á cargo de Omer-lfrione, que está mandando 4 los albaneses. Estos mis món que merecerla publicarse íntegro por la buena doctrina constitucio mas cartas dicen que Churschid ha sido desposeído de su cargo de se- nal y sentimientos en que abunda, sin que…</t>
  </si>
  <si>
    <t>Beesta, Cas-miro</t>
  </si>
  <si>
    <t>Cas-miro Beesta</t>
  </si>
  <si>
    <t>…rimen instancia de los 14 partidos en que está dividida con que no habría culto. Esto daba campo para creer que debia tomarse la provincia de Astúrias á los letrados siguientes: á D. Cas-miro Beesta medida inornen canoa, porque parecía que podían resultar males in nayas, para el de Oviedo; á D. Joaquín Roales , para ei de G ion : á calculables de desatender estas reclamaciones. Asi que, repito , que res D. Josef Antonio Zaldua, para e! de Avilé»; i D. C-…</t>
  </si>
  <si>
    <t>Behr</t>
  </si>
  <si>
    <t>…te de uno de estos partidos estaba el conde de Rachberg y el Procurad con eficacia que se .realicen los ahorros ofrecidos , particu príncipe de Wrede: en el opuesto se contaban el Sr. Behr, catedrático larmente en el presupuesto del ininisterio de la Guerra, y en propor de la universidad ds Wuruburgo, el Sr- Hornsthal y otros muchos ción de estos ahorros, y para que se conazca el estado de paz , ali sujetos distinguidos por sus luce* y por su p…</t>
  </si>
  <si>
    <t>Behring</t>
  </si>
  <si>
    <t>…e la Providen La historia de sus descubrimientos llamó la atención del Gobier cia de proteger por todos los medio* que esten 4 su alcance los múre no, y la Emprratriz comisionó al capitán Behring (1741) para que hi te* de sus súbditos, justificaban bastante las disposiciones adoptadas por ciese una nuera expedición en las mismas latitudes. Envió con él á tos S. M. 1. en favor de la compañía tuto-americana, sin que fuesa necesa académicosGmolin.Delile…</t>
  </si>
  <si>
    <t>Beimon, Josef</t>
  </si>
  <si>
    <t>Josef Beimon</t>
  </si>
  <si>
    <t>…ue suplantan :a religión y aluci Nota. El comandante de estado mayor D. Antonio Comas, subte nan á la muchedumbre ignorante para conducirla á los extravíos y a la niente de Murcia D. Josef Beimon, capitán de Tarragona D. Manuel perdición. Estas furias manchan alguna vez el tanto nombre de Dios, tabarra , y oficial de milicias Ue Tuna Garceran de Rovira han ido i de patria y de Rey con sus inmundos labios a! mismo tiempo qua embarcarse á Marsella. Y po…</t>
  </si>
  <si>
    <t>Bel, Liger</t>
  </si>
  <si>
    <t>Liger Bel</t>
  </si>
  <si>
    <t>…e de los altos firme s. Arnbts divisiones cont 'r-.uarin en adelante al rales. Yo creo que deben ser muy contrarios lo, efectos de una medida mando inmediato del tcnh-Tit- general conde Liger Bel* r. Kl cuar justa respecto de los desenfrenos que cometen los facciosos. ¡Queremos tel general que estaba en Pan se establecerla el día 11 en Euidc s. por ventura desconocer el estado y apatía de muchos pueblos á pesar Todo esto nos parece muv propio pan desv…</t>
  </si>
  <si>
    <t>Belda</t>
  </si>
  <si>
    <t>…quiere solo por el pequeño gasto que ocasionase los asuntos que siguen: t.° - F1 arreglo de la Hacienda nacional, al cual su impresión. está unido el de la dotación del clero." El Sr. Belda dijo que la ley que se habia propuesto por S. M. de a» La investigación de las causas interiores y exteriores de la si berla sufrir las lecturas que previene la Constitución , y que hasta que tuación política de la Nación , y los medios mas convenientes para…</t>
  </si>
  <si>
    <t>…digno pre motivo de aclarar en parte la nueva conspiración descubierta en Sicilia sidente podrá responder. ataca á la Constitución española, y levanta un falso testimonio á los El Sr. Belda opinó que podría nombrarse una comisión de premios, españole,; pero estas son frioleras para unos periodistas, que saben que coruo la habia en las anteriores Corles, para que entendiese de este de este modo agradan á ciertas personas , después de desahogar la…</t>
  </si>
  <si>
    <t>…e expresaba en la pro posición, dijo el ~r. Adan: Todos estamos convencidos de la necesidad posición nvsma. de la proposición, y solo disentimos en si será hoy ó mañana; por lo El Sr. Belda : Si no hubiese quien sostuviese los dictámenes de lis mismo es inútil perder el tiempo, y pido que se pregunte : i.“ ii ven comí-dones, ia» discusiones se s- pararían extraordinariamente del debi drán hoy ; y si las Cortes resuelven que no, preguntar si vend…</t>
  </si>
  <si>
    <t>…s demas se diese cuen S. M. he resuelto que te vista la corte de luto por ocha das, qae ta inmediatamente. empezarán á contarse desde mafia na , por la muerte de S. A. el duqus El Sr. Belda como autor de la proposición la apoyó también con Alberto de Sajorne. nuevas reflexiones. El Sr. Becerra: Mi opinión es que en esta materia no se debe to Se avisa al público que desde el día de hoy saldrá el parte diaria mar ninguna resolución general. Si se…</t>
  </si>
  <si>
    <t>…acciones del banco pertenecientes ¿ las comunida tuvieron,el Sr. Saavedra 6y votos, al Sr. Benito 65, el Sr. Calderón des de Indias, era de parecer que asi debía hacerte. «mo , el Sr. Belda uno y otro el Sr. Buey. No habiendo reunido nin Ei Sr. Ferrer dijo con este motivo que cuando lo* periódico* de guno de dichos sehores la mitad mas uno del número de votos, se pasó esta capital hablaron de la preposición de que ae ha hecho tiento, di al segun…</t>
  </si>
  <si>
    <t>…este dictamen. El Sr. Salva dijo que si este dictamen fuese en favor de un cua.- y el feliz éxito de las empresa» de los griego*; ya están libre» del yugo quiera tendría razón el Sr. Belda para no aprobar'o; p-ro que era otomano las do. terceras partes de aquella ven»^mica,:T 1r£ en favor de un ciudadano tan benemérito, que hubiera muerto en un (idas por tres Gobiernos federales , que tienen sus r.preaentantes en la asamblea nacional de Argos.…</t>
  </si>
  <si>
    <t>…inistro togado «le la audiencia contrase entre cualquiera de los artículos de los dos egemplares citados. territorial de Castilla la Nueva , juez de primera instancia y de la auEl Sr. Belda dijo que desearía saber de qué original se habían sa «tiencia pública de Madrid. Por el presente cito , llamo y emplazo 4 cado las dos copias de que se trataba. todos los que se consideren con «ferccho 4 los bienes de los mayorazgos El Sr. Romero manifestó qu…</t>
  </si>
  <si>
    <t>…He pedido la palabra en contra para en el artículo que quedó pendiente. ( Véase en la gactta de ayer.) fijar la cuestión. El Gobierno pedia siete millones para los canales: la El Sr. Belda manifestó que atendiendo 4 la grande utilidad de los comisión los deja reducidos á tres , y ahora el Gobierno desea sab.r si canales , debía señalarse para la construcción de sus obras una cantidad está en su autoridad sacar de estos tres millones para los pl…</t>
  </si>
  <si>
    <t>…ión de la Península para caminos y canales destinase el Gobierno nos de aprobar el dictamen de la comisión. aooO rs. para la reparación del puerto de Pasages, opinaba que ei Go El Sr. Belda: El objeto de las Cortes al aprobar la cantidad desig bernó , procurando con el zelo y prudencia que le son propios, cuida nada para canales ha sido el de que se aplicase para las obras de esta cla se de distribuir los fondos asignados para caminos y canales…</t>
  </si>
  <si>
    <t>…n loa para que se aprobasen varios arbitrios destinados á diferentes objetos , en respectivos regimientos. los cuales convenía el vecindario. La comisión opinaba que deban apro El Sr. Belda opinó que quedaría mejor el artículo suprimiendo to barse. Aprobado. da su última parte, dejando ia primer* hasta la palabra ptrtnuzca. La misma comisión proponía á la* Cortes te sirviesen mandar pa El Sr. Valdés (D Cayetano) manifestó que en los cupos de los…</t>
  </si>
  <si>
    <t>…usión del dictamen de la comisión especial en dispuesto en la Constitución y en las leyes sobre la materia. cargada de proponer las reglas convenientes para el repartimiento de El Sr. Belda manifestó que debían excluirse aquellos que no goza los terrenos baldíos, realengos y de propios y arbitrios; y hablando so sen los dtrechos de ciudadano. bre su totalidad, dijo el Sr. González Alomo entre otras cosas que á El Sr. Salva contestó que lo único…</t>
  </si>
  <si>
    <t>…reguntó si en los asuntos relativos á Hacienda se ca. Hay sin embirgo muchas personas qu: no creen en la entera eva consid.raba d arreglo del Crédito público, á lo que contestó el Sr. Belda cuación de los principados; y aun verificada esta , opinan siempre por que en su concepto sí te comprendía, y que podría expresarse asi en la la guerra, pues no parece probable que la Rusia s: contente c &gt;&lt;&gt; que proposición. algunos miles de turcos que estaba…</t>
  </si>
  <si>
    <t>…rdinarias, y el cuarto que ban prorogado ha sido por Cred to público.” Aprobado. asuntos de general utilidad. i.° *&gt; Estos ind'V'duos te constituirán en Madrid para el dia que ► i Sr. Belda, como uno de los autores de la proposición i El ob achatare la comisión d: Visita.” Aprobado. jeto de la proposición no es que se trate únicamente de Hacienda : es El Sr. presidente dijo que se suspendía esta disensión para continuar si qu: se dé la preferenc…</t>
  </si>
  <si>
    <t>…general dt ¡a Nación. Alonso por 6a votos de 111, teniendo el Sr. Herrera Bnttamante $3 En Real arden de ai de Setiembre último expedida por el minit:votos, el Sr. Romero uno, el Sr. Belda nno, el Sr. Sarabie uno, u riodeGueft*,que ha comunicado á esta tesorería general en 17 del mis Sr. Sotos uno, el Sr. Trjeiro uno', y el Sr. Znlneta uno. mo el Sr. secretario del Despacho de Hacienda, se ha servido el Rey F.n la primera votación para segundo…</t>
  </si>
  <si>
    <t>…igadier Piasencia ( el El Sr. Adan: E&gt; Gobierno pidió con urgencia que lis Cortil aeororador los leyó). das-n ¡as cantidad s para cubrir ios gastos de qu.- se trata, y no s- ha Ei Sr. Belda: He tomado la palabra para rectificar un hecho que verrficado ano tu otorgamiento. Por este aitículo 1c cornisón ha queri ha equivocado en.esu discusión. Esos guardias d: que se trata ton en do proporcionar el medio de que el Gobierno se ponga en la apt tud |…</t>
  </si>
  <si>
    <t>…ía acce mismo dictamen, y el del St. Olivar sobre lo resucito acerca de la der á . sta solictud. Apiobado. La misma, en vista de la solicitud ce la universidad de Sa',-adición del Sr. Belda. ............ La diputación provincial de Tarragona felicito a las Cortes P°r $u ma-ca para qu: se conceda á los estudiantes qu* 'o ha tocado .a suer instalación , y por las medidas extraordmaras que habían adoptado. te d." soi-'ados , el te m-.no de s:is mes…</t>
  </si>
  <si>
    <t>Beldi</t>
  </si>
  <si>
    <t>…a comí* on pudiera hacer otra cosa mas que 10 que p»op ne. d -sen obtener emp'eos, opinaba qu- en atención á lo* grandes serví- Asi qtaí , queda demostrarlo que lo* argumentos del Sr. Beldi no c r.» qu: había hecho la expresada división pod.a accede/se i lo que se tienen ninguna fuerza Por últ-mo la com'von no h* hecho mu qu* so c [iba Aprobado. aclarar un pnncip o sancionado per ias Corte* I.a comisión primera de Legislación , en vista de la ex…</t>
  </si>
  <si>
    <t>Bellido</t>
  </si>
  <si>
    <t>…sar del fuego de dos piezas de á las tropas de esta p iu ■ que al primer tiro nuestro se pusieron con el artillería cargada, á metralla, y del que hacían desde todas .*s casas, en general Bellido en movimiento, y que encontramos volando á nuestro que los milicianos sa habian a,luido y hacho fuertes desde el diz an socorro á un cuarto de legua del teatro de la acci &gt;n. Si Mu hubieran terior.” salido antes, rs posible que hubieran cortado la retirada á…</t>
  </si>
  <si>
    <t>Gaceta de Madrid n.º 248</t>
  </si>
  <si>
    <t>…etó este dia para siempre memorable. El que en Cataluña siguen tan heróico egcmplo, y haciendo asimismo con Trapense escapó antes de decidirse la acción, montando 4 duras penas el comandante Bellido los valientes de aquella guarnición todo género 4 caballo por el mal estado en que le tiene la caída que dió en Quincena. de sacrificio* en obsequio de ellos, unánimes y resueltos resolvieron la » No intentaré elogiar la brillante conducta de las bizarras tro…</t>
  </si>
  <si>
    <t>Bellido, Josef</t>
  </si>
  <si>
    <t>Josef Bellido</t>
  </si>
  <si>
    <t>834</t>
  </si>
  <si>
    <t>…159 rs. con a8 mrs. de anua pensión digo con esta fecha lo siguiente: Agravadas las dolencias del mariscal otorgada por Mosen Josef Martin, y su imposición se hizo en Aguíde campo D. Josef Bellido, comandante general de esta sección, é im lar de Teruel, reino de Aragón; y una certificación de 45,817 rs. posibilitado de continuar los movimientos de la columna , dispuso en con 15 mrs., importe de 14 anualidades de réditos de la referida im tregarme el ma…</t>
  </si>
  <si>
    <t>…de V. ra V 1» Diputación permanente de Cortes : I.a diputación p-orm- para que lo comunique i qu en I inga por conv. tnent*.= H trefe de E. M. _ d« la columna=rJuan Van-halen.c»Sr general D. Josef Bellido. ciai de Airante, que en ti del actual tuvo ci conor de ascgaru a i* El correo que ha traído estos fuego, salió de Lérida -on al segun D.puucioa permanente de Cotus su constante d-. siou tn iasor da la</t>
  </si>
  <si>
    <t>Bello, López del</t>
  </si>
  <si>
    <t>López del Bello</t>
  </si>
  <si>
    <t>El Sr. López del Bello hizo presente que este artículo decía que m bre de españoles, y muy afectos al sistema, á un país ó un cabildo des obligue y apremie á ios obispos que no publiquen pastorales, y que tn afecto á las nueves in-l tuciones. xazon de esto los feligreses tendrían m…</t>
  </si>
  <si>
    <t>Belmont</t>
  </si>
  <si>
    <t>…ad parala Nación , y de consiguiente imprenta el Sr. Arias; para la de Marina el Sr. Roig; para la de Mi debía calcularse la cuota en razón directa de a'nbis utilidad.s. licias el Sr. Belmont:, y para la de Policía el Sr. Mar.so. El Sr. Sotos contestó que podía haber profesiones que fuesen muy La comisión de Gu;rra , en vista de una consulta d.l Sr. secretario útiles al que las abrazase, y no lo fuesen tanto á la N í.iuu por el núme del Despacho d…</t>
  </si>
  <si>
    <t>Belmonte</t>
  </si>
  <si>
    <t>…Sr. presidente nombró para la comisión de Guerra en turar del demas operaciones de conducciones y acarreos. Ei proyecto de ios fac Sr. Benito al Sr. Riego, y para la de Policía al Sr. Belmonte en lugar ciosos era el apoierarse de nuevo de Ca»t?ilL&gt; lit y sostenerte en el del Sr. Vil I avieja. para conaervar su prestigio , ó cuando no reconquistar su artillería 7 Se leyó el dictamen de la comisión especial encargada de examinar municiones, que les h…</t>
  </si>
  <si>
    <t>Beltran</t>
  </si>
  <si>
    <t>…queños qué sean dejen de ser sensibles á ia*'coásó!rdacioá dé!"benéfico sistemé constUpciónal?7 i::? --xv- Val Congreso, y no deba ocuparse en ellos ; pero sí debe suspender su El Sr. Beltran de lis : Mí corazón se halla-sumasienté ¿góvisdó'ál -juicio hasta ver la evidencia de estos hechos, y saber quien resulta ver v'er '.el modo cómo- se'há difrnmidu la sangre de miii'paísótiósqy tai daderamente culpable. Triste libertad si la simple delación he…</t>
  </si>
  <si>
    <t>…s. Estas se habrán conven opinaba que d-bia aprobarse. cido (continuó el orador) de que por la falta de tiempo no han podido D-clarado el punto suficientemente discutido, pidió el Sr. Beltran aprobarse, ni proponerse algunas mejoras al plan de Hacienda, y por de Lis se preguntase si seria nominal la votación; y hecha esta pregun lo mismo me atrevo á sujetar á la deliberación de las Cortes la siguien ta , se acordó por la negativa. te proposición.…</t>
  </si>
  <si>
    <t>Beltran, Manuel</t>
  </si>
  <si>
    <t>Manuel Beltran</t>
  </si>
  <si>
    <t>…anto porque no había habido reclamación los Sres. D. Vicente Gisbert, D. Martin Serrano, D. Lorenzo Villaalguna contra esta elección. nueva, D. Vicente Navarros D. Bernardo Falcó, D. Manuel Beltran El Sr. Galiano manifestó que debía observarse á la letra la Consti de Lis, D. Jaime Gil Ordnfia, D. Juan Rico y D. Francisco Belda y tución respecto de lo que previene en este asunto, no habiendo nada Asentio, en los cuales no babia ninguna dificultad: los del Sr.…</t>
  </si>
  <si>
    <t>Beltran, Vic-nte</t>
  </si>
  <si>
    <t>Vic-nte Beltran</t>
  </si>
  <si>
    <t>…dérsele la de 3300 rs. anuales. Las comisiones de Mirm v Hacienda , habiendo examinado las pro Se mandó quedar sobre la mesa un dictamen de las comisiones de posiciones hechas por D. Vic-nte Beltran d* Lis, en que ofrecía rrpa Legislación y Guerra, acerca del expediente promovido por los oficía rar todos lo* buques de guerra nacionsles mediant: la observare ■* y le* españolea procedentes de tos depósitos de Dijon y Cbalont-Sur- cumplimiento d? ciertas co…</t>
  </si>
  <si>
    <t>Belzunto</t>
  </si>
  <si>
    <t>…s puramente humanos, si se Íes compara con lo» potlettpantosa- locuacidad; uto* fallecen sin dolor en medio de un decaimien tos que obró la religión. Sirva de egemplo el venerable obispo Belzunto invencible; i estotro* lo* mata un horroroso frene»! sin convulsio ce, el cual dió todo cuanto tenia: todos sus sirvientes murieron; pe nes: i alguno* se le» ponen la* ojo* turbio* y lánguidos; peto lo* mu ro animado de su ardiente caridad, no por eso dejó de…</t>
  </si>
  <si>
    <t>Bemtez, Francisco Rebles y</t>
  </si>
  <si>
    <t>Francisco Rebles y Bemtez</t>
  </si>
  <si>
    <t>…rincipiar en i.t de Setiembre pró Francisco Puyol y D. Josef María Retortillo; habiendo votado en ximo, y concluirá en fin de Agosto de 1823; pero con la condi . sentido contrario D. Francisco Rebles y Bemtez. Sobre el número ción que si el Gobierno adóptese el sistema de que á los cuerpos se les 5-0 se declaró no haber lugar á la formación de causa , y los que opi satisfaga la ración de pan en dinero, ó determine que se proceda á la naron en este sentido fueron D…</t>
  </si>
  <si>
    <t>Bemtez, Francisco Robles y</t>
  </si>
  <si>
    <t>Francisco Robles y Bemtez</t>
  </si>
  <si>
    <t>…reviene el arti María de Ansa, D. Josef Antonio Puyade , D. Josef María Retoñólo, culo 14 de la Real orden ya citada de so de Enero de 181 r , quedará D. Vicente Sánchez Cirquero, D. Francisco Robles y Bemtez y Don rescindido el convenio; pero siempre tendrá su efecto hasta que vuelva Francisco Puyol: los dos restantes D- Francisco Cairanza y D. Ber i abrirse y aprobarse las nuevas subastas, y á que indemnicen los con nardo de la Peña Díaz dijeron haber lugar á la forma…</t>
  </si>
  <si>
    <t>Benan, Lorenzo</t>
  </si>
  <si>
    <t>Lorenzo Benan</t>
  </si>
  <si>
    <t>…canal de navegación y riego desde la provincia de Córdoba *a las estos sencillos acontecimientos se arrastraron cañones por Barcelona , y inmediaciones de Sevilla, presentado por D. Lorenzo Benan. en breve se vió la Rambla trasformada en un campamento, es decir, A la de Guerra una exposición de D. Pedro Michelcna, sargento que la tranquilidad de Barcelona ha sido atacada por sus mismas auto mayor agregado á la capitanía general de Castilla la Nuera, m…</t>
  </si>
  <si>
    <t>Benavides, N.</t>
  </si>
  <si>
    <t>N. Benavides</t>
  </si>
  <si>
    <t>…y arrojo de un hom go del subí mente de Bailen D Joaquín Laso de la Vega, y la caballe bre 1 b e. A "te tiempo llegué yo con la infantería, que llena da .1 ría de Lusitania al de D. N. Benavides, cap.tan del mismo, y ia de la iiasnio y luego patrio, y repitiendo mil v.vas , ac. m.tia con furor to- izquierda, dirigida por mí, s: compuso d.- cuatro compañías de mi bsd i» ns cz»a» dr que se les l.ac.a fuego; espantados los facciosos á v »:a tal on, bat.…</t>
  </si>
  <si>
    <t>Benen, Simeón</t>
  </si>
  <si>
    <t>Simeón Benen</t>
  </si>
  <si>
    <t>…y tres del escuadrón misión opinaba que debía recomendarse al Gobierno. Aprobado. que *• hallaban en Valencia , y fueron suspensos de sus empleos por 24 Otro sobre la instancia de D. Simeón Benen, sargento del regimien horas á instancias del ayuntamiento de aquella ciudad en Noviembre de to de Fernando vil, manifestando que por causa de la libertad había 1820; petición que no repitieron los demas departamentos del cuerpo estado en el presidio de Alhuc…</t>
  </si>
  <si>
    <t>Benitez, Francisco Robles y</t>
  </si>
  <si>
    <t>Francisco Robles y Benitez</t>
  </si>
  <si>
    <t>…omisario de guerra respectivo. dalgo , D. Antonio Cortés y Coll, D. Francisco Puga, D. Santiago de 4. * Será de cuenta de ios asentistas la totalización en fin de cada la Azuela y D. Francisco Robles y Benitez: los otros cuatro U. Ni mes de los recibos del suministro que practique, para que presentándo colás Iraola, D. Bernardo de la Peña Diaz , D. Juan Francisco E*pelos en contaduría con ia correspondiente relación demostrativa proce losin y D. Juan del Pozo y Tej…</t>
  </si>
  <si>
    <t>Benito</t>
  </si>
  <si>
    <t>…Cá en primer escrutinio el Sr. Canga-Arguelles por 68 voto. de taz: el diz para el mar Pacífico en ocasión que su fuerza con la existente ahí Sr. Birtoiomé por 64 de 1 2 1 ; y el Sr. Benito por 69 de 119. era bastióte para contrarestar,ó por lo menos resistir á la de los enemi Se procedió en seguida i la elección de los tres individuos que de gos. La pérdida de este buque, en que ninguna cuipa turo el Gobi.rbían examinar los poderes de los claco…</t>
  </si>
  <si>
    <t>…o de justicia como lo veri opinaba que se devolviesen estos documentos por medio del Gobierno, ficaron. 4 fin de que te rectifiquen en la forma establecida, sin perjuicio de ad El Sr. Benito dijo que se babia querido probar que la suspensión mitirse en les Cortes estos Sres. diputados. Quedó aprobado. de que se trataba era conforme al espíritu de la Constitución, y él de Cataluña. La comisión opinaba debían aprobarse los poderes pre cia que era o…</t>
  </si>
  <si>
    <t>…, á consecuencia de la pro comisión ; lo que seria muy largo. posición del Sr. López del Baño, á dicho Sr. diputado, y í los señores El Sr. Adan dijo que Jo que habia propuesto el Sr. Benito era in Saavedra, Oca y Meló, Belda, Gómez Becerra, Sanz de VitUvieja justo, porque seria decir que debía haber defensores que defend-esen !»* y Ruiz de la Vega causas, y en las Cortes no habia mas defensores qu.- ei ju cio que for Las Cortes quedaron enterada…</t>
  </si>
  <si>
    <t>…primera votación salió electo el Sr. Alix por 71 votos , te tación permanente debia ó no ser admitido en el Congreso el Sr. Esconiendo 9 el Sr. Villaboa, 5 el Sr. Marchámalo, 3 el Sr. Benito, a el vedo, y á su parecer este asunto debia pasar á 1a comisión de Legis br. Gómez Becerra, y uno cada uno de los Sres. Muro, Cano, Buey, lación. Jaime y Lamas. Total 95. El Sr. Saenf de Buruaga dijo: Siento qua la comisión no haya to En la segunda lo fue el…</t>
  </si>
  <si>
    <t>…Romero se leyeron los arts. 109 y 11a del por la orden de a*f de Abril de i8ii.w reglamento interior de Cortes. No se admitió á discusión otta del Sr. Buey, que decía asir»Pido El Sr. Benito ttaanifestó que la resolución que anteriormente se ha á las Cortes que la memoria de la Hacienda nacional se reparta impresa bla dado por las Cortes en este asunto habia sido relativa únicamente antis del 18 del corriente; que la comisión dé su informe antes…</t>
  </si>
  <si>
    <t>…ndaba, na dos estaban padeciendo, no se podía diferir un solo momento su reso se admitió á discusión. lución. Se leyó la siguiente proposición de varios Sres. diputados: - Pedi El Sr. Benito dijo en apoyo de la proposición, que si no habia mos que las Cortes te sirvan tomar de nuevo en consideración el decre quien desenvolviese los fundamentos del dictamen que se hubiese de to sobre señoríos, aprobado en la legislatura anterior, y cuya sanción di…</t>
  </si>
  <si>
    <t>…Se procedió á la elección de cuarto secretario. En el primer escrutinio ración al Estado las acciones del banco pertenecientes ¿ las comunida tuvieron,el Sr. Saavedra 6y votos, al Sr. Benito 65, el Sr. Calderón des de Indias, era de parecer que asi debía hacerte. «mo , el Sr. Belda uno y otro el Sr. Buey. No habiendo reunido nin Ei Sr. Ferrer dijo con este motivo que cuando lo* periódico* de guno de dichos sehores la mitad mas uno del número de v…</t>
  </si>
  <si>
    <t>…ce de sus sueldos en ii oficiales tienen el caracur de gafes. misma proporción que contribuyen los demas individuos de los respe Después de haber apoyado la primera proposición el Sr. Benito, tivos pueblos en que se hallen establecidos, para cubrir el cupo deb quedó aprobada. contribución directa. Lo que comunicamos á V. E. de orden de Jai L ida que fue la segunda preposición, se opuso á ella el Sr. Rodrí mismas Cortes, para que sirviéndose dar c…</t>
  </si>
  <si>
    <t>…Cortes oyeron con agrado la felicitación que Isi hacia por su llaba de negocios la cototsioa Edeiintui t y ptdió 4 las Corte* quese instalación la milicia local y ayuntamiento de D. Benito (partido de sirviesen nombrar otra segunda que entendiese en síganos asuntos. Se acordó que te nombrase una segunda comisión eclauiticr, yque la Serena ). La comisión de Hacienda, en el expediente promovido por el in esta proposición pasase 4 urta de ellas. t…</t>
  </si>
  <si>
    <t>…na!, como hab a d cho el Sr O ver. ba a r »n ; r s\.mi iT.ris . "»’r o cualcer que d bla desapiobatse la oroposicton qu: sedoaur in los saludables ef etns que irl»" i p-u fjc r Él Sr. Benito: Yo creo que la proposición de que se trata d.b ó ha creía qu: las Corte» d-bun aprobar la propos ».oc qu: »i d s-u:i*.</t>
  </si>
  <si>
    <t>…erosefior, ¡na son suficientes quejit el clamor general que ■neldo antes que no lo* que no le tuviesen. hav respecto de la administración de justicia ! ¡ So te ve cual es el re Ei Sr. Benito psdió que se leyese el art 84 del regament-&gt;, que pre sudado de las visita» de cárceles, sigua se han dado al público? ; No viene que las comisione» deberán dar teiminantcmenu: su áicumen so s; ha visto que hay preso» d-1 año de so, del alio de 15, del afio d…</t>
  </si>
  <si>
    <t>…eciales de medicina, universidades, colegios y las respectivas autoridades militares observen la mayor escrupulosidad; otros establecimientos de instrucción pública, y la otra del Sr. Benito en la inteligencia dé que tales individuos han da ser examinado* nue para que la comisión fije con proporción loa grados intermedios que en vamente á su llegada-, y si no resultare conforme el dictamen de los it escala de rebaja representan. facultativos, oíd…</t>
  </si>
  <si>
    <t>el que opinaba qte la adición del Sr. Benito al citado dictamen debía les : 16 cónsules particu'ares: 16 vice-cónsules: 6 id. en clase de cestaaprobane. Aprobado. tes con un corto estipendio por razón de gastos; y 10 id. sin sueldo, Se puso á discusión el dictamen de la comisión de Hacienda sobre con cu…</t>
  </si>
  <si>
    <t>…antaría la pro En la elección de secretario tuvieron en primer escrutinio el seCor vincia entera en defensa de la Constitución ti amenazase un peligro Florcz Calderón 70 votos, el Sr. Benito 71, el Sr. Scoane uno, el se que exigiese medidas extraordinarias. ñor Brida otro, y el Sr. Soria otro; y no habiendo obtenido ninguno Calataytid tt Ae Atril. de dichos señora la mitad y uno mas del total 144.a procedió 4 seEl Sr. gefe político de esta provin…</t>
  </si>
  <si>
    <t>…nte las Cortes, y el este expediente sobra la aaesa. Rey asistirá , si gustare, á la apenara qna hará el presidente. Entraré 1 La c«m s.on de Premio», en vista de la exposición 4* D. Benito en el saino ain guardia», y solamtnáa aaompafiado de las penonaa qae fot y Gisbtrt, ra &lt;pu pedia qnt U» Catara »* «metra raeomendsrie</t>
  </si>
  <si>
    <t>…nta habla sobrevenido la guerra, y por este motivo no se •istcina constitucional, opinaba que podía ;aqced$rse 4 su solicitud. había empezado la obra. Aprobado. —— . i. . - ■ - El Sr. Benito se opuso al dictamen, manifestando no eran su fie i enLa misma comisión , habiendo examinado la instancia de Dona Ma - tes los tres millones para la continuación de los canales de Aragón, Cas ría Ortiz y Dofia Antonia Alonso, viuda y madre de una de las infel…</t>
  </si>
  <si>
    <t>…dministración ; se han servido las Cortes acceder á la solicitud del Paterna; y para la de Caminos y Onales al Sr. Gil de la Cuadra en consulado de Cartagena de Indias." lugar del Sr. Benito. Y lo traslado i V. de orden de S. M. para su inteligencia y efec Se procedió á la elección de los dos Sres. diputados que deben ir 4 tos correspondientes. Madrid 28 de Abril de i8*a. Aran juez , y salieron electos , primero el Sr. Villavieja, por 74 votos Ju…</t>
  </si>
  <si>
    <t>…onen rs. que quedó á d.ber cion ó continuación. Aprobado. su difunto marido al fondo de bulas: la comisión, en vista de los in La misma comisión, habiendo examinado la adición del Sr. Benito formes favorables producidos por ia interesada, opinaba que podía ac á la parte segunda dei párrafo /.°del presupuesto de la Gobernación de ceden; á su solicitud. Aprobado. la Península, reducida á que ios 13 mirones señalado» para caminos La comisión de Visi…</t>
  </si>
  <si>
    <t>…en valor, procurando si es posible que regu proponia lo mismo que pedia el Gobierno, á saber , 10 millonea. larmente cultivadas por los interesados pueda mantenerse una familia El Sr. Benito dijo, que pudiéndose calcular exactamente lo que de cinco personas. costarán los &gt;»9 hombres sobra las armas durant* los ocho meses, de El Sr. Romero dijo que habiendo de ser las suertes iguales en valor bito darse al Gobierno las cantidade* que pedia el Sr.…</t>
  </si>
  <si>
    <t>…en el los vecinos de cada pueblo como los comunero» gozarán la preferencia año anterior y á la del presente.” de pagar el importe de los remates rn todo ó en parte con créditos Ei Sr. Benito dijo que la primera parte estaba ya acordada por las competentemente liquidados de suministros ó préstamos que hayan he Cortes, y que respecto á la segunda podría declararse ser de primera lec cho, admitiéndoseles como si fuesen de créditos con intetes.” tura…</t>
  </si>
  <si>
    <t>…nformase. Aprobado. covedo . Niel -nj z, Vrsllano , C.lderon y Saavedra. Toul 119. Otro sobre un oficio del Gobierno , para que se decidiese 4 que mi Mu la quinta qu dó elegido el Sr. Benito por.84 votos , teniendo nisterio pertenecía la imprenta nacional; opinaba que tierdo una finca 7 '■r. Velasco, 6 el Sr. Serrano, 4 el Sr. Muro , 1 los Sres. Calde del Estado pertenecía al ministerio de Hacienda, al cual debia pasar rón , G. roz, Miran, Ruz de…</t>
  </si>
  <si>
    <t>…robase el to que no podia cumplirse por varias razones; y el teatro continuó plan que la societlad dirigió en g de Junio de «8ai , repetido ,o 16 de cerrado, hasta que últimamente D. Benito futí ha contratado dar 70 Octubre, jr elevado é lai Cortea en 7 de Mayo último, aun podría funciones de música hasta al carnaval con un» compañía que ha re proporcionarle i la Península la posesión de un fruto, que despu s del unido , lo cual está cumpliendo…</t>
  </si>
  <si>
    <t>…ontaduría general de consolidación del Crédito pú publicación de este anuncio, comparezcan por la escribanía de Cámara blico de esta corte , ó en Sigüenza al expresado comisionado D. Benito de D. Feliciano García Sancha 4 usar de su derecho en forma, y eva Ciruelos de Rojo, en el término de 30 días, contados desde la fecha cuar el traslado que lea esté conferido en la causa formada 4 los mis de este anuncio. mos y otros consortes por las heridas causadas 4 Pedro López, ve Id…</t>
  </si>
  <si>
    <t>…rmas.) to de ij9 hombres, coa cuya fuerza pudo mantenerte ind pend ente y rechazar los ataques, tanto Je la* tropas nacionales como las de los re La milicia nacional voluntaria da D. Benito, partido de la Setena, publicanos del no de la Plata. fi sus compañeros de Madrid. . f*'* tfaliaar completamente su sistema parece que et doctor Francia, » Vuestros compañeros de armas de D. Benito, Henos del mayor en imitando á lo* antiguos tiranos de la Gre…</t>
  </si>
  <si>
    <t>…cndote la gracia desde la fecha del recibo de esta orden. De la de beraciones.” S. M. 1- lo comunico á V. S. para su satisfacción, en concepto de Acto continuo ocupó la tribuna el Sr. Benito , y leyó el acta di ¡u que la traslado al Excmo. Sr. ministro de Hacienda para que daponga instalación de la Diputación permanente, la de la sesión que celebró su cumplimiento. Dios guarde á V. S. muchos años. México 10 de esta el día a8 de Setiembre, y asimi…</t>
  </si>
  <si>
    <t>…a ño , que votos de t&gt;9 , reuniendo el Sr. Romero 50 , el Sr. Sarabie uno, principiará i correr desde el día de su remate, concurran en el término el Sr. F ore» Calderón uno, y el Sr. Benito uno. de 20 dias, contados desde el de la fecha de este anuncio, á la veedu En seguida ocuparon tus respectivos asientos los señores presidente ría general de la Real Casa, lita en la galería baja del Real palacio, y secretarios, y el primero dijo: queden cons…</t>
  </si>
  <si>
    <t>…ningún modo puedo aprobar esta med.da , y El Sr. Marau: La m dida que se ha considéralo como arbitraria concluyo suplicando á la comisión tenga la bondad de retirar!*, y ad por el Sr. Benito es la mas sana, la mas justa y la mas U !, como lo mitir en su lugar mi voto patúular, reducido á que se extingan total ha probado ya demasiado el Sr. secretario de Gracia y Justicia; y si su mente los monjes y regulares, y se supriman los cabildos eciesiasii…</t>
  </si>
  <si>
    <t>…nto y protegía la voladura de Castelifoii 1 y El Sr. presidente nombró para la comisión de Guerra en turar del demas operaciones de conducciones y acarreos. Ei proyecto de ios fac Sr. Benito al Sr. Riego, y para la de Policía al Sr. Belmonte en lugar ciosos era el apoierarse de nuevo de Ca»t?ilL&gt; lit y sostenerte en el del Sr. Vil I avieja. para conaervar su prestigio , ó cuando no reconquistar su artillería 7 Se leyó el dictamen de la comisión e…</t>
  </si>
  <si>
    <t>…que el artículo as ti bien re puede pasir el enemigo á esta distancia para ir á tomar posición en dactado. otro punto, ó con otro objeto distinto del de apoderarse de ia piaza; El Sr. Benito -. Las observaciones hechas por el Sr. Oliver podían y no son desconocidos los daños y perjuicios que pueden causar i los tener alguna fuerza en el cato de que el artículo estuviese redactada en habitantes de la plaza las providencias que tome el gobernador;…</t>
  </si>
  <si>
    <t>Benito, Francisco</t>
  </si>
  <si>
    <t>Francisco Benito</t>
  </si>
  <si>
    <t>…eración según convie dente el Sr. D- Juan Josef Sánchez, que lo es por la de Sevilla; y para ne ; á cuyo efecto harán uso d&gt;chas autoridades de las instancias que re Secretario el Sr. D. Francisco Benito, diputado por la provincia de ciban después de pasado el término que se prefijó en la circular de 30 Toledo.” de Noviembre mientra* que no se fiaran formado dichas propuestas. Circular dtl miniitrrio de la Gobernaeion de la Peniuul*. De Real orden lo comunico…</t>
  </si>
  <si>
    <t>…e discutiría el dictamen sobra tonio Castejon por la de Madrid; D. Bartolomé García Romero por el empréstito rxtrangero; y qae esta noche te discutirían los asunto* la de Sevilla; D. Francisco Benito por la de Toledo; D. Manuel l i* abalado* para la sesión extraordinaria anterior, y si hubiese tiempo el fez C-lderon por la de Burgos, y D. Tor.bio Nufiez por la de Sai-&gt;dxtsm-n sobre el empréstito nacional; can lo que te levantó la sesión manca; y para supl…</t>
  </si>
  <si>
    <t>Benito, Josef</t>
  </si>
  <si>
    <t>Josef Benito</t>
  </si>
  <si>
    <t>…no el haberse empe dles de los cinco señores que componían la comisión de poderes; y 1 zado en el día i." de Dciembre en lugar de haber sido en el domin habiendo examinado los del Sr. D. Josef Benito , diputado electo por go 2, debían aprobarse. Quedó aprobado el dictamen de la comisión. Toledo, opinaba que debían aprobarse , á pesar de la ligera falta de ha Toledo. D- Gregorio *nz de Villavieja, D. Manuel Alaria Satnz berse celebrado aquella elección en…</t>
  </si>
  <si>
    <t>Benito, Juan García</t>
  </si>
  <si>
    <t>Juan García Benito</t>
  </si>
  <si>
    <t>…pamen Su Santidad tuvo el ay da Setiembre un consistorio secreto, en el tos de los facciosos, y mató á diferentes de lo* que te llaman defen que confirmó el nombramiento del l.mo. Sr. D. Juan García Benito, sores de ia fe, y defienden tus intereses particulares” actual obispo de Tuy, para la mitra de Santiago , y el del ¿t. D. Vi De Manrcta avisan lo siguiente : - Los de Murcia al regreso de una cente Ramos y García, vicario general de la dióces.s de tíuadix ,…</t>
  </si>
  <si>
    <t>Benitos, Antonio</t>
  </si>
  <si>
    <t>Antonio Benitos</t>
  </si>
  <si>
    <t>…Cortes en virtud de cesión de una prestamera mes de su goce...................................... 310. que poseía. . _ . . , Para Us obras de la casa almiran Teruel administrador D. Antonio Benitos , espitan retirado. In tazgo..................................................... 7,000. terventor D. Manuel Zapatero, oficial de la contaduría de Toledo. Huesca administrador D. Manuel González Campillo, cap tan gra Existencia para i.° de Agosto. 1,5 27... 1…</t>
  </si>
  <si>
    <t>Benjumea, Joaquín</t>
  </si>
  <si>
    <t>Joaquín Benjumea</t>
  </si>
  <si>
    <t>…tativos y pru Reunidos en la ciudad de Sevilla los jueces de hecho D. Manuel dentes que les dicte su ze!o, arreglen las diferencias y reclamaciones de Cosío , D. Antonio Mira'les, D. Joaquín Benjumea, D. Félix Al- da lo» pu b!os que se hayan de reunir acerca de los derechos y obli bao, D. Francisco García Otero, D. Diego Fernandez Mufioz, Don gaciones de sus respectivos vecinos at tiempo de su reunión. De acuer Josef Ruiz del Arco y D. Miguel Matute para…</t>
  </si>
  <si>
    <t>Benque</t>
  </si>
  <si>
    <t>…sin decir ni que la Iglesia es el imperio universal, tra* no te pruebe que esta cantúWf es insuficiente. ni que «leben mantenerte un ministro! con las oblaciones de los fieles, El Sr. Benque» ha manifestad* su* sentimiento* religiosos, de loe •orque las dos cosas ton extremadas. Si se hubieran adoptado los artícu* cuales ó* hecho alarde, y ha indicado que te debe atender necesaria ios que se presentaron la primera vez por la comisión, hubiera sid…</t>
  </si>
  <si>
    <t>Bentham, Jeremías</t>
  </si>
  <si>
    <t>Jeremías Bentham</t>
  </si>
  <si>
    <t>…ecretario del Despacho de Marina con facha ds ayer dice La suscripción á la obra intitulada Tratados de legislación civil y desde el Real sitio de Aranjuer lo siguiente: penal del Sr. Jeremías Bentham, traducida al castellano con com rotarlos » SS- MM. y AA. continúan un novedad en su importante salad.** por D. Ramón Salas, sigue ab erta por todo este mes de Mayo, en que se dará el 5." y último tomo en la librería de Soja, pagándose loa Circulara del minis…</t>
  </si>
  <si>
    <t>Benúrdi</t>
  </si>
  <si>
    <t>…D. Tomas González Carvajal, consejero de Estado, ¿ in cootodoa desde el en que te anuncie en la gaceta. La junta del Crédito dividuo de las academias Espafiola y de la Historia; á D. Benúrdi&amp;o público lo hace saber para noticia de los que deseen interesarse en su Velasco, duque de Frías, consejero de Estado, é individuo «le les aca remate. demias Espafiola y «le S. Fernando; á D. Pedro Tellez de Girón, prín Dictamen de las comisiones de Hacienda…</t>
  </si>
  <si>
    <t>Ber</t>
  </si>
  <si>
    <t>…chez Cirquero, D. Francisco Robles y Bemtez y Don rescindido el convenio; pero siempre tendrá su efecto hasta que vuelva Francisco Puyol: los dos restantes D- Francisco Cairanza y D. Ber i abrirse y aprobarse las nuevas subastas, y á que indemnicen los con nardo de la Peña Díaz dijeron haber lugar á la formaron de causa. tratistas á la Hacienda pública de todos 1«* dallos y perjuicio* que se la En 5-del corriente dice también que el dia j.J s…</t>
  </si>
  <si>
    <t>Ber-</t>
  </si>
  <si>
    <t>…Preves»*, ló la bandera tricolor en Touars a ocho leguas de Saumur. Los tosur- que se halla en una situación deplorable. f rntes, -11 número de 300 á 400 , estaban mandados por el general Ber- Los fondos públicos en Lóndres estaban el día 21 4 las tres de la ton , qu rn tenia á sus órdenes al tedíente Deion , agente principal de tarde dei modo siguiente: lo» consolidados 4 783—Cuatio por 1004 Ja conspiración de -saumur. Se habían dirigido hacia esta úl…</t>
  </si>
  <si>
    <t>Berasstegu, Joaquín</t>
  </si>
  <si>
    <t>Joaquín Berasstegu</t>
  </si>
  <si>
    <t>…las operaciones que 40 de Granada y milicia activa de Va'Udolid, mandara p-r los te están i mi cargo y triunfo de la causa nacional. Quedo en rcm.t r 4 nientes D. Josef Camp is y D. Joaquín Berasstegu:, e pnm.-ro de! reV. E. una relación circunstanciada de todo el sitio , y los d.ta les g.miento ligero de Bailen, y ei secundo del de voluntarte* de Castü a, correspondientes de cuanto se halle en el pueb'o y fottalezas, á que y a la de c.bailcrU compuesta de…</t>
  </si>
  <si>
    <t>Berenguer, Alejandro</t>
  </si>
  <si>
    <t>Alejandro Berenguer</t>
  </si>
  <si>
    <t>…ante consideración. La comisión primera Ecles ástica presentó su dictamen sobre la ex » A hádase i esto que por una de aquellas circunstancias extrañas que posición del presbítero D. Alejandro Berenguer, beneficiado, en cus tanto influyen en la política de los Estados no ha sido abundante ia p r razón de hab r quedado incongruo dicho b n.fic o por haber».is última cosecha, y no se ha podido menos de comprar mucho trigo. priva lo de los diezmos que percibía c…</t>
  </si>
  <si>
    <t>Berenguer, Benito</t>
  </si>
  <si>
    <t>Benito Berenguer</t>
  </si>
  <si>
    <t>…argase el examen de este asunto á la que está ya nombrada. Galicia. El Sr. Seoane dijo, que era tal la indignación que le habian causado A la del Crédito público una exposición de D. Benito Berenguer, las noticias de las ocurrencias de ayer, que se abstenía de hablar de ellas, teniente retirado en dispersos de Cartagena, en la que hacia presente y de investigar sus causas por temor de faltar al decoro que se debe al los méritos contraídos en la guerra con…</t>
  </si>
  <si>
    <t>Beresfond</t>
  </si>
  <si>
    <t>…planes de los Czares y du Inglaterra ha salido una escuadra numerosa con tropas de desemhirco, Ja famosa Catalina , tiendo presa de los turcos la célebre Constantino- mandadas por lord Beresfond; lo que coincide con cí viaje de este ma p'a; y esta será verosímilmente la segunda campaña. La última escena riscal de que antes de ahora se ha hablado. El destino de ia cs.uadra es que presentará la euerra será el establecimiento de un nuevo Estado según un…</t>
  </si>
  <si>
    <t>Beresford</t>
  </si>
  <si>
    <t>…arte á la Rusia, y por de id.) Decreto de las Cortes perdonando í los pueblo» las can; ida Je* que otra é la Inglaterra. Se susurra igualmente que ha sido llamado ¿ Ingla terra el mariscal Beresford, y que se formará un egército de ao9 ingle adeudan del 17 por 100 de los caudaks de propios áte. (Gaceta del ses , que parece deben estará sus órdenes; y estas voces no deben tener 11 de id.') Circular del ministerio sobre examenes de herradores y reunión del…</t>
  </si>
  <si>
    <t>Núm. 166. (7 cuarto».) 885 GACETA DE MADRID. DOMINGO 9 DE JUNIO DE 182». &gt;&lt;K ~ ■■ ■ --------------------------------NOTICIAS EXTRANGERAS. numeroso que el que tenia el general Beresford en b guerra de la Pe nínsula; y concluyó diciendo que lo« gastos de aquellas tropas podran VBAKCfA. y d.bian reducirse de modo que no solo bastasen las rentas de la pro París 37 de Mayo. vincia para mantenerlas, sino que quedase un sobrante para el tesoro Se…</t>
  </si>
  <si>
    <t>Beríon</t>
  </si>
  <si>
    <t>…ón de esta ciudad nes. (IV.ijz la gaceta Je! dia Vi) Parece que á la cabeza de aquei a sucon la de Ant-quera, d.ndole dirección por la vil.a de Almog.a , se ha b ev.icion están el general Beríon , otro llamado D.Ion , a guno» otros ofi ce saber a! público, para que los patticu ares quv gusten emprender es ciales y cuatro médicos. Se aseguraba que el primero hab a circulado una ta obra, con arreglo á lo preven.do por Rral orden d • 4 de Agost &gt; úl pro…</t>
  </si>
  <si>
    <t>Beristain, Vicente de</t>
  </si>
  <si>
    <t>Vicente de Beristain</t>
  </si>
  <si>
    <t>…ad paterna en el KurdUtan, y se hace ver cuánto respetan los kurdos dí Setiembre dé la vela en el puerto de Pasages la fragua Artra. SeC.. 1 va á loe desgraciados. &lt;tíl Carmen, tu capitán D. Vicente de Beristain, coa destino á Mani Myhaiuud- Agí, dice Mr. Jaubrt, era el, comandante del castillo la, se hace saber al público para su noticia. de Bayazid donde yo estaba encerrado, y aunque había nacido entra hombres perversos, sin embargo era virtuoso, bus amigos habían…</t>
  </si>
  <si>
    <t>Bermudez, Josef</t>
  </si>
  <si>
    <t>Josef Bermudez</t>
  </si>
  <si>
    <t>…xcmo. Sr.=Franc:sco Espoz y Mina.^Excmo. Sr. secretario del Des las órdenes del coronel D. Fernando Miranda , segundo gefe de la pla pacho de la Guerra.” na mayor , y del teniente coronel D. Josef Bermudez, compuestas de los cuerpos de Mallorca , Zapadores, Tarragona, Orense y Laredo de »Egército de opetacioncs det 7.0 distrito. Excmo. Sr.: Saliendo bían atacar otras posiciones sobre la izquierda, sostenidas por la ca antes del amanecer del pueblo de Bellver, á…</t>
  </si>
  <si>
    <t>Bermudez, Juan Agustín Cean</t>
  </si>
  <si>
    <t>Juan Agustín Cean Bermudez</t>
  </si>
  <si>
    <t>…que constituyen une marina biblioteca Nacional, y secretario de la academia Espafiola; á IX Lean poderosa y permanente; te da una idea de tu historia en las última* dro Moratín ¡i D. Juan Agustín Cean Bermudez, individuo «le la épocas; y finalmente se examinan con imparcialidad los vario» cuerpos academia de la Historia y de 5. Fernando; á D. Manuel González Nar- ó establecimientos que componen la armada naval de Espafia, propo ganet; á D. Josef Madrazo, de la acad…</t>
  </si>
  <si>
    <t>Bermutregue, Luis</t>
  </si>
  <si>
    <t>Luis Bermutregue</t>
  </si>
  <si>
    <t>…. Pedro de Outes á D. Francisco Térro Cabeiro: para el de V¡cutanaos, disponga que el comandante general del segundo distrito en go á D. Francisco Mooseo: parael de Puente Areas á D. Luis Bermutregue el león de insignia A dicho regimiento de Pontevedra en nom dez de Castro: para el de la Cañiza á D. Felipe Sánchez Quiñones: pa bre de las Cortes, expresándose en uno de los lados del pedestal que él ra el de Badea á D. Manuel Salgado: para el de Guinzo de C…</t>
  </si>
  <si>
    <t>Bernabé</t>
  </si>
  <si>
    <t>…óximo; y que ignolo» países día 1* repúb ica siembra! i* semilla futura de tu disolución fándose quiénes sean los herederos de los Sres. Ilennque II nríqueg da política. Guarnan y Doña Bernabé!a di Morales, á quienes se considera igual Los anglo-americanos han sido felices hasta ahora, porque la re mente con derecho para la transición, ae anuncie en la gac.’ta y otros pe pública no ha experimentado aun ninguna de las torm ntas qu* su^eu riódicos de…</t>
  </si>
  <si>
    <t>…zar el gobierno a que le llamaba la imparcialidad. Un Cual hicieron un fuego mas vivo, y no pediendo resistir la decisión artículo de carta dice: » Al fin vendremos á parar en que D. Bernabé del ataque á la bayoneta, se pusieron en precipitada fuga, y se les p:-rs.ó D. Diego , después de descalab ace y descalabrar a otros muchos, £u&lt;ó hasta mas alia de la venta de Zasa de Surta. En este dia la co urn corran á Buenos-Aires á unirse con los destron…</t>
  </si>
  <si>
    <t>Bernabeu</t>
  </si>
  <si>
    <t>…ábamos rornsAi. en el antiguo sistema, y para que se enmendase en lo sucesivo el ofi cial que hubiese extendido el decreto. lútea 13 di Entro. Se leyó fa siguiente proposición del Sr. Bernabeu. » Que se devuelva este oficio al Gobierno para que lo extienda en Srrion di Cortil dtl /o. términos constitucionales.” Quedó aprobada. Esta sesión se ocupó en discutir el proyecto de decreto sobre la or Se leyeron un dictamen de la comisión de Guerra relativ…</t>
  </si>
  <si>
    <t>Bernabíu</t>
  </si>
  <si>
    <t>…or el facultativo ó facultativos.*’ lirv.o acordar la medida indicada en el afio anterior en una proposición El Sr. Alonso opmó que deb.-ra establecerse un registro civil, poc del Sr. Bernabíu , relativa al estado de varias iglesias de España, cuyos el cual se supiese cuál era el estado de los ciudadanos y de sus derechos, prelados fueron expatriados por motivos bien notorios. en razón de los muertos, nacidos y casados que hubiese ; que esto mis Ot…</t>
  </si>
  <si>
    <t>Bernal, Jos-f Eugenio</t>
  </si>
  <si>
    <t>Jos-f Eugenio Bernal</t>
  </si>
  <si>
    <t>…de esta acción liber ra magistrados de la audiencia de Puerto- Príncipr, en la isba de duba,tar á los pueblos amenazados de ser presa de los infames que egercen 4 D. Diego Frías, D. Jos-f Eugenio Bernal, D. Jo.ef Et:r’.m, Dontodo género de vejaciones , y ponerlos en el caso de buscar en la Ildefonso Josef Medina y i D. Josef Angel Garrido.tierra un asilo i su maldid. Lo que pongo en conocimiento de V. E. para que lo eleve al de S. M. Dios guarde á V. E. much…</t>
  </si>
  <si>
    <t>Bernal, Vicente</t>
  </si>
  <si>
    <t>Vicente Bernal</t>
  </si>
  <si>
    <t>…de nigiienza D. Juan Francisco Peres y un cura, d* toi siones y brigadas para la aprobación de S. M. &lt;5.* Ei Rey , en considera- 30 muerto* , incluso el mismo espitan deSigíienza D. Vicente Bernal cion á los méritos y servicios del mariscal d: campo D. Francisco Es- y a cutas, 10 ó ra caballo* muerto* y 60 que se le* han cogido; 33» poz y Mina, i tus conocimiento militares, y i su ardiente zelo por la fu.iie», 310 fornituras, algunas municiones, equipa…</t>
  </si>
  <si>
    <t>Bernar-, Juan</t>
  </si>
  <si>
    <t>Juan Bernar-</t>
  </si>
  <si>
    <t>…Cortes por el tiempo de la diputación.” instruye se. Aprobado. Al final del artículo 10: - Esto no impedirá la acción del Gobier La comisión de Guerra ,en vina de la solicitud de D. Juan Bernar- no para mandar abonar del imprevisto g-ncral Jo qu: creyere correadiño de Neira, capitán de granaderos provinciales, para que las Cortea pondiente á los tugaos á quienes ocupase en encargo* especiales de ín le recomendasen al Gobierno, á fin de que en atenció…</t>
  </si>
  <si>
    <t>Bernard</t>
  </si>
  <si>
    <t>…s.sPor la 2.* compañía Josef María Cala- método antivenéreo del doctor Hufeland, médico del Rey de Prusia, y bu¡g=Por la 3/ compañía Ramón Casi nos-=Por la 4:’* compañía: otro del doctor Bernard, médico del Rey de Baviera. j." Un artículo Manuel Navarro.=Por la 5.* compañía Josef L!uch.=Por la compa de variedades y otro de bibliografia médica nacional, y la noticia da ñía de cazadores Josef Guix.=Segundo batallón de voluntarios co un nuevo método pre…</t>
  </si>
  <si>
    <t>Bernardo</t>
  </si>
  <si>
    <t>…,conde de Florida-Blanca, D. Pedro Matute, D. Josef Antonio diencia de Castilla la Vieja, y escribanía del número de esta M. H. Ponzoa , D. Josef Radon, D- Andrés Moya Lnzuriaga, D. Bernardo villa de D. Jacinto Gaona y Loeches, se vende en pública subasta una A sen jo, D. Miguel Ripa, conde de la Torre del Fresno. casa sita en esta población, calle de la Palma Alta, señalada con el nú Reunido el jurado, y habida la confereocia, se declaró por una…</t>
  </si>
  <si>
    <t>…............ En Cádiz. de la plaza de Zamora D. Manuel de Tena, ai teniente d 28181..... 1000...................... Er. Ocaúa. de infantería de Vitoria D. Máximo Remoto, a. asesor D. Bernardo 18245..... 1000...................... En Madrid. Peinador, y al juez de primera instancia D. Diego Antonio Gon zález Aionso, actual diputado de Cortes, haberles sido grato su ze ARTICULO DB OFICIO. lo por la gioria de los tres héroes castellanos Juan de Fadil…</t>
  </si>
  <si>
    <t>…an de trigo puro sin otra taron por la afirmativa fueron D. Francisco Escudero I,asi , D. Fran mezcla, bien cocido y sazonado: de forma que la fanega castellana no cisco Carranza, D. Bernardo de la Peña Díaz, D. Josef María de exceda en su producto de 64 raciones, ni baje de tío. Ansa, D. Josef Antonio Puyade, D- Vicente Sánchez Cirquero , Don a.* Este suministro deberá principiar en i.t de Setiembre pró Francisco Puyol y D. Josef María Retortillo…</t>
  </si>
  <si>
    <t>…dia hayan esta nuestro artícu'o denunciado por injurioso por el Sr. intendente de es do en costumbre de hacer os de dichos fondos. 3.a Se autoriza á ias di te egércitó y provincia D. Bernardo de El zalde, en t.° de Mayo putaciones provinciales para que señalen á los respectivos ayuntamien de 18 2261c.,” declaramos por siete votos contra dos, siendo estos de Don tos ias cali dades que puedan ó deban gastar en la fiesta del aniversario Juan Guardiola y D.…</t>
  </si>
  <si>
    <t>…la exposición loa impresos que expresa la denuncia hecha al &gt;&lt;r. a'calde constitucio de 1/ de cate mea en que ia dirección general de estudioe, a cons.cuen- nal primero por el ir. intendente D. Bernardo de El zaMe, el artículo cia de la Reqt orden que te la comunicó ,con fecha de a* de Octubre y representación insertos en los Diariot conttrtudonalei de esta ciudad último» propone la planta que interinamente debe darte i dicha «cue de los días 13 y 14 de los corrie…</t>
  </si>
  <si>
    <t>…mpuesto de loa Sres. siguiente*: D. Rafael Costa, D. Andrés Navarro, D. Manuel Gallego, el Ayuntamiento constitucionaI de Cádiz. conde de Torre del Fresno , D. Celestino Olozaga , D. Bernardo Por acuerdo del Excmo. ayuntamiento incluyo á V. S. copia del Asenjo, D. Juan Pablo Pascual, D. Juan Luque y D. Julián de oficio que le pasó el Sr. gefe superior político en t$ del que acaba, Fuentes. y de la contestación que se le da con esta fecha, y la alocuci…</t>
  </si>
  <si>
    <t>…icente Ramón, D. Manuel Ron, D- Francisco Rollo, Don propia dirección te dispondrá lo conveniente para el zecibo de los refe- Jaime Sola , D.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t>
  </si>
  <si>
    <t>…as de Cana En la misma ciudad de Cádiz, reunidos en jurado de acusación loerias , y para las de Mallorca i D. Leandro Rubín de Ceb»; asign.it- Sres. D. Francisco Roble» y Benitez, D. Bernardo de la Pefia Diaz,dotes á cada uno de los expresados visitadores por gratificación 8o rs. diarios, que empezarán á gozir desde el día en que emprendan su D. Joaquin de Tru.ba, D. Miguel García Ortiz , D. Juan Bautista Beamurguia, D. Domingo Saizcbaga, D. Amoni…</t>
  </si>
  <si>
    <t>Bernedotte</t>
  </si>
  <si>
    <t>…du s que v c r.os cao a r a autorizaba para fusilar al individuo que en una acción bajase la cabeza. parroquia. Sin duda se hubiera entorpecido la opera: o-, á : ■ x- - : El mismo general Bernedotte mató con su espada seis granaderos, y la prudencia del Sr. comandante de aimas, coa quien conf r - « aun en esta campaña de Cataluña ha habido egemplos de esta naturale transigí este asunto felizmente. Por esta razón con'.-ene »ab : c za ; y asi el artículo d…</t>
  </si>
  <si>
    <t>Berrai, Joaquín</t>
  </si>
  <si>
    <t>Joaquín Berrai</t>
  </si>
  <si>
    <t>…emos de que se apruebe la dotación de 500 ducados anua i e qu- Ha seña año que contiene, forme el oportuno expediente y lo remita á las Cortes. al médico de aquella villa, y too a D. Joaquín Berrai , que timb ra Aprobado. lo ha sido en la misma por espacio de :i años. La coau.-.cm opinaba Otro sobre la queja dada por 15 comerciantes de Cádiz contra el que debían aprobarse estas dotaciones, Aprobado. intendente de aquella provincia y empleados en la adua…</t>
  </si>
  <si>
    <t>Berri, Antonio Marta Baro y</t>
  </si>
  <si>
    <t>Antonio Marta Baro y Berri</t>
  </si>
  <si>
    <t>…. Su olor Málaga titulada Manescau y compañía, en representación de¡&gt;. Vicente es fétido y sulfúreo, es grueso y pesado, y cuando te calienta mucho Saluc:, marques de Monte:nasi,y D. Antonio Marta Baro y Berri,de no se puede respirar. También me pareció que este viento se compone aquel comercio, sobre pago de fletes, averías, daños y perjuicios oca de tres agregados; á saber: i.° del viento mismo : %.“ de un calórico sionados con motivo de ia descarga hecha de dich…</t>
  </si>
  <si>
    <t>Berton</t>
  </si>
  <si>
    <t>…ís , que lo adora, que quiere verlo le » Continúa la misma incettidumbre misteriosa acerca de iá empresa los de las desgracias que lo aflijen; que conoce los lazos que lo unen del general Berton. El diario de fiantes dice que no puede tardar en con la madre patria ; que es hijo de sus hijos; que no sabe faltar á su caer en manos de la tropa que le persigue. Los periódicos ultras de Ta cuna, á sn obligación, ni 4 los juramentos que espontáneamente lo…</t>
  </si>
  <si>
    <t>…laciones tienen relación con Jas del egército ruso del Pruth. un egemplar de la obra intitulada Facultadet de ¡os Juradoj, traduci En Francia se sigue hablando de la tentativa del general Berton en da y presentada á las mismas por D. Antonio Zarate y Herrera. Thotiars, sin que puedan aclararse con exactitud los hechos ni el esta A la comisión de Hacienda se mandaron pasar una lista de varios do de este asunto. El Gobierno nada ha publicado de oficio,…</t>
  </si>
  <si>
    <t>…del pais, y empezó publican M.,rzo dt ¡822.” do la proclama siguiente: — Con fecha del día 8 escriben de Parthenay lo que sigue ¡ » Todavía » Valerosos cretenses: no han cogido al general Berton; pero es imposible que te escape.” » Con una satisfacción indecible be puesto los píes en este suelo es El Constitucional avisa á sus suseziptores que en la administración clarecido por el recuerdo de la gloria de nuestros antepasados , que flo de correos han…</t>
  </si>
  <si>
    <t>…ose por este med o, acridiun disturb o*: y en París no ha hab'do desgracia aiguna de esta ciase. Sa a? propio tiera; o su abhesion decidida á la Nación, su Cañares” .ie bemos quel general Berton no pudo reunir mas qué un pu'ado de hom- Cortes, su Rey, sus leyes y el bienestar y comodidad de ¡o»' pu S -&gt;* brrs, lo, cuiies se dispenaron al momento que te totnatoa medidas que loa constituyeron en la dignidad que tg'rc-n , y cuyo can para ello. Sabemos q…</t>
  </si>
  <si>
    <t>…generales bemelé y Lafond—El Diario dt CORTES. Parts dice que habiendo sido «'testado en Saint Calais un individuo de RlilDINClA BU SEÑO* VALDUS (DOS «ATETAN» ). la cuadrilla del general Berton se presumía que fuese él mismo , y que Sesión de: 8 de AtrS.pata averiguarlo y examinar la identidad salían de París dos oficiales ' Se leyó y aprobó el acta de la anterior. ¿ti estado mayor. A la comisión de Comercio se mandaron pasar dos expediente* .. Sabe…</t>
  </si>
  <si>
    <t>Gaceta de Madrid n.º 192</t>
  </si>
  <si>
    <t>…i 30 dt Junte. p escarmentarán la osadía de lo» que no se acogiesen al favor de la lep Un periódico publica hoy ciertos pormenores acerca de la prisión en el término señalado. del general Berton, que asegura son auténticos. De ellos resulta que el Los alcaldes p apuntamientos de cada pueblo tomarán razón exacta haberla conseguido fue obra principalmente de un tal Wolfel, sargen de los nombres p apellidos, vecindad p oficio ó modo de vivir de loa to d…</t>
  </si>
  <si>
    <t>…á En Francia continúan las Cámaras en discusiones de intereses locales, la decorosa subsistencia y dotación del culto y del clero. Madrid 17 en relaciones acerca de la prisión del general Berton, en publicar ca de Junio de &gt;8ai.” lumnias contra las Cortes de F.spsña, contra el Gobierno y contra va Por tanto mandamos á todos los tribunales, justicias, gefes, gober tios españoles, y en contar absurdos tan extraños, que el Constitucional nadores y demas…</t>
  </si>
  <si>
    <t>Bertrán, Joscf Antonio</t>
  </si>
  <si>
    <t>Joscf Antonio Bertrán</t>
  </si>
  <si>
    <t>…nego Ramón Frliu, D. Joscf Terrea, D. Baltasar Morct, D. Josrf Vidal y cios entre rusos y turcos no se dan por acabados. En Constantmopla, y iarriga, D. Francisco Ignacio Pelleja, D. Joscf Antonio Bertrán, aun en el mismo divan , continúa reinando ia mayor desconfianza bree D. Josrf Martí, D. Joseí Pujol y D. Alberto Arnet, declararon por la corte de Rusia: á cada momento se están manifestando reacios, y difi- unanimidad haber lugar á la formación dt causa con…</t>
  </si>
  <si>
    <t>Bertrán, Josef Antonio</t>
  </si>
  <si>
    <t>Josef Antonio Bertrán</t>
  </si>
  <si>
    <t>…por la fuerza en nuestros negocios domésticos, En la ciudad .de Tarragona, reunidos los Sres. jueces de hecho y también es cierto que notamos en dos periódicos, uno ingles y otro Don Josef Antonio Bertrán, D. Rafael Sdsate, D. Ar.tonio Gutiér francés, «n lenguage di veno del que antes usaban .* enemigos irreconci rez de Pando, D. Guillermo Olivrr, D. Pablo Sauri y Ern, Don liables da la Espada, invocéban contra nosotros todo el poder da la santa Juan Olivclla,…</t>
  </si>
  <si>
    <t>Bertrán, Sebastiana</t>
  </si>
  <si>
    <t>Sebastiana Bertrán</t>
  </si>
  <si>
    <t>…de la hacienda que les pertenecía. » SS. MM. y AA. continúan sin novedad en su importante salud.” A la misma dos exposiciones, la una de Doña María Dolores Ca ñedo , y la otra de Doña Sebastiana Bertrán , viuda de D. Manuel Ls- Ei Rey , enterado por una exposición del ayuntamiento constitu tepa, pidiendo se les continuase pagando la pensión que actualmente cional de Moufoite de Le unís de los útiles servicios que han hecho disfrutaban. D. Francisco Gómez , t…</t>
  </si>
  <si>
    <t>Besc'va, Ignacio</t>
  </si>
  <si>
    <t>Ignacio Besc'va</t>
  </si>
  <si>
    <t>…plente. Aprobado. contagios que ha sufrido la de Mallorca al tiempo de señalar las contri La comisión pr mera de Legración, en vista de ta exposición del teniente coronel retirado D. Ignacio Besc'va en solicitud Je ca ta de buciones. A la comisión de Crédito público se mandó pasar un expediente ciudadano, opinaba que deb.a concederse la gracia referida. Apro promovido porD. Lorenzo Calvo de Rozas sobre la compra de vanas bado. fincas en la c udad de Alca…</t>
  </si>
  <si>
    <t>Besieres</t>
  </si>
  <si>
    <t>…sta de esta plaza 4 ca Ei gob rnador interino de Jaca con fecha de ayer me dice lo que ra descubierta los enemigos de nuestras libertades patrias. El faccioso iigu.- : nominado el coronel Besieres, creyéndose superior por el número que 11 No perd endo yo fat'ga ni ddigenrn alguna ne cuantas puedan tenia á sus ordene» , intentaba encerrarnos en el fuerte para apoderarse contribuir á favor d-.l sot-nra constitucional , y noticioso de que una de esta vill…</t>
  </si>
  <si>
    <t>Betando, Nicolás</t>
  </si>
  <si>
    <t>Nicolás Betando</t>
  </si>
  <si>
    <t>…partea sabe de él; y se suplica á la persona que pueda tener noticia del citado del número de los individuos que las componen son curas párrocos ele Bandín! se sirva comunicarla i D. Nicolás Betando , que vive en Cádiz gido» por ellos mismos; por consiguiente si á e tos no se les ha dado calle de S. Josef, núm. 64, de lo que ae vivir4 agradecido; advirtien lacóncrua necesaria, habrá sido porque las rentas no habrán alcanzado do para que no haya equivocac…</t>
  </si>
  <si>
    <t>Betmudez, Juan Agustín Cean</t>
  </si>
  <si>
    <t>Juan Agustín Cean Betmudez</t>
  </si>
  <si>
    <t>…r en Secreta. mo afio, á 2 rs.; y una carta sobre el estilo y gusto en la pintura de la ARTICULO DE OFICIO. escuela sevillana , impresa en Cádiz el de 1806 , á 6 rs.: las escribió D. Juan Agustín Cean Betmudez, individuo de la academia de His . Circular dtl ministerio de Gracia y Justicia. toria y de las de S. Fernando de Madrid , de S* Carlos de Valencia y ► 'Con esta fecha digo al Sr. secretario del Despacho de la Goberna- ' de S. Luis de Zaragoza, y la* publica…</t>
  </si>
  <si>
    <t>Betsrra, Gomai</t>
  </si>
  <si>
    <t>Gomai Betsrra</t>
  </si>
  <si>
    <t>…ivar te dirigía con unos 10 bomnumero* iundiitM á loa que airaron sol dirás en al anterior; y la bres á parar el Guadalquivir , perseguido muy de cerca, y que los Guer segunde del Sr. Gomai Betsrra para que la comisión de .Gnerra pro ras con (4 hombre* huían hácia el Rubio, habiendo pesado por fuera pusiera loa medioa da efectuar al reemplazo del egército. del Atabal, perseguidos vivamente por el bizarro Milocha coa 8s ca Sa mandaron petar i la comition…</t>
  </si>
  <si>
    <t>Bey</t>
  </si>
  <si>
    <t>…ooperar á aegun dicen, contra la Morca , y aun añaden que ha salido ya de los sus miras para frustrar ó escarmentar los proyectos de los malvados, y Dardanelot para aquel punto el capitán Bey , convoyando 60 trasportes sobre todo guardar un silencio el mas profundo. Lo demás es echar fi que conducen tropas de desembarco. perder los proyectos mas bien combinados, abtir las puertas del ter • Por noticias de Bucharest del ag de Diciembre sabemos que…</t>
  </si>
  <si>
    <t>Beyan, Luis</t>
  </si>
  <si>
    <t>Luis Beyan</t>
  </si>
  <si>
    <t>…penas de Cámara, de Vallidoüd á D. Josef María Queipa, que lo es de la de Segarla: A la del Crédito público una solicitud de Ignacio González, rela- para la de Almería al Coionel D. Luis Beyan, que io es de ia de Na | tiva á que se le concediese la limosna de 4 rs. diarios por haber serVI- varra: para la de las islas Baleares ú D Guillermo Montes, que io e» ü do de cocinero 50 años en el monasterio del Escoria!, de la misma : para la de las islas C…</t>
  </si>
  <si>
    <t>Bher</t>
  </si>
  <si>
    <t>…Munich. Munich ( Batiera ) Jgde Febrero. Antes de ayer se prohibió la publicación del diario ti Argot, í causa de haber insertado un artículo , cuyo título era: Materiales para El profesor Bher, primer burgomaestre (magistrado) de Wurtzburla historia dtl tisttma Je loi chismes tn Suecia, ti autor de este artí Í;o, uno de los individuos que mas se distinguieron en la primera Jegi*-culo trataba de probar que desde el alio de 1810 había existido siem a…</t>
  </si>
  <si>
    <t>Bi, Gómez</t>
  </si>
  <si>
    <t>Gómez Bi</t>
  </si>
  <si>
    <t>…unto hasta la próxima legislatura. Madrid Mitre oles 1 r de Dieiemtre. Después de haber hecho algunas observaciones el Sr. £j|| ucta sobra su proposición, á las cuales contestó el Sr. Gómez Bi¡“¡niai, te apro S. M. el Rey y SS. AA. signen sin novedad en su importante bó el dictamen de la ccmision. silud. S. M. ia Reina está aliviada. A la comisión de Comercio se acordó pasase una iridación del se CORTES EXTRAORDINARIAS. ñor Florea Calderón al art.…</t>
  </si>
  <si>
    <t>Biacken</t>
  </si>
  <si>
    <t>Gaceta de Madrid n.º 215</t>
  </si>
  <si>
    <t>…combates con los de alto burdo. prisión de 14 personas en Armagh, pueblo de Irlanda , indiciados de Las cartas particulares de Constantinopla del día t o de este mes, traición. Ei coronel Biacken, que por una orden que ss le había dirigi escritas por los griegos, refieren que la escuadra del capitan-bajá ha si do desde Dub ín, iba encargado de hacer la prisión, procedió con tan do batida por la griega; pero otras dicen sencillamente que esta persigue…</t>
  </si>
  <si>
    <t>BiaÜ, Antonio</t>
  </si>
  <si>
    <t>Antonio BiaÜ</t>
  </si>
  <si>
    <t>…5! bao a 1&gt;. Lo provincia, y asimismo el de la de Poderes acerca de los diputados de renzo Antonio de Ve.iia , que lo es de li de Vizcaya: para la d. Za las islas Baleares. mora á D. Antonio BiaÜ: para ¡a de V.loria á D Manuel de la R Se levantó la sesión pública á las dos y media, continuando laa va Herrera , que lo es de ía Je AL:va : para la de Ch.n-hilia .• D Ma Cotíes en secreta. nuel González Allende: para la de Cuenca á D Cao runo le.:.: indo,…</t>
  </si>
  <si>
    <t>BíC'rra</t>
  </si>
  <si>
    <t>…de los ayuntamientos , sino que debían teñir en clin Se abrió i las nueve menos cuarto, y leída al acta de la anterior intervención otras personas , principalmente los obispos. El Sr. BíC'rra contestó que no se trataba en el proyecto mas que quedó aprobada. be dió cuenta de un dictamen de le comisión de Premios acerca de de hacer un catálogo de lea obligaciones de los Ayuntamientos, si o esta Ja solicitud de Evaristo Herrera , cabo t.‘ , y M.nuel…</t>
  </si>
  <si>
    <t>Bicerra</t>
  </si>
  <si>
    <t>…r que el artículo no debe cláusula debe desspr bar»;, porque cuando se confian a las d-putaciones aprobarse. asuntos de mayor entidad, no debe haber inconveniente en que tengan El Sr. Bicerra: La comisión propone en el art. 161 que las diputa faeul'.a-íes para r mover los empl-ados de su secretaría. ciones provine.ales podrán tener ademas de los empleados .en la secreta Ei.Sr. Adan d.jo que ya que las Cortes habían determinado que hu ría los ofici…</t>
  </si>
  <si>
    <t>Bicerra, Gómez</t>
  </si>
  <si>
    <t>Gómez Bicerra</t>
  </si>
  <si>
    <t>…tos netos en el último arreglado al sistema que nos rige y á los decretos de las Cortes; pero quinquenio.” que en su opÍQÍon nada mas sencillo ni mas justo que lo que había pro Ei Sr. Gómez Bicerra se opuso, manifestando que habia muchos in puesto la comisión de Comercio de las anteriores Cortes en el art. 1.® convenientes en graduar el valor del capital de ios oficios del moco de su dictamen, el cual creía debia aprobarse. que se proponía en ei artícul…</t>
  </si>
  <si>
    <t>…a. El Rey, que D.os total 114: el Sr. Salvato por 60 del total 113: el Sr. Adan por 58 del guarde, ha dispuesto la convocatoria de Cortes extraordinarias para los total ti 1; y el Sr. Gómez Bicerra por 59 del total ic8. objetos que ya sabéis, los cuales indican de un modo nada equívoco Se acordó que pasase á la comisión de Poderes una expos;cion da que S. M. trata de asegurar nuestras I b -nades, nuestra Constitución D. Miguel La,tama, en la que manifes…</t>
  </si>
  <si>
    <t>…ecibo de Después de haber hecho algunas observaciones sobre este artículo el órrW.fs, remitiendo expedientes &amp;c. i peto cuando m los oficios ó ex- Sr. Buey , á las que contestó el Sr. Gómez Bicerra, se diclató el pun pos.ciones s’ mu n mform-s , se hagan propuestas para aprobación de to sufiiient.mente discutido , y quidó aprobado el artículo. fastos íi arb.trios f ó se trate de otros asunt- s .nipr-itantis, firmarán to Art. 65. » Estos podtán aum sitar…</t>
  </si>
  <si>
    <t>El Sr. Gómez Bicerra: ta comisión conviene en añadir la palabra no el Sr. Becerra, habiendo dicho S. 5. que io* g«f:s pc,ft‘cc¡ co tie manifiestos en el final del ari cu o. nen por la Constitución la pr.s der.ci» de los ajüi lsmitrio-, ia ley Ki cr. Moreno: Yo c-ncitiUro defectuo…</t>
  </si>
  <si>
    <t>Bicerra, Gomrz</t>
  </si>
  <si>
    <t>Gomrz Bicerra</t>
  </si>
  <si>
    <t>…n en este caso st que tengan S. Juan Je Ulua a de Apojtu Ayer fondeó la bombarda egra9 parte en la elrcc oo de los individuos de la comisión. que salió de Cádiz el 15 de Junio. El Sr. Gomrz Bicerra manifestó que para resolver el asunto en cuest-on era preciso distinguir el caso en que las Corte* sa hallan for Madrid Martes l.° de Ocluiré. madas, y al en qu: nos: hallan formadas: en las primeras juntas (con S. M. el Rey y SS. AA. continúan sin novedad en…</t>
  </si>
  <si>
    <t>Biesa, Manuel de</t>
  </si>
  <si>
    <t>Manuel de Biesa</t>
  </si>
  <si>
    <t>…Murcia á D. Ildefonso del Pozó,'teniente supernumerario del fe-gimiento infantería voluntarios de Castilla, con $70 rs. gimiemo ¡nfapterfa de Extremadura , coa 570 ra. ' Alcali A D. Manuel de Biesa, teniente del regimiento infantería Monterrey á D. Josef María-Pruna, teniente del regimiento in—• de la Corona, con 570 rs. Cantería de Galicia, con 570 rs. AlcaSu al capitán D. Joaquín Schcídizagel, teniente del regi Mallorca al capitán D. Pedro Mariano Fab…</t>
  </si>
  <si>
    <t>Bifio, Lop-z del</t>
  </si>
  <si>
    <t>Lop-z del Bifio</t>
  </si>
  <si>
    <t>…que se ra en un lazareto , por supu sto , para que mueran. apruebe en su totalidad el proyecto que se discute. Se dice qu- es muy posih.e cortar el contagio; ¡ pero qué medidas El Sr. Lop-z del Bifio: bi no estuviera demostrado hasta la evise han de adoptar con un pu blo en dond- caen zoo ó 300 enfermos d nc a que hay enfermedades contagiosas , vendrían muy al caso las re diarios? ningunas. Por desgracia mía he sufrido 16 cuarentenas , en las tí xioues de…</t>
  </si>
  <si>
    <t>Bíitia, Ramón Artiaga</t>
  </si>
  <si>
    <t>Ramón Artiaga Bíitia</t>
  </si>
  <si>
    <t>…dijo que el examen estableció el jurado. Las comisiones de Hacienda y Comercio , en vista del expediente de de este derecho era propio del poder judicial, y de ningún modo de las D. Ramón Artiaga Bíitia y consocios, dueño* de 5300 cargas de ca- Cortes. El Sr. Calderón manifestó que las comisionas re tratabas da modo eeo Guayaquil, traídas á Cid* «n el bergantín ingles ¿dila, para que</t>
  </si>
  <si>
    <t>Bilbao, Modesto</t>
  </si>
  <si>
    <t>Modesto Bilbao</t>
  </si>
  <si>
    <t>…celebrará el remate el dia 19 de es gimen constitucional. Se declara patriótica la conducta de lea milicia te mes á las 12; y en la misma se manifestarán la* monedas hasta di nos D. Modesto Bilbao y D. Joaef Martínez en cuanto al descubri cho dia por Ja* tardes á la hora «le las 4. miento de la conspiración, aunque no en cuanto al modo de verificarlo. Prontuario manual de cuentas ajustadas para que los comerciantes, Se reserva al tribunal el denunciar el núm. a.® del peri…</t>
  </si>
  <si>
    <t>…imen constitucional. Se declara por de buen celo y patriotismo la Tfota. F.n la gaceta del 15, col. 1pá¿. 61 , donde dice el prin conducta observada por los milicianos voluntarios D. Modesto Bilbao cipe Maximiliano y su augusta croa, liot ó-r. , léase el principe Ma y D Josef Martínez, en cuanto al descubrimiento de la conspiración ximiliano , padre de .f. M. la reina de España y sus augustos bespor que se ha formado esta causa, y comunicación de la mis…</t>
  </si>
  <si>
    <t>Biley</t>
  </si>
  <si>
    <t>…té las que hayan de exigirte al tiempo de verificar el óomm hramiento. pernumerarios.”... Las Cortes oyeron con satisfacción la participación .qué. Ies hacia el Respecto de la del Sr. Biley sobre que se designe la duración de la Oobierno de qun SS. MM. y A A. continuaban sin novedad en su im risita, la comisión opinaba que no debía fijarse, porque «vto dependía portante salud. - de las causas que debían *ér visitadas, que serán mas ó ntattr en l…</t>
  </si>
  <si>
    <t>Biosca, Josef</t>
  </si>
  <si>
    <t>Josef Biosca</t>
  </si>
  <si>
    <t>…iento ta tanto que las Cortes señalen el que deba seguirse en lo sucesivo. Vén infant-ría de Etpafia, con 620 rs. dese i 5 rs. en el despacho de la imprenta Nacional. Barcelona al capitán D. Josef Biosca, segundo ayudante supernu Con motivo de haberse prohibido U entrada del unto extrangemerario del batallón ligero de Tarragona, con doo rs. al mes. ro para botas y zapatos de que hasta el presente se ha hecho gran Bilbao á D. Antonio Josef Rodríguez, segundo a…</t>
  </si>
  <si>
    <t>Birto'ome</t>
  </si>
  <si>
    <t>…nia, mandada por el alférez del mi»mo D. Manuel Leal Vita , en la por vía de precaución hasta tanto que amanezca , y mucho mas con que iban los de igual c ase del mismo r-eimienlo D. Birto'ome na vala proximidad de los facciosos exteriores. Lo haré asi que raye el astro dor y D. Francisco Moscova , y la del Principe D. F.-mando Fosada, del día , y en segu da procuraré sacar todo el partido posible de este para que atacasen los punt.s avanzados del…</t>
  </si>
  <si>
    <t>Birtoiomé</t>
  </si>
  <si>
    <t>…ata Alaría Isabtl salió det puerto de Cá en primer escrutinio el Sr. Canga-Arguelles por 68 voto. de taz: el diz para el mar Pacífico en ocasión que su fuerza con la existente ahí Sr. Birtoiomé por 64 de 1 2 1 ; y el Sr. Benito por 69 de 119. era bastióte para contrarestar,ó por lo menos resistir á la de los enemi Se procedió en seguida i la elección de los tres individuos que de gos. La pérdida de este buque, en que ninguna cuipa turo el Gobi.rbían…</t>
  </si>
  <si>
    <t>Bisierts, Miguel</t>
  </si>
  <si>
    <t>Miguel Bisierts</t>
  </si>
  <si>
    <t>…Igualmente se aprobó otro dictamen de la comisión de Visita dd causar mas males que todos los uilras de Fraocia y los setviles de Espa Crédito público en favor de la solicitud de D. Miguel Bisierts. ña. Yo observo que en aquellas provincias en que ha y buenos prela Ei Sr. Salvato hizo presente que conformándose la comisión con loa dos no ha habido ninguna rebelión: en una provincia en ia cual se te principios que se habian sentado en la discusión sobre…</t>
  </si>
  <si>
    <t>Bistos</t>
  </si>
  <si>
    <t>…loote video. El Sr. i'inheiro de Asevedo opinó que se suspénd ese la d &gt;cu»:on Con ti ii.t la sesión del 3. de este asunto hasta que se recibiesen unen res notic.a» de Amurca. El Sr. Bistos se opuso á este y á las razones que se habían alegado El Congreso se d c arel en sesmn permanente I asta qu- se d cici.se en apoyo de él 1 y en su largo discurso dijo que debía abandonarse la este asunto; y habiéndose cmclu rio a -tiscusion, i r cuntí, rl sr.…</t>
  </si>
  <si>
    <t>Bita</t>
  </si>
  <si>
    <t>…oyot entusiasmo que pueda ¡mp'MM efl faene de Madrid, despachada á la* 10 del dia y por el director de correos da ia Conatitadoa , r te rt ta gran cuidado en procurar la unión del Sr. Bita i este administrador da la misara rauta. Dttpues sé ha reci Brasil con al loctenl i por lo que en naa da alba dice: » La indepen bido el pliego del Gobierno; y ra ha publicado cu un suplemcntoA dencia Iba querido hallar apoyo en mí i pero en rano, pues no le…</t>
  </si>
  <si>
    <t>Biuguera, Melchor</t>
  </si>
  <si>
    <t>Melchor Biuguera</t>
  </si>
  <si>
    <t>…isión. ñores D. Juan Ferrer y Albareda, D. Juan Evaristo de Casteiiar, D.-n be mandó pasar i la comisión la siguiente adición del Sr. Can ¡on Josef Anv.lasell, D. Magín Corominas, D. Melchor Biuguera, Don al atr. 1H6, que décia: »&gt; Pido que se añada después de las palabras ins- Juan Liado y Torra, D. Pedro Comes, D. Juan de Basse y l&gt;. L . atitucion tan sabia las siguientes: Jándose pruvüienc¡a sobre ellos. cio Andreu y Sanz, declararon por unanimidad hab…</t>
  </si>
  <si>
    <t>Biza</t>
  </si>
  <si>
    <t>…es un crimen en el puetto de Valparaíso, le acogió en su buque, auxiliándole en social para con toda la Europa Stc. 8ec.” un todo, no solo á él, sino también al coronel de Búrgos Sr. Biza j En seguida habló el general Sebastian!, y dijo que no tanto estaba su familia, á la viuda del desgraciado Sánchez, al mayor Gonzá deliberando la Cámara sobre verdaderas leyes, cuanto sobre intereses de lez , al oidor de Lima Cupe y al capitán Arias. partido…</t>
  </si>
  <si>
    <t>Blaiiel</t>
  </si>
  <si>
    <t>…ría, hija del infortunio, 6 bien sea Memorias históricas sobre laducido también esta arma ea las tropas de tierra, y cada batallón lleva ví«la y sucesos de María, hija natural del caballero Blaiiel, guardia da dos. No hay cosa mas 4 propósito pata rechazar una carga de caballería Corpa , y de la condesa de A........ , princesa Real: escritas originaló un ataque i la bayoneta. Se trasporta fácilmente en un mulo, y en un mente por el barón de Biaisel, abu…</t>
  </si>
  <si>
    <t>Blak</t>
  </si>
  <si>
    <t>…lo* que aean preci tenerías de Palermo__i.° de Febrero de i8aa. sos para ello.” » Orden del día.__Habiendo establecido mi cuartel general en las Asimismo te leyó la siguiente del Sr. Blak: * Habiendo notoria tenerías, la plaza, mi estado mayor, la oficina «le la comandancia ge contradicción entre el parte del ayuntamiento de Valencia sobre 1* neral de las armas, y el principal, se establecerán igualmente en ellas. ocurrido en aquella capital e…</t>
  </si>
  <si>
    <t>Blak, Juan</t>
  </si>
  <si>
    <t>Juan Blak</t>
  </si>
  <si>
    <t>…ia comisión. que era entonces , lo cual lo puedo probar. Málaga. D. Juan Oliver y García, D. Josef Alcántara Navarro El Sr Canga Arguelles manifestó que por haber hecho el señor y D. Juan Blak. La comisión, después de haber examinado los pode Cuadra una especie de inculpación á la comisión debía decir que ola res de estos interesados, y asimismo el acta de elección , opinaba que no tenia suficiente delicadeza para no hacer mas que exam nar los pode…</t>
  </si>
  <si>
    <t>Blan, Josef Sabau y</t>
  </si>
  <si>
    <t>Josef Sabau y Blan</t>
  </si>
  <si>
    <t>…n notas y tablas cronológicas desde los tiempos roas remotos mes último desde su cuartel general de la Perdiguera, dice al excelen hasta la muerte del Sr. D. Cárlos 1 1 por el Dr. D. Josef Sabau y Blan tísimo señor secretario de Estado y del Despacho de la Guerra lo si co, individuo de la academia de la historia, acudirán á recoger el tomo guiente: ao y último de dicha obra i la librería de Quirós y 4 las principales h Esta tarde he reunido todas las fuerza…</t>
  </si>
  <si>
    <t>Blanca, Antonio</t>
  </si>
  <si>
    <t>Antonio Blanca</t>
  </si>
  <si>
    <t>…n y la división: Corres , y se mandó que quedase sobre la mesa. estar siempre pronto á sofocar estos movimientos siendo llamado por La misma comisión , en vista de la solicitud de D. Antonio Blanca; la ley: no dar oidns á chisme* ni vagas acusaciones, porque i veces portero de las Cortes, para que la liquidación de sus sueldos atrasadas Hacen de personalidades, que nada deben influir en el bien general de se le hiciese según el que actualmente goza, con…</t>
  </si>
  <si>
    <t>Blanco</t>
  </si>
  <si>
    <t>…ento al Diario constitucional de esta ciudad se ha pu blicado ho- lo que sigue: __D: la Ha vana escriben con fecha 10 de Msyo lo que sigue: L»s coluinnss del general \C lans y del brigadier Blanco , cada una » Ei 10 del próximo pasado Abril llegó á Campeche ri correo da de mas de mil hombros , procedentes de Matarú y Figueras, estarán i GoaUmala , trayendo la ncticia da que las faz izas de la provincia de estas horas sobre Vich, con cuyo auxilio es ine…</t>
  </si>
  <si>
    <t>…batallones insurrecciona Olot, de lo que se esperan muy felices resultados. La columna que se dos de guardias que se hallaban en el Pardo. Oídos los primeros tiros, cita es la del brigadier Blanco, coronel de Nayaira,que tiene 400 hom todos ocuparon sus puestos con el mayor orden, y redoblado desda bres de su regimiento, goo del de Batbastro , 250 voluntarios milicia aquel instante el zelo y entusiasmo de la milicia nacional, tropa y ofi nos y 60 cabal…</t>
  </si>
  <si>
    <t>…condujeron á las Hemos recibido noticias de Cataluña hasta el 15 inclusive con loa cárceles de Agreda, y por la ocupación de i3 fusiles y varios vestua pormenores de la acción del brigadier Blanco , cuyo parte primero purios que cogieron en Fitero, reservados para los facciosos en virtud dj blic-mos en la gaceta del 10. Dice asi: orden verbal dada por uno de ellos, y convencidos de que la actividad ComatíJanci.i militar Je la columna volante Je la prov…</t>
  </si>
  <si>
    <t>Blanco, Andrés Fulgencio</t>
  </si>
  <si>
    <t>Andrés Fulgencio Blanco</t>
  </si>
  <si>
    <t>…t-.ba para po D. Jos tí Castro , D. Francisco Capdevila, D. Euscbio Fslcbanez, Don der obtener la gracia de hábito en la orden de Santiago, bajo el con Francisco Antonio Este vez, D. Andrés Fulgencio Blanco, D. Josef cepto de que pusiese en tesorería general lo* citados too® reales. Y no Gitpcrt, D. Pío Guas, D. Manuel Heredia , D. Felipe Goyos, Don hab endose personado el interesado con el fin de hacer la entrega, ni Juan Manuel Lnrr, D. Josef Sucarana, D. Jose…</t>
  </si>
  <si>
    <t>Blanco, Gaspar</t>
  </si>
  <si>
    <t>Gaspar Blanco</t>
  </si>
  <si>
    <t>…ayudan ifa ligera D. Joaquín Guijarro, agregado al batallón de la milicia ac te mayor de la brigada de carabineros R ales. tiva de Pontevedra. . Falencia: para primer comandante á D. Gaspar Blanco, coman Almería: para primer comandante al coronel D. Antonio de Cas dante de escuadrón del regimiento de Pavía. tro y Tovar, mayor comandante supernumerario del regimiento de ca Pamplona (ligero): pira primer comandante á D. M guel Irr barballería del Príncip…</t>
  </si>
  <si>
    <t>Blanco, Joscf Sabau y</t>
  </si>
  <si>
    <t>Joscf Sabau y Blanco</t>
  </si>
  <si>
    <t>…e. El ayuntamiento de desde los tiempo» mas antiguos hasta la muerte del Sr. Rey D. Cir la capital de provincia nombrará un, tercera porte, y la diputación pro- ios ni, por el Dr. D. Joscf Sabau y Blanco, arcediano de Aliaga en vincial las dos restantes. Una y otra elección sesenLu:tule.ápluralidad ab la metropolitana de Ztragoza, acudirán i recoger el tomo 19 y pagar soluta de votos. La diputajíouprovcmnal hará su elección 00 la» pri «I *0, que es ei último…</t>
  </si>
  <si>
    <t>Blanco, Josef</t>
  </si>
  <si>
    <t>Josef Blanco</t>
  </si>
  <si>
    <t>…ctador:* por vu-stra sef CaamaSo, D. Mate© Vnlaeco , D. AgutíaMuio 4c la* Hcra*, Don amble fidelidad nacional; pero no os entr-gueit a las delicias deCapua: Celedonio de Salazar , D. Josef Blanco, D. Josef Márquez , I). D -go coged primero el fruto de vuestros trabajos, aprovechad la cosecha , y ¿j Rute, D. Francisco María Cte*po, O. Fermín Alcega , D. Antonio no omitáis medio m fatiga para consumar ‘a grande obra de la Nación Carriola, D. Cristóbal T…</t>
  </si>
  <si>
    <t>Blanco, Manuel</t>
  </si>
  <si>
    <t>Manuel Blanco</t>
  </si>
  <si>
    <t>…mo militar. En Francia la los, núin. Mi con el último endoso , fecha 4 de Julio de 1811 , ex asamblea constituyente previo cuanto debió en ette materia; y en el tendida á favor de D. Manuel Blanco; y se avise al p. blico para que mismo acceso y delirio de la fiebre revolucionaria en el afio 93 puso tenga entendida la nulidad de este crédito si llegare á hacerse uto de él un artículo expreso y terminante para que pingun cuerpo armado pu bajo el falso su…</t>
  </si>
  <si>
    <t>…z en si de Mayo de 1820; con núm. 861, con el último endoso fecha 4 de Julio de i8ai , extendido apercibimiento de que pasado sin hacerlo, lesparará.al perjuicio que ha á favor de D. Manuel Blanco; y se avisa al público para que tenga en ya lugar. tendida la nulidad de este crédito ti llegare á hacerse uso de (1 bajo el Teniendo cuentas pendientes en la comisión de liquidación de la falso supuesto de nuevo endoso. Si la persona i cuyo poder fuete fi pa…</t>
  </si>
  <si>
    <t>Blanco, Pedro López y</t>
  </si>
  <si>
    <t>Pedro López y Blanco</t>
  </si>
  <si>
    <t>…ién las dudas que originan loa ex fior marques del Puerta en la villa de Casa la Reina, ó con el adminis pedientes de los pueblos de Gilena y Mecina de Bombaron, loa cuales trador D. Pedro López y Blanco, calle de la Montera, núm.34, cuar deberán satisfacer en metálico el costo que tuvo á la Hacienda nacional to a." la sal que recibieron , y el exceso basta el precio en que te les vendía El periódico que coa el título de Correo de la tarde salia en esta en el…</t>
  </si>
  <si>
    <t>Blanco, Silvestre Manuel</t>
  </si>
  <si>
    <t>Silvestre Manuel Blanco</t>
  </si>
  <si>
    <t>…o ó herido, hebra de satisfacer ese vecindario teniente ds Rey de id__ D. Ignacio Pombo, comisario da Gu na.__ á cada uno de estos ó á ias viudas de aquellos cuatro reales diarios D. Silvestre Manuel Blanco, contador de correos—.D. Juan Guará.o. por tiempo de un año y nrrscs eni.cpados. Del mismo modo pagará la, fiscal de la auditoría de guerra—D. Miguel de Castciis, magistrado V. á 1a tropa destinada a esta comrs.on el rancho de mañana, y un de la audiencia._D.…</t>
  </si>
  <si>
    <t>Blas, Antonio y D</t>
  </si>
  <si>
    <t>Antonio y D Blas</t>
  </si>
  <si>
    <t>…endo á V. S. que la resolución de las Cortes se Los comuneros de ogaño no son como ios de an'año, conversación contrae únicamente á las personas por quien* (i zo el Gobierno su de D. Antonio y D Blas, máxima-, «le los unos é ideas de los otros: consulta, y que se hallaban en el caso de no poder presentar todas núm. 4? Se vende con ios auunoics en ia librería de Alonso y An las fianzas que se les pidieron, sin que sea api cable á lo» que después bao obteni…</t>
  </si>
  <si>
    <t>Blavia, Manuel</t>
  </si>
  <si>
    <t>Manuel Blavia</t>
  </si>
  <si>
    <t>…último, rn el caso de que vurlla secretaría del gefe político--- ID. Josef Jcrdar.a , capellán de artille va á acant.cer el » t atacado en esa *i..a y su termino un so.o se da ría—D. Manuel Blavia, id----£&gt;. Jcscf Lioser, carón, go y cx-n.qui- do ó miliciauo nacional, como r.o sea por una fmtrza armada de mas aidor.__D. Juan Casals , presbítero de Sta. María del Mar—O. Narci de 500 hombres , ó oc que se ísueiccplt un correo, pues me será V. so Bas, rec…</t>
  </si>
  <si>
    <t>Bleke</t>
  </si>
  <si>
    <t>…el Sr. Letre, uno el Sr. Ro pedicionario de In milicia nacional. mero , uno el Sr. Buruaga, uno el Sr. Flore* Calderón, uno el Sr. Al ARTICULO DE OFICIO. var» Gutiérrez, y uno el Sr. Bleke. En la elección de primer sectetario fue electo el Sr. González Tesorería general dt ¡a Nación. Alonso por 6a votos de 111, teniendo el Sr. Herrera Bnttamante $3 En Real arden de ai de Setiembre último expedida por el minit:votos, el Sr. Romero uno, el Sr. Be…</t>
  </si>
  <si>
    <t>Bmtjnck</t>
  </si>
  <si>
    <t>…mataron 4 hombres ¿ hirieron 3 mu de la nación inglesa queriéndonos muy bien- Se h*b&gt;aba del nombra chos, sin tener ellos ni un contuso: provocaban al combate á los fac miento del lord Bmtjnck al gobierno para la India: y de la salida del ciosos cantando sin cesar himnos patrióticos. Supieron lue^o que los lord Palmerston del ministerio de la Guerra. La* noticias que hay en rebildes enviaban ,estando en la refriega, al Poitus en busca de víve Londr…</t>
  </si>
  <si>
    <t>Bnttamante, Herrera</t>
  </si>
  <si>
    <t>Herrera Bnttamante</t>
  </si>
  <si>
    <t>…OFICIO. var» Gutiérrez, y uno el Sr. Bleke. En la elección de primer sectetario fue electo el Sr. González Tesorería general dt ¡a Nación. Alonso por 6a votos de 111, teniendo el Sr. Herrera Bnttamante $3 En Real arden de ai de Setiembre último expedida por el minit:votos, el Sr. Romero uno, el Sr. Belda nno, el Sr. Sarabie uno, u riodeGueft*,que ha comunicado á esta tesorería general en 17 del mis Sr. Sotos uno, el Sr. Trjeiro uno', y el Sr. Znlneta uno. m…</t>
  </si>
  <si>
    <t>Bo-ain, Elvira Arias de</t>
  </si>
  <si>
    <t>Elvira Arias de Bo-ain</t>
  </si>
  <si>
    <t>…n Roja*, en 30 de Marzo'de 1533—Otro de un juro de 4114 mrs. sobreEustaquio Palero, y te mandé fuese puesto inmediatamente en libertad, las tercias de Alcali de Henares i favor de Doña Elvira Arias de Bo-ain que este procedimiento debiera cansarle perjuicio en su reputación. bad¿lia__Otro de un juro da 163,846 mrs. sobre la* remas de Granada Sres. que compusieran el jurado: D. Francisco de Sales Arni, D. An i favor de D. Antonio de Rojas, marques de Poza, conde d…</t>
  </si>
  <si>
    <t>Bocinos</t>
  </si>
  <si>
    <t>…té conferido en la causa formada 4 los mis de este anuncio. mos y otros consortes por las heridas causadas 4 Pedro López, ve Idea de un Rey patriota, obra escrita en ingles por el lord Bocinos todos de Aldea del Rey, de que falleció en si de Mayo de lingbroke, y traducida del idioma original por j. B. Se vende en la iH»o; con apercibimiento de que pasado ain hacerlo les pararé el per librería de Feraandea y Arriba*. juicio que haya lugar. Nota. En…</t>
  </si>
  <si>
    <t>Boejr</t>
  </si>
  <si>
    <t>…haber entrado aquel dia en dicho pueblo el brigadier coronel de anterior pan el reemplazo de aquel alio. Numancia D. Nicolás Chacón con ijo caballea «la su cuerpo, del de Otn del Sr. Boejr para qns lat Corma sa sirvan acordar, que to Santiago y del resguardo militar. Site patriota y activo gefe había dos los que debiendo ser comprendidoe en el reemplazo actual hayan perseguido á cuatro «le los dispersos del infame Zaldivar, y soto pudo sentado…</t>
  </si>
  <si>
    <t>Boey</t>
  </si>
  <si>
    <t>…ru. Inscripciones coa intereses»^..........784 4 79. En la segunda votación ao hubo elección por tener j8 votos el Sé- ANUNCIOS. Sor J'tnenez, 43 el Sr. Abre,-ó el'Sr. Letra, 3 el Sr. Boey, g el Sa- Plan general de hacienda, presentado i las Cortes ordinaria] de 1811 Sor Marchámalo, a los Sees. Lapuerta y Cuadra, y nao lo* Sra*. Ría. porD. Francisco Gallardo Fernandez. En el estado de abatimiento en go, Argfíelles y Ligase» , siendo el total 1…</t>
  </si>
  <si>
    <t>Bofarull, Vicente Josef de</t>
  </si>
  <si>
    <t>Vicente Josef de Bofarull</t>
  </si>
  <si>
    <t>…ción de causa. Madrid 8 de Setiembre de 18a2. disponer que lodo se inserte en la orden del cuerpo. Dios guarde á V. S. muchos afios. Cádiz 31 de Agosto de 1821 , año tercero de la D. Vicente Josef de Bofarull, espitan de los egércitos Nacionales, restauración de la libertad de las Espaiías.= Cipriano González Espino aegundo teniente de cazadores del balailon provisional del segundo re sa, secretario. 3 Sr. coronel de la M. N. V. gimiento de Guardias constitucional…</t>
  </si>
  <si>
    <t>…io que puede hacerse de un Soberano. Entre sus sucesores se distinguen Veipasiano, Tito, Nerva, Traja- TKIBUMAIHS. no , Adriano, Amonino y Marco Aurelio, los cuales no se hicieron D. Vicente Josef de Bofarull , capitán de los egércitos nac:on.ales, tan célebres por sus victorias como por los monumentos con que ador segundo teniente de cazadores del 2.a batallón provisional de guardias naron i Roma, Italia y casi al universo entero, que entonces ss halla constituci…</t>
  </si>
  <si>
    <t>Bogo, Antonio</t>
  </si>
  <si>
    <t>Antonio Bogo</t>
  </si>
  <si>
    <t>…be elegir por tu parte la lo que proponía el mismo en la citada consulta. Aprobado. época de salir á campar.a. Aquí te opina qu-* hasta mediados de Mayo Otro sobre la solicitud de D. Antonio Bogo, vecino y del comer no se hallarán dispuestos para obrar los ejércitos rusos; y se cree ade cio del Ferrol, sebee que las Cortes te sirviesen d elatar que el tr ba mas que podr 1 pasarse todo aquel mes ante* que ae rompan de oficio las nal de Guerra y Marina…</t>
  </si>
  <si>
    <t>Bonafé, Francisco</t>
  </si>
  <si>
    <t>Francisco Bonafé</t>
  </si>
  <si>
    <t>Gaceta de Madrid n.º 285</t>
  </si>
  <si>
    <t>…no le permite andar bien sino por los terre Enero de 1808, núms. 2 19.333» 334»°39 7 343»°48 &gt; reclamados nos secos, llanos y areniscos como el de la Arabia; por último lo des por D. Francisco Bonafé, vecino de Arens; con apercibimiento que tinó indudablemente i la esclavitud , negándole toda defensa contra pasado dicho término sin haberlo hecho se determinará en estrados, y tus enemigos. Privado de los cuernos del toro , del casco del caballo, parará el…</t>
  </si>
  <si>
    <t>Bonal-, Angel</t>
  </si>
  <si>
    <t>Angel Bonal-</t>
  </si>
  <si>
    <t>…ertad, sin que este procedimiento le perjudicaseen su reputscion. 151,182 rs. y 13 mrs. de capital, número 3657; otra de 43,519 rs. y Faltaron su absolución los Sres. D. Juan Paz, D. Angel Bonal- 31 mrs. de réditos, núm. 4233, ambas 4 fsvor del hospital de San to, D. Josef Gómez Albacete, D. Pedro Alvaro Delgado y D. Joa Mateo de la ciudad de Sigüenza 1 otra de 2750 rs. de capital , número quín Manrique y Manrique. 3658, á favor de D. Miguel Mufioz; o…</t>
  </si>
  <si>
    <t>…vista se reunió el jurado , compuesto da los Sres. siguientes: millar de renta, 13,125 mrs. situados sobre las tercias de Carteen*, D. B-rnnrdo Asenjo, D. Joaquín Huerta Cevallos, D. Angel Bonal- fecha en'Madrid á 14 de Julio de 1578: otro de io3 mn. al millar, to, D. Martin Z»randia,D. Francisco López Olavarrieta, D. Jaime renta 33,660 mrs., situados en el partido de Sigüenza , fecha en Raíz Abreu , D. Valentín de Nicolás, D. Antonio Díaz del Moral y…</t>
  </si>
  <si>
    <t>Bonalcorte, Angel</t>
  </si>
  <si>
    <t>Angel Bonalcorte</t>
  </si>
  <si>
    <t>…. Matías Casero, D. Joaquín Huerta Ccvallo», D. Julián de Fuen de elle. Ñu sno Gabinete ha seguido este cuerdo parecer, peto cierta tes, D. Bernardo Asenjo, marques de Torrenueva, D. Angel Bonalcorte ha maniLstado una opimon enteramente opu sta, la cual dicen toy D. Andrea Navarro; y habida la conferencia que previene la ley que sen apoyada por otra gran potencia del Norte.” de libertad de imprenta, declararon por unanimidad haber lugar A la Cor tioíu la…</t>
  </si>
  <si>
    <t>Bonalto, Angal</t>
  </si>
  <si>
    <t>Angal Bonalto</t>
  </si>
  <si>
    <t>…ificación por el hallazgo. Moral y D. Ramón Llor declararon no haber lugar á la formtc;on El aviso de la junta diocesana de Otma , que se publicó en la gace de cansa , y los Sr-s. D. Angal Bonalto, D. Martin Zarandia, Don ta del 23 de Octubre último , debe considerarse como nulo y de nin Francisco López O avarrieta, D- Joaquín Ruiz Abrsu y D. Valentín gún valor por haber justificado la expresada junta que era apócrifo y Nicolás dijeron que babia lugar…</t>
  </si>
  <si>
    <t>Bonalto, Angel</t>
  </si>
  <si>
    <t>Angel Bonalto</t>
  </si>
  <si>
    <t>…den prescindir de haberse reunido las dos tercera* partes de los votos. que con esta declaración van á hacer la felicidad de loa pueblos , liber Señores que compusieron el jurado: D. Angel Bonalto, D. Joa tándoles del yiigo ominoso que hasta ahora han sufrido, y debemos quín Huerta Cevallos, D. Andrés Navarro, D. Francisco Trarcsedo, procurar hacer conocer al pueblo las ventajas del sistema. No nos de D. Santiago Delgado, D. Manuel Gallego, D. Isidro M…</t>
  </si>
  <si>
    <t>…alentín Recio, D. Josef bunales. ( Gaceta del 2j. j Radon, 1&gt;. Andrés Moya Luzuriaga, D. Martin Miguel Goicochca, Resolución de las Cortes autorizando al Gobierno hasta la próxima D. Angel Bonalto, L&gt;. Higinio Antonio Lorente, y D. Manuel Este legislatura para que pueda dispensar á los jueces de primera instancia de ban Cañtt. ' la obligación de preñar su juramento en las audiencias. (Gaceta drfjr.y __IX Nicolás de Santiago Rotalde, D. Miguel María de…</t>
  </si>
  <si>
    <t>Bonavía, María Antonia</t>
  </si>
  <si>
    <t>María Antonia Bonavía</t>
  </si>
  <si>
    <t>…rjuicio que haya lugar. _ saqueo que pretendían hacer los malvados en algunos pueblos Habiendo fallecido en la ciudad de Plasencía en 14 de Abril últi del Valles. mo, abintestato. Doña María Antonia Bonavía, vecina que fue de ella, Ei dia i.” de Noviembre ascendía ya á 17,948 rs. la suma que loa se procedió al inventario y tasación de sus bienes, y continuado el ex Abitantes de Barcelona habían entregado para el abrigo de tropa del pedienta , se proveyó auto def…</t>
  </si>
  <si>
    <t>Bonet</t>
  </si>
  <si>
    <t>…s como l3 hombre» había pasado desde M.intblanch a tomar .as 3 turas d.*l cómplices en ella , habiendo logrado fugarse las restantes. Coll de la Taixeta-, en vista de todo esto et comandante Bonet resol Correspondencia particular. vió regresar á esta, empr ndendo !a marcha a la una de ia tarde del Castellón de ¡a Plana £0 de A¿o¡ta—lia pasado por e-&gt;ta, y con di pero al salir dei Fais.t tuvieron ya que empezar un combate que duró rección á esa provinci…</t>
  </si>
  <si>
    <t>Bonet, Leonardo</t>
  </si>
  <si>
    <t>Leonardo Bonet</t>
  </si>
  <si>
    <t>…D Nicolás .Sánchez y Chavea, comandante del secundo te coronel del regimiento infantería de Zamora, ¿d. batallón del regimiento infantería de la Corona; con el sueldo qat Navia i D. Leonardo Bonet, capitán del regimiento inLatería do disfruta. Toledo, id. Avila i D. Josef Antonio Portal y Mayoral, capean primer ayu O . sedo á D. Pedro Francisco López , espitan graduado de t.miento dante del regimiento de Málaga; con el sueldo que goza. coronel del revu…</t>
  </si>
  <si>
    <t>Boneta, Domingo Alvarez y</t>
  </si>
  <si>
    <t>Domingo Alvarez y Boneta</t>
  </si>
  <si>
    <t>…rra, sin quo ballería pasó antes de ayer por esta* inmediaciones con dirección á por nuestra parte haya habido novedad alguna. Aoiz, camino de Iiati. „ Fn la acción se presentaron D. Domingo Alvarez y Boneta y Don ,,Mañana deben llegar 800 hombres de milicia activa á esta ciudad. Josef Manuel Aiurieta, los que han manifestado haber sido sacados á „Los del resguardo militar, bien uniformados y dispuesto* á aco la fuerza de su pueblo. meter á los facciosos que discurren…</t>
  </si>
  <si>
    <t>Bonilla, Estéfano Martínez de</t>
  </si>
  <si>
    <t>Estéfano Martínez de Bonilla</t>
  </si>
  <si>
    <t>…d- 99. site runo. Esto es pues lo que propone la comisión, i saber, que se |1 n ii celos presupuestos. Para Canarias los Sres. D. Antón o Ru.z Burtamant-: , D. V cents Cárdenas y D. Estéfano Martínez de Bonilla, y fue e.e.to d - r. Mar t.i iic/úir proviene de que las rentas de los aSos anteriores no han tínez por §4 votos de total 96- producido &gt;' que debían , y de que el importe de las contribuciones Para Mallorca los Sres. D. Leandro RuVn d- C Ü», D. Jo-.-f ’Jr- n…</t>
  </si>
  <si>
    <t>Bonilla, Pedro</t>
  </si>
  <si>
    <t>Pedro Bonilla</t>
  </si>
  <si>
    <t>…ndo comandante del bata sienf coronel de regimiento infantería del Principe , id. llón I ¿?r. de S .Marcial, id. Búrgoe á D- Josef Gómez Art-che, mayor comandante supernu Teru.t a D. Pedro Bonilla, mayor comandanta mparmi mera rio del merario del regimiento infantería do Navarra, id. tegimi-Mo infantería de la Princesa, id. Baeza a D. Ramón Capoileja, espitan de infantería y de&lt; bita1 lo» Toledo á D. Fcnpe Larroque, mayor comandante snperaumerarío de l…</t>
  </si>
  <si>
    <t>Bonilla, Santiago</t>
  </si>
  <si>
    <t>Santiago Bonilla</t>
  </si>
  <si>
    <t>…del de Aranjuez. Interventor D. Francisco Fon un, del departamento de pueblo español! Fomento. » Si el Ser supremo es el autor de la justicia y de la armonía Salamanca interventor D. Santiago Bonilla, cesante de aquella* del universo; si los males están mezclados con el bien para que el oficinas. bi-n sea mayor y mas sensible; si los despotas dominaron y gozaron i Santander interventor D. I.uis López y Suarez , oficial del Gobierno au v.-z de la sangre y…</t>
  </si>
  <si>
    <t>Bonnet, Juan</t>
  </si>
  <si>
    <t>Juan Bonnet</t>
  </si>
  <si>
    <t>…aco cuerpo los vasos y tendones viente, se manda citar nuevamente y emplazar, como por este se cita que eran menester para trabar la armaaon. Le proveyó de fuertes qui y emplaza á D. Juan Bonnet, para que en el término de ocho días fi jadas para mascar los alimentos mas duros; pero por si acaso consu jos , que comenzarán á correr desde la fecha de este anuncio , compa mía demasiada cantidad, achicó su estómago, y le obligó á rumiar. rezca en dicho ju…</t>
  </si>
  <si>
    <t>Bootello, Josef</t>
  </si>
  <si>
    <t>Josef Bootello</t>
  </si>
  <si>
    <t>…ro administrador de las cajas tallón infantería ligera primero voluntarios de Aragón, con &lt;5oo rs. nacionales de la villa de Sta. Clara, en la isla de Cuba, por jubilaron Mérida á D. Josef Bootello, segundo ayudante del batallón de la concedida á D. Antonio Rafael Bctancourt, que la servia, ha manda Constitución ,con 610 rs. al mes. do S. M. se publique etta vacante, á fin de que los empleados en ac Manresa al capitán D. Josef María Hernández, segundo a…</t>
  </si>
  <si>
    <t>Bordalva, Puma-</t>
  </si>
  <si>
    <t>Puma- Bordalva</t>
  </si>
  <si>
    <t>…AIos, dirigiéndome vo á este punto, en donde he licion. mos sorprendido á la* cinco y media o: la tarde lo* corto* restos de El Sr. presidente nombró para la comisión de Guerra al Sr. Puma- Bordalva, que creyéndonos de lo* suyo*, »e mantuvieron , aunque fuera rejo , por indisposición del Sr. Seguera: anunció que mañana se discu del pueblo, á quema ropa de mis guerrillas, respondiéndose uno* á otro* tiría el dictamen de la comisión de Hacienda sobre varia…</t>
  </si>
  <si>
    <t>Boreau, Josef</t>
  </si>
  <si>
    <t>Josef Boreau</t>
  </si>
  <si>
    <t>…eral D. Josef Aimerich se le ha destinado de cuartel 4 la solución general acerca de la multitud de remates de fincas nacionales Corulla, y al coronel supernumerario de infantería D. Josef Boreau 4 que estaban pendientes al expedirse la orden de 14 de Abril del mis Cádiz. mo año, por la que se excluye la admisión de créditos de suministros, y cuyos remates fueron hechos en el concepto de ser admitidos en pa Los periódicos extrasgeros recibidos hoy con…</t>
  </si>
  <si>
    <t>Borge</t>
  </si>
  <si>
    <t>…ón: • Por decreto especial de las Corres rotado por las dos ter ... 143,000 •9 Subdelegado» de Urbino 7 Kan». ... *97,000 4® ceras parre* de los diputados.” *• de Ai 160,000 3; El Sr. Borge* Carneiro y otro* Sres. diputados hablaron en favor .. 99,000 l8 del artículo; pero el Sr. Sarmentó manifestó que la facultad qu- en ... 164,000 33 él se daba de poder suspender las formalidades proscriptas para la Idem de Mácente.......... t8a,ooo 37 rision…</t>
  </si>
  <si>
    <t>Borges</t>
  </si>
  <si>
    <t>…Viliaboa, Garoz, Romero, Continuando la discusión del proyecto de Constitución, el Sr. pre Meló, Diez, Taboada y Jaime. sidente manifestó que debiendo discutirse las adiciones del Sr. Borges Después el Sr. Bartolomé por 80 votos de 111, repartiéndose los Girneiro y villa al axt. a66, no podía menos de recordar al Congreso restantes entre los Sres. Gómez Becerra, Somoza, Luque, Viliaboa, que era la terrera sesión en que se discutían estas adiciones, y que…</t>
  </si>
  <si>
    <t>Borges, Ferreira</t>
  </si>
  <si>
    <t>Ferreira Borges</t>
  </si>
  <si>
    <t>…truiabi seguí to lo acordado -o 1d_* (Aturre de :S:o .obre los concejero, d; Fila les dietsba su conciencia. do que inuiv .nieion cu las caucas llamadas de Forado , a come*'aba El Sr. Ferreira Borges llamó la atención del Congreso hiera el ar una expone o.n hecha a S. M por el consejero D. I on. ,.0 Javier tículo que había ten» ledo el dpuulo A itono ar .» R b ¡ro de An- Castaños, un dictamen del cois, jo , y el «,xp d.erte y romos sobre drade á los edito…</t>
  </si>
  <si>
    <t>…le egercen amor , dulzura y con festando que esta idea era anti-católica , anti-religiosa y ahti-polític*. cordia ; pero tan lejos de eso, algunos de ellos te han convertido de El Sr. Ferreira Borges sostuvo la proposición , y el Sr. Gucrreno pastores en lobos carnívoros. presentó la siguiente adición , que fue aprobada : *&gt; Que entre las justas Ya antes de este suceso habían cometido varios atentados alguno* causas de que se trata se haga mención particu…</t>
  </si>
  <si>
    <t>…o por un ardiente Eu la sesión del 15, habiendo leído el secretario la lista de los Se amor á su patria, y concluya la defensa da su causa diciendo: ñores diputados, te levantó el Sr. Ferreira Borges, y manifestó que era » Si i pesar de todos estos motivos fuese abandonada la Grecia, sin hecho indudable que siete diputadas habían abandonado el Conpodrá sucumbir al fin; pero no sari sin glotia. Su sagrada causa so reso , y no podían tener ya nunca entiada…</t>
  </si>
  <si>
    <t>BorgesCarneiro</t>
  </si>
  <si>
    <t>…logiaros otras ocasiones te había votado con igual ó menor número, por lo cual dignamente por las grandes acciones que habéis egecutado desde el día se pidieron las actas, dijo rl Sr. BorgesCarneiro: ,,Sr. prender te, isto t * 1. al 7 del corriente. Si hace verter ligrimas el horror que necesaria* dudar de todo: ¿dudamos también si nos hallamos aquí! Yo pido á mente experimenta la naturaleza cuando se ve correr la sangre humana; V. E. que ponga esta preg…</t>
  </si>
  <si>
    <t>Borget, Ferreira</t>
  </si>
  <si>
    <t>Ferreira Borget</t>
  </si>
  <si>
    <t>…esultado , hacién Se dió cuenta de varios expediente* por las comisiones de tus res- doles pie á tierra fuego de tercerola , y causándoles con todos loa demás peer vos ramos, y el Sr. Ferreira Borget manifestó que como indivi da infanteiía un gran destrozo. duo de la comisión de Comercio había dado tu voto particular sobre » Perseguidos los restos por todas partea con el fruto consiguiente fi el proyecto de establecer un puerto franco ó depósito general e…</t>
  </si>
  <si>
    <t>Borgloria, Fcrreira</t>
  </si>
  <si>
    <t>Fcrreira Borgloria</t>
  </si>
  <si>
    <t>…que hasta que presentase su dictamen nada podía deliberarse. á dar. El escogido del cielo aparecerá en la escena rodeado de toda su El Sr. Xavier Monteiro apoyó la proposición del Sr. Fcrreira Borgloria y asistido de la gracia divina , en la cual ponemos enteramente gís con varias razones, mam testando que era imn, opio de U dignidad ilustras esperanzas, confiado que tendían fin nuestros males.” del Congreso el llamar diariamente í personas , que no solo so…</t>
  </si>
  <si>
    <t>Borgo, Pozzo di</t>
  </si>
  <si>
    <t>Pozzo di Borgo</t>
  </si>
  <si>
    <t>…rra rs c.u.stai.l; que despuvs de hjb r es tratado con mucho miramiento: finalmenie cuando pasó por aquí el tado con la cuadr-l.a de Balda no se test ruso a &gt;u losar e &gt;..b .&lt; «ua conde Pozzo di Borgo tuvo con él una conferencia. las tropas andaban ;n persecución de i,.» tac».osos, v poi &lt; »c d . -r» que i aborujo»; separado de Brida aviar. «—I .oii reme-. •- &gt;t ARTICULO DE OFICIO. ptenJ ntn , rs decir , fu» iliv-o , p rqu ■ o. pu di . u»dr« ot o . o - c i…</t>
  </si>
  <si>
    <t>Borgu, Pozzo di</t>
  </si>
  <si>
    <t>Pozzo di Borgu</t>
  </si>
  <si>
    <t>Gaceta de Madrid n.º 376</t>
  </si>
  <si>
    <t>…riotismo y entusiasmo. ria en las últimas del.beta-iones que van a verificarse en Par s , donde Las amenazas de los ultras ,on perdidas para con ios españoles. No pa se aguarda al Sr. Pozzo di Borgu , embalador roso Et bien sab co que rece sino que los tales u’trai son 'os su esor-s de Bonaparte y herede Mr, de Viliele no quiere la guerra , nao en el caso cíe que corra nes ros legítimos de sus doctrinas. Un Estado alunan quedó aterrado cuando go la famil…</t>
  </si>
  <si>
    <t>Borja, Cirios de</t>
  </si>
  <si>
    <t>Cirios de Borja</t>
  </si>
  <si>
    <t>…al del residuo de la renta de lanas , en dos juros perpetuos mrs. 361,300, en dos partidas, una de 4508 , y U N. A....................... «... 1300. otra de 111,500 , en cabeza de D. Cirios de Borja, palriarca de ias rlnfantería de linea............. 4138' Granada.. ■ Idem ligera........................ 630 i,8í7. Indias.__2s. Alcabalas de la ciudad de {.eon, juro 463,610 mrs. en ¡ Caballería de línea........ 713 dicha cabeza.__13. Alcababas del obispado…</t>
  </si>
  <si>
    <t>Boro, Florentino López</t>
  </si>
  <si>
    <t>Florentino López Boro</t>
  </si>
  <si>
    <t>…ios para el debido conocimiento de S. M.” autos de testamentaría formados en dicho juzgado y escribanía del nú De su Real orden lo comunico i V. S. para su inteligencia y mero de D. Florentino López Boro,cumplimiento. Madrid i&lt;5 de Noviembre de 1822. Vista en sala primera del crimen de la audiencia trrr.'torial de Cal ila la Nueva en grado de segunda instancia la causa formaba por el ¡use Secretaría del consejo de Estado. Por fallecimiento de D. Pedro de p.rt…</t>
  </si>
  <si>
    <t>Borpor, Ferreira</t>
  </si>
  <si>
    <t>Ferreira Borpor</t>
  </si>
  <si>
    <t>…metido lo» Srís. tenientes corregidores que se to Idem del 11. maría en consideración la queja que los habitantes querían presentar Se leyó y discutió un proyecto propuesto pot el Sr. Ferreira Borpor escrito, se retiraron todo» i sus casas. ges para reanimar la navegación portuguesa. n Merecen los mayores elogios los Sr?s« Barbier t P'tít'D*$rocnet- El Sr. Lino Ccutinho leyó la siguiente proposición : tm , Delatullaye , Bernad hijo y Doucet , &gt;jue en esta…</t>
  </si>
  <si>
    <t>Borrajo, Josef</t>
  </si>
  <si>
    <t>Josef Borrajo</t>
  </si>
  <si>
    <t>….... *53.411 ni el artículo comunicado inserto en el diario de esta ciudad del día 29 Toledo.................... ......... *-539.tf5^ **i de Junio último, página 1715, firmado por D. Josef Borrajo, denun Torios*............................. 77.601 ciado por D. Sebastian Oliver y Acedo, declaran á unanimidad de votoc Tudela............................... 18,428 que ha lugar á la formación Je cauta. Barcelona 12 de Julio de 181*. Tuy.....................…</t>
  </si>
  <si>
    <t>Borrás</t>
  </si>
  <si>
    <t>Gaceta de Madrid n.º 224</t>
  </si>
  <si>
    <t>…años. Zaragoza atf de Julio de 18 ja. — Anto to: á este movimiento toda la columna aceleró su marcha, y en espe nio Ramón Zarco del Valle.” cial la caballería , que la mandaba el capitán Borrás, con el alférez de Muel (Aragón) ag de Julio. voluntarios de España D. Vicente Sánchez Salvador, un sargento, uta En el día da hoy ha entrado en este pueblo entre las aclamaciones cabo y 6 soldados de Vtllaviclosa, que á todo escape, sufriendo un de todos los…</t>
  </si>
  <si>
    <t>Boruga, Sani de</t>
  </si>
  <si>
    <t>Sani de Boruga</t>
  </si>
  <si>
    <t>…ro á censo sin tomar parte en las ga Se admitió á disensión jr quedó aprobada la siguiente proposición nancias y pérdidas del establecimiento : hay otros por l.tras Sec. ;Có«" del Sr. Sani de Boruga. mo podrían pues los accionistas retirar sus capitales, y dejar filos acree » Pido que las dudas propuestas por d Enroso. Sr. arzobispo de dores defraudados - La compañía de Filipinas se halla en ei mismo caso Toledo sobre recaudación y distribución del medio…</t>
  </si>
  <si>
    <t>Bos, Eades de</t>
  </si>
  <si>
    <t>Eades de Bos</t>
  </si>
  <si>
    <t>…goleta el capitán y algunos marineros, y pinturas de la sirena. en la polacra el piloto, el contramaestre, un marinero, el muchacho » El dueño de este animal extraordinario es el capitán Eades de Bos y un pasagero. ton, en los Estados-Unidos de América. Después de haber yo extendi —Se ha dirigido al Excmo. ayuntamiento la siguiente representación : do esta descripción el Sr. Eades me hizo saber las circunstancias si » Excino. ayuntamiento constitucional:…</t>
  </si>
  <si>
    <t>Bosch, Jaime</t>
  </si>
  <si>
    <t>Jaime Bosch</t>
  </si>
  <si>
    <t>…de i8as.=Miguel de A’a- Francisco Nogues, d-clararon que no ha lugar á la formación de causa va , presiden te.=Angel Ssavcdra , diputado aecretario-sFranciaco Be por loa votos de D. Jaime Bosch, D. Ramón Maresch, D. Sera fin Banito , diputado- secretario.” - cígalupi y D. Miguel Piando!it; y habiendo votado que ha lugar Don Por unto ttubdamos i todos los tribunales, justicias, gefes, go Magín Coraminas, D. Joaquín Vifials, D. Isidro Gallarda, D. Fra…</t>
  </si>
  <si>
    <t>Bosch, Luis</t>
  </si>
  <si>
    <t>Luis Bosch</t>
  </si>
  <si>
    <t>…a misma íín:a, porque con cabezas tan volcanizables como la, fran ceptos, quebrantan las leyes sociales. Mucho menos lo son aquellos cesas el egemplo era contagioso.”__El patriota D. Luis Bosch, ha malos sacerdotes que aparentando un zeio hipócrita, colocan cafiosacendado de Ondara, pueblo de 170 vecinos, llevado del miyor entu nunre sus pasiones en el altar , y las presentan al pueblo incacto como siasmo, ha levantado 44 jóvenes milicianos voluntar…</t>
  </si>
  <si>
    <t>BoSe, Josef</t>
  </si>
  <si>
    <t>Josef BoSe</t>
  </si>
  <si>
    <t>…e aprobó el artículo , con lo cual cha t xposicion se declaró hsbetla oído las Cortes con agrado. se suspendió esta discusión. La comisión de Premios, en vista de la exposic on de D. Josef BoSe mandó pasar á la comisión de Diputaciones provinciales una farull en solicitud de que se le habilite para poder obtener empleo , y adición del Sr. Alvear al art. 8.° sobre el gobierno económico-políti del informe favorable del Gobierno, opinaba que deba acced…</t>
  </si>
  <si>
    <t>Bosutil</t>
  </si>
  <si>
    <t>…cipios demagógicos ó de re bre ó por ios tesoreros de renta» ó por otra oficina de cuenta y razón. belión , ni en intereses particulares de algunos sugetos; es una guerra Otra del Sr. Bosutil para qu.- se exima á los individuos del c ero nacional y sagrada, y no tiene otro objeto que ia reparación de ta del pago de l &gt;t c.nco icales con que deben contribuir para ia sui.cis nación y el recobro de los derechos de la propiedad , del honor y de la nac…</t>
  </si>
  <si>
    <t>Botch, Francisco Mi'ans del</t>
  </si>
  <si>
    <t>Francisco Mi'ans del Botch</t>
  </si>
  <si>
    <t>…ijo y un retra La comisión de Visita del Crédito público, informando sobre la to del Rey en el lugar donde estaba la lápida; publicaron el bando de solicitud del mariscal de campo D. Francisco Mi'ans del Botch pa que todo* loa milicianos voluntarios presentaran laa arma*, y se apode ra que se le satisfagan en metálico su* alcances , opinaba que en aten raron de 140 duro* quemaban en poder del administrador de rentas. ción á los distinguidos servicios de este genera…</t>
  </si>
  <si>
    <t>Botct, Jostf</t>
  </si>
  <si>
    <t>Jostf Botct</t>
  </si>
  <si>
    <t>…car, palo, cueros, café y tabaco.—.Q-- Barbate la lancha del bergantín •lias y el mismo santo Rey fenecieron en medio de aquellos ardiente* espafiol S. Buenaventura con su espitan D. Jostf Botct y la tripu'a- arenales. cion , cotnpu.su de 15 hombres—.Este bergantín salió de Cádiz para No fu- mas feliz su hijo Felipa, llamado el Atrevido, en su fa Barcelona el 7 del presente; y d día 9 i las t de la tarde fu* persegui mosa expedición i Cataluña (5) co…</t>
  </si>
  <si>
    <t>Bote, Sebastian</t>
  </si>
  <si>
    <t>Sebastian Bote</t>
  </si>
  <si>
    <t>…ciaco Macíac, D. Jotcf admirable. Morale*, D. Pedro Badiere, D. Pió Larténdo, D. Pedro Po illtru, «Coruña, su ayuntamiento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t>
  </si>
  <si>
    <t>Bouchet, Cesar de</t>
  </si>
  <si>
    <t>Cesar de Bouchet</t>
  </si>
  <si>
    <t>…á la rústica. por los económicos. y si el pago de alcances á ¡o» individuos debía en Historia de John Moore, regicida del Rey Cario» t de Inglaterra,y del conde de Dcibis: por el conde Cesar de Bouchet, traducido portender. ( 01 !i misma forma; y conformándose S. M. con el parecer de la ¡uot, d? inspectores, ha tenido í h&gt;en mandar que tanto en la ca S H. T.: dos tomos en 8.J Se vende en las librerías de Barco López y li: lena como en las ri mas armas de lo…</t>
  </si>
  <si>
    <t>Boute, Claudio</t>
  </si>
  <si>
    <t>Claudio Boute</t>
  </si>
  <si>
    <t>…haciéndose la rebaja correspondiente en la Ureta , D. Vntonó Quesada, D. D.cgo huar z , D. Francisco P-rcii», partida señalada para este tribuna!. D. F'ranc seo d - Faua M.-ndcz, D. Claudio Boute &lt;u, D. Ale ¡o El presidente dijo que mañana se continuaría la discusión sobre Sánchez'Mora , D. Josef Gómez Quintero y D. Jos.f de Forres , pai* el dictamen &gt;ij 'a comisión de Premios, y después la de los demas ne declarar si h»h&lt;a o no lugar á ia formación d…</t>
  </si>
  <si>
    <t>Boutelou, Claudio</t>
  </si>
  <si>
    <t>Claudio Boutelou</t>
  </si>
  <si>
    <t>…le qne 41 llevaba, y 4 pesar de — Habiéndose observado lo* tramites prescritos , y calificado loa set» la resistencia qua le opusieron , consiguió que abandonasen el fuerte de res D. Claudio Boutelou, D. Josef Nostench , D. Mariano Joaquin di Varaivedc y su Península. En seguida dirigió su marche sobre Coro, Cosío, D. Pedro Fuenmayorj D. Francisco Javier Perez, D. Leandro en donde se le reunieron 400 bombees da fiaguerrillas, 4 quienes ar Pallares, D. Jos…</t>
  </si>
  <si>
    <t>…el art. ■ 7 del cap. j." del reglamen nio Marfa Comieras, D. Manuel Friaza , D- Francesco de Paula Mén to dal mismo consejo. Ramo t'mil. Por los títulos de jueces I.irados ó dez, D. Claudio Boutelou , D. Josef Anitua, D. Manuel del Casti de primen instancia se cobrará un a por 160 sobre el valor i- los llo, 1). Andrés de Monti, D. Amonio Lucent, D. Joaquín Medina, Xq9 rt. que se regulan por sueldos y emolumentos. Por los de magiar D. Pedro Urda y D. Manu…</t>
  </si>
  <si>
    <t>Br'ngas</t>
  </si>
  <si>
    <t>…millón de duros , ó sean so millones de reales. que proponia este contenia una especie 4c contradicción. 5.0 «* Se pagarán lo» atrasos de goces personales , contratas , víveres El Sr. Br'ngas hizo presente que lo» individuos que se habito man y vestuarios por cuenta de los años económicos, á fin de que la marina dado á Filipinas habia sido bajo el concepto de que iban á presidio, y quede en absoluta igualdad con los demas tamos del Estado, según t…</t>
  </si>
  <si>
    <t>Bradi, Manuel</t>
  </si>
  <si>
    <t>Manuel Bradi</t>
  </si>
  <si>
    <t>…turcos. Solimán ataca diente á la citada posesión, tasado todo por los arquitectos D. j ían in ha de ai incontrastable peñasco def-ndido por caballería cristiana. Antonio Cuervo y D. Manuel Bradi en el ser y estado en que se halla Viena es sitiada dos veces - la nobleza húngara, mandada por Tekeli, en la cantidad de 141,301 rs. vn., de la que deben rebajarse ’as carpas implora el auxilio díl bullan para que conserve su Constitución que contra sí tiene…</t>
  </si>
  <si>
    <t>Branco, Casteilo</t>
  </si>
  <si>
    <t>Casteilo Branco</t>
  </si>
  <si>
    <t>…e tos que evítaróñ'Ta capada dé la ven podía obtener por bula, sino en virtud de un concordato con el Tapa. ganza nacional se dispersaron, y el resto murió víctima de su temeri El Sr. Casteilo Branco f otros señor* diputados sostuvieron que dad , pagando el crimen que cometían. debía pedirse la bula pava todos los regulares que manifestasen no po E&gt; dolorosísimo que entre estos faccioso* *á cite A varios indivi der continuar en el claustros y el Sr. obisp…</t>
  </si>
  <si>
    <t>Branco, Castello</t>
  </si>
  <si>
    <t>Castello Branco</t>
  </si>
  <si>
    <t>…que designe la ley quedó aprobada, con solo la diferencia de que en lugar de decirse Brasil se dijese Ultramar. El lunes 15 del corriente se pagará en esta casa nacional de mo El Sr. Castello Branco manifestó la necesidad que había de que se neda , de 10 á a, á los tenedores de los billetes que hayan pic»r¡u...do pagase á los empleados todo lo que se les debía desde Enero de 1811; medios luiset al resello, y tengan los números desde el 741 ai 77 ■, y par…</t>
  </si>
  <si>
    <t>Brandis</t>
  </si>
  <si>
    <t>…imiento de ría de la Corona. la Guardia Real de infantería. Velez el Rubio: para primer comandante i D. Josef Donvngo de Gerona (ligero) para coronel al coronel vivo de infantería Don Brandis, comandanta del primer batallón del regimiento infantería Josef María Co'ubi, teniente coronel mayor del regimiento de Aragón. Infante D. Antonio. Guadix: para primer comandante al comandante de infantería, gra Zaragoza: para primer comandante al coronel grad…</t>
  </si>
  <si>
    <t>Brandis, Francisco</t>
  </si>
  <si>
    <t>Francisco Brandis</t>
  </si>
  <si>
    <t>…total exterminio. Zatagoza 30 de Octubre de 1822. en estos términos -. sManuel de Velasco.” ” Los que indultados una v*z hubiesen reincidido en el mismo cri __Según los paites del comandante D. Francisco Brandis desde Godos, men de conspiracioo.y qiie por ot:as circunstancias no merezcan mavor Montaiban 7 Teruel con fecha del 10, 21 7 23, resulta que la caba pena, serán destinados á las provincias de U tramar á disposición de llería del cabecilla León, compuesta de 5…</t>
  </si>
  <si>
    <t>Brandis, Francsco</t>
  </si>
  <si>
    <t>Francsco Brandis</t>
  </si>
  <si>
    <t>…migos les arrojaron, sin cios que me han dirigido el gefe pol-t co de J.ruei y ei teniente co que bastasen * precaverles los biindages provisorios que se habían dis ronel graduado D. Francsco Brandis, capitán dei cuerpo naciora! de puesto. Accidente imposible de remediar, pues solo abierta la caverna zapadores, relativos todos á la acción ocurrida sobre lo» me:, » de d de la m;na , pueden los que lo intenten trabajar 4 cubierto. cha capital contra los fac…</t>
  </si>
  <si>
    <t>Brasa, Joaef</t>
  </si>
  <si>
    <t>Joaef Brasa</t>
  </si>
  <si>
    <t>…de Instrucción pública presentó los gNtoa de la expedición libertadora—Arenales, arrinconado en Truii- gniente»: ilo, ha perdido mucho de tu concepto. r Uno sobro la exposición de D. Joaef Brasa, "p*1"1** *S De Vcracruz con Techa de gt do Diciembre de t8ir. Según pasar á la dirección de estudio*. Aprobado. ae no» aaegura. por la» corta» del Sur hay aua turbulencias: no quieren Otro sobre la solicitud de D. Félix Santofia y D. Ramón Padrote al Gobiern…</t>
  </si>
  <si>
    <t>Brau</t>
  </si>
  <si>
    <t>Gaceta de Madrid n.º 252</t>
  </si>
  <si>
    <t>…facultad tercera que debía conceder la bula -. Angel Perez.” Art. 3. n l'ara h.b .iur á los religiosos que permanezcan en el Parte dado al comandante de armas del baja Aragón por D. Brau claustro a fin de que puedan ser promovidos en concurso á cualquier be lio Castilla , comandante de la eo'umna expedicionaria del partido de neficio eclesiástico, en cuyo caso debeián espedírseles sus secu'arízacío- Alcañíz, desde Calanda á 1” del comente. Be…</t>
  </si>
  <si>
    <t>Bravo</t>
  </si>
  <si>
    <t>…sentimientos , ext-rmínar al malvado, ha perp-tuar su buena m moría)__Los caba teros de número ascienden ciendo e debidamente expiar sus crím.nes.s^u/r/u.’’ i ion; entre ellos e¡ brigadier Bravo, D. Ant.nio López Pantana, i.le» i //._$« ha publicado hoy por bando que ninguna persona ni D. Manuel Rincón , D. Jos f Domingo Rus , el cancnno D. M.guel corpora :íon pueda promover vítores injuriosos á los buenos europeos, Ramos Ar-spe, D. Ramón Rayón, D. J…</t>
  </si>
  <si>
    <t>Bravo, Antonio</t>
  </si>
  <si>
    <t>Antonio Bravo</t>
  </si>
  <si>
    <t>…ección general de contribuciones d'rectas, en D. Manuel Alonso Diez, D. Salvador Bros, D. Hilario Brihuega, cargada de la recaudación de lanza* y media anata, que el título de Cas D. Antonio Bravo, D. Antonio Cumbres, D. Juan Galvan, D. Mi tilla con la denominación de mirquet de Villabragima le poseía en *1 nué’ González Santos , D. Mauricio González , D. Juan Gerena, Don año de 1693 U. Baltasar H nriqu-z de Cabrera, y que el de marque* Jct'f Yela , D…</t>
  </si>
  <si>
    <t>Bravo, Gerónimo</t>
  </si>
  <si>
    <t>Gerónimo Bravo</t>
  </si>
  <si>
    <t>…D. Sebastian Andrés. Burriezo; otra de 16,316 rs. y 23 mrs. por réditos, núm. 4467, 4 fa vor de D. Santos Zorra; otra de 31,185 rs. de capital, número 3879, TaiZDMALXS. 4 favor de D. Gerónimo Bravo,7 otra de 6866 rs. y 16 mrs. por redi» Por providencia de la sala segunda del crimen de la audiencia ter tos , número 4468, 4 fsvor de D. Silvestre de Agustín y Alvar sauz; ritorial de Castilla la Nueva te manda citar y emplazar por medio de y habiéndose extr…</t>
  </si>
  <si>
    <t>Bravo, Lesmet</t>
  </si>
  <si>
    <t>Lesmet Bravo</t>
  </si>
  <si>
    <t>…, Somoza, Llórente, Rojo , Ruiz de la D. Arias Gonzalo de Mendoza por D. Matías Martínez Rivabelloso, Vega, Riego, Rico, Canga, Septien, Ferrer (D. Joaquín), Parque, en nombre de D. Lesmet Bravo y de D. Joscf García Atocha, vecinos Rubinat, Ibarra , Reillo , Te jeito, Velasco, Ordufia, Busaña, Gar de Tiujillo, el folleto titulado: Nudo constitucional sacado por O. Ai. cía, Valdés CD. Dionisio), Abreu, Giases, Zulueta, Nufiez, Pache JC C. C., administ…</t>
  </si>
  <si>
    <t>Bravo, Nicoias</t>
  </si>
  <si>
    <t>Nicoias Bravo</t>
  </si>
  <si>
    <t>…Pedro Calestino Negrete. D. Josef Mariano Almansa. D. Ma preferisteis el procomunal i vuestras caras esposas y tiernos hijos; opu nuel Velazquez de León. D. Manuel de la Bircena. D. Nicoias Bravo. sisteis á guerreros infames vuestros pechos de bronce, y loa aterrasteis D. Pedro del Paso y Troncoso. D. Vicente Simón González de Cosío. con vuestra decisión, valor y denuedo. Jamas olvidéis esta memora D. Florencio Castillo. D. Tomas Salgado. D. Nicolás O…</t>
  </si>
  <si>
    <t>Bray</t>
  </si>
  <si>
    <t>…egas y ensangrentadas el sacratísimo cuerpo de nuestro Señor atacado, cubriendo al mismo tiempo la marina. Jesucristo, preparándose para celebrar los augustos misterios de nues El coronel Bray manda una columna de unos 800 hombre* , cuya tra religión con robos, violencias y muertes; y en fin los hay tan ig base de operaciones es Martorell, encargada de cubrir ambas carretera* norantes que con no poco trabajo leen mal y escriben peor. de Madrid y de…</t>
  </si>
  <si>
    <t>…de un fuego obs primer batallón de su milicia nacional voluntaria, le ha dirigido la si* tinado se les atacó 4 la bayoneta por varios puntos con la mayor deci guiente alocución el coronel Bray, á cuyas órdenes estaba: sión y valentía, y se logró una completa dispersión, y la derrota se » Milicianos del primer batallón de voitmuuioa 'nacionales de Bar hizo general, habiendo sido perseguidos hasta las alturas de Taradell; y celona: conseguido el obje…</t>
  </si>
  <si>
    <t>Gaceta de Madrid n.º 245</t>
  </si>
  <si>
    <t>…poder b ac.on , será castigado C 'in.' aux.naJor de io, r.b. de, . .a trnsms ce na sufrirá aquel que habiendo oído U voz o nc:i..j .. ::a,m.:a a c:ro perseguir ai cabecilla. - El coronel Bray ha mu'tado al ayuntamiento de Piera en un sin dar parle mm.d.atamente a la a-.itontí.id abundante rancho de pan , carne y vino para la tropa , y en 300 librai Art. 6f •• lodo aquel que pr.vure v veres, armas, mas c'-'tes ó por haber estado allí los facciosos,…</t>
  </si>
  <si>
    <t>…apoyo que hasta aquí les han dispensado. El 13 debía salir La columna valor y de decisión; y estad seguros de que en todo caso volarcma á para Manreta, cubriendo interinamente el Sr. Bray en auxilio de loa vuestro socorro. pueblos del Vallé» la línea que ocupaba el coronel Costa. » Ccrdancs: Os doy gracias por el buen comportamiento que h beit Lo que te publica por disposición del Eterno, ayuntamiento. Bar tenido con las tropas nacionales: con…</t>
  </si>
  <si>
    <t>Bray, Antonio</t>
  </si>
  <si>
    <t>Antonio Bray</t>
  </si>
  <si>
    <t>…omparando también los diferente* acaecido lo mismo por la paite de Monistrol de Monseuat, que ha ido objetos de unos y di otros , hallaseis evidenciada esta verdad. recorriendo el coronel D. Antonio Bray, según el plan que se le había » Resta ahora que cada cual cumpla con los deberes á que adema* comunicado, huta reunirse con el propio Sr. gefe político en la enun de su opinión lo llama su intere*. Ei egército de mi mando y yo, que ciada población de Moyi. E…</t>
  </si>
  <si>
    <t>Brayo</t>
  </si>
  <si>
    <t>…eta del 8.) nunciado por caiuinnicso é injurioso por D. Joaquín d: Alcántara y Circular sobre la aplicación de los prófugos aprehendidos por los Eoria, que empieza: » El duende al Sr. Brayo;” y concluye: » F! du-.nayuntamientos ó por cualquier otro i quien hubiere cabido la suerte de de forasteroloa declarado á unanimidad de voto* que i». ha tugar soldado. (Gaceta del 9.) i la formación de causa. Barcelona 16 ds Octubre de idis.=V c nre Circular…</t>
  </si>
  <si>
    <t>Bre.r</t>
  </si>
  <si>
    <t>…ontañas las mas quebra •* Excmo. Sr.: He ¡legado á »str pueblo con la diviticn que con das protegió mucho su fuga , que v. nacarón hác.a Laguer» , Figoli y duzco , mientras que el coronel Bre.r ha • cupido á Mura. Sq ,:-ren, Valsalcbre, en donde sin dificultad podrán reunirse de nu-.vo; pero ai parecer, esperarnos ios face osos: cont.r.ú » antes d-,1 amanecer da calculo habrán tenido bastante perdida por algunos fusiles y otros efec mañana mi movimi…</t>
  </si>
  <si>
    <t>Briagas</t>
  </si>
  <si>
    <t>…ucesivo en fuer festadas como alguna de las provincias de la Península, no puedo con za de las providencias que se toman. Ahora bien; si á todos se les im venir con la opinión del Sr. Briagas: las desgracias que han sufrido pone esta p.-na , ; qué se ha de hacer con tanta gente depositada, mien aquellas islas merecen otras consideraciones: 300 hombres como los de tras se proporciona ocasión de buques y dinero para trasportarlos? ; han que se trata…</t>
  </si>
  <si>
    <t>Brida</t>
  </si>
  <si>
    <t>…tiempo prescrito por las leyes sobre El *&gt;r. Oóver pidió se leyese el art. 09 del reglamento , y se i.rú. el recurso de nulidad : De esto mismo resulta pues un cargo mayo; con E! Sr. Brida p dió igualmente se leyes; c. 100 , y se i- . .. ¡aniu in. tra la audiencia, porque si lo ente dió, deb.ó ejecutarlo; y no cibs En secuela se declaró comprimí.da la preposición en Uicho artícu duda en que este recurso de nulidad tiene lu.ar siempre que la sen…</t>
  </si>
  <si>
    <t>…e hac an de.estas exposiciones debían acordar que se insertasen tenida esta son reputados por la Constitución como españoles. íntegras en el diario de las misma». \n se acordó. El Sr. Brida se opuso á que se dijese en el artículo ¡¡ue n» estén ca El Sr. Surra presentó una exposición de la segunda compañía del sados , por cuanto podría llegar el caso en que fuese necesario echar primer bita!Ion de la milicia nacional voluntaria de esta corte , y…</t>
  </si>
  <si>
    <t>…exposición de O. Francisco Bocanegr», natural de jurarla S. M. ó de tener noticia de que la hubieae jurado.” Sicria, solicitando lo mismo. La comisión opilaba que también podía El Sr. Brida dijo que era tama la latitud que por este artículo te acc:d -rse í ella. Aprobado. daba á las gracias concedidas por el decreto de 11 de Si tu-mbre, que Otro sobre la exposición de D. Juan de! Valle, natural de I'les- arria imposible real zarlas. Aunque no te…</t>
  </si>
  <si>
    <t>…el sol, á no ser con con Se aprobó este artículo después de una corta discusión, suprimién sentimiento del gefe dose la palabra ó prenda. Se mandó insertar en el acta ei veto d-1 Sr. Brida , ccnfurio á la Se aprobaron ios artículos siguientes: •probación del dictamen de la comisión de Guerra, qu buce . xt nsivo Art. 40. &lt;1 El comandante general está autorizado para nombrar á loa hijos espurios lo acordado en el reglam-nto del reemplazo del aque…</t>
  </si>
  <si>
    <t>Brihuega, Hilario</t>
  </si>
  <si>
    <t>Hilario Brihuega</t>
  </si>
  <si>
    <t>…no, Don Julián González Sarabia, D. Camilo Miguel, D. Francisco Azquria» Resultando en la dirección general de contribuciones d'rectas, en D. Manuel Alonso Diez, D. Salvador Bros, D. Hilario Brihuega, cargada de la recaudación de lanza* y media anata, que el título de Cas D. Antonio Bravo, D. Antonio Cumbres, D. Juan Galvan, D. Mi tilla con la denominación de mirquet de Villabragima le poseía en *1 nué’ González Santos , D. Mauricio González , D. Juan Ger…</t>
  </si>
  <si>
    <t>Bringa</t>
  </si>
  <si>
    <t>…uación de la Moldav a; pero que * H,b endose apoderado los tinlotatde una embarcación franca», si soto le verificaban las tropas asiáticas, quedándose en sus mismos pues mando del capitán Bringa, el contra-almirante H.lgan les obLvó á tos todas las tropas otomanas de las dos provincias. devolver el buque y cargamento , í pagar al espitan j9 piastras per vía He aquí un documento que podrá darnos alguna luz sobre el impor de indemni7rc cr-. j 4 .ctrega…</t>
  </si>
  <si>
    <t>Bringas</t>
  </si>
  <si>
    <t>…r. Canga contestó que eo caso de variarse el artículo, en mas taderos de f.ost afirma, se aumentará la consignación de las cajas de adoptable la adición del Sr. Infante que la del Sr. Bringas, pues lo •que'la isla hasta un millón de duros , ó sean so millones de reales. que proponia este contenia una especie 4c contradicción. 5.0 «* Se pagarán lo» atrasos de goces personales , contratas , víveres El Sr. Br'ngas hizo presente que lo» individuos que…</t>
  </si>
  <si>
    <t>…y en otro caso, se hallará una diferencia expresada con exactitud, y pidió que la comisión la reformase. muy notable entre la libre voluntad y la seducción, porque la libre vo El Sr. Bringas, después de haber manifestado de cuanta importan luntad supone un ánimo decidido á tomar las armas contra la patria, cia son para la Península las islas Filipinas , fue de parecer que era cuando la seducción obra sobre un ánimo que retiste; pero que por fla n…</t>
  </si>
  <si>
    <t>…La Nación no se halla en circunstancias de en primer lugar; y por lo mismo no puede tener cab da la adición del pagar tantos sueldos á empleados cesantes; y yo quisiera que el Con Sr. Bringas para que las propiedades de los españoles que existen en las greso empezara á desembarazar de ellos al erario nacional, pues la islas Filipinas vengan á la Península. abruman estos sueldos; y si no se hace asi, dentro de pocos años consu- Por otra parte estas…</t>
  </si>
  <si>
    <t>Bringas, Juan Antonio</t>
  </si>
  <si>
    <t>Juan Antonio Bringas</t>
  </si>
  <si>
    <t>…referidos destinos. cargo, las existencias actuales procedentes del indulto cuadragesimal con proporción á las asignaciones que sobre dicho ramo disfruten , dis Por jubilación de D. Juan Antonio Bringas ha resultado vacante la poniendo al mismo tiempo se haga entender á las referidas juntas , que plaza de magistrado de la audiencia territorial de Valladoiid. en lo sucesivo no serán atendidas tales reclamaciones, si antes no re Los pretendientes que tengan la…</t>
  </si>
  <si>
    <t>Bringat, Francisco</t>
  </si>
  <si>
    <t>Francisco Bringat</t>
  </si>
  <si>
    <t>…mo; e..- . 1nas, opinaba que d b an aprobarse. A», se acordó. p tcnt. mente .on ¡a fcima d; u-:o de &gt;Os a.cald.'s * de. sr.r 'i - .• .e La misiiia, informando sobre los pod.r.s de D. Francisco Bringat ayuntamiento, y c. nv udru que en ia pollada de cada ..hro »r a&gt;.. r.t.n Tarsnco, diputado electo por la provine a de Nu.va-i.govia en Filipi las tojas de qu: coiistlnas, era de parecer que d.bian aprebatse. Aprobado. Excit: V. S. ei zelo v patriotismo de ¡os…</t>
  </si>
  <si>
    <t>Bringrs</t>
  </si>
  <si>
    <t>…sidera la comisión como una carrera, sino como una comnion; la otra opondré. es la de aquellos empleados diplomáticos que salen de la secretaría El Sr. Roset-. La proposición de! Sr. Bringrs no dice , como ha de Estado, la cual en el concepto de la comisión ea una carrera, y asi supuesto el Sr. preopinante , que ss fije el te.m no de dos años para no hay una razón para que á estos empleados cesantes se les niegue el trasportar á la Península los…</t>
  </si>
  <si>
    <t>Briones, Esteban</t>
  </si>
  <si>
    <t>Esteban Briones</t>
  </si>
  <si>
    <t>…réis no , á D. Josef Antonio Duran, y para la del de Mahon , en la La comisión de Poderes, al reconocer los presentados por los sello- provincia de Mallorca, vacante por muerte da D. Esteban Briones, á res diputados para las próximas Cortes , había advertido lo siguiente: D. Leandro de la Barcena. i.° que en varias provincias por equivocación se empezaban lias elec ciones el síbado que precedía al domingo se Halado: j* que los secre Debiéndose proveer el…</t>
  </si>
  <si>
    <t>Briones, Francisco de Berra y</t>
  </si>
  <si>
    <t>Francisco de Berra y Briones</t>
  </si>
  <si>
    <t>…0 D. Fiancisco Javier Sarrapio; para el de Pontevedra á D- Josef Paz y reales diarios, cobrados por la justicia, y casa para su habitación: su Rodríguez , y para el de Redondela á D. Francisco de Berra y Briones. vecindario se compone de 160 habitantes poco mas ó menos. Los pre Se prev ene á los agraciados que acudan á sacar los títulos corres tendientes dirigirán sus memoriales al ayuntamiento constitucional de pondentes dentro del término señalado por regla general…</t>
  </si>
  <si>
    <t>Briset, Crispiniano</t>
  </si>
  <si>
    <t>Crispiniano Briset</t>
  </si>
  <si>
    <t>….Manuel Díaz, tucional. D. Francisco González Calderón r D. Manuel Rodríguez Almeí^a. Conseguida esta intima unioo entre lo* verdadero* amigos de le En geografis el referido Soto, D. Crispiniano Briset y D. AttonioPa- libertad, dcca.rán de ánimo sus mas obstinados adversarios, y los b!o Rodríguez. En navegación los mismos Soto , Briset, Rodríguez y hombres t mi dos que hayan podida dudar de la solidez del sistema se Almeida. En geometría príctica los mencionados V.zquez, C…</t>
  </si>
  <si>
    <t>Brito</t>
  </si>
  <si>
    <t>…r las adiciones que se habían hecho por conquistar, y.para oponerse á ios obstáculos que otros Gabinetes le sus algunos señores diputados. citen. be aprobó la adición hecha por el Sr. Brito en estas térmicos : »&gt; Que Bien conoce el divan su propia debilidad; pero se anima con la idea se oiga al magistrado antes de que se le suspenda del egercicio de sus de que pueden llegar á exasperarse los musulmanes, y con el conoci funciones.” miento particu…</t>
  </si>
  <si>
    <t>…el ca Estando destinado para esta discusión el proyecto de reforma de la pricho , ostentan patriotismo cuando devoran a tu patria, te proclaman moneda, lo leyó el Sr. Freire; y el Sr. Brito se opuso á que se discu amigos del orden cuando io perturban con cwáudaio, y se glorian de tiera, fundándose en que no se había repartido aun el dictamen del mi defender los derechos del hombre cuando destruyen los cimientos del nistro de Hacienda , para que…</t>
  </si>
  <si>
    <t>Broche, Juan de</t>
  </si>
  <si>
    <t>Juan de Broche</t>
  </si>
  <si>
    <t>…a por el Sr. Arguelles, y tas Cortes tePacha, romano y domiciliado en Pa'ma de Mallorca: él 4.0 í D. Ni solvieron que se leyese. colás Munusid, teniente coronel retirado: el 5.0 á D. Juan de Broche, El Sr. secretario del despacho de Hacienda leyó la memoria de su comandante de artillería de Marina: el 6.a i D. Josi-f Augura , r.si- ramo, en la cual , después de dar una notica circunstanciada de lo que dente en Monzón: el 7“ á D Juan Rolando , natural de…</t>
  </si>
  <si>
    <t>Bros, Felipe</t>
  </si>
  <si>
    <t>Felipe Bros</t>
  </si>
  <si>
    <t>…idos y 9 contusos. ‘ ron en la acción los coroneles D. F. Seoane y D. F. Mateos, y los En el segundó 2 muertos, 12 heridos y 3 contuso*.. oficiales de la guardia Rid de infantería D. Felipe Bros; O. Ramón En el tercero j muerto, 10 heridos y 5 contusas. Fábregas, D. Joaquín Marte!, D. F. Garoz el» el segundo batallón; y Total, 3 muertos, 41 heridos y if.contusos. D. F. Carreño, D. Luis Zafortesa y D. Manuel Lace Le, que se hallaban Madrid 10 de Julio…</t>
  </si>
  <si>
    <t>Bros, Salvador</t>
  </si>
  <si>
    <t>Salvador Bros</t>
  </si>
  <si>
    <t>…, D. Martin Z-'nzano, Don Julián González Sarabia, D. Camilo Miguel, D. Francisco Azquria» Resultando en la dirección general de contribuciones d'rectas, en D. Manuel Alonso Diez, D. Salvador Bros, D. Hilario Brihuega, cargada de la recaudación de lanza* y media anata, que el título de Cas D. Antonio Bravo, D. Antonio Cumbres, D. Juan Galvan, D. Mi tilla con la denominación de mirquet de Villabragima le poseía en *1 nué’ González Santos , D. Mauricio G…</t>
  </si>
  <si>
    <t>Broto, Josef</t>
  </si>
  <si>
    <t>Josef Broto</t>
  </si>
  <si>
    <t>…la cir por un inanidad no haber lugar á la formación de causa por los señorea cón t iticia de cuadrilla i:s nec cía en todos los su ¡teto* comprendido jatees de hecho de Zaragoza D. Josef Broto , D. Ramón Mateo, Don en éi pata que sean juz.-a los con arreglo á la misma ley.” Antonio López, D. Agustín Alcaide , D. Manuel antin, D. Joa Lo cpcan .0 • V. d; orí n d.l R:y para inteligencia, cumpli quín banchez del Cacho , D. Joaquín de Abad y D. Mariano…</t>
  </si>
  <si>
    <t>Brotons, Francisco</t>
  </si>
  <si>
    <t>Francisco Brotons</t>
  </si>
  <si>
    <t>…pernumerario del regi Injusto al espitan D. Josef María Rubio, teniente del regimienta miento infantería de Fernando vu, con 570 rs. infatu ría de Toledo , con 570 rs. Valencia al capitán D. Francisco Brotons , teniente dei regimiento Jr n á D Lorenzo Caballero, teniente del regimiento infantería infantería de la Rema , con 570 rs. de Búr/os, con 570 rs. Vallado!id al capitán D. Manuel Moran , teniente del regimiento Játiva al cap tan graduado D. Luis Ocheu, tenie…</t>
  </si>
  <si>
    <t>Broussais</t>
  </si>
  <si>
    <t>…Rdfu y la isla de Phila ofre Principios generales d: fisiología patológica, coordinados según la cieron alternativamenteá su insaciable curiosidad sus templos, sus pa doctina del catedrático Broussais, por el Dr. t. J. Begin , ayudante lacios , sus obeliscos y tus catacumbas. En ei egercito se manifestó un en mayor de cirugía en el hospital militar de instrucción de M tz &amp;c. &amp;c, tusiasmo general, y á manera de un sacudimiento eléctrico se comunicó traducid…</t>
  </si>
  <si>
    <t>Brrton</t>
  </si>
  <si>
    <t>…s. había poderosas razones para creer que había vuelto i diferir su vi.-g;. El 18 de Junio anunció al Rey da Francia al ministro d Cu rra Madrid Lunes l.° de Julio. la prisión del general Brrton en las inmediaciones de ássmur. __I.» m SS. MM. y AA continúan sin novedad ea sa importante salad.* famosa Bandera Blanca dice que han sido nombrad» para insectores del cordon sanitario, que se compone de i:9 hoatbrcs, Ir s g. u •rales Antíchamp y Lijer-Bclaí…</t>
  </si>
  <si>
    <t>Brsccurt, Manuel María</t>
  </si>
  <si>
    <t>Manuel María Brsccurt</t>
  </si>
  <si>
    <t>…s sueldo alguno: la comisión opinaba debía accedería á su solicitud. pañol.” Aprobado. El Sr. Inrante manifesté que el objeto de la comisión era. que no Otro sobre Is instancia de D. Manuel María Brsccurt para que se pudiesen servir en el ejército los extrangeros que no estuviesen natura le colocase en el Cred to público en atención á sus servicios y d mas lizados en España, y que se podrían suprimir las palabras que no extin razones que exponía: la comisión o…</t>
  </si>
  <si>
    <t>Bruguera, Celestino</t>
  </si>
  <si>
    <t>Celestino Bruguera</t>
  </si>
  <si>
    <t>…na del aro económico.” del sábado a de Febrero de 181 a," denunciado por el fiscal de censu . Y de Real orden lo traslado á V. para su inteligencia y cumpli ra , la ley absolvió á D. Celestino Bruguera responsable de Bicho im miento. Madrid 1$ de Abril de 18aa. preso, en cuya consecuencia se mandó fuese puesto inmediatamtnte en libertad , declarando que este procedimiento no le debía causar perjui DISECCION GENERAS DE ADUANAS Y RESGUARDOS. cio en su reputac…</t>
  </si>
  <si>
    <t>Brunelly, Félix</t>
  </si>
  <si>
    <t>Félix Brunelly</t>
  </si>
  <si>
    <t>…as. do con perfección dos estatuas, á quien entregó una caja completa de Seria inútil y fuera de propósito el hacer una d-ser.pelón minuciosa de pinturas finas para el a.; mayor á D. Félix Brunelly , por la egecucion los emblemas esculpidos en el círculo. En el atas d i 1-7,o;- á fie&lt;rto de tres cabezas completas , adjudicándole un estuche completo de ins- hay dos láminas , Tina concluida y otra bosquejada : ¡os que t n.nn trumentos matemáticos artístic…</t>
  </si>
  <si>
    <t>Brusca, Manuel</t>
  </si>
  <si>
    <t>Manuel Brusca</t>
  </si>
  <si>
    <t>…ificarse en beneficio de los vecinos de los respectivos dos. Aprobado. pueblos que se trataba de reunir, debian tomarse todas las precauciones Otro sobre la memoria presentada por D. Manuel Brusca , relativa para que no se convirtiesen en dafio suyo, ya perjudicando al derecho al fomento de la marinería de Espafta, en el que opinaba que la* Cor de propiedad, ó ya dejando entre ellos un fermento de división 7 de tes debian agradecer el zelo de este inte…</t>
  </si>
  <si>
    <t>Bruzada, Jos-f</t>
  </si>
  <si>
    <t>Jos-f Bruzada</t>
  </si>
  <si>
    <t>…dado; pero con la diferencia Primera clase. Escritura y lectura , i cargo de D Ceferino Cebade que en el saqueo de una ciudad el pillage y la carnicería duran tres, llos. Premio á D. Jos-f Bruzada. Accésit á D. Jacobo Colombo. seis ó veinte y cuatro horas ; mas nosotros hace ya seis meses que noe Secunda clase. Dvitrina cristiana é historia sagrada, á careo del hallamos en tan mise' &gt; estado. director D. Josef Garriga. Premio á D Vedro Aita. Accésit a…</t>
  </si>
  <si>
    <t>Bsl'abrlgt, Lean Rodrigo</t>
  </si>
  <si>
    <t>Lean Rodrigo Bsl'abrlgt</t>
  </si>
  <si>
    <t>…s y de !a propiedad del trabajo, si es que los Principes no ba de propios de la misma. jaron del cielo, ,’&gt; los demas individuos de ia especie human* no nacie Canarias interventor D. Lean Rodrigo Bsl'abrlgt , teniente coronel ron de un modo inferior i aquellos 1 Omnia temnts habent, tí siete graduado y cadete del extinguido cuerpo de tuaidiat de Corps. sratiis transrunt vtuvtrfM jub calo. Tenyui destruendi rt tempms edi Baleares interventor D. Mat as García Par.…</t>
  </si>
  <si>
    <t>Bslío, Tomas</t>
  </si>
  <si>
    <t>Tomas Bslío</t>
  </si>
  <si>
    <t>…grados de coronel con tres es C'-mo 600 ó 700 facciosos, capitaneados por los cabecillas Bes i eres, trellas de oro en ios hombros y botas de ia manga, ei uniente coronel Du Hmt&amp;y D. Tomas Bslío d¿ Caspe, y entre aquellos joó navarros; i con una de plata entre las de oro, y el sargento mayor todas de p ala. hora y mecha de S- Peiegrin y en mi dirección empezaron ¿ tirotearse » fcsta disposición no impide (asi se previene en decreto fecha dei 8 de las…</t>
  </si>
  <si>
    <t>Bsrardo, Bernardo</t>
  </si>
  <si>
    <t>Bernardo Bsrardo</t>
  </si>
  <si>
    <t>…des Lo* que te crean con derecho á la posesión de los bienes de la do pués de haber hecho vario* prisioneros, y de dar orden al coronel Don tación de la administración fundada por D. Bernardo Bsrardo com Lino Campos para que se adelantase con dichos cuerpos basta unirse parecerán á deducirle en el juzrado de primera instancia de Alicante, con el brigadier Pilares; encargándole muy particularmente que dijese por «1 oficio del escribano D. Francisco Lledó y…</t>
  </si>
  <si>
    <t>Bsrmudez, Manuel</t>
  </si>
  <si>
    <t>Manuel Bsrmudez</t>
  </si>
  <si>
    <t>…y D. Juan del Pozo y Tejada dijeron en sentido opuesto. da á su liquidación , y expida el libramiento de su importe, para que la tesorería lo satisfaga. Habiéndose denunciado por D. Manuel Bsrmudez al Sr. alcalde 5. * Al fin de los do* primero* meses de principiado el suministro, constitucional D. Rodrigo Aranda el núm. 2. del Trabuco como se y «n los primeros 15 días del siguiente, se satisfará al asentista por la dicioso, se reunió el jurado compuesto…</t>
  </si>
  <si>
    <t>Bsutisu, Juan</t>
  </si>
  <si>
    <t>Juan Bsutisu</t>
  </si>
  <si>
    <t>…cu ndo . ra encarnado de Negocios de tura Basas, D. Gaspar Delvado, D. Jactfco huno, D. Miguel Mnl“ius,a,se quejó el hr. Oifers de que se hiciese pública la suspensión de querra, D. Juan Bsutisu ¿abala, D. banuago Aiificz, D. Joscf Moa-</t>
  </si>
  <si>
    <t>Btcrra, Gómez</t>
  </si>
  <si>
    <t>Gómez Btcrra</t>
  </si>
  <si>
    <t>…no en cuanto van sus disposiciones autorizadas meses, para hacer las variaciones de que trata el artículo. por los ayuntamientos; di manera que cuando la qu-ja se dirige contra El Sr. Gómez Btcrra : No se pueden dar reglas acerca del modo el avuntamiento es porque este ha aprobado las providencias de su co— de nombrar esta» comisiones , ni fijar época para la remoción de los in amsion. dividuos que las e mpongan ; y lo fin co que se puede decir es que…</t>
  </si>
  <si>
    <t>Btíruaga, Saetrz de</t>
  </si>
  <si>
    <t>Saetrz de Btíruaga</t>
  </si>
  <si>
    <t>…llen en el misn o El de :a misma, re.ativo á la solicitud de D. Benito Chaves , D. N. caso que el de Segovia.” Cosío y D. N Mela, individuos de la diputación provincial de Sala El Sr. Saetrz de Btíruaga pidió que en atención á Jas últimas ocur manca , para que en arene on i la enfermedad que padecen, se les exo rencias de Onhuela , en donde se habían mofjio públicamente de Ja nere de aquel encargo. La comisión opinaba que podía accederse á esta representació…</t>
  </si>
  <si>
    <t>Bu</t>
  </si>
  <si>
    <t>…sta ahora se ha dado por la presentación de estos an.males. Des ra, sobre ciertos terrenos de propios , era de parecer que re accediere 4 pués de algunas ligeras observaciones del Sr. Bu«y tabre este dicta ella. Aprobado. men , ae mandó qnedate sobre ia mesa La misma en la instancia de los oficial», sargentos, cabo* y rol La comisión Eclesiástica, informando sobre la solicitud de D- Jo* dados del regimiento de Málaga . sobre que se haga efect…</t>
  </si>
  <si>
    <t>…los señor?* ciones materiales. preopinantes en contra del articulo, y por lo que respecta á la obser Ei ir. secretario dijo que el Gobierno estaba pronto i dar las noti vación del Sr. Bu:y de que deben llamarse párrocos y no capellanes, cias necesarias. nada importaba el que fuesen denominado* de una ó de otra manera, S-- leyó la siguiente proposición del Sr. Sroane: siempre que sus oblgac iones estuviesen bien d. talladas. » Pido á las :.ort…</t>
  </si>
  <si>
    <t>…la comisión para que lo redacte de otra manera, mando, conceptuándose como vivo en aquella circunstancia.” porque está confuso, y pueden ocurrir en su egecucion grandes dificul El Sr. Bu y manifestó que no creía fuese conveniente el que un t-tades. Dice el artículo: «Siempre que tropas de diferentes cuerpos se niente de la milicia local mandase á un t niente del egército; poique reúnan en un puesto para cooperar juntas á un acto de servicio.'…</t>
  </si>
  <si>
    <t>…bernador la observancia de esta orden , que se llevará á debido electo por consiguiente no podran tener lugar los horrores que ha anunciado haciendo salir á ios inobedientes.” el Sr. Bu y. Ei Sr. Isturiz.- La comisión al establecer este artículo se propone El Sr. Falcó manifestó que se altanarían todas las dlficulndes si el sin duda que en las plazas no queden personas que no se hallen abas articulóse redactase, diciéndose que la autoridad d…</t>
  </si>
  <si>
    <t>Bu, Saenz de</t>
  </si>
  <si>
    <t>Saenz de Bu</t>
  </si>
  <si>
    <t>…l fanatismo y las preocupaciones de de estar conformes en su utilidad y aun necesidad, vJair.d 17 de Oc ios pueblos. tubre de l8ia. =Domenech.=0«inga.=Vclssr.o. Quedó aprobado. El Sr. Saenz de Bu ruega: B1 Sr. preopinante ha tachado esta me Otro. Mi voto particular rclativam nte í ia medida 18 es 2a ex dida de impolítica, diciendo que va a producir muy malo* efectos , y tinción de monges y de regulares , y la supresión de ios cabildos ecle que en su p…</t>
  </si>
  <si>
    <t>Bu-</t>
  </si>
  <si>
    <t>…parte que dice : lo que no puede reputarte un acto de servicio. en que deben solo entender los gef.s de estos.” Art. 16. «Siempre que se reuniese fuerza de la milicia nacional El Sr. Bu-*y opinó que el artículo debería redactarse con mas clari local con otra del egército p.rmanente, corresponderá el niar.do al de dad, para evitar las competencias á que podía dar lugar , y que se ha empleo superior, y en igualdad al de la fuerza permanente , á…</t>
  </si>
  <si>
    <t>Bu-y</t>
  </si>
  <si>
    <t>…provinciales. La misma comisión, en vista de la adición del Sr. Rico al dicta Uno sobre que se apruebe el arbitrio que proponía el ayunta men de la misma sobre una preposición del Sr. Bu-y , relativa á quí miento constitucional de Vi llena, con objeto de armar un batallón de lo prevenido ae-rca de la celebra:.on de matrimon-os futse ext.ns.vo milicia nacional de la misma. á los militares que se casasen con licencia, opinaba que debía apro Otro…</t>
  </si>
  <si>
    <t>…en él aigo que merezca ño qu: pu.de no haberse causado. llamar la atención ó la intervención d.-l G bierr.o.” El Sr Infante: La comisión conoció que este artícu'o sufriría algu El Sr. Bu-y impugnó) este art culo, manií.stando que en su Opinión na impugnaron ; pero luchando con la pequeña mesticia que cont.- ne, debían r-g!amentarse !as r úmenes patrióticas por las i^ortrs , pu-s so la cua. reconoce la comisión, y con ia nec s dad d.* que e reem…</t>
  </si>
  <si>
    <t>Bucle, Juan</t>
  </si>
  <si>
    <t>Juan Bucle</t>
  </si>
  <si>
    <t>Gaceta de Madrid n.º 229</t>
  </si>
  <si>
    <t>…con la ma Puch, D- Manuel Sierra, E&gt;. Luis Cántense, D. Antonio Cebollero, yor vehemencia le dirige estas terribles palabras: » Vengo corriendo D. Mariano Gudal, D. Celso Píanzon, D. Juan Bucle, D. Pascual del continente á deciros que el fanatismo y la intolerancia vuelven á Pratosi, D. Manuel Lasala, D- Miguel Gavara y D. Dionisio Ma recobrar alli su imperio: mirad lo que vais á hacer; admitiendo 4 loa rín, que lo hicieron en los expresados días. L…</t>
  </si>
  <si>
    <t>Bué, Francisco de Paula</t>
  </si>
  <si>
    <t>Francisco de Paula Bué</t>
  </si>
  <si>
    <t>…ncisco Alvarrz de Villa- ta del dictamen de la comisión de Casos de retpontabslidtd robra la roel, sobre que te declarase que el hospital de lea Tiendas , en la pro queja dada por D. Francisco de Paula Bué, vecino de i —-r-v , cen vincia de Patencia, no cataba comprendido en la ly de de Oc tra el alcalde constitucional de aquella ciudad D. Juan FeruanAx de la tubre de 1810, opinaba que ea efecto tro lo estaba. Aprobado. Cámara y contra el regidor de la misma D.…</t>
  </si>
  <si>
    <t>Buejr</t>
  </si>
  <si>
    <t>…s em miento de Oviedo sobre el cumplimiento de» decreto de a6 de Octubre pleados. de j8io respecto del obispo de aquella diócesis, uno de los 6¡f ex-diA la misma otra del referido Sr. Buejr, acerca de la escala y des putados del año de 14, opinaba que este negocio competía á la comi cuentos que deben hacerse en lo* sueldos de todos lo* empleados pú sión de Cato* de responsabilidad. Aprobado. blicos. Se leyó la lista de los expedientes que se hab…</t>
  </si>
  <si>
    <t>…expresado en el art. t.°, previa del cita do decreto. Aprobado. justificación de las expediciones que haya dejado de realizar en virtud La misma , informando sobre la adición del Sr. Buejr á la solución de dicho decreto, fijará el Gobierno , oyendo á la compañía, la can de la duda segunda de las propuestas por la junta nacional del Crédito tidad que á esta corresponde por indemnización de los perjuicios de público para que se añada: n'it perjui…</t>
  </si>
  <si>
    <t>Buenaven</t>
  </si>
  <si>
    <t>…s según Capitanes. D. Luis Beaumout, D. Antonio IIíVÍ* , D. Joaquín costumbre: y cnnvi .n ¡a qu - s- • rxpiluí a: dj-se que se le ha Ramos, D. Mariano Moreno. D. Aranasio Cuadros, D. Buenaven ba torced do a introduce.on cu ndo . ra encarnado de Negocios de tura Basas, D. Gaspar Delvado, D. Jactfco huno, D. Miguel Mnl“ius,a,se quejó el hr. Oifers de que se hiciese pública la suspensión de querra, D. Juan Bsutisu ¿abala, D. banuago Aiificz, D. Joscf…</t>
  </si>
  <si>
    <t>Buenaventura</t>
  </si>
  <si>
    <t>…es sus despachos si no lo hacen asi. Con arre Del mismo modo opinaba que debía aprobarse la de los Sres. Gó glo i estos principios estoy conforme con la medida; pero he dicho mez (D. Buenaventura) Muro, y Alix, que decía asi: Pedimos se que no da ai Gobierno la autoridad que se desea, y para esto me fun comprenda tn la medida segunda á los demas eclesiásticos separados del do en el inconveniente que encuentro en la medida 19, que prevícn egercicin de…</t>
  </si>
  <si>
    <t>Bueno, Bonifacio</t>
  </si>
  <si>
    <t>Bonifacio Bueno</t>
  </si>
  <si>
    <t>…al capitán D. Miguel Miranda, segundo ayudante supernu merario del regimiento infantería de Jaén, con 61a rs. Secretaría Je Hacienda. _Departamento de Ultramar. Lérida al espitan D. Bonifacio Bueno , segundo ayudante del ba Hallándose vacante la plaza de tesorero administrador de las cajas tallón infantería ligera primero voluntarios de Aragón, con &lt;5oo rs. nacionales de la villa de Sta. Clara, en la isla de Cuba, por jubilaron Mérida á D. Josef Bootell…</t>
  </si>
  <si>
    <t>Buenvecino, Ignacio</t>
  </si>
  <si>
    <t>Ignacio Buenvecino</t>
  </si>
  <si>
    <t>…el grito: eh! eh! que según conjetu Ktsus María 76 rs—La del P- procurad r de Irlanda 440 rs. 7 10 mrs; ró el capitán Kraaeuaurn, quería decir: aquititoy, peto un vocabula j—la de D. Ignacio Buenvecino 575 rs. 7 6 mrs__ La «le los herederos rio japonés fnc indina 4 creer que aquella voz no era otra cosa que la it D. Antonio Lozano 63 rs. 7 9 mrs—La «le Dofia Bernarda de palabra W, tan dulce 7 grata cn todas las lenguas 4 loa oídos do los pila 60 rs. 7 9 mrs…</t>
  </si>
  <si>
    <t>Buey</t>
  </si>
  <si>
    <t>…puede ser un motivo para anular dichas elecciones. mea estaba bien fundado, y que lo apoyaba en todas sus partes. El Sr. Murfi: Creo que de no aprobarte el dictamen de ia comi El Sr. Buey dijo que el acta decía que hubo indicios de una con sión podría haber en lo tuccetivo inconvenientes de cosndmcaxi. El moción popular, y si acato no, i por qué debía decir lo contrario! En solo empico de gefe político es suficiente pera qu: tenga este cierta…</t>
  </si>
  <si>
    <t>…as libertades patrias: ¡y ojalá que mi suposición no 'acaecido en aquellas islas con respecto á ia-elección. sea quimérica! Pero aun en este caso ¡serán minina ó serán en breve El Sr. Buey apoyó el dictamen dele comisión ; y el Sr. Adan fue tiempo los gefes políticos lo que son ahora! No nos engañemos, de opinión que debería quedarse el expediente sobre la mesa para que señor, el corazón del hombre constituido en dignidad propende al des los Sr…</t>
  </si>
  <si>
    <t>…rtes el t ner el t ;u o Je: iins .0 que 1 El Sr. Posadas rectificó una v-qu trocaron que dijo haber padecido sen do, y que tola» a no ha r nurc.ado, y.ahoya «■* quiere que sr-a el Sr. Buey, .1 lo cuai contesto est diputado. suficiente mrped.mentó para no aprobar los 'jysí-re* d -r. Torcías KJ Sr. Olis-er se opuso al dictamen de ta comisión , manifestando el habet servado un destino, sin embargo de haberlo de,ado ya, y r&gt;.</t>
  </si>
  <si>
    <t>…983 rs. y 7 mrt. vn, y el ingreso 55,529 rs. y 7 mrs., resultando una existencia de 2546 rs. vn. Sesión del dia 4 de Marzo. en la caja. Aprobaih el acta del dia anterior, pidió el Sr. Buey que se excita se á la comisión encargada da examinar la memoria «íel Sr. secretario Se han recibido hoy periódicos extrangeros, cuyo extracto presen de la Gobernación de la Península para que tomase en consideración tamos. á la mayor brevedad posible el proye…</t>
  </si>
  <si>
    <t>…nco; el cual poder ha de venir legalizado por el piezas eclesiásticas el consejo de Estado.” Primera lectura embajador, ministro ó cónsul de España mas inmediato. En el acto de El Sr. Buey hizo la siguiente proposición : » Que se mande que las exhibir las acciones, y entregar los poderes y testimonios , se dará ¿ memorias de loe secretarios del Despacho se circulen de ofic o á los cada vocal una esquela rubricada por el secr. tario, que deberá…</t>
  </si>
  <si>
    <t>…uno de los penso de los derechos de ciudadano no lo hubieran elegido por repre Sres Muro, Puntare jo, duque del Parque, Buey, Valdés, Escudero y sentante de su provincia. Rey. El Sr. Buey dijo que no le parecía muy arreglado el dictamen de la En la quinta votación fue electo el Sr. Isturiz por 65 votos, te comisión, porque de nada serviría que se aprobasen los poderes del seniendo 3 el Sr. Villaboa, 4 el Sr. Valdés, 3 «1 Sr. Cano, a el Señor f…</t>
  </si>
  <si>
    <t>…mpo que se devuelve una ley á las Cortes negándose la sanción, cuatro días. se proponga otra robre el mismo asunto. Por lo que hace á lo demas Se leyó la siguiente proposición del Sr. Buey por primera vez: debo decir que pata mí ton muy respetables las opiniones del Sr. Ga» En vista de la denegación de S. M. á sancionar el decreto de 7 de reli, aunque no estamos conformes en ellas. Respecto de la proposición Junio sobre exhibición de los título…</t>
  </si>
  <si>
    <t>…cer y admitir A petición del Sr. Romero se leyeron los arts. 109 y 11a del por la orden de a*f de Abril de i8ii.w reglamento interior de Cortes. No se admitió á discusión otta del Sr. Buey, que decía asir»Pido El Sr. Benito ttaanifestó que la resolución que anteriormente se ha á las Cortes que la memoria de la Hacienda nacional se reparta impresa bla dado por las Cortes en este asunto habia sido relativa únicamente antis del 18 del corriente; q…</t>
  </si>
  <si>
    <t>…pri Lo-, -res. secretarios se hallan actualmente reunidos, y daran parte á las mera vez en la referida sesión del 3. Cortes de cuanto ocurra. Tampoco se admitió á discusión la del Sr. Buey leída en la sesioa El Sr. presidente: Las Cortes quedan enteradas y satisfechas del de 3 del comente. modo con que la comisión ha desempeñado su encargo. Fueron nombrados lot Sres. Salvato, Arguelles, Becerra, Cangi Se mundo pasur i l.i comisión de Milicia lo…</t>
  </si>
  <si>
    <t>…ponía. H Se di ó cuenta de un oficio del Sr. secretario del Despacho de la El Sr. Albear apoyó el dictamen. E Guerra, en el que decía que según lo acordado por Jas Cortea en el El Sr. Buey opinó que antes de resolverse este asunto debia oiría i I día de ayer, y a fin de que los deseos de ellas pudiesen llenarse, remi la diputación provincial de Oviedo. R tía uno de lo» dos leones que acababan de concluirse como modelo da Discutido el yunto sufi…</t>
  </si>
  <si>
    <t>…inión es que Yo podré evitar las exteriodidades, absteniéndome de entrar en lat debe aprobarse la proposición. secretarías del Despacho al mismo tiempo que tenga ias relaciones El Sr. Buey manifestó que los diputados iban á constituirse hom mas estrechas, y aan si se quiere el trato mas frecuente con los minis bres inútiles respecto de ias pretensiones que pudieran tenef sus provin tros y empleados del Gobierno. Podré ponerme en contacto íntimo…</t>
  </si>
  <si>
    <t>…Canga después de haber sido admitida á discusión. ciso que se determinasen quiénes habían de ser estas y cuáles los mo Se lepó la quinta medida (viaje ls mitms gacets.). tivos. El Sr. Buey se opuso á ella, manifestando que el Rey tenia la fa El Sr. González Alomo apopó la medida de la comisión contestan cultad de nombrar i los empleados, y que estando vigentes los decre do al Sr. preopinante , y manifestando que había muchos decretos da tos qne…</t>
  </si>
  <si>
    <t>…comi retiraría. sión anterior opinaba que ya se habían satisfecho los deseos de los su El Sr. Falcó apoyó la proposición. plicantes, y la actual que debía archivarse. Aprobado. El Sr. Buey maaifesab&lt;que el sitio, en disida estaboa tes taquígrafa La misma, en vista de te solicitud del ayuntamiento deTuy para en may malo para oir ..pique seria mmvcnicnw se bascase otra, auaqar que se haga extensivo i toda la provincia lo aüerdado sobre la venia f…</t>
  </si>
  <si>
    <t>…l de Avila para solo su la ciudadela , podrían haber sucedido lances muy funestos , pues sin mayor economía. duda hubiera dada mucho que hacer que una cudadela como la de Otra del Sr. Buey para que se pongan en observancia los capítulo* Pamplona , tan inmediata á la Francia , y hab.endo en aquelia melón j.® y 1." de la sesión *4 del Concilio de Trento sobre uiair.montos. un ministerio como el actual, hubiese caído en man s de los enemigos Se ma…</t>
  </si>
  <si>
    <t>…ende nada de cargos ni de pes i que se nombrasen los ti jueces «le hecho que han de entender ea u quisas. calificación en segunda instancia «leí escrito del ex-dipuu«lo D. Jo*( El Sr. Buey manifestó que habiendo dicho lo bastanto el Sr. Ar- Moreno Guerra por denuncia de D. Josef Duval á nombre de Das giielles renunciaba la palabra. Juan Josef Ribas, cónsul español en Gibraltar. El Sr. Adan: La prudencia del Sr. Arguelles ha llamado la aten Se l…</t>
  </si>
  <si>
    <t>…te permita el pase á milicias é mas oficiales del egército permanente Se mandó pasar á la comisión del Crédito público la siguiente adi que los que haya sobrantes en él. ción del Sr. Buey &gt; » Pido que i la resolución de la duda segunda se A la de Instrucción pública se pasó otra del Sr. López del Baño, añada salvo el derecho de tercero, procedente del mismo origen que relativa á que permanezca el colegio de la villa de Cabra, considerán tuvie-…</t>
  </si>
  <si>
    <t>…necientes ¿ las comunida tuvieron,el Sr. Saavedra 6y votos, al Sr. Benito 65, el Sr. Calderón des de Indias, era de parecer que asi debía hacerte. «mo , el Sr. Belda uno y otro el Sr. Buey. No habiendo reunido nin Ei Sr. Ferrer dijo con este motivo que cuando lo* periódico* de guno de dichos sehores la mitad mas uno del número de votos, se pasó esta capital hablaron de la preposición de que ae ha hecho tiento, di al segundo escrutinio , en el c…</t>
  </si>
  <si>
    <t>…violable persona de S. M. chos feudales. Apf°bado. A la de Hacienda te mandó pasar con urgencia una proposición del La misma comisión , en vista de la queja dirigida por el ayunta Sr. Buey, sobre que se declare el máximum de los sueldos de los em miento de Oviedo sobre el cumplimiento de» decreto de a6 de Octubre pleados. de j8io respecto del obispo de aquella diócesis, uno de los 6¡f ex-diA la misma otra del referido Sr. Buejr, acerca de la es…</t>
  </si>
  <si>
    <t>…Se acordó que se por el general ilosaroll por injuriosos y calumniosos á su persona , decla imprimiese. ran que no há lugar á la formación de causa, por ocho votos contra uno, El Sr. Buey pidió permiso para aproximarse al Gobierno í tratar siendo, este último D. Josef Rich. Barcelona 26 de Marzo de 1821.= un asunto de consideración. Lorenzo CollelI.=Juan Francisco Besora.=Rafael María Comes.—PíHabiendo hablado algunos Sres.', y asimismo leída…</t>
  </si>
  <si>
    <t>, , $37 El Sr. Buey contestó, entre otm cotia, que el art. 8| de la Coa** Ordenes mas severas para qne la» ¡untas diocesana* repartan las ex. st¡tuc¡on debia enienderse en término* que fume practicable, c* decir, tencias que tuvieren; y con este motivo llamaré la atención del Co…</t>
  </si>
  <si>
    <t>…el reparto del total d=l medio Obligada la comisión Eclesiástica á proponer un remedio insiantmeo, diezmo. porque instantánea» la necesidad,no ha podido minos de presrerar una El Sr. Buey: Ni quiero 300 ducado* ni 300 rt. ni nada absoluta medida que, aunque defectuosa, cree que es la única que se puede adop mente: lo que deseo es que lo» legisladores eu estas materia» no se des tar. El Sr. secretario de Hacienda desearía que esta medida fuese…</t>
  </si>
  <si>
    <t>5 81 te cuo i y mí creo qne Im Cortes debía aprobar este artículo. Cortes decretasen que los RR. arzobispos y obispos no pudiesen or El Sr. Buey manifestó, la (alta de individuo» idóneos que había pa denar , si con pretexto de ia cura de almas ordenaban á cuantos qui la ocupar ios destinos de que se trataba, y dijo que los secularizados siesen , temend &gt; provistas las parroquias con dos, tres ó cuatro…</t>
  </si>
  <si>
    <t>…roceder de los tribunales de la Península, y Ja ninguna coherencia de antieconómica; p,io ninguna de estas circunstancias ó aserciones se estos mismos modos de sustanciar, pero el Sr. Buey no se ha hecho cargo han probado como debieran. Ei Sr. Prado ha dicho que no era necesa de qu - no se van á abrir las causas anteriores, sino tan solo se va á exa ria , y que no ha habido tampoco quejas sobre las cuales se pudiera minar si se han sustanciado…</t>
  </si>
  <si>
    <t>H* dicho Mullica el mismo Sr. Buey que acato por la visita se en- k quiera favorecer á amo, te le disimule, y w le pnrda al mismo Lempo contraria roas de lo que te deseaba ¡ pero ti S. S. teme que se encuentre perseguir si se quiere. Estamos desgraciadamente en este cato; pero to aiai de lo qu…</t>
  </si>
  <si>
    <t>…el dictamen hctvan sido electos por dicha isla, pues que asi se había pu barse el dictamen que te discutía. blicado en la Hivana: que ademas tampoco la había en la identidad do El Sr. Buey manifestó que debían aprobarse los poderes de los di tus personas, pues qus algunos Srcs. diputados los conocían; y por úl putados electos de la isla de Cube, porque si bien era necesario exami timo , que el no haber sido examinadas las actas no podía ser un…</t>
  </si>
  <si>
    <t>…cribanía canutaría que despacha por habilitación D. Juan de la Peña cion, y no conviene estrecharles mas. Martínez. Consiguientemente é Instancia de los testamentarios de aque El Sr. Buey hizo algunas observaciones contra el dienmen de la lla, y en virtud de providencia del nominado señor juez , se vuelve á comisión, manifestando que en su opinión era mas venujoia la ley del citar, llamar y emplazar por otros a o dias mas, contados desde este…</t>
  </si>
  <si>
    <t>…ase de los dere que excitase algún temor, era el mismo z-.'o laudable de los ind’v -iwios chos de tales. de la milicia loca! de ambas armas, que se disputan el honor de batirse El Sr. Buey d:jo que se oponía al dictamen de la comisión, porque con los facciosos. Esto es lo que puedo decir en cuanto ai correo de boy. hallaba una itregu'aridad y una restricción en el reintegro de los dere Acerca de lo que ha insinuado el Sr. presidente de la moc o…</t>
  </si>
  <si>
    <t>…que la comisión no ignoraba que al pachadas por la dirección, ó remitidas á las Cortes para tu aprobación. gunos jóvenes por sus talentos 7 aplicación podían adelantar mucho cu El Sr. Buey, después de hacer algunas observaciones en contra del un estudio privado; pero que tampoco les ponía trabas en la facultad dictamen de la comisión dijo, que te tcscivaba la palabra para cuaado de examinarse para solicitar dispensa. se discutiesen sus articule…</t>
  </si>
  <si>
    <t>…ejo, y resultando no ser cierto lo que exponía Se leyó el art. a.* ( Véase ia ¿.treta de 6 del corriente.') este interesado, opinaba debían las Cortes determinar no haber lugar El Sr. Buey se opuso á este artículo, opinando que debían admitir á deliberar sobre su solicitud. Aprobado. se los exámenes privados. he mando quedar sobre la mesa un dictamen de la comisión del El Sr. Lodarcs contestó que la comisión hahia creído que los exá Crédito púb…</t>
  </si>
  <si>
    <t>…ate leyó la'segunda-parte de la ordenanza militar. cional s toda clase de créditos indistintamente! ^ . Se continuó la discusión del dictamen de la comisión de Visita del Otra del Sr. Buey p ra que, en conformidad del decreto de a a do . (Z.éd.tJ púbíico sobre ia memoria de este ramo. Febrero de 181 g se remita a las C.irt.s una lista de los escritos denun Minas de Almadén. ciados , que deb n prohibirse por ser contrarios á la religión. Recorda…</t>
  </si>
  <si>
    <t>…laman la* circunstancias críp formes con lo resuello por las Cortes. ticas en que se encuentra nuestra patria. Ei Sr. presidente anunció que mañana se discutiría el dictamen de El Sr. Buey hizo varias reflexiones sobre &lt;a proposición que se dis la comisión de Visita del Créd.to publico sobre el tipil til* promo cutía , y habló robre el origen principal de sus d.tensiones que te vido por las contestaciones que ha habido entre los administradores…</t>
  </si>
  <si>
    <t>…se acceda de ningún ciso arralar la administración y recaudación del medio diezmo, y evi ando el indulto. tar que fuesen empleados su* producto* en otro destino que el que Ira El Sr. Buey dijo que en realidad ni aun se debia haber presentado habia dedo el Congreso; pues, refiriéndose á la provincia de Toledo, de este asunto é las Cenes, pues qus «agón la (acuitad i«.* que concede bia decir que existían en ella dos contadurías, con los competen…</t>
  </si>
  <si>
    <t>…as equivocaciones de los Sres. Soria, secretario de Hacienda, y Arputados por la ley fundamental. ü-Ues. La comisión de Hacienda antes de presentar su dictamen tuvo A petición del Sr. Buey ae leyó el art. 138 del reglamento. fa franqueza de verse con el Sr. secretario de este ramo para asegurarse El Sr. Alonso dijo que 00 se trataba de una certificación indivi de que los hechos estaban expuestos con toda fidelidad: creo que esto dual, tino de s…</t>
  </si>
  <si>
    <t>…e era preciso precaver los males sen destinados, remitiendo certificado de dicho acto á la audiencia que podían resultar de la lalta de trigo y harinas. territorial respectiva. El Sr. Buey dijo que el admitir loa granos en depósito era dar un A la misma comisión se mandó pasar una comulta d- la audien privilegio á las provinciu litoral» en p:r juicio de las interiores ; y cia territorial de Aragón acerca del cumplimiento del ar¡. 25 del de pidi…</t>
  </si>
  <si>
    <t>…ores, y todo sin perjuicio de las facultades que correspondan ción de lo* matrimonio*. al Rey 7 i las Cortes. Primera lectura. Dicha comisión, informando sobre ana proposición del Sr. Buey, . La misma comiatou opinaba , en vista de la solicitud de D. Ma relativa al derecho que tienen loe párroco* en la celebración de los su» nuel María Reinal, vecino de Valencia, que este interesado podia usar ir momos, manifestaba que era llegado el caso de qn…</t>
  </si>
  <si>
    <t>…reducidas i enriar una exortacion á los pueblos que no habían pagado, vino en ella i nombre de ia comisión. la cual no producía genetalmente efecto alguno. Añadió varias consi El Sr. Buey dijo que no debería usarse de estos apremios, sino cuan deraciones para man i testar que los ayuntamientos podían hacer efecti do ya ae hubiesen apurado todos los recursos; y que ademas deberían va* las contribuciones observándose que los pueblos pequeños en…</t>
  </si>
  <si>
    <t>…del Sr. Posa en España hagan abrir ros ojos á los ministros de los tteyes! ¡ Ojalá da deben ser aprobados. que estos s.pan hacer ver a sus señores que todavía está humeando en El Sr. Buey apoyó las razones del Sr. Castejon, añadiendo que en la Península &gt;a sangre de! mas hermoso,del mas aguerrido, del mas va su opmion había otra nulidad en el número de diputados que se ha liente de ios egércitosl bían nombrada; pues correspondiendo a la provin…</t>
  </si>
  <si>
    <t>…cuyo distrito se haya celebrado el ' Art. 4.0 o Si hubiere muchos párroco* castrense* en una guarni acto. ción , dispondrá el gobernador, sefialando hora, que para el fin de ce El Sr. Buey opinó del mismo modo que el Sr. Becerra. lebrar en el hospital una mía ó dos todos los días festivos alternen en El Sr. Pedralvez dijo que opinaba lo mismo que el Sr. Becerra , fun tre sf por dias ó semanas.” Aprobado. dándote en lo muy importante que es que…</t>
  </si>
  <si>
    <t>…tos i que las destinaron las Cortes , para ver si las nías castrenses sean provistas por rigurosa oposición. «criminaciones que podían hacerse habían de dirigirse contra el Go- El Sr. Buey fue de opimon que todo el cap. 29 volviese á ¡a co b.erno o contra sus subalternos. rnil.on para que le rectificase , y que una de las cosas que en ei hab a E&gt; Sr. Secretario de Marina contestó que en la memoria misma se q. ie arreg'ar era el sustituir i la p…</t>
  </si>
  <si>
    <t>…liver: La dificultad que yo encuentro en el artículo es de esta razón creo que deb; expresarse con mas claridad el artículo de qua otra clase muy diversa que la que ha expuesto el Sr. Buey. Se d ce e i se trata. ¿I: ,,á menos que el de la mític a nacional fuese tetirado, y des-mpeñise El Sr. Infante: No creo que hay necesidad de que este artículo en ella las funciones del último empleo que obtuvo en et eiérciui, en vuelva á la comisión. En cual…</t>
  </si>
  <si>
    <t>…ser las terna* propuestas por el patriarca, artículo. y de ninguna manera por los gefrs militar» 4: tos cuerpo*. Art. 4.a * Mientra* haya oficiales de menor edad no tendrán in El Sr. Buey se conformó en un iodo con Jo expuesto par'al señor grato en los cuerpos hasta que hayan cumplido 1 6 años, ni gozarán preopinante. «« ant'gü-dad basta que el inspector general de su arma y el coronel El Sr. Velasco: El Sr. Falcó no d-jjri de convenir con mi…</t>
  </si>
  <si>
    <t>…s servían eran Jo* que los cosa que estaba ya aprobada por laa Cortes.. froponian habiéndolos elegid» de antemano, y los ordinarios no te - D-ipuet da haber apoyado el artículo el Sr. Buey, se declaró sufi nían otra atribución que imponer las manos sobre loa elegidos. De. cientemente discutido, y quedó aprobado con la indicación hecha por aquí resulta que lejos dé aer desventaja ló?que el Sr. Falcó ba mani el Sr.:Argtiti!es. festado’, &lt; s una v…</t>
  </si>
  <si>
    <t>…buciones de aquellas autoridades : de consi- interior de Cortes solo cuando estas no se ha len r um ias. , guientc, cualquiera que sea la denominación que se dé á esto, siempre El Sr. Buey pidió que »e leyese el art. 159 d« la Con.tituc.on , y sera una cosa que corresponde á ios ayuntamientos; y bajo este supues él Sr- Salvi el 199 4--I reglamento. to ia mayor falta que yo encuentro en este proyecto es de no ser un El Sr. Zuluita: D;»rte qu; te…</t>
  </si>
  <si>
    <t>…rsetterdo de lo que ya esta man Suscribían á este dictamen los Sres. Domenech , Isturiz, Canga, dado en otras leyes? Aíonzo , Marau, Velasco , Ruiz de la Vega, Alcalá Galiano 7 El Sr. Buey: Yo creo que la comisión no ha explicado bien en el Oliver. epígrafe, que de lo que trata es de que se conserven ilesas la seguridad Los Sres. Domenech, Canga 7 Velasco se separaban de! dictamen individual y la propiedad particular; y por lo mismo me aparto d…</t>
  </si>
  <si>
    <t>…y se hallaban expulso* en Menorca. Se les permite 1.-14La comisión de Guerra, después de haber examinado las adicione* ladarse i donde quieran , excepto por ahora á Barcelona. del Sr. Buey al dictamen de la misma (-oíase la Gaceta de /q iiel cor- _F.l comandante militar D. Antonio Era y con fecha di 7 desda riente') sobre reemplazo del egército , opinaba que en cuanto a las tres Martoreil da noticia de haber recibido un parte d-.i comanoart- de…</t>
  </si>
  <si>
    <t>…los vínculos de ¡a amistad se unen mas estre manera alguna á esta tra-'ación , aunque renuncien sus sueldos. chamente ; pero todo el afecto y veneración que tengo á sus luces y El Sr. Buey dijo que la comisión habla excedido los deseos del Go patriotismo no m: excita ;i que s: les dé una facultad , que ni da fuetza bierno en esta medida, pues que este se sometía á la necesidad de for al Gobierno ni le aereé.ta , al paso que es incompatible con…</t>
  </si>
  <si>
    <t>…aquel carácter! Bas Djspues de haber pedido la palabra en pro y en contra varios Se ta en mi opinión una medida que remedie el mal en las circunstancias ñores diputados, pidió el Sr. Buey que no se declarase este punto sufi actuales , porque ahora es cuando necesita el Gobierno una eg-cucion cientemente discutido hasta qu: no hubiese quien quisiese hablar so enérgica y mciner.tinea , y no un poder perpetuo. bre él; y el Sr. presidente dijo que…</t>
  </si>
  <si>
    <t>…r la comisión de ser otro que el raque nos encontramos: d.ceaili que cuando pet era especial. la seguridad del Estado las Cortes podrán suspender la» termalidad.-s Proposición del Sr. Buey: *» Pido que en la discusión de la medida prescritas para el arresto de loa ciudadanos; ei Estado p-’'cru ; tu ego es 9.a no se dé el punto por bastante discutido mientras tanto que haya llagado el caso de adoptar esta medida; y porque esta prevenida en el qu…</t>
  </si>
  <si>
    <t>…los puñales , aquí vemos la circunspección qut sible por salvar á mi patria de ios males que ia afligen. •compaña y preside á las augustas tareas de este cuerpo representativo. El Sr. Buey impugnó la medida, ampliando algunas de las razones Asi pues de los cotejos que se hagan respecto de nuestra Nación con que se habían manif-stado en la discusión; y considerándola como in las «lemas, ¡no resu taran siempre nu vas y nuevas garantías que laa op…</t>
  </si>
  <si>
    <t>…o que en el artículo que se dis- ses, que son y deben ser muy delicados en ios puntos de , r.vedad y cutia. trascendencia. Con este motivo d.ce abora un periodista de Barcelona El Sr. Buey manifestó que el articulo no envolvía injusticia algu lo siguiente: ,, \ la pregunta qu- hicimos en uno de nuestros números na» antes por el contrario quería evitar no tolo que no se su traj-sen anteriores de ¡qué nos quema esa fragata francesa que llegó á la…</t>
  </si>
  <si>
    <t>…ores nia ; pero todas estas promesas te convirtieron en una arbitrariedad y de la comisión se sirviesen adoptar toda la adicion¡qua había propuesto. en un despotismo horroroso. El Sr. Buey apoyó las ideas del Sr. Pedralvez. No quiero recorrer nuestra historia en estos seis años que el despo El Sr. Navarro Tejeiro dijo que en el dictamen de la comisión se tismo estuvo gobernando en España en la plenitud de tu fuerza: basta atendía i un mismo tie…</t>
  </si>
  <si>
    <t>…nto que se había hecho de que no de lo contrario recaería el servicio sobre las clases mas productoras. exceptuando á aquellos, muchos se retraerían de seguir la carrera de las El Sr. Buey expuso que al fabricante, tejedor ó comerciante que letras, conté»!ó que el hombre que se atteve á gastar 30 ó 409 rs. para girase por mas de 6o9 rs. no le seria imposible poner un sustituto, y llegar á obtener el título de doctor no desistirá de su inrmto po…</t>
  </si>
  <si>
    <t>…co» de los ciudadanos espafo es es dos minutos soios que se retardase el castigo podrían ser muy funestos. tu concurrencia con voto activo á las elecciones parroquiales. Por el El Sr. Buey dijo que siempre había tiempo de juagar por los trámi 33 de la Constitución se echa de ver que esta exige tres circunstancias tes regulares al militar que cometiese el delito de deserción de que tra á los ciudadanos para que puedan asistir a estas elecciones:…</t>
  </si>
  <si>
    <t>1646</t>
  </si>
  <si>
    <t>…to me opon mucho mas cuando el ministerio de la Gobernación de la Península go al d.clamen de la comisión. tiene i su disposición 13 millones de raaícs que le asignaron las Cor El Sr. Buey expuso la utilidad que resultarla á toda la Nación de que tes en la legislatura pasada. el caaal de Castilla se concluyete, pues que podría ser el vehículo de El Sr. secretario de la Gobernación de la Península: Solo he toma otros cana'es que se construyesen.…</t>
  </si>
  <si>
    <t>…ecesita pata imponer A estos establecimientos se les debe dar otra forma; y mientras es esta contribución. to no se verifique creo que no puede aprobarse el dictamen que se pre El Sr. Buey hizo presente lo digna de elogio que era la conducta senta; asi pues soy de parecer que si las Cortes consideran oportunode la diputación provincial de Patencia, pues había empleado un capi facilitar á los consulados algunos arbitrios paia los objetos mas jus…</t>
  </si>
  <si>
    <t>…quedo aprobado el » las Comes un nuevo proyecto, el cual puede pasar á la misma comi artículo. sión ó a Otra. Art. 17. » Las autoridades políticas son Us que han de dir los pa El Sr. Buey manifestó que Is razón mas poderosa que hubo para saportes, y no podrán hacerlo sino á personas que ten.sn rr,.•.-!.&gt; ce desaproha- el proyecto de salud publica fue por el gravamen y dispen vivir conocido , ba¡o la multa de $00 rs. , s.n prr¡m. o de ia iray.T…</t>
  </si>
  <si>
    <t>…este gobernador Quedó aprobado hasta la palabra permanente , habiéndose suprimi quedaba autorizado para llevar a un hombre al patíbulo. do lo demas á petición del Sr. Zulueta. El Sr. Buey impugnó el artículo, ampliando las razones de los se- Art. ai. «El gobernador ó comandante superior publicará por fiotes preopinantes. bando á los vecinos y comunidades que serán despedidos de la plaza El Sr. Saavcdra : Si se reflexiona sobre la redacc'on del…</t>
  </si>
  <si>
    <t>…uno en su respec Continúo la discusión ds la ordenanza militar. tivo ramo, entregarán al general en gefe una relación arreglada al for Se mandó petar á la comisión una adición del Sr. Buey al are. yS, mulario núm. 1. de este capítulo, en el que se manifieste el estado y tít. 8.°, cap. ag de la misma. colocación de las baterías , tales cuales se hubieren establecido durante Continuó la discusión del art. 79 que habis quedado pendiente en el siti…</t>
  </si>
  <si>
    <t>…ción , como ofic os acusando el recibo de Después de haber hecho algunas observaciones sobre este artículo el órrW.fs, remitiendo expedientes &amp;c. i peto cuando m los oficios ó ex- Sr. Buey , á las que contestó el Sr. Gómez Bicerra, se diclató el pun pos.ciones s’ mu n mform-s , se hagan propuestas para aprobación de to sufiiient.mente discutido , y quidó aprobado el artículo. fastos íi arb.trios f ó se trate de otros asunt- s .nipr-itantis, fir…</t>
  </si>
  <si>
    <t>…serven el que les está permitida, fuera de la comprendida en el presupuesto raracl'.T de gubernativos. • ordinario, servirán para que si la diputación provincial hallare alguna £1 Sr. Buey : A mi entender este artículo no guarda armonía con cosa digna de atención , tome el conocimiento necesario, y resuelva lo la ley fundamental. M; fundo para decir esto en que al ciudadano agra que convenga. viado se le obliga á callar después de la resolución…</t>
  </si>
  <si>
    <t>…or lo mismo debe aprobarse el no guardaba ya miramiento a.cuno con las llamadas Cortes de Mex«co, articulo. y tema pr ses 1 varios diputados , tratándolo, de comp radores. Este El Sr. Buey: En alguno de tos objetos de que habla este artículo usurpador tendrá que sosten-rs: * fuerza de crímenes, porque tales son puede concederse ia moratoria de que se trata, un que yo crea que se siempre las consecuencias de .a usurpación. oponga al sistema cons…</t>
  </si>
  <si>
    <t>…cobrado, se les pagará al dia sigu.ente 24 los puebles del peso de las contribuciones. desde la misma hora, presentando también los documentos citados. Después de haber apoyado el Sr. Buey el articulo se declaró sufi cientemente discutido, y no se aprobó. La junta superior de vestuarios del egército, para dar cumplimiento Se su-pend'ó esta discusión, y se nombró para la comisión de Guer á la Re.il otden con que ss halla sobre la pronta construc…</t>
  </si>
  <si>
    <t>…el attícuio que propone ia comi ción , y sin perjuicio de lo que queda pr:v¡.nido en el art. t$i de esta sión , sino qu: pido á las Cortes lo desechen igualmente. instrucción. El Sr. Buey apoyó el art culo, manifestando entre otras cosas qu* Art. *41. •» Solo el gefe político circulará i lo* alcaldes y ayunta no seria nada conveniente el que^or no concederse esta facu tad a los mientos de las provincias las leyes, decretos y reso.u.iones g. ar…</t>
  </si>
  <si>
    <t>Buiget, Antonio</t>
  </si>
  <si>
    <t>Antonio Buiget</t>
  </si>
  <si>
    <t>…isco Soler, Jns.:f Antonio Balceils, Pedro Gil, Juan anter or la columna móvil de aquella plaza, á las órdenes de su coman Bautista Dotres , Francisco Altes y Josef Flotáis. dante D. Antonio Buiget, atacó, batió y dispersó los facciosos que en número de 1500, comandados por elcabecil'a Chambo, ocupaban i TRlBUNAI ES. Gherta, en cujo punto entró, encontrándolo abandonado de los habi Por el juzgado de primera instancia del Sr. D. Ramón de Areor, tantes ,…</t>
  </si>
  <si>
    <t>Buiuaga, Saenz de</t>
  </si>
  <si>
    <t>Saenz de Buiuaga</t>
  </si>
  <si>
    <t>…ecuen actos da que te trataba en los libros respectivos, tanto mas cuanto que cia sobre la moral evangélica. las Cortes acababan de aprobar que los capellana de los rcgimicntoa Ei Sr. Saenz de Buiuaga dijo que lo mismo que contenía este ar fuesen párrocos castrenses; pero que en caso de exigirse algún derecho ticulo estaba mandado repetidas veces en varias órdenes que habían por atos asientos, no podía aprobar loque se proponía. circulado por todas partes;…</t>
  </si>
  <si>
    <t>Buk</t>
  </si>
  <si>
    <t>…islas Jónicas 4 la* costal gallo si lo ha habido, creo que no estamos en el caso de adoptar la pro de ¡tana; y cada dia »e va haciendo mas frecuente ia comunicación posición -del Sr. Buk, por cuanto el adoptarla seria en cierto ánodo entre la Morra, las islas Jónicas y la Italia. Esta vea en lugar de diri culpar al Gobierno de omiso, y hasta ahora no sabemos ai lo es;asi girse el buque 4 Corfú, como siempre lo ha hecho, ha dado la vela hí- ad…</t>
  </si>
  <si>
    <t>Bulara, Alvarez de</t>
  </si>
  <si>
    <t>Alvarez de Bulara</t>
  </si>
  <si>
    <t>…s 7 media. estrechar el círculo de las atribuciones del Gobierno, ó lo que es lo mismo, á angustiarle en sus providencias, y ponerle en términos quo 2Vota. En la aesion de ayer el Sr. Alvarez de Bulara se opuso i la no pueda obrar. No estoy de acuerdo en es» parte con S. S.; pues no proposición del Sr. Alava sobre desarmar á la milicia nacional de Pancreo que las Cortes batí de estarse pasivas á vis» de la inquietud de piona, jodijo: qua conformándose con l…</t>
  </si>
  <si>
    <t>Bulnes, Josef González</t>
  </si>
  <si>
    <t>Josef González Bulnes</t>
  </si>
  <si>
    <t>1560</t>
  </si>
  <si>
    <t>…por injurioso lo* respectivos documentos de donde dimanan sus créditos fi los síndi por el procurador D. Ramón Sans á nombre de D. Jos;f Mas 7 Pa- cos D. Juan de Dios Landabusun 7 D. Josef González Bulnes, para ges, a'calde primero constitucional de dicha villa , han declarado uná que esto» puedan formar y presenten en junta que ha de celebrarse fi nimemente haber lugar á la formación do causa. Barcelona a 1 de Se principios da Diciembre de este año un estado…</t>
  </si>
  <si>
    <t>Bun, Infante</t>
  </si>
  <si>
    <t>Infante Bun</t>
  </si>
  <si>
    <t>…las conversaciones da los soldados para avisar de cualquie la vida por una curiosidad o por salir á paseo. ra especie qua merezca la noticia dd gef: de la guardia, y procurará El Sr. Infante Bun fc.tiS que el articulo hablaba tolo con respecta r.ic la gente qus pasare lo haga en cuanto sen posible sin sr tanaca so á las centinelas da una muralla , puerta, ú paraje que pidiese peecan-</t>
  </si>
  <si>
    <t>Bureo, Alejandro del</t>
  </si>
  <si>
    <t>Alejandro del Bureo</t>
  </si>
  <si>
    <t>…fuerza hace la ley; en que rl jura La diputación de los cinco Gremio* mayores de Madrid. D. Miguel mento se da por supuesto, y no se hace, ó si te verifica, es por medio de Perez, D. Alejandro del Bureo, D. Pedro D¡az , D. Josel Fermín Gil, fórmulas y ceremonias en que ninguna parte tienen los súbditos! ¡O D. D:e¿o del Rio, D. V.cente García Di z, D. Antonio de Lago, son lot de los Gobiernos representativos, en que todos lot ciudadano* D. l ab ,an de Mora y…</t>
  </si>
  <si>
    <t>Búrgoe, Javier de</t>
  </si>
  <si>
    <t>Javier de Búrgoe</t>
  </si>
  <si>
    <t>…e Cambia», pasó á demostrar qua su Los tuscriptores á I» biografié universal, antigua y moderna, quegrande antigüedad nada tenia de incompatible con las tradiciones de loa pública D. Javier de Búrgoe, podrán acudir i recoger el a.° tomo á libros sagrados; y esta opinión ( dicen lo» redactores de la gaceta de Jas librerías de Paz y Vülareal, yen las provincias a aquellas en don Francia) e» la misma que hemos manifestado constantemente en nuestra de hayan a…</t>
  </si>
  <si>
    <t>Burgos</t>
  </si>
  <si>
    <t>…rimas del dolor que le cado en Francia merece particular estimación la que ha escogida pin caust la violenta separación del hijo que en sus últimos dias el alimen su traducción el Sr. Burgos , cuya laboriosidad es digna de alabanza, se to le diera, y romper en fin los mas firmes y estrechos nudos con que ñaladamente por el esmero con-que ha procurado extender las vidas nos ligó naturaleza, ¡es esto ,españoles, lo que te llama independencia! de lo…</t>
  </si>
  <si>
    <t>Burgos, Miguel</t>
  </si>
  <si>
    <t>Miguel Burgos</t>
  </si>
  <si>
    <t>…os ejerci este periódico, también lo tengo anunciado en mi Repertorio esta cios del cuerpo , es ageno de la instrucción en el sentida que tumos dístico , que hoy acaba de imprimir D. Miguel Burgos, y va i publi dado á esta palabra; asi es que puede perjudicar á la educación ¡i no se car su venta en ¡as librerías de Rodríguez y de Matute calle de Carre tiene buen acierto en la elección de las materias que se han de enseñar, tas__Por el indicado Rcpvtori…</t>
  </si>
  <si>
    <t>Búrgot, Agustín</t>
  </si>
  <si>
    <t>Agustín Búrgot</t>
  </si>
  <si>
    <t>…e tecibió en aquella ciudad la noticia de que igualmente á D. Liborio Perez , D. Julián Romo , D. Tomas Cano, el barón de Carondelet había derrotado i los facciosos, que en número D. Agustín Búrgot, Manuel Mufiío , Joaquín Romero y demas nacio de 2500 hablan caído sobre Caspe, y tenían estrechada la guarnición: nales de Ciudad-Real, Almagro, Cerrión, Almodovar, Totralba y le ae aseguraba que aquellos habían sufrido una pérdida muy considera Calzada: el…</t>
  </si>
  <si>
    <t>Burtiaga</t>
  </si>
  <si>
    <t>…estinos; pero ínterin sea diputado tender que la comisión opinaba que se debía aprobar la proposición. de la Nación, procuraré, na por mi propia opinión, sino por lo que está ' El Sr. Burtiaga: Él poder legislativo, electo por el pueblo, nin puede influir en la general, procurase , digo, no tener roce con ellas. gún contacto deba tener con el Gobierno1, que es otro poder, y al que Por estas razones,y porque preveo que de una medida Como esta saca »…</t>
  </si>
  <si>
    <t>…rs, y D. Julián El Sr. Flores Calderón hizo varias observaciones contra el ertículo, Pujol, abogado; y según *1 Diario de Barcelona se trataba de pri nder á las cuales contestó el Sr. Burtiaga. é algunos otros sugetos. El Sr. Valdés (D. Cayetano): Hace dos di** que estamos tratando __El ayuntamiento de Barcelona, deseoso de conservar los dersd.ot de I* cuestión mas extraña que te puede ver: primeramente te trató de Isoapreciebtes de sus vecinos, de…</t>
  </si>
  <si>
    <t>Buruag</t>
  </si>
  <si>
    <t>…e víveres y municiones de guerra ción , y creta que debía pasar al Gobierno con urgencia. Asi se acordó. que se envían á los insurgentes, no respetaría ya en adelante los privi El Sr. Buruag», después de manifestar que algunos de los ex-monlegios de aquellos. Hasta ahora en la» aguas de Levante había prevale g*s qu &gt; estaban destinados á cuidar del mutuario de Guadalupe habían cido el principio de que el pabellón europeo cubría el boque y las mer…</t>
  </si>
  <si>
    <t>Buruaga</t>
  </si>
  <si>
    <t>…l, compuesta en 1820.” Lo entregó á dichos Sres. secretarios, y el Sr. vice-presidente dijo: &gt;1 Las Cortes admiten con singular aprecio este acero, fasto vivopor el examinando. El Sr. Buruaga ha dicho que *in embargo que se exige que se com del pronunciamiento de la libertad, y trofeo del héroe predilecto áe ponga esta disertación por el examinando, puede muy bien ser obra ella. Las mismas dispondrán de él según su agrado.” de manos agenas; y la c…</t>
  </si>
  <si>
    <t>…se ate expediente te pasase el aviso oportu dicho establecimiento. no al establecimiento del Crédito público. A la de Legislación una consulta de la audiencia territorial de Na El Sr. Buruaga dijo que había mucha puebla que á consecuencia d« varra acerca del modo de proceder en ciertas causas de contrabando ¡ y la suspensión de liquidaciowa acordada en tBat no habían podido ob&gt; otra dd tribunal supremo de Justicia acerca de la inteligencia de loa…</t>
  </si>
  <si>
    <t>…robar el dictamen de la co cedido á favor de la Hacienda nacional los sueldos y gratificaciones que misión. le correspondieron por el tiempo que estuvo empleado en ei cordon ds El Sr. Buruaga: Yo creo que para los destinos de magistrados de aaaidad en el afio próximo pasado; y S. M. al aceptar la cesión de si ben escogerse personas capaces da desempeñarlos, tanto por sus co te benemérito ciudadano se ha servido mandar que se haga público en nocimi…</t>
  </si>
  <si>
    <t>….i'tn hacen ver claramente que las O.rtcs d-bets , ,--t í 14 oponía á que se aprobase la proposición. sat.. 01: d-.i R-y el proy ero de que se trata. En el primero s-. dice qaz El Sr. Buruaga: Apruebo la proposición , porque la considero co adopta'j e! proyectos* extenderá per duplicado, y que laido 'n las mo una simple excitación al Sr. presidente y demas individuos de !a Cortes , v firmados ambo, originales por *1 Sr. p -itd’nte » d s '.Screta—…</t>
  </si>
  <si>
    <t>…iente. Por estas razone» opi y causar este menoscabo. nó que debia desaprobarse el dictamen de la comisión. El haber sido admitido un Sr. diputado en la legislatura anterior es El Sr. Buruaga manifestó que aunque se considerase al Crédito pú ana verdad; pero yo diré que oto debe hacernos un poco mas cautas blico como una empresa, esta empresa debía estar sujeta á las determi en lo sucesivo; porqueprecisamente después que ae verificó esto se vió na…</t>
  </si>
  <si>
    <t>…e que las hi La de Legislación, en visia de la solicitud de 141 individuos de ciesen por medio de otra persona. los regimientos suizos de K.iser, Wnnph-n y Z-y, para que te les El Sr. Buruaga di ¡o que era muy cierto que estas cuestaciones eran concediese carta de ciudadano, opinaba que debía acceder»* á ia gracia motivo d; mochín abusos, entre ellos el que se turbase la paz de las fa qu* solicitaban. Aprobado. milia»; pero qua ain smbargo ao creí…</t>
  </si>
  <si>
    <t>…tanto me opongo á la pro saber; y yo estaba muy ageno de pensar que las Curtes se iban a ocupar posición. en este negocio. Sin embargo diré , con la franqueza que me es caracte El Sr. Buruaga manifestó entre otras cosas que no se d.bia permitir rística, que siendo este asunto perteneciente al ministerio de mi cargo, que ei poder judicial, un i propósito para hacer la felicidad de la Na iba á hacer presente á las Cortes que en él existen algunos do…</t>
  </si>
  <si>
    <t>…sa á Lt residentes en estos casos; sin embargo dirá que hadado órdenes preventivas á todo, ios gereinos.” fes políticos de las provincias de la frontera de Francia para que e-tuEl Sr. Buruaga dijo que estaba muy bien que te concediesen loa virsen con mas cuidado, redoblasen tu vigilancia y pr stas-n a* do derechos de ciudadano á los presbíteios españoles inscritos en el clero Gerona todos los auxilio* que estuviesen en sus facultades: y i ios in r…</t>
  </si>
  <si>
    <t>…aminos, i fin da que gráfico, ¡cómo ha de tener un plano exacto! Cierto es que hav urr p'adiese su informe. no; pero es impracticable por su coste. He oído hablar de nurstra po El Sr. Buruaga apoyó el artículo, manifestando que los tres millo breza; ¡pero cómo sale una nación de este estado ! Tomando medidas nes que la comisión proponía para la continuación de lo» canales ade eficaces para ello. Los canales traen grandes utilidades; ;.1 10 para !o…</t>
  </si>
  <si>
    <t>…que dijo hábil padecido el La carta de que se ha hecho mérito tiene todo el créd to que te Sr. preopinante. puede desrar , púa se trata del dignísimo señor ex-diputado &lt;j irrr, El Sr. Buruaga: Me opongo á la proposición únicamente por la para que todo el mundo lo sepa; y no se puede leer sin conmoverse v nulidad que en si lleva , que no pueden desconocer los señores d puta- sin que excite la mayor indignación. Dicese que se envían alo tr-pió, dos…</t>
  </si>
  <si>
    <t>…iputación provincial y el comisionado del Crédito podría tener en su juicio el conceder semejante gracia. público. El Sr. N.: Crno que es indecoroso para los diputados de la Na El Sr. Buruaga se opuso al dictamen de la comisión, en sazón de ción española al qne un faccioso ae atreva i pedir un indulto cuando que no establecía una nueva organización para las juntas diocesana*, y ae baila con las armas en la mano: esto me parece que es desafiar el d…</t>
  </si>
  <si>
    <t>…es. que'tlabian impugnado la propos cioa misión de Casos de responsabilidad i y otros á la de Legislación. del br. Prat no se habían hecho cargo de que el ¡c .nio cab cilia que El Sr. Buruaga dijo qne pedia formalmente la responsabilidad á los suplicaba, labia conocido «fut el poder egeaitivono te podia mdu tar, magistrados de la sala segunda del tribunal supremo de Justicia. por lo que habia ocurrido á las Cortes; r que correspondiendo á estas Al…</t>
  </si>
  <si>
    <t>…debían separarte estos dos ción imparcial y rigorosa por las juntas diocesanas, no se les puede ha lancetas. cer responsables sino de los frutos que se pongan á su disposición. El Sr. Buruaga opinó del mismo modo que el Sr. Garoz en otden El $1. Argiielles contestó que las juntas diocesants tenían en su ma 4 que la* juntas actuales debían nombrar loa colectores necesarios para no muchos medios para llegar á cerciorarse de las cantidades verdade la…</t>
  </si>
  <si>
    <t>…á las reflexiones del señor nifestaba ( la comisión ) que estaba convencida de ia necesidad de to Oiíver. mar alguna medida sobre las jurisdicciones aere utf/óus, que egercian El Sr. Buruaga fue de parecer que s: debía hacer alguna aclaración algunos bailtos y comendadores de las Ordenes piilitaru; pero como *®*s benéfica en favor de los ayuntamientos; porque mediante á la resse billaba este asunto en la comisión primera Eclesiástica, se abstenía…</t>
  </si>
  <si>
    <t>…enga propiedad , rentas, industria ú gan en el dia sin estar ordenados, v pasen de 50 años de edad.” otro modo de subsistir, á juicio del ayuntamiento, ó sea hijo del que Otra del Sr. Buruaga al art. 1": «Que se exceptúen los capellanes tenga alguna de estas circunstancias , está obligado al servicio de esta poseedores de capellanías de sangre, que por no t ncr cóngiua suficiente milicia." se la han proporcionado, asistiendo á otras iglesias donde…</t>
  </si>
  <si>
    <t>…l influjo de algunos malos eclesiásticos y pretexto ocupar á ninguno de sus subordinados en lo que no sea perte cabildos. neciente al gobierno y servicio dtl cuerpo.” Aprobado. El Sr. Buruaga dijo que consideraba inútil i ineficaz esta medida Art. 72. » No se obligara á los cabos á dar los avisos ordinarios por las razones que había expuesto el br. Velasco, y que al prebendado del servicio sino en los pueblos pequeños, ó en aquellos donde no pue q…</t>
  </si>
  <si>
    <t>…n todo ó en parte, según la situación en que se halla esta adición á la comisión Eclesiástica. Aprobado. sen. La comisión decía que esto ofrecía graves inconvenientes, jr no se El Sr. Buruaga presentó la siguiente adición al art. 10, sobre la que aprobó la adición. no recayó resolución : » Pido á las Cortes se excite á S. M. á que con Otra del Sr. Sotos para que se declare que se rebaja por crgla gene voque Cortes extraordinarias, á fin de discuti…</t>
  </si>
  <si>
    <t>…pnradon provincial de Barcelona intenta formar un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Tesorería general dt ¡a Nación. Alonso por 6a votos de 111, teniendo el Sr. Herrera Bnttamante $3…</t>
  </si>
  <si>
    <t>…ra otro documento que tuvie se notaban hechos y pedidos que debían llamar la atención de las se por oportuno. Cortes, y hechos que no se habían tenido presentes por el Gobierno El Sr. Buruaga manifestó que siendo la primera obligación de los anterior del Rey; por consiguiente que se estaba en el caso de acor secretarios del Despacho el dar cuentas al Congreso del estada de la dar se imprimiese dicha memoria para que las Corles pudiesen formar Naci…</t>
  </si>
  <si>
    <t>…n él que el que hasta ahora han tenido toa campeones que ias cempo al dueño la obligación de demarcar su habitación. sten; esto es, el robo en despoblado, pues no hay quien qua El Sr. Buruaga dijo que la primera parte de este artículo debía apro» las llamadas partidas qu; infestan a'¿unos pumos dei con-,.neme bar se, puesto que se hab.an aprobado los anteriores; pero no en cuanto no son otra cosa que las eisssdrülas de facinerosos y cateadores , q…</t>
  </si>
  <si>
    <t>…hechas por algunos Sres. d putados fi las msdidas propuestas ma; el Gobierno no puede emplear mas qus í los amantes de este: por la misma, y opinaba que no eran admisibles las del Sr. Buruaga fi luego si aquel recoge los despachos de los que no admiten loa destinos, la 3 ■*, la del Sr. Aillon i la misma, la del Sr. Ulloa i la 4.a y la del sera precisamente de amantes del sistema, lo que no concuerda con el Sr Sedeño á la 5/ Aprobado. objeto de las…</t>
  </si>
  <si>
    <t>…eclarar no haber lugar esta disposición el genero de instrucción que ia comisión qu'rr* se de i a votar. este expediente: la comisión qui-re que la conducta d-l ti. 1 s- ,uj-te Ei Sr. Buruaga : Cuandei un m:n;,rro fa'tv í su d ber , qu- no es á lo prev-nid ■ en :a Constituc on y en las ley.-,. E’ M. G-«"eils se otro que el de procurar la felicidad v b ene-t.r de ;a Sac ón , :ii,to es queja de que el juez no es como t-nt-, V d* qu • no pmeede .na a…</t>
  </si>
  <si>
    <t>…brero de este afio ; y asi se ner todos los privilegios que hubiera sido necesario que gozaran para verificó. que d eha amnistía hubiera sido completa. Tenemos pues qne existen El Sr. Buruaga : Los argumentos que ha presentado el Sr. Villa- amnistías parciales dictadas por la naturaleza de las cosas y d: las cir boa se reducen a dos: primero , la necesidad que bay de que se cumpla cunstancias, lo cual se comprueba con varios esrmp'o*. Mirada la to…</t>
  </si>
  <si>
    <t>…ti os , los cua.es pertenecían á la cuadrilla da egercicios y municiones de la tropa.” Aprobado. Mírales. Se aprobaion ios atts. siguientes : Se leyó la t‘guíenla proposición del Sr. Buruaga: «Pido á las Cor Art. 28. » Sin permiso del gobernador no podrán los oficiales de tes se siivari encarar á la comisión especial nombrada para informar artillería hacer en las plazas maniobra, variación en las piezas ni mu aotre ias medidas, que como nec.saria…</t>
  </si>
  <si>
    <t>…os del i.° de Eneto, me había El Sr. Adsn: No estoy conforme con la contestación que ha dado propuesto hacer una adición ó proposición para que Jas Cortes se sir el Sr. Galíano al Sr. Buruaga. Según ha manifestado S. S., y según di vieran tomaría en consideración , y habiendo oído ya al Sr. Infante, ce el artículo, el comandante general de Madrid que fue en aqueja rio me es posible des atenderme de tan justas reflexiones, y de pedir á época y el g…</t>
  </si>
  <si>
    <t>…ocupado en Se declaró el punto suficientemente discutido, y se aprobó el dic fo'mar la Constitución del senado griego y en propagarla , fue también tamen. una de las víctimas. El Sr. Buruaga prosentó las siguientes adiciones a! m.smo proyecto. Kl antiguo caimacán de la Valaquia , Constantino Negri, que habla Al art. i. d b- añadirse: »QuS se celebra anualmente una fun llegado á Ccnstantinopla, fue ajusticiado el ti de Noviembre rn el bar ción c r…</t>
  </si>
  <si>
    <t>Buruaga, Sa.-nz de</t>
  </si>
  <si>
    <t>Sa.-nz de Buruaga</t>
  </si>
  <si>
    <t>…o habia padecido el nuta del có'digo penal fue revisada por la comóton de Cair ccion de Sr. preopinante. estilo, y aprobada por las Corres, no obste para pa.ar á la -ancón Real El Sr. Sa.-nz de Buruaga: A mí me parece indudable que el recurso la falta de firma y fecha en el final de dicha inmuta , 11 que .-.re de nulidad d..b a tener lugar en este caso. El Sr. Vitlaboa ha dichoque requisito nunca podría tener otra autor.za.:oi; que U que da a a.ta el proced…</t>
  </si>
  <si>
    <t>Buruaga, Sacnz de</t>
  </si>
  <si>
    <t>Sacnz de Buruaga</t>
  </si>
  <si>
    <t>…s. de Cordone y Benjamín Constant; y habiendo acerca de las personas en las cuales debía recaer el nombramiento. aido desechadas» se aprobó el artículo, y se levantó la sesión. El Sr. Sacnz de Buruaga dije que las personas elegidas en begovia eran pan él las mejores y mas excedentes; pero cuando no había habi NOTICIAS DE ESPAÑA. do libertad en los electores, ¡ por qué se debía consentir que pasa&gt;e esta elección! Los electores podrían volver á elegir á los…</t>
  </si>
  <si>
    <t>Buruaga, Saenf de</t>
  </si>
  <si>
    <t>Saenf de Buruaga</t>
  </si>
  <si>
    <t>…nito, a el vedo, y á su parecer este asunto debia pasar á 1a comisión de Legis br. Gómez Becerra, y uno cada uno de los Sres. Muro, Cano, Buey, lación. Jaime y Lamas. Total 95. El Sr. Saenf de Buruaga dijo: Siento qua la comisión no haya to En la segunda lo fue el Sr. Seoane por 70 votos, teniendo 8 el se cado este punto como corresponde, porque nadie puede prescindir de ñor Villaboa , 4 el Sr. Marchámalo, 6 el Sr. Benito, s el Sr. Taboa- ue el Sr. Escoved…</t>
  </si>
  <si>
    <t>Buruaga, Saenz da</t>
  </si>
  <si>
    <t>Saenz da Buruaga</t>
  </si>
  <si>
    <t>…ia que se mandasen manifestar la» causis de mu escíndalo** trataba dé que hoy m imo se nombrase ia comisión. desobediencia, exigiendo la responsabilidad á quien correspondiese. Fl Sr. Saenz da Buruaga manifestó que la proposición podía apro Otra del Sr. Serrano, relativa á que tiendo mas amplia* da lo quv barse , porque ers una da la» cosas mas interesantes, y ao era ea nin cooven ia laa Escollada de los gefes políticos; pedia que el reglamento gún modo re…</t>
  </si>
  <si>
    <t>Buruaga, Saenz de</t>
  </si>
  <si>
    <t>Saenz de Buruaga</t>
  </si>
  <si>
    <t>…Sr. ......... dijo que debía averiguarse si era ant ¡constitucional asiento de los gefes políticos. 1* proposición de que se trataba; que conocía lo* peligros que nos ro Otra del Sr. Saenz de Buruaga, relativa á que te exigiese del Gobier deaban , la necesidad de remover todo* lo* obstáculo* que se presenta' no que en el tétminode 13 días dé una noticia da todo* lo» ampia* ben: pero conocía que esto debía hacerlo el Gobierno, y seria una alot público*, y…</t>
  </si>
  <si>
    <t>…diferentes, y por lo mismo será preciso que desde este momento nos se opuso á la propbsic’on del Sr. Prat. dediquemos con tesón á ver si podemos sacar a la Nación del apuro en El Sr. Saenz de Buruaga apoyó la proposición, diciendo que con que se halla; pero ahora no me levanto para esto, pues llegará tiempo ella se conseguiría aliviar el trabajo á otros diputados que estarían bas en que se discuta la memoria , y que el Gobierno presente todos los da tante…</t>
  </si>
  <si>
    <t>…ón de sus respecti dores. A las once todo estaba tranquilo. No se han oído gritos sedicio vo» gefet. sos: pero sí silbidos y gritería en las calles inmediatas. Mientras pasaba El .Sr. Saenz de Buruaga: No parece sino que el ministerio está em esta vergonzosa escena en dicho punto, continuaba la misión en San peñado en ocultar la verdad. Lo que debe llamar mas la atención del Eu-tacjuio, y no hubo inquietud alguna. Esperamos que no se renovaián Congreso son…</t>
  </si>
  <si>
    <t>…ro sufra la penuria que experimenta en la ac patrocos se echara mano de lo* canónigo* que lo hubiesen sido. tualidad por no pagársele lo que le corresponde por el medio diezmo, El señor Saenz de Buruaga: Aunque el Sr. Prado supone que hay s. sirviesen las Corles encargar á la comisión Eclesiástica que pre poco número de párrocos instruidos , no me parece que es asi, pues séntase á la mayor brevedad un proyecto, í fin de que se atajen por en solo el arzobispa…</t>
  </si>
  <si>
    <t>…a proposición del Sr. Prat, relativa á ia nueva colección de cá la Monarquía española , Rey de las Españas , á todos los que las pK. nones que se ha publicado hace poco tiempo, al Sr. Saenz de Buruaga. sentes vieren y entendieren , sabed: Que las Cortes han decretado lo Se mandó pasar á la comisión de Legislación la proposición del Se- siguiente: » Las Cortes, usando de la facultad que se les concede porfi fior Romero, relativa á que se deroguen ios artícu…</t>
  </si>
  <si>
    <t>…reclamar de rá Nación el retait:artículo s.* miento de sus pérdidas; por todo lo qu: debía aprobarse el dictamen. Art. 6.° » Que al mismo tiempo encargue el Congreso i tu comi El Sr. Saenz de Buruaga dijo que la comisión no podía dudar que sión da Agricultura, que tomando noticias de lot Sret. diputados forme D. Lorenzo Calvo ale Rozas no había podido usar akl privilegio ale in ■na nota dé todas lat obras de esta naturaleza que conceptúen útiles en troduc…</t>
  </si>
  <si>
    <t>…dado repetidas veces en varias órdenes que habían por atos asientos, no podía aprobar loque se proponía. circulado por todas partes; pero que lo cierto era que no habían tenido El Sr. Saenz de Buruaga contestó que jamas se había exigido dere puntual cumplimiento, cuyo mal debia tratarse de remediar, pues cho alguno por sentar ninguna clase de partidas. que .el soldado realmente era una parte del pueblo, i quien se le debia Declarado el punto suficientement…</t>
  </si>
  <si>
    <t>Buruaga, Sainz de</t>
  </si>
  <si>
    <t>Sainz de Buruaga</t>
  </si>
  <si>
    <t>…no del subsidio que debe pagar el ximaremos á resolver un problema de mucho ínteres, cual es si con el clero. cedió diezmo se puede atender á la dotación del clero. Todos dicen El Sr. Sainz de Buruaga impugnó el dictamen de la comisión , ma generalmente que el medio diezmo no es bastaste; peto hasta ahora no nifestando que las Corte* no podían señalar una cantidad determinada * ha demostrado. La junta diocesana de Tuy ha remitido por el obispo para la dota…</t>
  </si>
  <si>
    <t>Buruaga, Stenz de</t>
  </si>
  <si>
    <t>Stenz de Buruaga</t>
  </si>
  <si>
    <t>…ón. Siendo las tres y media se acordó prorogaz la sesión por una hora y la otra hácia Brailow por Schumla. mas. - Se ha dado el mando del gran egército turco que se reúne sobre El Sr. Stenz de Buruaga: Ninguna nación puede adelantar en la el Danubio á Ghurschid-Bajá, favorito del dia; pero este se halla de carrera de la libertad un afianzar antes bien sos cimientos, y esto es tenido por causa de los griegos. lo que fi nosotros nos sucede. Por el articulo 3…</t>
  </si>
  <si>
    <t>Buruap</t>
  </si>
  <si>
    <t>…stanciada y sentenciada antes de le publica la meta. ción del decreto de 4 de Mayo de 1814, con arreglo á la Constitución Se leyó la proposición del Sr. Saavedra , suscrita por el Sr. Buruap i las lepes que entonces regían , pedia que te declarase que todas las f* y otros Sres. diputados, reducida i que tas Cortes se tirvíesca man causas fenecidas hasta la publicación del citado decreto debían repo dar que el supremo tribunal de Justicia remities…</t>
  </si>
  <si>
    <t>Buruega</t>
  </si>
  <si>
    <t>…Búrgot, Avila, Mancha y Lson, á fin que los ordinarios diocesanos de bate para el artículo siguiente. •can reintegrados en el derecho de conceder dispensas. A la Eclesiástica. El Sr. Buruega, después de manifestar lo delicuio «leí asunto, dijo&lt; Otra del Sr. Garoz sobre el modo de suceder en los bienes de las Yo no entieixlo que haya empréstito nacional tan bien establecido que capellanías de sangre que se bailan vacantes ó vacaren. A la de Legis…</t>
  </si>
  <si>
    <t>Burundi, Angel</t>
  </si>
  <si>
    <t>Angel Burundi</t>
  </si>
  <si>
    <t>…a que por la calle del Mir ib.n ó no la orden que le hab.a dado el Gobierno sobre remover á D Sal algunas gentes huían con precipitación, formó una pequeña ronda, vador Percibís y D. Angel Burundi, individuos de la d putacion pro y á pocos momentos de andar con ella encontró junto a la casa del ca vincial, sin poder serlo por oponerse á ello su, grados mi.¡tares. pitán general dos hombres parados, uno de los cuales tiró al suelo un El Sr. «ecetario c a…</t>
  </si>
  <si>
    <t>Burusga</t>
  </si>
  <si>
    <t>…tros existentes en esta to de pensión, opinaba que esta solicitud era contraria á la hev de 25 corte. de Octubre de 1820, y que por lo mismo se debía declarar no babel lu Otra del Sr. Burusga, para que se supriman las contadurías de ren gar á votar sobre ella. Aprobado. tas decimales existentes en el arzobispado de Toledo. La comisión de Diputaciones provinciales, en vista de la solicitud Otra de los Sres. Busutil, Arias y otros para que se derogu…</t>
  </si>
  <si>
    <t>Bury</t>
  </si>
  <si>
    <t>…SPAÑA. Continuó la ditcut on del »il. 8.' del pro? cto de decreto sobre el modo de proceder a la detención de lo. .]j: coocoit n contra .1 1 tierna Madrid Lunes 4 de Noviembre. Kt Sr. Bury s- opuso á r,f atti.u o por no h*.latir conforme , jó S. M. el Rey y SS. A A continúan sin novedad « ais importante prevenido en el art. 299 , y á lo que con relación á esto dispone el có salud, i. M. la Rama continúa aliviada. digo penal ; por lo cu*'. oropu…</t>
  </si>
  <si>
    <t>…c'a de un moi'o absout". No tetaré yo da Se declaró primera lectura ia que s- hizo de dos p’opos c'on •» del probar si aquellos gefes estaban ó no autor zadoa para hacer estas pro Sr. Bury , rrduc das i que las Cortes dec aren que el b&lt;- salic: pa arta mesas ; lo que sé es que en el espediente no consta s mejante autor-ra- mercc.so la ¡,rat lud de ‘a patria por la capitu ación que h ro con io. cion , ni tampoco podían tenerla ti recordamos los…</t>
  </si>
  <si>
    <t>Busafia, Ramón</t>
  </si>
  <si>
    <t>Ramón Busafia</t>
  </si>
  <si>
    <t>…o de la Real cédula de t z de Fcbrerecusados, y salieron electos los Sres. D. Francisco Javier Isturíz, &gt;0 de i8só, que se halla vigente. D. Miguel Busutil, D. Juan Josef Sánchez, D. Ramón Busafia, Don Se leyó el artículo de dicha cédula. Josef Taboada y D. Jaime Gil Ordufia. A petición de un sr. diputado se leyó el oficio pasado por la secre Se nombró para la comisión segunda de Hacienda á los Sres. Sán taría de las Cortesen 14 del actual al ministeri…</t>
  </si>
  <si>
    <t>Busaña, Ramón</t>
  </si>
  <si>
    <t>Ramón Busaña</t>
  </si>
  <si>
    <t>…ote procedido á alia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Sierra, Pumarejo, Infante, Ruiz Alvarez y Gutiérrez y D. Dionisio Valdés, para proceder con…</t>
  </si>
  <si>
    <t>Busbuante</t>
  </si>
  <si>
    <t>…nueva planta, no la ha rem tido hasta el din;por las notas del presupuso del extinguido cuerpo de guardias á petición lo que cree la comisión se pueden eco nc mi zar ;oc9 rs. del Sr. Busbuante, y quedaron aprobadas en su totalidad. II Sr. Tenet dijo que atendido el gran número de oficiales y aun jidminii tracion militar. de ministros sobrantes en este establecimiento, se {odia hacer en é&gt; In la administración militar cuesta á la Nación la suma de 9…</t>
  </si>
  <si>
    <t>Busca</t>
  </si>
  <si>
    <t>…co San Julián, que mató tres facciosos ,y singularmente al fi„U) las orillas asi Báltico. de dicho cuerpo D. Antonio Herrera, que habiéndole dado permito __Se da por seguro que el caballero Busca ande muy diligente en Veto para ir con laa guerrillas , me sirvió de ayudante de órdenes durante , lia para negociaciones del restablecimiento de la orden de refriega, y avanzando de los primeros, quitó una lanza, con la que toa. Malta. Cada vea parece mas ex…</t>
  </si>
  <si>
    <t>…icmal de la Coru hizo en Liybach e! lord Casilereagh, dejando después obrar á los alia lla sé leen algunas reflrxones que nos ha parecido oportuno extractar dos como quisieron__El Sr. Busca sigue empeñado en restablecer la aquí , considerando cuín útil es en las circunstancias actuales , que las orden de Ma ta: el famoso Jouffroy (i) anda manipulando en las so importantes verdades que contiene dicho articuló se propaguen per to ciedades de Veron…</t>
  </si>
  <si>
    <t>Busga, Ramón</t>
  </si>
  <si>
    <t>Ramón Busga</t>
  </si>
  <si>
    <t>…tiempo del Rey D. Alonso \¡ • porque rst- atb tr o h ia niente. Apaobado. sido témpora*; y por último que este pr v.! *c o deb a hab r coi V&gt; s a, Otro acerca de la exposición de D. Ramón Busga, vecino de Ba y que no stando en las atr b.ic on s de las Cortes el conocer de » ni sa , para qu: se le vendiese una cata de lo» propios de aquella ciudad jantes qu ja-, podían dts-o'vrrse estas repre-trtsc ere* a les irtci.-arc» por los mot vos que referia.…</t>
  </si>
  <si>
    <t>Buslamente, Herrera</t>
  </si>
  <si>
    <t>Herrera Buslamente</t>
  </si>
  <si>
    <t>…ravesedo, D. Celestino Ololos puertos del Pico y Menga , en la provincia de Avila. ugi, D. Francisco Barra, 1). Gonzalo Cárdenas , el marques de TorA la comisión de Guerra dos del Sr. Herrera Buslamente; la una reuueva, D. Joaquín Lumbreras , D. Francisco López Oiavarricta f sobre que no se concedan ascensos de brigadieres y oficiales generales, D. Valentín Recio. 4 excepción de los que sean de escala en los cuerpos iacultativos t y la Reunido ct jutaido se…</t>
  </si>
  <si>
    <t>Buslil-os, Agustín</t>
  </si>
  <si>
    <t>Agustín Buslil-os</t>
  </si>
  <si>
    <t>…ust iacr, ,.asa nr. por Echevarri, id. D. Rafa-I Ramiro, id. D. Lu s Cortázar, id. I). Gi- el Med ouia d a Francia para r forzar el llamado co’d &gt;1 . .m r.ir.’u; briel Arm’jo, id. D. Agustín Buslil-os , id. D- Jo, f Mar a Ccrvai.t s. atribuye estos absu-do» á ios esprcu a luirs de b- 1 tr» . ; F.-ta c. L'mosn ro mayor de S. M. &lt;• Excmo é limo. fir. &lt; hispo &lt;1 (.uadala- Las noticias sobre gnrgr.s quedin in f.rfati .ya . : .oniuo n 1 ma* jara , su t n ente D…</t>
  </si>
  <si>
    <t>Busqu.ts, Josef</t>
  </si>
  <si>
    <t>Josef Busqu.ts</t>
  </si>
  <si>
    <t>…pais.=EI tiempo es frió; pero despe berto Arnet, D. Antonio de Marti, D. Ramón Feliu , D. Francisco jado y hermoso, sin embargo de ¡o adelantado de la estacion.=Dios María Guell y D. Josef Busqu.ts, declararon por unanimidad haber guarde i V. E. muchos años. Cuartel general de Tremp i a de No lugar á formación de causa contra el autor de una carta inserta en el viembre de rSai.aExcmo. Sr.sFrancisco Espoz y Mina.aExcmo. Se número 17 del Vigilante tarraco…</t>
  </si>
  <si>
    <t>Busquéis, Joaquín</t>
  </si>
  <si>
    <t>Joaquín Busquéis</t>
  </si>
  <si>
    <t>…4 D. Antonio Díaz del Moral, ex-diputado de la* Cor Sefiom qne disintieron: D. Pablo Marró Vetdalet, D. Pedro Gil tes dehMdloa 1813, 1814, i8»o y 1811 la pensión de 1 $9 rs. que y D. Joaquín Busquéis. I* aefiató I* junta de Granada durante la guerra de la independencia cANirot en el dU j Je AM dU i8*s* en atención a sus padecimiento* y servicio». Aprobado. Proposición de loa Ste*. Argíielles , Prat, Isturix, Salvi y Valdéa. Ló odres... aooo»»o*o»e»*»naa*a…</t>
  </si>
  <si>
    <t>Bustamante, Herrera</t>
  </si>
  <si>
    <t>Herrera Bustamante</t>
  </si>
  <si>
    <t>…voluntaria de aquella ciu vino de b. Gregorio por contener máximas perjudiciales al orden social. dad , se observa que desde el princip'o de su institución dió pruebas de Tres del Sr. Herrera Bustamante: una sobre que no se concedan poco amor al sistema. Cuando los ere esos de Salvatierra el general Ló ascensos de brigadieres y oficiales generales, é excepción de los que sean pez Baños llamó en su auxilio á dicha milicia y á la de la ley; esta sa de escala e…</t>
  </si>
  <si>
    <t>Bustillo, Fernando</t>
  </si>
  <si>
    <t>Fernando Bustillo</t>
  </si>
  <si>
    <t>…la que propuso se supri la Armada nacional, quejándose del brigadier comandante det arsenal miese la expresión por disminución tu tai le de sus mañiaiws , y se dije de la Carraca D. Fernando Bustillo , por haber infringido la Consl.tu- se simplemente que el Gobierno llevase á efecto la expresada ley avia cion; y una exposición de D. Ju,n Buslamante , quejándose también se las sesiones de ló y 17 del corriente). La comisión opinaba que de de uno de los alc…</t>
  </si>
  <si>
    <t>Busto</t>
  </si>
  <si>
    <t>…Los político* infiltra» ¡no han oído hablar allies expuestas en fitvpr del mimo por los Sres. preopinante* -guna vez de un proyecto de sentar ea el trono pontificio á un Archi El Sr. Busto* dijo entre otras cosas que debiendo considerarse como duque de Austria, arzobispo-del Otmun! Es bien iritido quresflt Prin muy próximo el arreglo definitivo del clero, porque ai no seria precaria cipe no tiene 30 afios, y que disfruta da buena salud; se sabe…</t>
  </si>
  <si>
    <t>Bustos, Rodrigo Valdés</t>
  </si>
  <si>
    <t>Rodrigo Valdés Bustos</t>
  </si>
  <si>
    <t>…naba que debían aprobarse los poderes de es putados. to* Sres. diputados. Aprobado. Valladolid. Sr. duque del Parque, Sr. conde de Adanero, D. Ala Astúrias. I). Rafael del Riego y D. Rodrigo Valdés Bustos. La teo Sedaño Sobral. La comisión opinaba que estando los poderes de comisión opinaba que debisn aprobarse los poderes de estos dos señores estos individuos arreglados á lo que previene la Constitución debían diputado*. Aprobado. aprobarse. Asila. D. Josef C…</t>
  </si>
  <si>
    <t>Busutil, Miguel</t>
  </si>
  <si>
    <t>Miguel Busutil</t>
  </si>
  <si>
    <t>…ueces bre ella. Pido que se lea un artículo de la Real cédula de t z de Fcbrerecusados, y salieron electos los Sres. D. Francisco Javier Isturíz, &gt;0 de i8só, que se halla vigente. D. Miguel Busutil, D. Juan Josef Sánchez, D. Ramón Busafia, Don Se leyó el artículo de dicha cédula. Josef Taboada y D. Jaime Gil Ordufia. A petición de un sr. diputado se leyó el oficio pasado por la secre Se nombró para la comisión segunda de Hacienda á los Sres. Sán taría d…</t>
  </si>
  <si>
    <t>…o* contra 44. D. Javier Isturiz, D. Juan Josef Sánchez, D. Ramón Busaña, D. Jo Los Srei. que aprobaron fueron los siguientes: Salvé, Prat, Saave- sef Taboada, D. Jaime Gil Orduña, D. Miguel Busutil, D. Pedro dra, Buruaga, Domenech, Luque, Sierra, Pumarejo, Infante, Ruiz Alvarez y Gutiérrez y D. Dionisio Valdés, para proceder con arre de la Vega, Somoza, Llórente, Rojo, Roset, Riego, Orduña, Rico, glo á la ley de libertad de imprenta y su capitulo adicio…</t>
  </si>
  <si>
    <t>Butafia</t>
  </si>
  <si>
    <t>…acienda sin previa Real reel Sr. Sarabie uno, el Sr. Serrano uno, el Sr. Tejeiro nno, el Sr. Ro aolucion. Lo que servirá de gobierno á los militares que soliciten em mero tres, el Sr. Butafia uno , el Sr. Flores Calderón uno, el Sr. Ma- pleos dependientes de la tesorería general; en la inteligencia de que en rau uno, y el Sr. Diez do*. Total rao voto*. No habiendo reunido nin cumplimiento de le expresada Real orden no puede hacerse mérito al gún S…</t>
  </si>
  <si>
    <t>Butgurs, Salv-o</t>
  </si>
  <si>
    <t>Salv-o Butgurs</t>
  </si>
  <si>
    <t>…facción de anunciar á V. S. D. Manual Gaivan, ueíe del estado miyor de esta columna, v el subque todas las tropas se han conducido con el mayor valor y entusias teni-nte de Gerona D. Salv-o Butgurs que esiaban en marcha jara unír mo ; pues después de una r pina marcha de 14 horas »m haber comi tenos , la precipitaron y. r aviso oportuno que les pasé ; mas s n s rrbrr.o do, persiguieron estos valientes á lo, faceos,por espacio de hora y de hab.-r aquello…</t>
  </si>
  <si>
    <t>Butrón</t>
  </si>
  <si>
    <t>…nd des que ha de devorar a los viles instrumentas del egoísmo v de la hipocresía. •n justa reciprocidad la hallará siempre dispuesta á emplearse en su ob Así es que apenas supo el general Butrón el atentado cometido en la sequio ; teniendo yo con este motivo la particular satisfacción de rei serranía de Ronda contra el signo de nuestras libertades, á pesar del terarle los sentimientos de mis respetos y consideración. Cádiz Agos corto número de tropas…</t>
  </si>
  <si>
    <t>…rse é ia Penínsu'a , acompañado de 24 milicianos nacio de café, villar, ú otra diversión pública, ni concurrir de continuo al nales y díuuucónes de todos los cuerpos militares. El general Butrón teatro y á bailes, ni formar clubs. Asistir.n los d a* de fiesta á su res Je acompañó ú bordo, y * su despedida fue saludado por la artillería pectiva parroquia ; se confesarán á lo meuo&gt; una vez al mes: comu . ida ¡a P'aza__ En r\ mismo día 29 de Setiembre,…</t>
  </si>
  <si>
    <t>…los que todavía Séptimo distrito militar. (Barcelona.) El 16 desembarcó en Barcelo siguen á los infames ge fes de la rebelión. Dios guarde á V- E. muchos na el nuevo gefe político Sr. Butrón. Los barceloneses no han olvidado años.:=Cuartel general de Claverol á las diez de la noche del 15 de No la conducta que este general ha unido en su gobierno de Ceuta; y asi viembre de i8aa.=aExcmo. Sr.mFrancisco Espoz y Mma.=Excmo. *ees que fue recibida del…</t>
  </si>
  <si>
    <t>Butrón, Fernando de</t>
  </si>
  <si>
    <t>Fernando de Butrón</t>
  </si>
  <si>
    <t>…ds la Sier que me envía de auxilio i mi invitación el benemérito general gober ra , sino es haber sido derrotada por la'milicia nacional de alguno* pue nador de la plaza de Ceuta D. Fernando de Butrón , he determinado blos de la parte de levante una partida de ifi facciosos, capitaneada que sin pérdida de momento salga de aquí una columna de campaña, por un tal Pendón, que ha sido preso con otros cuatro mas.—Las au compuesta de las tropas que expresa el ad…</t>
  </si>
  <si>
    <t>Butuaga, Saenz de</t>
  </si>
  <si>
    <t>Saenz de Butuaga</t>
  </si>
  <si>
    <t>…é instruya de ellos al Congreso, ó que mo pidió que las Cortes se ocupasen en los negocios mas urgentes. vengan los secretarios del Despacho á ilustrar á las Cotíes sobre estas El Sr. Saenz de Butuaga dijo: Ayer se viú alterada la tranquilidad ocurrencias. pública, pues hubo varios grupo» de soldados.que armados con palos El Sr. presidente manifestó que según las noticias que se acaba dieron gritos de vha ti Rey absoluto, cosa sumamente extraña y escan ban…</t>
  </si>
  <si>
    <t>Bwn, Gomes</t>
  </si>
  <si>
    <t>Gomes Bwn</t>
  </si>
  <si>
    <t>El Sr. Gomes Bwn manifestó qu* «n este articulo no se dispo dar luga*- í que los -escribanos fuesen secretarios de lo* ayuntamiento*. nía nada de nuevo, pues eatabu en un lodo confortr con el decreto de Ei .sr. Ryn.ru La cominos por esta artículo cierra la puerta é 19de Junio…</t>
  </si>
  <si>
    <t>Bwriotiaevo, Manuel</t>
  </si>
  <si>
    <t>Manuel Bwriotiaevo</t>
  </si>
  <si>
    <t>…us de parecer extraordinaria del $1 acerca de ti había mandado formar cauta al coro, por él nuda sistema de Hacienda que se discutía quedaría a satisfa- nbl de te costa de Granada D. Manuel Bwriotiaevo, y en'el anónimo testos interesados, y la actual opinaba que debía archivarse la solici que leyó. tud. Aprobado. El Sr. Oliver dija que el mejor medio para que n salvasen de sur - La misma, en vista de la solicitad del ayuntamiento constitucional vea estas eq…</t>
  </si>
  <si>
    <t>Bzn, Manuel Sierra y</t>
  </si>
  <si>
    <t>Manuel Sierra y Bzn</t>
  </si>
  <si>
    <t>…cretaría lleva razón de es interino de la de Toledo: para la de Lérida al teniente coronel D. a ia entrada y salida de dichos expedientes.” Josef Cruz Mullen para la ce Patencia á D. Manuel Sierra y Bzn , que Después de una ligerísima discusión se autorizó i la mesa para que lo es subalterno de Lugo; para la de Segovia á D. F'rarc.-co pasase a las respectivas comisiones los expedientes, y diese cuenta á las ínante , que Jo es interino de Navana : para la de…</t>
  </si>
  <si>
    <t>Bzrcaíztegul, Pedro</t>
  </si>
  <si>
    <t>Pedro Bzrcaíztegul</t>
  </si>
  <si>
    <t>…nte et bergantín llamado Sierra y Pambley.sSr. director general de aduanas y resguardos.” Familia dt Calvo , de 350 toneladas, 8 carroñadas y 31 hombres de tripulación, su espitan D. Pedro Bzrcaíztegul, procedente de Manila ANUNCIOS. en 145 días de navegación , con carga de efectos asiáticos y producciones naturales de las isia* Filipinas. Se ha recibido correspondencia de ofi Por providencia del Sr. D. Antonio Martínez Arroyo, juez de cio , y de ella resul…</t>
  </si>
  <si>
    <t>C, Borges Car-</t>
  </si>
  <si>
    <t>Borges Car- C</t>
  </si>
  <si>
    <t>…en El Sr. Pamp ona haoló también contra el dictam.n , y opinó que Mancha, D. Antonio Jiménez Izquierdo. volviese á la comisión. Otros Sres. diputados apoyaron al preopinact*; y el Sr. Borges Car- C.-z.iiz 9 de Air!!. neiro dijo que hasta ahora no se había presentado al Congreso ningún Ha entrado en este puerto la corbeta española de guerra Diamante, asunto que encontrase tanta oposición, ni fuese tan d agraciado como el procedente de Vetacruz , y conduce…</t>
  </si>
  <si>
    <t>C, Diego</t>
  </si>
  <si>
    <t>Diego C</t>
  </si>
  <si>
    <t>…spondrei» lo n-cesario para su cumplimiento. = Rubricado de la de los espaho ss en todas las provincia» , á saber, el de consetvar la F-a nuno.scQ Palacio 4 10 de Julio de iBaa-sA D. Diego C cConstitución, y no sufr.r gobier.-.o absoluto. m.ncm." Tal vez no seré arriesgado decir que en las circunstancia» en que se hallaba el espíritu público de la Nación , esta h.bna dido »n nuevo » t tendiendo i la imposibilidad en que te halla D. Santiago U oz,…</t>
  </si>
  <si>
    <t>C, Franciaco</t>
  </si>
  <si>
    <t>Franciaco C</t>
  </si>
  <si>
    <t>…imponer silencio á un orador faccio cioam 7 acuerdo en lo* papelea público* de esta ciudad. so.” Mr. Fov combatió al preopinante, 7 trató de la acogida que «n Voto del Sr. regidor D. Franciaco C*ro._El Sr. regidor Don Francia aa daba 4 loa faccioso» espadóte. • O* dicen, continuó, que la Franciaco Cero dijo: Que aa voto en el particular ea que cuando el te» Espada caté próxima é sufrir toda date de calamidades; que su Rey:::: Sor diputado en Corte* d…</t>
  </si>
  <si>
    <t>C, Gonzalo</t>
  </si>
  <si>
    <t>Gonzalo C</t>
  </si>
  <si>
    <t>…ón Llord, D. Andrés Alcon, D. An mera. drés Moya Luzura.a, D. Domingo Fernandez Angulo, D. Francisco Dirección general de impuesto/ indirectoi y efecto/ estancado/. de la Carrera, D. Gonzalo C rdvnas y D P dio Matute. Habida la Estado que demuestra los valores, gastos y líquido de las rentas conferencia, declararon por unanimidad no haber lugar á la formación estancadas correspondientes al mes de Junio último. dt cauta. Renta/. Valor//. Sueldo/y ga…</t>
  </si>
  <si>
    <t>C, I.</t>
  </si>
  <si>
    <t>I. C</t>
  </si>
  <si>
    <t>…édito públi thrié, traducida al francés por Fr. Noel, y de la segunda edición en esta co Pedro Juez Sarmiento.=EI espitan retirado Isidoro Juez Sarmientos lengua á la espadóla por D. I. C.: su precio en pasta 1 fio r*., y en rús El teniente retirado de la Real guardia de Alabardero* Josef Herre- tica aoo_-Viages de Henrique Wanton al pait de las monas: cuatro ro.=El ciudadano hacendado Pedro Bernal Guardiola.=El ciudadano tomi ios en n.°: su pr…</t>
  </si>
  <si>
    <t>C, Juan</t>
  </si>
  <si>
    <t>Juan C</t>
  </si>
  <si>
    <t>…* primea c .mp«de i8it. fiía del resguardo p otro de la milicia de Puigcerdá, un contuso de B.rCirculares dtl ministerio dt la Guerra. bastro, p otro «le la primara de Córdoba; el capitán D. Juan C» pe le Al tesorero general en egeroscio digo boy lo siguiente: vemente herido de un pie, p el subteniente de la milicia de .a Jun » Los Sres. diputados secretarios de laa Corte* coa fecha de ao del quera D. Pablo Dauner contuto de un golpe de culata que ie di…</t>
  </si>
  <si>
    <t>C, M. A. y</t>
  </si>
  <si>
    <t>M. A. y C</t>
  </si>
  <si>
    <t>…lo sucesivo Los suscritores al núm. 3.0 de la colección de caprichos de música no tienen mejor conducís ni manifiestan verdadera adhesión al sistema para guitarra, compuestos por D. M. A. y C., pasarán á recogerle en los constitucional que rige, serán castigados con mayor pena en proporción paraget donde se suscribieron; y los que gusten hacerse con esta obra de su delito , quedando lo* tres bajo la vigilancia de las autoridades lo Ja hallarán con…</t>
  </si>
  <si>
    <t>…o 12,735 pesos fuerte*. D¿ mo La Avispi, canción con acompañamiento de p'ano-forte y guitarra, do que los gastos públicos y los de la lista civil y judicial, los del compuesta por D. M. A. y C., grabada y estampada en el estableci dena-tamento extrangero, añadiendo lo que se paga á los gobiernos miento de la calle del Turco, vn cuyo lugar se halla de venta á 5 n. de los territorios que aun no son Estados, y una cantidad considerable vellón, igualmen…</t>
  </si>
  <si>
    <t>C, M. B. L. A. A.</t>
  </si>
  <si>
    <t>M. B. L. A. A. C</t>
  </si>
  <si>
    <t>…nidad, que guarden y hagan guar Disertación histórica, legal y política sobre el celibato clerical per dar, cumplir y eg.cucar el presente decreto en todas sus parles. T-n- el Dr. D. M. B. L. A. A. C. L. Se vende en la librería de Sanz á 2 rel dreis'o entendido para su cumplimiento, y dispondréis se imprima , pu ies y medio. blique y circule, zz Rubricado de la Real mano. = F.n Aranjucz á 24 La Cocinera económica y el Repostero famoso, amigo de los gole de…</t>
  </si>
  <si>
    <t>C, Ruperto</t>
  </si>
  <si>
    <t>Ruperto C</t>
  </si>
  <si>
    <t>…ea pudi rj 1 ,_-r ---e-r qu: !o&gt; m r.istros Jaime por 6g votos di ijb. dei Ci ngreso no euardvi entre si ia mu; ir armonía. En Londres ss Para la d - Aragón sr proponían :os Sr-s. D. Ruperto C“-ezi, ^ot» han visto ¡os m irnos efe-tos qu: rn per., e". s f-irdos púb icis, coa Miguel M-igar y D. Milano Santander; y fue electo el rt. D. Juan mat v » d: 'isrumcrcs propagado,: omi r. T ha salido a ia pa*-sFernandez Arpona por 58 votos de til. t'j .1 smir…</t>
  </si>
  <si>
    <t>C, Valdés</t>
  </si>
  <si>
    <t>Valdés C</t>
  </si>
  <si>
    <t>…clasificados y no aquella que recayese sobre la naturaleza ó las cuc.tnstar.cias de los sueldos de cada uno. la* leyes. Asi pues me parece que variando las paabras d i articulo El Sr. Valdés C D. Cayetano ) fue de opinión que las vacantes de en el modo p. opuesto queda bien explicado tu espíritu. Respecto de la sargentos primeros se proveyesen por elección, y no por antigüedad, objeción del Sr. Romero, me parece que no debe servir de obstáculo, porque debiendo…</t>
  </si>
  <si>
    <t>C, Ve.Víís</t>
  </si>
  <si>
    <t>Ve.Víís C</t>
  </si>
  <si>
    <t>…- A petición del &gt;r. Fa cón »e leyó el art. 18 de la ley orgánica de por el iibtcrm cnnNt.t%: »i* 'Dr*' p’ d : v.t ¿r. .-p. r-*-* K K ^ r • 1h armada. hi s.dr» wülf'-a suya t: El Sr. Ve.Víís C.v fino) manifestó que aquí no se trstabi de ca.í' i|'jf io&gt; a:iuairb c.r ' . A . ^r. &gt; ¿ir v *. ^ i ■ J ¿ *&gt; * ^ rlas averí.’ . &gt; .. -,&lt;10 de la» presas hechas por ind vduos de cS ^ J hftíMo »irCrMiPr'&gt; , p*i’? q.: ra . víii'.jP» &gt; r • l .■'.•"i'-'? .4-n.»r .…</t>
  </si>
  <si>
    <t>C-u-ado, Vicent.r</t>
  </si>
  <si>
    <t>Vicent.r C-u-ado</t>
  </si>
  <si>
    <t>…. Antonio Do 1 », teniente del regimiento de z.'-piLeón i D. Ramón Candía, teniente supernumerario del batallón dores, con 570 r» ligero pnin rod. Caía uña, con 570 rs. Vitoria .&lt; D. Vicent.r C-u-ado , t niente supernumerario del regi Lérida i I&gt;. Francisco Javier bosiats, teniente dei regimiento in- miento infantería de Maltona , ron t,-o ra. fant-r a de Sor a, con 570 rs. Vclez el Rubio al cap-tan D. I.uis Huiz Ben ivi, teniente de in Logroño a1 espitan…</t>
  </si>
  <si>
    <t>C-v.rin-</t>
  </si>
  <si>
    <t>…ados á Cortes no puedan ser lucrados sino por covedo: total 6a. el tribunal de erras; y estando reconocido como ta! diputado el señor Señores que la de-aprobaron : R - to , VaHes ^D. C-v.rin- . \rGaliano por la reso uc on de la junta preparatoria , es claro que soto el íielles. Cuadra , Taboud» , F.u r f iA Antón.o' , Me-ced , ir-.-, tr bunal de Cortes pu de juzzarie. Esto no solo se desivna con toda orre , Trujiílo , Me 10 , Pat ño , ll ri ra, Ba…</t>
  </si>
  <si>
    <t>Ca</t>
  </si>
  <si>
    <t>…picsenta un hecho contra la ley, ¡debe a::nd rs? á las la orden no los podía prever; y en este caso si el encargado de ejecu personas: N , se ha ocultado esto á la ilustración del Sr. Ca atrava; pero tarla ve que estos inconvenientes son tan graves que pueden ocasionar •hora no es del caa&gt;. E: Gobierno, penetrad &lt; d:i mer lo .¡el Sr. Jáure» sigua tiastorno, puede suspender la egecucton, y tiene obligación ds gui, le dió ei testimonio mas sohm…</t>
  </si>
  <si>
    <t>…rar en e Créd to público para y Sr. presidente. ara-irt z-cíoti de la d uda. Ha dicho el Sr. preopinante que se presenta Señores que desaprobaron la proposición : Benito , Valdé* (D. Ca ran mas o menos inconvenientes de parte del c-e.ro para que estáte lle yetano ), Arguelles,Cuadra, Alvear, Taboada , Faicon , Alava, M.rve i 'frcto; p-rola coras ion cree que el único indio que hay pata ced , Martí, Bauza, Bustos , Alvarez ( D. Elias), Roaet…</t>
  </si>
  <si>
    <t>…or lo que seguramente la junta no de Fl cr. Infante contestó que el día qu: se aprobise lo que proponía bía atenerse solo a la antigü.dad de este para elegirle , sino á sus cir el Sr. Ca&lt;as podr a decirse que se habia acabado el saber en los ejérci cunstancias. tos que en el día se establecía con igualdad que los sargentos y lot El br. OI i ver dijo que en su opinión era preciso aclarar mas el ar a'um.ios hubiesen de ocupar las vacantes ex si…</t>
  </si>
  <si>
    <t>…era en pies de El Sr Salva : E. pnmer prríodo de este art culo (lo leyó) cont'er.r ana aris. idea muy filantrópica; p to precisamente está destruida con e! segundo El Sr. Valdés (D. Ca7etano): Está mandado que se mída todo con p-riodo , donde dice: .V» se concederá eta excepción á a su.s k:i&gt;t medida española. que no : :.1 'i constantemente en compañía de sus padres ó madres des El '0. Benito: Puede decirse tantos pies espafioles, que equiv…</t>
  </si>
  <si>
    <t>…tn-viarái la orden i los turnan.lantei generales que defendió sus puestos con firmeza, hasta que sucediendo lo* demás dt ella, suprimiéndose lo restante a petición del ár. Va.des (D. Ca movimientos que yo dispuse por el centro (pues porta izquierda no yetano). permitía ninguno la localidad) , se declaró una dispersión general, en Se suspendió esta discusión, y el Sr. presidente anunció que mañana que fueron perseguidos los facciosos todo el…</t>
  </si>
  <si>
    <t>Ca'atrava</t>
  </si>
  <si>
    <t>…debe discu par este error: la '*r habla , ro :s se también ai vr. Honrante. obedecida, 0*1 gu.se. Tea.mus que por la cendueta d. Jiuregui v oitcx E¡ r. Martiw de ia Rosa dijo: El Sr. Ca'atrava ba dicho que no parece qu: se tiala de transigir c&gt;m la Iry fundarn nu d. £ t»do, porpri'Ctiraiia eludir ia cuestión , qu: es imposible que apareara en nna su qu: sr preala á alia una . bediercia condicional: ¡v todaría s_ pre unta ma claridad ; y las G rtes,…</t>
  </si>
  <si>
    <t>Cá, Ae</t>
  </si>
  <si>
    <t>Ae Cá</t>
  </si>
  <si>
    <t>…strito militar. (Sevilla.) Sin novedad. El Mensajero ie Se suspendió esta discusión, y se procedió i la lectura del tít. 8.* Sevilla no publica cosa alguna particular. El Redactor general Ae Cá de las ordenanzas del egirdto. diz ¡tuerta varias noticias da Buenos-Air**, qua no son da 1* mayor im El Sr. presidente dijo que mañana aa continuarían las discusiones portancia ; y en artículo da Gibraitar 11 de Noviembre se citan noti pendientes del reglame…</t>
  </si>
  <si>
    <t>Ca, Agustín</t>
  </si>
  <si>
    <t>Agustín Ca</t>
  </si>
  <si>
    <t>…stellano por D. Cándido Amador. Este Ministerio de la Guerra. poemita en prosa,, dividido en siete cantos, es una de las composicio Habiendo dado cuenta al Rey de una instancia de D. Agustín Ca nes mas agradables del célebre autor del Espíritu de las leves. En ¿1 se ballero, vecino de la ciudad de Vigo, en la que manifiesta sus mas presenta el cuadro de los primeros amores en un coraron candoroso, y puros sentimientos en defensa de las libertades pa…</t>
  </si>
  <si>
    <t>Ca, Francisco</t>
  </si>
  <si>
    <t>Francisco Ca</t>
  </si>
  <si>
    <t>…, se apodera con ellos ds la barca, y prc rege m: marcha hasta 8.® A«i que hayan comenzado los ranchos se ocuparan cuatro me llegar ai pueblo; el teniente de caballería de Boibon D. Francisco Ca sas, de 50 cubierios cada una, per las penonas convidad,,s, que se ras brera se dirige por la izquierda á persegur un grupo de cabdieiía, al citará al espacio ó pUzuehta de que trata el purafo 5.0 J d. nias pun q ie lo.rí» alcanzar y destrozar. Los enemigos s…</t>
  </si>
  <si>
    <t>Ca, Luis</t>
  </si>
  <si>
    <t>Luis Ca</t>
  </si>
  <si>
    <t>…servó sus posiciones; pe id. D. Francisco Montesdcoca , con id. Caba.lerr* pages deS. M. el Em ro las cartas particulares del id refieren que Bolívar fue derrotado, cor- perador ; D. Luis Ca macho, D. Ignacio Lorenzo Torre Cosío, D. Eduarlindóte la comunicación con Sta. Fe, aunque sin embargo pudo pasar dode Lavara, D Cosme Sánchez Aparicio, D. Pedro Otero,D. Joa un oficial á pedir un refuerzo de 4Z} hombres a toda costa, i cuya quín Cadena, I).…</t>
  </si>
  <si>
    <t>Ca, María Dolores</t>
  </si>
  <si>
    <t>María Dolores Ca</t>
  </si>
  <si>
    <t>…Aran juta lo siguiente: sobre enagenacion de la hacienda que les pertenecía. » SS. MM. y AA. continúan sin novedad en su importante salud.” A la misma dos exposiciones, la una de Doña María Dolores Ca ñedo , y la otra de Doña Sebastiana Bertrán , viuda de D. Manuel Ls- Ei Rey , enterado por una exposición del ayuntamiento constitu tepa, pidiendo se les continuase pagando la pensión que actualmente cional de Moufoite de Le unís de los útiles servicios que h…</t>
  </si>
  <si>
    <t>Ca, Ramón</t>
  </si>
  <si>
    <t>Ramón Ca</t>
  </si>
  <si>
    <t>…e repente al res H-rnandez fí rmanos 200. D. Joscf Monroy 160. D. Ignacio escritor d: ita. Et na , cuando quiso hab ar de la resistencia tenaz que Martin z 160. D. Juan Pirer 160. D. Ramón Ca vo 16 &gt;. D. Zacarías hici r n los españoles á su dominación , que sentían á par d: muerte. Mvnge 160. D. E. E. 160. D. T. P. río. D. I. Y iííj. D. Paulino No se puede atribuir el modo injurioso con que nos trata sino i un Mart n z 100. D. Jos.f Rodríguez 100.…</t>
  </si>
  <si>
    <t>Ca-</t>
  </si>
  <si>
    <t>…ó que diciéndose en el artículo ptro quedará juriasen al clero; siendo ademas la atributiva de que se trataba no solo ciento de toda pena &amp;e., y asimismo por lo que había dicho el Sr. Ca- favorable fi los partícipes legos , sino al clero en general. htrava, parecía inferirse que el que hubiese apostatado volvía ¿ tener to Se declaró suficientemente discutido este artículo , y quedó aprobado. dos los honores que antes, y aun el empleo; por lo q…</t>
  </si>
  <si>
    <t>Ca.iinañ, Angel</t>
  </si>
  <si>
    <t>Angel Ca.iinañ</t>
  </si>
  <si>
    <t>…de conceder, be acordó que pa»ase c»t: expediente al Go El Sr. c .st i &gt;n nian.f.-sio que el suplente de que sí trataba no po bierno con urgencia y recomendación. dó reemplazar i D. Angel Ca.iinañ i, en razón de qu; esti no habla Otra de la misma sobre que s: debe estar á lo resuelto en la decla sircado a v.r diputa:! &gt; Caites; y previniendo la Comí melón que lo» raron de las Cortes, respecto de los buenos serv.cio» de D. Nicolás ui;i. ni;s re •mpla/.a…</t>
  </si>
  <si>
    <t>Ca.rennaies, Francisco</t>
  </si>
  <si>
    <t>Francisco Ca.rennaies</t>
  </si>
  <si>
    <t>…in- de SIU.¡aduno á D. Francisco Laci Venden , del comercio de Bilbao: iiTure, las asignaciones de 6 y 4 rs : v el segundo á fin de que se auto- otro acercado ¡o mismo respecto de D. Francisco Ca.rennaies, vecu.o r ce i ,a junta nacinna1 de este establecimiento para celebrar una tran de Zmiara, y capitán graduado; otro d spensa ido de edad para recíbase sición con Mariana Rubio y Ferrar, acerca de un terreno que posee. de abogado i D. Miguel María Galvan : otr…</t>
  </si>
  <si>
    <t>Ca.tejón</t>
  </si>
  <si>
    <t>…bios rn que se halle ordinaria ó accidenta].neme el gefe proc dim 'ríos se es'ahl ce oirá co a &lt;r : ti. político supere,r tiene á su. órdenes ¡a milicia loca! , y d.üerin enten El Sr. Ca.tejón : No m- r-pongo 2 que -:»'e articulo sea uno de los derse con él lo* alcaldes cuando mcrs.ten del todo ó de alguna parte que componían .a :r..tracción de q-e ss f-.ta: p ro no convengo en de ella. el modo con que c-.t: redi ti do, pu s parné: qu: se importe a…</t>
  </si>
  <si>
    <t>Caa-</t>
  </si>
  <si>
    <t>…el Sr. Caamafio, y una consulta del gefe polí testable en política que las garantías de la libertad consistían en la tico de aquella provincia acerca de si podía ser elegido dicho Sr. Caa- perfecta división de los poderes , según ia cual cada uno debía conte ñuño, teniendo indicios los electores de que era difunto. nerse en su órbita, porque saliéndose de ella rompía.el pacto funda Se dió cuenta de una exposición da D. Joaquín de Medina, dipu m…</t>
  </si>
  <si>
    <t>Caaadell, Amonio</t>
  </si>
  <si>
    <t>Amonio Caaadell</t>
  </si>
  <si>
    <t>…tificación 8o rs. diarios, que empezarán á gozir desde el día en que emprendan su D. Joaquin de Tru.ba, D. Miguel García Ortiz , D. Juan Bautista Beamurguia, D. Domingo Saizcbaga, D. Amonio Caaadell, Donviage para desempeñar sus funciones , que d berán pagarse por loque falta del presente año económico del fondo del imprevisto general. Francisco Pujol y D. Manuel Moreno de Mora, declararon por unanim.dad haber lugar á la formación de causa contra el auto…</t>
  </si>
  <si>
    <t>Caaasola, Pedro</t>
  </si>
  <si>
    <t>Pedro Caaasola</t>
  </si>
  <si>
    <t>…estacamento de *00 hombre* de Zaragoza y algunos caballos del regimiento de la Constitución al mando del co El mismo comandante general con la misma fecha dice-lo siguiente: ronel D. Pedro Caaasola.” » Excmo. Sr.: El coronel D. Lorenzo Cerezo , comandante de ar El ataque y movimientos de la* tropas del Rey y Barcelona ha sido masen Minresa, y el teniente coronel D. Ramón Gali, me dicen desde como V. E. verá por la copia del parte que le incluyo, cuyo te…</t>
  </si>
  <si>
    <t>Caadra</t>
  </si>
  <si>
    <t>…sin decir quién pueden menos de tomarlos en considaracioa los señores de la co los babia de pagar. misión. El Sr. Saavcdta dijo que en este particular creía también que debería El Sr. Caadra dijo que loa deseos 4*1 Sr. Infante qnednrin satisfe corregirse el srticulo. chos si se aprueba la medida ■ j. El Sr. Galiano manifestó que creía que loe gefes políticos no debita El Sr. secretario dd Despacho de Gracia y Justicia dijo que laa pegar las cony…</t>
  </si>
  <si>
    <t>Caaga-Argdelles</t>
  </si>
  <si>
    <t>…Quedó aprobada. tesinos , López del Bafto , Tomas (O. Nicssio) y anivelo. Kl Sr. Borg-s Cime ro hizo una proposición para que fuese un artícu Se aprobó la siguiente propoticoa del Sr. Caaga-Argdelles: ■ Qu* lo de Constitución el que ii delito, de libertad de imprenta sean siem tas memorias de los secretario, del Despacho poica inmediatamente k las pre juzgado, por ios jueces de hecho. Quedó para segunda lectura , y el oosuuioaet respectivas pera su examen…</t>
  </si>
  <si>
    <t>Caama-, Angel</t>
  </si>
  <si>
    <t>Angel Caama-</t>
  </si>
  <si>
    <t>…tó de nuevo el artículo 603 redactado en esto* general del derecho de registro, bulas, papel sellado y penas de Cáma términos: ra, cuya plaza se halla vacante por fallecimiento de D. Angel Caama- *1 Ningún libro ni papel podrá pregonarse por las calle* sin prece fio. Tendreislo entendido, y dispondréis lo conveniente á su cumpli- der expresa licencia de la autoiidad local, ni aun obtenida esta, podrá mientosssRubricado de la Real mano.=?alacio 8 de En…</t>
  </si>
  <si>
    <t>Caamafio</t>
  </si>
  <si>
    <t>…á los motivos los poderes presentados por un diputado suplente de Sevilla, que había que tenia para impugnar la proposición, dijo que era un axioma incon sido llamado en lugar del Sr. Caamafio, y una consulta del gefe polí testable en política que las garantías de la libertad consistían en la tico de aquella provincia acerca de si podía ser elegido dicho Sr. Caa- perfecta división de los poderes , según ia cual cada uno debía conte ñuño, teniendo i…</t>
  </si>
  <si>
    <t>…as operaciones subsiguientes; en concep Cortes, que habiendo sido manifiestamente nulo el nombramiento del to de que de no verificarlo les parará el perjuicio que haya lugar , con Sr. Caamafio, que ya no existía, no puede «er admitido el primer su forme á lo, decretos de las Cortes y Reales órdenes que tratan de la plente D. Manuel Valcareel, sino procederse i 1a elección de otro materia. Ma«lrid st de Mayo de i8z 1. propietario.” Dirección ¿eneral…</t>
  </si>
  <si>
    <t>Caamaño</t>
  </si>
  <si>
    <t>…atoria , sin entrarla! vez en examinar ¡as razones que pod a ha- qu: el señalamiento «le los terrenos que cortonn; n a:!. ; 14 de la b r para que no pudiese entrar á reemplazar al Sr. Caamaño et suplente, Constitución tengan fer cooi.Ui.i.n la» Corte» r.servar jara .» i;.i;o dt-nninó que este fuese llama io, y si la junta no entró en este exa del Rey."’ men , diré al Sr. Adan que la» Cortes están autorizadas para anu uruna Se acordó que pasase á l…</t>
  </si>
  <si>
    <t>Caamaño, Juan Angel</t>
  </si>
  <si>
    <t>Juan Angel Caamaño</t>
  </si>
  <si>
    <t>…para que loa' villa , exponiendo la duda de si se ha de verificar nueva elección de desafectos al sistema no logren mantener la fermentación oculta que diputado pata reempiazar al Sr. D. Juan Angel Caamaño, que falleció hacia que los pueblos no obedeciesen con gusto las leyes , y que los ini sin conocimiento de los electores antes de ser elegido, ó si deberá en cuos trabajasen por sumir la patria en los horrores de la esclavitud. trar en su lugar el supitnte. Q…</t>
  </si>
  <si>
    <t>Caamaño, Juan Augel</t>
  </si>
  <si>
    <t>Juan Augel Caamaño</t>
  </si>
  <si>
    <t>…la participación que les hacia el Gramática general por Mr. De.tutt, conde de Trac y, par de Fran Gobernó de que SS. MM. y AA. continuaban sin novedad en tu im cia , traducida por D. Juan Augel Caamaño, precedida de los princi portante ta'ud. pios lógicos de! mismo autor. El traductor ha tenido que aplicar á Se aprobó la minuta de decreto , revisada por la comisión de Cor nuestra lengua lo que el autor escribió para la suya, y tanto en esta rección de estil…</t>
  </si>
  <si>
    <t>Caatrava</t>
  </si>
  <si>
    <t>…e gadier 1&gt;. Ma u el Frarcúco de Jáuregui. q á aquella dclaracion precedió una p tic ion expresa y terminarte del As¡m smo hábil» examinado, tanto la mayoría de la comisión co br. diputado Caatrava para que se declarara hab r lugar á i a forma mo ¡o. ",r s. que limaban el voto particular, la nueva exposición del ción de causa ; lo cual no exote respecto del presente caso. Digo que ¡sr. J. ur.-cui ri tod.l corriente al entregar el mando á D. Jacinto Ro-…</t>
  </si>
  <si>
    <t>Cab, Antonio</t>
  </si>
  <si>
    <t>Antonio Cab</t>
  </si>
  <si>
    <t>…o seí ala Juan Baut sta Ar ch.derr tea , Dr. D J-is-f Julio García T -t- época , s tio ni cosí que lo valga: pero bien conocida es su intención res, Dr. D. Hstanis ao Segu*a , D'. D. Antonio Cab za de Vaca, de dar un ataque ultra á los tráncese* r.fugiados en España. D. Josef Antonio Huarte, D. Pedro Fernandez, D. Jos-f Igna La po icta de t aris anda muy vigilante. Mr. B. Ccnitant publicó cio de Arévao, Dr. D. I uc ano Castoreña, Lie. y Miro. D. Jo u…</t>
  </si>
  <si>
    <t>Caballas, Mauricio Ruperto de</t>
  </si>
  <si>
    <t>Mauricio Ruperto de Caballas</t>
  </si>
  <si>
    <t>…Diego Quiroga, contador cesante de sa Pablo...................................................... 160,000. linas de Valencia. A cuenta de una letra girada por Valencia interventor D. Mauricio Ruperto de Caballas, adminis el departamento de Cartagena en 16 de trador de bulas de León. Julio de valor de ioo9 rs., y cumpli Tarragona administrador D. Félix Corrales, oficial del archivo de da con ................................................... 40,000. esta secretaría.…</t>
  </si>
  <si>
    <t>Caballe, Antonio</t>
  </si>
  <si>
    <t>Antonio Caballe</t>
  </si>
  <si>
    <t>….'i'in acreedor; se fia servido S. M. admitir esta generosa método, exactitud , precisión y claridad con qu- se enumeran y descri oferta, y resolver al misino tiempo s-a destinado D. Antonio Caballe ben en esta obra las obligaciones de un párroco han movido al Go ro en c ise le soldado al expr-&lt;i !o cuerpo de la Constitución, dándo bierno i señalarla para texto en las acadcmus y seminarios conciliares le las y tac* n *n su R-al uon'.!.*re , y mandando se…</t>
  </si>
  <si>
    <t>Caballero, Felipe</t>
  </si>
  <si>
    <t>Felipe Caballero</t>
  </si>
  <si>
    <t>…acrtl-vos impostores, fios sacerdotes im pitán D. Juan Bautista Zara'.a, teniente D Antonio Corrióla, subte píos que blasfeman el nombre cr Dos, son ios que procuran envene niente D. Felipe Caballero, id. D. Pedro Polero, id. D. Josef Marín. nar nuestra sociedad , los qu - han ocasionado tartos desastres en ais-u Del de Toledo. Teniente D. Mariano Kanler. nos di nu stros distritos, los qu: seme.anr:sá .as heñís llevan su rabia Nota. Todos los dichos K pro…</t>
  </si>
  <si>
    <t>Caballero, Francisco Rodríguez</t>
  </si>
  <si>
    <t>Francisco Rodríguez Caballero</t>
  </si>
  <si>
    <t>…de Sisamo á D. Manuel Josef Silva y Cedrón-, para el de Vimiaazo á D. Manuel Bermudez Pi- En la villa de Pozuelo de Alarcon, conocida vulgarmente por Po m nt-li pura -I de Nova á D. Francisco Rodríguez Caballero; para el zuelo de Aravaca, distante legua y media de esta corte , se halla va d- l adrón 4 D. Faustino Rodríguez Monroy; para el de Cambados á cante ei partido de médico con fija residencia: su dotación es la de 20 D. Fiancisco Javier Sarrapio; para el de Pon…</t>
  </si>
  <si>
    <t>Caballero, Gerónimo Manuel</t>
  </si>
  <si>
    <t>Gerónimo Manuel Caballero</t>
  </si>
  <si>
    <t>…os nacionales de es Juicio Je jmradoc. ta corte en ri feliz acontecimiento del din 7 do Julio, puesta en tnúsi' ce con acompañamiento de forte-piano. Se bailará grabada en el esta D. Gerónimo Manuel Caballero, como promotor fiscal de uno de blecimiento de estampad# de la calle del Turco, 7 cu la librería da Or lo* juzgados de primera instancia de esta mup hcróica villa , denunció tega , á 4 ts. ni Sr. nicalda eooatituckraal D. Miguel de Nájen, 4 virtud de excita-…</t>
  </si>
  <si>
    <t>Caballero, Josef Marte</t>
  </si>
  <si>
    <t>Josef Marte Caballero</t>
  </si>
  <si>
    <t>…a an ciembre de i8ai. tiguos, y publicó en tu Urtmografla, es evidente que en le» dibujas de lee zodiacos antiguos d panto dd solsticio te hallaba en aquellos Por fallecimiento de D. Josef Marte Caballero se halla vacante le tiempos colocado hácie la mitad «le le constelación de Cáncer, y cun plaza de regente de la audiencia territorial de Galicia, y se admiten do publicó su obra en 1603, d mismo Bayer pmo d ponto solsticial memoriales por térnsino de go dia*.…</t>
  </si>
  <si>
    <t>Caballero, Josef Ruiz</t>
  </si>
  <si>
    <t>Josef Ruiz Caballero</t>
  </si>
  <si>
    <t>…De la audiencia dt Gaiieia. D. Diego Alcalá Galiano á la da Aslan los créditos sin ínteres contra el Estado, expedidos por el Crédito túrias. público. De la audiencia de Granada- D. Josef Ruiz Caballero á Valen j* » Que subsista la suspensión de las liquidaciones pendientes, se cia. D. Gonzalo de H -r-Hia á Sevilla. gún se previene en la orden de las Cortes, basta que se den para su De ¡a audiencia de Navarra. D. Fermín Sauz López á la de Ara egecucion regla…</t>
  </si>
  <si>
    <t>Caballero, Manuel</t>
  </si>
  <si>
    <t>Manuel Caballero</t>
  </si>
  <si>
    <t>…la gloria de las aitms de España; pero en esto no fueron de Lista que te cita. peor condición los -sp.ñoi. s que los franceses , pu s si aquellos derra D. Jos f Comitre a.400 rs. D. Manuel Caballero 1300. D. Manuel maron en blandís la sangre agsna, estos vertieron en París la suya pro A'carar, menor, 1110. D. Pablo Latios 10. D. Joscf Martínez de pia con un furor sm cgempío. Hu-lado 430. I). Martin Latios 100. D. Alvaro Sai.clicz aoo. Seño En una pa'.ab…</t>
  </si>
  <si>
    <t>Cabañero, Josef Marta</t>
  </si>
  <si>
    <t>Josef Marta Cabañero</t>
  </si>
  <si>
    <t>…o sobre millones de para la plaza de regente de la audiencia territorial de Galicia, va Granada , sentado 4 pliegos St en cabeza de D. Miguel de Paz, de cante por fallecimiento de D. Josef Marta Cabañero, 4 D. Fermín 2279 mrs__ Otro sobre 89 soldados de Granada sentado 4 pliego i.', en Gil de Linares. cabeza de D. Francisco María Vellón , de 43 3,868 mrs__ Otros dos so Asimismo ha tenido 4 bien nombrar S. M. para plazas de magistra bre 89 soldados de Toledo 4…</t>
  </si>
  <si>
    <t>Cabarcas</t>
  </si>
  <si>
    <t>…en ó emplearen alguna bebida , fuerza ó ficción , serán Se mandó pasar á la comisión la siguiente adición al art. 51a del castigados con arreglo al título 1. de la segunda paite.” Sr. Cabarcas, que decia: donde dice w conforme á ¡cu leyes , añádase Alt. 539. « Si los que á sabiendas contribuyen á la prostitución 6 chiles 4 canónicas. corrupción de loe jóvenes menores de ao afios, fuesen personas que TITULO VIL habitualmente te ocupan en este crimin…</t>
  </si>
  <si>
    <t>…si los instrumentos no sirvieren sino para fa guna arma ae cua'quiera clase que sea cuando se hallen ejerciendo &amp;c.” bricar moneda extranjera.” Art. 335. Párrafo z.° (adición del Sr. Cabarcas.) » Un arresto da Art. 393. Párrafo l.~ (queda suspendido): *&gt; Sufrirá ademas de la cuat' o d&gt;as a dos meses, sin perjuicio de que verificado el arresto pueda pena de trabajos perpetuos la de no poder obtener la gracia del articulo? (¿clamar el culpable si se…</t>
  </si>
  <si>
    <t>Cabarcas, N.</t>
  </si>
  <si>
    <t>N. Cabarcas</t>
  </si>
  <si>
    <t>…n. Antonio Fícrez Estrada , que lo es de la misma : para ia de T^ruenna á D. Juan Valle: para la de Córdoba al brigadier D. Luí» del Ac.j.iu, A la de Ultramar una representaron de D. N. Cabarcas, solicitanque lo es de la misma: para la de Orense á D. P.dro Boa doS¡ do que se establezca una intendencia en Panamá. [ A la de Hacienda una solicitud de Doña María Concepción Puen- que lo es de la de Zimora: para la de Vuo al brigadier D. Ra-.noa Losada: pa…</t>
  </si>
  <si>
    <t>Cabarets</t>
  </si>
  <si>
    <t>…podía asear al Sr. Cor peles públicos un aviso pare desacreditar el diputado Ochoa , y de este tes de estas dudas. modo al Congi-»o, pido que ee lea dicha exposición; y ann ten El Sr. Cabarets dijo que ciertas máximas adoptadas por la Iglesia dré una satisfacción en renunciar le inviolabilidad que por mis opinio causaban un efecto contrario en mucha parte de la cristiandad ; y qué si nes m: compete como diputado, pera que le me reconvenga en un alg…</t>
  </si>
  <si>
    <t>Cabeiro, Francisco Térro</t>
  </si>
  <si>
    <t>Francisco Térro Cabeiro</t>
  </si>
  <si>
    <t>…u decisión, para plazas de jueces letrados de Galicia, en esta forma: para el parti se han servido resolver se diga al Gobierno, como de su orden lo ege- do de S. Pedro de Outes á D. Francisco Térro Cabeiro: para el de V¡cutanaos, disponga que el comandante general del segundo distrito en go á D. Francisco Mooseo: parael de Puente Areas á D. Luis Bermutregue el león de insignia A dicho regimiento de Pontevedra en nom dez de Castro: para el de la Cañiza á D. Feli…</t>
  </si>
  <si>
    <t>Cabello, Francisco de Puerto</t>
  </si>
  <si>
    <t>Francisco de Puerto Cabello</t>
  </si>
  <si>
    <t>…Josef Demetrio Rodríguez, D. Josef K.iitr, D. Antonio Dias ro último, se sabe que dicho general, después de haber mandado salir del Moral, D.Carlos Romeral, D. Mamerto Landaburu , D. Francisco de Puerto Cabello varias expediciones contra loa disidentes de Coste- Martínez Marina, D. Simón Gonza’e, Vusté, D. Andrés Alcon y firme sinqse hubiesen surtido ningún buen efecto, ae embarcó en di D. Valentín Recio. Pero habiendo man festado el Sr. D. Francisco cha plaza con 4…</t>
  </si>
  <si>
    <t>Cabezón, Josef Wi- Miranda</t>
  </si>
  <si>
    <t>Josef Wi- Miranda Cabezón</t>
  </si>
  <si>
    <t>…upernumerario del regimiento de infantería del Rey. mo batallón. Monterey: para primer comandante al coronel graduado D. Josef Alicante: para coronel al coronel viro de infantería D. Josef Wi- Miranda Cabezón, comandante del primer batallón del regimiento da the, teniente coronel mayor del regimiento de Guadalajara. infantería de Navarra. Alcoy: para primer comandante al primer comandante de infar.te- Osuna: para coronel al coronel vivo D. Agustín Oviedo , ayudan…</t>
  </si>
  <si>
    <t>Cabo, Martin Lorenzo</t>
  </si>
  <si>
    <t>Martin Lorenzo Cabo</t>
  </si>
  <si>
    <t>…y dar gracias al Altísimo con una dado citar y emplazar á Doña Genara González, viuda de D. Agustín solemne misa y Te Deum por el triunfo que acababan de conseguir la* Ugena , y á D. Martin Lorenzo Cabo , cuyo paradero te ignora, para armas liberales, jurando de nuevo á la salida al frente de la lápida que en el término de 1 2 dias comparezcan en la misma por la escriba imitar vuestras virtudes, siempre que para la causa de la libertad pudie nía de Cámara de…</t>
  </si>
  <si>
    <t>Cabrera, Francisco Plácido</t>
  </si>
  <si>
    <t>Francisco Plácido Cabrera</t>
  </si>
  <si>
    <t>…vacantes sus plazas. Se halla vacante una de las dos plazas de médico titular de la Nava del Rey : su dotación es de 69 rs. anuales, pagados por meses por la Por fallecimiento de D. Francisco Plácido Cabrera ha quedado va justicia d su ayuntamiento: au vecindario consta de 1200 vecinos, y cante la plaza de juez de primera instancia del partido de Omafia, cuya se admiten memoriales hasta el fin del presente mes. Estos se dirigirán cabeza es 1a villa de Murías de P…</t>
  </si>
  <si>
    <t>Cabrera, Josef</t>
  </si>
  <si>
    <t>Josef Cabrera</t>
  </si>
  <si>
    <t>…rtes sobre la nueva planta que se do en la secretaría del mismo ramo por Doña María Josefa 1 river, viu presentase, antes bien podría ser Util; y en su comprobación hizo ai- da de D. Josef Cabrera,comandante que fue del batallan de León, uno gnnas reflexiones sobre el art. 5.° del dictamen, y en apoyo de lo que de los complicados en la causa del general Porlier; y una concita del &lt;• ¿I se proponía. secretario del mismo Despacho, relativa á lo ocurrido…</t>
  </si>
  <si>
    <t>Cabrera, Manuel</t>
  </si>
  <si>
    <t>Manuel Cabrera</t>
  </si>
  <si>
    <t>…z lo que sigue: del segundo batallón del regimiento de infantería de Toledo. n SS. MM. y Sres. Infantes gozan de perfecta salud , y las Sras. Ira- Metida: para primer comandante á D. Manuel Cabrera, comandan batea no tienen novedad particular desde su feliz alumbramiento.” te del primer batallón del regimiento de infantería del Prínc pe. Medina del Campo: para primer comandante al comandante de in Afmttlerio de It* Guerra. fantería D. Fernando Mateo, sa…</t>
  </si>
  <si>
    <t>Cabrera, Ramón</t>
  </si>
  <si>
    <t>Ramón Cabrera</t>
  </si>
  <si>
    <t>…i cias morales y políticas i D. Antonio Porcel, consejero de Estado, ¿ carán , siendo de buena calidad, sin que se disimule mas que la primera individuo de la academia Espa&amp;ola; á D. Ramón Cabrera, consejero de cuerda seca en los rollos, y las dos primeras en los rolletes; todos en Estado, é individuo de la misma; á D- Antonio Ranz Romanillos, pie, y reconocidos por los costados, recibiendo el pago en tesorería consejero de Estado, é individuo de las a…</t>
  </si>
  <si>
    <t>Cabrero</t>
  </si>
  <si>
    <t>…to* el decreto de las Corte* sobre beneficencia, y había contestado que lo contra 58. tomaría en consideración , á fin de que tuviese su debido efecto. El Sr. presidente nombró aí Sr. Cabrero en lugar del Sr. Freirs para El Sr. presidente contestó que las Cortes quedaban enteradas y sa la diputación que había d: entregar á S. ¡A. el decreto sobre establecí* tisfechas del zelo con que la diputación había cumplido su encargo; j miento» de beneficenc…</t>
  </si>
  <si>
    <t>Cabzrcas</t>
  </si>
  <si>
    <t>…r proporcionados ai caractr que lle La misma comisión opinaba que debia aprobarse una proposición van, ya de embajadores ó ministros, ya de enviados ó de encargados de que hizo el Sr. Cabzrcas en 19 de Mijo íi 1 mo para que se establecie Negocios, podrían hacerte algunas economías en este presupuesto, dis se una intendencia en Panamá, y que se ulomase al Gobierno para poniéndose que todos los agentes diplomáticos llevasen el mismo ca que llevase á…</t>
  </si>
  <si>
    <t>Cacho, Manuela</t>
  </si>
  <si>
    <t>Manuela Cacho</t>
  </si>
  <si>
    <t>…blo de que el general Mourgeon vivia, de qile ha Morerfo. Camareras, Doña María Cervar tes , Doña Dolores Abarca, bía batido completamente á los colombianos, de que el batallón de Doña Manuela Cacho , D ña Antonia Bonilla y Val&lt; ro, Dora María Aragón y los pástenos habían rivalizado en valor, y de que el ilustre Rodríguez y Camina, Doña Jos.fa Azcirat-, Doña Brígida Perez Pa Cero había entregado para el egército cuanta p ata tenia, manifestan lacios. Gua…</t>
  </si>
  <si>
    <t>Cacío, Antonio</t>
  </si>
  <si>
    <t>Antonio Cacío</t>
  </si>
  <si>
    <t>…o pira noticia de los int.re pañía. = Es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Quintana, D. Antonio Cortes por decreto de 9 de Mayo de 1811 , en consideración á los ser- Méndez, D. Francisc…</t>
  </si>
  <si>
    <t>Cádiz, Juan Francisco de</t>
  </si>
  <si>
    <t>Juan Francisco de Cádiz</t>
  </si>
  <si>
    <t>…n Antonio de Llinas, declaran que no há lugar á la formación be La comsiou de Comercio, en vista de la exposición del consulado causa por ocho votos contra uno, siendo este último D. Juan Francisco de Cádiz acerca de las matrículas de esta clase y elecciones de cónsules Besora. Barcelona 23 de Marzo de i8ia.=Lorenzo Nove!l.=Pab!oM¡y diputados, opinaba: i.° Que se consideran como inscritos en la ma randa.=Lorenzo Collell.=Domingo Oriolc=Francisco Salvá.irRjnioa t…</t>
  </si>
  <si>
    <t>Cael</t>
  </si>
  <si>
    <t>…hubiese aban molestias sufridas por el inocente.” donado la demanda, que se entenderá ser el del último acto hecho en Se aprobaron dichos artículos, habiendo manifestado ant-s el Sr. Cael procedimiento.” latrava las observaciones que sobre los mismos se hib'an h xho. El Sr. Calatrava dijo que el tribunal de Ordenes, la audiencia y uni Se suspendió esta discusión , y se leyó el dictamen que p atentaron versidad de Sevilla y los colegios de Barc…</t>
  </si>
  <si>
    <t>Cáelos</t>
  </si>
  <si>
    <t>…astellón á D. Joerf Espinosa, coronel graduado y msvor coman Vai encía i D. Vicente María de Haro, capitán efectivo de infan dante supernumerario del regimiento infantería Infante D. Cáelos, id. tería y del batallón de la milicia activa de Alcázar da ü. J-an, coa Ciudad-Real a D. Joief O iraIdo, segundo teniente coronel del los 450 rs. al me» que dofruta en provincia. cuerpo de Ingenieros, id. Villafranca 1 P. Josef de Moure, comandante de infam…</t>
  </si>
  <si>
    <t>Caen, Josef Susrez</t>
  </si>
  <si>
    <t>Josef Susrez Caen</t>
  </si>
  <si>
    <t>…ela á León................................. aap.» 34 D. Bonifacio A moros y Orozco: para el de Oniafia, en la provincia Lérida.............................. 468,182 **§ de León, á D. Josef Susrez Caen lias; y para al de Llanca, en la de Lugo................................. *7 S'°78 Asturias, i D. Gonzalo Vaidés Posada. Malaga................. ............ 46*.993 Mallorca........................... gl;,8u8 El Rey, i propuesta del consejo de Estado da 17 d…</t>
  </si>
  <si>
    <t>Cáese, Luis Escorar y</t>
  </si>
  <si>
    <t>Luis Escorar y Cáese</t>
  </si>
  <si>
    <t>( 7 cuartos.) 74i Núm. igp. GACETA DE MADRID. VIERNES 17 DE MAYO DE í8aa. NOTICIAS DE ESP a fÍA. . Uno sobre la exposición 4a D. Luis Escorar y Cáese; ea vista 4*1 shlórma dd Gobierno opinaba la comisión que pesase «1 mismo para Cádiz f d* Aítyo- 91a emplease al inlifiisdn stpa so aptitud y loa mérito» que haya da Tingar coa techa t.° del corriente, lo-que sigue: contraído. Apastada. . » Se han terminado e…</t>
  </si>
  <si>
    <t>Cafaran, Joaquín</t>
  </si>
  <si>
    <t>Joaquín Cafaran</t>
  </si>
  <si>
    <t>…teM Rio, Gad* La eemtrán da Guerra praaentó tn dictamiu tabre la tolicitud de jon,Adan, Calderón, Bsfio, Alcántara, Becena» Oral le, Herma» Dofia Josefa Travcr, viuda del teniente coronel D. Joaquín Cafaran, Lilio jr ct Sr. presi denle. para que ae declarase que su marido gozaba el grado de coronel qu* Quedó aprobad» la última parte dd dictamen da la comisión .rela le habia conoedtdo el general Portier , á quien había irnmpafliilii en sn tiva á no haber mérito p…</t>
  </si>
  <si>
    <t>Cagbari, En</t>
  </si>
  <si>
    <t>En Cagbari</t>
  </si>
  <si>
    <t>…puro y decidido á En l’alermo ídem 178. En Panzaco'a id¡.m 1 j3. En é-ar. Agustín id.m devorar cuantos infames osasen seguir las huel as de aquellos perversos, Ij3. En Faro id.m 14D. En Cagbari 143. Total 33 :3. esperando siempre que ILgase ia nueva de: pronto exterminio , el ar Art. j.*’ Uitimam nte habra 16 v¡c.-cónsu es c^r ia» 3::gnacicnes dor de los hombres libres no depuso en tstos días las armas de su ze o. que se expresan para sueldos y gast…</t>
  </si>
  <si>
    <t>Caí</t>
  </si>
  <si>
    <t>…sitadores y contralores de contribuciones directas, mediante con la generalidad con que está concebido. que la formación de la estadística pertenece á la secretaría de la Gober El Sr. Caí ¡ano : Señor, no hay mayor mal que el de las contribu nación de la Penínaula , por la cual deberá hacerse con el auxilio de las ción» entre todos los males á que se ha sujetado el hombre en comp. ndiputaciones provinciales, sin que la* autoridades de Hacienda…</t>
  </si>
  <si>
    <t>Cai.itiava</t>
  </si>
  <si>
    <t>…este ptoyecto se va á dar al Gobier lucho á mi ptoposicion no me hace fuerza , é insisto en que se apruebe. no mayor fuerza de la qu: tiene, y mucha influencia en esta materia, El Sr. Cai.itiava dijo; Las Cortes no pueden ni deben desentender tanto con motivo de las apelaciones como por el nombranvento de los ás de tomar una providencia tan enérgica como pronta para evitar los jueces de hecho, como dijo muy bien ayer el Sr. Gaseo. Vjin.is ádar insult…</t>
  </si>
  <si>
    <t>Caíala, Manuel Esteban</t>
  </si>
  <si>
    <t>Manuel Esteban Caíala</t>
  </si>
  <si>
    <t>…e reunió el jurado, compuesto de loe Sres. siguientes: escribanos.................... 20,793 D. Joscf Castels, D. Higinio Antonio Lorente, D. Aniceto Lirana, Contaduría general de D. Manuel Esteban Caíala , D. Gaspar Aguilera , D. Rafael Coala, Cuentas....................... 29,050 D. Andrés Orinaga, D. Jaime Ruiz Abreu y D. Lorenzo Lambes. 8i,4o£ Habida la conferencia, resultó por mayoría no haber lugar á laIdem de intervención... 5&gt;,i'94 y DonDepositaría....…</t>
  </si>
  <si>
    <t>Caíala, Manuel Fstéban</t>
  </si>
  <si>
    <t>Manuel Fstéban Caíala</t>
  </si>
  <si>
    <t>…de los Sres. siguientes: D i Miguel Ripa, D. Antonio Regas, D. Valentín Ortigosa , D. Domin El Sr. secretario del Despacho de la Gobernación de Ultramar dice go Fernandez Angulo, D. Manuel Fstéban Caíala, D. Mariano Zotal de Gracia y Justicia dada el Real «¡tío de AranjuCz con fecha de nquin , D. Pió Santos, D. Francisco Travesedo y D. Pedro Matute. ayer lo que sigue: llab'da la conferencia, declararon por unanimidad haber lugar i n El Rey (qne Dios guarde) s…</t>
  </si>
  <si>
    <t>Caianova, Manuel</t>
  </si>
  <si>
    <t>Manuel Caianova</t>
  </si>
  <si>
    <t>…estaba concurriría al Con Aprobado. greso en el momento que se le presentase proporción para hacer su La comisión Eclesiástica, en viste de la exposición de D. Lucas viage. Caro y D. Manuel Caianova, capellanes del regimiento de Ceuta, para El Sr. presidente anunció que mañana se discutirían dos dictímroes que te les abonasen sus haberes con respecto al aumento decretado por de la comisión de Casos de responsabilidad sobre una queja dada con las Cortes a…</t>
  </si>
  <si>
    <t>Caías</t>
  </si>
  <si>
    <t>…nal del Oédito público 7 tu mirse en el artículo la expresión á propuesta en terna Je la junta Jisecretaría.” reetiva ¿ y que cuando se tratase del nombramiento de los dos comi El Sr. Caías se opuso al artículo, manifestando, como antes había sionados ó de la misma junta, se veris el modo cómo había de hacer dicho en la discusión de la totalidad del proyecto , que pues la mayor se el de este gefe. Por lo demás dijo que la demasiada independencia…</t>
  </si>
  <si>
    <t>Caiatraía</t>
  </si>
  <si>
    <t>…a Los Sres. GÜ-dc Linares y Milis hicieron varias observaciones con divioidad se guardase el decora , y respe» ' correspóhli.'nte - aSadió tra este artículo, i las que contestó ai Sr. Caiatraía, y en seguida que ■densas que ai fuese utpdMiéioto y nna' esneciéde fanatismo el «fcrédó aprobado. cho de aatl#, térian fmiáícñ*' todos los distiahoj &lt;1- los pr m rps si Art. 117. «LaNación espadóla no reconoce dentro do ella asilo gla» qué reconocieron este…</t>
  </si>
  <si>
    <t>Caiatrava</t>
  </si>
  <si>
    <t>…ros del hasta las palabras en fot casos respectivos inclusive. reo, me opongo á ella, y creo que no debe aprobarse.' Art. ni. » Cuando alguna culpa ó delito de los comprendido* El Sr. Caiatrava manifestó que el artículo se ceñía á hablar de la* n este código resultare con circunstancies que no esten expresadas li penas cuya aplicación era compatible con la de muerte, y que laa penas teralmente en ninguna de sus disposiciones, pero que á juicio de lo…</t>
  </si>
  <si>
    <t>Caiatrava-</t>
  </si>
  <si>
    <t>…tución (al como estaba no ncrEl. ir. Castrillo deshizo algunas equivocaciones que dijo había pa tintina qu; se afi-diese ni quitase un título, mientras que no llccase el decido el Sr. Caiatrava- t.empo en que este a.tículo pud.es* ponerse en otros termino, oara aue El 4r. Cepcro dtp que él era uñó de los que habían votado en fa tyuedat* abolido el tuero tvlciiibtico. ^ *</t>
  </si>
  <si>
    <t>Cairo, Lorenzo</t>
  </si>
  <si>
    <t>Lorenzo Cairo</t>
  </si>
  <si>
    <t>…c Rn! orden y compon rcurvcJi cometida al ex alcalda da casa y so y prosa , y manifestaron conocimientos extensos y exactos en tato* icone D. Fraruivco Martínez de Galmsoga contra D. Lorenzo Cairo da ramos, adquiridos en un tiempo cortísimo. Se presentaron también dos Hozas y consortes, por conspiración contra el anterior Gobierno , T c® alumnos de y sfios, los que habiendo entrado sin conocimiento alguno el dia contra D- Manuel aanturioRíco Villademot…</t>
  </si>
  <si>
    <t>Cairo, María Sánchez</t>
  </si>
  <si>
    <t>María Sánchez Cairo</t>
  </si>
  <si>
    <t>…dua. La comisión opinaba que no podra iwd.iic á ella. la interesada era acreedora á que se le concediese la viudedad da zoo Aprobado. ducados. Aprobado. Otro sobre 'a solicitud de Doña María Sánchez Cairo, viuda, para La misma, en vista de la solicitud del ayuntamiento de Barcelona que en atención á loa méritos y servicios de tu difunto mando se Je para qu: se aprobase ia universidad de segunda y Crecerá enseñanza que concediese una pensión. El Gobierno recome…</t>
  </si>
  <si>
    <t>Caitejon</t>
  </si>
  <si>
    <t>…amente, tino el de no haberla activado las autorldadei qut Se leyó la secunda basa (léase la gaceta de ayer.) han entendido a ella. Coa esto contesto á lo que ha manifestado *1 El Sr. Caitejon manifestó qne era mai oportuno qne se exigiese el Sr. preopinante. cumplimento de los decretos de las Cortes sobre estos asuntos, que no El Sr. Arguelles: Lo que he dicho ha sido por haber visto na re el extender la base en los términos qne lo estaba. present…</t>
  </si>
  <si>
    <t>Caivina, Escriben de</t>
  </si>
  <si>
    <t>Escriben de Caivina</t>
  </si>
  <si>
    <t>…c.. Iré justo. =Dios guarde á V’. E. muchos años. — Cuartel pmerai div.so de Idi 1. c= líeme. &gt;r. = Ferrar.', O; Fi.tn r." sar ¡o de Berga 5 da Diciembre de i8u. = fi:ruo. Sr.crKI brigadier Escriben de Caivina (á me ;ia tora á; ¡a ieo ce L'rrr' ) el d.a 3 comandante general — Antonio Rottcn. — Excmo. ir. comandante lo que s gue: general del séptimo d slrito." "Moa 24 del anter or l!',;in-i ; e z inte ^ .ye rta dit.° » Exento, br.: Son las seis de la tarde, y entran…</t>
  </si>
  <si>
    <t>CaJatrava</t>
  </si>
  <si>
    <t>…ción , han decretado: sus (altas; por cuyo motivo fue de parecer que no se permitiese prego Art. i.° » Los individuos que en lo sitcaivo quieran entrar á ser nar papel alguno. j;i Sr. CaJatrava dijo que no podia menps de manifestar que la co vir en el egército permanente, ó en la milicia nacional activa en cla misión babia presentado un artículo contra su propio dictamen , y con se de pitos , tambora, trompetas y cornetas, podrán ser admitidos con t…</t>
  </si>
  <si>
    <t>Cakeron, Martin Za-</t>
  </si>
  <si>
    <t>Martin Za- Cakeron</t>
  </si>
  <si>
    <t>…cio Pajares, D. Mamerto Landmburu, D. Joaquín Huerta Ce- un juro en alcabalaf de Midrid de 16,130 mrs. en cabras de Melchor val ios, i). Marcos Izquierdo, D. Jostf Antonio Ponzoa, D. Martin Za- Cakeron.—Otro en alcabala! d: Olmedo de 31,616 mrs. en cabaas del randia , D. Rafael Costa , D. Andrés Navarro y D. Sebastian Andrés. mismo. La persona en cuyo poder te hállen se servirá entregarlos en la Reunidos dichos Sres., y observadas todas las formalidades que…</t>
  </si>
  <si>
    <t>Cal</t>
  </si>
  <si>
    <t>…moa an persona igualmente sabias é ilustrada: que á ma de esto la comisión discusiones sobre si compete ó no á las Corta extraordinaria ocupar podía bacer la mismo que practicó el Sr. Cal tirava en las anteriores se de negocios que el zelo de persona particuUra ó corponciona Corta extraordinaria, esto a, manifestar al principiar la discusión de dirige a lss Corta extraordinaria, desconociendo el circulo de sus cada articulo por separado la obs…</t>
  </si>
  <si>
    <t>Cal'aba, Josef</t>
  </si>
  <si>
    <t>Josef Cal'aba</t>
  </si>
  <si>
    <t>…que por la comisaría g-ner.il Ulua, y en atención a los servicios y adhesión al sistema constitucional de Cruzada se pongan i disposición de las juntas de ben licencia y á fa d-l coronel D. Josef Cal'aba, comandante que ha sido de la Florida vor de los establecimiento* piadosos que respectivamente tengan i su occidental, se ha servido S. M. conferirle los referidos destinos. cargo, las existencias actuales procedentes del indulto cuadragesimal con proporción…</t>
  </si>
  <si>
    <t>Cal, Manuel Flores</t>
  </si>
  <si>
    <t>Manuel Flores Cal</t>
  </si>
  <si>
    <t>…aun cuando esto aprobarse lo* poderes de este Sr. diputado. Aprobado. se verifique no por eso deja de ser gentilhombre. Este es verdadera Burgos v Santander. D. Lucas Oca y Meló, D. Manuel Flores Cal mente un destino, puesto que se pretende , se renuncia, y puede ser ju derón, D: Manuel Herrera Bustamante, D. Antonio Martínez de Ve- bilado el que lo disfruta. Fuera de esto todos en palacio han visto que lasco, D. Elias Alvarez y D. Tomas Alvarez. Fueron a…</t>
  </si>
  <si>
    <t>Calael, Josef María</t>
  </si>
  <si>
    <t>Josef María Calael</t>
  </si>
  <si>
    <t>…pirho de la Gobernac on para la Península é islas adyacent s Madrid , se turnaron pre videncia», en las qu; se manifiesta tamb en que h: ven d ■ en nombrar para el mismo destino á D. Josef María Calael espíritu público no está ya para retrogradar h cia -I ortio,o rrg n.i n traca , m o ,tro del tribunal supremo de Just cía, en atención i sus co antiguo. En la Cotufa, con el m sito tntusiasmo y dec súm , s: han no; mirtos, servicios patrióticos, amor á ia Con…</t>
  </si>
  <si>
    <t>Calairava</t>
  </si>
  <si>
    <t>…s sus partes. Tendreislo entendido para su cumplimiento, yquedó aprobada. Se suscitó una breve discusión sobre si debía votarse lo restante del artículo; y habiendo manifestado el Sr. Calairava que dispondréis se imprima, publique y circule. = Rubricado de la Real En Palacio.á 14 de Enero de 182a. = A Don Josef de Cascía una continuación de lo desaprobado , no se sujetó á votación. mano, s Art. 604. » Tampoco podrá nadie sin igual licencia fijar en…</t>
  </si>
  <si>
    <t>…cuencia de la Madrid Mi: reales 6 de Febrero. proposición del Sr. Sancho al Sr. Alvarez Guerra por indisposición oSS. MM. y A A- continúan sia novedad en su importante talud.” del Sr. Calairava. Se mandaion repartir los egemplares remitido» por el Sr. secretario la» noticia» de Lisboa hasta el i.° del corriente no dejan de ser de Hacienda sobre la habilitación de varios puertos de primera y se interesantes, particularmente porque coinciden con ios s…</t>
  </si>
  <si>
    <t>Calais</t>
  </si>
  <si>
    <t>….b: determinarse que J be hacerse rr se Se continuó la discusión del código penal. meja t: caso. Por lo m sino me pa .-ce que oche u.,;te «.n cm; párrafo Después de haber leído el Sr. Calais ara las observaciones que m asta clausula, y si los Oros, de la .s«a.sa lo tic. ..s:n á bic*. se podro</t>
  </si>
  <si>
    <t>Calalrava</t>
  </si>
  <si>
    <t>…a manifestó que las observaciones del Sr. Sancho se para persuadír á la inobservancia de la Constitución. rian mas oportunas cuando se discutiese el art. 330 que se refiere at H1 .Sr. Calalrava: Esta pena, según dij ■ ya el día pasado, no ha si extrañamiento de España de cualquier prelado. do propuesta por ia comisión, sino que esta no lia hecho mas que ta IX'spues de una ligera discusión entre lot Síes. Vadillo y Puig* petar una J¡.-y dada por las…</t>
  </si>
  <si>
    <t>Calatayud, Antonio López de</t>
  </si>
  <si>
    <t>Antonio López de Calatayud</t>
  </si>
  <si>
    <t>…lico para que las personas que quie —Otro de 37,259 mrs., situado sobre les salinas de Andalucía, en ca ran mejorar dichos 'remates con ta separación que queda demostrada, beza de D. Antonio López de Calatayud , en Madrid 4 1.® de Agosto y con arreglo i lo determinado en Reda órdenes, concurren 4 hacerlo de 1Ó46—Otro de 102,268 mrs., situado sobre el segundo 1 por 100 por sí ó por medio de apoderado j en la inteligencia de que ic admití» de le nueve alcabala de lo…</t>
  </si>
  <si>
    <t>Calateara</t>
  </si>
  <si>
    <t>…lo relativo á las ciencias naturales, ticulo. como había algunas obras que trataban de cronología, geografia ¿te. Habiéndose declarado por suficientemente discutido, quedó apro El Sr. Calateara pidió que te leyese el decreto de libertad de im bado. prenta. Art. 231. » E! que de palabra ó por escrito propagare máximas 6 El Sr. Cortés dijo que no lo ignoraba; pero que aquella ley podía doctrinas que tengan una tendencia directa á destruir ó trastornar…</t>
  </si>
  <si>
    <t>…ión pueda haberse de imprenta.** Se mandó parar A Ib comiaioa. equivocado ea cuanto á tu dictamen; pero no tiene el encarga de po Continuó la dñcuaion acerca de le proposición del Sr. Calateara, ner gobierno ai no le hay, ó removerlo ai es malo; ai la comisión hu le cual había quedado suspendida ea la sesión anterior. biste tenido este epeargo hubiera hablado claramente con la franquean El Sr. Gareli dijó; Yo aguardaba con temor la discusión de loa…</t>
  </si>
  <si>
    <t>Calatnva</t>
  </si>
  <si>
    <t>…ejemplares de los decretos de 18 y 18 queden cesantes, conforma al decreto de lu Cortes que trata de ello.” del pasado, y ¡as circulares expedidas con la mismas fechas sobre in El Sr. Calatnva dijo que siendo la intención de lu comisión» troducción de mignina* y pagos de derechos de registro en las ventas ocupar 4 esto* cesantes, podrá quedar frustrada si se dejase enteramen sis fincas del Crédito púbico. Se mandaron repartir los cgemplares. te, al…</t>
  </si>
  <si>
    <t>…eda. bierno es malo, y qne no tiene la fuerza moral; ¡por ventura cuando Después de una corta discusión, p á solicitud dd Sr. Yandiola, in la oomisípn, de la cual era individuo el Sr. Calatnva, intervino en loa dividuo da la comiaioa, at mandó volear i la miama el referido dic negocios de Cádiz y Sevilla, no tenia ya todo* loa antecedente*, y aun tamen. minutado al segando mensage! ¡ No te pidió la responsabilidad á laa Se dió cuenta de una adición…</t>
  </si>
  <si>
    <t>Calatra</t>
  </si>
  <si>
    <t>…ilicia nacional cuyos individuos tomaron parte en la Art. 13. » Se aplicarán al pago de las rentas inscritas en el gran facción de Navarra saliéndose de la plaza. Y la tercera del Sr. Calatra libro los productos de la contribución sobre consumo* , que tetan en va, relativa á que la amnistía concedida á los milicianos nacionales de tregados por Los recaudadores de ella al dilectos del. gran libro nombra Pamplona, que habiéndose fugado de aquella ca…</t>
  </si>
  <si>
    <t>Calatra-</t>
  </si>
  <si>
    <t>…iputados formada su opinión. Ahora bien, ¿de que se tra se tratara so'o de impugnar un voto particular; peto puesto que el se ta* Podremos decir como dijo el dignísimo diputado el Sr. Calatra- fior preopinante ha tenido á bien dar al mío mas importanca de la qua va en el año anterior: ao te trata de la justicia ó injusticia del art. en sí tiene , me levanto con el ob|eto , mas que de sostenerle, de d.s— del decreto de 6 Se Agosto de 1811, que es el…</t>
  </si>
  <si>
    <t>Calatrara</t>
  </si>
  <si>
    <t>161</t>
  </si>
  <si>
    <t>…e este articu.o debe drá siempre la pr-meditación , s.n tr.bargo de cualquiera excepción que suprimirse. alegue el reo, y so.ament.' se admitirá la de no haber habido intención El Sr. Calatrara manifestó que en este artícu'o se trataba de homi de dar la muert. , si asi fuere , con a: reglo a lo prevenido acerca de la in cidios que no estaban comprendidos en los artículos anteriores, y que tención en el art 608. por lo mismo era preciso que subsist i…</t>
  </si>
  <si>
    <t>Calatrav</t>
  </si>
  <si>
    <t>…n el artículo que se discutía, habían ya pasado 10 años 4- su pro do lo cual no debía aprobarse el articiiló. mulgación. Que había llegado el tiempo en que debia K-V*r una abso El Sr. Calatrav» dijo que las observaciones ana se habían recibido luta igualdad entre todos los espadóles ente la ley, y que todos fresen contra cL articulo entrdel tribunal de Ordenes, la universidad dé Zara juzgados por uno» mismos jueces, pues en Roma mismo sucedía que g…</t>
  </si>
  <si>
    <t>…do un análisis del decreto que habían dado un delito contra el Estado que necesariamente debía repararse. las Cortes en la paite ccspectiva á ia indemnización de los participen El Sr. Calatrav.! dijo que el br. preopinante podía hacer una adi legos. ción ; pero que el nunca la aprobaría, porque ya reparaba el daño que En seguida se declaró este asunto suficientemente discutido, y des había ocasionada retractándose de lo que había dicho antes. pués…</t>
  </si>
  <si>
    <t>Calatrava</t>
  </si>
  <si>
    <t>…ndida na, Tarragona , Gerona y Lérida. en ninguna de las disposiciones de este código, el juez lo declarará así.” Se mirdaron pasar i la comisión una proposición de lo&lt; señores El Sr. Calatrava manifestó que el Sr» preopinante quería se supri Crespo Cantoiia, Cuesta, Zubia , Vitorica y otros , relativa á los lími miese una clausula que en concepto de la comisión es esencial (sima, tes de la provincia de Santander : otra del Sr. Carrasco , relativa i…</t>
  </si>
  <si>
    <t>…ino prevertíaff que Fuese’ respetado este asilo.- se la disminución de las penas que lea seSalen laa leyes." ria fáaátidoS- Basilio qué empató á nnamqger delincuente :ñ &lt;rf tem El Sr. Calatrava leyó laa observaciones que se habían hecho contra plo , da &lt;Ufp- hecho hibta'dé tm 'modo muV^sÚMiihe S. Gregorio ■ se el articulo por la universidad de Cerrera, y audiencia de Cata tu da, y rian fanático* lo» Reyes trincos que tambréh/Ksprtárnn este asüo ; y…</t>
  </si>
  <si>
    <t>…mplaba demasiado dura es los pur ínteres ni agravio personal, ni por razón de autoridad , empico ta pena. ó caryo público que egerza, haga á la sociedad el servicio de precaver £1 Sr. Calatrava manifestó que aun se había modificado algún tanto un delito á que esté impuesta pena cor pora ó infamatoria, ó de con esta pena respecto i lo que se prevenia en ci art. 7.0 de ia' ley de 14 de tribuir al arresto de un delincuente, ó de salvar ó contribuir á q…</t>
  </si>
  <si>
    <t>…omisión de Hacienda sobre la proposición que se había pasado 4 ellas preciso incluirlos en este articulo. en seguida se continuaría la discusión del dictamen «le las comisiones El Sr. Calatrava dijo que los Sres. preopiaantes podrían hacer las de División territorial y Hacienda acerca de la supresión da la* conta respectivas adiciones, y se pasarían á la comisión. durías de propio*, y después el código penal. Se declaró este artículo en seguida sufi…</t>
  </si>
  <si>
    <t>…ó castigo, por lo relativo en todos es tan los delitos, y de ningún modo rcHejar sobre sus parientes. tos casos á lo* autores, directores , promovedores y reos principales qu* El Sr. Calatrava dijo que se podían suprimir las palabras jy ti dt sus hubieren sido aprehendidos. padres, y poner en su lugar y apellido. ' » Quinto: delitos contra la religión. Quedó aprobado el artícuio en estos términos. •&gt; Sexto: delito* contra la fe pública , la salud p…</t>
  </si>
  <si>
    <t>…jo que podría llegar el caso en que el Rey ó algún infante tuneas la curedu-ía dt algún reo que miento. estuviese en el caso de que habla el artículo , lo que debería tener pre El Sr. Calatrava manifestó las observaciones que sobre el mismo sente la comisión. habia hecho el colegio de Cádiz, el cual opinaba que ere demasiado El br. Calatrava contestó que la comisión no hablaba en el artículo largo el término que proponía la comisión. sino de ios reo…</t>
  </si>
  <si>
    <t>Sr«s. Clrmercin , Tcrtens, Cabezas, Yandiola, Sancho, González vor de ía ley que había citado el Sr. Calatrava; que tenia ahora las mis A)ha&lt;lc ,'Li&gt;fít'(D&gt; Maisitl), Gucna (D. Basilio) * Camut Herrera, mas intenciones que entonces, 7 sin embargo te parecía que lo que cho Eeftafiei, €epero*, Fernandez Quio, Cristo , Ramonet, Govantes, Oso- ra proponía la comisión no d…</t>
  </si>
  <si>
    <t>…na corporal no gozasen los eclesiásticos de fuero alguno; aquellas que la comisión juzgase mas interesantes. pues ti en esto no hubo tropiezo, ; por qué lo debía haber en estas El Sr. Calatrava indicó que las Cortes podrían resolver laque cre otras menudencias ó pequeneces, que por tal debían mirarse 1 ."ó hu yesen oportuno; puesta comisión no se atreva i tomar á su cargo el bo motivos para hacer lo mas, ; por qué no debía haberlos para hacer lo cal…</t>
  </si>
  <si>
    <t>…la ley de in con el grado de gravedad del crimen. La Diputación permanente es fracciona de Constitución.* un establecimiento constitucional, y el que conspirase á destruirle co El Sr. Calatrava manifató que el volver 4 le comisión toda la ar metería un delito. {Pero semejante delito es comparable con la grave ticula que se referían, era lo mismo que cortar Is discusión del código dad de los que te expresan en los arts. 191 y ipst i El conspirador pe…</t>
  </si>
  <si>
    <t>…que fuese acomodada á las circunstancias agrss lo resuelto por las Cortes , sobre las gracias dispensadas ¿ los señores vmtes de los delitos. Quiroga , Riego , Arco Agüero &amp;c. El Sr. Calatrava expuso que en el código se establecían ys la* pena* El Sr. Golfín hizo algunas observaciones acerca del modo con que que se debían imponer á estos delitos; ules eran las de que se hablaba es estaba redactado el art. ■ •L&gt;, manifestando que decía las Cortes co…</t>
  </si>
  <si>
    <t>…recoja y proceda coaua el cu.pable , -uú.rio una dar volver i la comisión. multa de 30 á 600 dú os " Aprobado. El Sr. La-Madrid dijo que este asunto, considerado bajo cualquier El Sr. Calatrava ley ó las observa...mes que se hacian por el tribunal punto de vista, era interesante, de mucha trascend.ncia, y tan obvio de Ordenes, el Ateneo , D. Pedro Pacheco y la ua.rersidad de Za como sencillo, y siendo asi que por masque se digese en contrario, ragoz…</t>
  </si>
  <si>
    <t>Cálatrava</t>
  </si>
  <si>
    <t>…al que escriba irá lo 'precedente, causaren alguna sedición,- motín 6 alboroto ‘popular; su discurso. friría la pena prescrita contra ló* sutodes principales de ate delito, se- El Sr. Cálatrava ¡ Si la sátira ó invectiva tiene una tendencia di jgun U clase 4 que correspondí ; pM eñ ningtfn caso se podrí aplicar recta á datruir ó trastornar la Constitución , entonces está comprendido una pena niebor qu# U Miwlm'té ri segundo pirrafo del artículo este…</t>
  </si>
  <si>
    <t>…mejor á las cosas lincuente variase de opinión, y que en este caso quedaba perdonado, y que i las personas. sino no; por cuya razón tanto dicha ley comoetras del vigío xm ergp El Sr. Calatrava dijo que las sátiras é invectivas podían hacerse mas moderadas que no la que se presentaba; que debit s fiad irse testo qse contra la; personas y contra las cosas, como se estaba viendo diaria solo en España, Portugal y en el Japón había una sola religión s p…</t>
  </si>
  <si>
    <t>…rocedía con un concepto equivocado por El Sr. Gisbert dijo , que á consecuencia de lo que había manifesta muchos de lo* Srcs. que impugnaban el artículo, poique era menester do el Sr. Calatrava en una de las sesiones anteriores no habria dificul tener presente que una vez admitida una religión en un Estado, ella era tad en aprobar este artículo, porque S. S. habia demostrado con bas un resorte del mismo, como lo acreditaba la experiencia, aun en te…</t>
  </si>
  <si>
    <t>…sión , y se mandaron insertar en el acta los prohibido sin saberlo ,.y se lo encontraban , debía perderlo. dos votos de los Sres. Gaseo, Diaz del Moral, Desprat y Janer, el pri El Sr. Calatrava contestó que no había necesidad de esta explica mero contrario fi la aprobación del art. 235 del código penal, y el se ción , por ser una cosa sumamente clara. gundo i la declaración de las Cortes de que no fuese nominal la vota£1 Sr. l&lt;.omero Alpuente apoyó…</t>
  </si>
  <si>
    <t>…tráfico les está prohi griegos desembarcaron, robaron cuanto encontraron, y se dirigieron bido , y ademas la ignorancia no es excusa del delito. después hicia el Archipiélago.” El Sr. Calatrava contestó que la comisión no quería sujetar á pena alguna á los que sin saber la prohibición teman algún libro prohibido, NOTICIAS DE ESPAÑA. pues ea este caso no existía delito alguno , y de consiguiente no podía imponerte pena ninguna-, sucediendo lo mismo c…</t>
  </si>
  <si>
    <t>…lar de una linca del mismo establecimiento. ó rcgu'ar, ó un funcionario público cuando egerzasdt fbtacinne».” Las Cortes recibieron con tjtiado, y mandaron que pasase i la comi El Sr. Calatrava dijo que las audiencias de Granada y ValiadoUd sión de Visita de! Crédito público una memoria presentada por D. To habían hecho observaciones acerca de este artículo. mas Gómez, natural de Alicante, que trata del modo de mejorar el El Sr. Cortés dijo que desp…</t>
  </si>
  <si>
    <t>…udiencia de y~d ^t»a#f español habían ioformado acerca de este artículo* de Noviembre último , relativa al miserable estado á que han quedado Después de’ haber satisfecho el mismo Sr. Calatrava á una objeción reducidos los receptores de la misma con motivo de la supresión de es dd Sr. Urafit taü«iweb4tlra&lt;ticu!a. tos oficios, en que un, considerable rántio de familias cifraba su sub Art. 141. » Los qu# con alguna reunión tumultuaria , alboroto, sist…</t>
  </si>
  <si>
    <t>…» También es reo de atentado contra la libertad indivi reglo al cap. 4.°, tít. i.3 de la segunda parte.” dual el que no siendo juez arresta á una persona sin ser en fraganti. ó El Sr. Calatrava dijo que loe colegios de Cádiz j Madrid hacian ob sin que preceda mandamiento del juez por escrito que se notifique al servaciones acerca de este articula. tratado como reo. Cualquiera que incurra en alguno de estos dos casos Ei Sr. Gareli opinó, que dsspues…</t>
  </si>
  <si>
    <t>Gaceta de Madrid n.º 16</t>
  </si>
  <si>
    <t>…frirá tina prisión de cuatro meses á dos años , sin perjui tos de un buque que hubiese sufrido una avería. cio de la pena que merezca la injuria, ultraje ó violencia, según las El Sr. Calatrava contestó que se podrían hacer estas observaciones disposiciones comunes de este código.” Aprobado. cuando se tratase de! cap. 1 .J- tít. 3-°de la segunda parte. 1 Arf. 16j. » Los delitos mencionados en los dos artículos preceden- El Sr. Rovira fue de parecer…</t>
  </si>
  <si>
    <t>…iga cual era el de oponerse con armas á alguna ley ó pror delicia del Godo a unoi ú otros para el mismo fin. bierno. "Tercero: I01 que para prn.ger ó fomentar la rebelión hayan El Sr. Calatrava contestó que -sto ya estaba pr-venldo en el art 177; usurpacj0 mundo de algún cuerpo de tropis, de algún pu b:o o dis- y habiendo manifestado ei ir. Martínez de 1 Rosa une debía c. rupr.-ntnto, de algún puerto , fortaleza o buque: y los que teniendo legítima…</t>
  </si>
  <si>
    <t>…ue hayan llevado la voz principal, ó sobornado , se arreglo al cap. 8.°, tít. 3.a de la segunda parte.” ducido, ú obligado á otros para tomar parte en él, sufrirán una reclu- ' El Sr. Calatrava dijo que este artículo debía quedar suprimido , y sion.de s.ais meses á,tres años, y quedarán -sujetos por un áíio mas á la asi sé acordó. vigilancia especial de las autoridades ‘, en, el caso de que lo Ó mas de Art. 320. «Los que so color de culto religioso…</t>
  </si>
  <si>
    <t>…arte coa Art. 314. » Lo dispuesto en este capítulo es p debe entenderse sin las lepes de la monarquía.” perjuicio de le libertad que tienen todos los españoles para reunirse pe El Sr. Calatrava lepó las observaciones que se habían hecho respec riódicamente en cualquier;sitio público, á fin de discutir asunto* políti to de este artículo por algunas corporaciones, p manifestó que debía cos p cooperar 4 tu mutua ilustración, con previo conocimiento de…</t>
  </si>
  <si>
    <t>…que tengan toda la publicidad y todas las garan una arma que puede convertirse ea daño contra la sociedad. tías necesarias; y por lo mismo no quiere que ningún español sea juz E1 Sr. Calatrava: El Sr. preopinante pira esforzar sus argumentos gado por una comisión. Y si la Constitución ha prohibido que se im ha tenido á bien presentar el articulo bajo un aspecto muy od.oso, y ponga pena alguna por alguna comisión, ¡qué mas comisión que un esto no me…</t>
  </si>
  <si>
    <t>…as inquietudes, ó si serán meros rumores con En seguida se propaso contestar á varias razona expuestas por el algún objeto político. Hablábase todavía del proyecto dé formar , lue Sr. Calatrava en la taion de ayer, principiando por la de que la facul go que lo permita el tiempo, nn campamento de observación entre el tad que en el artículo se concedía al Rey era una regalía suya de mu Brema y el Isingo con un cuerpo de reserva austríaco, compuesto de…</t>
  </si>
  <si>
    <t>…rmanos, Cádiz tendría que au ción de causa, tanto mas cuanto que el dictamen de ia mayoría de la xiliarla. comisión no dice que pase al Gobierno siró para su ilustración; y per El Sr. Calatrava, continuó, lo dijo en mi concepto de un modo mítanme los Sres. de la cornisón que les diga que esta es una especie de muy diferente , pues la exposición de que se trata dice asi: » Ruego á burla, porque si dijese para los cfretos convenientes, seria menos mal…</t>
  </si>
  <si>
    <t>…arís podrán convertirse á voluntad de sus tenedores en concluyó manifestando que debía aprobarse el art. 3." otras pagaderas en Madrid; pero las asignada en Madrid nunca podrán El Sr. Calatrava aclaró algunas ideas que había manifestado en su convertirse en otras pagaderas en el extrangero. anterior discurso. Art. 14. * Las expresadas rentas serán pagada* , tacto en tiempo El Sr. Zorraquin dijo que la comisión consideraba i las personas de de paz co…</t>
  </si>
  <si>
    <t>…re que le tocare por el orden establecido en los respecti original, que debe queder en poder del impresor. ” vos tribunales ó juzgados, pagarán una multa de cinco i 30 duros, y El Sr. Calatrava dijo que podía suspenderse la aprobación de este aera suspenso de su oficio por dos á seis meses. artículo hasta que la comisión especial evacuase su dictamen acerca de tt Iguales penas sufrirá el que voluntariamente abandonare dichas la libertad de imprenta.…</t>
  </si>
  <si>
    <t>…ia, bajo la pena que la pueden enunciar por carteles y por los periódicos; si no va á continuar misma ley designa por cada contravención. jg «1 abuso que hasta ahora ha habido. El Sr. Calatrava: Los abusos que ha habido es menester que se co El Rey se ha servido nombrar, I propuesta del consejo de Estado, nozca que son delecto de las autoridades , y no sé cómo te permiten los para dos piaras de magistrados y dos de fiscales, con las que se compu esc…</t>
  </si>
  <si>
    <t>…de ceremonia. Por esta razón quisiera yo que se moderara en al gún modo este pírrafo segundo. Oficina general de Renovación y expedición de documento/. Después de haber apoyado el Sr. Calatrava el articulo, se declaró Los dueños de mas de ja9 Vales de las nueve clases de la creación auficientemente discutido , y quedó aprobado. de Enero, que existían en la oficina general de Renovación y expedi Me leyó la minuta de decreto acerca de la próroga dada…</t>
  </si>
  <si>
    <t>…le* concede la Constitución, hen decretado lo siguiente: Loe sean de política ó d_ fuerza en cato necesario. individuos del cuerpo político del cgérc.to y armada qne hasta aho El Sr. Calatrava: La opmion del Sr. preopinante ea mor respeta ra han debido obtener Real licencia para contraer matrimonio, lo ble; mas yo creo que ías Cortes no necea tan saberla. l.o que be pre podrán verificar en adelante fia necesidad de este requisito, cualquiera guntad…</t>
  </si>
  <si>
    <t>…tio en que te halle el acometido, aunque no llegue á cau 4 saber, en el acto y personales, no pecuniarios. sar la muerte ni el daño que se proponga, sufrirá la pena de trabajos El Sr. Calatrava manifestó que la comisión no tenia inconvenien perpetuos.” Aprobado. te, y que se podría afiadir al artículo, después de laspalebtas el mismo, Se mandaron pasar á la comisión una adición del Sr. Castrillo al las siguientes en el acto. Asimismo á continuación…</t>
  </si>
  <si>
    <t>…ervó al Sr. presiden consrcuenta, no podían menos de declarar que no habia lugar á vota te que no estaba comprendido el caso de que se trataba en el regla sobre la proposición del Sr. Calatrava, porque lejos de ser un remedio mento. de los mala de la Nación , podía causarle mayores perjuicios. El Sr. Calstrava dijo que debería dejarse á la deliberación de la El Sé. Calatrava dijo Creo que el Congreso me hará justicia ¡ y con Cortes. vendrá en que mu…</t>
  </si>
  <si>
    <t>…l remedio no era el mas i mentales! propósito, no porque tratase de defender al Gobierno, sino al contrario. La Constitución, al dar al Rey las facultades de que está revestida El Sr. Calatrava continuó: Yo 'no he dicho que el Sr. Cuesta hu su autoridad, le ha dado en la 14 la de — á las Cortes las pro biese defendido al ministerio, porque las Cortes saben mu/ bien que puestas de leyes ó de reformas que crea conducente* al bien de la Na yo he dicho…</t>
  </si>
  <si>
    <t>…sórdenes que acompañan inevita •e presentan, y declararte no haber htger á votar acerca da la proposi blemente i las grandes 7 simultáneas reformas. Jamas sa emprendieron ción del Sr. Calatrava. bajo los auspicios de la libertad, fintea capaz de llevarlas á riba, sin £1 Sr. Gaseo, apoyando la proposición del Sr. Cslatrari, opinó que que saliesen á su encuentro pera inutilizarlas loe conatos y las maqui no debía servir de obstáculo para La aprobación…</t>
  </si>
  <si>
    <t>…ta que loe motivo* que se han manifestado; y por lo mismo de ninguna Ro las Cortes pueden desechar nn proyecto da ley en tu totalidad; peto nera puede aprobarse la proposición del Sr. Calatrava. no dejar de discutirlo; y lo segundo porque fa* Corte* deben ser con El Sr. Gaseo deshizo alguna* equivocaciones que expaso había pa secuentes en tus principios. La* Corta* están *m peñadas y comprometi- decido «1 Sr. Gareli. daa, prescindiendo de la obligac…</t>
  </si>
  <si>
    <t>…so, no en los términos que También se han aplicado algunos artículos de la Constitución al la comisión los presenta. Estafóos deliberando, y del modo que se ha caso presente, y el Sr. Calatrava ha demostrado huta la evidencia lo hecho hasta aquí. falsedad de estos principios. Ademas, raspéelo de la propuesta del Go Esto mismo que hoy se verifica lo hemos visto repetir en asuntos bierno se han-observado ios trámites de que pasase a una comisión y muy…</t>
  </si>
  <si>
    <t>…irá sin esfuerzo con el po Se declaró qiie la votacioQ de haber ó no lugar á votar sobre la pro der soberano. Entonces sí que será verdaderamente el Rey, el gefe y el posición del Sr. Calatrava fuese nominal. padre de la gran familia. Cada uno de sus hijos cooperará a la conser Después de haberse hecho la pregunta de ti había lugar i votar, se vación de los derechos de la comunidad, y hallará »u bienestar y la es procedió a la votación nominal. ‘ pe…</t>
  </si>
  <si>
    <t>…carme ; pero yo no me creí en tan grande peligro , porque había pasa prenta. do el primer momento de la conmoción , en el cual debo confesar que Habiéndose concedido la palabra al Sr. Calatrava, dijo este: fas estaba muy aturdido. circunstancies actuales hacen que crea comprometida mi delicadeza ea El Sr. Sancho dijo: Nueva admiración me causan las virtudes de hablar en este asunto: nada me importa hacer un sacrificio de mi amor lo* Sres. conde de T…</t>
  </si>
  <si>
    <t>…Art. 156. » En Lisboa habra, ademas de la audiencia de provincia, rias del mismo asió. un supremo tribuna! de Justicia, á quien competerá el conocimiento: Se abrió á las 10; y el Sr. Calatrava, presidente de la Diputación 1 0 D: los delitos de que fueren acusados los ministros de las audien permanente, pronuncio el discurso que sigue: cias relativos á sus funciones, loa secretarios y consejeros de Estado y » Señores : Ver este dia era lo que mas an…</t>
  </si>
  <si>
    <t>…os impuestos acordados para las viüas de Arjoniiia y _A1su importante salud. cauditc, con obj-to de cub ir sus respectó s .artos. El Sr. Prat dijo que con motivo de haber hecho el Sr. Calatrava una A la m smi se manco pasar una expos:.! n de !a diputacicn pro pioposición en 13 de Abril del afio pasado aceica del estad' de 1* vincial de Extremadura , man-Estando las razones que h.b a t.rodo pa causas de Cádiz, Burgos y otros pueblos robre conspirac o…</t>
  </si>
  <si>
    <t>…mportancia de los expedientes. Contrayéodome al que ha dado moti cargo del ciudadano Dr, Vallcjo, se ha concluido la primera parte fe vo á esta cuestión ,que es la proposición del Sr. Calatrava , reunidas las las funciones orgánicas ó de asimilación. El martes 11 á las siete y me noticias que por irá Cortes se pedían pasó todo á una comisión : esta dió dia de la noche ocupará la segunda pane de las funciones animales ó su informe en que propuso vari…</t>
  </si>
  <si>
    <t>Calatrava'dijo</t>
  </si>
  <si>
    <t>…nas que vivían en los Estados-Unidos y artículo. Si se considera esta última aisladamente, me parece demasia otras partes. do suave, comparándola con el delito de que se trata. El Sr. Calatrava'dijo que el artículo se refería solo á los casos pres Si la violación se hace atentando contra las propiedades de cual critos en el artículo 13Ó. Quedó aprobado el artículo. quiera , es casi imposible resarcir los daños que se pueden causar en este Art. 375. »&gt; El…</t>
  </si>
  <si>
    <t>Calatrava, Josef María</t>
  </si>
  <si>
    <t>Josef María Calatrava</t>
  </si>
  <si>
    <t>teniendo tu Corte» la facultad de hacer efectiva esta responsabil idad , se Se leyó un oficio del Sr. D. Josef María Calatrava, presidente que privase de ello í este cuerpo respecto de los magistrados. Se ha dicho fue de la última Diputación permanente . dirigido á los Sres. secreta, que su estabilidad exige tratarlos de otro modo que a los demas emplea ríos de las Cortes, en el cusí…</t>
  </si>
  <si>
    <t>…desde el 15 del pasado por tres meses en casa de vecindario. (Gaceta del 7.} J. M. Delance, calle del Olivo Alto, núm. g , cuarto principal.-Los tus* Decreto de S. M. nombrando f D. Josef María Calatrava ministro criptores pagarán por dicha máquina 3400 rs., mitad en el acto de la sus de la Gobernación de la Península. (Gaceta del 14.) cripción, y la otra al tiempo da recibirla, y pasados dichos tres meses el Decreto de S. M. nombrando i D. Nicolás Garelly mi…</t>
  </si>
  <si>
    <t>Calatravn, Josef María</t>
  </si>
  <si>
    <t>Josef María Calatravn</t>
  </si>
  <si>
    <t>Gaceta de Madrid n.º 231</t>
  </si>
  <si>
    <t>…n Ciudadanoa iluitre* y esforzados patriotas: Si la recompensa del mérito debe ser proporcionada á la utilidad que reporta la masa común » Accediendo á las repetidas instancias de D. Josef María Calatravn del contraido por lo» hombres virtuosos* la que i vuestro civismo, de para que le exonere del encargo que tuve á bien confiarle de secretario nuedo y noble proceder corresponde no puede compensarse de modo de Estado y del Despacho de la Gobernación de la Pení…</t>
  </si>
  <si>
    <t>Calattava</t>
  </si>
  <si>
    <t>…ue los bienes de que se trataba habían de de toda pena si volviera voluntariamente al seno de ia Iglesia.” ser únicamente los que »e dedicasen á ia indemnización de los partíci El Sr. Calattava dijo que las audiencias de Sevilla y Extremadura, pes seculares, después de rebajados los necesarios para la dotación del universidad de Alcalá y colegio de Granada habían hecho observacio clero y atención del culto; y que respecto ds lo que decia el artículo…</t>
  </si>
  <si>
    <t>Calava</t>
  </si>
  <si>
    <t>…l ministro c»par.ol con motivo de v.rias desavenencia» que nos ya se dice que la Gran Bretaña no está de semejante parec.r. be ig hubo entre el gobernad r español de la Florida ti coronel Calava v el nora el dictamen de las demas potencias; pero como este punto entra general Jalcson. Añade que dicho mm.stro se ha retirado si campo con en la línea delicada de las trgitimi.lj.iet, no es verosímil que consientan animo de m volver i la capital huta que s…</t>
  </si>
  <si>
    <t>Calderón</t>
  </si>
  <si>
    <t>…on sello acu misión algunos tugeros versados en Ja ptáctica forense. dirán hoy 26 del corriente desde las .. hasta las 2 de la tarde a la cusa Se leyó la siguiente proposición del Sr. Calderón: » Que se pongan Nacional de moneda para hacer el reconocimiento di lo. numeiados máquinas de resello en Santander:” te mandó pasar á la comisión. desde el 1376 al 1390, ambos inclusive. EN LA IMPRENTA NACIONAL.</t>
  </si>
  <si>
    <t>…io , en vista del expediente de de este derecho era propio del poder judicial, y de ningún modo de las D. Ramón Artiaga Bíitia y consocios, dueño* de 5300 cargas de ca- Cortes. El Sr. Calderón manifestó que las comisionas re tratabas da modo eeo Guayaquil, traídas á Cid* «n el bergantín ingles ¿dila, para que</t>
  </si>
  <si>
    <t>…s ó por legítima autoridad con arreglo á ellas , y que no ceda, áte.” las cansas de Búrgos y Avila, estaban comprendidas en el referido ar Art. 246 párrafos 5.0 y y.° (Adición del Sr. Calderón.) » Y el tículo 33 de la citada ley. juez ó cualquiera otra autoridad pública que egecutc alguna orden del La comisión especial de Hacienda y segunda de Legislación exami Rey ic.” naron en la última legislatura el expediente promovido por D. Josef Art. 169. (…</t>
  </si>
  <si>
    <t>…ebes que se exigen para obtener las cruces de Se leyó d dictamen de le comisión sobro arreglo de casas de mo Carlos nt y las órdenes militaras.” nadas acerca de la proposición del Sr. Calderón, para que se. pon Del Sr. Alaman:» Las condecoraciones exttangeias que sean de la ga uns oficina de resello en Santander: la comisión á consecuencia de clase correspondiente á las grandes cruces de las ór«tenes nacionales 10Q L resolución da las Cortas mandan…</t>
  </si>
  <si>
    <t>…la fuerza mili recayendo los restantes, 14 en favor del Sr. Sánchez, 27 del Sr. Ta tar existente que de 159 hombres en toda la Francia. boada, uno del Sr. Navarro Tejeiro, uno del Sr. Calderón, uno del Sr. Tomas, y otro del Sr. Alcántara. Se han recibido periódicos extrangeros , cuya* mas interesantes no Quedó elegido cuarto secretario el Sr. Prat por 76 votos de 124, re ticias se reducen é lo siguiente : cayendo los restantes, 36 en el Sr. Sánchez…</t>
  </si>
  <si>
    <t>…ierno , si es acaso merecedor de ella, de Marzo habia recibido el Gobierno eran los mas satisfactorios. porque yo soy enemigo de las cosas, y no de los hombres. Pero si, lo que El Sr. Calderón: ¡No tiene noticia el Gobierno del lance ocurrido no espero, fuere desechada, y no se quisiese entrar en este examen , no con un comisario de Guerra, que fue arrebatado por los facciosos á las puedo menos de decir que en los informes del Gobierno veo una Espa…</t>
  </si>
  <si>
    <t>…ó á la elección de vice-presidente: en el primer escruti La comisión de Hacienda , informando sobre una exposición del di nio tuvo el Sr. Velasco 68 votos, el Sr. Castejon 65 , el Sr. Calderón rector general del impuesto del registro , opinaba que se debía, tenar pro» uno, el Sr. Sedefto uno y el Sr. Alava uno; y no habiendo reunid» •ente para cuando se trate de la* rentas y su administración. Aprobado. ninguno de los Sres. la mitad mas uno de los…</t>
  </si>
  <si>
    <t>…ta de proveer los empleos ds gefe* Quedó aprobada en seguida esta proposición. en la guardia Real con el carácter de generales. Desde el estableci Asimismo lo fue la siguiente del Sr. Calderón: «En atencioa 11 miento de la Constitución , á petar de los innumerables generales que h«- que el dictamen presentado por la comisión del Gobierno sobre rebm bia te han hecho diez ó doce capitanes-de guardias, que tienen el carác de sueldos ha sido formado po…</t>
  </si>
  <si>
    <t>…e ha de pa saiga al día siguiente. gar , y en tal caso el mas útil y ventajoso es el que propone la comisión. El Sr. Salvé dijo que todo el que quisiese entrar en la empresa dé El Sr. Calderón dijo entre otras cosas que el proyecto de la comi bil calcular según los artículos que se presentaban, y desde luego supo* sión era una especie de empresa , en la cual, á semejanza de un mononr que debía haber i aoo suscripto res, de los cuales poniendo en co…</t>
  </si>
  <si>
    <t>…un expediente muy útil para la La comisión de Visita del Crédito público, informando sobre la resolución de este negocio, y era el de las declaraciones de las antiguas adición del Sr. Calderón al dictamen de la misma acerca de las dudas de Cortes de Toledo sobre lot derecho* señoriales; expediente que habia la junta nacional del Crédito público aprobado por las Corte*, cuya aatado escondido por espacio da mas de do» tiglo* , y era conveniente adici…</t>
  </si>
  <si>
    <t>…Cunda la comisión su pública* respecto da las ciencias morales, eclesiástica* 7 políticas. Ve dictamen. rificado* lodos aatoa extremos la dirección pasará el expediente con tu El Sr. Calderón, como individuo da la comisión, habló sobre aue informe á la* Corte* para que estas otorguen la dispensa. asumo. á.1 Siempre que no se verifique la concesión de la gracia , se devol Se declaró el punto suficientemente discutido, 7 que había logar á verá relig…</t>
  </si>
  <si>
    <t>…lo que había ó en otros inmediatos, para que no tengan que hacer viages, en los manifestado el Sr. Afonzo. cuales , astan mucha parte de lo que necesitan para su subsistencia.” El Sr. Calderón apoyó la base que se discutía; y habiéndose decla Después de una ligera discusión quedó aprobada la primera parte rado el punto por bastante discutido , quedó aprobada toda ia base j.4, hasta las palabras ú otras atenciones érc., y desaprobado lo restante de…</t>
  </si>
  <si>
    <t>…os á los milicianos que el que le causaban loa facciosos, se fu* Continuó la discusión sobre el empréstito. por todos los íngutas de le ciudad exhortando á que se retirasen los Kl Sr. Calderón hizo algunas reflexiones para probar la ilegitimi milicianos, porque no habla miedo alguno; pero estos no lo hicieron dad del mismo. hasta las cinco d« la mañana del 30. Se suspendió la discusión del empréstito, y se leyó el informe de En este día estaba de g…</t>
  </si>
  <si>
    <t>otras partes, y esta director espide las inscripciones equivalentes i di* ro el Sr. Calderón sabe lo primero, que esas inscripciones por lo* 140 cbos documentos, como lo ba hecho por los 66 millones de rs. que han millones no se han expedido hasta dos ó tres meses después. entregado en efectivo. Por consiguiente si materialmente no están sen La Nació…</t>
  </si>
  <si>
    <t>…o volvamos á perder otro con.urr.do los alumnos del 6° afio, que son en número de 8 internos: T.buenca. el resto del tiempo desde que concluyeron dichas clases, que fue i fines El Sr. Calderón: Me tomado la palabra en contra de esta medida, d* Juiio, lo han empleado loe alumnos en el estudio preparatorio para porque la considero contraria alo que desean la* Cortes y la comisión los exím*nes giarrale», los cuales te ban verificado, según previene la…</t>
  </si>
  <si>
    <t>…an para fundar sus argumentos con apariencias de so hace indiena de vivir en &lt;*¡la. lidez, asi es que a! tratar de alguna medida yo me he confundido al Ultimamente ha combatido e! Sr. Calderón la medida como ¡ajus ver qu1 nineuna relación tema con ella lo que se aigüa. ta, poique impeq: la multa a la autor.dad y o- a o, vec:nos; p ro es Supuestas .sus consideraciones generales, que espero tendrá presen tos no sin encargados m re-porsab *s de c man…</t>
  </si>
  <si>
    <t>…arse á aquellos: «y cómo ae ba das &amp;c. ; es pues claro que cuando se proceda con criminalidad , como correspondido á este favor!, fundando esa santa alianza, muy buena ha dicho el Sr. Calderón, serán procesadas , y cuando no, solamente cuando la cruzada era contra los turcos i pero muy mala ahora por multadas: en el primer caso recaer.1 sobre el alcalde una pena mayor que se dirige contra cristianos: la primera se escudaba con los auxilios que en e…</t>
  </si>
  <si>
    <t>…e tampoco debe extenderse la excepción i los generales de tarios del De* pacho, diput.dosé ii dividuos del tribunal supremo de les ejércitos de operaciones; y i lo que ha dicho el Sr. Calderón res Justicia (qu: en mi concepto no debía limitarse ia excepción i ellos, pecto á los inconvenientes que resultarían de que un gefe político tuvie sino ampliarse i otras personas m is), desde luego ere ria yo que se aca se el capricho de prender al general Mi…</t>
  </si>
  <si>
    <t>Calderón, Angel</t>
  </si>
  <si>
    <t>Angel Calderón</t>
  </si>
  <si>
    <t>…parece ser sugeto de la S. M. 1. el encargado de Negocios de España D. Pedro Alcántara Armayor distinción. Lo axttaflo es que publiquen ésto los periodistas fran aix, el agregado D. Angel Calderón de la Prezca y el cónsul Don oaquin de Zea Bermudcz. El Emperador manifestó el mayor agrado ceses , defensores de la media luna. f Después de haber pasado reyitta los grandes duques Nicolás y Mi al encargado de Negocios; le preguntó con mucho ínteres si tenia…</t>
  </si>
  <si>
    <t>Calderón, Antonio</t>
  </si>
  <si>
    <t>Antonio Calderón</t>
  </si>
  <si>
    <t>…u escala. De su acuerdo lo comunicamos teniente coronel graduado de milicias urbanas, y vecino -de h igueras. i V. E. para su inteligencia, y que se sirva disponer» cumplimiento.” D. Antonio Calderón , teniente que fue del regimiento infantería de la De orden del Rey lo traslado i V. pare su inteligencia, y i in dar Reina. D. Fernando Piñango, teniente que fue del regimiento de in que lo comunique y circule á quien corresponda. Madrid za de May» fantería…</t>
  </si>
  <si>
    <t>Calderón, Fiorez</t>
  </si>
  <si>
    <t>Fiorez Calderón</t>
  </si>
  <si>
    <t>…Resulta pues que no habiendo comercio ni industria, y estan economía que la comisión había presentado.. do un decaída la agricultura á pesar ds esa abundancia facticia, ¡qué &gt;- El Sr. Fiorez Calderón apoyó ó dictamen de la comisión, mani ha ¿t hacer esta Na.ion : Es preciso que nos convenzamos de que nece- festando que el déficit que debía resultar á 6r.es del año económico de iIuiiíc» olvidarnos de que hemos sido ricos, que nos arreglemos á una bía sér d…</t>
  </si>
  <si>
    <t>Calderón, Florea</t>
  </si>
  <si>
    <t>Florea Calderón</t>
  </si>
  <si>
    <t>…para los uso» tonvcn.euus. Apro 7 niaujjron 4e hiciese mención en el diario de las mismas, estándose bado. e» lo demas á Jo resuelto sobre este pumo. Otro sobre la proposición del Sr. Florea Calderón , para qu; se Se continuó la d.scus.on sobre el proyecto de instrucción del go—mandase que la impresión de las obras científicas que el Gobierno es “‘tino económico-político de las provincias.timase convenientes, corriese á cargo de la impr ¿ita Nacional , an…</t>
  </si>
  <si>
    <t>…nte del Para presidente resultó electo el Sr. Salvtto por &lt;53 voto* del total partido de Vich logró alcanzar en lat alturas de S. Julián el a 1 la 117, habiendo tenido ¿a votos el Sr. Florea Calderón, uno el Scfior banda de Moten Antón, compuesta de unos 400 hombres, que dis Nuñez ( D. Toribio), y uno el Sr. Romero. persó completamente, causándole* alguna pérdida. Para vice-piesidcntc fue elegido el Sr. Domenech por 63 votos de — La dipnradon provincial d…</t>
  </si>
  <si>
    <t>Calderón, Floree</t>
  </si>
  <si>
    <t>Floree Calderón</t>
  </si>
  <si>
    <t>…ice; «Quedan sujetos al fuero militar ios espa aprobarse. Aprobado el dictamen de la comisión. ñoles que cometan delitos de sedición y rebelión." Esto se d-be enten - Sobre la del Sr. Floree Calderón á la medida 13 para que la excep der respecto de aquellos que cometan del'to de sedición ó reb-Lon en ción de que se trata en ella se entienda respecto de los catedráticos de la tropa; y el articulo no lo expresa asi. Por consiguiente creo que de las universi…</t>
  </si>
  <si>
    <t>Calderón, Flores</t>
  </si>
  <si>
    <t>Flores Calderón</t>
  </si>
  <si>
    <t>…ular que resultase de los expedientes que obra respectivas cotnis ones evacúen pronto su informe acerca de las memo rían en la secretaria. rias de los secretarios del D-spacho. El Sr. Flores Calderón expuso que en este caso !a memoria no te El Sr. secretaiio de Hacienda.- Por la memoria del ministerio de mi nia el carácter que debía tener, porque no era la opinión del Gobier ramo se ve que el presupuesto asciende á 8fíi millones , y asimismo no, sino la d…</t>
  </si>
  <si>
    <t>…ulado » Suplemento al diario de Barcelona del jueSe mandó pasar á la comisión de Crédito público una adición del ves/de Marzo de 182a” , y vista la denuncia dclamismo, hecha por:l Sr. Flores Calderón al dictamen de estp comisión , aprobado en la se ciudadano Juan Antonio Llinas, declaran á unanimidad de votos qu sión de ayer, para que se tomen las medidas convenientes para asegurar ito há lugar i la formación de cama. Barcelona 16 de Marzo de 1811 ~ el bu…</t>
  </si>
  <si>
    <t>…el re por ios vecinos del lugar de Conqueros, parroquia de S- Salvador de parto de la cosecha inmediata. la Monta&amp;a, contra la audiencia territorial de Astúrias y el escribano El Sr. Flores Calderón se opuso 4 esta artícn'o, manifestando qua D. Juan Bautista Florcz, por los procedimientos hechos 4 instancia la comisión nada habia propuesto acerca de ia asignación campéente del apoderado de los monees de Corias, opinaba que no estando pro que se debía hac…</t>
  </si>
  <si>
    <t>Calderón, Florés</t>
  </si>
  <si>
    <t>Florés Calderón</t>
  </si>
  <si>
    <t>…ispuesto en los ai t ¡culos anteriores." es pro lo Hubiese ere!Jo absolutamente necesario; pero ha visto que es impo bado. sible pasar por otro punto. Se leyeron dos adicione* del Sr. Florés Calderón , la una sobre que Asi pues el Congreso tiene que acceder irremisiblemente i esto, no se comprendan en la cóngrua de las 300 ducado* señalada a los pues «le lo contrario no se lograr j el objero que se ha propuesto. párrocos los derechos de estola, y la otra…</t>
  </si>
  <si>
    <t>…bre la pro posición del Sr. B-cerra- ( Véase cil hacer pretensiones que suttao eCtao. en la ¿aceta de ayer-) CORTE?. El Sr. Gómez Becerra: La idea de esta proposición me la dió el Sr. Flores Calderón, pues dijo su señoría que en la comisión había nxiiDSxciA bel S«. Vaibm ¿Don Catetasó). do* copias, y no concordaban entre si; pero las Cortes no se dctuv.VTon ff» obtírvacivt!, sin duda porque creyeren que ao debía emi tirse la palabra ñmea.atam-nte, porque…</t>
  </si>
  <si>
    <t>…celebrasen estas como vo esas tonter as; d me V. el dinero , y todo lo demas que tenga. cales de dichas juntas. El nr. presidente man Testó que podía hacerse a zuna oropo,icios El Sr. Flores Calderón hizo varias observaciones en apoyo del dic relativa á este asunto para que recayese sobre cha la d scusion, y tamen de la ccmision. mientras esto se ver ficabi se leyeron varias aficiones hechas á la mi El Sr. Oj.-ro impugnó el artículo, manifestando entre ot…</t>
  </si>
  <si>
    <t>…odos ios red tos de esta deuda La del contrato , porque sin ella no podría llegar á realizarse. Nac 0:1 : gañola podrí ha. ais: en ei «La en tils-oo* de pagar ios rédi Ha dicho el Sr. Flores Calderón que aquí no habia habido Tresta to, d- lis , boca, roñes nnata la - ■ pe:o podra no ha Jarse en pos b . into; que quien había prestado habia sido la Nicion española a las ca dad de amortizar la : y a- es qu: suan lo se tizo ei tratado .a am r!:tas que se llam…</t>
  </si>
  <si>
    <t>…introducir harina en la Havant, tenier. 11 cada uno de loa Sres. Romero y Ovalle, 5 el Sr. Prado, j el voto particular de los Sres. Jiménez , Mutfi y Roset. 3 o Sr. Infante, 2 el Sr. Flores Calderón , y uno cada uno de loe se— La comisión primera de Hacienda presentó los siguientes dic fior-s Velasco, Sierra, Laque, Sedeño, Eseovedo, Belda, Marta, támenes : Bjey, Salivto , Ru¡z de la Vega, Lilío y Zulueta. Total 124. Una sobre la proposición del Sr. Cano…</t>
  </si>
  <si>
    <t>…al reel Sr. Sarabie uno, el Sr. Serrano uno, el Sr. Tejeiro nno, el Sr. Ro aolucion. Lo que servirá de gobierno á los militares que soliciten em mero tres, el Sr. Butafia uno , el Sr. Flores Calderón uno, el Sr. Ma- pleos dependientes de la tesorería general; en la inteligencia de que en rau uno, y el Sr. Diez do*. Total rao voto*. No habiendo reunido nin cumplimiento de le expresada Real orden no puede hacerse mérito al gún Sr. diputado suficiente número…</t>
  </si>
  <si>
    <t>…i Cftsvieoa ceder, y «o nuestros poda» te dice expresamente que oo se pueda en á la libeitaH de la Nación bingun caso y bajo ningún pretexto alterar en nada la ley fundamental. El Sr. Flores Calderón i Se ha dicho por algún Sr. diputado que M Ayer te ha dicho, y repito ahora, que por la Constitución el Go trataba de dar una ley de excepción , puesto que la medida qpe se dis bierno no puede imponer por al pena alguna; jr ti la impone atenta cute se dirigía…</t>
  </si>
  <si>
    <t>…ido para establecer esta medida, que no podrán me nos de aprobar las Cortes, convencidas de la justicia t:n que está fun rkUIDBVClA del seSox salvato. dada. Sfíiun del dia 2 ¡. El Sr. Flores Calderón opinó que so debían «star comprendidos en Leída y aprobada el acta de la anterior, se mandaron agregar fi esta medida los catedráticos de universidades, directores de estudios , y ella los rotos particulares de los Sres. Belda y Benito, contrarios fi la otras…</t>
  </si>
  <si>
    <t>…d que ha habido fraudes en estas excepcio menor utilidad y ventaja; por lo cual el artículo debe aprobarse. nes , los hay, y sobre esto han hablado muy bien los Sres. preopinan El Sr. Flores Calderón : Los objetos de la agricultura no se limitan tes; pero hasta ahora nadie sino el Sr. Becerra ha dicho que sea injusta á sembrar , sino que se extiendan á otros cultivos, para los cuales la excepción ; por ta to creo que las Cortes deben aprobar este artículo…</t>
  </si>
  <si>
    <t>…se religiosos de aquel pueblo; y opinaba que cu conformidad a lo resuel debe mirar con el mayor rezelo una alianza de Gobiernos que abrigue to por las Corles sobre la adición del Sr. Flores Calderón no debía acsemejantes pretensiones; y todos los paites que tengan alguna libertad cederse á ei&gt;ti solicitud. Aprobado. que perder ó adquirir deben estar alerta al ver una reunión que pona También presentó su dictamen sobre la exposición drl ayunta la porción…</t>
  </si>
  <si>
    <t>…ba, que tiene una parte de ley y otra de de Ht Sr. Zu.ueta 1.1 ver a, on que se qu *r* li; r raí -u-mcreto. que -. »r-u »!»&gt;v,luranv.:.li J '.1 r,ona .a e. t , .le: hac.t esta F.l Sr. Flores Calderón : Todos los (¡'potados deb-mos ser muy separa: orí , v por !»a 111 .‘oo rf ¡’1 . í ■, : -¡ v . puntuales en hacer que jamas s: comph m.tan .as facu tade» d • :as lici El Sr. Sih o Insisto :r q..e se ; *i: i a . . ■ , s p ó» a' ,e."cr tes , cooio tambicn que u…</t>
  </si>
  <si>
    <t>…medios de cubrir estos por las Cortes en la anterior legislatura será de mas consideración de pedidos. lo que la comisión calcula , para io cual ha hecho presente S. S. el pro El Sr. Flores Calderón: Ni la comisión ni el Gobierno presentan ducto de estas renta, en lo» cuatro mes*s del año económico, y la gran cuantos datos son necesarios para juzgar con exactitud del verdadero baja que han tenido las Lleudad:'. ¡,u; las tuertes propusieron. Pero yo défic…</t>
  </si>
  <si>
    <t>Calderón, Florez</t>
  </si>
  <si>
    <t>Florez Calderón</t>
  </si>
  <si>
    <t>…o, Gon y á su yerno el príncipe Suzzo, antiguo hospodar de Moldavia, cuyo zález Alonso y Soria. regreso i la Motea de vuelta de Rusia se espera con la mayor impa Lo fue después el Sr. Florez Calderón, por 85 votos de 113, re ciencia. partiéndose los restantes entre los Sres. Gómez Becerra, Marchámalo, » Adema* del príncipe Cantacuceno, enviado i Petersbnrgo, la Salvato, Ruiz de la Vega, Cano, Adan y Gonzaicz Alonso. junta de Argos va a enviar diputados á…</t>
  </si>
  <si>
    <t>…rio , sino ua se discute cuál debe ser preferido! Hay mas , y es que los fondos una verdadera anticipación. estinados en toda la Monarquía á instrucción pública son de bastante El Sr. Florez Calderón apoyó la Opinión del Gobierno con varias consideración, y tolo falta reunidos en un centro común. Asi pues in observaciones sobre este punto. sisto é insistiré siempre en que primero es atender á lo necesario para El Sr. Canga manifestó que según el nuevo arr…</t>
  </si>
  <si>
    <t>…el precio de cada caballo en 1400 rs., el que la comisión hab:a re Congreso no debe detenerse en decretar. ducido a i9 rs.; pero que sí había de tener la caballería buenos caba El Sr. Florez Calderón dijo que la comisión tolo daba por este dic llos, y no se habían de sentir en un ataque las resultas de ir mal mon tamen al Gobierno lo que puramente necesitaba pata siete meses , y tada , era preciso se 6 ¡asen los 2400 rs. que ¿1 seria de opinión se le dies…</t>
  </si>
  <si>
    <t>…os han recorrido estos últimos días algunos pueblos , etpecn'men- en la discusión , debía d s chjrse. te de la costa , y han destruido las fort.ficaciones provisionales, á cuyo El Sr. Florez Calderón: Habiéndose «probado la primera parte da abrigo, y al de una-coila guarnición que se habia establecido en ellos, y mi proposición , re ama á que no estuviesen comprendidos m el artícu que ios ha evacuado para pasar i Navarra, se habían decidido i defen lo cit…</t>
  </si>
  <si>
    <t>Calderón, Francisco González</t>
  </si>
  <si>
    <t>Francisco González Calderón</t>
  </si>
  <si>
    <t>…Josef Pereira. En comosgrafia los que es ia libertad de la patria, y la consolidación del sistema consti dichos Vázquez, Soto,Chalus, D. Francisco Santos, D.Manuel Díaz, tucional. D. Francisco González Calderón r D. Manuel Rodríguez Almeí^a. Conseguida esta intima unioo entre lo* verdadero* amigos de le En geografis el referido Soto, D. Crispiniano Briset y D. AttonioPa- libertad, dcca.rán de ánimo sus mas obstinados adversarios, y los b!o Rodríguez. En navegación l…</t>
  </si>
  <si>
    <t>Calderón, I'lorrz</t>
  </si>
  <si>
    <t>I'lorrz Calderón</t>
  </si>
  <si>
    <t>…hacerse señanza y de caridad, de beneficencia ó de reclusión , y otras cuales estaba fuera del articulo. quiera casas de corporación; y para verificarlo remitirán los prelados El Sr. I'lorrz Calderón manifestó que la observación que había superiores ó superiores, rectores ó directores al regidor del barrio , en hecho el Sr. Aiiion era muy justa y oportuna, pues nada era mas co cuyo recinto se hallen , una nata individual firmada de mano propia ó mún que e…</t>
  </si>
  <si>
    <t>Calderón, J-ana</t>
  </si>
  <si>
    <t>J-ana Calderón</t>
  </si>
  <si>
    <t>…s herederos de Alonso de Peralta de 362,300 mrs. de renta, si mienda á la decisión de las mismas , y de que trata el oficio de V. E. tuados en la de diezmos de la mar de Castilla: Doña J-ana Calderón, del a a último , sobre si el decreto de ig del corriente , que previene luug.-r de D. Luis de Peralta, por otro de aó de Marzo de &gt;386, entre otras cosas no se provea por ahora empleo alguno en sugeto que 37,300 mrs. en la renta del 10 por 100 de lanas: Alon…</t>
  </si>
  <si>
    <t>Calderón, Josef Ramea</t>
  </si>
  <si>
    <t>Josef Ramea Calderón</t>
  </si>
  <si>
    <t>…s presentó su dictamen acerca de tres recla para la del de Falcet, también en Cataluña, vacante por promoción de maciones de uno de los electores de Bermeo , del ayuntamiento cons D. Josef Ramea Calderón i la del de Valencia de Alcántara, k Don titucional de Moron, y del de Tarazona sobre nulidad de elecciones; Tomas B'Ujr Salelles, para la del dePefiíscola, en la provincia de opinaba que se declarase no haber lugar á deliberar sobre ellas. A pro- Vah ncia, v…</t>
  </si>
  <si>
    <t>Calderón, Juana</t>
  </si>
  <si>
    <t>Juana Calderón</t>
  </si>
  <si>
    <t>…s pretendientes á y pertenecen al patronato y capellanías fundada* en S. Gmes de esta destinos de Ultramar, y gobierno de las autoridades encargadas de corte por Luis de Peralta y Doña Juana Calderón tu muger: Alonso proponer las vacantes, y proveerlas interinamente. Madrid 8 de Abril de Peralta por otro de 19 de Julio de 1384; 43,630 mrs. en el almo de 1821. jarifazgo mayor de Sevilla , de donde por no tener cabimiento se mu Circular del ministerio de Gr…</t>
  </si>
  <si>
    <t>Calderón, Manuel</t>
  </si>
  <si>
    <t>Manuel Calderón</t>
  </si>
  <si>
    <t>…p tan de voluntarios, bard y compañía de Pati*................................- a 1.600,000 al subteniente retirado D. Joaquín Palacios, al ayudante D. Pablo Rica, é los tenientes D. Manuel Calderón y D. Manuel Salvador, Aumento extraordinario al miniaterio de Hacienda y á los subteni-ntes D. Gregorio Ortiz y D. Domingo Contrcras; pero pura lleaar ain perjuicio del aervicio público el i quien con pr-fe recia recomienda es i lo* tr.*s que osadament- se atre menos valor que pu…</t>
  </si>
  <si>
    <t>Calderón, Morez</t>
  </si>
  <si>
    <t>Morez Calderón</t>
  </si>
  <si>
    <t>…di Mayo próximo pasado hi ta 6n del presente Jumo; te empréstito, dicho se está que se aumentará nuestia deuda. y aunque en dicho anuncio se advntió que este término era improroE¡ Sr. Morez Calderón ha venido á parar en su d s-urso á ma gable, se repite á fin de que los interesados nunca aleguen ignorancia, nifestar su opinión de que se suspendiesen los efectos del tratado ; y pues todos ios vales que sean presentados desde el día i.° de Julio in yo creo…</t>
  </si>
  <si>
    <t>Calderón, Norberto Flores</t>
  </si>
  <si>
    <t>Norberto Flores Calderón</t>
  </si>
  <si>
    <t>…enínsula la formación de la estadística y catas En su coróecuentia se reunió el jurado, compuesto de los Sres. si tro del reino. (Gaceta del 6. y guiente. :Di Florentjn Izquierdo, D. Norberto Flores Calderón, D- Za Decreto de S. M. nombrando á D. Juan Antonio Yandiola único carías Sagrcdo, D. Gregorio Sainz Hernani, D. Juan de iglesias, Don tesorero general, y encargando á D. Antonio Martínez la formación Luis Díaz Hoyuelo, D. Josef Juan de Isla, D. Juan Marroqui…</t>
  </si>
  <si>
    <t>Calderón, Norberto Florez</t>
  </si>
  <si>
    <t>Norberto Florez Calderón</t>
  </si>
  <si>
    <t>…ares del Diario Gaditano, núm. ($69, del dia 20 del pa gimiento de Zapadores , con 6to rs. al mes. sado Julio, como meitaiiores á la desobediencia en segundo grado; con A randa al capitán D. Norberto Florez Calderón, primer ayudante vocado y reunido el jurado, compuesto de los sefiores D. Francisco Ig del batallón de la milicia activa de Búrgoa, con 670 rs. al mea. nacio Marti, D. Francisco Antonio Larraza, D. Francisco Hidalgo, Asiorga al capitán D. Manuel Arguello, seg…</t>
  </si>
  <si>
    <t>CalderónPor, Flores</t>
  </si>
  <si>
    <t>Flores CalderónPor</t>
  </si>
  <si>
    <t>…lea deshizo una equivocación que dijo haber padecido el delito de conspiración cometido durante el tiempo de su empleo, el Sr. preopinante. sino en calidad de tal secretario.*’ El Sr. Flores CalderónPor desgracia la comisión no ba acertado á Se aprobó el dictamen de la comisión especial sobre la parte del ar dar gusto á nadie, pues unos Sres. ls han impugnado diciendo que la tículo i.° de su proyecto , relativo al modo de proceder al arresto de comisión se h…</t>
  </si>
  <si>
    <t>Caldvion, Fiores</t>
  </si>
  <si>
    <t>Fiores Caldvion</t>
  </si>
  <si>
    <t>…ros, resultando en él 47 votos á favor del Sr. Gener, jo li fu rra par* compeler al boibir - G b.erno de C injtant.iiopa a hacer á favor del Sr. duque del Parque, y 40 á favor drl Sr. Fiores Caldvion; a s-o d- 'o ou- se le pide; p ro que babi-ndo ia Inglaterra hecho pra» no habiendo reunido tampoco ninguno de dichos Sres. la mitad mas senté ven firmado su declaración de que »• ¡as potencia» no tienen inte- uno del número de votos, se procedió á tercer esc…</t>
  </si>
  <si>
    <t>Caliera, Fiancisco la</t>
  </si>
  <si>
    <t>Fiancisco la Caliera</t>
  </si>
  <si>
    <t>…eto t.° po, D. Gregorio Entrambasaguas, D. Antonio Mir a P-rtz , D. Joa Habiendo la Reina por su espontánea y libre declaración, hecha y quín R oliz y Mont- ro, D. J oaqu n Ruiz , D. Fiancisco la Caliera, firmada de propio puSo en ad de Noviembre, mifi.ado la que habí» D. Antonio Aliyar y D. Rafael Costa. hecho solemne y forma-mente en 2a del pr pío mes; á sab r : que con Síndicos. D- Antonio M:gt* y D. Mar.ur! Guadros. pleno conocimiento de la ley y de su sa…</t>
  </si>
  <si>
    <t>Caliimachi</t>
  </si>
  <si>
    <t>…hayan de verificarse según tup'era de que modo. Por otra parte parece que la Puerta ha puesto en los artículos ao , 14, 19 y 31.” Aprobado. liberta-! á los parí-nts dd d ¿graciado príncipe Caliimachi, ahorcado Art. 41. «Continuará la prohibición de la entrada y profesión •n Bol'* pero &gt;su noticia necesita cor,filmación. religiosa en todas las corporaciones regulares de ambos sexos, y Jtl Les buqu-s de la escuadra del capitán-bajá que se libertaron del ¡n-…</t>
  </si>
  <si>
    <t>Callejón</t>
  </si>
  <si>
    <t>9o6 Sa leyó igualmente el voto particular del Sr. Lopes Cuera*. Fl Sr. Murfi se opuso i las bates presentadas por la comisión en el El Sr. Callejón dijo que no podía conformarte con el dictamen de prr yecto , manifestando entre otras cosas que el establecimiento de una la comisión, porque ene asunto no correspondía á las Cortrs, pu&lt;s que ccui.sion peí maneóte que entendiese en este asunto eta contraria á…</t>
  </si>
  <si>
    <t>…nes sobre el artículo, 4 cias que lo reclamen, y acrediten hallarse efl igual caso. Aprobado. A la comisión de Piemios se pasaron dos cartas del gobernador «i* las que contestó el Sr. Callejón. El Sr. tíiiiasn apoyó la medida, man-fetando que el decreto de Veracruz D. Josef Dávila, digiridas al Sr. secretario de la Goberna ción de Ultramar, recomendando el mérito de la milicia nacional de las Cortes que se había dado sobre este mismo asunto no habí…</t>
  </si>
  <si>
    <t>…ser aprobada. Hablo de la ley de Abril del de su cargo á los ¡urces que no cumplí sen con él debidamente. año de ai, y ba sido tan eficaz que desde que se ha dado se ha tenido El Sr. Callejón ma&gt; ifcsló que el Sr. preopinante había supuesto que acudir i las Cortes á pedir diferentes indultos; y por ella han sido se trataba en la medida de los jueces desafeaos al sistema, en lo cual juzgados muchos individuos, habiendo producido efectos muy saluda…</t>
  </si>
  <si>
    <t>Calmarza, Baltasar</t>
  </si>
  <si>
    <t>Baltasar Calmarza</t>
  </si>
  <si>
    <t>…ad de ciu ud , á los cuales acompañaron voluntariamente otros 8 de la últi excitar la g-ner,&gt;s-dad de los pudientes para cubrir el empre-M^ qu • de ma arma, y el teniente retirado D. Baltasar Calmarza con tu caballo, aquella cantidad ha acordado. Aquí habla su torazon , y habla .on una lo, mi¡ cíanos infantes iban i las inmediatas órdenes del sargento prueba irrefragable. El capónenle no tiene mas patrimonio qu: el sa aTru va, y los de caballería á Jas de…</t>
  </si>
  <si>
    <t>Calmeas</t>
  </si>
  <si>
    <t>…, las de laa Se mandaron pasar a la ccmisíon una adición del Sr. Clozalíi otra* referidas islas s* admitan sin restricción á libre plática y comer Allende al art. 340, y otra del Sr. Calmeas al párrafo a.° del ari. 33;' cio , y que las de Alcudia y Sóller de Mallorca en la clase de su habi litación ó comercio, se reciban bajo el concepto de patente sospechosa. «*pimo va. Con esta disposición parece que quedara reparada la injusticia y es candalos…</t>
  </si>
  <si>
    <t>Calonge</t>
  </si>
  <si>
    <t>…ado fijar. pero en la segunda se presento un individuo produciendo una queja for F.I orador añadió otras varias reri.x ones en apoyo del dictamen de ma) , para que se excluyese al Sr. Calonge; y se remitió por el ju:z de Ja rom s on , que d.¡o d.h.a ar-obars-*. primera instancia un t-stiniomo, del que resultaba estar suspenso aquel U.c araco el punto suficientemente discutido , se lev-ron os .li elector de los derechos de ciudadanía! y comprobada…</t>
  </si>
  <si>
    <t>Calrtrava, Josef María</t>
  </si>
  <si>
    <t>Josef María Calrtrava</t>
  </si>
  <si>
    <t>…l hombre; por lo mismo yo me abstendría de Torre, individuo del tribunal especial de las Ordenes militare*, y fi decir una sola palabra sobre este punto. El Congreso puede tener á D. Josef María Calrtrava, individuo del tribunal supremo de Justicia. bien nombrar esa comisión, y los individuos que la compongan se val Para la clase de ciencias fisicas y matemáticas i D. Jaoobo Moría de drán de todos los medios para ver cuáles son los candidatos sobre Parga, cons…</t>
  </si>
  <si>
    <t>Calstrava</t>
  </si>
  <si>
    <t>…ucas Alaman, diputado secretario.** un arresto hasta tanto que se verifique la plena justificación del hecho. Por tanto mandamos á todos los tribunales, justicias, gefe», gober El Sr. Calstrava manifestó que la comisión estaba persuadida de loa nadores y demas autoridades , asi civiles como militares y eclesiásticas, mismos principios que se habían manifestado por los Sres. preopinantes; de cualquiera clase y dignidad, que guarden y hagan guardar, c…</t>
  </si>
  <si>
    <t>…hacer respetar la dignidad y pretogativas del trono.” {Víase el dictamen de la comisión al Jin de Ut sesión.') » Animado pues el Congreso nacional de la confianza que le inspi El Sr. Calstrava pidió la palabra, y obtenida que fue dije: En ra la feliz disposición que siempre ha hallado en vuestro Real ánimo, una materia tan grave y delicada como esta, pues es de las mas impor espera y ruega á V. M. con el mayor encarecimiento que en uso de tantes qu…</t>
  </si>
  <si>
    <t>…ncargarse de un puesto tan delicado mientra estuviese su honra en consideración la proposición siguiente que tengo'el honor de someter á discreción de algunos calumniadora. Que el Sr. Calstrava había di á su deliberación. cho que la a nú principal de estos abusos era el mismo Gobierno, por• No habiéndose constituido todavía el ministerio con la fuera mo [ue no tenia la fuerza moral; pero como esta fuerza moral dependía de ral necesaria para dirigir…</t>
  </si>
  <si>
    <t>Calvo, Josct Fernandez</t>
  </si>
  <si>
    <t>Josct Fernandez Calvo</t>
  </si>
  <si>
    <t>…lver la representación al interesado. A la comisión de Infracciones de Constitución se mandó pasar una A la comisión de Agricultura se m.imió pasar una exposición de exposición de D. Josct Fernandez Calvo y D. Ramón Estepona, pi varios vecinos del puerto de Zafarralla y Santa María, en la provincia diendo que las Cortes llamasen el expediente sobre nulidad de las elec de Granada, sobre que se les perdonase el canon que pagaban por los ciones del ayuntamiento de Lucena, y declaras…</t>
  </si>
  <si>
    <t>Calvo, Josef de</t>
  </si>
  <si>
    <t>Josef de Calvo</t>
  </si>
  <si>
    <t>…venta en la estampería de la calle del Gato, del domingo 19 de Setiembre último, denunciado por injurioso por isa, 16 y 24 rs. la baraja. En dicha casa se venden dos estampa* «te D. Josef de Calvo tn ct párrafo que empieza estoy tiendo todavía , 7 escarmiento de facciosos fi 3 y fi 5 rs. la estampa. EN LA IMPRENTA NACIONAL</t>
  </si>
  <si>
    <t>…&gt; ner nuestra» leyes i la moda francesa, y lo que es todavía mas cutio- 181 a , que empieza Las operaciones militares , y concluye Francisco Ml.sns , denunciado como injurioso por D. Josef de Calvo, han de so que se entreguen i la Francia ciertas plazas fuertes de España fron clinado haber lugar por unanimidad 4 la formación de causa. Barce terizas hasta que todo quede arreglado i la francesa. Creemos que no lona 20 de Noviembre de 1812. Josef FJotats,…</t>
  </si>
  <si>
    <t>Calvo, Komis Lorenzo</t>
  </si>
  <si>
    <t>Komis Lorenzo Calvo</t>
  </si>
  <si>
    <t>…anifestándole que recien llegado á Cer- en el expresado juzgada interino y escribanía del mismo á cargo del vera supo que los facciosos del Jep deis Esuñs , Na váreles y de Piquer Sr. D. Komis Lorenzo Calvo, secretario del Rey, y escribí no de en número de 1500 hombres se hallaban reunidos en Artes, y en com Cámara del tribunal especial de Guerra y Marina ; con apercibimiento binación con el Caragol, que coa 400 á 500 ocupaba Casteluersoi con que de no hacerlo d…</t>
  </si>
  <si>
    <t>Calvo, Lorenzo</t>
  </si>
  <si>
    <t>Lorenzo Calvo</t>
  </si>
  <si>
    <t>…patria. sobre la memoria de la Gobernación de la Península, el de la co Art. 100. » También deberá honrar y galardonar todas las accio meion de Legislación sobre la queja dada por D. Lorenzo Calvo da nes brillantes y todos lo* servicios notable* hechos a la patria. Rozas, y el dictamen sobra el gobierno político de las provincias: Art. toi. n Al fin de la guerra debirá también conceder premios i • &lt;-¡•«'4 &lt;jue igiMlnmM *e discutiría el presupuesto de G…</t>
  </si>
  <si>
    <t>…mismo tiempo encargue el Congreso i tu comi El Sr. Saenz de Buruaga dijo que la comisión no podía dudar que sión da Agricultura, que tomando noticias de lot Sret. diputados forme D. Lorenzo Calvo ale Rozas no había podido usar akl privilegio ale in ■na nota dé todas lat obras de esta naturaleza que conceptúen útiles en troducir la» 308 barriles de harina por hallarse empleado en d servicio su provincia ; y munidas todas estas luces puedan las Cortes e…</t>
  </si>
  <si>
    <t>Calvo, Pedro</t>
  </si>
  <si>
    <t>Pedro Calvo</t>
  </si>
  <si>
    <t>…s examinar es lo que puede pagar Reunidos en las salas consistoriales de Valencia los sefiores jueces la Nación para que con arreglo á ello aprobemos los presupuestos. No de hecho D. Pedro Calvo, del comercio, D. Pedro Pascual Carbome conformo con mis compañeros respecto de la riqueza que dicen nell, D. Gerónimo Masía, presbítero, D. Mariano Peset, oficial de la tiene España, porque esta debe considerarse como riqueza líquida, que secretaría del gobi…</t>
  </si>
  <si>
    <t>…dministrativo de hacienda militar con uno ó dos ofi Enguídanos; D. Vicente Marzo , abogado; D. Anastasio Naiis, ofi ciales de guerra si se estima suficiente.” cial de anillen* , y D. Pedro Calvo , después de haber examinado el La primera proposición se consideró como de las que deben sufrir impreso y la denuncia , declararon por unanimidad de votos haber lu tres lecturas ,y la segunda como comprendida en el art. soo del regla gar m tu formackn de cau…</t>
  </si>
  <si>
    <t>…rpetua hasta su venta final ; avisando con oportunidad al (gobier el Sol. no si llegase el caso de reunirse en gran número, para acordar las Señores que declararon no haber lugar: D. Pedro Calvo, D. Sebas providencias que se estimen convenientes. Al mismo tiempo, y para tian liadles, D. LuisOiiag y D. Miguel Sanchis. dar á la recaudación de los impuestos el impulso debido , ha tenido ¿ Hab'éndose denunciado a! Sr. a&lt;caide constitucional de esta corta…</t>
  </si>
  <si>
    <t>Calvo, Román Lorenzo</t>
  </si>
  <si>
    <t>Román Lorenzo Calvo</t>
  </si>
  <si>
    <t>…marques de Monistrol.aVícente mino da 9 dias, que por primero se Ies señala, en dicho juzgado y por Alsño.=Pedto Gil.=Isidro Gallarda.=Jaim* Boscb.ajuan Lladó 7 la escribanía del Sr. D. Román Lorenzo Calvo; con apercibimiento Totrfis. de que de no hacerlo dentro de dicho término se sustanciaran los au tos en teb-ldía, y les parará el perjuicio que haya lugar. En la misma página: Los infrascrito* jueces de hecho, habiendo El juez primero de primera instancia de…</t>
  </si>
  <si>
    <t>Calvo, Rosnan Lorenzo</t>
  </si>
  <si>
    <t>Rosnan Lorenzo Calvo</t>
  </si>
  <si>
    <t>…a Manuel Fernandez sa les prefija y añal» en el expresado juzgado interino y escribanía del y el guia Juan Sió, es el fruto, cor.t nu&amp;cion y como complemento de mismo, 4 cargo del Sr. D. Rosnan Lorenzo Calvo , secretario del Rey ia del a8. La caballería, las guerrillas ds Tairagona y Barcelona , y y escribano de cámara dal tribunal especial da Guaira y Marina ; coa las dos compañías da Laredo que dejo indicada*, se han comportado apercibimiento que de no hacerlo…</t>
  </si>
  <si>
    <t>Calzada, Baltasar García</t>
  </si>
  <si>
    <t>Baltasar García Calzada</t>
  </si>
  <si>
    <t>…vasión de Zaldivar y perseguir al Locho. Aho medio por ciento de Guadalajara, juro 393,77? mrt., en cabeza de ra tengo la satisfacción de anunciar á V. F.. que en parte se han lle D. Baltasar García Calzada , como administrador de los bienes que cor nado mía deseos En le madrugada de ayer tuve noticia de varios pue rían a cargo de la real junta de refaccione* y loa demas que io fue blos de que el cabecilla Zaldivar se dirigía hacia este punto, y a las ren.—17. A…</t>
  </si>
  <si>
    <t>Calzada, Manuel-de la</t>
  </si>
  <si>
    <t>Manuel-de la Calzada</t>
  </si>
  <si>
    <t>…que aparecen j ntiñeados en debida forma en el pro «No puedo menos de recomendar á V. E. el valor y bizarría del ceso , tan recomendables y dignos Je premio y recompensa, S. M. se teniente D. Manuel-de la Calzada , como igualmente al sargento, cabo* reserva dispensarle la que sea de su Ivea! agrado, para que la Nación entera vea que no quedan sin premio los que se distinguen en su obse y toldado* de su mando, y lo* cuatro cazadores de la columna de Laon. pues todo* i…</t>
  </si>
  <si>
    <t>Calztrava</t>
  </si>
  <si>
    <t>…quien el gobernador había nombrado ar como tal se halla prohibido por el Gobierno con arreglo a las leyes.” zobispo y primado de Chipre, ba recibido de la Puerta el firman que El Sr. Calztrava dijo que la audiencia de Sevilla y el Ateneo caperatifica su nombramiento. fio! habían informado acerca de este artículo. ” En la rada de Limasoll, que está en la costa meridional de Chipre, El Sr. Lagrava dijo que la pena impuesta en d artículo debía, solo s…</t>
  </si>
  <si>
    <t>Camacho, Vicente</t>
  </si>
  <si>
    <t>Vicente Camacho</t>
  </si>
  <si>
    <t>…eleites. Como en genera! tienen lado de este valiente oficial se distinguieron también lo» tres naciona- la fortuna de granjearse el cariño de sus nuevos dueños ■ no tardan en fes D. Vicente Camacho , Castellón, D. Nicolás Vailester y D. N. adquirir un gran dominio sobre ellos, y aun ha habido algunas que (sarcia de Vinaroz; sobre todo el segundo, que puede servir da mode han egcicido en ta corta ur.&gt;. autoridad casi ilimitada y sucede no lo 4 la rr. ts…</t>
  </si>
  <si>
    <t>Cambantes, Juan de Mazuelit</t>
  </si>
  <si>
    <t>Juan de Mazuelit Cambantes</t>
  </si>
  <si>
    <t>…ctos extranjeros que se intro- emplazo á todos los que tengan derecho á los bienes del vínculo fun duz.. n en tilos, d betán contribuir á su entrada con los derechos esta dado por D. Juan de Mazuelit Cambantes , sitos en esta corte y fugar de bleceos por el arancel general, con rebaja de lo que hubieren pagado á Villaseca de la Sagra, partido de Toledo, denunciadospor D. Antonio su introducción en las islas C.nanas, llevando documentos que lo acre de la Pastora, de…</t>
  </si>
  <si>
    <t>Cambe-, Josef</t>
  </si>
  <si>
    <t>Josef Cambe-</t>
  </si>
  <si>
    <t>…Monzón: el 7“ á D Juan Rolando , natural de Genova; el habían producido las rentas, y de lo que se había pagado 3cc., trataba 8.a á D. Juan Antonio Frasquirri, italiano: el y.' á D. Josef Cambe- del presupuesto para el próximo afío económico, el cual -¡scenda á lay, romano: el 10 á D Lorenzo Caustini, genovés y domiciliado en 801.591,645 rs., Dotándose el ahorro de &lt; &gt;8.644,01 2 as. respecto del Albacete: el 11 i D. Josef Eduard, ingles-residente en…</t>
  </si>
  <si>
    <t>Camden</t>
  </si>
  <si>
    <t>…GPina, de Ravena, dr su sistema. Desempeñó después la secretaria general del vir- .¡.alo hombre tan hábil como distinguido, yqne por su actividad, poniéndo de Irlanda en tiempo de lord Camden, en cuyo dcu r.o mo:ró nu-.Ka se de acuerdo con Maurocordato y Negri, ha cor.stgu.do ir.staur el go entereza; pero padeció su reputación , aunque al parecer sr,L'.;.rr ; te. bierno central. Fue muy adicto 4 la unión ó fusión de ios des Paricmeru» ds 1 an Aunq…</t>
  </si>
  <si>
    <t>Cameiro, Borges</t>
  </si>
  <si>
    <t>Borges Cameiro</t>
  </si>
  <si>
    <t>Gaceta de Madrid n.º 239</t>
  </si>
  <si>
    <t>…no quisiera; pera ahora roto contra el ar Siendo contrario á la* leyes militares que en un punto formal tículo. mente amenazado existan personas armadas sin conocimiento de la El Sr. Borges Cameiro dijo que laa Cortea habían querido con autoridad m litar encargada de su defensa; y atendiendo á que la ciu ciliar la unión por medios suaves; pero qus estos no habían sido sufi dad de Mantesa, por las fortificaciones con que se baila cubieita, y cientes: hiz…</t>
  </si>
  <si>
    <t>Camilo</t>
  </si>
  <si>
    <t>…umna. . Proclama del grnrral Lope* dt Bonos. Odoido 4.* Dt Rrglammio interior dtl Congraa. Fagoaga, Osota, Mus- ^Nombrado por S. M. tu secretorio de Estado 7 dd ** •uiz . Csmscbo (D. Camilo) y Castillo (D. Florencio.).................... la Guerra me separo de voaotro* con d aent-mtento de no poder conti, • Dt Relacionas exteriores- Valdrá, Flore, (OrCirilo), Aguilar, nmr ratanirando de cerca roturo ,d? y ^ Zavala, Gírate , Benitez Peres , Amada…</t>
  </si>
  <si>
    <t>Camino</t>
  </si>
  <si>
    <t>…l’ata ia de Galicia se proponía i los Sre». D. Francisco Camino, se encurntra un oblicuo para dar la íoron» al Princp: de Sil mo, D. Pedro Cruz y D. Manuel Monee; y fue electo c-l Sr. Camino por y es que el hered-ro de ella es :l duque de Calabria ; dificultad que no 77 votos de 115 siempre es grande para los poderoso». Para la de Ovi-'do se proponían 3 los Sres. D. Eduardo Jaime, Se procura difundir la voz de qu- se trata de devolver i ios caba…</t>
  </si>
  <si>
    <t>Camino, Francisco</t>
  </si>
  <si>
    <t>Francisco Camino</t>
  </si>
  <si>
    <t>…ont- , y r-sp cto de Nsfo;-s hay ru Vidal Moreno por 64 voto» de 1t6. inóles extraños. Hib'ase de la abd-cacion del R r de X.poLs; pero l’ata ia de Galicia se proponía i los Sre». D. Francisco Camino, se encurntra un oblicuo para dar la íoron» al Princp: de Sil mo, D. Pedro Cruz y D. Manuel Monee; y fue electo c-l Sr. Camino por y es que el hered-ro de ella es :l duque de Calabria ; dificultad que no 77 votos de 115 siempre es grande para los poderoso». P…</t>
  </si>
  <si>
    <t>Camino, León Gonxalo del</t>
  </si>
  <si>
    <t>León Gonxalo del Camino</t>
  </si>
  <si>
    <t>…ae expresan. que egerzan el modo de vivir de las tres siguientes. En Aragón. Para que las variaciones de estas casillas puedan anotarse sin equi La de Calaceite por traslación de D. León Gonxalo del Camino fi vocación »• pondrán tos nombres enteros, y se tacharán del mismo la de Motclla. modo , por lo cual siempre se dejará un hueco como el de este modelo. En Cataluffa. En las mudanzas de los individuos de un barrio á otro se tacharán La de Montblanch por trasl…</t>
  </si>
  <si>
    <t>Camitlers, Francisco</t>
  </si>
  <si>
    <t>Francisco Camitlers</t>
  </si>
  <si>
    <t>…........................ ■} por 100. liesen 4 la. órdenes d i teniente coronel en comisión del mismo cuer Murcia....-...................................................... par. po D. Francisco Camitlers , quien con aquella féchale manifestaba que Alicante......................................................................... Idem. al llegar . la Puebla tupo que los facciosos habían pasado ya de aquel Burgos..................................................…</t>
  </si>
  <si>
    <t>Camoda, Crespo</t>
  </si>
  <si>
    <t>Crespo Camoda</t>
  </si>
  <si>
    <t>…or lo cual dijo que no aprobaba un articulo tan demnización de dichos partíe pes. vago como el que se discutía. Se leyó el dictamen de la comisión nombrada 4 consecuencia de la El Sr. Crespo Camoda dijo que el artículo estaba muy bien puesto, proposición del Sr Sancho, aproba ¡a por las G-rtea, reducida 4 que soi y por lo m*»mn nniní. q.i- debí* sprobitíí por :s!:::üri: en ¿! el or pasen i una comisión la representación de D. Manuel Francisco jiure- den…</t>
  </si>
  <si>
    <t>Camp</t>
  </si>
  <si>
    <t>…lava , presidenta, driaga se sabe que se dirigía hacia Ibarruri con unos jo fawCio»os. srjoseí Melchor Prat, diputado secretario. = Francisco Bcu.io , dipuEl día sa se encontró el coronel Camp llo con 13 ficcioso» en el Udo srcreUT'O.*4 camino de Ceberio , á los cuales persiguió y hirieron se. un acostum Por tanto mandamos á todos los tr.bunales, justicias, gefes, gober bran á hacer, sin que le fuese posible alcanzarlos: p ro habi-ndo te nadores v…</t>
  </si>
  <si>
    <t>Camp, Josef</t>
  </si>
  <si>
    <t>Josef Camp</t>
  </si>
  <si>
    <t>…feliz resu tajo de las operaciones que 40 de Granada y milicia activa de Va'Udolid, mandara p-r los te están i mi cargo y triunfo de la causa nacional. Quedo en rcm.t r 4 nientes D. Josef Camp is y D. Joaquín Berasstegu:, e pnm.-ro de! reV. E. una relación circunstanciada de todo el sitio , y los d.ta les g.miento ligero de Bailen, y ei secundo del de voluntarte* de Castü a, correspondientes de cuanto se halle en el pueb'o y fottalezas, á que y a l…</t>
  </si>
  <si>
    <t>Campa, Francisco Javier</t>
  </si>
  <si>
    <t>Francisco Javier Campa</t>
  </si>
  <si>
    <t>…ición del Agustín Palacios,á D. Andics Ramos Rico; para la de Tortosa, en Sr. Canga Arguelles que se volviese el expediente á ls comisión , para Catalufia, vacante por renuncia dr D. Francisco Javier Campa, al mi que en vista de este documento presentase nuevamente su dictamen. nistro honorario de la audiencia de Gálica D- Basilio García Manri Zamora. D. Manuel Alvarez. Quedaron aprobados ios poderes de que; para la del de Cervera, en Catalufia, vacante por pro…</t>
  </si>
  <si>
    <t>Campana, Josef Ignacio Alvarez</t>
  </si>
  <si>
    <t>Josef Ignacio Alvarez Campana</t>
  </si>
  <si>
    <t>…a pacífica f portantes 175,709 rs., de que recogió el competente docum-nto firma brillante conquista hecha recientemente en Egipto , y debida a los - es do por el mariscal decampo D. Josef Ignacio Alvarez Campana, e fe fuerzos combinados de los Sres. Saulnier hijo y Lelorrain. Ya ha sil ido de dicho establecimiento, que le fue robado por unos ladrones í últi de cuarentena el inapreciable monumento con que acaban de enrique mos de Abril de 1811. En este estado se supl.…</t>
  </si>
  <si>
    <t>Campee, Francisco</t>
  </si>
  <si>
    <t>Francisco Campee</t>
  </si>
  <si>
    <t>…supo* Aguirre, vinieron i Zarauz la tarde del ae, quemaron la lápida, sa n-rl t tenían considerables depósitos da armas, municiones y otros caron raciones , robaron el caballo de D. Francisco Campee , 4 quien, efectos: pero los facciosos se contentaron con volver á las cara* desig 7 al digno párroco Alzolabea, arrestaron, y despee* de molestarlos nadas y preguntar si en cierto lo que al pueblo dteia, sin pasar al toda la noche los soltaron , haciéndolos…</t>
  </si>
  <si>
    <t>Campil</t>
  </si>
  <si>
    <t>…iendo de su anterior proyecto, y yo marché sobre el mismo punto, y conie|os de unión y concordia, vintén iurgo e! venino í mam s lie* á pesar di la lluvia y fatiga de la tropa. El coronel Campil o con ig na ñas, practicando •ocio io contrario d: lo que acaban «le aconsejar. cionales atacó y derrotó la gavilla da Fernandez en las inmediacics.es I.n estos funestos escritos se ds rienda suelta á las pasiones, ss ex de Amurrio, haciéndoles 10 prisioneros…</t>
  </si>
  <si>
    <t>Campillo, Juan López</t>
  </si>
  <si>
    <t>Juan López Campillo</t>
  </si>
  <si>
    <t>…é i su alcance. No perdamos nunca de dispuso saliese i batirlos con una partida del regimiente de Sevilla el vista este imputante &lt; b¡ to; y si el escarmiento, pata ellos funesto, coronel D. Juan López Campillo, quien á las do* de Ja mañana de que d.sde el y del corrí, nt: han sufrido los guardias de infantería re aquel día llegó á dicho punto, y hallando i la gavilla disparó algunos ti belde», no es suficiente para desvanecer las locas y detestables esperan ros , c…</t>
  </si>
  <si>
    <t>Campillo, Manuel González</t>
  </si>
  <si>
    <t>Manuel González Campillo</t>
  </si>
  <si>
    <t>…rgo dos palabras. Ante todas ncedo es el efecto que produjo la conferencia del anterior obispo de cosas no puerto menos de felicitar al Congreso, porque al fin se ha ocu la Puebla D. Manuel González Campillo con Rayón, pues si bien no pado de ocurrencias y asuntos mas famosos que los descubrimientos de consiguió el que este se sometiese , sí logró el que se indultasen un gran Colon, y mas memorables que las conquistas de Pizarra y de Cortés. número de irturgentes…</t>
  </si>
  <si>
    <t>…tos , espitan retirado. In tazgo..................................................... 7,000. terventor D. Manuel Zapatero, oficial de la contaduría de Toledo. Huesca administrador D. Manuel González Campillo, cap tan gra Existencia para i.° de Agosto. 1,5 27... 19. duado V teniente retirado del resguardo de Nevar a. Interventor Don Antonio Rivadulla, secretario del extinguido consejo de Guerra en Madrid 9 de Agosto de i8ai.s5antiago Josef Patero.=Con mi in terven…</t>
  </si>
  <si>
    <t>Campillo, Petra</t>
  </si>
  <si>
    <t>Petra Campillo</t>
  </si>
  <si>
    <t>…ue opinába no d.b a haber lugar á deliberar sobre las soli y de nuestro sincero respeto á las Cortes ,depende toda nuestra dicha, jr citudes de pensiones de Dolía I.idra Sánchez y Doña Petra Campillo, la consideración y el respeto que no podran menos de tener las nacio en atención á la penuria del Erario. nes extranjeras i un pueblo verdaderamente grande y virtuoso. Pero La misma comisión opinaba debía señalarse el sueldo de s9 peso» no parece uno que cua…</t>
  </si>
  <si>
    <t>Campo, Manuel González del</t>
  </si>
  <si>
    <t>Manuel González del Campo</t>
  </si>
  <si>
    <t>…l en esta corte. actual me dice lo siguiente: En su vista te reunió el jurado, compuesto de los Sres. siguientes: » Exento. Sr.: Con ia satisfacción que me permite el dolor de ver D. Manuel González del Campo; D Marías Casero; D. Antonio Ga derramada tanta sangre española, anuncio i V. K. que en la madruga mona'; D. Benito Ortega Romanillos; D. Gonzalo de Cárdenas; Don da de este dia he sorprendido tin completamente é 300 facciosos que Juan Paz; D. Juan Manuel de…</t>
  </si>
  <si>
    <t>Campo, Manuel Sainz Gómez del</t>
  </si>
  <si>
    <t>Manuel Sainz Gómez del Campo</t>
  </si>
  <si>
    <t>…orden para Teso.................................. 775 eu puntual cumplimiento.” RdO|CrOts*«,t**s*«e* ****•*••» 150 Juicio de Jurados. Tabernas.......................... i)6 5 0 • D. Manuel Sainz Gómez del Campo denunció al Sr. alcalde Don Sueldos de empleados en las- oficinas det Ramón Casellae un artículo firmado por D. Joan Gallego, é inserto en Exento, ayuntamiento constitucional. el Universal núm. ai ó, como injurioso á su persona en valias expre Secretaría, arc…</t>
  </si>
  <si>
    <t>Campo, María del</t>
  </si>
  <si>
    <t>María del Campo</t>
  </si>
  <si>
    <t>…nces montaron en ios caballos que tenían de los caballos comprados, armamento, monturas y otros gastos, con ensilla&lt;É&gt;s, y se marcharon. Pieza principal, fot. 110. un pasaporte de Doña María del Campo, muger del Abuelo. Pieza da Perseguido en todas direcciones se retiró á la aldea del Bodonal con Valdemoro, fol. i.°*l «9. 4nitno de reunir mas gente; pero habiendo recibido el gefe político de Confesó el plan de conspiración, de que sa ha hecho mérito, y Ext…</t>
  </si>
  <si>
    <t>Campo, Pedro García</t>
  </si>
  <si>
    <t>Pedro García Campo</t>
  </si>
  <si>
    <t>…x Martin, i quienes se las adjudicó el premio da 110 rs. vn. VARIEDADES. ANUNCIOS. " Fn el Memorial Unhertal, periódico de París, y su número corres En 23 de Junio de 1839 entregó D. Pedro García Campo , vecino pondiente al i.° de Enero último, se hace una descripción circunstan y fabricante de paños de Bejar , en el almacén genetal est.Mecido en ciada del zodiaco de Denderah en los términos siguientes: Sevilla para vestir alegército diferentes piezas de pa…</t>
  </si>
  <si>
    <t>Campo, Salvador</t>
  </si>
  <si>
    <t>Salvador Campo</t>
  </si>
  <si>
    <t>taldo, D. Sut‘19) Catrera, D. Salvador Campo* y D. Juta Pifitir». grande, recibid el beso de amor, el abrazo de grat:tud y los traspor Tmintes. D. FiaQciscéPArazonéi, D." Anrel del Ostillo, Don tes de admiración que os ofrece el ayuntamiento de la Coruña r esta Francisco Jimana, D. Cirio* Marrngal, D. R…</t>
  </si>
  <si>
    <t>Camporedondo, Antonio</t>
  </si>
  <si>
    <t>Antonio Camporedondo</t>
  </si>
  <si>
    <t>…a Exento. Sr.: Conmovido el ayuntamiento constitucional de la ciudad de Bariattro so de Julia. Lugo por la noticia de los desórdenes ocurridos en la capital de la MonarEl teniente coronel D. Antonio Camporedondo, comandante de la ?|uía determinó dirigir á la Diputación permanente de Cortes la mas socolumna destinada á la persecución del faccioso Gastan y su gavilla, da erone y sincera manifestación de sus sentimientos constitucionales , y Srte de que el dia 1 y al ll…</t>
  </si>
  <si>
    <t>Camporedondo, Miguel</t>
  </si>
  <si>
    <t>Miguel Camporedondo</t>
  </si>
  <si>
    <t>…c di ios, exaltados y resueltos á notran- Ubeda, reino de Jaén, en aa de Febrero de 1801, ambos hijos de aigir con ijui -n para conservar íntegra la Constitución cual la hemos ju D. Miguel Camporedondo 7 de Doña Isabel Germán difuntos, ae da es rado, vacile un momento en sacrificar sus intereses y la vida. F.sta es te aviso á efecto de que llegando á tu noticia se presenten ó den razón la resolución de los verdaderos españoles; rs la que tienen bien mani de…</t>
  </si>
  <si>
    <t>Camporedondoel, Antonio</t>
  </si>
  <si>
    <t>Antonio Camporedondoel</t>
  </si>
  <si>
    <t>…-er para man de haberte verificado el atsque de aquella villa á las tres de la tarde á tenerlos en r1 enjtañe, hacendóles entender todo el horror d. i crimen ()i;elas órd enes del capitán D. Antonio Camporedondoel cual extendió cometen entregmdoss á una vida prop'a de loragido» por satni.tcrr iaen aquel momento el mismo parte para el comandante general de la am'ii ion d. uu corto número de hombres orgullosos , que 110 q i.^r n provincia: los facciosos» en número de ggo…</t>
  </si>
  <si>
    <t>Campos, Francisco</t>
  </si>
  <si>
    <t>Francisco Campos</t>
  </si>
  <si>
    <t>…e las Espillas D. Fernando va , vindicado de Maro de «te 1^0 en la pagina 317, denunc ads por injuriosa por de las injurias que el autor de la Tercerola ha hecho á su sagrad* ¿ in D. Francisco Campos, apoderado de a Rxcma. Sra Doña Juana de Re violable persona &lt;Scc. núuss. 7,° y 8.a Se hallarán coo los anteriores ea caben, y de Botadora, cond-sa d' Perelarfa , d-claiaron á unsnmri.d las librerías de Sanz y de Villa. de voto» que n. ka turar á la fr nación…</t>
  </si>
  <si>
    <t>Campos, Lino</t>
  </si>
  <si>
    <t>Lino Campos</t>
  </si>
  <si>
    <t>…de facaltade*. Sin duda qne debe ha Joaquín Huerta Cerillos, D. Manuel Mermo, D. And re. Martínez ber una equivocación acerca da esto , pues el qne escribe está autoriza Oriniga, D. Lino Campos, D. Carlos Romeral, D. Josef Demetrio do 4 expedir los rescript a de secularización pora las monjas basta todo Rodríguez, D. Josef Radon, D. Isidro Merino. cl mes de Junio, y por tanto no puede haber rehusado recibir ninguna Habida la conferencia se declaró p…</t>
  </si>
  <si>
    <t>…os Izquierdo, D. Anice boy daba m,hiu la ley 4 su sucesor, y esu es la historia en general to Lizana, D. Jotef Radon , D. Francisco Msrt&lt;nez Marina, D. Jode esas leyes. tef Reher, D. Lino Campos , D Jotef Larteategui, D. Antonio Ra Es pues preciso no desconocer esto, y tener presente las circunstancias gas y D. Antonio Puigblanch; habida la conferencia te declaró por del tiempo en que se dió la ley para ver si en ei día puede producir sa unanimidad n…</t>
  </si>
  <si>
    <t>…a deque se impondrá ¡í los in Regas, D. Felipe López Valdemoiot, D. Ramón Llord, D. Antonio tendentes la mas estrecha responsabilidad si se descuidase por su parle María Espejo, y D. Lino Campos. el cumplimiento de este último punto. Lo que de Real orden comuni Habida ia conferencia, declararon por unanimidad »ao haber lugar co á V. S. para su inteligencia , y a fin de qué lo circule á quien cor 4 la formación de causa.” responda para su cumplimiento…</t>
  </si>
  <si>
    <t>Campoverde</t>
  </si>
  <si>
    <t>…ación ofrece en la opinión me digese si tiene noticias de haberse alterado el orden público á h del Gobierno garantías suficientes á la causa de la libertad; si &lt;uy ma entrada del general Campoverde en Sevilla, cuando fue á tomar pose les, el Gobierno los corregirá por su zelo y vigilancia, ayudado de to sión del mando de la provincia , que entonces tenia Velasco ; y si las dos los recursos que están en su mano, y de la fuerza irresistible del prisiones…</t>
  </si>
  <si>
    <t>Camprub, Josrf</t>
  </si>
  <si>
    <t>Josrf Camprub</t>
  </si>
  <si>
    <t>…anos de Srllent, al mando de su capitán IX Jo»erTo-rcs c-n bí oficio del alcalde constitucional de la patriota villa de Seiient, ha la éompañía di Jfatr.otas de B;rga, al de! suyo D. Josrf Camprub , ciéndome presente el estrecho sitio que le habían puesto los facciosos quien J egó á matar los en.m g is cm su sable , y la co.nniñ-1 de vo en crecido número; que arjiun ya los arrabales, y que iban á concluir luntar os~del partido , al de su teniente D. An…</t>
  </si>
  <si>
    <t>Camps, Francisco</t>
  </si>
  <si>
    <t>Francisco Camps</t>
  </si>
  <si>
    <t>…eayer , col. 1.*, lín. ia, donde dice baga Antonio Baiges, el teniente y subteniente de la séptima del primero jes , léase ee¡¡tipagts. de 'as mismas D. Rafael Decio, piamontes, y D. Francisco Camps, 19 Otra. En la gaceta del 24, col. 13, lío. 34 y siguientes, donde de tropa y ia contusos, un caballo muerto y 10 heridos. dice » que el coronel da Zamora habia notificado al Sr. obispo de aque » Los vándalos tuvieron mucha pérdida,, aunqu- no puedo calcu ll…</t>
  </si>
  <si>
    <t>Campuzsno, Jcaqun de</t>
  </si>
  <si>
    <t>Jcaqun de Campuzsno</t>
  </si>
  <si>
    <t>…us fortunas. narquía española. También en la correspondencia extrangera hallamos n Estos son los votos del regimiento de quien tengo *1 honor da egcmplo de tan agradable recuerdo. D. Jcaqun de Campuzsno, minis ser individuo, cuya corporación de sus gefes, oficiales y demas c ases, tro de España cerca de la corte de Drtsde, halló doble ocasión de so me ha autoiizado para que asi los manifieste, y haga conocer á V. E. lemnizar tan fausto dia, pues con motivo d…</t>
  </si>
  <si>
    <t>Can</t>
  </si>
  <si>
    <t>…do muy acreedor á que se le tenga en consideración Ei Sr» Adan» El Sr. preopinante por medio de sus proposiciones ha para darle nuevas ordenanzas , lo hago presente pata que si el Sr. Can» fijado un orden para los trabajos de las Cortes; pero no creo que puede ha ga lo tiene i bien , admita esta adición i sus proposiciones. ber sido -el ánimo de S» 5» el excluir á los Sres. diputados de que hagan El Sr. Prat hizo presente que en lu legislatura…</t>
  </si>
  <si>
    <t>…x. Trata del ría , se debería nombrar por las Cortes. estado antiguo y moderno de ia ciudad de Cetvera en lo civil y ecle Se leyó en seguida el decreto de 5 de Junio de 1811, y el Sr. Can siástico: del famoso milagro llamado la santa duda de lborra: déla ga dijo que la comisión de que se trataba tenia dos objetos, cuales antigua canónica de Solsona y su nueva catedral: de la conquista da eran el de practicar la visita del Crédito público, y as…</t>
  </si>
  <si>
    <t>…iooe* lo* obispos do América iba importaban á la tranquilidad, .7 aun é In existencia dd Estado. Por lo ■o* dala Península jjja la América del Norte quién dispensa! Bada- tanto el Sr. Can^a puede tener entendido que el Gobierno no ha perdi rq 'que también los obispo*, 7 esto mismo debería suceder en Espada. do de vista este asunto, 7que en uso de sos facultada* ae ocupa ca to fyi.fqc. contrayendo*** *1 dictamen da la comisión , digo que conven…</t>
  </si>
  <si>
    <t>…empre se tabea entendi retirase tu voto particular sobre scfioríoa, y lo presentase como propo do respecto de los presídeos di.í ji.i. sición para que ta comisión lo examinase. Ei Sr. Can¿a dijo que era muy oportuna la observación d-I Sr. Fal £1 Sr. Arguelles: No tengo inconveniente en asentir á la excitación có: hace muchos años que en E-ptúa se trata de la enacera; 00 de es que acaba de hacerme el Sr. Castejon; y en su consecuencia retiraré…</t>
  </si>
  <si>
    <t>…sufrirán igual mente todas I» das», como le constaba por cxp-nencia propia qua CORTES. asi había sucedido en las provincias de Cádiz y Malaga. panstDBircia ss i seíJo* ai ava, El Sr. Can» dijo que la comisión en el misino dictamen reconocía Sesión Jtl 11. los principios de justicia t igualdad que animaban al autor da esta adi Se leyó y aprobó el acta de la anterior. ción ; pero que no podía convenir en que estos empicados de la H-cica-</t>
  </si>
  <si>
    <t>…n ó no las decretos de las Cortes, pudiendo usar del apremio militar: que pudie cantidades de que se nataba. sen igualmente remover i todos los empleados en rentas, y suspender Ei Sr. Can¿a dijo , que después de haber manifestado el Sr. preopi de los derechos de ciudadanos á aquellos que faltasen i sus deberes: que nante que el dictamen era descabellado y sin conocimiento de causa, las superintendencias hubiesen de cuidar de la incorporación y…</t>
  </si>
  <si>
    <t>…incias contribuyentes i la actual mi que se debe formar causa ante el juez competente. Los señores Riego, licia activa. Grases y Galiano piden que se le separe de su destino, y el Sr. Can El Sr. secretario del Despicho de la Guerra hizo algunas observa ga que se le aperciba, suspendiéndosele de empleo y sueldo por cuatro ciones sobre el coste que tendría el mantener sobre las armas ao9 hom meses. Hay ademas un veto adicional de los Sres. Galiano y G…</t>
  </si>
  <si>
    <t>…era 4 Gobierno en la* conferencias que tuvo con la comisión manifestó de las d-term.naciones de las Corte»! Claro es que no. {i'odra suspende* un modo categórico, como ha dicho el Sr. Can^a, la nx.sídud de une I y ? Tampoco. aloptar esta medida, igualmente que las demas que propuso. E. Go También se ha llamado al consejo de Estado cuerpo naciotsal. ¿Y bierno por boc* del Sr. secretario de Gracia y Justicia dijo ayer en este qué tiene de nacion…</t>
  </si>
  <si>
    <t>…rcelona, reunidos en jurado de acusación los secomisión. ñores D. Juan Ferrer y Albareda, D. Juan Evaristo de Casteiiar, D.-n be mandó pasar i la comisión la siguiente adición del Sr. Can ¡on Josef Anv.lasell, D. Magín Corominas, D. Melchor Biuguera, Don al atr. 1H6, que décia: »&gt; Pido que se añada después de las palabras ins- Juan Liado y Torra, D. Pedro Comes, D. Juan de Basse y l&gt;. L . atitucion tan sabia las siguientes: Jándose pruvüienc¡a…</t>
  </si>
  <si>
    <t>…iblos que pu-den desempeñar interinan:-nte los dr-st nos d. -,u* se trita. bten ’-t s b c-i un- ri i ■ *r •&gt;'. , •••' e-r - ¡■ t; i ! . r ■ d.- l\ :i’ ' ' *“ f ----o:: :;a:.c da H Sr. Can. 1 : En cuanto a que los ¿eí., pootcos se n subo tu dos man que «f.vt-v .¡Ipo; los secretario, no mee pongo tamo uiino» qur l« »..¡n por lo* iota ia .susa tic .a, dottia.^cc» fie .- 1 ;c v u a.</t>
  </si>
  <si>
    <t>Cana</t>
  </si>
  <si>
    <t>…Hacienla, en vista de una solicitud de D. Ra A la comisión de Visita del Crédito público se pasó una adición món Ispío, vecino de Alicante, opinaba que en atención á sus servi dtl Sr. Cana , sobre que se tengan por propiedades las fincas adquiridas cios, y á la recomendación que había merecido del ayuntamiento de por ccn.esion ó formal venta de la corona. Alicante, podía habilitársele para obtener algún destino según sus mé Se leyeron por prime…</t>
  </si>
  <si>
    <t>Cañad, Antonio</t>
  </si>
  <si>
    <t>Antonio Cañad</t>
  </si>
  <si>
    <t>…a de .a C-.rr.caT- abu 19010....... 4000, En Madrid. sándole de injurioso; y reunido el jurado en Cádiz, compuesto de lo* *4548...... IOOO. En Cádiz. señores D. Franc.sco Hidalgo, D. Antonio Cañad;.i, D M gu i Gar $084..... IOOO. En Jaén. cía Ortiz, D. Josef María Retoilillo , D. Juan Francisco b&gt;pe os.a, j§8rii...... IOOO. En Badajoz. D. Joaquín María Gofii, D. Francisco Puga, D P.b o Maten y IX-n *780/...... IOOO. En Madrid. Juan Perez, declaró por u…</t>
  </si>
  <si>
    <t>Canadell, Antonio</t>
  </si>
  <si>
    <t>Antonio Canadell</t>
  </si>
  <si>
    <t>1898</t>
  </si>
  <si>
    <t>…V. para su inteligencia y efectos tica , D. Juan Francisco Vidot, D. Antonio Cortés y Coll, D. Luis corr spondicntes á su puntual cumplimiento. Madrid u de Diciembre del Gargollo, D. Antonio Canadell, D. Juan Bautista Llanos, Dode 18a a. Juan Francisco Espelosin, j D. Miguel García (Miz , calificaron por unanimidad con la fórmula de obsusito el artículo Plata sU ¡a Consti tución , inserto en el Diario Gaditano de a de Setiembre último , de En atención al…</t>
  </si>
  <si>
    <t>Canal, Bernardo</t>
  </si>
  <si>
    <t>Bernardo Canal</t>
  </si>
  <si>
    <t>…depósito el de Mahon. Francisco Fernandez Golfín.” La comisión de Comercio, eu vista del expediente promovido por Nota. La persecución y exterminio de Jaime ha sido encargada por D. Bernardo Canal, vecino de Bilbao, opinaba que debía devolverse el Exento. Sr. comandante general de este octavo distrito militar al co 4 este interesado lo que se le había ex gido en el año i8ao en la adua ronel del cuerpo nacional de ingenieros D. Francisco Jaratnillo, fue…</t>
  </si>
  <si>
    <t>Canal, Josef</t>
  </si>
  <si>
    <t>Josef Canal</t>
  </si>
  <si>
    <t>…tucional, y de establecer de uds tamen sobre la mesa. vez la tranquilidad de esta Nación heroica, que tantos sacrificios ha he La comisión Eclesiástica en vista de la solicitud de D. Josef Canal cho, que tantas lágrimas ha der:amado, y que ha desplegado tantas y D. Francisco de Paula Sánchez, legos profeses del suprimido mo virtudes, tantos sentimientos nobles y generosos.” nasterio de S. Basilio de esta corte, para que se les aumente su pensión Se p…</t>
  </si>
  <si>
    <t>Canales, Antonio</t>
  </si>
  <si>
    <t>Antonio Canales</t>
  </si>
  <si>
    <t>…do, y que cada autoridad se contenga Uk los limites de su suplica al sugeto en cuyo poder se hallen se sirva entregarías al refe atribución." rido D. Jaime Tío en esta corte , ó i D. Antonio Canales en Barce ¡&gt; R -A orden lo traslado i V. S. para su iatcligcncis y cumpli lona : en el concepto que en las oficinas generales del Crédito público miento. Madrid a 3 de Diciembre de 1821. quedan lomadas Jas providencias correspond.enisa par» su ideación. EN LA…</t>
  </si>
  <si>
    <t>Canats, Antonio</t>
  </si>
  <si>
    <t>Antonio Canats</t>
  </si>
  <si>
    <t>…le Por el correo que salió de esta corte para Barcelona el 10 de Ju mente en el caso en cuest on : pues si bien la villa de Herrador será lio último remitió D. Jaime Tío é Ivars á D. Antonio Canats, ve acreedora 1 alguna rebaja , nunca podrá ser la que juzga el gefe político, cino de dicha ciudad, cuatro certificaciones de crédito , procedentes de y al 1-so:verse la instanca el odio y resentimiento se dirigirá contra el préstamos, libradas por la contad…</t>
  </si>
  <si>
    <t>Cancela, Juan Josef</t>
  </si>
  <si>
    <t>Juan Josef Cancela</t>
  </si>
  <si>
    <t>…ado en el techo de una sa'a su do orden y dos hermosas láminas de las mejores que se pudieron hallar: perior del lado izquierdo del segundo pórtico del templo de Demepara el 4.0 á D. Juan Josef Cancela, por dos Ojos y tres cabezas, le en rah. El primero que lo advirtió fue el general Desaix; y habiendo o tregó otro estuche de tercer orden y dos láminas: para el aeeeiit al se manifestado á los sabios que iban en la expedición, le miraron estos co gundo premi…</t>
  </si>
  <si>
    <t>Cancelada, Juan López</t>
  </si>
  <si>
    <t>Juan López Cancelada</t>
  </si>
  <si>
    <t>…del Rey y de lo* tribunales, La comisión de Visita del Créd;to público, en vista del expedien al establecimiento y uso de la fuerza armada, y al método económico ta promovido por D. Juan López Cancelada, comisionado principal y administrativo de las provincias. que fue del Crédito público en la provincia de León , era de parecer Madrid Domingo ti dt Atril. que la* Cortes podian servirse mandar que se abonasen á Cancelada aaoB ts., importe de sus haberes dura…</t>
  </si>
  <si>
    <t>Canciller</t>
  </si>
  <si>
    <t>…aso los torit moderados, como los Liverpool, los Canning, los Wellesley afiimativo sena ua nuevo cargo par* Legarra el no haberse aprovecha ó de entre los taris exaltados, como el lord Canciller, lordColchester do de ia indulgencia que le dispensaba el art. 6. de dicha ley , y com y otros. praba. ia »u obstinacioii r.belde al llamamiento de la autoridad , s.no n Los movimientos de los estadistas rusos excitan una curiosidad lambí-n poique publicado a…</t>
  </si>
  <si>
    <t>Candía, Ramón</t>
  </si>
  <si>
    <t>Ramón Candía</t>
  </si>
  <si>
    <t>…D. Luis Ocheu, teniente del regimien infanrería de León, con 570 rs. to :nfantrría de .Soria , con 5^0 rs. Villafranca á D. Antonio Do 1 », teniente del regimiento de z.'-piLeón i D. Ramón Candía, teniente supernumerario del batallón dores, con 570 r» ligero pnin rod. Caía uña, con 570 rs. Vitoria .&lt; D. Vicent.r C-u-ado , t niente supernumerario del regi Lérida i I&gt;. Francisco Javier bosiats, teniente dei regimiento in- miento infantería de Maltona ,…</t>
  </si>
  <si>
    <t>Canea</t>
  </si>
  <si>
    <t>…á ia comis on de I&gt; punciones 1 Las Cortes recibieron con agrado una ex osicion de D. JosefAn|*fs, acompañando un egemplar de su obra int.tu ada : I.ih^s .te la prc v .reíales. E: Sr. Canea levó el dictamen de la cnm¡s:on de Hacienda ae rea I ¿misó n de ánimos y suma escasez, de dinero que hay en Fsrana y me~ de lo» pre'Upu.»to&gt; de lo» m.D.stcnos de la Gobernación de la Pen...— IJm óv.; y se mandó pasar á la comisión especial encargada de exarai…</t>
  </si>
  <si>
    <t>…tamien conforme al reglamento. Se acordo si nombrase d cha cerní, on . y que to de la villa de M'ó d sobre la rifa d: vanas casas que ha construi pasasen á ella la proposición del Sr. Canea y la adición del or. Mu do d- los fondos públicos ni-miopale* n la plaza de la Constitución, narriz. opinaba que podía conc-d-rte el permiso para U rifa de de has casas, Se mandó pasar á la comisión de Hacienda un oficio del Sr. secre proponiendo vinas m-dda*…</t>
  </si>
  <si>
    <t>…haber padeci y por consiguiente debe dejarse á su cargo toda acuella fuerza que es do el Sr. preopinante. necesaria para llenar estos objetos, y de lo contrario las Cortes cono El Sr. Canea: Yo miro á la milicia nacional como el sosten d: la» cerían en un objeto que no les pertenece; par io mismo la simple lec fb-rtadis, y no puedo menos de recor lar a ¡as Cortes que cuando la tura del art. 355 de ia Constitución es bastante para convencerse de…</t>
  </si>
  <si>
    <t>…su primer Monarca constitucional. comisión á la ■ b|Ccon puesta por el Sr. secretario del Despacho : a io El Congreso aprobó la proposición, y se levantó la sesión. que repuso el Sr. Canea: No creo que puedan estar obligados ios indi Idem del ir. viduo» de ui a cctnrsion á -esponOcr a las objrcione» que se pongan á Se diá cuenta de varios dictámenes de las comisiones sobre diversos un dictamen que los mismos individuos retiran; srb t ludo, la o…</t>
  </si>
  <si>
    <t>…lvió se impri Rico, A.lan , Rona-ro, Onde, B-zman-., G-ruz, Luque , Vil amiesen los estados de ambas memorias. nuera, Domenecii, Bi xa O iv« , Ni v, A:onz», l.i'.io , Belmonte, El Sr. Canea: El Congreso ha visto por Lis exposiciones del minis Escobe do , Abteu , Saaveirs, Serrano, pjr.ii:. |o, p r:er JJ.Joaqu n), terio los tremendos sacrificios que necesita hacer ia Nación para poner Soberon , M:ca , 5- oane, Sequera. ríe), lo , Garmeodia , ójer…</t>
  </si>
  <si>
    <t>…ga en el proyecto de no solo podía separar á lo* gefes provisionalment -, lo que no puede la ConsMucp n. producir el buen efecto que »e desea, porque no se proveen estas placas Ei Sr. Canea: Fn el proyecto que ha citado S. S. no veo mas que amo interinamente en oficiales beneméritos y dignos de confianza. e! dictamen d ■ un p.it.cuiar , y por lo mi.n.o no coniuma naca iu Se leyó el artículo 71 de dicha ley á petición de un ir. diputado.que S. i.…</t>
  </si>
  <si>
    <t>…dar si co •ia, d.b n los eclesiásticos avange'icos prestar el juramento s emenmún cas i Gobi rno »»ta r so¡ucion. te ,1 tiempo de ord narte: «Prometo ser fi-l i mi Rey Jcvít.mo K1 Sr. Canea cont-Mó qu» est: d creto no se había mandado ex h. M. el Rey de Pruna , mi Soberano y primer obispo , de~ suer tender, porque ya s: taba que ei Gobierno pod a reñir mano de loa te qu; procuraré trabajar para el mayor bhm del Rey de todos lot productos de los…</t>
  </si>
  <si>
    <t>Cañedo, Casimiro</t>
  </si>
  <si>
    <t>Casimiro Cañedo</t>
  </si>
  <si>
    <t>1761 ya operación fueron heridos algunos , y entre el'os D. Casimiro Cañedo, órdenes que le dió »quel , quLr. se diiouso í -.ilir con la derejs g ;;.e i ayudante decampo del general, y D. Ramón Narva-z c!e la p'.J-.a ma encontrar ¡Os cab;ci.la» que estibar, inme.ai.trs 1 r.ur-.t'z: poj.c:or..s. yor, este de fusil y aquel con una pied…</t>
  </si>
  <si>
    <t>Cañedo, Joaef Ortega</t>
  </si>
  <si>
    <t>Joaef Ortega Cañedo</t>
  </si>
  <si>
    <t>…a. Reunidos en la ciudad de Tarragona los Sres. jueces de hecho Don __29. Alcabalas de Ubrique, Bmaozar y Grazalema, partido de Ron Irradio Flotats, el barón de las Cuatro Torrea, D. Joaef Ortega Cañedo, da, en Granada, juro 450^mrs., en la misma cabeza__r. Papel sella L&gt;. 1 edro Perena , D. Luis Este ve , D. Joaef Garriga, D. Pedro Ram* do de Málaga, juro de 187,500 mrs., en la citada cabeza. bauo. D. Francisco Ignacio Pelleja y D. Antonio Fulla, después de…</t>
  </si>
  <si>
    <t>Cañedo, Manuel</t>
  </si>
  <si>
    <t>Manuel Cañedo</t>
  </si>
  <si>
    <t>….cus." ros , mi!.taris__ Regidor O.'.oa; ''cccciado Barrera, padre dó diputa Ei er. Buey : No he.¡o .cíente en que pase ei artículo con do; 12 ó 13 oSc V.s del re,-¡miento núm. 4, D. Manuel Cañedo, forme rrtí. particu'arrs—Estos sor. los único’, de qut ha hab.do noticia , á pesar de Las autoridades cóiles ócb’n prevenir te da c'.jsí ds d.lites para que á la fecha están presos corno 60. que en el o, no ca.gin ¡os hutnloes , en io cual la sociedad ¡.alia…</t>
  </si>
  <si>
    <t>Cañedo, Ramón Mana</t>
  </si>
  <si>
    <t>Ramón Mana Cañedo</t>
  </si>
  <si>
    <t>…mas sedi miertos. La comisión opinaba debia pasar este expediente al Gobierno. cioso; y aun ss añade haberse distribuido dinero, lo cual parece ha Otro relativoá la exposición de D. Ramón Mana Cañedo, oficial berse hecho á cierta distancia de allí por algunos sugetos vestidos mayor de la Hacienda pública, acompañando varios egemplares de so de artesanos.... Los jóvenes que manifcsttron sentimientos hostiles observaciones sobre la misma. La cornisón opinab…</t>
  </si>
  <si>
    <t>Canel'.as, Agustín Antonio</t>
  </si>
  <si>
    <t>Agustín Antonio Canel'.as</t>
  </si>
  <si>
    <t>…nto distrito militar: comandarte!* general. Ls comisión de Hacienda opinaba que debía acceder»? i la solicitud 1 » Al contemplar por el papel que vmds. se han servido dirigirme de D. Agustín Antonio Canel'.as para que se le perdonasen 11,871 rs. con fecha 18 del actual el espíritu patriótico que anima á esa bene que adeudaba al Crédito público por no bab r cobrado los derecho, do mérita milicia nacional voluntaria de ambas armas, no hallo expresio- minicales, de q…</t>
  </si>
  <si>
    <t>Canel, Lope Díaz</t>
  </si>
  <si>
    <t>Lope Díaz Canel</t>
  </si>
  <si>
    <t>…para plazas de jueces de primera instancia de Galicia, en esta forma: Certificaciones...................*.................................... 904 á 4. para el partido de Rivadeo á D. Lope Díaz Canel; para el de Vivero Inscripciones del Banco.............. 784. i D. N colas María Almoina; para el da Sta. Marta de Ortigueira á Deuda con interes....................................................... 794. D. Nico'as de Barto’omé Alvarez y Pardo; para el de P…</t>
  </si>
  <si>
    <t>Canelo, Josef María</t>
  </si>
  <si>
    <t>Josef María Canelo</t>
  </si>
  <si>
    <t>…n Josef Rada, teniente del regimiento infan fantería de Aragón, con 570 rs. tería de 'a Corona, con 570 rs. Teruel á D. Juan Ramiro, teniente del regimiente infantería de Guadix á D. Josef María Canelo, teniente del regimiento infante Guadalajara, con 570 rs. ría d- Africa , con ¡,7o rs. Toledo A D. Antonio Pelaez, teniente del regimiento infantería Guadalajars á D Benito Escalante, teniente del regimiento de za de la Corona, con £70 rs. padoras, con 570 rs…</t>
  </si>
  <si>
    <t>Cañero, Pedro</t>
  </si>
  <si>
    <t>Pedro Cañero</t>
  </si>
  <si>
    <t>…onta existente de la testamentaría del mariscal de campo D. Josef Casimiro duría de Astúrias. de la Valle, cuyos autos penden en el juzgado de la comandancia ge Oviedo interventor D. Pedro Cañero , oficial primero de la conta neral de este primer distrito militar, ha señalado el Sr. auditor de guer duría de aquella provincia. ra para la junta de los acreedores , el dia 14 del presente mes á las 11 Játiva administrador D. Juan Bautista Olive, oficial d…</t>
  </si>
  <si>
    <t>Canes</t>
  </si>
  <si>
    <t>…zapadores en ia glorieta que se forma entre la pueita del ard n t: ¡tá no: hasta los de los capellanes y cirujanos poae , y u. vez vtrtmos nico y parte lateral del Museo: Infante D. Canes rr.ír.-rt- d.i :d ñc'o tambo.n el de los soldados ; pues en ello p ,dra haber ai. ua m.st.no de dvl Musco, y la primera calle de árboles á la izquierda, tomand» el política. Nuestros lectores se fu,ti liarían al ver un par de docenas de punto de vista d.sde e…</t>
  </si>
  <si>
    <t>Canfín, Manuelsiendo</t>
  </si>
  <si>
    <t>Manuelsiendo Canfín</t>
  </si>
  <si>
    <t>…Marisno Alagues, D. Simón Viré», D. M¡- nales de la villa de Sitges, d.claran haber lugar i ¡a formación de cau Sel1 SierraLaborda,y O. D.JuanJuanFranciscoJosef SavironSantoUria;, D. Manuelsiendo Canfín,de dictamenD. Cristo-con desa,l8aa.=shabiendoVicentedisentidoAleño,D. JoaquínAgustín Jaunwandieu,Busques. BarcelonaJaime 11Bosch,de JunioFé trajo D. Mariano Espafiol y de los Hoyos y D. Pedro Nolasco La- lix lilla, Felipe Bertrán y Ros, Josef F.oiats, Erasmo…</t>
  </si>
  <si>
    <t>Canga</t>
  </si>
  <si>
    <t>…ón alguna. Ademas indicó que este no te del clero procedente» del diezmo &lt;t ahora mucho menor. Dice lambien nia una misma dotación ni iguales fincas , no solo en las provincias el Sr. Canga que á pesar de no haber podido averiguar con exactitud enmearadas entre .1 , sino aun entre ’os clérigos que pertenecían á la suma de las rentas del clero, sin embargo la penuria del estado ob1 i» Sins d? ellas: pues en tru.on v. gr. había mil eclesiásticos q…</t>
  </si>
  <si>
    <t>…ensar no es y lustre del culto divino. Que el argumento que había hecho S. S. acer justo ni arreglado á buena lógica que partamos ahora de aquellos' da ca de lo que habia dicho el Sr. Canga \ rgü:lle* en su memoria , re los falso* para señalarle la cóogrua. ¿Pero, señor, es necesario in sultaba contra sí, porque los 600 mi'loms del vítor de los diez demnizar a los partícipes legos de diezmos? Convengo en ello, yes mos , y 200 de ¡os producios de…</t>
  </si>
  <si>
    <t>…las Cotíes sin este alteraba el pacto fundamental: si se dijese que ia comisión debía tratar, auxilio. de proponer solo medidas legislativas por no ser bastante»,^ as actuales, El Sr. Canga dijo que este era un caso contrario al de uno de los podía contestarte que cuando la tranquilidad pública Atese alterada, el anteriores expedientes , pues en aquel decía un diputado de Yucatan mismo Gobierno sena el prtuero en pedirlas como se había visto en…</t>
  </si>
  <si>
    <t>…por lo .cánones, ti convendría qae se pusiesen en exacta observancia* mismo y* no podía dudarse que te citaba minando el edificio social, y Después de una corta discusión entre el Sr. Canga, Rico, Prat y «Me cato no d.-be *er indiferente al Congreso, porque no debe dejar otro Sr. diputado te resolvió que te tuviese por primen lectura. íe adelante esa turba de faccioso*; y supuesto que la* Cortes pasa- Se dió cuenta de una exposición de D. Tomas…</t>
  </si>
  <si>
    <t>…te habló prolijamente en la junta preparatoria, fectos habian tenido las anteriores para desaprobarse. y te dijo que era de absoluta necesidad que se tuviese este caso presente El Sr. Canga manifestó que la comisión de Poderes había dicho en para lo sucesivo. La verdadera nulidad en aquellat elecciones no fue la la }unta preparatoria, cuando presentó so dictamen, los defectos que ha falta de exactitud en el repartimiento de electores, sino la qu…</t>
  </si>
  <si>
    <t>…medidas de la Nación española, reunien mente que estuviesen concluidos. do al expediente todas las memorias y documentos que haya sobre el Finalizada la lectura de la memoria, el Sr. Canga dijo: ” Las Cortes particular. habrán visto como yo sin satisfacción que no ha sido en vano el deseo El Sr. Gómez Becerra dijo que el nombramiento de una comisión que he tenido de que se empezara hoy a leer la memoria del ministro especial siempre tenia incon…</t>
  </si>
  <si>
    <t>…posición, nece al cuerpo moral del Gobierno, ó á los individuos personalmente. la aprobaré por mi parte. Las Cortes digan al Gobierno que envié aquí Fn cuanto á lo que ha dicho el Sr. Canga acerca de que se presente todos los documentos necesarios para ampliar la memoria que se ha leí lo trabajado sobre las reformas que d.ben hacerse, yo me encargo de do ; pero que si por una casualidad no lo pueden hacer en el momento ello, porque la com.uon ha…</t>
  </si>
  <si>
    <t>…titución y el re cios de sus respectivo* ramos , y que solo respetaban le ley, y no la prác glamento. . tica. El Sr. Infante dijo: Fsta proposición es indeterminada , porque el El Sr. Canga dijo que las prácticas del Congreso debían ser respe asunto está resuelto, y á mí me parece también que tanto el regla tadas por el Gobierno y todo el mundo, asi como el Congreso res mento como la Constitución nos sacan del apuro ¡ el articuio de ia petaba at…</t>
  </si>
  <si>
    <t>…cc-jV que está ya mandada, y creo que en caso de se exija la responsabilidad al secretario de lí:-ci-cr.da. aprobarse a’.una propc.s.cion sobre este asunto debe ser la de haber El Sr. Canga: La proposición qae se ha he»ho la cor.s:dero muy hi. o á ex eir la responsabilidad de parte de los demás secretario» del justa; pero la responsabilidad no es de un secretario solo, sino de to D apacho que no cumplieron lo que estí mandado con respecto á la d…</t>
  </si>
  <si>
    <t>…mente discutido por 63 votos concualquier destino en virtud de la declaración de formación de causa, tr» sryo entiendo que no puede ser extensivo al cargo de diputado i Cortes, El Sr. Canga dijo que una comisión respetable de las anteriores Cor porque la ley habla solo de los empleados públicos: asi pues yo apoyo tes opinó que debia tenerse por procesado aquel que habiéndole cogido la proposición, lo primero porque la suspensión solo se entiende…</t>
  </si>
  <si>
    <t>…e discutido, y que tos , de cualquiera naturaleza y denominación que fuesen.” dó desaprobada la proposición. Se nombró la comisión especial que se ha de agregar á la Eclesiásti Ei Sr. Canga: Leídas las memorias de los Sres. secretarios del Des ca para informar sobre la proposición del Sr. Prat acerca de los cáno pacho ,:,y hallándose las Cortes en disposición de empezar sus tareas, nes, y la componían los Sres. Fuente y Ríos, Alcántara, Garoz, p…</t>
  </si>
  <si>
    <t>…r las que tu de la independencia y de la libertad, debe Uanaar en este momento la vieran por conveniente. atención de Jas Cortes'. Este tiene actualmente las ordenanzas del año El Sr. Canga manifestó que sus proposiciones no tendían á semejan de 68, de las cuales unas son sabias , otras medianas y otras monstruo» te cosa , sino únicamente á que la: Cortes se ocupasen de loa asuntos sas. La suerte del ejército está aun en esta parte sujeta al cap…</t>
  </si>
  <si>
    <t>…ados.que armados con palos El Sr. presidente manifestó que según las noticias que se acaba dieron gritos de vha ti Rey absoluto, cosa sumamente extraña y escan ban de comunicar al Sr. Canga, se observaba que se estaba reuniendo dalosa en la capital de 1»Monarquía, cuando se halla reunido.el Con en el puente de Toledo un pelotón de gente. greso nacional, y cuando el Monarca tiene declarado que no se le dé Se leyó la siguiente proposición del Sr.…</t>
  </si>
  <si>
    <t>…w JotefNovoa, D. Gregorio López y otros oficiales del re diese hacerlo por hallarse sin disfrutar sueldo. gimiento de León, para que se decíate si ciertas cantidades que se les El Sr. Canga manifestó no había necesidad de cata excepción, par deben se les han de satisfacer &amp; no por el Crédito público. cuanto el Gobwrno debería acudir y recomendar al Congreso el indi Entró la comisión especial nombrada i consecuencia de los sucesos viduo que no te…</t>
  </si>
  <si>
    <t>…lencio, y yo tam terfugios, es una cosa á la verdad muy extraña. El Sr. Falcó pretende bién me vine á la mia. que la disposición que propone el dictamen de la comisión no pueda El Sr. Canga: El Sr. presidente ha dicho que en el puente de To adoptarse por una medida legislativa; pero yo pregunto, testan las Cor ledo i las cuatro y media de la tarde aun permanecía gente reunida; es tes autorizadas para poder dictar todas las medidas necesarias par…</t>
  </si>
  <si>
    <t>…el opinaba que esta solicitud pasase con recomendación i la de Premios. .apoderado r nte de Canarias, por la cual ie le mandaba apremiar para el Después de algunas reflexiones del Sr. Canga sobre la necesidad dt f 1 medio diezmo correspondiente i un monasterio de aquellas hacer efectivo el premio concedido al padre del que dió él primer mo isla.: una exposición de un ciudadano espafiol, acompañando una vimiento á la gloriosa revolución de España…</t>
  </si>
  <si>
    <t>…rero general, No se admitió á discusión la siguiente adición del Sr. Munarriz á pido á las Cortes que inmediatamente exijan del Gobierno tas causas las proposiciones aprobadas del Sr. Canga: &lt;&gt; lJido á las Cortes se sir por que no se han rendido dichas cuentas, y que las presente en el ter van acordar que no se admita á discusión ninguna propos cion nueva, mino de un mes, y se exija la responsabilidad a quien haya iugar.” salvo en el ca,o en que…</t>
  </si>
  <si>
    <t>…enta según lo que se prevenía en la ley vigente que trataba de la por lo demas los Sres. secretarios estarían ocupados para poder remitir tesorería general : á lo que manifestó el Sr. Canga que desde Junio i dichas cuentas á las Cortes. Diciembre del año de 10 no habían podido presentarse las cuentas , en El Sr. Ojero: Para sacar algún fruto de la presentación de las cuen razón de que no habiéndose acordado los presupuestos hasta el mes da tas d…</t>
  </si>
  <si>
    <t>…cuyas cuentas han este abismo de confusión de la Hacienda pública en que nos hallamos de reunirse en aquellas, las hayan remitido con sus correspondientes sumidos. documentos. El Sr. Canga, como de la comisión, contestó : Se tacha á la comi 3. a En cuanto á las medidas que la contaduría mayor indica en los sión de una especie de inconsecuencia, porque ha propuesto que se es puntos 6.° y y-3 de su informe, y que quedan copiados, entiende la co t…</t>
  </si>
  <si>
    <t>…sa del medio diezmo de lo cual no son muy afectos , y generalmente solo lo hacen los cura* su feligresía. párroco*. Por consiguiente no creo que aquello* puedan ser 4 próposito El Sr. Canga: Es muy importante que se tome resolución en este para examinar á estos, porque ademas de lo que llevo dicho, no saben negocio, porque todos los días voy teniendo noticias de eclesiásticos prácticamente *1 pnodocon que sa han de conducir en lo* pueblo* pan qu…</t>
  </si>
  <si>
    <t>…bre de 1820 para su permanencia, opinaba que en cada año modo con que la comisión ha cumplido su encargo. los gefes políticos, en un ion con los diocesanos, remitan al Gobierno El Sr. Canga: Hago proposición formal para que ese sable se colo una relación del estado de los conventos de sus respectivas diócesis que en el sautuario de las leyes. y distritos con su parecer, y de los que se hallen en el caso de ser su El Sr. Prat: La misma comisión,…</t>
  </si>
  <si>
    <t>…o de la comisión, propuso que después de las pa pasase á la comisión. labras 20 ojitialt, se añadiese i lo mas. Se procedió á la discusión del dictamen de la comisión de Guerra El Sr. Canga apoyó que se fijase este máximum de 20 oficiales, y •obre la planta de la secretaría del Despacho del mism &gt; ramo , cuyos en cuanto á la juma auxiliar de guerra manifestó que mandándose la cuatro primeros artículos fueron propuestos por la comisión de las an…</t>
  </si>
  <si>
    <t>…estaban comprendidos en ls ley de re de documento entregado para ata fin no entrara en la regla general. Octubre de 1820: una consulta del Sr. secretario de Gracia y Justicia, El Sr. Canga contestó que la documenta presentada i liquidados relativa á si el P. Palomo, general que fue de la orden de la Merced, no estaban en ocaso da que se trataba, y que era menester hacer ésten, podra egerccr las funcionas de tal en los países extiangeros donde h…</t>
  </si>
  <si>
    <t>…militar y político, que la gaceta como premio debido a s..c virtudes.” dando las cosas «reí estado que tuvieren por el término de seis años, Se aprobó la siguiente proposición dei Sr. Canga: - Que se poe A durante los cuales no se remiun fueteas A las provincias que se han se la comisión que entiende en examinar el estado del reano d expedien gregado de la metrópoli, ni el Gobierno espafiol te mezcle en las ne te robre los sucesos de Galicia, de…</t>
  </si>
  <si>
    <t>…sido se presentan son contrarias á la Constitución, y por tanto pido que se fallido el cálculo de las Cortes'pasadas. lean los arts. 340 , 341 y 34a de «ta. Leídos estos, pidió el Sr. Canga La contribución territorial es cierta y determinada , y no puede de que se leyese el 339. jar de valer lo mismo que se ha dicho. La de consumos es otra contri El Sr. secretario de Hacienda continuó: Las Cort» han visto en es bución cierta y determinada de too mi…</t>
  </si>
  <si>
    <t>…censo do este tenia preparados los materiales para poder satisfacer i las du estadístico del año de 99. das que ocurriesen; pero yo recuerdo al Sr. secretario del Despacho que El Sr. Canga: En Cádiz se dió fi lux una memoria, compuesta poc en el primer dia que leyó al Congreso la memoria de su antecesor, una junta de individuos escogidos del. comercio y de las principa ó del individuo que la-hubiese escrito, se le indicó que presentase les ofic…</t>
  </si>
  <si>
    <t>…rigoroso quieu : La conduela dt l&lt;it saivages comí ite en corlar ti árbol para en. y circunstanciado de los presupuestos. ger ti fruto. Con este motivo dué que lo que ha dicho el Sr. Canga respeo» El Sr. secretario de Hacienda dijo que el censo ¿ que se habia re to á la economía no e&gt; muy exacto, porque no se puede arreglar la ferido el Sr. preopinante no tenia la exactitud correspondiente, poi de una nación por la de una casa particular. Al pa…</t>
  </si>
  <si>
    <t>…rado Me contraeré pues al punto principal de la cuestión, •clarando varios hecho* de su discurso anterior. cual es, que est irnos en el caso de que la Nación no puede pagar mas El Sr. Canga: La comisión lo que ha tratado de hacer es conocer que 500 millones. Esto resulta primeramente por el cálculo de la co aproximadamente cual es la fuerza del pueblo para después entrar en la misión , y en segundo lugar por ei raciocinio exacto que está á la vi…</t>
  </si>
  <si>
    <t>…or arreglar los ru «n ella el del corriente, y la consternación en que quedaban sus ha* los del estado. bitantes por los insultos y tropelías que sufre la provincia de parte de El Sr. Canga contestó: S. S. sabe que las contribuciones no son los dos gefes superiores de ella, piden á las Cortes se sirvan tomarlo mas que los instrumentos para cubrir los gastos, y ya he dicho veinte en consideración en la sesión de esta mañana, y acordar las medidas…</t>
  </si>
  <si>
    <t>…o.......................... ............................... ............... é por 100. toda la Nación. Corufia.................................................................. El Sr. Canga después de hacer algunas reflexione» sobre el carácter dócil de los valencianos, en cuya provincia habia tenido el honor da Santiago................................................................. 1 por 100. mandar, y la proporción de conocer la índole de su…</t>
  </si>
  <si>
    <t>…o Se l.-yóel dictamen de la comisión especial, nombrada en la sesión el resultado de esta conferencia. Los Sres. secretarios del Despacho no de ayer á virtud de la proposición del Sr. Canga. La comisión, después creyeron oportuno deferir al deseo qus la comisión les manifestó rela de hacer varias observaciones sobre los últimos acontecimientos de tivamente á las medidas que á su parecer debian tomarse con respecto t Valencia, de los que resulta…</t>
  </si>
  <si>
    <t>…aera ¿ Tsturiz, se declaró rugientemente discutido joo libertad, que todo el mundo «abe. haber lugar á votar. En seguida te declaró este asunto «téjenteme ate discutido , p que El Sr. Canga presentó la siguiente proposición : * Que el Gobierno dó aprobada la segunda medida. _ * é la mayor brevedad informe del estado en que te encuentre el cum La tercera la suspendió la comisión. plimiento de los decretos generales de ha Corto , manifestando en s…</t>
  </si>
  <si>
    <t>…una oficina con un sueldo excesivo. Lléva propone el Gobierno para el año económico.” nos dos «ños de Constitución, y todavía no se han presentado laa Se leyó otra proposición del Sr. Canga, relativa i que el Gobierno cuentas respectivas de la tesorería general. Por consiguiente contrayén- •emita desde luego los datos que supone hay en et departamento del fo doase á la cuestión, debo decir que la comisión está pronta i examinar mento, el expedie…</t>
  </si>
  <si>
    <t>…Constitución para hacerles creer: t.°que lo han perdido todo por Se prorogó la sesión por una hora mas. U que actualmente tienen ; y i.° que tienen un ínteres en restablecerla El Sr. Canga manifestó «pie aun en el caso de que el Gobierno i toda costa. Asi que, sin que trate yo ahora de «gravar la culpa que hubiese tomado algunas providencias reservadas , podía común, car las á haya podido haber en esta desgraciada catástrofe, visto esto no pue…</t>
  </si>
  <si>
    <t>…xaltadas han hecho bajar el papel, y se ataca en lo mas mínimo al Gobierno, apruebo en todo la ptopasi. que en medio de estas discusiones acaloradas se están formando pro «ion «Id Sr. Canga. yectos para traer capitales de fuera del reino, é invertirlos en empre Declarado el punto suficientemente discutido , te decidió no habet sas útiles. Ciúéndomo á la cuestión, que se ha extraviado muchísimo, lugar á votar sobre la primera parte de la proposic…</t>
  </si>
  <si>
    <t>le* concediesen arbitrio* i 6a ds atender i tus gastos municipales, opi El Sr. Canga dijo que la comisión de Hacienda no desconocía la naba (¡ne debían pasar al Gobierno para cjut informase. Aprobado. fuerza de Ja, razones indicadas por los Sres. preopinantes; pero que haLa misma, en vista de la solicitud del ayuntamiento de S. icen- b a teni…</t>
  </si>
  <si>
    <t>…holandeses, 15 bremeses, 13 dinamarqueses, ’p por S. M. antes de este decreto. hamburgueses, 6 portugueses , 3 suecos, 4 «sidos , 3 posas de pr-ta* Se leyó el voto particular del Sr. Canga , «n el que disentía de U sin bandera , uno prusiano y uno hameveriano , que hacen el gran toral mayoría de la comisión solo en la última parte, y opinaba que el decre de 1322 embarcaciones, inclusas 96 de guerra, de las cuales 42 eran to de 1 3 de Marzo no d…</t>
  </si>
  <si>
    <t>…es las leyes y lo que aconseja la conveniencia púb ;ca, ha propuesto que tricciones que propone la comisión. mientras haya magistrados cesantes sean preferidos siempre que retinan Sr. Canga: Yo entiendo rectificar una observación del Sr. preñpi- las cualidades necesarias. ¿Qué tiene esto de particular : ;be quiere aca iantc. Ha dicho S. S. que el número actual de cesantes por el ministe so que el consejo de Estado pueda nombrar para un tnbuoal s…</t>
  </si>
  <si>
    <t>…el acerbo común del a* tencias que hubiere en el día procedentes de los diezmos; cosa que no dio diezmo. puede ser mas justa; y en el art. a.", que en dicho repartimiento el mí El Sr. Canga apoyó lo que había dicho el Sr. Infante acerca de qat nimo de la congrua, que se ha de considetar á los curas párrocos , sea lacantidad de 300 ducados era corta para la decente cóngrua de sa de goo ducados. Mirando esta cuestión políticamente, ¡cómo pudieran…</t>
  </si>
  <si>
    <t>…des tas recaudadas. Respecto de la contribución llamada de subsidio can- atendida; por io mismo las Cortes deben tomar ur.a m-dida para que rengo con la idea que ha manifestado el Sr. Canga de que d. be quitar estos puedan teñir alguna dotación , y se les compute la d;e.-:r con te, pues es bien cierto que en algunas partes tienen que pagar el 50 grua qnr d ben gozar. Por estas razones la conns.on lia tratad., de piepor too para cubrir esta contr…</t>
  </si>
  <si>
    <t>…á esto en beneficio de la Nación, bajo estos principios no creo desprecio á que es acreedor, y no hablar mas de él. quilas Cortes deben aprobar la proposición de que se trata. Eli Sr. Canga pidió que constase en las actas, y de usa minera pu El Sr. Ojeroi La proposición que se discute es sumam.nte sencilla, blica , lo que se acababa de manifestar. pues que se reduce á fomentar nuestra agricultura protegiendo la salida E. Sr. Galiano: Las Cortes…</t>
  </si>
  <si>
    <t>…ue nunca conocieron la gratítnd, el deber y la Cortes hácia aquel establecimiento y demas de su clise. 'usticia; en una palabra, para los hipócritas y preciados de sabios, para El Sr. Canga mapifestó que se interesaba tanto como el Sr. La{ os parricidas furiosos , que viviendo de sueños y de quimeras quieren puerta en la prosperidad de los estudios de S. Isidro, cuyas ventaja envolver i todos en sus fantásticas ilusione» &amp;£.” ( Veast el ruto tn…</t>
  </si>
  <si>
    <t>…artícipes lega»; 7 cantidad á que ascendía el medio diezmo, y el Sr. Lapuerta refutó los después de todas estas rebajas ¡se quiere que el medio diezmo no set datos que mi amigo el Sr. Canga presentó dias pasados acerca de U can suficiente para atender al clero? Culi sea la causa por que con el media tidad a que ascendía antes el diezmo en Espafia. Pero yo tengo en mi diezmo no te pueda pagar la» 30 millones, yo creo que no «s dificíl el poder un…</t>
  </si>
  <si>
    <t>…ecido et Sr.preopinante, se declaró éste a»uncontrarían sumamente embarazadas. 01 suficiente mente discutido'. Asimismo ha creído ia comisión que podría haber ¡untas diocesanas El Sr. Canga preguntó paré votar, *i el Góblerno t*r.-a probabili que no necesitasen tanta parte del subsidio como las demas, y en efec dad de cobrar la contribución del subsidio, i ¡ó que contentó ci señor to la diócesis de Toledo no podrí entrar en parangón respecto de…</t>
  </si>
  <si>
    <t>…o nembre se había inserí!" el nifestando que ha sabido se solicita igual t r:ni &gt; por o ro Trabador, salón. por lo cual pedia i las Cortes que se desaten - : .ol.citud de este. El Sr. Canga contestó qu: la comisión había cre:do ¡nut 1 re.\r:r m A la comisión de Ultramar se pasó una expo. c cu de D. Antonio su dictamen lo. méritos de Vida!, porque juzgaba qu; no he'."..-, n.i. dei Valle y Castillo haciendo varias observaciones, las cuales pedia .…</t>
  </si>
  <si>
    <t>…on, D. Francisco López Olavarrieta, D. Antonio María Es •probarse el dictamen de la comisión en su totalidad. - pejo, D. Matías Pínula, D. Tomas Marta Zanon-, y habida la confe El Sr. Canga: Yo considero al estado eclesiástico como una dase rencia declararon por unanimidad haber lugar á la formación de causa. de ciádadanos públicos, y no hay cosa mas monstruon que caté al ar bitrio de esta clase aumentar su número cuanto quieta.: El poner tul Ha…</t>
  </si>
  <si>
    <t>…, y se resol ción , relativa á Ja revalidación de los farmacéuticos. Quedó aprobada. vió que pasase á la primera. La comisión de Instrucción pública presentó su dictamen acerca El Sr. Canga leyó el presupuesto de gastos de tos Cortes presentado del expediente promovido por el ayuntamiento de Vergara, sobre esta por la comisión de Hacienda. blecimiento en aquella villa de una universidad de segunda enseñanza; Continuó la discusión del dictamen ‘d…</t>
  </si>
  <si>
    <t>…ue se le aumenta £1 Excmo. Sr. comandante general del departamento ha aprobado se su pensión. Aprobado. que se esnblexcan en la vigía de I* torre deTavira de esta ciudad las sé El Sr. Canga leyó el dictamen de la comisión de Hacienda sobrs llales siguientes.—Una bandera holandesa en el tope del asta significa el presupuesto de la secretaría de este ramo, y se mandó imprimir. estar á la vista embarcación sospechosa. — Una bandera roja con aspa* S…</t>
  </si>
  <si>
    <t>…que lo que hace mas falti -* un código de procedi S* se rdó asimismo que quedase el dictamen sobre la mesa. mientos, porque generalmente las detenciones en las causas no se ad El Sr. Canga leyó el dictamen de la comisión de Hacienda acerca vierten precisamente cumio el juez falla. :Quién es el juez que en este del ofic:o del s.cr.rario de este ramo , en que se proponía el modo caso ignora la pena qu: deb: imponer á un delito í ;Qu en ignora cuj…</t>
  </si>
  <si>
    <t>…la-palabra tudas; por consiguiente también alguno*artículo! , que tampoco habían pasado í la cornisón. la generalidad rase se suprimió ct relativa i laa cauraa criminales. Esto El~Sr. Canga expuso que el art. 141 de la Constitucóa decía lo fue lo que las Cortes acontaron; pero'no por eso se debe suponer que que debía hacerte, fe cual no te habia hecho; y que deseaba saber tí te 'quisieron que te-desecha-a á generalidad de todos tos tribunales. h…</t>
  </si>
  <si>
    <t>…sumos en loa fruto* y efectos de la Espafia ultra marina 1.033,449 rs. y a a mrs. . Congreso. .. ... Productos por el a por too de administración en el comercio exte de no poma Ei Sr. Canga manifestó que le comisión de Hacienda sistir de la opinión que habia presentado en un principio á las Cortes; rior 411,711 rs. y 19 mrs. y que en este caso te habia visto obligada á dar tu dictamen en aquellos Producto por el derecho de navegación ó anclage y…</t>
  </si>
  <si>
    <t>…tado á las Cortes acerca de las elecciones de Puerto-Príncipe; y respecto de la solicitud de Cancelada. te manifiesta en ella qne algunos electores de esta provincia asistieron El Sr. Canga dijo que la comisión no habia tenido presente este de á las «lecciones de la Havana en virtud del ilegal llamamiento del creto , sin embargo de que consideraba que no estaban en el mismo ca gefe poiít co D. Nicolás Mahy. Pero esta y otras reclamaciones debes…</t>
  </si>
  <si>
    <t>…Búrgos , que te indicaron en la sesión extraordinaria del 9 de Marzo: le que debía ser reintegrado en su destino. y se mandó pasar é la comisión donde existen los antecedentes. *1 Sr. Canga: Debo decir qne ai alguna cosa tiene Cancelada en su Se dió cuenta de un oficio del mismo Sr. secretario, acompañando favor para inspirarme interés, es haber sido compañero mió de sufri 100 egempiarea del reglamento de milicia nacional presentado por el mient…</t>
  </si>
  <si>
    <t>…o mas ó menos ; el de 6o3 tan 33 ó 40O, porque tos unos tienen mas obligaciones que los otros, en 4-O , y asi sucesivamente. é igualmente están sujetos á mayor responsabilidad. El Sr. Canga: Con mucha satisfacción mía he oído el discurso que Por estas razones la comisión de Hacienda ha marcado con toda le ha dictado al Sr. preopinante su zelo y patriotismo, como as.m s.mo igualdad ta contribución que debe gravitar sobre les empleados públi he vi…</t>
  </si>
  <si>
    <t>…o que no, se tuvo por primera curia, que son también tan improductivos como los empleados públi lectura. cos. Por estos medios se conseguir i.qn: la Ntcioa vaya saliendo del es El Sr. Canga leyó el dictamen de la comisión de Visita del Crédi tado en que se encuentra. Me parece también inutii que en el dictamen to pábl ico sobrz la exposición de la justa de aquel establecimiento he de la comisión se diga que se rebaja tanto por ciento á tal ó cua…</t>
  </si>
  <si>
    <t>…jo había pade tas cualidades las tienen ahora, ó las tenían igualmente cuando dis cido el Sr. ptvopinantr. frutaban Iip9 rs.! No habiendo variado estas ocupaciones, yo creo que El Sr. Canga: La propuesta de la comisión del Gobierno no !ia si deben jgczir el iüismo sueldo; y habiendo una necesidad de que se ha- do injusta, ni tampoco la de la de Cortes. No lo ha sido la primera, por £nvidtióerelortnascitartiSujetostodas ilasellas.clases del Estad…</t>
  </si>
  <si>
    <t>…ante el juez competente: los Sres. Riego, Grases y Galiano minuta. Los enemigos del sistema se han valido de este medio para des opinaban que debia separársele de su destino; y el Sr. Canga creía que se acreditar al Congreso, desacreditando i cada uno de los individuos que debía apercibirle, y suspenderle de su destino y sueldo por cuatro meses. le componen. Asi pues creo que el dictamen de la comisión es justo, Se leyó asimismo ei voto adiciona…</t>
  </si>
  <si>
    <t>…ne confiado el despacho de varios negocios. El Sr. Salvato, en nombre de la comisión segunda da legislación, tar sobre el voto particular de los Sres. Alava , Cuadra é Infante. El Sr. Canga manifestó que deseaba saber en qué tribunal habí* aisnifestó el conflicto en que se habían visto todos sus individuos por la de formarse la cansa al oficial Carrillo. pérd'da de la minuta dd código penal, y por la» disputas que acerca a; lo mismo se habían ag…</t>
  </si>
  <si>
    <t>…ficiales mayores de sai secretarias siderarte por las personas sensatas como una cosa muy conforme i los á 309 rs. principios de justicia, y á los de una piedad bien entendida. El Sr. Canga*. Las ideas de economía que he manifestado el señar El Sr. Prado manifestó que no podía adoptarte este artículo en Ion preopinante son exacta* hasta cierto punto; pero no asi lo que ha término» generales en que estaba concebido, pues que muchas veces dicho de…</t>
  </si>
  <si>
    <t>…echa del decretó, y dice que las Cortes declaren que las decreto de las Cortes que trata de este asunto. viudas y huérfanos de los empleados existentes hasta el dia de la fecha El Sr. Canga advirtió que no se trataba de fijar los sueldos de los del decreto que se expida gozarán las viudedades señaladas en los re empleados públicos, sino únicamente de hacer una rebaja en estos, glamentos , y que las de los que se nombren desde hoy en adelante y q…</t>
  </si>
  <si>
    <t>…ftitiirrnn. [rfmroif:Tiriln fr t~irra rn la rnminn di ibio supuesto se trataba de un mmo puramente económico, la comisión de cho, y de la parte histórica da pw ha hecho láénrioa d Sr. Canga, Uxc enda hab a deb do presentar tu dictamen en términos positivos, es tolo diré que potra con «olida las doctrina* anunciadas poc loa Salga» d qir,. si si debían pagar ú no loa derecho* de egercicio que reclaman dot, Cevaílos y otro* escritores, y que tiene…</t>
  </si>
  <si>
    <t>…ae veia en lai capitales de las mismas, donde reinaban el lujo zón opinó que debería retirarse «te artículo. y la disipación. Después de otras vanas observación» concluyó mani El Sr. Canga manifestó que había muchas comisiones en el día que festando que d-.bia desaprobarte el articulo. podían estar desempeñadas por un número mis corto de individuos que El Sr. Munarriz le apoyó , manifestando que los principal» argumen el que las constituía: que…</t>
  </si>
  <si>
    <t>…están sujetos los demas del Estado, y es de opinión de qu aun que dicho presupuesto volviese ¿ la comisión. contando con los que se podrán aumentar de resultas de la* reformas El Sr. Canga contestó: Aunque este presupuesto vuelva é la comi que hoy se indican, bajará su coste 106,705. sión, poco ó nada se adelantará, porque el literal contesto del art. 110 Viudedades. de la Constitución pone límites á nuestro zelo. En él te dice que la Importa e…</t>
  </si>
  <si>
    <t>…Gobierno la pisnta ya aprobada tin perjuicio de resolver las cuando te originan es indispensable hacerlos. adiciones. Poco después sucedió el trastorno, y quedó este ¿kpediente El Sr. Canga: El Sr. secretario del Despecho ha hablado de «na como otros muchos sin efecto alguno. Por lo demas el Gobierno ha manera que me ha causado admiración ;»su sefioría sabe muy bien que expedido una circular en que se reducen los gastos extraordinario* i un mes…</t>
  </si>
  <si>
    <t>…comisión la to de Abril de 181a por su poca adhesión al sistema, opinaba que este mate en consideración. expediente no producía mérito para exigir la responsabilidad, y que pa El Sr. Canga contestó que las asignaciones que en esta corte perci sase al Gobierno á fin de que tomando los informes convenientes proce be el nuncio de S. S. eran efecto de un concordato, por el que la Na diese á lo que hubiese lugar. Aprobado. ción redimió el pago de su…</t>
  </si>
  <si>
    <t>…supuesto, y yo también creo con el Sr. ministro de Es baja de una cuarta parte que la comisión proponte tado iyi* algunas de las plazas de que se trata no están bien dotadas. ; El Sr. Canga dijo que á pesar de las reformas mandadas hacer, toda Se ha hecho ver que toda la diferencia entre los presupuestos del Go vía estaba persuadida la comisión de que la partida de que se trataba po bierno y de la comisión, viene por último resultado á reducirse…</t>
  </si>
  <si>
    <t>…ar á todos los padres «le familia á dar la conveniente cducaci&lt;» á sitaría de los caudata «le la Nación. sus hijos, decretó que desde el afio de 1830 no gozarán los derechos de El Sr. Canga dijo que el tesorero general según ate proyecto viene ciudadanos los que no sepan leer ni escribir. En donde las autoridades 4 quedar en lo que debe ser, que es director «leí tesoro público, que correspondieron ¿ los benéficos deseos de los representantes «le…</t>
  </si>
  <si>
    <t>…rayan entregando en virtud de libra resumen de la* que anualmente te deban remitir á ia «soladura mayor.” miento* expedido* por el respectivo secretario del Despacho, y refren E. Sr. Canga manifestó que podía aprobarte este art culo akoia, y dado* por el de Hacienda, consiguiente á los acuerdos tomados en jun que cuando se extendiese se tendría presente la adición del Sr. secreta ta de ministros, que deberá llevar ct correspondiente libro de ac…</t>
  </si>
  <si>
    <t>…empre el paso seguro de sus escuadras armadas. Entre tanto se renue Laa Cortes lo oyeron con satiaiaccion. van en Lóndres los anuncios del próximo enlace del Rey Jorge rv con „ El Sr. Canga por medio de un pequeño , pero enérgico discurso, una Princesa de Dinamarca ; pero se sabe positivamente que aqnel Mo- í fue leyó , rúan i testó que en atenc;on i la solemnidad dei memorable narca ha desaprobado el plan presentado por sus ministros de cambiar…</t>
  </si>
  <si>
    <t>…s derechos de patente , no debían movimiento inesperado de tropa*. incluirse en la escala de rebaja de sueldos. Se asegura que el plan de campaña adoptado por el divan, es obra El Sr. Canga apoyó lo d ebo por ei Sr. Ferríf. añadiendo , que á de un antiguo general francés que ha gozado de mucha celebridad. Se fin de que la rebaja que sufriesen estos ind.vlduo» fUc»e un btn.ic o gún este plan, los turcos deberán atacar y llevar la guerra al país p…</t>
  </si>
  <si>
    <t>…orre dijo que se habían esparcido noticias muy equivocada* contemple necesarias para esta date de gastoe. con respecto á haberse turbado la tranquilidad en Vizcaya; que alli no El Sr. Canga contestó que la comisión procedía coa tal previsión que hab a habido facciosos, aunque no debía ocultar tampoco que se perci no solo quería que se destínase un fondo para gastos imprevistos, sino bía algún descontento, por lo mal que había sido tratada por el…</t>
  </si>
  <si>
    <t>…consideración : que casos de esta naturaleza cia no defiende á tribunales, ni á corporaciones,ni á nadie. sucedían frecuentemente , y que aun podia citar fallos del tribunal de El Sr. Canga: Los secretarios dei Despacho representan al Gobier Justicia que le harian un eterno honor. no y nosotros á la Nación; y una cosa es que este cuando sea invitado Se pregunta (continuó el orador ): ¡ton idénticas las circunstan hable cuanto tenga por convenien…</t>
  </si>
  <si>
    <t>…ias consideración, y tolo falta reunidos en un centro común. Asi pues in observaciones sobre este punto. sisto é insistiré siempre en que primero es atender á lo necesario para El Sr. Canga manifestó que según el nuevo arreglo de la tesorería sostenerse , y después vendrá tiempo en que se pueda tratar de los ob no podía esta hacer anticipaciones, por lo cual era preciso descargar jetos útiles. del presupuesto la partida de que se trataba. El Sr.…</t>
  </si>
  <si>
    <t>…ador di.'i algunas otras razones er apoyo del dictamen de la urgía, el ár. Ko,et podría hacer una proposición. comisión, uunifesund.) que et medio de Us contratas era una verda El Sr. Canga apoyólas ideas matuÁstada* por el 5r. Roset, aña dera antic pación que d.b.a producir usa suma de bienes mucho mayor diendo que no solo en la part: de Csti.uf.i se veían tác.'iosos, s no en que ¡o; ir-- nvenL.-ites que pudiess tener. casi todos los puntos de…</t>
  </si>
  <si>
    <t>…aría de beneficio en mente feudales; pero si esto fuete cierto lis Cortes hubieran dicho ter los decomisos. minantemente que lo territorial era como lo jurisdiccional y feudal; El Sr. Canga contestó que los decomisos eran enteramente del con mas no ha sido asi; y en el decreto de 6 de Agosto realmente se hace tratista. Debo también decir, añadió, que no es exacto lo que ha dicho una distinción clara y terminante. Convengo en que el señorío juris…</t>
  </si>
  <si>
    <t>…iesanirs como el de to sobre el imprevisto general, tendría que aumentarse la cantidad del imprevisto. señoríos y el de la declaración sobre la conducta del anterior m.n eleuo, El Sr. Canga dijo que el Sr. preopinante podía tranquilizarse, por no pueden gobernar le Nación española, he me llama ai orden, y si se cree que me extravío del orden, callaré; pero callaré forzado, y mi que ahora no se trataba del imprevisto, tino de qu* lo* gastos ocasi…</t>
  </si>
  <si>
    <t>…eos se destinase al objeto expresado en sión de Legislicion pira que informad st debía ex.sur o no la junta el artículo, sin determinarse la cantidad. de represalias. Aprobado. El Sr. Canga d&lt; jo que no podía convenir en lo que proponía el se La m smi comis.o - , en vista de !a exposición del ayuntamiento de ñor secretario del Despacho, ni tampoco en que la renta die correos se Carcagente , quejándose d i ir.tto: r.le de Va!.uc a, que no le quis…</t>
  </si>
  <si>
    <t>…se del contrat sta , ni el contratista del Gobierno. mo una parte del proyecto pendiente de caminos y canales. Ha hablado el ar. Ferrer de un plano; pero este, plano no existe, El Sr. Canga contestó por lo respectivo al punro que la idea de no ha existido ni puede existir. Una Nación que no tiene plano topo la comisión era que pasase í la de Canales y Caminos, i fin da que gráfico, ¡cómo ha de tener un plano exacto! Cierto es que hav urr p'adies…</t>
  </si>
  <si>
    <t>…ara que corresponda á los fines de su instituto , sin debía incluirse en él la partida de que se trataba. olvidar las economías que puedan hacerse en sus gastos , ademas de las El Sr. Canga 1 Las dificultades consisten en el modo diverso que te que dimanen de ta rebaja general de los sueldos. nemos de ver las cosas: la Nación no está obligada á pagar mas que Tampoco se rotó esta parte por estar comprendida en aquel decreto. los sueldes fijes , y…</t>
  </si>
  <si>
    <t>…festado una r pugnaren que estuvo á piqu: de comp:ometer ia siones , pues que solo se habían abolido algunas. tranquilidad, y de causar un choque ssngr enlo con los brasi.eños. £1 Sr. Canga dijo qúe estaban de hecho suspensas , porque no esta „ La comisión de negocios extrargeros presentó el 19 de Marzo tn el ban aprobadas. Congteso de los Estados- Unidos su níorme sobre el mensage del pr si El Sr. secretario de Hacienda: Las pensiones abolidas…</t>
  </si>
  <si>
    <t>…os reintegros. ( Véase ¡a ¿aceta dtl j de Mayo.) tario , no itabia neces did de la cantidad que se seriaíaba. El Sr. Septien dijo que estas pensiones por cuerna de las cajas de El Sr. Canga hizo presente cue r.o eran solo e.tos ..etc mil ores los México no eran reintegrables por el estado en que se hallaba aquel rei que se señalaban para los presid.es , pues en ei presupuesto de Guerra no ; y que ademas no parecía justo se diese esta especie de…</t>
  </si>
  <si>
    <t>…habían de ser las contribuciones. Por estas razones se opuso al dictamen aunque sea al de too. ele la comisión. Él Sr. Romero se opuso i la proposición, por cuanto en el regla El Sr. Canga indicó que el objeto de la comisión no había sido otro mento se prevenía terminantemente que asistiesen dos Sres. diputado* que desembarazar la distribución del presupuesto que te está ventilan al reconocimiento de cada hijo ó hija de los Sres. Infantes, y no…</t>
  </si>
  <si>
    <t>…exorbitante La misma comisión de-Hacienda presentó los siguientes dictámenes: que no pudiesen pagar Jos pueblos. . Uno sobre el expediente promovido por D. Agustín Abranles, se El Sr. Canga contestó que Ja comisión habia hecho esta edición en cretario-segundo del antiguo ayuntamiento perpetuo de Murcia, pata vista de la propuesta del Gobierno; pero que no tenia inconveniente que se le comprendiese en el decreto de cesantes: la comisión opinaba e…</t>
  </si>
  <si>
    <t>…a siguiente proclama: Sesión extraordinaria Jet dia 9 de Mayo. n La nación griega toma al cielo y á la tietra por testigos de que aun Habiéndose leído el acta de la antes i ot, el Sr. Canga expuso que en existe, á pesar del horrible yugo de los otomanos, bajo el cual trata ella se decía que se había m inda do quedar sobre la mesa un dictamen de ban de hacerla perecer. Precisada por las piovidencias tan inicuas como la comisión de Hacienda sobre…</t>
  </si>
  <si>
    <t>…nfortne; y so lo sufriré como diputado que soy de la Nación apañóla. Y la i cierto áV.S. para lo* mismo* fina. Madrid 8 de Mayo da El Sr. laturiz apoyó lo que habia manifestado el Sr. Canga rapecto l8aa.=Josuf de Imaz. i que la comisión de Visita no era de responsabilidad, añadiendo que ANUNCIOS. podría pasar ote expediente después de aprobado su dictamen á dicha Cartas de Leonardo Eu!a á una princesa de Alemania sobre varia ' comisión de Rapons…</t>
  </si>
  <si>
    <t>…me opongo al dictamen de la co Sa nz de Buru-.a: - P.d.ir.os qu se nombre un* comisión espe. * q- e trate «lela t orna «i-! r; m rito interior, esp.-cu mente en n parremisión. El Sr. Canga contestó que mientras no se estableciese la nueva di relativa ai modo de p.&lt;j r .a pa abra, bien sea en pro o en centra del visión de provincias, era indispensable servirse del método que la co asunto que s; discuta.” misión indicaba, es decir, que las cantid…</t>
  </si>
  <si>
    <t>…utiverio , y de habar sido víctima de la que el de Madrid , V Cteo que seria r-c. -ario ver »i han botad© n no. violencia 7 de la astucia del tirano de la Europa ; pero que tam Ei Sr. Canga: Deseo que el br. ». cr.-tir &gt; q 1- ht «labiado me d 7* bién hacia ocho años que la E»paña había visto derrocado el sis cuá'es son los exp’.ttetit** sobre infracciones .-te Con»t.tuc-on que se rúa tema constitucional , habiendo sido deshecha dos dias antes la…</t>
  </si>
  <si>
    <t>…, Tomas , Qui beneficios que podrá producir este sistema. llones , Marchámalo, Cano, Guevara , Prado, Escudero , Eulate, Mu- Ei Sr. secretario de Hacienda: Habiéndome prevenido el Sr. Canga narria , Buey, A’.vare* (D. Manuel), Latre , L.ipu-rta, Jaimes, López con sus observaciones, que son las mismas que tenia que hacer, m: li Cuevas, Sangenis, Lasala, Castcjon, Falcó, Alcántara, Becerra, Vega mitaré á indicar un punto que parece ha olvidado inv…</t>
  </si>
  <si>
    <t>…ebe aprobarse el dictamen de primera, instancia de aquella ciudad D. Tomas Benito Escamez por la comisión. sus procedimientos en la causa formada contra dicho vizconde y otros, El Sr. Canga contestó que la comisión no sa había dejado arrastrar mandando y llevando i efecto al embargo da sus bienes basta una da respetos humano», y que no había tenido otros que los que se do cosaria muy superior 4 las resultas que dicta causa pudiera tener, tan 4 l…</t>
  </si>
  <si>
    <t>…dinaria; en fin, aunque Sin embargo vemos que Valencia está sufriendo, y que raro es el d a rn aquí muramos. que no hay d-sgracia originada de la causa» que todo el mundo »*Ke. El Sr. Canga: No a de un cuerpo deliberante el tomar medida de Siguiendo «tos principios, creo que lo que pide el Sr. Surra ro es su repente, ni creo que umpoco puede pasar la proposición que te discute ficiente para satisfacer sus desea. Hasta ahora he obscrado qu~ se 1…</t>
  </si>
  <si>
    <t>tan interesante, y que por !o mismo debían punte á ¿1 dichai ettposi El Sr. Canga: Por lo mismo que el negocio ct tan importante et ciones. Aprobado. menester que todos los diputados lo tomen con calma y con circunspec La comisión primera de Hacienda presentó su dictamen sobre el ción. Contrayéndome al punto de que ahora se trata, seria de…</t>
  </si>
  <si>
    <t>…. El Sr. Ferrer (D. Joaquín) hizo algunas observaciones en apoyo Compañía dt guardias marinas. del dictamen. Se leyeron las observacone* que hacia sobre esta parte el Sr. secre El Sr. Canga manifestó que en el presupuesto del a£o de 1S jo se tario dci Despacho, manifestando que convenía en tas tebajas que la pedían 400!) rs. para sueldos de los capitanes de puertos , y en el de comisión hacia, .xcepto . n las de músicos y maestros de baile, pues…</t>
  </si>
  <si>
    <t>…padecimientos y servicios se le habilite para obtener invertirse en carenas y haberes personales de estas. algún destino, opinaba poüa accederse á su solicitud, y que era acree El Sr. Canga dijo que un hombre de su profesión no debía hacer dor á alguna lecompensa. Aprobado. mas que comparar datos con datos, y que la corpision de ninguna ma La segunda de Hacienda, en vista de la solicitud de Do&amp;a Bernar nera habia tratado de de|ar desatendida la…</t>
  </si>
  <si>
    <t>…» S'i. MM. y Sres. Infantes continúan sin novedad en su importan barcarse hasta que el buque volviese al atiera!. te salud, y las Sras. Infantas tampoco la tienen particular.” Fl Sr. Canga dijo que ai estaban incluidos en el goce de esta grati Circulares de i ministerio de Hacienda. ficación los marinos que se hallaban destinados en el Retiro se vcrifi.aria « Habiendo acudido al Rey var os particulares en solicitud de que •que lo de gozar 'as e…</t>
  </si>
  <si>
    <t>…Ha V. E. á las mismas en 17 de Abril próximo pasado, han tenido á bien ro co» la que salió de Barcelona. aprobar esta disposición. Ive lo coman icainos á V E- de su ord.n para El Sr. Canga presentó una proposición, en la que pedia se diesen SU inteligencia y efectos correspondientes. De R al orden 10 traslado á las gracias á la tropa y milicia de Catalufia por su zelo y actividad en V. E- i ios efectos oportunos. ha acio 17 de Mayo de idza. z=h…</t>
  </si>
  <si>
    <t>El Sr. Canga concluyó la lectura del dictamen de la comisión de Vi* El Sr. presidente suspendió esta discutios , y dijo que w cita del Crédito público sobre el arreglo de este ramo; j presentó ei re ría mañana: en seguida la del mensage de S. M., la del dictamen de sultad…</t>
  </si>
  <si>
    <t>…les irroga mayores gastos, pido á tas Cortes supuesto de ia Guerra se ocuparían las Cones en su di-cusi. r. qua se le asigne ¡9 rs. á cada uno de los que no perciban á lo menos El Sr. Canga dijo que las Cortes en ia sesión d- ayer rab an apro la expresada cantidad por sueldo ó pensión que pese sobre el erario bado Ds plantas de la secretaría de la Guerra y d ia de Esrado: dos público.” Primera lectura. puntos que habían quedado pendientes en la…</t>
  </si>
  <si>
    <t>…to ios se enseraba el arte d= curar, ha perteneciente al establecimiento ó cuerpo que se habia suprimido. bía algyna diferencia vntre laa enfermedades que se padecían en tierra El Sr. Canga manifestó que la comisión no había tenido de ningún de las que se 'padecían^ en el mar, que regular urente cían de dif.icntu modo la intención de dejar a este individuo sin medios de subsistir; y clase y diferíate curación. sí sr lamente la de que desaparecie…</t>
  </si>
  <si>
    <t>…que no estaba en las facultades cel s er tar o del y Oville para que se declarase nulo dicho tratado. Despacho obligar á estos individuos á prestar este jurctr.cr.io , y tn sil £1 Sr. Canga: Este es un asunto del mayor ínteres, y que ha llama concepto este solo articu o bastaría para trcr.dar rcfur.d r ei tratado, do U atención pública; y aunque los hres. de la comisión convienen pues por él aparece i los ojos de la Europa ¡a repr-.s’-r.lacion n…</t>
  </si>
  <si>
    <t>…s. A la de Hacienda. zado paza negar la existencia &lt;k semejante otden ¡ pero supongamos Otra del Sr. Alcalde para que á los jueces de primera instancia que que existe como dice el Sr. Canga, y lo asegura el Sr. secretario de hubieren sido nombrados desde el restablecimiento de la Constitución Hacienda; no perdamos de vista lo que ha dicho este último, es de no se lea exija cantidad alguna contra su voluntad por razón de mon cir, que tu antecesor…</t>
  </si>
  <si>
    <t>…están conformes loa iifinam de ln y al Sr. preopinante, creería que había habido arbitrariedad por parte comisión , y en que pase este asunto á la de Casos de rngnaiabiliilid. del Sr. Canga y suya; qua sentía decir que aquellos dos seSorcs habían para que la exija á quien haya lugar por las infrsrrinora qos en él sa procedido con poca del ¿cadera en este atonto; porque la comisión no notan había dicho que retiraba el artículo, sino solo que no s…</t>
  </si>
  <si>
    <t>968</t>
  </si>
  <si>
    <t>…shoyylaambasd.-udamuyeatrangerametafiCortea de lo que ha sucedido; y yo no be oido á nadie semejante cosa. ó loa capitales representados por esto» documentos te duplican convir(El Sr. Canga interrump o por un momento el orador pare decir qu: tu tiénJoios en inscripciones, conforme este tratado, y se aumentan ó no seCoria fue quien hebia usado de aquella expresión, y el Sr. secretario los intereses, no hay mu que examinar esta cuestión. Véanse lo…</t>
  </si>
  <si>
    <t>…er sus obligaciones; respondiente al ramo de artillería, que remitía el Gobierno; y con este y al contrario, todo lo encuentra cuando tiene crédito: otra razón motivo manifestó el Sr. Canga que era precisóse señalase un término al es et que es necesario tener en consideración la suerte de los presta Gobierno, dentro del cual remitiese todos los presupuestos, cerrándo mistas y de los tenedores de ese papel representativo de la deuda. se estos den…</t>
  </si>
  <si>
    <t>guíente veo yo que este canino, ademas de todos lo* inconveniente* El Sr. Canga contestó que la comí; ion no tenia obligación de pre gravosos que ha insinuado el cr. secretario del Despacho, envuelve en sentar 1 la aprobación del Congreso mas gastos qne aquellos que vmie-i “ iá este inconveniente económico, que si ahora se mira como desc…</t>
  </si>
  <si>
    <t>…obre cualquier materia, y que los petición del Sr. Beltran de Lia. Sre*. diputados estaban sujetos á la lejr lo mismo que otro cualquiera. Continuó la discusión del empréstito. El Sr. Canga dijo que en asuntos que pesaban dentro de las Cortes El Sr. Ferrar (D. Joaquín) dijo: Vuelvo 4 tomar la palabra sobre ao debían entender los alcaldes ordinarias, porque no era decoroso ai este negocio, no tanto para decir algo de nuevo, como para rectificar C…</t>
  </si>
  <si>
    <t>…n que era hasta el afie ca, prinsipi'mcnte desde que se prohibió la introducción de granos ex- de 1819. trangris, y nmbien fi la mala cosecha que habrá este afio en dicha is a, El Sr. Canga convino en esta modificación. puc. que en mucho* terreno* no se cogerá ni aun la semilla, pido á El Sr. A'rarez (D. Eías) pidió se dijese quién en el que debía fijar las Cuites que tomando en consideración io referido, se sirran dispo el plazo, si las Co tes…</t>
  </si>
  <si>
    <t>…estas proposiciones tar lo ominosa que seria esta medida , no tanto por los nuevos vastos como inoportunas. que iba á causará la Nación, cuanto por las nuevas exacciones que ha El Sr. Canga dijo que hab a pedida la palabra en pro ; pero era so bía que hacer á una Nación que casi estaba ya impotente, ó imposibili lo para hacer algunas obseivaciones. Yo ( continuó ) conozco que los tada de dar mas de lo que se ia habia pedido. Que era preciso pone…</t>
  </si>
  <si>
    <t>…. Se ha dicho también que con es ridades á los acreedores de que los intereses se pagarían con religiosidad. to no hace mas que aumentar empleados; todo lo contrario, ei proyec El Sr. Canga contestó que la junta directiva no podía tener el Ínte to comprende la supresión de oficina* , y la junta verá después como res que se había indicado, por cuanto sus individuos eran amovibles, y te ha de organizar su administración con mas economía, y talvez…</t>
  </si>
  <si>
    <t>…ara vrtid.r una cata jr tierras da que crean conveniente; en lo demás apruebo el dictamen de la misma. a .tiróos propios i fin de satisfacer varios atraso;. La comisión opinaba El Sr. Canga contesto que esta tomaría en consideración Jo que se que d b » autorizarse á la diputación provincia! para que dispusiese la había manifestado para proponer lo conducente , sin perjuicio de pro T■ "ta d; d chas fincas en púb'ica subasta harta :a concurrente c…</t>
  </si>
  <si>
    <t>…enda, mera de Hacienda sobre la administración general de todas las rentas con fecha de 2 del actual, me comunica la Peal orden qu-* s iuv del Estado, leído por primera vez por el Sr. Canga. » Consiguiente á .0 expuesto por V. S. en 6 di 1 mes ú t mo se ha Continuó la discusión sobre la ordenanza de la milicia nacional lervido el Rey resolver: t."1 Que todas las personas que en o suc s.vo local. lean agraciadas con honores que dcvrngan med a ana…</t>
  </si>
  <si>
    <t>…Habiéndose preguntado si habia lugar á votar sobre este voto adi gunas provincial de Espafia. Como hemos visto que se ha conservado cional , se declaró que no. Acerca del voto del Sr. Canga se dijo igual este cordon en tiempo en que no ha habido epidemia en Espafia ni mente que hallándose ya resuelta una pena mayor , no se debia pasar á riesgo de ella, debemos mirar esta manifestación del Rey de Fran discutirle. cia como un consejo de sns minist…</t>
  </si>
  <si>
    <t>…cularización , sin que tenga efecto retroactivo ni perju diar hasta el nombramiento de la junta directiva. dique á loa que se hallen en posesión de Tos bienes que hubiere renun El Sr. Canga contestó que la comisión habia prescindido en su dic ciado el regular cuando profesó. Aprobado. tamen del concepto que merecían las personas que se hallaban actual Quedó aprobado el dictamen de la misma comisión, la cual opina mente en dicho establecimiento,…</t>
  </si>
  <si>
    <t>…recaudar el medio diezmo en las ene- mí r.itt que debiese entender en las dudas legales que pudieran ocurrir- del priorato de S. Juan, presentado por la comisión primera ¿t Len»El Sr. Canga contestó que estos consultores los habia igualmente y lacion. eran necesarios en cualesquiera otros establecimientos; que los inten Se leyó la siguiente proposición del Sr. Gómez Bec^r* - ? -G -u» dentes los tenían en el ramo de Hacienda, y que el Gobierno mi…</t>
  </si>
  <si>
    <t>comisión se (odia ¿aficilitr con Im ideat de loi teBore* qué habían im El Sr. Canga leyó, el estadio formado fot le eomisioa acerca def pugnado'el artículo, disponiéndose que tanto los sargentos como loe producto de todas rentas y de la suma de todo* los gasto*, del cual re oficialas no pudiesen ser reelegidos sino después de dos afios, á me…</t>
  </si>
  <si>
    <t>…ara el 15 de Julio, ó ante» si fuese posible, publicará la correspondiente, resolvieron las Cortes que no. junta nacional el resumen general , con expresión de provincias y pro El Sr. Canga dijo que no podía concurrir á la comisión cuando se cedencias. 5.' En adelante dentro de es ocho días primeros de cada mea tratas: de este negocio, porque no entendía da préstamos , por cuya publicara la misma junta nacional el progreso que se haga en la liqu…</t>
  </si>
  <si>
    <t>…con la debida cuenta y razón y conocimiento de las diputaciones pro* por too para repartir esta contribución. vincialts, completándoseles á la mayor brevedad posible las que al Ei Sr. Canga contestó que no podía darse una ley de excepción so pronto no puedan facilitarse.” Aprobado. lo para corregir defectos parciales: que los individuos á quienes trata Art. 54. » Asimismo se suministrarán á los ayuntamientos las tan injustamente en el pago de co…</t>
  </si>
  <si>
    <t>…á que te &gt;, énviasen traordinarias: anunció que esta noche s: d.scutiria la proposición pen ay: emios. diente , y que en caso de desaprobjrs: sr continuaría la discusión sobre El Sr. Canga contestó qu: la mayor part: de las objeciones que ha el arreglo del Crédito público y sobre el estado de la Nación ; últi bía hecho tí Sr. preopinante rers bao sobre el plan admimstrat vo de mamente dijo que mañana , bajo el mismo supuesto, te continuaría la…</t>
  </si>
  <si>
    <t>…gaciones Ae la milicia.consulta del consejo de Estado , púas de lo contrario seria proceder contra las leyes. Art. 6a. » La milicia nacional local tiene por principal objeto el El Sr. Canga dijo que un canónigo no era mas que un canónigo y sostener la Constitución política de la Monarquía , promulgada en Cá un magistrado un magistrado; y como los canónigo* no eran magistra diz en 19 de Marzo de 181 2, y restaurada en las Cabezas de i. Juan dos ,…</t>
  </si>
  <si>
    <t>…gualdades por no Art. 75. «► Tampoco será impedimento para que cualquiera indivi ser suficiente aquella. duo se ausente del pueblo de su domicilio para sus negccios ó intereses Kl Sr. Canga manifestó que en esta discusión debía examinarse so particulares, debiendo en este caso brisar a su comandante para su co lamente si eran ó no adrais bles las modificaciones que la com s on ha nocimiento; y no siendo la ausencia mayor de un mes , se ¡e anotar…</t>
  </si>
  <si>
    <t>…había manifestado el que manifestaban lo sensible que le* había sido las ocurrencias de Va Sr. Ru t ai Río. lencia del dia 30 del pasado Mayo; como asimismo sus patrióticos sen El Sr. Canga: Voy á contestar á las observaciones que ha hecho timientos. d Sr. Arvíielles. Fs preciso que no olvide S. S. que en materias de Se aprobaron varias minuta* de decreto corregidas por la comisión bacirnda es absolutamente necesario contar con la opinión , y co…</t>
  </si>
  <si>
    <t>…que el deudor D. Tomas Benito Escame z. diese reglas al acreedor, obligándole á comprar en determinado tiempo. El Sr. Falcó presentó una exposición del clero de Yilnicia sobre El Sr. Canga contestó que existía hipoteca suficiente para el pago enagenacion de las fincas de las iglesias, y una proposición sobre el de la deuda pública , y de consiguiente podia fijarse un plazo para obli* mismo asunto. Se acordó que la exposición pasase á la comisió…</t>
  </si>
  <si>
    <t>…lmente en el Congreso de estas prc^ exact tud de las proporciones de las cuotas, nada le ocurre que añadir.” vincías, lo cual puede hacerse unto mas cuanto la Constitución dice Ei Sr. Canga manifestó que en la impresión se hab ati cometido er que te nombren , y no que te elijan. rores tipográficos de gravísima trascendencia en los nombres de ia» El Sr. Romero , como de la comisión , contestó: Que esta solo ha provincias y en los guarismo»; y por…</t>
  </si>
  <si>
    <t>…tener fondos que anticipar. La» Cortes dichosa El Sr. Isturiz sostuvo su voto particular contrario al estanco. y sabiamente han decretado en esta legislatura memorable el ra.do El Sr. Canga contestó á los Sres. preopinantes, diciendo que aunque mas eficaz de que todas las contratas que puedan hacer los adm.nova siempre hab a sido enemigo del atanco, y solicitó la absoluta libertad dores de la Hacienda sean pagadas religiosamente en los plazos es…</t>
  </si>
  <si>
    <t>…el artículo 31 del primer capítulo , gozarán los días de servicio terias para muchos ramos de industria. de un sueldo que señalaran también las diputaciones provinciales á cos El Sr. Canga contestó que las razones del Sr. preopinante serian ta de les fondos del pueblo, bajo las reglas mencionadas de economía y muy plaus.bles si no fuese preciso cubrir de algún modo las obligacio ordené’ Apri bado. nes del Estado, y si por consiguiente á la falt…</t>
  </si>
  <si>
    <t>…El Sr. Septicn contestó qj? no hab.a inconv.n ente en qu- se ¿ guntó si esta parte volvería á la comsion. jese en e! artícu'o qu; d hr-an parrarse con pr f r nc'a y relíeos djd El Sr. Canga: Yo quisiera pr guntar á que ha di vo'ver este articu las sales qu; se lomas.-n á psrticu ar.s; p ro qj; no cr-nv n a con o lo 4 la comisión; y mas cuando no sr h&lt; p.-un t do &lt; un in lrv dúo de dem.ir qu; había min festado el Sr. pr-opinanf , por cnar.ro ten…</t>
  </si>
  <si>
    <t>…permanente, y si por lo mismo se hace necesario un rebajar el subsidio por no pode 1 lo pagar el clero. contrapaso, que solo pu.de encontrarse en la milicia nacional; si el pe Él Sr. Canga contestó qua la comisión se h.b a atenido en esta par ligro de que esta pueda ser encaminada contra el mismo sistema qua te al dictamen del Gobierno, y que de relevsr al estado eclesiástico det debe defender obliga á tomar precauciones para evitar este grave…</t>
  </si>
  <si>
    <t>…rataban en laa oficina» peor que á sin demora, y concluyó diciendo, que debía aprobarse el articulo de turcos , y tenían que congraciarse hasta con los poneros. que te trataba. El Sr. Canga contestó que los juicios de agravios se ventilaban Declarado el punto suficientemente discutido, quedó aprebado este dentro de un plazo determinado, y qu» la» oficinas de recaudación na artículo. Art. 4* n Los apremios se verificarán con arreglo i lo prevenid…</t>
  </si>
  <si>
    <t>…ateria. Se me dirá que no obran las proh.hic.oae» todo» 'es caudación de los productos de esta contribución. efectos que son de desear : yo convengo con ota asercic.»; pero c he H Sr. Canga contestó que este asunto era menester tratarle con parsi un. ne presente que hay mil circunstancias: particular» .para.qu* a,i monia, pues debía fiarse á la buena fe de los acl*siá&gt;i»os que procuiat.an suc.da. Yo no deseo que ios atan-ele» ae «levan: hasta «i…</t>
  </si>
  <si>
    <t>…ecinos es solo pera el pago de dietas á la tropa; pues ¡as demas ges los poderes cuando &gt; cr. y ese útil. tiones, relativas á que este apremio produzca su efecto, serin de obli El Sr. Canga, contestando al Sr. secretar o del Despacho, dijo qua gación de los ayuntamientos como los únicos habilitados para perci si no sr aprobaba este articulo, resultaría que los empleados sucumbi bir el cupo de mano de) contribuyente, y responsables á ia remesa y…</t>
  </si>
  <si>
    <t>…1 “, retirado ya por la ce- el art'cu'o anterior." Aprobado. misión , y que la discusión cst iba ya concluida. Art 7.0 *1 Cualquier interesado que haya satisfecho alguna multa Kl Sr. Canga preguntó si quedaban h'potecadas las fincas del Crédi tiene derecho á exigir que se le acredite documentalmente su paradero to público ; y otro Sr. d putado contestó que se había aprobado el em en las arcas del erario público, y puede ser denunciador de su mi…</t>
  </si>
  <si>
    <t>…no porque se hubiese desaprobado el art. i 66 debían arrancarse sobre una materia de suyo muy importante. .del proyecto ios inmediatamente siguientes; y que el que se discutía El Sr. Canga dijo que lo que proponía la comisión sobre esta renta lo encontraba arreglado a! sistema constitucional, ¿ la índole de la li era ya inútil, porque el Gobierno habia remitido las tarifis de que se bertad y á la institución de la milicia nacional local, y por…</t>
  </si>
  <si>
    <t>…es que de otro modo las Corte»serian responsable» de una breve discusión quedó aprobada. de las consecuencias que podrían resu.tar de no fijar la suerte de un cuer Proposición del Sr. Canga: » Hall,rodóse en el mismo caso que el ca po que ya estaba dividido por sus intereses , y expuestos su» individuo» bal de Campos la carretera de Asturias á Castilla, pido que se haga • entrar en una guerra intestina unos con otros. igual declaración.” Aprobad…</t>
  </si>
  <si>
    <t>…staban ó no embebido» ú comprendidos tn el dictamen Granada................... ......... 34«.35í{ que presentaba ahora la comisión. Guadx.................... ......... &gt;7»./ 96 Ei Sr. Canga contestó que era preciso poner un término 4 loa pe ......... &gt;69,250 didos del Gobierno, porque de lo contrario serian estos el cuento de ......... 14.Ó50 nunca acabar: que al ministerio de la Guerra tolo se le habían rebaja Jaca..............................…</t>
  </si>
  <si>
    <t>…d-spues fue aprobada por S. M., sobre el modo de minarse en el corto tiempo que quedaba de esta legislatura.asegurar las dotaciones de sus individuos, es de parecer que d be ob El Sr. Canga contestó que las comisiones reunidas únicamente proservarse la concordia que esté vigente, y que se pasen á ia com tton ponían en dicha medida lo qua ya estaba mandado hacer por un decretode Legislación los antecedentes de cate asumo. Aprobado. La de Agricult…</t>
  </si>
  <si>
    <t>…enar el objeta alecciones de que habla el art. 34 de dicha época; sin otra diferencia á que está sp'icad*. que conservar el título de voluntario* loa que lo tienen en consecuen El Sr. Canga manifestó que la comisión suspendía por ahora lo* cia da aquello* reglamentos, y reuniéndose las compañías ó trozo* qua arta. i.° y i.° del dictamen en cuestión , sin perjuicio de loa decreto* fuere necesario para organizarse conforme al presente.” vigentes s…</t>
  </si>
  <si>
    <t>…cripciones del gran libro; y habiendo p**: noticia sobre la estadística de aquel pais. Por D. Luis de Ooís , ministro decido en rsto una equivocación los taquígrafos , avisa dicho Sr. Canga p -nipot octano que fue cerca de aquella república. Parte 1.* y »■* en ao haber sido S. S. de los que firmaron dicha proposición, la cual rt dos tomos: se v-nde en la imprenta Nacional á 33 rs. á la rústica cada ai urció en las Cortes como htcha por lot Stct.…</t>
  </si>
  <si>
    <t>…s que tuviesen aprobados loa temala , que alcanza al 18 de Junio, y no* pintan aquello en un estado suyos. bastantemente crítico. En S- Salvador entró el s de Junio una columna E1 Sr. Canga advirtió que el articulo ít hace referencia al segundo de Goatemala compuesta de 1200 hombres: los habitantes, que estaban año de la diputación general, y no á las Cortes extraordinarias , por en defensa, se ocultaron, dejándole* entrar hasta la distancia de…</t>
  </si>
  <si>
    <t>…Nación , p.dia 4 las Cortes se les llamase para que cumpliesen con es un juicio sólido sobre ella. te cargo. El Sr. Marau apoyó se acordase la impresión con la mayor urgencia. El Sr. Canga fue ¿el jnismo parecer, añadiendo que debían leer las El Sr. Prat manifestó que lo que se había hecho en otras ocasiones memorias de sus respectivos ramos del mismo modo que se hace en loa era sacar una copia doble de la memoria ■- la una para que pasas; 3 la…</t>
  </si>
  <si>
    <t>…Sr. Arcürlb*: Mu parece qu: la idea del Sr. Galrano no está sat'sfaccion de poner en not cía d- V. S. la derrota sufr-da ror los fac en contradicción con la qu: ha manifestado el Sr. Canga. De manera ciosos en la villa de Vifo's é mmecbacones de esta en &lt;1 día de .-y r, ninguna puede ser un obstccu.o la discusión del dictamen de la comi y la pérdida de mucho, muertos y h-ridos, fusil- s, ianz.’s , ca;*s de sión Je H -cienda sobre este asunto ,…</t>
  </si>
  <si>
    <t>…do, según la Gateta de Francia, ae comandante ge cias á los cumplidos, asi de la Peaínmla como de Ultramar. neral «le Attúries; encarceló peco bá en Oviedo á varios sugetos por El Sr. Canga dijo: Aprovecho cata ocasión para decir que pertenezco aospechosos; saquéo sus casa:, y luego fue le gente á las cárceles, y de á una provincia cuyo regimiento de milicia activa ce encuentra en golló á todos los presos. Asi es como los ultras alucinan á los t…</t>
  </si>
  <si>
    <t>Núas. !•{. (y cuarto*.) n»t GACETA DE MADRID. VIERNES 18 DE OCTUBRE DE i8»a. NOTICIAS DE ESPAÑA. anterior legislatura ordinaria el Sr. Canga y otro*. Se encargará k Ib prudencia del Gobierno el señalamiento de las cantidades anuales que Búrgot i% di Octubrt. podrán darse k los prelados eclesiásticos extrañados del reino, cuyo AI encargaste del puerto que le lie conferido el Gobierno el nuevo máxim…</t>
  </si>
  <si>
    <t>…ncomoda á Art. 3-d w La tropa permanente , la nacional , y aun Sos v-_c:nos, mí, y asi opino que se vete. están obligados á pt.»tar el auxilio qu: Jes pidan lo» encargados da j El Sr. Canga: Lo que quiere el Sr. preopinante es que se quite el la policía.’* &lt; nombre de policía; y esto no puede ser, porque no habría tal rrgla- El Sr. Romero ss opuso á este artículo , manifestando que ene' he 1 mentó, ni á este se le había de encabezar Reglamento p…</t>
  </si>
  <si>
    <t>…concep rer probar lo contrario respecto d • que haya quien usurpe la invrst.du to no deben comprenderse. ra de un agente de policía, es probar acato que no debe prestarse el au El Sr. Canga: D.be tenerse presente qne tratamos de un reglamen xilio de que se trata. Aquí se dice terminantemente que los encargados to , y no de un código: adema* las Cortes dei año 10 y ai sanciona de polio'* tienen voz para hacerse obedecer y socorrer en los casos qu…</t>
  </si>
  <si>
    <t>…s libertades patrias ! Si estamos riendo por la expe nada se debía conceder á ios cr.m naics extrañados. riencia que en el clero está el foco de la rebelión, ¿no debemos tratar El Sr. Canga: Bien conocen los Sres. d.curado» qu* hay cí-rtas ca de acudir al primer origen de los males? Yo creo que lo antipolítico sas que el Gobierno no las puede habUr, ni &gt;: pu d n rui car públi seria dejar de hacer site si reglo tan interesante. Asi pues la comisi…</t>
  </si>
  <si>
    <t>…Cortes ción va á atacar la libertad y á debilitar la Constitución, poniéndonos están en el caso de aprobarla. en una verdadera anarquía. El Gobierno es» muy distante de esto, y El Sr. Canga pidió se ley ese la medida 14 del dictamen de la co no puede figurarse que se Je quiera hacer la imputación de que atenta misión encargada de examinar el estado político del reino en la le contra los principios de una ley que da la libertad é los ciudadanos g…</t>
  </si>
  <si>
    <t>…o que las utilidad que debe producir ei artículo , ias Cortes deben aprobarlo. Cortes deben aprobar el urt cuio. Rl Sr. Sotos i En los términos en que se propone esta medida no Ei Sr. Canga: Pudieiu decirse que este art eu’o volviese á la ¿emi debe ser aprobada. El Sr. Arguelles ha demostrado hasta la evidencia la sión para que lo leriaclj-.r de r.-c.vc , tu.s no d.;3n de habrr hecr j al imposibilidad en que se hallaran ios pueblos de caicular e…</t>
  </si>
  <si>
    <t>…ndré inconveniente en admitir una medí- tado i las Cortes la medida sobre la suspensión de ayuntamientos. da que autorice al Gobierno para corregir lo» abusos que note en estas Ei Sr. Canga expuso que podia votarse la medida propuesta por el corporaciones, y que conozco que existen; per » de n.ngun modo esta Gobierno, y qu: de este modo no habría lugar ¿ dudas. que altera la Constitución. El Sr. Sedeño preguntó si en esta medida estaban también…</t>
  </si>
  <si>
    <t>…, no entraré en el pormenor de todas titución y del reglamento no podían las Cortes ocuparse de este asunto. las razones que hasta ahora se han expuesto por lo; señorea que han El Sr. Canga: No puedo menos de tomar la palabra para apoyar ei hablado en la materia. Entre loa diferentes argumentos que te han he dictamen de la comisión, porque he visto que apesar de haber propues cho han llamado mas mi atención aquellos que ss han fundado en el to e…</t>
  </si>
  <si>
    <t>…no el empleado público ó civil, 6 se le re A petición del Sr. Navarro Tejeiro se volvió á leer la medida. cojan los despachos si fuete militar, cumdo se nieguen á ocupar el nue El Sr. Canga : Yo como diputado no sé nada acerca de la conducta vo destino que en sus respectivas carrera* le diere el Gobierno', pero, del comandante general del pr:m;r distrito , y la representación nacio señor, cuando las circunstancias d: la patria exigen la obedienc…</t>
  </si>
  <si>
    <t>…nderían á o. S. terizas a ia Francia nos pr.ran de poder cxtend-rnos por ahora en la de si esta era una icy. relación de noticias extrangera», no por eso dataremos ds comunicar El Sr. Canga dijo que también se había hecho en sp de Junio an las mas interesantes, aunque sea «a extracto. terior una l.y pata que todo convento en donde se prestase auxilio á Francia. En París corrió la voz de que «¡ Gabinete francés no crt-.u los facciosos qu dase sup…</t>
  </si>
  <si>
    <t>…e que preceda declaración de la autoridad cosas. competente , con arreglo á los cánones para deponer á un obispo. £1 Sr. Galiano contestó que si se complicaban las leyes con mu El Sr. Canga : El Sr. preopinante supone que el asunto 4 que se ha chos artículos era el modo d: que no se ti puntualmente» y referido se ha resuelto por las Cortes con una precipitación criminal; se abria un campo á ta arbitrariedad. Que la comisión había querido y no es…</t>
  </si>
  <si>
    <t>…ento; y es de advertir que esta ahorro •probado el dictamen.' corresponde á los cuatro meses del año económico. La comisión de Guerra, en vista de la adición del Sr. Pedral vez El Sr. Canga: Yo quisiera antes de entrar en esta discusión preparar al artículo i g del dictamen de la misma sobre el modo de verificar el el campo de ella, be nos ha dicho que los movimientos que se han ad reemplazo , relativa i que se declaren exentos los ge fes políti…</t>
  </si>
  <si>
    <t>…, resultará un JeJ¡¿it de 5 millones, nuevos batallones de milicias que debían formarse, y aun no se habían sobre el cual creo qu: las Cortes proveerán lo conveniente. formado. El Sr. Canga: Si el imprevisto tiene por objeto lo que ha manifes El Sr. Arguelle* dijo que desearía saber ai loa cuatro millones que tado ei Sr. secretario déla Guerra, ni el que se pide, ni otro ma ae pedían para atender a la milicia activa eran con respecto al aumen yo…</t>
  </si>
  <si>
    <t>…o con la» los fabricantes y comerciantes; y que tratándose de reducir estas excep que estaban por discutir. ciones no era regular se aprobase otra que hasta aquí se había desco El Sr. Canga manifestó que sentia infinito que te hubiesen admitido nocido. excepciones , tiendo obligación de todo español defender la patria con Declarado este punto bastante discutido, quedó aprobado el dic las armas en la mano; y que por tanto parecía cosa ridicula qu…</t>
  </si>
  <si>
    <t>…ue parezca que se opone á la letra. La comisión ha pro usurpadores, y que «tas ideas cunden en los pueblos. cedido en este artículo, asi como en los demas, bajo la inteligencia El Sr. Canga: Ruego encarecidamente i S. S. en nombré de la pa de que la milicia para que guarde disciplina necesita leyes mas duras tria que nos díga cuál es su profesión de fe política en esta materia, y que las demás clases , y por esto cree oportuno que el desertor ac…</t>
  </si>
  <si>
    <t>…a, que dará muchísima impulso á ia Dieti germánica sanos que quedasen inutilizados en defensa de la patria. cuando vuelva á abritse. En todo caso parece que nuc tros p. liti-os ti Sr. Canga dijo que de resultas de haberse visto reducidos á pedir 110 creen ya que se trata de hacer modificaciones en la actual organi limosna muchos beneméritos militares inutilizados en la guerra de la zación de la Confederación germánica, y mucho mero» ui ias Const…</t>
  </si>
  <si>
    <t>…etos lo mismo que «los al pago de los gastos ó carga* titucio- iKti el ceu os- tni de 1:1 provio del partido, layunt-mienmunicipales. nal. .¡volita*mieuio tosblocpue cía. I tu. El Sr. Canga dijo que era muy justo que se tuviese toda considera Le- Cuar Le Cuar- Le- Cuar gua«. tos. citas. ios. guas. tos. ción á las viudas é hijos de los militares, no debiendo pagar la contri, bucion de que se trataba; porque seria un contra-principio el establecer…</t>
  </si>
  <si>
    <t>…s atención'., que es lo que ha sucedido constantemente á este cia de aijura falte comr‘:ñ* ro»« ^lü-ular. distrito desde principio* de Mayo hasta el día, pues si han entrado i. ¡ .Sr. Canga di ¡o que era indispensable el pase de esta exposición nu-vos cuerpos, tamb en han salido para Cataluña en gran número, al i una comisión; porque si bien el ór. Garelly podía haber cometido p^so que los enemigos se han aumentado, no hay otro medio que alguna…</t>
  </si>
  <si>
    <t>…pacho por uelitos cometidos en el desempelío de su minis siera que los Sres. de la comisión lo h.cíesen. terio. Ni la Constitución ni esta ley autotimn á ninguna autoridad para El Sr. Canga: Pido que se lea el discur.o del Sr. secretario de Gra proveer auto de prisión por delitos cometidos en el desempeño de su cia y Justicia, que se mandó pasar i la comisión, para que el Sr. pre secretaría, sin que precedan los trámites que en ella se fijan; su…</t>
  </si>
  <si>
    <t>…s attículos siguientes del mismo ca Las noticias de Cuspe con fecha del 14 se reducen á que no habis pítulo. novedad en toda la lima establecida nuevamente , que es como sigue: El Sr. Canga: Había resuelto no tomar la palabra en este asunto , y Las compañías del provincial de Lugo en Caspe: cuatro compañías de no lo hubiera hecho á no haber sido interpelado por mi dignísimo Oviedo en Maella, y se trata de foitilicar el castillo que hay en amigo…</t>
  </si>
  <si>
    <t>…or ó en que la patria cata en peligro propongan lo que debe adoptarte en exterior, han obrado con imprudencia, y al mismo tiempo con falta de lugar del dictamen. conocimientos. El Sr. Canga : Me levanto para manifestar con franqueza unas adi n No hay duda en que la Francia está en contacto mas inmediato con ciones que me han ocurrido, y que me parece deberían adoptarse. En !• España; pero tenemos motivo de creer que su Gobierno no satisfará tre…</t>
  </si>
  <si>
    <t>…con el objeto de ver si en ella se halla algún contrabando , porque traigo aqui escritas. aunque te hallase en ella, v. gr., tabaco , ya sé las penas en qus in El Sr. Galiano: El Sr. Canga, individuo de la comisión,. ha teni curre el que tiene géneros estancados; pero el registrar los secretos de do á bien hacer unas adiciones durante la discusión, y las ha anuncia la familia es muy diferente : en ellos están muchas veces su honor y su do pidie…</t>
  </si>
  <si>
    <t>…deración !o disciplinados, cuyos Gobiernos no conocen el nombre de libertad, y que proponía el Sr. Vsldés. que 1 aman rsbeldes ¿ los reformadores para tener un pretexto de suje El Sr. Canga dijo que loa detenidos que hubiese de resultas de esa tarlos á la obediencia. ley deberán colocarse en el parage donde estuvieran los demas que lo Un periódico ministerial ha llegado últimamente hasta el punto hubiesen sitio por otras causas; y que por lo mis…</t>
  </si>
  <si>
    <t>…s de tropa que hubiese 4.0 « Atendido el aumento de fuerza que se propone y es necesa en aquellas is'as. rio en la isla de Cuba,de donde dibe auxiliarse y socorrerse á los apos El Sr. Canga contestó que eo caso de variarse el artículo, en mas taderos de f.ost afirma, se aumentará la consignación de las cajas de adoptable la adición del Sr. Infante que la del Sr. Bringas, pues lo •que'la isla hasta un millón de duros , ó sean so millones de reale…</t>
  </si>
  <si>
    <t>…ayormente siendo sabido con como igualmente tos oficiales de los cuerpos existentes en aquellas islas. cuanta facilidad se abusa de la sencillez de las gentes del campo; asi yo El Sr. Canga dijo que mejor defenderán á las islas Filipinas sus no veo razón para que se coloque eB igual grado á los unos que á los habitantes, porque como constitucionales son les mas interesados en otros imponiéndoles igual pena. conservar el orden público, ademas de…</t>
  </si>
  <si>
    <t>…as casas. Hay diferencia entre reconocer una casa gubernativa gadas da gastos que están las provincias. mente , é intervenir en rodo* loa negocio* de la misma , y allanarla ; y El Sr. Canga apoyó el dictamen de la comisión, manifestando la no digo jo nuestra Constitución, sino ninguna del mundo hay que pue imposibilidad de hacer estos presidio* correccionalc* per» el di* i.° de da autorizar lo primero; y el hacer esto et faltar á la nuestra y á…</t>
  </si>
  <si>
    <t>…ecesidades que afligen por diferentes ramos , y para atender i porte de las consigo iciunes de que te trata. ellas debidamente ha pedido el aumento de alguna* cantidades que se El Sr. Canga: Las cantidad:* que deban destinarle para los emigra fijan por la comisión. En esta partida se pide por el Gobierno una dos franceses ¿ italianos no deben pagarte por la consignación extraor cantidad que la comisión reduce á la mitad, porque considera que en…</t>
  </si>
  <si>
    <t>…mo te han que los fondos destinados á los diferentes ramos de los ministerio» »ean quedado sin socorros- aplicados i los objetos á qo« kan tido destinados, pnes de lo contrario El Sr. Canga: Veo qae lat Cortes extraordinarias se han conveni encontraremos siempre un vacío que no pademas Henar. do en ordinarias, puesto que este es uno de ios puntos qu? deben tomar os acaba de leer el decreto por el cual ias Cortes asignaron medias en consideración…</t>
  </si>
  <si>
    <t>1646 El Sr. Canga contestó que lu Cortea no habían dado tal decreto, Declarado el punto suficientemente discutido, quedó desaprobado ni en ¿1 te especificaba que hubiese de aplicarse el sobrante de la renta el dictamen de la comisión por 48 votos contra 41, y se acordó qus de…</t>
  </si>
  <si>
    <t>…nocente de las dudas crueles de un juicio ignominioso , 7 le pone por viese el dictamen á la com.sion. otra parte al abrigo de la arbitrariedad de los jueces, 7 consta de otros El Sr. Canga: El que as Cortes hayan acordado qu: el dictamen elementos muy diferentes que el propuesto por la comisión ; solo en vuelva á la comisión no obsta a que yo como diputado pida al señor una cora aparecen ser casi idénticos, y es en que lo» individuos que Argiie…</t>
  </si>
  <si>
    <t>…dito público, pesarían sobre él mayores unos 5O hombres escasos, y gran parte de la caballería. obligaciones. I.a primera divisir n, que mandaba el Sr. Torri|Os , salió también El Sr. Canga expuso que era público el movimiento que había he &lt;!- C rt ri el 29 con dirección á Ler da. Pero el parque de artillería, cho el papel de España, Ul vez porque se han pagarlo algunas obliga b en refoTza-'o con las municones y p.rtuchos que sacó de esta capita…</t>
  </si>
  <si>
    <t>…pleados en no haya ttatado de recorrer este presupuesto con arreglo á las medidas este establecimiento. que han aprobado las Cortes para remediar loe males que sufre la Nación. El Sr. Canga: Yo no sé que derecho pueda tener este establecimien Ei Sr. Fcrrer ( D Joaquín ): El Sr. secretario de Gracia y Justicia to ni ningún otro de su especie para cobrar de la masa de la Nación y el Sr. Septien han dicho lo bastante ya sobre este asunto; pero yo u…</t>
  </si>
  <si>
    <t>…piración. Ademas debe tenerse presente que las C rt-s han acordado á creo que no debe aprobarse el dictamen. piopu ,u de la comisión especial que entendió en informar sobre las El Sr. Canga: Los señores que se oponen al dictamen se hallan en medidas propuestas por el Gobierno, que este remita todos los pane posición mas ventajosa que yo , porque tal vez se podrá sospechar que les y exp.-dicr.t s que haya relativos á los sirte primeros Cías cié J…</t>
  </si>
  <si>
    <t>…bit'da y humi'lada, ncniai e'.trí las d-mas de Europa el d .1:.pues i dictamen de la comisión tal como cata. gu do lugar qu ¡- c irr- p n le. Ya no debe .ufr r, coma sufr •. ea E! Sr. Canga; El Cu apreso de ningún modo debí decretar la for tie npo de: ab.rrec d , !,p ,m ., e quise a pernts -r . ra. a ocu mación de una .egion extrangere. Vengan enhorabuena cuantos quie par un lugar en e. cat lugo de ,r.s pu b.&lt;a. c v. zaú». La Espi'a por ran ■ d.…</t>
  </si>
  <si>
    <t>…nión pasase á una comisión es cuartel general en Bdaguer ; pero nada se traslucía de las operaciones pecial. u'tenores___El mismo día ascendía en Bi recio na á 517 el número de El Sr. Canga fue de opinión de que este asunto debía pasar á la comi capotes y a 30,721 rs. para acudir al abtizo de las tropas. sión de Hicienda, pues para que pudiese ser examinado por las Cortes __Ei dia 4 de este mes se cerraron las Cortes de Portugal, habiendo extrao…</t>
  </si>
  <si>
    <t>…r, y otra del Sr. Pedralvez á varios artículos de Procesiones. la ordenanza militar aprobados por las Cortes. Art. 4.0 » En las procesiones de imágenes del santísimo Cristo, la El Sr. Canga dijo: Un ataque que acaba de recibir nuestra inviolabi Virgen ú otro santo, las tropas por donde pasen descansarán sobre las lidad de parte de una corte extrangera me obliga á tomar la palabra : armas, los tambores tendrán ¡a caja al hombro, y los oficiales s…</t>
  </si>
  <si>
    <t>…cepción y en el de Santiago, patro y compañía con 12 soldados en los términos preüjid is en el art. 60. nos de topaba, saiva triple. Cabo Je tamboree , Je cornetas ó trompetas. El Sr. Canga: Ecr.o aquí tanto d; mano» á Su. Teresa , cuanto qus Art. tí4. •&gt; A c.¡ siquiera de esta ciase acompañará ia m'tid de los fue d -cl .rada por las Cortes patrono d. L»par.a. tambores, cornetas ú trompetas de su cuerpo, cu ios térana.s explica Ei Sr. Infante di…</t>
  </si>
  <si>
    <t>…Sr. Infante apeyó el articulo, manifestando que el dia 34 de naturaleza de los créditos procedentes de capitalizaciones, y en el 26 Marzo recordaba , como habia dicho muy bien el Sr. Canga, las glorias del mismo decreto las personas á quienes te dispensa la gracia de ad de la Nación, adquiridas arrollando é sus enemigos. mitirse, llevando en sí las dos quintas partes de créditos con interes, El sr. Ruiz de la Vega: El dia 14 de Marzo recuerda á…</t>
  </si>
  <si>
    <t>…qus no necesita la por un tiempo determinado ; luego pueden las Cortes decretarla; y por consiguiente no es menester 1» sanción. Pot lo demas no puede ca sanción del Rey. Dice el Sr. Canga que no hay leyes perpetuas &gt; es verdad; pero laa ber duda en que nos hallamos en las círcunstaiuias de qus trata ote hay permanentes, y estas son les que el legislador dicta para los casos artículo. comunes; y encontrándonos nosotros en la necesidad da adopta…</t>
  </si>
  <si>
    <t>…u: s. propone a las Curtí», que El Sr. Sa1 vá dijo: Tanto entre .os señores que han aprobado han sido d- opmian de que no debe ir c»l: dictrto a ia sanc.on Rn ; la proposición dtl Sr. Canga como entre los que &gt;as han dr.apro y claro -s que seria poner. » en uo coniproaiiso el obligar.»s á nácef bado ha habido muchos que han reconocido que en este decrct - hay una ia separación d qu,. se trata. parte, que está an las facultades d: las Cottes, y o…</t>
  </si>
  <si>
    <t>…ve e! reglamento, y que se abra la Octave distrito mildar. (Valencia). El Sr. D. Vicente Sancho su discusión. po en Mora de Rublelos qu: una corta gavilla reconocía los pueblos £1 Sr. Canga : Las comisione» no pueden extender los decretos sin da Manzanero, el Toro e inmediato*, reuniendo la gente que según autorización para ei caso ; esto se verificó con la comisión de Hacien avisos tenia alistada en dicha comarca y ia de Segorve hasta ti número…</t>
  </si>
  <si>
    <t>…e lava ob*eivará uno por uno á todos los individuos, para cerciorarse del es rá cuando pueda practicarse. tado de su salud, á fin de precaver con tiempo las indisposiciones que El Sr. Canga preguntó si la tropa de marina lavaba tu ropa i bordo. notare. El Sr. lalcon contestó que la marinería y la tropa de marina lava Art. itf. »En los climas cálidos , cuando las circunstancias lo ban la ropa con agua salada, á no ser en una navegación costanera…</t>
  </si>
  <si>
    <t>….” haya, debían ponerse en parage separado, á fin de que no te propagase Habiendo convenido la comisión en esta modificación, 7 despee» el contagio de haber apoyado el artículo el Sr. Canga, se declaró el punto aufi* h¡ -r O iver hizo presente que aun no ae había contestado al ar- cientemente discutido , 7 qu-dó aprobado con la modificación. gum nto del r. Vaidés sobo* qu: ei contagio te trasladaría á todos los Art. 33. »• Los comandantes de la…</t>
  </si>
  <si>
    <t>…to se retirarán ai pa;age en que se ha Congreso debía set vine aprobar en todas sus partes la proposición del llen las dos guardias, mandará el gefe de la nueva mudar con su tropa Sr. Canga. los puertos de la saliente; y esta (cuando la gente de ella se le haya in Se procedió á la discusión del dictamen de la comisión encargada corporado) se volverá al campo con la misma formalidad. de rectificar las propuestas para visitadores de las audiencias…</t>
  </si>
  <si>
    <t>…te este es un derecho que ha egercido nuestro Gobierno, una re El Sr. Prado: Yo también pido su lectura. galía desde el siglo xv acá, y aun antes; regalía de que te han valido El Sr. Canga: Los Sres. preopinantes deben concretarse i lo que pre todos los Gobiernos para resistir á las pretensiones de la curia roma viene el reglamento; pero á pesar de esto leeré ti es necesario ei breve; na. Por lo mismo es muy fácil al Gobierno detener el pase ó…</t>
  </si>
  <si>
    <t>ni indirectas no se ha de sa'ir con las suyas: pues esto mismo está El Sr. Canga: Confieso que me serí muy d:Ceil ccnt^sur al s &amp;or mandado por muchas y repetidas leyes. Es un derecho imprescriptible preopinante, pues que en su discurso ha m.- . ¡ ei tema ce ¡a cu-súc las naciones y Gobiernos recoger los libros que atacan su autori- tion…</t>
  </si>
  <si>
    <t>…s procuradores de la Nación, sufrir los representantes de la Nación. que no tuvieron efecto por estas tretas de la corte de Roma; pero ¡ ajr Todos saben, como ha dicho muy bien el Sr. Canga, la obstina de la curia romana el dia que la opinión tenga toda la fuerza que debe ción con que se han negado las bala» á los obispos electos por tu Rey tener! En este mismo siglo de ilustración se ha visto í un obispo resis constitucional , esto es, á los di…</t>
  </si>
  <si>
    <t>…andono con la «anta alianza. Este negocio es grave , porque precisamente... (El en que se inn viendo los cabecillas, porque los seducidos van cono Sr. Casas reclamó el orden, y el Sr. Canga dijo que tenia derecho á pe» ciendo su error. No podemos dar con seguridad algunas noticias que dir una sat-sfaccion , y continuó.) Digo que es grave , porque veo dos tenemos por muy verosímiles, á saber, que la supuesta regencia de Ur« dignísimo* diputados e…</t>
  </si>
  <si>
    <t>…, contrario A la aprobación dal dictamen de la» oombtone» Ecle ■¡entra» na m icpana A ln itere , subordinado» 4 Im gefe» A au» regi siásticas p de Política, «obra la ptopoaiciondd Sr. Canga p otros safio- miento»-. p tanto «teatro A Ala como casada an avanzan par ln 1 re» dipatado*. che dependerán umbica A lm gcfim A din qm ca ln «dan | El Sr. Nanrro Tejeiro presentó una exposición de la milicia lo estuvieren nombrado*. cal voluntaria de Montart…</t>
  </si>
  <si>
    <t>…; y después de varios recuentos, en que tampoco rnii utra denes que diere ó advertencias que haga, señalándoles parage para le conformes aquellos números, se acordó á*peticion del Sr. Canga que reunión después de hecho el forrage : ea él tendrá una partida con un fuese nominal la votación. cficial de satisfacción para en lo posible ordenarlos, y no permitir Se procedió á ella, y quedó aprobado el articulo por 33 votos con que emprendan la marcha…</t>
  </si>
  <si>
    <t>…teriores, y no es culpa da ellas el que las rentas no hayan producido, lo han expuesto los Sres. preopinantes. cuando han hecho todo lo posible para que produzcan. A mayor abun El Sr. Canga: Deseo saber cuando se comunicaron á las provincia* damiento , jamas se debe suponer que hay un déficit en un estado hasta los d ecretos de las Cortes sobre el sistema de Hacienda por lo relativo que llega el fin de año, ni se debe cubrir, porque ; cuál ser a…</t>
  </si>
  <si>
    <t>…s demas obligaciones del t-vo a.puno pira ella. Artemas las Ctí-s no so'n arr-í-cr'-n as conEstado. tr.bucionrs en la legislatura pasaría at-ndi-r do a -a mrr.rr pos b •■■■-■id El Sr. Canga: Debo decir á las Cort.s que fita deuda que tarro que hab a para su cobru , s no que ¡ac luren el m-d o ci v r &gt;r o, nos ha asustado procede en su mayor ptrt; de to, au-so» en n tiempo pues que d:j-r &gt;n tjue tos pucb us fu sen ios .^ue ^ .c-e- m • r-part m en…</t>
  </si>
  <si>
    <t>…it. 8.l’de las ordenanzas mil.tares,hecha por los seño la aesion del i.° de este mes. res Zuiueta é Isturiz , rc'ativa á que lo dispui sto en est ■ artículo no se El Sr. Sutri: El Sr. Canga ha manifestado ya suficientemente cuan entendiese con r.sp-cio a. caso de presentarse ceica de una p aza marí tas razones ha tenido la comisión para reducir los pedidos d-i ministe tima buques de guerra qu. no fuesen sufr i óles para bloquearla, opi rio de es…</t>
  </si>
  <si>
    <t>…lo mismo A: t. i.9 " Donde hubiese comandantes militares de provincia , los el artículo no debe aprobarse. gobernadores de las plazas estarán bajo las inmediatas órdenes del co El Sr. Canga: Sin duda la idea de la comisión es solamente que el mandante militar de la provincia á que correspondan. gobernador ó comandante de la plaza pueda tomar todas las medidas de Art. 3 0 n Todo gobernador debe considerar la plaza como suscep precaución que crea…</t>
  </si>
  <si>
    <t>…leyesen los art». a4 y 55 de las bases or rio de la Gobernación. gánicas di los alánceles; y asi se verificó- Se declaró este asunto suficientemente discutido, y se preguntó s¡ El Sr. Canga pidió que se leyese la fecha de la orden de las Corte» habia lugar á votar sobre su totalidad. Habiendo votado por 1a afirma que trataba déla suspensión de este asunto, la cual eta de 19 de Junio tiva 56 señores, y por la negativa $7, se procedió á nuevo recu…</t>
  </si>
  <si>
    <t>1813</t>
  </si>
  <si>
    <t>…on su primera parte, relat va á el qué se paga por aduanas, no produzca mas que 30 millones, como ha que se sigan cobrando lo* derechos que hasta ahora se han exigido; de dicho el Sr. Canga. Esta consideración es preciso que no pierdan de vis lo contrario era preciso quí se me persuad.cra de ia legitimidad di ta las Cortes para votar sobre el artículo. Se dice también que de los donde procedía el adeudo á los consulados, ó de la impu,.cicn de es…</t>
  </si>
  <si>
    <t>…es que cuán á Gobierno absoluto todos ios medios posibles para sostener su tiranía; cargo de los consulados. han originado los grandes préstamos ó grandes saqueos que se ban he El Sr. Canga: El estudio profundo que por muchos años he hecho cho al comercio; el de Cádiz particularmente ha bicho grandes esfuer sobre la índole y objetos de los consulados me ha dado á conocer la zos para sostener el poder absoluto , y unido á ia junta de teemplazot,…</t>
  </si>
  <si>
    <t>…el voto particular del Sr. Abreu, variado por *u autor á existen en aquel sitio practicando la penitencia; y por II». mismo soy consecuencia de las ideas manifestadas ayer por el Sr. Canga. de opmion que este convento sea exceptuado de la regí) pueril. Los Sres. Roset y Ojén fueron de parecer que no debía discutirse El Sr. Velasco: La comisión ha fundado su infernasen un princi desde luego este voto particular, porque no podía considerarte tal…</t>
  </si>
  <si>
    <t>…do se -inutilicen cn el pacto, le creo perjudicial, porqué él militar é los so ó 30 años de ser» servicio. vicio rali ya aguerrido,tiene-muchos conocim.enro* en &lt;a 1-tica mili» El Sr. Canga: Los párrocos castrenses son considerados realmente tar, y desprecia la muerte. Si se retira 4 asta tiempo pierde la Nación uo como ios oficiases, pues tienen alojamiento y bagages, y Ib mismo cuan fuerte apoyo de su libertad é independínci*. Considerado hi|o…</t>
  </si>
  <si>
    <t>…nto, acudirán por aí ó por medio de Bajo este principio deaapruebo en todas sus partes el voto particular. apoderados i recoger los recibos de intereses que hayan devengado ios Et Sr. Canga : Que mi voto se impugne nada tiene de particular; pe referidos vales'en sus respectivas renovaciones, y á cobrar en metáli ro siento que se baga esto con un calor tan extraordinario. Acá .o seré co y papel el prmer semestre de este año respecto á los de Ener…</t>
  </si>
  <si>
    <t>…orisecttent: con mis principios. Ya manifesté rir i la barra á los individuos que en la moma se sXi resan mi cpin'on cuando se trató de este asunto, y &lt;ii;e que los honores dis El Sr. Canga, individuo de la comisión,cpmaiia en sentido contrario pensa 'os por el Congreso no eran á las persona», siró á las corporacio que ia totalidad de ia misma. nes morales. Cuando el a-, untamiento constitucional de Madrid d.ó F.1 Sr. Adan : Imparc al m mis prin…</t>
  </si>
  <si>
    <t>Canga-</t>
  </si>
  <si>
    <t>…establecer reg'as y medidas que afiancen la seguridad indivi Se procedió á la discusión del reglamento provisional de policía en dual y la propiedad particular. ras artículos. El Sr. Canga-. Se ha impugnado el epígrafe porque se llama regla mento provisional; pero las leyes de esta especie por la inisma Consti REGLAMENTO PROVISIONAL DE POLICIA. tución, y por las razones que manifestó ayer el Sr. Arguelles, deben CAriTUlO PRIMERO. ser provisional…</t>
  </si>
  <si>
    <t>Canga-Argiiel</t>
  </si>
  <si>
    <t>…bertad. Reunida la junta electoral, el presidente de los electores habían manifestado no tener libertad. hizo la pregunta contenida en el art- 49 de la Constitución; y entonces El Sr. Canga-Argiiel les dijo que al Sr. preopinante le había hecho ce dieron varias quejas por los que hablan acudido á presenciar el ac fuerza la exposición de Sarabia, pero que en tanto no debía hacerla, co to ; y entonces algunos electores pidieron quedarse solos, no para tra…</t>
  </si>
  <si>
    <t>Canga-Arguelles</t>
  </si>
  <si>
    <t>…os de que podía dispo comisión el Sr. Adan en segundo escrutinio por 6 &gt; vuios de 121: ner. Es un hecho que la fragata Alaría Isabtl salió det puerto de Cá en primer escrutinio el Sr. Canga-Arguelles por 68 voto. de taz: el diz para el mar Pacífico en ocasión que su fuerza con la existente ahí Sr. Birtoiomé por 64 de 1 2 1 ; y el Sr. Benito por 69 de 119. era bastióte para contrarestar,ó por lo menos resistir á la de los enemi Se procedió en seguida i la…</t>
  </si>
  <si>
    <t>Cangi</t>
  </si>
  <si>
    <t>…gS-2JéWS r.ifica, porque de suyo puede s.gn h.»r dede el mas exquisito sorbete Castos. hasta uu baso de agua fría ó no fría. Del salón, secretaría y comisiones, suprimiendo los El Sr. Cangi &lt;r • atestó: oslo I- que prueba es que james se han preque se hacen con el título de refresco, a l¿0 rs. cada tenttdo con t*nt) escrupulosidad la, cib.rrvac o oes rciatu as á gasto,, de ........................................~~.................—.............…</t>
  </si>
  <si>
    <t>…n. He aquí los argumentos revestidos con mil A piticion del Sr. Ouver se leyó el art. 173 de la Constitución. ó menos fuerza, de los cuales me haré cargo por el mismo orden que Ei Sr. Cangi -. Me levanto para comedir ai señor pr-opininte, y se han presentado, aunque mi digno compañero de comisión el Sr. Ga- para manifestar mi opm on, la cud es que por terrible que parezca liano ha expuesto razones muy fuertes para apoyar esta medida. esta medida…</t>
  </si>
  <si>
    <t>Canieio, Antonio</t>
  </si>
  <si>
    <t>Antonio Canieio</t>
  </si>
  <si>
    <t>…á favorecer i tanto* enemigo* co Bernabeu en ta lonja, en donde estaba el tablado, j dirigiéndose al al mo tiene el Gobierno francés, i fomentar i los qua tianan fundada tu caide D. Antonio Canieio , presidente del ayuntamiento , con tono des esperanza en Napoleón a, i enviar é todos loa descontento* dinero, ar compuesto le dijo: Yo me quiero hacer respetar, y que las autoridades mas y municionas para derrocar esa carta francesa, cuya existencia, se res…</t>
  </si>
  <si>
    <t>Canil, María Josefa</t>
  </si>
  <si>
    <t>María Josefa Canil</t>
  </si>
  <si>
    <t>…euta los mandos político y militar, y se La enm sion segunda de Hac enda informando acerca de la solicitud habia establecido un gefe político subalterno en Algecirast pero como de Doña María Josefa Canil!., viuda de un dependiente del reseuarou no debía habrlos por el decreto de división del territorio, lo hacia pre de Cádiz, ases.nade y tirado al mar por unos contrabandistas á qu enes vente á las Cort •» pire que resolviesen lo que estimasen conveniente. Se…</t>
  </si>
  <si>
    <t>Canmlicio, Félix</t>
  </si>
  <si>
    <t>Félix Canmlicio</t>
  </si>
  <si>
    <t>…ilicia activa ; y supuesto que dee s que La comisión primera de Legislación, informando sobre la solicitud no haría uso de ellos sino con la economía que es consiguiente al con de D. Félix Canmlicio de la Marina para que te le dispense la edad vencimiento de las apuradas circunstancias del erario , opinaba que de que le falta á fin de obtener una relatoria en la audiencia de Oviedo, bía accederse á lo que el Gobierno solicitaba, incluyendo en el núme opi…</t>
  </si>
  <si>
    <t>Cano</t>
  </si>
  <si>
    <t>…la quinta votación fue electo el Sr. Isturiz por 65 votos, te comisión, porque de nada serviría que se aprobasen los poderes del seniendo 3 el Sr. Villaboa, 4 el Sr. Valdés, 3 «1 Sr. Cano, a el Señor fior Escovedo si no podía tener lugar en el Congreso, y por lo mismo Marchámalo, y uno cada uno de los Sres Galiano, Lamas, Saravia, opinó que este dictamen debia volver á la comisión para que mañana Becerra, Lodares , Albcar y Manso. Total 86. ó…</t>
  </si>
  <si>
    <t>…sbal. Seguramente que la comisión no habrá compa su art. 131 dice que las Cortes tienen la facultad de hacer efectiva la rado lo que se dice con respecto al conde del Abisbal y al Sr. Cano responsabilidad de los secretarios del Despacho y demas empleados pú Manuel: respecto de este te dice que la conversación te habia tenido en blicos. su casa; y respecto de aquel dice el reo que había oido que el Sr. con Asi pues no creo que hay dificultad res…</t>
  </si>
  <si>
    <t>…rse i esta solicitud. Se mandó pasar á ia comisión de Diputaciones provinciales ia si El de la misma, relativo á la solicitud del ayuntamiento de Bailen, guiente proposición «leí Sr. Cano: •&gt; Pido á Jas Cortes que la resolución pidiendo permiso paia levantar un monumento que perpetúe la memo qtie acaban de dar declarando que el ayuntamiento de Segovia estui o ria de la célebre batalla que se dió en aquellos campos. La comisión en aptitud de no…</t>
  </si>
  <si>
    <t>…claración que solicitaba por su adición , mediante á las Cortes están en el caso de aprobar el artieu’o. razones que había expuesto el Sr. secretario de Gracia y Justicia ; que Et Sr. Cano impugnó el artículo , manifestando qne tolo te dbia- habia convenido en un todo con el dictamen que la comisión habia practicar la risita en aquellos tribusoles que se creyese, por lat quejas propuesto anteriormente sobre este asumo; p ro que h»b éniolí des d…</t>
  </si>
  <si>
    <t>…podían ocurrir ca es «te punto apoyaba en un lodo la opinión manilestada en las dis sos en que hubiese precisión de encargar una comisión de ínter» á per cusión» anteriores por el Sr. Cano sobre que lot sueldos guardasen sonas determinadas, y que reuniesen conocimientos particulares: por proporción con la riqueza de las provincias, la cual no te media, ni lo cual seria preciso qu: ae I» teñalase alguna dotación. Por esta ra tampoco ae veia en l…</t>
  </si>
  <si>
    <t>…ue hasan pedido la paLb-i-** Sesión extraordinaria del *9. Se declaró comprendida en el artículo 100 del reglamento. Se leyó y aprobó el acta de la ánima sesión extraordinaria. Ei Sr. Cano la apoyó con varias reflexiones; y habiéndose decla El Sr. Gómez Becerra leyó el proyecto de decreto presentado pof rado que uo se admitía á discusión, se levantó la sesión á las once. la comisión de Diputaciones provinciales sobre el arreglo económico, Sesió…</t>
  </si>
  <si>
    <t>…asa de Comercio de Barcelona pata que se le satisfaga el importe sobre el presupuesto del ministerio de Estado. de unas pipas de aguardiente de que se echó mano en Tarregóña ea El Sr. Cano, dispues de hacer algunas observaciones generales sobre el 1808, opinaba que debia correr la suerte da todos los demás créditos estado económico de la Nación , y sobre la imposibilidad de que loa da igual naturaleza. Aprobado. pueblos puedan pagar las contrib…</t>
  </si>
  <si>
    <t>…on el conde de Motczuma y la viuda de este título &amp;c. para que ae les continúen pagando. Hasta aquí el Gobierno ha pagado estas pen puesto. (Véo/e le ¿atete d* ayer 6 dt Mayo.) El Sr. Cano dí¡o que tomaba la palabra, no para impugnar ni apo siones, poique podía reintegrarse de las cajas de México, por cuya yar el dictamen de la comisión, solo sí para decir que podía conti cuenta se pagaban; peto hallándose aquel reino en el estado que se sa nua…</t>
  </si>
  <si>
    <t>…-y Ve ixcepcion; y que ahora , habiendo variada las circunstan primicia se recaude y administre cumplidamente. cias , examinado el asunto con mas tranquilidad , no nos parezcan El Sr. Cano hizo vanas observaciones centra el proyecto de ia co aquel'a-. ‘ p. ir tunas. ¿Pero por ventura se han agotado los talentos de misión , manifestando que no creía que se logra,e el obrero que ce pro los individuos &lt;ie la ermis on’ Las tazones que se han dado c…</t>
  </si>
  <si>
    <t>…que está en armonía este artículo con El Sr. Canga manifestó con este motivo , r-cesto de lo que habla la Constitución. El manejo y administración de los fondos públicos dicho el Sr. Cano , que S. S. podía vet ¡1» d ft 1. t-d s qu: i ca'*» paso pertenecen a los ayuntamientos, y ahora como que parece que se quie se oponían á que se 6 i' zisen estos asurtos interr,ai.ii,¡mos: y a. adió re introducir una nueva corporación que intervenga también e…</t>
  </si>
  <si>
    <t>…te cor,acimiento ó intervención á los ayuntamientos respecto de los es Sisit.n á i jra scííaías.-n los concejales el dia en que debían reunirse. tablecimientos de particulares. El Sr. Cano contestó , que siempre era muy útil á ios vecinos de Quedó aprobado ci artículo con la Variación propuesta por el señor los pu- blos c! sabrr á punto fijo el día en que se juntaba el ayunta Becetra. miento pm a dirigirle las quejas que tuviesen que hacer y de…</t>
  </si>
  <si>
    <t>…tos de suminis juicio* basta aquí experimentados.” tros otros varios liquidados en ios años anteriores. El Sr. Loriares: Desde el afio de 1819 se principiaron á comunicar Otra del Sr. Cano p.ra que no se apremie á los pueblos por los á los pueblos las órdenes mas terminantes para que liquidasen sus sumi atrasos desde 814 á 819 hasta que se haya verificado la liquidación. nistros, obligándoles á pagar todas las contribuciones vencidas durante Ot…</t>
  </si>
  <si>
    <t>…der judicial, el cual podría te- ber lugar á votar sobre la totalidad del proyecto. solver sobre este punto. Las Cortes oyeron con satisfacción la comunicación que les hacia «| El Sr. Cano te opuso al dictamen, manifestando que como había Gobierno de que SS. MM. y A A. continuaban sin novedad , siguiendo dicho cxactíaimatnente el Sr. Castejon, este asunto no correspondía mas aliviada la Serma. Sra. Infanta Doña María Francisca. é laa Cortes, si…</t>
  </si>
  <si>
    <t>…unto que las que contenía que las provincia* mas pobres han pagado con mayor puntualidad, al el dictamen. paso que las provincias mas ricas no han satisfecho la mitad de sus cu Et Sr. Cano dijo que el efecto seguro que producía la contribución pos , y esta es la causa de no estar cubiertas con puntualidad las aten directa era arruinar enteramente á los contribuyentes, f que sciia im ciones del Estado. No es mi ánimo el que te recargue á las pro…</t>
  </si>
  <si>
    <t>…e hablan dado las autoridades , dijo que cito» int resudes habían co-ndo pudiesen haber hecho los facciosos. un eminente riesgo, y le corrían en el día: v que habiendo hecho na El Sr. Cano se opuso igualmente á este artículo, exponiendo que aerv:cio tan seña! acto , no podía menos de r.con;-r Crios a ('.--tes por él se trataba de imponer una pena á ind-viduos inocentes, pues que para que los pretn a en ; en la vi 1 gtiicá deque conociendo e’ Go…</t>
  </si>
  <si>
    <t>…s siguientes dic fior-s Velasco, Sierra, Laque, Sedeño, Eseovedo, Belda, Marta, támenes : Bjey, Salivto , Ru¡z de la Vega, Lilío y Zulueta. Total 124. Una sobre la proposición del Sr. Cano, para que mientras no te ha En la marta pu di) electo el Sr. Romero por 98 rotos, teniendo yan liquidada los suministros hechos par los pueblos en tiempo de la 8 el rT. Afsnzo , 4 el 'r. Bustamante, 3 el Sr. Manso, 2 cada- uno de guerra de la Independencia no…</t>
  </si>
  <si>
    <t>…ue siendo cieito lo qua exponía, le expi?¡efe 1» exija de los almacenes nacionales. Aprobado. diese la correspi ndirnte carta de pago. Aprobado. La comisión admitía la adición del Sr. Cano para que entre los jor- La m.sma comisión epinaba que en atención i la avanzada edad de naleros txctptuadot se comprendan los trabajasteres del campo y pas Dolía Rosa Sanabna debía continuarse el pago de la viudedad que ha tures , aunque sean pagados por temp…</t>
  </si>
  <si>
    <t>…de daiios en los repartos de contribucio de los Srci. diputado* , 7 que asi lo hacía. En contenencia, aunque el nes &amp;c. desde-el afio de 14 se vayan desquitando paulatinamente con Sr. Cano sostuvo el dictamen de la comisión, se mandó que el expe forme está mandado. diente quedase sobra la mera. Otro de Ja segunda de Hacienda, al que acompañaba una lista de Se publicó como ley en Cortes en la forma ordinaria el decreto de una porción de individu…</t>
  </si>
  <si>
    <t>…ssr de estas palabra 6 de otros di faenas. Ha dicho también que la proposición a inútil: en efecto, mirada bajotribunal supremo de Justicia deberían imprimirás todos los damas. El Sr. Cano manifestó que trotándose de na asunto tan delicado ate panto de vista, no aa dirige á otra cosa sino á recordar un ert de la Constitución, que ma parece no ha infringido ninguno de los dignoshería muy conveníante imprimir las observaciones que sobro el mismo…</t>
  </si>
  <si>
    <t>eeire otra» cosas qué el come}» de Sitado tañía un reglamento, ti El Sr. Cano bim varía* observaciones para probar qve no debía cual debía sujetarse , como itimumo á las leyes que hablan del modo adoptarse el dictamen de la comisión, y entre ellas la de qu: este nin de verificar esta corporación las propuestas (tata la» plazas de judic…</t>
  </si>
  <si>
    <t>…n par aprr.bar la medida de que se trata, bi en la provincia da Avua no la correspondencia de Cataluña hasta el 16, dataríamos esperar n.uy queda regular ninguno, como ha dicho el Sr. Cano, quedara en paz, y en breve grandes acontecimientos decís.vos, que es seguran»-.me .0 úni no habrá ninguno que levante ei grito de insurrección. Yo nudigo co fi que en nuestro dictamen se debe aspirar. Hay en efecto varías cir que haya habido facciosos en Avi…</t>
  </si>
  <si>
    <t>Núm. 314. (14 cuartos.) *;"3 GACETA DE MADRID. DOMINGO 27 DE OCTUBRE DE 1822. NOTICIAS DE ESPAÑA. Después de haber contestado el Sr. Cano á las objeciones de! sef.'t Oliv.-r se d.c'aró este punto suficientemente discutido, v quedó aglo Madrid Sábado 2 6 d: Octubre. bado el a;rUuio. S. M. el Rey y SS. A A. continúan sin novedad en su importante Art 5 - Puilru-nte entrarán los que con menor edad…</t>
  </si>
  <si>
    <t>…rse del ser día hacer fraude, pues se había hallado en un pueblo en el cual, le di vicio de las armas. jeron antes de verificarse el sorteo los mozos que iban á salir soldados, El Sr. Cano: La impugnación hecha por el Sr. Romero no está en y que en efecto habían salido aquellos mismos. contradicción en manera alguna con el artículo, y solamente podrá ser En seguida se declaró este asunto suficientemente discutido, j quedó objeto d: una adición;…</t>
  </si>
  <si>
    <t>…o sea llamado por la ley, menos los hijos de viu yunta propia , justo es que se conceda i otras clases. da y los de paires sexagenarios.” La obligación de servir á la patria es El Sr. Cano : Ei Sr. preopinante se ha opuesto á la excepción 10.a, personal , es individual; y ¡ por qué en este artículo se tienen cons de- y para esforzar sus argumentos ha citado el art. 9.° de la Constitu racionrs al padre y á la madre? &lt; por qué ha de ir otro en lu…</t>
  </si>
  <si>
    <t>…s, por cuya causa no pueden El Sr. Adan dijo que las Cortes debían ser consecuentes en las ex tomar estado. cepciones, y supuesto que habían dispensado del servicio i los magis El Sr. Cano apoyó las ¡deas del Sr. Tejeiro con respecto i la des trados , jueces de primera instancia , labradores con yunta propia y igualdad que se quería establecer entre los doctores de universidades y otros, debían también dispensar i los sugetos de que se trataba,…</t>
  </si>
  <si>
    <t>…orción de sus haberes para los gastos del Estado; luego ca, para lo que pide que se mande volver á la comisión. los militares también deben contribuir. Ademas supongamos que la El Sr. Cano sustuvo que el artículo era muy oportuno, y que por Nación llega algún año á necesitar mas de lo que ahora necesita , y que él de ningún modo padecería lá moral pública, por lo que era de opt- fuese preciso que todos lo* españoles tuviesen que contribuir con…</t>
  </si>
  <si>
    <t>…-principio el establecer «te pago sobre un beber que cobreba una viuda, por haber su marido sufrido al efecto los descuentos. rXIlUMAlES. Después de haber impugnado el artículo el Sr. Cano, diciendo que Por sentencia definitiva de 12 del corriente, dada en la causa cri debían pagar las cargas municipales Jas personas de que se trataba, pues minal que te formó contra Isidoro Jan, natural de Poyata del Hoyo, que disfrutaban los mismos beneficios…</t>
  </si>
  <si>
    <t>…ente algunas providencias ge Quedó aprobado el dictamen de la comisión. nerales sobre la imprenta; pero ¡quiénes son las potencias preponderan* La misma, eu visa de la ad.cion del Sr. Cano al art. 3 •, pa-a que tes en Verona que mas influirían en la redacción y cgecucion ds esta ae declare que la delegación haya da hacerse por escrito , y determinan nueva ley! Las tres potencias en donde se carece de la libertad de es do los casos y las persona…</t>
  </si>
  <si>
    <t>…s que se hallan an este tamen de la comilion; pero no creo que por tntdio dsl Gobierno se deplorable estado. pueden construir canales con las ventajas y economía» que te harían El Sr. Cano: Conozco muy bien la necesidad de dar impulso i por medio de particulares. nutstro comercio, y que i ello puede contribuir la cantidad que se pi El Sr. Navarro; Todos sibemos que las naciones pueden hacer con de para caminos; { pero está la Nación en el caso…</t>
  </si>
  <si>
    <t>…celona dice haberte secularizado en ocho dias detenida como sospechosa hasta que justifique tu conducta." loa religiosos siguientes: agustinos calzados 7; carmelita* a; m;rcena El Sr. Cano impugnó este artículo, manifestando que no podía nos id y 7 lagos; mínimo* $ y 3 legos; servitas ■ 5 y a lagos; donti. convenir en que porque no se llevase pasaporte en un corto tránsito, juco* * 1 y 5 legos; trinitarios uno._En una causa de conspiración for…</t>
  </si>
  <si>
    <t>…arios artículos del código revolución , y sé que los señores de la comisión están penetrados de es peca!. tas ideas; pero no por esto debe atenerse la comisión á ir- término me El Sr. Cano apoyó el dictamen de la comisión, manifestando entre dio en el csunto de que se trata, sino que si se aprueban las capitula otras cotas que el Gobierno habia obrado con mucho pulso sometien ciones , debe ser en todo ó en nada. do este asunto á la deliberación…</t>
  </si>
  <si>
    <t>…nes generales, presupuestos de gastos , provisión de empleos ó aproba entrada de los aliados. ción de cuentas. Añaden que están (altos de nua sobre todo: la fortificación está El Sr. Cano dijo que esto ao se oponía al artículo, porque este de muy reparada, y vamos i tratar de ocupar la ciudad luego, luego. cía qua debían concurrir para I* celebración de los ayuntamientos la Nu-itra marcha, combinada por Organyi, S. Juan y Pallerolt, ta mitad y…</t>
  </si>
  <si>
    <t>…anei La comisión no ha querido decir en este artículo b'ica exht. ;n j.ara la rtmoc: .n qu: para la elección. que no puedan ser secretarios de ayuntamiento ios que tengan otras El Sr. Cano costuro el aitículo, haciendo presente el influjo que te ocupaciones, tino los qu: las tengan Ules qu: sean incompat.biet coa nían en los purb c» pequeños ia intriga y la parcialidad, siendo por el buen desempeño del cargo de secretario de ayuntaos.cato. um&gt;&gt;…</t>
  </si>
  <si>
    <t>…onocía maa que un ge fe político en cada tola población, nombrándose en ellos una persona que dé cuenta á lo* provincia. alcaldes de cualquiera ocuirrncia que en ellos hubiere. El Sr. Cano contestó que habia gefei políticos subalternos que de Se aprobaron los artículos siguientes. pendían de los superiores , y qtie por lo mismo estaba bien al artículo. Art. 174. » En los pueblos donde haya dos ó mas alcaides terán El Sr. Valdés (D. Cayetano): Y…</t>
  </si>
  <si>
    <t>Cano, Josef</t>
  </si>
  <si>
    <t>Josef Cano</t>
  </si>
  <si>
    <t>…comisión opinaba que debisn aprobarse los poderes de estos dos señores estos individuos arreglados á lo que previene la Constitución debían diputado*. Aprobado. aprobarse. Asila. D. Josef Cano. La comisión opinaba debía aprobarse el po El Sr. Gil de la Cuadra: Yo quisiera que la comisión hubiera te der de esta Sr. diputado, y se abstenía de hablar de una rec íñase on nido presente que el duque del Parque es gentilhombre de Cámara en hecha contra la…</t>
  </si>
  <si>
    <t>Cano, Tomas</t>
  </si>
  <si>
    <t>Tomas Cano</t>
  </si>
  <si>
    <t>…e recomendar i V. E. á todos los de mi seguimiento , como en la tard- del dicho dia se tecibió en aquella ciudad la noticia de que igualmente á D. Liborio Perez , D. Julián Romo , D. Tomas Cano, el barón de Carondelet había derrotado i los facciosos, que en número D. Agustín Búrgot, Manuel Mufiío , Joaquín Romero y demas nacio de 2500 hablan caído sobre Caspe, y tenían estrechada la guarnición: nales de Ciudad-Real, Almagro, Cerrión, Almodovar, Totr…</t>
  </si>
  <si>
    <t>Cano, Vicente</t>
  </si>
  <si>
    <t>Vicente Cano</t>
  </si>
  <si>
    <t>…os de Estado y del Despacho D. Ramón ¿opez Feiegriu, de ia nación , y iu» rasgos de su grandiosa obra ñau correspondido de un rroGobernación de Ultramar é interino del de Estado , D. Vicente Cano do taa brillante como feliz 4 fe dignidad del objeta. 1 Pero en qué con Manuel del de Gracia 7 Justicia , D. Josef Cienfuegoa del de la Guerra, sistirá que no se han llenado completamente sus legítimas esperanzas! ves D. Francisco Osorio det de Marina , y D.…</t>
  </si>
  <si>
    <t>Cano-</t>
  </si>
  <si>
    <t>…d i .-reías-ij! s. -nr.o.” Én estos ter con el código penal mino» me par;ce que podría aprobarse el nrl c-. j. El Sr. Gómez Becerra : Aunque la comisión cree que es un caso di Ei Sr. Cano-, b-gu'amente no »é porqué rizón hay opcs:c;on á este ferente aquel de que trata el código penal, sin embargo no tiene incon artículo, pues ya se sabe que es ur.a obligan:rn de los aicrd.-s formar veniente en añadir al artículo después de donde dice » á los al…</t>
  </si>
  <si>
    <t>Cansía</t>
  </si>
  <si>
    <t>…ltima correspondencia de Odesa te si tenia que repetir contra el ayuntamiento vivo ó contra el anterior. hasta el 11 de Mayo asegura qu: de las noticias de Constantinopla hasta El Sr. Cansía contestó que según la organización de los ayunta el y se inf-ria que el reis-cffsndi, temiendo por su propia cab.za , no mientos siempre existían una mitad de los individuos del año anterior, se ha atrevido i anunciar de ofi-io que la Puerta ha dado ordene» p…</t>
  </si>
  <si>
    <t>Cantacuceno</t>
  </si>
  <si>
    <t>…uestro Otario núm. 8.a se dice lo siguiente 1 formalmente el apoyo del Emperador de Rusia en favor de los hele »E1 1/ de Diciembre último llegó de Ñápales á esta dominante nos. El príncipe Cantacuceno fue autorizado efectivamente antes de su ciudad el rx-general mahometano Osman-Agí, natural de Candía , da salida de Liorna para trasladarse á la capital de la Rusia. Por. consi- edad de 4a años, juntamente con su comitiva; y habiendo manifestado gu iente ha…</t>
  </si>
  <si>
    <t>…espera con la mayor impa Lo fue después el Sr. Florez Calderón, por 85 votos de 113, re ciencia. partiéndose los restantes entre los Sres. Gómez Becerra, Marchámalo, » Adema* del príncipe Cantacuceno, enviado i Petersbnrgo, la Salvato, Ruiz de la Vega, Cano, Adan y Gonzaicz Alonso. junta de Argos va a enviar diputados á la» principales cortes de Euro Quedó elegido después el Sr Adan por 86 votos de 123, divi pa, á fin de solicitar socorrqs. Estps diputado…</t>
  </si>
  <si>
    <t>…e Omoa: íji sobornales añil: 8 zurrones cacao: 3 sobornales blor de tierra bastante fuerte , el cual ha durado casi un minuto.” grana: 891 s pesos fuertes. Ha pasado por Drasde el príncipe Cantacuceno, uno de los princi De la Havana: 9 paca* algodón: 1114 cajas azúcar: 197 sacos café: pales personages de la sublevación en los principadas turcos de Molda a tozas caoba: un barril carey ■ 398 quintales palo campeche: t6o di via y Valaquia. Camina con direcció…</t>
  </si>
  <si>
    <t>…, de cuta jj-n-da d,r* re á Cotinto y' h-cho decapitar á todos los senadores, entre los cuales se lación á V- E. en el correo ¡nmrdiato por tío pe. tn&gt; - mi n ia p-&lt; x.bailaba el príncipe Cantacuceno. Esta noticia nos parece bien dudosa, ma sa’idadel de hoy; ai.-Iantaudo e! man í s;¿r ó V. qu per a ti pues cate príncipe se halla positivamente en Dresde *-'* semanas hace. ra no ocurre ninguna nov-dad de con,i.á r.tcicr; pu s a-ji.qj- es c; *o NOTICIAS D 8…</t>
  </si>
  <si>
    <t>Canterac</t>
  </si>
  <si>
    <t>…de este ramo sobre los retiros de los individuos dei ticias de Lima del 14 de Setiembre, y de Valparaíso de 10 de Octubre. egército de Ultramar. En Lima todo estaba tranquilo. El general Canterac había reforzado el Las Cortes quedaron enteradas de una exposición de los gefes y ofi Callao con j9 hombres ¿ vista de S. Martin, quien se contentó con ciales del regimiento provincial de Alcázar de S. Juan , en que mani mirarlos sin estorbarles la entrada. E…</t>
  </si>
  <si>
    <t>GACETA DE MADRID. DOMINGO 10 DE FEBRERO DE 1811. NOTICIAS BRTR ANGERAS. dole precedido antes el general Canterac con una división combinada pata hacer su reunión en Jauja, y obligar á evacuar aquellas provincias rx ancla. al general Arenales que las ocupaba, como en electo se verificó. San Martin ocupo la capital el 9, y la caballería el día anterior, j Parii 36 de Ener…</t>
  </si>
  <si>
    <t>…no nencia de Cochrane y el gefe del egército que se llama protector. A prin hostiles, á lo menos malévolas. (Mr. de Mircellus: no se debe hacer cipios de Setiembre se apareció el general Canterac con cerca de 49 alianza con los rebeldes : Mr. de Girardin: dad la palabra i Mr. Marhombres hícia el S. de esta capital, y después de haber estado algu cellus...... otra voz á la derecha. ¡Quiénes son los rebeldes?) nos días brindando á San Martin con una acc…</t>
  </si>
  <si>
    <t>…cono que están haciendo cosas que admiran, cosas que aunque las leo, casi cerán que este negocio ha sido entregado á manos del Gobierno en un no las creo, porque yo veo marchar al general Canterac desde Jauja al estado exánime y cadavérico; pero todos los elementos para la reunión Callao haciendo prodigios de valor; pero estos prodigios los hacen por están puestos en movimiento en aquellas provincias. El Gobierno ha que? creen que Ja metrópoli enviará…</t>
  </si>
  <si>
    <t>…del presente mes loque sigue: La* Cor S. Martin tendría que abandonar á Lima ; jr ya se hablaba de un tes extraordinarias se han enterado de lo que de orden del Gobierno bando del general Canterac , ofreciendo protección á las personas y les ha hecho presente el Sr. secretario del Despacho de Hacienda en propiedades de los extrangeros de Lima que no se entrom-ties n en ne oficio de 7 del corriente , á que acompaña el que VV. SS. le dirigie gocios polít…</t>
  </si>
  <si>
    <t>Cantero, Francisco</t>
  </si>
  <si>
    <t>Francisco Cantero</t>
  </si>
  <si>
    <t>…e coronel puertas de comercio á algunos de Ultramar, y asimismo sobre declarar D. Joaquín Alvistur, que lo es de i a misma : para la de Zaragoza á á Palma puerto de primera clase. D. Francisco Cantero , que lo es de la de Salamanca: para la de Gra A la de Hacienda una representación de Doña Josefa Castilla en nada al teniente coronel D. Josef de lieceta: ya'a la de Alicante al solicitud de ura pensión. coronel D. Francisco González Golfin : para la de Mála…</t>
  </si>
  <si>
    <t>Cantillo, Juan Dionisio</t>
  </si>
  <si>
    <t>Juan Dionisio Cantillo</t>
  </si>
  <si>
    <t>…y rn un sentido absoluto, no hay conoci Don Joaquín y D- Ramón Peinador, hermanos, D. Antonio Rúa mientos superfluos; pero teló ndo en consideración que el tnmpo con y Figutro* y D. Juan Dionisio Cantillo, residentes cu esta corte, de sagrado a la ctluciciun del pu-bio es corto, que la instrucción no es nunciaron al Sr. alcalde constitucional D. Ramón Caselias un articulo mas que la menor parte de esta educación, y que el trabajo de manos comunicado, por el qu…</t>
  </si>
  <si>
    <t>Cantolfa, Crespo</t>
  </si>
  <si>
    <t>Crespo Cantolfa</t>
  </si>
  <si>
    <t>…cía y sanidad, siempre que cedan en perjuicio del público. se le debía obligar á que diese una Sana de calumnia. Cuarto: » Todos loa delitoa y culpas que de cualquier modo y en El Sr. Crespo Cantolfa manifestó que en los recursos de nulidad so cualquier otro caso cometan loa funcionarios públicos como rales en el debía exigir la fianza de calumnia, porque parecía que llevaban consigo egercicio de sns funciones, vean civiles , militares ó eclesiásticos. un…</t>
  </si>
  <si>
    <t>Cantolla, Andrés Crespo</t>
  </si>
  <si>
    <t>Andrés Crespo Cantolla</t>
  </si>
  <si>
    <t>…a percibir de tesorería ó del Cré- D. Josef Aivarez Guerra, que lo es de la d: Patena a: pma lude l..or» I dito público lo que se le d b.a par papeles que había impreso peitene- á D. Andrés Crespo Cantolla , que lo es de la mbm»: pira ía de Pam I cíenles á la audcncia de V.uludolid. plona al coronel D. Mariano Viila: pava !a de Salamanca a lJ Flo A ia di? Hacienda un expediente promovido por Doña Antonia rencio García , que lo es de la de Gr nada: para la de Sa…</t>
  </si>
  <si>
    <t>Cantolla, Crespo</t>
  </si>
  <si>
    <t>Crespo Cantolla</t>
  </si>
  <si>
    <t>…ara oponerse i alguna disposición del Gobierno ó de lo tanto coartaba la libertad que en esto debía haber. las autoridades, ó pera impedir, suspender, embarazar ó entorpecer la El Sr. Crespo Cantolla contestó que de ninguna manera podía veri egecucion de alguna lep, reglamento , acto de justicia ó servicio legíti ficarse , pues el artículo solo prohibía el que se atacase el derecho que mo, ó para cualquier otro objeto contrario i las lepes, fuera de los c…</t>
  </si>
  <si>
    <t>Caodalija, Josef María</t>
  </si>
  <si>
    <t>Josef María Caodalija</t>
  </si>
  <si>
    <t>…i Mallorca al capitán D. Pedro Mariano Fabregnes, teniente de inmiento suizo núm 4.a, con 570 rs. fanteiía y ayudante supernumerario del batallón de le milicia active da Badajoz A D. Josef María Caodalija, teniente do infantería auper- Palma, con dio rs. al mre. aumenrio «a el batallón de la milicia activa de Badajoz , con 450 rea Medina del Campo A O. Miguel Gsucia de la Chica, teniente su tas al mea. pernumerario del regimiento infantería da Valencia, con 57…</t>
  </si>
  <si>
    <t>Caoga</t>
  </si>
  <si>
    <t>…, bía visto que no era fácil hacerlo durante las sesiones; con cuyo moti porque el Gobierno anterior había procurado rl cobro de les atrasos. vo tu autor retiró Ja proposición. El Sr. Caoga contestó que se entendía desde el afio de 14, y asi Se mandó pasar á ia comisión de Hacienda la siguiente proposi podría expresarse. ción d' l Sr. Roig: » Atendiendo al estado pobre en que se halla Menor El Sr. Zulueu pidió se expresase también que era hasta…</t>
  </si>
  <si>
    <t>Caonge</t>
  </si>
  <si>
    <t>…tido , se lev-ron os .li elector de los derechos de ciudadanía! y comprobada de un modo tan jos $7 y tog de ta Cor.stituc on á p tic on dei xr O n r , v .a o- i legal la tacha del Sr. Caonge, la junta procedió con razón ¿excluir de go Ai Jun-o di 1813 seIsre ou;va» elc-cicues en Puertú-R .0 , r le de ella; y de no h.-.b:r;o hecho asi hub.era resultado una nulidad en dec dió que fuese nominal ia vetacie n. tu* operaciones. iiabiéniose procedido a…</t>
  </si>
  <si>
    <t>Capablanca, Tadeo</t>
  </si>
  <si>
    <t>Tadeo Capablanca</t>
  </si>
  <si>
    <t>…las proposi ANUNCIOS. ciones de que se trata, pues que no sabemos los asuntos que pue den tener mas urgencia. Todavía encuentro uno que -en mi concepto es Por providencia dada por D. Tadeo Capablanca, juez de primas interesante. 'mera instancia de le villa de Illescas y pueblos de su partido, y por ame La Constitución dice que las Cortes en sus primeras sesiones deben el escribano del juzgado Salvador Hernández de Lao , se he mandado ocuparse en tomar en…</t>
  </si>
  <si>
    <t>Capapé, Joaquín</t>
  </si>
  <si>
    <t>Joaquín Capapé</t>
  </si>
  <si>
    <t>…n del Sr. \rellano. se presentaron por segunda vez el mencionado gobernador de MequiArt. a?. &gt;1 En las propu'stas de cabos primeros se seguirán los mis nenza, asociado del llamado comandante D. Joaquín Capapé, reunien mos tr imite, . examinan 10 con toda detencon las fijaciones de los ca do entre ambos la fuerza de 700 infantes y unos 50 caballos: hicieron bos s'gundo, de su compañía, y m ni Testando el capitán ó comandan se aprontas-n hasta íO raciones de pan, 80…</t>
  </si>
  <si>
    <t>Capaz, Dionisio</t>
  </si>
  <si>
    <t>Dionisio Capaz</t>
  </si>
  <si>
    <t>Gaceta de Madrid n.º 256</t>
  </si>
  <si>
    <t>…n que se manda que desde el dia en que el Estado honorarios. (Gaceta del ro.) gefe político respectivo expida Ja certificación de cóngrua á cualquier Decreto de S. M. encargando á D. Dionisio Capaz el despacho de religioso para secularizarse, no sea considerado como parte de comuni la Gobernación de Ultramar durante la ausencia del Sr. Vadillo. (Ga dad alguna para el efecto de completar el número determinado por la ceta del /o.) lep. ( Gaceta dei g ) Re…</t>
  </si>
  <si>
    <t>…in que pudiese saberse si eran creto especial rubricado de su Real inano con fecha de este día , r el solo los navarros y aragoneses, ó si les acompañaban los catalanes que Excmo. Sr. D. Dionisio Capaz, secretario de Estado y del Despacho se hadaron en aquella acción; por manera que no podía calcularse si de Marina, que lo esti dr: mismo modo para &gt;a negociación de dicho los primeros intentaban volverse á su país, ó formalizar la insurrección crédito extrao…</t>
  </si>
  <si>
    <t>Capdevila, Francisco</t>
  </si>
  <si>
    <t>Francisco Capdevila</t>
  </si>
  <si>
    <t>…encias del Estado, le dispen D. Manuel Cataban, D Manuel Josef Calzado, D. Manuel Cruzado, saron rl tiempo de servicio con Real despacho que le falt-.ba para po D. Jos tí Castro , D. Francisco Capdevila, D. Euscbio Fslcbanez, Don der obtener la gracia de hábito en la orden de Santiago, bajo el con Francisco Antonio Este vez, D. Andrés Fulgencio Blanco, D. Josef cepto de que pusiese en tesorería general lo* citados too® reales. Y no Gitpcrt, D. Pío Guas, D. M…</t>
  </si>
  <si>
    <t>Capdevila, Sebastian</t>
  </si>
  <si>
    <t>Sebastian Capdevila</t>
  </si>
  <si>
    <t>…ae hallaron ios rebos hechos por los facciosos, nacional, compuesta del sargento de caballería D Antonio Mu-ayo, cotro pipas de aguardiente , cerdo* y ctras cosaa. el cabo primero D. Sebastian Capdevila y los milicianos 1&gt;. Joseí __jj0j. j medio día asomaron una porción de facciosos por la pa-te Conde , D- Lucas Gallego, D. Htnrique GarcíaD. Andrés Juan y de C*&gt;te'lvell, é icmcdiaumerte saüó para aquel purlo una v*. D. Jotef Font, todos estos de su compañía…</t>
  </si>
  <si>
    <t>Capero</t>
  </si>
  <si>
    <t>…la resolución has hablaba en el pirrafo 5.“ se especificaban ya en el códn.. , y que ; .,r ta que el reo dé mejores pruebas de merecerla. lo mismo no habia tuzar £ la objeción del Sr. Capero ; y d mió de al Art. 1 ¡6. » La rehabilitación en los casos de los artículos 153 y 154 gunas observaciones hechas por diferentes Srcs. diputados quedó apro estará sujeta al pago de las costas y derechos de arancel que en ella se bado lodo el artículo. causen.…</t>
  </si>
  <si>
    <t>Capman</t>
  </si>
  <si>
    <t>…rtud , por decirlo as:, desconocida de Lo honebre», y tu debida justicia. Yo he renunciado el derecho de obtener empleo algu vieron pocos arb.tno» para examinar la proposición del Sr. Capman , y no: este es un derecho que la Constitución concede i cua quiera dipu resolver sobre ella. Esta cuestión se envo'v.a en otras cuestione» sufsaitado; pero no puede acordarse ninguna medida legislativa que obligue ternas, y para ponerlas en claro no era bast…</t>
  </si>
  <si>
    <t>Capmani</t>
  </si>
  <si>
    <t>…ufrido España por idea» de esta naturateza. rica d; esta proposición en las Cortes extraordinarias, estas oyeron al Yo convendré qu; es fácil que un diputado se deje corromper por Sr. Capmani, y resolvieron aprobar su proposición casi sin niguna la esperanza d; un destino ; hasta cierto punto conozco la fuerza de oposición, porque fueron muy pocos los diputados que mamlcstaron este argumento; pero ro me deslumbra, porque si es verdad que ua ideas…</t>
  </si>
  <si>
    <t>Capmani, Amonio</t>
  </si>
  <si>
    <t>Amonio Capmani</t>
  </si>
  <si>
    <t>…comisión , después de examinar el un digno diputado que reunía las mas apreciables circur.star.. s» , ti espíritu de esta proposición , y manifestar con varias reflexiones su uti Sr. D. Amonio Capmani,cuya memoria será s.empre gnu a i,•■&gt; bue lidad , y que era conforme á los atts. 129 y 130 de la Constitución, nos españoles. Estas Cortes, que fueron las primeras que »: v ..ron ea opinaba que debia aprobarse. España después de siglos de interrupción, se hal…</t>
  </si>
  <si>
    <t>Capo</t>
  </si>
  <si>
    <t>…pruebe la conducta de su enviado el Sr. SlrogonofF. para no ofender la buena fe de los contratos. De orden d: las misma* __Se habla de mudanza en el Gabinete ruso, y que el griego Sr. Capo lo comunicamos 4 V. E. para que se sirva ponerlo en noticia de S. M. de Istria será separado de los negocios ; y no seria extraño que se persi y demas efectos consiguientes. De Real orden lo traslado 4 VV. SS. pa guiera , como ya se anuncia , 4 los diplomátic…</t>
  </si>
  <si>
    <t>…os asuntos civiles, r el minutero de la Guer ra al general de infantería conde Amcktscb-j-'»'. Luego que el Gobierno griego tuvo noticia de que un cutpo de El secretario de Estado conde Capo «Tlstria salió el 18 de P ten- «pército turco habla penetrado en el Peloponeso , y que la escuadra oto burgo pura los baños de Ea» 7 Carlsbad , 7 de allí pisara en otoño al mana se dirigía hacia aquellos pirages, llamo á todos los habitantes a Congreso de Vcr…</t>
  </si>
  <si>
    <t>…onas , y un periodista -íd-.-icrt; que no hab a corrillos en ias nmrí a¿1 i Morca a negociar con los griegos no Jos dejó pasar Odiseo, y á clones de la iglesia.—Ya se decía que el conde Capo de latría ir a al congreso, y it esto se deducían consecuencias favorab ,s á los ,r e- la vuelta fueron víctimas de la crueldad del mencionado bajá. got.__Kn un puesto d; Francia se ha registrado ei equ pa~ - de: x- __El nuevo h ospodar Ghik-S entró en Bucfae…</t>
  </si>
  <si>
    <t>…mer distrito militar. (Madrid.) Sin novedad. dero de Trac n¡a cerca de las Termopila».__Se esperaba en V roña al Quinto distrito militar. (Vitoria). En artículo de S. Sebastian he conde Capo de latría, y entonces se peras-tina á lo» diputados mecos mos l abiado de las disposiciones qu: va tomando el general Xorrljos; entrar en aquel a ciodad._El duque de Wciaington debía irse a Lon y en las expresiones de que usa se echa bien de ver que su bando…</t>
  </si>
  <si>
    <t>Capoileja, Ramón</t>
  </si>
  <si>
    <t>Ramón Capoileja</t>
  </si>
  <si>
    <t>…mandante supernu Teru.t a D. Pedro Bonilla, mayor comandanta mparmi mera rio del merario del regimiento infantería do Navarra, id. tegimi-Mo infantería de la Princesa, id. Baeza a D. Ramón Capoileja, espitan de infantería y de&lt; bita1 lo» Toledo á D. Fcnpe Larroque, mayor comandante snperaumerarío de la milicia activa ele Oviedo; con loe 450 rs. al mea que disfruta de infam ría y sarst-nto mayor de la milicia activa drCuidad-Rea), &lt;d. en provincia. Tolosa…</t>
  </si>
  <si>
    <t>Capóles, Ramón</t>
  </si>
  <si>
    <t>Ramón Capóles</t>
  </si>
  <si>
    <t>…y á la derecha había ct¡os adorno, de Mosquera, D. Domingo Sancha , D. Félix de la Riba , D. Jacobo So* menos importancia. El centro lo ocupaba una fi.ura de muger, 1 Ir bregra , D. Ramón Capóles, D. Josef Marín Quiroga , D. Antonio cual los autores de la descripción llaman una hit, que tenia las piernas Rodrigues, D. Vicente Torrea , D. Manuel García Riobó, D. Ma 'untas, los brazos levantados, la cabeza hacia la entrsda de la sala, y nuel Montero y D…</t>
  </si>
  <si>
    <t>Capot</t>
  </si>
  <si>
    <t>…ra anegado en mu dier D. Santiago Wall, inspector interino de caballería, que bajo la* gre, y cubierto de luto á toda Ja Nación, si vuestros iovencibies bru inmediata* órdenes del Sr. Capot»» mandaba al escuadrón de ia milicia zo» no hubieran exterminado en pocas hora* aquellos hombres faniti nacional voluntaría de eita capital, y con ¿I envolvió á lo* guardias por cos ó despechados, que queriendo restamar el despotismo habrían roto ei flanco iz…</t>
  </si>
  <si>
    <t>Capotan, Antonio de</t>
  </si>
  <si>
    <t>Antonio de Capotan</t>
  </si>
  <si>
    <t>…S. expedida por el ministerio de Gracia y Justicia, deben satisfacerse loa sueldos de los alcaides de las cárceles y casas de corrección, y de otras Filosofiade la elocuencia, por D. Antonio de Capotan! y da Montpersonas empicadas en estos establecimientos para la custodia y asisten palsu -. un lomo en 4.° marquida, impreso en Lúndres en magnifica cia de los presos ó de los que sufren sus condenas: los gastos para su impresión y papel de vitela, he hallará…</t>
  </si>
  <si>
    <t>Cappa, Luis</t>
  </si>
  <si>
    <t>Luis Cappa</t>
  </si>
  <si>
    <t>…Tomadas todas las disposiciones para la expedición . se verificó SS. MM. y A A. aontinúan sin novedad en su importante salud. como se ve por el parte que d ó el comindante de ella D. Luis Cappa, capitán .de la segunda compañía de aquella plaza, á su gobernador, y ee como sigue: Los periódicos extranjeros que han llegado hoy contienen pocan En cumplimiento i la orden de mi., luego que quedamos em noticias interesantes sobre la situación de la Eu-opa;…</t>
  </si>
  <si>
    <t>Capu, Florez</t>
  </si>
  <si>
    <t>Florez Capu</t>
  </si>
  <si>
    <t>…ya* mas interesantes no Quedó elegido cuarto secretario el Sr. Prat por 76 votos de 124, re ticias se reducen é lo siguiente : cayendo los restantes, 36 en el Sr. Sánchez, 2 en el Sr. Florez Capu Los desórdenes de Irlanda continúan del modo mis escandaloso, y zón , 9 en el Sr. Sierra, y uno en el Sr. Ferrer. cada día causan mayor inquietud ; pero el Parlamento ha aprobido ya En seguida se retiró la Diputación permanente acompañada hasta las dos medidas qu…</t>
  </si>
  <si>
    <t>Capuzco, Fernando</t>
  </si>
  <si>
    <t>Fernando Capuzco</t>
  </si>
  <si>
    <t>…os Antonio Gustaman, D. Narciso Mataolivas , D. Sebastian Cortijo, dias que han dé preceder al sorteo para el reemplazo del egército en es IX Bartolomé Solano, D. Luis Bassecourt, D. Fernando Capuzco, Don ta capital: En estas circunstancias parece mas oportuno que el llamar á Pablo Orbinto, D. Francisco Porto, y otros. Asimismo se aprobaron los secretarios del Despacho nombrar una comisión especial, para que, otros dictámenes de la misma comisión, por los…</t>
  </si>
  <si>
    <t>Caqui, Salvador</t>
  </si>
  <si>
    <t>Salvador Caqui</t>
  </si>
  <si>
    <t>…rteneciente a&gt; i-vc - D. Bartolomé Espinosa. D- Domingo Menguar. D. Joscf Arroyo. Dan Jentismo Sr. duque de Medínaceli y Santistcban, sita en el lu zar de lJ.rni.negitdo Vinadea y D. Salvador Caqui». Carabanchel de Aba jo, entre Ies-calles que llaman del Cura y Sacris VARIEDADES. tán , que forma una figura polígona irregular de 2 a lados, y las líneas de su perimeto encierran en sí 38,357 pies, inclusos *974 cuadrados so. Concluyen las reflexiones solrt…</t>
  </si>
  <si>
    <t>Car</t>
  </si>
  <si>
    <t>…llos, y no haberse hecho hasta ahora igual declaración 40 dias, contados desde el en que se haga notoria esta disposición en acerca de él; y verificándose lo mismo con el teniente general D. Car las respectivas capitales de provincia y pueblos de su demarcación, los O-Doncll, por haberse marchado i Francia sin licencia de S. M. exhiban en las contadurías del Crédito público de ellas los títulos ori ginales que los legitimen. Los interesados deben de…</t>
  </si>
  <si>
    <t>…Cortes , y se re, ;de Urgel en un tiempo bastante m vu.ar tr incomodo. ¡Inte.¡z del vió que no oor 8 ¡ v tos corfa -)i hombre acostúmbralo a obrar secun su. ’i cli ¡Cuín tamil El Sr. Car..a ferma 1.-■&gt; 1 &gt; ¡r rrf prono- c on «• P.do se dedal» mente desbarra en las circii ■■■stcncias -rili.ej v peí.¿rosas 1 A i vertí nao* que est; ocwrcl. n ,e» la d-' .1 »f . r. Real." que eatie los ¿o presentados pata ia sccuiai zac.oa no van compren Su autor…</t>
  </si>
  <si>
    <t>Car'os, D</t>
  </si>
  <si>
    <t>D Car'os</t>
  </si>
  <si>
    <t>…peden Art rt.“ «C'nurmf í lo prevenido en el art. 11 d*f méro^s dt tes vieren y entendieren , sabed: Qu- la» Cortes han destelado o si ajustes de prov ,ion, aprohidn por ^. M. el Sr. D Car'os m n to d; guiente: - La* Cortes, habiendo examinado la propuesta de S. H. so F-br rod- 1-80 , s- carear n 'nrl.f-ct b’ein.-nte a o. .uerpo* o. recibos bre el señalamiento de sueldo» que debin {or»r to» individuos, qua de los suministro» que los pueb'o» |u»t a…</t>
  </si>
  <si>
    <t>Car, Francisco Perez</t>
  </si>
  <si>
    <t>Francisco Perez Car</t>
  </si>
  <si>
    <t>…lo en dicha ciudad, se publica a fin de que acuden al Lie. D. Anto Los g.ifi. s políticos de Vigo y Orense han dado parte .i S. M. en nio Sánchez Pascual en Sevilla , ó en Ecija á D. Francisco Perez Car 15 y 16 di este mes de que en la línea divisoria de ambas provincias vajal. se liaba preséntalo ura gavilla de 10 á ia hombres de los facciosos Se halla vacante la plaza de médico de la villa de Alhambra, en refugiados en Portugal, con las apariencias de band…</t>
  </si>
  <si>
    <t>Car, Manuel</t>
  </si>
  <si>
    <t>Manuel Car</t>
  </si>
  <si>
    <t>…io pu entes : D. J uef Antonio Ponzoa, D Juan F tnand-z Casariegos nes mas enérgicas y mas probadas, y nada las hacs impresión. La li JO. Manuel Gallego, D. FrtnctVo Mirtinz Mama, D. Manuel Car bertad y ei Ven del Estado existen pues en manos del Congreso, por nicero, conde de Torr- ei F sno . I) Ju»n Vlmu-iil Aréju’a , Don que la Constitución lo ha revestido de mucho poder, y le ha confiado Gonzalo Cárdenas y marqu s d* 'uano: v h.b ít a conf r.nci…</t>
  </si>
  <si>
    <t>Car, Manuel Salvador</t>
  </si>
  <si>
    <t>Manuel Salvador Car</t>
  </si>
  <si>
    <t>…le re. d- t■ • ra. va el t. xto latino en mejor carácter de letra que la primera , el busto Kr, J’ar.s ya nadie er e en la guerra, y no lo sienten poco los ul de Cesar grabado por D. Manuel Salvador Car mona , y dos mapas , ei tras b . c'.srjs. D cen qj? el Sr. j di B »rgo ha venido a Parí* con uno d: la» Ciabas y el otro de la España , según se bailaba dividida una cofiy.i'in d I Kn., íraHor A»rj ndro , riaLva á lo* nr^ocio» de en aqu-1 l empo. Los militare…</t>
  </si>
  <si>
    <t>Car-taño</t>
  </si>
  <si>
    <t>…igado á auxiliar las providencias de tos alcaldes , de lo que se inf."-¡a vil por ia justicia." que también estaban obligados i lo mismo los ayuntam ti s constitu F.: Sr. Valdrs i D. Car-taño) hizo raríu observaciones en -entra cionales, ya en cuerpo ó ya individualmente, porque se componía.» dJ de la estatura que s ■ previene ei este articulo. Ciudadanos españoles. El sr. Becerra d ¡o q.ie no pol i conven r en quf sr aprobase cjt: arEl Sr. Becerr…</t>
  </si>
  <si>
    <t>Cara</t>
  </si>
  <si>
    <t>…privilegios.” Di Miguel Pinero dijo: Que an voto en el particular era y et en todo Mr. Sebastian:, después de tratar de vario* punto*, citó é la Espada, igual como el anterior del Sr. Cara—Con lo que te concluyó este ca » cuyo Monarca ha sido engallado por lo* aduladores, y presenta é su bildo, que firmó S. E., de que certifico:=:Pizarro.3Caro.=Mart¡»ez.= actual Gobierno como tin modelo digno de imitarse, el cual, adadió, Echeveste.=rRibero.sK.…</t>
  </si>
  <si>
    <t>Caravelos, Juan Rodríguez</t>
  </si>
  <si>
    <t>Juan Rodríguez Caravelos</t>
  </si>
  <si>
    <t>…l de S. Miguel de Granada, para que se le habú re ur&gt; curso de nientes. Aprobado. estudio de derecho canónico. La com.sion opín.ba que d-b a p.;?a- a la Otro sobre la solicitud de D. Juan Rodríguez Caravelos, arrenda dirección general de estudios p-ra que la resolviese según lo determina tario de una prestamera agregada al Crédito público, pidiendo ciertas do últimamente por las Coites. Aprobado. rebajas. La comisión opinaba que podía concedérsele el que hiciese…</t>
  </si>
  <si>
    <t>Carbailido, Antonio</t>
  </si>
  <si>
    <t>Antonio Carbailido</t>
  </si>
  <si>
    <t>…, pues ¿U Escaso. Sr. conde de Gerona 406 r«—La del Excmo. Sr. D. OísM alegaba por motiew urla necesidad en que se hubiera visto la corte ja- tabal de Zayia 1463 ra. 7 7 mrs—La de D. Antonio Carbailido 7 poaesa si bebiese abierto la carta de enriar por su tumo en embajador gutis a460 rs. 7 3 mrs—La de D. Antonio Pontigo 654 rs. 7 13 que llevase U respuesta. lo cual era imposible hacer, puesto que las l» «Uravcdises._La &lt;kl cabildo eclesiástico de Guadalajar…</t>
  </si>
  <si>
    <t>Carbajal, Juan Suarez de</t>
  </si>
  <si>
    <t>Juan Suarez de Carbajal</t>
  </si>
  <si>
    <t>…mpezó por lo bre de 1522—Otro de 489 mrs., situados sobre las alcabalas &lt;ic Tamas distante de «a circunferencia, podrí* llegar á su mismo centro si lavera y su partido, á favor de D. Juan Suarez de Carbajal, fecha 16 encontrase pábulo.” de Abril de 1709—Otro juro de 2^5,122 mrs. sobre las misma* al » Es muy natural (prosigue el orador ingles ministerial) que todas cabalas, á favor de Dofia Francisca Tdio de Rivera, con igual fecha. Jaa naciones cristianas deseen…</t>
  </si>
  <si>
    <t>Carballal, Antonio Rodríguez</t>
  </si>
  <si>
    <t>Antonio Rodríguez Carballal</t>
  </si>
  <si>
    <t>…entraría el nv.mo día en el comandante provisional de la compañía de milicia nacional volun ísibastro el grueso de los facciosos. La columna del coronel Mueaitetaria de la Mezquiu D. Antonio Rodríguez Carballal por el oficio qu« gui se hallaba en la misma noche en Antillon , e» decir, unidos coa ios demas, adonde se dirigió tamban atar el be. comandante general.dice .. asi: ... i.t.tft 36. » divinándonos Ayer como á cosa de las tres de la tarde, estando en la romerí…</t>
  </si>
  <si>
    <t>Carbaso, Antonio</t>
  </si>
  <si>
    <t>Antonio Carbaso</t>
  </si>
  <si>
    <t>…que se le dirijan para poder prese -tur firmados aprobar ‘a ;r.-j cacion d- q.¡e se trata, y votan cirio r ia. al G bitrno un pian general de Constitución. De este modo el K-.y F. Sr. Antonio Carbaso defendió la t Hcacion »o:t-r., t.do qu- ¡a de Piusia , a la manera de otros Estados, dará una Constitución , la iglesia no poda poseer b -nes temporales , y qu- por eso debían »i Sa cual te diferenciará sin embargo de las de otros países en que se con larse l…</t>
  </si>
  <si>
    <t>Carbome, Pedro Pascual</t>
  </si>
  <si>
    <t>Pedro Pascual Carbome</t>
  </si>
  <si>
    <t>…ar Reunidos en las salas consistoriales de Valencia los sefiores jueces la Nación para que con arreglo á ello aprobemos los presupuestos. No de hecho D. Pedro Calvo, del comercio, D. Pedro Pascual Carbome conformo con mis compañeros respecto de la riqueza que dicen nell, D. Gerónimo Masía, presbítero, D. Mariano Peset, oficial de la tiene España, porque esta debe considerarse como riqueza líquida, que secretaría del gobierno político, D- Raimundo Poveda, ofici…</t>
  </si>
  <si>
    <t>Carbonel, María Gerónima</t>
  </si>
  <si>
    <t>María Gerónima Carbonel</t>
  </si>
  <si>
    <t>…voluntaria iba toman tonio Sánchez, pintor de cámara de S M.: D. Lorenzo Gómez , ad do pie, pues en lugar de los 18 ó ao que eran, ya el 3 del actual se ministrador de la Moncloa. Doña María Gerónima Carbonel, ame juntaban mas de 90 en la caía de la ciudad para la elección de oficiales. ricana , viuda: D. Luis Chaves, guardarop* del Rey : D. Pedro Po Estaban todos armados v y según deseaba el alcalde segundo se creía que dio, oficial segundo de la tesorería de a.…</t>
  </si>
  <si>
    <t>Carbonell, Pedro Pascual</t>
  </si>
  <si>
    <t>Pedro Pascual Carbonell</t>
  </si>
  <si>
    <t>…preciso considerar que pa aquella ciudad; hab.endo sido de opinión contraria ios señores D. Pe rí ia industria se necesitan grandes capitales, máquina iScc.; y por con dro Calvo, D. Pedro Pascual Carbonell, D, Gerónimo Maía, Don siguiente hay que rebajar alguna cantidad, de iorma que deduciendo Mariano Peset y D- Vicente Chulvi. esta, vendrá á resultar de riqueza territorial unos 1491 millones. Aun que se imponga un 30 por roo de contribución, resultarán 44/ mi…</t>
  </si>
  <si>
    <t>Carcumplimiento, Joaquín</t>
  </si>
  <si>
    <t>Joaquín Carcumplimiento</t>
  </si>
  <si>
    <t>…vacante la plaza de oficial de libros de la alcaidía de la munique, publique y circule en el distrito de esa provincia para su .aduana de Cádiz por fenecimiento del que la obtenía D. Joaquín Carcumplimiento. Madrid 18 de Mareo di t8as- mona , dotada con $500 rs. anuales; y siendo precisa su previsión , se anuncia al público para que los empleado* en activo servicio ó cesantes El Sr. secretario del despacho de Gracia y Justicia con fecha de que aspiren á ella, y…</t>
  </si>
  <si>
    <t>Cardefiano, Pedro</t>
  </si>
  <si>
    <t>Pedro Cardefiano</t>
  </si>
  <si>
    <t>…e de igual clase que los que se acogieron al indulto mase. A pichado. después de hecha la paz; y si estos quedan excluidos de todo derecho 4 La m &gt;RU , en vista de la solicitud de D. Pedro Cardefiano, conocí* premios é inválidos; la comisión opinaba que ti punto relativo á loa do con el nombre del tirolés, vecino jr granadero nacional de la Co soldados que juraron , y se restituyeron después á sus banderas, estaba rtina , op naba que podían las Cortes dec…</t>
  </si>
  <si>
    <t>Cardenal</t>
  </si>
  <si>
    <t>…nte formada men de la comisión. con motivo da la» contestaciones qua se suscitaron entre los apoderados El Sr. Lodares hizo varias reflexione» para demostrar que la recatadel Erna Sr. Cardenal arzobispo de Toledo y el secretario del Sr. In dación del medio diezmo debía estar 4 cargo de los administradores de fante D. Cirio» sobra la recaudación dal medio diezmo, procedente las encomiendas del gran priorato de S. Juan, como proponin la co de las eut…</t>
  </si>
  <si>
    <t>Cárdenas, Gonzalo</t>
  </si>
  <si>
    <t>Gonzalo Cárdenas</t>
  </si>
  <si>
    <t>…D. Celestino Olozaga, D. Miguel Dolz, urgencia. D. Francisco de la Carrera, D. Antonio Puigbtanch, D. Francisco Hn el supuesto da que la Hacienda pública no hace mas abono Barra, D. Gonzalo Cárdenas. á los contratistas que los precios estipulados por cada libra ó quintal de Habida la conferencia, se declaró por unanimidad haber lugar á la lo&gt; Mbzi.ns que entreguen de buen recibo de las fabricas y almacenes formación de causa. que se expresarin en su luga…</t>
  </si>
  <si>
    <t>…e intervengan de los Sres. siguientes: D. Francisco Colombo, D. Pedro de Alvaro y en los actos de presentación de los hijos ó hijas de los Sres. Infan Delgado, D. Joaquín Ceva!los,D. Gonzalo Cárdenas , marques de tes D. Cárlos y D. Francisco de Paula, y resolver que se retiren los Cusano,D- Josef Larreitepui, D. Antonio María Espejo, D. Ber Sres. J menez y Sedeño á desempeñar sus funciones, por exigirlo asi nardo Asenjo y D. Matías Pinílta. Habida la conf…</t>
  </si>
  <si>
    <t>…merto de Landaburu, D. Josef de •1 original del autor ) «n la librería de Cruz. han M.llan, D. Jo,ef Gómez Albacete, D. Julián de Fuent.s, Dea ANUNCIOS. Francisco Martínez Marina, D. Gonzalo Cárdenas y D. Matías Pini- Por providencia del Sr. D. Angel Fernandez de los Ríos , juez le. 11a, se tuvn la conferencia, y resultó haber lugar 4 la formación de trado de primera instancia de esta Ad. il. villa, y escríbame del nú causa por siete votos, habiendo votado no haber lugar el Sr…</t>
  </si>
  <si>
    <t>…ecretado I» En tn vísta se reunió el jurado, compuesto de los ssKores siguienus: ■iguie nte*. La* Corte*, usando de 1» facultad que te le* concede por la D. Manuel Esteban Caula ; D. Gonzalo Cárdenas; D. Andrés Mar Constitución, han decretado lo siguiente : i.3 La ¡unta nacional dei Cré- tínez Orinaga; D Pedro de Alvaro Delgado; D. Antonio Puigblanch; dito público procederá inmediatamente á la extinción de los crédito* D- Valentin de Nicolás; D. Antomo Rc…</t>
  </si>
  <si>
    <t>…que dan nioso é injurioso 4 dicho D. Diego de Lerma; se reunió el jurado, ocupan n y subsistencia á un crecido número de familias, en las cua compuesto de los señores siguientes: D. Gonzalo Cárdenas, D. Josef les se construye toda e*p*cie de tonelería con la misma y mayor per Radon, D. Santiago Delgado, D. Miguel Ripa, D. Juan Antonio fección que m el extrangero ■ y en cuanto 4 la prohibición del retorno Lop z, D. Joaquín Huerta Cerillos, D. Josef Gómez…</t>
  </si>
  <si>
    <t>…sta operación, y que libremente puede elegir á Sres. que fueron de opinión contraria: D. MitíasCitero, D. Joaquín •Hat ¿MÍt otras «pie crea convenientes para el efecto. Manrique , D. Gonzalo Cárdenas, D. Nicolás Alonso , D. Andrés Art. 8.a » Cuidará el Gobierno de dar á sus encargados en Madrid, Alcoa y D. saturnino Lozano. Lóndres y París las órdenes necesarias para el mejor y mas pronto des Ateneo español. empeño ele cuanto deban piacticar para la cgecu…</t>
  </si>
  <si>
    <t>Cárdenas, Gonzalo de</t>
  </si>
  <si>
    <t>Gonzalo de Cárdenas</t>
  </si>
  <si>
    <t>…s d.r que pasado di Cortes, conde de la Torre del Fresno, Ó. Lorenzo Calvo de Rozas, cho término les paiará periu cío , pues cbia exped ente para la poicsion D. hant sgo Delgado y D. Gonzalo de Cárdenas. y divit.on del m.-ncíonado legado. Habida la conferencia resultó por unanimidad no haber lugar i Desde Abril de 18» t está extraviado un expediente ori 'lr.a1 de la formación de cauta. Cuantiosos suro nistros que las rentas d i Excmn Sr. du.iue &lt;1 Fr.as en l…</t>
  </si>
  <si>
    <t>…el dolor de ver D. Manuel González del Campo; D Marías Casero; D. Antonio Ga derramada tanta sangre española, anuncio i V. K. que en la madruga mona'; D. Benito Ortega Romanillos; D. Gonzalo de Cárdenas; Don da de este dia he sorprendido tin completamente é 300 facciosos que Juan Paz; D. Juan Manuel de Aréjula; D. Manuel Mermo, y Don ae hallaban en este pu.blo, qu- de ellos solo viv-n 47 prisioneros, y Marcos Menezo. como unos 20 qu: tengo cnceirados en la t…</t>
  </si>
  <si>
    <t>Cárdenas, Juan Ramírez y</t>
  </si>
  <si>
    <t>Juan Ramírez y Cárdenas</t>
  </si>
  <si>
    <t>…monasterio del Escoria!, de la misma : para la de las islas Caninas , en calidad de interino , ,1 j A la de Hacienda una solkitud de D. Francisco Roldan, impre- auditor de guerra D. Juan Ramírez y Cárdenas: para ¡a d- C c.-r s i i sor , relativa á que se declarase si debia percibir de tesorería ó del Cré- D. Josef Aivarez Guerra, que lo es de la d: Patena a: pma lude l..or» I dito público lo que se le d b.a par papeles que había impreso peitene- á D. Andrés Cre…</t>
  </si>
  <si>
    <t>Cárdenas, Marcos</t>
  </si>
  <si>
    <t>Marcos Cárdenas</t>
  </si>
  <si>
    <t>…s Fr. Gaspar lante i un señor com sarlo de policía y su comparsa para sccuestraile Tembequ-, Dr. D. Miguel Gundi y Alcocer, P. D Pedro JuFan lo* egemplares que tuviera. López, D . D. Marcos Cárdenas. Sum hr de pa acó D. Jos-f Maria ARTICULO DE OFICIO. no Fernand. z. Ma stro de ceremonias Dr. y Miro. D. Isidro Igna cio de lcaza. Gentileshombre* de cámara con egcrocio; mariscal En el presente día 3 de Octubre se han corst‘luido las Cortes ex-' de Castilla…</t>
  </si>
  <si>
    <t>Cardeñe, Josef Joaquín</t>
  </si>
  <si>
    <t>Josef Joaquín Cardeñe</t>
  </si>
  <si>
    <t>…e de la de la Europa ” Corona D. Diego Prados, que se agregó voluntariamente á ella, el sub Lo cieno es que atendiendo i lo que publican los periodistas de Pi teniente de dragonea D. Josef Joaquín Cardeñe* y toda la tropa de lis hasta el 10 inclusive, nada de cierto se sabe acerca de las reso'us-ri ambas armas, asi como los ocho voluntarios de Ronda que la acompa ñes det Congreso. Esta 1 os por añadir que ni aun saben cuándo se v r saron , ae cubrieron de glor…</t>
  </si>
  <si>
    <t>Carditto</t>
  </si>
  <si>
    <t>…urbios: acusábanle al Sr. Tomas:; para el de Estado al comendador D. Alvaro Ruff -; pa de traidor por haber aconsejado las providencias pacíficas—be esperaba ra el del Interior al príncipe Carditto; para el de Guerra al principe en Constan!mop a que antes del Ramadan , que enipzaba en 22 de Scaleta, sobrino del cardenal Ruño. Mayo, estarían nombrados nuevos hospodares en Moldavia y Vaia- Francia. Jamas han propagado los periodistas franceses tactas fal…</t>
  </si>
  <si>
    <t>Cardona, Pablo</t>
  </si>
  <si>
    <t>Pablo Cardona</t>
  </si>
  <si>
    <t>…de Noviembre de 182a. lo verificasen dos guerrillas , que dirigiéndose une á la altura de Santa mFelipe Montcs.=Sr. comandante general del 6.° distrito.a Es copias Bárbara con el teniente D. Pablo Cardona, y la otra á la de S. Juan Velaseo. con el sargento del regimiento de Zaragoza Pedro Josef Monga, lo graron á un tiempo apoderarse de ellas , desde donde dieron aviso se » Comandancia general del bajo Aragón.sEn el campo de Aguaviva retiraban los facciosos co…</t>
  </si>
  <si>
    <t>Carduna, Juan</t>
  </si>
  <si>
    <t>Juan Carduna</t>
  </si>
  <si>
    <t>…pues ai anochecer pudo ya ponerse fuego á e., media.ae ¡a ac rut’r'.i,! tividad y buenas disposiciones del encargado de aquí .1 operaron el torra.i eermr’o: teniente ds ingeniero» D. Juan Carduna, y ciesapar’ cío ia torre , pere no abriguéis á los enemigos de Lt ruí-i.i. ciendo entre sus ruinas una parte de la gua: t¡ c on ; mas la restarte, La conducta de las tropa, r» superior á todo elogh . bebripon é-’dotemerosa sin duda del peligro, logro escapar…</t>
  </si>
  <si>
    <t>Careaga, Antonio Ramón</t>
  </si>
  <si>
    <t>Antonio Ramón Careaga</t>
  </si>
  <si>
    <t>…el de Antonio Monmany , secretario interino. Mellid á D. Manuel Francisco Vilomara : para el de Caldas de Re Se ve que en este bando no firma el secretario del ayuntamiento yes á D. Antonio Ramón Careaga: para el d: S. Salvador de Lama D. Francisco Altes, el cual fue también comprendido entre los expulsos. á D. Andrés Fon tan y Rodríguez: para el de B emposta á D. Juan La correspondencia particular habla cambien de estos extraños su Taboada: para el de Rirada…</t>
  </si>
  <si>
    <t>Carefi, Marta</t>
  </si>
  <si>
    <t>Marta Carefi</t>
  </si>
  <si>
    <t>…eto, opinaba que debía ser admitida dicha capitalización con una ley de la Novísima recopilación, autorizando un matrimonio en forme al decreto de 9 de Enero último. Aprobado. tre Doña Marta Carefi y D. Jaime Caldea. La misma, en vista de un oficio del Gobierno recordando á las CorA la comisión de Salud pública se mandaron pasar ana exposición tes el pronto despacho de la lanía de los deieehos de tos jueces y escri de I&gt;. Alfonso de María vecino de Cídia, acompasando la*…</t>
  </si>
  <si>
    <t>Carga</t>
  </si>
  <si>
    <t>…ar de la cantidad de 300 ducados el numero de fanecas airtglado á justicia. de trigo que deben perc.bir los indiv dúos del clero , y de este modo i’or otra parte debo de ir que el Sr. Carga ayer manifestó que la quedarán lodos socorridos con izualdadcantidad con que contribuía el pueblo e»panol para la manutención del fcl •»r. Arguelles Una de Us d acuitado* que á prim-r» vista apa culto y clero era de 3.0 pul un.» Sin que yo desee ¡ni tar en na…</t>
  </si>
  <si>
    <t>Cariacedo, Agustín de Luna</t>
  </si>
  <si>
    <t>Agustín de Luna Cariacedo</t>
  </si>
  <si>
    <t>…azas. Lo* regentes de las cer grado. audiencias pagarán el 7 por loo de la diferencia desde g69 á go9 rs. Los magistrados del supremo tribunal de Justicia 8 por too de la difcren- D. Agustín de Luna Cariacedo denunció al Sr. alcalde constitucio (¡i 1|m|t á 8o9 rs. El presidente de dicho supremo tribunal 10 nal D. llamón CaseIIas la representación que dirigen á S. M. varios por too de la diferencia desde 8o9 i ioo9 rs. Por este orden un ma sugeto* de esta capital d…</t>
  </si>
  <si>
    <t>Carica</t>
  </si>
  <si>
    <t>…motivos de divertirse instruyéndose , pues pira que piopusiese una ley general respecto á este asunto. su autor se propone satirizar en ella muchos de los actuales usos, y os* Ei Sr. Carica manifestó que ei motivo de presentarse esta ley de lumbres, para lo cual la divide en 12 capítulos, cuyos asuntos son, uní fin tiva era porque en diferentes ocasiones se había concedido á los em tertulia, sociedades patriócas , navidades, un baile, teatro, Pu…</t>
  </si>
  <si>
    <t>Caricesantes, Francisco Fernandrz</t>
  </si>
  <si>
    <t>Francisco Fernandrz Caricesantes</t>
  </si>
  <si>
    <t>…e otro. nos voluntarios de Burgos D. Anselmo Ibafi-z , D. Hcnrique Pimcntel Se ha dicho que la comisión camina en el supuesto falso de que los Y D. Vicente CoiUntes, al de A randa D. Francisco Fernandrz Caricesantes de que se trata están inclusos en el decreto de las Cortes que hatiós , a*, de Villarcayo D. Lucas Martínez j y i los de Poza D. Hilase ha citado. Esto no es asi, porque la comisión dice desde luego que non Cuntieras y D. Ignacio Narbona, quienes fueron volun…</t>
  </si>
  <si>
    <t>Caries</t>
  </si>
  <si>
    <t>…de las calle» de Orí huela, continuan Se leyó una exposición hecha por loi oficiales del regimiento del do persiguiéndo os hasta salir del pueblo , donde cayó muerto de un Infante D. Caries , suplicando se les comprendiese en ia rebaja de suel balazo; y que n&gt; considerándose aun satisfechos aquellos asesinos, le dos decretada por ¡as Cortes para las demás dase» del Estado. hab an acr.biliado á puñalada», como asimismo al cabo, que mareó Las Cort…</t>
  </si>
  <si>
    <t>Cario</t>
  </si>
  <si>
    <t>…a de bre que ef administrador de te misma d-socupa* ia hab.u.ton en que la Guerra era monstruosa en todos sentidos , ya por el r limero de ofi vivía: una exposición del Sr Infante D. Cario» Luí», Pr n^ipe he-.ócro ciales que la componían, y ya por el aneldo que disfrutaban. Si les ge- Loca, «obre el pago de «timemos, una cosssuiu del Si. aun.»tu de</t>
  </si>
  <si>
    <t>…y cuaado ta =! lt«o. Sr.=C*rlds Hspinosa.=b.Xcmo. Sr. secretario de balado y del ha la determinado en sus disposiciones. Pero sin venir Un acá, el sefior IX'spacho de ia Guerra.” D. Cario» . 11 por su pragmática de i 1 de Marzo de 1771, que forma la ley 7-\ tit. 4. , lib. ti de la Novísima Recopilación, quejándose da Continúa el .mfor/ne dado al Gobierno en la visita Je una causa sobre Ja abu.-.va inteligencia de algunas de nuestras leyes ante…</t>
  </si>
  <si>
    <t>Cario, Claudio</t>
  </si>
  <si>
    <t>Claudio Cario</t>
  </si>
  <si>
    <t>…ra inatancia del partido de Oficio de la aecrctarfa de Corte* tnrt:,:.«&gt;j_ , . . . . pretidente, vice-presidente y secretario a„ P*n . “ «Acción hecha de Chinchón , refrendada por D. Claudio Cario* de Perogor , á cuyo Decreto de las Cortes prohibiendo 0u. ?! (Gaceta del a.) cargo está la escribanía de D. Pedro Ortiz de Zúzate, ae cita de remate mayores. (Gaceta del 16.) ° 4 dimisorias y órdenes á Francsco Maisanoba y compañía y á Gerardo Maisanoba, par…</t>
  </si>
  <si>
    <t>Cárlo</t>
  </si>
  <si>
    <t>…al»; en inteligencia de que no haciéndolo, llio Frank de Hirchiberg 6y9_D. Martin Stochfleth de Hamburgoae daslaanrln loa bienes por mostrencos. En el testamento que otoñó en *109—D. Cárlo» Hetria 7 compafiía de Lóndrca 4941—Ponrtalos 7In nueva ciudad da Segovia i 18 de Diciembre de 1814, 7 bajo el cual compafiía de Neuchatell (34 7 18—D. Francisco Millant 7 compefalleció, instituyó heredera 4 au madre 7 4 su hermana, 7en sa defecto tía de Barc…</t>
  </si>
  <si>
    <t>Cárlos</t>
  </si>
  <si>
    <t>i&lt;4 ropa de lo que fue en los siglos en que era mas bárbara que los mismos Se dió cuenta de una exposición del coronel del regimiento del In turcos (i)! fante D. Cárlos, acompañando un ctédito de 49,094 rs. que en su úl El Austria, que vió i fines del siglo xvtt su C'pital amenazada por tima voluntad ha cedido al Estado un oficial de dicho regimiento, ma •líos, y salvada por el valor heroico de un Rey de Polonia { Juan ¿o- n…</t>
  </si>
  <si>
    <t>Carlos</t>
  </si>
  <si>
    <t>…inaba que no había mérito continúe pagando una pensión de go9 rs. anuales que le fue concedida para la formación de causa á dicho Román, ni menos al juez de pri en 1803 por el br. D. Carlos iv. mera infancia de Sepúlveda. Aprobado. La comisión , atendiendo á quí esta pensión fue concedida por ha La misma, después de examinar la instancia de D. Amonio Bar ber summ strado varios adornos para -.1 palacio Real , opinaba que de quero, vecino del vall…</t>
  </si>
  <si>
    <t>…ta. ' beza el inmortal Padilla, ha caminado á su ruina de un ir.odo terri - -Si ha dicho que -los cálculos salieron fallidos, esto es , que no pro ble. Llegó el caso en tiempo del Sr. Carlos 11 de no haber egército , esdujeron todo lo que el Gobierno pudo prometerse, lejos de injuriarse tar- desmanteladas las plazas , y experimentarse, otras desgracias de esta en esto á las Cortes anteriores, parece que se les hacia honor , por naturaleza, y todo…</t>
  </si>
  <si>
    <t>…as———asentista de víveres de Cádiz................——, 945,136-10 Consignación de S. M............ 3.091,863....4”) Idem de S. M. la Rana. «M«M*MM ***«i 53.333 -II I Sermo. Infante D. Carlos *37,500_ ,., 1 Casa Real............. ' Serma. Infanta Doña María Francisca de Asia....... 45,833-11 3.5*2,029-26 Sermo. Infante D. Francisco de Paula........................... *37,500 . Serma. Infanta Doña Luisa Carlota.......... 50,000 ISermo. Infante D. C…</t>
  </si>
  <si>
    <t>…idiendo se le satisfagan 45® y tanto* reales que importan loé Diego Perez, vecinos de Sita. Marina, obispado de Tny, opinaba que suministros que ha hecho al regimiento del Infante D. Cárlos, opinaba también pasase al Gobierno. Aprobado. que estando ya decidido el modo con qne han de satisfacerse estos alcan La misma opinaba que se debía conceder á Josefa Gnnealet la pe ce* , pase este recurso al Gobierno, pare que con arreglo á loa dereto* tició…</t>
  </si>
  <si>
    <t>…D. Francisco López de Aicaraz exponía que sin embargo de !o po =Excmo. Sr.=Por si jr i nombre de toda la tropa de dichas compañías, derosos que fueron los motivos que obligaron al Sr. D. Carlos tv á sscapitán de navio Josa! Lavayenvídeos de fragata Lorenzo Josef de fialarle la pensión de to3 rs. anuales, la renunciaba á impulsos de sus Noriega.=Mem Antonio Piedroía.=Idem Gonzalo de Haro.rcrT.nicn- patrióticos sentimientos en época de tanta penuria,…</t>
  </si>
  <si>
    <t>…dirigido al Exento. Sr. virey el teniente coronel y coman su gefe nato el ir. coronel D. Josef Joaquín Marqu z y Donallo al dante accidental del regimiento infantería del Infante D. Carlos frente de la división de vanguardia destinada contra los partidarios del D. Josef Manuel Martínez. caudillo, el teniente coronel del mismo, Josef Manuel Martínez.” » Excuso. Sr.: Como teniente coronel y comandante accidental de Cot.tntackn de .u Extienda. est…</t>
  </si>
  <si>
    <t>…: D. Francisco Colombo, D. Pedro de Alvaro y en los actos de presentación de los hijos ó hijas de los Sres. Infan Delgado, D. Joaquín Ceva!los,D. Gonzalo Cárdenas , marques de tes D. Cárlos y D. Francisco de Paula, y resolver que se retiren los Cusano,D- Josef Larreitepui, D. Antonio María Espejo, D. Ber Sres. J menez y Sedeño á desempeñar sus funciones, por exigirlo asi nardo Asenjo y D. Matías Pinílta. Habida la conferencia , resultó por la economía.” unanimidad habe…</t>
  </si>
  <si>
    <t>…isión de Crédito público sobre las contestacio se verifique asi. A la segunda duda sobre - ú en ia junta de pa.-t i de nes entre el arzobispo de Toledo y el secretario del infante D. Carlos «Cuenca ha de ten:r el gefe polít0 el doble concepto de t» perpor las encomiendas: que pasado mañana se discutiría el dictamen de 1* »&gt; raquial y presidente; y si en caso de ssr nombrado elector -de parí do comisión de Legislación sobre arreglo de juntas dioc…</t>
  </si>
  <si>
    <t>…uerpo sirviese de base para dicha guardia. «Se ha de adoptar esta medida coa un cuerpo que salvó la vida al señor El Sr. Galiano dijo: Me es doloroso tener que hib'ar de persona ó D. Carlos 111 , y con un cuerpo tan acreedor á la gratitud nacional! corporación alguna; y siento mucho que haya quien crea que esto me es &lt; Por qué descontentar á individuos tan beneméritos , amantes de la liber grato; pero el que asi piense ciertamente no me conoce.…</t>
  </si>
  <si>
    <t>…n aquel punto, ae en Lazan el permiso de introducir en aquellos puertos 508 barriles de hari cenderá este desde la noche de t.° de Junio inmediato, en lugar de la na en tiempo del Sr. D. Carlos iv, en cuya época se habían concedi luz fija que ha tenido y existe en I* actuosidad; lo que te anuncia á lot do muchos permisos de esta dase por los apuros en que ae halló la Na citados navegantes para su conocimiento y gobierno; adviniéndole* ción. Que este…</t>
  </si>
  <si>
    <t>…rasblancas no debía continuar en el cargo da ran tan justamente de la sabiduría de las Cortes, que se servirán resolver consejero si no cesaba en el uso de los poderes del Infante D. Carlos lo asi, ó en aquella forma que estimen mas justa y acertada/* Lo firma Lu&lt;s. ban los Sres. Rojo, Ojero, Jaimes, Rose! y L.sata, formando mayo El Sr. Alix se opuso á este dictamen , manifestando que en su con ría ; y los Sres. Zalucia , Abreu , Soberon y Murfi…</t>
  </si>
  <si>
    <t>…acion de ia milicia actisa, a ios actuales sargtnu» asayere, c. ella Gerona á D. Raimundo de Unzaga, mayor comándeme supernu que siguen : merario del regimiento infantería Infante D. Carlos, id. Chinchilla al coronel graduado D. Juan Perec da Lema, coman Guadalajara á D. Josef Risetl, espitan de infantería graduado da dante de infantería. teniente coronel y del batallón de la milicia activa de Ciudad-Real, Tuy al coronel graduado D. Josef Llóren…</t>
  </si>
  <si>
    <t>…pueblo* de la* cercanías de la capital, habiendo entrado á hacer Hoy ha visto esta capital una de las escenas mas execrables qne se la guardia de palacio el regimiento del Infante D. Carlos, y quedacd* pueden imaginar. Esta patria común de todos los espafioles, este pue calmada ya la efervescencia de los ánimos y tranquilizados todos los es blo pacifico y generoso, modelo de todas las virtudes sociales, se_ha píritus. Bien quisiéramos publicar t…</t>
  </si>
  <si>
    <t>…der especificar i nin.uro, porque todoa de palacio, donde permaneció hasta que la ocupó el regimiento Infan come t eren en deseos de distinguirse, y todo* los acreditaron, no d«te D. Carlos. jand m- nada qu? apetecer." »Cuandol'egó i mi noticia cst? movimiento, y que los Wv’oní i&gt; '&gt;s guarde á V. E. muchos años. Madrid ta de Julio de i3ii.9 de guardias se fugaban, bajando por la Rampa y pu rli dr la V-¿a Fwn ' br.sjttta Pa!area.=Exctno. Sr. coma…</t>
  </si>
  <si>
    <t>…, quedando en aquel y íes lirirrr.trs d as hasta el 7 ba po al divan. El sacrificio de conservar la paz por parte de la Rusia era jo las órdenes del benemérito coronel del Infante D. Carlos, D. Manuel fa situación en que se halla aería uno de aquellos fenómenos tan extra O-Doile, comandanta de Isa fuerzas destinadas á aquel punto. ordinarios , que comparadas todas las circunstancias, tal vez no se » El escuadrón permaneció formado en dicho d:a 7…</t>
  </si>
  <si>
    <t>…con fecha de 16 del trada con notas y tablas cronológicas desde los tiempos roas remotos mes último desde su cuartel general de la Perdiguera, dice al excelen hasta la muerte del Sr. D. Cárlos 1 1 por el Dr. D. Josef Sabau y Blan tísimo señor secretario de Estado y del Despacho de la Guerra lo si co, individuo de la academia de la historia, acudirán á recoger el tomo guiente: ao y último de dicha obra i la librería de Quirós y 4 las principales h E…</t>
  </si>
  <si>
    <t>…rogativas que gozan los Sres. In fantes de España, como vuda del Sr. Infante D. Peiro Carlos, Primo Circular del ministerio de la Gobernación de la Península. del Rey, y Nieto del Sr. D. Carlos nr, de gloriosa memoria , ha teni Deseando el Rey que en el próximo invierno se proporcione traba* do á bien mandar que se anuncie al público esta declaración, y que en jo en las ubras públicas á los honrados jornaleros que por haberse con cluido las labores…</t>
  </si>
  <si>
    <t>…compasado de la d.-putacron de ias Cortes , de los mi sirven a la tal regencia; esta debe servirles en algo. nistros y de los gefes de su Real Casa, yendo á su lado el br. Infante D. Carlos. Debiendo salir del pu-rto de la Coi uña el dia 15 de! presente mrs Lu-go que S. M. tomó asiento en la silla del trono se sentó el se de O.tubre el bergantín de ia armada n„c.onaI nombrado 1 'clu•;ta-A , ñor Infante y los Sres. Diputados, y las demas personas…</t>
  </si>
  <si>
    <t>Carlos.mi</t>
  </si>
  <si>
    <t>…añía de in igeres de Gerona. Miguel Bernal, cubaeos prescritos, sean respectivamente despachadas por la dirección, ó re-1 segundo que fue del regimiento cíe infantería d:l Infante D. Carlos.mi t idas á las Cortes para su aprobación; peco en estas asi devueltas tac D. Valentín Josef Jiménez , sargento segundo que fue del regimiento Cortes conceden la ¿sacie de que no se sujeten i nuevo examen aque de infantería de Guadstcjara, natural de Araosla de…</t>
  </si>
  <si>
    <t>Carlota, Luisa</t>
  </si>
  <si>
    <t>Luisa Carlota</t>
  </si>
  <si>
    <t>221</t>
  </si>
  <si>
    <t>…6 ..22 Íldem de la Serma. Sra. Infarta Doña Marta I ran chea de A-ir..................................................... .............. 45,833-11 (.Idem de la Serma. Sra. Infanta Doña Luisa Carlota. 5 c,eco "Giro nacional ••••«••••••••«••••••••••••••o*********** ••**••*•*•* 3-793-775-30 Remera á la tes&lt; rería pública de Málaga........... 229,600 Idem á la de Granada—&gt;••••••••• *••• M»M***»*»M»»i 186,154 Idem á la de Cataluña.. 3,900 Pagos sin cargo Idem…</t>
  </si>
  <si>
    <t>…cisca de Ams................................................................... 45,833-11 Sermo. Sr. Infante D. Francisco de Paula................... 137,500 .Serma. Sra. Infanta Doña Luisa Carlota................... 50,000 Giro nacional—.———————...................— *•994» 7°9~** A los directores de la empresa del empréstito na cional , reintegro de anticipación..—..................... 500,000 Reintegro de libranzas anuladas por falta de pigO; •una de 6…</t>
  </si>
  <si>
    <t>…l............. ' Serma. Infanta Doña María Francisca de Asia....... 45,833-11 3.5*2,029-26 Sermo. Infante D. Francisco de Paula........................... *37,500 . Serma. Infanta Doña Luisa Carlota.......... 50,000 ISermo. Infante D. Carlos María Luis.» , .•»••«»•• 6,000 (Giro nacional i*»*****a*******o»***»»*****aaaaa*«i &gt;——**— 3 .177,162-25 I Reintegro de libranzas anuladas por falta de pago. 337,680 Idem ae anticipación hecha por los directores de 50…</t>
  </si>
  <si>
    <t>…un oficio del Sr. secretario de Grac&lt;a y Justicia , manifes tre nn provincial d- Ja n , hacUndo algunas observaciones sobre la co tando á las Cortes que hallándose U Sra. I fanta Doña Luisa Carlota locación de los cesantes dr las contadurías de propios. en el noveno mes de su preñado, había resu lto S. M. 'o avisase á laa Se mandó pasar á la comisión de Hacienda una adición d-l Sr. Lo Cortes, para que con arregloá los arts. 184 y 15 del r glaincnto nom…</t>
  </si>
  <si>
    <t>…las Cortes que í las 7 y cuarto de la mañana de ayer d.ó intervinieron en la primer*; ¿y *e ha hecho asi! No por cierto ; puse i luz con la mayor felicidad la 'erma. ira. Infanta Doña Luisa Carlota qu- del expediente resulta haber «ido excluido «1 elector nombrado por un robusto niño ; el cual hab a sido bautizado por &lt;a tarde, poniéndo el pirtido de Aracena. le los nombres de Francisco de Asís, Fernando y otros; y que con tan V vamos pue* cuate* ion la…</t>
  </si>
  <si>
    <t>…inteligencia de la crden que se comunicó sin novedad después del feóz alumbramiento de la Scrma. Sra. Infan para proceder á las elecciones mandadas hacer nuevamente por c mora ta Doña Luisa Carlota. preparatoria de 21 de Febrero, y últimamente por las Cortes: y en Se leyó y aprobó la minuta de decreto sobre suspensión del dere cuanto á la primera duda •» sobre la forma en que ha de dispc ner»e recho de registro desde i.~ de Julio, revisada por la comisi…</t>
  </si>
  <si>
    <t>1190</t>
  </si>
  <si>
    <t>…Rea/.....—. ' Idem del Sermo. Sr. Infante D. Francisco de Paula. I3?»5°0 , 4.306,203.. 3 Idem de la Serma. Sra. Infanta Doña María Francisca. 50,000 Idem de la Serma. Sr» Infanta Doña Luisa Carlota. 50,000 .Idem del Sermo. Sr. Infante D. Carlos Luis... ..... 6,000 Cortes................... AI tesorero de tas mismas á cuenta de su presupuesto— 288,834..!* ("Secretaría del Despacho....—............... 68,787 i Diferentes empleados————.. 4*642- 5 Estado...…</t>
  </si>
  <si>
    <t>Carmen</t>
  </si>
  <si>
    <t>…arri y Doña Benita Ochoa. Baile* primero Doña Manuela de Al y (dú o el s stema constitucional ; es porque han atizado con su oro, day: segundo Doña Carmen Crespo. Costura: primero Doña Carmen cor. su protección y con sus esperanzas el fuego de la discordia; si pa Crespo: segundo Doña Carmen Moreno. Bordados de estambre sobre rece contrario á la civilización, ts porque varios políticos creen que cañamazo: Doña B-nita Ochoa. Países de sedas: Doña Co…</t>
  </si>
  <si>
    <t>Carmo, Benito Persira de</t>
  </si>
  <si>
    <t>Benito Persira de Carmo</t>
  </si>
  <si>
    <t>…tarios ; 1:. el m-.s entrante , y salieron electos para presidente el Sefior para lo cual han probado que las disposiciones para que en un pais se ve* Tr • para vice-presidente el Sr. Benito Persira de Carmo, y para rifique el desarrollo de la fiebre a narilla ó contagio son la huin-Jad, s-tretai o, ios Síes. Soarzs de Acdvedo, Basilio Alberto, Barroso y la falta de ventilación y el desaseo. La E*paña no conoció &gt;4 li bre Felgu-'.ras. amarilla hasta que con el de…</t>
  </si>
  <si>
    <t>Carmo, Pereira do</t>
  </si>
  <si>
    <t>Pereira do Carmo</t>
  </si>
  <si>
    <t>…mbres, y que el dia siguiente fue trasbór pasarse al poder judicial para que obrase con arreglo é las leyes. dalo con su gente 4 un falucho pescador, que los condujo é «te puer El Sr. Pereira do Carmo pronunció un largo discurso, manifestan to- La polacra española las Almas, su espitan D. Juan Bautista Sure do cuan delicado era el hablar en el Congreso, y soltar especie* j ste , que salió de este puerto para ¡a Corufia cargada de vino el 6 del proposicione…</t>
  </si>
  <si>
    <t>…de de cretarios para el mes entrante, y salieron electos: para presidente el re Montaorency. habiendo quedado encargado interinamente del minis dor Freír*: para vice-prcsidente el Sr. Pereira do Carmo: para secreta terio Mr. de Villele Hibia llegado de Petersburgo á París el primer rios los Sr:». Soaret Accvedo, Felgueira*, Barroso jr Basilio Alberto; secretario de la embajada ds Francia en Rusia, y al salir de aquella y para supl nt-s los Sres. Borges de…</t>
  </si>
  <si>
    <t>Carmopropuso, Pereira do</t>
  </si>
  <si>
    <t>Pereira do Carmopropuso</t>
  </si>
  <si>
    <t>…«le Bolonia-. do Stsien át Cortts átl *gát Feírtro. Seeontiouóla discusión del artículo t8i del proyecto de Constitu Idem drFdrtf... ... 163,000 38 ción que estaba pendiente; y «I Sr. Pereira do Carmopropuso la siguien te adición: • Por decreto especial de las Corres rotado por las dos ter ... 143,000 •9 Subdelegado» de Urbino 7 Kan». ... *97,000 4® ceras parre* de los diputados.” *• de Ai 160,000 3; El Sr. Borge* Carneiro y otro* Sres. diputados hablaron en favo…</t>
  </si>
  <si>
    <t>Carneirc, Jiorges</t>
  </si>
  <si>
    <t>Jiorges Carneirc</t>
  </si>
  <si>
    <t>…ervacion , pa ran desvanecidas por consecuencia todas las razones de conremeneja en só á hacer ocupar milítatment; aquella provincia; pero como ahora que ha fundado su discurso e! Sr. Jiorges Carneirc. Descracisdanicrte es ya inútil esta ocupación , y aun incompatible con los principios de pata nosotros el Gabinete de Rio-Janeiro t-smn un camino opuesto i justicia que animan á la nac on portuguesa, la cual prefiere dar al estos principios, y de sus resulta…</t>
  </si>
  <si>
    <t>Carneiro, Bcrges</t>
  </si>
  <si>
    <t>Bcrges Carneiro</t>
  </si>
  <si>
    <t>…r de la provincia de han Pedro, i ia cuar la orilla izquierda del Dmubio. cual tenia el honor de representar. i.*’ «Que en vez de restablecer 'os ho=podares en los dos principa El Sr. Bcrges Carneiro hizo varias r&lt;.fl;xi;r:S en favor de la per do, , for.n.rá jegencias co rpu’stas de los naturales; es decir , de mol manencia de tropas portuguesas --ti Montevideo : y manif _t ,n do ei e.davo.. y de vá'aco, elegidos en la clase de los hoyarlos; pjjo píd: tac…</t>
  </si>
  <si>
    <t>Carneiro, Borges</t>
  </si>
  <si>
    <t>Borges Carneiro</t>
  </si>
  <si>
    <t>…retas entre la Baviera y Wurtembrrg. corregidores letrados pasarán cada tres afina de unos pueblos á «erro. Acerca del c&lt;tado visee no faltan personas que le etríbuyen al deseo El Sr. Borges Carneiro habló sobre este articulo, y asi que crosetude este Monarca de mandar una división rusa contra los turcos; y de yó su discurso se suspentbó le discusión de él para continuarla en otea aqoi inñeren estar muy próxima la época de un rompimiento; pero acer sesión…</t>
  </si>
  <si>
    <t>…ta (art. 158), las cuales darán cuenta se han hecho ya tan ilustres en los fastos de la libertad y del patrio después de sus decisiones al supremo Iribunsl de Justicia.” tismo. Ei Sr. Borges Carneiro dijo que debía suprimirse este artículo, y el n Bien venidos seáis, dignísimos diputados de la Nación; la patria Sr. Bastos apoyó la idea, fundmdose en que había llegado el tiempo que os envía disfruta anticipadamente la mas consoladora esperanza de de que se…</t>
  </si>
  <si>
    <t>…busos; que por lo mismo el impresor era el responsable, y que el juez debía responder por no ha ZXAMC1A. ber practicado todas las diligencias necesarias para aprehender al reo. El Sr. Borges Carneiro dijo que esta lev no podía tener efecto re París 1." di Febrero. troactivo, 7 que asi no podían responder ael citado artículo el editor ni el impresor; pero que era preciso prevenir este caso para lo futuro, CAMARA db 10$ diputados__Centmita la sesión Jet Je…</t>
  </si>
  <si>
    <t>…ontinuó la discusión de la segunda parte del art. t;8 del pro miento del príncipe Ipsiíanti; y que se les ha prometido que en ca&gt;o yecto de Constitución que estaba pendiente; y el Sr. Borges Carneiro de guerra se formará de ello* una falange griega, manteniéndoseles dijo que le parecía que el supremo tribunal de justicia no debía entender por ahora con el producto de las suscripciones abiertas en Rusia , y cu en las causas de responsabi.idad de-los jueces…</t>
  </si>
  <si>
    <t>…o ahora la guerra , no En esta sesion.se continuó ía discusión pendiente en la auter:or so se hallaría en estado de hacer el mas mínimo papel en ella; y su inac bre la adición del Sr. Borges Carneiro al art lóñ del proyecto de Cons ción la pondría mas á disposición del Gabinete suso , si este aumen titución, la cual ocupó toda la sesión, y se suspendió para continuaría tase por otra parte su territorio ó su influjo. en otra.</t>
  </si>
  <si>
    <t>…cipio del artículo del tura , bien fuesen de Europa ó de Ultramar. Indicador, á cuyos redactores rogamos que procuren evitar, en cuan Se aprobó una adición al art. 164 que hizo el Sr. Borges Carneiro, to sepan, expresiones que puedan dar lugar í una funesta equ.voca para que la parte interesada pudiese acusar de prevaricación al magistra ción. do siempre que la hubiese. CáMz 29 de Marzo. Se leyó el art. 167 redactado nuevamente; pero se suspendió su dis E…</t>
  </si>
  <si>
    <t>…uii, y que el Bajá Atsdullah ha debido su salvación á ia veloci conozco, sino porque realmente lo creo asi. dad de su caballo, pero perdiendo todo su equipage, su harem y su te El Sr. Borges Carneiro pronunció un largo discurso, en el que en soro. También dicen que ba habido un terremoto en JCermanthak que tre otras cosas expuso que la conducta de los brasileños era la de los ba destruido unas casas. ingrato*, pues que estando sujetos al yugo de los capit…</t>
  </si>
  <si>
    <t>…la de la corona , y en lo futuro é él ó á una persona de la casa reinante, familia Real. y en su defecto é una Regencia-* Siendo la hora correspondiente, se levantó la sesión. El Sr. Borges Carneiro dijo que si la delegación del poder legisla NOTICIAS DE ESPAÑA. tivo separaba ai Brasil del Portugal, jr decretaba su sepas scion , la dele gación del poder egecutivo era relativa solamente á la unión y a) bien Cádiz 3.6 dt Julio. estar de los brasileños: hiz…</t>
  </si>
  <si>
    <t>…sta tercera facultad ó cido el campo ; pero creo seráa uno» s:t* a ocho muertos .- ia nuestra ha consistido en haber s'do herido Kv.m*nt? et valiente Trelles , que conarticulo. El Sr. Borges Carneiro habló en su favor; y aunque otro* Sres. di ■u intrépida guerrilla desalojó á los infames de las posiciones que ocu putado* lo impugnaron, puesto á votación quedó aprobido como estaba. paban. Después de alguna ligera discusión se aprobaron los arts. +" y 5.°,…</t>
  </si>
  <si>
    <t>…lápida d eente, de cuya construcción y caso de vcrficaro debían reintegrarse todos los gastos y perjuicios adorno se hallaban encargados dos patricias m.licianos del batallón. El Sr. Borges Carneiro quiso responder al preopinante; pero siendo En dicho a.to mandé que el rector predicase er la casa de la villa , lo ya tarde, resolvió el Congreso que se tratase de este asunto en una sc- que ver finó incubando en los corazones de los oyentes la doctrina 110…</t>
  </si>
  <si>
    <t>…l Brasil de El Príncipe Real no egerce en el Brasil el poder que le delegó su bían firmar la Constitución. augusto Padre, sino el que le ha «Jado el pueblo, fuente de todos loa El Sr. Borges Carneiro pronunció un largo y elocuente discurso en poderes legítimos; de consiguiente el Príncipe no es, cprno supone la favor del dictamen de la comi&gt;&gt;on; y habiéndose suspendido la ditnrcom iion,una autoridad ilegitima, ni meaos puede decirse que no tie alon para c…</t>
  </si>
  <si>
    <t>Carnelro, Borges</t>
  </si>
  <si>
    <t>Borges Carnelro</t>
  </si>
  <si>
    <t>…eden llegar á exasperarse los musulmanes, y con el conoci funciones.” miento particular de lo que puede la política y la envidia entre los prin Se leyó la adición propuesta por el Sr. Borges Carnelro, que decía: cipes cristianos, idea que le hace manifestarse menos sumiso de lo que •* Que en Ultramar puedan las audiencias , que tuviemn facultad de oír *u situación requiere. en grado de revista , resolver las quejas referidas en este articulo, cuyo El Aust…</t>
  </si>
  <si>
    <t>Carnero, Borres</t>
  </si>
  <si>
    <t>Borres Carnero</t>
  </si>
  <si>
    <t>…ivo á la ocupación de Montevideo por las tropas portuguesas i 7 Piando!.! de S. Pedro de Torillo , que ,unt.s componían unos 100 hom Habiéndose leído de nuevo , tomó la palabra el Sr. Borres Carnero , y bres , bajaron h e.a este pueblo, y catre e! y el de beba fueron batido* dijo que iba á rectificar con nuevas razones 1c opinión que sebre este ayer por los g f.s Pérez, Gisb rt y Pínganon , causándoles ¡a perdida asunto manifestó en otra sesión; y que de…</t>
  </si>
  <si>
    <t>Carnicer, Ramón</t>
  </si>
  <si>
    <t>Ramón Carnicer</t>
  </si>
  <si>
    <t>…e en medio de loa Tema con variaciones an la ópera la Generentola, compuesta para embajadores extrangeros , y en la* concurranciaa particulares; ora no* piano-forte por el célebre profesor D. Ramón Carnicer , impresa i lleve á la cabaña del labrador ó á la choza del indio saivage, ó ya nos 4 rs.: el mismo para guitarra y flauta sola. Se hallará en la librería pinte las maravillas de la naturaleza tales como la cascada del Niagara, de Ortega, con una colección 4*…</t>
  </si>
  <si>
    <t>Carnicer, Valentía</t>
  </si>
  <si>
    <t>Valentía Carnicer</t>
  </si>
  <si>
    <t>…yes funda mentales de Aragón , de Valencia , de Navarra y de Castuia, en ti ¿o Segarte a6 de Julio. le concerniente a la libertad é independencia de la Nación , á los fue El sabio D. Valentía Carnicer, gobernador sede vtcinrs de este ras y obligaciones de los ciudadanos , á la dignidad y autoridad cal ha dirigido á ios curas p-rrocos , vicarios , eclesiásticos ¿cea- Rey y de les tribunales , al establecimiento y uso da la fuerza armada, faresv regulares y…</t>
  </si>
  <si>
    <t>Carnicero, Manuel</t>
  </si>
  <si>
    <t>Manuel Carnicero</t>
  </si>
  <si>
    <t>…y L). Tomas Alaría iten ¡r&gt;!o en c i’i c.m er.tde S. M. se sirva dar las órdene» convenien Zunon. tes al efecto.=De urden del Rey lo ttasl-do á V. S. para su inteligen Los señores D. Manuel Carnicero y D. Juan Cortés lo calificaron cia, y á fin de que publicándolo y circuí, ndolo » lo» pueblos de esta de injurioso en segundo grado. provincia tenga el debido cumplimiento, inseitándoío ademas en los ANUNCIOS. periódicos de la misma.” Se dí.ea saber la existencia de Francisc…</t>
  </si>
  <si>
    <t>….a id............................................... 90.... 60 D L ino Campos, D Hifiiio Antonio Lócente, D. Pío Santos, Don 4.* id..................... do.... 40 Nicolás Alonso y D. Manuel Carnicero. Habida la conferencia, testilló §.* id............................................... go.... ao por unanimidad no hatee lugar i la fermenten dt crema. EN LA IMPRENTA NACIONAL.</t>
  </si>
  <si>
    <t>Carnicero, Martin</t>
  </si>
  <si>
    <t>Martin Carnicero</t>
  </si>
  <si>
    <t>…biendo sí ói por medio de apedreado con los documentos que lo acrediten, al que se int-ruaban para atacarlo, hice una marcha de once horas atre secretario de dicho establecimiento D. Martin Carnicero , que v.ve en vida y npida, cayendo sobre ellos cuando menos lo pensaban ; que tan la casa de Misv ricóidia de esta corte , quien le* enterará de una Real re instruidos en materias militares como m lar do // (que dicen defien solución de S. M. que les interes…</t>
  </si>
  <si>
    <t>…endador de ia m ima de ambas clases que aa considerasen con derecho al monta sa presenta orden a&lt; coronl de la misma arma D. Gerónimo Vasdés. También »e sen al aecreUffo del mismo D. Martin Carnicero con los documento* ha servido s. M. nombrar mariscal de campo He lo» egércitos naciona que lo acreditasen ¡ se ha acordado citar y emplazar 4 lo* qu* asm a* les al brigadier L&gt;. Jos-f de Cantease , que cgerce el cargo «le general en ae hayan presentado, 4 fin…</t>
  </si>
  <si>
    <t>Carnudo, Joaquín</t>
  </si>
  <si>
    <t>Joaquín Carnudo</t>
  </si>
  <si>
    <t>…l entre lar to que todos sus bienes se apli de Ofiate, mag stracio de la audiencia__ D. Blas Fournás, genera-._ can ec un on con ti resultado otras providencias i resarc.r una par D. Joaquín Carnudo , ídem__ ID. JoseT Antonio San* , ídem , y su hijo, te de ios perju.cios ocasionados Gerona 3 do Setiembre de i8i2.=Joex-guardia de la Real Persona__D. Matías Masan:!, comandante d.l sef Pero'. 5.0 batallón de milicias—D. J»-f On ¿a , gefe de escuela di pr m-…</t>
  </si>
  <si>
    <t>Caro, Diego Josef</t>
  </si>
  <si>
    <t>Diego Josef Caro</t>
  </si>
  <si>
    <t>Gaceta de Madrid n.º 199</t>
  </si>
  <si>
    <t>…onfesará que es una cosa absolutamente El dia 19 del mes pasado el maestro de primera* letras de esta vi .material que la colonia rusa de Nuevo-Arcángel sea chica ó grande. Si lla D. Diego Josef Caro presentó sus discípulos i los acostumbrados el derecho á tas posesiones territoriales se midiese por la dimensión de exámenes públicos. Por la mañana fueron examinados sobre doctrina los puntos ocupados, ;qué seria de los derechos de los Estados-Unido* cristi…</t>
  </si>
  <si>
    <t>Caro, Francisco Javier</t>
  </si>
  <si>
    <t>Francisco Javier Caro</t>
  </si>
  <si>
    <t>…uela especial de la de Antequera, á Dora Justina Caro García, soltera, también su tia, cienc:a de cutar de esta corte el dia s.° de Octubre pióxisno á las 11 vecina de esta corte, D. Francisco Javier Caro , presbítero, D. Josef, de su mafiana con una oración inaugural facultativa, que leerá el doc Doña Josefa y Doña Joaquina Caro Gutiérrez, todos cuatro herma tor D. Bonifacio Gutiérrez, catedrático de la misma, ha acordado la nos , vec nos los tres primeros de…</t>
  </si>
  <si>
    <t>Caro, Tomas</t>
  </si>
  <si>
    <t>Tomas Caro</t>
  </si>
  <si>
    <t>…distrito. Añaden ade y.yo con mi tropa me encargué de la entrada principal, acompañándo mas al siguiente parte recibido por aquel gefe político. » La facción del me los nacionales D. Tomas Caro y D. Julián Romo. Toda expresión execrable Parfrondi, de que tengo dado á V. S. conocimiento, ha sido seria corta para pintar á V. E. el valor y patriotismo da los valientes completamente desecha sin mas que haber visto la actitud imponente y que he tenido el honor de mandar…</t>
  </si>
  <si>
    <t>Carocha, Vicente</t>
  </si>
  <si>
    <t>Vicente Carocha</t>
  </si>
  <si>
    <t>…o de la milicia nacional local. Nación, y la venta de incas aplicadas 4 la extinción de la deuda.” Otro de la de Legislación para que le concediese carta de ciuda Aprobado. dano á D. Vicente Carocha. 13. i&gt; Las Cortes señalarán el plazo de cuatro años, dentro del cual Otro de la comisión de Infracciones acerca de la queja dada por los acreedores del Estado hayan de cambiar sus créditos por fincas D. Antonio Noguera, comandante de batallón, contra D. Pabl…</t>
  </si>
  <si>
    <t>Carón</t>
  </si>
  <si>
    <t>…que se aumentó en ellos á la salida Según lo que nos dice el Monitor de ayer en tu parte no oficial, el de 40 hombres de Ordenes mandados por el capitán Piesas , que diri teniente coronel Carón y otro antiguo oficial llamado Royer forma giéndose hacia el pueb o, donde se hallaban situadas dos co.urr.nas, ron el proyecto de seducir á los sargentos del regimiento núm. 46 de estas al ver la serenidad de los que marchaban, dejaron sus pu- tos línea , y…</t>
  </si>
  <si>
    <t>CarondeUt</t>
  </si>
  <si>
    <t>…l Sr. coman se desechó la propuesta. (Gran agitación. ) » Mr. de Montmorency, ministro de Negocio* extrangeroa, subió dante g-neral de ote sexto distrito el oficio siguiente: » El brigadier CarondeUt con go caballos y el segundo batallón ds i Ja tribuna. (El mayor silencio.) Extremadura , procedente de Lérida, no pudo dar alcance ayer en Can n Me ceñiré por lo pronto (dijo el ministro) i examinar el punto damos á lo* facciosos qu* de Fraga fueron alti, y…</t>
  </si>
  <si>
    <t>Caroz</t>
  </si>
  <si>
    <t>…te expu sf* una retirada. Ademas {es por ventura ana medida meramente ban propuesto «ad decreto aprobado. •dtfmtfgm esa intervención en el gobierno de aa reino tan poco temi . El Sr. Caroz apoyó el dictamen de la «omisión, ampliando las zaza» ble como ci de Ñipóles! Los político* infiltra» ¡no han oído hablar allies expuestas en fitvpr del mimo por los Sres. preopinante* -guna vez de un proyecto de sentar ea el trono pontificio á un Archi El Sr…</t>
  </si>
  <si>
    <t>Carr.ias, Pedro</t>
  </si>
  <si>
    <t>Pedro Carr.ias</t>
  </si>
  <si>
    <t>…._D. Mariano Granado», comandante del presid.o de la ciudade- esa juslic.a J p biaciun, foc . de ia rebeicn de la beiva y abrigo da la._L&gt;. Cirios Obasi, espitan de llares de rdem—D. Pedro Carr.ias, infames asesinos, y las extenderé hasta efectuar lo prevenido en el ar empleado del cabiido de Barcelona.—_D. Joaquín Lioser, emp.ea o tn ticulo y i' de mi circu.ar de 9 de Julio último, rn el caso de que vurlla secretaría del gefe político--- ID. Josef Jcrd…</t>
  </si>
  <si>
    <t>Carranza, Josef Llanos</t>
  </si>
  <si>
    <t>Josef Llanos Carranza</t>
  </si>
  <si>
    <t>…ane, que en esta ocasión ha satisfacción las funciones de ayudantes de campo. Lea oficiales D. Vicen dado nueras pruebas de su pericia y arrojo; constipando con oportuni te Carsi, D. Josef Llanos Carranza, D. Juan Arcos , D. Pascual Ru dad para obrar ranas compañías del primero y segundo batallón de la bio, y otros cuyos nombres ignoro, me acompañaron con ios mejore* milicia con una pieza de artillería, mandada por e¡ capí Un O. Javier deseos á todas partes; s…</t>
  </si>
  <si>
    <t>Carranza, Manuel</t>
  </si>
  <si>
    <t>Manuel Carranza</t>
  </si>
  <si>
    <t>…pinaba que no te debia acceder á su solicitud. MANDARON ERIGIR ESTE MONUMENTO Aprobado. LAS CORTES GENERALES DE LOS A$¡OS DE iHlO Y l8l!. La misma en vista de la representación de D. Manuel Carranza, Alt. 9.0 » Mientras llega ei tiempo en que se erijan uno y otro mo solicitando se le conceda la asignación de igoors. que disfrutaba anual numento con fondos de la Hacienda pública, el Gobierno podía dar mente del fondo de penas de cámara con solo pedirla ca…</t>
  </si>
  <si>
    <t>Carrasco</t>
  </si>
  <si>
    <t>…o Cantoiia, Cuesta, Zubia , Vitorica y otros , relativa á los lími miese una clausula que en concepto de la comisión es esencial (sima, tes de la provincia de Santander : otra del Sr. Carrasco , relativa i los cual es la de la absolución del reo. límite» de las provincias de Salamanca y VallaJolid; y otra del señor En seguida se declaró este artículo suficientemente discutido, y que Lobato, relativa á los límites de la provincia de León. dó aprobad…</t>
  </si>
  <si>
    <t>…a con arreglo á los arrs. 545* 548* 553 y 554." Aprobado. TITULO OCTAVO. be mandaron pasar á ia comisión cuatro adiciones a los artículos anteriores ya aprobados: una de ellas del Sr. Carrasco: otra del señor De los que rehúsan al Estado los servicios que le deben. Uragat otra dei Sr. Echevarría; y la otra del Sr. Alaman. CAPITCIO UNICO. CAtlTVlO V. Alt 573. n El que contraviniendo á la obligación que todos los Del desacato de los hijos contra la a…</t>
  </si>
  <si>
    <t>…l Sr. López (D. Marcial ) dijo : Me alegro que el reto del señor tos y el de las universidades, hospitales &amp;c. González Allende ponga á la comisión en el caso de hablar de esta Kl Sr. Carrasco sostuvo el dictamen de la comisión, manifestando particular ; porque en materias de esta especie , 7 cuando los papelee que si bien era cierto que el medio diezmo no bastaba para soló la do públicos han anunciado que babia una porción de medios luisee en la t…</t>
  </si>
  <si>
    <t>…porcione al principal móvil de Ja acción fue el de encubrir su fragilidad, se gunos auxilios en aquel estado.” le impondrán solamente uno á cinco afios de reclusión.” Aprobado. El Sr. Carrasco hizo varias reflexiones acerca del caso en que se re Art. 641. » El que voluntariamente, i sabiendas y con el fin de bajaba la pena al homicidio en tifia &amp;e.; y opinó que debería expre matar á otro, ó hacerle otro daño en su persona, ponga fuego en casa, sars…</t>
  </si>
  <si>
    <t>…icuio, añadiendo al caso tercero después de la pea orden sacro 6 regular profeso sufrirá &amp;c. labra enmascarados la de ó disfrazados. Art. 554- Es el 553 del projecte. (Adición del Sr. Carrasco.) Art. 730 » Serán condenados á trabajos perpetuos : ” Y han reconocido ó reconocieren en adelante como esenciales y ne ” Primero: los que en distintas ocasiones hubieren cometido dos ó cesarias, las lejes del reino.” mas, robos de ios expresados en los tre.…</t>
  </si>
  <si>
    <t>Carrasco, Josef</t>
  </si>
  <si>
    <t>Josef Carrasco</t>
  </si>
  <si>
    <t>…nto infan Madrid A D. Lorenzo Fernandez de It Regneriy teniente de in tería de León, con .$70 rs. fantería y del regimiento infantería de Córdoba, con 570 re. Alcázar de $. Juan á D. Josef Carrasco, teniente supernumerario Malaga A D. Pedro Fernandez dala Herían , teniente deinfantería del regimiento infantería de Guadalajara, con 570 rs. y del batallón de la milicia activa de Mátage -, con 450 ra. Astorga al capitán D. Pedro Pascual del Castillo , teni…</t>
  </si>
  <si>
    <t>Carrasco, Josef García</t>
  </si>
  <si>
    <t>Josef García Carrasco</t>
  </si>
  <si>
    <t>…arel las. 3: Alcalde tercero Cayetano Rubio, s Al María Domenech , D. Tomas Sánchez del Pozo , D. Jacinto Hurucalde cuarto Miguel de Na jera. = Alcalde quinto A rías Gonzalo de do,D. Josef García Carrasco y D. Temas Muñoz de S. Pedro, sia Mendoza, a Alcalde sexto Vicente Bertrán de Lis. = Regidor Elias olvidar por otra parte los de sus sabios y beneméritos diputados i CorVillalóbos. a Regidor Josef Francisco Muguiro. a Regidor Cesáreo tes en la legislatura de 1820 y 11, que pr…</t>
  </si>
  <si>
    <t>Carrascon, Francisco</t>
  </si>
  <si>
    <t>Francisco Carrascon</t>
  </si>
  <si>
    <t>…1). Francisco Co om- La de Legislación opinaba que no debía haber lugar i deliberar bo que se hallaba en esta corte, y otros muchos sugetos; que su único •cerca de Ja solicitud de D. Francisco Carrascon, prebendado en la cate hijo fue perseguido y sentenciado i la pena de muerte, de la cual dral del Cuzco. Aprobado. se libró escapándose del reino; .y por último que estos y otros mu Se mandó quedar sobre la mesa un dictamen de la comisión de Ha chos contratie…</t>
  </si>
  <si>
    <t>Carrascosa</t>
  </si>
  <si>
    <t>…g dt Marzo. __Una carta particular da Liorna desasiente, con referencia á otra» da r.o» hombre* que discurren, fundándose na bien en la* circuns Malta, la noticia de la muerte del general Carrascosa, que se decís tancia» que en lo que le* dictan la razón y la justicia, tienen que hacer acaecida en aquella isla de resultas de un desafio; y añade ademas que traición 4 su* propio* sentimiento* por servir al partido i que pertene aquel general se dispone á p…</t>
  </si>
  <si>
    <t>Carrea</t>
  </si>
  <si>
    <t>…te, que egerza este destino en m¡e:¡ris R_*a¡. Fn cuanto a les ir. tendentes, aunque convenzo con as propí.dad, tendrá mientra* lo obtenga el tratamiento de excelencia.” id as del Sr. Carrea, me parece que atendiendo a qu; es una de las au Aprobado. toridades d; ¡ti pr. v ncia , d:b;na ser ia preferida en lo* ca,os de que Art. 133. » Los gefes políticos podrán comíouar en el mando por se trata, y por -,¡o ia cnru.sion lo ha propuesto asi. un tiem…</t>
  </si>
  <si>
    <t>Carreño, F.</t>
  </si>
  <si>
    <t>F. Carreño</t>
  </si>
  <si>
    <t>…ipe Bros; O. Ramón En el tercero j muerto, 10 heridos y 5 contusas. Fábregas, D. Joaquín Marte!, D. F. Garoz el» el segundo batallón; y Total, 3 muertos, 41 heridos y if.contusos. D. F. Carreño, D. Luis Zafortesa y D. Manuel Lace Le, que se hallaban Madrid 10 de Julio de 1812—_És copia__ El comandante acci en el tercero , los que también se portaron con el mayor valor. Fue dental__Josef Luis dé Amandi. también herido el ex-guardia de corps D. Josef…</t>
  </si>
  <si>
    <t>Carreño, Martin</t>
  </si>
  <si>
    <t>Martin Carreño</t>
  </si>
  <si>
    <t>…ues, pues tanta por el fren d&lt; 30 toneladas, su patrón Isidoro Rov,ra, ^n lastre: conduce -a- :-a,te y puerta principal como por la de retaguardia, que hicieron astillas, portc al teniente D. Martin Carreño, un sargento, un cabo y iy ,0 iay llancos, fueron rechazados vigorosamente por lo* poco* valiente* de dos d-. 1 regimiento infantería de Zaragoxa; D. Mauricio Perez, u;. ■ •mi mando; habiendo dispuesto que por la estrechez de las calles saliese det segundo li…</t>
  </si>
  <si>
    <t>Carrera, Alfonso</t>
  </si>
  <si>
    <t>Alfonso Carrera</t>
  </si>
  <si>
    <t>…la diputación provincial para que ha Fetez de León, D. Rodrigo Sanjnrjo, D. Josef Miro, D. Miguel Mo bilite cata introducción cuando el trigo excediere de 8o r*. la fancga( reno , D. Alfonso Carrera, D» Gabriel Rodríguez, D. Francisco 7 la harina de i so rs. el quintal. Montoro,D. Vicente Martina Gómez, D. Antonio María Cuatre El Sr. Munarrii presentó á las Cortes á nombre de D. Josef Ma ras , D. Juan Josef de Cores y D. Francisco de Paula Díaz, jaeces d…</t>
  </si>
  <si>
    <t>Carrera, Cirios</t>
  </si>
  <si>
    <t>Cirios Carrera</t>
  </si>
  <si>
    <t>…urado, compuesto de los Srcs. D. Juan J. del Cubillo, D. Martin huales. Josef de Cantío, D. Josef M. Rerortillo, D Jcsquin de Trueba, Don Primeros exudantes. Juan Martínez Gatica, D. Cirios Carrera, D. Domingo Ranee!, Den Alicante al capitán graduado D. Antonio Melero, segundo ayu Luís Crosa y D. Matías Olave, declaró no haber lugar á la formación dante del regimiento infantería de León, con 670 rs. de sueldo que de causa por ocho votos contra uno, que…</t>
  </si>
  <si>
    <t>Carrera, Félix</t>
  </si>
  <si>
    <t>Félix Carrera</t>
  </si>
  <si>
    <t>…uestra, 10 era igualmente el que por varios oficiales del regimiento de To'edo contra el coronel del mis la corte de Roma costease nuestra legación allí, puesto que tspafía cos mo D. Félix Carrera, pidiendo á las Cortes se sirviesen mandar se tea la legación de Roma en Madrid. Concluyó diciendo que so habien cumpliese con respecto á dicho coronel el decreto de las mismas de la do razón alguna para esta discrepancia , deseaba que la comisión la to de Ab…</t>
  </si>
  <si>
    <t>Carrera, Miguel</t>
  </si>
  <si>
    <t>Miguel Carrera</t>
  </si>
  <si>
    <t>…chos incon » ¡ Pluguiera al cielo que todos los párrocos estuviesen animados de trastables que somos beneméritos de eiia, contribuyendo impertérrita los mismos sentimientos que el D. Miguel Carrera! ¡Oh,y qué dias de mente á sostener el orden y la ley legalmente constituida; con lo que felicidad gozaría en este caso nuestra amada patria! Reverendos arzo tendremos la gloria de cooperar al exterminio de los enemigos que in bispos y obispos, prelados super…</t>
  </si>
  <si>
    <t>Carreras, Juan</t>
  </si>
  <si>
    <t>Juan Carreras</t>
  </si>
  <si>
    <t>…ódicos de Cataluña con noticias que compañías patrióticas de aquel partido , 4 las órdenes de tus comandantes alcanzan hasta el dia g , y cuyo principal extracto dejamos publicado D. Juan Carreras y D. Josef Camprubí. Muy poto tardó en romperse el arriba. Añadiremos con satisfacción que por los periódicos consta que fuego, y fueron rechazado* lo* rcbaidei con vergonzosa fuga h4cia Gayé, en diferentes puntos de aquellos paites van acogiéndote muchos al in habiendo sido la…</t>
  </si>
  <si>
    <t>Carrero, Josef</t>
  </si>
  <si>
    <t>Josef Carrero</t>
  </si>
  <si>
    <t>…z Salazar, teniente del regimienta Osuna A D. Antonio Medina , teniente dei regimiento infantería do infantería de Ordenes militares, con 570 rs. k Corona , con 570 tt. Betanzoa A D. Josef Carrero , teniente del regimiento infantería de Piasencia al capitán D. Josef de Sandoval, teniente de infantería y León , con 570 ra. del batallón de la milicia activa de Granada, con 450 rs. al mes. Baeza A D. Andrea Godino, teniente del regimiento infantería de Pa…</t>
  </si>
  <si>
    <t>Carreta, Francisco</t>
  </si>
  <si>
    <t>Francisco Carreta</t>
  </si>
  <si>
    <t>…por juez á un alcalde de un pueblo que tenga moralidad y rectitud, que misiones de estadística y presupuestos. a un togado con su peiucon que posea mucha práctica en los negocios. Sr. D. Francisco Carreta, -bogado de los tribunales nacionales, vi Por otia parte no sé como purdm desestimarse las solicitudes que para sitador de la cata de socorro , é individuo de la comisión de isudíst.ca. este obji’to pueden hacer militares que después de reunir las circuns Sr.…</t>
  </si>
  <si>
    <t>Carrillo</t>
  </si>
  <si>
    <t>…tas acerca de la entrega de este -papel, cuya pérdida todos veía dad de mandarle formar causa. mos. La turbación, sea la causa que quisiere , hizo contestase de mo Yo considero al Sr. Carrillo como á dependiente de este cuerpo, y do que no se le pudo entender. considero igualmente dependientes de él á todos los oficiales de la secre Se sujetó por último el examen de este asunto i una comisión , y taria; y por consiguiente si fuese necesaria la form…</t>
  </si>
  <si>
    <t>…ilicianos de Solsona prisioneros fueron conducidos por los oye te llama en resumen pacto social. Algunos individuo* de esta socio- faccioso* á S. Lorenzo del Piteas Habiendo dicho brigadier Carrillo dad desobedecieron á la* leyes, y no obstante querían que los defendió» intimado i Mira.les que se presentase al ¡ndu!t ■, este puso en la cár tela nación; esto es, rompieron por su parte el pacto social, y que cel de Solsona al conductor del pliego. Nuestra…</t>
  </si>
  <si>
    <t>…iduos de Murcia al mando del teniente coronel D- Diego Rubio, instrucción para el gobierno económico-político de las provincias, se con dirección á Cardona , en combinación con el brigadier Carrillo de arreglen estos puntos definitivamente.” Albornoz, que desde Berga emprenderá igual movimiento para reunir De Real orden lo traslado á V. S. para su cumplimiento. Madrid ás cu al indicado punto. 2/ de Junio de 1822. _Un sugeto fidedigno escriba dasde Sabade…</t>
  </si>
  <si>
    <t>…que es religión, aunque sean sus ministros. Por su con operar tomando por base de sus movimiento* á Olot. ducta conoceréis que entre estos hay algunos hipócritas, que con capa El brigadier Carrillo con el regimiento de Córdoba, aoo ó 300 de santidad y con palabras dulces y de virtud acogen, abrigan y encu lumbres del resguardo y unos 40 caballos de la Constitución guarna- bren las pasiones mas criminales, especialmente Ta sobib.a y el do ce á Vich. mini…</t>
  </si>
  <si>
    <t>Carrillo, Antonio</t>
  </si>
  <si>
    <t>Antonio Carrillo</t>
  </si>
  <si>
    <t>Gaceta de Madrid n.º 216</t>
  </si>
  <si>
    <t>…ión ditano, csp’tan D. M gurí Pczueti, con azúcar, cacao y tabaco. Jabe 4 quien le hacéis , es tí á los perjuros y traidores que 0$ seducen ; y que que rspañoi San Pablo , cap tan D. Antonio Carrillo , con azúcar , ca con vuestra sangre quitren comprar las preeminencias y goces indebi fé , cacao y tabaco. Bombarda, española Dos Marías, capitán D. Josaf dos que antes poseían , y de que vosotros mismos os quejabais justamen .Ramos , con ub ico, café y azúca…</t>
  </si>
  <si>
    <t>Carrillo, Lorenzo Gatcia</t>
  </si>
  <si>
    <t>Lorenzo Gatcia Carrillo</t>
  </si>
  <si>
    <t>…Ga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renta en su presidente , vice-presidente y secretario mas antiguo el Sr. D. Diego esta corte, se les avisa por este per…</t>
  </si>
  <si>
    <t>Carrillo, Teresa</t>
  </si>
  <si>
    <t>Teresa Carrillo</t>
  </si>
  <si>
    <t>…e un juro Habida ta conferencia, resultó por unanimidad m kahtr lujar i de 5c9 mrs. sobre al aervicio y montazgo del ganado da 'Castilla la la formatiun dt tatuó. Vieja á favor de Doña Teresa Carrillo, en Madrid i 14 de Mayo d» &lt;510__Otro de un juro de 937,500 mrs. sobre las salinas da Poza i Habiéndose denunciado al Sr. alcalde constitucional de esta M. IL favor de D. Luis Fernandez Manrique, á ag de Diciembre de 1578— villa D. Cayetano Rubio por D. Gaspa…</t>
  </si>
  <si>
    <t>Carrillo, Timoteo Rodríguez</t>
  </si>
  <si>
    <t>Timoteo Rodríguez Carrillo</t>
  </si>
  <si>
    <t>…que debe ccntener Jas reglas nos des os di los que hoy se han lisonjeado con noticias de mayor para su gobierno, y quedaroo elegidos ios Sres. D. Manuel María de entidad. Goiri , D. Timoteo Rodríguez Carrillo , D. Joscf Pió Santos, Don _No hay género de atllficio, por pérfido que sea, que no empleen en Josef Garay, D. Francisco López de Olavarrieta, D. Francisco Iz daño de la patria Jo* que se han declarado sus enemigos. No les ha quierdo y D. Pedio Gañido , quien…</t>
  </si>
  <si>
    <t>Carteion</t>
  </si>
  <si>
    <t>£1 Sr. Carteion pidió que en le solución i este primera duda «e di respecto de los periódicos es muy exacta, y habiéndose adoptado por la jese en res denme condenadas obras c¿tifieadai■ comisioo no hay dificultad en esta parto; pero la» que ha hecho el sefior la comisión con…</t>
  </si>
  <si>
    <t>Cártoa</t>
  </si>
  <si>
    <t>…anaderos Alicante «1 teniente coronel graduado conde de Cesa-Rojas, espí provine aies, con tos 450 n. a mes que disfruta en prov.ncia. an agregado ni regimiento infantería Infante D. Cártoa; sin suelda por Monterey á D. Juan Manue. González Araujo, teniente coronel no disfrutarlo. graduado y segundo ayu'ante mayor del segundo regimiento de ¡a Alcor á D. Francisco Antonio Lloret, comandante supernumera guard a Real de infantería, con el sueldo qu…</t>
  </si>
  <si>
    <t>Carvajal</t>
  </si>
  <si>
    <t>…suyos é los representantes de la Nación, desde el Escorial nombró por capitán general de esta provincia al alejando la concurrencia de otro cualquier poder del Estado. Las Cortes señor Carvajal, ni en lot acaecidos en el mes de Febrero del año de 1820 han dado A los ciudadanos españoles la mayor prueba de conpasado cuando el pueblo -de Madrid te vió ultrajado por loe guar fanza , encargando á ellos mismos la custodia de rste derecho. Pero si dias de…</t>
  </si>
  <si>
    <t>Carvajal, Garci Suarez de</t>
  </si>
  <si>
    <t>Garci Suarez de Carvajal</t>
  </si>
  <si>
    <t>…milicia local de esta villa, Siete-Aguas y Utiel se fecha 4 de Enero de 1580 : otro salinas de Espartinas, en cabeza da han conducido con ia mas exacta disciplina , y el teniente coronel Garci Suarez de Carvajal, de 1239 mrs., fecha is de Diciembre de de egército, cap tan de la primera compañía de la milicia activa de &gt;582: otro alcabalas de Piasencia, en cabeza del dicho Garci Suarez esa plaza D. Miguel Torralves, se ha presentado zeloso y voluntario de Carvajal, de…</t>
  </si>
  <si>
    <t>Carvajal, Juan Pedro Quijana y</t>
  </si>
  <si>
    <t>Juan Pedro Quijana y Carvajal</t>
  </si>
  <si>
    <t>…lich. Ignacio Ragés. Francisco María de la Fuensagrada á 1). Fernando Antonio Siñeris y Trelles: Tomas Ros. Josef Elias. Domingo María Vila. Ramón Banquells. para el de Villalba á D. Juan Pedro Quijana y Carvajal: para el de Antonio Monmany , secretario interino. Mellid á D. Manuel Francisco Vilomara : para el de Caldas de Re Se ve que en este bando no firma el secretario del ayuntamiento yes á D. Antonio Ramón Careaga: para el d: S. Salvador de Lama D. Francisco Alte…</t>
  </si>
  <si>
    <t>Carvajal, Juan Suarez de</t>
  </si>
  <si>
    <t>Juan Suarez de Carvajal</t>
  </si>
  <si>
    <t>…a los volun cias de Ycpes , an cabeza de Garci Suarez de Carvajal y tos sucesores tarios de la milicia nacional local del referido pueblo de Cbelva, Tue- en el mayorazgo que fundó D. Juan Suarez de Carvajal, obispo de jar y Aras, y marchando en busca de los facciosos, tomó sus disposi Lugo , ds 27,350 mrs., fecha ia de Marzo de 1584: otro alcabalas ciones para el mejor acierto de la empresa ; pero como la espesura del de Madrid, en cabeza del dicho Garci Suarez,…</t>
  </si>
  <si>
    <t>Carvajal, Tomas González</t>
  </si>
  <si>
    <t>Tomas González Carvajal</t>
  </si>
  <si>
    <t>…«le primera instancia Francisco Javier Barra, comisario de caminos. Para U clase de literatu- da dicha ciudad te publique de auevo su subasto por término de 30 días, tt y artes á D. Tomas González Carvajal, consejero de Estado, ¿ in cootodoa desde el en que te anuncie en la gaceta. La junta del Crédito dividuo de las academias Espafiola y de la Historia; á D. Benúrdi&amp;o público lo hace saber para noticia de los que deseen interesarse en su Velasco, duque de Fría…</t>
  </si>
  <si>
    <t>Carvalho, Annes de</t>
  </si>
  <si>
    <t>Annes de Carvalho</t>
  </si>
  <si>
    <t>…ía mu Sr. secretario de Gracia y Justicia, en qu: manifestaba la necesidad de chos menos en el Congreso. resolver sobre la consulta del sup-emo tr bunal de Just.cia. acerca rfa El Sr. Annes de Carvalho dijo que hacia poco que dos dignos dipu las dudas propuestas por la aud ene a terr.tonal d-Va'¡adalid, respec tados de las Cortes de España hab.an sido insultados , &gt; o!o de de to de los term nos que d b:n tener las causas qu: deben juzgarse según las galería…</t>
  </si>
  <si>
    <t>Carvallar, Ventura Martínez</t>
  </si>
  <si>
    <t>Ventura Martínez Carvallar</t>
  </si>
  <si>
    <t>…extraordinarias, usando de la facul á D. Josef Vera y Pantoja; y para el de Trujillo, vacante por renun tad que te les concede por la Constitución, han decretado: Art. i." cia de D. Ventura Martínez Carvallar, á D. Manuel Prudencio Sobrino. Lo prevenido en el art. 6t del decreto orgánico del egército no priva al Gobierno de la facultad da conceder 4 cualquiera oficial ó gefe sin Debiendo proveerse la administración de la salina de Villaverd-, formación de causa el…</t>
  </si>
  <si>
    <t>Carvallo, Ramón</t>
  </si>
  <si>
    <t>Ramón Carvallo</t>
  </si>
  <si>
    <t>…la d- Ftridos y tres contusas, contar.dos- entre los segundos, de gravedad, el tertit, de ia que dió la vela en el memento que avistó al citado ber bizarro subir n.cine de 1 olido D. Ramón Carvallo. La del enemigo gantín. EN LA IMPRENTA NACIONAL</t>
  </si>
  <si>
    <t>Cary</t>
  </si>
  <si>
    <t>…verle dominar aun en las reun.ones Ni potes 5 de Agosto de 1811.3EI secretario de Estado ministro diplomáticas de Vitna y Veron.. Es de presumir que se harin los ma de le policía general Cary.” yores esfuerzos y que i toda costa se procurara conservar el sist-.ma ac Este e* un general austríaco á quien el Rey de Ñipóles ha encarga túa. , y sobre todo evitar la guerra en Europa, p«rt:cu;arinsnte en el do últimamente el ramo de policía. oriente. Dar…</t>
  </si>
  <si>
    <t>Cas</t>
  </si>
  <si>
    <t>…la gracia de Dios y por la Constitución de El Sr Sierra Pambley dijo que respecto da la primera observación la Monarquía española, Rey de las España*, á todos los que la* pre del Sr. Cas»seca no podía convenir la comisión , porque no era justo sentes vieren y entendieren, sabed: Que las Cortes extraordinarias han que se diese parte en esta hipoteca i loa demas acreedores del decretado lo siguiente: » Las Corte* extraordinaria», usando de la f…</t>
  </si>
  <si>
    <t>…-.to elegido. Cuando Jas Cortes anularan la anterior elección, por habet jo al dictamen de la misma comisión aprobado ayer por las Cortes, re sido nombrado después de su muerte el Sr. Cas maño, dijeron que la lativo á 'os sugetos que pueden ocuparse en la p.sca de atún y sardina. junta electoral de Sevilla procediese á nombrar otro diputado, que fue Se leyi&gt; un oficio del r. secretario de Gracia y Justicia, en el que Jo mismo que decir te hici…</t>
  </si>
  <si>
    <t>…ebe haber refluido esta ventaja en beneficio de ¡a Nacos. pedia encargarse de estas obras de pública utilidad. Con este mot.vo diré que esa malísima operación que ha hecho el Go H Sr. Cas tejón dijo que la villa invertiría caudales en obras muni bierno no nos ha libertado de que se introduzcan medio* luises del ex cipales; pero que si te la obligaba á invertirlos en una obra como la tráñelo; porque como quiera que hay muchos que tolo tienen de…</t>
  </si>
  <si>
    <t>Cas, Antonio de</t>
  </si>
  <si>
    <t>Antonio de Cas</t>
  </si>
  <si>
    <t>…de la milicia ac te mayor de la brigada de carabineros R ales. tiva de Pontevedra. . Falencia: para primer comandante á D. Gaspar Blanco, coman Almería: para primer comandante al coronel D. Antonio de Cas dante de escuadrón del regimiento de Pavía. tro y Tovar, mayor comandante supernumerario del regimiento de ca Pamplona (ligero): pira primer comandante á D. M guel Irr barballería del Príncipe. ren, comandante de escuadrón del regimiento de Borbon Astorga: pa…</t>
  </si>
  <si>
    <t>Casa</t>
  </si>
  <si>
    <t>…glo i las leyes •ion no se oponía en nada i lo establecido en la ley fundamental, la 7 á los cánones.” ■ Cual decía: » Peto todas las demas faltas , culpas y delitos en que por El Sr. Casa seca impugnó el artículo, opinando que no era muy con razón de su estado incurran contra la disciplina eclesiástica te reser forme á la Constitución, la cual deja en pie el fuero eclesiástico, ni van á la autoridad 7 jurisdicción de los prelados respectivos p…</t>
  </si>
  <si>
    <t>Gaceta de Madrid n.º 196</t>
  </si>
  <si>
    <t>…rstab ecido entre ellos, i consecuencia de un convenio cele les se reúnan la religión, la moral y la política: por D. Mizurl Ruiz brarlo ú t mam nt• con el Gobierno americano, el general Casa, fraile de Celada , antiguo profesor de esta* ciencias. Dos tomos en 8. Se ha de ltJ r-Vgvm ete S- Francisco. llará el tomo 1.' en las libreril* de Orea y de Bailo á 9 rs. en rústica: * » El lamoso ¡ strta P. Micquoit ha convertido en Macchinac 1200 *l tomo 1…</t>
  </si>
  <si>
    <t>…entos teóricos ó conocimiento.” Aprobado. por los práctico», y que asi no ie parecían fundadas las observaciones Art. 50. » A mas de las hojas de servicios y de los demás docu del Sr. Casa;. mentos que existan en las inspecciones por donde pueda venirse en co D.daraio el punto suficientemente d.teulido, quedó aprobado el nocimiento de los cap tañes y gafes que hayan de ser propuestos, ser artículo. virán muy particularmente para llenar este obj…</t>
  </si>
  <si>
    <t>Casad.-mum, María</t>
  </si>
  <si>
    <t>María Casad.-mum</t>
  </si>
  <si>
    <t>…. Miguel Martínez, soldado de los inválidos inhábiles de Toro. An por la dir eden general de estudios conforme 4 estas reglas , jr se de drés Domínguez, sargento segundo disperso. Doña María Casad.-mum, volverán las que autu lmente existen , para que instruidas en los t¿rod que sirvió ea la compañía de in igeres de Gerona. Miguel Bernal, cubaeos prescritos, sean respectivamente despachadas por la dirección, ó re-1 segundo que fue del regimiento cíe infanter…</t>
  </si>
  <si>
    <t>Casafia, Mariano</t>
  </si>
  <si>
    <t>Mariano Casafia</t>
  </si>
  <si>
    <t>…envolver á los facciosos ; pero su precipita ló volunt.rio» de llltsci* á las d* D Mar año Sejornal, y de ey aoda fuga no le permitió alcanzarlos. lutitjno» de Toledo al mando del teniente D. Mariano Casafia. Turra tona 8 de Jutio. Cada una de estas partidas y cada ¡n fividuo por sí mismo nada ha* Los facciosos sizuen ocúpaselo dif rent-, posiciones, excepto Mit- dejado que desear para manifestar su patrotlsmo , d-cision y valor con jaralta que ha tomado otra, pu…</t>
  </si>
  <si>
    <t>Casals, Francisco</t>
  </si>
  <si>
    <t>Francisco Casals</t>
  </si>
  <si>
    <t>…ara la resolución de las Cort s se han mostrado inclinadas á nacerlo), se puede casi asegurar que Co/Us.” los rezelos que se han manifestado por algunos Sres. diputados saldrán fa D. Francisco Casals, subteniente retirado, presentó un egemp’ar de llidos, be sabe que el subsidio es, por decirlo asi,ei Unico obstáculo que su obra intitulada Curto ttárico de aritmít-ca mtrcant l &amp;c., p.ekndo se alega en casi todas las redamaciones para llevar 4 efecto 10» an…</t>
  </si>
  <si>
    <t>…ai que gozaban en aquella época, y que loa La comisión de Instrucción pública, en vista de la obra presentada propuestos para grados y sueldos, sean promovidos al empleo inmcdapor D. Francisco Casals, opinaba que debía pasar á la comisión de to con arreglo al decreto de ias Cortes de 8 de Noviembre de iH.o; Instrucción pública. Aprobado. debiendo entenderse que los oficiales de los cuerpos de artillería e u&lt;geLa comisión de Diputaciones provinciales , en…</t>
  </si>
  <si>
    <t>Casals, Juan</t>
  </si>
  <si>
    <t>Juan Casals</t>
  </si>
  <si>
    <t>…esa *i..a y su termino un so.o se da ría—D. Manuel Blavia, id----£&gt;. Jcscf Lioser, carón, go y cx-n.qui- do ó miliciauo nacional, como r.o sea por una fmtrza armada de mas aidor.__D. Juan Casals , presbítero de Sta. María del Mar—O. Narci de 500 hombres , ó oc que se ísueiccplt un correo, pues me será V. so Bas, rector del seminario con D. N. Esquí e, presb t;r . oen.tkúdo responsable de ia seguridad &lt;H estos , á pesar de que vayan sin custodia de la…</t>
  </si>
  <si>
    <t>Casano, Antonio</t>
  </si>
  <si>
    <t>Antonio Casano</t>
  </si>
  <si>
    <t>…ubo elección, y la ley no quie Otro de la misma sobre qu: r.o hava lugar á deliberar acerca de 1» re que subsista un hecho que no se había verificado, aunque no fuera solic.tud de D. Antonio Casano , capitán del regimiento de borra , pi por culpa de los electores. Si la iunta electoral hubiese tenido noticia diendo que se le concedan los ascensos que le corresponden. del fallecimiento del hr. Cal mano acaso no hub.es: elegido al señor O ro de la misma p…</t>
  </si>
  <si>
    <t>Casariego, Juan Fernandez</t>
  </si>
  <si>
    <t>Juan Fernandez Casariego</t>
  </si>
  <si>
    <t>…que seria fácil lograr con muy D. Joaquin Huerta Cevallos, D. Antonio María Espejo, D. Valentín cortos auxilios, á causa de que todos los pueblos están animados contra de Nicolás, D. Juan Fernandez Casariego, D. Juan Pablo Pascual, ellos , y que sus fuerzas son en el dia muy cortas, y abora seria menos D. Martin Miguel de Goicochea. con I: muerte de Bolívar; pero nada esperamos del Gobierno el obser . Reunido el jurado, y habida la oonferencia, se declaró por una…</t>
  </si>
  <si>
    <t>…s, como militare» y eclesiásticas, siguientes.- D. Francisco López ds Obrera irte, D. Benito Ortega Ro de cualquiera clase y dignidad, que guarden y lúa guardar, cumplir manillo», D. Juan Fernandez Casariego, D. Andrea Ateos, D-Martin y ejecutar*! presente decreto en todas sus partes. Tendíeislo entendido Miguel de Goicmcbm, D. Josef Amonio Fonam, D. Antonio Reves 1 9Enu bocadosu cumplimientode la Real ,mano.=Eny dispondré»Arantejuezimpeima,i 17 dspubliqueAbril y…</t>
  </si>
  <si>
    <t>…ular- Se ha dicho ¡señores que declararon haber lugar: D. Francisco López Otavartambién que se empezaba por el despojo; pero aqui no hajr tal des rieta, D. Benito Olga Romanillos, D. Juan Fernandez Casariego, pojo, porque este supone violencia en ei acto , y falta de autoridad en D. Andrés A Icón, !). Martin Miguel deGoicochea, D. Josef Anto la persona que se despoja? ademas tampoco hay posesión, poique las nio Ponzoa y D. Antonio Regas. cosas afectas i señoríos…</t>
  </si>
  <si>
    <t>Casariego, María del Carmen Echeverría Juan Fernandez</t>
  </si>
  <si>
    <t>María del Carmen Echeverría Juan Fernandez Casariego</t>
  </si>
  <si>
    <t>…a, y salieron M. H. villa ante el notario mayor D. Vicente de la Llave se mmda los Sres. siguientes: D. Cayetano Romero, D. Joaquín Cevallot, Don convocar por la gaceta y diario 4 Doña María del Carmen Echeverría Juan Fernandez Casariego, D.Isidro de Hoyos , conde de Florida-Blan y su madre Doña Concepción Zu’.uaga, 4 fin de que concurran 4 la pre ca , D. Valentín Nicolás , D. Antonio Quiroga, D. Andrés Navarro sencia de S. S. en su audiencia en el preciso término de seis dias 4 eva y D. Jose…</t>
  </si>
  <si>
    <t>Casas</t>
  </si>
  <si>
    <t>…En el dia *6 el pueblo persiguió por las calles á los estudian Cortes; y el Sr. Velasco propuso lo mismo. tes, y estos abandonaron co masa la ciudad , á petar de los esfuerzo* El Sr. Casas pidió que u leyese el art. 11 a del reglamento. que hicieron para contenerlo* los superiores de la universidad, he pidie El Sr. 'aIva di|o que sentía que los Sres. de la comisión no trata ron tropas de caballería i Nuremberg; y un comisionado del Gobierno sen…</t>
  </si>
  <si>
    <t>…, de modo que todos te como es mu fácil corregir que componer, y reparar que hacer una man noticia de ella. cosa; esta es la razón por que deseo que el Congreso examine lo que El Sr. Casas se opuso i la proposición, opinando que era necesario no pudo hacer aquel por falta de tiempo, úmeamente para hacer en :1 pesar con detención las razones en que se fundaba la negativa de S. M. código algún icto jue importante, á fin de asegurar el acierto en…</t>
  </si>
  <si>
    <t>…os convenientes anteriores en que no se había tenido presente dicha copia, esto no había Do te había pasado sido mas que alguno qne otro caso particular, y no se había dado nin Ei Sr. Casas dijo qu- los diputados electos por la isla de Cuba se gún decreto que lo fijase como regla general; que por los poderes solos habían presentado ai Gobierno para que remitiese todo» los documen no resultaba rn manera alguna el que se hubiesen seguido puntualme…</t>
  </si>
  <si>
    <t>…o po las adiciones de los Sres. Adanero, Buey y Lodares. dían entrar 1 pastar sus ganados en las heredades después de alzado el En cuanto á ta d; los Sres. Lamas y Taboada dijo el Sr. Casas: S« fruto , se sirvan acordar las Cortes la suspensión de dicho artículo- La ha dicho por la comisión que sena indecoroso á las Cortes el q je nom comisión era de parecer no habia lugar i suspender lo dispuesto en el brasen esta comisión; pero no sé qué razon…</t>
  </si>
  <si>
    <t>…Sr. Infante en dicho arzobispado, opinaba que la» Corte» podían opinión que había expuesto el Sr. Velasco. servirte declarar fu la expresad» recaudación corresponde 4 los admi El Sr. Casas manifestó que en tode la Nación no había otro* curse nistradores del priorato de S. Juan, como igualmente su distribución, mejor pegados que los de órdenes, quienes al misino tiempo tenían une mandéndose llevar 4 efecto U Real orden de 6 de Setiembre último b…</t>
  </si>
  <si>
    <t>…la Península -, por lo cual creyó que Otro sobre el juramento que deben prestar los R&amp;. obispos de Es debía aprobarse la proposición. paña 4 S. S. Se mandó imprimir 4 petición del Sr. Casas. Discutido el punto suficientemente, quedó aprobada la proposición Otro sobre las proposiciones de los Sres. Ordufia y Velasco, rela referida. tivas á la residencia de los que obtienen beneficios eclesiásticos. La co Se leyó la siguiente proposición del Sr. G…</t>
  </si>
  <si>
    <t>…que deses mi corazón, y en esto me este proyecto; pero las bases son de esencia de él, y deban admitirse. ocupo 4 cada instante: esta esperanza consoladora mitiga mis penas, y El Sr. Casas: Creo que nadie pondrá en duda la necesidad de re me presenta un porvenir mas lisonjero.” formar el reglamento de la milicia nacional local, ni menos la de ARTICULO DE OFICIO. mantener 4 estos cuerpos bajo un pie respetable; pero no por esto puedo dejar de im…</t>
  </si>
  <si>
    <t>…muneros la comisión La com-óon s-vunda Eclesiástica opinaba que dtbia pasar i la del añad e»e_y terrutrnienter. Crédito público un expediente promovido por «I cabildo da Zamora El Sr. Casas manifestó lo* inconvenientes que se deberían seguir de</t>
  </si>
  <si>
    <t>…ensión que pretendía d Sr. Rico 4 la gracia de que te trata. quio de fa utilidad qu- tato reporta á una nación. El Sr. Zulueta fue de parecer que debía suprimirte la última chu Ei Sr. Casas: El Sr. preopinante ha impugnado Ta parte mas £ac% tóla del artículo que dice: admitiéndoseles como si fueitn créditos con del art teulo; y aunque la comisión creyó que algunos Sres. sc opon Ínteres, porque «i á las liquidaciones de suministros se les daba es…</t>
  </si>
  <si>
    <t>…, Mat cuando sea un secretario del Despacio el último que haya usado de la ch jrri.o, O.rver , M-.iced y González Aguitre: total 103. palabra.” Para segundo suplente fue electo el Sr. Casas por 84 votos, tenien Su autor, despuea de manifestar que era la tercera vez que t* ¡ do 6 ei Sr. Eseovedo, $ los Sres. Alix, García , Bustamante y Gilia- sometía á la deliberación de las Cotíes esta proposúiou, manifestó qu# no; 3 el Sr. Ruiz de la Vega , 2 e…</t>
  </si>
  <si>
    <t>…propuesto el Sr. Gómez esta noticia certificada, intervenida por el cemente coronel mayor, y au Becerra. torizada por el coronel, añadiendo la disposición que hubiere hecho en El Sr. Casas manifestó que generalmente siempre se había nombra punto de interes-s; cuyo instrumento, visado por el teniente coronel do á los ministros de los regimientos capellanes, y que ademas de te mayor, t ndrá fuerza de testimonio válido en cualquier juicio; y todas…</t>
  </si>
  <si>
    <t>…na plaza á la clase de sargentos primeros , y otra a elección , ó bien á la antigüedad. la de alumnos militares. El br. Cano manifestó que aprobado en este artículo podía resul Ki Sr. Casas dijo que si en este articulo se tratara únicamente de tar que no siempre recayese la elección en el mas antiguo de ios oficiaasuntos militares, nada tendría que objetar 5 pero que en él se compren les propuestos en la terna para los empleos de la clase de gef…</t>
  </si>
  <si>
    <t>…ma contrario á otro aprobado ya por las Cortes, pues que debiéndose dar al nos , maestros de la libertad. guno* ascensos á la antigüedad, se ordenáis* en este que loa capitanea El Sr. Casas apoyó el arríenlo, manifestando que ti la cédula del de lat compañías propusiesen una terna para llenar la vacante. presidente no estaba señalada , cuando resultase empate tendría que de El Sr. Pedralvez contestó que el artículo estaba bien, pues que era cidi…</t>
  </si>
  <si>
    <t>…de que elevándola á S. M. se verifique puede ser respecto ai individuo, y ie&gt;pccto de sus b.enes, ó cosa» que pertenezcan a su dominio.en uno de los tres el Real nombramiento.” hl Sr. Casas expuso que la junta de gefes de los cuerpos entendería Una buena po.icia debe tratar de destruir ó remover todos los obs muy poco de las oposiciones, por cuyo motivo era enteramente inútil táculos que se oponen a la s-guridad del ind viduo, como los malo* est…</t>
  </si>
  <si>
    <t>…el articulo quier ciudadano , haciéndole creer que es individuo de policía i En to debe aprobarse. dos los piis.s los agentes de esta dase tienen una señal característica, que El Sr. Casas fue de opinión que la Segunda parte del artículo debe solo pueden usarla ios individuos de policía. En Madrid los alguaciles ría redacta se con mas claridad, pues en su concepto no tenia toda la tenian la vara que llamaban de justicia, y cualquiera que la vie…</t>
  </si>
  <si>
    <t>…ver las diputaciones para la redacción de este proyecto, arreglándole á las observaciones ge provinciales.” nerales que se habían expuesto por los Sres. diputados que habían ha Ei Sr. Casas manifestó que en Espafia había pueb'os muy pequeños, blado sobre la materia. y tules que no tenian calles ni orden las casas, al paso que cuando .al Se suspendió esta discusión. guna de estas se destruía el dueño la levantaba en otro sitio, y por lo Se mandó…</t>
  </si>
  <si>
    <t>…rencia nimia por las leyes cuando la tranquilidad se halla com tras existan las circunstancias actuales, y no es-de esperar que el minis prometida. terio actual abuse de ellas. El Sr. Casas: En asunto tan importante hab’a resuelto no tomar El Sr. Munarriz : La Constitución , Señor , no seria tan digna del la palabra ; pero como la cu .si on es ya sobre que esta medida no está afecto de los buenos españoles ni tan idolatrada de mí , si no asegura…</t>
  </si>
  <si>
    <t>…aprobación de la mea.da en que sus mas eficaces apoyos; y asi mi opimon ea que es justa esta excepción. se declaran vacantes ias sil.a» de los ob &gt;po» que han sido extraña-eos Itl Sr. Casas: Por los señores que me han precedido en la paiabra del reino. se han expuesto razones fuertes en pro y en contra de esta medida; pe Se suspendió la discusión de este asunto. ro creo que por los señores que han hablado en pro de ella no Continúa la discusión…</t>
  </si>
  <si>
    <t>…s de que trata la adición, obtenía el título de doctor, al paso que el labrador y el artesano esta porque de lo contrario seria incurrir en una contradicción. ban comprendidos. El Sr. Casas sostuvo que aprobando el dictamen no se incurría en El Sr. Seoane hizo presente que aunque habrá doctores que no sean ninguna contradicción, puesto que cuando se aprobó que quedasen doctos, los que obtienen este título generalmente son hombres muy ins exentos…</t>
  </si>
  <si>
    <t>…s ni por indirectas no se saldrá con la suya la curia ro Roma sepa respetar los derechos de los españoles. mana ; pero diré á S. S. que no son expresiones mias, sino de un Rejr El Sr. Casas : Al ver el aspecto que ha tomado sucesivamente esta de Esparta que los monges d*l Escorial tienen por santo; pero yo no discusión , y si no fuera por faltar al respeto que se dvbe el Congreso, tendré inconveniente en retirar estas expresiones, porque mi ánim…</t>
  </si>
  <si>
    <t>…io de las armas, cuanto por el abandono con la «anta alianza. Este negocio es grave , porque precisamente... (El en que se inn viendo los cabecillas, porque los seducidos van cono Sr. Casas reclamó el orden, y el Sr. Canga dijo que tenia derecho á pe» ciendo su error. No podemos dar con seguridad algunas noticias que dir una sat-sfaccion , y continuó.) Digo que es grave , porque veo dos tenemos por muy verosímiles, á saber, que la supuesta regen…</t>
  </si>
  <si>
    <t>Casas, Josef de</t>
  </si>
  <si>
    <t>Josef de Casas</t>
  </si>
  <si>
    <t>…«Uravcdises._La &lt;kl cabildo eclesiástico de Guadalajara 686 rs. 7 1 a fttdd imperio psOfasben i todo japonés salir de sus límites so pena do ü^arareslúes—La «la los herederos «le D. Josef de Casas &gt;030 rs. 7 3 mueete&gt;" hnr rrmlni dt loe rusos fueron admitidos, v el Oobiemo del niUravedises_La de D. Francisco de los Hoyos 19» rs. y j mrs—.La Japón 0076 probablemente pagarlos con los suministros cn trigo 7 vi Ó D. Tomas de Quiroga 92 rs. 7 14 mrs__ La de…</t>
  </si>
  <si>
    <t>Casas, Juan</t>
  </si>
  <si>
    <t>Juan Casas</t>
  </si>
  <si>
    <t>…s an al art. 6.° de nuestra ley fundamsntal.” tran y D. Guillermo Olí ver, regidores; O. Bruno Habata, contador, Hallándola ya dispuestas loa pólizas dtl seguro, la dirección haca D. Juan Casas , síndico, y de los ciudadanos D. Plácido de Montoliu, aaber i los individuos ya inseritoey á los demás que gusten incorpo y D. Josaf Francisco Ixart y Pi, encargándola: 1 .J Que reúna todas las rarse en ella: noticias posibles de la deuda antigua anterior al…</t>
  </si>
  <si>
    <t>Casas, Miguel Sánchez</t>
  </si>
  <si>
    <t>Miguel Sánchez Casas</t>
  </si>
  <si>
    <t>…r. Ademas, añadió, que el Sr duque del T arque no estaba Quedó aprobado el dictamen de la comisión. en el caso que S- S. creia , pues que no hab a mas que ver lo que dec a Mancha. D. Miguel Sánchez Casas, D. Ramón Trujillo y Don el art. 95 de la Constitución , y examinar la lista de que se hab a he Rafael Casimiro Lodares. Fueron aprobados los poderes de estos seño cho mérito. Asimismo indicó que ei haber asistido á las bodas y caro res como te proponía. tula…</t>
  </si>
  <si>
    <t>…&gt;dxtsm-n sobre el empréstito nacional; can lo que te levantó la sesión manca; y para suplentes á los Sres. D- Francisco de l’sui* Soria por ¡a á las cuatro y cuarto. de Granada, y D. Miguel Sánchez Casas por la de la Mancha.” ANUNCIOS. Recibimos ayer lo* periódico* del 16, 17 y 18 correspondientes £ Notas. En la gaceta del 10 del corriente en el anuncio del curso loe número* que debían llegar el jueves 37: hoy te han recibido los del de matemáticas de Lacro x…</t>
  </si>
  <si>
    <t>Casas, Nicolás de</t>
  </si>
  <si>
    <t>Nicolás de Casas</t>
  </si>
  <si>
    <t>…una nación euro limas 1788 rs. 7 4 mrs., la de los hijos de D. Francisco Antonio pea. En haberse .pues negado 4 toda comunicación con una potencia {agüeros 1472 rs. 7 7 mr,—La de D. Nicolás de Casas 2041 rs. y 4 cristiemi y europea no han hacho maa qne seguir un sistema político ¿wts._La del R. P. Fr. Juan Bermudez de Castro 16,185 rs. 7 14 mrs. que han uousrrvsdo durante dos siglos, 7 que los ha preservado hasta «-La del hermano Montero, donado de S. Ju…</t>
  </si>
  <si>
    <t>Casasece</t>
  </si>
  <si>
    <t>…sideración se hizo respecto de una en igual proporción que las anteriores. Respectode la objeción que indicó provincia , ¡no te podra hacer lo mismo respecto de todas í ¡Que no el Sr. Casasece de que las juntas que se iban á establecer instruirían los produciría una providencia como la que se quiere dar en toda la Nación expedientes respectivos para las liquidaciones de lo* partícipes, contestó «n general i ¡ Qué sucedería cuando sabemos lo que ha…</t>
  </si>
  <si>
    <t>Casasoia</t>
  </si>
  <si>
    <t>…r lo* principales empleos. Los que aun sostenían aigimos can un fuego bastante vito. Ünfuic igual- anteriores bajaes de Alrpo, de Bagdad, de Damasco, de Nista y de la mente que el teniente Casasoia , comai.dat te de la sexta cumpaíua de liorea no habían ascendido de otro modo. » Los persas, por el coa Ciudad Real, siguiese hsota ia montaña por ia izquierda paia podcilot tí sr 10 , dice Mr. de Jaubert, se ocupan con acierto en su* negocios do envolver lu…</t>
  </si>
  <si>
    <t>Casatrcviño</t>
  </si>
  <si>
    <t>Gaceta de Madrid n.º 218</t>
  </si>
  <si>
    <t>1149</t>
  </si>
  <si>
    <t>…is Je a cita la prov nc a de Cata uña. I’alac o ao qu.s Gob z Castrjon , marques de Casa-Vargas Machuca , marques da de Ju io de iSzr.xsFel pe de Sierra y Painbl*y. = Sr. director general Casatrcviño , marques del Norte , marques de Valdelirio , marques da de aduanas) resguardos. Viilalcazai, marques de Trcvolar. Circular d I mmijt rio de la Guerra. Los S rea. dpuuJos ser Jaros dcCoit.s me dicen , Con fecha de ti En esta corte y en varios otros puntos de…</t>
  </si>
  <si>
    <t>Casavaño, Francisco</t>
  </si>
  <si>
    <t>Francisco Casavaño</t>
  </si>
  <si>
    <t>…é tutbando en la actualidad : el objeto siem A la misma igual solicitud de Doña Margarita de Ponte, viuda de pre es el mismo: asi que, conviene que la Naci- n sepa que el Congreso D. Francisco Casavaño, teniente de Rey de Puerto-Rico. no ha perdido un momento, y que todos sus individuos sabrán morir A la misma otra solicitud como la anterior de Doña María Sauz, si fuese menester pira llenar exactamente ios sagrados deberes de sus viuda de D. Manuel Fernande…</t>
  </si>
  <si>
    <t>Cascía, Josef de</t>
  </si>
  <si>
    <t>Josef de Cascía</t>
  </si>
  <si>
    <t>…arse lo restante del artículo; y habiendo manifestado el Sr. Calairava que dispondréis se imprima, publique y circule. = Rubricado de la Real En Palacio.á 14 de Enero de 182a. = A Don Josef de Cascía una continuación de lo desaprobado , no se sujetó á votación. mano, s Art. 604. » Tampoco podrá nadie sin igual licencia fijar en sitio* tellar. públicos proclama, arenga ú otro discurso impreso al pueblo, bajo la misma pena , sin perjuicio de cualquiera otra…</t>
  </si>
  <si>
    <t>Cascio, Zoilo Gómez</t>
  </si>
  <si>
    <t>Zoilo Gómez Cascio</t>
  </si>
  <si>
    <t>…e no se le podrían proporcionar sin zoa, D. Lorenzo Calvo de Rozas, conde de FlcnJ-bónca, D. Juan abandonar aqusóa instrucción de primera utilidad, qus debiera mas Isidoro Perez , D. Zoilo Gómez Cascio, D. Josef fe-n Motan , D..n bien iiatuarse la instrucción necesaria. (Jir contiuuará.j Andrés M ya Luzunaga , L). Antcnio Puibianch , ID. Jostí Demetrio laiBCNAl BS. Rodríguez. Habida ia conferencia resultó por unamiuidad habír lugar Fot providencia del Sr. D…</t>
  </si>
  <si>
    <t>Cascos, Santiago</t>
  </si>
  <si>
    <t>Santiago Cascos</t>
  </si>
  <si>
    <t>…odioso* vedises. D. Joaquín Olivares id. 67*3 rt. y 4 mrs. D. Domingo Anto i los honrados alemanes. A este efecto te valen de dos conductos, que nio Barreiro id. 4481 rs. y 3 mrs. D. Santiago Cascos id. 3361 rs. y 6 con .c-n pueden serles útiles para sus depravados fine*. mrs D. Domingo de Veira id. 1241 r*. y 1 maravedí. D.Crist/.bal de ZaF.l Diario de Franefort, periódico que te publica en francés, y *1 ya* id. 1141 rs. y 1 maravedí, D. Juan dé Seto id…</t>
  </si>
  <si>
    <t>Case, Matías</t>
  </si>
  <si>
    <t>Matías Case</t>
  </si>
  <si>
    <t>…v'sta te reun ó el jurado compuesto di los sefiom siguien y á Viena: ansian por la llegada del duque de VVellir.gton; pero quien tes: D. Josef de Vega y Quintana, D. Josef Castel, D. Matías Case conozca la marcha del Gobierno ingles debe estar convencido de que ro , L). Francisco Marí n:z Marina, D. Josef Demetrio Rodr g i-z, el noble lord no traerá poderes tan amplios como lo eran los que solía D. Junan d- Fuentes, D. Joaquín Huerta Ccvailos , D. Do…</t>
  </si>
  <si>
    <t>Case, Ramona García</t>
  </si>
  <si>
    <t>Ramona García Case</t>
  </si>
  <si>
    <t>…mas expresi Se desea aaber la ex stencia ó paradero de !a hija ó hijos de Don vos y satisfactorio*. Juan Costa , sargento que fue de Guardias Españolas, y d- ,u muger VARIEDADES. Doña Ramona García Case lias. La persona que tenga aguna noticia sobre el particular se servuá dejar la razón en esta corte, calle de Santa En un periódico francés del as te encuentra un artícuto escrito por María , núm. 11, cuarto principal entre la costanilla de los Desampa Mr. Pr…</t>
  </si>
  <si>
    <t>Caseeun, Francisco Ferro</t>
  </si>
  <si>
    <t>Francisco Ferro Caseeun</t>
  </si>
  <si>
    <t>…nes y rentas públcas verificada en el último mes de Agos En Cal eta. to, no obstante la actividad y energía con que ha debido promoverse, La de S. Pedro de Outes por traslación de D. Francisco Ferro Caseeun se previno en circular de 9 del mismo , y según ahora mas que beiro á la da Sarria. nunca han ex gidp y ex gen las circunstancias. En su consecuencia, y En Valencia. considerando r* M. que esta iunesta fa.ta de ingresos no reconoce otro La de Ayon por traslac…</t>
  </si>
  <si>
    <t>Caselias, Ramón</t>
  </si>
  <si>
    <t>Ramón Caselias</t>
  </si>
  <si>
    <t>…y Figutro* y D. Juan Dionisio Cantillo, residentes cu esta corte, de sagrado a la ctluciciun del pu-bio es corto, que la instrucción no es nunciaron al Sr. alcalde constitucional D. Ramón Caselias un articulo mas que la menor parte de esta educación, y que el trabajo de manos comunicado, por el que se titula defensor de la inocencia,é inserto en d be absoiver una porción de tiempo tan considerable, que es preciso «i núm. 303 dei Imfarci.il, como injuri…</t>
  </si>
  <si>
    <t>Casellas, D Ramón</t>
  </si>
  <si>
    <t>D Ramón Casellas</t>
  </si>
  <si>
    <t>…ucesión lleva consigo la nuli Don Joaquín Peinador y Pino y D. Antonio de la Rut y Figuedad de la gracia de titulo ó grandeza, y efectivamente se tendrá por roa denunciaron al Sr. alcalde D Ramón Casellas un artículo inserto nula, recogiéndose los diplomas al que no pague á la época del venci en el Imparcial, núm. 313, como injurioso á sus personas. miento por lo que se devengue en lo sucesivo , y dentro de dos meses En su vista se teunió el jurado, compuesto…</t>
  </si>
  <si>
    <t>Casellm, Ramón</t>
  </si>
  <si>
    <t>Ramón Casellm</t>
  </si>
  <si>
    <t>…de ciádadanos públicos, y no hay cosa mas monstruon que caté al ar bitrio de esta clase aumentar su número cuanto quieta.: El poner tul Habiéndote denunciado por el Sr. fiscal al Sr. D. Ramón Casellm coio i este abuso lo considero arreglado, no solo a las nuevas institu alcalde constitucional de esta M. H. villa el núnf. 10 de la Tercerola ce ciones , sino también á la disciplina de la Iglesia. Hace mucho tiempo concepto de subversivo y sedicioso en prime…</t>
  </si>
  <si>
    <t>Casero, Matías</t>
  </si>
  <si>
    <t>Matías Casero</t>
  </si>
  <si>
    <t>…i.° en &gt;4 de Diciembre, y Andrés Martínez Orinaga, D. Ramón Llord, D. J aqum Lumbre 3.“ en 30 de Abril del año de 1813. Se hace saber al público pata su ras, D. Sebastian Andrés, D. Matías Casero ,D. Juan Paz, D. Casi inteligencia, adviniéndole que su primero y último remate se ha de ce miro Marín, D. Antonio Sandalio de Arias, D. Antonio Regas, lebrar el dia 5 del próximo nv» de Set embre de 11 á 12 de su mañana. D. Lorenzo Lambes y D. Manuel Estaban…</t>
  </si>
  <si>
    <t>…sticias, gafes, gober D. Joaquín Lumbreras, D. Julián de Fuentes, D- Valentín Recio, nadores y demts autoridades, asi civiles como militares y eclesiásticas D. Jatn Antonio López, D. Matías Casero, D. Josef Casulla , Don de cualqu'.-n ciase y dignidad, que guarden y hagan guardar, cumpór Gregorio Mndivil y D. Simón González Yu.te; y habida la confe y evci'Ur ei presente d er to en todas sus partes. Tendrcóta entendido rencia que previene ia ley de libe…</t>
  </si>
  <si>
    <t>…ula, á no ser en caso de una io:vilab-e ne to de los brea. D. Francisco Barra , D. Josef Demetrio Rodríguez, cesidad ; y que por el contrario deben hacer lo posible por abstenerse D. Matías Casero, D. Joaquín Huerta Ccvallo», D. Julián de Fuen de elle. Ñu sno Gabinete ha seguido este cuerdo parecer, peto cierta tes, D. Bernardo Asenjo, marques de Torrenueva, D. Angel Bonalcorte ha maniLstado una opimon enteramente opu sta, la cual dicen toy D. Andrea N…</t>
  </si>
  <si>
    <t>Casero, Zoilo Goinez</t>
  </si>
  <si>
    <t>Zoilo Goinez Casero</t>
  </si>
  <si>
    <t>…mpre debe caminar por la senda seno en tercer grado, por los Sres'. conde de Totrefresno, D. Marcos de la franqueza : fiel observadora da las leyes, nada debe ocultar á los Meneo, D. Zoilo Goinez Casero, D. Antonio Scoane, D. Isidro pacíficos ciudadanos para restituir la tranquilidad y dulce calma i sus* Merino, D. Amonio Díaz del Moral, D. Josef Kives Queraltó, Don hogares: os hize en mi último anuncio del 1 una promesa, y voy á Juan Luque , D. liarlos Gonz…</t>
  </si>
  <si>
    <t>Casero, Zoilo Gómez</t>
  </si>
  <si>
    <t>Zoilo Gómez Casero</t>
  </si>
  <si>
    <t>…meses En su vista se teunió el jurado, compuesto de los Sres. siguientes: de la publicación de este decr to por lo devengado á la fecha de su ex D. Manuel Merino, D. Miguel Ripa, D. Zoilo Gómez Casero , Den pedición. Los diplomas recogidos se pasarán al consejo de Estado par» Valentín de Nicolás, D. Josef San Millan, D. Antonio Regás, Don que los cancele. Art. 9.0 El Gobierno bajo estas bases dictará las reglas Isidoro de Hoyos, D. Manuel Gallego y D. Domi…</t>
  </si>
  <si>
    <t>…ústica el jurado, compuesto de los señores siguientes: D. Juan Isidoro Pérez, y 14 en pasta: la lista de los suscriptores ss pondrá al fin del tomo úl D. Ben.to O tega Romanillos, D. Zoilo Gómez Casero, D. Gregario timo , todo conforme al prospecto que se dió en' la gaceta de .Madrid da Miguel de Mendivil, D. Manuel García de Barrio, marques de Cusa- 30 de Marzo , núm. 91, Espectador de 9 de Abril, núm. góo , Diario no, D. Pedro Alvaro Da gado, D. Martin de…</t>
  </si>
  <si>
    <t>Casi</t>
  </si>
  <si>
    <t>…al dicta El Sr. Romero: Impugnaré solamente esta segunda solución que men d ’ la mayoría de la comisión. presenta la comisión en el caso de que se ausente ó se imposibilite por El Sr. Casi jon: Yo entiendo que aquí no se trata ni de una ex cualquiera causa un juez de primera instancia en aquel partido que ha cepción, ni de una amp iic.on , ni derogación de ley, se trata solo du ya mas. La comisión quiere que se nombre un juez interina; pero yo…</t>
  </si>
  <si>
    <t>…és Martínez Orinaga, D. Ramón Llord, D. J aqum Lumbre 3.“ en 30 de Abril del año de 1813. Se hace saber al público pata su ras, D. Sebastian Andrés, D. Matías Casero ,D. Juan Paz, D. Casi inteligencia, adviniéndole que su primero y último remate se ha de ce miro Marín, D. Antonio Sandalio de Arias, D. Antonio Regas, lebrar el dia 5 del próximo nv» de Set embre de 11 á 12 de su mañana. D. Lorenzo Lambes y D. Manuel Estaban Caíala. Los testament…</t>
  </si>
  <si>
    <t>…no para la traslación nito, Belda , Martí, Cortés, Saravia , Villaboa , Pcdralvez , Ruiz del s algunos magistrados: pues ahora bien, si ha habido facultad para es Rio , González ( D. Casi ido ) , Manso , Paterna , Tomas , Cuevas, to i por qué no se ha de poder suspender á los individuos de ayunta Vareta, Cano , Prado , Escudero , Eulate, Munarriz , Jaoer , Suarez, miento cuando asi lo exija la conveniencia pública! Por mas que se di Latre , La…</t>
  </si>
  <si>
    <t>…Cano, Falcon , Plunarejo , Alcántara, lastre , Benito, Rojo, £e.da, rias que formar otro nutro decreto para poderla exigir i los gefes po González Ron, Maiti, Merced, y González (D. Casi ido). líticos , revestidos de las facultado que han aprobado las Cortes. Supon Se mandó pesar á la comisión Eclesiástica un expediente de la jun gamos que un cualquiera presenta una lista de a») ó 35) ciudadanos ta auxiliar eclesiástica, remitido por la aecre…</t>
  </si>
  <si>
    <t>Casi, Ramón</t>
  </si>
  <si>
    <t>Ramón Casi</t>
  </si>
  <si>
    <t>…hacer con muy poco costará mucho si se desatiende.” ANUNCIOS. Por providencia del expresado señor juez y citada escribanía se ha Ante el alcalde constitucional de esta M. H. villa D. Ramón Casi mandado sacar 4 pública subasta una casa sita en esta corte, calle del llas acudió en 11 del presente mes D. Pablo Infante , denunciando el Ave María, núm. 5, rnanz. 34, que tiene de sitio 3904 £ pies, tasa artículo inserto en el Espectador nútn. *47 del día…</t>
  </si>
  <si>
    <t>CasiH-ball, Ramón</t>
  </si>
  <si>
    <t>Ramón CasiH-ball</t>
  </si>
  <si>
    <t>…Josef Salgado, teniente del regimiento infantería volun Huesca a D. Joaquín López, teniente del regimiento infantería de tarios de Castilla, con gro rs. Ata on, con 570 rs. Vich A D. Ramón CasiH-ball, teniente supernumerario del regi Injusto al espitan D. Josef María Rubio, teniente del regimienta miento infantería de Fernando vu, con 570 rs. infatu ría de Toledo , con 570 rs. Valencia al capitán D. Francisco Brotons , teniente dei regimiento Jr n á D Lor…</t>
  </si>
  <si>
    <t>CasildoJ, Manuel</t>
  </si>
  <si>
    <t>Manuel CasildoJ</t>
  </si>
  <si>
    <t>…barse la* de lo* Sres. Legas rÚSIDXHCIA mi SliÑOR CON 82 BEC8ZXA. es , Ferrrr ( D. Joaquín ), Isturiz y Zulueta , Somoza, Pedral vez y Lo Sfíivn ordinaria del 24. cares, González (D. Manuel CasildoJ, Gómez (D. Manuel), y Ruiz Se leyó y aprobé el acta di la anterior, mandándote agregar á ella del Rio y Gisbcrt. fot votos particulares de los Sres. López de! Bilis y González Alonso, Art. s.° » El uso del papel sellado se sujetará i todo* lo* casos y contrar…</t>
  </si>
  <si>
    <t>Casilereagh</t>
  </si>
  <si>
    <t>…ad y de la gloria, no se limite á protestar contra ciertos principios metafificos , como lo — En un artículo de variedades del Diario, conititucicmal de la Coru hizo en Liybach e! lord Casilereagh, dejando después obrar á los alia lla sé leen algunas reflrxones que nos ha parecido oportuno extractar dos como quisieron__El Sr. Busca sigue empeñado en restablecer la aquí , considerando cuín útil es en las circunstancias actuales , que las orden de Ma ta:…</t>
  </si>
  <si>
    <t>Casillas, Ramón</t>
  </si>
  <si>
    <t>Ramón Casillas</t>
  </si>
  <si>
    <t>…a provincia D. Josef Martínez de ministrada» en Octubre A jo mrs. 60..... S. Martin, y en su nombre D. Josef García de Tobar, denunció al se Cor *» 44*.• I- alcalde constitucional D. Ramón Casillas un párrafo del Diario Nuevo de Madrid, núm. 195, en concepto de injurioso. En su vista se reunió Nota. Las liquidaciones de que tratan lot dot últimos casos se en el jurado, compuesto de los Sres. siguientes: D. Nicolás Alonso, Don cabezarán y concluirán conf…</t>
  </si>
  <si>
    <t>Casimiro, Josef</t>
  </si>
  <si>
    <t>Josef Casimiro</t>
  </si>
  <si>
    <t>…n de acordar lo conveniente fi la distribución del corto caudal Avila interventor D. Pedro García Pumirino, oficial de la conta existente de la testamentaría del mariscal de campo D. Josef Casimiro duría de Astúrias. de la Valle, cuyos autos penden en el juzgado de la comandancia ge Oviedo interventor D. Pedro Cañero , oficial primero de la conta neral de este primer distrito militar, ha señalado el Sr. auditor de guer duría de aquella provincia. ra par…</t>
  </si>
  <si>
    <t>Casis</t>
  </si>
  <si>
    <t>…r las á haya podido haber en esta desgraciada catástrofe, visto esto no pue las Cortes en sesi- n secreta. do desentenderme de dar este explícito veto de que existe este error. El Sr. Casis se opuso é la aprobación «le esta proposición, manifes En mi concepto no pueden quejarse bajo este supuesto los milicia tando que podría ser muy perjudicial el que se tb.igase al Gobierno á nos de Pamplona de que se tome la medida preventiva de que se trata.…</t>
  </si>
  <si>
    <t>Caspe, Antonio</t>
  </si>
  <si>
    <t>Antonio Caspe</t>
  </si>
  <si>
    <t>…quien se le antojase se entremetiese i ense Valparaíso el 10 de Octubre, y trae de pasageros á los señores general bar la mas importante y difícil de todas las ciencias. Ricafort, D. Antonio Caspe y el coronel de Burgos D. Joscl María En seguida definió la libertad, y dijo que hasta en las repúblicas ha Besa; y todos dan las noticias siguientes: bía tenido sus límites. Que después de infinitos bandos ds o. Martin, pidiendo varias mon Mr. Eticnne tomó d…</t>
  </si>
  <si>
    <t>CasPereagh</t>
  </si>
  <si>
    <t>…s que las j de Febrero de 1800, de cuyas'resultas fuá llamado al P-r .ir. rito» ruinas de la ciudad, sin embargo fue elegida pira residencia del Go y poco deipues con el título da lord CasPereagh at c»rg .ár prf,.d r.tp bierno general á causa de su ventajosa titusev-r sobre el istmo. de Contraloría. ( M.nlítro de Indias.) C .r.,;rvo este d.,;mo roa Corinto, situada entra dos mares, y no distante de los grifos de Fn- tí el ministerio de Add.neion; piro…</t>
  </si>
  <si>
    <t>Casrejon</t>
  </si>
  <si>
    <t>…las penas en que hubiese incurrido, creía que todo Cite Rey, y añadió que según ella debía pasar al Gobierno. asunto debía sez examinado por ia comisión de Casos de responsabi El Sr. Casrejon: Lo que ha manifestado ei Sr. Gziano no tiene lidad. contestación, y asi las.Cortes no «febea ocuparse en u :a exposición so El Sr. Tomas reclamó el reglamento por haberte entrado en discu bre la cual es el Gobérno quien debe reso.ver ; p. r o qje p do a) se…</t>
  </si>
  <si>
    <t>Cast</t>
  </si>
  <si>
    <t>…» cursantes de farmac a ti-’ colee.o S. s r .i - *lii. erres par-a proponer i la» Corte» esta fusta recomptr.&lt;¡e «sta corte sobre la abolición de una l.y del M. D. I • ■ p ' ■ ' h Sr. Cast jon man.testó que en las Cortes antrrior-s se K! ■ • )ie prohibía revalidarse antes de los ij año», por set asunto r. . &gt; lado de este mismo punto , y quz se habí* declarado no ubu i&gt; ger J* en las Cortes anteriores. Aprobado. T</t>
  </si>
  <si>
    <t>Cast-</t>
  </si>
  <si>
    <t>…y no hácia el me Rey á ced-r de su odio, y asi el ministerio unido será mas fu-n- para diodía, como se ha afectado cre-r. oponerse á toda reforma , cuando á lo menos en tiempo de lord Cast- — liace dos días que los periódicos alemanes guardan silencio so lereazh no existia semejante limos, porque por una pait- el lord Li bre las ocurrencias de 'a Grecia, lo que parece acreditar las noticias verpool tenia en favor desús ideas á muchos min st-os ,…</t>
  </si>
  <si>
    <t>Castafieda, Miguel de</t>
  </si>
  <si>
    <t>Miguel de Castafieda</t>
  </si>
  <si>
    <t>…cularet y corporaciones en la época de su dominio, 7 que deben con solicita. siderarse y se consideran por lev timos después de abonarse los intereses. Otro de lá misma pata que á D. Miguel de Castafieda, que solicita Se procedió á la d.scusion del dictamen de la comisión da Comer se apruebe la pensión de a9 rs. que le está concedida, te U coloque pa cio sobre puertos francos. ra evitar este gravamen. Habiendo manifestado varias Sres. diputados que había asom…</t>
  </si>
  <si>
    <t>Castalios, Francisco Javier</t>
  </si>
  <si>
    <t>Francisco Javier Castalios</t>
  </si>
  <si>
    <t>…y restando. , ' . . . cribanías del extinguido consejo de Castilla cuestan 32,86a rs. vn., El Sr. Salvi: He extraliado mucho en primer lugar el ver en la nómina que se ha leído á D. Francisco Javier Castalios como consejero cuya suma no se incluyó en ninguno de los presupu-stos ant r ores de Estado, y también el que se pongan nueve porteros para el consejo decretados, por loque la comisión es de parecer debe abonarse cita suma al ministerio de Gncia y Justicia, ap…</t>
  </si>
  <si>
    <t>Castalios, Melchor</t>
  </si>
  <si>
    <t>Melchor Castalios</t>
  </si>
  <si>
    <t>…eci mientos............................................ 2.129,$5 6.*t 1 ¿ Igual. .....a. Madrid 28 de Febrero de i82 2.=Antonio Martinez^=M. el conde «le Ibangrande.=Josef Moreno. D. Melchor Castalios, al auditor de guerra D. Juan Sanmartín, y al CORTES. consejo de oficíale* generales que sentenció esta causa, incluso el mar ques de Casa-Sarria; y que no hallaba mérito p&lt;ra exigir la responsa faaSIDBNCIA DEL llRol IIICO. bilidad al coronel del regimiento d…</t>
  </si>
  <si>
    <t>Castañeda, Pedro</t>
  </si>
  <si>
    <t>Pedro Castañeda</t>
  </si>
  <si>
    <t>…que se le había concedido por sus servicios, persecuciones que había sufrido. opinaba qu- no d.bia accederse á esta solicitud. Aprobado. Se dió cuenta de dos exposiciones, una de D. Pedro Castañeda, se Otro sobre la r-presentación hecha i las Cortes por el gefe y oficia cretario de un distrito militar, y otra de D Jos f Rubio , cap tan re la del sexto regim entó de marina , manifestando lo atrasados que se tirado, cediendo ambos en favor del estado sus…</t>
  </si>
  <si>
    <t>Castañedo, Josef</t>
  </si>
  <si>
    <t>Josef Castañedo</t>
  </si>
  <si>
    <t>…tes por la de Abril último sobre pago de sueldos á D. Manuel Velasco, lamenprovincia de Granada, y D. Raimundo Queraltó, int ndente de la te agregado at regimiento de Fernando vu, D. Josef Castañedo y otroi provincia de Aragón; y tuvo el primero 9 rotos, 69 el segundo, y 47 oficiales. Aprobado. el tercero, quedando elegido el Sr. Diaz del Moral. La comisión de Agricultura , en vista de una exposición de virios La comisión de Ultramar, en vista de la adic…</t>
  </si>
  <si>
    <t>Castañera, Francisco</t>
  </si>
  <si>
    <t>Francisco Castañera</t>
  </si>
  <si>
    <t>…loa Ríos, coronel dro Tello, comandante del primer batallón del regimiento de infante del regimiento de infantería de Mallorca. ría de Zaragoza. A cahíz: para primer comandante á D. Francisco Castañera, co S. Clemente: para primer comandante i D. Hipólito Angulo, co mandante del primer batallón del regimiento de infantetía Ordene* mandante del primer batallón del regimiento infantería Imperial Ale militares. jandro. Barcelona: pan primer comandante al coron…</t>
  </si>
  <si>
    <t>Castaño, Fermín</t>
  </si>
  <si>
    <t>Fermín Castaño</t>
  </si>
  <si>
    <t>…do, en el expediente seguido i instancia de Dolía María Antonia y Don Se Iflfó un oficio del Sr. secretario de Ultramar, al que acompasa Lorenzo Iruegas, vecinos de Madrid, contra D. Fermín Castaño, de ban los poderes de los Sres diputados electos por la Iiavana. Aranjuez; y para hacer pa¿o á estes se ha mandado sacar á publica En segu eta ce leyó una representación de los Sres. diputados por subasta por término de 30 días una casa destinada para masón…</t>
  </si>
  <si>
    <t>Castañon, Rodrigo</t>
  </si>
  <si>
    <t>Rodrigo Castañon</t>
  </si>
  <si>
    <t>…rid contra D. Manuel Hernández, llamado el Atutía, Don Josef M-ni'n Otalora y consortes , sobre conspiración contra el siste TXIXWA.I.S*. ma constitucional. Por providencia del Sr.D. Rodrigo Castañon, juez de primera instancia Las pru.bas que intentaron el Abuelo y'Mingo de nada Ies apro da la ciudad da Lorca, se cita y emptaza á los descendientes de D. Felipe vechan , pu:s aquel’arti.u ó que el alcalde de beseña y los Cazorta* de Ortega Espinosa y Blazqu…</t>
  </si>
  <si>
    <t>Castaños, Melchor</t>
  </si>
  <si>
    <t>Melchor Castaños</t>
  </si>
  <si>
    <t>…n tsunto. chez Salvador, al espitan general de esta provincia conde de Cartagena, Se acordó que pasase con urgencia i la comisión de Ultramar la* al juez fiscal que formó la causa D. Melchor Castaños, al auditor da proposiciones del Sr. Sánchez, relativas á la pacificación de las provin guerra D. Juan S. Martin, y al consejo de oficiales generales, incluso cias de Ultramar. el marques de Casa Sarria. A I* de Guerra se pasó la de los Sres. Riego é Infantes…</t>
  </si>
  <si>
    <t>Castciis, Miguel de</t>
  </si>
  <si>
    <t>Miguel de Castciis</t>
  </si>
  <si>
    <t>…ales diarios D. Silvestre Manuel Blanco, contador de correos—.D. Juan Guará.o. por tiempo de un año y nrrscs eni.cpados. Del mismo modo pagará la, fiscal de la auditoría de guerra—D. Miguel de Castciis, magistrado V. á 1a tropa destinada a esta comrs.on el rancho de mañana, y un de la audiencia._D. Andrés Kubiano, secretario del g--fc po.itIco.__ par de alpargatas per p.aza. D. Pablo Miranda, brigadier y coronel del primer regimiento de .1;ti E.tas p uvidmc…</t>
  </si>
  <si>
    <t>Castcjon</t>
  </si>
  <si>
    <t>…ba es aptitud de ser nom aquel condado, bien que en otros muchos puntos sigue haciendo pro brado diputado. gresos la insurrección. Los labradores atacaron cerca de Munterlory á El Sr. Castcjon expuso que aunque conven ia en la idea del Sr. pre un destacamento de tropas que iba escoltando á unos empleados en ren opinante , habia tomado la palabra en contra para manifestar que las ta, , y se vió reducido á la cruel necesidad de disparar, y de resulta…</t>
  </si>
  <si>
    <t>…tesorero debería haber cuidado de que se fuesen presentando estas. berse remitido las cuentas de que se trataba. Ademes no creo que puede haber inconveniente en que presente la El Sr. Castcjon dijo que era un defecto notabilísimo el no haberse cuenta de loque ha recibido y de lo que ha pagado; por lo mismo pi presentado aun las cuentas de los respectivos ministerios; pero que para do que s - resu Iva si ha de dar la cuenta según lo prevenido en el…</t>
  </si>
  <si>
    <t>…la cual tre los individuos que las componen se cuentan 363 desterrados: su podia ser ó cc rta ó excesiva. costo es de 889,179 rs.; y como los desuñado» lorman la» tres cuartas El Sr. Castcjon d jo que ann cuando los oficiales generales que se partes del total, y como deben ser separados de los presidios de Africa bailaban en dicho tribunal no hubiesen de sufrir disminución en sus para rendir en canales y caminos una utilidad que ahora no rinden, y…</t>
  </si>
  <si>
    <t>…hecho con el solo objeto de asegurar mas es lejón , Ruiz de la Vega , Meló, Airear, V.ga Irfarzon y otros. ta misma libertad, de declararse cada vez mas amante de ella, y para El Sr. Castcjon dijo que ti había firmado la medida que se había quitar los obstáculos que se oponen i llevar á cabo el sistema consti leído, debían tener presente los Srcs. diputados que en ella no se esta tucional. Las Cortes , Sefior, y el Gobierno en esta ocasión represe…</t>
  </si>
  <si>
    <t>Casteiiar, Juan Evaristo de</t>
  </si>
  <si>
    <t>Juan Evaristo de Casteiiar</t>
  </si>
  <si>
    <t>…ados. este modo: En ti mts dt Entro dt cada año (re., á propuesta de la En la ciudad de Barcelona, reunidos en jurado de acusación los secomisión. ñores D. Juan Ferrer y Albareda, D. Juan Evaristo de Casteiiar, D.-n be mandó pasar i la comisión la siguiente adición del Sr. Can ¡on Josef Anv.lasell, D. Magín Corominas, D. Melchor Biuguera, Don al atr. 1H6, que décia: »&gt; Pido que se añada después de las palabras ins- Juan Liado y Torra, D. Pedro Comes, D. Juan de Bas…</t>
  </si>
  <si>
    <t>Casteioñ</t>
  </si>
  <si>
    <t>…han experimentado ios asesinos de la madre pstr j que las que arroja el expedirntc, renuncio la pa'abra- Todos somos responsables de la trarqu lidad de ios pueblos , y unid »» F! Sr. Casteioñ: Yo d»seo mfoimarme si el geie político de Mur debemos d etar toda» aquellas pror d ocias que los salven . y si c» cia tomó ó no providencias para vvtar los desagradables acontecimien e so permanezcamos aquí si se quiera tres d.as con sus noches , llame tos d…</t>
  </si>
  <si>
    <t>Casteion</t>
  </si>
  <si>
    <t>…. 107 y 108 del re trecha siempre que traspase esta barreta que ha impuesto la ley. glamento , y reclamó el orden. El Sr. Galiano; Debo hacer una observación sobre el asunto de El Sr. Casteion manifestó que estaba en el orden, y que no creía que te trata. Cuando se concedió la facultad al Gobierno de poder haber podido ofender en su discurso á ningún Sr. diputado. extrafiar á los obispos del reino, ¡ te creyó barrenada la Constitución! El Sr. Galia…</t>
  </si>
  <si>
    <t>Castejoh</t>
  </si>
  <si>
    <t>…agentes de las provincias; pueden sin embargo de esto preguntamen acerca de j.a proposición de que se trata. far sobre ellas á los ministros , y para esto se les llámi al CongteEl Sr. Castejoh manifestó que la'comisión se habia abstenido de dar ao. Aquí‘es donde debe el diputado de la Nación conocer al ministro; su dictamen , no tanto porque la proposición estaba firmada por la ma aqui donde debe pedir á favor, de sus provincias , y en fin aquí es…</t>
  </si>
  <si>
    <t>Castejon</t>
  </si>
  <si>
    <t>…que ninguna cuipa turo el Gobi.rbían examinar los poderes de los claco anteriormente elegidos , y fue no, hizo que el auxilio se convirtiese inesperadamente en refuerzo de ron el Sr. Castejon por 77 votos de 119, Fiorez Calderón por 64 de los contrarios. En seguida se dispuso y realizóla expedición de les na: . s 120 , y el Sr. Seoane por 68 de tzo. de línea S. Telmo y Alfj.tn.iro con la fragata Prueba, que zarparon del El Sr. presidente citó á lo…</t>
  </si>
  <si>
    <t>…tiéndose los restantes en esta forma, goal Sr. GoaérfD. Airiiu), recordar aquí y acarar la noticia de haberse publicado en Francia un 20 al Sr. Vaidés, uno al br. Septien , uno al Sr. Castejon , uno al se decreto para levantar 409 hombres. Debe saberse que el egércilo francés ñor Infantes, y uno al Sr. Tomas. Total 117. está en una baja efectiva de 30 i 409 del pie de guerra. Este plan se Quedó elegido primer secretario el St. Infantes per 75 votos…</t>
  </si>
  <si>
    <t>…sde donde habían de em cha eficacia. Con este motiro pidió que se leyera por segunda rea, pa pezarse las nuevas «lecciones. la que no te deturiese tanto este gravísimo negocio. Ei Sr. Castejon manifestó que una de las nulidades que habia te Se leyó una consulta del Gobierno, en la &lt;|ue manifestaba pera nido la elección de diputados por la provincia de Cuenca había sido la pasar la correspondiente orden, i fin de que se verificasen las elecciones de…</t>
  </si>
  <si>
    <t>…5® IXANCIA. y del modo con que se debe proceder i la elección de sus individuos. Se procedió en seguida á la votación, y quedó elegido en primer Partí aj de Febrero. escutrinio el Sr. Castejon por 73 votos de 111 , repartiéndose los reíCon fecha ji da Enero escriben de la* frontera» de Moldavia lo i¡» tsntes entre los Sres. Gómez Becerra, Arguelles , balvato y López de guíeme: Cuevas. n Nos avisan de Cortó que el 9 de este me* se constituyó en Ar F…</t>
  </si>
  <si>
    <t>…cuando se halla reunido.el Con en el puente de Toledo un pelotón de gente. greso nacional, y cuando el Monarca tiene declarado que no se le dé Se leyó la siguiente proposición del Sr. Castejon: - Pido á las Cortes otro dictado que el de Rey constitucional, que es el que mas le agrada. se sírvan nombrar una comisión especial, para que,oyendo al Gobier Estos sucesos prueban que hay gentes muy interesadas en promover des no , y tomadas todas las notic…</t>
  </si>
  <si>
    <t>…evitar consecuencia oficial de la guardia nacional, los reconoció, y se opuso á que los detu desagradables. viesen ; p.ro se les tomó declaración, y en virtud de ella probable El Sr. Castejon fue de parecer que el oficio pasase á la comisión. mente ios habrán puesto en libertad.” Un Sr. diputado pidió que la comisión se enterase también con cer El i '¡ario de los Debates del dia 2 de Marzo dice '- n Esta noche teza de los sucesos de Aranjuez, de l…</t>
  </si>
  <si>
    <t>…hasta aquí has estado en el mejor sentido l is demas discusiones, mas que en el reglamento, en las regias del pun no lo están ahora. donor , de la delicadeza y de la urbanidad. El Sr. Castejon insistió en que pasase el oficio á la comisión, y asi Vamos í tratar de una cuestión delicadísima; cuestión en la que se acordó. entran coma elementos esenciales principios hasta ah ri no d senbe leyó un oficio del Sr. ministro de Estado, en el que participab…</t>
  </si>
  <si>
    <t>…do el verificarlo la fal tante, i deducirle en forma, en el nominado juzgado de Hacienda pú la de medios. blica y citada escribanía; previniéndoles que de no hacerlo les parará El Sr. Castejon apoyó lo que habia manifestado el Sr. Surra, ex el perjuicio que haya lugar. poniendo los inconvenientes que el ayuntamiento habia hallado para Hallándose pendiente en sala segunda del crimen de la audien que se llevase á efecto esta obra, y por último pidió…</t>
  </si>
  <si>
    <t>…ado el objeto del Congresi, al Gobierno con urgencia. Aprobado. y creo que este debe pasar desde luego á volarla. La misma tobrojina consulta de le diputación provincial de Cór El Sr. Castejon: La comisión ha creído que no puede decir mas délo doba pan que mediante bailarte enfermo D. Pedro Alcali Zamora, que dice , porque la propaicion se halla lambían firmada por la ma individuo da la misma , te declarase ti n estaba en el caso de llamar al yor p…</t>
  </si>
  <si>
    <t>…factorio por los macho* vínculos que tne unen á él; tu encargo por parte del Gobierno ó de otro cualquiera. pido pura que las Cortes lo tomen en consideración, para dar • estos El Sr. Castejon apoyó le opinión del Sr.Cuadra, añadiendo qu: las beneméritos militares una prueba dd aprecio á que se han hecho acree noticias que había indicado cae Sr. eran igualmente necesarias para le dores, tanto mas, cuanto que los sucesos de Valencia han echado una (…</t>
  </si>
  <si>
    <t>…rias reflexiones en favor del dictamen de la comisión idiy 17 del cap. a.° de la ley de 24 de Marzo de 1813. que no pudieron entenderse ; y concluyó diciendo, que el negocio d» El Sr. Castejon , después de hacer algunas ligeras observaciones sobre que entendía el alcalde constitucional de Valencia era criminal por a las facultades que por la Constitución y por los decretos de las Cortes esencia, y no podia llevarse adelante sino por medio de un sut…</t>
  </si>
  <si>
    <t>…ento del Imperial Alejandro, y que se ha in por lo mismo no había tenido inconveniente en extender su dictamen. sertado en el núm. 181 del Liberal Guipúzcoano, por el modo impe El Sr. Castejon dijo: Es indudable que la causa no está finalizada; rioso y denigrativo con que habla de aquella ciudad. pero la cuestión del momento es si las comisiones están autorizadas pa Habiéndose suscitado una ligera discusión sobre el curso que se da ra pedir causas…</t>
  </si>
  <si>
    <t>…Aprobado. Se procedió á la elección de vice-presidente: en el primer escruti La comisión de Hacienda , informando sobre una exposición del di nio tuvo el Sr. Velasco 68 votos, el Sr. Castejon 65 , el Sr. Calderón rector general del impuesto del registro , opinaba que se debía, tenar pro» uno, el Sr. Sedefto uno y el Sr. Alava uno; y no habiendo reunid» •ente para cuando se trate de la* rentas y su administración. Aprobado. ninguno de los Sres. la…</t>
  </si>
  <si>
    <t>…de los agre que hibian firmado las proposiciones estaban prontos á retirar la parto gado*. de la segunda que dice: sirviendo dt norma para Un retiros los sueldos ds infantería. El Sr. Castejon se opuso á que-se aprobase esta proposición , mani Ea la ciudad de Mondofiedo, habiéndose observado los trámites festando que no se podía derogar una ley sin que hubiese sufrido loa prescritos , y calificado loa 1 a jueces de hecho con le fórmule de abtrámite…</t>
  </si>
  <si>
    <t>…on un voto patt culac de los Sres. Ovalle é Isturiz. de igualdad, y por lo mismo opinó que debía aprobarse. La comisión Eclesiástica opinaba que debía pasar á la de Legislación El Sr. Castejon dijo que podían ser ciertos todos los méritos que la instancia de D. Tomas González, canónigo de Plasencia y archive se referian; piro que esto no era de la cuestión , porque únicamente recaía ro de Simancas! Aprobado. sobre el modo con que debía premiarse i…</t>
  </si>
  <si>
    <t>…las Cortes decretasen que los M. RR. arzobis xiones que te hicieron en la anterior discusión sobre este asunto. pos y RR. obispos se abstuviesen de conferir órdenes bajo niagaa El Sr. Castejon manifestó que no podía darse un mismo término en título, presentaba su dictamen; el cual en sustancia estaba reducido I unas ocasiones que en otras; lo cual debía tenezte presenta para que te que los M. RR. arzobispos y RR. obispos tt abstengan de confetis</t>
  </si>
  <si>
    <t>…ue se habían destinado á este ob las Cortes anteriores le dieron la majar ilustración de que es susceptible. jeto , opinaba que debia pasar al Gobierno para que informase. Apro El Sr. Castejon dijo que en su opinión no podía fijarse el limite bado. que en la discusión de un asunto tan imporiante querían lo* señores La misma opinaba que debia pasar ai Gobierno pira que informa que habían presentado la propoticiiyi. se un* solicitud de varios sargent…</t>
  </si>
  <si>
    <t>…os milita* propone la comiiion se active, dib: ser con referencia ¿ ios menores, re» que mueran en acción de guerra. que á Ja verd.d no son mas que un d -pó,!i'j de contra!»!.d £1 Sr. Castejon excitó al Sr. Arguelles para que si lo tenia á bien Ei ‘r. herrar contestó que la .j^e.'.ucion siempre se tabea entendi retirase tu voto particular sobre scfioríoa, y lo presentase como propo do respecto de los presídeos di.í ji.i. sición para que ta comisión…</t>
  </si>
  <si>
    <t>…muchos empleados de la Ha En idl7 el Gobierno protegió esta obra por .Real orden de aquel cienda pública. año; y yo ilamo la at.ncion de las Cortes sobre este punto, pues si «1 El Sr. Castejon contestó que si este dictamen se extendía 4 los que Gobierno anterior tuvo en consideración el canal de que se trata, ni el interviniesen en la recaudación de las contribuciones directas, hallaba un actual ni las Cortes lo echarían en olvido. Téngase presente…</t>
  </si>
  <si>
    <t>…os cuerpos en que ha alumbradas las calles en los pueblos en que se pueda hacer, y á que yan de servir.” Lya paseos y otros sitios públicos de recreo, en cuanto lo permitan las El Sr. Castejon observó que nada se decía aqui sobre los matricu circunstancias de cada pueblo.” Aprobado'.. lados en las provincias marítimas. Art. n. » Loa ayuntamientos han de cuidar de la construcción y El Sr. Infante contestó que este era uno de toa objetos compren- j c…</t>
  </si>
  <si>
    <t>…te mandó pasar á la comisión ■ etirei/q, np se aprobó;. y la cuarta quedó aprobada „cjsU. forma que, del Crédito público una proposición de loa Sre*.,Zu'uet* y Castejon projwsb él Sr. Castejon. pan que te polibi la compra de ideas ntcionalet por todo género de Art. 9.a » La admisión par* servir voluntar ¡ablente en el ejército" corporaciones, inclusas las sociedades mereimita, aunque tengan cré permanente será extensiva i loi individuos ¿e lif mili…</t>
  </si>
  <si>
    <t>…iferente obtener la justifi había de acudir para justificar un hecho , cuya prueba le convenía. cación de un modo ó de otro; pero que deseaba que el Sr. preopinante A petición del Sr. Castejon ra leyeron los arts. 1, a y g de la ley le dijese á qué tribunal debia acudir. de infracciones. El Sr. Soria dijo que la Constitución tenia sefialado i quién corres Discutido el punto suficientemente, no hubo lugar 4 votar sobre la pondían las informacionea s…</t>
  </si>
  <si>
    <t>…mar, se ampliará el artículo a a del reglamento de depósi día accederse á ella. Aprobado. tos para ia confiscación ó recargo de derechos según sus casos.”Otro sobre la adición del Sr. Castejon al dictamen de la mis Aprobado. ma sobre oficio* enaceitado* de la corona, mientra* no se verifi Art. 18. Se cofiscarán la* mercaderías prohibidas que ae encuentren que lo prevenido en el decreto de 6 de Agosto de 181 La comisión en buques nacionales y extran…</t>
  </si>
  <si>
    <t>…icación que les hacia «| El Sr. Cano te opuso al dictamen, manifestando que como había Gobierno de que SS. MM. y A A. continuaban sin novedad , siguiendo dicho cxactíaimatnente el Sr. Castejon, este asunto no correspondía mas aliviada la Serma. Sra. Infanta Doña María Francisca. é laa Cortes, sino al poder judicial, porque era un punto de hecho; Se mandó quedase sobre la mesa ti dictamen de las comisiones dt que la propiedad no se había de tomar en…</t>
  </si>
  <si>
    <t>…de varios pueblos, que por no tener baldío» ni propio* arbi biese habilitado los derechos de ciudadano. trados se quejaban de los perjuicios que se les irrogaban por el decreto El Sr. Castejon propuso que en lugar de decirse: Procesado crimi del año de 13 , la comisión no habia tratado de remediar estos incon nalmente , se sustituyese: Contri* quien se hubiere dado auto de prisión. venientes , limitándose i hablar de la propiedad, sin hablar nada a…</t>
  </si>
  <si>
    <t>…a Nación entera que me está escu vaga que hay ciertos males, y no querer entrar en su examen! «Qué chando. importa que las Cortes aprueben tales ó cuales medidas si se hace sin El Sr. Castejon: Voy á leer una patte del dictamen de la comi el conocimiento exacto de los males que se trata de remediar! El cono sión : „ La comisión por mas que ha meditado sobre un mal de tanta cimiento de estos nos dará un testimonio irrefragable de su naturaleza, tras…</t>
  </si>
  <si>
    <t>…vanco, p r haber puesto preso de un modo quiera. Debo llamar la atención de las Cortes sobre lo que ha leido el afrentoso al vocal de la misma D. {«a rador Mirtinez Muñoz, opinaba Sr. Castejon; y refiriéndome después á lo que ha dicho el Sr. Oallano, que se habían infringido el art. 139 de la Constitución y e! decreto ¿5 suponiendo á ciertas personas como agresoras, no puedo menos de ma »4 de Marzo de i8«g en el modo de prender á dicho Mt-ti-.ez*.…</t>
  </si>
  <si>
    <t>…res. de la comis'on, y que *: opon , á aque tomo* ya una Nacon tan libre é independiente como religiosa. lla cláusula, porque dudaba que las facultades de las Cotí * r d -• Go F.l Sr. Castejon dijo qu-* e*to podría ser cbj 10 de una adición; y bierno se extendiesen hasta aquella disposición, pues en tadiscus’on del que la comisim no había hablado ni pod:a hablar del reverendo nun ait. 371 del código penal te combatió r ciotioum Mí la id a , y en ci…</t>
  </si>
  <si>
    <t>…retirar esta parte de su poner m-d das que ó nada signifiquen, por ser de aquellas que están ya dictamen. experimenta las, y cuyo resultado no ha correspondido á las lisonjeras El Sr. Castejon : La comisión estaría pronta á retirar este artículo vsp-ranzas que han concebido los qua las proponían , ó que desde luego si la hubieran convencido ¡i. recoses ixpuestas. Por esta m-iiida que asustasen y comprimiesen «1 ánimo da los que las escuchan. La com…</t>
  </si>
  <si>
    <t>…rán sus disposiciones, y los mismos tomarán por sí aquellas que en primeros de Enero y Julio, y densas noticias oportunas.” están en sus facultades conforme á este reglamento.” El Sr. Castejon dijo que ei objeto de esta milicia no era otro que el El Sr. Romero impugnó este artículo, manifestando que no en de mantener Ja tranquilidad pública, y sostener el sistema constitucio contraba ni conveniente ni conforme á la institución de la milicia na nal…</t>
  </si>
  <si>
    <t>…brir ros ojos á los ministros de los tteyes! ¡ Ojalá da deben ser aprobados. que estos s.pan hacer ver a sus señores que todavía está humeando en El Sr. Buey apoyó las razones del Sr. Castejon, añadiendo que en la Península &gt;a sangre de! mas hermoso,del mas aguerrido, del mas va su opmion había otra nulidad en el número de diputados que se ha liente de ios egércitosl bían nombrada; pues correspondiendo a la provincia de Filipnas, se Los griegos *•…</t>
  </si>
  <si>
    <t>…nza que se tenia de ellos. qu: había adoptado la comisión; y asimismo que la votación fuese no No todos los ayuntamientos se hallan en este caso, pues los hay minal á petición del Sr. Castejon. ilustres, benemérito;, y en los cuales se encuentran patriotas distin S: procedió á la votación nominal, y resuitó aprobada la medida guíaos, con todas las cualidades que pueden adornar al mas amante de por 79 votos contra 51. las instituciones liberales. Si…</t>
  </si>
  <si>
    <t>…penal la da que los raos vagan á presidios cor* miento á la* habitaciones particulares de SS. MR g A A.” rece ¡onales, loa jueces se hallarán en el embarazo de no poder imponer El Sr. Castejon: El artículo de que te trata me parece poco confor* esta pena cuando empiece á regir el código por (alta de teles presidia^ me con el goó de 1» Constitución , que previene no puede ser allanada pues es lo mismo que si se dijera que nadie pudiese venir á Madri…</t>
  </si>
  <si>
    <t>…Asi pues creo que el artículo está en su lugar, y debe apro ley ; pero estas aclaraciones no corresponden sino á las Cortes ; y asi barse. creo que debe aprobarse el artículo. El Sr. Castejon: Estas esperas moratorias ion enteramente contra El Sr. Melendez dijo que había hecho referencia á las dudas que las lias al derecho de propiedad; y yo no tendría inconveniente en decir diputaciones provinciales podían resolver en uso de sus facultades. qu: n…</t>
  </si>
  <si>
    <t>…sin necesidad de que esto» ex mente no la mereciesen. pedientes viniesen í las Cort;s, resolviese lo conveniente. Hl Sr. Somoza: Ni el Gobierno ni ninguna otra autoridad pueden El Sr. Castejon dijo que estaba deacueido con la op nion ri.-l señ r conc-d-r perdón-s, porque no son mas que unos administradores de Seoane; pero que tampoco el Gobierno debía ocuparse en uim de poca Jo. fondos del común; y cua.quirr perjuicio que haya en estos retul- impor…</t>
  </si>
  <si>
    <t>Castejon, Juan Antonio</t>
  </si>
  <si>
    <t>Juan Antonio Castejon</t>
  </si>
  <si>
    <t>…tacarme, ha dicho que he asistido á las bodas y capitu' as ones deres de estos Sres. diputados. Aprobado. del Rey é Infantes; pero si lo he hecho no ha sido como geni IhornMadrid. D. Juan Antonio Castejon , D. Ramón Gil de la Cua bre , porque de estos no asisten mas que cierto número de los qu- srdra y D. Dionisio Valdés. Fueron aprobados los poderes de estos se ven. Yo estuve en esas funciones; pero fui como consejero de estado ñores como proponía ia comisión…</t>
  </si>
  <si>
    <t>Castejoo</t>
  </si>
  <si>
    <t>dado* del egército de San Fernando; y ti etta disposición te hace ex» té ea su lagar, y debe aprobarse. temí** á todo* lo» militare* que expresa este artículo y el siguiente, El Sr. Castejoo observó que el objeto de este proyecto era rolo ex quedaría el egército muy reducido,y te seguiría adema* el inconvenien- plicar el decreto de 1 i de Setiembre, el cual en su entender no se podía te de que saliesen de ¿1 los toldado» mas decididos, con notabl…</t>
  </si>
  <si>
    <t>Castel, Josef</t>
  </si>
  <si>
    <t>Josef Castel</t>
  </si>
  <si>
    <t>…fantería y caballería de esta ciudad han sabido Carnicero, marques de Torrenueva, D. Francisco Martínez Marina, con admiración los heroicos esfuerzos que habéis hecho en unión con D. Josef Castel , D. Domingo Villami! y D Saturnino Lozano. la bizarra guarnición de esa heroica villa para afianzar nuestra naciente Señores que fueron de opinión contraria: Marques de Cusano, Don libertad, oponiendo un muro de bronce contra los golpes del fiero Antonio Alc…</t>
  </si>
  <si>
    <t>…a Lóndrea hn su v'sta te reun ó el jurado compuesto di los sefiom siguien y á Viena: ansian por la llegada del duque de VVellir.gton; pero quien tes: D. Josef de Vega y Quintana, D. Josef Castel, D. Matías Case conozca la marcha del Gobierno ingles debe estar convencido de que ro , L). Francisco Marí n:z Marina, D. Josef Demetrio Rodr g i-z, el noble lord no traerá poderes tan amplios como lo eran los que solía D. Junan d- Fuentes, D. Joaquín Huerta…</t>
  </si>
  <si>
    <t>Castelar, Josef</t>
  </si>
  <si>
    <t>Josef Castelar</t>
  </si>
  <si>
    <t>…o* desde el 3 de Octubre de D.cr tó la prisión de D. Antonio Sánchez, su criada Teresa* 1822 , concurran á acreditar su filiación y derechos tn dicho juzgado; Gabriel Manzanares y D. Josef Castelar, y omitió la de D. Lorenzo con apercibimiento de que pasados dichos dos años sin haberlo verifi Gómez , administrador del Pardo y la Monoica , D. Juan García Sa cado , se procederá tn rebeldía á declarar á la citada Doña Isabel las , Chaves eh guardaropa del…</t>
  </si>
  <si>
    <t>Castellanos, Juan Josef Díaz</t>
  </si>
  <si>
    <t>Juan Josef Díaz Castellanos</t>
  </si>
  <si>
    <t>…a; y á su des llaman.ios, juez de primera instancia de la ciudad del Puerto de Santa pee i o confiesan la sabia conducta del general en gefe , que solo apela Mana, y escribanía de D. Juan Josef Díaz Castellanos, para que los á los m-dios de rigor en as últimas circunstancias.” que tengan parentesco con dicho finado le presenten á deducir su dere Ln Balaguer parece que precedió i la fuga de los facciosos una cho i la expresada cantidad y no habiendo comparecido hasta…</t>
  </si>
  <si>
    <t>Castellar, Joaef de</t>
  </si>
  <si>
    <t>Joaef de Castellar</t>
  </si>
  <si>
    <t>…í el dictamen de la comisión me parece muy y circuír.=fieñaUdo de ia Real manoÁEa Palacio á ai de Enero de huero é importante, fci Gobierno presentó su duramen ; peto la co ifiusA D. Joaef de Castellar. misión no lia ¡urg do oportuno seguine, porque unde las medidas que proponía eran insignificantes, y otra» le pertenecían ai Gobierno. Hoy 19 del corriente ae pagará en I* casa Nacional de monedk En seguirta se discute ei dictamen de la comisión , habiendo e…</t>
  </si>
  <si>
    <t>Castellar, Josef</t>
  </si>
  <si>
    <t>Josef Castellar</t>
  </si>
  <si>
    <t>…isposición que padecía el hr. D Francisco Escudero habia *n— son de grandes cantidsdes ; pero debo decir que estos son en muy corto cargado interinamente la secretaría de Guerra á D. Josef Castellar, sub número, al paso que en Asturias y Gibe a hay mas de cá que gene ralmente disfrutaban aoo, 300 y 400 ducados, r estos ccn no haberse secretario de la misma. Las Corte* quedaron enteradas. Habiéndose continuado la discusión, dijo el sr. Sierra Pambley que…</t>
  </si>
  <si>
    <t>…argué interinamente el de la Guerra, he tenido á bien encar que se reserve el clero loa bienes absolutamente necesario^ pero tam gar su despacho con la misma calidad de interino á D. Josef Castellar, poco es necesario que esta declaración se haga en el decreto. *ub-secretar 10 del referido ministerio de la Guerra, á fin de que no pa Se hace mucho uso de la hipótesis de que el medio diezmo no basta dezcan *1 menor atraso los negocios de su atribución. Ten…</t>
  </si>
  <si>
    <t>Castellar, Josef de</t>
  </si>
  <si>
    <t>Josef de Castellar</t>
  </si>
  <si>
    <t>…nocido; y que aun cuando se enviasen comisiona Señalado de la Real mano.=Eu Palacio á 17 de Enero de i8ai.=A dos , debía ponerse por base que la Nación española no reconocía la in D. Josef de Castellar. dependencia; porque aunque actualmente no teníamos armas ni dinero, acaso en algún tiempo podría ser fácil la unión de aquellos países; por Oficina general de Renovación y Expedición de documentos. lo cual nunca la Nación debía ceder de su derecho , y ningún…</t>
  </si>
  <si>
    <t>…hubiere solicitado, y al prudente jui Asimismo ha conferido el empleo de mariscal de campo al briga cio de los jueces si te considerase necesario , á que dé fiador de que ob dier D. Josef de Castellar, |sub-secretario del Despacho « la Guerra; servará una conducta arreglada, 6 á que si no lo diere, salga dester nombrando para sucedería cu dicho destino al brigadier D. Luis Balan rado por uno á tres afios del pueblo respectivo y so leguas en con zas , gefe…</t>
  </si>
  <si>
    <t>…rga civil? Es claro que ningu y circule. = Rubricado de la Real mano. =En Palacio á 2 5 de Enera na , y por lo mismo es preciso que haya algún medio para esto, sin que de 1822.= A D. Josef de Castellar.” la comisión trate de sostener el que ha presentado. Los Sres. Romero Alpuente y Lasanta rectificaron varios hechos de. ES Rey &gt;c o* »¿i v iuouiaüd-í con moti vo d ei fallecimiento deS- A, R. sus anteriores discursos. el Sr. Príncipe Clemente de Sajonia, que…</t>
  </si>
  <si>
    <t>Castells, Mariano</t>
  </si>
  <si>
    <t>Mariano Castells</t>
  </si>
  <si>
    <t>…mecánica podrí ajus &lt;&gt; En el Alto Aragón y en las inmediaciones del pueblo de loa tarse particularmente: el vecindario de Orduúa se compone de unos Paules ha conseguido el espitan D. Mariano Castells batir á los cabe 4jo vecinos: hay dos conventos , uno de franciscos y otro de monjas, á cillas Calderón , Mosen Cebollero y otro , cuyas fuerzas eran cerca de cuyos individuos deberá también as.stir en sus enfermedades sin dere aoo hombres, haciéndoles 14 mue…</t>
  </si>
  <si>
    <t>Castels, Joscf</t>
  </si>
  <si>
    <t>Joscf Castels</t>
  </si>
  <si>
    <t>…a en valias expre Secretaría, archivo, le siones. trados consistoriales y En su viita se reunió el jurado, compuesto de loe Sres. siguientes: escribanos.................... 20,793 D. Joscf Castels, D. Higinio Antonio Lorente, D. Aniceto Lirana, Contaduría general de D. Manuel Esteban Caíala , D. Gaspar Aguilera , D. Rafael Coala, Cuentas....................... 29,050 D. Andrés Orinaga, D. Jaime Ruiz Abreu y D. Lorenzo Lambes. 8i,4o£ Habida la conferenc…</t>
  </si>
  <si>
    <t>Castelvi, Antonio</t>
  </si>
  <si>
    <t>Antonio Castelvi</t>
  </si>
  <si>
    <t>…3? amanecer de este d a El comandante militar de la provtncia de Huesca con fecha de ayer sobré dicha vdU, veriñr’mio'o yo ñ:ua.metate con las columnas di me dice lo que copio. . D. Antonio Castelvi y p. Manuel Ramos ai mencionado punto , co „ El comandante móvil del C.nca me dice con fecha de ayer 4 las mo en efecto asi se ejecutó : a poco rato de e-tar reunidas las co una cuatro de la tarde desde Alcolea del Cuica lo siguiente : Viva la Cons na, se me…</t>
  </si>
  <si>
    <t>Casti, Manuel del</t>
  </si>
  <si>
    <t>Manuel del Casti</t>
  </si>
  <si>
    <t>…nio Marfa Comieras, D. Manuel Friaza , D- Francesco de Paula Mén to dal mismo consejo. Ramo t'mil. Por los títulos de jueces I.irados ó dez, D. Claudio Boutelou , D. Josef Anitua, D. Manuel del Casti de primen instancia se cobrará un a por 160 sobre el valor i- los llo, 1). Andrés de Monti, D. Amonio Lucent, D. Joaquín Medina, Xq9 rt. que se regulan por sueldos y emolumentos. Por los de magiar D. Pedro Urda y D. Manuel de Jesús Carmona. Los seis primeros…</t>
  </si>
  <si>
    <t>Castilla, Josefa</t>
  </si>
  <si>
    <t>Josefa Castilla</t>
  </si>
  <si>
    <t>…es de i a misma : para la de Zaragoza á á Palma puerto de primera clase. D. Francisco Cantero , que lo es de la de Salamanca: para la de Gra A la de Hacienda una representación de Doña Josefa Castilla en nada al teniente coronel D. Josef de lieceta: ya'a la de Alicante al solicitud de ura pensión. coronel D. Francisco González Golfin : para la de Málaga al brig .dier Se acordó que se imprimiese la copia remitida por el ministerio D. Josef Marrón , que lo e…</t>
  </si>
  <si>
    <t>Castillo, Antonio</t>
  </si>
  <si>
    <t>Antonio Castillo</t>
  </si>
  <si>
    <t>…optar la idea del Sr. preopinante. nu manera que á los antiguos. Aprobado. Declarado el punto suficientemente discutido, quedó aprobado el ar La misma, en vi&gt;ra de la solicitud de D. Antonio Castillo , alférez ticulo. del regimiento de caballería de la Constitución , pidiendo se le conce El Sr. Infante leyó el decurso preliminar al proyecto de reforma diese la dispensa que necesita para contraer matrimonio, opinaba que de las ordenanzas militares y pan-*…</t>
  </si>
  <si>
    <t>Castillo, Antonio del</t>
  </si>
  <si>
    <t>Antonio del Castillo</t>
  </si>
  <si>
    <t>…es del territorio. Igual suerte y juez de primera instancia en esta corte, y * solicitud «le los herederos sufrió la columna faccMtsa de la izquierda, que prolongándose por tos de D. Antonio del Castillo , vecino y del comercio de libros que fu» límites que dividan aquella parte en dirección de Ur sostuvo mas de esta villa, s« cita y emplaza á los acreedores de los bienes que han iar,:o tiempo su puesto, basta que habiendo llegado el gefe de ¡a plana quedado…</t>
  </si>
  <si>
    <t>Castillo, Antonio González del</t>
  </si>
  <si>
    <t>Antonio González del Castillo</t>
  </si>
  <si>
    <t>…igencia y cumplimiento en la parte que le toca. Ma Se mandó quedar sobie la mesa el dictamen de la comisión de Po drid id de Abril de 18ia.” deres acerca de los presentados por el Sr. D. Antonio González del Castillo, diputado electo por la provincia de Puerto-Principe, y el El general ea gefe del egéreiio expedicionario de Costa-firme Don voto particular del Sr. Soria. Miguel de Latorre participa al ministerio de la Guerra io siguiente Se levantó la sesión á las cuatro.…</t>
  </si>
  <si>
    <t>Castillo, Florencio</t>
  </si>
  <si>
    <t>Florencio Castillo</t>
  </si>
  <si>
    <t>…es vuestros pechos de bronce, y loa aterrasteis D. Pedro del Paso y Troncoso. D. Vicente Simón González de Cosío. con vuestra decisión, valor y denuedo. Jamas olvidéis esta memora D. Florencio Castillo. D. Tomas Salgado. D. Nicolás O'aez. D. Rafael ble jornada que os inmortaliza, ni menos confiéis en la victoria. vs^—- u.i:...Zn n. Mariano Robles. D. Demetrio Moreno. » Milicianos: poderosos enemigos, asaz diestros en el arte de ta ma quinación é intriga exi…</t>
  </si>
  <si>
    <t>Castillo, Gregorio del</t>
  </si>
  <si>
    <t>Gregorio del Castillo</t>
  </si>
  <si>
    <t>…-ndo in montaña , que se habilitó en esta , con 5 a; taleros, al cargo del tenien fecidos sus habitantes arder les a-rabales , y en el.c» perd.r n-.^c ros ,u te graduado de Murcia D. Gregorio del Castillo, siendo el total 449 fortusia y bienrs , hacer conocer al enemigo tu impotencia , pu s me infantes, 2;. caballos y 5 artilleros; y tomando la dirección por el ca nos de óoo hombres h cieron correr i cerca de 3$ , y abanderar pos mino real , hice alto en la s…</t>
  </si>
  <si>
    <t>Castillo, Josef Atanasio del</t>
  </si>
  <si>
    <t>Josef Atanasio del Castillo</t>
  </si>
  <si>
    <t>…érica, con 610 rs. D. Josef Antonio Navarrete , á D. Cristóbal María Falcon y i Don Csuna al capitán D. Antonio González Villamil, segundo ayu Julián Gamboa; y para una fiscalía á D. Josef Atanasio del Castillo. dante del regimiento infantería de Búrgos, con 610 rs. Secretaría del consejo de Ejtado. Falencia al espitan D. Pedro Ruiz de la Peña , segundo ayudante Provincia de León, Por promoción de D. Josef Suarez Cuenlla á la del regimiento infantería Infante D. Ant…</t>
  </si>
  <si>
    <t>Castillo, Josef del</t>
  </si>
  <si>
    <t>Josef del Castillo</t>
  </si>
  <si>
    <t>…de ioo9 mrs. en varios pue González «le Aguilera, D. Lorenzo Ruano, D. Josef María Jiménez, blo* de las metindades de Burtba, Logroño y otroe á favor «le DonD. Luis de Casamayor, D. Josef del Castillo, D. Cristóbal Josef dt Sancho Velasco, i 15 de Abril de 1468.Vrbina, D. Pedro Ramón de Jerez, D. Manuel Jiménez Pérez j Don Se desea saber el pandero de Doña Agueda de la Malla, natural de PoUcarpo Santisteban Morales. la villa de Bilbao, que hace años pasó á…</t>
  </si>
  <si>
    <t>…idas de precaución, que El lúnes 14 de Octubre á las siete de la noche se abrirá en el mismo no dejan la menor duda de que no las tienen todas consigo. » Todos establecimiento por D. Josef del Castillo la cátedrá de derecho públi los facciosos que sitiaban á Cardona, dice un periodista, se han situa co constitucional. Serán dias de lección los lunes, jueves y sábados de do en Talamanca , Granera, Monistrol de Caldés y Casteiltersol.” Por cada semana á la mi…</t>
  </si>
  <si>
    <t>Castillo, Josef Ramón</t>
  </si>
  <si>
    <t>Josef Ramón Castillo</t>
  </si>
  <si>
    <t>…Hilario. Arechederra, D. Juan Antonio Arocena , D. Juan Domingo Iza, D. Antero Basaguren, D. Manuel Dtl homicidio, envenenamiento, castración y aborto, y dt ¡ot qtu ptetnCasero y D. Josef Ramón Castillo; y los reglamentados D. Laureano dian para matar~ Eguilior , D. Ramón Eguillor y D. Francisco Eguillor. Art. 605. » Los que maten á otra persona voluntariamente con Madrid Sábado a6 dt Entro. premeditación y con intención de matarla , no siendo por orden de a…</t>
  </si>
  <si>
    <t>Castillo, Lorenzo del</t>
  </si>
  <si>
    <t>Lorenzo del Castillo</t>
  </si>
  <si>
    <t>…n é instrucción En la ciudad de Milaga, reunidos los Sres. jueces de hecho Don de loa jóvenes en la carrera militar, 4.a marquilla, á 5 ra. en papel y 6 Juan Nepomuceno González , D. Lorenzo del Castillo, D. Tomit de en rústica—Ernesti, metaphisica et lógica, 8."marquilla, á 9 rs. en la Fuente, D. Pabío Solana, D. Diego María López, D. Juan Jimé rústica.—Eximeni, instituciones phitosophicae et mathcmaticae: dos nez de Enciso, D. Josef Fermín de Jáuregui , D.…</t>
  </si>
  <si>
    <t>Castillo, Manuel del</t>
  </si>
  <si>
    <t>Manuel del Castillo</t>
  </si>
  <si>
    <t>…al mes. ro para botas y zapatos de que hasta el presente se ha hecho gran Bilbao á D. Antonio Josef Rodríguez, segundo ayudante del re consumo, pone el farmacéutico en esta corte D. Manuel del Castillo gimiento infantería de Extremadura, con 620 rs. al mes. en noticia del comercio nacional que se ha'.la con un gran surtido Búrgos al capitán D. Jorge Vatderríbano, ayudante de caballería del mismo género, igual al que ha estado vendiendo en esta cor retirado,…</t>
  </si>
  <si>
    <t>Castillo, Pedro Pascual del</t>
  </si>
  <si>
    <t>Pedro Pascual del Castillo</t>
  </si>
  <si>
    <t>…. Pedro Fernandez dala Herían , teniente deinfantería del regimiento infantería de Guadalajara, con 570 rs. y del batallón de la milicia activa de Mátage -, con 450 ra. Astorga al capitán D. Pedro Pascual del Castillo , teniente del re Murcia á D. Ildefonso del Pozó,'teniente supernumerario del fe-gimiento infantería voluntarios de Castilla, con $70 rs. gimiemo ¡nfapterfa de Extremadura , coa 570 ra. ' Alcali A D. Manuel de Biesa, teniente del regimiento infantería Monterr…</t>
  </si>
  <si>
    <t>Castlereagh</t>
  </si>
  <si>
    <t>…l bien que ha Titt para formar un ministerio mat enérgicos Mr. Canning tomó á hecho, smo que por donde quiera que ha ido ha reanimado á ios habi tu cargo el Despacho de Estado , y lord Castlereagh volvió al de tantes y conseguido mejorar ct espíritu público. No ha cooperado poco Guerra; el primero procuró enlazar nuevamente las coaliciones conti 4 esto último la excelente disciplina que han observado todos los indi nentales , y el segundo apoyó sus mir…</t>
  </si>
  <si>
    <t>…ruto ó • su tra de su patria; y sin esperar en 6n que adopte Mr. Canning un plan con bajo, tomará asimismo en consideración la gloria y el honor de la trario al plan desastroso de lord Castlereagh , se lisonjean ya muchos nación inglesa. p-r ócheos de la oposision d- que no desmentirá su carácter anterior. De ningún modo puede convenir la Gran-Bretifía rr. una ru-r-a Recuerdan su conducta independiente en el negoco vergonzoso de la como la de los grieg…</t>
  </si>
  <si>
    <t>Castlereagh-</t>
  </si>
  <si>
    <t>…nizar. Después de esto se tra casamiento de su pupila con el hermano del marques de Londonderry, tan de la artillería, y en seguida de la caballería. Los oficiales distin entonces lord Castlereagh- El canciller trató en cierto modo de que uo guidos formarán el estado mayor general y el cuerpo de ingenieros. El se verificase el examen. bitalion sagrado debe sor un plantel de oficiales para el ejército, y Sabido es también el sueno particular que precedió i…</t>
  </si>
  <si>
    <t>Castoreña, Luciano</t>
  </si>
  <si>
    <t>Luciano Castoreña</t>
  </si>
  <si>
    <t>…aba lugar á la formación de causa: acude Se concedió la licencia que solicitaban lo* Sres. diputados de Ultra al segundo, présate el escritor los datos y documentos que acredi mar D. Luciano Castoreña y D. Juan Gomes Navairete pera regresar á taba ser veidad lo que se había puesto eo el papel, y el jurado le absol su país. vió. Este hecho existe , y he sucedido en Madrid, y creo que puede veri Se aprobaron las do* proposición» siguíes tes hechas por el sellos ficarse mucha veces Le…</t>
  </si>
  <si>
    <t>Castrillo</t>
  </si>
  <si>
    <t>…me con la Constitución*; pues-diciendo'£-:tá que s-ran protr ’id » le á la deliberación de laa Cortes. los derechos legítimos de cada individuo , á la ig' .-s'a i- 'a ¡r.uóa Je El Sr. Castrillo hizo varias observaciones contra este articulo, y despojar de este derecho, y que aun considerando qu: derecho ultimo maaifirstó que seria verdaderamente una pedantería referir la histo es aquel que es conforme i la» leyes y arreglado á tazón y justicia, se r…</t>
  </si>
  <si>
    <t>…relación con el servicio el Sr. Casa seca habia hablado del fuero militar , á fin de hacer presenta militar. i S. S. que el fuero militar estaba muy modificado; que un militar El Sr. Castrillo dijo que de ninguna maneta quería que quedasen cuando iba de marcha con objetos de servicio estaba sujeto al fuero impunes los delitos de los sacerdotes, antes por el contrario debían ser militar; pero no cuando iba de particular, pues que entonces estaba su…</t>
  </si>
  <si>
    <t>…los que lo fuesen por el tícipes para instruir ante estos comisionados, asi los expedientes de ia Gobierno. regulación del valor anual de los diezmos que cada uno poseía , como Ei Sr. Castrillo contestó á algunas impugnaciones que sa habían he los de liquidación de capitales: 4.” Cuidar de que no se rebajen frau cho al artículo, y pidió que se aprobase. dulentamente los valores del medio diezmo destinado á ia dotación del Habiéndose declarado este p…</t>
  </si>
  <si>
    <t>…ue la comisión no tenia inconvenien perpetuos.” Aprobado. te, y que se podría afiadir al artículo, después de laspalebtas el mismo, Se mandaron pasar á la comisión una adición del Sr. Castrillo al las siguientes en el acto. Asimismo á continuación de auxilias la pa párrafo segundo del art. 611: otra del Sr. Ce pero al art. 619: otra del labra personalmente. Sr. Cano Manuel al mismo: otra del Sr.Pefiafiel al 619: otra del señor Se leyó el artículo en…</t>
  </si>
  <si>
    <t>Castro</t>
  </si>
  <si>
    <t>…6.' distrito m l.tar ” Bacigalupi, que dirigiéndose de Huesca al Cuica, contramm-ó y se Nota. En la ¿aceta ordinaria Je mañana ¡e fttlii.arán iot a’/mjj unió en Aycrbc con la dal comandante Castro, que en 38 horas da documental á que te rejiertn ettot fartei. EN LA IMPRENTA NACIONAL.</t>
  </si>
  <si>
    <t>…-n.ideraaviso dispuso marchase hacia ese punto el reten que estaba sobre las ar do el acago suceso del comandante gefe de la columna, no ha s do un mas. En seguida llegó parte del comandante Castro de que sus avanzadas ta comparada la disparidad entre los combatientes, como lo maniñ-.sta eran atacadas por una fuerza de enemigos como de 1500 hombres , j el adjunto estado. sin mas dilación ordenó se pusiese la columna sobre las armas, conshi- ” Dios guard…</t>
  </si>
  <si>
    <t>Castro, Félix de</t>
  </si>
  <si>
    <t>Félix de Castro</t>
  </si>
  <si>
    <t>…lzada: el valor de todos nada ha dejado que «lesear; pero particular ble; y que aun se les iba persiguiendo y acuchillando cuantió daban esta mente merece recomendación el alférez D. Félix de Castro, por lo noticia á Zaragoza. El brigadier Torres, añaden, había deshecho com mucho que trabajó en medio de los mayores riesgos. Lo que traslado pletamente la facción que entró en Calatayud, (aduciéndola á muy po á V. E. para su conocimiento y satisfacción, esp…</t>
  </si>
  <si>
    <t>Castro, Francisco</t>
  </si>
  <si>
    <t>Francisco Castro</t>
  </si>
  <si>
    <t>…tinuará. ) Cualquiera persona que sepa el paradero de nn pliego certificado Comisiones especiales de venta de fincas , y de administración y recate* que contenía vales Reales para D. Francisco Castro, presbítero en Tre- dación. bujena, que te estravió en la noche del correo del 10 de Agosto desde El Fxemo. Sr. secretarlo del Despacho de Hacienda nos dijo de heviila á Lebrija , dará noticia al administrador de correo 1 de Sevilla, Real orden con fecha de 2…</t>
  </si>
  <si>
    <t>Castro, Jntef Rodríguez de</t>
  </si>
  <si>
    <t>Jntef Rodríguez de Castro</t>
  </si>
  <si>
    <t>….-iender Vi des,que trata de que el clero se reserve una parte de sus bteoes en caso ne cesario, y que si hubiera sabido que se habia de haber entendido del para el de Loares; y á D. Jntef Rodríguez de Castro, pira ci «c la Ve mojo que se hacia, no lo hubiera apoyado, lo cual dimanaba de ser ga ds Rivadeo. dócil, y de proceder de buena fe: con este motivo hizo ver que en E! Rey se ha servido conferir el gobierno rr.d.tar de la c:udid deatención i que en la corona…</t>
  </si>
  <si>
    <t>Castro, Josef de</t>
  </si>
  <si>
    <t>Josef de Castro</t>
  </si>
  <si>
    <t>…imultáneo. Agustín Muñiz, herido, y Guillermo Cobreros, y el soldado Lorenzo El batallón de Toledo llevaba la cabeza, y formándole en masa González, y al distinguido de granaderos D. Josef de Castro, que atacó el general la primera columna enemiga , situada en uní colina de también fue herido.” pendiente suave, de tal manera que á pesar de la resistencia mas te Después de la gloriosa jornada de Torá te dirigió el egército á naz , se vió precisada á reple…</t>
  </si>
  <si>
    <t>Castro, Josef Gregorio de</t>
  </si>
  <si>
    <t>Josef Gregorio de Castro</t>
  </si>
  <si>
    <t>…con el núme ce de los mas sanos. Se admiten memoriales hasta el último dia del ro 838, perteneciente entonces á D. Mateo Pablo Diaz de Lavandera y próximo Abril, y se dirigirán á D. Josef Gregorio de Castro, secreta Doña Manuela Petronila de Urtusaustegui, marqueses que fueron de rio de su ayuntamiento constitucional. Torrenueva, y en el dia á sus herederos-, y tiendo preciso acreditar la Se halla vacante la plaza de médico titular de la villa de la Bafiezi, pér…</t>
  </si>
  <si>
    <t>Castro, Josef María</t>
  </si>
  <si>
    <t>Josef María Castro</t>
  </si>
  <si>
    <t>…de los sediciosos ó rebeldes con la me nio Barona y Vargas, vecino de Plascncia. nor distancia posible; enarbolará una bandera blanca, y hará dar tres Se concedió licencia al Sr. diputado D. Josef María Castro para toques de clarín ó trompeta, mediando de uno á otro un minuto por pasar 1 su país á restablecer su salud. lo menos; y dado el último toque, se tendrá también por consumada Las comisiones de Hacienda, en vista de lo expuesto por las autori la rebelión o s…</t>
  </si>
  <si>
    <t>Castro, Luis Fernandez de</t>
  </si>
  <si>
    <t>Luis Fernandez de Castro</t>
  </si>
  <si>
    <t>…rnos de ruero con dejando toda la fuerza situada en la villa de Tu:va á las ordenes del las cadenas del despotismo , ha sido muy considerab.e, at nd.dei los comandante de Asturias D. Luis Fernandez de Castro. fu enes ataques que han sufrido á ia bayoneta , al v vo fuego de artille » Al amanecer del 18 la avanzada que cubría ei canillo denu do de ría a metralla, y al de fusilería al sostener la retirada, que ha sa vado Benabarre dió parte de oírse tiros en la dire…</t>
  </si>
  <si>
    <t>Castro, Pablo Fernandez de</t>
  </si>
  <si>
    <t>Pablo Fernandez de Castro</t>
  </si>
  <si>
    <t>…ifcuciit i pero esto* el viernes próximo 14 del corriente para la vista de la causa formada |e babian abandonado el dia anterior *, y con este motivo paró á S. Hila* al presbítero D. Pablo Fernandez de Castro, uno de los 69 ex-diputario para combinar un plan de ataque con el brigadier Manió y el co dos á la» ordinarias de 1814 que firmaron el manifiesto ó representa mandante Pínganos. ción al Rey con fecha de 1 a de Abril de aquel afio, en el atrio del Mataré. Ide…</t>
  </si>
  <si>
    <t>…magosa había Sentencia. En la causa que ante nos ha pendido y pende en segunda tomado el mando en Urgcl, y qus ds resultas del descalabro que sufrió instancia entre partes, de una D. Pablo Fernandez de Castro , natural el barón ds Eróles, los facciosos que ss fugaron á Francia pidieron de la villa de S. Bartolomé de Baltar, diócesis de Orense, en Galicia, permiso para entrar , y se les concedió , con la condición ds dejar laa de 65 años de edad, canónigo de la hta…</t>
  </si>
  <si>
    <t>Castro, Pedro Celestino Fernandez Zorrilla y</t>
  </si>
  <si>
    <t>Pedro Celestino Fernandez Zorrilla y Castro</t>
  </si>
  <si>
    <t>…ijos beneficencia en el desempeño de las funciones que el reglamento gene «fe Antonia García Quijada. ral decretado por las Cortes ha puesto á su cuidado , y que desde lue Burgos. D. Pedro Celestino Fernandez Zorrilla y Castro , marques go procedan á encargarse del régimen de los establecimientos respecti de Fuente Pelayo, regidor perpetuo que fue de Búrgos, á quien se adju vos, ha tenido á bien S. M. mandar: i.° Que ínterin se concluye el dicó el mayorazgo de Haro, unos de los com…</t>
  </si>
  <si>
    <t>Castro, Pedro Fernandez de</t>
  </si>
  <si>
    <t>Pedro Fernandez de Castro</t>
  </si>
  <si>
    <t>…ento se sintiere agraviado por la di daba parte de la sentencia que había recaído en la causa del ex-dif uta Jo putaron provincial, le representará con las razones en que funde su D. Pedro Fernandez de Castro , habiendo fallado el tribunal que se* agravio: si no fu s: atend do podrá acud r á las Cortes; pero si la di destinado por ocho afio* al hosp.tal de C.uta, recogiéndosele las licen putación provincial, bajo su responsabilidad, mandase segunda vez lle cias de…</t>
  </si>
  <si>
    <t>Castrón</t>
  </si>
  <si>
    <t>…r sobre la mesa el dictamen de la comisión de Co Sr. Cu vas. Total 133. mercio acerca del modo de compensar á la casa de Murphi y compañía En la tercera votación resultó electo et Sr. Castrón por 78 votos, de Lóndres del privilegio para poder introducir harina en la Havant, tenier. 11 cada uno de loa Sres. Romero y Ovalle, 5 el Sr. Prado, j el voto particular de los Sres. Jiménez , Mutfi y Roset. 3 o Sr. Infante, 2 el Sr. Flores Calderón , y uno c…</t>
  </si>
  <si>
    <t>…Becerra contestó que en ei artículo siguiente se hablaba de de todos ios partidos de «a provincia que 1.eoec coa »c. miento» ir.me aquellos terrenos; y en cuanto á la objeción del Sr. Castrón dijo que díalo, de los pueb os, creo que son chas ia» que deben tener 11 facul la comisión había tenido por conveniente dejar este asunto al aibiltío tad de aprobar csus cuestas. del Gobierno para que no se cometiesen abusos. El br. Buey pidió qce se leyese e…</t>
  </si>
  <si>
    <t>Casüereagb</t>
  </si>
  <si>
    <t>…ensiones id.................................. 71,715..15 gleses ; perqué ¡ cómo es posible suponer que teniendo presente la protes A obras de edificios de la Hacienda. *,500 ta de lord Casüereagb contra las doctrinas que expusieron las potencias A imprevistos................................... 473-379-J7 d&lt;.l Norte cuando ocuparon últimamente la Italia, hayan podido Al préstamo de xa de Noviembre abandonar sus compañeros el principio que dirigió enton…</t>
  </si>
  <si>
    <t>Casulla, Josef</t>
  </si>
  <si>
    <t>Josef Casulla</t>
  </si>
  <si>
    <t>…ber D. Joaquín Lumbreras, D. Julián de Fuentes, D- Valentín Recio, nadores y demts autoridades, asi civiles como militares y eclesiásticas D. Jatn Antonio López, D. Matías Casero, D. Josef Casulla , Don de cualqu'.-n ciase y dignidad, que guarden y hagan guardar, cumpór Gregorio Mndivil y D. Simón González Yu.te; y habida la confe y evci'Ur ei presente d er to en todas sus partes. Tendrcóta entendido rencia que previene ia ley de libertad de imprenta,…</t>
  </si>
  <si>
    <t>Cat</t>
  </si>
  <si>
    <t>…il. da. Aprobado. CORTES. La misma, en vista de la solicitud dd conde de Colchada, vecino -de Ant-quera, pidiendo se le admitiesen en pago de lanza* y de me iuhdkku bu St. Vaibbs (Don Cat*ta»o&gt; dias anatas vario* créditos que tema contra la Nación , opinaba &lt;¡w debía pasar al Gobierno para que la despachase con arreglo al decreto Seikm dtl sg. de $ de Noviembre de 18 jo. Aprobado. La comisión primera de Legislación, en vista de la consulta del…</t>
  </si>
  <si>
    <t>Catabafio, Luisa Gómez</t>
  </si>
  <si>
    <t>Luisa Gómez Catabafio</t>
  </si>
  <si>
    <t>…ixlendne para proceder contra los secretarios del Tratado del cultivo de tas flore* que provienen de cebolla, por D s,.. • , diputados á Cortes, consej ros da Estado, magistrados Doña Luisa Gómez Catabafio , altrmna del estudio de agricultura y drl tt I vinal supremo de Justicia y gef.s de los «géicitos de operacio botánica : obrita premiada con una corona de flore* en la fiesta cívica nes, qa dardo por consiguiente astas personas sujetas á las leyes v¡- que se…</t>
  </si>
  <si>
    <t>Cataban, Manuel</t>
  </si>
  <si>
    <t>Manuel Cataban</t>
  </si>
  <si>
    <t>…Hivana; y en at-ncion al donativo de ico® Ardila , D. Vicente Aparicio, D. Josef Parnés , D. Mguel Batalla, rea-s en metílico que ofreció pata las urgencias del Estado, le dispen D. Manuel Cataban, D Manuel Josef Calzado, D. Manuel Cruzado, saron rl tiempo de servicio con Real despacho que le falt-.ba para po D. Jos tí Castro , D. Francisco Capdevila, D. Euscbio Fslcbanez, Don der obtener la gracia de hábito en la orden de Santiago, bajo el con Francis…</t>
  </si>
  <si>
    <t>Catai, Manuel Estiban</t>
  </si>
  <si>
    <t>Manuel Estiban Catai</t>
  </si>
  <si>
    <t>…altanera •1 núm. *51 del Imparcial como subersivi, se reunió ei )ura J.t&gt;, com de esta corte D. Martin de Pineda á 31 de Diciembre último sin coa puesto de lo» señóte» siguientes. D. Manuel Estiban Catai, D. Ra tas , declarándose que la formación de esta causa no debe perjudicar fila món Llotd, D. Josef Larrcatcgui, D. Marcos M ñero, D. I-Vi ip; Ló bueña fama y opinión del coronel D. Pió de Falces, fi quien se le re pez Vald-moros, D. Josef Antonio Ponzoa, D.…</t>
  </si>
  <si>
    <t>Catal, Manujl Esteban</t>
  </si>
  <si>
    <t>Manujl Esteban Catal</t>
  </si>
  <si>
    <t>…ó recetas; y la 3/ D. Juan Antón.o I opez; t). Valentin Ruiz; D. Felipe López W- de las enfermedades, be vende en las librerías de Paz y eu ladeQuiroga, demoro; D. Antón o Seoíne; D. Manujl Esteban Catal &gt; ; D. Cavtniro á 18 rs. El autor avisa i los libreros de las provincias que si gustan Martin; D. Mat as Casero , D. Ramón l.lord, y D. Antonio Ke^as. comprar ejemplares por mayor y venderlos de su cuenta, se les hará la Habida la conferencia, resultó por una…</t>
  </si>
  <si>
    <t>Catalina</t>
  </si>
  <si>
    <t>…de Guevara como inmediata sucesora del vínculo que posee su herma que faltase para completar las cantidades asignadas si sus fondos no no D- Juan Carlos Ladrón de Guevara, y fundo Doña Catalina de alcanzasen á cubrir les ao millones; opinando que debía aprobarse esta Molina;, para que en el término de 15 días, contados desde este anun •d:cion. cio, acuda al referido juzgado por la escribanía de D. Josef Soriano El Sr. presidente anunció que mañana s…</t>
  </si>
  <si>
    <t>Catas</t>
  </si>
  <si>
    <t>…me de las co siste en »conceder el pase ó retener los decretos conciliares y bulas misiones , y aprobarlo. pontificias, con el consentimiento de las Cortes si contienen disposi El Sr. Catas: Pido te lea esa bula, ese decreto, edicto, ó como te ciones generales, oyendo al consejo de Estado si versan sobre negocioi llame ese papelote. particulares ó gubernativos &amp;c.” { A qué encatgar de nuevo al Go Kl Sr. Moreno: En el expediente no está: pero par…</t>
  </si>
  <si>
    <t>Catbonel, Jotet Gómez</t>
  </si>
  <si>
    <t>Jotet Gómez Catbonel</t>
  </si>
  <si>
    <t>de la publicación en la capital de la provincia del decreto de las Cor* Carvallo Guerra y D. Jotet Gómez Catbonel, presbíteros y vecinos tea de *8 de Noviembre ú'tisno, fiel mozo contrayente no había cum de Lora del Rio , ea Ja provincia de Sevilla , que por medio de su apo. plido la edad de ao afios al tiempo de casarse, conforme al art. 8." de derado en aquella ciudad…</t>
  </si>
  <si>
    <t>Cate, Josef de Im</t>
  </si>
  <si>
    <t>Josef de Im Cate</t>
  </si>
  <si>
    <t>Sevilla á D&gt; Oyetona Día del Oilillo, comandante de iifutelii Villas )y ea (matos aislados, y demasiado distante* míos de otros, no León á D. Josef de Im Cate» y Alcali, id. Han podido aun chocarse; pero desde el momento en que se aumente, Santiago á D. Ramón Taboada , id. te reúna y forme una masa grande y compacta en el país , loa choques Lugo i D. Josef Valcarcel, id. y convulsiones Serán inevitables. El Gobiern…</t>
  </si>
  <si>
    <t>Catetasó</t>
  </si>
  <si>
    <t>…aceta de ayer-) CORTE?. El Sr. Gómez Becerra: La idea de esta proposición me la dió el Sr. Flores Calderón, pues dijo su señoría que en la comisión había nxiiDSxciA bel S«. Vaibm ¿Don Catetasó). do* copias, y no concordaban entre si; pero las Cortes no se dctuv.VTon ff» obtírvacivt!, sin duda porque creyeren que ao debía emi tirse la palabra ñmea.atam-nte, porque era preciso entenderla dd mo Se leyó y aprobó el acta de la actenor- do que se entiend…</t>
  </si>
  <si>
    <t>Catitersc</t>
  </si>
  <si>
    <t>…tas, ca, Tarma , Guamangi y Cuzco , adonde se dirigía el general Laserna, Juan Lagothetes, Latnpros, bijo de Nacos; Dionisio Petracio , ^písiquedan :o man liando en Jauja el mayor general Catitersc. Todo el egér- don Patonsas, Jorge Paillas, Jorge Aenian, Jorge Hetiopulo, Anas ciio le bm Martin no pasaba de hombres de mala tropa, desnuda tasio Lidorice, Juan Condí», Sofero Daros, Constantino Suponas, y sm pagar, tu obstante las inmensas sumas sacadas po…</t>
  </si>
  <si>
    <t>Catktavo</t>
  </si>
  <si>
    <t>…ón CORTES. 41oque ecabsba de suceder, y é el rumor que había habido en las gale rías, no se reputaba ya «orno diputado de Corles, y que asi no volvería rxssiDUMciA nxi Sx. Vaidzs (Don Catktavo). mas el Congreso; pero el Sr. Fernandez Tomas le dió teles y tan con vincentes razones que pudo sosegarlo , y continuó en su asiento. SrtioH del |.° Se leyeran «los dictámenes de comieiones sobre los expedienta que Leída y aprobada el acta de la anterior, se…</t>
  </si>
  <si>
    <t>Catmer, Juan</t>
  </si>
  <si>
    <t>Juan Catmer</t>
  </si>
  <si>
    <t>1021 pueda propon» emola legislatura de aquel «lío cuento conduzca el fin de D. Juan Catmer y otro médico italiano. Aprobado. Cxpre.adq,” . La comisión de i nd io público opinaba que debía pasar i informe La cqmiVica presentó reformado el art. 54 en loa término» siguien de la junta nacn nal el espediente promovido por cl Gobierno sobra tes: n Del.mi…</t>
  </si>
  <si>
    <t>Catrera, Juan</t>
  </si>
  <si>
    <t>Juan Catrera</t>
  </si>
  <si>
    <t>…del teniente coronel capitán de dicho cuerpo pob'ación el comar.dartte de las compañías de voluntaros d.l p u ' D. Julián Rubio , de la primera compañía de vo úntanos del part.do D. Juan Catrera», y el coronel Macrath con una eompa-í» ríe -u con 40 plazas , mandada por su capitán D. Juan Bautista Roca, de la cuerpo , la p.eza de art Fur a y el rtsto de la caballería , quedo en .1 milicia voiuntana de S. Pedor con 45 hoonbr.s, á las ordene* de su po»c…</t>
  </si>
  <si>
    <t>Cattejon</t>
  </si>
  <si>
    <t>…tiese ó no sufria,.redujeron a la mitad la contribución del diezmo; y convencidas se extinguiese esta orden. igualmente Si la necesidad da estableces un centro común de recauda El Sr. Cattejon dijo que la cuestión consistía en un hecho notorio, ción y distribución crearon la» juntas diocesanas, encargándolas de es á saber, que en el mes de Junio del año último ve habían decretado tas funciones sin distinción aigun*. El catdcna! arzobispo de Toledo,…</t>
  </si>
  <si>
    <t>Cauga</t>
  </si>
  <si>
    <t>…res del ramo de la Gobernación, ñus acom sión , sobre el derecho de patentes. pañó á la secretaría de Guerra. El Gobierno tenia conocimiento de los A la de Ultramar se pasó la del Sr. Cauga para que se determine i¡ sucesos de ayer y de los de anteayer, de cuyas resultas había arrestado ya los Sres. diputados de las provincias de Ultramar que han reconocido la á algunos de los individuos perturbadores , y los había entregado á 1a independencia ha…</t>
  </si>
  <si>
    <t>Caula, Manuel Esteban</t>
  </si>
  <si>
    <t>Manuel Esteban Caula</t>
  </si>
  <si>
    <t>…sabed: Que Im Corte* han decretado I» En tn vísta se reunió el jurado, compuesto de los ssKores siguienus: ■iguie nte*. La* Corte*, usando de 1» facultad que te le* concede por la D. Manuel Esteban Caula ; D. Gonzalo Cárdenas; D. Andrés Mar Constitución, han decretado lo siguiente : i.3 La ¡unta nacional dei Cré- tínez Orinaga; D Pedro de Alvaro Delgado; D. Antonio Puigblanch; dito público procederá inmediatamente á la extinción de los crédito* D- Valentin de…</t>
  </si>
  <si>
    <t>CáUtráva</t>
  </si>
  <si>
    <t>…s criminal. Asi de niti- El Sr. Uraga hizo algunas aclaraciones respecto de las idea que ha un modo puede la c^mipon conformarse con que te añadan al ártico- bía manifestado; y el Sr. CáUtráva «matató 4 ella*. » las'palabra queha ‘indicado el Sr. Priego; porque creo que no hay El Sr. Zapata: Cuando Se discutió este artículo la primera vez maf necesidad de decir mps' fuo lo que el artículo ekprcsa. opuse á su aprobación, y la experiencia ha manifest…</t>
  </si>
  <si>
    <t>Cavaleri</t>
  </si>
  <si>
    <t>…á tomar en consideración el asunto, hagan una segunda declaración. Si está porque es sumamente claro. Otos insistieren en la primera , deberá el juez dar su sentencia y aplicar El Sr. Cavaleri: La pena pecuniaria de que se habí* eo este artícu _ la pena respectiva; pero podrá bajo su responsabilidad suspender la eje lo la considero de dos ¡rodos: ó como un resarcimiento de ios daño* cución , arreglándose en este caso á las disposiciones del código…</t>
  </si>
  <si>
    <t>Cavalerú</t>
  </si>
  <si>
    <t>…es de fincas en una represalias, y lo que exija de ias autoridades la seguridad pública.” inseguridad que no habían conocido hasta ahora, pues era el primer Art. 174. (Adición del Sr. Cavalerú) - Y no podrá volver á ob caso de esta especie que se había sujetado á los tribunales, estando bajo tener otro alguno, y sufrirá ademas una prisión de uno á cuatro afios; la inspección de los intendentea y de la junta del Crédito público. pero ti la persona e…</t>
  </si>
  <si>
    <t>Cave</t>
  </si>
  <si>
    <t>…, en r sta de la exposición d. II. R*fa*l dr Men colegio de Cádiz del mínate* o de Marina. doza sobre que se le permitiese cap talizar su pensión , opinaba que no Él sr. Val-fes ( D. Cave taño) expuso que todavía no Milu tiste, debia accederse a su solicitud por no haberse instaurado cu tiempo matirtdi li dirección de estudios, y creía qu: los cirujanos ce U «rau oportuno. Aprobado. da no d-hian d-pendrr de elia. Un pirroco del arzobispado de…</t>
  </si>
  <si>
    <t>Cavero, Ignacio</t>
  </si>
  <si>
    <t>Ignacio Cavero</t>
  </si>
  <si>
    <t>…rte El bridante batallón de milicia act.va de esta capital te halla ya mal v.st d *, pelo b.en cu za.ro&gt;, porque 1 ciaban zapatos de r-&gt;p t i. sobre fas armas; y su sargento mayor D. Ignacio Cavero le ha di Las tropas los iftu in por tod-s p-rie&gt;. Icti e-u. cc rc.de con o&gt; avi rigido una proc'ama digna de un ciudadano que tiene que v.vir ó morir sos que sin duda han mov do ai coronel Jiur-gur a dirigirse a A.z-ms, con el sistema. Los granadinos se glori…</t>
  </si>
  <si>
    <t>Cavetano</t>
  </si>
  <si>
    <t>…, Aguirra, Cartea, Apr; Fuent s del Rio, Deliran de 1. s, Luquo, Alvarcz , S qur ;i , Rome lo. vj te te derlar? ro dc'ben amorti/irse ¡2^ Trrrr.r-r'-z* a'c.'r^? ■}. c'ro, Valdcs ( D. Cavetano) y otros que decía asi: - Pedimos i ¡1- C ir pítjV's «* c ’rí,Gn.v:::e ro g'cer» ¿ ¿tt c -v-r :sn les que la representación de var os ciudadanos de Cid .* , stV ir-.ur, io iju^ I'’; p: :e c."o¿-z.i ¿z ío- c ,ar.fi •:t^ -t “ue aquel puerto sea declarado tranco…</t>
  </si>
  <si>
    <t>…el frente de m* batallona» p escuadrona» , detrae don dd ranas te» formeliAdre ya «editada» del parage donde ee eiiAaa Im insigo ia», p Im de cabellarla teadiáa en El Se. Vatdé» ( D. Cavetano ) biso «&gt;qunm otaatveciumi cebra la sillados m caballo» en Im piquete» de la compefita que hiciere esta dítono parte A asta articulo; y el 3r. prmidtnu dijo que no ctuado servicio con la bride pronta y la grapa pomur lo» toldarlo» catarán p«t«»nw ataguoo A te…</t>
  </si>
  <si>
    <t>Caveto, Ignacio</t>
  </si>
  <si>
    <t>Ignacio Caveto</t>
  </si>
  <si>
    <t>…Doa, espitan de infantería graduado da te Ser a á D. Josef María Araujo , com odante d.- infarlería. niente coronel y de la extinguida primera div.tum de granaderos pro Granada á D. Ignacio Caveto,comandante de infununa, vinciales , coa los 4$o rs. al mea que guza en provincia. Ecija á D. Juan Basson, comandante de iníaster a.</t>
  </si>
  <si>
    <t>Cavia, Alfonso de</t>
  </si>
  <si>
    <t>Alfonso de Cavia</t>
  </si>
  <si>
    <t>…ó De ¡a audiencia dt Extremadura. D. Estéban de Asta á Valencia. partida, corran libremente en las transaciones de la sociedad , en las D. Ignacio Marín Sánchez i la de Astúrias. D. Alfonso de Cavia á la compras de bienes nacionales y en el pago de contribuciones atrasadas, da Cañar .as. D. Pedro Porro Cidoncho, fiscal, á lado Valencia. con arreglo I lo mandado por las Cortes, del mismo modo que circu De la audiencia dt Gaiieia. D. Diego Alcalá Galiano á…</t>
  </si>
  <si>
    <t>Cavtniro</t>
  </si>
  <si>
    <t>…ntón.o I opez; t). Valentin Ruiz; D. Felipe López W- de las enfermedades, be vende en las librerías de Paz y eu ladeQuiroga, demoro; D. Antón o Seoíne; D. Manujl Esteban Catal &gt; ; D. Cavtniro á 18 rs. El autor avisa i los libreros de las provincias que si gustan Martin; D. Mat as Casero , D. Ramón l.lord, y D. Antonio Ke^as. comprar ejemplares por mayor y venderlos de su cuenta, se les hará la Habida la conferencia, resultó por unanimidad haber lu…</t>
  </si>
  <si>
    <t>Cay</t>
  </si>
  <si>
    <t>…en manos de segun Los suscriptores á ia obra titulada Ciencia de la legislación, escrita dos contribuyentes hasta dicha fecha de 1814, que te «xija la mitad en •tt italiano por el caballero Cay taño Fi'angieri, y traducida al caste metálico, y la otra mitad en vales y en créditos con interes , excluyén llano por D. Jaime Rubio, tircera edición, corregida , cotejada con dose también las transaciones; pudiendo la junta exigir para hacer afec el origin…</t>
  </si>
  <si>
    <t>…m d r :us armas cea cito , en cumplimiento de lo prevenido rn el art.71 de la ley organiza. esto» i a ¡-i.t r carne».-n a. medio qu: aerstumbran : tod.t ’»$ pu rtas El Sr. Valles (D. Cay taño): E. Gobierno está autor zado para se de a g-esia fu ron careada» de coffibust bles,,ssa .iam» y humo obli parar á los g'fes militares de sus destinos, pero de i modo que dsteimi- gó i L). bebast an F man ez a capitu ar , qu dando pr - o-ero con toja nan…</t>
  </si>
  <si>
    <t>…á su cciwu-.xn y Ci.-cusa. sente lo preven..1* er&gt; el r-g am-i.t - pita a milicia nac -.m! ¡oc.v. Art. jo. -'Cuando lai;.c .re A irj¿.n.ero comardir.fj de ura pla F.l Sr. Valdé» (D. Cay .-uno) d'jo que según lo man fesia :'n por za el que le suceda en ti manco, a.o.uiijúado d.l nucr de u a , fora’yunos Sr;s. preopinantes, parecía qu: e.tahan en ¡a int licencia que ia maiá mvccnrio de lo, p.1.1:», pr wt &gt;, re ac.oncs y d mas pap-iea nv.ocia i…</t>
  </si>
  <si>
    <t>Cay.uno</t>
  </si>
  <si>
    <t>…, o exten ella sí t.ubltce lo que ya han prescrito ieyc»; ) aunque la derse en otros términos. cofumon ro lo dijese , ya se sab * que d-bs subsistir «1 que no sj pu-Ei Sr. Valde» (D. Cay.uno). El articulo no está perfectarcant: d: } árjudicar a ios beredetos fcrzcwt</t>
  </si>
  <si>
    <t>CayclaonJ</t>
  </si>
  <si>
    <t>…tellos vicio, extraord.car.os; p.to no estab cr: u-.a ic^ta general de ranos sin formación de causa , y los oviles sí. que ocas ou* a ia Naciua muenos sa.¡ b. os. El bt. ’v aides £D. CayclaonJ, apoyando la idea de concede! n,‘* Al ¿r. Vaide, (.'O. Cayetano): E- artícu'o e*:a prrfctamenta rosa los in-iitiics , dijo que deba vcrin-ais: como cn la marina* *** puesto, p-&gt;rqu: da cu un Uou cn anu-og a c-n l. 1. rda *0 i. iqscio to es, conceder los ictir…</t>
  </si>
  <si>
    <t>Cayctaao</t>
  </si>
  <si>
    <t>…seguida hito varias observaciones acerca del estado en que se -hallaban muchos individuos del clero , á los cuales no les era muy con Habiéndose denunciado por el Sr fiscal al Sr. alcalde D. Cayctaao veniente el servir curatos , pi rque gozaban algunas pensiones, como $»- Rubio el nfim. 38 del Zurriago como subversivo y sedicioso, se reunió «edia generalmente con los secularizados, y porque, disfrutando una él jurado compuesto de losindivlduos siguientes!…</t>
  </si>
  <si>
    <t>Cayctaro</t>
  </si>
  <si>
    <t>…se autorizase á les ujur.t.ni crtos era necesario á favor dei sistema que felizircnt-' nos rige para suponer arbitrios á vanos puchos qu, carecían de dios, opinaba El Sr. Valdés (D. Cayctaro) opinó que el reenganche de que se que drbia accederse á esta solicitud. Ap o bailo. hablaba en este articulo debería ser solo por un año. Las comisiona» de Oorn rcio y M-r*na f &lt;ta Tiiu &lt;iel *xp-&lt;l:entfi El Sr. Grises contestó que no se podía expresar lo que…</t>
  </si>
  <si>
    <t>Caye</t>
  </si>
  <si>
    <t>…me Gil Ordnfia, D. Juan Rico y D. Francisco Belda y tución respecto de lo que previene en este asunto, no habiendo nada Asentio, en los cuales no babia ninguna dificultad: los del Sr. D. Caye mas propio en el Congreso que cerrar las puertas á todas las personas tano Valdés, sin embargo de haberse opuesto que no tenia los años do que por sus empleos sirvan en palacio ; pero que aunque era verdad que residencia pccscriptos por la Constitución ; pero…</t>
  </si>
  <si>
    <t>…los bre que la comisión presentase el proyecto de decreto que proponía de* cánones y en los decretos de las Co: tes* bia verificar el Gt-bierno; á lo cual contestó el Sr. Valdés (D. Caye Y otra del Sr. Munarriz, relativa á que la comisión de Premios pre tano), manifestando que la comisión estaba demasiado recargada de sente en todo el mes de Marzo del año pinruno un proyecto en que asuntos, y que nadie mejor que el Gobierno podía hacer esto. ci…</t>
  </si>
  <si>
    <t>…mil disputas entre los cuerpos del egército perma Oliver. nente y la milicia activa. Con este motivo se han expedido en diferen Después de haber apoyado el artículo el Sr, Valdés (D. Caye tes épocas muchas Reales órd. ms para collar esta» disputas en lo su tano), manifestando que no podía ser obj-'to del artículo ei que un cesivo; pero ..orno por do. ra.u estas órdenes en aquellos tiempos es teniente de un cuerpo fuese mandado por un alférez d…</t>
  </si>
  <si>
    <t>…las rón, Baño, Ai.Ion , Becerra, Osaile.y Sr. presidente. Oiligencias basta el termino d« 33 dia.i LLre :pi r.oy v. -;i 2*fj Los que desaprobaron fu.-ron los Sres. Surra , V.ldés (D. Caye político hub ese cotttiu do Su» d.Lgencra» a'.tus d; ist: te-nir o bari tano), Arguelles, Cuadra, Albear, F'alcon , Alava, Ferrer (D. An la entrega al juez, púa, es sabido que fij»nJ&lt;. -.i el , no por tonio) , Ko.et, Bastos , Alvar.z , Trujiilo, Torres , Meic…</t>
  </si>
  <si>
    <t>Caye, Pedro</t>
  </si>
  <si>
    <t>Pedro Caye</t>
  </si>
  <si>
    <t>…os que asi lo han hecho merece particular mención el di tro regocijo como participaron de vuestro» afanes. El júbilo, la alegría funto conde de Torre Arias, marques de Santa Marta D. Pedro Caye y el entusiasmo por las libertades patrias presidirán en esta hermosa tano Golfin y Colon, nieto del célebre descubridor del Nuevo Mundo, reunión. Unidos todos recordaremos la* gloria* de nuestra madre comnrít bienhechor insigne de aquelle villa, é incansable…</t>
  </si>
  <si>
    <t>Cayeli-</t>
  </si>
  <si>
    <t>…-nie .ti da excm -nc.s.” Aprobs-o. modo se les -sttmuiase á que asifti.se:. cccnsiuntcaiei.le. he snsp ndir&gt; -sta discusión , y sa nombró para ¡a comisión especial E- Sr. V» di» ( D. Cayeli- o) contestó que el articulo estaba en «obrs csn.ervacion de p ar.tios á ios s.'“voces Adan, lava , Lagascl, SU lugar, y qu: la rcspo.i,.hincad de qu: se trataba no deb a hacrrss Abra, Vlvaiz Gutiérrez , Gomz (D hlinu: } , y Bu. uaga. extensiva á los individuo…</t>
  </si>
  <si>
    <t>Cayeran</t>
  </si>
  <si>
    <t>…uque de guerra alguno armado &amp;e.” Art 5.fl « El Gobierno publicará inmediatamente una ley sobra Que t&gt; lo sucesivo ningún cjicial tfr. ■atura''zac on d extrangrros. Fl br. Valdés (D. Cayeran ) se opuso i que te aprobase la última Art. 6.a « Todos los griegos pueden ser propuestos para todos loa parte de este artículo, diciendo que no dependía absolutamente del ofi ímp'í os, sin mil preferencia que la d-l mérito. cial que estuv.rs - embarcado en u…</t>
  </si>
  <si>
    <t>Cayetano</t>
  </si>
  <si>
    <t>…do á la Diputa ción , no habían entregado sus poderes. ♦» F.ti el Espectador número 161 se insertó literalmente una exposición, Después de una ligera discusión dijo el Sr. Valdés (D. Cayetano) en que varios individuos del coniste.» uc C-diz culpaban al rmn steque ni él ni su compañero tenían empeño en votar , y por lo mismo era rio por no haber auxiliado con f .razas navales al Perú, Costafirme y inútil que la Junta preparatoria se ocupase en una…</t>
  </si>
  <si>
    <t>…na exposición de D. Luciano Antonio Escanti Navarro Tejeiro, González Aguirre y Saavedra. lla, electo diputado por la provincia de Extremadura, manifestando Marina. Sres. Valdés ( D. Cayetano ), Pumarejo, Sánchez ( Don que después de haber llegado á esta capital, el estado de su salud no le Juan Josef), Muro, Roix, Vega y Falcó. ha permitido presentarse en el Congreso; lo que haría inmediatamente Responsabilidad. Sres. Villanueva, Bartolomé, Salva…</t>
  </si>
  <si>
    <t>…etea examinar la memoria bida por ti Sr. eecretario acusarlos de soborno , cohecho, colusión ó otra prevaricación á que las de Estado. leyes impusieren alguna pena.” Sret. Valdés (D. Cayetano) ,duque del Pasque, Galáno, Herre Este articulo dio lugar á una corta discusión , pero muy acalorada, ra Bustemante, Musfi, tener y Ovalle. después de la cual, puesta á votación la primera parte del artículo, fue Idem para examistar la fue leydtl Sr. tecretar…</t>
  </si>
  <si>
    <t>…. que debía haberse hecho entonces era tacarlos de otra pane, cuyo pago fie levantó la sesión a las dos y media. no fuese tan urgente como este. ARTICULO DE OFICIO. El Sr.'Vaidé* (D. Cayetano) manifestó asimismo que era de ab soluta necesidad que se hubiesen pagado los 15 millones de rs., en ra- El Rey ha expedido el decreto siguiente: 1- zon de que los trabajos de ia marina no pueden sufrir el menor atraso, "» Para que podáis despachar con mayor…</t>
  </si>
  <si>
    <t>…que el Los Sres. que aprobaron la proposición fueron los siguientes : Infan tribunal de Cortes falló la causa á tu favor: por todas estas razonea te i Oliver, Salva, Frat, Valdés (D. Cayetano), Saenz de Buruiga, digo que el Sr. Escovedo no puede entrar en el egercicio de tus po Luque, Fumarejo, Demcnech, Somoza, Llórente, Rojo, Muro, deres hasta que se decida á su favor la causa que se le mandó formar. Ruiz de la Vega, Canga , Gil Orduña, Rico, Ba…</t>
  </si>
  <si>
    <t>…iados para este efecto aquellos Becerra, Oliver, Abreu , E-covedo , SegUcra, Marau , Alix, Alonso, que se hallen de asientocon su familia por espacio de mas de tres añ^s; Val Jes (D. Cayetano , Behran de Lis, I.íllo, Ruiz de la Vega (Bar y los que subsistan de algún empleo, facultid ú oficio que egerzan pu tolomé , Muro, Rio , Navarro Tejeiro, Murfi , Canga y hurra: » Sien blicamente en la corte, ya sean ellos mismos los que los desempeñen, do tan…</t>
  </si>
  <si>
    <t>…tranquilidad que ya empezaba á El Sr. presidente nombró para dicha comisión á los Sres. Castejon, turbarse; y asi el Congreso debe manifestar cuan satisfecho se halla de Valdés ( D. Cayetano), Seoane, Perez de Meca, Isturiz, Navarro la conducta de la milicia nacional de esta corte. La comisión encarga Tejeiro y Benito. da dé 'informar sobre el estado de la Nación debe tomar conocimiento A la comisión de Hacienda se mandó pasar una nota del minist…</t>
  </si>
  <si>
    <t>…l Congreso el indi Entró la comisión especial nombrada i consecuencia de los sucesos viduo que no teniendo sueldo alguno por el erario hubiese contraído de aper, y el Sr. Valdéa ( D. Cayetano) dijo : La comisión nombrada méritos para ello. por el Congreso para examinar los acontecimientos de anteayer , ayer Se acordó que pasase á la comisión da Legislación la proposición y hoy, fue á desempeñar su encargo aproximándose al Gobierno. Esta de los Sre…</t>
  </si>
  <si>
    <t>…los años 10 y 21 han merecido part.cular consideración del estos sucesos , y cuál es su origen. Gobierno cuando se han explicado con ideas conformes a sus m.ras, al El Sr. Valdés(D. Cayetano}, como individuo de la comisión : Ayer peso que h.inoa visto que ¡os que han estado en sentido contrario í pasamos al ministerio con los demas Sres. que fuimos nombrados, á aqu.lio, han sido desatendidos: Nosotros pues, queriendo precasrer que consecuencia de…</t>
  </si>
  <si>
    <t>…Calderón , López del Bafio , Becerra, Ovalle y Sr. presidente. cia de Madrid pasarán diariamente noticia por la secretaria correspon Lo* Sres. que le desaprobaron fueron: Valdés (D. Cayetano), Ar diente del Despacho de los individuo» comprendidos en este decreto á guelles, Cuadra, Albear , Taboada , Nufiez Falcon , Valdés Bustos, quienes hayan expedido pasaportes para trasladarse i sus destinos. 7* Alvarez, Trujillo, Herrera, Bauza , Meló, Rozct,…</t>
  </si>
  <si>
    <t>…el tesoro político para hacer feliz á España. cho en el acta, y que se.ponga en noticia del Gobierno. A la comisión de Comercio se mandaron pasar una representación £1 ar. Valdés (D. Cayetano) apoyó la proposición. de la diputación provincial de Guipúzcoa sobre que no se permitiese la El fir. Ferrer pidió que se; hiciese la. mención mas honorífica que entrada de una partida de hierro extrangero que había llegado al puuta ser pudiese de un desprend…</t>
  </si>
  <si>
    <t>…, y segundo si demostrado que no U hubo, Uno de la de Guerra sobre que no se conceda ei sueldo que soli se puedi prescindir de este ca,o. ht Sr. Ruíz de la Vega ha demostra citaba D. Cayetano .Mena , sargento mayor de inviiidcs. do hasta ia evidencia que en efecto no hubo elección, y la ley no quie Otro de la misma sobre qu: r.o hava lugar á deliberar acerca de 1» re que subsista un hecho que no se había verificado, aunque no fuera solic.tud de D.…</t>
  </si>
  <si>
    <t>…mente daspua hicieron los movimientos que La comisión especial nombrada aya, y compuesta de la Síes. Vilcreyeron oportunos: par lo tanto el segundo batallón de Astúria dase* dé» ( D. Cayetano), duque del Parque , Beltran, Batolomé, Canga 7 que de entrambos se forme un regimiento de infantería de línea con el Alaya para proponer á las Cortes el modo con que se habia de hacer, 6 título de la Constitución, consagrado é guardarla eternamente; deman de…</t>
  </si>
  <si>
    <t>…Hacienda pública, tira el todo de su hsbct Loe Sres. qne no la aprobaron fueron los siguientes: Prat, Valdés cuando no haya agricultura, cuando falte el comercio y este pérdida b (D. Cayetano),Cuadra, Albear,Taboada , Nufiez Falcon , Alvarez, Industria í Respondan si pueden é «tas reflexiones tan naturales como Trujilio, Meló, Roset, Herrera , Ferrar (D. Antonio), Bauaá, Do exactas los qbe saben ocuparla imprenta en sarcasmos y argumentos ri míngu…</t>
  </si>
  <si>
    <t>…nciativa que tiene el Gobierno , he examinado los dia Señores que no la aprobaron. rios de las Cortes extraordinarias , y no habiendo encontrado en ellos Prat, Argiielles, Valdés (D. Cayetano) , Cuadra, Albear. Taboa«ora particular, examiné el discurso preliminar de la Constitución pues da, Nuñez Falcon, Alvarez, Meló, Trujjlo, Rostí, F;t: (: ■03 to por un dignísimo diputado, y do él resulta que el Gobierno tiene Antonio), Bauza, Herrera, Rodrígue…</t>
  </si>
  <si>
    <t>…el 4.0 del que expidieron en t de .'ctiembreda 1820, Riego; y concluyó aprobando la preposición. ha determinado S. M. en Real orden de 8 de Febrero de esta afio qm El Sr. Va'dé» ( D. Cayetano ) &gt; No te puede privar ana v«w da ale loa extremos qoe incluye el referido art. 4.' derogado principiea 4 te&gt; gría sino en ciertos ceses, y «tos loa deben graduar laa autoridades; st ner efecto desde el día 8 de D ciembre del expresado año de l8ar. estas obra…</t>
  </si>
  <si>
    <t>…! ; Nos mesa, y se sefialó para su discusión la sesión de pasado mañana. Jumos de desentender de esto ó hemos de insistir en inculcar doctrinas Fueron nombrados los Sres. Valdés ( D. Cayetano ), Alava, du* generales y excelentes teorías que en la práctica no producen ningún que del Parque, Herrera, Latre, Arellano, Marchámalo y Becerra resultado ventajoso! para la comisión que ha de formar el código militar de procedimientos. En todos los estados…</t>
  </si>
  <si>
    <t>…rar las libertades pú que en lugar de las palabras no ¿oten diezmar diga no pertitmn ditzmo* blicas , y para dar la debida fuerza i la autoridad Real. d no ditzmm. El Sr. Valdés ( D. Cayetano) manifestó que deseaba saber de don Se puso á discusión el dictamen de le comisión de examen de Ca de había venido esta exposición á la secretaría, y si esta conocía la fir sos de responsabilidad sobre el expediente promovido por la diputa ma del conde de Mon…</t>
  </si>
  <si>
    <t>…exto terminante de la Consti to entendía en el asunto; y si él inutilizo la primera orden que kab.a tución. dado, esto solo prueba que conoció que habia obrado mal. El Sr. Valdés (D. Cayetano) : Ese mismo oficio del gefe político, Sin embargo todavía se quiere afectar una duda sobre que el gefe en que Is comisión se apoya, hace ver que no ha habido infracción de po! ítico ignoraba que el asunto fuese judicial , v se busca un ap. vo en ley ni de Co…</t>
  </si>
  <si>
    <t>…r ser objeto de la deliberación de las Cortes la conducta que este individuo tuvo en esta causa. Leída y aprobada el acta de la anterior, se mandó agregar ó ella el El Sr. Valdés (D. Cayetano) dijo: Antes de entrar en esta discusión ▼oto particular del Sr. Alix, contrario á la resolución de las Cortes, quisiera que se me dijese si la causa de que se trata se ha.la entestado por la cual se aprobó un impuesto municipal sobre los perros en les il de…</t>
  </si>
  <si>
    <t>…ión de saber las leyes, ó que no les obligan; pero esta aprobarse el dictamen que se discute. sola máxima era suficiente para trastornar el Estado. Los militares de El Sr. Valdés (D. Cayetano): No puedo menos de oponerme i lo ben saber las leyes, y estas les obligan coma á los demas ciudadanos: que se ha dicho, de que los militares deben estar .nietos á las leyes , y la ley j.J, til. a/’, bb. 3.° de la Novísima Recopilación está bien ter que una o…</t>
  </si>
  <si>
    <t>…denteriedad de las autoridades es el de la responsabilidad, y al mismo tiem Sres. que la desaprobaron. po impone á las Cotíes Ja obligación de bsc.rla efectiva; y yo me ad Valdés (D. Cayetano), Argíülles, Cuadra, Atvear, Taboada , Nu miro de que se trate de eludirla, y se hallen árbitros para ello. Voy iles Faicon, Muifi , Bustos, A. varez , Torre, Bauza, Meló, Herrera, pues á hablar de cada una de las persoms responsables que se nos pre Roset, Fe…</t>
  </si>
  <si>
    <t>…la ia- ’ en este tuvo el primero 68 votos y el segundo 66, y €n sn consecuen temada de los restos de ta marido, por hallarse esto* ca lugar sagra cia quedó electo el Sr. Valdés ( D. Cayetano ). do, donde no hay parage ninguno qne tea indecoroso. Aprobado. Se procedió á la elección de vice-presidente: en el primer escruti La comisión de Hacienda , informando sobre una exposición del di nio tuvo el Sr. Velasco 68 votos, el Sr. Castejon 65 , el Sr.…</t>
  </si>
  <si>
    <t>…ando el dictamen de la to el Sr. D. Andrés García, diputado por la provincia de Granada. comisión. Las Cortes quedaron enteradas , y mandaron pasar á la comisión de El Sr. Valdét (D. Cayetano), después da referir los incidentes Hacienda el acta de arqueo de la tesorería general practicado en el mea ocurridos con motivo del cargamento de fierro que ha dado ocasión 4 pasado. arte expediente, y los trámites que habia seguido este negocio, mani Se dió…</t>
  </si>
  <si>
    <t>…jr mea que cierto número de plasta que daban carácter de generales á 1*1 en fin asombra el ver lo que te necesita pera cubrir lo* gastos del egér que las ocupaban; y d Sr. Valdés (D. Cayetano) contesto que coaes- I cito , y basta decir que estrechando los gasto* cuento es posible , no se tea bebía bastante* pera que se aumentase el número de loe genéralo I puede d iminuir el presupuesto á menos de goo millones. Por otra par cuanto se quisiese, pue…</t>
  </si>
  <si>
    <t>…yó diciendo que debia aprobarse el dictamen de la mismas , aprobando la citada indicación. La actual comisión de Hacien comisión. da se conformaba con este dictamen. El Sr. Valdés(D. Cayetano): He pedido la palabra no para im Después de una corta discusión, se declaró no haber lugar i rotar por pugnar el todo de la proposición, pero sí parte de ella. La comisión 57 votos contra 47. mezcla en ella dos cosas que no tienen gran relación entre sí: est…</t>
  </si>
  <si>
    <t>…ndia, D. Francisco Traveseó», vas, Lasala, Vega, Castran. Falcó , Alcántara, Becerra, Jaimes, Gis- D. Miguel Dolz y D. Josef María Puente. Habida la conferencia, de bett y Valdéa (D. Cayetano). . _ , ,, clararon por unanimidad haber lugar á la formación de causa. Sres. que la desaprobaron: Oliver, Salvá, Prat, Saavedra, Muro, Habiéndose denunciado al Sr. alcalde constitucional de esta villa Buruaga, Domenech , Luquc , Somoza, Llórente, Rojo , Ruiz…</t>
  </si>
  <si>
    <t>…ués se veri si el tribunal supremo de Justicia es impruden Señores que la desaprobaren : te, y en fin sí es acreedor á todas las calificaciones que se le han dado, Benito, Valdcs (D. Cayetano), Arguelles, Cuadra, Tabeada, Fersin tener un verdadero motivo. rer (O. Antonio), Merced, Bastes, Alvar;; , Torre, Truidio, Meo, Las Cortea deben ser inexorable* para exigir la responsabilidad i Tat úo, Herrera, Btuzi , Sánchez, Apoitia, Black, Alcaide, Lamas…</t>
  </si>
  <si>
    <t>…unal de Ju.lieiu, en nriuj ue no Lab ir ac. piído que en toda la Nación se gastaban los 40. el juicio ele conciituc.oti D. lGjn.ií Feliu, imu stro que fue de ia Go Ei Sr. Vsldé» ( D. Cayetano): E toy muy distante de querer que bernación d; la Ih.nusuia, por las expresiones que dijo en ia se» on di los reguardo» se encarguen i la marina militar, porque esta jamas po 24 de Dicn.mb.-i último , relativas a dicho G-.prnis: y en vista del tes drá cumpli…</t>
  </si>
  <si>
    <t>…r oposición en el día 14 de Mayo á las Los Srrs. que le desaprobaron fueron lo* aignientet: Benito, Valdés lo de la mañana en la* casa* consistoriales. Los pretendier.t :s han de (D. Cayetano), Arguelles , Cuadra, Alvear, Taboada, Patifio, Nu- tener ademas del título de aprobación las demas calidades y circuns fiez Fa'con, Ferrer (D. Antonio), Bustos, Alvarez, Meló, Roig, tancias que deben adornar á los que profesan esta primera enseñanza. Bauza,…</t>
  </si>
  <si>
    <t>…ongo abiertamente á gar por ahora fuera de ia Península é iaias adyacentes.” Aprobado. las otras dos. Se mandó pasar á la comisión U siguiente adición del M. Buey: El Sr. Valdés ( D. Cayetano: ) He tomado la pa'abra porque reo 1» Pido que las Cortes declaren cuánto tiempo ha de durar ia visita de que la cuestión no te mira bajo su verdadero ponto de vista. Toda la tribunales ya decretada.” cuestiin ha girado sobre el gefe político y ei obispo, cua…</t>
  </si>
  <si>
    <t>…omisión de Hacienda so particular los canales que en lo sucesivo se abriesen por particulares. bre el presupuesto del ministerio de la Gobernación de la Península - El Sr. Valdés (D. Cayetano): He pedido la palabra en contra para en el artículo que quedó pendiente. ( Véase en la gactta de ayer.) fijar la cuestión. El Gobierno pedia siete millones para los canales: la El Sr. Belda manifestó que atendiendo 4 la grande utilidad de los comisión los de…</t>
  </si>
  <si>
    <t>…ncargada de examinar la memoria del ministerio de Estado relaciones familiares, es claro que deberán exc'uiise de la nómina de y Código de procedimientos militares al Sr. Valdés ( D. Cayetano y, y los desembolsos el de 14,000 rs. que ocasiona la oficina del grefier, con- para la segunda de Legislación y Policía al Sr. Oliver. siderándblos como pertenecí ntes a] pa ac'oepero no hay necesidad de Se procedió á la discusión del dictamen de la comisión…</t>
  </si>
  <si>
    <t>…pues como legisladores, y confese Sres. que desaprobaron la primera parte del dictamen: Prat, B:mos desde luego que la muerte es la que preparan los enemigos del sis nito, Valdés (D. Cayetano), Argiiriles, Cuadra, Alvear, Taboada, tema i los patriotas, y no extrañemos que la patria peligre si no cor Peleón, Valdés Bustos, Alvarez, Torre, Trujitlo , M-'lo, Roset, tamos este incendio. Ferrer (D. Antonio), Roig, Herrera, Bauza, Lod.ires, Black, Tor E…</t>
  </si>
  <si>
    <t>…á aquella ci udad da de la exposición de varios oficiales del egercito de Galicia en lugar de i pago dei 19Í por too que le cargaba la contaduría de Propio» en un del Sr. Valdés (D. Cayetano) al Sr Saravía. repartimiento de 5'“') y tantos reales , era de paric-r que este ezp.dienSe lepó un proyecto de decreto presentado por la comisión Eclesiás te pasase á la comisión de Diputaciones provinciales. Aprobado. tica sobre el repartimiento del medio d…</t>
  </si>
  <si>
    <t>…o. lero que vive en la orilla del mar, y tiene aa buquito con el cual pel ea una parte del alio. Extracto de tat noticien recibidas for los periódicos extranjeros. Ei Sr. VsJdés ( D. Cayetano) : Todo el mundo sabe que la matrí El punto principal de la paz ó dé la guerra en el Oriente no está aun cula en Espafia estuvo í cargo de la Armada; y aunque después pesó al definitivamente resuelto. El 10 de Abril llegaron á Viena pliegos deGon*. de los ayu…</t>
  </si>
  <si>
    <t>…de lo* cuales la mayoría de la comisión era de paréete Saladores'd; mar. que debían aprobarte. . J Se mandaron pasar á la comisión de Marina : una adición de los se Ei Sr. Valdés (D. Cayetano): He hallado defecto* no solo en elec ñores Torre y Airear al artículo 4.0 del dictamen de la misma comi ta de la elección, si no tambirn en la* cualidad** ó circunstancia» del susión, lefendo anteriormente ; y otra dd los Sres. Torre, Alvear y Ro g.-.to eleg…</t>
  </si>
  <si>
    <t>…las diputaciones provinciales ó por cualquie formación de causa al expresado regidor y al alcalde. ra otra autoridad de la provincia, sin necesidad de nuevo gravamen. Sr. Valdés (D. Cayetano): Me parece que este asunto corresponde k Los intendentes no tienen mas obligación que hacer el repartimien los tribunales de justicia y no i la* Cortea, pues según la facultad vito d.l cupo de contribuciones que corresponde á cada provincia; los ex •¿simaqut…</t>
  </si>
  <si>
    <t>…el pedestal, de modo que según el. orden de antigüedad de cada uno.” se presente á la vista una de las superficie* planas del libro. Esta insig Habiendo manifestado el Sr. Vsldés (D. Cayetano) que en la ma nia se colocará en el extremo de una asta, cuya longitud será de ocho rina ya no había batallones sino regimientos , el Sr. Infante, como de pies de Búrgos. y, su diámetro de una pulgada y cuatro lineas. En la la comisión , convino en que se dig…</t>
  </si>
  <si>
    <t>…ue resolvie ios cuerpos de caballería del egército con el mismo sueldo qne ahora se sobre aquel. disfrutan, y qu también pasen con sus mismos haberes lo* gefes, ayu El Sr. Valdés (D. Cayetano) dijo que no se oponia absolutamen dantes &amp;c.! i l’odrá ser conveniente extinguir un cuerpo que ha dado te á este proyecto, sino únicamente é que se tratase de ¿I mi nrras muestras de la mas severa disciplina y de su amor al sistema ? «Qué de no se disentiese…</t>
  </si>
  <si>
    <t>…e en mi concepto podria salvarse, esperando pa pugnaciones que te han hecho al dictamen. ra resolver este punto á que se presentase el proyecto de arréelo jl«. nue El Sr. VY.dés ( D. Cayetano) ha reproducido lo* argumentos del va guardia Real, en ■ * que podría el Gobierno colocar a muchos indi Sr. secretario, y opina que este cuerpo debe ser uno de lo* que com viduo* de dicha brigada, m.xune cuando por el momento no resulta pongan la guardia Real…</t>
  </si>
  <si>
    <t>…o un servicio activo , y por lo mismo no debía construir las dos fragatas que están en el as hacérseles rebaja alguna. tillero del Ferrol, y compra de maderas para El Sr. Valdés ( D. Cayetano) dijo que los oficiales que se hallaban el alio próximo.—.................. ....................... Rs. vn. 7.685,364 30 en los departamentos, si no estaban haciendo el servicio de plaza, ó no estaban ocupados en el arsenal ú otros puntos, estaban expuestos á…</t>
  </si>
  <si>
    <t>…s; porque si solo habia de haber un regimien tos debían considerarse como de servicio activo. to, s.empre resultarían economías, aunque no fuese mas que en la plana El Sr. Valdés (D. Cayetano) dijo que el :r. preopinante te habla mayr r. equivocado en suponer excedentes en la Marina; pues solo los bab a Ei Sr. Va’dés ( D. Cayetano) contestó que aunque hubiese do» •n la clase de gefes, entre los cuales no había ninguno que bajase de p acas mayores…</t>
  </si>
  <si>
    <t>…na militar para que limpiase de corsarios las costas, y » En el presupuesto de este ramo &amp;c.” diese convoyes á los buques mercantes; por lo que era preciso se la tu El Sr. Valdés (D. Cayetano) manifestó que la rebaja que la comi viese bien pagada, y se tratase de aumentar el número ds buques de sión proponía debía ser con arreglo al número de buques que debían giorra. Qu- ademas había que guarnecer con ellos las costas del mar tenerse armados, det…</t>
  </si>
  <si>
    <t>…ejo nombrará todos los años su presidente y vi-F.orez Calderón y Ovalle. . ce-presidente á pluralidad de vetos. Señores que desaprobaron el dictamen. Prat, Benito , burra, Va;de. (D. Cayetano), A retidles, Gil ée la Art. ao. "Nombrará ocho ministres; á saber: el archicanciHer del Cuadra, Alvear, Taboada, Nuñez halcón, Rose!, Infarte, Murfi, Bus* Estado , encargado de ias relaciones exteriores ; los ministros del Inte tos , Alvarez (D. Elias), Torr…</t>
  </si>
  <si>
    <t>…s cion para dirimir las discordias entre les autoridades económicas y gu qne había insinuado. bernativas, como porque la comisión t.‘hi» en su seno personas que te El '&gt;r Valdés ( D. Cayetano ) dijo que teniendo los ayuntamien nían conocimientos prácticos de lo que se trataba en el proyecto por tos á su cargo todo lo que se había expresado en el art. i.°, era menes los d catinos que habían desempeñado. ter ó que lo desempeñasen por sí, ó que se va…</t>
  </si>
  <si>
    <t>…designaban en ia distribución y recaudación del medio diezmo batidas pur el "r. Marau. y primic.a. Se ha dicho también que ya no existe la comisión; pero el regla- El Sr. Vaidés ( D. Cayetano) contestó que en el provecto de que nvn i) dice que la c. mis,e n qu - entiende de un asunto, entiende igual se trataba s; había propuesto ei medio , por e! eral se l.-virn que c,ra mente en cua quieta adición que se hiciere al mismo, es decir , que distribuc…</t>
  </si>
  <si>
    <t>…ue el teitimonio fuete lo meaot de judicadot en sus ascensos por la multitud de brigadieres do» facultativos, poique teyhabia verificado ea plpuiu ocasione» «1 ha j El Sr. Vsldys (D. Cayetano) dijo que lo* brigadieres podían ser ber bebido grande* alborotas ¿on motivo de tajiel dicho un facultativo ,destilados como hasta aquí £ tqai^o 4» regimientos ó al de plazas dcc. que habia fiebre amarilla £ otra enfermedad epidémica en un pueblo. como'ya se…</t>
  </si>
  <si>
    <t>…na conduc á las leyes ) la denuncia de un manifiesto de dicta diputaron a ia pro ta, y no estar procesados criminalmente.” vincia de Cádiz y á las demas de España. El Sr. Valdés ( D. Cayetano ) se opuso á que no se admitiesen ex— A la comisión primera de Hacienda se mandó pasar un eg-mp!ar trangeros en el egército, opinando que no era conveniente privar de se del acta de arqueo di tesorería general celebrado en 1- a l ma anuía. guir la ca rrera mi…</t>
  </si>
  <si>
    <t>…González Aguirre, faltando por consLultr.t; los Sr.s. Lamas y no tenían parte en su nombramiento. Taboada, que disentían de la mayoría de ia comisión. Se mandó im El Sr. Valdés ( D. Cayetano) dijo que se oponia al artículo por el primir. modo con que estaba extendido , y que seria mejor que dijese que en ioe Continuóse la discusión del dictamen de la comisión de Diputacio ocho primeros dias se hiciese un examen de las cuentas del depositario nes…</t>
  </si>
  <si>
    <t>…ículo, manifestando que tículo debían t&lt;-ner derecho á elegir el cuerpo donde querían servir. estaba ya aprobado en una disposición anterior del Congreso; y se opu El Sr. Valdés ( D. Cayetano) dijo que empezando el articulo * lot so á que te diese mas aumento á la rebaja, porque con él resultaría que voluntarios que no entren” no se expresaba bien claramente la idea loe soldados servirían poco tiempo, y no podrían adquirir la instruc principal, y…</t>
  </si>
  <si>
    <t>…os informes que sobre ote p_: art- 10 de las ordenanzas militar.s : el uno d: los Sres. Unges, Nú- daban tanto el Gobierno como la tocu-dad económica y la ccmis.on de Hez, Valdés (D. Cayetano) , Velasen, Vii ivieja, Aiix y ctros acho Agricultura , opinaba que s: p. d. ia acceder i e»ta solicitud , si no fu ra tes , y el otro de los Sres. G iroz, Ronn.ro y Areilano. por lo qu: se prevenía en ei decreto de a de CCtubr: de fiao; pero que Se mandó pas…</t>
  </si>
  <si>
    <t>…utaciones provin nifestar a dicii.i pres dc-nte. En las cap tute* de provincia lendr ciales. esta facultad e: alcalde primero, ponienioo en noticia dei ¿efe políti El Sr. Valdés ( D. Cayetano) íe opuso al articulo, manifestando co- Ademas toca 31 presidmte d r;g,r ,as s: sionts, disponiendo que ios que en cato de determinar las diputaciones provinciales celebrar su* negoc os s- tiaten por &lt;1 ord 1. mas conveniente, y que se observen ia sesiones en…</t>
  </si>
  <si>
    <t>El Sr. Val dé» ( D. Cayetano ) dijo que la rebaja de castro persona* J un dictamen de f* eomíateii de Marine acetes de un-a proposiciones por cada matriculado mas bies era beneficiosa que perjudicial en las de los Sres. Muro y R jo. provincias litorales, pues aunque era cierto que una ca…</t>
  </si>
  <si>
    <t>…Compartas Jijas dt presidios. Guerra y Marina, y el Sr. Canga dijo que debia reducirse i ella. Las compañías fijas de presid es cuestan á la Nación 3-139,573 rs. , El Sr. Valdés ( D. Cayetano) opinó que debía'decidirse ante todas que en opinión del cora-jo de Estado valen muy poco ó nada, puesto cosas en qué forma habia de quedar este tribunal para hacerle la asig que se explica de esta maneta: » En Ceuta hay cuatro compañías, y en nación correspo…</t>
  </si>
  <si>
    <t>…unda de política de la Monarquía.” Aprobado. bía variarse el verbo pasar, y sustituirle tajar. Art. 10. » Estas instrucciones se leerán á los soldados por los ofi El .ir. Va des ( D. Cayetano ) dijo que este artículo era muy nece ciales de su compañía en tos dias que se prefijarán en el régimen inte sario para el conocimiento del soldado, pues podia cumplir los año* rior d: los cuerpos.” Aprobado. dei servicio estando en una plaza sitiada; y no pu…</t>
  </si>
  <si>
    <t>…creia que el mérito de los militares no hr.bia querido admitir estipendio alguno. Aprobado. que la hubiesen proclamado en algunas provincias después de haberla ¿i El Sr. Valdés ( D. Cayetano) presentó una exposición de D. Plá jurado el Rey pudiese igualarse con el que habían cor (raido los bene cido Martin Sacnz , artífice platero y diamantista , miliciano nacional méritos de li isla de León y do la columna volante dei general Riego, voluntar.o d…</t>
  </si>
  <si>
    <t>…etenido no podrá estarlo mas de 34 horas; Romero y Sr. presidente. T que no pueda estar en la cárcel. La primera circunstancia requerida Sres. que le desaprobaron: Benito, Vatdés (D. Cayetano), ArvÜeen el artículo la cumplió el g-fj político , por cuanto se ve que en su llet, Cuadra, Airear, Taboada , Falcon, Roig, Alava, Murfi , Rey, oficio no calificó de prisión el arresto de Gippini , sino solo de deten Bustos, Alvarez (D. Elias), Torre, Trujit…</t>
  </si>
  <si>
    <t>…a; y pan su provisión se admiten debia admitirse en tu totalidad el proyecto de que te trataba. memoriales de pretendientes por término de 30 días contados desde es El Sr. Valdét (D. Cayetano) dijo que estaba muy conforme con la ta fecha. Palacio 11 de Junio de i8aa. comisión en la necesidad de fomentar la milicia nacional, cuyos servi cambios rn rl dia it de Junio de iS*». cios había tenido ocasión de presenciar por sí mismo; pero que no lo estab…</t>
  </si>
  <si>
    <t>…ediar estos incon nalmente , se sustituyese: Contri* quien se hubiere dado auto de prisión. venientes , limitándose i hablar de la propiedad, sin hablar nada acerca El Sr. Valdés (D. Cayetano) dijo que el artículo estaba bien re del trabajo que había debido aer uno de sus objetos. Con cate motivo dactado, porque no mandaba nada que fuese contra Jos decretos que re añadió que ponía en consideración de las Cortes que una multitud de gían sobre la ma…</t>
  </si>
  <si>
    <t>…uado de teniente coronel D. Manuel Sesé en ua yundo quisiesen hacer voluntariamente este servicio. pane del a de Junio comunica haber emprendido la marcas hacia Pon £1 Sr. Valdés (D. Cayetano) dijo que como miliciano podría en- tón s y Torreilat el a8 de Mayo , con el objeto de batir i los facciosos, (jrgatse á un juez de primera instancia la persecución de ladrones y en unión con el batallón de Barcelona. Antes de penetrar las ásperas ctios delin…</t>
  </si>
  <si>
    <t>…lara nacional la escarapela encarnada con orla ver hacia con intervención de lo* acreedores. de que u v&gt; el egército de S. Femando eni.J de Enero del referido alio. El Sr. Valdés (D. Cayetano) fue de parecer que la propuesta debía No te aprobó este artículo. dirigirte al Gobierno , y este pasarla á las Cortes. Se continuó la discusión del arreglo del Crédito público. El Sr. secretario del Despacho de Hacienda opinó que podía supri Art. i.a » Se ex…</t>
  </si>
  <si>
    <t>…enido presentes la comisión de los votos en la segunda.se suscitó una p-queña discusión er.fr i -s se D.visión del territorio español para decidir algunas dudas ocurridas en ñores D. Cayetano y D. Dionisio Vaidés y lo* Sres. Cano y Ternas, la demarcación de las nuevas provincias, h* acordó se remitiesen dichos y en teyú da se dec:aró no haber luzar i rotar. documentos. Se continuó la discusión del tegfamer.to de milicias. La comisión de Diputaciones provinciales prese…</t>
  </si>
  <si>
    <t>…eglamento de asi sucesivamente. Cada escuadrón tendrá un comandante teniente co 31 de Agosto. ronel, un ayudante capitán, otro subteniente porta-insignia , y un bri El Sr. Vaidés (D. Cayetano) dijo que las faltas de dicho reglamen gada. La piaña mayor comprenderá también un capellán, un cirujano, to no debían trasladarse á esta ordenanza , sino al cornario corregirse un maestro armeto, un mariseal y dos forjadores donde los haya vo por ella. En su…</t>
  </si>
  <si>
    <t>…a para hacer los repartos que se le encargaban. su empleo iba á cesar á los dos aros. El Sr. Canga contestó que aun cuando el Gobierno carecía de esta los Sres. Pumarcjo y Vaidés (D. Cayetano) hicieron algunas bre dística y aun de catastro, tenia otros datos que por ahora podían suplir ves observaciones, á que contestaron los Sres. raavedra y Zulueta; en en lo posible á estos. cuyo estado se tuvo ei asunto por suficientemente discutido , y quedó E…</t>
  </si>
  <si>
    <t>…lo* términos do alguno en la milicia local aunque manden las armas.” referidos para alterar los cupos respectivos de la contribución territo Los Sres. Infante, Saavedra y Valdés (D. Cayetano) manifestaron rial de consumos y casas, acomodando las cuotas de cada una a su po que este artículo estaba oscuro, y necesitaba aclaración, pues parecía sibilidad y ciicunstansias, se deberá conservar la clasificación de elloa, que si un cuerpo de miiicia nac…</t>
  </si>
  <si>
    <t>…po de que se restablezcan las virtudes de la libertad, franqueza y unión.” Oviedo, que mientras se mantuvo en tos inmediaciones de su diócesis Respecto de esta dijo el Sr. Valdés (D. Cayetano) que estaba con» estuvo siempre conspirando contra la i.onttitucton, ate parece qae no forme con la idea ; pero que aquí sa hablaba de convites, sin decir quién pueden menos de tomarlos en considaracioa los señores de la co los babia de pagar. misión. El Sr.…</t>
  </si>
  <si>
    <t>…istintas de las qu: tenían lo* Patentes según ia clase de fablación. ' individuos dtd ejército. Primera clase de industria de población subdividida en las especies Ki hr. Vaidés ( D. Cayetano ) dijo que esta no era mas que una or y ctases de repartimiento siguientes: denanza reglamentaria por lo respectivo al servicio militar; pero que Primera especie: ios mercaderes que compran y venden por mayor ademas el miliciano que por cohecho ó por otro del…</t>
  </si>
  <si>
    <t>…Habiéndose proedido i la e ecc.on empezando por la de un lefio* La comisión de Casos de responsabilidad, en vista de una queja de diputado eurnp o, resultó electo el Sr. Valdés ( D. Cayetano) por yí varios vecinos de Santander contra la diputación provincial y g.fe po votos, teniendo 48 el Sr. Gómez Becerra,7 el Sr.Salvato, a el aefior lítico, pidiéndose les exigiese la responsabilidad per haber cargado un Aura,y uno cada uno de los Síes. Baey y…</t>
  </si>
  <si>
    <t>…os pobres Je soletnnuJid, y .os rri:..tr:e&gt; tn ac cato del ait. 35. tivo s rvic.o ó r ti: -d&lt;&gt;«.” Art. 39. » Los sargentos y cabos de brigada se nombrarán del mis E. Sr. Vs'.nta ( D. Cayetano) h zo pres-rtí que s-r:.n et": - c t mo modo , á propuesta del comandante del batallen. ceb do el ari oU-o et ,ue d.spurs de haber seividv » »' ■' :r. a r: Art. 40. » Los capellanes, cirujanos, armeros y mariscales se nom c .. d i*mi de ser m iiciaro irles de…</t>
  </si>
  <si>
    <t>…l art. 339 de ta Constitución previene que las Sres. que deyprobaron el artículo: Prst, Benito, Sorra, Valdéa contribuciones se repartan con igualdad entre todo* los españoles, y (D. Cayetano), Arguelles, Cuadra, Alvear, Taboada , Falcon, Ro— antisocial, porque se trataba da eánb'ecer un nuevo estado dentro del st, \&gt;ava, Merced , Bauza, Murfi, Rey, Bustos, Alvarez(D. klías), mismo estado: por todo lo ciul opinaba que esta contribución se Torre, T…</t>
  </si>
  <si>
    <t>…entos consti pon? que no t n¿an ios individuos d? la guardia Real mas graduación tucionales. qu ■ la del empleo que desempeñen sin perjudicar á los individuos beno» El Sr. Valdét (D. Cayetano ) dijo que por este artículo no soto méritos qu ahora sirven en ella. quedaba la milicia nacional local bajo las órdenes y dependencia de los Se d ce qu: en la mayor parte de las naciones de Europa ae da od ayuntamientos constitucionales, sino que también lo…</t>
  </si>
  <si>
    <t>…Ferrol, liano, Meca, Pacheco, Ovalle, Luque, Muro y Lagasca. Puente las Bar jas , Gironda, Lobios , Barca de Cela, Maurrntan y Vir Sres. que le desaprobaron: Prat, Benito, Valdés (D. Cayetano), Ar ria del Bollo, que dice la contaduría de provincia no se habían recibi guelles, Cuadra, Alvear, Taboada , Faleon , Alava, Sánchez, Ros-t, do ni podido recibir: en la tercera las de Almería y Adra: en la cuarta I&gt;omenech , Buruaga, Infante, Murfi, Rey, Bu…</t>
  </si>
  <si>
    <t>…l de la fuerza armada para mantener ei orden y la tranquilidad; p ro no articulo deb. aprobarse. •é cómo puede suponerse que este artículo impide al poder egecutivo El Sr. Yalces (D. Cayetano): El artícu'o dice una cosa muy dife el disponer de esta fuerza ; pues siendo los gefes poóticos unos agentes rente de lo que se lia manifestado per los señores que le han apoyado, suyos, y pudiendo estos valerse del auxilio de la milicia local, claro pues qu…</t>
  </si>
  <si>
    <t>…spués de haber hecho varias refl-xiones sobre este asunto el sefiat mentar la deuda de la Nación, empeñando á la misma cada rez mas jr Infante, á las que co..testó el Sr. Valdés £ D. Cayetano), quedó apro mas, al paso qu&lt; los pueblos no podían pagar las contribuciones que bado dicho dictamen. pesaban sobre ellos: que la renta y emisión de estos 13 millones de Hab endo presentado el Sr. Cmga en la sesión de! a5 del comenté renta inscritos en el gra…</t>
  </si>
  <si>
    <t>…como llaman , á los parientes dentro del cuarto grado del nueve jueces de hecho, declararon no haber lugar i Id formación de mismo 7 sus hijos para que comparezan en el «ludio de D. Cayetano causa, siendo la votación, nominal la siguiente; Sres. que declararon Benedicto, abogado , vecino de la expresada ciudad, plazuela del To no haber lugar: D. Francisco de Paula Castro y Gómez, D. Josef ro , núm. 3, é presentar toa documentos que justifiquen di…</t>
  </si>
  <si>
    <t>…rrano, D. Juan Biutista del Rio , D. Francisco Javier Jimé completarte......La Cámara Alta había oido ya sin oposic on su prime nez de Bagues, D. Antonio Medrano , D. Leoncio Val, D. Cayetano ra lectura , cuando llega lor j Colchester , el cual hablando con la ma Puch, D- Manuel Sierra, E&gt;. Luis Cántense, D. Antonio Cebollero, yor vehemencia le dirige estas terribles palabras: » Vengo corriendo D. Mariano Gudal, D. Celso Píanzon, D. Juan Bucle, D.…</t>
  </si>
  <si>
    <t>…prescrita, cuidarán los capellanes que les asistan á la pellanes la de párrocos castrenses. hora de su mu- rte de interrogarles si han faltado á la sincera declara El Sr. Valdés ( D. Cayetano ) manifestó que era mas propio deno ción que debieron hacer cuando se extendió su filiación: y si manifes minarlos capellanes de batallón ,como se había hecho hasta aquí, y no tasen que no la hicieron verdadera, cuidará el que la asistiere , si pirrocos castr…</t>
  </si>
  <si>
    <t>…ulo debe variarse la parte ria pasase á .a comisión de Marina, para la cual fueron nombiados los que hace referencia á la provisión de capellanías en estos términos: Sres. Valdés (D. Cayetano), Primar.-jo, Vega Infanzón, Fa.con , Bau «Precedida la oposición de laminera que las Cortes han prescrito za , Roset, Abrcu , Soberon y Mura. c&lt; O re pe.to i la provisión de curatos 5cc.” F.I &gt;r. Adan dijo que desearía saber del Sr. secr»taro del Despacho oe…</t>
  </si>
  <si>
    <t>…cuando el retraso que pudiese haber en la elección ó ex que resultase empate podría manifestar su voto para decidirle. pedición «le lo» despacho» no era culpa raya. El Sr. Valdés (D. Cayetano) apoyó el artículo, fundándose en que El Sr. Oiiver impugnó el artículo por considerarlo conttario á los en todo género de corporaciones siempre había un medio de decidir los Intereses públicos, y añadió que ningún derecho daba la elección al empates, y el ma…</t>
  </si>
  <si>
    <t>…et eos gefes su 010, consultando en terna á ios sugetos que cons.deten ma&gt; dignos; periores." per i el coronel no procederá á dar á reconocer m poner en posesión de E&gt; Sr. Va'dés (D. Cayetano) manifestó que fu este tltu'o s- echa sus empleos a los el-g-do* hasta obtener aprobación del inspector gene ba de menos un articu o, en el cual se mandas: que iot gcf-s ant s do ral del arma.” Aprobado. tomar el mmdo que s* les hub -se conferido en un reeim…</t>
  </si>
  <si>
    <t>…ito el que nombrase el gefe que había de mandar debe aprobarte el ait culo di que se trata. interiñámeme el cuerpo que se bailase sin ¿1 , tstando en ei nii.mo dis» El Sr. Valdés (D. Cayetano): Este artcu'o adolece del mismo mal arito. „ que el anterior; quiero decir, que esti mal tedictado, porque se hace El Sr. leíante contestó que á pesar de que a! inspector era á quien uso de voces que no tienen el significado ni la aplicación que se les compe…</t>
  </si>
  <si>
    <t>…hasta qua se decidiese sobre la existencia de la cota que está rigorosamente observada! guardia Real. Supuesta pues la inoportunidad de esta «citación, la comidero El Sr. Valdés ( D. Cayetano ) dijo que esa cuestión no imptdia al también injusta: en efecto , querer obligar A las Cortea á que se some qua ahora aa aprobase el artículo. tan á un círculo tan estrecho como el que se traza por esta proposición, El Sr. Isturiz manifestó qua al artículo e…</t>
  </si>
  <si>
    <t>…ervaciones contra el ertículo, Pujol, abogado; y según *1 Diario de Barcelona se trataba de pri nder á las cuales contestó el Sr. Burtiaga. é algunos otros sugetos. El Sr. Valdés (D. Cayetano): Hace dos di** que estamos tratando __El ayuntamiento de Barcelona, deseoso de conservar los dersd.ot de I* cuestión mas extraña que te puede ver: primeramente te trató de Isoapreciebtes de sus vecinos, de defenderlos de las correrías de loe ca sí el egércit…</t>
  </si>
  <si>
    <t>…es á ios que pueden ocu'tir' 2 hi los ofi. a.e, o -nd - • -- d • I -- r i -r. v Sr, • Pomenech y Meca. que se hallen castigados ó separados de -.1- t-&gt;: 1 v - &gt;. 1 I I Sr. Yaldcs (D. Cayetano) manifestó que mientras existíala de la parí oqu. a don i; residan o de ia .i-tien-e. Y fi.</t>
  </si>
  <si>
    <t>…tado muy bien el Sr. Valdés, es mposibie que el caso de ncordar este proyecto dr código sanitario. se consiga, porque no se puede condenar á los hombres á morir ais El Sr. Valdés (D. Cayetano}: No he pod’do menos de tomar la pa lados real y efectivamente, como sucedería en este caso. Las precaucio labra en contra «Ir! pmy.cto, p&lt; rque le considero geor que el conta nes sanear,*» traen un terror, que es casi el origen fundamental de la gio , pues q…</t>
  </si>
  <si>
    <t>…-ia........................... ........ *5*.058. 671. 73 aprobante ei cargado &lt;!e recoger los quintos. Oíanse..-................................. 3^0,870. 8ji. 81 E. S . Val des ( D. Cayetano) indico que r o podía tardarse en ha Oviedo.................................. 367,501. 979- 39 cer el reemplazo ei tiempo que había dicho el Sr. Becerra, porque las L aléñela................................. 118,697. S43 97 m ¡m.s d.iposicic.net y el mismo ti…</t>
  </si>
  <si>
    <t>…burlada enteramente, al menok podría ser Los sefiores que dcstprobaron la medida fueron los siguientes: entorpecida. Ademas mediante que toda nación cuanto mas libre sea, Valdés ( D. Cayetano ), Arguelles, Cuadra, Albear , Taboada, hal roas txp. d.ta y franca deba ser la acción del Gobierno para con loa em cón, Alava, Bustos, Alvarez ( D. Elias), Roset, Torre, Bauza, pleados , es indispensable qua las Cortes concedan al poder egecutivo la Roiga Me…</t>
  </si>
  <si>
    <t>…rmes de la diputación provincial y gefe político bastante extensión; y yo únicamente me limiiaté á dar algunas otras pueda suspender &amp;c. razones que lo corroboren. El Sr. Valdés ( D. Cayetano) pidió que se votase el artículo como Razón será que diga que es un hecho notorio y conocido de to lo había propuesto la comisión, ó que se volviese i abrir nueva dis dos, y que por una desgracia cuyo origen es muy fácil de conocer, cusión. los ayuntamientos…</t>
  </si>
  <si>
    <t>…r tres ni .srs , pues en mi concepto Los Sres. que la desaprobaron fueron los siguientes t Surra , Vales suficiente término para conocer los efectos que puede producir. y pu- des (D. Cayetano), Arguelles, Cuadra, Airear, Taboada, F íleon, d endose prorogar en el caso da que estos fuesen favorables. Asi pues Alava , Muro, Infante, Bustos, Alvarez (D. Elias), Roset, Torre, me dirijo á ios sres. de la comisión para que se sirvan adm tir estas mo Trai…</t>
  </si>
  <si>
    <t>…rogaría que la «iigete, ver y reemplazar en propiedad díscrecionalmente álos gefe* militares.” debiendo tenerse á la vista qu; el consejo de Estado, que es el que ha El Sr. VaMes (D. Cayetano) preguntó qué era lo que quena d-cir ce la consulta, debe reunir mayor número de datos que no el Gobier la palabra diicrechnalmrntt, porque el Gobierno se hallaba autorizado no. Permítaseme este desahogo; yo creo que se ha tenido al i.onscjo de para hacer tod…</t>
  </si>
  <si>
    <t>…r al acta los votos particulares de mente tenia, y si fu se militar se te recogerán los despachos.” los Sres Prado , Taboada, Escudero, Alcántara y Lapuerta, contra El Sr. Valdés (D. Cayetano): En la milicia jamas ha estado un rios á haberse admitido á discusión la proposición del Sr. Alonso, y militar autorizado para no admitir el -destino que se le confia por el de tos Sres. Prado y Lapuerta, contrarios á la aprobación de la me Gobierno, pues lo…</t>
  </si>
  <si>
    <t>…lo que puramente necesitaba pata siete meses , y tada , era preciso se 6 ¡asen los 2400 rs. que ¿1 seria de opinión se le diese para nueve meses, pues podría versa El br. Valdés ( D. Cayetano ) dijo que se debía dar sobre este pun eo circunstancias en que necesitase mas, y no tuviese de donde sac ¡rio. to un aumento al Gobierno, pues luego presentaría sus cuentas, y si le El Sr. secretario de Hacienda contestó que el Gobierno contaba habían costad…</t>
  </si>
  <si>
    <t>…eer los artículos, en los cuales no se ha estos empleados son amovibles. Aprobado. llaba esta palabra. En cuanto i la del Sr. Gómez Becerra á la misma medida , para El Sr. Valdés (D. Cayetano); No me opongo á este articulo , sino que después de la palabra apuntamiento se añadiese &gt;7 precediendo la al modo ccn que está redactado, porque no expresa b en ia id:? iU: imposición de multas proporcionadasera de opinión que no debía contiene, bi artículo…</t>
  </si>
  <si>
    <t>…e. de que en lugar de las palabras • serán juzgados” se sustituyan » serán Aprobado. turoisdos.” Asimismo opinaba que debía aprobarte lá del Sr. Septien al art. 4.° Ei Sr. Valdés (D. Cayetano): Hs pedido la palabra contra este ar sobre sociedades patrióticas para que se aliada después de la última pa tículo , porque aunque está arreglado á las leyes, no es un artículo de la labra: » renovando loa aviso* á las autoridades prevenidas en al art. i.M…</t>
  </si>
  <si>
    <t>…ue si son casados el haber de llevar en su compañía á su mu dadanos , lo que no creía justo. ger y familia entorpece las marchas del egé'cito: el Sr. Infante ha con El Sr. Valdét (D. Cayetano): Este artículo va conforme con la testado á este inconveniente que no te permita que vayan la muger y ley orgánica del egército que está vigente. Las disposiciones de la ley familia: se dice que esto no es fácil que pueda remediarlo el g n ral ó orgánica ant…</t>
  </si>
  <si>
    <t>…Sr. presidente. . Circular del ministerio sobre persecución de desertores. (Gace Los Sres. que opinaton no babia lugar i votar fueron los siguien ta del s6.) tes: Surrá , Valdés ( D. Cayetano), Arguelles, Cuadra , Airear , Ta- Circular del ministerio, en que se adoptan algunas disposiciones para boada , Falcon , Alara, Murfi , Bustos, AI varee ( D. Elias) , Roset, formar el presupuesto general de los gastos del ramo de sanidad. ( (sa Torre , Trufi…</t>
  </si>
  <si>
    <t>…a ción , mediante la mayoría de los partidos que la componen. arreglo á la ley de 11 de Setiembre. Los pueblos del mediodía y del oeste de la Europa piden Constitu El Sr. Valdé» (D. Cayetano) manifestó que había disposición-* ciones libres y Cortes nacionales ,y loe que Dios ha hstho responsables tomadas pata la subsisteacia da los presos, y no para la de los deteni del poder que egercen no quieren permitir que las haya, de lo que te si dos; y qu…</t>
  </si>
  <si>
    <t>…constantemente en aec.on brado lo que se le había sefiaiado; y asi no apruebo el dictamen. pata hacer afectivos lo» Jtra;o» que ia habido en ei cobro de las cor.tr.El Sr. Valdé» (D. Cayetano): Lo que se señaló al ministerio de buciones; y todos sab en que efectivamente se Ha ccb a lo u a canti Marina para las atenciones de este ramo en el año económico fue dad respttabla, pur» qu; a hemos visto en los a-.tacoi. : Por que pu:s el tan poco, que las…</t>
  </si>
  <si>
    <t>…e aumentaba podía verse en el estado núm- 1." que había presentado pos.c on de; tr. imt ." «I Gob ierro. H or. E . i.s Ca derón: Sin embargo de que !• comisión ha rxEl Sr. Va'Jes (D. Cayetano) manifestó qu; la cuestión se reducía c ptuajo a au.uc.os de lo. ind.v;dv.&gt;.. compren de o* en la ajic n, i autorizar ..1 Gobierno para que pudiese comprar aquellos buques me su d .tira; r. no pr.s. nta tota, las garar.t s qu* yo descab: tuv-es n ios nores qu…</t>
  </si>
  <si>
    <t>…onsiguiente habré una dose esta necesidad, creo qu* deb* aprobarse el d:ctam:n de la comisión. imposibilidad de que están hechos para esta época aquellos presidios. El Sr. Vsldé* (D. Cayetano}: En este artículo no se dice que se El Sr. Romero insistió en la necesidad da que so establezcan estos puedan allanar las casas de los españoles, porque en este casa claro es presidios, poique de otro modo serán ilusorias las panas establecidas que al que se…</t>
  </si>
  <si>
    <t>…ue hubiese de aplicarse el sobrante de la renta el dictamen de la comisión por 48 votos contra 41, y se acordó qus de correos ai ministerio. volviese i la comisión. El Sr. Valdés (D. Cayetano) insistió en que las Cortes lo habian Duodécima. Para continuar las obras de los canales que se crean mas decretado asi. ¿tiles se concedieron tres millones en el presupuesto ordinario. Aho El Sr. Melendez expuso que los canales y caminos ademas de ser ra pid…</t>
  </si>
  <si>
    <t>…:r. , on en pues que en Inglaterra , según varios estatutos , y aunque no los hu esta p.rie. biera , estando como está el gran jurado en la absoluta libertad de bus E. Sr. Valdet (D. Cayetano) mamf-.tiS, que era preciso «d er nr t rcar por todos los medios imaginables la verdad en algunas causa,, y m r.i'ilrmral: qje el min.ster.o de Hac oda pu» -e o - ,-j-q cuando los acosados lo sotic Un, se les ptrm le presentar testigos de de ii G b.rrt.ion d-…</t>
  </si>
  <si>
    <t>…xcederse de cua Lugo, acerca de varias dudas sobre la aplicación de los prófugos apre tro años. hendidos por los ayuntamientos, ó por alguno á quien hubiese cabido El Sr. Vatdés ( D. Cayetano ): Si se dice que estos individuos ra la suerte de soldado. se han servido resolver que en el primer caso sea yan i servir i la tropa de marina , no me opongo; pero si es á la mari declarado libre el mozo llamado para sustituir al prófugo; pero ai aquel nería…</t>
  </si>
  <si>
    <t>…no, le han impelido, casi mal Los Sres. que dijeron haber lugar á votar fueron los siguientes: Surde su grado, á rem.tir á las Cuites ia exposición del ex-secretano Ga rá, Valdé» (D. Cayetano), Arguelles, Cuadre, Albear,Taboada , Burelly. Esta fue presentada en la secretaría de la Gobernación , y en ella ruaga, Faicon, Alava, Feirer ( D. Antonio), Domenech, Muro, Li« pretendía del Gobierno, no que le diese protección, sino que declarase Lo,Infante…</t>
  </si>
  <si>
    <t>…ropiedad es- egercicío de esta gracia desde su publicación con respecto 4 la» expedi paño, a. ciones de la América septentrional, el de 18 meses para las da la Amé Ei Sr. Valdjés (D. Cayetano): El dictamen ds la comisión está per rica meridional; admitiéndose los buques arribados en el intermedio de fectamente arreg’a.to, concillándose por él todos los extremos que pue loe dos plazos con arreglo al decreto citado de 31 de Enero último.** de li.ib.…</t>
  </si>
  <si>
    <t>…erece una mugar; y asi, » los tengan en países extrangeros,” en lugar de las palabras » y ten no creo yo que el Congreso apruebe este artículo- gan hijos en ellos.” El br. Valdés (D. Cayetano): Aunque he tomado la palabra en pro El Sr. Nufiez Falcon : El artículo debe generalizarse mas , porque del artículo , no estoy conforme con el modo con que es ti redactado, puede un militar español ser destinado 1 América, y en el viaje arribar pues debe ten…</t>
  </si>
  <si>
    <t>…a,to, de la glcr.a militar francés. : b.en es que d--b* decirse lo hagan en papel sellado. verJ, í que coin , e-ti es &lt;■ parecer coa optraciwn pacifica , nt se nece El Sr. Va'dé» (D. Cayetano): El militar se halla muchas veces en sitan pon tgvcularla AníLcbs n Es.:tirr¡es. un país txtrang-ro luciendo la guerra, y no encuentra ni papel sellado — le remo, not:.':», na *. icna hasta c lo , y de la subida de les féti tu (Punco, y tiene qur hacer su te…</t>
  </si>
  <si>
    <t>…será el que avetigüe si un militar ha pretendido ó no el mando citan sujetos. de gefe político ? El Sr. Infante dijo que los militares podían hacer testamento cuan El Sr. Valdés (D. Cayetano): Cuando el Gobierno quiera poner á do estaban con alguna tranquilidad, ú cuando estaban en combate, ó un militar de gefe político en una provincia debe tener una completa preparándose para entrar en él ¡ que este artículo se refería al primer ca libertad par…</t>
  </si>
  <si>
    <t>…se trata eu el termino de 18 mes» qua aquella los hay en castigo de sus rapiñas. está concedido. Declarado el punto suficientemente discutido , quedó aprobado este Eli Sr. Vaides (D. Cayetano) dijo que los apoderados resident** ea punto. M¿¡ co teman no solo que hacer las expediciones, s ao lamb.en qua La comisión opina por íiltimo que las Curtes no debian hacer no recibir las ordenes al efecto; para lo cual se había da pasar bastanta vedad alguna…</t>
  </si>
  <si>
    <t>…aba de exponer el su fuerza. estos caballos aumentasen Sr. Valdés El Aquí se trata únicamente de si te de Sr. preopinante , d.-bo hacer presentes Us diversas interpretaciones que (D. Cayetano) be hacer una requisición de caballos ó no. Todo el mundo sabe que la se han dado'al decreto que ha citado S, S.: tan diversas han sido, que en unas partes no se cobra nada de los arbitrios de que se trata , y en requisición es muy onerosa, y por tanto solo s…</t>
  </si>
  <si>
    <t>…tambores, cornetas ú trompetas de su cuerpo, cu ios térana.s explica Ei Sr. Infante dijo que podría aument»-»; en el artículo. dos en los artículos --nteced.-ntes. El Sr. V«!des (D. Cayetano) : En cu,,,lo a ia Concepc on no ha y Sul.l.tJo , tambor, corneta , tromreta &lt;S rífano. mas declaración para que sea con, aerada como patrona ce hsp»f.a que Art. 6 5. » A cuit-juier individuo de estas ciases acompañarán se i» la que h.zo Cario» nt cuando in.t…</t>
  </si>
  <si>
    <t>…dei comandante chos debajo del alcázar (tumb.en con pavesa das), extendiéndose lo mas del buque. que sea posible con el fin de proporcionar la comodidad que sea da El Sr. Valdés (D. Cayetano): Na trovo inconveniente en sp'obar ble, sin perjuicio del estado militar d=l buque. la primera parte del articu.o; pero si ía según Ja , . erque toda tropa de Art. 5.0 «Desde capitanes inclusive hasta la clase de subtenien trasporte debe estar á Jas órdenes…</t>
  </si>
  <si>
    <t>…parece que hemos de dejar las facultada de Los Señores que la aprobaron fueron los siguientes: Surrá, Valdés las Cortes eonfund rfis con lis del trono, por tumor de entrar en una (D. Cayetano), Arguelles, Cuadra, Albiar, Taboada , Falcon, Ala discusión prolija. Toda» ¡as razones qu- acaba de manifestar e. Sr. Fal va, Ferrer (D. Antonio), Murfi, Bustos, Alvarez (D. Elias), Roset, có se dirigen a probar que r.o d;b: aprobar,- ta proposición pnr el T…</t>
  </si>
  <si>
    <t>…ad á cuanto ficación deberá hacerse por los gefes á quienes corresponda.” Aprobado. exponga.” Art. j.” •&gt; La anticipación de las gratificaciones de mesa ó personal ti fir. Valdés (D. Cayetano) impugnó este artículo, manifestando se satisfarán á todas las clases del egército con total igualdad á las de que no debía existir en las ordenanzas del egército, y que correspondía la armada nacional en sus respectivas graduaciones, cito es, la misma mas bi…</t>
  </si>
  <si>
    <t>…atender á tu puesto en el momen saria de jabón, el que se distribuirá en los dias de lavado. to , teniendo presente al hacer esta d.stribucion el no poner sobre cu El Sr. Vaidés ( D. Cayetano): supongo que la comisión será da bierta mas gente que la que sea necesaria para el servicio de los caño parecer que ci jabón que se use para el efecto indicado en el artículo sea nes y maniobras , cuando la distancia del enemigo sea mayor de tiro de de la mi…</t>
  </si>
  <si>
    <t>…Barcelona, Fr. Domingo d: otros fines siniestros , por lo que seria muy importante cate articulo. Sabadell, Fr. Antonio Sabadell, Fr. Gervasio de Villanuava, y le¡ El Sr. Valdcs (D. Cayetano) sa opuso al artículo, diciendo que lago* Fr. Joaquín de Sitgsa y Fr- J-iim# de Vich; pero estos indivi. no debía detenerse á un individuo de un pueblo que teniendo todas sus dúos, sustanciada y finalizada la cauta, han» sido declarados lncc*nt« j relaciones…</t>
  </si>
  <si>
    <t>…an de aque Después de una ligera discusión se acordó volviese i la comisión llo* comestibles que según tos inteligentes no les puedan dañar.” para que lo reformase. El Sr. Valdés (D. Cayetano) manifestó que el facultativo no puede Art. 18. » En tiempo de calor te hará que las mangueras esten tener otra obligación qus la de hacer presente al comandante los peli constantemente colgadas para renovar el aire en los entrepuentes; 7 á fin gros que puede…</t>
  </si>
  <si>
    <t>…en preponer justa queja de dichos capitanes produzca el juicio competente.” después de los gefes y oficiales del estado mayor al vicario gen-ral ; y si A propuesta del Sr. Valdés (D. Cayetano) convino la comisión en ha puesto antes del cuerpo de ingenieros al de artillería, no La sido sustituir en el artículo en lugar de las palabras » que si bien el capitán con el objeto de darle la preferencia; por lo demas la comis on no del trasporte no tiene…</t>
  </si>
  <si>
    <t>…dia lo* trasportar sus equipages, y que loe de la mugar de Mat.florida habían hubieren solicitadopasado ya á aquel reino; que al mismo tiempo manif.sto en el regis El or. Valdés (D. Cayetano) se opuso j este dictamen , fundándote tro de Francia el tanoneht Crenx &lt; son sus palabras) una considera en que por él quedaban los sargento* privados de las ventajas que por ble cantidad de onzas de 0:0 que enviaba ¿ aquel país pira poder pa el d creto de :…</t>
  </si>
  <si>
    <t>…ncepto tos distribuirá cou aprobación d-i general en gefe en las se dirijan é sus destinos.” divisiones que se formen ; entender* en lodos ios recursos que h.cierca El Sr. Valdés (D. Cayetano): Yo no veo qué utilidad podrá re é ia superioridad, y por iu conducto dirigirán sus instancia». sultar de que el general en gefe haya de proponer por terna el grfe del Art. ” .Tendrá también -1 sus mmearatas ordenes los cuerpos de estado mayor del egército.…</t>
  </si>
  <si>
    <t>…ctamen sobre la memoria del ministerio de Ha Se procedió á la discusión del presupuesto de Marina. cienda, en donde proponía el modo da hacer afectivo el déjicit ge El Sr. Valdés (D. Cayetano): fie pedido la palabra en contra, no neral. para oponerme á que se conceda al ministerio de marina la cantidad El Sr. Nufiez Falcon hizo varias reflexione* sobra el dictamen, mani de 10 mi Iones, sino para oponerme al modo con que se le conceden; festando qu…</t>
  </si>
  <si>
    <t>…el estado de sitio-. t.° para hacer sa no me parece admisible el artículo que se discute. lir las bocas mótiles, los extrangeros y las personas sospechosas: i.° pa El Sr. Valdét ( D. Cayetano ). Si las Cortes me lo permiten con ra hacer entrar en la plaza ó impedir la salida de los operarios, mate testaré al Sr. preopinante. riales y otros medios propios para los trabajos defensivos, y los gana Dice 5. S- que una bota antes de acercarse el enemigo…</t>
  </si>
  <si>
    <t>…el artiemo se di.be bido por D. Mart'n Aramburu , que sa ió el 11 de Junio del Cal ao, desaprobar. qua dejó el mando el marques de Torre-Tagle (hty ma-qu-s de Truji£1 Sr. Valdés (D. Cayetano): La plaza de Cádiz , que acaba de ci llo), y que lo obten an los tres ministro* Monte- A;udo , Guido y tar el Sr. preopinante, es precisamente á la que nada puede importar Unanos, y Alvarado continuaba en el mando del egerc to. Qu d ,ba en la aprobación de e…</t>
  </si>
  <si>
    <t>…algún propio para el aviso de la venida del para poder desempefiar este encargo con toda exact tud. egecutor, se le abonarán a. rs. por cada legua de ida y vuelta. El Sr. Valdés (D. Cayetano): El artículo esta bien redactado, por 13. «Todos los gastos expresados en los artículos anteriores se que es imposible explicar en él con individualidad todos los casos ea pagarán del fondo de penas de cámara; pero se reintegrarán de los bie que el general e…</t>
  </si>
  <si>
    <t>…nos que no defensa y del sitio." tuviesen medios para hccer los acopios para el tiempo ser. .¡ado. Quedó aprobado, poniendo en lugar de las palabras á la vista laa El Sr. Valdés (D. Cayetano): El tiempo que prefia la comisión, siguientes: á su vista, i petición del Sr. Valdés (D. Cayetano.) durante el cual deben estar provistos d: víveres los vecinos que quieran Se aprobaron los artículos siguientes: continuar residiendo en una plaza sitiada, es…</t>
  </si>
  <si>
    <t>…» Si mere é reconocer lat obraa exteriores, sea de dia ó la entrega de la plaza, ó el gobernador. de noche, observaré indispensablemente que el teniente gobernador £1 Sr. Valdés (D. Cayetano) dijo que la mente del artículo era qna quede dentro de la plaza , pues nunca habré de fallat uno de los dos un gobernador de una plaza sitiada no la entregase sin un justo moti gefe* que determine y providencie en las ocurrencias que se ofrezcan. vo , ó cuan…</t>
  </si>
  <si>
    <t>1780</t>
  </si>
  <si>
    <t>…atando el Gobiefno de poner en La cornis ón ■ consecuencia de algunas observaciones hechas por si un estaco de defensa respetable varia» plazas, el punto deTarífa, que Sr. Vatdés (D. Cayetano) reinó el art. 17 para presentarle modificado. es de mucha importancia, no podía quedar olvidado. La unión de la Art. 18. « itl general en geí: ó comandante del sitio nombrara un isla de 1 arifa al continente recuerda muy bien lo que ae drb:ó é aquel gefe de…</t>
  </si>
  <si>
    <t>…idades para objetos que no existen. Hasta ahora no comisión , y aprobarse las adicirnes citadas. tiene ningún fundamento para variar au opiaion en cuanto i a, canti El Sr. Valdéa (D. Cayetano): No o videmos cuSI's son las obli dad ; pero para cortar la discusión en asta misma mafiana, ti las C irte* gaciones de un gobernador. Este tiene que dar parte de todo lo que lo ts-n-na bien, presenta la comisión un nuevo d.clamen , á fin de que ccurre ó at…</t>
  </si>
  <si>
    <t>…encontrado un soio encnvgo._De Vich habían desapa arreglar el ataque ó asalto ** recido todos los rsügio o, carmel.tas calzado, que eran sacerdo'n , ex A propuesta de! Sr. Vafdé* (D. Cayetano ) re suprimió la cláusula cepte! el P. Mauro y otros tr.s individuos, cuyas opiniones s-.n fa desde donde «ücr : «Pedirá su dictamen &amp;c.” hasta laa palabras si vorables á ia justa cau.a. Los gobernadores eclesiásticos de Tortos* túenles: » Y al efecto." Y que…</t>
  </si>
  <si>
    <t>…al rn el modo y para los fines de que trata el art. 19 de esta ins so de aprobar este artículo. trucción , podrá la diputación, dando cuenta al Gobierno, concederle El Sr. Valdé» (D. Cayetano): La comisión ya dice en este artículo la faculta ! d; disponer de la cantidad que solicite del fondo de propios que no se concedan esperas moratorias sino por justa causa y durant • un y a:b t,ios.” año; y así yo no tendré inconveniente en aprobarlo , siempr…</t>
  </si>
  <si>
    <t>…a permitirse la influencia del Gobierno carse de que los regimientos de su dependencia se hallan completamente en la elección de los cuerpos populares. instruidos. El Sr. Valdés ( D. Cayetano) dijo que el gefe político no unía Art. 18. » Se prohíbe absolutamente á los inspectores generales y ninunu intervención en la elección de los cuerpos papulares , y por lo particulares que pidan á los coroneles 6 admiun de ellos por pret. xto mismo qu * no te…</t>
  </si>
  <si>
    <t>…ército y el Gobierno} Aprobado. por lo mismo no debe Jiabír inconveniente ea aarobar al artículo. Art. 148. n Cuando las diputaciones representen 4 las Corles en loe El Sr Valdés (D. Cayetano): Yo no enriando cual será la ventaja casos en que pueden hacerlo, firmarlo el presidente, el intendente, los que rrsu’tede llamar á un individuo primar médico da ejército, y á diputados que ss hallen en la capital v el secretario. Lo mismo suecd. rá otro med…</t>
  </si>
  <si>
    <t>…cionen que ia Nación se cor.virvu en cesantes. todo lo cusí me opongo ai dictamen de la comisión. Esta los tiene del ramo di hacienda , di mirir.a, di propi-s y ar El ir. Val de» (D. Cayetano): tiste as ¡ato , señor, está reducido bitrio», di franis ócc. , y yo no se ac dnti...: na de »ac»; y.ra ,j á que el espitan genera! de Cartagena hizo una consulta sobre presas, PJ¿o. ¡ importa que »i haya quitido el medio d.ezmo , que se ha y en lasecr-taria…</t>
  </si>
  <si>
    <t>…on los artículos siguientes. pendían de los superiores , y qtie por lo mismo estaba bien al artículo. Art. 174. » En los pueblos donde haya dos ó mas alcaides terán El Sr. Valdés (D. Cayetano): Yo creo que en el artículo no debe iguales en autoridad y jurisdicción, y procederán preventivam nte en decirse bajo la inspección &amp;c., sino bajo la dirección ó las órdenes Stc. los negocios que ocurran, bien sea de oficio , ó bien á instancia de par El Sr.…</t>
  </si>
  <si>
    <t>…o aprobar este hallarán «a disposición de s«trie, mayormente ai bao olado ea campa»' articulo. fia*. Ademas hay otra razón, y es que los empleado* oviles se retira» El Sr. Valdét (D. Cayetano): En esta cuestión es menester que ten al mismo tiempo que la tídüiioa propone para loa militares, jr nd ateo gan las Cortes presente que este retir» no se concede hasta lo* tg •';«» haya motivo.para que aqueltos-sean preferido*. ' de servicio, y que los párr…</t>
  </si>
  <si>
    <t>…rtas se hallan en el caso de aprobar en un el egército. de observación no corresponde á su fuerza. todo este dictamen. El Sr. Arguelles : ; Ea superior ó inferior i El br. Valdés (D. Cayetano): Pido la patabra, no contra lo queso- El Sr. societario del Despacho: Es superior. licita el Gobierno, sino contra lo que propone la comisión; porque lo El Sr. Arguelles: Luego puede tener dos objetos, ó auxiliar á loa que pide el Gobierno es menos costoso y…</t>
  </si>
  <si>
    <t>…Cortes tamente indispensable , se arunc.a a! f i b..ce, a nn de que los empica aprobarle. dos en seto ? s.tvic-o o cesantes Hu: asp.ren á obtener',o, y reur.ar ias El Sr. Valdés ( D. Cayetano ); Los gefes no pueden menos de pre circnnstanc &lt;s preven das en ios J.vr tos de las slorles y ordenes de sidir los ayuntimietitos da los pueblos donde se hallen , no solo por S M. . presenten sus instancia» en ei termino dr u?. nio por verenda ¡o que ha indi…</t>
  </si>
  <si>
    <t>Cayetanp</t>
  </si>
  <si>
    <t>…do el total Igc;. tegra á S. M. (a pane relativa a ios asuntos diplomáticos, tal cual la Los Sres. que le aprobaron fueron ; Prat, Saavedra , Surra , Valdés presenta la comisión. (D. Cayetanp) , Arguelles, i uadra, Buruaga, Domen-ch , Pumarejo, El &gt;r. Gatiano deshizo algunas equivocaciones que dijo babia pa Murfi, Infante, Ruiz de la Vega, Somoza • Llórente, Rojo, Alvarrz, decido el Sr. prcopinmie al referirse ^ su discurso de ayer. Roig , Orduña…</t>
  </si>
  <si>
    <t>Cazan, Andrea</t>
  </si>
  <si>
    <t>Andrea Cazan</t>
  </si>
  <si>
    <t>por conducto ¿el gefe mtetiño ¿e la plana mayor D. Andrea Cazan, » El resaltado de esta acción ha sido matar i ios facciosos m .» ... ctáiiaaé mi marcha en el mismo día ai i Melida, y al siguiente lo 40 hombres , inclusos dos oficiales , y herir!:», según noticias que han vnrifiqu: á Cavada; antea de mi llegada á este pue…</t>
  </si>
  <si>
    <t>Cazneiro, Borges</t>
  </si>
  <si>
    <t>Borges Cazneiro</t>
  </si>
  <si>
    <t>…quía se inclinan mucho á dar ideas poco pensión de la ley; y concluyó diciendo que tampoco comprend a como favorables de la situación en que te halla la Turquía. Renuevan la es el Sr. Borges Cazneiro , siendo tan zeloso de la libertad, opilaba que »•,&gt;. pecie de la continuación de la guerra entre turcos y persas ; habiendo se pusiesen todos los ciudadanos i merced del poder egicu: rehusado el Schah la intervención de la Inglaterra, y aprobando la con El S…</t>
  </si>
  <si>
    <t>Cbevarri, Josef López</t>
  </si>
  <si>
    <t>Josef López Cbevarri</t>
  </si>
  <si>
    <t>…ente del regimiento infantería' to infantería de la Princesa , con 570 1». Imperial Alejandro , con 570 rs. Almería A D. Manuel Romero, teniente del regimiento infantería Motril A D. Josef López Cbevarri, teniente del regimiento infan de Búrgot.con 570 rs. tería de Vitoria, con §70 rs. Avila al capitán D. Guillermo Den , teniente del regimiento in Mondofiedo i D. Miguel López Vázquez, teniente del regimienta fantería de Extremadura, con ^70 rs. infantería de…</t>
  </si>
  <si>
    <t>Ccli, Agustín</t>
  </si>
  <si>
    <t>Agustín Ccli</t>
  </si>
  <si>
    <t>…a villa de Arenys, por no haberlos salido bien bre francés sea en lo suc'sivo un nombre de oprobio en la Europa!” su primera tentativa. — El comandante militar de la plaza de Reua D. Agustín Ccli, dan » A las nueve dadas de la noche del a6 el cabecilla Saperes con la do parte al comandante general de la provincia de Tarragona de la ac partida de su mando sorprendió repentinamente la villa de Caldes de ción del aa , dice en resumen lo siguiente: » Los…</t>
  </si>
  <si>
    <t>Ccuder, Gerónimo</t>
  </si>
  <si>
    <t>Gerónimo Ccuder</t>
  </si>
  <si>
    <t>…bilitar el fuego sagrado de la Na no Montoya , fiel contador de las salinas de Bel.nchcn. ción l ¡Es posible! ¡Cómo posible! ni aun concebirlo. ... en los decre Lugo administrador D. Gerónimo Ccuder, que lo es de Ciudadtos inmutables de la Providencia e=tá ya fijada una suerte duradera de Real. Interventor D. Agustín Pila, administrador del Foso. la Const tucion política de la Monarquía española. ¡No hay señales vi Ciudad-Real administrador D. Josef Pcre…</t>
  </si>
  <si>
    <t>Ccutinho, Lino</t>
  </si>
  <si>
    <t>Lino Ccutinho</t>
  </si>
  <si>
    <t>…t el Sr. Ferreira Borpor escrito, se retiraron todo» i sus casas. ges para reanimar la navegación portuguesa. n Merecen los mayores elogios los Sr?s« Barbier t P'tít'D*$rocnet- El Sr. Lino Ccutinho leyó la siguiente proposición : tm , Delatullaye , Bernad hijo y Doucet , &gt;jue en estas circuns'an- r»Omo en la sesión del dia 30 del pesado, al tratarse de la indi cias tan importantes se han conducido de un modo que tos hace acree cación dat Sr. Rivciro de…</t>
  </si>
  <si>
    <t>Ccvailos, Joaquín Huerta</t>
  </si>
  <si>
    <t>Joaquín Huerta Ccvailos</t>
  </si>
  <si>
    <t>…tar convencido de que ro , L). Francisco Marí n:z Marina, D. Josef Demetrio Rodr g i-z, el noble lord no traerá poderes tan amplios como lo eran los que solía D. Junan d- Fuentes, D. Joaquín Huerta Ccvailos , D. Domingo Yidar el marques de Londonderri. Este m.nutro obraba bajo su responsa liamil y D. Valentín Ort.gosa. bilidad personal, y como gefe del departamento de ios N.gccios extran 1 lab-di ia conferencia , resultó por unanimidad haber ¡usar i la for jero»…</t>
  </si>
  <si>
    <t>Ccvallo, Joaquín Huerta</t>
  </si>
  <si>
    <t>Joaquín Huerta Ccvallo</t>
  </si>
  <si>
    <t>…aso de una io:vilab-e ne to de los brea. D. Francisco Barra , D. Josef Demetrio Rodríguez, cesidad ; y que por el contrario deben hacer lo posible por abstenerse D. Matías Casero, D. Joaquín Huerta Ccvallo», D. Julián de Fuen de elle. Ñu sno Gabinete ha seguido este cuerdo parecer, peto cierta tes, D. Bernardo Asenjo, marques de Torrenueva, D. Angel Bonalcorte ha maniLstado una opimon enteramente opu sta, la cual dicen toy D. Andrea Navarro; y habida la confere…</t>
  </si>
  <si>
    <t>Ccvallos, Joaquín Huerta</t>
  </si>
  <si>
    <t>Joaquín Huerta Ccvallos</t>
  </si>
  <si>
    <t>…ucesivamente. Josef Gómez Albacete; D. Miguel Ripa; X). Jaime Ruiz Abreu ; bon 6.4 Para evitat las quejas que suelen producirse sobre la mala, cali Pió Santos; D. N enias Alonso y D. Joaquín Huerta Ccvallos. Habda dad de los artículos de provisión, se reconocerán estos antes de su la conferencia se declaró por siete votos haber lugar á la formación de ministrarse en cada una de sus datas por los abanderados de los regi causa, disintiendo ios Sres. D. Jaime Ruiz…</t>
  </si>
  <si>
    <t>CD, Ferrer</t>
  </si>
  <si>
    <t>Ferrer CD</t>
  </si>
  <si>
    <t>…entemente discutido, quedó aprobado el político poci.a su-e-er qu punto 2-' d¡a en que nos hallásemos sm uun..tr. s: p.-ro es oe. e.;- o at e-d’r a Leído el punto tercero, dijo el Sr. Ferrer CD. Joaquín): No puedo qu: el pod-r eg.cutivo tío u ira.i.i- est&lt; coaip'j'st ' .a-•1 G h ;r.o, •probar este punto, porque parala marina se necesiten penas muy ve sino del consejo dci Jv.v , qu. en todo Tempo debe o .¡ir, r*'. i r ¡* ras, y seguramente :io es com…</t>
  </si>
  <si>
    <t>Ce</t>
  </si>
  <si>
    <t>…mismo, Se mandaron pasar á la comisión una adición del Sr. Castrillo al las siguientes en el acto. Asimismo á continuación de auxilias la pa párrafo segundo del art. 611: otra del Sr. Ce pero al art. 619: otra del labra personalmente. Sr. Cano Manuel al mismo: otra del Sr.Pefiafiel al 619: otra del señor Se leyó el artículo en estos términos, y quedó aprobado. Alvarez Sotomayor al 63$; y otra del Sr. Puigblanch al 638. Art. &lt;$33. » El que sin…</t>
  </si>
  <si>
    <t>…su conciencia, que se habla ó hace alu mentos fe-hacientes por termino de ao días, contados desde hoy Pa sión á persona ó personas determinadas.*' lacio fi de Febrero de 1822. El Sr. Ce pero dijo que la palabra refutación tenia demasiada latitud, y por lo mismo era mejor se dijese que se vulnere la eonducta moral. No podiendo ni debiendo circular los seis vales consolidados de á El Sr. Cuesta dijo que no podía atacarse i esta ley sin que te…</t>
  </si>
  <si>
    <t>Ce, Mannél López</t>
  </si>
  <si>
    <t>Mannél López Ce</t>
  </si>
  <si>
    <t>…imte m sirva asi veriieario pam. ANUNCIOS. Ipt ffrctftt COfeVftAlCnjt!¡tJL . «Dios gnardedV. É. mochos aÓo*&gt;Orihaeia ( de Enero de tltt* Catecismo religioso, moral y palítico, por D. Mannél López Ce* ==Pedro del PwtiHo.ás?twn Roca de Tagetes » alcalde «agnnrln ~t An- pero, individuo da to academia Española y de to da S. Fernando, y dt* rH*T*f* da Albor» putado.an. Cortas. Al anunciar al.público asta obra podemos asegurarla •crt-rjoagnin MafioaJsJctcf Akd…</t>
  </si>
  <si>
    <t>Ce, Manuel</t>
  </si>
  <si>
    <t>Manuel Ce</t>
  </si>
  <si>
    <t>…n las causas seguidas rn dicho juzgado contra D. Manuel Her pondencia que había salido de Tortosa cerca de Amposta, y media hora nández (alias el Abuelo) , D. Josef Mingo Otalora, D. Manuel Ce antes de entrar allí los facciosos , por lo que se está formando cauta al ca , capitán retirado de artillería con grado de coronel de infantería, administrador &lt;1* correos de dicha villa. y otros consorte* , por delito de cotitpitacion contra el sistema cons…</t>
  </si>
  <si>
    <t>Ce-, Joaquín Huerta</t>
  </si>
  <si>
    <t>Joaquín Huerta Ce-</t>
  </si>
  <si>
    <t>…a al autor del referido artículo , y tocó la tuerte 4 los seño tiempo de la dominación francesa entre otros [tápeles el privilegio da res D. Ignacio Pajares, D. Mamerto Landmburu, D. Joaquín Huerta Ce- un juro en alcabalaf de Midrid de 16,130 mrs. en cabras de Melchor val ios, i). Marcos Izquierdo, D. Jostf Antonio Ponzoa, D. Martin Za- Cakeron.—Otro en alcabala! d: Olmedo de 31,616 mrs. en cabaas del randia , D. Rafael Costa , D. Andrés Navarro y D. Sebast…</t>
  </si>
  <si>
    <t>Cea, Antonio</t>
  </si>
  <si>
    <t>Antonio Cea</t>
  </si>
  <si>
    <t>…é para el mismo objeto. Varios Sres. diputados prestaron el juramento prescrito por la Cons La* Corte* oyeron con agrado la felicitación que por *u instalación titución. les hacia D. Antonio Cea, comandante de les Islas Baleares. Se leyó un oficio del Sr. secretario del Despacho de la Guerra, en Quedó aprobada la siguiente proposición del Sr. Adan: » Pido 4 lat el que manifestaba que en atención al estado actual de la Espafia te Cortes se sirvan acor…</t>
  </si>
  <si>
    <t>Ceb, Leandro Rubín de</t>
  </si>
  <si>
    <t>Leandro Rubín de Ceb</t>
  </si>
  <si>
    <t>…. de dicLa plaza. ría Alférez, de Aodojar; á D. Bartolomé Martínez para ias de Cana En la misma ciudad de Cádiz, reunidos en jurado de acusación loerias , y para las de Mallorca i D. Leandro Rubín de Ceb»; asign.it- Sres. D. Francisco Roble» y Benitez, D. Bernardo de la Pefia Diaz,dotes á cada uno de los expresados visitadores por gratificación 8o rs. diarios, que empezarán á gozir desde el día en que emprendan su D. Joaquin de Tru.ba, D. Miguel García Ortiz…</t>
  </si>
  <si>
    <t>Cebollero, Antonio</t>
  </si>
  <si>
    <t>Antonio Cebollero</t>
  </si>
  <si>
    <t>…nez de Bagues, D. Antonio Medrano , D. Leoncio Val, D. Cayetano ra lectura , cuando llega lor j Colchester , el cual hablando con la ma Puch, D- Manuel Sierra, E&gt;. Luis Cántense, D. Antonio Cebollero, yor vehemencia le dirige estas terribles palabras: » Vengo corriendo D. Mariano Gudal, D. Celso Píanzon, D. Juan Bucle, D. Pascual del continente á deciros que el fanatismo y la intolerancia vuelven á Pratosi, D. Manuel Lasala, D- Miguel Gavara y D. Dionisio…</t>
  </si>
  <si>
    <t>Ceca, Manuel</t>
  </si>
  <si>
    <t>Manuel Ceca</t>
  </si>
  <si>
    <t>…juzgado contra Circular del ministerio dt Hacienda. D. Manuel Hernández (alias el Abuelo), D. Josef Mingo Otalora, El Rey se ha enterado de lo que el tesorero general de la Nación D. Manuel Ceca, cap.tan retirado de artillería, con grado de coronel propuso en 6 de Agosto último; sobre la forma y calidad de las fianzas de infantería , y otros consortes, por delito de conspiración contra el que han de prestar los tesoreros de provincia y depositarios d…</t>
  </si>
  <si>
    <t>…ra su vista el día 20 del lo que apareciera allí contra los mismos. actual y siguientes á las 10 de su mañana. Igual omisión se nota en la causa del coronel retirado de artillería D. Manuel Ceca , preso también por el deiito de conspiración contra rl Los dueños dé los vales de ¡odas clases de la creación de Enero de sistema constitucional , y de ias que c nocla al mismo tiempo Arias este año presentados para el cobro del primer semestre en la sección…</t>
  </si>
  <si>
    <t>Cedrón-, Manuel Josef Silva y</t>
  </si>
  <si>
    <t>Manuel Josef Silva y Cedrón-</t>
  </si>
  <si>
    <t>….......................................... 794. D. Nico'as de Barto’omé Alvarez y Pardo; para el de Puente de Ume i ANUNCIOS.D. Josef María Lebrón; para el de Santiago de Sisamo á D. Manuel Josef Silva y Cedrón-, para el de Vimiaazo á D. Manuel Bermudez Pi- En la villa de Pozuelo de Alarcon, conocida vulgarmente por Po m nt-li pura -I de Nova á D. Francisco Rodríguez Caballero; para el zuelo de Aravaca, distante legua y media de esta corte , se halla va d- l adrón 4…</t>
  </si>
  <si>
    <t>Celes</t>
  </si>
  <si>
    <t>…ord , D. Francisco Martínez Marina, D. Bernardo Alon hallarán ocultos bastantes cadáveres; les matamos tres caballos, y les so , D. Antonio del Afcazar, D. Antonio Díaz del Moral, D. Celes hicimos un herido prisionero, que permanece en este hospital tratado tino Olozaga, D. Casimiro Martin y D. Santiago Delgado. Fue de con una humanidad de que es indigno. Dios guarde á &amp;c. Tudela y Opinión contraria D. Joaquín Manrique y Manrique. Agosto 11 de…</t>
  </si>
  <si>
    <t>Celina, Antonio</t>
  </si>
  <si>
    <t>Antonio Celina</t>
  </si>
  <si>
    <t>…derecho á ella, se sirva presentarla en la contaduría general de la narle de 500 á 600 r» por 'a as st nc.i. La villa consta de 420 veci distribución de la hacienda nacional, ó i D. Antonio Celina , qne vive nos, poco rms ó nvnos; est&lt; situada en la carretera de Madrid á la calle de Luzon, núm. 15, cuarto principal, verificándolo dentro de 15 Corana , es de la provinca de L on; dista de esta capital 7 leguas , 4 días si estuviese en esta corte , y en e…</t>
  </si>
  <si>
    <t>Celis, Benita Rubín de</t>
  </si>
  <si>
    <t>Benita Rubín de Celis</t>
  </si>
  <si>
    <t>…e Sesmaisons: sí, caerá sobre ella con motivo d; la escasez del erario. -Aprobado. vuestra cabeza! ) Señores, esta sangre caerá sobre los hombres que de Otro sobre la solicitud de Doña Benita Rubín de Celis, viuda de dos años á esta parte ponen su mayor conato en robarnos todas nuestras D. Bernabé García, oficial d; la secretaría de Hacienda, y diputada garantías. (Murmullos á la derecha): esa sangre caerá sobra los que que fue en las anteriores Cortes, para que…</t>
  </si>
  <si>
    <t>Cenia, Antonio</t>
  </si>
  <si>
    <t>Antonio Cenia</t>
  </si>
  <si>
    <t>…san Sefioro* que declararon absuelto dicho impreso: D. Francisco Javier te para el cumplimiento dd art. &gt;84 y siguiente* del reglamento, los de Olea y Cárnico, D. Francisco Salvi, D. Antonio Cenia, D. Josef cuales te leyeroá; y « acordó proceder después d nombramiento de loa Marañes, D. Ramón Diu de Ortega, D. Felipe Fernandez Aria*, sedos Sres. diputado* que en ello* te citan. dar marques de ja Torro, D. Juan María Fcnct y D. Joan Bautista Se leyó d d…</t>
  </si>
  <si>
    <t>Cénit, Florencio</t>
  </si>
  <si>
    <t>Florencio Cénit</t>
  </si>
  <si>
    <t>…á pendiente; y así esta causa ha venido de diente promovido por el brigadier D. Francisco Serrano, el tenkate un modo ilegal. Si la comisión creía absolutamente necesario examinar coronel D. Florencio Cénit i y el capitán D. Agustín Chinchilla. los autos originales, debía haberlo expuesto al Congreso, y p.oceder El Sr. NuBez Faltón: Este expediente es sumamente voluminoso, con su acuerdo. pues tiene mas de 600 fojas, por lo que suplico ai Sr. presidente se sir E…</t>
  </si>
  <si>
    <t>Cent</t>
  </si>
  <si>
    <t>…efectos que consumió el egército en los seis afiot de la gloriosa ¿uerBarcelona 35 de Noviembre. ra de nuestra independencia. También es cierto que desde pnncip.ct La columna &lt;f»l coronel Cent* te encontrata el a3 en la Tordera, del año «5 hasta esta fecha no se han podido liquidar los gastos qus desde donde pensaba dirigirse á Grannllers. Por orden de! g-nerai M - ocasiona e.te ramo. Las Cortes anteriores conocieron bien su mal esta ¡sns había tom…</t>
  </si>
  <si>
    <t>Centelles, Pedro Birreda</t>
  </si>
  <si>
    <t>Pedro Birreda Centelles</t>
  </si>
  <si>
    <t>…aooaar damas defensores principales de las libertades do CtoaílU y Atapatt (Gae. árt ay át ¡á.) .-Habirndo sido denunciado ante el Sr. alcalde constitucional interino de Val encía D. Pedro Birreda Centelles por D. Mariano González, Resolución d: la* Cortes declarando qne sobo dabe considerarse pa D Antonio Nieto y D. Rafael Lozano, oficiales del regimiento de Za pel oficíatele lasdñcnoones di Cortes eiDiatiode las asmas. (Gottla mora , en representación de este…</t>
  </si>
  <si>
    <t>Centurión, Báibara de</t>
  </si>
  <si>
    <t>Báibara de Centurión</t>
  </si>
  <si>
    <t>…erena, Don año de 1693 U. Baltasar H nriqu-z de Cabrera, y que el de marque* Jct'f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 D. B rnardo Rodríguez, ahora quiénes ton los poseedores d 1 estos títu'os, sin embar…</t>
  </si>
  <si>
    <t>Cepeda, Juan Paez de</t>
  </si>
  <si>
    <t>Juan Paez de Cepeda</t>
  </si>
  <si>
    <t>…27_Otro ¡ provincias I i “bjdj*v»- . ca millones sobre en situado de Valladolid y su provincia, tercertuse■ distritouiau iig i* vedises, V.f la ca- -&gt; militar........... i beza de D. Juan Paez de Cepeda, en 30 de Diciembre de 1635—Otro Palencia. }• rs id. 14 id. 44 id. de io9 mra. sobre la renta de la alcabala de paja , lefia, fruta y made ra de Valladolid, en cabeza de Doña Luisa de La Aya, en Madrid á 31 de Julio de 1561__Otro de 4$o9 mrs., situado sobre l…</t>
  </si>
  <si>
    <t>Cepera</t>
  </si>
  <si>
    <t>…tenían loe tu obediencia, y que de consiguiente aquí no entraba mas voa que mismos, opinó que tratándose de delitos contra la religión debía in la del estado. Que la reflexión del Sr. Cepera no pertenecía i este ar cluirse este ; y por lo mismo pidió que de»pues de les paleteas dogmas tículo sino al inmediato, 7 por lo mismo fue de parecer que debía dt la religión se añadiese ó dt la disciplina. aprobarse el artículo. £1 Sr. Calatrava opinó que e…</t>
  </si>
  <si>
    <t>…endía da dado por las Cortes por el decreto de 29 de Junio: que respecto de la la voluntad del Gobierno. segunda no creia que las expresiones fi que se referia el Sr. Mqytel in El Sr. Cepera indicó que diciéndose en el artículo ptro quedará juriasen al clero; siendo ademas la atributiva de que se trataba no solo ciento de toda pena &amp;e., y asimismo por lo que había dicho el Sr. Ca- favorable fi los partícipes legos , sino al clero en general. htra…</t>
  </si>
  <si>
    <t>…te pon nar la minuta del mensage de S. M. sobra varme ptoyactra da ley 5 y ga «ata excepción en el artículo. habiendo tomado en consideración la* adiciones hachas poc varioe se El Sr. Cepera: A mí me parece que ai ae quitara del artículo la pa ñores diputados al proyecto relativo á la libertad deimorenin, opinaba labra acordar, quedaría como corresponde. En ¿I ae prohíbe que se re que se podía aprobar la del Sr. Rey al art. 3.*, y añaturse al fia…</t>
  </si>
  <si>
    <t>Cepero</t>
  </si>
  <si>
    <t>…fuerza á toda la Nación! Esto seria una desigualdad muy nota contacto con el artículo que se discutía. ble. Diráse : » ¡Lo* eclesiásticos ion acaso de peor condición que tos de El Sr. Cepero dijo que hubiera deseado que no se hubiese tratado más españoles para que se entregue al Gobierno esta espada de dos filos, de este asunto en el código penal; pero supuesto que las Cortes habían á fin de que pueda privarles de una multitud de derechos!" Pero…</t>
  </si>
  <si>
    <t>…0-. Art. 614. •&gt; F1 que sin ser movido por ofensa ni injuria alguna no hay igualdad en la pena qu: se impone. provoque a otro á riña ó pelea, y riñendo ó peleando lo mate volun El Sr. Cepero: A mi me parece que la pena que sr señala rs despro tariamente y con intención de matarle, sufrirá la pena del homicidio porcionada , según los principios api abados en ai cc'd.co p-nal. Er. un</t>
  </si>
  <si>
    <t>Cer-zo</t>
  </si>
  <si>
    <t>…tándole que h.bi ndi batido á ios cabreólas Romanillos y Mira- miento, y resultaría que en un espacio di tiempo casi inctcib’e I ubi ■lies , y uní lósele en Cervera la sección del coronel Cer-zo, y con noti se llegado esta noticia de Roma á Viena. Sin embargo , tambim i.ay cias de que d.chos rebeldes ocupaban aquel punto, y fortificad» el con personajes, cuya muerte no se sab: en público sino hasta después de vento de 5. Ramón, le pareció oportuno no…</t>
  </si>
  <si>
    <t>Cerdefia</t>
  </si>
  <si>
    <t>…s ministros; a saber: el Emperador Juicio Ae juraAos. de Rusia, el de Austria, el Rey de Prusia, el de Ñapóles y el de En la ciudad de Pamp.uua, reunido» los Sres. jueces de hecho Don Cerdefia. Los ministros aeran el príncipe de Mettermch , presidente Pedro Javier de Astram, D. Joscf Joaquín Lcoca, D. Manuel B r.10 nato, y Mr. Oentz, secretario del Congreso, por parte del A nutra; fcch vrna, D. rrancisco Javier Aoiz de Zura, D. Juan de Irazoz, el c…</t>
  </si>
  <si>
    <t>Cerezo</t>
  </si>
  <si>
    <t>…lo* patriota Miguel oemis, de la compañía de escopeteros de Bajaderas , ha liberales de dicho pueblo sacaron tus familias 7 efectos. contraido igualmente un mérito distinguido. El comandante Cerezo — El resultado ha sido matarles cerca de too hombres, hacer ti pri ha acreditado en ests ocasión su bizarría y sus conocimientos. sioneros , 7 tomarles 7 caballos, varios fusiles, trabucos , Unzas 7 un El día 14 á las cinco de la mañana salió dicha columna es…</t>
  </si>
  <si>
    <t>…o Dios que conocen es su vientre, fiarte.ona a de .Agesto blicado en el número anterior sobre ¡as accicn-s del general M *rs, de 18ai.=FrancisCo Ferrar.” dei brigadier Roten y del coronel Cerezo; pero publican el parte c-r__Noticia* oficiales que ha recibido el Sr. gefe po ít.co de esta pro cunstanciado del segundo, y otras vanas particularidades que dejamos vincia : Apresadas arriba eu pártalo de Barccicna. „ poco antes de les 11 de la roafiar.a del…</t>
  </si>
  <si>
    <t>…o, »»por ser de un interés secundar.© como en rfect» o detuvo, y io batió; y h b en lo prevenido ai valiente para la Prusia los asuntos de Italia y del Oriente.” No falla quien di coronel Cerezo reforzase aqu I punto, se hizo general la derrota, y tan ga que las noticias directas de Varsovia son: »Que no se trata de provechosa que quedaron sobre aoo cadáveres enemigos en el campo. convocar este afio la Dieta polaca á causa del desagrado que causó á Q…</t>
  </si>
  <si>
    <t>Cerezo, Baltasar</t>
  </si>
  <si>
    <t>Baltasar Cerezo</t>
  </si>
  <si>
    <t>…idad porque suspiramos, es el olvido de Bolafto, Sagastizabal, D. Josef Vazquaz, D. Joatf Rodríguez Rome todas esas tan odiosas como ridiculas deztominacione* con que alguno* ro , D. Baltasar Cerezo y D. Benito Cutí. En trigonometría esférica hombres irreflexivos han procurado deprimir á todo el que no piensa co los mencionado* Vázquez, Rodríguez Romero, Casal, D. Batasar mo eilos aun en cosas muy subalternas. Estas denominaciones suponen Cerezo, D. Bernardo de Soto, D.…</t>
  </si>
  <si>
    <t>Cerezo, Fernando</t>
  </si>
  <si>
    <t>Fernando Cerezo</t>
  </si>
  <si>
    <t>tebao Birbet, D. Fernando Cerezo, D. Jatn Luanco y D. Feliz Ar- Uno de los medios mas necesario* pan conseguir la concoidia , y rieta. En trigonometría piaña ios referido! Diez Valentín, Scmoza, para poder scarzar la felicidad porque suspiramos, es el olvido de Bolafto, Sagastizabal, D. Jose…</t>
  </si>
  <si>
    <t>Cerezo, Lorenzo</t>
  </si>
  <si>
    <t>Lorenzo Cerezo</t>
  </si>
  <si>
    <t>…a y algunos caballos del regimiento de la Constitución al mando del co El mismo comandante general con la misma fecha dice-lo siguiente: ronel D. Pedro Caaasola.” » Excmo. Sr.: El coronel D. Lorenzo Cerezo , comandante de ar El ataque y movimientos de la* tropas del Rey y Barcelona ha sido masen Minresa, y el teniente coronel D. Ramón Gali, me dicen desde como V. E. verá por la copia del parte que le incluyo, cuyo tenor «a Manresa con fecha de antes de ayer lo…</t>
  </si>
  <si>
    <t>…ehendido con laa arma* en la mano, y tu castigo cau.ará un general dos por el Rey con el fin de proponer, ó sostener un proyecto ó escarmiento. proposición de ley. Los comandantes D. Lorenzo Cerezo y D. Ramón Gal i p'den des » Las Cortee constituyentes y les constituidas, asi ordinarias como de Manresa con fecha del si al Sr. gefe político que se lea autoricn extraordinarias, admitieron siempre á discusión las propuestas hechas en pan organizar la* compañías de paisan…</t>
  </si>
  <si>
    <t>…que ceder á la superioridad de fuerzas de Murcia y Canarias, al mando del teniente coronel mayor del pri que tenian los facciosos. Sabido que el cabecilla Romanillos con 1100 mero D. Lorenzo Cerezo. hombres 7 60 lanceros de la fe se hallaban en Cubell, marcharon £ La pérdida de los facciosos ha consistido en cinco muertos 7 bas atacarlos, desalojándolos con intrepidez del pueblo. Considerando no tantes hondas, habiéndoseles cogido muchas armas, 7 rescat…</t>
  </si>
  <si>
    <t>Gaceta de Madrid n.º 232</t>
  </si>
  <si>
    <t>…por tres fuertes guerrillas de Canarias, i las órdenes de sus bizar escuchad, escuchad.) Cuando decit que tiene razón, manifestáis que ros oficíale* , y dirigidas por el valiente coronel D. Lorenzo Cerezo , te no solamente ha expresado su modo de pensar, sino también el vues niente coronel de Murcia, siguiendo el resto de la tropa por la carrete tro pues declaráis que no te han df considttar las cosa; de España co ra con objeto de doblarlos, como se hubiera co…</t>
  </si>
  <si>
    <t>Gaceta de Madrid n.º 237</t>
  </si>
  <si>
    <t>…as para ver ticar el designio; pero ia mtiger de Mur.teb an dida fue de dos'muertos y siete heridos. co se lo reveló á San Martin , el cual asistió al cccvite cor t«t- aviso, — El coronel D. Lorenzo Cerezo psiticipa con ficha del g que ha y antea de empezar el sarao cercó la casa, y encontrando oculta en día bía resuelto pasar i Cerrera pura abastecer aquel luirte; pero que al la gente armada, hizo fusilar í Mont:blanco y demás cab-ra., y diez mismo tiempo ca'c…</t>
  </si>
  <si>
    <t>Cerillos, Joaquín Huerta</t>
  </si>
  <si>
    <t>Joaquín Huerta Cerillos</t>
  </si>
  <si>
    <t>…cie de tonelería con la misma y mayor per Radon, D. Santiago Delgado, D. Miguel Ripa, D. Juan Antonio fección que m el extrangero ■ y en cuanto 4 la prohibición del retorno Lop z, D. Joaquín Huerta Cerillos, D. Josef Gómez Albacete , Don de la nao onal que hubiese salido con caldos para el extrangero, no han Francisco López de Olabarrieta , D. Higinio Antonio Lorente. tenido á bien acceder á ella, en consideración á que en el decreto de las Habida la conferencia…</t>
  </si>
  <si>
    <t>Cero, Brígida Perez Pa</t>
  </si>
  <si>
    <t>Brígida Perez Pa Cero</t>
  </si>
  <si>
    <t>…de Doña Manuela Cacho , D ña Antonia Bonilla y Val&lt; ro, Dora María Aragón y los pástenos habían rivalizado en valor, y de que el ilustre Rodríguez y Camina, Doña Jos.fa Azcirat-, Doña Brígida Perez Pa Cero había entregado para el egército cuanta p ata tenia, manifestan lacios. Guatdaiopa de la Emperatriz Doña Rafaela Repeto. do cada día el pueb o mas adhesión á la metrópoli. También se sabia que Aimer ch había batido á la división de Guayaquil y que Mites, ge n…</t>
  </si>
  <si>
    <t>Cerquero, Sánchez</t>
  </si>
  <si>
    <t>Sánchez Cerquero</t>
  </si>
  <si>
    <t>…erseguidos vivamente por el bizarro Milocha coa 8s ca Sa mandaron petar i la comition tos aignientm adicionas al dicta ballos. men da la mioma aobte al iceraplera del egército. El comandante Sánchez Cerquero comunicó al comandante militar Una del Sr. Romera relativa á que m observan en al reemplazo de! «le la provincia de Cádiz un parte con fecha del 4 desde Arcos, en que egército las mismas reglas ana decretaron lat Cortes en la legislatura dice haber entrado aq…</t>
  </si>
  <si>
    <t>Ceruti, Florencio</t>
  </si>
  <si>
    <t>Florencio Ceruti</t>
  </si>
  <si>
    <t>…tica otra de los Sres. Villanueva, Infantes, Canga y vido por el brigadier D. Francisco Serrano, coronel del regimiento de Salva sobre el arreglo del clero. caballería de Sagunto, D. Florencio Ceruti, teniente coronel del mismo A la de Legislación otra del Sr. Seavedre sobre que ningún extrancuerpo, y el capitán D. Agustín Chinchilla, sobre varias infracciones gero mande cuerpo, plaza ó prov íncia sin tener dispensación particular de Constitución y ley co…</t>
  </si>
  <si>
    <t>…re el partido que tomaría en caso de. guer Estoy persuadido del acendrado patriotismo de D- Francisco Serra ra; y parece que ya ni aun se trata de negociaciones con la Puerta. no, D. Florencio Ceruti y D. Agustín Chinchilla, y de su inocencia Aseguran qne la última nota del Emperador Alejandró contiene la se* en la cansa que té formó -contra ello* 4 consecuencia de los aconteci guriaad de que toma ti mayor mttrtt per la cauca tagrada di lo» grie» mientos del día 18 de Setiembre…</t>
  </si>
  <si>
    <t>Ceruti, Francisco</t>
  </si>
  <si>
    <t>Francisco Ceruti</t>
  </si>
  <si>
    <t>…moviendo la incorporación ; con los abusos de su poder en las ú.timas ocurrencias de aquella capitel; y lo cual se aumentará de un modo Real r efectivo la hipoteca de aque otra de D. Francisco Ceruti, teniente coronel, y de D. Agustín Chin llos, y por medio de las ventas, bajo las reglas establecidas ó que en chilla, capitán del regimiento de caballería de oagunto, sobre que se adelante se establecieren , te multiplicarán los propietarios interesados mand…</t>
  </si>
  <si>
    <t>Ceruti, N.</t>
  </si>
  <si>
    <t>N. Ceruti</t>
  </si>
  <si>
    <t>…e Jubo Francisco Calis, D. Vicente López, el brigadier l&gt;. N. Zaidivar, Don de t8aa.=hxcmo. Sr —Fr nc.sco Plasencia.=£xcmo Sr. comandante Luis Rute, i&gt;. N. Morguecho, D. N. Civil, D. N. Ceruti, y el ma general dei primer d struo.” rino IX N. G -mend.'a. Bando, n A pesar de os continuos actos de bondad que ha dado el Es regular que cese luego en sus funciones la Junta consultiva, Rey constitucional y su G .bienio á los ilusos yr seducidos de alguno,…</t>
  </si>
  <si>
    <t>Cervantes, Ana Ozta de</t>
  </si>
  <si>
    <t>Ana Ozta de Cervantes</t>
  </si>
  <si>
    <t>…y de Abril hubo una acción, en que pe mo. Dama primera y guarda mayor Doña Ana María Iracia de M.er. recí; ron el g.-neral Mourgeon y sus mejoies trocas, peto que no envia Damas, Doña Ana Ozta de Cervantes , marquesa de Salvatierra, Doña ba el detalle por no haberle rec.b.do. Teresa Medina de Sotariba, marquesa de Cadena, id a de Vivanco , Luego se conoció la farsa, y las noticias que continuamente se re Doña Luisa Camacho Gómez Navarrete , condesa de ta Presa…</t>
  </si>
  <si>
    <t>Cervar, María</t>
  </si>
  <si>
    <t>María Cervar</t>
  </si>
  <si>
    <t>…a v.a de Panamá se tenian Cacho, Doña Josefa de Gregorio de Torres, Doña Luisa Vicario de noticias en aquel pueblo de que el general Mourgeon vivia, de qile ha Morerfo. Camareras, Doña María Cervar tes , Doña Dolores Abarca, bía batido completamente á los colombianos, de que el batallón de Doña Manuela Cacho , D ña Antonia Bonilla y Val&lt; ro, Dora María Aragón y los pástenos habían rivalizado en valor, y de que el ilustre Rodríguez y Camina, Doña Jos.fa…</t>
  </si>
  <si>
    <t>César, Carlos</t>
  </si>
  <si>
    <t>Carlos César</t>
  </si>
  <si>
    <t>…n presentó los siguientes artículos , que se habian manda La comisión de Guerra opinaba que debía llevarte 4 efecto la re do volver á ella: comendación al Gobiei no que solicitaba D. Carlos César para que le Art. 3.a » Al enagenar por cuenta de la deuda pública esta mitad emplease. Aprobado. de baldíos y realengos será indispensable que en los mismos pueblos se La comisión de Salud pública , en vista de un oficio del Gobierno fijen edictos, se Balando…</t>
  </si>
  <si>
    <t>Cesolamente</t>
  </si>
  <si>
    <t>…es. de la sala primera criminal de esta audiencia empezó en Lora el a6 y acabó eu las inmediaciones de aquel pueblo territorial de 19 del corriente se ha madado citar y coavocar a D. Cesolamente entraron en combate unos id hombres de nuestras tropas, non Rocandío ,comisario de guerra, y vecino que fue de la ciudad de quienes arrollaron mas de 63 facciosos , causándoles la pérdida de 70 Oviedo, para que al término de ocho días comparezca en la escriba…</t>
  </si>
  <si>
    <t>Céspedes, Jostf</t>
  </si>
  <si>
    <t>Jostf Céspedes</t>
  </si>
  <si>
    <t>…tras costas; decreto, y por lo mismo opinaba que no debía adoptarse. Aprobado. deteniéndose los buques, é imponiéndose al espitan ó patrón una multa Olio acerca de la solicitud de D. Jostf Céspedes, originario do igual al valor de ellas.” Aprobado. Africa y domiciliado en Caracas, para que se le concediese cana de Arr. 19. «Para cubrir dicha multa podrá embargarse la parte da ciudadano. La comisión observaba que el interesado era hijo de padres mercader…</t>
  </si>
  <si>
    <t>Céspedes, María Agustina de</t>
  </si>
  <si>
    <t>María Agustina de Céspedes</t>
  </si>
  <si>
    <t>…eciese mas conveniente. Aprobado. La comisión prrneru de Legn anoti , en vista del expediente promo prior com. ti no ante». Ad.-m«» no se ha did&gt;* la certere * de-tro del vido por Doña María Agustina de Céspedes t vecina de Kci|a , viud. de termino de rvho otas .como previene el art. u o 40 del -ap &gt;• de la D. Maitin de LapuciU, sobre que se mandase al poseedor del mayoraz ley de y de O-lubr* de 181» ; este es un hecho centesado por la m:»-</t>
  </si>
  <si>
    <t>Cesta</t>
  </si>
  <si>
    <t>…lo dades. que parece seguro es que habiendo un individuo soltado algunas ex » No bastan sin embargo , mexicanos , los esfuerzos de los hijos de presiones relativas i la causa del coronel Cesta , se echó sobre él una Marte para la feliz conclusión de la nueva empresa; es necesario que porción de gentes, entre los cuales un miliciano sacó tu sable, y le hi todos nuestros conciudadanos reconozcan lo irresistible*que es la unión: rió. El tumulto ocasio…</t>
  </si>
  <si>
    <t>Cetndla, Félix</t>
  </si>
  <si>
    <t>Félix Cetndla</t>
  </si>
  <si>
    <t>…consumar ‘a grande obra de la Nación Carriola, D. Cristóbal Tille: , D. Pedro dala Liare, D. Jo*ef Aba etpaño a, !* segundad del sisteme y ei desengaño de los mas extraño* llan y D. Félix Cetndla*. ilusos. Este pueblo será vuestro apoyo en toras ocasion e. Los s-gio* Subímitnlts. D. Bernardo Fernandez, D. Diego Llórente, D. Pa coronarán el heroísmo de los valientes con el recuerdo mas dulce v blo Riera, D. Josef Cuervo A rango, D. Fmaciaco Macíac, D.…</t>
  </si>
  <si>
    <t>Ceva, Joaquín</t>
  </si>
  <si>
    <t>Joaquín Ceva</t>
  </si>
  <si>
    <t>…vieja y Meca para que intervengan de los Sres. siguientes: D. Francisco Colombo, D. Pedro de Alvaro y en los actos de presentación de los hijos ó hijas de los Sres. Infan Delgado, D. Joaquín Ceva!los,D. Gonzalo Cárdenas , marques de tes D. Cárlos y D. Francisco de Paula, y resolver que se retiren los Cusano,D- Josef Larreitepui, D. Antonio María Espejo, D. Ber Sres. J menez y Sedeño á desempeñar sus funciones, por exigirlo asi nardo Asenjo y D. Matías…</t>
  </si>
  <si>
    <t>Ceval</t>
  </si>
  <si>
    <t>…haber interceptado lo* Se continuó la última revista de la Constitución sin que apenas té mismos facciosos un aviso de este i aquel comandante Dicho t menta hiciesen variaciones. coronel Ceval los se hillaba el 8 con su columna en Calanda en reipcica E Congreso decidió que la comisión de Constitución y la de Re con el coronel Barrena y el comandante Tolosana , cuya co¡ enana , des dice on de leyes acabasen de redactar la Constitución á fin de prese…</t>
  </si>
  <si>
    <t>Ceval, Joaquín Huerta</t>
  </si>
  <si>
    <t>Joaquín Huerta Ceval</t>
  </si>
  <si>
    <t>…no. Kn su vista se reunió el jurado, compues Recaudado por 3 to de los Sres. siguiente s: D. Valentín Hortigosa, D. Francisco de la débitos de ico-&gt; 91,376.. 6 12,376.. 6 Carrera, D. Joaquín Huerta Ceval .os, D. Cayetano Romero, D. An píos de siles..,J drés Alcon, D. Josef Antonio Ponina , D. Francisco Mattinez Mari Salitre, azufre) 7.8S4 658.. 9 7.'PS &gt;5 na , D. Antonio María Esp jo y D. Miguel Rípa. Habida ia conferen y pólvora...... j cia, resultó por unan…</t>
  </si>
  <si>
    <t>Cevallo, Joaquín Huerta</t>
  </si>
  <si>
    <t>Joaquín Huerta Cevallo</t>
  </si>
  <si>
    <t>…del Ateneo la consideración de rioso á su persone, se reunió el jurado , compuesto de los Sret. situíen- los muchos gastos indispensables para formar un establecimiento de es tes: D. Joaquín Huerta Cevallo» , D. Ignacio Pajares ,D. Josef Gómez ta clase, y que tarto redunda en beneficio de ellos mismos y del pú Albacete, D. Antonio Regai, D. Juan Antonio López, D. Jos-f Bar blico. Asi es que desde su fundación lleva ya empleadas Jas siguientes do , D. Josef Rado…</t>
  </si>
  <si>
    <t>Cevallos, Joaquín</t>
  </si>
  <si>
    <t>Joaquín Cevallos</t>
  </si>
  <si>
    <t>…lot señores si rejo , Salvato y Seoane. guientes: D- Lino Campos, D. Nicolás Alonso, D- Antonio del Al Se leyó la siguiente adición del Sr. Becerra: » Pido que la remisión cázar, D. Joaquín Cevallos, D. Felipe López Valdemoros, D. Higi«leí código penal á la sanción del Rey se eotienda corregidos y com nio Antonio Llórente, D. Sebastian Andrés, D. Antonio María Espe probados exactamente los dos egemplares.” jo y D. Valentín de Nicolás. Y habida la confere…</t>
  </si>
  <si>
    <t>Cevallos, Joaquin Huerta</t>
  </si>
  <si>
    <t>Joaquin Huerta Cevallos</t>
  </si>
  <si>
    <t>…ue debe salir de Puerto-Cabello no extrañará con D. Juan Paz, D. Isidro Merino, D. Felipe López Valdemoro», sigan la destruccien de los enemigo*, lo que seria fácil lograr con muy D. Joaquin Huerta Cevallos, D. Antonio María Espejo, D. Valentín cortos auxilios, á causa de que todos los pueblos están animados contra de Nicolás, D. Juan Fernandez Casariego, D. Juan Pablo Pascual, ellos , y que sus fuerzas son en el dia muy cortas, y abora seria menos D. Martin Mig…</t>
  </si>
  <si>
    <t>Cevallos, Joaquín Huerta</t>
  </si>
  <si>
    <t>Joaquín Huerta Cevallos</t>
  </si>
  <si>
    <t>…e los pueblos á que fueren destinados sde los Sres. siguientes: D Pedro Alvaro Delgado, D. Celestino Olohasta dejar realizado el cobro dé los adeudos, y haber exigido de los zaga, D. Joaquín Huerta Cevallos , D. C ayetano Romero, D. Antonio responsables sus dietas; en la inteligencia deque se impondrá ¡í los in Regas, D. Felipe López Valdemoiot, D. Ramón Llord, D. Antonio tendentes la mas estrecha responsabilidad si se descuidase por su parle María Espejo, y D.…</t>
  </si>
  <si>
    <t>…ilegio de to9 mrs. al En su vista se reunió el jurado , compuesto da los Sres. siguientes: millar de renta, 13,125 mrs. situados sobre las tercias de Carteen*, D. B-rnnrdo Asenjo, D. Joaquín Huerta Cevallos, D. Angel Bonal- fecha en'Madrid á 14 de Julio de 1578: otro de io3 mn. al millar, to, D. Martin Z»randia,D. Francisco López Olavarrieta, D. Jaime renta 33,660 mrs., situados en el partido de Sigüenza , fecha en Raíz Abreu , D. Valentín de Nicolás, D. Antonio…</t>
  </si>
  <si>
    <t>Cevallos, Joaquín Huerta y</t>
  </si>
  <si>
    <t>Joaquín Huerta y Cevallos</t>
  </si>
  <si>
    <t>…en épo D. Lorenzo Lambe*, D. Bernardo Asenjo, D. Francisco López de cas posteriores, es decir, eu ¡os primeros siglos del cristianismo. En fin, Olavarrieta, D. Isidoro de Hoyo» y D. Joaquín Huerta y Cevallos, algunos residuos menos considerables, unidos á los que hemos citado, calificaron con la fórmula de absuelto el artículo inserto en el número son ios únicos testigos que podemos presentar en prueba de que existió la 78 del periódico titulado el JEspretador, q…</t>
  </si>
  <si>
    <t>Cevallos, Pedro</t>
  </si>
  <si>
    <t>Pedro Cevallos</t>
  </si>
  <si>
    <t>…tanto por too. (Gaceta del 17 de id.) toma de la isla de Sta. Catalina y sus fortalezas á las órdenes del gene Decreto de las Cortes sobre una consulta de la diputación provin ral D. Pedro Cevallos, y en la expedición de le América septentrio cial de Valencia relativa é si las contribuciones ae han de pagar por nal , sitio y rendición de Panzacola y sus castillos, siguiendo el egércilos frutos y rentas del año corriente, ó por los del afio anterior i tu…</t>
  </si>
  <si>
    <t>Cevallot, Joaquín</t>
  </si>
  <si>
    <t>Joaquín Cevallot</t>
  </si>
  <si>
    <t>…debían declarar si había ó no lugar á la formación de causa, y salieron M. H. villa ante el notario mayor D. Vicente de la Llave se mmda los Sres. siguientes: D. Cayetano Romero, D. Joaquín Cevallot, Don convocar por la gaceta y diario 4 Doña María del Carmen Echeverría Juan Fernandez Casariego, D.Isidro de Hoyos , conde de Florida-Blan y su madre Doña Concepción Zu’.uaga, 4 fin de que concurran 4 la pre ca , D. Valentín Nicolás , D. Antonio Quiroga, D.…</t>
  </si>
  <si>
    <t>Cevaüos, Joaquín de</t>
  </si>
  <si>
    <t>Joaquín de Cevaüos</t>
  </si>
  <si>
    <t>…villa al Prado, y después de la ceremonia acos D. Josef Bardo, D. Manuel Josef de Gallego, D. Valentín Rcc o, tumbrada , y habiendo hecho una elocución al pueblo, te dirigió A la D. Joaquín de Cevaüos, D. Domingo Fernandez de Anguio , D. Juan iglesia de S. Isidro, en donde se celebró la misa de Réquiem, con una Paz, D. Iliginio Antonio Lorente, el marques de Casano, el conde •locución adecuada á las circunstancias, pronunciada por uno de los de Florida-Bla…</t>
  </si>
  <si>
    <t>CH, Mar.ano</t>
  </si>
  <si>
    <t>Mar.ano CH</t>
  </si>
  <si>
    <t>…ara fundir tóba d-l regimiento d.- Fxtrsmadura, que al mando del caprt-n D Antonio las á ia vez, una corneta y varios tquipages, entre ellos el del mar Fraile, de los subtenientes D. Mar.ano CH ner y D. Juan Baji sta Jiques. La perdida nuestra ha consistido en un soldado d-1 resguardo meno, á los que v ivan icunidos el captan dei ml,mo r . munro mi i itar hetido levemente. Tengo la satisfacción de anunciar á V. S. D. Manual Gaivan, ueíe del estado m…</t>
  </si>
  <si>
    <t>Ch.aset, Juan Bautista</t>
  </si>
  <si>
    <t>Juan Bautista Ch.aset</t>
  </si>
  <si>
    <t>…el Gobierno opinaba que debía accederse a dicha so Hoy han balado las obligaciones metálicas á yqi, y las acciones licitud. Aprobado. del banco é ójyj. Otro sobre la exposición de D. Juan Bautista Ch.aset, natu-al de ISICLATBRRA. Francia, solicitando carta de ciudadano español. La comisión opinaba que también podia concederse esta gracia. Aprobado Léndret 3 de Mayo. Y otro sobre las adiciones de los eres. Ruiz de la Vega y Becerra El Timtt dice haberse recibid…</t>
  </si>
  <si>
    <t>Cha'anzon, Antonio Josef</t>
  </si>
  <si>
    <t>Antonio Josef Cha'anzon</t>
  </si>
  <si>
    <t>…es Aprobado. Historia natural, análisis y virtudes de la fuente sublantina. Opús La comisión de Guerra , en la instancia de D. Josef Espinosa de loa culo dedicado á las Cortes por D. Antonio Josef Cha'anzon , necesario Monteros sobre que se le conceda el empico de primer comandante A los alumnos del arte de curar y útil á sus profesores; cuaderno en 4* del batallón de milicias de Castellón , opinaba no debían las Corles ac con 10 tablas: su precio 8 rs. vn. Se h…</t>
  </si>
  <si>
    <t>Cha, Ventura</t>
  </si>
  <si>
    <t>Ventura Cha</t>
  </si>
  <si>
    <t>…a ciudad da Logroño, reunidos en jurado da acu «ación los to* Carnicera con loa documentos que lo acreditasen; te ha acordado vol Sores D. Juan Manuel Santiago, D. Agustín Tricio, D. Ventura Cha ver á citar y emplazar é loa que aun no te hayan presentado, para que cón, *f&gt;.'Canteo Benito del Valle, D. Manuel Velaaco, el- Lie. Don en el término de ocho dias , contados desde esta fecha, que por tercero Joaef Jorga Saenz, D. Pedro Perez, Lie. D. Manuel…</t>
  </si>
  <si>
    <t>Cha, Vicente</t>
  </si>
  <si>
    <t>Vicente Cha</t>
  </si>
  <si>
    <t>…los mencionado* Vázquez, Rodríguez Romero, Casal, D. Batasar mo eilos aun en cosas muy subalternas. Estas denominaciones suponen Cerezo, D. Bernardo de Soto, D. Bernardino López, D. Vicente Cha partidos que r.alm-nte no existen, pues todos vamos á un mismo fin, los, D. Josef Toribio Rodríguez y D. Josef Pereira. En comosgrafia los que es ia libertad de la patria, y la consolidación del sistema consti dichos Vázquez, Soto,Chalus, D. Francisco Santos,…</t>
  </si>
  <si>
    <t>Chabarri</t>
  </si>
  <si>
    <t>…CIA DEL SEÑOR OLIVKR. conducta robada__.El 7 y 8 salieron de la capital las conductas de Guerrero y K.sr.o, que hacen ascenderá 1.7009 pesos , escollados Sesión del dia 39. por el general Chabarri con aoo soldados de caba Iería, las que deberían Leida y aprobada el acta de la anterior, se mandó agregar á ella el haber entrado ayer en Jalapa. También han llegado i Tampico 8oo9 Voto particular de los Sres. Vetasco, Santafe y Marau , contrario á la pesos.…</t>
  </si>
  <si>
    <t>Chacón</t>
  </si>
  <si>
    <t>…uales fueron entregados por vía de depósito de segu licenciados al momento que estén destruidas las cuadrillas de facciosos, ridad al alcalde de Coronil, y volverá á recogerlos el brigadier Chacón y que se declare Ubre de aprontar tu respectivo cupo á todo pueblo que cuando pase por «liebo pueblo regresando á su provincia. Se asegura se baile en estado da gnerra, y el cual baya tomado las armas un nú que Zaldivar va herido de un balase en una pierna ,…</t>
  </si>
  <si>
    <t>Chacón, Nicolás</t>
  </si>
  <si>
    <t>Nicolás Chacón</t>
  </si>
  <si>
    <t>…as mismas reglas ana decretaron lat Cortes en la legislatura dice haber entrado aquel dia en dicho pueblo el brigadier coronel de anterior pan el reemplazo de aquel alio. Numancia D. Nicolás Chacón con ijo caballea «la su cuerpo, del de Otn del Sr. Boejr para qns lat Corma sa sirvan acordar, que to Santiago y del resguardo militar. Site patriota y activo gefe había dos los que debiendo ser comprendidoe en el reemplazo actual hayan perseguido á cuatro «l…</t>
  </si>
  <si>
    <t>Charril, Juan</t>
  </si>
  <si>
    <t>Juan Charril</t>
  </si>
  <si>
    <t>…n persecución de r&gt; Renta francesa el 16 de Marzo 89 fr. *5 c.; acciones del ban los malhechores una partida de la milicia nacional de caballería , el co 1 r-88 fr. 75 c.” alférez D. Juan Charril, que la mandaba, entregó al comandante de la Én Londres estaban los fondos públicos el día 1 a como sigue: Ac niilic a un registro de 356 vales que robaron dichos nueve hombres, ciones del banco; 3 por 100 reducido; 34 por 100 y 4 por 100 cercuya copia me aco…</t>
  </si>
  <si>
    <t>Chasco, Manuel de</t>
  </si>
  <si>
    <t>Manuel de Chasco</t>
  </si>
  <si>
    <t>…anuladas con el establecimiento de En el tribunal especial de Guerra y Marina, y por la escribanía de fas Cásnaras. Valencia mira semejantes rumores como un preludio de cámara de D. Manuel de Chasco , ha seguido autos D. Pedro Olamier, que se intenta esclavizar de nuevo á la Nación; y constante en los so natural de Burdeos en Francia, capitán de la goleta de la misma nación lemnes juramentos que tiene hechos, protesta que se halla animada de nombrada Pom…</t>
  </si>
  <si>
    <t>…e mas tiempo del que puede En el tribunal especial de Guerra y Marina , y por la escribanía d« un hombre retener el aliento. La diferencia de las ráfagas calientes i las cámara de D. Manuel de Chasco, se están siguiendo autos eñ grado de frescas es de 7 á 10 grados. Me parecía que cuando soplaba este viento apelación desde el año pasado de 1807 por D. Cristian Andrés Aulzen, se esparcía por la atmósfcia un color entre amarillo y cárdeno, y que en capitán…</t>
  </si>
  <si>
    <t>Chaubet, Antonio</t>
  </si>
  <si>
    <t>Antonio Chaubet</t>
  </si>
  <si>
    <t>…la haya podido recibir, ó tenga not'cia de ella, se sirva remitir d mas .nir ditos que fo-uun .u clase, t.os pre'ados en sus respectivas la» indicada» certificaciones al nominado D. Antonio Chaubet 4 Sevi d.ocesis tienen tantas rr.ed o» de mtluir .abre Jas párroco* que e* por lla , ó bien á esta corte al (apresado Msjía. EN LA IMPRENTA NACIONAL.</t>
  </si>
  <si>
    <t>Chaves, Benito</t>
  </si>
  <si>
    <t>Benito Chaves</t>
  </si>
  <si>
    <t>…tensiva í opinaba que debia pasar al Gobierno para que la instruyese- todos los ayuntamientos de la Península que se hallen en el misn o El de :a misma, re.ativo á la solicitud de D. Benito Chaves , D. N. caso que el de Segovia.” Cosío y D. N Mela, individuos de la diputación provincial de Sala El Sr. Saetrz de Btíruaga pidió que en atención á Jas últimas ocur manca , para que en arene on i la enfermedad que padecen, se les exo rencias de Onhuela , en…</t>
  </si>
  <si>
    <t>Chaves, Luía</t>
  </si>
  <si>
    <t>Luía Chaves</t>
  </si>
  <si>
    <t>…ere seguir la Inglaterra, la administrador de ia Moncloa; Daña María Gerónima Carbonell, cual en punto á intervenir en los negocios interiores de otros Estados americana , viuda ; D. Luía Chaves, guatdaropa dd Key ; D. Pedro nunca ha estado de acuerdo, ni parece estarlo ahora, con el modo de Podio, oficial segundo de la tesorería de S. M-; el P. Fr. Pedro Tepensar de ciertas potencias. Corrían en Viena algunas voces nada gratas Hez, agonizante en ei…</t>
  </si>
  <si>
    <t>Chaves, Luis</t>
  </si>
  <si>
    <t>Luis Chaves</t>
  </si>
  <si>
    <t>…respetables y libe zo Gómez, administrador de Ja Moncloa , Doña María Gcronims rales, dice una carta, fueron presas porque se presentaron falsos dela Carbonell, americana , viuda, D. Luis Chaves , guardaropa del Rey, tores , que podían muy bien estar cohechados por el oro de Urgel, ó D. Pedro Podio, oficial segundo de la tesorería de i&gt;. M, el P. Fr. Pe animados de alguna enemistad.” Sigue citando los nombres de algunos dro Tellez, agonizante en et c…</t>
  </si>
  <si>
    <t>…eran, ya el 3 del actual se ministrador de la Moncloa. Doña María Gerónima Carbonel, ame juntaban mas de 90 en la caía de la ciudad para la elección de oficiales. ricana , viuda: D. Luis Chaves, guardarop* del Rey : D. Pedro Po Estaban todos armados v y según deseaba el alcalde segundo se creía que dio, oficial segundo de la tesorería de a. M. : ei P. Fr. Pedro Tellez, por todo este mes estatúan uniformados. agonizante en el convento de Alcali D. Jo…</t>
  </si>
  <si>
    <t>Chaves, Pedro Alcántara de</t>
  </si>
  <si>
    <t>Pedro Alcántara de Chaves</t>
  </si>
  <si>
    <t>…a tesorería general de la Nación , núm. que La junta de acreedores á la.testamentaría del Sr. conde de KoMejas me ha devuelto después de anotado ei pago que le he hecho de 400 rea D. Pedro Alcántara de Chaves, que estaba señalada para el dia ai de les ; y para que le sirva de data por esta cantidad firmo el píeseme en Diciembre próximo pasado , según se anunció en el diario y gaceta de tal pueblo , á tantos de tal mes y año. 10 y ia del propio mes, se ha trasladad…</t>
  </si>
  <si>
    <t>Checa, Francisco González</t>
  </si>
  <si>
    <t>Francisco González Checa</t>
  </si>
  <si>
    <t>…aballos de coraceros del Rey, y 31 del coronel capitán de Barcelona D. Manuel Bancea, y el ayudante de Can escuadren provincial, cuya fuerza total constaba de 1500 hombres. tabria D. Francisco González Checa, que con mucha oportunidad co » A las dos de la mafiana salí da Reus con parte de estas tropas, y municaron mis órdenes en toda la vasta línea. á las once lo verifiqué da Valls con toda la columna, con dirección £ » Dios guarde á V. E. muchos años. Valla 7 de…</t>
  </si>
  <si>
    <t>Chiara, Cayetano de</t>
  </si>
  <si>
    <t>Cayetano de Chiara</t>
  </si>
  <si>
    <t>…San ador Martines y Miguel Teresi ; y de los cinco que restan , ademas podía haber tenido partí en dicha prisión el haber instruido el espe de dicho barón, son D. Fernando Amari , D. Cayetano de Chiara, diente que acompañaba ; y emir de íc-do resultaba que era contrario al D. Vicente Im-rass-a y D. Gerónimo Lamanna._^a han desarmado decreto de las Cuites de 24 de Miren de 1813, del cual se desentendie en Sicilia á los habitantes de Móntenle, Parco, Me/zagno…</t>
  </si>
  <si>
    <t>Chico, Gerónimo</t>
  </si>
  <si>
    <t>Gerónimo Chico</t>
  </si>
  <si>
    <t>…opia mano se le entre al alcalde constitucional de este pueblo, y á loa ciudadanos D. Manuel gue ; y yo después de dar descanso 4 la tropa en esta, el día de mañana de la Fuente y D. Gerónimo Chico, que iban á ser fusilados por afec emprenderé mi marcha con dirección 4 Lerma , conduciendo los pri to* al sistema. Por Ultimo tengo la satisfacción de decir i V. S. que sioneros y efectos que d jo referidos; y en dicho punto espero sus ór esta horrorosa facc…</t>
  </si>
  <si>
    <t>Chin, Agustín</t>
  </si>
  <si>
    <t>Agustín Chin</t>
  </si>
  <si>
    <t>…e su poder en las ú.timas ocurrencias de aquella capitel; y lo cual se aumentará de un modo Real r efectivo la hipoteca de aque otra de D. Francisco Ceruti, teniente coronel, y de D. Agustín Chin llos, y por medio de las ventas, bajo las reglas establecidas ó que en chilla, capitán del regimiento de caballería de oagunto, sobre que se adelante se establecieren , te multiplicarán los propietarios interesados mandase formar causa á D. EstanVao banchez S…</t>
  </si>
  <si>
    <t>Chinchilla</t>
  </si>
  <si>
    <t>…stas circunstancias hacen vrr la cio del conde de Cartagena, fecha del día 1 a , en que habla del arresto justicia del dictamen presentado por la comisión para que se exija la del capitán Chinchilla; pero este oficio no es como de un juez, sino co responsabilidad á todos los que bao intervenido en dichas actuaciones. mo una actuación de la autoridad militar. Por consiguiente siendo in El tercer punto que ha tocado el Sr. preopinante es tclativo á si so f…</t>
  </si>
  <si>
    <t>Chinchilla, Agustín</t>
  </si>
  <si>
    <t>Agustín Chinchilla</t>
  </si>
  <si>
    <t>…va sobre el arreglo del clero. caballería de Sagunto, D. Florencio Ceruti, teniente coronel del mismo A la de Legislación otra del Sr. Seavedre sobre que ningún extrancuerpo, y el capitán D. Agustín Chinchilla, sobre varias infracciones gero mande cuerpo, plaza ó prov íncia sin tener dispensación particular de Constitución y ley cometidas en la cause que se les formó á conse de las Cortes para ello. cuencia de una queja ó denuncia hecha contra ellos en un papel anó…</t>
  </si>
  <si>
    <t>…enido de diente promovido por el brigadier D. Francisco Serrano, el tenkate un modo ilegal. Si la comisión creía absolutamente necesario examinar coronel D. Florencio Cénit i y el capitán D. Agustín Chinchilla. los autos originales, debía haberlo expuesto al Congreso, y p.oceder El Sr. NuBez Faltón: Este expediente es sumamente voluminoso, con su acuerdo. pues tiene mas de 600 fojas, por lo que suplico ai Sr. presidente se sir El Sr. Salva dijo que en el oficio pas…</t>
  </si>
  <si>
    <t>Chiocchini, Francisco Paula</t>
  </si>
  <si>
    <t>Francisco Paula Chiocchini</t>
  </si>
  <si>
    <t>…mez 13 Ei copia. = Latorre.” to , y los sugetos i quienes tocan son los siguientes: á los Sres. D. Fe derico Gerónimo Berechan 1 o vates de 130 pesos, según endoso da VARIEDADES. D. Francisco Paula Chiocchini, en Cádiz é 31 de Diciembre de 1810: á los Sres. D. Roberto Loiiete i hijo, por dos ídem , según el que está Constitución dt las úlas Jónicas» i tu favor en Cádiz á 27 de Abril de 18(4 por J. D. HockOcll: á Doa El estado de los negocios políticos en el orient…</t>
  </si>
  <si>
    <t>Chulvi, Vicente</t>
  </si>
  <si>
    <t>Vicente Chulvi</t>
  </si>
  <si>
    <t>…es quinta partes de las produccio gimiento de ¿amera, D. Honorato Piera, abogado, D. Josef Codini, nes en bruto de los predios rústicos, y entonces nos aproximaremos del comercio, D. Vicente Chulvi y D. Vicente Llopis, canónigo ma al verdadero resultado. El valor de esta riqueza asciende por el censo gistral, declararon D. Raimundo Poveda, D. Honorato Pirra, D. Jo del año 99 á 5143 millones; y deduciendo la mitad, que debe rebajar sef Codina y D. Vicente Llopis haber lugar…</t>
  </si>
  <si>
    <t>Chureii, Riendo</t>
  </si>
  <si>
    <t>Riendo Chureii</t>
  </si>
  <si>
    <t>…encargado dei destino de inspector general o: toJvj los á 8443 p'azus, qu: la c. m «icr» 5 a el - v,.to a 9O para ■ curr r a . jaquie cu.ipos de infantería y caba'lcna de línea, y D. Riendo Chureii, que ra aum nto repeTilino. Consideianccv d-spuc» que en ur.a fun.i n r- si se conoce muy bi.n ns» ser italiano. ta natura cza deb.n desaparecer toca» as dist r.c onti, »' tl-. v-i por Irtsertaríkinos aquí la lista de -&gt;5 mariscales de campo y brigadieres, qu…</t>
  </si>
  <si>
    <t>Ci'.deroa</t>
  </si>
  <si>
    <t>…la elección de presidente, j en primer escutrinio tu ble de los turcos en no querer dar oídos i ningún consejo amistoso, y vo el Sr. duque del Parque 41 votos, el Sr. Gener 45, el Sr. Ci'.deroa en no admitir ni aun ia sombra de una intirvencion a favor délos grie 39, el Sr. Sedeño uno , el Sr. Back otro, el Sr. Hen-iquez otro, ei se gos. Ais-una» cartas fidedignas que llegaron ayer á esta capital dicen qu* ñor Vaidés Bustos otro, el Sr. Villaboa otr…</t>
  </si>
  <si>
    <t>Ci, Pablo Fernandez de</t>
  </si>
  <si>
    <t>Pablo Fernandez de Ci</t>
  </si>
  <si>
    <t>…ente de la tala segunda del fie aprobaron los aiticulos siguientes: tribunal de Cortes, en el que manifestaba la sentencia que ha recaído CAriTULO XXXIII. sobre la causa formada á D. Pablo Fernandez de Ci&gt;iro, canónigo de la tanta iglesia metropolitana de Santiago, y uno de los óyt ex-diputa- Del sitio de las fia zas. doa de las Cortes extraordinarias de 1814 que firmaron la representa Art. I.° » Si el general que mandare un egército en campaña resol ción que…</t>
  </si>
  <si>
    <t>Ciará, Felipe</t>
  </si>
  <si>
    <t>Felipe Ciará</t>
  </si>
  <si>
    <t>…a: miento de F mando vn: fue herido también ei benemérito subtenien Ya ha tenido ¡rrútadores en la conitltuconsl Eareetora el rasgo te de la pr mera de cazadores del propio cuerpo D. Felipe Ciará, y el patriótico del ciudadano R'.v'ra. (Gaceta .iel 17 ) Vn ircóz- i*ni firayudante D. Joaquín Fontanillcs d i mismo levemente contuso en un mado.R. B. y C. , indiv dúo de a milicia raciora v 'unri- a , ha s do pie. A nadie recomiendo, porque debo hacerlo de…</t>
  </si>
  <si>
    <t>Ciaverol, Ignacio</t>
  </si>
  <si>
    <t>Ignacio Ciaverol</t>
  </si>
  <si>
    <t>…disfruta del Gobierno y dirección general de estudio* acerca de la liquidación rán de asientos en las funciones públicas á continuación de los del de unos créditos que reclamaban D. Ignacio Ciaverol y D. Indio Lló ayuntamiento, siempre que los no inutilizados hayan servido á lo me rente, opinaba que d.b a hacerse dicha liquidación. Aprobado. nos seis afios contiguos.” Retirado. A la comisión primera de Hacienda se mandó pasar una comulta Art. 15 a. » Pata todo empleo d…</t>
  </si>
  <si>
    <t>Cicerón, Ramón</t>
  </si>
  <si>
    <t>Ramón Cicerón</t>
  </si>
  <si>
    <t>…ución que habían toma Guevara. do las Corte* de que fuesen puesto* en libertad loa graso* españoles Después fue elegido el Sr. Ruiz de la Vega por 81 votos, repar D- Tomas Blanc y D. Ramón Cicerón; y se suscitó una larga discu tiéndose los restantes hasta 110 entre loe Síes. Gómez Becerra, Meto, sión sobre si debería tomara* en Conaidecacion la protesta del encargado Luque, González (D. Diego), Viliaboa, Garoz, Romero, Albsar, de Negocios de España, y…</t>
  </si>
  <si>
    <t>Cicmencin, Diego</t>
  </si>
  <si>
    <t>Diego Cicmencin</t>
  </si>
  <si>
    <t>1139</t>
  </si>
  <si>
    <t>…o hacia sus enemigos-, y en este cuerpo, Esu ruhr cado de la Real maso. sEn Palacio é 10 de Juiio de 1822. que con tanta gloria se pronunció en favor del sistema constitucional =A D. Diego Cicmencin. en ai de Febrero del año ao, protesta de nuevo que será un firme apo yo de las leyes que emanen de aquel, y que jamas consentirá se viole Don Fernando vis por la gracia de Dios j por la Constitución d* smpunemente el juramento prestado de sostener ¡a G nstit…</t>
  </si>
  <si>
    <t>Cid, Fernandez</t>
  </si>
  <si>
    <t>Fernandez Cid</t>
  </si>
  <si>
    <t>…s compañeros pira hacer esta proposición, por 73 de 94 , el Sr. Mur6 por 69 de 93, *1 Sr. Garoz por 74 da 97, prescindiendo de las personas, porque solo atendían á las cosas. y el Sr. Fernandez Cid por a2 de 103. No se admitió á discusión por óo votos contra 58. En seguida se leyeron los artículos 54 y 5 5 del reglamento y el 34 Se leyó una proposición del Sr. Falcó, relativa a que las Cortes se del capitulo de la ley de 9 de Octubre, y con arreglo á el…</t>
  </si>
  <si>
    <t>Cid, Josef Fernandez</t>
  </si>
  <si>
    <t>Josef Fernandez Cid</t>
  </si>
  <si>
    <t>…Santiago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 Aprobados los poderes de estos Srcs. como proponía la co consejo de Estado, se ha dignado nombrar para una de las judicaturas misión. de primera instancia de Madrid, vacante por p…</t>
  </si>
  <si>
    <t>Cid, Manuel</t>
  </si>
  <si>
    <t>Manuel Cid</t>
  </si>
  <si>
    <t>…puedo comunicar á V. E. ea el mo la de un gr*n número de heridos, siendo la nuestra la del cabo r.° de mento , quedando en. continuar avisando diariamente cuanto ocurra la m licia D. Manuel Cid, que no parece, y la del soldado de Cantabria por el extraordinario que pasa por esta plaza para el Gobierno.esDio* Prudencio Salazar que fue herido; y recomienda este gefe , porque se guarde á V. E. muchos ellos. Tarragona a de Junio de 182 I-Exce distinguió…</t>
  </si>
  <si>
    <t>Cidoncho, Pedro Porro</t>
  </si>
  <si>
    <t>Pedro Porro Cidoncho</t>
  </si>
  <si>
    <t>…es de la sociedad , en las D. Ignacio Marín Sánchez i la de Astúrias. D. Alfonso de Cavia á la compras de bienes nacionales y en el pago de contribuciones atrasadas, da Cañar .as. D. Pedro Porro Cidoncho, fiscal, á lado Valencia. con arreglo I lo mandado por las Cortes, del mismo modo que circu De la audiencia dt Gaiieia. D. Diego Alcalá Galiano á la da Aslan los créditos sin ínteres contra el Estado, expedidos por el Crédito túrias. público. De la audiencia…</t>
  </si>
  <si>
    <t>Cienfueges, Josef</t>
  </si>
  <si>
    <t>Josef Cienfueges</t>
  </si>
  <si>
    <t>…brados vocales de los consejos de guerra de generales los consejeros de La da dos onzas...................................................................... — 6 E-tado honorarios D. Josef Cienfueges, D..Tomas Moreno, y Daoiz y Bateítas y latas de reiré. D. Antonio Amar, tenientes generales de! egército nacional, ha teni Da una libra................. S* do i bien resolver, después di haber o-do al consejo de Estado, y con De m dia...................... 16…</t>
  </si>
  <si>
    <t>Cienfuego, Josef</t>
  </si>
  <si>
    <t>Josef Cienfuego</t>
  </si>
  <si>
    <t>…no se imprima, publique y circule, s Rubricado de la Real mano. =s previenen se proceda de oficio contra los reos, le* será permitido á hw En Palacio á 18 de Febrero de 181 s. =A D. Josef Cienfuego*. ciudadanos nombrar libremente jueces árbitros para resolver las dife rencias que tuvieren entre tí, sujetándote á conformarse con tus deci Hoy *7 del corriente te pagará en la casa nacional de moneda siones__ Después de alguna discusión so aprobó el artícul…</t>
  </si>
  <si>
    <t>Cienfuegoa, Josef</t>
  </si>
  <si>
    <t>Josef Cienfuegoa</t>
  </si>
  <si>
    <t>…un rroGobernación de Ultramar é interino del de Estado , D. Vicente Cano do taa brillante como feliz 4 fe dignidad del objeta. 1 Pero en qué con Manuel del de Gracia 7 Justicia , D. Josef Cienfuegoa del de la Guerra, sistirá que no se han llenado completamente sus legítimas esperanzas! ves D. Francisco Osorio det de Marina , y D. Luis Sorela interino del Un número tan corto de sucriptores no le podrán indemnizar muy de Hacienda; be venido en nombrar para…</t>
  </si>
  <si>
    <t>Cienfuegos, Josef</t>
  </si>
  <si>
    <t>Josef Cienfuegos</t>
  </si>
  <si>
    <t>…emas personas que tengan facultad grande de España de primera clase; para la de Gueira al teniente ge legítima para castigar por sí á otros, se excluye tai bien la premedita neral D. Josef Cienfuegos; y para la de Hacienda á D. Luis López Ba ción cuando se excedan en el castigo por un arrebato del enojo que Ies llesteros, director general de rentas. causen en aquel acto las faltas ó excesos giaves que hayan cometido El Sr. Palarea observó que en este ofic…</t>
  </si>
  <si>
    <t>…aficionados á las antigüedades. Este escom Rubricado de la Real mano.=En Palacio á 28 de Enero de i8»a.= bro aprcciable de la magnificencia eg¡|&gt;c¡* llegará muy pronto á Paris, A D. Josef Cienfuegos. adonde tu duefio M. Sautnier ha dispuesto que tea trasladado inmedia » Don Fernando ru por la gracia de Dios 7 por la Constitución de tamente. Puesto en aquel centro de ilustración, ocupará las plumas que la Monarquía espafiola, Rey de las España», á todos l…</t>
  </si>
  <si>
    <t>…e era ¡tupos b e haber parta que desde Bianes me han dirigido el teniente coronel coman lo en el estado de agitación y efervescencia en que estaban los ánimos dante de aquel punto D. Josef Cienfuegos y el coronel D. Josef María de los señores diputados ; y asi solo propon-a que se mandasen pasar á Col ubi, comandante de la sección que en la madrugada del 24 del ac una comisión para que i la mayor brevedad diese su dictamen , exami tual salió de esta plaza…</t>
  </si>
  <si>
    <t>…l paso por Argos para Tarragona un destacamento del regimien los comprendido* en el articulo 5.a, se les darán también gratuitamen to de Cantabria , al mando del capitán del mismo D. Josef Cienfuegos, te por sorteo entre ellos mismos de las tierras labrantías de propios y fue invitado por et comandante de armas pera arrojar i los facciosos arbitrios; pero de estas soiament-s se podrá destinar para dscho fin la que se hallaban ir.mediatos amenazando aquel…</t>
  </si>
  <si>
    <t>…undo batallón un punto opuesto. Resulta de aquí que la columna que salió del Vcn- de la milicia movible de la provincia. El bravo teniente de Cantabria drell al mando del teniente coronel D. Josef Cienfuegos, compuesta D. B rnirdo Zaro, que fue á reforzar el punto con ao hombres de su de la p-queíia guarnición qu: manda y los miqueletes, fue la que se ba regimiento y 1 ■ milicianos movibles , desalojó por tres veces de una tió y los arroiló en los término» que ex…</t>
  </si>
  <si>
    <t>Cilatrava</t>
  </si>
  <si>
    <t>…tambores, pífanos y cornetas, pedia se declarase si Justicia, para que se haga todo presente á las Cortes.” en virtud de este decreto quedaban ó no sujetos dichos individuos al El Sr. Cilatrava dijo que la universidad de Orihuela y las audien servicio forzoso. cias de Cataluña y Madrid habían hecho observaciones acerca de esta Se mandó quedar sobre la mesa un dictamen de las comisiones de artículo. Comercio y Marina acerca de una solicitud de 57 ind…</t>
  </si>
  <si>
    <t>Cilios</t>
  </si>
  <si>
    <t>…n Barcelona los limos, obispos de lat El coronel D. Francisco Puig de Samper, teniente coronel mayor cuatro provincias de la antigua Cataluña. del regimiento de infantería Infante D. Cilios, denunció al Sr. alcalde __La Constitución portuguesa, aprobada en la sesión de 14 de Setiem constitucional D. Miguel de Nájera un artículo comunicado, inserto bre, con algunas pequeñas variaciones, y una adición para el Brasil, en el Diario nuevo, núm. góx ,…</t>
  </si>
  <si>
    <t>Cime, Borg-s</t>
  </si>
  <si>
    <t>Borg-s Cime</t>
  </si>
  <si>
    <t>…sión de Salud pátlica. Sra. Pcdralvrz, Lagasca, Suoan*, Mon meties-n en «1 eiítcicw dj sus funciones.” Quedó aprobada. tesinos , López del Bafto , Tomas (O. Nicssio) y anivelo. Kl Sr. Borg-s Cime ro hizo una proposición para que fuese un artícu Se aprobó la siguiente propoticoa del Sr. Caaga-Argdelles: ■ Qu* lo de Constitución el que ii delito, de libertad de imprenta sean siem tas memorias de los secretario, del Despacho poica inmediatamente k las pr…</t>
  </si>
  <si>
    <t>Cine, Ramón</t>
  </si>
  <si>
    <t>Ramón Cine</t>
  </si>
  <si>
    <t>…, viuda de un mariscal de campo Solicitando lo mismo: otra di Eslían salido de allí para liolarda muchos extiaordmailos despachados Duna Maiía Vázquez, viuda de! alférez de fragua D. Ramón Cine, por varios particulares con órdenes de comprar en Amstetdaro créditos tero, pido mió io tierno: otra de D. Pedro Estraves , tutor de los ¡li austríacos anuí qu les correes oidmar o&gt; anuncias n la sub.da que dí jos niciu res de D. Juan Navairo, vecino que fue…</t>
  </si>
  <si>
    <t>Cinga</t>
  </si>
  <si>
    <t>…estas generalmente están terminadas como he manifestado , se ocasionarían adoptando la idea de ia comisión. cuando van a cesar en sus funciones ios individuos que la componen; El Sr. Cinga manifestó que si se convenía en qu* hubiese jurado, cabalmente cuando se ponga en cgecucion esta medida será cuando las como diputado no tendría inconveniente en adoptar ia idea del Sr. Ar diputaciones se hallen en este caso Se dirá que aunque ésten terminada…</t>
  </si>
  <si>
    <t>…convocada* extraor de Oro, no quiere acceder , según parece, 4 que subsista la oí ciña de es dinariamente. ta orden reducida 4 la mayor simpliícacion : pide el arnisterio de mi El Sr. Cinga; Yo trato de sostener este presupuesto , porque no lo cargo se conserve un escribiente con el sueldo de ;í rs.; la comisión considero como nuevo, tino como adicional al decretado por la* Corfunda su dictamen en que esta orden no es nacional tino extranjera; y…</t>
  </si>
  <si>
    <t>Ciño</t>
  </si>
  <si>
    <t>…e no tuviesen la talla que es Él ir. Adan : Confieso que me ha i eryr. nd.do trrribbrrente ote tá señalada. artículo, porque para mí es tan bárbaro c-mo sí se hubiese fice'o .n El Sr. Ciño contestó que el attículo d.-bii aprobarse conforme esta los siglos medios, y le considero nvay contrario á la n.ora!. Desue d ba , porque si las excepciones se hiciesen antes del sorteo , ia operación momento en que el hombre siente lo» primeros estímulos de…</t>
  </si>
  <si>
    <t>Cipo</t>
  </si>
  <si>
    <t>…e ay de Arruto debiendo salir el hm.trtad-'r el ií de A. ¡tn pira V, ría, ro le i.,-.®avisa al br. gefe político ds esta provine-a qu: d »d: i." ce Setiembre paúará en su v.ag' el conde Cipo d l»t i, le . ¡ó Ja r. v u sospe se vuelve á abtir para las personas procedentes de las provin.ias de tli- char lo poco qu.- J bta iSper.r I» s ¿ri.-p » d 1 : ;1.,¡ , d; a Ru« a. La taiufu y demas del reino el lazareto d; aqu.lta frontera , y que desde segur…</t>
  </si>
  <si>
    <t>Ciprés, Pascual</t>
  </si>
  <si>
    <t>Pascual Ciprés</t>
  </si>
  <si>
    <t>…tud, haciéndola ver lo* peligros á qssa es Mariano Nassrre, D. Joaquín Jaques, D. Nicitio Manuel Villanueva, tá expuesta y el modo de avilarlo* , dió á lúa esta obra. Cada lectura D. Pascual Ciprés, D. Juan Gómez de Aiba y D. Ramón Gazol, de lleva al frente una estampa fias, que representa el suceso mas intere clararon por unanimidad , atendiendo al mérito intrínseco de la obra, sante de la novela. Consta de once tomos , que te veisderán por juegos cuyo…</t>
  </si>
  <si>
    <t>Cipriano</t>
  </si>
  <si>
    <t>…e ir t¡¡. de los sargentos de caballería pua vi ase.usos. _ ja; fundándose en que podía ocurrir que el Gobierno quisicae emplear A la comisión del Crédito público una solicitud de D. Cipriano á un individuo que hubiese contraído un mérito particular, y no pu Alvarer, Dw JotefNovoa, D. Gregorio López y otros oficiales del re diese hacerlo por hallarse sin disfrutar sueldo. gimiento de León, para que se decíate si ciertas cantidades que se les El Sr…</t>
  </si>
  <si>
    <t>Cir</t>
  </si>
  <si>
    <t>…teramente disuelta , y que disfrazándo delito calificado, porque podría disminuirla la falta de aquellas pruebas se sus gefes, de los quedos principales ,el Escusador de Cacerdá y D. Cir que exigen las leyes para la pena capital ó la defensa de los reos, sien ios Florez,capellán t fueron aprehendidos en la Asiana, entre Viliaguer y do por otra parte cierto que el delito de que se trataba fuera el de traiS. Miguel, por la caballería nacional d…</t>
  </si>
  <si>
    <t>Cir.'os</t>
  </si>
  <si>
    <t>…tiendo ia direccon de ios malvados bacía ñe. I: U-íe |&gt;. S b¡-t an, habtend- salido al encuentro d- V.. 4 4. 'ot bu. Colonia de Parnés, y sa número de 800 hombres. Sr.s. I;: an: s D. Cir.'os y i &gt;. rr-ncisco c :n las raí. Iníii-.f iS , quis__susurra que si aquella Regencia pudiese contar con alguna soli n ■» a:o’r pa-aro 1 i 'os 5::;i-!in huespede» ha-*) el Ileai palacio, r¡ „ndez , ul vez habrían desaparecido de esta capital algunos sugetus, que…</t>
  </si>
  <si>
    <t>Circedo, Antonio</t>
  </si>
  <si>
    <t>Antonio Circedo</t>
  </si>
  <si>
    <t>…la de Tamames, y que pe 1. a- a 2. reciese: se suplica á quien tenga noticia de dicho sugeto se sirva comu García Arlas debió no limitarse ¿ remitir requisitorio á Pozo- nicarla á D. Antonio Circedo , del comercio de León; y se grath.ará rub.o, ur.o crentarlos i los gefe* políticos , encargar á los algua con a 00 n. siempre que aquella sea suficiente para averiguar y podar ciles su prisión; pasar nota i los comandantes dal resguardo para acreditar la exi…</t>
  </si>
  <si>
    <t>Circular</t>
  </si>
  <si>
    <t>…n venientes en esa provincia de sn mando. Madrid 13 de Abril de 181a. to no le debia cantar perjuicio en su reputación. Declararon absnelto dicho impreso los tres. D. Andrés Gafo, Don Circular expedid* por el mmieterio de Gracia y Justicia á lodos loe dio cesanos. Valentín de Torrecilla, D. Joaquín lbaira, D. Joaquín Llombart, D. Josef Vecino, D. Félix Mora, cl marques del R o Florido, Don El Sr. secretario de Estado con fecha 7 del corriente tac d…</t>
  </si>
  <si>
    <t>…a Alan, Abreu, Meca, Lillo, Alia, Saavedra, Galiano, Ruiz de libros de matrículas de los habitantes. (Gaceta del y.) la Vega , Olirer, Atienza, Alfonzo, Jiménez, Santafe, Nufiez ( Don Circular del ministerio, en que se adoptan algunas disposiciones para Toribio ), Pacheco, Aguirre, Areílano, Sequera, Escoredo, Ve- que no falte trabajo á los jornaleros en el invierno próximo. (Gace lasco, Sedeño, Villavieja, Fuentes del Rio, Meiendez, Calderón, ta d…</t>
  </si>
  <si>
    <t>Circular, Antonio Martí</t>
  </si>
  <si>
    <t>Antonio Martí Circular</t>
  </si>
  <si>
    <t>…en.das en !.&gt;s r.gla» 1 y toi. relación á los del pri mero, y see¡ícu:arj también en su caso lo erró nado en !a 3.' ARTICULO DE OFICIO. II. hl tesorero pn tal de dicho segundo año D. Antonio Martí Circular dtl m 'mhttrio dt Hacienda nez devolverá inmerf atámente á las tesorerías de provincia y demás de Las Cortes, enteradas de ias dificultades que habían motivado el pendencias ios documentos pertenecientes al mismo, que se ¿ub.eten atraso advertido en la dación…</t>
  </si>
  <si>
    <t>Circular, Benito Romero</t>
  </si>
  <si>
    <t>Benito Romero Circular</t>
  </si>
  <si>
    <t>…tos de cada barrio se dejará alguna hoja en blanco pata En Chinchilla. las notas explicativas de los asientos que convenga extender. La del pérfido de Chinchilla por traslación de D. Benito Romero Circular del ministerio de Hacienda. i la que quedó vacante en Madrid por promoción de D. Josef More . Ei Key he visto con desagrado la escasa recaudación de laa con- no Remirez. tribuc ones y rentas públcas verificada en el último mes de Agos En Cal eta. to, no obsta…</t>
  </si>
  <si>
    <t>Circular, Federico</t>
  </si>
  <si>
    <t>Federico Circular</t>
  </si>
  <si>
    <t>…pre- comparezcan por sí 6 por medio de personas autorizadas al intento; •ente d art. 4.0, tit.; aza. (Garita dt idtm.) y lot sugetos á quienes toca son los siguiente*: é lo* Sres. D. Federico Circular relativa i* con residencia en d Gerónimo Berckan 10 vale* «le 150 peros, según endoso de Francisco distrito de la comandancia general de Gastilla la Nueva. (Garda dtl as-) Paula Chiocchiní en Cádiz é 31 de Diciembre de 1810: á ¡os señores Decreto de las Corte…</t>
  </si>
  <si>
    <t>Circular, Felipe</t>
  </si>
  <si>
    <t>Felipe Circular</t>
  </si>
  <si>
    <t>…en ella la por de los pueblos. tada que dice falsamente ser impresa en Vailadolid en la de Pedro Ci- ARTICULO DE OFICIO. fuente» ; en cuya consecuencia mandó dicho Sr. alcalde que D. Felipe Circular del ministerio de la Gobernación de la Península* Denné hijo abonase fi D. Manuel Díaz Moreno el valor efectivo de 15 egemplares de la obra la Moral universal por vía de indemnización, El Sr. secretario de Estado y del Despacho de Hacienda en 18 dd Condenándo…</t>
  </si>
  <si>
    <t>Circular, Josef</t>
  </si>
  <si>
    <t>Josef Circular</t>
  </si>
  <si>
    <t>…ue Yo ponga la mía, los cua (Id. del 30.) les deberán llevar la vuestra entera. Lo tendréis entendido, y lo comu COBXXA. nicareis i quienes corresponda peía su cumplimiento.” es A D. Josef Circular sobre los socorro* dados sa los n—yfr- fi los pananos •*» Cienfuezos. te juzgan militarmente. (Gaceta del i/.) Decreto de las Cortes sobre exámenes de loe —*-t*rirnifi de arti El Rey se ha servido nombrar gentilhombre de Cámara con ejer llería. (Id. del tj.y…</t>
  </si>
  <si>
    <t>Circunstancias, Adani</t>
  </si>
  <si>
    <t>Adani Circunstancias</t>
  </si>
  <si>
    <t>…para que se necesitan. P r tanto yo desearía que el dictamen es una cosa tan leve que no merece discusión. en cuestión volviese con urgencia á la comisión, y qu: lo rectificase El Sr. Adani Circunstancias demasiadamente críticas para la libertad examinando el reemplazo que es preciso decretar, vista Ja fuerza ver espafiola han motivado ia convocación de Cortes extraordinarias. Los dadera que en la actualidad hay en el egército permanente , cuyo cono Sres. secr…</t>
  </si>
  <si>
    <t>Cirio</t>
  </si>
  <si>
    <t>…e propia. Aprobado. Toledo «obre el pago del medio diezmo correapondiente á una de lea Se dió cuenta da una exposición del ayuntamiento de Cartagena so encomienda» del Sr- Infante D. Cirio»; y un expediente promovido en bre el conato que se mostraba en la ciudad de Orihucla á contrariar el el ministerio de Gracia y Justicia acerca de una solicitud de D. Cle sistema constitucional, y el peligro que podia haber de que la pa mente González, vecino…</t>
  </si>
  <si>
    <t>…xione» para demostrar que la recatadel Erna Sr. Cardenal arzobispo de Toledo y el secretario del Sr. In dación del medio diezmo debía estar 4 cargo de los administradores de fante D. Cirio» sobra la recaudación dal medio diezmo, procedente las encomiendas del gran priorato de S. Juan, como proponin la co de las eutumiendai dd gran priorato da S. Juan, que posee el referi misión ; 4 les que contestó el Sr. Gómez ( D. Manuel) apoyando la do Sr. I…</t>
  </si>
  <si>
    <t>…uelle respon Lérida á D Cirios Me!cior, capitán graduado de teniente coronal sabilidad, y sin la cual no podrían responder de que las tropas cum del regimiento infantería lnía.itc D. Cirio», id. pliesen con tu deber, ignorando culi ea el que se les encomendaba Logroño í D. Joaquín Giyon, comandaste supernumerario del re por ota autoridad: por lo tanto, asi como desde luego y sin la menor gimiento infe tería de Guadal-jara , id. demora están obl…</t>
  </si>
  <si>
    <t>…Mariano). bradas por el misino Congreso. 1 a. De colonias. Muzquiz, Gomes Farsa, Arrape, Mugu’ro, Bu, Proclamo. » La Regencia suprema del imperio, por un iicto de ex- Bustamtnte ( D. Cirio*), Cumplido, Septien , Gutierres de Lara. tremanrMOcia, ptomulgó en la capítol {a México el *r de» presente 13. Ectssidstiesss. Arpada , Abraca, Jimeoes CD. Josef María), mes de Mayo la siguiente acto pública que tema preparada para la Coraminas, Lopes Cmuou,…</t>
  </si>
  <si>
    <t>…l abrazo de grat:tud y los traspor Tmintes. D. FiaQciscéPArazonéi, D." Anrel del Ostillo, Don tes de admiración que os ofrece el ayuntamiento de la Coruña r esta Francisco Jimana, D. Cirio* Marrngal, D. Rafael Cu&lt;d, D- Juan porbio, émulo de vuestras eminentes virtudes i incomparab'es glorias. Francisco Alomo, D. Cristóbal Navarro , D. Joaquín Somoza , D. Jo Vencisteis: llenasteis de asombro í todos los espectador:* por vu-stra sef CaamaSo, D. M…</t>
  </si>
  <si>
    <t>Cirios</t>
  </si>
  <si>
    <t>…o de la col. 4.a a dice haberte dado cuenta en las Cortes de una exposición del coronel Los dueños de los bultos presentados con sello acudirán mañana 6 del regimiento del Infante D. Cirios, acompañando un crédito de del corriente de 9 á z á la casa nacional de moneda para hacer el re 49,694 rt- que en su última voluntad ha cedido al Estado un obc al de conocimiento de los numerados desde el 1731 al 1799, ambos in dicho regimiento: téngase enten…</t>
  </si>
  <si>
    <t>…minas: D. Francisco Araujo, D. Manuel Mosquera, D. Manuel ,,Toda la sala estaba sembrada, como ordinariamente sucede, de obras Ca nbos y Senes, D. Manuel García, D. Eulogio López, D. Cirios de escultura: el planisferio ocupaba la parte del techo que a¡ entrar se Esteves, D. Josef Moreno Montea, D. Josef Armada», D. Diego encuentra á la mano izquierda, y á la derecha había ct¡os adorno, de Mosquera, D. Domingo Sancha , D. Félix de la Riba , D. Ja…</t>
  </si>
  <si>
    <t>…o. y Rmo. Sr. cardenal GalletS, obispo de Alisano, porte para trasladarse á Jas costas de la Morea. El almirantazgo griego quien duí en seguida la comunión al regenerado. S. A. R. D. Cirios ha tenido ya noticias de esto, y está haciendo los preparativos necesa Luis, Infante de España, é hijo de S. M. la Duquesa de Lúea, fue pa rios para atacar la escuadra turca y desconcertar sus proyectos. drino de «te noble catecúmeno , al cual se le impusiero…</t>
  </si>
  <si>
    <t>…la provincia de Tarma, distante poco mas de 40 leguas, com de Trujillo, después de haber derrotado completamente -i Arenales, poniéndose su egército de dos batallones del Infante D. Cirios, i.° de caudillo insurgente, saliendo este muy mal herido: el general la Serna Bíírgos, Cantabria, *.® del Imperial Alejandro y parte del 1.", a.® del había recibido del Cuzco un refuerzo de 1500 hombres, con los que Cuzco, Arequipa, Castro y algunos voluntar…</t>
  </si>
  <si>
    <t>….: Como teniente coronel y comandante accidental de Cot.tntackn de .u Extienda. este cuerpo, por hallarte su coronel D. Josef Joaquín Márquez comi » Viva el regimiento dai Inf.nte D. Cirios. Acabo de recibir d sionado por V. E. con el mando de la división de vanguardia del egér- oficio de vd. de hoy con lo* ejemplares de ¡a proclama que me inclu cito del Sur, que esté á las órdenes del Exmo. Sr. D. Pascual de Liflan, ye , tan militar como enérgi…</t>
  </si>
  <si>
    <t>…spiración que te fotmó el afio pasado de ■ 8 &gt;0 contra el Rey va á establecer alguna pena para que se diga que con esta generalidad N. S. (Q. D. G.), su Seroso, hermano el infante D. Cirios, contra mí ae va á afligir á toda clase de magistrado* de salas y «le tribunales! Yo y otros varios por D. Manuel Francisco de Jáuregui y satélites ante V. creo que en esto te padece nna equivocación muy notable, y que nos digo se me ha conferido traslado de…</t>
  </si>
  <si>
    <t>…observado uno de los Sres. diputados que la última parti La comisión cree que esta partida debe desaparecer del todo , por da del presupuesto, ó los 719 rs. de la consignación del Sr. D. Cirios que la Nación rose halla en situación de hacer gallardías, sino de imi Luis , hijo de S. M. la Reina de Lúea , no se hallabn acordada para los tar la parsimonia de otras naciones. años sucesivos por ningún decreto de las Cortes, el Sr. Canga contestó El secre…</t>
  </si>
  <si>
    <t>…bido matriculado* siempre, se ha tenido li-, arzobispado de Toledo y el de las encomienda* det Sermo. Sr. Infan birlad para pescar, y no se ha considerado como marinero í un ca te D. Cirios; y se levantó la sesión á las tres y cuarto. lero que vive en la orilla del mar, y tiene aa buquito con el cual pel ea una parte del alio. Extracto de tat noticien recibidas for los periódicos extranjeros. Ei Sr. VsJdés ( D. Cayetano) : Todo el mundo sabe que…</t>
  </si>
  <si>
    <t>…smas pudiesen ace.erar Otro de la de Gu-rra, informando no haber lugar i deliberar so esta operación , resoltiendo las dificultades que hubiese en ,a m,1:1.1 : bre la instancia d: D. Cirios ¡ranchee Ron , guardia qae fue de la per que nada de esto había hecho ia com,s on en ei di.tainen soore ia sona del Rev , para que se le comprenda en la resolución tomada con memoria del ministerio de la Gobernación de la Pen n,u a , aunque los gulidias acuar…</t>
  </si>
  <si>
    <t>…. convenientes ptra su prosperidad. El Sr. Isturix dijo que este habrá sido un privilegio que habrá con Se hizo la primera lectura de una proposición de la comisión pri- cedido el Sr. D. Cirios sv al interesado; y que anulados todos los pri mera de Hacienda , la cual, de acuerdo con el secretario del Despacho vilegios, con mayor tazón debía serlo este que tenia su origen de título correspondiente, proponía á las Cortes acordasen la supresión de una…</t>
  </si>
  <si>
    <t>…de ia ria tjpara que en atención i los servicios de su hijo, cadete del regimiento cion del patriotismo. Con relación á lo primero hacia mérito de ¡a len de infantería del Infante D. Cirios, se le conceda el grado de subte titud con que te ha procedido en las causas de los asesinos de C-dz, niente. conspiradores de Búrgos &amp;c., y el ningún castigo que se ha irrpu .io El Sr. Becerra opinó que este asunto no pertenecía i las Corte* ex á los perpetr…</t>
  </si>
  <si>
    <t>Ciriza, Vicente</t>
  </si>
  <si>
    <t>Vicente Ciriza</t>
  </si>
  <si>
    <t>…ad de entregarla en Vitlafrtnca de Navarra i dicho Ama tris, mos terrenos; y que esta determinación se publique por edictos en di á quien iba dirigida por el correo: en Pamplona á D. Vicente Ciriza, cha ciudad, y se inserte en la gaceta de Madrid para que llegue i no y en esta coite i D. Joaquín Arellano , oficial del correft general; ba ticia de los interesados; advirtiendo que el término sefialado para li lo el supuesto que se han tomado todas las pre…</t>
  </si>
  <si>
    <t>Cirneiro, Borges</t>
  </si>
  <si>
    <t>Borges Cirneiro</t>
  </si>
  <si>
    <t>…tos.) 4*9 GACETA DE MADRID. MIERCOLES ao DE MARZO DE 1833. NOTICIAS EXTRANGERAS. yecto de ConstittMton que estaba pendiente , y que trata de la elección de los jueces de'heeho, El Sr. Borges Cirneiro manifestó que no solo ISLAS* JONICAS. deseaba se expresase en la Constitución que esta elección debía ser Xante 21 de Febrero. popular , sino que cía de Opinión que debía también mandarse que la Avisan de S. Mauro con fecha 16 de este mes que los suliotas han…</t>
  </si>
  <si>
    <t>…dias y noches da El Sr. Fernandez Tomas pidió que las cartas del Príncipe te impri continuo* trabajos, ansiedades .7 desvelos hemos conseguido por fio miesen en el mismo día; y el Sr. Borges Cirneiro apoyó la proposi que todas las facciones de la provincia de Gerona nos viniesen á ata ción , diciendo que debía hacerse asi para que toda la Europa conociese car, sin haber logrado, á pesar de repetidos encargos, ningún aviso qué debia esperarse de un joven d…</t>
  </si>
  <si>
    <t>Cirquero, Vicente Sánchez</t>
  </si>
  <si>
    <t>Vicente Sánchez Cirquero</t>
  </si>
  <si>
    <t>…ntrates por los motivos que previene el arti María de Ansa, D. Josef Antonio Puyade , D. Josef María Retoñólo, culo 14 de la Real orden ya citada de so de Enero de 181 r , quedará D. Vicente Sánchez Cirquero, D. Francisco Robles y Bemtez y Don rescindido el convenio; pero siempre tendrá su efecto hasta que vuelva Francisco Puyol: los dos restantes D- Francisco Cairanza y D. Ber i abrirse y aprobarse las nuevas subastas, y á que indemnicen los con nardo de la Peña…</t>
  </si>
  <si>
    <t>Cisa-Iruja</t>
  </si>
  <si>
    <t>…aunque se podía decir que reciprocidad parecía estar en el orden. esta no tenia efecto alguno hasta qus estuviese ai nítida por el Gobier Por último el dia 5 de Febrero recibió el Sr. Cisa-Iruja uní nota no , no creía que fuese una razón suficiente para que se aprobase el dic del ministro de Estado francés, en la que se reían las seguridades mas tamen que se discutía, pues que ea su concepto no estaba el Sr. ¿usa positivas, explícitas y terminantes d…</t>
  </si>
  <si>
    <t>Ciscar, Gabriel de</t>
  </si>
  <si>
    <t>Gabriel de Ciscar</t>
  </si>
  <si>
    <t>…Nación, d.spues de reconocidas y examinadas por las miento, una academia gratuita, en que se ensefiari todo el tratado del contadurías generales de Valores y Distribución. Eremo. Sr. D. Gabriel de Ciscar, mandado enseñar por Real orden en f&gt;.' Lasde los depositarios de partido serán aprobadas por los inten todas las academias marítimas. Lo que te anuncia en este periódico denta., ¡tcípu-s de oido el dictamen del subdelegado del mismo y el para que ti hubiese…</t>
  </si>
  <si>
    <t>Cisinllon, Juan García</t>
  </si>
  <si>
    <t>Juan García Cisinllon</t>
  </si>
  <si>
    <t>…ados se han retirado i sus casas , y y# tino* calzados de ia misma, que se hallan vacantes por fallecimiento no será fácil volver ú embaucarlos.__Habían llegado de Malien i Bar de D. Juan García Cisinllon, cura que fue de la parroquia de Sta. Ma celona , y i disposición del fiscal militar que entiende en el proceso del ría de Eolguer.is en el cono jo de Sa as, principado de Aslúrias, ocur Sr. Pol de Quimbert, las personas siguientes -. D. Ignacio Pujol, vica r…</t>
  </si>
  <si>
    <t>Cist</t>
  </si>
  <si>
    <t>…usa no es la aplicación de Di la de Ciudad-Real........................... 7 b-00. la pena como se quiere supon». D-' la de Falencia................................... 72,000. F.I Sr. Cist¿jon: Según ¡o qu? se ha dicho no solo debia formarte Di la de Segovia.................................. 71,000. causa a' regidor y al alcalde de barrio , uno también á todos ios que los Di :a di Asturias................................... 73,'S'"5. 2 a-J. aux…</t>
  </si>
  <si>
    <t>Cistejon</t>
  </si>
  <si>
    <t>…pueda trasladar de una lo que interesa é la Nación es que las Cortes obren siempre conse diócesis i otra. cuentes. El Sr. Aillon hizo varias observaciones impugnando la medida El Sr. Cistejon: Yo no creo que baya pronunciado una expresión qut te discutía, y dijo que en caso de aprobarse debería ser exceptuán |ue pueda ofender al Sr. Galiano ni á otro Sr. diputado. Si me he re- dose los eclesiásticos que subsistiesen de rentas propias. Jérido á S.…</t>
  </si>
  <si>
    <t>Citiga</t>
  </si>
  <si>
    <t>…ir las can ciu.Ue.oa del año corr.ea:;,»; i,me en consideración por la, C.rtis tidades que ahora se le conceden ; y asi debe aprobarse el dictamen de su r-su.tado. la comisión. El Sr. Citiga: He p-dido la palabra contra est» trticu’o , porque Deciaradn el punto suficientemente discutido hubo lugar á votar los 93 muion.-s qu- se cuie en conceder ai Gobierno por el : :u; sobre la totalidad del dictamen. te-.u te en las c entnbcciones son en mi C;&gt;:…</t>
  </si>
  <si>
    <t>Ciurrea, Manuel</t>
  </si>
  <si>
    <t>Manuel Ciurrea</t>
  </si>
  <si>
    <t>Gaceta de Madrid n.º 324 (extraordinaria)</t>
  </si>
  <si>
    <t>…nes , batirlos por todas partes , dispersar del S5 tuve noticia del coronel D. Francisco Miranda y comandante los en todas direcciones, é infundirles un terror y un espanto de que D. Manuel Ciurrea, que se hallaban en este punto, de que el barón no volverán tan en breve, contribuyendo muy poderosamente á esta de Eruics con las fuerzas que había podido reunir de Mequinenza, Ba- derrota &gt;a caballería, qu; acuchillando una multitud de ellos, les per lagu r…</t>
  </si>
  <si>
    <t>Civil, N.</t>
  </si>
  <si>
    <t>N. Civil</t>
  </si>
  <si>
    <t>…corial a 19 de Jubo Francisco Calis, D. Vicente López, el brigadier l&gt;. N. Zaidivar, Don de t8aa.=hxcmo. Sr —Fr nc.sco Plasencia.=£xcmo Sr. comandante Luis Rute, i&gt;. N. Morguecho, D. N. Civil, D. N. Ceruti, y el ma general dei primer d struo.” rino IX N. G -mend.'a. Bando, n A pesar de os continuos actos de bondad que ha dado el Es regular que cese luego en sus funciones la Junta consultiva, Rey constitucional y su G .bienio á los ilusos yr seduci…</t>
  </si>
  <si>
    <t>Civrtano</t>
  </si>
  <si>
    <t>…l car.ct-r, para que la putac.on s pil.-in calificar la aptitud ó ineptitud de estos empleados. diputación cuando no los necesite pueda despedirlos, deaorganq &gt; de F,i m. Va de. f D. Civrtano): ie da en este articulo intervención este modo á la Nación riel gravamen que le ocasionarían; piro no se al Gobierno, porque piar- sucidir algunas veces qu: las diputaci- nes impide que cuando por ci considerable número de negocios no puedan se par n 1 un em…</t>
  </si>
  <si>
    <t>Ciy</t>
  </si>
  <si>
    <t>…s intendentes en los casos de vrcant-, enfermedad ó ausencia. baldíos llevando a pacer sus vanados. Tesorerías de provincia , donde mirar n d r cúnente los cupos da El Sr. Va dea (D. Ciy taño) hizo varias observaciones sobre est* contribuciones directas, considerándose como valores líquidos todos los artículo, reproduciendo varios de los arvum ntos d-. sr. Mere d , y productos de ella. convmi-ndo n que no s: podía egecuiar la que se mandaba p…</t>
  </si>
  <si>
    <t>Ciyetino</t>
  </si>
  <si>
    <t>…ropas de fus.íes podr.an 14 no se hacia mención de caballería, la comisión no la habia tenido quedar desatendidas las necesidades del cuerpo de artillería. presente. El So Valdés (D. Ciyetino) djo que si se dejaban ios dos rn'¡io El Sr. Arguelles dijo, que desearía que el zelo por las reformas no nes que se aumentaban pita las stenc ones del cuerpo de artillería, ape arrastrase al congreso á adoptar algunas que podían acarrear funestas nas bastarí…</t>
  </si>
  <si>
    <t>Cjii, Rafaíj</t>
  </si>
  <si>
    <t>Rafaíj Cjii</t>
  </si>
  <si>
    <t>…ministeriu de la Ciulern.n ion de la Península. i*.;i bu virtud sí reurnó e. jurado,compuesto ¿i ios señores *¡rt: r Distando el R:y dar á las fábricas de armas de la Nación al fo D. Rafaíj Cjii»! D. Jowf G-imee .W-xictu, D. Zo&lt;IoGofn-e Óí-^'o, mento y protección qua s?an comostibiai con las circunstancias ac- O Andrés Aicon , U. Juan í^.rtés» ÍJ. Marco» I¿-¿u:;rd 11 1&gt;. d-i.G ec l-¡'iies,be ha servido mandar S. M. que los gef;» político» empleen, Go…</t>
  </si>
  <si>
    <t>CJrsri</t>
  </si>
  <si>
    <t>…ue ct-os pu b::.s ir.i t.r. n..r tro , s« i. Sr. Ai.-.ruu desli zo una equivccac on dri Sr. preopinsr.te. t*na; ni nos ha ocetrii j jip.as aux ni » los descomerij, oe • tr . * ili Sr. CJrsri : Ics.sto en la cuestión de que no fca debido discutirse paisas. Apoyados tietnp.a la r:;t ¡ y ¡a i-..i.cia , hem i dr.vsJo .ob el v..M pan culi'*, aprobado ya ci dictamen da Js comisión; ademas da servar la armón a y L., r.a ¡r.:«: ij»r.. ,a cos. ;..do d a'.…</t>
  </si>
  <si>
    <t>Clan-</t>
  </si>
  <si>
    <t>…ardo-Véneto ran á formar un cuerpo de obser López Pinto, teniente coronel de artillería , y autor del referido artículo, vación en las fronteras de la Dalmicii turca.__Sé dice que lord Clan- ha declarado francamente estar coHvendio de que las expresiones conte carty , embajador ingles en Brusélas, vuelve á Lóndres; de lo qus con nida* en el artículo denunciado, d saben » Enemigo legalmente proba*' jeturan algunos que puede sor este un anuncio del…</t>
  </si>
  <si>
    <t>Clancarty</t>
  </si>
  <si>
    <t>6t6 nes inmediatamente te la» arrancarán con lat bayonetas. Diez y ocho de lord Clancarty del reino de loa Países-Bajo*. Paree* que jubo* vi*, comerciante* que no pudieronpsgrr de pronto la señalada fueron lleva sea tienen un tu’smo cbj to; el rompimiento da las negociaciones di dos á la cárcel, y han salido con fianzas, ¡je han aumentado las cont…</t>
  </si>
  <si>
    <t>Claren, Miguel</t>
  </si>
  <si>
    <t>Miguel Claren</t>
  </si>
  <si>
    <t>…litarmente en ellas, cami villa, con azúcar, palo tinte y tabaco. Corb ta española Cinco Her náis voluntariamente á vuestro exterminio , llevando en pos de tan gran manos , capinn D. Miguel Claren*, con azúcar, tabaco, café y palo. calamidad la justa indignación de la patria , por la idea ciarla que dais Bergantín español Cometa, D. Jos f Gandullo, capitán , con azúcar, de obstinación en el delito: sí, seguntinos, conocedlo; vuestro sacrificio pimienta…</t>
  </si>
  <si>
    <t>Claret, Josef</t>
  </si>
  <si>
    <t>Josef Claret</t>
  </si>
  <si>
    <t>…ordinarios. dice) con dirección é Berga, llevándose con su gavilla á los c udadaVarios s florea diputados hablaron en favor de la cóngrua; 7 el se nos 7 milicianos de esta ciudad D. Josef Claret y D. Vicente Paéró. gó, Barrete Feiodijo: Las rentas eclesiásticas son enormes; pero están Son dignos de recomendación y elogio el clero y hab tintes de tan mal repartidas, que muchos párroco* se ven sumidos en la miseria» aquella villa por lo mucho que ae han interesado en sal…</t>
  </si>
  <si>
    <t>Claris, Pascual</t>
  </si>
  <si>
    <t>Pascual Claris</t>
  </si>
  <si>
    <t>…D. Josef Alonso QuintaniUa; en clase ele ción de cauta por cinco votos , habu ndo opinado que st cuatro , qu* interinos á D. Juan Tomas de Silva para la de moral y de derecho son D. Pascual Claris, D. Juan L!adó, D. Benito Plandolit y D. Ma natural, á Tomas Martínez Hortal para la de lógica y pramátea gene cario Riu. Barcelona 17 de Agosto de iSia.sJosef Angias.-li.— Maca ral , d-b endo encargarse ademas de la bibliot-ca/. á D Juan Ortiz rio Riu.eeRafa…</t>
  </si>
  <si>
    <t>Clarlce, Diego</t>
  </si>
  <si>
    <t>Diego Clarlce</t>
  </si>
  <si>
    <t>…por el fiscal de imprenta. distrito. Para ia de Alicante aí brigadier conde de Pino Hermoso, go ANUNCIOS»bernador de la plaza de Alicante. Para la de Játiva al mariscal de cam po D. Diego Clarlce. Para ia de Castellón al mariscal de campo barón Fia salido el 7.” número del 5.° trimestre (.4$ de la colección) de de Andida. Para la de Murcia al mariscal de campo D. Antonio Ma las Décadas de medicina y cirugía prácticas, el cual contiene: i.9 Con ría Peó…</t>
  </si>
  <si>
    <t>Claudio</t>
  </si>
  <si>
    <t>…ca y calzón azul, jorro go dias acodan 4 deducirle y exponerle ante S. S. por el oficio del es* del mismo color, chupa Manca y boton de plata, con un bordado al cribano del número D. Claudio tonz; apercibidos de que pasado dicha canto de la casaca, conforme 4 la muestra que me habéis presentado, y término, sin maa citarle* ni emplazarle* se procederé 4 lo que luya Jo he tenido 4 bien aprobar. Llevarán ademas los mismos gefes una faja gar, y les p…</t>
  </si>
  <si>
    <t>Clavero, Ciríaco</t>
  </si>
  <si>
    <t>Ciríaco Clavero</t>
  </si>
  <si>
    <t>…» lo* ría Tige, D. Josef Mafia Domínguez, D. Leandro Pallares, D. Diego regidores que hayan servido dos afios. Para saber los regidores que de Ovando, D Francisco de Paula Méndez, D. Ciríaco Clavero, D. Joa entre los otros deberán continuar con los nuevamente nombrados se quín Medina, D. Diego Fernandez Mufioz y D. Francisco Montoro pa hará un sorteo , sacando- por ¿1 tos tres que deben seguir de los cua tro ra declarar si había ó no lugar á la formación…</t>
  </si>
  <si>
    <t>Clavija, María</t>
  </si>
  <si>
    <t>María Clavija</t>
  </si>
  <si>
    <t>…habían señalado en la provincia ds ' . ..c on de la pensión que disfrutaba: otra de D.Francisco Lorenzo Pe- Santander per las CotUs, por ser estas de mala calidad: la comisión de Doña María Clavija, quejándose de una orden del opinaba que esta solicitud pasase con recomendación i la de Premios. .apoderado r nte de Canarias, por la cual ie le mandaba apremiar para el Después de algunas reflexiones del Sr. Canga sobre la necesidad dt f 1 medio diezmo corr…</t>
  </si>
  <si>
    <t>Clcmcncin, Diego</t>
  </si>
  <si>
    <t>Diego Clcmcncin</t>
  </si>
  <si>
    <t>…la, Rey de las Españas, á todos los que las pre íiti rubricado de la Real mano.»Palacio 11 de Julio de t8aa.sA sentes vieren y entendieren, sabed : Que las Cortes han decretado lo D. Diego Clcmcncin. Siguiente *&gt; Las Cortes , usando de la facuitad qu* se les concede por la Circulare* del mmirteria de ¡a GuerraConstitución, hen dccr.nJo lo siguiente.- Art. t.° Para dar impulso al Exenta. Sr.: Los Sres. diputados secretarios de las Cortes me di crédito de…</t>
  </si>
  <si>
    <t>Cle</t>
  </si>
  <si>
    <t>…nfante D. Cirio»; y un expediente promovido en bre el conato que se mostraba en la ciudad de Orihucla á contrariar el el ministerio de Gracia y Justicia acerca de una solicitud de D. Cle sistema constitucional, y el peligro que podia haber de que la pa mente González, vecino de Calahorra. bla inmediata llegasen á hostilízala con este motivo. Se mandó pa A la de Marina un oficio del Sr. secretario de este ramo, en el que sa á la comisión que e…</t>
  </si>
  <si>
    <t>Clemencia</t>
  </si>
  <si>
    <t>…gero libritos de pa En seguida fue aprobado este art. i.°, 7 también te aprobaron el nes de oro, 7 mandaron repartir los zoo ejemplares que se habían re a.°,el 3- J 4-° cibido. El Sr. Clemencia, tratando del art. 5®, dijo que creia que me A la comisión de Guerra se mandó pasar una consulta del Patriar recería la aprobación de las Cortes, porque la comisión, habiendo te ca, Vicario general del égcrcito 7 armada, relativa á las dudas ocurridas nido pr…</t>
  </si>
  <si>
    <t>…ta privada , por usarse de le mis público i la posiMe brevedad, donde se instruirá al tenedor o tenedo ma expresión en la ley de 2 a de Octubre. res de 4o que deben practicar. til Sr. Clemencia dijo que la comtt'on adoptaba esta adición. El Sr. Sancho leyó el articulo usando de las mitanes palabras que se Los dueños de los bultos presentados c"&gt;n se’io scudirin en el d.a Eian en la lev de a a de Octubre, y se aprobó el wticulo del modo de hov 7 del…</t>
  </si>
  <si>
    <t>Clemencia, Diego</t>
  </si>
  <si>
    <t>Diego Clemencia</t>
  </si>
  <si>
    <t>…ia. putado en Cortes; i D- Francisco Martínez de la Rosa, individuo da la Al mismo tiempo procurará V. S- ver si pueden verificarse com academia Espafiola, y diputado en Corte»; á D. Diego Clemencia, in pras parciales para surtir de dicho género esa provincia y las inmedia dividuo de las academias Espa&amp;ola y de la Historia, secretario da esta, tas; dándome cuenta de las proposiciones que se presenten. Madrid 18 honorario de la de S. Fernando, y diputado…</t>
  </si>
  <si>
    <t>…A. J. G. M. L". P. S; de ministro interino de la Gobernación de la Península, y confián dén'vnciádó por la compañía de Cárdenas; en cuya consecuencia la ley dosele interinamente á D. Diego Clemencia* (Gaceta del 10.) absolvió i l).. Nicolás Piñuela, responsable de dicho impreso, man ~mm-r Decreto de las Cortes en que se adoptan varias medidas para afianzar dando el Sr. juti se le alzase la fianza que tenia dada, y declarando que la tranquilidad delat pro…</t>
  </si>
  <si>
    <t>…bolado y pasto, á blique y circule.=Está rubricado de la Real mano.=En Palacio á iz nú nos que haya resistencia por parte de los interesados, quienes podran de Julio de 182a. zz A D. Diego Clemencia. fundarla únicamente en estar hipotecada una tierra determinada, en cuyo caso se le adjudicará la misma tierra en cuanto cubra su crédito. Don Fernando vit por la gracia de Dios y por la Constitución de la Art. 19. Si los acreedores fuesen manos muertas, reci…</t>
  </si>
  <si>
    <t>Clemencin</t>
  </si>
  <si>
    <t>…a Península d.-l gefe político de Alava, manifestando ei dis aquí perteneciendo £ la provincia de B'lbao.” gusto que ha causado en aquella provincia no haberse api abado lo que El Sr. Clemencin tomo la palabra para manifestar que la comisaMproponía el Gobierno respecto de ella ; y pide &gt;e establezca er. dicha ciu había tenido nuevamente varias noticias acerca de la mejor división di dad la audiencia territorial y una universidad. la antigua provine…</t>
  </si>
  <si>
    <t>Clemencm, Diego</t>
  </si>
  <si>
    <t>Diego Clemencm</t>
  </si>
  <si>
    <t>…oa cuales deberán llevar la vuestra entera.=Rubricado de ia Keai ira- r.-iicoot's m motivo* que la determinaron (1), asi también deberías’ «“&gt; —Aranjucz á 17 de Marzo de 28*2.” —A D. Diego Clemencm. observar qu-; la base de su sistema constitucional et la población , vqi* desde un principio la promovieron facilitando la emigración de otro, VARIEDADES. país, s, y protegiendo la agricultura según que aumentaban los brazos: Contmis ti artículo dt ¡a gaceta…</t>
  </si>
  <si>
    <t>Clement</t>
  </si>
  <si>
    <t>…l particular, canon, gros canon, para todo* los cuales está la fábrica en disposición te realice también el pago por la Hacienda nacional ; pero descontán de entrar en. ajuste. Él Sr. Clement confia con tu «mero y aplicación dose el exceso á los interesados de los alcances que acrediten tener de no desmentir el ser discípulo dd célebre Fermín Didot, el primer tus haberes y de los que devenguen. fundidor de París, y procurará hacer en los ajustes i…</t>
  </si>
  <si>
    <t>Clemente</t>
  </si>
  <si>
    <t>…s __Escriben de Pisa haber muerto en aquella ciudad después de una „ Qae 1* medida ¿¿ la comisión no se entienda sino como una medid* corta enfermedad, y á los zg años de edad, el príncipe Clemente de de pacificación.” , . . Saxonia, hermano de ia pr.ucesa gran duquesa de Tóscana. _ Una princesa de Wurwmberg va á contraer matrimonio con el gran El br. Nai-arrete se opuso a que se admitiese esta adición del Go bierno; manifestando que si se aprobaba, los…</t>
  </si>
  <si>
    <t>…ontinuó): el un rescripto de legitimación de un hijo suyo, opinaba que las Cortes canal de Manzanares en la altura que en el día se encuentra puede * podrían servirse declarar que D. Clemente. Atienza, hijo naturaide continuarse á muy poca costa , y aunque hubiese que vencer algunas este interesado, estaba ya legitimado por el subsiguiente matrimonio; dificultades, podía llevarse hasta Vacia-Madrid-. ¿y qué utilidades y que tampoco había reparo en…</t>
  </si>
  <si>
    <t>Clemente, S.</t>
  </si>
  <si>
    <t>S. Clemente</t>
  </si>
  <si>
    <t>…e infantería y profetería voluntados de Castilla , con 57a ra. sor de matemáticas del colegio militar de Santiago, con $70 rs. Ciudad-Real al cap tan D. Joaquín Ladrón de Guevara, teniente S. Clemente á D. Isidro López Denia, teniente del batal'on ligero del regimiento infantería de \frics, con ¡70 ra. voluntarios de Tarragona , con 570 rs. Córdoba á D. Félix Rodríguez, teniente del regimiento infantería Sigüenza á D- Manuel Peña Espiga , teniente de infan…</t>
  </si>
  <si>
    <t>Clemente, Simón de Rojas</t>
  </si>
  <si>
    <t>Simón de Rojas Clemente</t>
  </si>
  <si>
    <t>…s diputados, pues que seria el mo nando; á D. Josef Rodríguez, director del observatorio astronómico do mejor de comprometerlos, no digo con la Nación, sino con sus de Madrid, y ¿ D. Simón de Rojas Clemente; y para la clase de lite respectivas provincias. Asi que, reservándome hablar en la disensión ratura y anea á D. Agustín Arricia, individuo de la academia E.pa'de los demas artículos, digo que aunque se apruebe la primera parte fiola; á D. Juan Nicasio Galleg…</t>
  </si>
  <si>
    <t>Clemettcin</t>
  </si>
  <si>
    <t>…s , resultando también que por estar esca las tres v media. sos de dinero todos los partícipes se tenían que vender los frutos en el jYi.&lt;.«. F.r. ¡a sesión del 6 pronunció el Sr. diputado Clemettcin el tiempo en que estaban mas baratos. discurso siguiente, en que dijo: Que ya que *e finalizaba la d scusioa Puedo decir también (añadió': que en los concordatos celebrados entre sobre el provecto de do isi-n del territorio, no p*d a menos d- hacer •1 Papa y…</t>
  </si>
  <si>
    <t>Cleroeoc</t>
  </si>
  <si>
    <t>…esello, y zo mrs. por 100 por fallar a loa me laido. tí os Iuises una 17/ parte de' plata en cada marco. E ta fue la razón que Volvió la diputación de palacio , y su presidente el Sr. Cleroeoc a turo el Sr. López Constante para hacer la proposición referida, Kimo dijo: S. M. ha recibido i la diputación de las Cortes con agrado . y na as;ir.itmo la representación qúe hicieron los individuos del ayuntamien contestado que agradece la felicitación que…</t>
  </si>
  <si>
    <t>Clonado, Laureano Josef</t>
  </si>
  <si>
    <t>Laureano Josef Clonado</t>
  </si>
  <si>
    <t>…e su madura según la ley de 9 de Octubre de 181 2, i I). Manuel Victo empleo, se presenten disfrazados con alusiones ó alegorías, siempre riano Moyano para la piimera de ellas , 4 D. Laureano Josef Clonado que los jueces de hecho creyeren según su conciencia que se habla ó para la segunda, 4 D. Alfonso García Vergara para la tercera, • Don hace alusión á persona ó personas determinadas, 6 á cuerpeo reconoci Juan García del Pozo para la cuarta; y para la fiscalí…</t>
  </si>
  <si>
    <t>Clozalíi</t>
  </si>
  <si>
    <t>…eda comunicar la libre Continuó la discusión del código penal. expedición de las procedencias de la mencionada capital , las de laa Se mandaron pasar a la ccmisíon una adición del Sr. Clozalíi otra* referidas islas s* admitan sin restricción á libre plática y comer Allende al art. 340, y otra del Sr. Calmeas al párrafo a.° del ari. 33;' cio , y que las de Alcudia y Sóller de Mallorca en la clase de su habi litación ó comercio, se reciban bajo el co…</t>
  </si>
  <si>
    <t>ClUll'li, J OS.f</t>
  </si>
  <si>
    <t>J OS.f ClUll'li</t>
  </si>
  <si>
    <t>…ais , trinitario, ministro.—P. Juan Ptí , agustino calzado.— en e. caso de que a:gua pueblo haga fuego á las tropa- nacionales sea P. Cirios Carafell de 5. Felipe Ne.-i, prepósito—D. J OS.f ClUll'li, saquea ;o, quemado y arrasado, á cuyo efecto di orden al comandante coronel retirado__D. Josef Tab-rrní, teniente coronel del primer re- laili, y aun que me av.»a»e para (tasar yo personalmente á presenciar imiento de artillería—D. Ventura Mena, mayor de la…</t>
  </si>
  <si>
    <t>Cmga</t>
  </si>
  <si>
    <t>…mas, al paso qu&lt; los pueblos no podían pagar las contribuciones que bado dicho dictamen. pesaban sobre ellos: que la renta y emisión de estos 13 millones de Hab endo presentado el Sr. Cmga en la sesión de! a5 del comenté renta inscritos en el gran libro no venia i ser mas que otro préstamo, la siguiente proposición: *&gt; Pido se declare si con ia aprobación del em y que si se iban cargando sobre las contribuciones los réditos de las préstito naci…</t>
  </si>
  <si>
    <t>…eneral d- arree o dei clero, no se U.s qu; pud esen h re 1,. e •: • pt,..;.; e.r H g'i •- 1 .tt *■ ei..-'. contarán sin embargo para la distribución de las porción-s que van se Fi Sr. Cmga d.jo qua r-¡ n.b.a i.i.cnv.n . ::: re que c te* ñaladas en los articu-os anteriores, puesto que ¡as dol.ic unes p.-T&gt;or.i! s • p'olsasrn estas ordenanza- y se p-.».c-. n .o ni..: . 1 o. u . u. : no pueden exceder del máximum. en cuyo .aso el .xce..er:1 q.i r…</t>
  </si>
  <si>
    <t>Cncdla, Mariano</t>
  </si>
  <si>
    <t>Mariano Cncdla</t>
  </si>
  <si>
    <t>lodo en ¿I alcalde primero constitucional D. Mariano Cncdla he n&gt; que teofreotn deste servicio;-lisonjeándome de que en poco* dits se conocido un ciudadano da turna honradez , patriotismo y dteision. otganiseri*7 auxiliará á la guarnición. o El clero regu'ar y secular me ha ofrecido pública y privadamente ■ Ayer ee ve…</t>
  </si>
  <si>
    <t>Cnrcurra, Pedro Hurtado de</t>
  </si>
  <si>
    <t>Pedro Hurtado de Cnrcurra</t>
  </si>
  <si>
    <t>…el ber- ticia proteja la traición y los horrores de la guerra civil en que inten gant'n de guerra español Aquilea, su comandante el teniente de navio tan sumir 4 la Nación entera. D. Pedro Hurtado de Cnrcurra, en 51 dias de viage. Trae de registro n Labradores y artesanos laboriosos, ciudadanos «educidos, volved dos mi lonrs de p-sos fu-rtes; 1Ó3 cajones de tabaco; 6 cajas de plata 4 vuestras tareas, restituís 4 vuestros hogares y recuperar la tranqui labrada, un…</t>
  </si>
  <si>
    <t>Cnu-Mostpos</t>
  </si>
  <si>
    <t>…caso de considerarse lu naciones En el Redactor general se Ice ¡o que sigue: como aisladas. La misma Inglaterra, i peau de su posición geográfica, Tenemos á la vista una carta del general Cnu-Mostpos, foche «a no jmade ya sustraerse á este impulso general. Asi pues, tea lo que quie Panamá á 18 «le Setiembre, que dice mi: • Me dispongo a «lar la Tulipa ra de Us noticias que ae propagan sobre el estado de la Italia, ai esta ra Guayaquil ó costa de Quito coa…</t>
  </si>
  <si>
    <t>Co.'ubi</t>
  </si>
  <si>
    <t>…todo esto no hubiese sido ba,tan- __De Mataré con fecha de boy dicen por cccducto seguro lo que si te, han exigido á la fuerza del Crédito público las existencias del esta gue: El coronel Co.'ubi va per, gu.cr.du ai., ücciosrs Misas r Afosen blecimiento reducidas i ai&lt;So n. vn., y no ts sabe todavía qué otras Antón, que derrotados en Sta. Coioma si dirigen a Air r. M..sns s:guu Cantidades han ocupado de la administración de rentas y registro, con tamb…</t>
  </si>
  <si>
    <t>Coacta, Diego</t>
  </si>
  <si>
    <t>Diego Coacta</t>
  </si>
  <si>
    <t>…, segundo ayudante del regi Plan de una gtamát ca general, ó principios generales que deben miento infant-ría de Murcia, con rs. saber los que se dedican á esta ciencia : su autor D. Diego Coacta : cons Guadañara al capitán D. Manuel de Molina, primer ayudan ta de un pliego, y se vende á a rs. «n la librería de Romeral. EN LA IMPRENTA NACIONAL.</t>
  </si>
  <si>
    <t>Coala, Rafael</t>
  </si>
  <si>
    <t>Rafael Coala</t>
  </si>
  <si>
    <t>…entes: escribanos.................... 20,793 D. Joscf Castels, D. Higinio Antonio Lorente, D. Aniceto Lirana, Contaduría general de D. Manuel Esteban Caíala , D. Gaspar Aguilera , D. Rafael Coala, Cuentas....................... 29,050 D. Andrés Orinaga, D. Jaime Ruiz Abreu y D. Lorenzo Lambes. 8i,4o£ Habida la conferencia, resultó por mayoría no haber lugar á laIdem de intervención... 5&gt;,i'94 y DonDepositaría..................... . 9,880 formación de…</t>
  </si>
  <si>
    <t>Cobre-, Amaro</t>
  </si>
  <si>
    <t>Amaro Cobre-</t>
  </si>
  <si>
    <t>…ser tratado con mayor rigor. Y por lo que resulta contra nuevos Viriatos; salud, gracia y dones te derramen sobre vuestros ser los testigos del sumario D.. Josef García Gregorio y D. Amaro Cobre- vicios patrios, y un genio dirinizador cante vuestros lauros. ros, lea impongo la multa de 10 duros mancomunadamente, y les pre n Recibid pues, nacionales madrileños, recibid el mas puro para bién que se lisonjea «la tributaros este ayuntamiento constituciona…</t>
  </si>
  <si>
    <t>Cochrane</t>
  </si>
  <si>
    <t>…tos públicos. Se aregura que el buq.ie la Caltdvnia, que ha llegado de Lima á Cowe, ha raKSIDKNClA su s*So* 111. traído goo9 duros, ademas de la plata en barras, pertenecientes al lord Cochrane. A Plimouth ha llegado otro buque que ha traído por cuenta Sesión del zy de Enero. de este almirante una gran cantidad de dinero, valuada en ioo9 li Aprobada el acta de la ses en laierinr, se mandó pasar i las comi siones de Hacienda yAr;sita del Crejito públ…</t>
  </si>
  <si>
    <t>…Rey es Fl Callpo capituló inmediatamente que despareció Canterac , y á taba preso: lo hablan di en ido en Varennes: otras voces: y lo asesi pocos dias lo verificó también el vice-almirante Cochrane, llevándose naron....! El presidente consiguió restablecer el silencio, y el orador tres fragatas, una corbeta y cuatro bergantines de guerra, con les cauda prosiguió su discurso.) les que los gobernantes disidentes depositaron a su bordo cuando el 8 de &gt;• Pe…</t>
  </si>
  <si>
    <t>…atado de la Nueva- Orleans; que su voto era siempre arreglado. y tenemos que reclamar del Gobierno de Chile las presas que ha hecho Fucsia á votación la proposición fue detectad*. lord Cochrane. Ojalá que estas desavenencias se terminen sin excitar la Se leyó el art. 34, y se suspendió &gt;u discusión para otra rasión , oon animosidad de las potencias interesadas, algunas de las cuales son tea le que se levantó ia de esta día. poderosa» y tan amantes d…</t>
  </si>
  <si>
    <t>…ones de la escuadra otomana. favottble» respecto de nu -st a i tuacion interior; pero las desavenencias Concuerdan todas las noticias en que no hay apariencias de que loe entre el lord Cochrane 7 ci general S. Martin parece que han degene turcos piensen con seriedad en la completa evacuación de los princi rado llegando á form.r pulidos en todo este t-rr torio. Nuestro supre pados , pu s aunque es cierto que tos aiiiticos 7 los stpotoschanes, mo d re…</t>
  </si>
  <si>
    <t>Codini, Josef</t>
  </si>
  <si>
    <t>Josef Codini</t>
  </si>
  <si>
    <t>…del gobierno político, D- Raimundo Poveda, ofici l del re es la mas exacta. Es preciso rebajar tres quinta partes de las produccio gimiento de ¿amera, D. Honorato Piera, abogado, D. Josef Codini, nes en bruto de los predios rústicos, y entonces nos aproximaremos del comercio, D. Vicente Chulvi y D. Vicente Llopis, canónigo ma al verdadero resultado. El valor de esta riqueza asciende por el censo gistral, declararon D. Raimundo Poveda, D. Honorato Pir…</t>
  </si>
  <si>
    <t>Coello, Joaef</t>
  </si>
  <si>
    <t>Joaef Coello</t>
  </si>
  <si>
    <t>…ra* ar Por providencia dada por el sefior juez de primen instancia de Eri rastrando los residuos de sus ricas galas; algunos impelidos de la miso- ja , y ante el escribano público D. Joaef Coello, en los antos de inven ría, otro* expulsos por la crueldad de tus parientes; esto» sobrevivien tario y coacuno de acreedores á los bienes que quedaron por muerte de do i sus familias, aquellos implorando en vano una mirada da com Don Francisco Javier Mulloz,…</t>
  </si>
  <si>
    <t>Coichester</t>
  </si>
  <si>
    <t>…a India i Mr. Canning , y de signaban para me deslino al lord Melville , y en el ministerio de esta El dia 16 del corriente salió del puerto de la Corufía la goleta cor entrar» el lord Coichester. reo nombrada Cralga , con la correspondencia pública y de oficio para Se habla de cgéicito» en Alemania, en la Bohemia y en la Prutía; Ultramar. Lo que he di,puesto S M. se ponga en noticia del público. EN LA IMPRENTA NACIONAL,</t>
  </si>
  <si>
    <t>CoIIs</t>
  </si>
  <si>
    <t>…ros en el otro del todo, j que los pueblos vecinos nada traen en los dias de mercado. afio untas otras provincias de nuestra Espafia, en que se disfrutó la ñus Anteanoche cogió el capitán CoIIs en Agafreda un espía, el que cabal salud, mientras que una ú otra población de la nuestra se veia declaró que Mossen Antón había encargado á él j tres compañeros afligida del contagio.’ En cuanto á la sequía decidnos, ¡ qué!: no la ha mas que asesintsen á dic…</t>
  </si>
  <si>
    <t>Coil, Félix</t>
  </si>
  <si>
    <t>Félix Coil</t>
  </si>
  <si>
    <t>…es que com llegado á esta villa, donde se me ha incorporado la partid, d i r¿ci prenden mis oficio* circulares de go de Julio último y * del actual miento de Santiago,al mando del teniente D. Félix Coil. La variedad ae han engrosado las gavillas de faccioso* con diferente* nao*, y exi contradicción con qoe hasta ahora se han expresado cuantas personas giendo imperiosamente este grave y trascendental asunto un pronto re e tratado de examinar en averiguación d…</t>
  </si>
  <si>
    <t>Coil, Isidro</t>
  </si>
  <si>
    <t>Isidro Coil</t>
  </si>
  <si>
    <t>…distintos batallones y la del egéreito permanente dé D. Jus y por tanto op’artn estos ai retiro conforme al incido que disfruten to Carreras, todo* al mando del captan de cgetciio D. Isidro Coil. A cn ci distrito en que sirvan. la media bora de su salida supo por un miliciano, que llegó herido, Art 9.a » Si alguno da ios individuos que se retir* en Jas provin que un granadero del tercer batallón, llamado N. Carranca , había cias de Ultramar obtuviere…</t>
  </si>
  <si>
    <t>Coila</t>
  </si>
  <si>
    <t>…muerto, y Mosen Antón no tuvo tiempo de ponéis? lo» h-r noso L,:71 lo de nu*»tra ir.:t tucion benéfica con la humttlaric n :a zapatos, y asi descalzo montó á caballo. Eavpoder del comandante Coila de provocadores, hitemos á la def. na.va . conservando integra 'i lústrela ■ la OJtr a , cuso» sol lados so han quedado muchos papeles, incluso el plan de ataque para apoderar de nuestra causa pcis.-na. a pjr de ¡a .1 se d; Vich. A no hsberse roto el fuego ta…</t>
  </si>
  <si>
    <t>Coimbra, Manuel</t>
  </si>
  <si>
    <t>Manuel Coimbra</t>
  </si>
  <si>
    <t>…dustria y agricultura que La comisión de Fxamen de casos de responsabilidad , en vista de la beneficio , pues todos los buques extrangeros cargarán la mitad de estos exposición de D. Manuel Coimbra, asesor del consulado de la Hava- frutos por disfrutar del beneficio que se les concede, y la otra mitad la na , y fiscal de marina en aquella ciudad, quejándose del comandante del completarán con frutos extrangeros. Por tanto me paiecc que los seño apo'-tadr…</t>
  </si>
  <si>
    <t>Coiubi</t>
  </si>
  <si>
    <t>…s.fiaada para el i.° del corriente. Mi- tacamento de hombres de los regimientos de Aragón y Soria , al nif-tó que hacia esta solicitud porque el conde Gray , qu- sola to mando del coronel Coiubi, dió sobre ellos, y después de dos horas da ma1 una parte muy princ pal en eti c'ase de do: &gt;-»i ,r&gt; s, no podría fuego batió completamente á aquellos facciosos, oblándolos á abando a.i t r i la Cámara hasta que pisasen algunos d as, con motivo de una nar Vív…</t>
  </si>
  <si>
    <t>CoiUntes, Vicente</t>
  </si>
  <si>
    <t>Vicente CoiUntes</t>
  </si>
  <si>
    <t>…siguiente es muy distinto un caso de otro. nos voluntarios de Burgos D. Anselmo Ibafi-z , D. Hcnrique Pimcntel Se ha dicho que la comisión camina en el supuesto falso de que los Y D. Vicente CoiUntes, al de A randa D. Francisco Fernandrz Caricesantes de que se trata están inclusos en el decreto de las Cortes que hatiós , a*, de Villarcayo D. Lucas Martínez j y i los de Poza D. Hilase ha citado. Esto no es asi, porque la comisión dice desde luego que non C…</t>
  </si>
  <si>
    <t>Cokibi</t>
  </si>
  <si>
    <t>…on y aprobaron algunos artículos del proyec i cosa de las cuatro y media de la larde la columna mandada por el to de Constitución que habían vuelto á la comisión; y ios art». 8,9, coronel Cokibi, la que ha hecho bastantes muertos, y también prisio 10 y 11 del decreto de organización de las secretarías del Despacho., neros; asegurando á V. S. que por nuestra parte no habría ninguno da NOTICIAS DE ESPAÑA. esto», porque todos serian de la clase de lo» p…</t>
  </si>
  <si>
    <t>Col, Agustín</t>
  </si>
  <si>
    <t>Agustín Col</t>
  </si>
  <si>
    <t>…érdida de nnos ocho muertos hombres cada una á las tres de la mañana del dia 19, la una mandada El Sr. gefe político de esta provincia ha dispuesto que los heridos por el teniente coronel D. Agustín Col!, y la otra por el capitán del de que trata el pane anterior sean asistidos y curados con el mayor es Rey de infantería D. Manuel Sesé. La primera columna al rayar el dia mero, costeando los gastos 'que ocasionen de su bolsillo si en el pueblo encontró i los…</t>
  </si>
  <si>
    <t>Col, Isidro</t>
  </si>
  <si>
    <t>Isidro Col</t>
  </si>
  <si>
    <t>…echa, izqu erda y centro, para lo cual dispuso que las compañías prevenido. No me asisten expresiones para poder explicar el orden, de mi-.c-ictJ» de aquella ciudad , al cargo del capitán D. Isidro Col i, dise p ina y subordinación que han guardado los imiv duos del citado t.'fcti.ilas por otras dos del regimiento infantería de Córdoba y 18 ca batal on de milicias qu- he tenido el honor de man jar; siempre seré ballos , tomasen la izquierda con el fio de co…</t>
  </si>
  <si>
    <t>Colambo, Francisco</t>
  </si>
  <si>
    <t>Francisco Colambo</t>
  </si>
  <si>
    <t>…llos, podrí suspender la se García d«i Barrio, D Miguel Hipa, D. Va'-ent.n O.tigo.a, D. l»i.lo sión , pera cuyo intento hará leer tres veces en voz alta esta ley , re ro de Hoyos, D. Francisco Colambo, L&gt;. Juan Antonio López, Den quiriendo á los concurrente» í retirarse, y de no hacerlo se valdrá de Celestino Oiozaga , D. Manuel E teban Cató.1, D. .-rbasti.n An J.es y la fuerza. Art. 4.a El hsb r sido suspendida una reunión no priva del D. Francisco de Tra…</t>
  </si>
  <si>
    <t>Colchestcr</t>
  </si>
  <si>
    <t>…;i cara-trr mu.i¿d.: cié extranver a. , la generosidad.” El Piloto , refiriéndose i la correspondencia de Londres del 29, di MaJriJ Domingo l¿ Je Diele—.Ire.ce habr sido nombrad 1 lord Colchestcr min otro del lnt. ñor; que Mr. Peel lo será del e.hi.;u‘tr , y que Mr. Wtii.an» Brnt.r^b se ha encar S. M. el R:y y SS. A A. siguen sin novedad en su importar.:e gado del despacho de la Guerra. salud. S. M. la Reina está al.viada. El grav. Monitor acaba de pu…</t>
  </si>
  <si>
    <t>Colchester</t>
  </si>
  <si>
    <t>…o en otra situación de la sociedad, y pro mas discutir en su tota idad el principio de la admisión ó no admi puso ia segunda lectura. sión de los católicos en las dos C.maras. F.l lord Colchester dijo: Este bilí no tiene mas objeto que el d* ha Otros oradores hab aron en pro yen contra de! til!; y habién cer r conocer de un modo indirecto el principio general de la admisi dose puesto á votación , hubo 90 votos á favor de la segunca lectura, y bilidad…</t>
  </si>
  <si>
    <t>…mponía d~ siete artícu.os , y fue apiobado por el Congreso con algu ellos afirma que Mr. Peel reemplazará al difunto marques de I.ondonna variación. derry en «te destino, y que el lord Colchester será ministro del In Después t: pasó i discutir el proyecto de reforma de regulares so terior. bre los articu os 6-J y 7.a, que itecian: Por «tas noticias vemos que la reunión de ministros en Viena se Arl. ó.* n Ourdan recuentos í cuatro los monasterios ó con…</t>
  </si>
  <si>
    <t>….'res comnrios de cuaitel m- pasa-en Va reitr.p aza al difunto marques de Londonderry, y a aquel le suc derá riamente para mi conocím ento un par:? con a noticia de tr&gt;» fo;a»reel lord Colchester. Se retirara Mr. Vansitart, reemp a/andole Mr. llus- ros qu.- lleguen a sus respectivos cuarie .-s, indicando sus non bres. pro klsson-, y en el destino de este entraría Mr. Crok r. E»t-&gt; r» *lue ** cedencias , casas y cuattos donde s ivan. creía en Londres;…</t>
  </si>
  <si>
    <t>Colina, Manuel de Carrera</t>
  </si>
  <si>
    <t>Manuel de Carrera Colina</t>
  </si>
  <si>
    <t>…solo las horas precisas para fa Kntes vieren y entendieren, sabed: Que las Corte» han decretado lo cilitar los medios de ponerme en comunicación con el teniente coronel siguiente: D. Manuel de Carrera Colina, que se hallaba en la sierra, para cus » Las Cortes, usando da U facultad que se les concede por la Cons bajase á la capital, donde habia de esperarme. titución , han decretado : •1 El enemigo en número de 41© hombres ocupaba el pueblo da 1.a si El dinero que…</t>
  </si>
  <si>
    <t>Coll</t>
  </si>
  <si>
    <t>…Se tes ha cogi ñías de cazadors de montaña de su mando, quedando de reserva las do 8 caballos, otros tint &gt;s »ibl -s y espadas (entre el i as la del curadel tts uardo en Vich. Ei capitán Coll auxiliado por cinco caballos capitan), 6 pistolas y 13 carabinas, sin desgracia alguna por parte de aícanz á ios face'otos en el mesón de Culsuspína, á dos leguas da los leales. Vich , y alteándolos con denuedo les mató unos 11 hombres, escapan Nu hay explosi…</t>
  </si>
  <si>
    <t>Coll, Antonio Cortés y</t>
  </si>
  <si>
    <t>Antonio Cortés y Coll</t>
  </si>
  <si>
    <t>…en virtud de recibos visados por los gefe* de ios cuerpos, y de Los jueces de hecho que fueron de esta opinión son D. Francisco Hi los del comisario de guerra respectivo. dalgo , D. Antonio Cortés y Coll, D. Francisco Puga, D. Santiago de 4. * Será de cuenta de ios asentistas la totalización en fin de cada la Azuela y D. Francisco Robles y Benitez: los otros cuatro U. Ni mes de los recibos del suministro que practique, para que presentándo colás Iraola, D. Be…</t>
  </si>
  <si>
    <t>…a hacienda militar. Manuel de Luengas, D. Francisco Hidalgo , D. Juan Martínez de Ga* De Real orden lo comunico á V. para su inteligencia y efectos tica , D. Juan Francisco Vidot, D. Antonio Cortés y Coll, D. Luis corr spondicntes á su puntual cumplimiento. Madrid u de Diciembre del Gargollo, D. Antonio Canadell, D. Juan Bautista Llanos, Dode 18a a. Juan Francisco Espelosin, j D. Miguel García (Miz , calificaron por unanimidad con la fórmula de obsusito el art…</t>
  </si>
  <si>
    <t>Coll, Isidro</t>
  </si>
  <si>
    <t>Isidro Coll</t>
  </si>
  <si>
    <t>…o los faccioso# y que la gabina de Puigló y otra trataban de reunirse cerca de la viila.de muertos, varios heridos, d- ios cuaba uno y otros 4 individuos Wov drspu-o que el capóan D. Isidro Coll tállese con las do» compa han quedado prisioneros, y los dinas se dispersaron. Se tes ha cogi ñías de cazadors de montaña de su mando, quedando de reserva las do 8 caballos, otros tint &gt;s »ibl -s y espadas (entre el i as la del curadel tts uardo en Vich. Ei c…</t>
  </si>
  <si>
    <t>Colla</t>
  </si>
  <si>
    <t>…o* había llegado hasta el Pia de la Garriga, y deade donde te retiró por hicisteis y tanta sangre derramasteis en la pasada guerra de la indepen las noticias conteste, que tuvo el capitán Colla, encargado da tu conduc* dencia , no reinaría ya mas en estes provincias , pues la llamada junta iucon , de la eran superioridad del enemigo .que resupo de cierto se ha prema ¿ubemasxa del reino , compuesta de la mas vil canalla, que desde llaba r-nnido en Ce…</t>
  </si>
  <si>
    <t>Collantet, Francisco de Piego y</t>
  </si>
  <si>
    <t>Francisco de Piego y Collantet</t>
  </si>
  <si>
    <t>…rectas que las pez , D. Diego Moraleja , D. Antonio María Quintana, D. Antonio Cortes por decreto de 9 de Mayo de 1811 , en consideración á 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t>
  </si>
  <si>
    <t>Colmenares, Manuel de Tovar y</t>
  </si>
  <si>
    <t>Manuel de Tovar y Colmenares</t>
  </si>
  <si>
    <t>…n, fueron á aprender i Egipto. Dios loa que ea el día se siguen con tus do» hijos el conde del mismo titula quiso también que al mismo Moisés estuviese instruido en las ciencias 7 D. Manuel de Tovar y Colmenares, como sus herederos, cuyo par da lo» egipcios, y solamente á este país parece que pertenecía la gloria tiere» te ignora: sin embargo de la» repetidas diligencias practicad*» pata «la erigir monumentos pera la posteridad. Sus obeliscos son aun en al - tu averi…</t>
  </si>
  <si>
    <t>…orme designado de su p rlvncncia, los que en el dia se siguen contra sus do* hijos si 4 su clase, del cual no podrá usar individuo alguno de las demás del conde del m imo título y D. Manuel de Tovar y Colmenares, come Estado. Tendreislo entendido, y dispondréis lo necesario 4 su cumpli sus herederas, cuyo paradero te ignora sin embargo de las repetidas di miento. = Está rubricado de la Real manaes En Aran jura é 14 da ligencias practicadas para su averiguación; ae ci…</t>
  </si>
  <si>
    <t>Colmenera, Blas</t>
  </si>
  <si>
    <t>Blas Colmenera</t>
  </si>
  <si>
    <t>…4 sables y otros efec tenor ci como sigue: tos, después de haberles muerto un hombre y arrojadoles por despeña »Cuarto distnto.—Comandancia general de Santander._Excmo. deros. El teniente D. Blas Colmenera con ao hombres atacó y batió Sr._Ccmo dije á V. E. sobre O.rna desde Medina de Pomar en va también completamente en S. Millan y Valpuesta á otra porción de fac rias direcciones, encaminándome yo con la caballería á Bóveda, en ciosos, sin que pudiese sin embar…</t>
  </si>
  <si>
    <t>Colmenero, Luisa Fernandez</t>
  </si>
  <si>
    <t>Luisa Fernandez Colmenero</t>
  </si>
  <si>
    <t>…: á cada Córdoba.=i&gt;tro en la propia cabeza , de 39,024'mrs., situados en la conquista militar sucedía una conquista científica, y apenas el soldado propia rentu_Otro en cabeza de Doña Luisa Fernandez Colmenero, hab.a dado un paso mas en el territorio de Egipto, cuando ya lo tenia de 187,500 mrs., situados en el almojarifazgo mayor de Sevilla__Otro medido el geómetra, el sabio habia escudriñado sus antigüedades, el á favor del licenciado Gil Ramírez de Arel laño, de…</t>
  </si>
  <si>
    <t>Colo</t>
  </si>
  <si>
    <t>…RAS. Segundo batallón voluntarios de Aragón , 8.a ligero__ •» Fn es re mr m-nto, que son las oneé del d.» , acabo de r-cib-r un oficio dei te AUSTRIA. ñí, nt-, graduado de cap.tan D. Colo, González, comandaste del desVierta 24 Je Agosto. ta. amento de .a Cafliza, fecha de ayer, cuyo temor es el s gu -rte: Tos diversos preparativos que se hacen en esta espita' ind.can qus » D-spuí* e.e haber recorrido ios yuntas de Cfcierte, orilla de’ Mico est…</t>
  </si>
  <si>
    <t>Colombo, Felipe</t>
  </si>
  <si>
    <t>Felipe Colombo</t>
  </si>
  <si>
    <t>…(4), donde los calor'* ex — Ha entrado en este puerto «I bergantín espafiol X Rafael, alias Mi cesivo* , propios de aquel clima, lat aguas corrompidas v los malos nerva , espitan D. Felipe Colombo, de la Havana, en 48 dias, con azú a!¡m:nto* causaron enfermedades mortales i tus tropas. La mitad da car, palo, cueros, café y tabaco.—.Q-- Barbate la lancha del bergantín •lias y el mismo santo Rey fenecieron en medio de aquellos ardiente* espafiol S. Buena…</t>
  </si>
  <si>
    <t>Colombo, Francisco</t>
  </si>
  <si>
    <t>Francisco Colombo</t>
  </si>
  <si>
    <t>…las Cortes magistrados de la audiencia territorial, se reunió el jurado, compuesto se sirvan autorizar á los Sres. Villavieja y Meca para que intervengan de los Sres. siguientes: D. Francisco Colombo, D. Pedro de Alvaro y en los actos de presentación de los hijos ó hijas de los Sres. Infan Delgado, D. Joaquín Ceva!los,D. Gonzalo Cárdenas , marques de tes D. Cárlos y D. Francisco de Paula, y resolver que se retiren los Cusano,D- Josef Larreitepui, D. Anton…</t>
  </si>
  <si>
    <t>…deran cita máxima perjudicial de la interven' cisco Martínez Marina, D. Andrés Navarro , D. Domingo Fernan cion como un principio contrario á la paz de las ilaciones. dez Angulo y D. Francisco Colombo. Habida la conferencia , resultó por unanimidad haber lugar i la for ARTICULO DE OFICIO. mación de causa. VARIEDADES. Circular Ael ministerio Ae Hacienda. eSIMEXA PAXTO. 1, He dado cuenta al Rey de 1» dudas que la extinguida junta del monte pió de oficinas ex…</t>
  </si>
  <si>
    <t>…iduos de las Cortes en 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t>
  </si>
  <si>
    <t>Colombo, Jacobo</t>
  </si>
  <si>
    <t>Jacobo Colombo</t>
  </si>
  <si>
    <t>…Primera clase. Escritura y lectura , i cargo de D Ceferino Cebade que en el saqueo de una ciudad el pillage y la carnicería duran tres, llos. Premio á D. Jos-f Bruzada. Accésit á D. Jacobo Colombo. seis ó veinte y cuatro horas ; mas nosotros hace ya seis meses que noe Secunda clase. Dvitrina cristiana é historia sagrada, á careo del hallamos en tan mise' &gt; estado. director D. Josef Garriga. Premio á D Vedro Aita. Accésit a D. Ilde fonso Estrada. ALBMAN…</t>
  </si>
  <si>
    <t>Colubi</t>
  </si>
  <si>
    <t>…ismo habla Ja duda novena, no delpea caducar, y proceda el reconoci Piandolit. miento del cspiul y réditos. I4 No debía amortizarse las memorias El brigadier Manso comunica que el coronel Colubi, después de afectas 4 capítulos y corporaciones existente* que no gozan diezmo, da haber dispers'do la gavilla de Navarro Cruz entre Vatmafía y Orut- que habla La junu nacional del Crédito público en su décima dude, viíla, se dirigió rápidamente contra una po…</t>
  </si>
  <si>
    <t>Comas, Antonio</t>
  </si>
  <si>
    <t>Antonio Comas</t>
  </si>
  <si>
    <t>…red ean sus Del de Zamora. Teniente D. Sebastian Mora. ( Por Benatque.) pasiones en lugar del evangelio , los que suplantan :a religión y aluci Nota. El comandante de estado mayor D. Antonio Comas, subte nan á la muchedumbre ignorante para conducirla á los extravíos y a la niente de Murcia D. Josef Beimon, capitán de Tarragona D. Manuel perdición. Estas furias manchan alguna vez el tanto nombre de Dios, tabarra , y oficial de milicias Ue Tuna Garceran…</t>
  </si>
  <si>
    <t>Comes, Pedro</t>
  </si>
  <si>
    <t>Pedro Comes</t>
  </si>
  <si>
    <t>…dición del Sr. Can ¡on Josef Anv.lasell, D. Magín Corominas, D. Melchor Biuguera, Don al atr. 1H6, que décia: »&gt; Pido que se añada después de las palabras ins- Juan Liado y Torra, D. Pedro Comes, D. Juan de Basse y l&gt;. L . atitucion tan sabia las siguientes: Jándose pruvüienc¡a sobre ellos. cio Andreu y Sanz, declararon por unanimidad haber lujar a forma* Se suspendió esta discusión, y el Sr. presidente dijo: el reglamento tion de causa contra el aut…</t>
  </si>
  <si>
    <t>Como, Oliven</t>
  </si>
  <si>
    <t>Oliven Como</t>
  </si>
  <si>
    <t>…e en vista de todo presentase su Otro acerca de una exposición de la diputación provincial d To dictamen ledo sobre que se le aprobasen determinados arbitrios, con el objeto de bl Sr. Oliven Como la «omisión ha presentado su dictamen, atender con su producto al armamento de la milicia nacional de aque diciendo que no hay méritos suficientes para exigir la respondáis illa capital. La comisión opinab* que podia acceder»* á dicha exposi dad ni á ia audie…</t>
  </si>
  <si>
    <t>Comp, Salvador</t>
  </si>
  <si>
    <t>Salvador Comp</t>
  </si>
  <si>
    <t>…miento» éntrelos wechabitas, y qu- se Ha entrado en este puerto la fragata española Especulación, capi atribuyen á varios agentes persas: que el bajá de Egipto ha llamado á su tán D. Salvador Comp», de Lima , en 106 días, en lastre. Se confirma hijo déla Nubia, y va i reunir todos sus ejércitos para estar en dispo b noticia de la capitulación del Callao, de donde salió este buque con sición de obrar según las circunstancias: y que habían llegado á Alej…</t>
  </si>
  <si>
    <t>Compañías</t>
  </si>
  <si>
    <t>…ado mayor de la armada, presu quiera navegación. puesto..................................................... n.° 3 «78.7*4 *4 Ait. 7.0 Que en lo sucesivo ningún oficial del cuerpo general Compañías de guardias marinas....n.a 3 138,860 de la armada , ministerio , infantería y artillería gozarán gratifica Infantería 7 artillería de marina..n.°* 6 y 7 4.000,000 ciones de embarcados, sino cuando lo estén real y verdaderamen Fábrica de la Cebada.............…</t>
  </si>
  <si>
    <t>Comprende, A. L.</t>
  </si>
  <si>
    <t>A. L. Comprende</t>
  </si>
  <si>
    <t>…debdamente la justicia, ó al el uso de la casa de educación , sita en ta calle de S. Mateo de esta corte, menos un entorpecimiento petjudícialísimo en las funciones del poder por D. A. L. Comprende la teoría analítica de la línea recta y ds las judicial. Antes de ahora han sido frecuentes las reclamaciones de varios secciones cónicas, la discusión de las ecuaciones ds \. y i.° grado con jueces sobre el mismo particular; y de sus resultasse expidió por e…</t>
  </si>
  <si>
    <t>Con</t>
  </si>
  <si>
    <t>…ntos cabeza de un archiduque de Austria, y por este medio ictluir mucho falsos hermanos', ;cuj! será el término de nu-stros iribaj- s, acog eos á mas en tos negocios de Italia. El cardenal Con»a!vi, que pudiera aspi la sombra del supremo poder egecut.vo’ ¡ Ah aero ! a hutra- ida-1 se rar á este destino, sabe demasiada, y ni el sacro colegio le querrá al estremece en U meditac on de tan cru:¡-.s refl-x'cne'. -Y I br sua frente tlel Estado, ni alguna…</t>
  </si>
  <si>
    <t>…arrollamos al momento, dejando cuatro por muertos y Comandancia militar de la provincia de Oreme. cinco heridos y prisioneros, é igualmente una yegua , un caballo , una •&gt; Excmo. Sr. Con techa \j del corriente me dió conocimiento el muta ensillada y una jaca de aparejo de al bar da, 13 arenas de fuego, Sr. gefe político de esta provincia de doa oficios recibidos del juez de entre ellas fusiles, trabucos y escopetas , dos sables , cuchillos &amp;c…</t>
  </si>
  <si>
    <t>Con, Ála-</t>
  </si>
  <si>
    <t>Ála- Con</t>
  </si>
  <si>
    <t>…cion de la Península do. Dios guarde á V. muchos año».=íC.iinpo de btal'a de Dtvajuro me dice en H del actml L&gt; si.-ui-nt-: 8 de Junio de i8z*.=F. T. Morales, general en gefe = Al Sr. D. Ála- Con f cha 19 &lt;ie Jamo 6 t ms m: dicen los Sres. diputados secrínuel de Carrera y Couno, gobernador de Coro." tarlos di ¡as Cirt s io qu; s'gue: La» Cortis se han enterad • del oficio Tam'ii-.n pulsean ios p.riódicos ingleses las siguierfs noticias: de 1: del cotr…</t>
  </si>
  <si>
    <t>Con, Alixf</t>
  </si>
  <si>
    <t>Alixf Con</t>
  </si>
  <si>
    <t>…n ésta discusión porqtte creo qu: s: drid por haber suspendido la reunión patriótica de la Fontana de Oro. me hara la justicia de considerárseme exento de toda responsabilidad, Ei Sr. Alixf Con las doctrinas que ha sentado el Sr. preopinante y ' oy á contestar únicamente, del modo po»!b&gt;e, í las c hi. :v ac.ones en maneta alguna ataca al dictamen de la comisión , aunque prescinda d*l d-ctamen de Ja comisión y á las del Sr. A ;x. Todo ei obi t • de m…</t>
  </si>
  <si>
    <t>Con, Infante.'</t>
  </si>
  <si>
    <t>Infante.' Con</t>
  </si>
  <si>
    <t>…sma supondría que el Congreso hab.a tenido sentencia, que fue últimamente conmutada en diez años de prestó o. unos temores de que ha estado muy lejos. Si el Sr. Gdiano ha visto El Sr. Infante.' Con este motivo no puedo menos de recomendar nuestra impasibilidad; si el público mismo que asiste á las sesiones es nuevamente al Congreso la necesidad de que te den al egército nuevas testigo de la calma con qu; se han tenido , ¿ por qué se ha de desear que ord…</t>
  </si>
  <si>
    <t>Concepción</t>
  </si>
  <si>
    <t>…Crespo: segundo Doña Carmen Moreno. Bordados de estambre sobre rece contrario á la civilización, ts porque varios políticos creen que cañamazo: Doña B-nita Ochoa. Países de sedas: Doña Concepción esu coi sist: en la degrad cion d.l hombre, y los españoles quieren ser García. Toda clase de calados: Doña María Josefa Pela}o. Bordados lrbr.s i ¡tul.-‘pendiente-., y que se respeten sus derechos como nación. al tambor: Doña Teresa Unbarri. La debilidad ó f…</t>
  </si>
  <si>
    <t>Concia, Jotcf de Santiago</t>
  </si>
  <si>
    <t>Jotcf de Santiago Concia</t>
  </si>
  <si>
    <t>…us caracteres distintivos, conocimiento que . En atebcioo á toe buenos y dilatados servicios en anas de alto* demostré en varios exámenes que te me hicieron por las tribus de Hode D. Jotcf de Santiago Concia, decano y regente interino de la »u&gt;- sueh, de Weled-aly, de Sebah y dé los Fidaaet; en fin todas estas diancia da Chile, emigrado á esta corte, w ha dignado S. M. costea* cosas dieron motivo, i que me comparasen al héroe favorito de los ára derla loa bonores…</t>
  </si>
  <si>
    <t>Concuerda</t>
  </si>
  <si>
    <t>…iegoiio Pi El Rey ha expedido loa decretos cigaienus: quero Argiáellcs. sSr. alcalde primero constitucional de Oribnels.se „ Aunque mía actúale» tremamos de Jbtado y del Ttospacho Don Concuerda el inserto oficio con su original exhibido por ai Sr. Dt. Pedro Easetño Bardsjí r Ajeara, del de jflstadb; Dt Ramón Feliu, de le Go del Portille , alcalde primero constitucional de esta ciudad, que por abo* bernación de la Pfcnfnsals ¡ D. Estanislao Siunador,…</t>
  </si>
  <si>
    <t>Conde, Antonio</t>
  </si>
  <si>
    <t>Antonio Conde</t>
  </si>
  <si>
    <t>…de Viliaor- emprendieron sus sucesores. En la historia de la domina-ion da losarenate con fecha 18 del actual el siguiente parte. Excmo. Sr.: En el d&gt;a bes en España, escrita par D. Antonio Conde, se refiere su origen da de ayer tuve la satisfacción de encontrarme con ia gavilla del Rojo de este modo. * Había fallecido Mahomad año 11 de la Urgiré en día tú Valdera*, á quien destruí completamente , no puiiieodo manifestar á ne* á 1 s de la tuna de Rebi…</t>
  </si>
  <si>
    <t>Conde, Lorenzo Moreno</t>
  </si>
  <si>
    <t>Lorenzo Moreno Conde</t>
  </si>
  <si>
    <t>…vicios del mariscal de campo Don nunciado como sedicioso tn primer ¿rodo; en cuy» consecuencia la ley Francisco Espoz y Mina, y i la pericia militar con que ha dirigido absolvió i D. Lorenzo Moreno Conde , responsable de dicho impresolas operaciones del egército del 7.° distrito militar confiado á su cui y fue puesto en libertad, habiendo declarado el Sr. juez de primera ins dado , ha tenido 4 bien S. M. ptotnovctlo 4 teniente general de loa tancia que este p…</t>
  </si>
  <si>
    <t>COnejo, Miguel Javier Calvo</t>
  </si>
  <si>
    <t>Miguel Javier Calvo COnejo</t>
  </si>
  <si>
    <t>…ue denunciado en 1 s de Abril último por el fiscal de imprentas D. Ma el brigadier Manso retardase esta operación basta que el Exorno. Sr. co tías López de Frías; la ley condena á D. Miguel Javier Calvo COnejo, mandante general del distrito lo autorizase correspondientemente; pero responsable de dicho folleto, á la pena de dos años de prisión en ufa habiendo recibido en el día de ayer tu contestación, en que le faculta pa castillo ó fortaleza, y en la privación de…</t>
  </si>
  <si>
    <t>Cons</t>
  </si>
  <si>
    <t>…ntes provincias. De la guardia imperial se ba dicho que á la Aeiu para ras gasto* y pare mantener el rtf4rxitnr de su casa ha ha vuelto 4 la capital. De Vanovia avisan que el gran duque Cons bían sido demasiadamente cortas; que habrá contraído deuda» ea Italia, tantino había salido i hacer una inspección de las tropas. y era de temer qae no ae pagara 4 mucho* de en* acreedores ea aniel Esto ea cuanto sobre el particular se taba. El mismo silencio…</t>
  </si>
  <si>
    <t>Cons, López</t>
  </si>
  <si>
    <t>López Cons</t>
  </si>
  <si>
    <t>…n medio* luise* por tesorería, se le* abonase el ai por 100 sobre la cantidad que hubiesen recibido, en KOTICIAf DE ESPAÑA. atención al quebranto de que trataba la proposición del Sr. López Cons tante. Madrid Domingo 6 de Enero. Se lejó el siguiente dictamen de las comisiones de Hacienda j Di m SS. MM. 7 AA. continúan ain novedad en su importante saín A"; visión de territorio , las cuales en vista de las observaciones que se hicie ron en la discusión…</t>
  </si>
  <si>
    <t>Consalvi, Hércules</t>
  </si>
  <si>
    <t>Hércules Consalvi</t>
  </si>
  <si>
    <t>…no de llado con d sello del Pescador el dia i a de Noviembre de 1819, año un mes para la admisión de las proposición» que examinadas por V. S. trigésimo de nuestro pontificado =E1 cardenal Hércules Consalvi.=Lu- me las remitirá para el uso correspondiente , esperando desde luego gar dal sello del pese*dor.=Visto por el agente adjunto de S. M.ss aviso del recibo de esta orden. Madiid as de Mayo de 1822. Roma ij de Noviembre de i8tj»esFranciscoTacon.==Certifico yo…</t>
  </si>
  <si>
    <t>Const, Llórente</t>
  </si>
  <si>
    <t>Llórente Const</t>
  </si>
  <si>
    <t>…contestó: Todos los partes oficiales y demás noticias oportunas y enérgicas qu- desarraiguen el part-do que cx &gt;t- cortea ia que tiene el Gobierno están en oposición con lo que el Sr. Llórente Const tucion en Lucena. Ya que el Sr. secretario del U spacLo parece h.t manifestado. El parte del gefe político superior de Galicia dice que que no tiene bastantes not cías de ¡as ocurrencias de Luce na , le ruco la tranquilidad se halla ente.amente restablecida,…</t>
  </si>
  <si>
    <t>ConstaetinoDespués, Rujiardo de</t>
  </si>
  <si>
    <t>Rujiardo de ConstaetinoDespués</t>
  </si>
  <si>
    <t>Gaceta de Madrid n.º 36</t>
  </si>
  <si>
    <t>…empezarse, porque es inevitable, y porque hay esperanzas de conservarse tractaremos los pasages mas notables y dignos de &lt;a atención pública. la paz---- El ío de Diciembre sale el capitán Rujiardo de ConstaetinoDespués de haber dicho que la Francia caminaba tristemente hacia pla, y cuenta cosas asombrosas : la llegada de un extraordinario al serra el mismo objeto, que era la arbitrariedad, arrastrando siempre la afren llo con la noticia de haberse apoderado los griegos de l…</t>
  </si>
  <si>
    <t>Constan, M. B.</t>
  </si>
  <si>
    <t>M. B. Constan</t>
  </si>
  <si>
    <t>…an, fiel siempre al empeño que contrajo para hacerse dueño del Go diata ó ir n odi. ;anv Me tomertan una guerra ermita , digna d: .a a.bierno.” cracioB d« tod'. hombre de bien. Ei diputado M. B. Constan! en su discurso sobre los asuntos de Es ” En vano se qu.rre mane llar la l.b rtad de ta Sac ón tsps'o'a paña, i' explicó en los términos sigu ent s en ia sesión del día a5. asignindo.e por Ausa una insu r. ~ck&gt;d puramente milita . En varo ,-e n Renovaremos nu…</t>
  </si>
  <si>
    <t>Constant</t>
  </si>
  <si>
    <t>…an ) que el que han hecho en preparativos. También es bastante notable la cir marques de Mitaflorida, antiguo ministro de Gracia y Justicia de cunstancia del nombramiento del gran duque Constant no para el des S. M- C-, refugiado en Tolosa de resultas da la última revolución de tino de general en gefe de las tropas acantonadas en .a L iuar.13, ex la Península , está para salir de un momento á otro para ei cuartel ge tendiéndose hasta incluir todos lo…</t>
  </si>
  <si>
    <t>Constante, López</t>
  </si>
  <si>
    <t>López Constante</t>
  </si>
  <si>
    <t>…algunas de sus pro Se leyeron da dictámena, el uno de H comisión de cuas do vincias la Constitución política de la Monarquía en todo ó en parte, Monede acera de la proposición del Sr. López Constante sobra el resello ó proponga ó doctrinas que tengan tendencia directa á tras de la media luisa, y el segundo de la comisiona de Hacienda y tornar ó destruir la misma Constitución, sufrirá dcc (como en el en Comercio sobre la habilitación dq Mahon para puerto d…</t>
  </si>
  <si>
    <t>…tamen de la comisión por ser contrario al art. 4.° de dicho decreto, y en loe términos que se presentan, porque de lo contrario perderemos en su lugar aprobarse la proposición éri Sr. López Constante con una mucho tiempo, como ya se ha visto, el cual nos es muy necesario para adietan mía, 4 seb.-r, que los que ya hayan sufrido el descuento de que asunto* de mas grav.dad , y al fin se tendrán, que aprobar los límites qu: se trata Kan reintegrados en su imp…</t>
  </si>
  <si>
    <t>…esentado en la citada veeduría Continuó la discusión del dictamen de la comisión acerca de la pro las boletas de carruajes servidos para liquidar hasta fin de Dcómbre posición del Sr. López Constante. de 1811 acudirán á recoger las certificaciones de sus líquid s haberes El 'r- Aiaman manifestó algunas equirccaciones en que dijo había desde el indica !o miércoles 16 del corriente en adelante. Palacio 5 de incurrido el br. Yandinta en su discurso. Eperode…</t>
  </si>
  <si>
    <t>…ó la diacusion del dictamen de la comisión especial sobre tener cata franca en sus capitales, y si esto lo habia tenido presente la la moneda francesa acerca de la proposición del Sr. López Constante. comisión. El Sr. López (D. Marcial) tomó la palabra, como individuo de la El Sr. Villa dijo que esta no habia hecho cuenta de semejante cosa. comisión , j dijo que en la sesión de ajer algunos de los Sres. preopi El Sr. Yandíola dijo que esto ya estaba preve…</t>
  </si>
  <si>
    <t>…stas fames y denigrativas á los Sres. Fernandez Tomaz, Moura y Ferraba Bor del Estado. res, quienes contestan en el suplemento de otro periódico. Sandoval, Se concedió licencia al Sr. López Constante, diputado por Yucaperseguido ya por otros artículos insultantes, no pudo ser habido para tan , para regresar á su país á restablecer su salud. coaducirle á la cárcel; y el ministro de Justicia recurrió á las Cortes Se continuó la lectura de la inmuta del códi…</t>
  </si>
  <si>
    <t>Constantino</t>
  </si>
  <si>
    <t>…da que tancia notable) dice: que habría la mayor dificultad en contener al la que se presentó en el código pesul para igual delito, y menor que Emperador, y que su hermano el gran duque Constantino, muy am las que se imponían en el código. bicioso , está ansiando por ser Rey de Grecis como se le ha prometi El Sr. Golfín dijo que creía no deber aprobar» el artículo, supues do : todos están convencidos de la guerra; pero sospechan que no se ve to que ya e…</t>
  </si>
  <si>
    <t>…toda la Polonia á la primera noticia de las hostilidades entre ellas, no lo serán tampoco en las nuevas; asi como lo serán ios que la Rusia y la Puerta. Se dice que el mismo gran duque Constantino ha entonce* fueron admitido», si no hubiese que reponer contra la legali ido 4 dar parte de esta novedad al Emperador &amp;c.” dad de loa testimonios que presenten , ó contra sus personas, por falta No son menos extrañas las que publica la Bandera Blanca , pues e…</t>
  </si>
  <si>
    <t>…a la iglesia de su propiedad ,que debe ser tan sagrada é ,nvioi*b:e se salvó con solos 300 hombres. como otro cualquiera, porque /a ‘ty e. igual para todo*. _Asegúrase que el gran duque Constantino ha entablado negociacio 1/ Los prelados y con ellos las iglesas, párrocos, seminarios y nes con el principe Lubomírski, dueño propietario de Dubno , con el demas establecimientos de piedad que reciben pensiones de ellos, que objeto de comprarle aquella ciudad…</t>
  </si>
  <si>
    <t>…1 acer uso de a u taa dos ministros da E'tido, de tres ayudan ■» venérales y de algunos se armada tendría muchos me .iv.rrnt &gt;. e .1 a barco , c-'tt.r. v r» de co t.,r o». Ei gran duque Constantino a ah» de ser nombrado por el Em que S‘ reúne un numeroso prus.a ra de .b. tvac . n -n !«s ori perador geneial en gafe de todo el ejército ruso. llas del Rhin. ^ — Lo que no tiene duda es que se traba;.! . v’.raor i nar am atr en 'a AusraiA. cai»ciíl*t a tu'ic…</t>
  </si>
  <si>
    <t>Constitución</t>
  </si>
  <si>
    <t>…ían producir ley ó decreto general, y de consi Aprobado. guiente que no podia discutirse inmediatamente sin contravenir i la La misma, informando sobre el expediente promovido por Don Constitución y al reglamento. Anselmo Mendivil, de Vitoria, acerca de los procedimientos de la El Sr. Galiano dijo que la medida sexta no es de las que pueden curia eclesiástica del obispado de Calahorra en las diligencias practica- producir ley, y que sieado la principal…</t>
  </si>
  <si>
    <t>Constitución, Andrés Mar</t>
  </si>
  <si>
    <t>Andrés Mar Constitución</t>
  </si>
  <si>
    <t>…ta se reunió el jurado, compuesto de los ssKores siguienus: ■iguie nte*. La* Corte*, usando de 1» facultad que te le* concede por la D. Manuel Esteban Caula ; D. Gonzalo Cárdenas; D. Andrés Mar Constitución, han decretado lo siguiente : i.3 La ¡unta nacional dei Cré- tínez Orinaga; D Pedro de Alvaro Delgado; D. Antonio Puigblanch; dito público procederá inmediatamente á la extinción de los crédito* D- Valentin de Nicolás; D. Antomo Rcgás; D. Juan Manuel de Aréqu…</t>
  </si>
  <si>
    <t>Constitución, Gerónimo Gonzá</t>
  </si>
  <si>
    <t>Gerónimo Gonzá Constitución</t>
  </si>
  <si>
    <t>…las Cortes entrar en su discusión be acudir al Gobierno. Aprobado. sin las formalidades que para las leyes y decretos generales piden ln La misma, informando sobre la solicitud de D. Gerónimo Gonzá Constitución y el reglamento. lez , vecino de la Guardia, para que en atención á haber profesado en El Sr. presidente dijo que no podia mecos de recomendar á las Cor la Compañía de Jesús, y haber recibido las cuatro órdenes menores, tes la actividad sobre este asunto tan…</t>
  </si>
  <si>
    <t>Constitución, Joa</t>
  </si>
  <si>
    <t>Joa Constitución</t>
  </si>
  <si>
    <t>…o , Muro, Ruiz de la Vega , Canga , Rico , Orduña, ñor sanchez Salvador es responsable con arreglo al art. 226 de la Septien , Be da, Baigcs, Salvato , Villanueva , Ojero, Ferrer (D. Joa Constitución, y debe por io tanto hacérsele efectiva esta responsabi quín ), Parque, Seoane, Velasco, Ibarra , Beltran de Lis , Reillo , Bulidad. saña , Bartolomé, Sedeño, Garoz, Valdés, Alvarez Gutiérrez, IstuDescendamos al comandante general: se dice que obró en virtud…</t>
  </si>
  <si>
    <t>Constitución, Martin Santin y Váz</t>
  </si>
  <si>
    <t>Martin Santin y Váz Constitución</t>
  </si>
  <si>
    <t>…a audiencia territorial, y juez de primera instancia de esta vi provincia de Sevilla , ha entrado un faccioso y quitado le lápida de la lla , refrendada del escribano de su número D. Martin Santin y Váz Constitución, siendo ta intención dirigirse luego i Osuna. Es probable quez , se ha mandado llamar, como por el presente te hace, á todos loe que a estas horas haya cesado la osadía y aun temeridad de los que se que en concepto de herederos ó acreedores se crean con derec…</t>
  </si>
  <si>
    <t>Contador, Alfonso</t>
  </si>
  <si>
    <t>Alfonso Contador</t>
  </si>
  <si>
    <t>…particulares ser Se leyó un dictamen de la comisión de Guerra s-.bre el expediente vicios le tiene considerado en dase de cesante con sueldo, y á que en promovido por el teniente coronel D. Alfonso Contador, y se mandó virtud de varias Reales órdenes está desde 4 de Marzo ú t.mo propues quedase sobre la mesa. to en primer lugar por la dirección de la Hacienda nacional para admi Se leyó por segunda vez el proyecto de decreto presentado por la nistrador general de…</t>
  </si>
  <si>
    <t>Contador, Antonio</t>
  </si>
  <si>
    <t>Antonio Contador</t>
  </si>
  <si>
    <t>…or roa. Se aprobó ei d.clatnen de la comisión de Hacienda , la cual en vis Santander................................................................... Par. ta de la exposición de D. Antonio Contador , vecino de Cartagena, en Burgos............................................................................. 4 por too. la que hacia varias rell..xiones y propuestas para libertar á la Nación de Cor uña........................................................…</t>
  </si>
  <si>
    <t>Contestaré, Benito</t>
  </si>
  <si>
    <t>Benito Contestaré</t>
  </si>
  <si>
    <t>…eiá inmediación de un buque de guerra , se procurará aproximarse á ¿I ti han de ser directores ó inspectores. para enviar á su bordo un oficial, ó enterar á su comandante de lo El Sr. Benito Contestaré á las objeciones que ba hecho el Sr. 5aaqu; ocurra, y en su defecto hacerlo á la voz ó por señal convenida, i vedra, y diré á S. S. que los comandantes de artillería e ingenieros en £n de que toma las providencias que crea necesarias. lo sucesivo han de ser g…</t>
  </si>
  <si>
    <t>Contiliador</t>
  </si>
  <si>
    <t>…te de Madrid, reunidos loa jueces de hecho, cali ficaron con la fórmula de atruelto el pírrafo inserto en el núm. 3.0 del Por el correo de s6 de Junio último remitió la contaduría general Contiliador, que principia: » No obstante,” y concluye: » Su ambición;” de consolidación en el Crédito público un pliego con el sobre al co en cuya consecuencia U ley absolvió 4 D. Juan Antonio de Zam acola, misionado del establecimiento en Sigüenza, que contenia ocho ce…</t>
  </si>
  <si>
    <t>Convs</t>
  </si>
  <si>
    <t>…l lo siguiente: Por aviso que acabo de recibir de Seu de Urgel , dirigido ve , y ei sistema de contemporizar es acaso mas favorable á los turcos por el alcalde constitucional y el comandante Convs, resulta que el que á los rusos. brigadier Llovera atacó en Puigccrdá á los facciosos, mandados por BePor otra parte los alemanas han publicado ya una especie de plan sieis, * quienes batió é hizo entrar en Francia por las Qu.nquctas y Lüde campaña para la co…</t>
  </si>
  <si>
    <t>Copen</t>
  </si>
  <si>
    <t>Ñuta. En la ralación de la* operarioace á;I general Copen*, in am había derramado profusa»en t* por espacio de 1 &gt;0 afio* honores 7 ania en la gaceta de 19 del corriente, ae omitió ierolitntarianienw beneficio*.. -. Etti fuc el escandaloso espectáculo que Madrid presentó é hacer mérito de la parte que tuvo en la glo…</t>
  </si>
  <si>
    <t>Copoms</t>
  </si>
  <si>
    <t>…taleza de la Atbambra i media noche, donde permanece preso llería nacional” en la torre de los Homenajes con una guardia de la M. N. L. V., y sus i’arte soleré las operaciones del general Copoms. cómplices también se van prendiendo. Anoche entró preso de Guadix •El teniente general D. Erancisca de Copons á los primevo* tira* un tal Ortiz, inculcado en el plan de conspiración del mismo Leiva. de canon que oyó, salió á reconocer el motivo que lo* ocasi…</t>
  </si>
  <si>
    <t>Copona</t>
  </si>
  <si>
    <t>…rra , Valdés (D&lt; Cayetano), Arguelles, Airear, nido para suspender tu reunión? ¿Noestá ahí presente la proclama del Kuñez Falcon , Buruaga , Domenech, Luque, Infante, Murfi, Puma- Sr. Copona de que haré mérito, en qua ae expresan tantos y tantos exce tejo, Ruiz de la Vega, Somoza, Llórente, Rojo, Valdés Bustos, sos’ ¡No está aqui en el Congreso en el libro de actas de la Diputación Alvarez, Torre, Trupllo , Meló, Roig, Herrera, Bauzá, Canga, perm…</t>
  </si>
  <si>
    <t>Copons</t>
  </si>
  <si>
    <t>…itos que devengan ínteres.” sen los fundamento^ de la libertad civil ¡ que era verdad que e-i la hsta es la regla general que se establece por dicho artículo : de mo prociam t del general Copons se hacia mérito de excesos cometí! : n do que el que quiera comprar bienes r.aciona cs ha de dar tres quietas la Fontana; p ro que también indicaba en eiia que ei mayor nú-mro pi tes en créditos con interes, y des quintas partes rn créd.tos sin el. de los con…</t>
  </si>
  <si>
    <t>…o sobre 1a les de U milicia activa al mando de su inspector general, v do* piezas, montaña del prínc.pe Pío, se retiraron var os guardias, que al pronto y confió esta operación al general Copons con orden de, iCey para que tiraron vanos tiros á cubierto de una pared unida á las caballerizas de Jos batiera. Cuando llegó 4 incorporarse con esta fuerza hacia fuego S. M., quedando todo en silencio durante el restante tiempo que duró una p.-zt desde el pu…</t>
  </si>
  <si>
    <t>…salieron en persecución navio de línea y ocho buques menores , llevando 4 bordo como tripu del enemigo. lación i muchos grnízaros de los alborotadores de Pera. Algunas tro- «* Ei general Copons, que mandaba la columna, dispuso en el pu'cta as asiáticas de las que debían salir da los principados no han querido de Scgovia que el valiente brigadier inspector dscabiiiería D. Sant aga ace/lo. Wall se encargue del ala izquierda, sostenida por el etcuadron…</t>
  </si>
  <si>
    <t>Copons, Antonio Oliver y</t>
  </si>
  <si>
    <t>Antonio Oliver y Copons</t>
  </si>
  <si>
    <t>…8si. Petenbur¡o 10 de Mayo. La comisión de Visita del Crédito público era de opinión sa acce Nuestro Correo Imperial del A contiene el artículo siguiente 1 diese á la solicitud de D. Antonio Oliver y Copons. Aprobado. » Se sabe por buen conducto que los turcos te quedan como antes La misma comisión opinaba se permitiese al Sr. diputado D. Juan en la Valaquia. Hay unos io9 de ellos en Bucharest, donde conti Rico capitalizar la pensión de go9 rs. que le concediero…</t>
  </si>
  <si>
    <t>Copons, Erancisca de</t>
  </si>
  <si>
    <t>Erancisca de Copons</t>
  </si>
  <si>
    <t>…Homenajes con una guardia de la M. N. L. V., y sus i’arte soleré las operaciones del general Copoms. cómplices también se van prendiendo. Anoche entró preso de Guadix •El teniente general D. Erancisca de Copons á los primevo* tira* un tal Ortiz, inculcado en el plan de conspiración del mismo Leiva. de canon que oyó, salió á reconocer el motivo que lo* ocasionaba, y Madrid Juez es xS de Julio. habiendo visto el ataque que hacían los batallones de vuardias, corrió al…</t>
  </si>
  <si>
    <t>Copors, Francisco</t>
  </si>
  <si>
    <t>Francisco Copors</t>
  </si>
  <si>
    <t>…consecuencia del cos ofic-.aics y so'dados de Almansa que pudi-ron seguirme hasta en ofrecí mi :nto franco que U hice la madrugada del 7 , sal del cuane da contrarme con el Hxcmo. Sr. D. Francisco Copors, que habiendo dis S. Gil con dos piezas de artillería , á las órdenes dei capitán D. Vicen persado los ú'timos restos de los fugitivos, se retiraba i esta cap-tal. te Villasante, y m d a compañía de guardias consntucionai-s que las ” odavía restaba mas de una…</t>
  </si>
  <si>
    <t>Copos</t>
  </si>
  <si>
    <t>público. La comisión opinaba que debia archivarse dicho proyecto por ■45» que para fijar su dictamen era necesario que el general Copos* presen ,¡ podía ser de alguna utilidad en tiempos mas felices. tase documento que acredite lo te.uelto por el tribunal supremo de Otro relativo á las solicitudes de los ayuntamientos constituciona Justicia. les de Tauste y Cabañales, en Aragón, para que se l…</t>
  </si>
  <si>
    <t>Cor</t>
  </si>
  <si>
    <t>…adió que tratándose de culto, se entendía salo el cuando se pubt-que, y allí lo veri; pero ye que he puesto en los pa generalmente reconocido, y que el articulo 144 podía asear al Sr. Cor peles públicos un aviso pare desacreditar el diputado Ochoa , y de este tes de estas dudas. modo al Congi-»o, pido que ee lea dicha exposición; y ann ten El Sr. Cabarets dijo que ciertas máximas adoptadas por la Iglesia dré una satisfacción en renunciar le in…</t>
  </si>
  <si>
    <t>Cor, Manuel</t>
  </si>
  <si>
    <t>Manuel Cor</t>
  </si>
  <si>
    <t>…ide* del tativas d comercio de Santo Dominga (Id. dei tí.y estado político de la Europa, y de la nsturaleza de nuestro país y cali Circular del ministerio habilitando la firma de D. Manuel Cor dades de sus habitantes, pata conocer la estraragancia de semejante» té*. (U. dei ai.) Artículos aprobado» por S. M. pata d gobierno y adaemistracaonrumores.</t>
  </si>
  <si>
    <t>…capitán retirado; D. josef Rubio Sisón , individuo de la junta Las Cortes oyeron con agrado la manifestación que hacia de sus sen municipal de Fraga; D. Antonio M ilán de Fabara, D. Manuel Cor timientos patrióticos el Sr. D. Miguel López Baños. tés , D. Juan J.ssef Perez, D. Pedro Antonio Barena, gefe militar del A la comisión de Marina se pasó una consulta del Gobierno acer cordon; I). Josef S. Juan , I?. Amonio boro, D. Andrés Vahe , pirca de la…</t>
  </si>
  <si>
    <t>Cora</t>
  </si>
  <si>
    <t>…io qu; s'gue: La» Cortis se han enterad • del oficio Tam'ii-.n pulsean ios p.riódicos ingleses las siguierfs noticias: de 1: del cotr.in.tr, firma‘o por V. h. en unión con el !&gt;r. secretario Cora n de Jun o. » Los restos de las divisiones de houb'rtti, Re d:l D.spichu de H'cienda.en el cual s: sirven insertare! Real decre yes, Vargas y Torell.-s han sido per*i gu.dos p- r Lorenzo y Tollo , y to de S. M. de 30 d: Ab*il ú timo, cuvo tenores el siguiente…</t>
  </si>
  <si>
    <t>Corajo, Catalina García Ramiro</t>
  </si>
  <si>
    <t>Catalina García Ramiro Corajo</t>
  </si>
  <si>
    <t>…cipal de esta heróica María Gutiérrez, á favor de los hijos de su hermano Francisco de la v&lt;i a , y i los c'udadanos da la milicia local los sentimientos puros da Rocha y su muger Doña Catalina García Ramiro Corajo; Dolía María mi vrat tud y admiración. de Robles, D. Francisco de la Rocha por agregación del mayorazgo &gt;■ Drst nado por el Sr. comandante general de este distrito para con- que pozaba su hermano D. Pedio Duran; D. García Catvajal y Pare tnuar '»&gt; operaciones…</t>
  </si>
  <si>
    <t>Coramina, Andrés</t>
  </si>
  <si>
    <t>Andrés Coramina</t>
  </si>
  <si>
    <t>…e ser la naturaleza de esta grande conju paftrro fie aripa» =Fr«^ »co Feevaz." ración. ¡ Np es cierto que ca tados los puntos .de Europa en que la* __EI doqi:ro párroca de Manresa doctor D. Andrés Coramina fue jwb ot han opuesto una continua resistencia al Gobierno, y en que preso el Ay 18 sin comunicación, y asi subsiste, habiéndosete ocupado se han intentado ó verificado revolución «, eran insoportables loa vi todos sus papeles, * consecnmcia de queja formal…</t>
  </si>
  <si>
    <t>Coraminas, Magín</t>
  </si>
  <si>
    <t>Magín Coraminas</t>
  </si>
  <si>
    <t>…lado* poc do por cinco votos contra cuatro que no ha lugar d ia formación do la diputación provincial, debiendo aer la enseñanza gratuita 1. lo» pre causa, habiendo opinado que sí D. Magín Coraminas, D. Isidro Ga tendientes presentarán sus memoriales en el término lie 15 días, con llarda, D. Francisco Sobirachs 7 D. Juan Lladó. Barcelona 28 de Se tados desde esta publicación. ... tiembre de i8n.=Macario Riu.rrPablo María Vcrdalei.=Francisco Baraja consti…</t>
  </si>
  <si>
    <t>Corbo, Pedro</t>
  </si>
  <si>
    <t>Pedro Corbo</t>
  </si>
  <si>
    <t>…hasta el 30 el lu los d« esta estaban comprendidos en la lista de la primera , y no man nes 2¿ del corriente y sigu.antas. dó poner testimonio de la citada carta y declaración de D. Pedro Corbo y D. Gerónimo Navarrete , que «tan relativas al mismo particular. Continúa el informe del visitador de ¡a causa fenecida en la audiencia Picaa principal , Col. 21Ó. (Je continuará.j de Madrid contra D. Manuel Hernández, llamado el Atutía, Don Josef M-ni'n Otalora y consortes , sobre…</t>
  </si>
  <si>
    <t>Cordero, Víctor</t>
  </si>
  <si>
    <t>Víctor Cordero</t>
  </si>
  <si>
    <t>…Manuel Jones, mayor conMOdante supernumerario del tallen drl r.-gimi nto infam ría de Vitoria, id. regimiento infant-ria Infante D. Amonio; con el sueldo que disfruta. Tala vera á D. Víctor Cordero , espitan graduado de teniente coro Calatayud a D. Antonio Ma;az, temante coronel graduado y ea- nel dei regimiento coraceros de la Reina , id. ¡tan primer ayudante supernumerario del regimiento úKanteria del Toro a D. Leopoldo de Gregorio, espitan del reg im…</t>
  </si>
  <si>
    <t>Córdoba</t>
  </si>
  <si>
    <t>…o Antonio Barrena, comandante de las tro caballos, sin que por nuestra parte haya habido la menor desgracia.= pas del bajo Aragón y ds las armas de Alcafnz , remite á dicho se F.i teniente Córdoba , el sargento Balsia y los demas de Aimansa y Lu- ñor comandante general la copia del parte dado por D. Felipe Tolosa sitana han llenado completamente su* deberes; pero no puedo dejar de na , y añade entre otra* cosas lo que sigue: recomendar á V. S. el entus…</t>
  </si>
  <si>
    <t>Córdoba, Antonio Ro</t>
  </si>
  <si>
    <t>Antonio Ro Córdoba</t>
  </si>
  <si>
    <t>…ndante i D. Pedro Gom.z , co cera división di granaderos provinciales. _ mandante de batallón supernumerario del regimiento infantería de Baeza: para primer comandante al teniente coronel D. Antonio Ro Córdoba. mero , primer ayudante mayor del primer regimiento de la Guardia Toledo: para primer comandante al coronel graduado D. Anto Real de infantería. nio Madera y Guzman, teniente coronel mayor del regimiento de in Cidiz: para primer comandante al comandante de in…</t>
  </si>
  <si>
    <t>Córdoba, Joaquín di</t>
  </si>
  <si>
    <t>Joaquín di Córdoba</t>
  </si>
  <si>
    <t>M3° D. Joaquín di Córdoba y el gef&lt;s del E. M. D. Miguel Galban, con tado Domin?uez.si Dios guarde i V. S. muchos años. Segura 24 de le ordfn de que se situase i la espalda del pueblo y tomase el camino Setiembre de 1822. = Francisco Brandit. — Sr. comandante general del de Mora por s…</t>
  </si>
  <si>
    <t>Córdoba, Joaquín Diez de</t>
  </si>
  <si>
    <t>Joaquín Diez de Córdoba</t>
  </si>
  <si>
    <t>…Cortes por su instalación. en Marzo del alio pasado sobre el Crédito público. Se mandaron pasar á la comisión de Hacienda con igual declaración Se dió cuenta de una exposición de D. Joaquín Diez de Córdoba. unas observaciones del mismo Perez sobie el sistema de Hacienda. en que manifestaba no haber tenido efecto la recomendación que de él Las Cortes oyeron con agrado una representación del segundo bata habían hecho las Cortes al Gobierno en la sesión de 17 de M…</t>
  </si>
  <si>
    <t>Córdoba, Josef María Fernandez de</t>
  </si>
  <si>
    <t>Josef María Fernandez de Córdoba</t>
  </si>
  <si>
    <t>…el titula TatavMAm. de jutas dt hecho, en que se hallan extendidas las declaraciones de si ha ó no lugar á la formación de causa fi los autores de los impreso* Por providencia del Sr. D. Josef María Fernandez de Córdoba, acusados por abusos de libertad, se lee lo siguiente: Los infrascritos asesor de la [guardia Real ínterin 7 hasta que se finalicen los asuntos jueces de hecho, habiendo examinado el suplemento al Diario consti pendientes en el juzgado privativo de la guardia…</t>
  </si>
  <si>
    <t>Córdoba, Mariano</t>
  </si>
  <si>
    <t>Mariano Córdoba</t>
  </si>
  <si>
    <t>…rcito permanente se dis to Juan Bilsia envié can 8 caballos á perseguir i los qu e se habian des putaban á competencia la gloria de arrojarse sobre el enemigo , y oua cubierto. El teniente D. Mariano Córdoba con I* mitad de la fuerza se ¡a conducta de estos habitantes durante la acción ha sido pacifica y dirigió por la dir.-cha del convento, y yo con el resto marché á ia iz cual podía desearse. quierda ; pero te hizo con tanta rapidez el movimiento, que á pesar d…</t>
  </si>
  <si>
    <t>Cordobés, Pedro</t>
  </si>
  <si>
    <t>Pedro Cordobés</t>
  </si>
  <si>
    <t>…de coraceros ,yíD. Cayetano Ansiut. Arólas, D. Matías Sanmartín, D. Juan Bautista Antoni, D. Joaquín La comisión Eclesiástica, en vista de la exposición de Fr. Basilio Romaguera, D. Pedro Cordobés, D. Pedro Pascual Liob-t, D. Re Larraita, carmelita descalzo en Vizcaya , quejándose de no habérsele non Gascón y D. Vicente ¿.lopis, canónigo, después de haber exami despachado sa secularización por el obispo a quien corresponde, opina nado el impreso y la d…</t>
  </si>
  <si>
    <t>Cores, Juan Josef de</t>
  </si>
  <si>
    <t>Juan Josef de Cores</t>
  </si>
  <si>
    <t>…uez, D. Francisco 7 la harina de i so rs. el quintal. Montoro,D. Vicente Martina Gómez, D. Antonio María Cuatre El Sr. Munarrii presentó á las Cortes á nombre de D. Josef Ma ras , D. Juan Josef de Cores y D. Francisco de Paula Díaz, jaeces de ría Zuaznabw el tonto *.“ del Ensaco histórico-crítieo sobre la legis hecho, con la fórmula de mbttulto el núm. 99 del periódico titulado lación de Navarra. Las Cortes lo recibieron con agrado, y acordaron el Defensor de la (atria, denunciado…</t>
  </si>
  <si>
    <t>Coriúri, Josef</t>
  </si>
  <si>
    <t>Josef Coriúri</t>
  </si>
  <si>
    <t>…er tenido que con chea, idem. D. Angel.¿erez, idem. D. Juan Esteban García , contuso. ducirlos i diversos hospitales: por mi parte he tenido ia pérdida qué D. Jacobo Gilvan, ídem. D. Josef Coriúri, ídem. Paisano i D. Juan manifiesta el adjunto estado: Josef Ibarr.ta , contuso , agregado. •s El brigadier D- Juan Palarea estuvo i mi lado toda la noche, jr Cazadores. Corneta/D- Tomas Vicente, herido. después de 'haberme ayudado con sus conocimientos para…</t>
  </si>
  <si>
    <t>Cornei-la, Joan</t>
  </si>
  <si>
    <t>Joan Cornei-la</t>
  </si>
  <si>
    <t>…ad de Vender hayen de id. 89 7 6.—D. Francisco Dcbrar de Aaaiantla Hacienda pública, á legitimar su penosa ydertchoa al remanante da 78» 7 4—Frege 7 compafiía de Leipeick 741 7 ia_D. Joan Cornei-la testamentaria del referido Vasal»; en inteligencia de que no haciéndolo, llio Frank de Hirchiberg 6y9_D. Martin Stochfleth de Hamburgoae daslaanrln loa bienes por mostrencos. En el testamento que otoñó en *109—D. Cárlo» Hetria 7 compafiía de Lóndrca 4941—Ponr…</t>
  </si>
  <si>
    <t>Cornejo, Juan</t>
  </si>
  <si>
    <t>Juan Cornejo</t>
  </si>
  <si>
    <t>…acerlos simultáneamente por las diversas direccio Habiéndose denunciado al Sr. alcalde constitucional de esta M. II. nes de los trasportes y los azares de la navegación. villa por D. Juan Cornejo, en nombre de los Sres. D. Juan Arguelles 6.a Si a la dirección general ocurriese algún pedido extraordinario Vaidés, D. Anacleto Fagoaga y Dutari y D. Antonio Siles, magis por alvun suceso imprevisio, y que no dé lugar á la anticipación y trados de la audien…</t>
  </si>
  <si>
    <t>Cornet, Ramón</t>
  </si>
  <si>
    <t>Ramón Cornet</t>
  </si>
  <si>
    <t>…para que pudiesen usar de su me delo Merino, del donado de S. Francisco Mariano Vila, y de los pro dia firma. Se acordó que se repartiesen los egemplares. fesores Víctor Montañés, D. Ramón Cornet, D Mariano Ceresole y El Sr. presidente manifestó que los Sres. diputado» deberían asistir 1&gt;. Mariano Galindo, que han fallecido víctimas del contagio y de i las sesiones á la hora de las diez, que es la prefijada en el reglamento, su acendrado amor á la hum…</t>
  </si>
  <si>
    <t>Coro, Josef Barragan y Carbaprovincia de</t>
  </si>
  <si>
    <t>Josef Barragan y Carbaprovincia de Coro</t>
  </si>
  <si>
    <t>…entendiéndose aquella doblada no pagando dicha cantidad, y en las cos bres y 4 piezas de artillería , con lo que ho conseguido ocupar toda la tas causadas: en cuya consecuencia el Sr. D. Josef Barragan y Carbaprovincia de Coro, le cual en otras ocasiones hadado la libertad i llar , juez segundo de primen instancia de Sevilla , mandó te llevaw Venezuela por le decisión de sus matareleí en favor de lea armas nacio á debido efecto , y te borrase el artículo denunciado. nales. —D. Cons…</t>
  </si>
  <si>
    <t>Coro, Ma.ln</t>
  </si>
  <si>
    <t>Ma.ln Coro</t>
  </si>
  <si>
    <t>…z Cu-nilas , y para el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 Irados de la audiencia de ANUNCIOS. Puno Peíncipe,…</t>
  </si>
  <si>
    <t>Corominas, Josef</t>
  </si>
  <si>
    <t>Josef Corominas</t>
  </si>
  <si>
    <t>…vos ayuntamien de 18 2261c.,” declaramos por siete votos contra dos, siendo estos de Don tos ias cali dades que puedan ó deban gastar en la fiesta del aniversario Juan Guardiola y D. Josef Corominas, que no ha lugar á la formación de la Const.lucion. 4. Los gastos de cera que fuesen necesarios para la de causa. Barcelona 4de Mayo de i82 2.=Fetipe Bertrán y Ros; Pablo función de ¡gles-a en todos los demas aniversarios decretados por las Cor Miranda; Juan…</t>
  </si>
  <si>
    <t>Corominas, Magín</t>
  </si>
  <si>
    <t>Magín Corominas</t>
  </si>
  <si>
    <t>…acusación los secomisión. ñores D. Juan Ferrer y Albareda, D. Juan Evaristo de Casteiiar, D.-n be mandó pasar i la comisión la siguiente adición del Sr. Can ¡on Josef Anv.lasell, D. Magín Corominas, D. Melchor Biuguera, Don al atr. 1H6, que décia: »&gt; Pido que se añada después de las palabras ins- Juan Liado y Torra, D. Pedro Comes, D. Juan de Basse y l&gt;. L . atitucion tan sabia las siguientes: Jándose pruvüienc¡a sobre ellos. cio Andreu y Sanz, declarar…</t>
  </si>
  <si>
    <t>Corona, Juan de Soto y D- Agustín</t>
  </si>
  <si>
    <t>Juan de Soto y D- Agustín Corona</t>
  </si>
  <si>
    <t>…ulos siguientes: chores con sus armas y caballos; y dé en nombre de la patria las debi i ° Dígase al Gobierno que bajo la mas estrecha responsabilidad das gracias á los milicianos D. Juan de Soto y D- Agustín Corona, de las autoridades á quienes corresponda prohíba severamente, y en que siguieron el alcance «le loe cinco malhechores fugit.vos con el ma cumplimiento d: lo mandado por los cánones y constituciones sinoda yor entusiasmo y peligro, como lo comprueba el qu- en…</t>
  </si>
  <si>
    <t>Coronado, Josef Marín</t>
  </si>
  <si>
    <t>Josef Marín Coronado</t>
  </si>
  <si>
    <t>…esta Anastasio Nava*,IX Andrés Gafo, D. Miguel Sánchez, D. Octavio exposición, por cuanto el asunto 4 que se refería era un testimonio da Pastor, presbítero, D. Joaquín de Iberas, D. Josef Marín Coronado, la gratitud nacional; y que no siendo tampoco decoroso el decir que D. Josef Maten y D. Vicente Verga». ao había lugar i deliberar robre ella, era precito que las actuales Cor te* mostrasen su aprobación de lo hecho por las anteriores. Ea la ciudad de Barcel…</t>
  </si>
  <si>
    <t>Coronel, Indalecio</t>
  </si>
  <si>
    <t>Indalecio Coronel</t>
  </si>
  <si>
    <t>…as de escultura. TSlBClfALB*. Todavía se ve la dilatada serie de arcos de loa acueductos in mensos que conducían las aguas y las repartían por toda la ciudad , y En el juzgado del Sr. D. Indalecio Coronel, juez de primera principalmente en las plazas públicas, en el foro, en los mercados de instancia de la nuevá población de la Carlota y su partido, y por pre Augusto y de Antonino Pió, en medio del cual estaba la columna An sencia del escribano público D. Ramó…</t>
  </si>
  <si>
    <t>Coronel, Teresa</t>
  </si>
  <si>
    <t>Teresa Coronel</t>
  </si>
  <si>
    <t>…á ella. Aprobado. cusión. La comisión de Hacienda informando sobre las solicitudes de Dolía Respecto de la tercera hizo el Sr. O! i ver varias reflexiones , manifes Antonia Calvo, Doña Teresa Coronel, Doña María Francisca Matas tando que no se oponía á que se diesen á los comisionados especiales y Dolía Isabel Ropero, viudas, solicitando te les concediesen pensio que emplease el Gobierno los sueldos correspondientes ¿ la calidad de nes en atención á los s…</t>
  </si>
  <si>
    <t>Corpas, Pedro</t>
  </si>
  <si>
    <t>Pedro Corpas</t>
  </si>
  <si>
    <t>…y habitan ficaron á presencia de un numeroso concurso, y algunos alumnos ma tes de aquellas regiones prestarían auxilio á nuestros contrarios. nifestaron su gran aplicación , como D. Pedro Corpas &amp;c. Su emu'aKste peligro no es tan grande con respecto á las India» occidentales, cion fue tal qu: muchos pidieron salir de nuevo á la pizarra para dar mientras la marina in«le»a conserve la supexioridad» y cor otra parte al púb'ico mayores pruebas de su» ade…</t>
  </si>
  <si>
    <t>Corra, Feliciano del</t>
  </si>
  <si>
    <t>Feliciano del Corra</t>
  </si>
  <si>
    <t>…ZiaCMAlB*. En el juzgado del Sr. D. Josef Moreno y Remirez, juez de primero Nota i.* El líquido demostrado por la renta del tabaco está afecto irstmeia, y escribanía del número de D. Feliciano del Corra!, se ha al pago de la consignación para contratistas. llan pendientes los autos seguidos por D. Ventura de O bregón i nom a.4 Para ei total completo de este estado faltan las provincias si bre de D. Ignacio de Obregon, su padre, coronel del regimiento proguie…</t>
  </si>
  <si>
    <t>Corradi</t>
  </si>
  <si>
    <t>…mino perentorio, intimada 4 tres españoles liberales; dos de casa del gobernador, y se 10 &gt;1'. 4 a - .c\:r iie .a p .r escrito y cerrada ellos, el hijo del Sr. Bertrán de Lis y el Sr. Corradi. para que la cntregu n a su com .n Lm r , qu n a Comunicará únicaS ¿un cartas de Sto Tomas de 11 de Octubre el sobornador holan m. nte hasta el sar£ento mcus.ve , y de los cabos solo á aquellos qu« dés de Curazao ha descubierto y desbaratado , apoderándose de…</t>
  </si>
  <si>
    <t>Corral</t>
  </si>
  <si>
    <t>…manifes y mis valientes conservaban todo el ardor que dan el vencimiento y la tando fi V. E que jamas tropa* en el mundo han presentado un cuadro justicia. Ya había yo mandado al coronel Corral que hiciera avanzar la ana* interesante como toldados aguerridos y como constitucionales be artillería y dos batallones de la milicia, cuando vi venir bacía mi al néficos. Teniendo la satisfacción de que en medio de esta crisis terrible* gran trote un oficial…</t>
  </si>
  <si>
    <t>Corral, Andrés García del</t>
  </si>
  <si>
    <t>Andrés García del Corral</t>
  </si>
  <si>
    <t>…d »o i.'ra -i torcris-».™ Para la de Ve lartolid proponía la comisión á lo» Síes. D. Jos;f Aquí s: contradicen ei Mvxit^r y el D:\iri-. de Us Ditate. : n a, rsto Puente Herrero , D. Andrés García del Corral y D. Josef Fernandez va haciéndose frecuente , y ya no se extraña. Un ptriod sta cr„e que no Paul; y fue electo por unanimidad el Sr. Puente Herrero por 1 ij van á ser grandes ni muchos ios resu.lados de! congreso; y lo» ulti votos. mátum turcos dan m-stívo para muchas r fi.-x en…</t>
  </si>
  <si>
    <t>Corral, Bonifacio del</t>
  </si>
  <si>
    <t>Bonifacio del Corral</t>
  </si>
  <si>
    <t>…diez i una de » Debo si mencionar al teniente coronel retirado D. Serafín Rin su mafiana el pago de intereses del segundo semestre á los tenedores de cón , al cadete de Zapadores D. Bonifacio del Corral , al comisionado las carpetas que acreditan la entrega en su contaduríade los recibos ó di del Crédito público D. Rafael Garbayo, padre del voluntario herido; spones, y cuyos números esten comprendidos desde el *41 al a8o, am al voluntario de Madrid D. Joaquí…</t>
  </si>
  <si>
    <t>Corral, Feliciano del</t>
  </si>
  <si>
    <t>Feliciano del Corral</t>
  </si>
  <si>
    <t>…an los billetes desde el número 117$ al 1 *94, primera instancia y de los negocio* contenciosos de la hacienda públíambos inclusive. ca de esta capital, y escribanía del número de D. Feliciano del Corral, También se presentará , pues no lo ha verificado, D. Cosme Eche* ae vende en pública subasta un sitio erial, sito en esta villa , alie de varri á recibir el importe de tu billete número 1046. la Paloma, sefialado con el núm. 14 de la manz. lia, declarado vaa…</t>
  </si>
  <si>
    <t>Corral, Francisco Antonio de</t>
  </si>
  <si>
    <t>Francisco Antonio de Corral</t>
  </si>
  <si>
    <t>…strucción de la gavilla de facciosos mandados por Misas en In en el reino de Polonia, donde ha fallecido , se presentarán con los do misma provincia. cumentos que lo justifiquen 4 D. Francisco Antonio de Corral , que vi ve en Madrid, carrera de S. Gerónimo, núm. 13 déla manz. 265, frente £1 brigadier D. Josef María Tortijos, gefe de la columna expedi de la Fontana de Oro , quien les instruirá de un asunto que les interesa. cionaria , dice al comandante militar de la…</t>
  </si>
  <si>
    <t>Corral, Manuel Antonio de</t>
  </si>
  <si>
    <t>Manuel Antonio de Corral</t>
  </si>
  <si>
    <t>…ituados en el tual lo siguiente: almojarifazgo de Canarias. El que supiere de su paradero se servirá » Las Corles, con el fin de facilitar la egecucion de lo acordado por acudir á D. Manuel Antonio de Corral, apoderado de D. Pedro Ma las mismas para la liquidación de créditos, han tenido á bien resolver ría de Ponte, conde del Palmar, poseedor del referido mayorazgo. se adopten las disposiciones siguientes: 1/ dentro de los ocho dias del Dicho apoderado viv* en e…</t>
  </si>
  <si>
    <t>Corrales, Félix</t>
  </si>
  <si>
    <t>Félix Corrales</t>
  </si>
  <si>
    <t>…ia interventor D. Mauricio Ruperto de Caballas, adminis el departamento de Cartagena en 16 de trador de bulas de León. Julio de valor de ioo9 rs., y cumpli Tarragona administrador D. Félix Corrales, oficial del archivo de da con ................................................... 40,000. esta secretaría. Interventor D. Manuel Batalon, auxiliar de esta secro- Al inúndente del depattamento del Ferrol D. Diego de la Vega por Guadalajari interventor D. Clau…</t>
  </si>
  <si>
    <t>Correa, Pablo Torrejon y</t>
  </si>
  <si>
    <t>Pablo Torrejon y Correa</t>
  </si>
  <si>
    <t>…de absuelto el inapreso ti (Gaceta del 8.j tulado el Trabuco numero i.°: en cuya consecuencia la ley absolvió Decreto de las Cortes aboliendo el derecho de caps que se exija ea í D. Pablo Torrejon y Correa, responsable de dicho impreso, y se Barcelona. (Gacela &lt;leí p.j mandó fueae puesto inmediatamente en libertad, sin que este procedi Re^o’uc on de las Cortes sobre las cargas de 1* renta de censo* lla miento debiera causarle perjuicio en su reputación. madas d…</t>
  </si>
  <si>
    <t>Corres, Ramón</t>
  </si>
  <si>
    <t>Ramón Corres</t>
  </si>
  <si>
    <t>…particularmente se han distinguió , tados.” y por lo que ios recomienda, los dos bizarros alféreces de ' Puede decine que é cato se reducá cuento publican loa periodis y Lusitama D. Ramón Corres y D. Francisco Vázquez , que man.;,, tas alemanes, ingleses y franceses. Algunos afiaden que en el congreso roq las guerrillas de caballería, al sargento segundo de Lusitania Ji,sa no se tratará de coartar la libertad da imprenta , como te be ‘supuesto; García, y al soldado del mis…</t>
  </si>
  <si>
    <t>Corrióla, D Antonio</t>
  </si>
  <si>
    <t>D Antonio Corrióla</t>
  </si>
  <si>
    <t>…sido muchas reces Del regimiento de Jaén. Teniente coronel D. Joaquín Ramos, ca Ja obra de sus manos Esos sacrtl-vos impostores, fios sacerdotes im pitán D. Juan Bautista Zara'.a, teniente D Antonio Corrióla, subte píos que blasfeman el nombre cr Dos, son ios que procuran envene niente D. Felipe Caballero, id. D. Pedro Polero, id. D. Josef Marín. nar nuestra sociedad , los qu - han ocasionado tartos desastres en ais-u Del de Toledo. Teniente D. Mariano Kanler. no…</t>
  </si>
  <si>
    <t>Corriols, Josef Miguel</t>
  </si>
  <si>
    <t>Josef Miguel Corriols</t>
  </si>
  <si>
    <t>…a la concesión de arbi Jaime Busana , D. Felipe Bertrán y Rosas, D. Macario Rin , Don trios eviten la formación de expedientes generales que la retardarían Joaquín Ruira y Lacren, D. Josef Miguel Corriols, D. Jnsef Anto notablemente. nio BjIcl-IIs , D. Felipa Fernandez Arias, D. Pablo María Verdalet y Y 4.a » Que las obras se ejecuten en los términos que i juicio de D. Josef María Baldrich, declararon por unanimidad haber lugar A las diputacicnes sean mas econ…</t>
  </si>
  <si>
    <t>Corsel</t>
  </si>
  <si>
    <t>…artículo, añadiendo Se aprobó el dictamen de la comisión de Comercio, la cual en vis 1— palabras siguientes á propuesta d'i sr. Infante , torno no jta torno ta de la solicitud dal caballero Corsel , sobre que se le permit tse ex ju/títuto, con lo cual se suspendió esta discusión. clusivamente, y por espacio de ao años, ¡otro, ucir en España came Se mandaron agregar al acia dos votos contraríen á la aprobación del llos; y habiendo tenido presente los in…</t>
  </si>
  <si>
    <t>Cort-s, Lopn del Baño.- Si las</t>
  </si>
  <si>
    <t>Lopn del Baño.- Si las Cort-s</t>
  </si>
  <si>
    <t>…as Cor La com sion mira la institución de estas compafiías como la base de tes en el reglamento de policía. la formación de los cuerpos franco* ó partidas provinciales , que en El Sr. Lopn del Baño.- Si las Cort-s en «te mismo afio «o hubie aquella misma guerra destruyeron el egército imponente del usupa lar; ran arbitrado med os para cumplir con el éftajito de! provecto en cues pero quiere que se establezcan con método y uniformidad, y que los tión , yo estiria confor…</t>
  </si>
  <si>
    <t>Cortada, Francisco Piferrer de</t>
  </si>
  <si>
    <t>Francisco Piferrer de Cortada</t>
  </si>
  <si>
    <t>…eve de la mafiana. Ha sido vigorosa *» Excmo. Sr.: El valiente comandante de la milicia voluntaria da la resistencia da los patriotas que la defendieron; pero era imposible Bienes D. Francisco Piferrer de Cortada, que se halla en ata du que 30 hombres con irirestasen i ua» inmensa multitud de malvado#, dad, me dice con fecha de ayer lo que sigue: La mísera situación en que escalaron la muralla por tantos puntos. Es harto sensible que Pe- que han quedado mis valientes…</t>
  </si>
  <si>
    <t>Cortada, Miguel de</t>
  </si>
  <si>
    <t>Miguel de Cortada</t>
  </si>
  <si>
    <t>…ona del domingo 5 de Ma de que lo comunique á quien corresponda para su cumplimiento. Ma yo de 1822, ó sea el Eco de la ley, denunciado como injurioso por drid 17 de Mayo de 1822. D. Miguel de Cortada, declaran á unan'midad de votos que ha lugar i la formación de causa. Barcelona 7 de Mayo de 182 i.=Pablo Torrente INFECCION G8NHRAL DX ADUANAS T RESGUARDOS. y Miralda; Josef Antonio Balcelts; Agustín Jaumeandr-u; Pedro MaPe sumen de los rroductos y gastos de…</t>
  </si>
  <si>
    <t>…edida rur/rmmto al Diario de la ciudad de Barcelona del lunes 10 del comen, que lo permitan loé’ fondos, o en papel de créditos sin ínteres con el te, denunciado por injurioso por D. Miguel de Cortada, y firmado abono de «o por 100. Madrid tá de Mayo de i8as.=Miguel de A’a- Francisco Nogues, d-clararon que no ha lugar á la formación de causa va , presiden te.=Angel Ssavcdra , diputado aecretario-sFranciaco Be por loa votos de D. Jaime Bosch, D. Ramón Mares…</t>
  </si>
  <si>
    <t>Cortadellas, Francisco</t>
  </si>
  <si>
    <t>Francisco Cortadellas</t>
  </si>
  <si>
    <t>…l regimiento infantería de León, con 670 rs. de sueldo que de causa por ocho votos contra uno, que io fue el L&gt;. Domingo Ran disfruta. ee! , que estuvo pos la afirmativa. Alcoy al capitán D. Francisco Cortadellas, segando ayudante su pernumerario del batallón ligero de Barbastro , con 600 rs. al mes. Habiendo denunciado el fiscal de impresos de la misma provincia A'mería al capitán D. Josef Fernandez, segundo ayudante del re varios particulares del Diario Gaditano, nú…</t>
  </si>
  <si>
    <t>Cortazar, Modesto</t>
  </si>
  <si>
    <t>Modesto Cortazar</t>
  </si>
  <si>
    <t>…era división y la reserva, y de haber hecho cubrir el punto de Talarn por la quin TarstiNAtes. ta ; hoy continúan todas en los mismos puntos. Adjunta incluyo i Por providencia del Sr. D. Modesto Cortazar, juez de priman V- E. mi elocución á los pueblo* de esta comarca pata que se sirva ele instancia de la ciudad de Búrgos, se cita, llama y emplaza a todos lo* varla al alto conocimiento de S. M. con tas mas positivas recomenda interesados en el abintestato de…</t>
  </si>
  <si>
    <t>Cortazar, Modesto de</t>
  </si>
  <si>
    <t>Modesto de Cortazar</t>
  </si>
  <si>
    <t>…oncluido nrtan , se p-esent- n dentro de s -is días en su citada habitación para mas d- un mes antes, contando con la dilación forzosa que han te poder cumplimentar un exhorto del Sr. D. Modesto de Cortazar, juez nido ios exhortos remitidos i otras justicias para la práctica de algunas de primera instancia de ia ciudad á ■ Burgos. diligencias. ANUNCIO». Es verdad, y debe conocerte asi, que un solo juez no puede dedi D. Juan Pascual y Baquero, v ciño de Granada,…</t>
  </si>
  <si>
    <t>Corté, Joan</t>
  </si>
  <si>
    <t>Joan Corté</t>
  </si>
  <si>
    <t>…la niñez lo* verdadero* conoci que , D. Antonio María Espejo, D. Josef Gómez Albacete, D. Gon mientos de la existencia civil 7 derecho* naturales del hombre social zalo Cárdenas, D. Joan Corté*, D. Mariano Zorraquin 7 Ó. Joaquín con las obligaciones patacón Dios, él mismo, tus semejante* 7 libre pa Manrique 7 Manrique. tria. Los pretendientes dirigiián sus memoriales documentado*, fran Habida la conferencia, declararon por unanimidad no haber lugar…</t>
  </si>
  <si>
    <t>Cortés</t>
  </si>
  <si>
    <t>…ar á efecto lo dispuesto por las bía de indemnizar en el caso de que el clero te reservase las que tiene. Cortes en el art. 8. y 9.0, y dice que te asocien á este encargado del El Sr. Cortés; No entraré en la cuestión de si con el medio diez Crédito público tres partícipes legos. La razón que te ha tenido para es mo está bien ó mal dotado el clero; ya sea porque no haya querido to es muy clara, y te ha dicho ya; á saber ¡ qué de los intereses opu…</t>
  </si>
  <si>
    <t>…o ha primero, porque el que lo egecuta no solo se mienta en que te esta bia hecho el Ateneo español. blezca otra religión , tino que se interesa á que no se profese la católica El Sr. Cortés expuso que aqui te ponte una traba á la libertad de apostólica romana, se dirá que los dos delitos echan abajo la iey fun imprenta, y estas debían ser tes menos posibles y las mas necesarias; y damental ; pero en un caso se perjudica mas á ia religión que en…</t>
  </si>
  <si>
    <t>…Visita de! Crédito público una memoria presentada por D. To habían hecho observaciones acerca de este artículo. mas Gómez, natural de Alicante, que trata del modo de mejorar el El Sr. Cortés dijo que despees de las palabras culto telipoto debe Créd to público. ría añadirse generalmente reconocido, pues si no se añadían , sefomenSe verificó la primera lectura del proyecto de ley sanitaria. Se acor laria la superstición, porque sabia que en una sac…</t>
  </si>
  <si>
    <t>…e debía decir recrito que te reimprima; y el Sr. Mariel contestó que esta yes necesarias para cumplir con las obligaciones que le impone la mis ba bien puesto. ma Constitución. El Sr. Cortés preguntó si en este artículo estaba comprendido el El Sr. Romero Alpuente: Cree la comisión que al Gobierno ro caso de que se imprimiesen unos anales con inserción de los documen se le da por este artículo influencia alguna sobre la libertad de imprem tos com…</t>
  </si>
  <si>
    <t>…era ex A la comisión de Agricultura se mandó pasar una exposición del tensivo á las provincia* da Ultramar. Sr. ministro de la Gobernación de Ultramar , en que man f.staba las El Sr. Cortés manifestó que loa gasto* qua a* hacían por lo* ma quejas que le dirigían los pueblos de aquellas provincias con motivo yordomo* de la* cofradías atan muy comidarablet en algunas partes , y Bel pago de alojamientos y ’bsgages ¡ y exponía la necesidad de que se…</t>
  </si>
  <si>
    <t>…itador para-cada audiencia, se sorprendió, y dijo francamen conveniente sobre la proposición del Sr. Becerra. te que ó no había sabido lo que te habrá votado en el art. 1 ó qUS El Sr. Cortés manifestó que en muy extraño que M perdieran en la seguramente había sido que no te hiciese la visita general. Ea efecto por secretaria unos documentos tan interesante*, y que ya se babit perdido -el artículo que se discute te ve que á comition trata de que q…</t>
  </si>
  <si>
    <t>…as les interesaba el tener lo mas completa que fuese posi y demas. Por estas razones dijo que se debia aprobar el dictamen de la ble su representación en el Congreso. comisión. El Sr. Cortés se opuso i la proposición, opinando que era inoportu El Sr. Oliver reprodujo algunas observaciones de las que habia ma na después de haberse verificado el nombramiento de los dos nuevo* nifestado anteriormente. señores diputados, al paso que hubiera sido conv…</t>
  </si>
  <si>
    <t>…ñalaba á esta» respecto con arreglo á él podría formar el proyecto del reemp'azo del ejército. de las otras. El Sr. Pedralvez dijo qne en cuanto á la rebaja que se hacia de al- El Sr. Cortés, después de manifestar que no era tazón bastante para tn-t para matriculados , deseaba saber si el beneficio que de estos sacaba eximir de esta contribución de hombres á las islas Canarias la de no la Nación estaba en la misma razón que el censo de población,…</t>
  </si>
  <si>
    <t>…c«Mn,sioncs respxt ves las siguientes adi queeran miliciano* voluntarios , y no parecía regular privarles de esta ciones. set vicio, que habían -brazado por patriotismo. lina del Sr. Cortés al párrafo 8 * del arL 6 ' de la ordaaanz* de</t>
  </si>
  <si>
    <t>…aron pasar á ella , y opinaba que debían aprobarse la dei Sr. In la milicia te había visto desatendida, contistó que deb a t n- rs- pre fante al párrafo J.° del art. 5.a: otra del Sr. Cortés al art. 8.~: otra del sente la situación del Estado y la falla de fondos, causa que hab&gt;.i &lt;.L&gt;. Sr. Balda al Sr. del por art. objetos muchas vrces desatender muy preciso-, al Gobierno á i.9, otra Munarriz al párrafo 8.° del art. 6.°i Í;ado Sr. Tejeiro 4.0 Ap…</t>
  </si>
  <si>
    <t>Cortes, Antonio</t>
  </si>
  <si>
    <t>Antonio Cortes</t>
  </si>
  <si>
    <t>…a , D. Antonio Cacío , D. Antonio Hidalgo, D. Juan Josef Ló Resulta en la dirección general de contribuciones directas que las pez , D. Diego Moraleja , D. Antonio María Quintana, D. Antonio Cortes por decreto de 9 de Mayo de 1811 , en consideración á los ser- Méndez, D. Francisco Oliveras, D. Francisco de Piego y Collantet, vic os personales y pecuniarios de D. Agustín Ramón Valdés , conde D. Gabriel Rodríguez, D. Josef Rivat, D. Josef Alberola, D. Die…</t>
  </si>
  <si>
    <t>Cortés, Batbino</t>
  </si>
  <si>
    <t>Batbino Cortés</t>
  </si>
  <si>
    <t>…ud.Los agentes de de el pueblo de Beirer de los Monte*, del coronel del provincial de la los déspotas no saben lidiar con hombres libres como vosotros. Huye milicia activa de León D. Batbino Cortés, resulta lo siguiente: Inter ron despavoridos de vuestros aceros, y ya no tienen otro poder ni otra nados en el monte alto, é instruidos por algunas prácticos del país da fuerza moral que el terror y el espanto que introdujisteis en sus hordas. entre lo» mism…</t>
  </si>
  <si>
    <t>Cortés, Juan</t>
  </si>
  <si>
    <t>Juan Cortés</t>
  </si>
  <si>
    <t>…u r; y por lo mismo las f ortes deben ocuparse en examinar hio Antonio Lorcnte, D. Cirios González Llanos, D. Rafael Costa, detenidamente el proyecto de decreto que acaban de oir. D. Juan Cortés, D. Pedro Rodríguez de Toro, D. Josef Radon , Dos A h unos tabica escritores han dicho que el considerable número de Josef Demetrio Rodríguez, D. Juan Isidro Perez y D. Antonio Suindividuos de 1 itero se opone á la población, y que al paso que aquel Helio de…</t>
  </si>
  <si>
    <t>…, se reunió el jurado compuesto de los Sres. siguientes: D. San tesorería de ejército el importe de lo que en aquellos haya suministra tiago Vicente de Les; D. Juan Antonio López; D. Juan Cortés; Don do , y asi sucesivamente. Josef Gómez Albacete; D. Miguel Ripa; X). Jaime Ruiz Abreu ; bon 6.4 Para evitat las quejas que suelen producirse sobre la mala, cali Pió Santos; D. N enias Alonso y D. Joaquín Huerta Ccvallos. Habda dad de los artículos de prov…</t>
  </si>
  <si>
    <t>…daban el 13 de este nom- D. Juan Isidoro Perez , D. Isidoro de Hoyos, D. Isidro Merino, Don brami-nto. Sea la que quiera la id-a que algunos se forman del estado Gaspar Aguilera , D. Juan Cortés, D. Francisco de la Carrera , Don de la Península , lo cierto es que nuestro crédito se aumenta. Las ins Sebastian Andrés, D. Joaquín Manrique y D. Joaquín Lumbreras. cripciones de i8ao estaban el 13 i 6-J; y las de 1811 á 6$. (En 27 Habida la conferencia dec…</t>
  </si>
  <si>
    <t>Cortes, Juan</t>
  </si>
  <si>
    <t>Juan Cortes</t>
  </si>
  <si>
    <t>…jurado compuesto se radiquen en otras corporaciones 4 individuos , será perseguida como de los señores siguientes; el marques de Cusino, D. Ignacio Pajares, D. Gregorio M-ndivt!, D. Juan Cortes, D. Juan Isidoro Perez, Don traidor, y condenada a muerte. A vista de estas leyes solo resta, meditando mucho la referida cau Juan Paz, D. Valentín Recio, D. Joaquín Lumbreras y D. Francis sa, averiguar: primero, si el delito que se persigue y se ha juzgado c…</t>
  </si>
  <si>
    <t>Cortes, Juan Antonio las</t>
  </si>
  <si>
    <t>Juan Antonio las Cortes</t>
  </si>
  <si>
    <t>…s; ademas de que habiendo producido la ley de Abril to tentes. dos los efectos saludables que pudieran desearse, no creo necesario qua Se mandó pasar al Gobierno una exposición de D. Juan Antonio las Cortes dicten una nueva ley de esta clase. Fernandez , vecino de Falencia, sobre que se le permita levantar una En seguida se declaró este asunto suficientemente discutido, y no partida para prrseguir i los facciosos. se aprobó la medida de que se trataba. Se ai ó c…</t>
  </si>
  <si>
    <t>Cortes, Las</t>
  </si>
  <si>
    <t>Las Cortes</t>
  </si>
  <si>
    <t>…a , reclamando -el pago de sus sueldos examen que debe hacerse del estado de la Nación, por haberse apro atrasados. bado la proposición que sobre este asunto hizo anteriormente el señor Las Cortes oyeron icón agrado las exposiciones ‘de los regimientos Cuadra; y asimismo la que trataba de que lo* Sres. diputado* renun de infantería de Aragón y Córdoba , de la diputación proviocialde Viz ciasen al derecho de hacer proposiciones sobre este asunto. Quedar…</t>
  </si>
  <si>
    <t>hubiese incurrido en algnu falu, arria respecto de los reglamentos qué faquín, que entonrta era secretario Las Cortes pues pueden determinar indican el régimen interior del tribunal; lo que no puede producir un s¡ habiéndose terminado ia lectura de la minuta del comeo en aquerU recurto de nulidad. Con respecto i lo que se ha dicho de que la renten» sesión , según consta por…</t>
  </si>
  <si>
    <t>Cortes, Lo</t>
  </si>
  <si>
    <t>Lo Cortes</t>
  </si>
  <si>
    <t>…ación de los cesantes dr las contadurías de propios. en el noveno mes de su preñado, había resu lto S. M. 'o avisase á laa Se mandó pasar á la comisión de Hacienda una adición d-l Sr. Lo Cortes, para que con arregloá los arts. 184 y 15 del r glaincnto nom riare, al párrafo 6.a de! d;ctam?n de &lt;• misma sobre el presupu sto de brasen dos bres. diputados para asistir al reconocimiento del niño ó ni la Gob-rnacion de la Peníosu a, relativa a qu* sr mand…</t>
  </si>
  <si>
    <t>Cortes, Manuel</t>
  </si>
  <si>
    <t>Manuel Cortes</t>
  </si>
  <si>
    <t>…den i cuantas alabanzas Villafrtnca administrador D. Ramón A'onso N« riega , adminis puedan prodigarse: lo* mayores héroes del mundo no se adelantan i trador de Potes. Interventor D. Manuel Cortes , contralor cus ha si vosotros en sus vlor*as ni una sola línea. No ignorabais el gran peligro do de la Mancha. de la victoria No ibais é luchar con invasores, cuyo valor se rcbij» en A'mería administrador D- Francisco Gal.chino , que lo es da un pais extranj…</t>
  </si>
  <si>
    <t>Cortes, Rodri</t>
  </si>
  <si>
    <t>Rodri Cortes</t>
  </si>
  <si>
    <t>…En seguida se declaró el punto suficientemente discutido. no puede caber duda en qu; debe nombrarse la com s n 1:i: r.or de El Sr. Gomvz Bec-rra: P.do que se léala proposición del Sr. Rodri Cortes. gue.: de l.cdesma , que dió lugar i la formación de este reglamento. Se leyeron las siguientes •.liciones d-í Sr. VaMt.- D. Carmn - \ El '■r. Gonza ez Alonso : Es verdad que el Sr. Ledesma hizo una pro las cuales se mandaron pasar a U c &gt;:n de ti l .a •• P n…</t>
  </si>
  <si>
    <t>Cortijo, Lorenzo</t>
  </si>
  <si>
    <t>Lorenzo Cortijo</t>
  </si>
  <si>
    <t>…espotismo. ¡Glotis Zaragoza interventor D. Juan Toron, administrador genera!, cesarte. á voi y i las prendas de vuestro corazón y existencia por tanto heroís Ciceres administrador D. Lorenzo Cortijo, cantador subdrlcg ado de mo patriótico! Habéis abandonado resueltamente los afanes é mtrresea rentas de Mérida. Interventor D. Manuel Zald.var, escribiente de ola doméstico*', habéis pospuesto el amor de vuestras familias al amor da Kcretaría del D-spacho. l…</t>
  </si>
  <si>
    <t>Cortijo, Sebastian</t>
  </si>
  <si>
    <t>Sebastian Cortijo</t>
  </si>
  <si>
    <t>…ón muy Pada, D. Marcelo Espinóla, D. León Menudo, D. Rafael Orfen , Don meditada, y empezada ya i poner en egecucion, precisamente en los Antonio Gustaman, D. Narciso Mataolivas , D. Sebastian Cortijo, dias que han dé preceder al sorteo para el reemplazo del egército en es IX Bartolomé Solano, D. Luis Bassecourt, D. Fernando Capuzco, Don ta capital: En estas circunstancias parece mas oportuno que el llamar á Pablo Orbinto, D. Francisco Porto, y otros. Asim…</t>
  </si>
  <si>
    <t>Coruja, Ramón de</t>
  </si>
  <si>
    <t>Ramón de Coruja</t>
  </si>
  <si>
    <t>…endo examinado la nota con tinuada en el periódico el Indicador Catatan del martes 16 de Marzo ■ El Rey be expedido al decreto siguientes próximo pasado, número 71, denunciada por D. Ramón de Coruja, Don Ferahnidó vn por la gracia de Dios y por la Constitución de apoderado de los alcaldes constitucionales y ayuntamiento de la ciudad la Monarquía espadóla, Rey dé las Espafías, a todos los que tas pre de Lérida , declaran á unanimidad que no ha lugar á la…</t>
  </si>
  <si>
    <t>Corveta, Bartolomé Cabrera y</t>
  </si>
  <si>
    <t>Bartolomé Cabrera y Corveta</t>
  </si>
  <si>
    <t>…re existir fuera de su clausura sin licencie del prelado local dada por jus acreedores. ta causa, y por solo el tiempo de un mes: y que las de mayor término Al mayorazgo que fundó D. Bartolomé Cabrera y Corveta, que hoy hubiesen de concederse con informe de los prelados locales por los dio posee D. Josef Obrera Ponce de León , vecino de las Cabezas, provin cesanos. En la de ao de Setiembre se mandó que la reunión de indivi cia de Cádiz, pertenece un juro en cabeza d…</t>
  </si>
  <si>
    <t>Cosío, Ignacio Lorenzo Torre</t>
  </si>
  <si>
    <t>Ignacio Lorenzo Torre Cosío</t>
  </si>
  <si>
    <t>…es; pe id. D. Francisco Montesdcoca , con id. Caba.lerr* pages deS. M. el Em ro las cartas particulares del id refieren que Bolívar fue derrotado, cor- perador ; D. Luis Ca macho, D. Ignacio Lorenzo Torre Cosío, D. Eduarlindóte la comunicación con Sta. Fe, aunque sin embargo pudo pasar dode Lavara, D Cosme Sánchez Aparicio, D. Pedro Otero,D. Joa un oficial á pedir un refuerzo de 4Z} hombres a toda costa, i cuya quín Cadena, I). HemeterioTtúrbide.D. JuanRubroy Mayora…</t>
  </si>
  <si>
    <t>Cosío, Josef</t>
  </si>
  <si>
    <t>Josef Cosío</t>
  </si>
  <si>
    <t>…qu; lo maneian que no en las cosas: lo cual cederse esta gracia. Aprobado. *e cor's'iu r acón la separación de aicunos emo.rudos inútiles o miro» Igual habilitación se concedió i D. Josef Cosío, á propuesta de la aptos , s ti neers dad de tocar en el extremo ce de|ar un numero tan con- comisión. s derabl • de -líos sin dest no. Observes también ]ue cuando se irev. esta La Cortes concedieron carta de ciudadano , á propuesta d? la m«ma estab.vcim ento…</t>
  </si>
  <si>
    <t>Cosío, Vicente Simón González de</t>
  </si>
  <si>
    <t>Vicente Simón González de Cosío</t>
  </si>
  <si>
    <t>…ijos; opu nuel Velazquez de León. D. Manuel de la Bircena. D. Nicoias Bravo. sisteis á guerreros infames vuestros pechos de bronce, y loa aterrasteis D. Pedro del Paso y Troncoso. D. Vicente Simón González de Cosío. con vuestra decisión, valor y denuedo. Jamas olvidéis esta memora D. Florencio Castillo. D. Tomas Salgado. D. Nicolás O'aez. D. Rafael ble jornada que os inmortaliza, ni menos confiéis en la victoria. vs^—- u.i:...Zn n. Mariano Robles. D. Demetrio Moreno. »…</t>
  </si>
  <si>
    <t>Cosme</t>
  </si>
  <si>
    <t>…r á la rida , que fue del comercio de Cádiz , como aibaCea que asimismo lo Europa en una situación política , tal que nuestro* deberes se Concilien era, y uno da los herederos del D. Cosme, con lo* comprobantes con nuestras inclinaciones; y «i la Grecia llega á adquirir su libertad, del crédito que reclamen, ocurriendo en virtud de este llamamien podremos regocijarnos de hallar earella un pueblo que nos recuerde to dentro del término de seis me…</t>
  </si>
  <si>
    <t>Costa</t>
  </si>
  <si>
    <t>…uto»a ¿ cho !a&gt; autoridades de Barce'on? Vvh, mra' o ron indiferencia, al justicia, y de ia economía á que obligan las circunstancias.” paso que atacaron al b-nemérito palr ota el coronel Costa y á otros A la comisión de negoc o» Eci'.si &gt;»t eos se pasó la seguiente propo» ciudadanos rcspttabl-s por ios sucesos del 14 del pasado. c. nn del Sr. Seoan- : •» En atención á qu - las benéficas miras de las Estas mismas autoridades que en el dia 21 estuvie…</t>
  </si>
  <si>
    <t>…as clases de una compañía de Bur anterior oficio del 17 se habían verificado por la obstinada resistencia go;. Los enemigos del sistema quedaron aturdidos y confusos al ver la del coronel Costa á obedecer sus órdenes; que la que había dado para fiaternidad y estrecha unión que reinó entre la milicia nacional y la que el sargento mayor de milicias se encargase del mando del primer tropa permanente, i Ojalá este egemplo halla imitadores en las demás r…</t>
  </si>
  <si>
    <t>…rse ú que este t rnpo llegue, acordes con las leyes; mas á n\i no me lo parece asi. El mayor cargo calma-ido por ahora esta justa imp.icn-nca en obsrqu o de una de las que hace al coronel Costa es que le ha faltado al respeto, y desobe- garantías del mismo sistema con-t:tuc: mi’. Iliyad.mas una dc»ave. Cido sus órdenes. Por esté cargo ha hecho que se forme causa; se le ha rencia tácita éntrelas autoridad.;, de aqu-lla cu lad; el g fe política y form…</t>
  </si>
  <si>
    <t>…rgada de averi se que en una y otra relación se habían tratado de excesos todos los guar ei estado de la Nación , para que con ellos y otros que reúna dé su actos cometidos por el coronel Costa , y se aplaudían las providencia* dictamen acerca de exigir la responsabilidad á quien corresponda, y pro de las autoridades, que solo se habían dirigido á sostener un empeñe ponga Us medidas que deban adoptarse para restablecer la tranquilidad arbitrario. En…</t>
  </si>
  <si>
    <t>…cuentas del primer año amor i ¡as nuevas instituciones , y cu este supuesto voy á contestar al económico, y proponiendo que la» Corte» adoptasen varias medida» Sr. preopinante. El coronel Costa (sm entrar ahora en lo» pormeno para facilitar dicha presentación. res) había hecho ya renuncia de su destino, aunque al día siguien A la comisión de Premios con urgencia y recomendación te pasó te manifestó de palabra á algunos individuos que continuarla en…</t>
  </si>
  <si>
    <t>…unicar el contagio de la insuir.cc.on , y El día tt fue trasladado ai vivac del primer regimiento de milicias tener un punto de apoyo en la aspereza de la montaña, oí ¡o han he el coronel Costa, que se hallaba preso en la c adadela: el modo en que cho asi, á estas horas habrán tenido ya alzan encuentro con la mil cía se hizo esta traslación ni era el mas regular, ni podía ser aprobado por de Borja y otros pueblos comarcanos, que sabrm recibirlo* com…</t>
  </si>
  <si>
    <t>…er fuese, el Código fundamenta' de la Nación. Is muy verosímil que que comprend n la hisloria d: todo ei derecho romano, del canónico se agreguen á la co-uinna expedicionaria &lt;1-1 coronel Costa. Mochos de hasta el síyio xiv , y d-1 esnñoi Insta el Fempo da los Reyes cal Mi ti.os p ítem en i cierta r unión pan n’.t'ca , que la tenencia m Un -l cos: se publicará muy pronto el gd .Se venden ambos cuajarnos á tó rs. hab a 11.andado fus, «r toda enteca y…</t>
  </si>
  <si>
    <t>…ellos estuviesen en Por naa persona fidedigna que acaba de llegar de la villa de San fermos; por esta razón consideró qus el artículo debería d eir la mitad Celoni sa sabe que el coronel Costa, después de su salida de Tordcra, mas uno da los individuos que estuviesen en disposición de poder •* ha apostado con toda su división en dicha villa: que lento á su asistir. vnelta como cuando estuvo de pato por ella, algunos curas, y singu El Sr. Becerra di…</t>
  </si>
  <si>
    <t>…ión; y estad seguros de que en todo caso volarcma á para Manreta, cubriendo interinamente el Sr. Bray en auxilio de loa vuestro socorro. pueblos del Vallé» la línea que ocupaba el coronel Costa. » Ccrdancs: Os doy gracias por el buen comportamiento que h beit Lo que te publica por disposición del Eterno, ayuntamiento. Bar tenido con las tropas nacionales: constancia hasta el bn: viva .a Cons celona 14 de Diciembre de 181 i.sFranciaco Altes, vice-sec…</t>
  </si>
  <si>
    <t>Costa, Aguiar da</t>
  </si>
  <si>
    <t>Aguiar da Costa</t>
  </si>
  <si>
    <t>1316</t>
  </si>
  <si>
    <t>…onviene aparar este asunto, nómbrense enhorabuena comi- que no en Portugal, donde no hecian ninguna falta. ■ionados de confianza que vayan fi examinar la conducta y voluntad de El Sr. Aguiar da Costa se opuso al dictamen en su totalidad , y apoaquel loe pueblos, y en el caso de estar descontentos , Portugal es de- ó las razones del Sr. Maura en cuanto 4 !a necesidad de coligarse «1 ansiado justo y generoso' para querer violar en los demás los derechos J ’…</t>
  </si>
  <si>
    <t>Costa, Felipe</t>
  </si>
  <si>
    <t>Felipe Costa</t>
  </si>
  <si>
    <t>…asto* de interetee, fondo de amortización legua. Este gefe recomienda 4 |od* la tropa ds tu mando, y con particu y gasto* del último empréstito de Ardoin, Hub- laridad al teniente coronel D. Felipe Costa, cap tan de voluntarios, bard y compañía de Pati*................................- a 1.600,000 al subteniente retirado D. Joaquín Palacios, al ayudante D. Pablo Rica, é los tenientes D. Manuel Calderón y D. Manuel Salvador, Aumento extraordinario al miniateri…</t>
  </si>
  <si>
    <t>Costa, Josef</t>
  </si>
  <si>
    <t>Josef Costa</t>
  </si>
  <si>
    <t>…barse ia expresada adición. fringido el art. 287 de la Constitución. Asimismo se aprobaron ios siguientes dictámenes de la comisioné* A la de Milicia, nacionales una exposición de D. Josef Costa, co Diputaciones prov-reíales. ronel del primer regimiento de la M N. V. de Barcelona, iiisniíVs— L'no relativo ;í ¡a -ilicitud de! ayuntamiento constitucional deVilando que sus enemigos, zeiosos del b ien nombre que haba adquirido llafiar.es cei Vicr/o pira…</t>
  </si>
  <si>
    <t>…z El movimiento que por orden superior ha tenido quehacer en estos clarnos i bayonetazos con una columna de mi» d- 301 facetaos que” se último* día* la columna expedicionaria de i coronel D. Josef Costa ha habian adelantado por lo» cerros del ala dere.ña, los cuales tWroa dejado en parte comprometida y descubierta la interesante comarca del igualmente dispersados , sin que fuese necesario ti refuerzo que me lle Vallé». Pero nuestro infatigable gefe político…</t>
  </si>
  <si>
    <t>Costa, Josef de</t>
  </si>
  <si>
    <t>Josef de Costa</t>
  </si>
  <si>
    <t>…las últimas resoluciones de las Cortes» tallón ligero segundo de voluntarios de Aragón , coa 670 rs. ninguna disculpa podrá merecer su conducta si ella no acredita con he Hueíva á D. Josef de Costa, segundo ayudante del regimiento in chos positivos el íntegro cobro de las contribuciones, asi como el au fantería de América, con 670 rs. mento de los valores de las rentas; y S. M. en este caso te veri en la Huesca al capitán D. Josef Aroaarena , segundo ay…</t>
  </si>
  <si>
    <t>Costa, Joseí</t>
  </si>
  <si>
    <t>Joseí Costa</t>
  </si>
  <si>
    <t>…cual sea el rumbo que ciales del dicho regimiento en favor de D. Joscf Elias , al cual no deba seguir esta legislatura; poique si b.en este cuerpo no puede umir quiso reconocer el coronel D. Joseí Costa, fundándose en que no com por sí providencia» por no ser Gobierno, no puede desentenderse de los petía al ayuntamiento const tucional ni á ia diputación provincial la clamores y de las circunstancias en que se encuentra la Nación. facultad de admitir aquella…</t>
  </si>
  <si>
    <t>Costa, Manuel</t>
  </si>
  <si>
    <t>Manuel Costa</t>
  </si>
  <si>
    <t>…espitan D. Antonio Perez, teniente del regimiento in- fantería y del batallón de la miicia act.va de Murcia, con 450 rs. fant ría Infante D. Antonio, con 570 rs. J rcz al cap-tan D. Manuel Costa, icn ente d:l regimiento infantaLupo ai espitan D. Antonio Ponte, teniente de infantería y del ría de Galicia , con 570 rs. batallón milicia active de Betanzoa, con 450 n. el mee. Zaragoza al capitán graduado D. Juan del Pi'al de la Vega, tan-en Lorca i D. Jo…</t>
  </si>
  <si>
    <t>Costa, Rafael</t>
  </si>
  <si>
    <t>Rafael Costa</t>
  </si>
  <si>
    <t>…e 16,130 mrs. en cabras de Melchor val ios, i). Marcos Izquierdo, D. Jostf Antonio Ponzoa, D. Martin Za- Cakeron.—Otro en alcabala! d: Olmedo de 31,616 mrs. en cabaas del randia , D. Rafael Costa , D. Andrés Navarro y D. Sebastian Andrés. mismo. La persona en cuyo poder te hállen se servirá entregarlos en la Reunidos dichos Sres., y observadas todas las formalidades que pre casa de dicho señor en esta coru, calle ancha de S. Bernardo, núme viene la le…</t>
  </si>
  <si>
    <t>…ver dicho escrito, compuesto de los Sres. siguientes: D. Ig¡. dido consegu r; y por lo mismo las f ortes deben ocuparse en examinar hio Antonio Lorcnte, D. Cirios González Llanos, D. Rafael Costa, detenidamente el proyecto de decreto que acaban de oir. D. Juan Cortés, D. Pedro Rodríguez de Toro, D. Josef Radon , Dos A h unos tabica escritores han dicho que el considerable número de Josef Demetrio Rodríguez, D. Juan Isidro Perez y D. Antonio Suindividu…</t>
  </si>
  <si>
    <t>…as Espafias. 3 desde el folio *34 basta el final. Gregorio de Isasi. =Cipriano González Espinosa, secretario.*’ Bn su vista se reunió el jurado, compuesto de loa Sres. siguiente*: D. Rafael Costa, D. Andrés Navarro, D. Manuel Gallego, el Ayuntamiento constitucionaI de Cádiz. conde de Torre del Fresno , D. Celestino Olozaga , D. Bernardo Por acuerdo del Excmo. ayuntamiento incluyo á V. S. copia del Asenjo, D. Juan Pablo Pascual, D. Juan Luque y D. Juli…</t>
  </si>
  <si>
    <t>Cotdoque, Pedro</t>
  </si>
  <si>
    <t>Pedro Cotdoque</t>
  </si>
  <si>
    <t>…. Josef Vecino, D. Félix Mora, cl marques del R o Florido, Don El Sr. secretario de Estado con fecha 7 del corriente tac dice lo Antonio Casanovas , D. Octavio Pastor, presbítero, D. Pedro Cotdoque sigue: bés y D. Mariano González. » En consecuencia del oficio de V. E. de ttf del próximo parado D. Máximo £as lo declaró injuriosa en primer grado. dirigí al Sr. nuncio de S. S. la nota respecto 4 las dificultades que se habían presentado para is seculariza…</t>
  </si>
  <si>
    <t>Cotilla, Manuel López de</t>
  </si>
  <si>
    <t>Manuel López de Cotilla</t>
  </si>
  <si>
    <t>…ido con la gavilla de fac dó en dicha villa D. Pedro López de Cotilla y Valle, y poseyó últi ciosos acaudillados por Martín Jotcf de Balda, que con fuerza ar mamente el presbítero D. Manuel López de Cotilla, difunto. Los qua mada se propuso trastornar la Constitución ó destruir el Gobierno hayan de hacer dicha oposición se presentarán ó por medio de apode constitucional. La ley impone la pena de muerte á los reos de este de rado con sus solic'tudes en el oficio…</t>
  </si>
  <si>
    <t>Courtos, Josef</t>
  </si>
  <si>
    <t>Josef Courtos</t>
  </si>
  <si>
    <t>…Joaquín V c¡n González , arud.irt- Hela mtlirar. ext ti uida prim-ra d visión de grat -d..c- p,. vi-.cia .s . c. - '-o rs. Comsndinci» de la columna móvil d-l bajo Aragón. V.ch a D. Josef Courtos, secundo a» ueante del ba:a..-..i cero de - Consecuente á lo que dije a V. S. en mi oficio de ayer relativo i la Canarias, con dio rs. acción glnr.o.a conseguida por ia columna de mi mando, debo manifes Va ene a al captlan D. Feder co Firlurn, nvjíar.f dr .’a…</t>
  </si>
  <si>
    <t>Coutinho, Lino</t>
  </si>
  <si>
    <t>Lino Coutinho</t>
  </si>
  <si>
    <t>…r el supremo tribunal de enviar refuerzos al bajá Churschid; pero no podrá disponer sino de un justicia. corto número de tropas asiáticas, pues los genízaros insisten en no que £1 Sr. Lino Coutinho dijo que era un desgraciado axioma el de que rer salir de la capital; y tal vez se valen del pretexto de defender su* cuanto mas l;jo&gt; se estaba del foco de la unión, menos influencia propios hogares para saquear el barrio de Pera, y acabar de una vez coa ten…</t>
  </si>
  <si>
    <t>…;” y no lea » La libertad se ha desacreditado desde que, como decia 4 otro pusieron ninguna otra restricción. propósito Horacio 4 los Pisones, se trasformó en un vicio digno de El Sr. Lino Coutinho habló en apoyo de la proposición;y concluyó reprimirse por la ley. ¡Entrar! en los fueros de la libertad civil hacen su discurso diciendo que hasta por el juramento que hacían los diputa alarde en las desgracias de sus prógimos de una bárbara ferocidad, aun d…</t>
  </si>
  <si>
    <t>Coutino, Lino</t>
  </si>
  <si>
    <t>Lino Coutino</t>
  </si>
  <si>
    <t>…emejante conducta de parle del Gobierno espa sentase otro que no se opusiese á las bases de la Constitución. ñol era el de reconocer inmediatamente la independencia de los esta El Sr. Lino Coutino dijo: Antes de entrar en materia me es precito dos de la América meridional. responder i la diatriba que acaba de hacer el Sr. Borges Carneiro á los El marques de Londonderry manifestó no tenia noticia alguna de brasileños, porque nunca pierde ocasión de vili…</t>
  </si>
  <si>
    <t>Coutraréndome, Martel</t>
  </si>
  <si>
    <t>Martel Coutraréndome</t>
  </si>
  <si>
    <t>…el im- dijo que una de las cautas principales del entorpecimiento d-l d-cr-to pvrio d- ia socnSad es puram nt- externo. c 11 ..lo habia sido esta circular d-l Crédito púbbco, y el Sr. Martel Coutraréndome pues ai dictan.cu de ¡a comis an v-.o que en él se quiso entonce» disculpar é esta junta; pero pregunte ye, ;es justa e ta</t>
  </si>
  <si>
    <t>Covarruno, Joaquín</t>
  </si>
  <si>
    <t>Joaquín Covarruno</t>
  </si>
  <si>
    <t>…conceda su retiro con arreglo á la ley de 10 de Enero currir. de 1810. El Sr. Argiiel'es: Yo accedería gustoso i lo que ha dicho mi díg- A ia de Crédito público una exposición de D. Joaquín Covarruno compañero el Sr. Galiano, si pudiese creer que el C ngreso haba bias en solicitud de que se le paguen por dicho establecimiento tenido el mas mínimo temor por su existencia. El Sr. Galano sabe cantidad» á que es acreedor. con qué frialdad y caima se acordó qu…</t>
  </si>
  <si>
    <t>Cozar, Juan de</t>
  </si>
  <si>
    <t>Juan de Cozar</t>
  </si>
  <si>
    <t>…te militar de esta provincia en ofi y ahora al arresto de los mas delincuente*. Ayer cogimos al eclesiás cio de hoy, que acabamos «le recibir , nos dice lo siguiente: - Coman tico D. Juan de Cozar, hijo de este mismo pueblo, que está en un dancia militar de la provincia de Cádiz. El coronel D. Joaquín Urconsternación extraordinaria con ul acontecimiento: maldicen á lot au reiztieta, comandante de une de las columna» de esta provincia en pertores «le la…</t>
  </si>
  <si>
    <t>Cr</t>
  </si>
  <si>
    <t>…Giado contribuido á que se pusiese el artículo que reclamaba el Sr. Martel, Diego López longoria, para el de Sala,; j D. Franc-.sco Rodrigues Espina, para el de Canga* de Tin-o; 1 D. Cr ,robil M.-iender Vi des,que trata de que el clero se reserve una parte de sus bteoes en caso ne cesario, y que si hubiera sabido que se habia de haber entendido del para el de Loares; y á D. Jntef Rodríguez de Castro, pira ci «c la Ve mojo que se hacia, no lo…</t>
  </si>
  <si>
    <t>Crcux</t>
  </si>
  <si>
    <t>…- Junio último comunicaron al ministerio de mi cargo la resolución r.j de Fernando vn. Dicen que se compone del barón de Eróles , del que sigue: marques de Maiatlorida y des limo. Sr. Crcux, y que el segundo es pre » Las Cortes, con el objeto de afanar ias dificultades expuestas por siente. (1) su tesorero con respecto á la rendición de cumias, y de remover ¡os ” Siendo esto asi, no dudamos afirmar, dice un periodista, que el obstáculos que se e…</t>
  </si>
  <si>
    <t>Crédito</t>
  </si>
  <si>
    <t>…smo ¿ incansabilidad de reales y 24 mrs., alcabalas de Toledo, núm. 139: una certificación las tropas de su mando.” de 27,850 rs. ax mrs., núm. 371 , sueldos atrasados en favor de Don Crédito ftíblko. Manuel Rodríguez: una dicha juros d« 5659 rs. 17 mrs-, núm. 19.13, Consiguiente al anuncio que se publicó en la gaceta de 19 del cor- en favor de D. Clemente Elcano: cuatro dicha* de á 800 rs. cada u, a rient. , relativo á haberse prorogado en virtud…</t>
  </si>
  <si>
    <t>Crédito, Guillermo Labihirisionado del</t>
  </si>
  <si>
    <t>Guillermo Labihirisionado del Crédito</t>
  </si>
  <si>
    <t>…ud de las nuevas instituciones ha puesto Doña Felipa Waudem-Bergh que reciban créditos para liquidar entregarán el día 3 de Julio al comi tobre la nulidad del testamento hecho por D. Guillermo Labihirisionado del Crédito público un resumen de los documentos que tengan goyen en virtud del poder que le dió dicho Deux, pidiendo por consi recib dos para su liquidación, y el comisionado los remitirá con el su guiente se declare pertenecería nueve fincas que destinó á vanos esta yo…</t>
  </si>
  <si>
    <t>Crespo, Carmen</t>
  </si>
  <si>
    <t>Carmen Crespo</t>
  </si>
  <si>
    <t>…revolución, «cuándo lo es tura inglesa: primero Doña Teresa Uribarri: síiundo Doña Dolores tuvo: ¡y qué motivos tenia que ya no tiene? La revolución española Pareja. Id. española Doña Carmen Crespo. Aritmética'. Doña María znanif- tó desde luego un carácter de moderación y de paz qus no ha Josefa Pdayo. Gramática castellana: primero Doña Bruta O:hoa: segun desmentido nunca; y si después ba toinado una actitud severa, ha sido do Doña Manuela da Alday. Di…</t>
  </si>
  <si>
    <t>Cretas</t>
  </si>
  <si>
    <t>…ños mil Se ha publicado de oficio lo siguiente.y mil vece* al templo de la inmortalidad y de la gloria. Vencisteis en Habitantes de esta provincia : Según parte que ha recibido el señor Cretas, y libertasteis i Caspe del yugo de una facción liberticida , que comandante general de este diatrito con fecha del i." del actual des amenazaba hundirla con el peso de la infancia esclavitud.Los agentes de de el pueblo de Beirer de los Monte*, del coronel de…</t>
  </si>
  <si>
    <t>Creus</t>
  </si>
  <si>
    <t>…tr-s pris-on ros, y también otro cura, que todos siguen presos en c-r trasportar allende sus caudalejos y m.jores efectos. Ei nuevo Dan las cate.les nacienales de Vich. Opas, ó el Sr. Creus, acaba de enviar á Francia una gruesa suma de dinero y alyunas pr c osídades i minos de un clérigo su compincheExpedición del segundo batallón de la milicia nacional loeA de Bar~ cst.blecido en Saint Hirpolite, en las C-v*nas, d •pulimento de. Gird, telena. y…</t>
  </si>
  <si>
    <t>Creux</t>
  </si>
  <si>
    <t>…mo un fraile trapeóse apóstata ó un cura faccioso, haciendo 6. ° » Que te reputaré por traidor 4 cualquier comandante de fuerza todo lo contrario de lo qtie manda el evangelio. El obispo Creux es su armada, asi de tierra como de mar, que obedeciere al Gobierno de ángel tutelar, y sus protegidos ton todos esos hombres abandonados, Rio-Janeiro, no viéndose obligado 4 ello por la fuerza. bárbaros ¿ inmorales que pelean contra tu pstria. Se complace ta…</t>
  </si>
  <si>
    <t>…adoración. eligieron por gefe; y por el pronto les prometió uniformarlos á su cos E.tcis últimos cometen el delito mas horrendo y atroz de que es ca ta._D; Fraocia avisaban que el Sr. Creux había llegado á Mus/lía paz la perversidad humana, y en todos los siglos y naciones ban sido con 24 familias prófugas; y que este viajante se dirigía i Roma. Del el ori gen de las grandes calamidades púV icas, y los mayores enemigos barón de Eróles se decía q…</t>
  </si>
  <si>
    <t>Creux, Jaime</t>
  </si>
  <si>
    <t>Jaime Creux</t>
  </si>
  <si>
    <t>…d.a 7 en Ezca- ciudad el mamfi sto que hacen á ia nación ios tres inoignos “ pañolex ny al frente de 400 hombres', y esta ciudad ,que no unía mas trepa de marques de Matatiorica, D. Jaime Creux , que se titula arzobispo pre guarnición que 50 provinciales de Logroño y uno» 30 de tus volunta conizado de Tarragona , y d barón de Eróles. Acaba de recbir el cuer rios, estaba temiendo verse de un instante á otro atacada é invadida po munxlpai este infame…</t>
  </si>
  <si>
    <t>Crí, Baltasar Ciarcia</t>
  </si>
  <si>
    <t>Baltasar Ciarcia Crí</t>
  </si>
  <si>
    <t>…mrs., en ia prenotada cabeza—o. Tercero medio por ciento de (j udnd Halada con el núm. 3 de la m.iiiz. 277 , que con otras accesorias, jar Rodrigo, juro 12,493 mrs., en cabeza de D. Baltasar Ciarcia Crí zidz. dín, noria , estanque y arquetas , da vuelta por el Prado hasta la me __64. Millones de Madrid, dos juros 31,03; mrs., uno de 2;,-17 dianería del convento de religiosas de S- Pascual , constando todo de mrs , y otro de 6,518 en cabeza de D. Alonso Pérez…</t>
  </si>
  <si>
    <t>Cristó</t>
  </si>
  <si>
    <t>i petar de unte agitación no te he ilt*nds la tranquilidad de Barcelo* al comandante de lat compafiías de cazadora de Córdoba D. Cristó na: te lie tratado i loa arrestados con mas decoro del que podían bal iay.l, com.síonado por ei Sr. comandante militar pare marchar prometerte en aquello# críticos mom.M-.toj. toda clisa da gentes, y aun á u murciada vula, con ei fin de librar ios valientes q…</t>
  </si>
  <si>
    <t>Cristóbal</t>
  </si>
  <si>
    <t>…las que se com primera instancia y da la Hacienda pública en esta capital, por la es prenden en la supresión propuesta en al proyecto de ley sobra la refor cribanía del número de D. Cristóbal ds Vicufia, te ha declarado va ma y reducción del clero se hallan también renunciadas para la dota cante y perteneciente al Crédito público por no tener dueño conocido ción de este, conforme al art. 3.a del citado decreto de a9 de Junio nns casa, sita en la c…</t>
  </si>
  <si>
    <t>Crós</t>
  </si>
  <si>
    <t>…cotas dijo' que por mas que te han manifestado; y ciertamente no tienen otro medio. tratara S. S. dé persuadir á las Cortes que las leyes de que ae trataba Ayer se repitió por el Sr. Crós, y se leyó por el Sr. Martin» de eran una consecuencia te lo que había indicado la comisión espacial le Rota , una parte del dictamen de la comisión que entendió en loa encargada te informar da los sucesos de Cádiz y Sevilla, no era asi. lo negocios desagrada…</t>
  </si>
  <si>
    <t>Cruchaga</t>
  </si>
  <si>
    <t>…ti. Dispondrá también ei Gobierno sean exhumados los restos del siguiendo. benemérito comunero .bspo de Zimo» D. Antonio Acuña, enterra Cada vez ae hace digno del mayor elogio el coronel Cruchaga y laa do en límm.ji, y que se trasladen a aquella santa iglesia, y sepul partida* destinada* 4 la referida comisión por su zelo, intrepidez y ten donde lo ésten los demas ob spes de la misma, expresándose en constancia, por lo que es de esperar que muy en bre…</t>
  </si>
  <si>
    <t>Cruchaga, Juan Josef</t>
  </si>
  <si>
    <t>Juan Josef Cruchaga</t>
  </si>
  <si>
    <t>…cia, pues en cada una habia diferente costumbre, y solo sí dictar El Sr. Múñame tomó la palabra, y dijo que la desgraciada muerta una providencia general, como lo habia hecho. del coronel D. Juan Josef Cruchaga, deque hablaban los periódico*, £ Él Sr. Gomes Becerra: Creo que la comisión Edesi4*tica debería manos de una partid* de 14 faccioso* al mando del cabecilla Armen- haber propuesto las bases generales para la formación de las juntas dio gol en el pueblo de Nar…</t>
  </si>
  <si>
    <t>Cruz</t>
  </si>
  <si>
    <t>…ho de registro que antes no que considerándose 'aquel ge!&lt; perdido y comprometido, ha querido gozaban sueldo por la Nación queden sin derecho al sueldo de cesan arons jirs: con el general Cruz sobre ei partido que la prud&gt;ncia le tes, opinaba que no había necesidad de hacer declaracio- alguna sobra dictaba tomar en su d fieil r. tuicion, y que siguiendo la opimon de este punto-, respecto que los empicados en el lejin™ *° fueron en ca est' , se habí…</t>
  </si>
  <si>
    <t>Cruz, Pedro</t>
  </si>
  <si>
    <t>Pedro Cruz</t>
  </si>
  <si>
    <t>…Hib'ase de la abd-cacion del R r de X.poLs; pero l’ata ia de Galicia se proponía i los Sre». D. Francisco Camino, se encurntra un oblicuo para dar la íoron» al Princp: de Sil mo, D. Pedro Cruz y D. Manuel Monee; y fue electo c-l Sr. Camino por y es que el hered-ro de ella es :l duque de Calabria ; dificultad que no 77 votos de 115 siempre es grande para los poderoso». Para la de Ovi-'do se proponían 3 los Sres. D. Eduardo Jaime, Se procura difundir la voz de qu- se…</t>
  </si>
  <si>
    <t>Cruz, Remigio</t>
  </si>
  <si>
    <t>Remigio Cruz</t>
  </si>
  <si>
    <t>…alvador hanjuan, D. Manual Marco, presbítero, D. Pedro Pascual halla algo de verdad y bástame exageración; pero no cabe duda en Carbonell, D. Joaquín f:;ri, D. Sebastian Bal!las , D. Remigio Cruz, qua el resultado de ellas es que el partido ultra francés, qu* tanta pre- D. Joaquín Satz de Qumtaniüa , D. Mariano Orrit y D. Vicznte Azpondsrancia ha sabido arrogarse, toma muchas medidas que pudieran su nar, dtspucs de haber examinado el artículo comunica…</t>
  </si>
  <si>
    <t>Cruz, Tomis Godoy y</t>
  </si>
  <si>
    <t>Tomis Godoy y Cruz</t>
  </si>
  <si>
    <t>…e ayudantes de órdenes; el primero del á las tribunas altas se cita al cuerpo diplomático, formado en el día gefe de la columna, y el segundo del mayor encargado de su detall. por D. Tomis Godoy y Cruz , representante de Mendoza, D. Miguel El coronel D. Antonio Ordofiez con las tropas de su mando, que se Zafiartu, plenipotenciario de Chile, D. Juan M. Foibes, agente de hallan en Gausin y Casares, deben reunirse i la mencionada columna, los Estados-Unidos, D…</t>
  </si>
  <si>
    <t>Cruzado, Manuel</t>
  </si>
  <si>
    <t>Manuel Cruzado</t>
  </si>
  <si>
    <t>…Ardila , D. Vicente Aparicio, D. Josef Parnés , D. Mguel Batalla, rea-s en metílico que ofreció pata las urgencias del Estado, le dispen D. Manuel Cataban, D Manuel Josef Calzado, D. Manuel Cruzado, saron rl tiempo de servicio con Real despacho que le falt-.ba para po D. Jos tí Castro , D. Francisco Capdevila, D. Euscbio Fslcbanez, Don der obtener la gracia de hábito en la orden de Santiago, bajo el con Francisco Antonio Este vez, D. Andrés Fulgencio Bl…</t>
  </si>
  <si>
    <t>Cryetano</t>
  </si>
  <si>
    <t>…e que se han presentado malhechores en ministrado i los convalecientes 7 enfermos. el término de cualquier pueblo. De todo lo que se disponga 7 egecute A propuesta del Sr. Valdés (D. Cryetano) se aprobó el artículo ae dará también pronto aviso al gefe político de la provincia. suprimiendo la última parte que dice : o los que al terminar su nave Art. 39. » Cuando por la frecuencia de egecutarse robos no se es gación &amp;c.” timen suficientes los medio…</t>
  </si>
  <si>
    <t>Csivo, Román Lorenzo</t>
  </si>
  <si>
    <t>Román Lorenzo Csivo</t>
  </si>
  <si>
    <t>…s de hacer puja ó mejora, acudirá é verificarlo á la escribanía del juzgado de Cádiz impusieron la ley del máximum, fijando este eo 40S) rs. La co tropas de casa Real, á cargo del Sr. D. Román Lorenzo Csivo. misión ha reconocido la injusticia que envuelve en sí esta medida del _ Por fallecimiento de Doña María Pereda, viuda y heredera de Don máximum, justamente abolida por las anteriores Cortes, y ha seguido Miguel Azpiroz, vecinos que fueron de esta corte, acae…</t>
  </si>
  <si>
    <t>Cslatrari</t>
  </si>
  <si>
    <t>…ultáneas reformas. Jamas sa emprendieron ción del Sr. Calatrava. bajo los auspicios de la libertad, fintea capaz de llevarlas á riba, sin £1 Sr. Gaseo, apoyando la proposición del Sr. Cslatrari, opinó que que saliesen á su encuentro pera inutilizarlas loe conatos y las maqui no debía servir de obstáculo para La aprobación de la misma, la facul naciones de los que las experimentan ó las temen, el telo indiscreto de tad 14 dai Rey, consignada en la le…</t>
  </si>
  <si>
    <t>Cslatrava</t>
  </si>
  <si>
    <t>…rt. 3.0 » Este director prestará juramento de servir fielmente su nínsula que tienen á mucho honor el serlo. destino con arreglo á cuanto va convenido en el tratado de 22 de No El Sr. Cslatrava: Creo que- el artículo debe volver á la comisión viembre, y al reglamento particular que para elfo ha de formarse. para que proponga otra cosa que sea mas conveniente. Estando en Pam Art. 4.® » Se establecerá también desde luego una caja de amorti plona los f…</t>
  </si>
  <si>
    <t>Csstejon</t>
  </si>
  <si>
    <t>…s impqsiblf recoger la firma del autor de ca viesen hechas las recusaciones no motivadas que la ley concede. da articulo; por consiguiente creo que no debe imponerse esta obpn- El Sr. Csstejon observó que esta duda y la solución que te da á «ion k los periodistas; y aun respecto á los demás impresos podría de ella eran diminutas, porque en menester expresar ademas cuál era cirse que podrán valerse del medio que propone la comisión; pero no el tribu…</t>
  </si>
  <si>
    <t>Csuna</t>
  </si>
  <si>
    <t>…el rrgipara plazas de magistratura de la audiencia territorial de Canarias á miento infantería de América, con 610 rs. D. Josef Antonio Navarrete , á D. Cristóbal María Falcon y i Don Csuna al capitán D. Antonio González Villamil, segundo ayu Julián Gamboa; y para una fiscalía á D. Josef Atanasio del Castillo. dante del regimiento infantería de Búrgos, con 610 rs. Secretaría del consejo de Ejtado. Falencia al espitan D. Pedro Ruiz de la Peña , s…</t>
  </si>
  <si>
    <t>Ct</t>
  </si>
  <si>
    <t>…ncia de Valencia , y pa-a secretarios á S'mana : cond-de la T&lt; rr Cosío , marqu ,d l !u;p.i , c n.lt d;Ciia- D. Diego González Alonso , que lo ;* por ia p-ov ncia de Extrema Huí , D. Ct tón mo ViI’jiti'' , D J , f Rano n Mi o, D. Manuel dura , a D. Mar ano Momo, por :a de Cuenca . i D. Martin Serrano, Agreda, D. Juan M chau. , D J -,-f Ani 10 i az- , ID J&gt;»s*f María por la de Valencia, y a D. Pedro Juan de Zuiueta , que io es por la Icaza, I…</t>
  </si>
  <si>
    <t>Ct, Manuel López</t>
  </si>
  <si>
    <t>Manuel López Ct</t>
  </si>
  <si>
    <t>…desde que se publi Se leyó un oficio del presidente del tribunal de Cortea, relitivo 4 que en este periódico , al citado juzgado y escribanía , donde se ad la vista de la causa de D. Manuel López Ct pero á las 11 del día da mitirán las que se hicieren siendo arreglada»; en la inteligencia mañana. Las Cortes quedaron enteradas. de que su remate te ha de verificar pagando las dos terceras parí ;s Se leyó el oficio del Sr. secretario de la Gobernación de Ul…</t>
  </si>
  <si>
    <t>Ct.'t.zai</t>
  </si>
  <si>
    <t>…n radac- d-¡ nu.n-K) da na qu. ,-;j-u.»'.- sr» ir ■ . rr,.»- p.ir-e: -as t ido, y dslir aprobarse. se 1 a „ nvirt.endo , comí. &lt; I-.i .1 Í.,e -- , r1c&gt;.,;. crc.s p.r.o s fusco Fit Sr. Ct.'t.zai;/ Alonso: II: tonudo la paiabra por haber visto dr su t. rr.a , porque &lt;úi.,\e cu. r. tM-im . -r :-mhle seda &gt;a cntezincurrir en una equivocación á un a^as amigo , coaipaucio y paisa vcqciuü atinada, y .uau ;c.a .u» -. csccu.n..a».</t>
  </si>
  <si>
    <t>Cte, Francisco María</t>
  </si>
  <si>
    <t>Francisco María Cte</t>
  </si>
  <si>
    <t>…-gueit a las delicias deCapua: Celedonio de Salazar , D. Josef Blanco, D. Josef Márquez , I). D -go coged primero el fruto de vuestros trabajos, aprovechad la cosecha , y ¿j Rute, D. Francisco María Cte*po, O. Fermín Alcega , D. Antonio no omitáis medio m fatiga para consumar ‘a grande obra de la Nación Carriola, D. Cristóbal Tille: , D. Pedro dala Liare, D. Jo*ef Aba etpaño a, !* segundad del sisteme y ei desengaño de los mas extraño* llan y D. Félix Cetndl…</t>
  </si>
  <si>
    <t>Ctmargo, Josef Rodríguez</t>
  </si>
  <si>
    <t>Josef Rodríguez Ctmargo</t>
  </si>
  <si>
    <t>…rió en el sitio de Zaragoza , para que se le conceda la ambas solictudes. Aprobado. pensión de que gozan las viudas de su clase, y que el Gobierno le ne Otro sobre la solicitud de D. Josef Rodríguez Ctmargo para que gó por no haber acudido á solicitarla en tiempo hábil. La comisión se le dispensen fas pruebas para entrar en la orden de Cárl-i» ti. L&lt; co opinaba que las Cortes debían dispensar i esta interesada el no haber misión en vista de los méritos de este i…</t>
  </si>
  <si>
    <t>Ctpero</t>
  </si>
  <si>
    <t>…fianza. pueblos en que después hubiere residido, y por las demás noticias que r&gt; Décimocuarto: calumnias.” tenga por oportuno pedir el juez ó tribunal con presencia de la causa El Sr. Ctpero manifestó que respecto de los delitos c-.nira la reli primitiva. gión tenia demasiada latitud este pirulo, en razón de que r.o h iv ac rt. 154. •&gt; I os dem- reos, qnedespués de haber cumplido sus ción mala por la que no se ofenda i la rel.gion, tal es, v. gr.…</t>
  </si>
  <si>
    <t>Ctrl</t>
  </si>
  <si>
    <t>…ginas , gaviones, cestones, salchichones y dad del dia 26 trae la noticia de haber llegado el regimiento Infante piquetes se harán semejantes á los modelos que se hubieren dado, y D. Ctrl os á aquella ciudad, y la de haber salido alguna artillería para cuando no lo fueren, el que mande la trichera ó el ingenien» comisio Alcañix, adonde iba á marchar el general Veiasco, con el ot-.j-to de nado para su recibo lo rehusará. Los regimientos que los…</t>
  </si>
  <si>
    <t>Ctsas</t>
  </si>
  <si>
    <t>…tiendo la menor el d:spo)o total qu* hicieron deau cabecma , d.r ¡i entado de la proposición del Sr. Canga. doie en mayor número hacia la Conca á encontrarse con los del campo El Sr. Ctsas ha recordado la rnixime que recuerda la historia , de de Tarragona y los del cabecilla Eróles; resolví mi traslación con las qu: los emperadores griegos dejaron perder tu imperio por meterse en mencionadas fuerzas á esta otra parte del iegre, adonde r-anidis…</t>
  </si>
  <si>
    <t>Cttma, Pereira do</t>
  </si>
  <si>
    <t>Pereira do Cttma</t>
  </si>
  <si>
    <t>…na aleje sus tropas de las fronteras de Turqu'a. por cuya razón votaba en contra del di.t c ¿; ;i CunvP'-rt. 5-J v Qae la Rusia cumpla por su oírte los artículos de los ú'iimns El Sr. Pereira do Cttma: D; dos m d sj cr.p'iea la ocupcc; n d; tratados , y especialmente del de Bucharest, que todavía no se han Monte vid -o por !.», trepas portuguesas. El Brasil d.ce á la Eu-opa q ie llevado á electo.” ocupó i Montevideo conquistanaolo, no a .a España, . no al…</t>
  </si>
  <si>
    <t>Cu</t>
  </si>
  <si>
    <t>…americano recayó la elección liberar. Aprobado. en el Sr. Quiñones por 81 votos, teniendo gt el Sr. Ibarra, j nao el Se mandó quedar sobre la mesa el dictamen de la comisión de Co Sr. Cu vas. Total 133. mercio acerca del modo de compensar á la casa de Murphi y compañía En la tercera votación resultó electo et Sr. Castrón por 78 votos, de Lóndres del privilegio para poder introducir harina en la Havant, tenier. 11 cada uno de loa Sres. Romero…</t>
  </si>
  <si>
    <t>Cu, Rafael</t>
  </si>
  <si>
    <t>Rafael Cu</t>
  </si>
  <si>
    <t>…y los traspor Tmintes. D. FiaQciscéPArazonéi, D." Anrel del Ostillo, Don tes de admiración que os ofrece el ayuntamiento de la Coruña r esta Francisco Jimana, D. Cirio* Marrngal, D. Rafael Cu&lt;d, D- Juan porbio, émulo de vuestras eminentes virtudes i incomparab'es glorias. Francisco Alomo, D. Cristóbal Navarro , D. Joaquín Somoza , D. Jo Vencisteis: llenasteis de asombro í todos los espectador:* por vu-stra sef CaamaSo, D. Mate© Vnlaeco , D. Agutía…</t>
  </si>
  <si>
    <t>Cuadra</t>
  </si>
  <si>
    <t>…s po Un br. d1 potado se opuso al dictamen de la comisión; y reprodu deres de los individuos que habían sido electos diputados a Cortes. ciendo las razón» que había manifestado el Sr. Cuadra, opino que de Después de una ligera discusión fue aprobado el dictamen de ia co bería suspenderse la rotación del dictamen de ¡ i comisión hasta que pa misión. sándose un obco al gefo que sea supcr.or en palacio se viese si el se Valencia. D- Gerónimo Buey y…</t>
  </si>
  <si>
    <t>…a á si el duque del rogase la saion por una hora mu, te preguntó si se prorogaria , y la Parque sirvo ó no en palacio. Iw mismas listis de que ha hablado el junta resolvió que no. Sr. Cuadra prueban desde luego lo contrario de lo que se ha querido de El Sr. presidente levantó la saion i la tres menos cuarto, y citó mostrar. En efecto, por ella se ve que el duque del Parque no está en 4 los Sres. diputados para celebrar la tercera junta preparator…</t>
  </si>
  <si>
    <t>…de la del hedor Gomea (D. Alvaro) , las Cortes resolvieron que no, y te declaró por Apología católica dai proyecto de Constitución raligioa» , cacti» por de primera lectura la del Sr. Cuadra. un americano: su autor D. Juan Antonio Llorante , doctor en cáno Se nombró pera la como ion especia! de Milicias á los Sres. Valdés nes íce. Se puede considerar o» obra como un tratado «le diferente* (D. Dionisio), Zuiueta, Taboada y Serrano. punto* de histo…</t>
  </si>
  <si>
    <t>…tes sobre el Estado de 1* oportunas para que no se repitiesen los acontecimientos desagiadablea Nación. que se habían visto, y que una de ellas era el que se exigiese la respon El Sr. Cuadra dijo que ya babia recibido esta el informe conesjvinsabilidad á quien correspondiese. diente á la secretaría de Gracia p Justicia. El Sr. Meto fue de opinión que no debía aprobarse cata base, por En seguida te mandó pasar á la comisión h proposición del ufcc…</t>
  </si>
  <si>
    <t>…sa de la libertad, opinaba que debía El Sr. Ruiz de la Vega manifiesto que aunque era individuo de !• pasar al Gobierno pira que informase. Aprobado- comisión , no opinaba como el Sr. Cuadra, por par-cetle que no era a” La comisión de Visita del Crédito público, en viste de la solicitud cetario para formar juicio del estado de te Nación el examinar k&gt;* pt* de D. Juan Bautista Gómez, opinaba que debía paaar al Gobierno. peles que remitiese el Gobi…</t>
  </si>
  <si>
    <t>….....»...^............................. 8ü4* tai, teniendo 33 el Sr..Alava, 18 ti Se. Atienta, y el Sr. Bakyy el Certificaciones sin intereses. • S«MW*Msa»SS&lt;*s«**MiSS,irMMS 8í&gt;f. Sr. Cuadra, y uno cada uno de lo* Sen. Rom, Velaaco y Lapoeru. Inscripciones coa intereses»^..........784 4 79. En la segunda votación ao hubo elección por tener j8 votos el Sé- ANUNCIOS. Sor J'tnenez, 43 el Sr. Abre,-ó el'Sr. Letra, 3 el Sr. Boey, g el Sa- Plan general…</t>
  </si>
  <si>
    <t>…on perjudiciales, y cree el Gobierno dejase de llevar á efecto Us providencia* que yo *é que va tomando. que re d-b;n abandonar; pero sí cree que hay ciertas medidas de fuerza, El Sr. Cuadra ha manifestado el estado de las América*, y particu las cuales proporcionaran , como ya be indicado, las recíprocas ventajas larmente del Perú, de uti modb que hasta cieno punto es exacto. Es de las provincias de Ultramar y del continente europeo, y que conti…</t>
  </si>
  <si>
    <t>…n de causa, de la cual tampoco podrá resultar rios Sres. diputados hablaron an pro y en contra, y el resultado fue otra cosa sino lo que las Cortes han visto ya. que se aprobó. El Sr. Cuadra : Yo convengo con el Sr. preopinante en que las Cor Hasta aquí nadie habia echado de mettos dicha minuta; pero en tes tienen facultad de despedir a cualquiera de los individuos que las sir aquella discusión se expuso entre otras cosa* que la minuta estaba lle…</t>
  </si>
  <si>
    <t>Kin. i}4. (f cautok) yij GACETA DE MADRID. DOMINGO i* DE MAYO DE i8»a. NOTICIAS IXTRAKOISÁl B Sr. Cuadra presentó una exposición de varios cmdadmo* ét m tt corte pidiendo 4 ta» Cortes tomen en consideración cuanto antea la TUKIA. necesidad que hay de hacer las mejoras que crean convenientes en el París ¿o de Abrí. iqlinato vigente de milicia nacional local. (Con…</t>
  </si>
  <si>
    <t>…doblones que se te que esta haya presentado su informe, dijo que el mismo argumento di adeudan por haber asistido en varias epidemias, como comisionado por que se bab:a valido ci Sr. Cuadra para manifestar las razones por qm el Gobierno en los años 1801, 1803,804 y Boj , opinaba que se le la comisión no habia presentado su dictamen, le servían para impugnar satisficiese lo que acreditaba por el Crédito público en los mismos tér* esta idea ; pues…</t>
  </si>
  <si>
    <t>…s y fijar la opinión de los renitentes, se sirviesen las Coit-s d.c'irar que los días la sesión ordinaria. la junta diocesana deb a colectar la veintena de todos los frutos qua El Sr. Cuadra manifestó que cuando la comisión extendió su dicta antes pagaban la décima; opinaba qu; las Cortes debían declarar que men no se había empezado á tratar del proyecto de dicha milicia. las juntas diocesanas deban colectar todos los referidos productos, En este…</t>
  </si>
  <si>
    <t>Cuadrado, Mateo</t>
  </si>
  <si>
    <t>Mateo Cuadrado</t>
  </si>
  <si>
    <t>…scom pos de la libertad” , y concluye » y á lo que vendtá á parar” ; denun bros de la opulencia romana están demostrando todavía el lujo que rei ciado por el capitán de caballería D. Mateo Cuadrado , en virtud de naba en Roma; pero al misino tiempo bastarían por sí solos , atendido poder del mariscal de campo D. Salvador Moxó 5 en cuya virtud la ley su estilo y carácter, para persuadirnos que son obra de los griegos , si absolvió 4 D. León Ortega, respo…</t>
  </si>
  <si>
    <t>Cuadro, Lucas</t>
  </si>
  <si>
    <t>Lucas Cuadro</t>
  </si>
  <si>
    <t>…e enviados ó encargados de Negocios. La misma comisión opinaba que d.bit archivarse la memoria pre Habiéndose declarado el punto suficientemente discutido! se resolvió sentada por D. Lucas Cuadro, vecino de Santander. Aprobado. haber lugar á votar sobre Is totalidad del dictamen. Se mandaron quedar sobre la mesa dos diciam- n.-s dé la comisión he procedió á su discusión por partes, teniéndose por primer* el de Agricultura, uno sobre la exposición de v…</t>
  </si>
  <si>
    <t>Cuadros, Aranasio</t>
  </si>
  <si>
    <t>Aranasio Cuadros</t>
  </si>
  <si>
    <t>…b-os un pagar derechos según Capitanes. D. Luis Beaumout, D. Antonio IIíVÍ* , D. Joaquín costumbre: y cnnvi .n ¡a qu - s- • rxpiluí a: dj-se que se le ha Ramos, D. Mariano Moreno. D. Aranasio Cuadros, D. Buenaven ba torced do a introduce.on cu ndo . ra encarnado de Negocios de tura Basas, D. Gaspar Delvado, D. Jactfco huno, D. Miguel Mnl“ius,a,se quejó el hr. Oifers de que se hiciese pública la suspensión de querra, D. Juan Bsutisu ¿abala, D. banuago Aiif…</t>
  </si>
  <si>
    <t>Cuamente</t>
  </si>
  <si>
    <t>…torial de Castilla la Nueva, y juez de primero Península é islas adyacente» de lo* mismos género* existentes actual instancia en asta capital, dada por la escriban a del número de D. Cuamente en dichos depósitos que son ahora prohibido*, y croo entes per «úfc*l da Viada, te he sédatelo d día ay dal comente á las nueve de mitidos , pegando los derechos establecidos con anterioridad á dicho Su tnaiena en una de laa «atea consistoriales del Excmo. ay…</t>
  </si>
  <si>
    <t>Cuate</t>
  </si>
  <si>
    <t>…cios. El Sr. Calstrava dijo que debería dejarse á la deliberación de la El Sé. Calatrava dijo Creo que el Congreso me hará justicia ¡ y con Cortes. vendrá en que mucho anta que el Sr. Cuate he clamado yo aquí con El Sr. Martínez de la Rosa pidió que se sirviese decir ja secretaría' tra lot abusos de la libertad de la imprenta, y por lo mismo S. S. con si constaba un egemplar semejante, de haberse interrumpido una dis vendrá en que nuestro zelo a…</t>
  </si>
  <si>
    <t>Cuatre, Antonio María</t>
  </si>
  <si>
    <t>Antonio María Cuatre</t>
  </si>
  <si>
    <t>…cuando el trigo excediere de 8o r*. la fancga( reno , D. Alfonso Carrera, D» Gabriel Rodríguez, D. Francisco 7 la harina de i so rs. el quintal. Montoro,D. Vicente Martina Gómez, D. Antonio María Cuatre El Sr. Munarrii presentó á las Cortes á nombre de D. Josef Ma ras , D. Juan Josef de Cores y D. Francisco de Paula Díaz, jaeces de ría Zuaznabw el tonto *.“ del Ensaco histórico-crítieo sobre la legis hecho, con la fórmula de mbttulto el núm. 99 del periódico titul…</t>
  </si>
  <si>
    <t>Cuau</t>
  </si>
  <si>
    <t>…ión ) S. S. debe atenerse á la proposición , porque la proción debería ser — sí su proposición se hallaba comprendida en u art. poticióti a lo que se discute. Yo no extraño que el Sr. Cuau impugne •• 100 del reglamento, y si podrían resolver lat Corta sobre día en d mi proposición, porque S- S. a constante en tus opiniones, como yo en » momento lo que tuviesen por conveniente.** la mía; púa cuando te trató de votar el mensage en que las Corta S…</t>
  </si>
  <si>
    <t>Cubillo, Juan J. del</t>
  </si>
  <si>
    <t>Juan J. del Cubillo</t>
  </si>
  <si>
    <t>…M. se ha servi 2179, cuya firma dice: nUn portugués verdadero liberal;'* y reunido do nombrar para los batallones de nueva creación y para los ac el jurado, compuesto de los Srcs. D. Juan J. del Cubillo, D. Martin huales. Josef de Cantío, D. Josef M. Rerortillo, D Jcsquin de Trueba, Don Primeros exudantes. Juan Martínez Gatica, D. Cirios Carrera, D. Domingo Ranee!, Den Alicante al capitán graduado D. Antonio Melero, segundo ayu Luís Crosa y D. Matías Olave,…</t>
  </si>
  <si>
    <t>Cubo, Amona María</t>
  </si>
  <si>
    <t>Amona María Cubo</t>
  </si>
  <si>
    <t>…pueden ocasionar a la tranquilidad y á A la misma otra igual de Doña María Sierra. la patria ; pero de ningún modo porque creyese que tema que temer A la misma igual solicitud de Doña Amona María Cubo, viuda por su existencia. Para el Congreso es indilereute que el orden se baya de D- Pascual Ccivera, capitán de inválidos. turbado ayer, ó que se esté tutbando en la actualidad : el objeto siem A la misma igual solicitud de Doña Margarita de Ponte, viuda de…</t>
  </si>
  <si>
    <t>Cuenca</t>
  </si>
  <si>
    <t>1778</t>
  </si>
  <si>
    <t>…presenten á usar de su derecho con arreglo á la en la de Juan Bautista Imperial;: 4go9, de Granada: 634,319, de Constitución y las leyes, por la escribanía de cámara del cargo de Don Cuenca: 3659, de Granada: 177,975 , de Lorca y Alama: 323,434, Juan Antonio Almaain; apercibidos de que pasado se dará á la causa de Gianada y Cuenca, en cabeza de Francisco Lercan : 35,688 , de el curso que corresponda, parí -dolé» el perjuicio que haya lugar. Anda…</t>
  </si>
  <si>
    <t>Cuenlla, Josef Suarez</t>
  </si>
  <si>
    <t>Josef Suarez Cuenlla</t>
  </si>
  <si>
    <t>…regimiento infantería de Búrgos, con 610 rs. Secretaría del consejo de Ejtado. Falencia al espitan D. Pedro Ruiz de la Peña , segundo ayudante Provincia de León, Por promoción de D. Josef Suarez Cuenlla á la del regimiento infantería Infante D. Antonio, con 670 rs. judicatura de primera instancia del partido de Omafia ha quedado va Pamplona al capitán D- Juan Domingo Olejus, segundo ayudante cante la de Valdeuron: se admiten memoriales acompañados de sus res…</t>
  </si>
  <si>
    <t>Cuera, Lopes</t>
  </si>
  <si>
    <t>Lopes Cuera</t>
  </si>
  <si>
    <t>9o6 Sa leyó igualmente el voto particular del Sr. Lopes Cuera*. Fl Sr. Murfi se opuso i las bates presentadas por la comisión en el El Sr. Callejón dijo que no podía conformarte con el dictamen de prr yecto , manifestando entre otras cosas que el establecimiento de una la comisión, porque ene asunto no correspondía á la…</t>
  </si>
  <si>
    <t>Cueras</t>
  </si>
  <si>
    <t>…mas que no considerándose como del Es* millones, á cuánto mas subiría en el caso de aumentarse generales. tado, no se hallen comprendidos en la escala para descuento de sueldos 11 Sr. Cueras fue de Opinión que en el caso de adoptar una medi circulada con el decreto de 9 de Noviembre de 1810. Y las Cortes, m da como esta respecto de la guardia Real era indispensable que se lo vtista del expediente instruido acerca de esta duda , que adjunto derd |…</t>
  </si>
  <si>
    <t>Cuerea</t>
  </si>
  <si>
    <t>…iv ... 0camento que había por 400 facciosos, hacia donde debía dirigirse desda sos todo el daño posible, o b en qa; ccn .orvcr-ic ri s o no: . »s Martorell antes del dia de boy el coronel Cuerea con 113 infantea alarmantes procure introducir ia des.-onu -rza .. d s,'.-.cr to c.. ny 1 5 caballos, con el objeto de socorrer á dicho destacamento y poder b ac.on , será castigado C 'in.' aux.naJor de io, r.b. de, . .a trnsms ce na sufrirá aquel que habiend…</t>
  </si>
  <si>
    <t>Cuervo, Eugenio Manuel</t>
  </si>
  <si>
    <t>Eugenio Manuel Cuervo</t>
  </si>
  <si>
    <t>…Valencia. Constitución , han decretado : Déla audiencia dt Astúrias. D. Nicolás Gómez Villaboa á la de i. a «Que todos los créditos procedentes de suministros de provi Vallsdolid. D. Eugenio Manuel Cuervo á la de Navarra. D. Josef Rosiones y utensilios que se hallen ya reconocidos por el Crédito públi drígu z Busto , fiscal, á Valladolid. co, y anotados y numerados en la página correspondiente al libro ó De ¡a audiencia dt Extremadura. D. Estéban de Asta á Val…</t>
  </si>
  <si>
    <t>Cuesta</t>
  </si>
  <si>
    <t>…habíais Yo me opuse á que se discutiera el plan del arreglo del clero, por padecido ios **rcs. preopinantes. que no se había discutido et plan de Hacienda, ni se había hecho el El Sr. Cuesta apoyó el dictamen de la comisión , y dijo que esta ha arreglo del Crédito público, hice estas reflexiones i las Cort.s, y en s.— bia tratado solamente de llevar a efecto el decreto de ias Cortes de 29 guida acordaron que no se discutiese; porque ;c&lt;mo era pos…</t>
  </si>
  <si>
    <t>…la comisión la tomen en con de que la autoridad eclesiástica proceda del modo que queda indica sideración. do. En tanto grado conservan las leyes antiguas la índole y naturale El Sr. Cuesta opinó que el extrañar del reino á a! aun prelado que za de esta especie de conocimiento instructivo y económico que el or rehusase conocer la suprema y legítima autoridad del Gobierno, ú obede den de la autoridad eclesiástica , y el de sus agentes encargados…</t>
  </si>
  <si>
    <t>…ico una exposición de D- Rafael García » bia *1 Estado.” para que se le admita su capitalización, y se le satisfaga la mitad de su LóiubiIó pasar á la comisión una proposición del Sr. Cuesta aceres sueldo en corachas de tabaco. de los comendadores de las ordenes y párrocos de les iglesias; una del A las de Hacienda y Visita del Crédito público se pasó una con- Sr. Marín Tauste , y otra del Sr. Doúrca, 1 dativas al decreto sobre in snita del Gobie…</t>
  </si>
  <si>
    <t>…de Cruz y de Fucnfc: su de iH»o para el gobierno y administración del ramo de penas de cá precio 6 rs. mara, entendió correspondía cuidar de la manutención de los pobre! vota. El Sr. Cuesta impugnó largamente y con razones muy sóli presos á los jueces que conociesen de sus causas; pero que habiendo re das el art. 330 .let código penal en lo relativo al extrañamiento de los clamado sus alimentos de la audiencia, le contestó esta que á su en Sres.…</t>
  </si>
  <si>
    <t>…to una materia tan trascen- La quinta y sexta se refieren a medidas que lian sido tomadas por Hrítlíl . las Cort.s, pues que aquella es relativa á que se declare libre ei comer El Sr. Cuesta dijo que era menester se medítase si seria mas útil es cio cr.t.-c ia P.tie.uii y Ultramar, y 1»« *&gt;,rr-s lo han establecido ya perar 3 qui \rinie*en diputados ó comisionados de los gobierno» estable sin necesidad de esta proposición; y esta á que se conceda…</t>
  </si>
  <si>
    <t>…cede por la Constitución, han decretado: tratado. Supongamos que se reconozca la independencia ( como ha di Art. t.° »E1 art. 131 del decreto orgánico del egército no priva cho el Sr. Cuesta), nos falta saber si los diferentes gobiernos esta de contraer matrimonio á los militares que cuenten menos de seis años rán acordes en que se forme una confederación, aunque yo creo que In de servicio , con tal que obtengan la licencia correspondiente en la…</t>
  </si>
  <si>
    <t>…con la comisión pare que te enviasen co •U informe al Gobierno: esto tiene todk* la* ventajas indicadas por el misionados i los diferentes gobiernos que de hecho se habían estable Sr. Cuesta, y es un remedio el mas conveniente para los malea deÚttra- cido en aquellos peiset para oir sus proposiciones; pero como con esta m*r. Hay edema* otra razón de justicia que es la de que con esta medi medida no se aseguraban los intereses de los espafióles am…</t>
  </si>
  <si>
    <t>…nez de la Rosa, Gareli, García Page, sus exposiciones! conde de Toreno, Ce pero, O-Gaban , Dolara y Marte!. El Congreso... ¡cómo si fuera un rebaño de ovejas dóciles el impulso El Sr. Cuesta dijo que sentía entrar en esta discusión inesperada , que dd Gobierno ha de sancionar estas leyes! Yo creo qne no corresponda podía sa muy pajudicial por lot resultados que produciría; pues sin esto á la dignidad de loa representantes de la Nación; por lo mis…</t>
  </si>
  <si>
    <t>…no porque tratase de defender al Gobierno, sino al contrario. La Constitución, al dar al Rey las facultades de que está revestida El Sr. Calatrava continuó: Yo 'no he dicho que el Sr. Cuesta hu su autoridad, le ha dado en la 14 la de — á las Cortes las pro biese defendido al ministerio, porque las Cortes saben mu/ bien que puestas de leyes ó de reformas que crea conducente* al bien de la Na yo he dicho y repetido muchas veces que los ministros po…</t>
  </si>
  <si>
    <t>…cerdo esto sucedería siempre que se este artículo, y se deje en los términos que lo establece la Constitución. atacase á la persona del Rey, tanto por difamación, como por lujuF.l Sr. Cuesta dijo: Lo que ha manifestado el Sr. preopinante pue rías, caricaturas ó alegorías, seria indispensable la ruma del sistema de inducir á que se forme otra idea de lo que establece la Constitución. constitucional. Que también se había dicho que no se piocedu con…</t>
  </si>
  <si>
    <t>…labra refutación tenia demasiada latitud, y por lo mismo era mejor se dijese que se vulnere la eonducta moral. No podiendo ni debiendo circular los seis vales consolidados de á El Sr. Cuesta dijo que no podía atacarse i esta ley sin que te auca- aoo petos de la creación de t.° de Setiembre de 1818, núms. 2-81, te á la de 12 de Octubre de itlio, porque se osaba de las mismas pa *781, 2783,1784, &gt;785 y *79» ; *e advierte á la persona .&gt; perso labra…</t>
  </si>
  <si>
    <t>…uevan los medios de que la tranquilidad no se perturbé, y calidad tínicamente de documentos de comprobación. que tenga personas de su confianza , sin las cuales r.o podrá denun El Sr. Cuesta dijo que se juzgaría á la historia ó anales conforme á ciar los escritos subversivos. Fero yo creo que para nada necesita el los principios que sentase, porque siendo buena debía reimprimir estos Gobierno estos agentes que se le quieren dar bajo el pretexto i…</t>
  </si>
  <si>
    <t>…ional í la ley de li pequeba ciudad de Jaro, habitada por griego* en tu mayor parte, no bertad da imprenta. presentan en lugar de su antigua prosperidad mas que un desierto sis El Sr. Cuesta manifestó que la comisión había encontrado inconvahabitantes. :, . s.1 '. asentaa-ea variar d art- ao. He aquí el resultado de la* noticias que hen dedo lo* comercien tes El Sr. Sancho manifestó que la declaración de ayer de las Cortea que h*n podido salvar s…</t>
  </si>
  <si>
    <t>…a ley de ai derecho para publicar este delito, y la ley me absuelve presentando los de Octubre de 18 ao." documentos. Asi el derecho que tienen los espadóles respecto de tos ac El Sr. Cuesta manifestó los motivos que había tenido la comisión tos de censura no es sobre opiniones, sino también sobre hechos, so para proponerlo , la cual, en vista de las reflexiones que te habían he bre los cuales puede recaer la calumnia. cho cuando te trató de este…</t>
  </si>
  <si>
    <t>…articulo, pues si los ayunta meros que suscribieren quedan responsables ademas de la identidad de mientos no teman esta facultad en este caso no lo aprobaba. todas las firmas.” El Sr. Cuesta expuso que no se trataba de los ayuntamientos , sino F.1 Sr. Sancho apoyó la primera parte del artículo, y opinó que no de aquellas asociaciones ó corporaciones, como son las universidades, era precisa la segun .1t, porque como debía concederse ó negarse lo q…</t>
  </si>
  <si>
    <t>…, Partido de Jvtqucra quienes tienen negocios de inter-s que comun:carle. Se presume que Navas: 111 vecinos, una etcueia, bu dotación 29 rt. anuales—Ma- esta señora , pariente del general Cuesta, haya fallecido; pero es pre hora: 4Ó3 vecinos, una escueta , su dotación »7$o rt. id.—Alcalá da ciso dar este paso para cumplit con una disposición testamentaria. EN LA IMPRENTA RACIONAL</t>
  </si>
  <si>
    <t>Cuesta, Feliciano</t>
  </si>
  <si>
    <t>Feliciano Cuesta</t>
  </si>
  <si>
    <t>…mayor de cuatro sistema, habiéndose presentado en la última vez cuatro monga* «a 1« peraonas de dia f doa de noche; 4 menor que ama de las destinadas i la partida de la cruzada de D. Feliciano Cuesta. defensa de la misma. .... . Art o.° »*Si algún temerario hiciere armas contra la tropa, ma Continúan las exposiciones dirigidas á la Diputación permanente do gistrados á otro* cualesquiera defensores del aistema constituciooal desde Caries, alguna cara, será…</t>
  </si>
  <si>
    <t>Cueto, Josef María</t>
  </si>
  <si>
    <t>Josef María Cueto</t>
  </si>
  <si>
    <t>…lo demás S. M. ha creido que de Ja Guerra; al comandante general de esta provincia, conde de Car los colonos ó usufructuarios de lo* terrenos asi vendidos eran acreedo tagena; al coronel D. Josef María Cueto , y al auditor de «sta capita res á la preferencia ó tanteo que se propone. nía general, por infractores de Constitución, y por haber cometido al Fstas son en suma la* razone* que han inclinado el ánimo de S. M. gunas informalidades en el proceso que se ¡es h…</t>
  </si>
  <si>
    <t>…ntenció esta causa, incluso el mar ques de Casa-Sarria; y que no hallaba mérito p&lt;ra exigir la responsa faaSIDBNCIA DEL llRol IIICO. bilidad al coronel del regimiento del Príncipe D. Josef María Cueto, Sesión Jet 31 de Marte. por no poder ser objeto de la deliberación de las Cortes la conducta que este individuo tuvo en esta causa. Leída y aprobada el acta de la anterior, se mandó agregar ó ella el El Sr. Valdés (D. Cayetano) dijo: Antes de entrar en esta…</t>
  </si>
  <si>
    <t>do la pobres* i la Hclirltud , venían á estudiar eu Londres , en Paria miento caballería del Principe D. Josef María Cueto sobre el plan de j en Berlín laa artes 4&lt;¡ la Europa civilizada, y concibiendo grandes defenaa, caso de ser atacado el punto, como se esperaba con bastante pensamientos, y adquiriendo conocimientos útiles, alentaban 4 tus in fundamento, tuve la satisfacción d…</t>
  </si>
  <si>
    <t>Cuevas</t>
  </si>
  <si>
    <t>…e opuesto á las violencias de la Puerta con Se leyeron por primera vez las siguientes proposiciones. el valor d - sus fi jos, hallándose genialmente reunida en el Congreso Una del Sr. Cuevas dividida en dos artículos, reducido! 'i que las nacional convocado por el pueblo, declara ante Dios su mdtftndencia Cortes recomienden 4 S. M. el reformar y reforzar el apostadero de la política. Havana, y tomar varias medidas para proteger d comen;io en aque…</t>
  </si>
  <si>
    <t>…ión. Es cierto (añadió ) qu-; la demasiada be lo oyeron con agrado. nignidad con ios enemigos de la Constitución ha traído muchos males, Se leyó por primer* vez la proposición del Sr. Cuevas sobre que y que es necesario usar de mas rigor que el que se ha empleado hasta ae establezca otra audiencia en la isla de Cuba , ó se añada una sala á la aquí con los enemigos de ella; pero este rigor te ha de egercer en lo* que actualmente existe, á fin de p…</t>
  </si>
  <si>
    <t>…illa D. Ramón Novoa para coronel del mismo regimiento con si bado. sueldo de teniente coronel, lo que en concepto de la comisión equiva Se leyó por segunda vez uní proposición del Sr. Cuevas sobre la le é teniente coronel vivo con grado de coronel, teniendo en conside necesidad de reformar y relorz.tr el apostadero de la llavana , y de ración que. este &lt; fie i al te puso a la cabeza de su batallón que estaba de ampliar las facultades de la diputa…</t>
  </si>
  <si>
    <t>…eblo de aquella provincia. La comisión que le diese destino en la primera vacante que ocurriese. .Aprobado. opinaba que las Cortes podían declarar que debe reintegrarse con les El Sr. Cuevas presentó una expcs.cion de D. N. Abreu , primer ternnos de propios á Us dueños ó poseedores de censos, y en seguida teniente d i primer regimiento de Ja Guardia Real, en que hacia va i los que Jos tuvieren impuestos sobre arbitrios suprimidos. Aprobado. ras o…</t>
  </si>
  <si>
    <t>…u sueldo del Sr. Koig, sobre franquicia del puerto de Mabon. en virtud de haber obtenido su p'aza por oposición, opinaba que cite Se mandó pasar á la comisión de Comercio otra del Sr. Cuevas, interesado debía entablar la demanda en el tribunal competente. para que se disminuyan los derechos de introducción en los puertos lla Aprobado. mados menores de la isla de Cuba. La misma comisión , en vista de la exposición de D. Josef Santo* Otra de los Sr…</t>
  </si>
  <si>
    <t>…nero ó efectos , se extenderán t imbien en La comisión segunda de Legislación, en vista de una proposición del pape) sellado con la misma proporción y circunstancias que los de al Sr. Cuevas, en la que manifestando los perjuicios que se seguían á los quileres de casas.” Aprobado. habitantes de la isla de Cuba por no tener audiencia algnaa inmediata Art. 4U » Los recibos de que tratan lo* arta. y 3.* serán dé para los efectos prevenidos en el decr…</t>
  </si>
  <si>
    <t>…ndican los periódicos de Cádiz; de Cueva» y D. Antonio Llamas fueron á reforzar aquel punto : du pero todo su triunfo te redujo á derribir a!¿una lápida , pues el res rante él, el capitán Cuevas, que por su mayor graduación lo mrrñrba, guardo militar apagó al instante e! fuego que algunos ilusos pretendían y ya trató de hacerse dueño det referido bosque del Mas deSoi de V; a, encender; y se restableció inmediatamente el orden. lo que impidió un horro…</t>
  </si>
  <si>
    <t>…te el modo como debe ma compañía se juntarán para recibirla. Si el sargento que hubiere marchar la tropa. lomado ia orden fuese de segunda clase, deberá comunicarla al primero, El Sr. Cuevas: El artículo como está debe aprobarse , porque esta y este juntar los de segunda clase y los primeros cabos para darla -, pero palabra silencio se refiere á ciertas formaciones ó casos en que el sol no estando en el cuartel no se dilatará la orden , y la dará…</t>
  </si>
  <si>
    <t>Cuevas, Baltasar López de</t>
  </si>
  <si>
    <t>Baltasar López de Cuevas</t>
  </si>
  <si>
    <t>…a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putados. to* Sres. diputados. Aprobado. Valladolid. Sr. duque del Parque, Sr. conde de Adanero, D. Ala Astúrias. I)…</t>
  </si>
  <si>
    <t>Cuevas, López</t>
  </si>
  <si>
    <t>López Cuevas</t>
  </si>
  <si>
    <t>…o i¡» tsntes entre los Sres. Gómez Becerra, Arguelles , balvato y López de guíeme: Cuevas. n Nos avisan de Cortó que el 9 de este me* se constituyó en Ar Fue elegido en seguida el Sr. López Cuevas por 78 votos de 11» ( gos el Gobierno griego de la Motea. El poder egecutivo lo egerce una repartiéndose loe restantes entre los Sres. Marchámalo, Arguelles , Aljunta compuesta de seis seglares y seis eclesiásticos, y ha sido nombrado varez, Adán, González Al…</t>
  </si>
  <si>
    <t>…do; y concluyó pidiendo se CORTES. mandase pasar i la comisión este dictamen, y se admitiesen las pre posiciones que se hiciesen sobre este asunto. PRESIDENCIA DEL SsSot RlECO. El Sr. López Cuevas , individuo de la comisión, manifestó que es Síjion extraordinaria del día 6 de Marzo. ta habia dado su dictamen sobre los poderes del Sr. Escovedo, abste Leida y aprobada el acta de la anterior , se procedió á la elección de niéndose de lo demas, y no querie…</t>
  </si>
  <si>
    <t>…e no es un óbice para que se imprima lo que se propone en la sido negada por S. M.” proposición que se discute: se ha dicho por incidencia que el enviarse Se Leyó la siguiente det Sr. López Cuevas: » Pido i las Cortes que esta ley á las Cortes es' para entorpecer la marcha de la ley que se ha de sobre la mesa por término de cuatro dias, ó el que determinan !a&lt; devuelto sin sancionar: y yo digo por incidencia que acaso sera medio mismas, el expediente s…</t>
  </si>
  <si>
    <t>…s de Marzo de trario estamos expuestos á una catástrofe. 1822.” El Sr. secretario Salva leyó dicho decreto. El Sr. Salva dijo que los Srcs. diputados podrían acercarse á la co Del Sr. López Cuevas: ,,Pido que los naturales de Ultramar que se misión , en donde teman libertad de acudir y contribuir con sus luces hallen en esta corte en prosecución de sus pleitos ó pretensiones , 1 que ai pronto despacho. no esten en ella domiciliados, se tengan por trans…</t>
  </si>
  <si>
    <t>…se diga que tal ó cusí sujeto es de tales Se mandó pasar á la comisión Eclesiástica la siguiente adición del opiniones, y que pospone los principios constitucionales: Ninguno alé Sr. López Cuevas: » Que lo que se resuelva con respecto i las capella la» Sres. que han hablado sobre este punto ha presentado pru bas evi nías en orden á disponer de ia mitad dt tus bienes sen extensivo i be dentes ni dita» con que poder hacer cargo al Grbioro: se han oíalo…</t>
  </si>
  <si>
    <t>…mien público á las Corles hab a algún fundamento para mantenerla. tos , por lo cual debia aprobarse el dictamen. Reprodujo algunas observaciones hechas anteriormente por los se El Sr. López Cuevas dijo que convenía en mucha parte con el dic ñores preopinantes, y concluyó oponiéndose á la adopción de las bases tamen ; pero que el ayuntamiento a'egaba la corees on hecha por Don propuestas. Alonso xt como un título de propiedad, en virtud del cual se creí…</t>
  </si>
  <si>
    <t>Cuidaba, Mariano</t>
  </si>
  <si>
    <t>Mariano Cuidaba</t>
  </si>
  <si>
    <t>…que en vano int- nló p: r do del capiun D. Josef Vega, »o,t.nidos por otros 12 de Lus tan.2, . con no» caballo» (1 intrépido Uniente ü. étgu.t.a Caun.do, acompaña el del t-niente D. Mariano Cuidaba. En esta disposición acometíales</t>
  </si>
  <si>
    <t>Cují</t>
  </si>
  <si>
    <t>Sr. Cují contestó fM la especie de timidez que había maniles- jor pu -de proponet la comisión 1 De este modo sa. removerá el oht. fedelacoaiiiea nada no de la falta de noticia* necesarias en U materia, táculo que i: oponía á la venta. Por otra parte la división de lea…</t>
  </si>
  <si>
    <t>Cumbres, Antonio</t>
  </si>
  <si>
    <t>Antonio Cumbres</t>
  </si>
  <si>
    <t>…contribuciones d'rectas, en D. Manuel Alonso Diez, D. Salvador Bros, D. Hilario Brihuega, cargada de la recaudación de lanza* y media anata, que el título de Cas D. Antonio Bravo, D. Antonio Cumbres, D. Juan Galvan, D. Mi tilla con la denominación de mirquet de Villabragima le poseía en *1 nué’ González Santos , D. Mauricio González , D. Juan Gerena, Don año de 1693 U. Baltasar H nriqu-z de Cabrera, y que el de marque* Jct'f Yela , D Antonio Moln r, D. J…</t>
  </si>
  <si>
    <t>Cuneros, Joaquín</t>
  </si>
  <si>
    <t>Joaquín Cuneros</t>
  </si>
  <si>
    <t>…r conh.nza á l"la una nación. muerte de la reler.da su madre , de quien son a.Sacras testamentarios Lis ni-'tici»'. de Francia pueden reducirse á dos puntos: esfuerzos los señores D. Joaquín Cuneros y D. Esteban Colmenero , prebendados de los ultra i contra la libertan y la justicia; y esfuerzos de los buenos de la santa igl-sia de Jaén , con quienes pudran entenderse los dicho franceses por cousrivar el régimen conillueioaal. Los primeros se va hijos ausentes de la Lucía de T…</t>
  </si>
  <si>
    <t>Cunta</t>
  </si>
  <si>
    <t>…, resolver nada oportuno a el que propone la comisión, y yo todo lo contrario. Yo en ate asunto , y que asi la Corta podrían determinar lo conveniente. no té de donde ha sacado el Sr. Cunta que en mi proposición se cali En seguida a leyó una proposición dd Sr. Calstrava, sobre que de fican la leya propuata por la comisión (contra las cual» no he ha terminaran las Corta si su proposición anterior cataba comprendida en blado una palabra) de leya t…</t>
  </si>
  <si>
    <t>…l se oponía por con de la extinción de la calentura amarilla que ha sufrido la ciudad de Pal siguiente. ma su capital, contándose el principio de este apetecido beneficio desde El Sr. Cunta contestó que en el artículo se atab'ecia la competen el 16 del propio mrs en que comenzó la cuarentena preliminar é la li te distinción entre calumnia é injuria, y que se dejaba al injuriado ó bertad de sus.comutiicacione*prescrita por instrucción; y asegura…</t>
  </si>
  <si>
    <t>Cuntía</t>
  </si>
  <si>
    <t>…mada sin »er anfs reconocida , como está prevenido. Antes veniente en aprobar el dictamen de la comisión. de aman-ccr lat patrullas serán mas fr.-cu-ntes , harán la descubierta El Sr. Cuntía. Yo quisiera que se d jase á arbitrio del Gobierno t-1 con todas las precauciones necesarias , reconocerán le* camines hondos, señalar estas as guaeroues; porque uo bay duda que en una» provincial</t>
  </si>
  <si>
    <t>Cuota</t>
  </si>
  <si>
    <t>El Sr. Cuota dijo: Y# manifestá entonen* que en ai opinión a* mental del Estado, que es la que quiere la Nación. ¡Tristes de nosotros era oportuno el remedio que proponía la comisión; dije que el minis- si nn corto número de hambres pudiesen abusar da laa leyes funda ■ter…</t>
  </si>
  <si>
    <t>Curia</t>
  </si>
  <si>
    <t>…s. El ift l.ab.a ¡¡.-¿a.¡o e. conde de .'-lontl vant, ayudante de cam hac&lt;r una f» s.ficac.on. Atendiendo á esto, y que la cantidad de 40 &lt;’&gt; po del min.sito de Guaría, y ei 17 et general Curia)_be observa ño mrs. es demasiado maquina para que pu: !a ser «rigen de estable que entre ios g-.nera.es que mandan en el cuerpo de observación r.o se ciese el que los mil tar-s hagan su testamento en papel común, creo leer, ncmbr.s .eiclir-s en 1.» ta,to, de…</t>
  </si>
  <si>
    <t>Curnciro, Borges</t>
  </si>
  <si>
    <t>Borges Curnciro</t>
  </si>
  <si>
    <t>…ir en su dignidad el rumor de Se leyó y aprobó el acta de la anterior. «na porción de pueblo de las galerías. El Sr. presidente nombró para la comisión de Bullas Artes á ?os se El Sr. Borges Curnciro apoyó al preopinante, manifestando que en ñores Munarriz , duque del Parque , Adan.ro, Grases , Hartera, Galia«tras ocasiones había habid » mayores rumores en las gaidiías, pues ha no y Afon,o. bían obligado al presidente á dirigirles la palabra; y que si est…</t>
  </si>
  <si>
    <t>Cusano</t>
  </si>
  <si>
    <t>…n licencia del Excmo. Sr. D. Antonio Allúe, obispo Lozano, D. Cayetano Romero, D. Santiago Vicente Les, marques de y patriarca de las Indias, bautizó en la Real parroquia de S. M. Don Cusano. Manuel María Ochoa , cx-director de los caballeros Pages, al catecú Habida la conferencia, declararon haber lugar í la formación de meno Majomet Ambar, adulto, de edad de 17 años, natural de Guinea, causa, excepto el Sr. D. Cayetano Romero, que dijo no haber…</t>
  </si>
  <si>
    <t>Custodio</t>
  </si>
  <si>
    <t>…ue ese generat Mina, tan que se le seña sn comparezca en el referido ¡uzeado y escribanía prin odmdo de los malos, los ha dejado atónitos con su cordura, con su cipal del cargo de D. Custodio ii nriqurz á exponer lo que le conven prud nc a y con su sabia política) ellos hubieran querido algunas cala ga en la prop a causa; prevenido que de no hacerlo le parará el perjui veradas , y no han visto mas que valor , juicio y discreción; esto ha cio que h…</t>
  </si>
  <si>
    <t>Cuy.'taro</t>
  </si>
  <si>
    <t>…de menos de decir que en Laibacn prometió celebrar un Congreso en Florencia. que el articu:o d-be aprobarse en los término» en que está exte d.do. ARÍICLLO J&gt;E óllUO E br. Valdes (D. Cuy.'taro) : En mi conc- pto r.o puede llenar es- Circulare! del ministerio ele la Gobernación de ¡a Pensoeula. t* artícu o io» deseos de la» Cort&lt; s. be ha hablad a de m br eada de Ca- Entre las principales obligaciones cuyo desempaño está expresamen rab ñeros; pero e…</t>
  </si>
  <si>
    <t>Cuya</t>
  </si>
  <si>
    <t>…de mi cargo desgraciadamente no tiene Verdadero aumento ts. vn—.............................................. 311,138 relaciones con la prosperidad pública ; pero pregunta el Sr. secretario Cuya cantidad opina la comisión debe abocarse al niD.iina de del Despacho de Gracia y Justicia, ; será mas urgente un objeto que Gracia y Justicia. directa ó indirectamente convenga 4 la prosperidad nacional , que pagar El Sr. Falcó: En la parte relativa á les sue…</t>
  </si>
  <si>
    <t>Cuyas, Ra</t>
  </si>
  <si>
    <t>Ra Cuyas</t>
  </si>
  <si>
    <t>…y corredoras ambulantes de manufacturas y Don Gregorio Ligardc, en nombre del coronel y oficiales del regi comestibles. miento de Calsttdvi, denunció al Sr. alcalde constitucional D. Ra Cuyas especies se distribuirán en lu cinco clara de repartimiento món Cascllss dos párrafos inserto* en los núes*. 179 y 180 del DrVs» que siguen: rio nuevo , en concepto de injerknos. En sa vista se reunió el ¡uredo, 1.a clase de repartimiento............ 150».. r…</t>
  </si>
  <si>
    <t>CXhoa</t>
  </si>
  <si>
    <t>…cusión; algunas muy ridiculas, que lejos de inspirar devoción , inspiraban risa, y isi se verificó. y que valdría mas que estas no existiesen. Se leyó la siguiente proposición del Sr. CXhoa: •• Habiendo visto en Quedó aprobado e! artículolos papeles púb'icos una nota. en que se dice que la junta diocesana de Art. 240. - F.l que hiera o maltrate de obra, ó ultraje ó.injurie 4 Toledo dirige al Sob.-r.mo Congreso una representación lecha 10 de un m…</t>
  </si>
  <si>
    <t>Czvrtar.o</t>
  </si>
  <si>
    <t>…i.n de te artículo , porque le con.idero muy favurabie a la pobiac.cn y i ¡M Noviembre próximo, hasta 36 años cumplidos en el miento día.” cuín; n.h.-.s. Aprobado. El Sr. Valdé» (D. Czvrtar.o): E*»e «rtícu'o r.o det* aprobarse, por Art. 1." n Entrarán en el sorteo todos los mozos comprendidos en que hace que de ■! • » qu i.t’.s no se hagt masque -jr.i de los mezo; vas la edad, sin exclusión de ninguno, tenga ó no excepción £;!c¿ ó le d.bieron enra…</t>
  </si>
  <si>
    <t>D, Abas</t>
  </si>
  <si>
    <t>Abas D</t>
  </si>
  <si>
    <t>…esentó las ternas pira la elección de ios vsi- gó- os A-, España , a cual se publicaría muy er br-r-. El Día- - de Ui ladores de las audiencia» del reino; y hab erlo preguntado c! Sr. Abas D.í.itss , que se supone crino del ministro Mr. de Viüe:e (i-! parsi Jas Cortes deb rían ceñirse á los indivduos propuestos por ¡a comi t.clo de .a p-z), se explica ÍJ'/amente en un párrafo sobra «te cirticusión .contestó el Sr. presid nte con ia negativa. Jar ,…</t>
  </si>
  <si>
    <t>D, Antonio</t>
  </si>
  <si>
    <t>Antonio D</t>
  </si>
  <si>
    <t>…dió la vista, y entonc-s se retiró, tomando el mando de Jos miliron, manifestando una agria llena de sinceridad y agradec mici l .: su canos el teni. r t ¡i cabjiirría de Santiago D. Antonio D.-Jgado, que señor a salió , dió las eracia., y entonó los v.vas de costumbre. Volvie se ha c ■mportvjo de una maneta digna dei mayor elogio, fn seguida, ron despu-s por las calos cantando Intimos, y dando v.vas que acredi y ya que lo. fcc pai ,b&gt;n en r; ¡ r.da…</t>
  </si>
  <si>
    <t>D, Felipe</t>
  </si>
  <si>
    <t>Felipe D</t>
  </si>
  <si>
    <t>…ás quitecto hidráulico D. Josef Fornells, da acuerdo con el administrador ticas , de cualquiera clase y dignidad, que guarden y ha^an guardar, cum del Crédito público en es» citio D. Felipe D.ez Cerón , usada en plir y egecutar el presente decreto en todas sus partes. Tendreislo en 48,780 rs., subastada en primer remate en 43,85o , comparezca ante tendido para su cumplimiento, y dispondréis te imprima, publique y el Sr. alcalde constitucional de pr…</t>
  </si>
  <si>
    <t>D, Juan Antonio Lardizibal y</t>
  </si>
  <si>
    <t>Juan Antonio Lardizibal y D</t>
  </si>
  <si>
    <t>…a iH la* bandas reunidas de lo* dos in sin que lleve su merecido- _Ocese qu- se han rest.tuido lo* cab» lo* fames cuias y ia de Uranga se acercaron a ¡segur*, viniendo de h -cía á D. Juan Antonio Lardizibal y D h'. Zurbino, dos cabed-ro- de Cegama, y cntiaron por trea punto* en diebo pueblo. Eidieron de Segunde los tres á quien * d -umos dicho se los robó ¡a can*b*-. nt* pronto sao r* ioucS de pan , vino , y para d.ntio de una hora igual u'icmoi el motivo de esta pr…</t>
  </si>
  <si>
    <t>D, Julián</t>
  </si>
  <si>
    <t>Julián D</t>
  </si>
  <si>
    <t>…ctas de elección por el naufragio que Andalucía, de la Rosa y de Postas, y la única medianería con la casi sufrió el buque que las traía. Se acordó que pasasen estos documentos de D. Julián D&gt;az: su figura cuadrilátera regular, de ángulos rectos, y á Ja comisión de Poderes. en ella la superficie de 13,890 pies, tasada por dos arquitectos de la Se levantó la sesión á las tres y cuarto. academia de S. Fernando en la cantidad de 388,795 rs.; y su rei…</t>
  </si>
  <si>
    <t>D, Manuel</t>
  </si>
  <si>
    <t>Manuel D</t>
  </si>
  <si>
    <t>…zar á los fac- Apenas llegó aquí el día a a ia noticia de ia desgraciada muerte d;l i «¡osos en los escabrosos montes donde se han refugiado, dispuse regre- subteniente de Na.aira D. Manuel D.az, cuando ios demas utiwiaies sus y sarrn; í ene punto, como lo he verificado, á la una de esta tarde con el compañeros se alarmaron y quisieron pasar a Onnueia a vengarla : ta I sentimiento de que pot la poca fuerza de que se compone mi columna áulica nacion…</t>
  </si>
  <si>
    <t>D, Manuel Ezequiel</t>
  </si>
  <si>
    <t>Manuel Ezequiel D</t>
  </si>
  <si>
    <t>…. b. tnucfrs afr,. C'etas 3 tu mando con la marcialidad que le caracteriza; este y el capitán de de Ag.-sto de xSaa.sFcLpc Toiosana. =er. comandante genera, c-1 6.J Ex ir .-madura D. Manuel Ezequiel D.az me ayudaron á consumar esta cistr to." jornada por sus conocimientos topog.áticos y puntual egecucion de mis Coccluyt /.» relación Je los frimtro, y erjuiui// ayudantes ds la órdenes, que también condujeron á trrzos de una y otra arma. No pue da actha. do t…</t>
  </si>
  <si>
    <t>D, Pedro</t>
  </si>
  <si>
    <t>Pedro D</t>
  </si>
  <si>
    <t>…ue rl jura La diputación de los cinco Gremio* mayores de Madrid. D. Miguel mento se da por supuesto, y no se hace, ó si te verifica, es por medio de Perez, D. Alejandro del Bureo, D. Pedro D¡az , D. Josel Fermín Gil, fórmulas y ceremonias en que ninguna parte tienen los súbditos! ¡O D. D:e¿o del Rio, D. V.cente García Di z, D. Antonio de Lago, son lot de los Gobiernos representativos, en que todos lot ciudadano* D. l ab ,an de Mora y Santiago Sal…</t>
  </si>
  <si>
    <t>D, Ramón</t>
  </si>
  <si>
    <t>Ramón D</t>
  </si>
  <si>
    <t>….ta de 500 rs. vn. y pago de costas. En fin ae dice que acaso irá también Mr. Pasquier, surque sin comis.on, y soto por ot ras particulares. Personas muy bien instruida» creen que D. Ramón D.az, alférez de caballería retirado, vecino de Villaen Verona sa hallarán representados todos lo. ministerios y tedas las opi franca d. 10. l^at.ai.cros, en la Mancha , y residente en esta corte , i niones ; pero esto no quiere decir que sea en el Congreso. Cin…</t>
  </si>
  <si>
    <t>D, Tolnasi Manuela de Zaldo y</t>
  </si>
  <si>
    <t>Tolnasi Manuela de Zaldo y D</t>
  </si>
  <si>
    <t>…renta acordada, y les parará el perjuicio que haya lugar. Variedades. Habiéndose extraviado la escritura vitalicia mím. ^10, impuesta -r. il ncfcs’i; al y-pbr too por las vidas de Doña Tolnasi Manuela de Zaldo y D in i-j r.u . vi. JtC.tx'pXIA FU me A. Buenaventura Merino y Zaldo, del capital , en la que se ha ll* anotado el pago efectivo de la anualidad que se hito por la conta De las pequeñas proeiedaJes , par Mr. Crsiparm. duría dé reconocimiento del Crédito público…</t>
  </si>
  <si>
    <t>Dalman, Francisco</t>
  </si>
  <si>
    <t>Francisco Dalman</t>
  </si>
  <si>
    <t>…pnan D. Josef Muñoz , fuertemente contuso , á las compañías dt br ó otras columnas enemigas , que protegidas pot loo caballos poco granaderos y cazadores al mando de sus capitanes D. Francisco Dalman mas ó menos, te esperaban en contacto con las otras de la montaña, ¿en y ü. Antonio Ru z de Guzman, al teniente D. Domingo Angulo tonces reforzó el general á Gurrea con bigiienza, previniendo á su co con la primera compañía, al teniente coronel D. Josef Rodrí…</t>
  </si>
  <si>
    <t>Damian</t>
  </si>
  <si>
    <t>…de Alcántara 48; al de Espa Decreto de S. M. admitiendo la dimisión de D. Nicolás Garetly, y ña 41 i al.de ¡Cálatrara 46; al del Rey , primero de ligeros, 41; al de habilitando á D. Damian de la Sonta y á D-xantiago Usoz para que le Numancia., 9" dé id., 41. sustituyan en el Desjpcho de los ministerios de Gtacia y Justicia y Lo* individuó* que componian la brigada de carabinero* eran 10/,. Estada. (Gaceta del 2¿.j . . j saber: sargento* mayores…</t>
  </si>
  <si>
    <t>…cante la judicatura de primera instancia del partido de Trandi. Esta empresa se ha desempeñado ci.n todo acierto y exac Sigiienia , en la provincia de Guadalajara, por renuncia de D. Damian titud , y bajo todos aspectos s« recomienda á la atención de los aman ■íi.cocer. tes de ¡as buenas doctrinas. EN LA IMPRENTA NACIONAL.</t>
  </si>
  <si>
    <t>Damian, Adriano</t>
  </si>
  <si>
    <t>Adriano Damian</t>
  </si>
  <si>
    <t>…ñoles; la una sorpresa, reuní al coronel de artillería D. Jacobo Gil de Avalle misma historia imparcial eternizará vuestros nombres; la patr.a, honran y al comandante de coraceros D. Adriano Damian, y con acuerdo de do como debe í un beneméritos hijos, no olvidará jamas los relevan todos determinamos retirarnos i este punto, no obstante que los fac tes servicios queseabais de prestarla; y nosotros, que nos envanecemos ciosos lo habian verificado á la Ga…</t>
  </si>
  <si>
    <t>Damianjr, Gerónimo</t>
  </si>
  <si>
    <t>Gerónimo Damianjr</t>
  </si>
  <si>
    <t>…de su pe-son.i, y procedidose al sor del regimiento de Astúrias: á D. Andrés Albert, natural de Francia: teo de los nueve jueces de hecho;reunidos en las casas consistoriales el ¿ D. Gerónimo Damianjr, comandante del regimiento de caballería del dia 13 del corriente los Sres. D Jos f Sa-,,*»» , Soler, D. Francisco Rey, primero de coraceros ,yíD. Cayetano Ansiut. Arólas, D. Matías Sanmartín, D. Juan Bautista Antoni, D. Joaquín La comisión Eclesiástica, en v…</t>
  </si>
  <si>
    <t>Dan</t>
  </si>
  <si>
    <t>…robado. •&gt; Dios guarde é V. muchos afios. México Marzo la de i8ai. La misma, en vista de la solicitud de DoEa Ana Mar i Valdrmo-A las ti de la mañana. = Del Venadíto.sSr. teniente coronel Dan ros, soltera ¿ hija «fel consejero de hstado D. Maco Valdemotos , piAndrés Martínez.” (ir continuará.') diendo que no estando teña'ada la viudedad que correspondía á las viu das y huérfanas de ios consejeros ¿t Estado, se le sefialase una pensión CORTES. hast…</t>
  </si>
  <si>
    <t>Dan, Manuel de Gareaga y</t>
  </si>
  <si>
    <t>Manuel de Gareaga y Dan</t>
  </si>
  <si>
    <t>…cón, *f&gt;.'Canteo Benito del Valle, D. Manuel Velaaco, el- Lie. Don en el término de ocho dias , contados desde esta fecha, que por tercero Joaef Jorga Saenz, D. Pedro Perez, Lie. D. Manuel de Gareaga y Dan último y perentorio se les adíala, comparezcan á presentar sus instan Ignacio del Barrio, declararon por unanimidad haber lugar áforma cias en la forma qu* está anunciado ; en inteligencia de que pasado ción de cauta contra el autor del núm. 18 det Patriota r…</t>
  </si>
  <si>
    <t>Danubio, Manuel Garski</t>
  </si>
  <si>
    <t>Manuel Garski Danubio</t>
  </si>
  <si>
    <t>…defender el paso Bel Piuth, arruinar el territorio de la izquierda Gobernación declarando que Han sido gratos a las Cortes les servicios de la milicia nacional de Santiago y de su comandante D. Manuel Garski Danubio, hacerte fuertes en su derecha; y tal es el fanatismo da que están animados los turcos, que piensan hasta en hacer conquistas. cía Barro». (Gaceta del iS de id.) Decreto de i. M. nombrando vario* individuo* para la academiaTambién están armando otra escuadra…</t>
  </si>
  <si>
    <t>Dao, Josef Mor.no</t>
  </si>
  <si>
    <t>Josef Mor.no Dao</t>
  </si>
  <si>
    <t>…indirecto. He tenido la desazón de ser testigo de algunos acon el respeto que ante toda* cosa* deben tener a la* leves, y ei egemplo tecimientos desagradabas. El ¡lustre patriota D. Josef Mor.no Dao;z que deben aar a todo» de su puntual cumplimiento. Considerando en pereció á consecuencia de un insulto que le ocasionaron algunos del grande el estado de la Nación , vemos en unas partes divisiones v pu pueblo que entraron en su casa á pedule pólvora. Esta…</t>
  </si>
  <si>
    <t>Daoiz, Josefa</t>
  </si>
  <si>
    <t>Josefa Daoiz</t>
  </si>
  <si>
    <t>…de r.-ultas opinaba que este expediente pertenecía á la comisión de Premios. de las ocurrencias del y d; Setiembre pasó el Sr. secretario de la Go Otro relativo á la solicitud de Doña Josefa Daoiz, hermana del bernación de la Península con todos los antecedentes á la Diputación héroe del mismo apellido, pidiendo se le aumentase su pensión, y que permanente, opinaba que no arrojaba de sí mérito para exigir la res se le pague por la tesorería de correos.…</t>
  </si>
  <si>
    <t>Dardistrito, Antonio</t>
  </si>
  <si>
    <t>Antonio Dardistrito</t>
  </si>
  <si>
    <t>…ndancias subalternas de provincia correspondientes al undéd. Comandancias subalternas de provincia correspondientes al primer eno distrito. Para la de Cáceres al mariscal de campo D. Antonio Dardistrito. .\o deben proveerse con arreglo al decreto citado, por no ser court, gobernador de la plaza de Alburquerque. litorales ni fronterizas. Duodécimo distrito. Para comandante general de él al mariscal de Secundo distrito. Para comandante general de él, que se co…</t>
  </si>
  <si>
    <t>Daru</t>
  </si>
  <si>
    <t>…e Pasaget trangeros al ptíncipe de Talleirand, para el del Interior al duque de para que se hab.lite á aquel puerto por de depósito de primera clase. Decazes, para el de Guerra al conde Daru, y para el de Justicia al A la comisión de Caminos y Canales una exposición de D. Anto conde Mole. nio Valle, espitan de cuerpos francos en Cataluña, acompañando el De Odesa con fecha 9 de Febrero se sabe haber declarado el divan plan de una carretera que ter…</t>
  </si>
  <si>
    <t>Datan, Juan</t>
  </si>
  <si>
    <t>Juan Datan</t>
  </si>
  <si>
    <t>…ientos indican que ha sido completa la derrota. Frías, D. Antonio Va.dés, D Jo,;f Antonio Bernal y Perez. Uziere* Para ocultar al pueblo y i los Gobiernos extrangeros este descala D. Juan Datan , D- Bruno Fragoso, D Antonio Zarate, D. J.srf Vibro se ha usado de esta estratagema particular -. el ministro de Santa Fe llalon. Ayuda de cámara del Emperador y principe del imperio..... eserbió, con fecha de 3 de Mayo, á los gob madores de Cartagena y Gu-n…</t>
  </si>
  <si>
    <t>Dauner, Pablo</t>
  </si>
  <si>
    <t>Pablo Dauner</t>
  </si>
  <si>
    <t>…al en egeroscio digo boy lo siguiente: vemente herido de un pie, p el subteniente de la milicia de .a Jun » Los Sres. diputados secretarios de laa Corte* coa fecha de ao del quera D. Pablo Dauner contuto de un golpe de culata que ie dieron los corriente me dicen lo que sigue : Las Cortea se han enterado de la ins facciosos, p ademas un caballo de la Constitución herido. Los facetotancia que por la secretaría del cargo de V. E. se les devolvió, informa…</t>
  </si>
  <si>
    <t>Dáviia</t>
  </si>
  <si>
    <t>…ciudad, al escuadrón de caballería del Rey. El total de Veracruz. 7 dt liiátmirt. estos cuerpos ascenderá á cerca de 6400 infantes y 1400 caballos esco La conducta que observa el general Dáviia sosteniéndose en el cas gidos, cubriéndose con esta fuerza las provincias de Tarma y Huanca- tillo de S. Juan de Ulua hasta recibir órdenes terminantes de la corte, velica, y la subdelegaron de lea, y con el resto del a." batallón del es digna del mayor elogi…</t>
  </si>
  <si>
    <t>Dávila</t>
  </si>
  <si>
    <t>…ntazgo dé Hidra qué ie envíe una escuadrilla pan que sobre este asunte. cooperé donde convenga. Principalmente volverá á emprender el blo Se concedió la licencia que solicitaba el Sr. Dávila pare volverte á queo por mar de las principales plazas que te resisten todavía. Esta ex su país con objeto de restablecer su salud. pedición se hará pronto i la vela, poetto que ya no hay un buque de Las comisiones de Marina y Comercio presentaron su dictamen…</t>
  </si>
  <si>
    <t>Davila</t>
  </si>
  <si>
    <t>…a V. , acompañan por el Emperador, -&lt; qii -n di cuma de estas ocurrencias , y advinien do la ca'la de gracias que -e cita para que haga de cha el uso ei do que á mas de fai-ir el general Davila con semejante conducta á 1» vcAicnUi UDienuo yo i* isiuirscieu de ser el conducto por donde :lc- consideración que debe ai :mpeuo , causa gravísimos perjuicios á nues</t>
  </si>
  <si>
    <t>…la libertad Veracruz Octubre 14. El nuevo gobernador Sta. Ana envió comi ue asi los dispone í la piedad y á la práctica de las virtudes! Honor sionados al castillo proponiendo al Sr. Dávila que permitiese entrar en la villa de Dos Barrios, á su ayuntamiento , á su milicia y i su be al puerto los buques de guerra imperiales; que los fondeados en ál ó nemérito cura. La patria les da las gracias por medio de los valientes en bahía estuviesen sujeto…</t>
  </si>
  <si>
    <t>Dávila, Gómez</t>
  </si>
  <si>
    <t>Gómez Dávila</t>
  </si>
  <si>
    <t>…ts el papel titulado: Otro de un juro de 337,847 mrs. sobre la renta de naipes de Toledo, Otvrrmtiat que ha haii.ia aytr tu la Moncha &lt;¡re., como injurioso y despachad» á favor de D. Gómez Dávila , marques da Velada, en 18ca'umnioso, se reunió el jurado, compuesto de los Sres. siguientes: Don de Octubre da 1606__.Otro de un juro de 30,05 a mrs. sobre las alca-Valentín de Nicolás; D. Pió Santos; D. Juan Antonio López; D. Higi- balas de Ocaña á favor de…</t>
  </si>
  <si>
    <t>Dávila, Josef</t>
  </si>
  <si>
    <t>Josef Dávila</t>
  </si>
  <si>
    <t>…esta medida, mayormente cuando autoriza en algún Se mandó pasar á la comisión de Ultramar un oficio del teniente modo los escándalos, como me propongo probar; pero vamos i la ine general D. Josef Dávila, gobernador del castillo de S. Juan de Ulua, ficacia é insuficiencia de la visita general. dirigido á las Cortes por el Sr. secretario de Gracia y Justicia, dando Es indudable que la» Cortes pueden decretarla siempre que concur parte de que el consejero de Es…</t>
  </si>
  <si>
    <t>…maur , te ha servido conferirle el gobierno militar de la plaza de Vepudiesen adoptar con el debido conocimiento las reformas que se esti racruz , vacante por aalida del teniente general D. Josef Dávila , nom masen convenientes, y atender á sus respectivas necesidades en la for brando al propio tiempo á aquel gefe para que se encargue interina ma que se dispone en el titulo i.° de dicha ley. Antes de ponerse en mente de la capitanía general de Nueva-España ,…</t>
  </si>
  <si>
    <t>…robado. A la comisión de Piemios se pasaron dos cartas del gobernador «i* las que contestó el Sr. Callejón. El Sr. tíiiiasn apoyó la medida, man-fetando que el decreto de Veracruz D. Josef Dávila, digiridas al Sr. secretario de la Goberna ción de Ultramar, recomendando el mérito de la milicia nacional de las Cortes que se había dado sobre este mismo asunto no había sido bastante paia evitar ío que ahora se pret -nd&gt;a, pu s que se eludía la aquella Ciu…</t>
  </si>
  <si>
    <t>Dávila, Paseual</t>
  </si>
  <si>
    <t>Paseual Dávila</t>
  </si>
  <si>
    <t>…alla, plazuela de Sto. Domingo. Un sugeto, vecino de esta corte , s* ha examinado de maestro agri ANUNCIO*. mensor , con tu competente título , con arreglo á la Real orden de 3! A D. Paseual Dávila, conde de Ibangrande , se han extraviado y le de Julio del año último , el cual medirá y dividirá ios t rrenos. Cual corresponden iris juros siguientes: uno de 107,143 mrs., en cabeaa de quiera que lo necesite acudirá é la celia de b- Antón, casa dei bacmiau,…</t>
  </si>
  <si>
    <t>Dazdel, Antonio</t>
  </si>
  <si>
    <t>Antonio Dazdel</t>
  </si>
  <si>
    <t>…Migusl de Mendivil, D. Josef Rivcs Queraltó, Ascenso á presidente de él........................................................ aooo D. Marcos Izquierdo , D. Francisco Travesado, D. Antonio Dazdel Los honorarios deberán satisfacer lo mismo,, incluyéndose en el Moral, D. Josef Pió Santos, D. Pedro Matute, D. Miguel Hipa y pago de lo* grados anteriores, si no lo* hubiere satisfecho, por cgem- D B n.to Ortega Romanillo*. plo: Un juez de primera instancia á qu…</t>
  </si>
  <si>
    <t>DB, CORTES EXTRAORDINARIAS DEL AftO</t>
  </si>
  <si>
    <t>CORTES EXTRAORDINARIAS DEL AftO DB</t>
  </si>
  <si>
    <t>…acerca de los negocios da Castres i* di Entro. España. En ata villa de Cícera acabe de verificarse la restitución y apartur^ del colegio y estudia que en ella fundó en 1603 el R. obispo CORTES EXTRAORDINARIAS DEL AftO DB 181». D. García «la Galana; todo ello en consecuencia de Ral orden al in tento expedida por S. M., con revocación de otra, por la que a de ramiBUKCiA tuti ntox xn. cretó y realizó la traslecioa de dicho colegio y estudia á la ciudad do Caía en 1819. Sesión de…</t>
  </si>
  <si>
    <t>Débitos</t>
  </si>
  <si>
    <t>…pimienta de España, en cabeza de Gerónimo Gaoli , de loa en ei exrresado mes en todas las provincias de ia Península. cuales segregó é hizo venta de '4509 mrs. anuales á favor de Don Débitos que resultaron en fin de Abril............................ 41.18*,481..13 Pedro de Lupidana: otro de 113,091 mrs. sobre alcabalas de la ciu Pane que corresponde í Mayo según prorateo......... . 8-333,546»a9 dad de Cuenca, en cabeza de Doña G-rónima Ondegardo:…</t>
  </si>
  <si>
    <t>Décadas, Antonio Ma las</t>
  </si>
  <si>
    <t>Antonio Ma las Décadas</t>
  </si>
  <si>
    <t>…iego Clarlce. Para ia de Castellón al mariscal de campo barón Fia salido el 7.” número del 5.° trimestre (.4$ de la colección) de de Andida. Para la de Murcia al mariscal de campo D. Antonio Ma las Décadas de medicina y cirugía prácticas, el cual contiene: i.9 Con ría Peón. sideraciones prácticas sobre las afecciones gástricas con reflexiones sa Noveno distrito. Para comandante general de él, que se compone de bré estas mismas consideraciones. i.° La análisis d…</t>
  </si>
  <si>
    <t>Decae</t>
  </si>
  <si>
    <t>…n para que organice cuanto antes y definitivamente ei &gt; -ércid-bió haber acompasado á lo* presupuesto» para dar cumplimiento á lo lo * la Oiof. terac on germánica : se cree que el duque Decae » ira á que previene la ley fundamental en «su parte- Aprobado. Dinamarca, y ei barón Fa»quier á Italia con una ccn„.¡f.n iirportart-. La comisión de Hacienda , informando sobre varias proposiciones Gañí nuan ios ircend o» en les d parta mentó* del Seca, de '…</t>
  </si>
  <si>
    <t>Decio, Rafael</t>
  </si>
  <si>
    <t>Rafael Decio</t>
  </si>
  <si>
    <t>…Don Nota. En !a gaceta da anteayer , col. 1.*, lín. ia, donde dice baga Antonio Baiges, el teniente y subteniente de la séptima del primero jes , léase ee¡¡tipagts. de 'as mismas D. Rafael Decio, piamontes, y D. Francisco Camps, 19 Otra. En la gaceta del 24, col. 13, lío. 34 y siguientes, donde de tropa y ia contusos, un caballo muerto y 10 heridos. dice » que el coronel da Zamora habia notificado al Sr. obispo de aque » Los vándalos tuvieron mucha p…</t>
  </si>
  <si>
    <t>Declarado</t>
  </si>
  <si>
    <t>…resello. Léase el parte del gefe político, y se verá pues I: evitibt la intervención de manos extrañas en sus fondos. la situación en que se hallaba entonces aquel país, y que el intendente Declarado el punto suficientemente discutido, se desaprobó el artí no hubiera podido menos de ser responsable si hubiera acumulado una culo por 51 votos contra 43. cantidad de 15 millones de reales, y atraído por este medio 4 los fac Se leyó el dictamen de las comision…</t>
  </si>
  <si>
    <t>…os que no hubiesen tenido parte en dichos Para U cimi.ion esprc.al encargada de pre»enur ia p arta del triacuerdos. bui-.a: -»p-cia d: Guerra y Marina se nombzó a los Sres. Gómez ¿Don Declarado el punto suficientemente discutido, quedó aprobado el Usuui. ) y B rúan de L s. artículo. Ki p ts.ihat: anunció que mañana se continuarían las discu Art l5p. a I.OS gefes políticos presidirán con voto ia» diputacio sión.&gt; pen -reates ,y levantó la seaioo á la…</t>
  </si>
  <si>
    <t>Decreto</t>
  </si>
  <si>
    <t>…e 1810 , y en el siguiente de 1811 w le confirieron Ism empleos de troducción de carruajes. (Gaceta del 34 dt Abril.) teniente de Rey de la plaza de la Havana, cabo subalterno del capitán Decreto dj las Cortes, por el cual te toman algunas disposiciones gen:ral de la isla de Cuba, y subinspector de aquellas tropa*. Por esto* para evitar arbitrariedades en los abonos por averías de mercancías. servicios, su constante adhesión á la pattia, de que dió se…</t>
  </si>
  <si>
    <t>Decreto, Evaristo San</t>
  </si>
  <si>
    <t>Evaristo San Decreto</t>
  </si>
  <si>
    <t>…Cortes sobre los retiros de los empleados en las Martínez. (Gaceta dei 7.) secretarías da los gobiernos políticos. ( Gaceta del 4-) Decreto de S. M. nombrando ministro de Estado á D. Evaristo San Decreto de las Cortes sobre reducir los baldíos á propiedad particu Miguel. (Gaceta del 7 ) lar. (Gaceta del 8.") Decreto de S. M. nombrando ministro de Gracia p Justicie á Don Resolución de S. M. aprobando la compafiía de zapadores de mili Felipe Benicio Navarro. (G…</t>
  </si>
  <si>
    <t>Decreto, Fa</t>
  </si>
  <si>
    <t>Fa Decreto</t>
  </si>
  <si>
    <t>…iaciones en nos patticipa hallarse autoriztdo par el Excmo. Sr. D. Francisco Ba el ramo de loterías ( Gaceta del íj.) llesteros par* manifestar que el benemérito diputado en Corta D. Fa Decreto de las Cortes sobre la contribución de ayo millones para cundo Infante, primer ayudante del atado mayor, adema délos útiles *1 servicio público del próximo año económico. {Gaceta del 14.') é impotunres servicios que prestó k la causa de la Nación los dias que…</t>
  </si>
  <si>
    <t>Decreto, Francisco Travesa</t>
  </si>
  <si>
    <t>Francisco Travesa Decreto</t>
  </si>
  <si>
    <t>…rtes sobre las cargas de 1* renta de censo* lla miento debiera causarle perjuicio en su reputación. madas de justicia. (Garda del p.j Sres. que declararon absuclto dicho escrito : D. Francisco Travesa Decreto de las Cortes sobre derechos que te hsn de exigir por do , D. Valentín Nicolás, D. Carlos González Llanos, D- Juan Fer los Krales títu'os, presentaciones eclesiásticas y otros despachos que se nandez Casariego, D. Josef Rivcs Queraltó, D.liiginio Antonio Lló…</t>
  </si>
  <si>
    <t>Decreto, Ignacio López Pinto</t>
  </si>
  <si>
    <t>Ignacio López Pinto Decreto</t>
  </si>
  <si>
    <t>…nos &lt; Gaceta dtl IJ- ) del ao.) Decreto de las Cortes sobre.la nueva planta del establecimiento del Crédito público- (Gaceta del íj ) El espitan del cuerpo nacional de artillería D. Ignacio López Pinto Decreto de las Cortes, en que se establecen algunas variaciones en nos patticipa hallarse autoriztdo par el Excmo. Sr. D. Francisco Ba el ramo de loterías ( Gaceta del íj.) llesteros par* manifestar que el benemérito diputado en Corta D. Fa Decreto de las Cortes sobr…</t>
  </si>
  <si>
    <t>Decreto, Pedro Ma</t>
  </si>
  <si>
    <t>Pedro Ma Decreto</t>
  </si>
  <si>
    <t>…ncepto de subversión y sedicioso. Güicmacion dé la Península. Ea su vista te reunió el jurada , compuesto de :os i res itwifM-s: D. Dominio Fernandez Angu’o, D. Josef Larr-átegui, D. Pedro Ma Decreto de lar Corter en que se comprenden cinco de la* medí" tute, D. Andrea Alton, D- Joaquín Ro-z , D. G-spar Aaul.era, Don das aprobadas por las misma* para ocurrir al estado actual de la Na Isidoro de Moyos, D. Josef Anton o Ponzoa y D. Srnt a.o De'cado. ción. (…</t>
  </si>
  <si>
    <t>Dejoui, Pedro</t>
  </si>
  <si>
    <t>Pedro Dejoui</t>
  </si>
  <si>
    <t>…Cruz, Se concedió cairta de ciudadano á los individuos siguientes, según vecino de Alicante, el papel titulado Liberal Alicanti «, núm. 65, proponía la comisión de Legislación : A D. Pedro Dejoui, coronel por contener un artículo que trata de su pe-son.i, y procedidose al sor del regimiento de Astúrias: á D. Andrés Albert, natural de Francia: teo de los nueve jueces de hecho;reunidos en las casas consistoriales el ¿ D. Gerónimo Damianjr, comandante de…</t>
  </si>
  <si>
    <t>Delgado, Francisco</t>
  </si>
  <si>
    <t>Francisco Delgado</t>
  </si>
  <si>
    <t>Arandi 'por el ciudadano D. Francisco Delgado una carta inapta en el auto de sobreseimiento dado en ella por el juez de primera ¡altanera •1 núm. *51 del Imparcial como subersivi, se reunió ei )ura J.t&gt;, com de esta corte D. Martin de Pineda á 31 de Diciembre último sin coa puesto de lo» señóte» siguient…</t>
  </si>
  <si>
    <t>Delgado, Juan Ramón</t>
  </si>
  <si>
    <t>Juan Ramón Delgado</t>
  </si>
  <si>
    <t>…-vado, y el modo con que se ha con Elejad , herido. Cabo primero IX Francisco María Ortun , herido. Otro ducido en las últimas desgraciadas ocurrencias de la espita!. De esté idem D. Juan Ramón Delgado, contuso. IJ. IX Francisco Valero, modo se tranquilizaran sus individuos, y continuarán* gustoso* en el herido. Idem D. Josef Ay uso, contuso. Milicianos D. Antonio Enci- cumplimiento de sus deberes. Vicá'varo 11 de Julio de iSm.’’ s o, herido, D. Ramón líarr…</t>
  </si>
  <si>
    <t>Delgado, Pedro</t>
  </si>
  <si>
    <t>Pedro Delgado</t>
  </si>
  <si>
    <t>…de la orden de S. Agustín, é en los dias lunes, jueves y sábados desde cinco y media á siete ai cargo individuo de la academia de la Historia, jr al P. Fr. Josef de la Canal, «le D. Pedro Delgado, profesor de matemáticas puras en uno de lo indívidiio de la misma. Para la clase de ciencias fisicti y matemáticas colegios de esta corte. á D. Ramón Gil de la Cuadra, consejero honorario de-Estado, é indi viduo de la academia médica de cata corte; ¿ D. Jose…</t>
  </si>
  <si>
    <t>Delgado, Pedro Alvaro</t>
  </si>
  <si>
    <t>Pedro Alvaro Delgado</t>
  </si>
  <si>
    <t>…f Bardo, escássz de víveres.** Marques de Torrenueva, D. Aniceto Lizana, D. Andrea Alcon, Dos —•&gt; El marques de Casa-León , gafe político de la provincia de Vene Santiago Delgado, D. Pedro Alvaro Delgado, D. Josef Rives Qüszuela , desde Puerto-Cabello con fecha de 18 de Febrero dtoe que iba 4 anito. salir de aquella plaza una división para Valencia, con objeto de obrar , Reunido el jurado, y habida la conferencia, ae declaró por unani contra aquel punto de ac…</t>
  </si>
  <si>
    <t>…e nillos, Sr. D. Josef K yser, Sr. le. Marcos Izquierdo, Sr. D. Josef hacer efectivos los descubiertos que tanto necesita la Hacienda pública María Pu nte, Sr. D. Isidro Merino, y Sr. D. Pedro Alvaro Delgado. para satisfacer sus ind.spensablcs obligaciones, se ha servido conformar Habida la conferencia, declararon por unanimidad no haber lugar 4 se con lo que V. S. propone , mandándome ademas prevenir, tanto á la formación de causa. V. y., como 4 los demás que ti…</t>
  </si>
  <si>
    <t>…7; otra de 43,519 rs. y Faltaron su absolución los Sres. D. Juan Paz, D. Angel Bonal- 31 mrs. de réditos, núm. 4233, ambas 4 fsvor del hospital de San to, D. Josef Gómez Albacete, D. Pedro Alvaro Delgado y D. Joa Mateo de la ciudad de Sigüenza 1 otra de 2750 rs. de capital , número quín Manrique y Manrique. 3658, á favor de D. Miguel Mufioz; otra de 577 rs. y 17 mri. por Lo declararon sedicioso lo* Sres. D. Juan Antonio López, D. Sa rédaos, núm. 4234,4 favor de D. Silvestre…</t>
  </si>
  <si>
    <t>Delgado, Pedro Alvaro y</t>
  </si>
  <si>
    <t>Pedro Alvaro y Delgado</t>
  </si>
  <si>
    <t>…ncluida esta acción, que duró mas de tres horas, lla ría de Larnategui, D. Joaquín Lumbreras. O. Juan Pablo Pascual, mó purticuU’m nte mi atención la nenes dad de recoger nuestros D. Pedro Alvaro y Delgado y D. Manuel Esteban Candi. heridos , y habiéndolo verificado dispuse r-gresar con ellos h este pun Habida la conferencia declararon por unanimidad liáber lugar ¿ Ja to: en esta acción , s n disputa la mas reñida de cumtas hasta ahora ha formación de causa. tenido con los face os…</t>
  </si>
  <si>
    <t>Delgado, Santiago</t>
  </si>
  <si>
    <t>Santiago Delgado</t>
  </si>
  <si>
    <t>…los sacerdotes y maestros de latinidad, extractado y traducido del del corriente, «le 9 i a , i la casa nacional de moneda para hacer el que escribió el P. Santiago Bisombes, por D. Santiago Delgado, pres reconocimiento de los numerado* deade *1 1323 al ijjs, ambos in bítero. Se hallará eo la librería de Antoran__ Aforismos políticos , es clusive. critos en una de las lenguas del norte de la Europa por un filósofo, y traducidos al español por D. Juan Ant…</t>
  </si>
  <si>
    <t>…minoso que hasta ahora han sufrido, y debemos quín Huerta Cevallos, D. Andrés Navarro, D. Francisco Trarcsedo, procurar hacer conocer al pueblo las ventajas del sistema. No nos de D. Santiago Delgado, D. Manuel Gallego, D. Isidro Merino, Don tengamos para esto en un principio mal aplicado y equivocado. Las Cor Cárlos Romeral, D. Juau Labio Pascual, D Lino Campos, D. Josef tes , atendiendo á la utilidad pública, que es el único objeto del legis María Puent…</t>
  </si>
  <si>
    <t>…te asiento el sugeto ó de los señores siguientes : D Tomas María Zanon , D. Francisco Trasugetos á cuyo favor quedaren rematados presentarán en clase de fian- vesedo, D. Juan Paz, D. Santiago Delgado, D. Carlos Romeral , Don za un mes de existencias en tos almacenes de los artículos de que Andrés Navarro, D. Mamerto Landaburu, D. Isidro Merino y Don conste el suministro, Jos cuales deberán tener constantemente de re Francisco López Olabarrieta. Y habida l…</t>
  </si>
  <si>
    <t>…recido número de familias, en las cua compuesto de los señores siguientes: D. Gonzalo Cárdenas, D. Josef les se construye toda e*p*cie de tonelería con la misma y mayor per Radon, D. Santiago Delgado, D. Miguel Ripa, D. Juan Antonio fección que m el extrangero ■ y en cuanto 4 la prohibición del retorno Lop z, D. Joaquín Huerta Cerillos, D. Josef Gómez Albacete , Don de la nao onal que hubiese salido con caldos para el extrangero, no han Francisco López de…</t>
  </si>
  <si>
    <t>…detecho de D. Antonio Puigblanch, D. Cayetano Romero, D. Juan Pablo Pas intervenir en tus negocios interiores; lo primero porque no es justo, y cual , D. Josef Demetrio Rodríguez, D. Santiago Delgado, D. Fran lo segundo porque consideran cita máxima perjudicial de la interven' cisco Martínez Marina, D. Andrés Navarro , D. Domingo Fernan cion como un principio contrario á la paz de las ilaciones. dez Angulo y D. Francisco Colombo. Habida la conferencia , r…</t>
  </si>
  <si>
    <t>…io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Mes de Setiembre de iSea. lificaron con ln fórmula de absuelto la carta contenida en el Diario Acta del arqueo de dicha pagaduría cor…</t>
  </si>
  <si>
    <t>Delvado, Gaspar</t>
  </si>
  <si>
    <t>Gaspar Delvado</t>
  </si>
  <si>
    <t>…¡a qu - s- • rxpiluí a: dj-se que se le ha Ramos, D. Mariano Moreno. D. Aranasio Cuadros, D. Buenaven ba torced do a introduce.on cu ndo . ra encarnado de Negocios de tura Basas, D. Gaspar Delvado, D. Jactfco huno, D. Miguel Mnl“ius,a,se quejó el hr. Oifers de que se hiciese pública la suspensión de querra, D. Juan Bsutisu ¿abala, D. banuago Aiificz, D. Joscf Moa-</t>
  </si>
  <si>
    <t>Demarqay</t>
  </si>
  <si>
    <t>…ha he-hu de modo qu- n- -.a iuespecie de prevención propia del patriotismo en favor del Gobierno cil rvbal.rie, un embarco el ministro eslirziad.se por re,for. .•:r, francés. (El Sr. Demarqay : ;y la exposición de las Corles al Key i) ha dicho que el Gobie no‘ íran-e» ; ab a qu.-.co ro-p-ta- , y -o;-t r.cExcusándonos pues de contestar á vanas declamaciones , ¡qué uatircmos ria respirando la iad-p.njea.i3 de Espacio. Y&gt; huí. era o ,eav.’ -r de deci…</t>
  </si>
  <si>
    <t>Demetrio</t>
  </si>
  <si>
    <t>…ó te rep l ete la lectura del acuerdo sobre la instrucción Infantería. Pirineos orientales: tg batallones de los regimientos 7, particular que debe darse al Sr. diputado en Cortes D. Demetrio 19 y 31 de Unen, 7677 ligeros: fuerza 6990 hombres. O-Dali , para que le sirva de base en las secciones de legislatura de Natboaa: a batallones del 10 ligero , i9. América que se tratan de establecer , 7 habiéndose enterado de-su con Nitnes: • batallones del…</t>
  </si>
  <si>
    <t>…3 balas de cañón. En otra aldea , l1 amada Midan' , hallaron t-mbieis dad, donde no irá S. M. hasta el otoño, en cuya época deben convo un gran nútnrro de escritos y proclamas del príncipe Demetrio irnancarse la Dieta polaca. Se dice que el Emperador ha llegada i Witepsk, ti , entre otras una en que exhortaba á los mi radores del mor.tr O.imacompañado de un numeroso estado mayor y de dos ministros. po a mantenerse firmes, y á resistir á todo» ¡os ataque…</t>
  </si>
  <si>
    <t>…gefes del ejército de los helenos, los cuales han nombrado otro, cuyos » Dios guarde á V. S. muchos aros. Borja 14de Octubre de 1822. principales individuos son Maurocoidato y el príncipe Demetrio lp- Josef S. Gil.mbr. gefe político de la provincia de Zaragoza.” tilanti.” Parte que se cita en el anterior oficio del alcalde constitucional de B 'ja NOTICIAS DE ESPAÑA. se E día 11 de los corrientes con noticia que dió la midca volunta ria de Ainzon á la d…</t>
  </si>
  <si>
    <t>Demetrio, Josef</t>
  </si>
  <si>
    <t>Josef Demetrio</t>
  </si>
  <si>
    <t>…a Joaquín Huerta Cerillos, D. Manuel Mermo, D. And re. Martínez ber una equivocación acerca da esto , pues el qne escribe está autoriza Oriniga, D. Lino Campos, D. Carlos Romeral, D. Josef Demetrio do 4 expedir los rescript a de secularización pora las monjas basta todo Rodríguez, D. Josef Radon, D. Isidro Merino. cl mes de Junio, y por tanto no puede haber rehusado recibir ninguna Habida la conferencia se declaró por unanimidad no haber lugar A de las…</t>
  </si>
  <si>
    <t>Dendenh, An</t>
  </si>
  <si>
    <t>An Dendenh</t>
  </si>
  <si>
    <t>…rados reducido* á tiempo, á neón de cerca de 71 afioe por grado, ao «larán mea qu 1149 afio» de antigüedad al zodiaco de El profesor de agricultura del museo de ciencias naturales D. An Dendenh hasta el tiempo en qu Bayer sacó el dibujo de lee mas an tonio Sandalio «le Arias dará principio á sus lecciones en el jardín bo tiguos , en el cussl estaba tomprendido este: añadiendo Im «fas sigloe tánico «le esta corte el «lie 8 de Enero de »8» a á la* cua…</t>
  </si>
  <si>
    <t>Denia, Isidro López</t>
  </si>
  <si>
    <t>Isidro López Denia</t>
  </si>
  <si>
    <t>…ía voluntados de Castilla , con 57a ra. sor de matemáticas del colegio militar de Santiago, con $70 rs. Ciudad-Real al cap tan D. Joaquín Ladrón de Guevara, teniente S. Clemente á D. Isidro López Denia, teniente del batal'on ligero del regimiento infantería de \frics, con ¡70 ra. voluntarios de Tarragona , con 570 rs. Córdoba á D. Félix Rodríguez, teniente del regimiento infantería Sigüenza á D- Manuel Peña Espiga , teniente de infantería y del de Galicia,…</t>
  </si>
  <si>
    <t>Denné, Felipe</t>
  </si>
  <si>
    <t>Felipe Denné</t>
  </si>
  <si>
    <t>…puestos á promoverlo Miguel Maj -ra se !&gt;a celebrado un juicio de conciliación entre D. Ma con todas sus fuerzas. Cuando el patriotismo se halla unido en las al nuel Díaz Moreno y D. Felipe Denné, hijo , por hab.-r anunciado este mas con ciertas prendas felices y calidades sobresalientes, resulta el último en un catálogo de l.broa españoles , y vendido públicamente heroísmo verdadero, fuente inagotable de acciones grandes y extraordi una obra fraudule…</t>
  </si>
  <si>
    <t>Dereiie, Francisco</t>
  </si>
  <si>
    <t>Francisco Dereiie</t>
  </si>
  <si>
    <t>…itud si no se au aprobado. mentaba el presupuesto de loa to millones destinados á este fin. Art. 2.a v Que en esta aplicación están comprendidas todas las mi Se concedió permiso á D. Francisco Dereiie, jmz electo de pri nas perienscientes al estado deque este te halla en posesión, exceptúanmen instancia del partido de Redondcia , en Galicia, para que pudie do la» de propiedad particular, las que con arreglo al citado decreto se prestar el juramento ante el…</t>
  </si>
  <si>
    <t>Desaix</t>
  </si>
  <si>
    <t>…lar: perior del lado izquierdo del segundo pórtico del templo de Demepara el 4.0 á D. Juan Josef Cancela, por dos Ojos y tres cabezas, le en rah. El primero que lo advirtió fue el general Desaix; y habiendo o tregó otro estuche de tercer orden y dos láminas: para el aeeeiit al se manifestado á los sabios que iban en la expedición, le miraron estos co gundo premio mayor á D.Josef Perez, por la perfecta egecucion de una mo un objeto digno de su atenció…</t>
  </si>
  <si>
    <t>Despacho, Ro</t>
  </si>
  <si>
    <t>Ro Despacho</t>
  </si>
  <si>
    <t>…tes que ha recibido no encuentra ocurrencias parti Puede estar seguro el Sr. Rico de que los actuales secretarios del culares en Sevilla. En cuanto á las prisiones de que habla el Sr. Ro Despacho han manifestado con la mayor franqueza el estado de las pro- mero son efecto de providencias del poder judicial; y al secretario de vincas v los males que las atligen; por consiguiente los secretarios del la Gobernación no le toca ni tiene facultades para imp…</t>
  </si>
  <si>
    <t>Despímois</t>
  </si>
  <si>
    <t>…y Cuartel general de Nantes y de Febrero de 181a. El teniente gene» la mejora que lia habido en las rentas procedentes de las impor ral comandante de la duodécima división militar conde Despímois. taciones y derechos de tonelada, indican una mudanza favorable en __Un periódico de esta capital hace las reflexiones siguientes: el estajo de la nación, de la que se puede esperar un aumenro i &gt;e deberá dejar 4 cargo de la Rusia el cuidado exclusivo de arre…</t>
  </si>
  <si>
    <t>Despinois</t>
  </si>
  <si>
    <t>…rarse, dos 25 militares de diversas guarniciones. Nada se sabe de positivo so de manera que se les dé un tiempo oportuno á los electos para concur bre este particular. El teniente general Despinois, comandante de la rir 4 las juntas de provincia en el dia designado. duodécima división militar, ha salido de Nantescon dirección 4aque 3/ » Asi para arreglar la concurrencia de los electores de los parti lla ciudad.” dos que se hallasen en el caso prevenido…</t>
  </si>
  <si>
    <t>Despinoy</t>
  </si>
  <si>
    <t>…ntentasen perturbarla prorumpiendo en invectivas contra los testigos que están bajo la salvaguardia de Ja ley , que debe INGLATERRA» protegerlos completamente. El teniente gcacial conde Despinoy ha acu Lóndres 18 de Junio. dido donde quiera que su presencia ha podido ser necesaria , después de El «t le diicutiri por segunda vez el bilí en favor de los católicos ea haber situado vanos destacamentos de la gendarmería, dei t,. ligero y la Cámara alta; y…</t>
  </si>
  <si>
    <t>Detnamy</t>
  </si>
  <si>
    <t>tura siguiente: » Lo* misionero* habían empezado su predicación, jr de los Diputados; j Mr. Corcelles y el general Detnamy hicieron U por toda* partes acudían los fieles á oír la palabra de Dios i mas por relación de lo que les había sucedido: al primero le dieron un «»u1Ta desgracia hay hombres que llevan la impiedad hasta el extremo, y ayer sin que le resultase daSo alguno Hubo…</t>
  </si>
  <si>
    <t>Deux, Juan Ignacio</t>
  </si>
  <si>
    <t>Juan Ignacio Deux</t>
  </si>
  <si>
    <t>…ón ; y 3.'’ el de los que tenga por otra de 29 de Abril último, se cita , llama y emplaza á los parien recibidos para su liquidación y reconocimiento: id dentro de los ocho tes de D. Juan Ignacio Deux , para que en el término de 30 dias se días primeros de Julio próximo publicará otros tres resúmenes iguales presenten en dicho juzgado, y por la escribanía de D. Juan Josef que comprendan hasta el 30de Junio, en qu: concluye el término nn- Mauleon y Vela, á…</t>
  </si>
  <si>
    <t>Dias, Antonio</t>
  </si>
  <si>
    <t>Antonio Dias</t>
  </si>
  <si>
    <t>…no lugar á la íu.macón de causa, y saíieion los señora siguientes: Por carta del mismo general Latorre, escrita en. Coro en 14 de Ene D. Josef Demetrio Rodríguez, D. Josef K.iitr, D. Antonio Dias ro último, se sabe que dicho general, después de haber mandado salir del Moral, D.Carlos Romeral, D. Mamerto Landaburu , D. Francisco de Puerto Cabello varias expediciones contra loa disidentes de Coste- Martínez Marina, D. Simón Gonza’e, Vusté, D. Andrés Alc…</t>
  </si>
  <si>
    <t>Díaz, Angel Sañchcz</t>
  </si>
  <si>
    <t>Angel Sañchcz Díaz</t>
  </si>
  <si>
    <t>…e arbitrio destinado al efecto. Se remitirán loa memoriales al ayunta ra lat urgencias de Is república; tiene facultades de venderlas á na miento constitucional , y se dirigirán á D. Angel Sañchcz Díaz, alcal turales del país , y á extranjeros qne se establezcan en él con el desig de primero presidente; en la inteligencia qus dicha plaza deberá ser pro nio de adquirir el derecho de ciudadanía; ha vendido algunas, y poco vista é lot dos mese* siguiente* ai d…</t>
  </si>
  <si>
    <t>Díaz, Antonio</t>
  </si>
  <si>
    <t>Antonio Díaz</t>
  </si>
  <si>
    <t>…bida la conferencia y procediéndose á la votación, los Sres. Don calle Ancha de S. Bernardo , casa núm. 4, cuarto principal, junto al Joaquín Huerta C-vallos, O. Bernardo Asenjo , D. Antonio Díaz del convento del Rosario, quien dará una gratificación por el hallazgo. Moral y D. Ramón Llor declararon no haber lugar á la formtc;on El aviso de la junta diocesana de Otma , que se publicó en la gace de cansa , y los Sr-s. D. Angal Bonalto, D. Martin Zarand…</t>
  </si>
  <si>
    <t>Díaz, D- Jisen Gómez y</t>
  </si>
  <si>
    <t>D- Jisen Gómez y Díaz</t>
  </si>
  <si>
    <t>…é la guardia contra el concurso de D. Manuel Antonio Prieto Portocarrero , y en de le barca y de la circel de Villa , cuya suma tuerza ara de un sargen virtud «le providencia del Sr. D- Jisen Gómez y Díaz, ministro togado to , 3 cabos y 18 soldado*, con uno de lot cuales me remitió Ba honorario, juez de primera instancia en esta muy heróica vilia , se ha tiere* un oficio, en el que me amonestaba, asegurándome de mi liber señalarlo para la celebración de una ju…</t>
  </si>
  <si>
    <t>Díaz, Josef María</t>
  </si>
  <si>
    <t>Josef María Díaz</t>
  </si>
  <si>
    <t>…nto de los que componían n Excmo. Sr.: Enterado el Rey por la exposición de V. E. de 30 el min surto anterior á la revolución de 6 de Julio, como de los del de Marzo ú'timo de que D. Josef María Díaz, oficial 5.° de fa con partido moderado del Parlamento con quienes se acordó el manifiesto taduría principal de la provincia de Málaga, y actualmente contador de 8 de Diciembre. Es bien sabido que en este manifiesto se prometían interino del partido de Maibel…</t>
  </si>
  <si>
    <t>Diaz, Juan</t>
  </si>
  <si>
    <t>Juan Diaz</t>
  </si>
  <si>
    <t>…rreglo promovido por D. Joscf Martínez, vecino de esta corte , para que te exi del clero y competente dotación de la» iglesias para los gastos del culto giese la responsabilidad á D. Juan Diaz, juez de primera instancia de la hayan provisto las Corte* á este objeto tan importante. .misma, opinaba que no hallándose este expediente suficientemente ins El Sr. Falcó dijo que aunque convenía en que se prohibiese hacer truido debia pasar al Gobierno á fi…</t>
  </si>
  <si>
    <t>Díaz, Juan Gemir y</t>
  </si>
  <si>
    <t>Juan Gemir y Díaz</t>
  </si>
  <si>
    <t>…bsoluta haberlo prestado cia de 8 del pasado me* de Noviembre del Sr. ju:z de primera ins en campaña ó guarnición de plaza, con mas el abono que lea correspon tancia de esta corta D. Juan Gemir y Díaz , te ba mancado que res da por el citado Real decreto de ao de Abril de 1815 y Real ordan pecto de haberse practidado repetida»diügenc as en busca de D. Ramón aclaratoria, por el tiempo de campafia en la última gueru con los San*, administrador judicial de do…</t>
  </si>
  <si>
    <t>Díaz, Juan Gómez</t>
  </si>
  <si>
    <t>Juan Gómez Díaz</t>
  </si>
  <si>
    <t>…ae aa crea con derecho á dicho» bienes acuda anta d referido tetar juez d día y hora estalada. Lm Sres. diputados secretarios da las Cortes con lecha de 14 da aa* Pm pmvideocía dd Sr. D. Juan Gómez Díaz, juez da priman te mea me dicen lo siguiente: instancia da arta corta , ra cita y emplaza á lm que aa crean con detecho ■ Las Cortea te han servido declarar que la resolución que comunicar 4 ba bienes quedados por d presunto fallecimiento dd Sr. D. Ras moa a…</t>
  </si>
  <si>
    <t>Díaz, Juan Gómez y</t>
  </si>
  <si>
    <t>Juan Gómez y Díaz</t>
  </si>
  <si>
    <t>…la Real mano.=En Palacio i 17 de Febrero de 1822. s A Don y heredera de D. Miguel Azpiroz, vecinos que fueron de esta corte, Luis Sorda. en el juzgado de primera instancia delSr. D. Juan Gómez y Díaz,y es criban! . del cartulario D. Manuel López de Riras, que despacha por La junta de gobierno del banco nacional de S. Carlos, en virtud habilitación D- Juan de la Peña Martínez, á instancia de los testamen del capitulo 19 de la Real cédula de erección , y de…</t>
  </si>
  <si>
    <t>…e ha viembre del año próximo pasado, se halla radicada su testamentaria en hecho cargo de que los empleados de un sueldo mas limitado que el de el juzgado de primera instancia del Sr. D. Juan Gómez y Díaz, y es 43 rs. tienen que hacer frente á sus obligaciones con Un corta asigna* cribanía canutaría que despacha por habilitación D. Juan de la Peña cion, y no conviene estrecharles mas. Martínez. Consiguientemente é Instancia de los testamentarios de aque El Sr.…</t>
  </si>
  <si>
    <t>…e y Pamblcy. no se atribuye al mal espíritu de sus habitantes: ao asi en Lucen*, TKtSVXAIXS. donde parece que los malos ó eran en mayor número, ó por su osadía Por providencia del Sr. D. Juan Gómez y Díaz, ministro honora habían intimidado é los buenos. En Córdoba se decia que en Moron, rio de la audiencia territorial, y juez de primera instancia de esta vi provincia de Sevilla , ha entrado un faccioso y quitado le lápida de la lla , refrendada del escribano d…</t>
  </si>
  <si>
    <t>Díaz, Luis</t>
  </si>
  <si>
    <t>Luis Díaz</t>
  </si>
  <si>
    <t>…encido de que la pri hermanos, y sostenidos por la partida de los valientes coraceros 4 las mera obligación de todo buen español es prestarse gustoso á cuantos órdenes del alférez D. Luis Díaz, otro He Pavía y la pequeña escuadra sacrificios exija el bien de su patria; y si por otra parte , testigo y ad de milicianos , atacaron con tal denuedo al enemigo, que no solamen mirador d; vuestra ilustración, cordura y patriotismo, no debiese es te se cons…</t>
  </si>
  <si>
    <t>Díaz, Manuel</t>
  </si>
  <si>
    <t>Manuel Díaz</t>
  </si>
  <si>
    <t>…de este pre — Eremos, brea.: Tan luego como rec.b. ia noticia de ia desgracía cioso título , fijaron la vista en aquellos apóstoles de la discordia , y gi la muerte eí subteniente D. Manuel Díaz , y de los demas incidentes miendo en silencio por los males que propasaban sus máximas veneno que decían haberla acompañado , me puse en marcha para la ciudad do sas, llegaron en fin i convencerse de que en la clase respetable consa Ónhuela por si nuestra le…</t>
  </si>
  <si>
    <t>Díaz, Manuel Sánchez</t>
  </si>
  <si>
    <t>Manuel Sánchez Díaz</t>
  </si>
  <si>
    <t>…ranada, con 610 reales prevenidas en los decretos de las Cortes y órdenes del Gobierno, pre al mes. senten sus instancias en este departamento en el preciso término de 30 Motril i D. Manuel Sánchez Díaz, ayudante del batallón de la dias, contados desde la fecha de su publicación en la gaceta; en el con milicia activa de Laredo, con 670 rs. al mes. cepto de que el sueldo anual es de 1579 pesos regulados por un quin Madrid á D. Joaquín Fontanelas, segundo ayud…</t>
  </si>
  <si>
    <t>Díaz, Pedro Antonio</t>
  </si>
  <si>
    <t>Pedro Antonio Díaz</t>
  </si>
  <si>
    <t>…notorias las ocurrencias últimas con motivo al 2010, ambos inclusive. de estos desórdenes. Asimismo hizo varias observaciones sobre que de sota. Habiéndose llevado equivocadamente D. Pedro Antonio Díaz, ningún modo era un impedimento el que estos casos estuviesen ya pre al tiempo de entregarle en la casa Nacional de Madrid el impone de Ico vistos en el código penal. medios luisa que presentó al resello, un billete de indemnización que El Sr. Navas dijo que…</t>
  </si>
  <si>
    <t>Díaz, Vicente García</t>
  </si>
  <si>
    <t>Vicente García Díaz</t>
  </si>
  <si>
    <t>…ria, rateros y estafadores para plazas de jueces letrados de partido en esta forma: para el de la Co Obra histérica, graciosa y muy á propósito para librarse de las artería rona á D. Vicente García Díaz: para el del Ferrol 4 D. Manuel Anto y refinada maldad de los muchos picaros de que abunda la sociedad, tra nio Saavedra: para el de Orense á D. Juan Meruéndano-. para el de ducida de la quinta edición del francés a\ castellano, aumentada por Mondoñedo 4 D- H…</t>
  </si>
  <si>
    <t>Dicho</t>
  </si>
  <si>
    <t>…nel Cerillo* envolverlos como se proponía , por haber interceptado lo* Se continuó la última revista de la Constitución sin que apenas té mismos facciosos un aviso de este i aquel comandante Dicho t menta hiciesen variaciones. coronel Ceval los se hillaba el 8 con su columna en Calanda en reipcica E Congreso decidió que la comisión de Constitución y la de Re con el coronel Barrena y el comandante Tolosana , cuya co¡ enana , des dice on de leyes acabase…</t>
  </si>
  <si>
    <t>Diciembre, Marcial de</t>
  </si>
  <si>
    <t>Marcial de Diciembre</t>
  </si>
  <si>
    <t>…ademias Espa&amp;ola y de la Historia, secretario da esta, tas; dándome cuenta de las proposiciones que se presenten. Madrid 18 honorario de la de S. Fernando, y diputado en Cortes; á D. Marcial de Diciembre de 18a 1.3 Antonio Alonso. Antonio López, de la academia de la Historia, y diputado en Cortés; á D. Francisco de Sales Andrés, colectar general de Espolios, y acadé mico supernumerario de la academia Espafiola; á D. Antonio Siles, En el Ateneo etpafiol se hac…</t>
  </si>
  <si>
    <t>Dictamen, Juan Gonzá</t>
  </si>
  <si>
    <t>Juan Gonzá Dictamen</t>
  </si>
  <si>
    <t>…es de hecho D. Francisco dt Paula Castro y Gómez, Don calle de los Gitanos , núm. 11, cuarto principal, en que recibirá merced. Martin Fernandez Elias , D. Jotcf Marta Villaranda, D. Juan Gonzá Dictamen sobre los diezmos por D. Antonio Josef Huiz de Pa lez, D. Manuel de la Puente y Aranguren, D. V¡cante Sánchez Car- drón. Se hallará en la librería de Miyar, y en Cádiz en la de Zaragoza quero , D. Miguel del Pino y López han declarado no haber lugar 4 la 4 t…</t>
  </si>
  <si>
    <t>Didot</t>
  </si>
  <si>
    <t>…ucta y empleos, formán de las de maderas. Igualmente posee el secreto de la tinta de imprenta dose al efecto dos expedientes separados, recayendo sobre el primero inventada por el Sr. Didot, qus se he hecho tan apreciable por los im decreto del enmendante general con acuerdo de asesor, en que te decla presora» , que la prefieren á las densas , y sobra la cual haré ajuste» á pre re 10 que haya lugar conforme al mérito de lo actuado, lo cual se co…</t>
  </si>
  <si>
    <t>Die</t>
  </si>
  <si>
    <t>…al de esta villa, por D. Gaspar López Pintado, •e ha" servido resolver que se prohíba la entrada de toda vasijería da comandante del regimiento caballería de España , en nombre de D. Die madera ds fábrica exrrtngera, en atencon 4 que en todo* los puertos go de Lerma, teniente coronel del mismo cuerpo, un artículo inserto en de mar donde se embarcan caldos, asi como en los pueblos interiores el Telégrafo ,núm. 30 ,que empieza Jumilla a de Juni…</t>
  </si>
  <si>
    <t>Diebinch</t>
  </si>
  <si>
    <t>…ferencia para quedar sin duda de acuerdo sobre las futuras operacio Idem ai dt Enero. Con respecto 4 Costa-firme corre lo siguiente: nes de la campaña, ti gefe del estado mayor el general Diebinch , que » El general Latorte se dirigió por mar de Puerto-Cabello i Coro; y des fue llamado últimamente á Petersburgo, ha vuelto desde aquella capt- embarcando á sotavento reforzó 500 hombres que llevaba, surtiendo .tal i Besarabia con instrucciones recibidas d…</t>
  </si>
  <si>
    <t>Diego</t>
  </si>
  <si>
    <t>…y Senes, D. Manuel García, D. Eulogio López, D. Cirios de escultura: el planisferio ocupaba la parte del techo que a¡ entrar se Esteves, D. Josef Moreno Montea, D. Josef Armada», D. Diego encuentra á la mano izquierda, y á la derecha había ct¡os adorno, de Mosquera, D. Domingo Sancha , D. Félix de la Riba , D. Jacobo So* menos importancia. El centro lo ocupaba una fi.ura de muger, 1 Ir bregra , D. Ramón Capóles, D. Josef Marín Quiroga , D. Ant…</t>
  </si>
  <si>
    <t>…re*. dipu n Por resolución de 18 de Junio del afio último acordaron laa Cor tados. Asi se verificó. tes, i propuesta del Gobierno, que el tesorero general de la Nación As tib ias. D. Diego de la Vega, D. Agustín Arguelles. La comi D. Antonio Martínez continuara en el ejercicio de sus funciones por sión opinaba que debían aprobarte estos poderes, devolviéndolos para todo el tiempo en que su compafiero D. Juan Antonio Yandiola se ha que se legili…</t>
  </si>
  <si>
    <t>…stantes entre los Sres. Becerra, Viliaboa , Romero, Lisboa 14 de Febrero. Marchámalo, García, Domenech y Ladrón de Guevara. Sesión de CoaUt Jet xa. Después lo fue el Sr. González (D. Diego) por 84 votos de 111, Cata sesión se empleó toda en oir los dictámenes de la* comisione* repartiéndose los restantes entre los Sres. Becerra, Henriquez, Villasobra varios expedientes de asunto» particulares que se le* habían pasado. boa, Marchámalo, Cid, Vill…</t>
  </si>
  <si>
    <t>…El ;r. D. Pablo Santaíe, diputado .Se nombró á los Sres. Nuñez, Ruiz de la Vega, Becerra, Meló y por la provincia de Aragoo, ejercerá en di.ho tribunal ¡a» funciones de González ( D. Diego) para ia comisión especial que ha de examinar flaca'.” Madrid 6 de Marzo de 1822. las proposiciones dirigidas á que se nombre una visita de tribunales. Por tanto mandamos á todos los tribunales , justicias , gefes, gober El Sr. Arguelles indicó que para corta…</t>
  </si>
  <si>
    <t>…Churschid, poniéndole en una situación muy de Ultramar; y atendiendo á la enlernaedad que padece, hab a tenido apurada. i bien relevarle de dicho encargo , y nombrar en su lugar á D. Diego En Odesa no se dudaba de que la paz entre la Turquía y la Persia Clemencia, gefe de sección de la secretaria de la Gobernación de la era una ficción; y i lo menos se sabia que continuaban la, hostilidades, Península. Las Cortes quedaron enteradas. sin estar seguros de…</t>
  </si>
  <si>
    <t>…U cau&gt;a del general Renovales, do de honrar ia memoria d: ¡os m.rt re, i’adil a , Maldecido i Fui ; se le concediese una pensión para atender á su subsistencia, opinaba y otra de D. Diego de la Vega, coronel del rcgim..r.o de d.EUb. i,</t>
  </si>
  <si>
    <t>…os visitadores de causes i los Sres. Nuficz ( O. Toribio) , Rutz de ceda á L&gt;. Manuel Portero, administrador de rentas que fue de Caste la Vega , Gómez Becerra, Romero, González ( D. Diego), bsnebez llón de la Piaña, la gracia que habia aoiiciudo de capitalizar el suel (D- Juan Jotef), Kubinat, Gsrtejon y Sotos. do de 400 ducados que disfrutaba. Igualmente se nombró pare la comisión de Diputaciones provincia La comisión de Hacienda, informando…</t>
  </si>
  <si>
    <t>…le ciudad de Sevilla los jueces de hecho D. Josef Ma 1823 cesarán los ttei alcaldes y dos síndicos actuales, y lambí» lo* ría Tige, D. Josef Mafia Domínguez, D. Leandro Pallares, D. Diego regidores que hayan servido dos afios. Para saber los regidores que de Ovando, D Francisco de Paula Méndez, D. Ciríaco Clavero, D. Joa entre los otros deberán continuar con los nuevamente nombrados se quín Medina, D. Diego Fernandez Mufioz y D. Francisco Mont…</t>
  </si>
  <si>
    <t>…an sisas del vino y vinagre , aceite y carnes del partido de Salamanca y su mi-ncionados, comprendiendo en el de cada provincia todos los pue provincia, en cabeza de los indicados D. Diego y D. Bernardo de Car blo* de que constaba antes de la citada nueva división territorial. vajal__Otro de 5009 mrs., situado en las sisas de los 83 soldados de Otra. Asimismo se hace notorio que no habiéndose presentado la ciudad de Toro y su provincia, en cabeza de Doña Mayor de R…</t>
  </si>
  <si>
    <t>…, juran ante lasaras de la patria defenderla de lo* enemigos propios y extraños con el denuedo , constancia y valentía que r&gt; Accediendo á las repetidas instancias que me ha hecho D. Diego lo han hecho ios heroicos milicianos madrileño*. Valencia 14 de Juno Clemencia para que le exonere del encargo de secretario de Estado y del de i8íi.” (Siguen las firmas.) Despacho de la Gobernación de Ultramar, he venido en admitirle la renuncia que hace de…</t>
  </si>
  <si>
    <t>…da con ................................................... 40,000. esta secretaría. Interventor D. Manuel Batalon, auxiliar de esta secro- Al inúndente del depattamento del Ferrol D. Diego de la Vega por Guadalajari interventor D. Claudio Alonso, escribiente del archi la parte de .paga que percibe aqui, jr vo de la seciciaría del Despacho de Hacienda de Ultramar. pertenece i los mese* de Mayo y Junio. £,000. Murcia interventor D. Tomas Pefia, o…</t>
  </si>
  <si>
    <t>…s-dDuli había dirigido una no mientras por la izquierda lo verificó otra igual ó mayor fuerza a .as ta de la mayor importancia á los ministros de Inglaterra y Austria, órdenes del brigadier D. Diego de la Vega, coronel del regirm nto cuyo contenido era tal, que pondría fin á la incertidumbrc que reiqa de Cantabria. A una hora de Tortoaa empezamos á encontrar obst cu tanto tiempo há sobre los asuntos del Oriente. los en el camino, formidos por abatida* de…</t>
  </si>
  <si>
    <t>…, y Idem 18__Tucuman. D. Bernabé de Araoz se manun a en su ha al grito de v'va la Constitución, treparon , amias á discreción , 1 ¡a altura cienda de campo con fu-rza reunida , y D. Diego dentro de la ciudad las dos columna» de Castilla y zapadores , en tanto que U de Ordenes con la que capitanea. Quedaban en elección:? de gobernador propi.u- militares cero vía la posición por ia izquierda; lo» facciosos corrieron rio, y añaden los que escribe…</t>
  </si>
  <si>
    <t>…ela general con las rentas de este y las de las funda ran nuestra libertad contra las maquinaciones de la tiranía, y los im ciones de Roco y de Marrón; y desde luego, en unión con D. Diego potentes esfuerzos del sanguinario fanatismo. Que nuestra estrecha unioó de Carvajal y Flores, realizó ia cesión del derecho dj patronato que le» imponga i los ma'vados; qUe la presencia de algunos de los valiente* correspondía en la pingüe memoria de dicho D…</t>
  </si>
  <si>
    <t>…y limitada, y y o ¡Cómo es posible decir que la ilustración y la filosofia se oponen a la voy i impugnarla porque le ha dado mucha. Yo me encuentro en la libertad! En las obras de D. Diego haavedra y F'axardo se exponen al desventaja de que la Constitución no habla nada de frailes, y bien gunas razones, por las cuales parece qiie*e quiere d. Tender en este mismo conozco que voy á sostener una causa muy desacreditada , y á defender error de que…</t>
  </si>
  <si>
    <t>…ido las Cortes extraordinarias á la renovación da Alesina y D. Julián Gil, administradores q-ie han sido de la renta en su presidente , vice-presidente y secretario mas antiguo el Sr. D. Diego esta corte, se les avisa por este periódico, á fin de que se presenten en González Alonso, han sido elegidos, para presidente el Sr. duque del dicha dirección por si ó tus parientes para enterarles de asuntos que les Parque, diputado por la provincia de Valla…</t>
  </si>
  <si>
    <t>Diego, D-</t>
  </si>
  <si>
    <t>D- Diego</t>
  </si>
  <si>
    <t>…. mañana, ba salido de esta una columna compuesta de ido individuos S-° « Le sección de comisionados elegirá tes personas que deban del regimiento de Murcia al' mando del teniente coronel D- Diego componer esta columna, exigiendo de lo* que se alistasen la condición Rubio, primer ayudante del mismo, con dirección á Cardona y en de ser licenciados del egército, robustos y sin nota , que se sujeten «l combinación con el brigadier Carrillo de Albornoz, qu…</t>
  </si>
  <si>
    <t>Diez</t>
  </si>
  <si>
    <t>…Je id.) Se leyó el dictamen de la comisión de casos de responsabilidad so Crcuiar de: ministerio comunicando una resolución de fas Cortes bre este expediente; y habiendo pedido el Sr. Diez que se leyese una sobre rendimiento de cuentas d« los tesoreros y administradores. (G.iparte del proceso, te verificó esta lectura. ceta de id.) Suspendióse i poco tiempo , y se dió cuenta de la comunicación Circular del mismo i todas las oficinas generales d…</t>
  </si>
  <si>
    <t>…La comisión, después de varias reflexiones sobre el estado actual de esta medida, y quedó desechada. las América», proponía á la deliberación de las Cortes las siguientes Otra del Sr. Diez, á fin de que las Cortes se sirvan acordar se deter medidas: minen los medios de que los ayuntamientos han de valerse para reali 1.1 Autorizar ampliamente al Gobierno para que proceda en este zar las cobranzas y apremios á los contribuyentes morosos antes de…</t>
  </si>
  <si>
    <t>…ares que soliciten em mero tres, el Sr. Butafia uno , el Sr. Flores Calderón uno, el Sr. Ma- pleos dependientes de la tesorería general; en la inteligencia de que en rau uno, y el Sr. Diez do*. Total rao voto*. No habiendo reunido nin cumplimiento de le expresada Real orden no puede hacerse mérito al gún Sr. diputado suficiente número de votos, se procedió i nueve vo guno de la* solicitudes que hayan presentado y presenten sin la refe tación en…</t>
  </si>
  <si>
    <t>…cesitaban tener bastantes dispo bien la idea, y verdaderamente ha dado al artículo alguna mayor cla siciones. ridad ; pero el Sr. Romero ha dicho con mas razón que no comprende El Sr. Diez dijo que aunque los cabos primeros para ascend-r á sar todos los casos posibles , y las leyes si no los comprenden explícitamen gentos segundos necesitaban de bailante doctrina, no todos los de esta te lot comprenden implícitamente. Vamos i ver las palabras q…</t>
  </si>
  <si>
    <t>…mor i la pro aoner esta medida, y son las m.tmas que movieron i U comisión independencia y i la libertad.” fi adoptarla. El Sr. Infante, aunque no se ba opuesto á la medida, ha El Sr. Diez hizo un largo discurso para demostrar que no debía encontrado un grave inconveniente en la limitación que te le pone; aprobarse esta medida, porque se aumentaban sueldos y se continuaría y entiende S. S. que esta limitación será perjudicial, porque la buena h…</t>
  </si>
  <si>
    <t>…rgo de tutores testamentarios legítimos y dativos, por todas estas razones soy de opinión que no debe aprobarte ei como igualmente las curadurías de ninguaa especie.” articulo. El Sr. Diez impugnó este artículo , manifestando que si á un mili El Sr. Infante; El Sr. preopinante dice que es impolítico é injusto tar á quien se le hubiese conferido el cargo de jurado se le obligaba á decir que los militares hayan de recibir su sueldo íntegro un est…</t>
  </si>
  <si>
    <t>…tra energía: que ia prine pai eperanza qu* h.mo» ce las circunstancias que se previenen en el art. i.° tener deberá .str.bar en ia firme actitud con que nos pteaetuemo» a ,a i uEl Sr. Diez impugnó el artículo con varias observaciones, á las ropa, en nuestra constante resolución de sostener pacifica,)' aun hc..:.que contestó ei Sr. Infante diciendo, entre otras cosas, que la comisión mentt si fuere necesario, nuestra independencia y el derecho d…</t>
  </si>
  <si>
    <t>Diez, Antonio</t>
  </si>
  <si>
    <t>Antonio Diez</t>
  </si>
  <si>
    <t>…ificasante de propios, con sueldo de r i3 rs. Interventor D. Ramón Gayo- 31,101... 1. so González, subteniente del resguardo. A los escribientes de las dependen Cuenca interventor D. Antonio Diez, oficial de la contaduría da cias militares por un mes de sn haber.. *»39S—3*- ” 170,47 «_« 5. León. Al comandante y partida de tropa Chinchilla administrador el teniente coronel D. Vicente Asco, destinada en esta capital por su* habe falleció el i a del corr…</t>
  </si>
  <si>
    <t>Diez, Diego</t>
  </si>
  <si>
    <t>Diego Diez</t>
  </si>
  <si>
    <t>…. anuales, j que fue conedida i Las Cortes recibieron con agrado 200 egemplares de una memoria dicho Sr. por el singular mérito que contrajo en la batalla de AVaier- publicada por D. Diego Diez, vecino de Málaga, intitulada Memoria loo: pido pues ¿ las Cotíes que se haga mención honorífica de este he* del tesoro político para hacer feliz á España. cho en el acta, y que se.ponga en noticia del Gobierno. A la comisión de Comercio se mandaron pasar una…</t>
  </si>
  <si>
    <t>Diez, Domingo</t>
  </si>
  <si>
    <t>Domingo Diez</t>
  </si>
  <si>
    <t>…hablaba, y por I &lt; mismo era de parecer que pasean pensa de lo que han sufrido lo* interesados. Aprobado. tu Gobierno para que la instruyese. Aprobado. La misma en la instancia de D. Domingo Diez y «impelir*, dal Se dió cuenta de una exposición del capitán D.Sebastian de la Cues comercio de esta villa, sobra el pago da cierta cantidad que se le debo ta, en la qu; manifestaba qur contaov ido por el raigo patriótico del dig por el Crédito público, opina…</t>
  </si>
  <si>
    <t>Diez, Francisco</t>
  </si>
  <si>
    <t>Francisco Diez</t>
  </si>
  <si>
    <t>…lozanía de Ja do fallecido dicho agente el año de 1 804 ó principios de i Boj , se hi jii-. 1 rtud i : Qué afiad rian mis elogios á los de todas las naciones que zo cargo de estos D. Francisco Diez , testamentario de Dareche; y sr i-an agremiado á hacerle suyo! En cuanto á mi Casti, si se parece por las diligencias practicadas hasta ahora no se ha podido averiguar abo al iu.iano, los sabios le sabrán apreciar, y pora los ignorantes la existencia del exp…</t>
  </si>
  <si>
    <t>Diez, Jusn Gómez</t>
  </si>
  <si>
    <t>Jusn Gómez Diez</t>
  </si>
  <si>
    <t>…lo que corresponde pagar era ANUNCIOS. limpio por cada arroba de vino &amp;c. petada en la corambre. Util liara para ajustar la* cuenta* por menor de cualesquiera otro comercio. Sa El Sr. D. Jusn Gómez Diez , magistrado honorario «la la 'audien acomoda bien á la arroba de 15 libra* , y se puede aplicar é la de 36; cia de Castilla la Nueva, juez de primera instancia de esta corte, i ins tan sencillo ^que no pide mas inteligencia de números que la de saber su tanc…</t>
  </si>
  <si>
    <t>Diez, Manu-i</t>
  </si>
  <si>
    <t>Manu-i Diez</t>
  </si>
  <si>
    <t>…do al bajá de Egipto para tLstibUcer la diente que trata de la venta de la casa de ia inquisición de Madrid s tranquilidad en Candía. Añaden que el baj 1 esta preparando una expe- D. Manu-i Diez. d cion de 7 á 83 hombres para apoderarse de aquella isla. Si llega i con Las Cortes quedaron enterada- di uní exoosicio-t del ayuntamiento quistarla , esta posesión seta muy favorable á sus pioyectos de hacerse consi.iuciona: de Vitoria, cando gracia» a ¡a-…</t>
  </si>
  <si>
    <t>Diez, Manuel Alonso</t>
  </si>
  <si>
    <t>Manuel Alonso Diez</t>
  </si>
  <si>
    <t>…. Gregorio Justo Grande, D. Martin Z-'nzano, Don Julián González Sarabia, D. Camilo Miguel, D. Francisco Azquria» Resultando en la dirección general de contribuciones d'rectas, en D. Manuel Alonso Diez, D. Salvador Bros, D. Hilario Brihuega, cargada de la recaudación de lanza* y media anata, que el título de Cas D. Antonio Bravo, D. Antonio Cumbres, D. Juan Galvan, D. Mi tilla con la denominación de mirquet de Villabragima le poseía en *1 nué’ González Sant…</t>
  </si>
  <si>
    <t>Diez, Simón</t>
  </si>
  <si>
    <t>Simón Diez</t>
  </si>
  <si>
    <t>…o solamente de pa’abra, sino con las do , mandada por el sargento del resguardo militar, subteniente obras, en tiempo de la epidemia dió 759 libras catalanas al ayunta de egército D. Simón Diez, yendo al frente de ella mi ayudante de miento ; pagó ademas las barracas que se pusieron en el monte de campo D. Josef María Quijano; y i pesar del cansancio producido por Monjui; y cuando los Sres. Porras y .Ferraz no podían enviar tropas la dilatada marcha…</t>
  </si>
  <si>
    <t>Dio, Juan de</t>
  </si>
  <si>
    <t>Juan de Dio</t>
  </si>
  <si>
    <t>…a interesado* en el reemplazo han dirigido al Sr. comandante Es público y notorio en al dia ^u* algunos de estos medios son los groen 1 de dicho distrito una representación contra D. Juan de Dio* qu* tiempo hé está poniendo en practica ci partido ultra francés , con Bernabeu, comandante da arma» de dicha Tilla, y de una partida vo escándalo y horror do los buenos franceses , y con sumo parjuicio de la lante creada con autociaacioo 'da la diputación p…</t>
  </si>
  <si>
    <t>Dionisi</t>
  </si>
  <si>
    <t>…diputados. De otra manera no hubiera fi¡ado su Tejeiro, Eusafia, Bartolomé, Garrtr, García Bustam.nte, Valdés atención sino en proponer una medida general que tuviese efecto des (D. Dionisi o, Aivarez Gutiérrez , Grases, Abr u , Zu u ta , Marau, de el próximo tüo económico, y tal que no nos expusiéramos é la* Aliz , Pacheco, Montesinos , Nuñez (D. lorib.o ), Galano , Sama- quejas y reclamaciones de qus tienen noticia las Cortes, atendiendo ú fe…</t>
  </si>
  <si>
    <t>Dionisio</t>
  </si>
  <si>
    <t>…r D. Juan Antonio Llorante , doctor en cáno Se nombró pera la como ion especia! de Milicias á los Sres. Valdés nes íce. Se puede considerar o» obra como un tratado «le diferente* (D. Dionisio), Zuiueta, Taboada y Serrano. punto* de historia y disciplina eclesiástica: do» tomo* en 8.° Se ha Se mandil quedar sobre ia mesa una proposición de loa Sres. Seoane, llarán en la librería «le Anloran__ Juan Labrador: obra muy necesaria Zuiueta, íxtrano, Rojo…</t>
  </si>
  <si>
    <t>defio, Garoz , Valdés^ (D. Dionisio), Isturiz , Grases , Zulueta, do» de su» empleos. 5.0 Lo» gefe» de todos los ramo* en la* provincia» Abfcu Nufiez, Silva, Goozalez Alonso, Alia , baavedra , González darán parte bajo Ja ota* estrecha responsabilidad de lo* empleados subal (D. Manuel ), Gal ¡a…</t>
  </si>
  <si>
    <t>…cretado la ra, Beltrande Lie, Reillo, Gusotil, Tejeiro, Busafia, Bartolomé, siguiente. Art. i.° Queden abolido» iodos los derecho* exclusivo* con Sedeño , Benito , Garoz , Valdés (D. Dionisio), Al varea Gutierre*, cedidos 4 la caballa de carreteros, sus derramas, cabañiles y trímera Isturiz, Graeés, Zulucta, Abren, Munarriz, Nufiez, Pacheco, Mon del reino, que te considerarán comprendidos pera todo lo relativo 4 tesinos, Silva, González Alonso, Al…</t>
  </si>
  <si>
    <t>…scendían, jeiro , Ensaña , Cuevas , Cortes , Rey, Hatitiqncz , Bartoin rc , íeneño, por egemplo, á r;o millones: en seguida nos preguntaríamos: ¡se pue Pedra.vez, Benito, Valdés ( D. Dionisio ), Garcz, Alrarcz Ci acier de pagar estol Y convendríamos todos en que no. Esta misma opera re*, Tomas, Isturiz, Grasas, Abr-.u, Zuiu.ta, Cano, Nuúcz, Pache ción la repetiríamos varias veces , hasta que nos tuviésemos que arre co, Silva, González Alonso, Ai.x…</t>
  </si>
  <si>
    <t>…ricultura, de la, trande L&gt;t, Reillo, Navarro Tejeiro, Batalla, Bartolomé, Sedeño, minas y de la iMustris para ocuparte en la defensa nacional ¡ no influi Villaboa, Garoz, Valdés (D. Dionisio), Isturiz, Grases, Marau, rán en la ruina de nn panuque disminuye los contribuyentes y produc Zulueta, Nufiez, Pacheco, Silva, Alonso, Alix, Galiano, Saavedra, tores , y aumenta los qne consumen sus fondos y sos frutos? &lt; El preci González (D. Manuel), Jiméne…</t>
  </si>
  <si>
    <t>…haber presentado cuando la comisión Rxillo, Bututil (Navarro Tejciro, Bartolomé, Eusafia , Sedeño, Galoi pidió. Debo decir también que la comparación que ha hecho el roz, Valdés (D. Dionisio) , Isturiz, Grases , Zulueta , Abreu , Rebe Sr. secretario no ea exacta, pues qus no pande compararse ana provin co, Marau , Nufiez, Silva, González Alonso , Alia , Alcalá Grl in-, cia particular de Espafia con todo el reino. Por otra parte el Sr. secre Saave…</t>
  </si>
  <si>
    <t>…car todos los Mal lagar ay, conde Adanero, Alcalá Galiano, Alvarez Gutiérrez, pormenores de los acontecimientos' de que ha hablado: me ceñiré pues ViUanueva, Sarabia, Rey, Valdés (D. Dionisio), Ferret (D. Anto ó recordar la doctrina que expuso’el Sr.secretario de Estado,de que no nio) , R co y Valdés Bustos. convenía la manifestación de toda* laa providencias del Gobierno. Por El Sr. presidente anunció que mañana te discutiría un dictimes di lo qu…</t>
  </si>
  <si>
    <t>…de que asi debe hacerse. diputado Moreno Guerra, los Sres. Apoíta, conde de Adancro, Sara7.* Si la junta protectora se ha de renovar por entero mediante k via, Rey, Valdés Bustos (D. Dionisio) y Fcrrer (D. Antonio), sa haberse renovado también la legislatura, ó si en atención 4 que no lle cados á ia suerte para calificar un impreso publicad* con el nombre d« va mas que un afto de existencia se deberán únicamente llenar ias va dicho Sr. Moreno Guer…</t>
  </si>
  <si>
    <t>…tricción 11 de las facul Joaquín) , Parque, Seoane , Velasco, Ibarra, Bel tran de Lis , Reillo, tades del Rey, á petición del Sr. Alia. Basaba, Bartolomé, Sedeño , Garoz , Vallé» (D. Dionisio), Alvarez Igualmente te leyeron á solicitud de otros Sres. diputados los artí Gutiérrez, Ltunz , Grases, Zu.urta , Abreu, Nuñez, Pacheco, Alix, culos 68 y 69 del reglamento, y se prorogó la sesión por una hora Saavedra, Gatuno, Melcodez , Gómez (D Manuel), Ji…</t>
  </si>
  <si>
    <t>…proponga otro mas ade te conformaba como individuo de ella con la opinión de la mayoría. cuado. Discutido el punto suficientemente, se declaró no haber lugar i vo- El Sr. Valdes (D. Dionisio) dijo que los gastos debían hacerse | tar sobre este defamen , y que volviese á la comisión. con arreglo i lo que previniesen tas diputaciones provinciales; que no Se mindaron pa»ar á la biblioteca y á la comisión de Salud públi- se decía ni se trataba de dec…</t>
  </si>
  <si>
    <t>…l opinaba que debia pasaras al Gobierno. Aprobado. cían respecto de uno ó mas vecinos separadamente. La misma comisión presentó dos dictámenes, el uno sobra la soli El Sr. Valdés (D. Dionisio) apoyó la ¡dea manifestada por el tecitud de los pescadores de la pesca en gratule de Galicia, 7 el otro so flor preopinante; añadiendo que en la reunión de vecindarios babia una bre una exposición del ayuntamiento de Cartagena, relativa al nom refundición de…</t>
  </si>
  <si>
    <t>…haya dado molito a ello; pero deben ser Belda, Casas, Marti, Pedralvez, Lodares, Kuiz dti Rio, Manso, Valmuy detenidas para dar esta declaración, cuando tal vez no tienen co des (D. Dionisio), Giroz, Sotos, Paterna, Tomas, Cuevas, Marchá nocimiento d: ios motivos que pueden ocasionarla. Ei resultado de es malo, Cano, Ladrón de Guevara, Prado, Escudero, Euiit-, Mjnatta declaración ser.a inspirar un temor y debilidad á los tribunales , que rz, Diez…</t>
  </si>
  <si>
    <t>…de Setiem sutil ,Tejeiro, Busafta, Silva, Afonzo, Cortés, Betda, Soria, Garoz, bre último, bajo «leí nombre del Sr. ex-diputado D. Josef Moreno Gom z (D. Manuel), García, Valdés ( D. Dionisio), Sotos, To Guerra, denunciado por D. Juan González de Kivas, cónsul de Es mas, A varez Gutiérrez , Isturiz, Grases, Zulueta , Abren, Muro, paña en Gibraltar. Declararon por unanimidad abstulto á tu autor. Atienta, Cano, Guevara, Galiano, Alia , Surra,.Melend…</t>
  </si>
  <si>
    <t>…piden un Muro, Marau, Atienza, Marchámalo, Cano, Guevara , Eulate, Mucastigo muy egemptar; pero este no se logra con exigir la responsa narriz,Vega, Alix, Abreu, Galiano, Valdés (D. Dionisio), Olibilidad al gefe político, y para esto es preciso se pruebe antes que esto ver.Diez, Lapuerta, Sanlafé, Lagasca, Nuñez (D. Toribio), Ro funcionario no tomó las providencias que debía: el expediente está mero, Aguirre ,Pacheco, Sangenis , Jaimes, Lasala ,…</t>
  </si>
  <si>
    <t>…n Marchámalo, Cano, Prado, Guevara, Escudero, Eu'ate , Munarriz, do : ¡ Señor, y cuando estoy habiendo por el bien de mi patria se me Vega, Alvarez, Alix, Abreu , Galiano, Valdés (D. Dionisio), ha de interrumpir de esta manara I Oliver, Diez, Buey, Latre , La puerta , Jiménez', Santafe, Nuñez Sintiéndose sumamente conmovido manifestó que no podía conti (D. Toribio), Romero, Aguirre , Pacheco, Ligasca, Sangras, La nuar por el momento, pero que no r…</t>
  </si>
  <si>
    <t>…mu amistad y confianza. Se mandó pasar á la comisión de diputaciones provinciales una adi El Sr. Infante apoyó las razones del Sr. Seoane, confirmándolas cota ción del Sr. Valdés (D. Dionisio) al art. 4.°, relativa á que te declare lo que sucede en las milicias provinciales, que estando formadas , co quién debe abrir los pliegos en caso de no estar reunida ¡a diputación mo dice «1 artículo , siempre se han portado en los casos necesarios á provinc…</t>
  </si>
  <si>
    <t>…Ferrer (D. Joaquín), Parque , Canga, Séptico , Trieiro, requ sito el gefe político , luego no ha dado motivo para que se le exi Busafia, Silva , Ibarra , Lis , Reilto , V aldés ( D. Dionisio ) , Garoz, ja la responsabilidad. Gómez (D. Manuel), Al varea Gutiérrez, Isturiz, Grases, Zulueta, Los tres artículos primeros de la lejr de 11 de Setiembre versan so Mura, Marau , Arellano , Galiauo, Alíx , Abreu , OI ¡ver , Jímenez, bre la diferencia que ha…</t>
  </si>
  <si>
    <t>…ue no te admitiesen las bases preliminares Coruña................................. ié. que presentaba la comisión. Barcelona............................. 1 p. I es. El Sr. Valdés (D. Dionisio) manifestó la importancia del asunto da Vales comunes de Enero.... 79 por 100. que te trataba, por cuanto se sabia que en todos ios países libres era ne Id era de Mayo y Setiembre 79*cesaria la milicia local para conservar las libertades públicas: que respec…</t>
  </si>
  <si>
    <t>…e admitiese tropa un rato para seguir la marcha hacia Pontons, siendo precisos todo es ella. el valor y denuedo sin egemplo de los valientes oficiales y soldados pa El Sr. Valdés (D. Dionisio) dijo que el desempeño de estos oficio* ra penetrar por aquel camino intransitable por la naturaleza misma , y na incompatible con el servicio que tema que hacer la milicia nacio- llegar batiendo siempre á lo* facciosos hasta las cimas que circundan ral, pues…</t>
  </si>
  <si>
    <t>…e la minuta salió de dicha secretaría como enirar en sorteo para evitar todo motivo de queja. aten todos los densas asuntos que te mandan pasar á las respectivas co El Sr. Valdés (D. Dionisio) dijo que en varios países de Castilla misiones; pero la que informa te ha convencido igualmente de que este repartimiento de baldío* iba á causar en lo general la ruina de cuando dicho documento pasó á la segunda de Legislación hubo de que muchos pueblos por…</t>
  </si>
  <si>
    <t>…e haber elección directa, porque era claro que aquella forma Madrid Lunes 17 de Junio. de elección estaba-mas expuesta á vicios y á intrigas qu; la directa. CORTES. El Sr. Valdés (D. Dionisio) dijo que la comisión ya había mani tlESIDEKCia DEL SVÍOR GOMEZ SECEMA, festado los motivos en que se fundaba para proponer este sistema da Sesión dtl 17. elecciones, y que asi para abreviar la discusión podra preguntarse al Se leyó y aprobó el acta de la ses…</t>
  </si>
  <si>
    <t>…vendedores ó de los Rom, Sarabía, Vdlaboa , Pedral ver, Ruiz del Rio, Manso, Gom.z qu• quieran dedicarse á este tráfico seiá, si se quiere, el que esté en ab (D. Manuel) , Valúe»(D. Dionisio), Garoz , Paterna, Tomas, Cue soluta libertad la venta de este género ; porque, por grande que sea la vas , Ferrer (D. Antonio), Cano, Guevara , Marchámalo , Prado, Es contribución que haya de sustituirse á esta renta no equivaldrá á la ga cudero , Eulate , M…</t>
  </si>
  <si>
    <t>…comisión Muro, Gómez ( D. Manuel ), Garoz, Alvarcz Gutiérrez, Cuevas, no podia disminuir esta suma en los términos propuestos por el Sr. pro I.turiz , Grases , Zulueta , Valdés ( D. Dionisio), Aguirre, Marau, opinante sin recargarlos en laa demas contribuciones que gravitan so Atirnzs, Salva, Alix , Ga.iano, Abreu, Olivcr , Jiménez, Nuñez, bre la industria. R)ra;ro, Layases, Pacheco, Serrano, Lillo, Meca, Alonso, Velas El Sr. Somoza se opuso al d…</t>
  </si>
  <si>
    <t>…a , Lassla «Vega , Sobaron , Zulueta, Roact, Melendcr, Cuevas, gando sucesivamente desde hoy llevaran consigo el goce de interese* Infante, Sotnoza , Luque , Lillo, Rom , Valdés ( D. Dionisio ), Al comentes del semestre de Mayo ó de Noviembre de este año; pero qua cántara , Navarro, Trujillo, Meca, Eulate, Pacheco, Aguirre , Do- estos intereses no han de correr á favor de lot prestamistas tino desda menech y Villavieja- el día i.“ del mes en que e…</t>
  </si>
  <si>
    <t>…solo ae debia ver Henriquez, Rico, Sarabia, Villaboa, Martí, Pedralvez, Manto, Ca •i las modificaciones que te hacían eran ó no convenientes. sa*, Ruiz del Rio, González, Valdés (D. Dionisio ), Tomas, Buey, Aben me veo obligado á publicar ante la Nac.on entera que ja Cuevas , Paterna , Ferrer (D. Antonio), A'cántara, Merced , Escu mas ha sido esta mi opinión; por eso cuando se t.ató de nominar una dero, Prado, Eulate, Munarriz, Vega, Ladrón, Alva…</t>
  </si>
  <si>
    <t>…1 del proyecto lo que se ptoponin en este edición, no debía del Crédito público que debis reemplazar al Sr. Isturiz. En primer es adoptarte. crutinio tuvo j8 votos el Sr. Valdés (D. Dionisio), 63 el Sr. Surra, Los Sres. Casas y Lodaret presentaban voto particular sobre esta a el Sr. Lasala, y uno cada uno de loa Sres. Ruiz de la Vega, Oliver adición , opinando en él que debía admitirte, y en su consecuencia y Scptien. Total 126. No habiendo reuni…</t>
  </si>
  <si>
    <t>…ho de Marina, he venido en admitirle la renuncia que ha de ia Constitución matritense. La baraila de ¿alamina cede mi celebri ce de aquel destino, y en nombrar para su desempeño á D. Dionisio dad á la conseguida el y dci comente por los bravos milicianos de Capaz en calidad de tal secretario de Estado y del Despacho de Mari la capital , y sus nombres s* repctis-n entre nuestros nietos con mayor na. Tend edlo entendido &amp;c.” entusiasmo que el de los…</t>
  </si>
  <si>
    <t>…, Silva, Birmano, Neira , Bertrán de Lis , Adinero, Reillo, pu; to, es muy útil trasladarle á oteo donde no lo tea. Solo resta ver si Fernandez Cid , Rey , Soria, Garoz , Valdés ( D. Dionisio), üiiin'z, lo que pide el Gobierno puede Mr susceptible ó no de abusos superio Alvarez Gutiérrez, Vareta, Isturiz, Grases, Salva,Olivsr , Marau, res á las ventajas que se propone sacar el Gobierno. B.en claro es que Adan, Munarriz, Canga, Afonzo, Saavedta, Al…</t>
  </si>
  <si>
    <t>…r de permanencia, que verdaderamente no El Sr. presidente nombró í los Sres. Aguirre, Becerra, Garoz, tienen , porque las Cortea las pueden variar cuando lo tengan á bien. Valdés (D. Dionisio), Belmonts, Raillo, Tejaito, Garmaadia y Cal Yo preguntaré &gt;1 Sr. Galiano si an todas las leyes que se han estable- derón para componer la comisión encargada da formar las ternas de cido en todos los paites del mundo no se ve que esten arregladas á laa los vi…</t>
  </si>
  <si>
    <t>…as circulares, decretos &amp;c., publicados en las gacetas de Ra, Montesinos , Silva, Viéntanos, Neira , Bertrán de Lis, Reilio, Octubre. Gobernación de la Península. Belmonte, V»ldés(D. Dionisio), Oaróz, Gómez (D. Manuel), Sotos, Alrarez Gutiérrez, Várela, Isturiz , Grases, Salrá, Marau, Circular del ministerio, en que se prescriben reglas para formar loa Alan, Abreu, Meca, Lillo, Alia, Saavedra, Galiano, Ruiz de libros de matrículas de los habitante…</t>
  </si>
  <si>
    <t>…l (D Joaquín), Tcjeiro , Sepnen, Orduiia, Busaña, Rico , Móntennos, artículo dice f o l:yu); y ¡quien pueda negar qu- t:a r.u es uta corre.aSilva, Kcilio, Lo, Neira, Cid , VaiJés (D. Dionisio), Garoz , Gó cion exacta de 40 m.srno que esta dctrrnslñad. i :Nc. se d;ce que corte uimez, Aivaiez , Gutieirez, Isturiz, Grases, Marau, Sequera, Lmo, do este termino m. x .mo d- 30 día» el g f ¡ o. ;t.-o ha d ■ cdv sr e, d;t n.Saavedra , Gabano, AbrcU, Ruiz…</t>
  </si>
  <si>
    <t>…dicho que el Gobierno riquez , Sarabia , Vi II aboa , Pedral vez, Rey, González , Manso, Ruiz ha obrado con delicadeza, pregunto: viéndose interpelado por la pre del Rio, Valdés ( D. Dionisio), Gómez, Paterna, Sotos, Tomas, tensión del ex-secretario Garelly de un modo que nada tema que hacer Cuevas, Vírela, Cano, Guevara, Marchámalo, Prado , Escudero, sino dar cuenta al Rey de la exposición que acompañaba para que esta Eulate , Munarriz , López Cu…</t>
  </si>
  <si>
    <t>…iento ó-: pi go , Busafia , Srptien , Montesinos, Vizmanos, Silva, Neira , Reillo, piles. Esto es 10 que pr ncipalni:i;te ha cor.tr buido a que las Ccr; ; Bertrán de Lis , Valdés ^D. Dionisio), G«nr, Gómez , Isturiz, Li- hayan aprobado que pise este decreto 4 ia sanción. ; \ que ariicuioc ne llo, González Alonso, Mtrau, Adan, Oliver, Afonzo , baavedra, cesitan de la sanción Real, y cuales son les que no tienen r c.s d¿J re Ruiz de la Vega, Galiano…</t>
  </si>
  <si>
    <t>…lvidara la negra ingrat-tud que caracteriza nerme al dictamen de ia comisión en &gt;u totalidad. á estrs hombres, quienes cuando no Ies a.iva para nada ie despreciaran El Sr. Valdés (D. Dionisio): Ha dicho el Sr. Infante que los Se Con ta aitivrz .me les es propia. ñores diputados que toman la palabra en contra del d etienen , se ha Drenase haber biiado a la Cerdaña francesa dos regimientos, y se llan en una posición delicada, pues que impugnan un pr…</t>
  </si>
  <si>
    <t>…r 65 votos de tai. los puntos fortificados y cuarteles , y serán relevados cada ve nte y Para secretario quedó elegido también en primer escrutinio el sefioc cuatro bcras. Valdés (D. Dionisio) , por y\ votos de 13». Art. 3.° « Ademas de las guardias habrá &lt;tras varias clanes de ser Los nuevamente elegidos ocuparon sus asientos. vicio , tales como destacamentos, escolta», ccsrtiasd: ' on-r—, cr 1cSe dió cuenta de un dictamen de la comisión de Comer…</t>
  </si>
  <si>
    <t>…, Sangenis , Jaimes, Lanía , Calderón , Alcántara y Buey. tentado un 4 servir tus nuevas plaza». Madrid 1 de Diciembre de i£n, Sres. que le desaprobaron: Zulueta , Grases, Valdés (D. Dionisio), szSr. regente de la audiencia de.... Domencch , Posada , Rico , Muro , Infante, Canga, VilUnuva , Te El Gobierno ha recibido ios partee siguientes. je iro , Sierra, Bslmonte, Baixzs, Moreno, Prat, Ferrer (O. Jti- » Excmo. Sr. : El capitán de caballeiía de A…</t>
  </si>
  <si>
    <t>…ocal d- fanáticos, de ignorantes, de mentecatos y de ilusos, seducidos por de 29 de Junio úit-mo.” un puñado de ambicíenos enemigo» declarados aun de las reformas El Sr. Valrfés ( D. Dionisio ): Difiero de la comisión , no en el mas justas por vivir á sus anchuras á la sombra de los abusos.’ &lt; A fondo de la idea , sino en el modo con que la propon.*. 1.4 Corles cu esu facción expulsa, vencida y detestada de los mismos pu bios que el reglamento de…</t>
  </si>
  <si>
    <t>…ener á los enemigos del sistema, como para exterminar 4 loa timas cláusulas del ailículo. : criminales.La variedad se halla tolo en el modo cómo debe hacerte esto. El Sr. Valdés ( D. Dionisio ); Dos clases de impugnaciones se han Se ha indicado muy oportunamente por el Sr- Valdéa que el egército hecho al artículo. La primera- por á* facultad que se da á las diputacio permanente no ea el mas 4 proposito para esta especie de guerra; y en nes provinc…</t>
  </si>
  <si>
    <t>…, Sslvato, Alava, Ruiz de la Vega, Gal ¡ano, Seoane, Infante, residí nte en Cartagena ( provincia de Murcia), por profesor autoriza .0 Alonso, Saavedra , Muro , Grases y Valdés ( D. Dionisio.) de m.itemat'cas puras y mixtas, y cuyos cursos de la prenotada cien S: lepó el dictamen sobre el reemplazo da U milicia activa , y te cia que se estudien en su academia privada están reconocidos para U acordó que se imprimiese. lee pcion de grados y carrera…</t>
  </si>
  <si>
    <t>Dionisio'</t>
  </si>
  <si>
    <t>…, en que trata de dirigir un mensage i S. M. dez Cid , Pedraivez, Soria, Garó/, Gómez (D. M mu ■), Valdos Catialme* te encuentro yo en este de que se trata ■ que carece de estas (D. Dionisio', Alvarez Gutierre/, Tomas, Quiñones , Istuuz, Grases, circunstancias-, y si io hubiera de decir mi ojimon sobre todo su con- Zulueta , Muro, Mxrau , Auenza, Guevara , Meca, l.uqu.1 , t,ll ano, tensilo , man.ícstar.a desde luego que apenas había dos docena* de…</t>
  </si>
  <si>
    <t>Dionisioacto</t>
  </si>
  <si>
    <t>…medio de procurador i deducir las acciones que creansorprendidos; no se logró haberlos asegurado ; huyeron en el mismo convenirles en los autos pendientes en dicho tribunal entre D. Dionisioacto; tuvieron lugar de ponerse de acuerdo hasta el *8del mismo mes, Capaz y León y ti referido Elias da Cruz y Francisco das Chigas;en que Vitoriano Juárez se presentó voluntariamente á declarar ante apercibidos de que pasado dicho término se les dará el curso qu…</t>
  </si>
  <si>
    <t>Dionvio</t>
  </si>
  <si>
    <t>…ta, diócesis de León, de qu: no pudiese atender el cura párroco al desempeño de su ministetio. se le concediese su jubibeion con el sueldo que corresponda á sus d El -Sr. Vaidés ( D. Dionvio) apoyó el articulo. tinguidos méritos y servicios: con cuyo motivo, y el de ctros cxr El Sr. Munarriz manifestó entre otras cosas que la catedral de dientes en que varios empleados piden señalamiento de sueldo por d-sBarcelona era parroquia de todo el obispad…</t>
  </si>
  <si>
    <t>Dios, Juan de</t>
  </si>
  <si>
    <t>Juan de Dios</t>
  </si>
  <si>
    <t>…e denunciado al Excmq. Sr. marques de Sta. Cruz, alcal fu erzis para desalojarlos de las ventajosas posiciones que habían ocupa de primero constitucional de esta M. II. villa, por D. Juan de Dios do , y rcuniendome con Aranao ro» pus.ir,os á la cabeza de las tro Gil de Lara, en representación del Exento. Sr. D. Joaquín Ruíz de pas, c -ns Hiendo, aunque con mucha pérdida, hatillos en todas sus Porras, mariscal de campo del ejército nacional, y comandan…</t>
  </si>
  <si>
    <t>Dios, Pascual</t>
  </si>
  <si>
    <t>Pascual Dios</t>
  </si>
  <si>
    <t>…de la vanguardia del egército del mando de V. E., las que *u«r. 5.® haré publicar para satisfacción de este v cindario. Oficio del Excmo. Sr. general tn gefe del tgéretto del Sur D. Pascual Dios guarde á V. E. meche.» años. Méxco Marzo io de i8at fi las de Uñan dirigido al Excmo. Sr. virey. seis de la taidrsDel Venad1to.3sEx1.n10. hr. D. Pascual de Lifinn.” » Excmo. Sr.: Ac topa Mo originales para el superior conocimiento non. 6.° de V. E. al oficio…</t>
  </si>
  <si>
    <t>Diputado</t>
  </si>
  <si>
    <t>…rno los remita con á mas del recargo d« las cuatro guardias de dar satisfacción al superior urgencia.” ante el consejo de subordinación y disciplina ,* y .ai con aquello se die Un Sr. Diputado presentó una exposición de los individuos de la se causa á denuestos, injurias, sublevación ó amotinamiento contra el milicia nacional activada Ecija, manifestando los sentimientos patrió gefe, incurrirán todos, causante, fautor y cómplices en desobediencia t…</t>
  </si>
  <si>
    <t>Dirección, Francisco</t>
  </si>
  <si>
    <t>Francisco Dirección</t>
  </si>
  <si>
    <t>…bezarán y concluirán conforme á lo que queda indicado para la pri Antonio Puigblanch, D. Ramón Llord, D. Andrés Alcon, D. An mera. drés Moya Luzura.a, D. Domingo Fernandez Angulo, D. Francisco Dirección general de impuesto/ indirectoi y efecto/ estancado/. de la Carrera, D. Gonzalo C rdvnas y D P dio Matute. Habida la Estado que demuestra los valores, gastos y líquido de las rentas conferencia, declararon por unanimidad no haber lugar á la formación estancad…</t>
  </si>
  <si>
    <t>Dirección, Ildefonso</t>
  </si>
  <si>
    <t>Ildefonso Dirección</t>
  </si>
  <si>
    <t>….=Ardoin Hubbard y com que te sepa tn paradero, se rrpite rite aviso pira noticia de los int.re pañía. = Es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Quintana, D. Antonio Cortes por decreto de 9 de M…</t>
  </si>
  <si>
    <t>Director</t>
  </si>
  <si>
    <t>…sus deberes, el mas laborioso y el mu ac ciéndolo publicar en la gaceta.=Palacio ai de Julio de i8ji—Pa®- tivo para procurar aumentar su bienestar por medio del trabajo y do bley.=Sr. Director general de contribuciones directa*. la aplicación; tiendo aun mas notable, que si te echan de ver en el dio on varios puntos de la Escocia algunas chispas de fermentación y cierto Habiéndose servido el Rey condescender con las repetidla instan tendencia revol…</t>
  </si>
  <si>
    <t>Disertación, Juan Antonio Llórente----</t>
  </si>
  <si>
    <t>Juan Antonio Llórente---- Disertación</t>
  </si>
  <si>
    <t>…odernos sobre to de todos los empicados. dispensas matrimoniales y otros puntos de disciplina eclesi ist.ca: un Se acordó que pioase á la comisión de Legislación. tomo en 4.'’ por D. Juan Antonio Llórente---- Disertación sobre el Se aprobó ei dictamen de la comí,ion de Ilioenda , la cual ha- poder que los Reyes españoles egercieron hasta el siglo duodécimo en biendo examinado la instancia del brigadier, coronel de Pava Don la división de obispados y otros puntos contenciosos…</t>
  </si>
  <si>
    <t>Distribución, Antonio Gutiérrez de Pan</t>
  </si>
  <si>
    <t>Antonio Gutiérrez de Pan Distribución</t>
  </si>
  <si>
    <t>…la junta nacional de este establecimiento, jons, organista de Tarragona. numeración con que se tomó' la razón por las contadurías generales de Sefíores que compusieron el jurado: D. Antonio Gutiérrez de Pan Distribución de la Hacienda pública, la de Consolidación , Juros y ofi do , el barón de las Cuatro Torres ,D. Josef Pujol, D. Nicolás Villa- cina de Renovación de vale*, cuya publicación se egecuta á mas de ha campa, D. Tomas Vives, D. Josef Segundo Soler y J.-nkins , Don…</t>
  </si>
  <si>
    <t>Divi, Agustín</t>
  </si>
  <si>
    <t>Agustín Divi</t>
  </si>
  <si>
    <t>…d es muy notable mantengan comunicación franca con este gene clusa la fuerza de dos compañías de los dispersados de Bolea , j Cuyos por ral enemigo el teniente gobernador de Jujui D. Agustín Divi:a y el menores se imnifi-estan ea el citado parte. No puedo menos de recomen comandante de Humahuaca D. Manuel Eduardo Arias, á quienes el dar á V.S. el distinguido mérito con que se han conducido en esta jor gobierno de Salta por una política inevitable tole…</t>
  </si>
  <si>
    <t>Dívila</t>
  </si>
  <si>
    <t>…ento, que trasmita á la poste Noviembre, y cartas de Veracruz del 17 de Diciembre, las cuales re ridad la grata memoria de las víctimas cobardemente inmoladas el día fieren que el gobernador Dívila, fiel á la madre patria , se había nega 1 de Mayo de 1K08 en el campo llamado de la Lealtad , conforme á do i entregar el castillo á los disidentes hasta que recibiese nuevas ór lo acordado por las Cortes en decreto de 14 de Marzo de 1814. El denes de Espafia…</t>
  </si>
  <si>
    <t>Divila</t>
  </si>
  <si>
    <t>…. otras frioleras, pues solo vienen á oler: también hay una (rayala de - Pedimos á las Con» se sirvan mandar que el Gobierno avie era guerra inglesa procedente de la Jamaica. y el Sr. Divila le mandó ae tu informe el expedíate de visita de la tesorería general en el término fuera ¿ Sacrificio*, donde te halla fondeada__ ’ n uno de los america de tres dias, y que el tesorero remita las cuentas dei prima afio ccooóno» han venido dos pasajeros, el u…</t>
  </si>
  <si>
    <t>Divita</t>
  </si>
  <si>
    <t>…ongreso. que podría alegar los motivo* que tuvo pete semejantes procedimien Después de hab:r hecho variis reflexiones sobre este asunto, con tos; ademas lo que dijo en su carta al general Divita de que en aquel cluyó diciendo que si se quería dar él último golpe qne acabme de ar tiempo se habia aprobado la independencia de América , pues que las ruinar lo- intereses de la Pea.nsnla, estaba en manos de lat Cortes, Cortea te esyaban ocupando de esto, á…</t>
  </si>
  <si>
    <t>Diz, Manuel</t>
  </si>
  <si>
    <t>Manuel Diz</t>
  </si>
  <si>
    <t>…regimiento infantería de la Reina, con 570 rs. al mea. del segundo voluntarios de Aragón , con 570 re. Alcojr A D. Pedro García , teniente supernumerario del regimien- . Manrcsa A D. Manuel Diz, teniente del regimiento infantería' to infantería de la Princesa , con 570 1». Imperial Alejandro , con 570 rs. Almería A D. Manuel Romero, teniente del regimiento infantería Motril A D. Josef López Cbevarri, teniente del regimiento infan de Búrgot.con 570 r…</t>
  </si>
  <si>
    <t>Dize, Bernardo</t>
  </si>
  <si>
    <t>Bernardo Dize</t>
  </si>
  <si>
    <t>…cerse pan: en duha tcstamenutía, acudirán i deducir su derecho a mando del coronel Torri(os, hab.an sido aquellos d rielados con en el exprésalo juzgado y escribanía del número de D. Bernardo Dize pérdida de 1300 muertos, gran número de hetidos, y los dtmas dis de Antoñana en el preciso y perentorio término de 15 días , que por persos y dtty atorados. ú.l.mo se les sefa’a. Por el preséntese cita , llama y emplaza á todos los que se con Las principales…</t>
  </si>
  <si>
    <t>Djmpierre, Antonio</t>
  </si>
  <si>
    <t>Antonio Djmpierre</t>
  </si>
  <si>
    <t>…cupe fue En el mes de Agosto del año 1814 pereció por naufragio en el ra del pueblo de tu residencia en ida y vuelta á egecutar dichas senten mar Báltico yendo de Revel i Stokolmo D. Antonio Djmpierre, cias, 80 rs. diarios; comprendiéndose en esta cantidad los derechos de natural del remo de Méjico, soltero é intestado. Se cree que sus pa la egecucion. Art. 7.0 Serán de su cuenU todos los gastos personales dres vivían en aquel tiempo en España; pero como n…</t>
  </si>
  <si>
    <t>Dn, Jote</t>
  </si>
  <si>
    <t>Jote Dn</t>
  </si>
  <si>
    <t>Núm. i fy f 14 1:..- I ■■) *49 GACETA DE MADRID. LUNES 3 DE JUNIO DE i3aa. NOTICIAS EXTRAMGE&amp;AS. La comisión d: Premios, en vista de las exposiciones de D. Jote Dn , D. .Minuil Batalle y D. Pedro Maran, solicitando se les habi AltMANIA» litase para p-rdi-r ootener empleo, opinaba que debía accederse á sus so Munich ( Batiera 9 de Mayo. licitudes. Aprobado. Nuestra Constitución va desenvolviéndose á pasos lento* , pero s…</t>
  </si>
  <si>
    <t>Doa</t>
  </si>
  <si>
    <t>…s milicianos nacionales de ambas armas de Madrid. TaiSUNAtKS. » ¡Con qué sentimientos de gratitud podrá esta corporación consti En la causa formada al capitán graduado de teniente coronel Doa tucional corresponder á vuestras virtudes cívicas! ] A esas gloriosas ac Josef Robledo, agregado al li. M. de la plaza de la Puebla, ha re ciones por las que habéis convencido i la Europa entera de que hay al caído la sentencia que á la letra dice: Vistos Sec…</t>
  </si>
  <si>
    <t>Doa, Pedro</t>
  </si>
  <si>
    <t>Pedro Doa</t>
  </si>
  <si>
    <t>…go á D Forer o Godos, comandante de icfanter a. del batallón infantería ligrra de Gerona, con el sueldo que disiruta. Rorda á D. Tomas Ramírez, comandarte de ir.fantet a. Huelva á D. Pedro Doa, espitan de infantería graduado da te Ser a á D. Josef María Araujo , com odante d.- infarlería. niente coronel y de la extinguida primera div.tum de granaderos pro Granada á D. Ignacio Caveto,comandante de infununa, vinciales , coa los 4$o rs. al mea que guz…</t>
  </si>
  <si>
    <t>Doción, Rosalía</t>
  </si>
  <si>
    <t>Rosalía Doción</t>
  </si>
  <si>
    <t>…do Doña Manuela da Alday. Dibujo: Doña Carmen Moreno. Constitu para defenderse de una facción desnaturalizada, que ha atacado i la Na ción: piirmio Doña Concepción García: segundo Doña Rosalía Doción mi sus derechos mas sagrados. aeijo. Doctrina cristiana: primero Doña Juana Duran: segundo Doña (3) :-,¡ el estado de España no es tan pacífico como debía ser es Cayetana Martínez. Historia sagrada: Doña Manuela de Alday. Mú poique Ies extrangeros han hecho y…</t>
  </si>
  <si>
    <t>Doi, Josef Joaquín Masquez y</t>
  </si>
  <si>
    <t>Josef Joaquín Masquez y Doi</t>
  </si>
  <si>
    <t>…ucional que nos gobierna. Excmo. Sr. comandante general del egército de operaciones y al muy » Dios guarde a V. E. muchos años. México 18 de Marzo de digno gefe del regimiento Sr. coronel D. Josef Joaquín Masquez y Doi8ai.= Exorno. Sr.=Josef Manuel Martínez. =sExcmo. Sr. virey con nalio, para que se inserte en la orden del dia. de del Venadito.” » Voy á nacerla reimprimir con el oficio de vd. y esta contestación El regimiento del Infante D. Cirios expedicionario i lot habit…</t>
  </si>
  <si>
    <t>Doiarea</t>
  </si>
  <si>
    <t>…a la funcionario público: r. gr., si se digese, siendo falso, tal ministro ha que j'iagaba'conveniente. dado tal orden que es trastornadora del régimen constitucional , esto no Él Sr. Doiarea apoyó d artículo; y habiéndose dado per t» seria una censura sino una calumnia. Si en este caso se dejase úwi—- discutido, ae aprobó con la reforma propuesta por la comisión. mente á la calificación del jurado esta denuncia , no se lograría d efec Art. 13. »…</t>
  </si>
  <si>
    <t>Doitl-ng</t>
  </si>
  <si>
    <t>…la, Don cargados da la educación, y á cuanto, bajan de ten.r algún inlluj, &lt;n la instrucción pública, fie vende en la, lit/r.rus de Ortega, dan/ , .Matute, Josef Antonio Pjya.lc , D. Doitl-ng» oarachaga y D. Antonio O.azarra, declararon por ocho votos contra uno, que lo fue ei de D. San M.yar y Laguna. EN LA IMPRENTA NACIONAL.</t>
  </si>
  <si>
    <t>DoJarea</t>
  </si>
  <si>
    <t>…stan El Sr. Romero Alpuente: Este artículo está extendido bajo un su do que no se debía aprobar el artículo. puesto constitucional explicado por la bandera de regimiento, y por El Sr. DoJarea: Nuestro edificio social está sostenido por tres co esta razón se colige que la Constitución hace al Rey una persona mo lumnas, que son el poder legislativo, el poder cgecntivo y el poder ral , que siendo profana sea sagrada, queriendo vulnerable sea inviola…</t>
  </si>
  <si>
    <t>Dolama</t>
  </si>
  <si>
    <t>…as adjudicaciones : otro, dar mayor valor ¿ los blico. bienes destinados á alia, y el qiie estos partícipes los adquieran donde Sa mandó insertar en el acta el voto particular del Sr. Dolama mas les convenga. contiario á la aprobación de las Cortes de ios arts. a.* y a.° del dic El Sr. Fraile manifestó que sería de mayor utilidad dar -Ht luego tamen de las comisiones de Hacienda y Visita del Crédito público. las certificaciones de todo el valor,…</t>
  </si>
  <si>
    <t>Dolare</t>
  </si>
  <si>
    <t>…en el pri tito, los puso -n circulación tales como vinieran, pagando á los em mitivo proyecto impreso. pleados con ellos ; y por consiguiente ti ahora se les hace este descuen El Sr. Dolare*; Es fuerte desgracia que se hayan variado los límites to podrán con razón decir que en el mes de Diciembre han tenida ma de mu .has provincias, y que Navarra, á la cual se han quitado algunas nos sueldo que en todos los demas del afio. Los comerciantes y tod…</t>
  </si>
  <si>
    <t>…ue io hnbiese celebrado á ciencia cierta de dicha nulidad un ar Las m smas comisiones opinaban que las personas expresadas en la resto de seis á doce meses.” Aprobado. adición d;¡ Sr. Dolare* estaban comprendidas en los partícipes legos, Art. 549. » Hay presunción legítima de la muerte de uno de los y por lo tanto no había necesidad de aprobarla: la adición se reducía cónyuges cuando ausente por el espacio de sejs años no se ha podido i que se co…</t>
  </si>
  <si>
    <t>Dolarea</t>
  </si>
  <si>
    <t>…dos que te enviaron de alli; lo eran de hecho ( prescindiendo de si lo eran de derecho) como había no señor , estas providencia* llegaron cuando U revolución estaba ya indicado el Sr. Dolarea, porque esta doctrina era agena del siglo 19, hecha, y el virey Apodaca había informado muy claramente; asi que y por lo mismo le pareció que debían darse algunas bases á estos co todo es un movimiento simultaneo y un movimiento igual. misionados , para que s…</t>
  </si>
  <si>
    <t>Dolaren</t>
  </si>
  <si>
    <t>…odos los tribunales, justicias, gefes, gober pone , y por tinto creo que debe aprobarse este dictamen. nadores y demas autoridades , asi civiles como militares y eclesiásticas, El Sr. Dolaren impugnó el dictamen, porque en él se daba por su de cualquiera clase y dignidad , que guarden y hagan guardar, cumplir puesto que la independencia estaba declarada , y porque se enviaban y egecutar el presente decreto en todas sus partes. Tendreislo entendido…</t>
  </si>
  <si>
    <t>Dole, Miguel Justo</t>
  </si>
  <si>
    <t>Miguel Justo Dole</t>
  </si>
  <si>
    <t>…las Cortes Mota.es.” &amp; mucha distancia del archivo, no pueden los individuos que las coraponen sin mucha incomodidad y entorpecimiento del de,pacho de los Habiéndose extraviado á D. Miguel Justo Dole una carpeta de res* negocios que se las encargan acudir á él en busca de los diarios y de* guara.■ s i i .¡ la con el núm. 388 , y correspondiente i la liquidación de crctos de ias mismas que continuamente necesitan para fundar sus in vari .* cre.i't * presen…</t>
  </si>
  <si>
    <t>Dolores</t>
  </si>
  <si>
    <t>…do Doña Francisca Ulivarría, ambas de seis á siete años. K,tri (2) c¡4Yí no está alarmada por nuestra revolución, «cuándo lo es tura inglesa: primero Doña Teresa Uribarri: síiundo Doña Dolores tuvo: ¡y qué motivos tenia que ya no tiene? La revolución española Pareja. Id. española Doña Carmen Crespo. Aritmética'. Doña María znanif- tó desde luego un carácter de moderación y de paz qus no ha Josefa Pdayo. Gramática castellana: primero Doña Bruta O:ho…</t>
  </si>
  <si>
    <t>Dolz, Miguel</t>
  </si>
  <si>
    <t>Miguel Dolz</t>
  </si>
  <si>
    <t>…Sres. siguientes; D. Valentín de Nicolás, D. Valentín Rec-.o, disposición , y 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libra ó quintal de Habida la conferencia…</t>
  </si>
  <si>
    <t>…ey, Latre, Lapuerta , Santalé, Saogenis, Cue 1). Angel Bonalto, D. Martin de Zarandia, D. Francisco Traveseó», vas, Lasala, Vega, Castran. Falcó , Alcántara, Becerra, Jaimes, Gis- D. Miguel Dolz y D. Josef María Puente. Habida la conferencia, de bett y Valdéa (D. Cayetano). . _ , ,, clararon por unanimidad haber lugar á la formación de causa. Sres. que la desaprobaron: Oliver, Salvá, Prat, Saavedra, Muro, Habiéndose denunciado al Sr. alcalde constitucional de esta villa Bur…</t>
  </si>
  <si>
    <t>…presente decreto en todas sus D- Manuel Pinilla. D. Antonio Gamonal; D. Manuel Merino; Don partís. Tendreislo entendido para su cumplimiento, y dispondréis se Zoilo Gómez Casrro; D. Miguel Dolz; D Manuel Carnicero; Don imprima, publique y circulets-stí rubricado de la Real mano.sEn Angel Bonalto; D. Rafael Costa y I). Marcos M■ñero. palacio á 13 de Julio de i8a»-=A D. Felipe de Sierra y Pam bley.” Habda la conferencia, resultó por unanimidad haber l…</t>
  </si>
  <si>
    <t>Domenecb</t>
  </si>
  <si>
    <t>…or 74 votos, habiendo obtenido 6'é ei Sr. Vrlasco, uno el íir Ruiz en persecución de los facciosos, al paso que las tropas del ejército se de la Vega, otro &lt;1 Sr. Abrcu, y otro el Sr. Domenecb. Total 145. disputaban le gloria de poder marchar. En masa se levantaría la pro En la elección de secretario tuvieron en primer escrutinio el seCor vincia entera en defensa de la Constitución ti amenazase un peligro Florcz Calderón 70 votos, el Sr. Benito 71,…</t>
  </si>
  <si>
    <t>Domenech</t>
  </si>
  <si>
    <t>…Moten Antón, compuesta de unos 400 hombres, que dis Nuñez ( D. Toribio), y uno el Sr. Romero. persó completamente, causándole* alguna pérdida. Para vice-piesidcntc fue elegido el Sr. Domenech por 63 votos de — La dipnradon provincial de Barcelona intenta formar un cuerpo ex 110, teniendo 40 votos el Sr. Tomas, dos el Sr. Letre, uno el Sr. Ro pedicionario de In milicia nacional. mero , uno el Sr. Buruaga, uno el Sr. Flore* Calderón, uno el Sr. Al A…</t>
  </si>
  <si>
    <t>….c a ce »a p-o.- : . . r. Rusia conservara sus proyectos, el Austria sus deseos de paz , la In.cu- anterior. térra sus temores de gu-na, y la Francia quedará sujeta a una ocupa El Sr. Domenech levó el dictamen d; !a con» »■'■»■» d- ti ’ ción militar, si se dej» arrastrar d.-l necio proyecto de invasión. interior sobre ia planta y reglamento de la secrct-rii y a.c .. . cíe .es Fondos públicos en Londres el 19 de Noviembre. íiiUet-s del ban Coi tes.…</t>
  </si>
  <si>
    <t>Domenech, Francisco</t>
  </si>
  <si>
    <t>Francisco Domenech</t>
  </si>
  <si>
    <t>…amerte por ío que resLa comisión de Hacienda informando sobre la instancia presentada p:cta á la del Sr. Adanero pera qu; los visitadores recorran los libro» en por el’hercdero de D. Francisco Domenech , consejero que fue de Cas que los jueces hayan salvado sus vetos particulares, ia comisión la juztilla , en solicitud de que los sueldos que dejó devengados se paguen ga conveniente, porque de este modo se vera ia incu.psbiiidao de -os por la teserería gener…</t>
  </si>
  <si>
    <t>Domenech, García</t>
  </si>
  <si>
    <t>García Domenech</t>
  </si>
  <si>
    <t>…utivo Sr. Ser a ni por 70 de 96, el Sr. Villanueva por 75 de 105 , el señor tiene siempre una natural tendencia á ampliar sus facultades, y hacer Navarro Tejeiro por 74 de 103, el Sr. García Domenech por 68 de algún ataque para usurpar terreno; y como el asunto de que se trataba 98 , &gt;r. Marau por 78 de 93 , el sr. Luque por 70 de 96, el Sr. La- estaba bien marcado en la Constitución, eran estos los motivos que le gssea por 69 de 97 , d Sr. Lilio por 69 d…</t>
  </si>
  <si>
    <t>Domenech, J.</t>
  </si>
  <si>
    <t>J. Domenech</t>
  </si>
  <si>
    <t>…s de la humanidad.’' llos periodistas publican. Refiriéndose á una carta de un comerciante » Oyete entre tanto dentro de los muros de la fiel Madrid el hór de Málaga, dicen que el capitán J. Domenech , de la polacra española rido son de las cadenas; las falanges del despotismo penetran por las S. Narciso, q.is iba de Cataluña para Cádiz, arribó á Atmuñec ir, percalles; una bandada de esclavos está rodeando el palacio sagrado del aegu do por una escuadrill…</t>
  </si>
  <si>
    <t>Domenech, Joaquín García</t>
  </si>
  <si>
    <t>Joaquín García Domenech</t>
  </si>
  <si>
    <t>…spectivamente acuerden las Cortes en u,o de su atribución." aquellas provincias. _3-* * Que en esta disposición se incluya:: igualmente las causa, de Se dió cuenta de un oficio de D. Joaquín García Domenech , pre injurias 6 ofensas, de cualquiera género, hechas contra la sagrada e sidente del tribunal de Cortes, en el que manifestaba haber quedado viciable persona del Rey.” instalado dicho tribunal. Las Cortes quedaron enteradas. 3-a *» Para que ei nombramiento…</t>
  </si>
  <si>
    <t>Domenech, Juan</t>
  </si>
  <si>
    <t>Juan Domenech</t>
  </si>
  <si>
    <t>…ó Caracueí.= Jorge Gircía.sjosrf Rey.sJosef Alba.slgnacio Vicente AsensisDr. Francisco S. Juan.sGerónimo Feirer.crjosef SorUao.sJosef Jou. 3 D.Joaef Abclan.sDr. D. Antonio Mol¡na-=D. Juan Domenech, exa Ramón Sala.=Manuei Dura-sFrancisco Catalán Josef Vilar.sVicenminador del protomedicato de Valencia.sPascual Vicente, maestro de te Domenec =Fernando Pascual =Ar.tonio Ruiz =Antonio Maain.=c farmacia.sSilvestre Ramírez de Arellano, alcalde de barrio , qui…</t>
  </si>
  <si>
    <t>Domenech, Juan García</t>
  </si>
  <si>
    <t>Juan García Domenech</t>
  </si>
  <si>
    <t>…era obraban en el expediente resultaba que había residido siete año* en Ali verdaderamente un impedimento para set diputado á Cortea , porque cante deade el año 15 al as: loa del Sr. D. Juan García Domenech, en el día no desempeñaba este destino; y que el conservar estas con sin embargo qne *e decía que era deudor ¿ los fondos públicos; pero na decoraciones no eran un obstáculo bastante pan impedir la aprobación de da se probaba, y los del Sr. D. Vicente Salvé s…</t>
  </si>
  <si>
    <t>Domin</t>
  </si>
  <si>
    <t>…res de lo» bfes. Loriares, Buey y Lapuerta, contra de Belgrado ha anunciado públicamente haber recibido la noticia ofi rios á la resolución de las Cortes acerca de la solicitad de D. Domin cial de que el famoso Alí, bajá de Janina , habia sido entregado vivo go de Torres. á su enemigo Churschid-Bajá por sus propias tropas, de las que la ma El Sr. Secretario Salva dijo, que D. Antonio Ferrer, diputado yor parte sonalbaneses. Si se confirma esta…</t>
  </si>
  <si>
    <t>…cioso en la mayor parte, de sus pióARTICULO DE OFICIO. posiciones, se reunió el jurado compuesto de los Sres. siguientes: D i Miguel Ripa, D. Antonio Regas, D. Valentín Ortigosa , D. Domin El Sr. secretario del Despacho de la Gobernación de Ultramar dice go Fernandez Angulo, D. Manuel Fstéban Caíala, D. Mariano Zotal de Gracia y Justicia dada el Real «¡tío de AranjuCz con fecha de nquin , D. Pió Santos, D. Francisco Travesedo y D. Pedro Matute. ayer…</t>
  </si>
  <si>
    <t>…rrimer grado: D. Maitin de Zarandi: , D. Andrés Na sen presentado á liqt.:dur tu&gt; creditos hasta 30 de Junio próximo pei- varro, D. Alalias Pini.ia , I). Pedro Rodríguez dr Toro, D. Domin derán todos los d recito» 1 la liquidación, y quedarán caducados de he go Fernand:z Angulo , marques de Torrenucva, D. Juan Paz , Don cho. Lo comunicamos - V. E. por acuerdo de ¡js mismas, para que pa Manuel Esteban Caíala , D. Jos:f Rives Quera.to y L). Toma…</t>
  </si>
  <si>
    <t>…meras letras la priclica del nuevo método y riste. ,V0r,i. En la gaceta de ayer col. *.*, lín. 8.*, donde dice notable, mi fijo d- i-nsefianta mutua y de gobierno , inventados por D. Domin liase noble .En la misma pág. 1891, col. a.% lín. a a , donde dice go Vaca* Rejo , oficial primero de la secretaría de la dirección general asía. 16 , •case usía. ig. EN LA IMPRENTA NACIONAL.</t>
  </si>
  <si>
    <t>Domingo</t>
  </si>
  <si>
    <t>…e que se la permitiesen enagenar varios bienes que pertenecían á su difunto padre en Oviedo. El Sr. secretario del Despacho de Marina , con fecha de ayer, dice A ia ín.sma otra de D. Domingo y Doña Marta Castromocho, desde ei Real sitio de Aran juta lo siguiente: sobre enagenacion de la hacienda que les pertenecía. » SS. MM. y AA. continúan sin novedad en su importante salud.” A la misma dos exposiciones, la una de Doña María Dolores Ca ñedo , y la otra de Doña Sebastian…</t>
  </si>
  <si>
    <t>…o rs. para el número 4.“ y último de Ermua ó el Manchuelo , se absuelve de la instancia á reserva de que saldrá lo mas pronto posible. nueva acusación, si de las declaraciones del cura Don Domingo de Los suscriptores á la Nosografia y Terapéutica quirúrgicas del caba Guesala y Teresa de Iturraldé, próf.igos, cuya causa se sigue por se llero Richerand acudirán á recoger el tomo z.°, y adelantar el imparte parado , ó de otra manera resultaren claros 'y bastante…</t>
  </si>
  <si>
    <t>…comandan! gme'it . ella os ma- d-sf'utar Martinez el mismo hib.r dec'arado al trsor ro z n ra )ub axs 1 ti .ta el camino que d beis tomar, &gt;1, como 110 lo duda , de.ca s unir di&gt; D. Domingo d: Teres, en igua"d&lt;d de cr.usunc a», durs-t ■ d vu-stros rrtos a los d.l Rey QJ. D GO J * los de la inri» n«a mayo tiempo en qu con arreglo á las ley.» d;be ser formada v pr*srczada di ría de ia Nacmn. cha eu-nta. T ndrosío entendido , y d spond e s su .urap…</t>
  </si>
  <si>
    <t>…e ■ D. Miguel de Becar , réditos impuestos, núms. 36,19, 3703,3706, la comisión de Visita del Crédito público hasta el dia 6 de Diciem 3710: una de 1489 rs-, mesillas, en favor de D. Domingo baenz , nú bre próximo venidero la preaentacíon de los privilegios de juros en el mero 7456: una 137U id., id. á Doña Gertrudis Iragorri, núm. 6250: archivo general de la distribución de la Hacienda pública para la liqui una id. de 1440 , id. D. Gabriel Acero…</t>
  </si>
  <si>
    <t>Domingo, Mariano</t>
  </si>
  <si>
    <t>Mariano Domingo</t>
  </si>
  <si>
    <t>…as en que ha sido admitida esta proposición. ces en pro 6 en contra de la Hacienda pública. Madrid 11 de Octubta da 18 a a. sEI interventor Manuel López Hernández. Por dimisión de D. Mariano Domingo ha quedado vacante la ¡udicitura de primera instancia del partido de Carpe. Se admiten m&lt;n ci Don Pedro Manuel M«rt inez, condecorado con la estrella del riales con sus respectivos extractos di méritos por térm no de 50 d g&gt;. Norte , comisario ordenador de lo…</t>
  </si>
  <si>
    <t>DomingoOr-</t>
  </si>
  <si>
    <t>…uel Moreno de Mora, D. josef María Retortillo. Sres. que de procederán dichos albaceas i evacuar su encargo, y les parará todo pre clararon haber lugar: D. Martin Fernandez Elias, D. DomingoOr- juicio á los que no comparezcan. tiz de Villate, D. Francisco Escudero de Isasi. Catecismo constitucional, ó sea la Constitución segunda vez inter pretada catequísticamente según su espíritu y letra, y conforme á las - En la pígine 69 del libro que se lleva e…</t>
  </si>
  <si>
    <t>Domínguez, Antonio Crespo y</t>
  </si>
  <si>
    <t>Antonio Crespo y Domínguez</t>
  </si>
  <si>
    <t>…ame— V. pea tu inteligencia y efectos correspondientes á su puntual cum rar o d i regimiento infantería Infante D. Antonio, id. plimiento. Madrid 16 de Junio de 181 j .” Minr sa á D. Antonio Crespo y Domínguez, mayor comandanta sup.'rnumrario del batallón infantería ligera cazadores de Barbas-JtelacUm dt los segundos comandantes fut S. M. ¡t ka servido nom tro, d. brar en los batallones dt la milicia nacional activa dt nurva crea Motril á D. Mariano Becerril, espit…</t>
  </si>
  <si>
    <t>Domínguez, Francisco</t>
  </si>
  <si>
    <t>Francisco Domínguez</t>
  </si>
  <si>
    <t>…inard, ción se expresan, se suplica á la persona que sepa donde existen , se sir suplantada la portada, introducida furtivamente en el reino , y hecha 4 va dar el aviso oportuno é D. Francisco Domínguez, que vive en esta la letra por la primera edición castellana de 181 2 , la que se ha mejorado corte calle del Mesón de Paredes núm. 4.% cuarto principal, manz. 61. y corregido muy notablemente en esta segunda edición de los defectos Uno de 75$ mrt., situado e…</t>
  </si>
  <si>
    <t>Domínguez, Josef Mafia</t>
  </si>
  <si>
    <t>Josef Mafia Domínguez</t>
  </si>
  <si>
    <t>…corresponda; y en t.° «le Entro de Reunidos en le ciudad de Sevilla los jueces de hecho D. Josef Ma 1823 cesarán los ttei alcaldes y dos síndicos actuales, y lambí» lo* ría Tige, D. Josef Mafia Domínguez, D. Leandro Pallares, D. Diego regidores que hayan servido dos afios. Para saber los regidores que de Ovando, D Francisco de Paula Méndez, D. Ciríaco Clavero, D. Joa entre los otros deberán continuar con los nuevamente nombrados se quín Medina, D. Diego Ferna…</t>
  </si>
  <si>
    <t>Domínguez, Josef María</t>
  </si>
  <si>
    <t>Josef María Domínguez</t>
  </si>
  <si>
    <t>…emejan juramento con arreglo á la ley , declara ion no haber lugar á la forma te, tengan dos ayuntamientos y la consiguiente separación en el go ción de causa D. Josef María Tige, D. Josef María Domínguez, Don bierno civil. Art. 7° Las respectivas diputaciones provinciales dispon Diego Ovando, D. Diego Fernandez Mufioz y D. Joaquín Medina; drán la reunión, y darán al efecto las órdenes y disposiciones oportu habiendo votado por la afirmativa D- Leandro Pallare…</t>
  </si>
  <si>
    <t>…s.; cada macho cabrío 6; la ter Sres. que compusieron el jurado: D. Cirilo Josef Sánchez , D. An nera 8 , y por cada vaca 20 rs.; y para que llegue á noticia de las per gel Pefia, D. Josef María Domínguez, D. Juan de Dios Hidalgo Vaz- sonas á quienes se interese se hace saber el púbiieo. u z , D- Rafael Mariano Pavón, D. Julián Alvarez de Gnlmago, Don A la entrada de los franceses en la ciudad de Burgos fueron extra Sliguel Cabezas, D. Francisco Josef de Estra…</t>
  </si>
  <si>
    <t>Domínguez, Josef Msru</t>
  </si>
  <si>
    <t>Josef Msru Domínguez</t>
  </si>
  <si>
    <t>…Etna y el burgos interventor D. Agustín González Villa, contador que ha Vcsub o. sido de Lean. - M l eíanos v ritr-«t*s d- Madrid, guerreros inmortales de una Cordel» interventor D. Josef Msru Domínguez , oficial segundo guarn.c.oa que Unto datnrue á ia «.apila! de esta Nación , siempre de aquella contaduría principal.</t>
  </si>
  <si>
    <t>Domínguez, Juan</t>
  </si>
  <si>
    <t>Juan Domínguez</t>
  </si>
  <si>
    <t>…uaba llenando de terror á diferentes pue Señores que compusi-ron el jurado D. Juan Basas, D. Pedro Turblos. El 5 de Setiembre repitió en Alepo y: acabó de destruir los po rientes, D. Juan Domínguez, D. Victoriano de U Puente López, cos edificios que aun quedaban. Mas de ao9 personas fueron víctimas D. Paulino Alegría de Quilchano, D. Francisco Saleta , D Manuel de ota catástrofe , que en algún modo ha alcanzado mas ó menos á las de Oiavarría , D. Antoni…</t>
  </si>
  <si>
    <t>Domínguez, Pedro</t>
  </si>
  <si>
    <t>Pedro Domínguez</t>
  </si>
  <si>
    <t>…plimiento. cautas, insalubridad en las cárceles ó mal tratamiento á los encarcela Madrid ay de Junio de 181a. dos, podrán hacerlo presente ¿ sus respectivas corporaciones, í ia di Don Pedro Domínguez, del consejo de S. M., su secretario con ejercicio «le decretos, caballero pensionado de le Real y distinguida orden española de Car os m, individuo de las sociedades «le Amigos del país de Córdoba, Lucelia y Baena, é intendente del egército nacional de Casti…</t>
  </si>
  <si>
    <t>…... pues del cual no se dará cuno 4 ninguna instancia para cata objeto, y 4«. IO* se procederá á su provisión. AVISO. Tmportao dichos suministros 46 ra. 10 mrs. de ni.: seguirá lm Don Pedro Domínguez, del consejo da S. M. ,su secretario con fecha. egercicio de decretos, caballero pensionado de la Real y distinguida Aquí la firma del representante 4 apoderado del fuello. orden española de Carlos tu, individuo de las sociedades da Amigos dal país de Córdoba…</t>
  </si>
  <si>
    <t>Domínguez, Tomas García</t>
  </si>
  <si>
    <t>Tomas García Domínguez</t>
  </si>
  <si>
    <t>…ero tegra ai P. Solchaga en 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t>
  </si>
  <si>
    <t>Domingurz, Isidoro</t>
  </si>
  <si>
    <t>Isidoro Domingurz</t>
  </si>
  <si>
    <t>…afianzando entre El juez de primera instancia de Búrgos entiende en la testamentan! tanto recaiga resolución , el sngeto que adeude,el derecho que deba exi- del difunto Ir. Tino. D. Isidoro Domingurz, arzrbtpo de Sta. Fe da gfrsele. Madrid 15 de Mayo di i8aa. = Miguel de Alava , presidente. Bogotá, en América, y gobernador que fue de la diócesis de dichs ciu =V icen te Salva, diputado secretario. = Josef Melchor Prat, diputa dad. Los que se consideren con…</t>
  </si>
  <si>
    <t>Dominvurz, Pedro</t>
  </si>
  <si>
    <t>Pedro Dominvurz</t>
  </si>
  <si>
    <t>…:o Gal»cz Caluiicio, -.scril-ro. mandamos á todos los tribunales, pist cía», g.-f.», c* n rnad.-r-s y dvnu, autoridad-», asi civi es como m i tare» y . cíes c .a-, de c.iatqu era D. Pedro Dominvurz, del conseio de S Af , su« cr t*r e&gt; con e.-erclase y dignidad, »(i' ra r: I n y hjgm .ui'ir , .un»,» r \ egeeuir el cic o de d -cretos , caballero psnsiora, o de la ¡»r., » u , , r ifri presen! • decreto en todas su» y:rt-s. l ervbe - o , i:i-:.r &gt; piri »u c…</t>
  </si>
  <si>
    <t>Domsio</t>
  </si>
  <si>
    <t>…tanto, motivo por que las Cortes Villaoueva, Nena, Silva, Reillo, García Bostaman te, Ln, O iv r, ordinarias y extraordinarias anteriores hicieron ia reserva de que he ha Valdés ( D. Domsio), Garoz, Cueva*, Tomas, Alomo, lsturiz. blado , y de la cual no sé cómo pudieran desentenderse las actuales. Grases, Zulueta , Marau , Muro, Luque, Alia, Gaiiano, Abre», El &lt;1. Istur'z: La comisión ai proponer el dictara- n en cu ilion ha Ova.le , Jiménez , N…</t>
  </si>
  <si>
    <t>Don</t>
  </si>
  <si>
    <t>…encargado de Negocios de España D. Pedro Alcántara Armayor distinción. Lo axttaflo es que publiquen ésto los periodistas fran aix, el agregado D. Angel Calderón de la Prezca y el cónsul Don oaquin de Zea Bermudcz. El Emperador manifestó el mayor agrado ceses , defensores de la media luna. f Después de haber pasado reyitta los grandes duques Nicolás y Mi al encargado de Negocios; le preguntó con mucho ínteres si tenia no guel á las brigadas de la…</t>
  </si>
  <si>
    <t>…al ó mayor sueldo del asignado para el portante salud. mismo objeto, sin hacerles otro igual descuento de los que en el dia A ia comisión de Legislación se pasó una exposición del Sr. Don recaen sobre los sueldos, por hallarse comprendidos en la indicada re Francisco Copons y Na vía, manifestando que con motivo de las expre nuncia. Y habiéndose aprobado esta proposición por las Cortes, de su siones que contra él habia proferido en el Congreso…</t>
  </si>
  <si>
    <t>…ación de causa.” gadores que den las competente* fianzas. A la de Premios se pasó otra del Sr. Falcó sobre que esta comisión El Sr. fiscal D- Matías López de Frias denunció al Sr. alcalde Don se abrtenga de proponer recompensas pecuniarias para un individuo, Cayetano Rubio el número 3 uei periódico t.tuiado el Moderado en cualesquiera que sean sus servicios patrióticos. clase de subversivo y se ,cioso. A la comisión de Instrucción pública se pasó…</t>
  </si>
  <si>
    <t>…haga una honorífica mención de las otras 16 víctimas » Luego que este regim entó recibió en el pueb'o del Venado la que fueron sacrificadas en Valencia, y cuyos nombres propuso el Sr. Don orden de dicho superior gefe , preventiva de que continuase su marcha Felipe Navarro, diputado en la anterior legislatura, fuesen inscritos en en derechura para esta capital, infiriendo ser uno de los destinados pa el salón.” Se mandó pasar á la comisión de P…</t>
  </si>
  <si>
    <t>…a paz y tranquilidad en este país, y Cario, GonzaUz Llanos. «cabida la comisión que coa este objeto se dos había conferido. Sentencia. En la villa de Madrid á 6 de Mayo de i8si el Sr. Don » Hace ya algunos días que perseguidos los facciosos en todas di Martin de Pineda, magistrado honorario de la audiencia territorial da recciones, escarmentados, abatidos y sin municiones, como tengo indi Castilla la Nueva, y juez de primera instancia de esta…</t>
  </si>
  <si>
    <t>…n su rebeldía la providencia que se juzgue en justicia. mos empleos al brigadier D. Esteban Llovera, en consideración i sus Los que se crean con derecho legítimo 4 la herencia del Sr. Don distinguidos méritos y servicios, y 4 los que ha contraído ¿'tintamente Cirios Gómez Caballero, de origen español, y comerciante que fue en la destrucción de la gavilla de facciosos mandados por Misas en In en el reino de Polonia, donde ha fallecido , se pres…</t>
  </si>
  <si>
    <t>…Pedro Muñoz, sargento mayor que fue de Ja ciu pora obtener renta eclesiástica ]9 rs. xa. Por las legitimación * i hijos dad, ¡a de Pamplona , ó de sus hijos te servirá avisarlo al coronel Don •epáteos 400 rs. ij. Idem i bastardos zoo. 1 j. Idem por las omina Francisco de Paula Cardona, agregado al cuerpo d} inválido* de Játirías de loe naturales 150. I $• Por los despachos ó títulos de armss para ya, en el reino de Valencia, qu:en tiene que comuni…</t>
  </si>
  <si>
    <t>…que entre las tropas que salieron en seguimiento de rr.a'o v callar lo bueno, es peculiar de aquello» HMados alemanes Ó los guardias iba el batallón de oficiales i las órdenes del coronel Don in iar.iis »n que la ignorancia es mas een ral , y los Gobiernos menos Evaristo S. Miguel. Parece que este hecho no es exacto, pues la tropa a-)a; l,dr‘» -í Iji» ItlC-» d. I S gle que mandaba este digno patriota era la compañía de oficialas de le ins ba &lt; i 1…</t>
  </si>
  <si>
    <t>…cución de los fugitivos, regresando fi esta capital des Lo* que te crean con derecho á la posesión de los bienes de la do pués de haber hecho vario* prisioneros, y de dar orden al coronel Don tación de la administración fundada por D. Bernardo Bsrardo com Lino Campos para que se adelantase con dichos cuerpos basta unirse parecerán á deducirle en el juzrado de primera instancia de Alicante, con el brigadier Pilares; encargándole muy particularmente…</t>
  </si>
  <si>
    <t>…entaron atarnos al carro Rral déla Almudcna, núm. a, manz. 185 , denunciada por falta de de sus ignominiosas victorias. dueño conocido, acudirán 4 deducir tu acción al juzgado del Sr. Don n Nada pues nos arredra ni no* intimida repetímos mil veces, nada Angel Fernandez de los Ríos, juez de primera ir-tancia en esta capi tendrá poder para envilecer nuestras armas, y si valiesen nuestras len tal , y por la escribanía del número de D. Cr.stoLal d…</t>
  </si>
  <si>
    <t>…n. A las inmediatas órdenes del señor director general tinúa la fortificación interior y exterior; pero no tememos por ahora quedaron el coronel del cuerpo D. Mariano Montoya y el capitán Don ninguna invasión: una partida de zoo á 300 detensores de la fé, que Joaquín Villava (con quienes se presentó &amp; E. diariamente en el cuar entraron en Castellfollit el lunes, supieron que otra partida , com tel di S. Gil, y asim-sir-.o en la madrugada del día 7…</t>
  </si>
  <si>
    <t>…persecución del faccioso Gastan y su gavilla, da erone y sincera manifestación de sus sentimientos constitucionales , y Srte de que el dia 1 y al llegat la partida mandada por el sargento Don d ’ odio que le inspiran lo; implacables enemigos de nuestra regeneración anué! Herrero al mesón de la Sierra, situado «obre Sata de Surta, poljica , que dispuestos siempre á ser los asesinos de su patrie procuran avistó á loe facciosos, y los atacó; pero que…</t>
  </si>
  <si>
    <t>…iones, y abrigándote hécia Covarrubias, donde se presentó con lograr tu sbjm. rara esto es menester buscar un apoyo en las nacio una facción, que en el mismo día fue batida por el comandante Don nes qua gozan dé la inapreciable felicidad de la monarquía absoluta, y Francisco Valdét, quien al acercarse con ao caballos de Lusitania al es precim proscribir las que tienen un Gobierno constitucional. Por pueblo de Retuerta, atravesó con su espada al famos…</t>
  </si>
  <si>
    <t>…Diego Prado, primer ayudante del segundo batallón del indi serranía ni de Zaldivar. Cádiz 8 de Agosto de «8aa.=Escar:o.” cado regimiento, y por adicto i la plana mayor de ella al capitán Don — Ea el Redactor general se publican noticias de Buenos-Airea , cuyo Josef MontaWan , teniente del de Africa, que voluntariamente ha ve resumen es como sigue : nido de Ceuta para ser empleado en el importante servicio ya demos » El diz s.° de Mayo á las 6 de…</t>
  </si>
  <si>
    <t>…rsas , reducido *ti número i solo* ao hombres, que tomaron la unión y la fraternidad sean nuestra divisa. desde la casa del el camino de Jubrique , adonde iba en su persecución el coronel Don poderoso basta la mas humilde choza qu* encontremos Kan respetadas Joaquín Urreiztieta. Cádiz 13 de Agosto de 18a 2.= Escario.” por nosotros las personas y la* propiedades. Que ya que el labrador ba Idem 14. tenido la desgracia de no ver colmados sus afanes,…</t>
  </si>
  <si>
    <t>….ianter'a de! resiu..rdo m ¡ t.r y del regimiento gunos grupos de milicianos de todas arnias, y se dirigieron al puente, d - Mal i ore u, y a zuna cabailerta de cque! ai mando del capitán Don en donde cantando himnos y canciones patnói cas celebraban ladicnosa Fpuan o Marcha, tíii efecto, antes de i i'ynr al expresado cortijo da entrada del ilustre Riego por aquel sitio ei año zo para dar aqui pr.n- Carcbite observaron que en ¿I se hadaban os facc…</t>
  </si>
  <si>
    <t>…n la izquierda con el fio de cortar al enemigo la retira un admirador de sus viitudes , y cuantas veces la patria necesite au da por el camino de la virgen de Beiimunt;el teniente coronel Don xilio , seré el primro que con ellos volaré á su d.f n.a ; esta gratitud Pedro No asco Basa con su regimiento y lo restante de la caballería de un filial amor naeda es extensiva tanto á . ste batal-on como i las por el c.rtro para poder atacar de frente el pu…</t>
  </si>
  <si>
    <t>…uerza restante, que eran 80 hombres, en ia puerta io,.viciosa, a! ir.ar.tio del alférez D. 1.defensa Marchante, se desor de Sta. Orosia , por s:r el punto mas interesante , con el capitán Don den; :;,n catepieranieutí. Peaje entonces fueron pcisrguidos por las Josef S erra y los tenientes D. Josef Sierra y D. Juan del Pino y el fii.rri.iic de an.bas columnas de cerro en cetro. La de Tolosana, desde subteniente D. Manuel Alegre, en la qu: no ha ocu…</t>
  </si>
  <si>
    <t>…macén de estampas de la calle Mayor se venden los retra udicial prescrito en la Constitución ; S. M. tuvo á bien mandar que tos á caballo del general D. Francisco Ballesteros , el brigadier Don e consultase el consejo de Estado, y que hiciese extensivo su dictamen Juan Martin (el Empecinado), los coroneles D. Juan Palarea (el Mé al derecho que convenga conceder á ios referidos aprehensores respec dico ) , gefe político de Madrid , y D. Francisco Aba…</t>
  </si>
  <si>
    <t>…aba, se-había presentado en las cercanías de Fuentes, se por las rn:smas los nuevos administradores generales de correos , con cuyo motivo dispuso el Sr. comandante general que el capitán Don inte■r.der.í. s ése , que nos tiene preparados !a geni ' de la fe cuando se Joaquín 'Xrcpacochaga , agregado á la plana mayor general, se dirigiese venfiqu-n su, castillos en España, como dicen los franceses. á aquel pueblo con ¡a escolta del citado convoy co…</t>
  </si>
  <si>
    <t>…o. Dios guarde á V. muchos años. Cuartel general de Davajuro y.ndo á escape sin sombreio y destocado , acompañándole seis de su 8 de Junio ds ;8z a.reFrancisco Tomas Moralc».=fir. gobernador Don pan da dei mismo modo; y los seguían a corta di-uncía con denue Manuel Cerrera y Colino.” do y empeño de alcanzarlos como de 1 5 a ao caballos de Santiago, con Extracto de una proclama d:l gobernador de Coro.= Acabo de re esperanza, por parte de los que obser…</t>
  </si>
  <si>
    <t>…utación permanente, y esta lo dirigía 4 las Cortes. preparatoria, de la instalación de las Cortes extraordinarias y de la se Las Cortes acordaron la licencia que solicitaba el Sr. diputado Don sión de apertura, quedaron aprobadas. Antonio González Ron para permanecer dos mese* en su país con el Se leyó el oficio del Gobierno á la Diputación permanente , exci objeto de restablecer su salud. tándola i que convocase Cortes extraordinarias, y la circul…</t>
  </si>
  <si>
    <t>…ntinuar la persecución de aquellos, comunicando las órde los periódicos franceses : los energúmenos consideran como un juego nes convenientes al gefe interino de *a plana mayof el coronel Don la guerra con España : los reflexivos ven en ella las mayores dificulta Alejandro O-Donell, á fin de que lo ver-fijase al comandante de armas des__ El dia 4 se decía en Faris que se nombraba al Príncipe Julio de Logroño para que practicase su movimiento hicia…</t>
  </si>
  <si>
    <t>Dona</t>
  </si>
  <si>
    <t>…al di Mauró se sabe que los facciosos en número de uno* diandse las sesiones que culi brea para este motivo en el numero de 400 , inclusos diez caballos , dirigidos por el díscolo D. Dona ngo las ordinarias señalada» por las leves. Ou.ra'l , y los cabecillas Ñas, Bofí, Isidro Casas de Mocacgr y El Sr. Alonso: No creo tdmisib’e el dictamen de ¡a comisión un teniente coronel , cuyo nombre *e ignora, entraron en Cali por las razones que voy a man…</t>
  </si>
  <si>
    <t>Doncel, Baltasar</t>
  </si>
  <si>
    <t>Baltasar Doncel</t>
  </si>
  <si>
    <t>…do i ser los mas despóticos ; en sirva remitirlos ó avisar para que los recojan 4 su apoderado en Ma t. iios, -ó.-.-. comba;: sus abusos nuestro poeta, ó manifiesta sus defec drid D. Baltasar Doncel, agente de negocios, que vive calle de Rela to- íi u a ut . S n pasar del primer canto, bien que sin perder de tores, núm. 13, mediante a que el que los tenga de ninguna utilidad v tt.i á -u her je , habla de los vicios del gobierno democrático en laa pueden…</t>
  </si>
  <si>
    <t>…juros se suplica á la persona que los tenga se sirva remitirlos ó avisar'1 » Comandancia de armas da Wall*: El capitán comandanta de la para qu* los recoja su apoderado en Madrid D. Baltasar Doncel, agén columna del segundo batallón da Cantabria existente en Montblanch te de negocios, que vive en la calla de Relatores,número 15 , median me dice en oficio fecha i lat once de este dia lo siguiente: te ú que al qée los tenga de ninguna utilidad pueden serl…</t>
  </si>
  <si>
    <t>…la S'O. T uvo co ocada Alcszar, provincia de Toledo, se suplica al que supiera su piriiíco tropa »li este pu b o , que dista una hora, y d-mat puntos que m- han se suva avisarlo i D. Baltasar Doncel, apoderado del convento, cada parecdo oportunos para hacer manma un reconocimiento, curo resul de R 'Inores , núm. 1 3 , cuarto a.' tado not c aré i V. fe. puntualmente Los pu- b o» continúan prestán A’ut.i. En la gaceta del 4, col. j.*, lío. 11 , donde dies…</t>
  </si>
  <si>
    <t>Donentregar, Antonio Gamonal y</t>
  </si>
  <si>
    <t>Antonio Gamonal y Donentregar</t>
  </si>
  <si>
    <t>…Art. 2 2. tata , D. Andrés Navarro , D. Simón González Yu-t , D. Isidoro deEl Gobierno fijará los plazos en los que los ayuntamientos hayan de Ho&gt;os, D. Ánton o banda 10 de Anas, D. Antonio Gamonal y Donentregar en tesorería el importe de las contribuciones, y dictará las re Lorenzo Lambea. Habida la conferencia, resultó por unanimidad n nogias oportunas para la puntual observancia de lo preven do en el pre haber lugar a Ja formación de causa."sente decreto. Madrid *…</t>
  </si>
  <si>
    <t>Donnadicu</t>
  </si>
  <si>
    <t>…úmero total asciende 1 no. - nes de un subhto fiel y de un diputado leal ( aprobación muy expresi va á la izquierda ). Voto contra el proyecto ds ley." r.XANCIA. Hib’.o después el general Donnadicu en apoyo del proyecto, y d.jo entre otras cosas lo s.guíente: París de Enero. » !&gt;e han citado algunas tradiciones btstórlcas, las palabra*, las ac tas, ios escritos de nu-iüos príncipes mas grandes, de ia* publicistas., cas 1(4 o* los nn’i’TADüS — icsi n del…</t>
  </si>
  <si>
    <t>Donnadieu</t>
  </si>
  <si>
    <t>…ción i to mas religiosa y fielmente guarde los pactos hechos con los pueblos.” la derecha y muchos bravo».) Por último, dijo el orador, por mas que se atormente al terreno ( de El general Donnadieu concluyó su arenga diciendo: la Francia ) , las raíces del antiguo régimen están ya arrancadas y no En une palabra, Sefioret, yo quiero la Carta; pero la quiero para volverán á retobar. Ya no hay , ni puede haber nada sólido, nada defi afirmar, para consolida…</t>
  </si>
  <si>
    <t>…Baftos comió ea Hugsrte el *y , y des pifian y Tolos* antes dd to da Agosto. Un periódico sefiere que aun pués de tener una corta conferencia con el comandante general Sán que el general Donnadieu había recibid» orden de salir pira las i:..li chez Salvador en el convento de capuchinos, continuó su marcha ea teras de España en calidad de inspector general det cordon nr um, persecución de loa (acetosos. había poderosas razones para creer que había vuelto…</t>
  </si>
  <si>
    <t>Donoj, Juan O</t>
  </si>
  <si>
    <t>Juan O Donoj</t>
  </si>
  <si>
    <t>…ervará vu-slro* derechos, na (D. Mariano), D. Domingo Ma'o é ltú bide , Cavaleri, el mar y estid'o de que si tengo disposición para premiar a1 bueno , la teneo ques de Aicinena, y D. Juan O Donoj . (considerado como vivo par* lamhir n para, sofocando mis sentimientos , ext-rmínar al malvado, ha perp-tuar su buena m moría)__Los caba teros de número ascienden ciendo e debidamente expiar sus crím.nes.s^u/r/u.’’ i ion; entre ellos e¡ brigadier Bravo, D. A…</t>
  </si>
  <si>
    <t>Donoso, Antonio Sánchez</t>
  </si>
  <si>
    <t>Antonio Sánchez Donoso</t>
  </si>
  <si>
    <t>…zapadoras, con el sueleo que diste mantenga la mejor armonía y deferencia entre las autoridades que f.uta mandan en una provincia, plaza ó pueblo. De &amp;&gt;il orden lo digo á Metida á D. Antonio Sánchez Donoso , comandanta supera ame— V. pea tu inteligencia y efectos correspondientes á su puntual cum rar o d i regimiento infantería Infante D. Antonio, id. plimiento. Madrid 16 de Junio de 181 j .” Minr sa á D. Antonio Crespo y Domínguez, mayor comandanta sup.'rnumra…</t>
  </si>
  <si>
    <t>Donsio</t>
  </si>
  <si>
    <t>…ne, Velasco, Torner, Ibarra, Bel Prado , Eulate y Munarriz. tran de Ls, Besañs, Bartolomé, Sedeño, Gvnr, Valdés Quinta partí. - Que también se exija la responsabilidad á loa indi (D. Donsio), Alvarez Gutiérrez, Isturiz , Grases, Zulueta, Abreu, viduos que compusieron el consejo de Guerra de oficiales generales, in Ñuftez, Pacheco, A'onv», Alix , Saavedra , Galiano , Melendcz , Gó cluso el Sr. marques de Casa Sarria.” mez ( D. Manuel), Jiménez ,…</t>
  </si>
  <si>
    <t>Dorador, Miguel Senz</t>
  </si>
  <si>
    <t>Miguel Senz Dorador</t>
  </si>
  <si>
    <t>…ó documentos fehacientes por termino de 30 días conta la ciudad d- /i.n ira, de 153,752 mrs—Otros dos sobre alcabalas de dos desde hoy. Pah-ncia 4 pli.'g &gt;s 13 y 14 , en cabeza de D. Miguel Senz Dorador, y antes lo estuvieron en la del hospital de Ntra. Sra. de la Concepción Habiendo prorogado las Cortes por su decreto de 19 de Junio de de ¡a oudad de Burgos y del convento de Sta. Clara de la misma, de 1821 el término prefijado en el art. 8.Jdel de 9 de Novi…</t>
  </si>
  <si>
    <t>Dorg, Ferreon</t>
  </si>
  <si>
    <t>Ferreon Dorg</t>
  </si>
  <si>
    <t>…as á re.on je t el pueblo de Sarifiena en virtud der-chos de la décima, sustituyéndose otros meros gravosos. de aviso que les dieron de que podían entrar con toda s.;j-idaJ, se El Sr. Ferreon Dorg s leyó un dictamen de la comisión de Hacitn- hallaron con mas de 700 faccioso» que estaban ocultos d r.t'ro de d c ;o da sobre la contrata de tabacos. pueblo, los cuales á la media hora de haber entrado nuesfas t-rp-s ( ¡s Se mandó quedase sobre la mesa un re…</t>
  </si>
  <si>
    <t>Dorrego, Manuel</t>
  </si>
  <si>
    <t>Manuel Dorrego</t>
  </si>
  <si>
    <t>…quienes se habia suspendido la entrada en la provincia: á sa que entrasen aquí después de nuestra salida, he marchado 3 Jas cinco de ber: D. Carlos M. Alb-ar, D. M'guel E. Soler, D. Manuel Dorrego, la mañana con las tres compañías de cazadores de ¡os regimientos de D. Manuel Sarratea, D. Pedro Josef Agrelo, D. Manuel V. Pagóla, Jaén , Ord.nes militares, voluntarios de Castilla , la segunda compa D. Josef ¿ares, D. Manuel Rodríguez y D. Juan Balagué. ñí…</t>
  </si>
  <si>
    <t>Dotres.sPor, Gaspar</t>
  </si>
  <si>
    <t>Gaspar Dotres.sPor</t>
  </si>
  <si>
    <t>…prácticas, el cual contiene: t.° La pri granaderos: el teniente Simón Suai.mPor la 1.* compañía de fusileros: mera parte de una interesante memoria sobre las neuralgias. a.° Un n teniente Gaspar Dotres.sPor la 2.* compañía Josef María Cala- método antivenéreo del doctor Hufeland, médico del Rey de Prusia, y bu¡g=Por la 3/ compañía Ramón Casi nos-=Por la 4:’* compañía: otro del doctor Bernard, médico del Rey de Baviera. j." Un artículo Manuel Navarro.=Por la 5.*…</t>
  </si>
  <si>
    <t>Dotrrs, Rita</t>
  </si>
  <si>
    <t>Rita Dotrrs</t>
  </si>
  <si>
    <t>…icitaban. Después de haber explicado algunos pa;aj;s de su discurso , á los Aprobado. cuales habían dado un sentido poco exacto sus contrarios, concluyó Otro sobre la solicitud de Doña Rita Dotrrs, viuda del mariscal diciendo: de campo D- Josef Obispo, solicitando se le conceda una pensión para »&gt; Se ha dicho que la sangre derramada por los gendarmas y por los la educación de su hijo- La comisión opinaba que no podía accederse á soldados recaerá sol: v…</t>
  </si>
  <si>
    <t>Doúrca</t>
  </si>
  <si>
    <t>…has de tabaco. de los comendadores de las ordenes y párrocos de les iglesias; una del A las de Hacienda y Visita del Crédito público se pasó una con- Sr. Marín Tauste , y otra del Sr. Doúrca, 1 dativas al decreto sobre in snita del Gobierno sobre las instancias de varios títulos de Castilla demnización de diezmos. acerca de la redención de lanzas y medias anatas. Continuó ia discusión del código penal. Dua'rúente se les pasó una exposición del có…</t>
  </si>
  <si>
    <t>Douun-</t>
  </si>
  <si>
    <t>…á proteger y amparar á tus buenos hijos : tal es precisamente al Emperador una representación, exponiendo los ma'es incalculables el caso en que nos encontramos con el b neméríto sargento Douun- que reten!.a este comercio por impedírsele la extracción y circulación gu-z, quien, srgun opimon de ios facultativos, al menos debí: quedar de sus fondos; al paso que los súbditos de potencias .xtiangt ras , y sin nunco del brazo derecho, en el que recibió el…</t>
  </si>
  <si>
    <t>Doval, Andrea</t>
  </si>
  <si>
    <t>Andrea Doval</t>
  </si>
  <si>
    <t>…emible de u Siberia; pero 4 la lle ri»y 11 mri.__La de D. Martín Martínez da Pmillos 48 rs. 74 magada,del capitán Krasenstern con dos buques de guerra de bastante t¿7e&lt;iijra—La de D. Andrea Doval _,8&lt;» rt&lt;- 7 4 mrs__ La representa magnitud, sabían sin duda loa japoneses., ya porque lo habían leído ción de los heredero* de D. Valentín banchez Boado 149a rs. y 2 en alguna geografia europea, ó porque lo habían consultado con sus gurivedites__La «le D. Di…</t>
  </si>
  <si>
    <t>Dr</t>
  </si>
  <si>
    <t>…to, visita gencia ; perq i los primeros pasos que se me ofrecieron dar en la car dor de ia casa de maternidad. rera de abogado, cuando se trató de sentenciar un pleito, conocí que Sr. Dr. D. Juan Antonio Salcedo, cura párroco de S- Gines, y el verdaderamente no tenia aquellos conocimientos que me figuraba po mas antiguo del cabildo de esta capital. seer. A estos que han aprendido en las universidades les sucederá lo Sr. D. Josef Pió de Molina…</t>
  </si>
  <si>
    <t>Dr, Buenaventura Quillones y</t>
  </si>
  <si>
    <t>Buenaventura Quillones y Dr</t>
  </si>
  <si>
    <t>…ro, 1796 al de 1820. Sr. i otendente interino D Juan de Guillcrmeti, 7 Sres. diputados Don A la comisión de Agricultura se mandaron pasar un proyecto de Josef Luciano Ortiz Renta, D. Buenaventura Quillones y Dr. D. Fé ley remitido por el Sr. secretario de la Gobernación de la Península, lix García de la Torre , se trató y acordó entre otras cosas lo siguiente: relativo al fomento de los arbolados; y una exposición de la diputación Se leyó la siguiente exposición de…</t>
  </si>
  <si>
    <t>Dr, Santiago</t>
  </si>
  <si>
    <t>Santiago Dr</t>
  </si>
  <si>
    <t>…sadores de los fondos de la Nación. Ar En su vista se reunió el jurado , compuesto dj los señor s siguientes:tículo 2 r. Los ayuntamientos tendrán contra los contribuyentes la mis D. Santiago Dr vado, D. Andr.t A-con , D. Manuel hst.ban Cama acción de apremio que los intendentes usaren contra ellos. Art. 2 2. tata , D. Andrés Navarro , D. Simón González Yu-t , D. Isidoro deEl Gobierno fijará los plazos en los que los ayuntamientos hayan de Ho&gt;os, D.…</t>
  </si>
  <si>
    <t>Dragonetti</t>
  </si>
  <si>
    <t>…e, cual es la enseñanza de la juventud destinada á ser un dia do i Ñipóles bajo partida de registro algunos sugetos , entre ellos el la gloria y el principal apoyo de la patria. «•diputado Dragonetti. En Palermo han pasado por las armas á nueve El procurador síndico D. Francisco Tomas Ros, á cuyo zelo in individuos, entre los cuales estaban el presbítero Villa y un notario. fatigable por el bien público se debe en gran parte la promoción de El teniente ge…</t>
  </si>
  <si>
    <t>Drinca</t>
  </si>
  <si>
    <t>…tión debe nierit; para la» provincias de la Peninsu'a. Ouedi» arn bi.'J quedar suspensa , aun cuando el ministerio francés quiera irrevocable Se leyó asim -mo otra proposición d;l Sr. Drinca» ■; it rj 3 ; * mente preservar de todo ataque la dignidad de la Francia , su honor no siendo adapi/u.en la» provincias de U trtmar, put eo aimrr' ■ y su interes. F.l Correo francés, comentando el articulo det M.ntr.r, Filipinas , el reglamento económico- poi…</t>
  </si>
  <si>
    <t>Drovilet, Esteban</t>
  </si>
  <si>
    <t>Esteban Drovilet</t>
  </si>
  <si>
    <t>…isco Millant 7 compefalleció, instituyó heredera 4 au madre 7 4 su hermana, 7en sa defecto tía de Barcelona 13 y 14—JD. Diego Sette Lnstene de Málaga 81 7 18.é los hijos da esta. —D. Esteban Drovilet 7 compafiía de Madrid 1617 7 18—D. Joaef ANUNCIOS. Vilart de Cidiz *3 7 i8._Gan 7 compañía da id. 113 7 4—Don Por decreto del consulado de Cádiz en autos aúm. apa del alio Pedro Rogs 7 compafiía de id. 107 7 10. Y adema» loa portadores de pasado de 1804 se ma…</t>
  </si>
  <si>
    <t>Dt</t>
  </si>
  <si>
    <t>…áellcs. sSr. alcalde primero constitucional de Oribnels.se „ Aunque mía actúale» tremamos de Jbtado y del Ttospacho Don Concuerda el inserto oficio con su original exhibido por ai Sr. Dt. Pedro Easetño Bardsjí r Ajeara, del de jflstadb; Dt Ramón Feliu, de le Go del Portille , alcalde primero constitucional de esta ciudad, que por abo* bernación de la Pfcnfnsals ¡ D. Estanislao Siunador, de Guerra, y Don ra obra en mi poder &gt; * que me remito.…</t>
  </si>
  <si>
    <t>Dt, Vanano</t>
  </si>
  <si>
    <t>Vanano Dt</t>
  </si>
  <si>
    <t>…bre la necesidad de separar i los ministros. cazitvlo vr. Se aprobó el dictamen de Is comisión de Marina sobre que se pase al Gobierno para los efectos convenientes la m. moría de D. Vanano Dt los atentados contra las autcrilades establecidas, t contra los fun Gutiérrez sobre clsmodo de que sean útiles al comercio los buques da cionarios róbateos, cuando proceden taia ; y de ¡os qur les u.urran guerra. d impiden ti libre ejercicio de sus funciones…</t>
  </si>
  <si>
    <t>Dtl, Manuel</t>
  </si>
  <si>
    <t>Manuel Dtl</t>
  </si>
  <si>
    <t>…nso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Laureano dian para matar~ Eguilior , D. Ramón Eguillor y D. Francisco Eguillor. Art. 605. » Los que maten á otra persona voluntariamente…</t>
  </si>
  <si>
    <t>Duaao, Andrés da</t>
  </si>
  <si>
    <t>Andrés da Duaao</t>
  </si>
  <si>
    <t>…adjudicarán á o&gt; que lo sol : tec , siempre que La comisión primen da Hacienda, en vista de la exposición de se obliguen á desecar los tinos, plantar de arbolado los ot:-&gt;s, ó ha D. Andrés da Duaao para que se le excuse del pago de la inedia anata, cerlos de cualquiera manera productivos en da-r.ti'nrdo rC-po; re qu: como contador da valorea debía satisfacer opinaba debía acccderse partiéndose entre los lidiadores, si fuesen much-'s y diesen fiar. 11 qu…</t>
  </si>
  <si>
    <t>Dublaisel, Honorato</t>
  </si>
  <si>
    <t>Honorato Dublaisel</t>
  </si>
  <si>
    <t>…nservarán al mismo tiempo los gobier desempeña actualmente en propiedad la de Astlirias. Para la de Sala nos de las respectivas plazas de Ciudad-Rodrigo, Zamora, Sautoüa, manca al brigadier D. Honorato Dublaisel, gobernador de la plaza de Jaca, S- Fernando de Figueras, Lérida , Tortosa, Alicante, Málaga y Ciudad-Rodrigo. Para la de Zamora al mariscal de campo D. Federico Alburquerque, asi como serán al mismo tiempo gobernadores de lar Castañon , gobernador de la plaz…</t>
  </si>
  <si>
    <t>Ducer, Juan</t>
  </si>
  <si>
    <t>Juan Ducer</t>
  </si>
  <si>
    <t>…inos, con- Debiendo proveerse la plaza de administrador de la aduana de Pi mut. ndolcs loa afios de campafia en cursos de universidades. ¿No hay nami, vacante por fallecimiento de D. Juan Ducer, que la obtenía, se un infinito número de auditores de Guerra, agentes fiscales de tribu pone en noticia del público, á fin de que,con arreglo á los decrctosde nales superiores suprimidos! ¿ Y estos gozan sueldo 6 no! Por consi las Cortes, loe empleados y ces…</t>
  </si>
  <si>
    <t>Duchen, Salvador</t>
  </si>
  <si>
    <t>Salvador Duchen</t>
  </si>
  <si>
    <t>…mas lo comu do nombramiento. nicamos á V. E. con inclusión del citado expediente, para que ponién- ANUNCIOS. dbto-en noticia de $. M. se sirva dar las órdenes á su cumplimiento, a Don Salvador Duchen , profesor de historia natural, y grabador De la de S. M. lo traslado 4 V. E* para que lo ponga inmediatamen de cámara de S. M., ha descubierto un específico para preservar de I* te en egecucion , lo publique cn los periódicos, lo circule 4 los puer polilla l…</t>
  </si>
  <si>
    <t>…ha lugar i la formación de causa. Barcelona . = secado de animales y dibujo de adorno coadyuvó i las ideai del pro 1811— Joiquin Ruira y Lacriu.—Franc sco zoler=V c rt- \ . fesor D. Salvador Duchen , que se proponía abrir una enseñanza públi Jaime Busaña.=M*car.o Rioz=Joscf Coicm.aai =F.:.i Jan:: ccj.aca de cala clase , facilitando!* local para establecerla. quiu Ccbria—Balizar Domenech.</t>
  </si>
  <si>
    <t>Dufour</t>
  </si>
  <si>
    <t>…suposición de esta Entre tos discursos pronunciados con este motivo se distingue muy par naturaleza es sÍQduda lo que dijo el presidente de los Estados-Unidos ticularmente el del coronel Dufour, individuo del consejo representa en una-parte de su discivso; i saber: que la deuda se había aumentado tivo. He aquí algunos frasmentos. cerca de cinco millones de éliros á 5 P°r too de ínteres; pero en el El orador cree desde fuego que la Suiza neutral, á c…</t>
  </si>
  <si>
    <t>Dupont</t>
  </si>
  <si>
    <t>…ablecimiento del cotdon sanitario. ( El Sr. Foy : el nombre del Rey mos tomad') ia, medidas conreo entes contra ci torr.nle asosudor de ia no debe sonar en estas ocasiones......El Sr. Dupont: la responsabilidad fi.bre amarilla; p ro se sUeoii- que aun tememos ma, el corita, o de es vuestra. ) En el discurso pronunciado desde el trono se zñadsó que las doctrir-ts p.» ircas K-sp cto a esto tienen lamb en los G b: :no* •1 cordon te man tendría mient…</t>
  </si>
  <si>
    <t>Duque, Diego</t>
  </si>
  <si>
    <t>Diego Duque</t>
  </si>
  <si>
    <t>…fican loe principal, en Madrid 4 31 de Mayo de 1780, en favor del mayorazgo segundos de las demas provincias; »eHalándose para el tegundo el dia 4 fundado por D. Diego de Anzures, D. Diego Duque y Doña Leonor de Julio 4 la hora de las diez, y para el tercero le misma hora del 9 de Luna, sefialado con el núm. 126.__Otra de 18,515 rs. y 11 mrs. del citado mes; y te admitirán laa posturas y mejoras que se hagan vellón, en favor de los mayorazgos que poseía el marques de Viiia…</t>
  </si>
  <si>
    <t>Duran, Andrea</t>
  </si>
  <si>
    <t>Andrea Duran</t>
  </si>
  <si>
    <t>…ocurrió en ellos, peería D. Justo León Val testero, á hac*rse parte en el expediente promovido fa'tar a m Iranqu za y principios si no hiciese una manifestac.on pú- á instancia de Doña Andrea Duran de la Rocha, marquisa de Prado, b ca de cuanto a patr a debe á esa respetabla Corporation y milicia, y Solicitando te le aprtguen en pleno dominio la mitad de las fincas C' ryo a&gt; Crítz éx to de rata gloriosa jornada. reipondientes í dichas fundaciones por no…</t>
  </si>
  <si>
    <t>Duran, Gregorio</t>
  </si>
  <si>
    <t>Gregorio Duran</t>
  </si>
  <si>
    <t>…á deducir del preaupueato ban Montcagudo, que permanecieron ea la poaicion hasta que eicapiordinario próximo auceaivo.................................. 10.000,000 tan de mi cuerpo D. Gregorio Duran* salió del fuerte con su com pañía y unas partidas suelta* , y los desalojó , derrotó y persiguió una Hacienda. Pan gasto* de interetee, fondo de amortización legua. Este gefe recomienda 4 |od* la tropa ds tu mando, y con particu y gasto* del último empréstit…</t>
  </si>
  <si>
    <t>Duran, Josef Antonio</t>
  </si>
  <si>
    <t>Josef Antonio Duran</t>
  </si>
  <si>
    <t>…la, en la provincia de opinaba que se declarase no haber lugar á deliberar sobre ellas. A pro- Vah ncia, vacante por fallecimiento de D. Antonio Castellano y Ca Lido. bréis no , á D. Josef Antonio Duran, y para la del de Mahon , en la La comisión de Poderes, al reconocer los presentados por los sello- provincia de Mallorca, vacante por muerte da D. Esteban Briones, á res diputados para las próximas Cortes , había advertido lo siguiente: D. Leandro de la Barc…</t>
  </si>
  <si>
    <t>Duran, Josef Joaquín</t>
  </si>
  <si>
    <t>Josef Joaquín Duran</t>
  </si>
  <si>
    <t>…mandancia general de portas Cortes. Interventor D. Josef Alvarez Pandilla, oficial de le este primer distrito militar los autos de testamentaría del Excmo señor tesorería de León. D. Josef Joaquín Duran, mariscal de campo de lo* egércitos naciona Soria int:rventor D. Aquilino Hernández, oficial de la contaduría les á instancia de varios interesados, se ha mandado celebrar junta ge principal de León. neral de herederos y acreedores, para la cual ha señalado e…</t>
  </si>
  <si>
    <t>Duran, Juana</t>
  </si>
  <si>
    <t>Juana Duran</t>
  </si>
  <si>
    <t>…facción desnaturalizada, que ha atacado i la Na ción: piirmio Doña Concepción García: segundo Doña Rosalía Doción mi sus derechos mas sagrados. aeijo. Doctrina cristiana: primero Doña Juana Duran: segundo Doña (3) :-,¡ el estado de España no es tan pacífico como debía ser es Cayetana Martínez. Historia sagrada: Doña Manuela de Alday. Mú poique Ies extrangeros han hecho y están haciendo cuanto es posi sica: primero Doña Gerónima Lessenne: segundo Doña…</t>
  </si>
  <si>
    <t>Duran, Pedio</t>
  </si>
  <si>
    <t>Pedio Duran</t>
  </si>
  <si>
    <t>…vrat tud y admiración. de Robles, D. Francisco de la Rocha por agregación del mayorazgo &gt;■ Drst nado por el Sr. comandante general de este distrito para con- que pozaba su hermano D. Pedio Duran; D. García Catvajal y Pare tnuar '»&gt; operaciones de la piazs de la C onstitución, puerta dei Sol y des; Elvira de Paredes, muger de D- García Alvarez de Toiedo, á ca'&gt;r, inm distas, en virtud del ofrecimiento que como ciudadano le Pavorde su hijo García de Pa…</t>
  </si>
  <si>
    <t>Durao, Crouvea</t>
  </si>
  <si>
    <t>Crouvea Durao</t>
  </si>
  <si>
    <t>…o mismo á las valientes tropas que cor las Cortes para el mes entrante, y salieron electos para presidente el ren en pos de los facciosos para destruirlos; motivo noble y poderoso Sr. Crouvea Durao, para vice-presidenta el Sr. Freiré, y para secretario# para mover vuestra bien acreditada generosidad, y pira excitaros en los Felvueiras, Sarmentó, Peixoto y Soanes Franco; y suplente* el instante á ofrecer vuestros intereses en la suscripción que el ayunta…</t>
  </si>
  <si>
    <t>Durazo, Manuel</t>
  </si>
  <si>
    <t>Manuel Durazo</t>
  </si>
  <si>
    <t>…ón; que esta-inu-rcsado ha La comisión de Negocios eclesiásticos opinaba que debía desestimar bía sido un comerciante muy acaudalado, y que su casa duiat.te los se la solicitud de D. Manuel Durazo, presbítero secularizado, vecino seis años del despotismo habia sido un asilo seguro de todos los pa de Ciudad-Rodrigo. Aprobado. triotas, como lo podía atestiguar el coronel 1). Francisco Co om- La de Legislación opinaba que no debía haber lugar i deliberar…</t>
  </si>
  <si>
    <t>Duro, Manuel</t>
  </si>
  <si>
    <t>Manuel Duro</t>
  </si>
  <si>
    <t>…a formada con vincia , ó en otro pueblo de la misma si resultasen mayores ventajas, tra Pedro Suatez por atribuirle el robo de ao9 rs. egecutado en ei cuar to habitación de su amo D. Manuel Duro , administrador de ias fabrise dispondrá un edificio seguro y i propósito , d nde serán conducidos cas de salitre de Alcázar de S- Juan, en la qu; habiendo oido a la paratodos los sentenciados á las obras públicas por ios tribunales, para que te de Duro y al…</t>
  </si>
  <si>
    <t>Duta, Anacleto Fagoava y</t>
  </si>
  <si>
    <t>Anacleto Fagoava y Duta</t>
  </si>
  <si>
    <t>…ni, ¡nt.ii úiue ds egeicito honorario, y en propiedad artículo inserto en el número 35 d.l Zurriago, denunciado a nombra de esti provinc’a. de I ,» áres. D. Juan Arguelles Valdés, D. Anacleto Fagoava y Duta Por t i ministerio de Hacienda con fecha 4 del actual se me ha co ri y D. Antonio hiles , magistrados de la audiencia de Madrid ; la ley municado la Ib. al ord n que sigue: condenó á Alejo Lop.zGarcía, responsable de dicho impreso, á la pe « Los Sres diputados -.…</t>
  </si>
  <si>
    <t>Dutari, Anacleto Fagoaga y</t>
  </si>
  <si>
    <t>Anacleto Fagoaga y Dutari</t>
  </si>
  <si>
    <t>…rtes y los azares de la navegación. villa por D. Juan Cornejo, en nombre de los Sres. D. Juan Arguelles 6.a Si a la dirección general ocurriese algún pedido extraordinario Vaidés, D. Anacleto Fagoaga y Dutari y D. Antonio Siles, magis por alvun suceso imprevisio, y que no dé lugar á la anticipación y trados de la audiencia territorial de Madrid, el Zurriago núm. 35 , co conc'usion de meses pactada en Ja condición quinta, podrá hacerlo á mo altamente injurioso á dichos Sres.; se reun…</t>
  </si>
  <si>
    <t>Dutari, Anadeto Fagoags y</t>
  </si>
  <si>
    <t>Anadeto Fagoags y Dutari</t>
  </si>
  <si>
    <t>…nancia alguna en dar á aquellos que miran diencia territorial de Castilla la Nueva O. Juan Arguelles Valdés, como infieles señales de aprecio y de respeto, y aun el zalá, mientras D. Anadeto Fagoags y Dutari y D. Antonio Siles i en cuya conse que los tuteos no se levantan casi nunca para recibir á los clóranos cuencia la ley absolvió i D- Ramón Fornico responsable de dicho que van á visitarlos, sea la que fuere tu dase. Los persas no tienen re impreso; y el Sr. juez de primera inst…</t>
  </si>
  <si>
    <t>Duval, Josef</t>
  </si>
  <si>
    <t>Josef Duval</t>
  </si>
  <si>
    <t>…r ea u quisas. calificación en segunda instancia «leí escrito del ex-dipuu«lo D. Jo*( El Sr. Buey manifestó que habiendo dicho lo bastanto el Sr. Ar- Moreno Guerra por denuncia de D. Josef Duval á nombre de Das giielles renunciaba la palabra. Juan Josef Ribas, cónsul español en Gibraltar. El Sr. Adan: La prudencia del Sr. Arguelles ha llamado la aten Se leyó el artículo /.''adicional al reglamento, y en tu virtud a ción sobre exquisitas doctrinas y s…</t>
  </si>
  <si>
    <t>…cional con fecha 8 de Noviembre último por D. Juan Gonza'cz de Rivas , cónsul de España en G braltar , y en su nombre y representa Pasado por cuenta de; cupo nacional de con— ción D. Josef Duval; la ley absuelve al Sr. D- Jis;f Mir. no de Gu-c- sumo*........... *. 460,000 ra responsable de dicho escrito, y en su consecuencia mandó que se so Idem á cuen'a de lo que en el empréstito na- bresea en todo procedimiento anterior , sin que este le c iuse pe,…</t>
  </si>
  <si>
    <t>E-.covcd'j</t>
  </si>
  <si>
    <t>El qui se determíne «1 número de la fuirzi d: que te trata m* pire- Fi Sr. A.:;!oo: El Sr. E-.covcd'j ha-contestado y* í t« objeción púac-r/qbe es demasiado obstáculo: «i el objeto da esta: partida» es pTs:~ ta por ei Sr. Vaices . y voy yo i cor.t.-star al Sr Zu.ucu. L. íin.ca obguie 4 lp* malhechores; yo convendré en que &lt;•» indispensable que ha jet 00 que s…</t>
  </si>
  <si>
    <t>Eacovedo</t>
  </si>
  <si>
    <t>…o particular de los Sres. Atrarez, Rojo go puerto de depósito : otra del Sr. Surra para que se haga igual decla y Ojero, que decía ati t ración en favor de Tarragona otras dos del Sr. Eacovedo á los arta. 9 Aunque suscribimos gustosos al precedente reglamento, no podemos y 10 de cate reglamento; y otra del Sr. Afonzo pera que se declara ■enot de reclamar que ia excepción del art. z.° á favor de algunas espe puerto de depósito al da las Palmas en la…</t>
  </si>
  <si>
    <t>Eades</t>
  </si>
  <si>
    <t>…e Bos y un pasagero. ton, en los Estados-Unidos de América. Después de haber yo extendi —Se ha dirigido al Excmo. ayuntamiento la siguiente representación : do esta descripción el Sr. Eades me hizo saber las circunstancias si » Excino. ayuntamiento constitucional: Los voluntarios ds la disuelta guientes: columna expedicionaria que suscriben atentamente á V. E. exponen: •• La sirena la cogió en un parage del mar al norte de la China un que al sab…</t>
  </si>
  <si>
    <t>Eanctco</t>
  </si>
  <si>
    <t>…o que sigue - Mr. la tarde del 29 de! pasado lle I '¡cito comercio que había aprehendido en tina casa paiar,.í des horas y gué á esta pbci azorr gañe rio de m: irc.hri; el a fei.z D. Eanctco tuedit de acudía c udad.elcabo dei r-sgu i¡- lo militar O. Agustín Man- Serrano y drl cip.tan ¡\ Merlino Miguel Polo, y a pesar de ¡a sor imchez en compañía dei d* su clase D. Jesrf Ri buena con cinco sol- presa de mi llegada, inmediatamente tal.o .; recibirm…</t>
  </si>
  <si>
    <t>Eatiño</t>
  </si>
  <si>
    <t>…182a. ---------------- —------------------ ~ T~"i - ** —~~ " -----------------NOTICIAS DE F.SPAÑA manante sobre la imposibilidad en que se hathbi para acudir 5! C'--,greso ei Sr. diputado Eatiño , fin de que se resolviese io ccr.v_n._i.: Barcelona £ •!( ¿Cozuin'/e. conforma al ait. 90 de la Constitución. A b» cinco de la urde de ayer vió Barc-lona destmbarcar una ccm- Se nombraren para la cr.m sion de Legislación, encarrada de i' ' r paúia iíj milici…</t>
  </si>
  <si>
    <t>Ec, Juan de</t>
  </si>
  <si>
    <t>Juan de Ec</t>
  </si>
  <si>
    <t>…de crédito al presbítero D. Martin Julián de Indart, como po- les cada nna, pagados por el apuntamiento mensualmente del fondo de aoedor de la capellanía fundada en esta corte por D. Juan de Ec heñí propios; mas habiendo determinado S. E. la diputación provincial la an 5/ Do fia Paula Ordoftez de Buentalante; p habiendo sido intercep subsistencia del que se halla en la actualidad en virtud de contratatada en tu remesa á Orenos , pueblo de su residen…</t>
  </si>
  <si>
    <t>Echalegur, Bernardo</t>
  </si>
  <si>
    <t>Bernardo Echalegur</t>
  </si>
  <si>
    <t>…e! m «rno puerto la coih ta da duado de teniente coronel I). Migue! Orier, á los t-mentes I). Jo- guerra Aretiu.t después da haber cruzado en las aguas de la costa &lt;!• sef Rico y D. Bernardo Echalegur , al subteniente D. Josef Alonso , al Galicia. EN LA IMPRENTA NACIONAL.</t>
  </si>
  <si>
    <t>Echavarri, Juan Agustín</t>
  </si>
  <si>
    <t>Juan Agustín Echavarri</t>
  </si>
  <si>
    <t>…utar el delito. de Búrgos al tribunal supremo de Justicia, acerca de la admisión de *&gt; Segundo: aunque se haya formado el designio con relación £ otra la apelación interpuesta por D. Juan Agustín Echavarri y D. Juan persona, ó á persona indeterminada. Antonio Rojas , comprendidos en las causas de Burgos y Avila sobre » Tercero: aunque antes del homicidio se haya formado designio* conspiración contra el sistema constitucional. no precisamente de matar, sino de maltratar i…</t>
  </si>
  <si>
    <t>Eche, Cosme</t>
  </si>
  <si>
    <t>Cosme Eche</t>
  </si>
  <si>
    <t>…egocio* contenciosos de la hacienda públíambos inclusive. ca de esta capital, y escribanía del número de D. Feliciano del Corral, También se presentará , pues no lo ha verificado, D. Cosme Eche* ae vende en pública subasta un sitio erial, sito en esta villa , alie de varri á recibir el importe de tu billete número 1046. la Paloma, sefialado con el núm. 14 de la manz. lia, declarado vaante y apilado al Crédito público por no tener dnefio legítimo con…</t>
  </si>
  <si>
    <t>Eche, Mauricio Josef de</t>
  </si>
  <si>
    <t>Mauricio Josef de Eche</t>
  </si>
  <si>
    <t>…d de fac diputación frovincial según va relacionad», en conformidad cioso é un orador de la Cimara, aunque tin nombrarle. - he quiera, con ana exposiciones for loa Sres. regidores D. Mauricio Josef de Eche» dijo, que tomento* una actitud imponente en los Gabinete* de Europea ve»te 7 el mitmo Sr. Ribero, y f» a* pemita copia del acta al tefior que enviemos egércitos 4 paitas lejanos, 7 no* pongamos de parte da gafe político aaperior para que ae digne mandar inse…</t>
  </si>
  <si>
    <t>Echeniqne, Estébao</t>
  </si>
  <si>
    <t>Estébao Echeniqne</t>
  </si>
  <si>
    <t>…teriore» Corara, co procedimiento ao debía causarle perjuicio en su reputación. ya exposición había reservado la Diputación permanente en su sesión Compusieron el jurado los Sres. D. Estébao Echeniqne» D. Valen de go del mismo pan las actuales Coartes ordinarias. tín Torrecilla, D. Raimundo Provedo, D. Francisco de Lleno, Don El Sr. Argíielle* manifestó que no pod an las Cortes acceder á esta Anastasio Nava*,IX Andrés Gafo, D. Miguel Sánchez, D. Octavio ex…</t>
  </si>
  <si>
    <t>Echenique, Jósef</t>
  </si>
  <si>
    <t>Jósef Echenique</t>
  </si>
  <si>
    <t>…del partido. estarou todos los virtuosas milicianos de aquella ciudad , en particu Cala/ 11 de Agosto, n D; resultas de haber entrado las trepas -a lar el comandante de caballería D. Jósef Echenique, Ramón Peña, Cardona se han dispersado enteramente muchos de ios somaten s: de D. Domngo Monreal, Alejo Soler, Bonifacio Monzon, Manuel Re modo que por todos estos alrededores pasan continuamente parí dis .,.ie batían y Antonio Trigo, que han sido los aprehen…</t>
  </si>
  <si>
    <t>Echer, Josef</t>
  </si>
  <si>
    <t>Josef Echer</t>
  </si>
  <si>
    <t>…he 1 j ó y mando imprini r el voto particular de ¡os Srcs. Lamas y cias. Aprobado. Taboada, individuos de la comisión de M.. c as nac.onales , al provec Otro sobre la solicitud de D. Josef Echer , teniente retirado de ca to Je reglamento prepuesta por d'cha eran .«ion ballería. La comisión opinaba que podía accederse á ella conforme lo A ia comisión de Poderes se nurj.. pasar una eVpo»¡c*-.n deí pre proponía el G .bi.rno. Aprobado. sidenta de la junt…</t>
  </si>
  <si>
    <t>Echev.rria, Manuel</t>
  </si>
  <si>
    <t>Manuel Echev.rria</t>
  </si>
  <si>
    <t>…n d- vu-stra h-r dad. El;a d be »cros un nuvn v n:u n , s'atido San Sebastian a 5 de Octubre. 4 lo» uram-nto» sagrado,, qu* ligando vuest-a »u*rte ai actu; , t tr.a, Al cuidado de D. Manuel Echev.rria, zeioso patriota cuanto vir OS emp-fie poderosamente en su defensa : -n una d-fema qu ■ asevure á tuoso padre de familia, prosperaba en la villa de Motrices el primer un mismo lempo ta rcógion católica , a Constitución pom es , » con estableció ento de enseña…</t>
  </si>
  <si>
    <t>Echevar</t>
  </si>
  <si>
    <t>…etado : Que el puerto de Gua tamaño, en la ¡sla oe Cuba, sea considerado entre los de cuarta cías.* habilitados para el co 4®, y se ignora el paradero de los cabecilla» Zavala, el cura Echevar ría y Leoniz de Barrutia: solo del donado del conv ino d ■ Ueinuo Ma- mercio. Madrid 31 de Mayo de itis i.sr Migurl de Alava , presidenta, driaga se sabe que se dirigía hacia Ibarruri con unos jo fawCio»os. srjoseí Melchor Prat, diputado secretario. = Francis…</t>
  </si>
  <si>
    <t>Echevarri, Fermín</t>
  </si>
  <si>
    <t>Fermín Echevarri</t>
  </si>
  <si>
    <t>…s.xta de Navarra, mitad de quinta y cuarta tu á 12 de Jul o de i8aa.=El comandante general Vicente de Quesada.= vieron mi orden para pa ar rápidcmcnie á proteger el ataque, lo que Sr. D. Fermín Echevarri y iaiaberri. verifica:on, lográndose que estas tropas los desalojasen de cuantas ped i « Para evitar consecuencias funestas he tomado la determinación de ciones quisieron defender, hasta echarles dispersos sobre la cadena de dirigir ¿ V. S. este mismo oficio,…</t>
  </si>
  <si>
    <t>Echevarría</t>
  </si>
  <si>
    <t>…il seducir al oficial de la tecre* taría encarnado de estas cuentas que á una contaduría, porque no sabia que diferencia podá haber entra esta oficial y otro da aquella ofician El Sr. Echevarría hura vari» charranean tespttto sá le ptiva#</t>
  </si>
  <si>
    <t>…shecha la objeción del Sr. preopi cuando estas nada podían conceder; en su consecuencia se declaró que nante. se arreglase de otro modo dicho artículo, y que en lo demás estaba El Sr. Echevarría indicó que no era muy i propósito el que se esta conforme á lo resuelto por las Cortes.. bleciesen las penas en el reglamento interior de Cortes , pues los delin Se leyó uní proposición del Sr. S. Miguel relativa á que el Gobier cuentes no habian de ser juzga…</t>
  </si>
  <si>
    <t>…o \lpuente dijo que también tente por vago este artí los informantes contra el artículo que te discutía. culo , porque se comprendía en él al que publicase un escrito que versa El Sr. Echevarría dijo que era muy natural que el Estado castigase se sobre ¡a sagrada Escritura y uiaUn-» de ,c¡ g.oü q-.' üo ¡uvitsc nada á los que &gt;:n España propaga»”!* idea» contra la existencia de Dios, la de malo, y á otro que tratase de lo mismo en termino* que fuese s…</t>
  </si>
  <si>
    <t>…vacio finidad de enemigos, para quienes llegó á ser objeto de sus zelos la sa nes acerca de este artículo. biduría de su gobierno. Los numidas , sicilianos, sardos, espadóles y El Sr. Echevarría lo impugnó, opinando que la prohibición de libros romanos no pudieron jamas vencer aquella masa de hombres estrecha - asa poner puente al campo, y excitar mas bien á su lectura que no im mente unidos con los vínculos de su sagrado amor á la ley- Teniendo é pe…</t>
  </si>
  <si>
    <t>…averías, serán castigados respectivamen mar «I atentado.” te con arreglo al cap. 1.", t:t. 3." de la z.‘ parte.” Quedó aprobado el artículo suprimiendo la palabra cónsul, como El Sr. Echevarría indicó que este artículo no tenia toda la claridad proponía el Ateneo. correspondiente, porque en su concepto no era lo mismo el aprovechar Art a66. » El que cometiere alguna violencia, ultraje ó injuria se de ios efectos de un buque que hubiese naufragado, y…</t>
  </si>
  <si>
    <t>…ón cuatro adiciones a los artículos anteriores ya aprobados: una de ellas del Sr. Carrasco: otra del señor De los que rehúsan al Estado los servicios que le deben. Uragat otra dei Sr. Echevarría; y la otra del Sr. Alaman. CAPITCIO UNICO. CAtlTVlO V. Alt 573. n El que contraviniendo á la obligación que todos los Del desacato de los hijos contra la autoridad de sus padres, y dei de ¡os espsfioles, sin distinción alguna, tienen de contribuir para las ne…</t>
  </si>
  <si>
    <t>…dic'on del Sr. Allende.) » Las penas respectivamen » En el caso de que para alguna &amp;c.” te señaladas en ellos; y si fuesen de otra clase las armas de que se Art. 409. (Adición del Sr. Echevarría.) hiciere uso, se aumentará una cuarta parte á las penas prescritas en di Debe colocarse entre los artículos 408 y 409 del proyecto, varián chos dos artículos.” dose la numeración de los siguientes; y en su consecuencia el epígrafe Art. 3 ti. Párrafo i.° (adi…</t>
  </si>
  <si>
    <t>…lpado; y que el impresor á falta del autor de un articulo declarado le supongan sujeto á responsabilidad.” por el jurado, comprendido en los abusos de libertad de imprenta, sea El Sr. Echevarría dijo que opinaba que en todas las leyes debían responsable de aquel mientras no parezca. La discusión fue acalorada, redactarse los artículos de un modo claro y exacto, que no diese lugar á y se declamó contra la policía y sus vicios.” ninguna interpretación,…</t>
  </si>
  <si>
    <t>…utación s provinciales, en vista de las exposi Otro sobre una exposición del cabildo de Canarias, y proposición ción-* de Doña Antonia Gómez, viuda de un empleado en el ayunta del Sr. Echevarría sobre el mi-mo objeto. La comisión opinaba que las miento de esta villa, y de la viuda de D. Josef Viliami! , empleado fincas adjudicadas i dicho cabildo en pago de deudas deben ser entre también que fue en el mismo, pidiendo que en atención i los méritos gad…</t>
  </si>
  <si>
    <t>Echevarría, Cosme</t>
  </si>
  <si>
    <t>Cosme Echevarría</t>
  </si>
  <si>
    <t>…e Arana:Nicolás losVillavaso,voluntariosD. D.DomingoSimeón BE IOS DELITOS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Laureano dian para matar~ Egu…</t>
  </si>
  <si>
    <t>Echeverría</t>
  </si>
  <si>
    <t>…cido conveniente* para la pacificación de las América*: en Aprobado. •su atención, como la feche de la solicitud referida coincidía con lo* Se pasar á la comisión una adicción del Sr. Echeverría al ar. «lias en que lo* periódicos de esta corte habían anunciado este suceso, tíralo 419, que decía asi :y los pe m rráMas en ios protocolos i re- pira que no pensasen sus comitentes que huía de esta discusión, había Xistros £u partidas y dances sutos que st…</t>
  </si>
  <si>
    <t>Eclesiástica, Jos.f</t>
  </si>
  <si>
    <t>Jos.f Eclesiástica</t>
  </si>
  <si>
    <t>…Gómez Becerra, Lamas y Méndez , Abr-u , Adane Juan Muñoz Aianiz, que entró por fallecimiento de D. Manuel ~anro y Seoane. chez Toscano, y D. Juan Otoño, que entró por ia muerte de D. Jos.f Eclesiástica. Sres. Mclendez, Fernand-z, ArgiieiK ?. Sedeño, Gó Rodríguez de Casal; y finalmente en ia Diputación permanente por fa mez (D. Manuel), Maní, Nufiez (D. Toribio), Vs.ai.u, Gil, Or- llecimiento de D- Josef Gutiérrez de Teran entró D. Josef Miguel dufia y Silva…</t>
  </si>
  <si>
    <t>Eduard, Josef</t>
  </si>
  <si>
    <t>Josef Eduard</t>
  </si>
  <si>
    <t>…mico, el cual -¡scenda á lay, romano: el 10 á D Lorenzo Caustini, genovés y domiciliado en 801.591,645 rs., Dotándose el ahorro de &lt; &gt;8.644,01 2 as. respecto del Albacete: el 11 i D. Josef Eduard, ingles-residente en Alicante: el pr-supuesto del afío económico anterior. Asimismo se mar.tfesuoa en 12 i D. Antonio‘Matin Tint, natural de Viena; y el 13 á D. Fran ella lo que producirían las rentas, que era 66¡ millones, resultando de cisco Benebel, natura…</t>
  </si>
  <si>
    <t>Eduarlindóte</t>
  </si>
  <si>
    <t>…oca , con id. Caba.lerr* pages deS. M. el Em ro las cartas particulares del id refieren que Bolívar fue derrotado, cor- perador ; D. Luis Ca macho, D. Ignacio Lorenzo Torre Cosío, D. Eduarlindóte la comunicación con Sta. Fe, aunque sin embargo pudo pasar dode Lavara, D Cosme Sánchez Aparicio, D. Pedro Otero,D. Joa un oficial á pedir un refuerzo de 4Z} hombres a toda costa, i cuya quín Cadena, I). HemeterioTtúrbide.D. JuanRubroy Mayora.D. Joa consecuen…</t>
  </si>
  <si>
    <t>Eerrer</t>
  </si>
  <si>
    <t>…eran emanados de la irregular conducta de aquel desde luego al examen de esta para aprovechar mas el tiempo. gefe político y comandante general, ha pedido también el ayuntamien El Sr. Eerrer dijo : Que la comisión retiraba de hecho las cuatro pri. to se exijáis responsabilidad i ambas autoridades : concluyendo con su* meras bases preliminares , dejándolas circunscriptas á lo que se conte pliCar á las Cortes se sirvan mandar que el segundo regimie…</t>
  </si>
  <si>
    <t>Eezuela, Ramón</t>
  </si>
  <si>
    <t>Ramón Eezuela</t>
  </si>
  <si>
    <t>…ecido gustosos i sostener nuestro Código, y han rei sierras en todas direcciones. La caballería de Villaviciosa, ai mando del terado su juramento de Constitución ó muerte. espitan D. Ramón Eezuela, los persiguió hasta la montaña, sin embargo Figueras 21 de Setiembre. de nc poder transitar los caballos en un terreno tan malo: en ella se Los facinerosos Misas y Targarona hicieron una contramarcha des hicieron fuertes algunos de ellos, y buba un fuego sos…</t>
  </si>
  <si>
    <t>Egca, Mariano</t>
  </si>
  <si>
    <t>Mariano Egca</t>
  </si>
  <si>
    <t>…un tambor, un soldado y un caballo muertos; Kubricado de la Real mano. sBu palacio i 6 de Diciembre de iSii. un sargento, un tambor, dos cabos, seis soldados y un caballo heri S A D. Mariano Egca. dos; un oficial, un tambor y un soldado contuso*. Circular dei ministerio de Hacitnda. Nota. Ademas ha sido herido un paisano «le los que venían con la Extinguida la junta de gobierno del monte pío de oficinas , con for artillería. Alcañiz 8 de Diciembre de…</t>
  </si>
  <si>
    <t>Egea, Mariano</t>
  </si>
  <si>
    <t>Mariano Egea</t>
  </si>
  <si>
    <t>…por tí ó por medio de persona de tn » Y en su consecuencia lo firman por cuatriplicado los referido* confianza á recoger sus respectivos oficios de concesión á la dependen Excmo. Sr. D. Mariano Egea. s Excmo. Sr. D. D.onisio Capaz , yr se cia de boticario mayor de b t egército* nacionales en esta corte, calla ñores Ardo n Hubbard y compañía. = En Madrid á l.° de Octubre de Silva , núm. 8 i y no hab éndolo verificado aun varios de ellos, sin de i8a:.=:Mar…</t>
  </si>
  <si>
    <t>…Balguerie &amp;c. á les Sres. Canga, Isturiz , O valle, imprima, publique y circule.sHstá rubricado de la Real mano.=En Salvato y González Alonso. Palacio á 8 de Noviembre de 182 2.sA D. Mariano Egea. El Sr. presidenta anunció que mañana se continuaría la discusión Dirección general dt aduanas y resguardos. pendiente, y levantó la sasion á las tres y media. Hallándose vacante la plaza da oficial séptimo y último da la ad ministración de la aduana ds Barce…</t>
  </si>
  <si>
    <t>…precitado D. Alonso Pérez de Guzman_i9. Almojari =Rcbricado de la RealmanasEa Palacio 4 6de Diciembrede 181*. fazgo mayor de Sevilla, en dos juros, 386,300 mrs.: uno de 15,100, =A D. Mariano Egea.” otro detdr ,200, en dicha cabeza _io. Primero medio por ciento de En su virtud el Excmo. Sr. secretario del Despacho de Hacienda Orente, juro y haber 43,955 mrs. en la citada cabeza —6. Salinas de admitirá las proposiciones que te le presenten pera la negoc…</t>
  </si>
  <si>
    <t>Egra, Mariano</t>
  </si>
  <si>
    <t>Mariano Egra</t>
  </si>
  <si>
    <t>…ta de S. M. sobre expresado destino, ¡r he nombrado secretario interino del mismo Des fas tariías para el porteo de cartas , han aprobado : i.° La carta que no pacho de Hacienda á D. Mariano Egra, director general de contribu llegue á seis adarmes de peso, y circule dentro de los límites de cualquie ciones directas. Tcndreislo entendido , y lo comunicareis á quien cor ra de tas gi provincias en que está dividida la Península, con inclusión responda.”…</t>
  </si>
  <si>
    <t>Eguía</t>
  </si>
  <si>
    <t>…audiencia. la fe, aquel magistrado mudó de tono, me trató c; n el ni.vor ¿,a,a3.a » S. en las c-usas civ les pendientes que hubiesen sido juzga jo , y me aconsejó me presentase al general Eguía , ofreciere, s.e u~ re da' por una audiencia •n pr mera instancia, y apeldóse i oirá, deberí comendarme y i servil me de introductor. En if-ut - qu.n.ncs cv.:ar tsmb' in aáitut.rse la rev.sta en los cases y terru ños de la ley.” toda sospecha, y de-.eándo por…</t>
  </si>
  <si>
    <t>Eguia, Francisco de</t>
  </si>
  <si>
    <t>Francisco de Eguia</t>
  </si>
  <si>
    <t>…uida en este ramo de ronel de húsarea de León D. Eladio Martínez de Aragón , é qui-n las cinco escuelas de nifias, á Dolía María de los Dolores-Talaban, alum- privó de su libertad D. Francisco de Eguia, ministro en aquella ¿poca zia de la de Santa Justa y Rufina.* el de Constitución i Dolía Manuela del Despacho de la Guerra, por haberle Aragón manifestado que su hi Luna, alumna de la de 5. Isidoro: el de aritmética por mitad á Dolía jo sirvió i los francese…</t>
  </si>
  <si>
    <t>Eguillor, Ramón</t>
  </si>
  <si>
    <t>Ramón Eguillor</t>
  </si>
  <si>
    <t>…uren, D. Manuel Dtl homicidio, envenenamiento, castración y aborto, y dt ¡ot qtu ptetnCasero y D. Josef Ramón Castillo; y los reglamentados D. Laureano dian para matar~ Eguilior , D. Ramón Eguillor y D. Francisco Eguillor. Art. 605. » Los que maten á otra persona voluntariamente con Madrid Sábado a6 dt Entro. premeditación y con intención de matarla , no siendo por orden de au toridad legítima, sufrirán la pena de muerte. » SS. MM. y A A continúan sin novedad en su importante…</t>
  </si>
  <si>
    <t>Ehsrduy, Ramón Diez</t>
  </si>
  <si>
    <t>Ramón Diez Ehsrduy</t>
  </si>
  <si>
    <t>…del Príncipe. ren, comandante de escuadrón del regimiento de Borbon Astorga: para primer comandante al coronel graduado D. Manuel Soria: para coronel al coronel vivo de infantería D. Ramón Diez Ehsrduy, teniente coronel del regimiento de la Reina, caballería de Ulzurrun y Eraso, teniente coronel mayor del regimiento de Sevilla. línea. . Segorve: para primer comandante al coronel graduado D. A San Alcali: para coronel 1 D. Antonio García de loa Ríos, coronel…</t>
  </si>
  <si>
    <t>Ei, Pedro Navarro Pingarron</t>
  </si>
  <si>
    <t>Pedro Navarro Pingarron Ei</t>
  </si>
  <si>
    <t>…rcelona y de Julio. la justic'a, metiéndose en la espesura del bosque del Castañar, hasta Se i»be de Vith lo que sigue: cuyo punto fu-ron p-tsrguido». H bi -rdo sabido el t n'ente coronel D. Pedro Navarro Pingarron Ei resultado de esta acción ha sido al haber tenido los faccioso# y que la gabina de Puigló y otra trataban de reunirse cerca de la viila.de muertos, varios heridos, d- ios cuaba uno y otros 4 individuos Wov drspu-o que el capóan D. Isidro Coll tállese con las d…</t>
  </si>
  <si>
    <t>Eías</t>
  </si>
  <si>
    <t>…fi la mala cosecha que habrá este afio en dicha is a, El Sr. Canga convino en esta modificación. puc. que en mucho* terreno* no se cogerá ni aun la semilla, pido á El Sr. A'rarez (D. Eías) pidió se dijese quién en el que debía fijar las Cuites que tomando en consideración io referido, se sirran dispo el plazo, si las Co tes ó el G biemo. ner que al hacer el repartimiento de las contribuciones del próximo afio El Sr. secretario de Hacienda fu;…</t>
  </si>
  <si>
    <t>Eiola, Antonio</t>
  </si>
  <si>
    <t>Antonio Eiola</t>
  </si>
  <si>
    <t>…pañando cinco egemplaret de una descripción de la pro Se eligió en seguida el gefe de la liquidación de la deuda pública; vincia de Santander. para cuyo destino estaban propuestos D. Antonio Eiola, intendente de La comisión de Premios declaró comprendidos en el decreto de 5 cgército, D. Antonio Diez del Moral, ex-diputado i Cortes por la de Abril último sobre pago de sueldos á D. Manuel Velasco, lamenprovincia de Granada, y D. Raimundo Queraltó, int nd…</t>
  </si>
  <si>
    <t>Eirafiaeo, Juan Bautista</t>
  </si>
  <si>
    <t>Juan Bautista Eirafiaeo</t>
  </si>
  <si>
    <t>…s del bizn y de la jusl.cia. l.o* pu-b'ss mas oprimi Se«nper:, administrador de Rioscco. dos y en.arados por ‘os falsos apóstoles y prof.ias Legar n á conocer Palease» interventor D. Juan Bautista Eirafiaeo, contralor de la la, amar'a y b-ndrciri» , p &lt;rque los traidores ser-it» bardos y acabadas, misma. y el etcarmtr nto d-‘ iwañara a lo* tibios. Kl fuego nacional no sr apa Coruña interventor D. Jotcf Fernandez Ne.u, oficia! segundo de gará jamas, y tí subsisti…</t>
  </si>
  <si>
    <t>Eízaguir-, Juan</t>
  </si>
  <si>
    <t>Juan Eízaguir-</t>
  </si>
  <si>
    <t>…sin efecto las dispo Después de una breve discusión se aprobó. siciones anteriores en cuanto se opusieren á esta, es visto que en todo Se mandó pasar al Gobierno una exposición de D. Juan Eízaguir- lo demas se d ben observar , y de consiguiente no es escurado el con K, músico de Ti capilla dé la catedral de Santiago, i la que acompaña sultar las leyes antiguas. Asi pues entiendo que la observación dei se ba la música par* los pitos primero y segundo de…</t>
  </si>
  <si>
    <t>El.as</t>
  </si>
  <si>
    <t>…r utilidad del indivi y Alonso; para ia de Comarco el Sr. Soberon; para la segunda de Ha duo, filándola al mismo tiempo en razón inversa de U mayor utilidad cienda el Sr. Alvarez (D. El.as); para la de Agricultura el Sr. Sierra; de la Nación; pues en su dictamen la mayor utilidad para el indivi para la de Instrucción pública el Sr. Moreno; para la de Libertad de duo suponía también mayor utilidad parala Nación , y de consiguiente imprenta el Sr…</t>
  </si>
  <si>
    <t>Elcano, Clemente</t>
  </si>
  <si>
    <t>Clemente Elcano</t>
  </si>
  <si>
    <t>…en favor de Don Crédito ftíblko. Manuel Rodríguez: una dicha juros d« 5659 rs. 17 mrs-, núm. 19.13, Consiguiente al anuncio que se publicó en la gaceta de 19 del cor- en favor de D. Clemente Elcano: cuatro dicha* de á 800 rs. cada u, a rient. , relativo á haberse prorogado en virtud de decreto de lu» Sres. de ■ D. Miguel de Becar , réditos impuestos, núms. 36,19, 3703,3706, la comisión de Visita del Crédito público hasta el dia 6 de Diciem 3710: una de…</t>
  </si>
  <si>
    <t>Elejalde, Marina de</t>
  </si>
  <si>
    <t>Marina de Elejalde</t>
  </si>
  <si>
    <t>….. 1 conoció con el nombre de señorío de Vizcaya: el primero de 74,17a Distribución. maravedises de renta, impuesto sobre puertos ds Portugal, en cabeza Clases del presupuesto. de Doña Marina de Elejalde, y el segundo de 488,11 a mrs. de renta, t.a Secretaría del Despacho......... 154,540.. a impuesto sobre las salinas de Poza, Añina y Cabezón, en cabeza de *-a Gobierno político y económi Pedro Saavedra.- la corporación ó persona en cuyo poder existan dichos…</t>
  </si>
  <si>
    <t>Elfo</t>
  </si>
  <si>
    <t>…ia. nacato que el genio dd oral intratase insultada en cate sudo. ANUNCIOS. - Os saluda con sincero afecto de amor fraterno 7 d considéralo Conclusión fiscal ea la causa contra el general Elfo sobe* las ocur aprecio que saestraa virtudes lu inspiran. Bspoaa 17 de Julio da rencias de go deMa/o de 182a en la cindadela da Valencia. Se vende 1 fias.*(Sagran hn firmas.) en la libran# de Hurtado áj ts. vo. Plan que demuestra la división política 7 milita…</t>
  </si>
  <si>
    <t>al tiempo de sentencian# le canee del general Elfo, y qu* ss atendiese parados de las planas mayores, ó enfermo* presentes en el cuerpo y en el teniente coronel Vallurt* que bebía tomado dicho mando. disposición d: votar con libre conocimiento "■»«*» corresponda á sus El Sr.Salvá: El secretario que acaba de l…</t>
  </si>
  <si>
    <t>Eli</t>
  </si>
  <si>
    <t>…rno cree necesario se forme , y si hemos de opinar acerca de que existe en Navarra y otras provincias del norte de I spa' a; y los ella por lo que se observa con respecto á la del general Eli» , habremos tristes acontecimientos, no solo de Valencia, sino de Murcia y otras de creer que si en esta van ya pasados dos años, no tratándose mas que provincias meridionales. de un hecho y de una sola persona, y todavía se pasarán acaso otros No creo yo que…</t>
  </si>
  <si>
    <t>Elias</t>
  </si>
  <si>
    <t>…estador) juramento; Arguelles, Gil de la Cuadra , Ali'ear, Nuñez Tabón , Taboada, Val y ahora se trata de si el Sr. Escov do debe prestarle. Ei acto de entrar dés Bustos, Alvarez (D. Elias), Oía y Meló, Torre, Bauzi , Harr á jurar es consiguiente á la aprobación de los poderes, puesto que ea ia, Trujillo, Rodríguez, Alava, Apoítia , Blek , Torner , Alcalde, consecuencia forzosa de aquella aprobación; sin embare», yo no siento Cortes , Layas , R…</t>
  </si>
  <si>
    <t>…s catedrales y cole La de Instrucción pública , en vista del expediente promovido por giatas.” el ayuntamiento de Arenzana de Ahajo. (Búrgos), para que se invierta El Sr. Alvarez (D. Elias) presentó, como adición al dictamen de la en la dotación de la escuela de primeras letras de aquella villa un lega comisión de Instrucción pública leída ayer, una proposición reducida do de io9 pesos hecho por un particular con este objeto en 1804, y | á que…</t>
  </si>
  <si>
    <t>…er: el archicanciHer del Cuadra, Alvear, Taboada, Nuñez halcón, Rose!, Infarte, Murfi, Bus* Estado , encargado de ias relaciones exteriores ; los ministros del Inte tos , Alvarez (D. Elias), Torre,Tu-jitío, Roig, Meló, Bauza , Herrera, rior , de Hacienda , de Justicia , de la Quena, de Marm3, de los Cul Patina , Adinero , Sánchez, Lodares , Apo-tia, , Torncr, Rubi- tos y de Policía. nat, Rico, Montesinos, Silva, Arias, Alcalde, Rc&gt; , Lamas, Hen…</t>
  </si>
  <si>
    <t>…cuanto se ve que en su llet, Cuadra, Airear, Taboada , Falcon, Roig, Alava, Murfi , Rey, oficio no calificó de prisión el arresto de Gippini , sino solo de deten Bustos, Alvarez (D. Elias), Torre, Trujitlo, Lamas, Meto, Bauzí, ción : también cumplió con la segunda, pues al mismo momento que Patifio, Sánchez, Adanero, Lodares, Apoita , Bleck , Rubinat, Torte verificó et arresto ofició al juez competente, y puso á su disposición ner, Cortés , Ne…</t>
  </si>
  <si>
    <t>…táte lle yetano ), Arguelles,Cuadra, Alvear, Taboada , Faicon , Alava, M.rve i 'frcto; p-rola coras ion cree que el único indio que hay pata ced , Martí, Bauza, Bustos , Alvarez ( D. Elias), Roaet , Torre, Tru que se cump'an como es d.bido los decretos de las Corte* es adoptar jólo , Lamas, Murfi , Ojero, boberon, Sanch z, Sarsvia , Bsk , Ru Jai medidas que propone la comisión; y cumplidos aquellos, entonces la bina! , Casas, Coites, Alcaide, V…</t>
  </si>
  <si>
    <t>…tendremos Untos reglamentos como Kn seguida se declaró el punto suficientemente discutido. leyes hay en ella. Es cierto que en los Gobiernos libres no debe haber El Sr. Alvarez ( D. Elias) dijo que si la comisión no tenia in reglamentos de policía permanentes; pero la Grecia y la misma Roma conveniente, podría añadirse rn el artículo despu-s de las palabras ,tr&lt;los tuvo constantes, ya fuese con un nombre ó con otro. El Areopago x¡Hadas en la f…</t>
  </si>
  <si>
    <t>…s libre sea, Valdés ( D. Cayetano ), Arguelles, Cuadra, Albear , Taboada, hal roas txp. d.ta y franca deba ser la acción del Gobierno para con loa em cón, Alava, Bustos, Alvarez ( D. Elias), Roset, Torre, Bauza, pleados , es indispensable qua las Cortes concedan al poder egecutivo la Roiga Merced, Bringas, Apoitia, Diez, Blaclce, Alcalde, Lamas, facultad da poder trasladar de un punto á otro á los empleados que Arias, Benito, Casas, Martí, B.-l…</t>
  </si>
  <si>
    <t>…ha de habrr en admitirlas? La Constitu es mi modo de pensar ; y asi digo no. ción establece expresamente la inamovibilidad de los magistrados; peto Se siguió la votación. Alvarez (D. Elias) , Roset, Torre , Arfan*alguna vez se han propu sto medidas sobre esto, puesto que en la Je- ro , Bauza , Lamas , Vargas , Apoitia , Blacke , Alcalde , Arias , Be is'atura ordinaria facultaron la; Cortes al Gobierno para la traslación nito, Belda , Martí, Cor…</t>
  </si>
  <si>
    <t>…y pu- des (D. Cayetano), Arguelles, Cuadra, Airear, Taboada, F íleon, d endose prorogar en el caso da que estos fuesen favorables. Asi pues Alava , Muro, Infante, Bustos, Alvarez (D. Elias), Roset, Torre, me dirijo á ios sres. de la comisión para que se sirvan adm tir estas mo Traillo, Adanero, Roig, Vargas, Herrera, Bauza, Lamas, Prat, dificaciones , ó retirar el articulo , á fin de mod.¿caria mas á su placer, Garmetidia , Bringas, Sánchez , A…</t>
  </si>
  <si>
    <t>…, Valdés ( D. Cayetano), Arguelles, Cuadra , Airear , Ta- Circular del ministerio, en que se adoptan algunas disposiciones para boada , Falcon , Alara, Murfi , Bustos, AI varee ( D. Elias) , Roset, formar el presupuesto general de los gastos del ramo de sanidad. ( (sa Torre , Trufillo, Roig, Ferrer (D. Antonio ), Bauzá , Vargas, Sán etía dei 17.) chez, Apoitia, Blake, Alcalde, Lamas , Arias, Benito, Martos , Ca Decreto de las Cortes sobre el r…</t>
  </si>
  <si>
    <t>…ayetano), Arguelles, Cuadra, Albiar, Taboada , Falcon, Ala discusión prolija. Toda» ¡as razones qu- acaba de manifestar e. Sr. Fal va, Ferrer (D. Antonio), Murfi, Bustos, Alvarez (D. Elias), Roset, có se dirigen a probar que r.o d;b: aprobar,- ta proposición pnr el Torre, Trujólo, Roig,Bauza, Vargas, Apoita, Salva, Canga, Prat, motivo que dejo indicad'-’- Me atrevo á a&gt;:^urar que mucha pa :; de Bringas, Sánchez , Lodares, Blacke, Forner , Llama…</t>
  </si>
  <si>
    <t>Elias, Joscf</t>
  </si>
  <si>
    <t>Joscf Elias</t>
  </si>
  <si>
    <t>…as, y de haberse provisto dicha plaza por maye ría de votos de los ofi ha sido únicamente pos sacar de sus respuestas cual sea el rumbo que ciales del dicho regimiento en favor de D. Joscf Elias , al cual no deba seguir esta legislatura; poique si b.en este cuerpo no puede umir quiso reconocer el coronel D. Joseí Costa, fundándose en que no com por sí providencia» por no ser Gobierno, no puede desentenderse de los petía al ayuntamiento const tucional…</t>
  </si>
  <si>
    <t>Elias, Mallín Fernandez</t>
  </si>
  <si>
    <t>Mallín Fernandez Elias</t>
  </si>
  <si>
    <t>…hallará venal to T&gt;. F ranc.wo Midaigo, i). Juan Bautista de hiejaburu y D. Francisco da la r.bra. I^naco M mí. Voto. Fn la gaceta de ayer pág. 97*, col. a.*, lío. 50 falta la pa D. Mallín Fernandez Elias disintió de dicha calificación. labra Aprobad» al fin del paítalo. EN LA IMPRENTA NACIONAL,</t>
  </si>
  <si>
    <t>Elias, Martin Fernandez</t>
  </si>
  <si>
    <t>Martin Fernandez Elias</t>
  </si>
  <si>
    <t>…concepto de que pasados Manuel Moreno de Mora, D. josef María Retortillo. Sres. que de procederán dichos albaceas i evacuar su encargo, y les parará todo pre clararon haber lugar: D. Martin Fernandez Elias, D. DomingoOr- juicio á los que no comparezcan. tiz de Villate, D. Francisco Escudero de Isasi. Catecismo constitucional, ó sea la Constitución segunda vez inter pretada catequísticamente según su espíritu y letra, y conforme á las - En la pígine 69 del libro…</t>
  </si>
  <si>
    <t>…de la milicia activa de Búrgoa, con 670 rs. al mea. nacio Marti, D. Francisco Antonio Larraza, D. Francisco Hidalgo, Asiorga al capitán D. Manuel Arguello, segundo ayudante del re D. Martin Fernandez Elias, O. Manuel Moreno de Mora, D. Josef gimiento infantería de Galicia, con dio rs. María Viilaranda, D. Gerónimo Martínez Enrile y D. Juan Bautista Alcalá al capitán D. Hermenegildo Alcarfz, segundo ayudante su- Elejaburu, declaró por unanimidad haber lugar á la…</t>
  </si>
  <si>
    <t>Elio</t>
  </si>
  <si>
    <t>…sa en la plaza de la Constitución, Un Gobierno que ha empleado todos los recursos imaginables pan li núm. 3 , manz. 195 en el clero 91, que tiene de sitio 474 pies, tasa bertar al general Elio del pronto y justo castigo i que le condenan las da en 87,026 rs., con Ja carga de &lt;)9 por farol, que rebajados quedan leyea V la Opinión pública, es un apoyo de los malvados que cifran en líquidos 83,oa6; y otra en la calle de Limón, núm. 7, manz. 536, él to…</t>
  </si>
  <si>
    <t>…s asuntos políticos , sino que es de los cuales el uno habia sido alcalde mayor en Valencia cuando man de aquellos de una naturaleza que el decoro qae debo á las Cortes no daba el general Elio, y del otro no se sabia su origen. me permite manifestar. El Sr. Llórente dijo que los patriotas se hallaban perseguidos en El Sr. Saavedra: Como al asesinato del marques de Torrrblanca todas partes; que en Orense era notable que todas las autoridades ci han…</t>
  </si>
  <si>
    <t>…ra cerrar la Fontana de Oro, y para prender á su duefio y i mente á uno de les jueces de primera instancia de Murcia, que fue al otros varios ciudadanos. calde mayor en tiempo del general Elio ; es un tal Arroyo. El Sr. presidente: Los sefiores secretarios no vienen i recibir car El Sr. secretario de Gracia y Justicia: El afio de 1814 cuando re gos, sino á contestar i algunas preguntas que se les bagan á consecuen gia en toda la Península el régime…</t>
  </si>
  <si>
    <t>Elío</t>
  </si>
  <si>
    <t>…demas ciudadanos. Peto ¡no es extraño que el que ha dado La comisión entra en seguida i examinar la conducta de algunos el parte ignore que i la salida del correo había muerto el general Elío, de los individuos del clero, observando que en casi todas ¡as part &lt;¡a$ y seguía la matanza 1 No me atrevería é asegurarlo si no fueran perso •e encontraban algunos de ellos: despu-s pasa la conv»;on á man i. star nas de confianza las que me lo escriben, y e…</t>
  </si>
  <si>
    <t>…e las doctrinas que contengan, y tos subversivos contra el régimen constitucional, proclamando por sa quedando responsables personalmente 4c los abusos que en otro caso sa gefe al general Elío: este se ocultó, y no quiso tomar ,arte , expocometieren. &lt;t n endose á las violencias de los sediciosos. Las autoridades, asi políti 1 a. Que te pregante ¿ los prelados ds las diócesis en donde te ha ca como militar, supieron este desagradable acontecimiento…</t>
  </si>
  <si>
    <t>…mano.=s los periódicos suponían haber yo sentado en Is sesión del 3 que había Aranjuez á 3 de Junio de i8ia.=A D. Felipe de Sierra y Pambley. recibido la noticia de la muerte del general Elío, loa be leido deteni damente; y veo que algunos (no todos) se equivocaron en las expresio Don Fernando vir por la gracia de Dios y por la Constitución de nes que me atribuyen. Dije que me lo escribía persona fidedigna, que la Monarquía española, Rey de las Es…</t>
  </si>
  <si>
    <t>Elío, Javier</t>
  </si>
  <si>
    <t>Javier Elío</t>
  </si>
  <si>
    <t>Gaceta de Madrid n.º 160 (extraordinaria)</t>
  </si>
  <si>
    <t>…Ion sentenciado el día anterior i diez años de presidio por el cena-jo facciosos señal de parlamento y se entregasen 4 discreción; en cuyo de guerra, proclamaron por su g n ral 4 D. Javier Elío, y proram- ¡nt rtnrdlo, y mientras se estaban tomando las disposiciones para que pieron en gritos subversivos contra la Constitución* la tropa del regimiento de Zamora se apod rase de la cindadela, alta » Luego que las autoridades civil y militar tuvieron not…</t>
  </si>
  <si>
    <t>Ellin, Benito</t>
  </si>
  <si>
    <t>Benito Ellin</t>
  </si>
  <si>
    <t>…coronel al coronel vivo de infantería D. Juan An fante. tonio Tabuenca, teniente coronel mayor del regimiento de Valencia. Villafranca: para coronel al coronel vivo de infantería D. Benito Ellin (ligero): para coronel al coronel vivo de infantería D. Ma Losada, supernumerario del regimiento de Málaga. nuel Fernandez Rema, comandante del batallón ligero de S. Marcial. Vitoria (ligero) : para primer comandante al coronel graduado Don Fígueras: para pri…</t>
  </si>
  <si>
    <t>Ellzaide, N.</t>
  </si>
  <si>
    <t>N. Ellzaide</t>
  </si>
  <si>
    <t>…ma portuguesa. p-.rtm cim á su columna de un donativo que se hizo en c.u ciudad, Se leyó y empezó á discutir el proyecto que presen! ■ al Concreso y tuvo dinero existe en poder de D. N. Ellzaide. el Sr. Gucrreiro sobre los casos y formalidades con que podrá allanarse Por la noche también asistió al teatro, cuya concurrencia fue rula ci a de un ciudadano portugués. rt’rosa, y cuyo entusiasmo es indec b'e. A esta diversión s cu'r» U de El St. Tngoso le…</t>
  </si>
  <si>
    <t>Empecinada</t>
  </si>
  <si>
    <t>…ada e\: iÚo :.umar las armas desde la edad de iba 40 años; y preguntando la caes» biera * do qj: ocurriera alguno dj v» p «^u.-fas^s ircio-nCc*, mde «ste bando , se le dijo qu; el general Empecinada se acercaba con un eviJab o» cj&gt; i »mpre cuü'. mv :r. jar.’cs ncurso^« egército de 4 a 60 hombres. Añade el mumo sugeto qu; los nh: rí.s Am han ^ueda *o frustra U' •-&gt; f-n de ! . • p-ose fortifican en Casteil-fol.it, donde se halla el cab.cilla Honran.i.o,; c…</t>
  </si>
  <si>
    <t>Empecinado</t>
  </si>
  <si>
    <t>…Los griegos han apresado y conducido i Misolongi del actual , me dice lo siguiente: tres barcos turcos y una corbeta que iban cargados de despojos de la » Después de la salida del general Empecinado, i quien entregué el desventurada Scio. mando , verificada ayer 23 á Us cuatro de ia larde, recibí noticia deque los facciosos en número de 60 caballos se bailaban en Mirabueao , cu aibkaxia» yo aviso llegó á mi poder á las once de la noche, habiendo salido d…</t>
  </si>
  <si>
    <t>…a del miércoles 2j), desp'-gari V. todo su zelo y actividad, no perdonando medio ni ra y el que sigue: er fie o para contr buir puntualmente con la cantidad que se le ha deta » El general Empecinado dice desde Calatayud i las 11 de la no llado; con lo que se lozrara salvar i ese y á los demas pueblos d« esta che del 18 por extraordinario al Sr. g fe político de esta p ovírcla lo d-str'to de las d-serac a» q i- lloran 'os que han sido invadidos de las que…</t>
  </si>
  <si>
    <t>Encalada, Mrnuel Vidaurre y</t>
  </si>
  <si>
    <t>Mrnuel Vidaurre y Encalada</t>
  </si>
  <si>
    <t>…D. Gonzalo Valdet Posada. D. Fe ix Illas; D. Francisco Soler; D. Ma.ln Coro mi ñas: D. Francis co Subirachs; D. Salvador Manzanares; ü. Agustín Jaumeandrcu; Don Por tras'ación de D. Mrnuel Vidaurre y Encalada y de Don Félix Janer y D. Josef AngtaseM. Agustín kidnfuz Bañan oíd., magi Irados de la audiencia de ANUNCIOS. Puno Peíncipe, n la i. a el. Cuba, - igua-rs plazas á las audiencias de la Cora a y Va lalniid, h,i quédalo vaeai t r ra, qu obtenían en El Rey cons…</t>
  </si>
  <si>
    <t>Encargado</t>
  </si>
  <si>
    <t>…e sirva disponer su publicación en la gaceta de esta corte. Palacio nuevas posesiones inspiró al Gobierno ruso la idea de una expedición 25 de Febrero de i8aa~Vicente Cano Manuel.^Sr. Encargado del al rededor del mundo, la cual se dirigía al mismo tiempo á otros mu Despacho de Estado. chos objetos de diversa naturaleza; como eran determinar la posición Circular del ministerio di ¡a Guerra. y la extensión de muchas tierras inmediatas al Kamtschatka ,…</t>
  </si>
  <si>
    <t>Enci, María</t>
  </si>
  <si>
    <t>María Enci</t>
  </si>
  <si>
    <t>…establece ademas una propia: stos por el Gob erno. Aprobado. junta de Gobierno, compuesta d: sirte indis- dúos y dos suplentes, que La misma comisión, en vista de la solicitud de Doña María Enci durarán el ti-mpo ce dos leg:slaturas, mudándose por mitad con otra* lla , viuda, para que se le concediese la correspondiente licencia para varias dispot.cien.s. continuar en la tut-la y curaduría dr sus hijos , sin embargo de haber El St. Casas se opuso á l…</t>
  </si>
  <si>
    <t>Enci-, Antonio</t>
  </si>
  <si>
    <t>Antonio Enci-</t>
  </si>
  <si>
    <t>…dem D. Juan Ramón Delgado, contuso. IJ. IX Francisco Valero, modo se tranquilizaran sus individuos, y continuarán* gustoso* en el herido. Idem D. Josef Ay uso, contuso. Milicianos D. Antonio Enci- cumplimiento de sus deberes. Vicá'varo 11 de Julio de iSm.’’ s o, herido, D. Ramón líarro y A xoyocontuso- D. Vicente Pérez, El alcalde, regidores v procurador síndico general de) ayuntamien 11X111. IX Jossf bolahude, ídem. D. Josef María López, id. D. Ventu…</t>
  </si>
  <si>
    <t>Enlate</t>
  </si>
  <si>
    <t>…te recargase ai fondo de gaatoe i» den sobrevenirnos males de mucha trascendencia. No puedo menoa previstos. de llamar la atención de las Cortes sobre que por User eludido une El Sr. Enlate hizo algunas reflexiones contra esta dictamen, 7 en resolución roya consultando i las mismas, fue depuesta nada me tre otras cosas dijo que la cantidad de 419 rs. servia para la fabrica da aos que ia Regencia del reino en el afio de i8sg ; y en el misero suso…</t>
  </si>
  <si>
    <t>Enrile, Gerónimo Martínez</t>
  </si>
  <si>
    <t>Gerónimo Martínez Enrile</t>
  </si>
  <si>
    <t>…al capitán D. Manuel Arguello, segundo ayudante del re D. Martin Fernandez Elias, O. Manuel Moreno de Mora, D. Josef gimiento infantería de Galicia, con dio rs. María Viilaranda, D. Gerónimo Martínez Enrile y D. Juan Bautista Alcalá al capitán D. Hermenegildo Alcarfz, segundo ayudante su- Elejaburu, declaró por unanimidad haber lugar á la formación de cauta p-rnumerario del regimiento de caballería de Borbon, con 820 rs. al ANUNCIOS. mes. Reglamento interino que el Rey se ha servi…</t>
  </si>
  <si>
    <t>Enterado, Francisco de Paula Váz</t>
  </si>
  <si>
    <t>Francisco de Paula Váz Enterado</t>
  </si>
  <si>
    <t>…que varios individuos so el término de un mes , á quien corresponde formar la propuesta. licitaban pensiones en recompensa de sus servicios. AJ Gobierno se pasó una exposición de D. Francisco de Paula Váz Enterado el Rey de los importante* servicios que han hecho i la quez , capitán de Voluntarios de Aragón , en solicitud de que se le per humanidad durante la época del contagio deTortosa, Mequinenza y mita justificar su conducta durante el tiempo que estuvo prisionero.…</t>
  </si>
  <si>
    <t>Entrambasaguas, Gregorio</t>
  </si>
  <si>
    <t>Gregorio Entrambasaguas</t>
  </si>
  <si>
    <t>…oaquín Velasco, D. TWniH no G &gt;riza'-z d- 1? Pi ciembre de 1822 afio».__(L. S.) Manuel Cípiiano da Cosía. fia, D. Lorenzo i mtnet, D. o Juar-st , D Pab o Mari n Cu Decreto t.° po, D. Gregorio Entrambasaguas, D. Antonio Mir a P-rtz , D. Joa Habiendo la Reina por su espontánea y libre declaración, hecha y quín R oliz y Mont- ro, D. J oaqu n Ruiz , D. Fiancisco la Caliera, firmada de propio puSo en ad de Noviembre, mifi.ado la que habí» D. Antonio Aliyar y D. Rafae…</t>
  </si>
  <si>
    <t>Entre</t>
  </si>
  <si>
    <t>…noche. =Qu.ntin de Veiasco. = ieñor aucstros campos. brigadier comandante de la columna de la izquiertía.” Sevilla s ¿e Setiembre. Sexto distrito militar..Comandancia general .El comandante Entre los excesos y tropelías que cometió Zatdivar en el cortijo de D. Pab.o Luis de Bacigalupi me dice desde Sariñena ayer 3 ias cinco . las Torres de Aiocaz la noche del Junes de esta semana fue el mayor de la tarde lo siguiente: ,,Después de marchar con une cele…</t>
  </si>
  <si>
    <t>Entrena</t>
  </si>
  <si>
    <t>…Gabriel Gutiérrez; para la Después de una ligera discusión, y de haberse leido un documento del de Ateca, en la de Aragón, vacante por fallecimiento de Don justificativo que dicho Sr. Entrena presentó &gt; te acordó i petición del Agustín Palacios,á D. Andics Ramos Rico; para la de Tortosa, en Sr. Canga Arguelles que se volviese el expediente á ls comisión , para Catalufia, vacante por renuncia dr D. Francisco Javier Campa, al mi que en vista de este…</t>
  </si>
  <si>
    <t>Entrena, Diego</t>
  </si>
  <si>
    <t>Diego Entrena</t>
  </si>
  <si>
    <t>…de Areltano y Sainz de Villavieja. A la misma los poderes presentados personalmente á la Diputación Legislación. Sres. Argiielles, Castejon, Romero, Baiges, Nufiez permanente por D. Diego Entrena, electo diputado suplente por U (D. Toribio), Ruiz de la Vega, Saritaíe , Somoza y Marón. provincia de Granada. Poderes. Sres. Silva, Cuevas, Gitbert, Soria y Alcaide. Se mandó pasar á la comisión de Poderes los de D. Ramón Luis Ultramar. Sres. Gil de la Cuad…</t>
  </si>
  <si>
    <t>Eopez</t>
  </si>
  <si>
    <t>…ión de que sea Vitoria capital del qninto distrito. menos de oponerme á él, como lo Haré , siempre que no se trate de hacer Después de una corta discusión sobre la proposición del Sr. Eopez en los sueldos las reformas necesarias. La comisión , para no aprobar para que se rebaje el sueldo de los comandantes generales á 909 rs. , se c! dictamen del Gobierno, dijo que na de poca consideración el exce leyó le siguiente del Sr. Sánchez Salvador : so…</t>
  </si>
  <si>
    <t>Era, Antonio</t>
  </si>
  <si>
    <t>Antonio Era</t>
  </si>
  <si>
    <t>…ber examinado las adicione* ladarse i donde quieran , excepto por ahora á Barcelona. del Sr. Buey al dictamen de la misma (-oíase la Gaceta de /q iiel cor- _F.l comandante militar D. Antonio Era y con fecha di 7 desda riente') sobre reemplazo del egército , opinaba que en cuanto a las tres Martoreil da noticia de haber recibido un parte d-.i comanoart- de primaras no debían aprobarse, pero sí ia última , que decía: » Que lat armas de Esparraguera con…</t>
  </si>
  <si>
    <t>Erald, Josef</t>
  </si>
  <si>
    <t>Josef Erald</t>
  </si>
  <si>
    <t>…rantías dt la rauta de la libertad, lo qua salva por el mismo Sr. secretario. por experiencia propia; y qoa asi estaba conforma coa las idtn de la Las Cortes concedieron permiso á D. Josef Erald, jue* alecto da cooaisioa, aunque no en los términos aa que cataba extendido el arti primera instancia de Soria, y é D. Andrés Ramos, que lo es da Ataca, culo. La intervención de lat diputaciones provinciales y ayuntamiento* para que puedan prestar tu juramen…</t>
  </si>
  <si>
    <t>Eranc</t>
  </si>
  <si>
    <t>…umero E&gt;. Manuel García del Barrio, D. Tomas María Zrnon, D- Lorenzo sas el ios de víctimas prescritas y encarceladas, cuyo solo ctimen es Calvo de Rozas, D. S’mon González Yuste, D. Eranc seo Martí zto c: ; f rmarse con la c.pínion momjntin.nmcnte triunfante, y ea nez Marina, D. Nicolás Cano de Luque, O. Josef Castcl, L&gt;. Antonio una palabra reponer en la clase de estado civilizado y floreciente esa R: gas y L&gt;. Juan Fernandez Casariego. naci-…</t>
  </si>
  <si>
    <t>Erenatro, Jos.f Manuel de</t>
  </si>
  <si>
    <t>Jos.f Manuel de Erenatro</t>
  </si>
  <si>
    <t>…da pública para la liqui una id. de 1440 , id. D. Gabriel Acero, núm. Ó243 : una id- *410 dación de sus capitales, deberán tener entendido los interesados, que sueldos y mesillas, D. Jos.f Manuel de Erenatro 6x52 : una, gastos han de hacerlo, asi da los juros corrientes como de los mandados sus de Rea! casa, núm. 10,016, de 1435 n* ^ D- Inocencio ha^nz: un pender por decreto de la* Cortes de 30 de Mayo último ; en la inteli recibo de rédito, de vales de Enero de…</t>
  </si>
  <si>
    <t>Ern, Pablo Sauri y</t>
  </si>
  <si>
    <t>Pablo Sauri y Ern</t>
  </si>
  <si>
    <t>…s y otro Don Josef Antonio Bertrán, D. Rafael Sdsate, D. Ar.tonio Gutiér francés, «n lenguage di veno del que antes usaban .* enemigos irreconci rez de Pando, D. Guillermo Olivrr, D. Pablo Sauri y Ern, Don liables da la Espada, invocéban contra nosotros todo el poder da la santa Juan Olivclla, D. Josef Pujol, D. Jo»ef Martí y D. Félix Ru'z , de alianza ; pero habiendo variado de optaron niegan ya i los aliados los clararon por unanimidad haber lugar i form…</t>
  </si>
  <si>
    <t>Eróles</t>
  </si>
  <si>
    <t>…obre que existían. llón de la regencia , compuesto da goo bombees, y una compsfifa de Al anochecer te empezó la construcción de una bastía, que rn la jo cazadores del batallón del general Eróles. El batallón de la regen misma noche quedó concluida, y se colocaron Us piezas de á 16 y a 1 &gt; cia iba sin unifórme alguno; sus individuos misetab emente vestidos; y el obús de i siete pulgadas. Cap ellas se rompió el fu -yo contra el unos con mantas, y los d…</t>
  </si>
  <si>
    <t>Errao, Baltasar</t>
  </si>
  <si>
    <t>Baltasar Errao</t>
  </si>
  <si>
    <t>…. Perea de Meca: La comisión especial que se han servido nom licitando una pensión. brar las Cortes para tomar conocimiento de todas las ocurrencias de A ¡a misma una solicitud de D. Baltasar Errao sobre que se le se ayer se ha ocupado desde luego en el importante encargo que las mis ñale una pensión en premie de sus servicios. mas le han sometido; á este efecto ha conferenciado con los secretarios A la misma una instancia de D. Manuel Lucas, vigía del…</t>
  </si>
  <si>
    <t>Ers-</t>
  </si>
  <si>
    <t>…'c'iestcr, el lord canciller y el conde de L.v.r- d bu ser diversa encada reino con resp-cto i ciertos asuntos , v i qu» pool impugnaron con vehemencia el til!, el que defendieron lord Ers- el poder rgtcul.vo no podía obrar en el Brasil un una dclegac en pcrkine , el conde Grey y los lores Cirvnville v ItoiJand. rai n-rué. _KI mi sít»o día 21 se botó al atu.i rn ti arsenal de Woolwich U El art'Culo i.° decia: - Habrá en el reino del I’raUI r rn…</t>
  </si>
  <si>
    <t>Es, Agustín</t>
  </si>
  <si>
    <t>Agustín Es</t>
  </si>
  <si>
    <t>…titulándose de la primera división del ejército realista de Aragón. llos ó acémilas cargados de bagajes. El resultado de estas ventajas ha » Por al adjunto parte que ds á V. S. el coronel D. Agustín Es s&gt;do la total dispersión del egército otomano._El Gobierno griego, cribano , aue voluntariamente salió con la partida de persecución , se que huyo tan precipitadamente del lugar de su residencia con motivo enterará V. S. de todos los pormenores, y yo quedo en…</t>
  </si>
  <si>
    <t>Es, Antonio María</t>
  </si>
  <si>
    <t>Antonio María Es</t>
  </si>
  <si>
    <t>…f María Pueble, D. Josef Larreategui, D. Gregorio Mendivil, Doa «t el de que se trataba. Por estas razones fue de opinión qué no debía Josef Radon, D. Francisco López Olavarrieta, D. Antonio María Es •probarse el dictamen de la comisión en su totalidad. - pejo, D. Matías Pínula, D. Tomas Marta Zanon-, y habida la confe El Sr. Canga: Yo considero al estado eclesiástico como una dase rencia declararon por unanimidad haber lugar á la formación de causa. de c…</t>
  </si>
  <si>
    <t>Es, Antonio Ra</t>
  </si>
  <si>
    <t>Antonio Ra Es</t>
  </si>
  <si>
    <t>…la ley 4 su sucesor, y esu es la historia en general to Lizana, D. Jotef Radon , D. Francisco Msrt&lt;nez Marina, D. Jode esas leyes. tef Reher, D. Lino Campos , D Jotef Larteategui, D. Antonio Ra Es pues preciso no desconocer esto, y tener presente las circunstancias gas y D. Antonio Puigblanch; habida la conferencia te declaró por del tiempo en que se dió la ley para ver si en ei día puede producir sa unanimidad no haber lugar á la formación de causa. l…</t>
  </si>
  <si>
    <t>Es, Juan</t>
  </si>
  <si>
    <t>Juan Es</t>
  </si>
  <si>
    <t>…debían motivo de los sucesos de Valencia. aprobarlo. Se aprobó. Ahora pregunto yo si el Congreso cree que con nueve com'siones La comisión de Comercio, en vista de U solicitud de D. Juan Es no podrá llenarse este objeto. Entramos en la proposición que ce discu ter para que se le permita despachar gjo quintales de hierro de Suecia te : decir al Gobierno dé vd. idea de las providencias generales que ha según loa aranceles anteriores, opinaba que d…</t>
  </si>
  <si>
    <t>Es, Manuel Fernandez Kcina.se</t>
  </si>
  <si>
    <t>Manuel Fernandez Kcina.se Es</t>
  </si>
  <si>
    <t>…los ejércitos mafiana k V. S. Dios guarde i V. S. muchos aros. Jerez de la Fron rusos permanecerán acantonados en el l’rut'i, v Ln l'o'onij r.unca fal tera 8 de Agosto de iSn.sEI coronel Manuel Fernandez Kcina.se Es tarán tropas. Un periodista francés qu era que el Emperador Alejandro copia.=Burrrel.M esté en Viena á fines de Agosto : ot-o el Cyeñer, dice: „ Puede I.iem //. tenerse por seguro que todos ¡o; panos de ms grandes potencias no ten n Ni por el correo general n…</t>
  </si>
  <si>
    <t>Es-, Francisco</t>
  </si>
  <si>
    <t>Francisco Es-</t>
  </si>
  <si>
    <t>…as para la aprobación de S. M. &lt;5.* Ei Rey , en considera- 30 muerto* , incluso el mismo espitan deSigíienza D. Vicente Bernal cion á los méritos y servicios del mariscal d: campo D. Francisco Es- y a cutas, 10 ó ra caballo* muerto* y 60 que se le* han cogido; 33» poz y Mina, i tus conocimiento militares, y i su ardiente zelo por la fu.iie», 310 fornituras, algunas municiones, equipage* y efecto* de causa de la patria, le nombra general en gefe del egé…</t>
  </si>
  <si>
    <t>Escalante, Juan</t>
  </si>
  <si>
    <t>Juan Escalante</t>
  </si>
  <si>
    <t>…ron muertos en el sitio. Desgraciadamente una bala mal dirigi dos. Es verosímil que no se hayan esparcido estas malas noticias' ¡mi da hirió en el prebo al miliciano de caballería D. Juan Escalante, el que bajen los fondos, sino que al contrario se habrá procurado que ba cual se halla de sus resultas gravemente enfermo. jen estos para propagar tristes nuevas en los departamentos donó; van El 14 volvió la columna que había salido el día anterior, la cual…</t>
  </si>
  <si>
    <t>Escame, Tomas</t>
  </si>
  <si>
    <t>Tomas Escame</t>
  </si>
  <si>
    <t>…uciones cu que hay por la diputación provincial de Murcia contra e! pez de primera ins piad» reforma*, es precito decir que et una cota que el tiempo, la tancia de aquella capital D. Tomas Escame?, y contra el comn.onado perseverancia, la discreción y nuestra prudencia corregirán cuanto se por el mismo D. Pedro Vivanco, p r haber puesto preso de un modo quiera. Debo llamar la atención de las Cortes sobre lo que ha leido el afrentoso al vocal de la mis…</t>
  </si>
  <si>
    <t>Escame, Tomas Benito</t>
  </si>
  <si>
    <t>Tomas Benito Escame</t>
  </si>
  <si>
    <t>…fincas, en donde se emplearían los créditos. Martínez Arroyo á despachar los asuntos pendientes en el juzgado de El Sr. Ferrer dijo que siempre era algo chocante el que el deudor D. Tomas Benito Escame z. diese reglas al acreedor, obligándole á comprar en determinado tiempo. El Sr. Falcó presentó una exposición del clero de Yilnicia sobre El Sr. Canga contestó que existía hipoteca suficiente para el pago enagenacion de las fincas de las iglesias, y una prop…</t>
  </si>
  <si>
    <t>Escamez, Tomas</t>
  </si>
  <si>
    <t>Tomas Escamez</t>
  </si>
  <si>
    <t>…ando sobre la ex libro* protocolos.” posición de la diputación provincial de Murcia , quejándose del juez de La comisión retiró este artículo. primera instancia de aquella capital D. Tomas Escamez, por haber Art. ti. n Lo dispuesto en el decreto de las Cortea de 6 de No puesto preso, por medio de su comisionado D. Pedro Vivanco, al viembre de 1810 sobre que los nombramientos de empleados de Ha diputado provincial D. Salvador Martínez Muñoz; y en vista…</t>
  </si>
  <si>
    <t>Escamez, Tomas Benito</t>
  </si>
  <si>
    <t>Tomas Benito Escamez</t>
  </si>
  <si>
    <t>…sticos. corte , apoderado del vizconde da Huerta, contra d segundo juez de Por estas consideraciones opmo que no debe aprobarse el dictamen de primera, instancia de aquella ciudad D. Tomas Benito Escamez por la comisión. sus procedimientos en la causa formada contra dicho vizconde y otros, El Sr. Canga contestó que la comisión no sa había dejado arrastrar mandando y llevando i efecto al embargo da sus bienes basta una da respetos humano», y que no había tenid…</t>
  </si>
  <si>
    <t>Escandon, Diego</t>
  </si>
  <si>
    <t>Diego Escandon</t>
  </si>
  <si>
    <t>…o, comerciante A empleados en comisiones acreditado de G braltar: D. Pedro Grimarest, su esposa y dos hijas con id.............................................. 24,393— un criado: D. Diego Escandon, tesorero de Granada: D. Juan Martí A pensiones-............................ 34,299— 8 nez Pimllos, ex-guardia: D. Juan Martinez Torres: D. FranciscoCa A cesantes y jubilados......... 94,4a í— 3Í tarais, «x-guardía: D. Sebastian Artllano: D. Josef AguiUra: To…</t>
  </si>
  <si>
    <t>Escantilla, Laureano Antonio</t>
  </si>
  <si>
    <t>Laureano Antonio Escantilla</t>
  </si>
  <si>
    <t>…a » hayan liert» con arreglo á la Constitución.” la proposición de los Sres. Alonso, Benito y Belda. Continuó la discnaion sobre la proposición de los Sres. Alonso, Se concedió al Sr. D. Laureano Antonio Escantilla, diputado por Benito y Belda , que se suspendió en la sesión de ayer mientras se bus Extremadura, el permiso que solicitaba para poder ausentarse con el caba el acta que te había pedido. objeto de restablecer su salud. La secretaría manifestó que en ella no s…</t>
  </si>
  <si>
    <t>Escapu-, Laureano Antonio</t>
  </si>
  <si>
    <t>Laureano Antonio Escapu-</t>
  </si>
  <si>
    <t>…tar entre los extrangeros el nombre de esta Nación heroica, libte 7 Quedaron aprobados dos dictámenes de la comisión de Poderes, le soberana. que después de haber examinado los de D. Laureano Antonio Escapu- v Las Cortes conocen que aun no es tiempo de que el estado interior 111( diputado electo por Extremadura , y los de D. Santiago Mino, de la Nación presente adelantamientos notables ; creen sin embargo que por Galicia, opinaba debian aprobarse por estar arregl…</t>
  </si>
  <si>
    <t>Escara-, N.</t>
  </si>
  <si>
    <t>N. Escara-</t>
  </si>
  <si>
    <t>…ución. Y si causa. Se mandó unir á los antcc.dcnics. el resultado de la visita puede ser el que se exija la responsabilidad i La comisión Eclesiástica, en vista de la solicitud de D. N. Escara- un magistrado , ¡no se opondrá esta á la Constitución, decretada en los te para que se le permita continuar en el goce de dos beneficios ecle términos generales, cuando dice terminantemente que no puede suspen siásticos en atención ú sus servicios, opinaba qu…</t>
  </si>
  <si>
    <t>Escario</t>
  </si>
  <si>
    <t>…reno, Moscoso, Oliver, Murfi, Navari la voz de sus oficiales los vivas de costumbre, victoreando todos igual rete y Paul, que estaba concebido en los términos siguientes: mente al Sr. Escario, quien habrá quedado desde luego muy satisfecho n Éa comisión ha meditado detenida y circunspectamente la proposi «U1 porte verdaderamente marcial de este cuerpo patriótico. ción hecha por el Sr. ministro de Ultramar, y después de haberle oido, considerado la…</t>
  </si>
  <si>
    <t>Escario, Jacobo</t>
  </si>
  <si>
    <t>Jacobo Escario</t>
  </si>
  <si>
    <t>…contribución territorial de i 20 millones. nuel María Acevedo, que lo es de la de Asturias: para 1» de Búrgss A la de Hacienda se mandó p isar una expos.cion .del director del al coronel D. Jacobo Escario, que lo es interino de la nabina: pira ia registro acerca de la suprtsion de la tesorería de penas de Cámara, de Vallidoüd á D. Josef María Queipa, que lo es de la de Segarla: A la del Crédito público una solicitud de Ignacio González, rela- para la de Almerí…</t>
  </si>
  <si>
    <t>Escarió, Joaquín</t>
  </si>
  <si>
    <t>Joaquín Escarió</t>
  </si>
  <si>
    <t>…para nientes que hasta ahora no habia podido allanar ; añadiendo que desea imponer trabas; que no se debía confiar mucho en las buenas intencione* ba la llegada del gefe político D. Joaquín Escarió para hacerte entrega y en el patriotismo que hubiese mañana ó otro día; y si hubiese alguno de este cargo. La comisión no bailaba motivo pan variar de dictamen, que tuviese deseos de vengarse dd algún eclesiástico, usando de su auto y la irfhyoría, conformánd…</t>
  </si>
  <si>
    <t>Esco-</t>
  </si>
  <si>
    <t>poco en manifestar la legitimidad de lo* poderes, porque el Sr. Esco- ner en claro esta cuestion sencillísima de si un diputado legítimamente ▼edo era, sin duda alguna, ciudadano español en el egercicio de sus de elegido debe entrar á jurar, y sujetarse al tribunal de Cortes (que es et rechos al tiempo que fue elegido;. / haré…</t>
  </si>
  <si>
    <t>Escolar, Nicolás</t>
  </si>
  <si>
    <t>Nicolás Escolar</t>
  </si>
  <si>
    <t>…Cuenca. La comisión no encontraba ninguna dificultad en los pode que no tiene esta circunstancia en el desempefio de su encargo, desde res presentados por D. Diego Parada y Hurte, D. Nicolás Escolar, luego se inclina á algún partido con preferencia áotro. Todos los hom D. Juan Manuel Pió Arias y D Manuel 'sierra; pero no asi cn’el ac bres tienen esta misma inclinación en semejantes ocasiones , y el gefe ta , en la que observaba que el repartimiento de el…</t>
  </si>
  <si>
    <t>Esconiendo</t>
  </si>
  <si>
    <t>…estión debía versar sobre si por esta neta de la Dipu En la primera votación salió electo el Sr. Alix por 71 votos , te tación permanente debia ó no ser admitido en el Congreso el Sr. Esconiendo 9 el Sr. Villaboa, 5 el Sr. Marchámalo, 3 el Sr. Benito, a el vedo, y á su parecer este asunto debia pasar á 1a comisión de Legis br. Gómez Becerra, y uno cada uno de los Sres. Muro, Cano, Buey, lación. Jaime y Lamas. Total 95. El Sr. Saenf de Buruaga dijo: S…</t>
  </si>
  <si>
    <t>Escora, Mariano</t>
  </si>
  <si>
    <t>Mariano Escora</t>
  </si>
  <si>
    <t>…oi iurgaba acreedorr* á la grat ttid de la N»c 00 sni otud. Aprobado. y digno» d: prcntio: pero que era nrc.-sirv» atender a ! ■» cor.» cu ncil 1.a misma , en vista del recurso de D. Mariano Escora , natural de que tindna el «atender las grav as conced da, po- e! drcr.íe d II d* ¿ara.ora , para que se le conceda dispensa d: edad a fin de recibirse de b tambre de un motín tan general o-n &gt; se pr prn: en *C artículos t»v Sano ,op.’nabt que podía acctderse…</t>
  </si>
  <si>
    <t>Escorado, Ramón Luis de</t>
  </si>
  <si>
    <t>Ramón Luis de Escorado</t>
  </si>
  <si>
    <t>…os honores que debían hacerse á los JLa comisión de Legislación, informando sobre la declaración pedida beneméritos españoles Padilla, Lanuza y demás que murieron en de por el Sr. diputado D. Ramón Luis de Escorado, acerca de la respon fensa de las libertades públicas. sabilidad acordada por las Cortes extraordinarias, era de parecer , que Se acordó asi, y que ios artículos de dicho dictamen estaban com con arreglo á los arts. i *8 de la Constitución y 54 del reglamento…</t>
  </si>
  <si>
    <t>Escorar, Josef Martínez</t>
  </si>
  <si>
    <t>Josef Martínez Escorar</t>
  </si>
  <si>
    <t>…o ocurre novedad; y se sabe que por todas partes de est- d strtmenes. to las valientes tropas, llenas de un verdadero entusiasmo patriótico y Uno sobre la solicitud del presbítero D. Josef Martínez Escorar, de amor al régimen constitucional, destruyen á los en-nveoi de' orden, abogado del colegio de la, Palmas, en la gran Canaria, para que se le burlando asi el necio empeño de los qu; quisieran sumirnos de Bu ró permita ejercer la abogacía eh las causas civiles…</t>
  </si>
  <si>
    <t>Escore-</t>
  </si>
  <si>
    <t>…Para mí no lo son , pues el Sr. Galiano no era diputado que se pidan al Gobierno todos los documentos que haya sobre esta cuando se declaró haber lugar á la formación de causa. El Sr. Escore- asunto, y pueden inuy bien resolver las Cortes que se suspenda esta do cuando se dió igual fabo era ya diputado; digo que ya ln era, por discusión hasta que se remítan ios documentas referidos; y entonces que la resolución de las Cortes le constderó como tal.…</t>
  </si>
  <si>
    <t>Escorial, Juan</t>
  </si>
  <si>
    <t>Juan Escorial</t>
  </si>
  <si>
    <t>…oteros fueron 9 granaderos; herido. D. Valentín.Moinos, idem. D. Josef .Vas; ídem. ÍX Vicente un tambor, 5'cazadores y un corneta; los heridos fueron bastantes;': Argiiello, idem. D. Juan Escorial; ídem. D josef Miguel, de Góicopero no puedo detallar su número por ahora por haber tenido que con chea, idem. D. Angel.¿erez, idem. D. Juan Esteban García , contuso. ducirlos i diversos hospitales: por mi parte he tenido ia pérdida qué D. Jacobo Gilvan, ídem…</t>
  </si>
  <si>
    <t>Escov</t>
  </si>
  <si>
    <t>…on los siguientes: mismo caso, porque aquel Sr. diputado habia ya prestador) juramento; Arguelles, Gil de la Cuadra , Ali'ear, Nuñez Tabón , Taboada, Val y ahora se trata de si el Sr. Escov do debe prestarle. Ei acto de entrar dés Bustos, Alvarez (D. Elias), Oía y Meló, Torre, Bauzi , Harr á jurar es consiguiente á la aprobación de los poderes, puesto que ea ia, Trujillo, Rodríguez, Alava, Apoítia , Blek , Torner , Alcalde, consecuencia forzosa…</t>
  </si>
  <si>
    <t>Escov.do</t>
  </si>
  <si>
    <t>…eque no había motivo para variar su anterior dictamen. Aprobado. ron en que se empezase la discusión de este dicumer , pues ertr; tie.-.o Las mismas, en vista de dos adiciones d i Sr. Escov.do i los artí podía la canción presentar la suma total i que «hefinrtivam rt; a-e-n. culos 9 y 10 del expresado reglamento, opinaban que no había moti dian los presupuestos. Después de una corta discusión »; rcrVió vo para añadir lo que en ellas se proponía, por…</t>
  </si>
  <si>
    <t>Escovedo</t>
  </si>
  <si>
    <t>…riador; ella, ni si en efecto se le había formado; U comisión se abstenia de pero hacemos una guerra eterna á ios ausentes, i ios cobradores de las dar tu dictamen acerca de si el Sr. Escovedo podrá ser admitido á des rentas, á los perceptores de diezmos, porque á nosotros y i nuestros empeñar tu encargo. hijos nos han dejado sin casa, sin asilo, sufriendo el frió y el hambre, A petición de un Sr. diputado se leyó el decreto de las Cotíes de y nos…</t>
  </si>
  <si>
    <t>…n un tribunal i donde debe pasar indu habia dicho lo bastante para que no se pudiesen aprobar los poderes «M dablemente este asunto. Yo respeto la resolución de las Cortes extraor Sr. Escovedo, porque era una tacha legal el haber mandado que se le dinarias, porque la considero justa; las Cortes extraordinarias vieron un formase causa por las Cortes mismas; y si ellas conocieron que et señor delito , y declararon que habia lugar á la formación de ca…</t>
  </si>
  <si>
    <t>…mandó imprimir. de Justicia! ¡Se halla Amostrado que ia causa dei Sr. Galiano as da La comisión de Comercio presentó su dictamen acerca de la contes la misma naturaleza que la del Sr. Escovedo ! El supremo tribunal de tación dada por el Sr. secretario de Marina é la resolución de las Cor Justicia no tiene ningún ínteres en que la causa del sr. Galiano se vea tes sobre que se atienda al armamento de buques , i fin de proteger la en él ó en el de Cor…</t>
  </si>
  <si>
    <t>…El secretario que se halla pre sa del i&gt;r. Galiano se halla en el mismo caso concreto y específico que sente ha venido por dos razones, la primera porque dijo el Sr. presi la del Sr. Escovedo; y sin embargo, la sala del tribunal de Justicia dente que hoy se continuaría ia discusión sobre señoríos; y la segun halla motivos de dudar en una cosa tan claramente decidida. Se ve pues da porque el articulo que se acaba d: leer le autoriza para venir cuan…</t>
  </si>
  <si>
    <t>…ripona! á que corresponde , que es el de Cortes. ha consultado, y en mi concepto con ba tanta fundamento. Ei Sr. saavedra : En el cur,o de esta discusión he observado que todo* El Sr. Escovedo era un funcionario público, á quien las Cortes dije* los argumentos de los Sres. diputados s- han estrei.ado contra la úl ron que se formase causa después de ser electo diputado á Cortes 1 y la tima pa l- de mi proposición ; tal vez se habra creído que ro tra…</t>
  </si>
  <si>
    <t>…e votos, y bajo la responsabilidad Se mandaron pasar á la comisión de Diputaciones provinciales una de los Dominadores , un depositario , en cuyo poder entren directa adi cien del Sr. Escovedo al art. 1." drl d.iUm n d= la na.ama sobre mente los caudales de propios y arbitrios, sin que por ningún motivo el gobierno económico-político de lis provincias , otia al art. 10, y ot a puedan p;rc birlos ni r.tenerlos ios alcaldes ni los demás capitulares.…</t>
  </si>
  <si>
    <t>…refiere á los 140 millones; pero no asi la amalgamación por r4 «'«to» de J4S. «uniendo 70 el Sr. Flore* Calderón y unolf d a ,n eu&gt;kargo, el tratado mismo nos pone en ¡a precisión Sr. Escovedo. 7 uuo el o haber de desaprobar el empréstito si se ha de desaprobar la ama'gaEn la elección de vice-presidente tuvo 69 votos el Sr. Atienza v, macion. Voy a presentar en pocas palabras una idea rápida de lo que •1 Sr. Murfi, y uno respectivamente los Sres. I…</t>
  </si>
  <si>
    <t>…escarnecieron en el tiempo de tu do los demás diputados. prosperidad. Vedlos como s: apoyan en la libertad individual, sin ad Se nombró para la comisión de Milicias nacionales al Sr. Escovedo vertí que esta es solo para el ciudadano que cumple con la ley , y no ea lugar del Sr. Lamas; para la de Política al Sr. Neira; para ¡a d- li para el que la infringe abiertamente, y que de ningún modo puede con bertad de imprenta al ir. Sai vi, p.ra la de Pes…</t>
  </si>
  <si>
    <t>Escovedo, Ramón Luis</t>
  </si>
  <si>
    <t>Ramón Luis Escovedo</t>
  </si>
  <si>
    <t>…Doña Feliciana Ravella, viuda, Leída y aprobada el acta de la anterior , entró i jurar y tomó atien en la que hacia presentes los perjuicios que sufría por no haber recibido to el Sr. D. Ramón Luis Escovedo, diputado electo por la provincia el valor de 1500 arrobas de leña que suministró á las tropas inglesas. de Toledo. Se mandó unir á un expediente general que obraba en la comisión de La comisión de Poderes, en vista de los presentados por el Sr. Don Hacienda.…</t>
  </si>
  <si>
    <t>…; en inteli jeron : Sobreséase en esta causa, y te declara que su formación no pue gencia de que pasado dicho término les parará el perjuicio que baya lugar. de parar perjuicio al D. Ramón Luis Escovedo, y menos obstarla per* Dictamen de la comisión de Hacienda sobre el arreglo de tesorería continuar rn el ejercicio de sus augustas funciones de diputado en Cor g-neral, impreso de orden de las Cortea. Se vende en la librería de tes , como ni tampoco en su car…</t>
  </si>
  <si>
    <t>Escriba, Lorenzo</t>
  </si>
  <si>
    <t>Lorenzo Escriba</t>
  </si>
  <si>
    <t>…ibimiento que pasado dicho término sn cump lió, se proce CAMivie 1. derá á la declaración de ser libres los insinuados b&gt;m. s, v á Ja de poder disponer de «lint su actual poseedor D. Lorenzo Escriba , conde da De la falrificarion v aitrrari n de la______ Art. 38 a, » Los que fabiiqu-a ó na_aa fabricar monedas falsas imi- Rotova. SUPLEMENTO</t>
  </si>
  <si>
    <t>Escudero, Francisco</t>
  </si>
  <si>
    <t>Francisco Escudero</t>
  </si>
  <si>
    <t>…ce con fecha a a del actual lo que sigue: Francisco Ignacio, D. Juan del Pozo y Tejada, D.^Mait n fe-taanC-z — Mi primer cuidado al encargarme de la couvsion especial de in Elias, D. Francisco Escudero, D J .an Bautista \ ea Muren.j , Don corporación , venta y extinción de la deuda pública, fue examinar el Francisco de Pugas y D. Francisco P-yo¡ , ba d-clsisuo «a.r- .-r.ar á ¡a formación de causa por ocho votos contra une , que so t-c e. D.n («) Es bien sab…</t>
  </si>
  <si>
    <t>Escudero, Francisco de Paula</t>
  </si>
  <si>
    <t>Francisco de Paula Escudero</t>
  </si>
  <si>
    <t>…* copia, de que certificoc=Kranc:sco Mardesempeñen la de lá Gobernación D. Vicente Ceno Manuel , le de tinezc=Lvs. inferios eorr=»ponJen bien y oelmente con ,u» re»pect&lt;vos Guerra D. Francisco de Paula Escudero., y le de Hacienda D. Jotefde origíneles , que qb^o p^t ahoíS.cj: la secretar:» d^- ni cargo qu ma Im ¡z. Tendreúlo entendido , y dispondréis lo necesario 4 su cumplí» remito. Y para que conste cumpliendo con lo mandado por el litre. miento. =s Rubricad» de l…</t>
  </si>
  <si>
    <t>…Sr. Marte! , porque laa comisiones lo Hallándose indispuesto mi secretario de E,udo y del Despacho de que han hecho ea presentar loa medios de hacer esta indemnización , y Marina D. Francisco de Paula Escudero, á quien por mi decreto da quieren que te haga hasta donde alcance. Esto no se opone en nada á ayer encargué interinamente el de la Guerra, he tenido á bien encar que se reserve el clero loa bienes absolutamente necesario^ pero tam gar su despacho con la mism…</t>
  </si>
  <si>
    <t>…de las cien Ultramar, en quj participaba á las Cortes que S. M. habia tenido á Jsieu cias útiles, ha podido al cabo, superando muchos obstáculos, proporcio admit r la renuncia de D. Francisco de Paula Escudero (.secretario del nar al profesor L). Juan Mieg el honor y la satisfacción de anunciar D apacho de Marina, y que habia nombrado en su lugar i D- Franr al públ ico que el lunes 11 de Enero , á las 11 de la mañana, te dará cisco de Paula &lt; &gt;sono. Las Corte* qued…</t>
  </si>
  <si>
    <t>Escudero, Ful.pe</t>
  </si>
  <si>
    <t>Ful.pe Escudero</t>
  </si>
  <si>
    <t>…as, para que en atención á haber acordado el mas, que se componía á ¡o ma&gt; de unos 150 hombres , mandados por Congreso cerrar sus tesiones el día 4 de Noviembre próximo, se avi el capitán D. Ful.pe Escudero, y cou .a probabilidad de que .a d -ecsase asi al Gobierno, por si S. -VI. quena asistir según previene la cion de estos vándalos seria seguramente á guarecerse en tas ventas de Const-tucion. La comisión opinaba que el día 26 del corriente se en Agreda. Aunqu…</t>
  </si>
  <si>
    <t>Escudero, Miguel</t>
  </si>
  <si>
    <t>Miguel Escudero</t>
  </si>
  <si>
    <t>…o para con ios poderes presentados por los Sres. D. Josef Luis Ruiz Munarriz, ferenciar entre sf en virtud de las dudas que se opusieren á consecuen T). Fermín Alvarez de Enlate y D. Miguel Escudero, diputados por cia de la pregunta del presidente mandada por la misma Constitución, dicha proviucia, sin embargo de que ro constaba en ellos el nombre 7 tan lejos debían estar los electores de proceder acto continuo á la de los secretarios y escrutadores, y d…</t>
  </si>
  <si>
    <t>Eseovedo</t>
  </si>
  <si>
    <t>…y González Aguitre: total 103. palabra.” Para segundo suplente fue electo el Sr. Casas por 84 votos, tenien Su autor, despuea de manifestar que era la tercera vez que t* ¡ do 6 ei Sr. Eseovedo, $ los Sres. Alix, García , Bustamante y Gilia- sometía á la deliberación de las Cotíes esta proposúiou, manifestó qu# no; 3 el Sr. Ruiz de la Vega , 2 el Sr. SalvatJ, y unocada uno de loe •I único motivo que le había obligado á hacerla era tan chro que no Sr…</t>
  </si>
  <si>
    <t>Esiéban, Die de S.</t>
  </si>
  <si>
    <t>Die de S. Esiéban</t>
  </si>
  <si>
    <t>…Francisco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Francisco de c.bal.eria del Sur en la Hivana; y en at-ncion al donativo de ico® Ardila , D. Vicente Aparicio, D. Josef Parnés , D. Mguel Batalla, rea-s…</t>
  </si>
  <si>
    <t>Esnarcega, Mariano</t>
  </si>
  <si>
    <t>Mariano Esnarcega</t>
  </si>
  <si>
    <t>…de la provincia de Ca!atayud._ que fueron al pueblo de íiaaa, y reunidos te marcharon hacia S. E.iiu Sección de gobierno político. de Codmaa. El alcalde constitacioflal de Datoca D. Mariano Esnarcega , noti- Idem 13 cioao de que en el pueblo de Badules se había levantado tina pequeña Nptieiai oficiales que ka recibido el Sr. gefe político de esta provincia. gtrüiadt cuatro hombres mandados por un aventurero llamado Taba En t.u del corriente paso desde Nav…</t>
  </si>
  <si>
    <t>Esp, Antonio María</t>
  </si>
  <si>
    <t>Antonio María Esp</t>
  </si>
  <si>
    <t>…Joaquín Huerta Ceval .os, D. Cayetano Romero, D. An píos de siles..,J drés Alcon, D. Josef Antonio Ponina , D. Francisco Mattinez Mari Salitre, azufre) 7.8S4 658.. 9 7.'PS &gt;5 na , D. Antonio María Esp jo y D. Miguel Rípa. Habida ia conferen y pólvora...... j cia, resultó por unanimidad haber lugar á la formación de cauta. Total 9.110,595.. 6 &lt;*99.374 9 «.S**»!*0"3» TZiaCMAlB*. En el juzgado del Sr. D. Josef Moreno y Remirez, juez de primero Nota i.* El líq…</t>
  </si>
  <si>
    <t>Espafiol, Mariano</t>
  </si>
  <si>
    <t>Mariano Espafiol</t>
  </si>
  <si>
    <t>…antoUria;, D. Manuelsiendo Canfín,de dictamenD. Cristo-con desa,l8aa.=shabiendoVicentedisentidoAleño,D. JoaquínAgustín Jaunwandieu,Busques. BarcelonaJaime 11Bosch,de JunioFé trajo D. Mariano Espafiol y de los Hoyos y D. Pedro Nolasco La- lix lilla, Felipe Bertrán y Ros, Josef F.oiats, Erasmo de Janer y de Gomosa, Joaquín Busquet», y Mariano Esteve y Montó. ANUNCIOS. El promotor fiscal del juzgado primero de primera instancia de Deseando loa albaceai 7 ege…</t>
  </si>
  <si>
    <t>ESPAÑA, NOTICIAS DE</t>
  </si>
  <si>
    <t>NOTICIAS DE ESPAÑA</t>
  </si>
  <si>
    <t>…ilia, Alhuceu.is y e. Peñen, á cuyo objeto se señalaba la cantidad de 607,371 rs. Aprobado- salvage! ( Se continuará.') La ccmson segunda de Hacienda , en v.sia de !« solicitud de Don NOTICIAS DE ESPAÑA. Macuei del Valle sobre que se le habilitase para obtener algún empleo, Aifaro a6 de Mayo. sin embargo di no gozar sueldo ni haber sobre el erario, op.naba que Ilibiéndose tratado de honrar la memoria del malogrado Cuiuchl- las Corles podían acceder á dicha s…</t>
  </si>
  <si>
    <t>Espe, Antonio María</t>
  </si>
  <si>
    <t>Antonio María Espe</t>
  </si>
  <si>
    <t>…isión cázar, D. Joaquín Cevallos, D. Felipe López Valdemoros, D. Higi«leí código penal á la sanción del Rey se eotienda corregidos y com nio Antonio Llórente, D. Sebastian Andrés, D. Antonio María Espe probados exactamente los dos egemplares.” jo y D. Valentín de Nicolás. Y habida la conferencia, se declaró poc El Sr. Oliver se opuso á esta adición, manifestando que esta opera unanimidad haber lugar 4 la formación de causa. ción ara sumamente delicada; y qu…</t>
  </si>
  <si>
    <t>Espejo, Antonio María</t>
  </si>
  <si>
    <t>Antonio María Espejo</t>
  </si>
  <si>
    <t>…llo no extrañará con D. Juan Paz, D. Isidro Merino, D. Felipe López Valdemoro», sigan la destruccien de los enemigo*, lo que seria fácil lograr con muy D. Joaquin Huerta Cevallos, D. Antonio María Espejo, D. Valentín cortos auxilios, á causa de que todos los pueblos están animados contra de Nicolás, D. Juan Fernandez Casariego, D. Juan Pablo Pascual, ellos , y que sus fuerzas son en el dia muy cortas, y abora seria menos D. Martin Miguel de Goicochea. con I:…</t>
  </si>
  <si>
    <t>…de los Sres. Infan Delgado, D. Joaquín Ceva!los,D. Gonzalo Cárdenas , marques de tes D. Cárlos y D. Francisco de Paula, y resolver que se retiren los Cusano,D- Josef Larreitepui, D. Antonio María Espejo, D. Ber Sres. J menez y Sedeño á desempeñar sus funciones, por exigirlo asi nardo Asenjo y D. Matías Pinílta. Habida la conferencia , resultó por la economía.” unanimidad haber lugar á la formación de causa. A petición del Sr. Murfi se leyó el art. 184 del re…</t>
  </si>
  <si>
    <t>…Doña Isabel de Herrera—Otro de un jura denia Antonio Lorente; D. Domingo Fernandez Angulo; D. Mariano 441,534 mra. sobre el segundo 1 por 100 de Sevilla á favor dal marZorrequia; D. Antonio María Espejo; D. Pedro Matute y D. Casi ques de Leganes, á 4 de Diciembre de 1655.—Otro de un juro dt miro Martin. 79,800 mrs. sobre las alcabalas de vario* pueblos del obispado da As. Habida la conferencia, resultó por unanimidad isa haitr lugar á torga ¿ favor de Doña T…</t>
  </si>
  <si>
    <t>…esas «fe particulares.” au virtud se reunió el jurado, compuesto de los señores siguientes: De Real orden lo traslado á V. para su inteligencia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t>
  </si>
  <si>
    <t>…práctico-morales-políticas jotra*indispen D. Francisco Travesado, D. Benito Ortega Romanillos, D. Juan La sables para cimentar y consolidat en la niñez lo* verdadero* conoci que , D. Antonio María Espejo, D. Josef Gómez Albacete, D. Gon mientos de la existencia civil 7 derecho* naturales del hombre social zalo Cárdenas, D. Joan Corté*, D. Mariano Zorraquin 7 Ó. Joaquín con las obligaciones patacón Dios, él mismo, tus semejante* 7 libre pa Manrique 7 Manrique.…</t>
  </si>
  <si>
    <t>Espi</t>
  </si>
  <si>
    <t>…» de Navarra confirman que Qursada te retiró de Lumbier mo para que continuase cobrando ciertos arbitrios , no obstante de una hacia la montaña. Ninguna contestación he tenido del general Espi orden general en contrario, acordada por las Cortes antes de aquella no»» á un gran número de avito* que de varios modos le he propor fecha , y publicada en ap del mismo mes. Después de una corta discu cionado acerca de la marcha de lo* enemigos. La caballerí…</t>
  </si>
  <si>
    <t>Espiaeira, Antonio</t>
  </si>
  <si>
    <t>Antonio Espiaeira</t>
  </si>
  <si>
    <t>…n. Al comandante y partida de tropa Chinchilla administrador el teniente coronel D. Vicente Asco, destinada en esta capital por su* habe falleció el i a del corriente. Interventor D. Antonio Espiaeira , oficial res de Julio....................... ... 5,189...10. de la contaduría de la Coruña. Al comandante y tropa de las fa Lérida administrador D. Diego Rapelta, alcaide que fue de la lúas del Rey.......................................... a,73°... 4. aduana…</t>
  </si>
  <si>
    <t>Espiga</t>
  </si>
  <si>
    <t>Oemmcin, Olíver, Alvare* de Sotouayor, Villa , Revira, Carrasco, presidente el Sr. Espiga dijo que S. M- había recibido con satisfacción H nojosa , Martel, Dolares y Gaseo, quedó aprobada por 71 voto* el decreto de las Corte* sobre beneficencia, y había contestado que lo contra 58. tomaría en consideración , á fin de que tuviese su debido efecto.…</t>
  </si>
  <si>
    <t>…igión, pue* en el hechode qae la nación porque te sabia qué efectos civiles habían producido ios Quíkaroa. clegia una sola, y mandaba que aquella fuere exclusiva para todos lo* El Sr. Espiga dijo que los atentados contra la disciplina de La igle bernados, el atentar contra ella era atentar contra la ley que manda, sia no debían quedar impune»; y por la trascendencia que tenían loe tu obediencia, y que de consiguiente aquí no entraba mas voa que m…</t>
  </si>
  <si>
    <t>…t au Habiéndose concluido el cap. 3.°, se dió cuenta de las adiciones que tor , y todos los demas caractéres de ella sin ofensa de la claridad, á la sobre el mismo habían hecho el Sr. Espiga al art. 131; el Sr. Arrieta que se ha consultado sobre todo. En la parte tipográfica, para que la im a al Z33: el Sr. Ramonet al &gt;35: el Sr. Puigblanch al mismo; y los presión sea elegante y correcta , nada ha omitido la imprenta Nacional, Sres. Cepero y Lópe…</t>
  </si>
  <si>
    <t>Espiga, Josef de</t>
  </si>
  <si>
    <t>Josef de Espiga</t>
  </si>
  <si>
    <t>…ispado de Sevilla y obispado de Guadix, concedidos por el Rey debían apresurarse i ir .í consolidar ia obra de sus amigos y corresponsa á los Sres. diputados de las últimas Cortes D. Josef de Espiga y Don les; que todos los pormenores de la conjuración los babia comunicado Diego Muñoz Torrero; y habiendo sabido por los papeles públicos que al cardenal Gravina , arzobispo de Palermo , uno de los conjurados ,que dichos señores habían sido reconvenidos por el nun…</t>
  </si>
  <si>
    <t>Espiga, Miguel de</t>
  </si>
  <si>
    <t>Miguel de Espiga</t>
  </si>
  <si>
    <t>…odo ha alcanzado mas ó menos á las de Oiavarría , D. Antonio Celestino Alvarez, D. Msr.uel de la Puen ciudades de Antab, Antakáa, Gesses, Látale.a, Alejandreta , Tirsis, te López, D. Miguel de Espiga , D. Vicente Cantón SaiazaT y D. Ju Mir.'-v;, llama y Mems, como también á Damasco y á la isla de Chi lián Izquierdo. pre. En Mosul y Mardin hace también estragos el cholera-morbus. Ateneo esfasiol. Tantos y tan grandes apuros hacen probable la noticia de que…</t>
  </si>
  <si>
    <t>Espin, Rafael</t>
  </si>
  <si>
    <t>Rafael Espin</t>
  </si>
  <si>
    <t>…a, y el deseo de que se activan según los decretos vigentes. Aprobado. la presentación de medida* capacek da caimas los ánimos ; para lo cual La misma, en v-sta de la solicitud de D. Rafael Espin, capitán de parecía conveniente que 1a comisión estrechase ai Gobierno para 170* la milicia nacional de artillería de Murcia, pidiendo que te le reco remitiese los datos necesarios, cuyo objeto *c conseguirte con la piojo* miende al Gobierno para que te le dé…</t>
  </si>
  <si>
    <t>Espina, Franc-.sco Rodrigues</t>
  </si>
  <si>
    <t>Franc-.sco Rodrigues Espina</t>
  </si>
  <si>
    <t>…e habían Teberga; i D. Sebaitian Rodríguez Alvarez, para d de Giado contribuido á que se pusiese el artículo que reclamaba el Sr. Martel, Diego López longoria, para el de Sala,; j D. Franc-.sco Rodrigues Espina, para el de Canga* de Tin-o; 1 D. Cr ,robil M.-iender Vi des,que trata de que el clero se reserve una parte de sus bteoes en caso ne cesario, y que si hubiera sabido que se habia de haber entendido del para el de Loares; y á D. Jntef Rodríguez de Castro, pira…</t>
  </si>
  <si>
    <t>Espina, Francisco Rodríguez</t>
  </si>
  <si>
    <t>Francisco Rodríguez Espina</t>
  </si>
  <si>
    <t>…ercibimiento de que pasado sin hacerlo le parara el perjuicio que Y para la plaza de juez letrado del partido de Cangas de Tineo, en haya lugar. Asturias , vacante por renuncia de D. Francisco Rodríguez Espina. Historia de las minas de oro, plata y demas metales que se conocen Palacio 5 de Mayo de 182 a. en España por D. Francisco Gallardo Fernandez , antiguo oficial del ministerio de Hacienda. Un cuaderno que comprende cuatro artículos: El gefe político de Gerona…</t>
  </si>
  <si>
    <t>Espinaca, Bernardino</t>
  </si>
  <si>
    <t>Bernardino Espinaca</t>
  </si>
  <si>
    <t>…Despacho de la Gobernación «le Ultramar con Mu ía Josefa de Salazar, Doña Tomasa Quqada , y por su muerte su fecha de ayer dice «lesde el Real sitio de Aranjuez lo que sigue: hijo D. Bernardino Espinaca, D. Manuel de Villejas y Romate , y » SS. MM. y A A. no tienen novedad en su importante salud.” por su fallecimiento su hijo primogénito D. Luis Villejas y Romate, el Excmo. Sr. marques de Valdecarzana, D. Josef Valdivieso , y por su Circular del ministerio d…</t>
  </si>
  <si>
    <t>Espinóla, Marcelo</t>
  </si>
  <si>
    <t>Marcelo Espinóla</t>
  </si>
  <si>
    <t>…do, se había aclamado al Rey absoluto, y lot cuales opinaba podían concederse cartas de ciudadano á D. Ramón que esto no podía menos de ser principio de una conspiración muy Pada, D. Marcelo Espinóla, D. León Menudo, D. Rafael Orfen , Don meditada, y empezada ya i poner en egecucion, precisamente en los Antonio Gustaman, D. Narciso Mataolivas , D. Sebastian Cortijo, dias que han dé preceder al sorteo para el reemplazo del egército en es IX Bartolomé Solan…</t>
  </si>
  <si>
    <t>Espinos</t>
  </si>
  <si>
    <t>…ido 6 prisioneros , de los cuales 2 , que 10 fue De Pamplona escriben con fecha del 7 lo siguiente: ron con las ai mas en la mano, han sido fusilados, 1 caballos, una mu » Nuestro general Espinos* con 1 aoo hombres de infantería y ca ja cargada de víveres, bastantes armas y una caja de guerra, sin quo ballería pasó antes de ayer por esta* inmediaciones con dirección á por nuestra parte haya habido novedad alguna. Aoiz, camino de Iiati. „ Fn la acción…</t>
  </si>
  <si>
    <t>Espinosa</t>
  </si>
  <si>
    <t>…las administraciones de correos de las provincias Al anunciar el hizo aquella mudanza, asi como la de Espafta, sin que precediese aquel primer cuaderno de la cartilla agraria del coronel Espinosa no pode desastroso desorden, aquel derramamiento de sangre que acibaran en el mos menos de tributar los debidos elogios á su autor, y estimularle 1 corazón del verdadero liberal el gusto de recobrar su libertad, y empa que nos dé motivos de repetirlos en el a…</t>
  </si>
  <si>
    <t>…ha de rxpedir las certificaciones de lo que se adrada de ARTICULO DE OFICIO. las contratas de tabaco anteriores i i." de Julio de 1820 ; te ha s rvido El Gobierno ha recibido del general Espinosa el parte siguiente: r so'vrr se extiendas por la dependencia de! cargo de V. S., habí! tan» El coronel D. Sebastian Fernandez, comandante del cart m de do inmediatamente i los interesados comprendidos en la liquidación de Estrila, en oficio de ayer, que acabo…</t>
  </si>
  <si>
    <t>…tarios íe aquella ciudad , que han salido á escarmen ate rida a levantar cabeza desde ia derrota qu- sufrió en Tudel* v i* tar é lo* facciosos á 14 leguas de la misma. Barden*. El general Espinosa con sus «too hombres r &gt;it,! mi tu. ó-, El cabecilla Zavala , derrotarlo el loen Urrestilla, entró el rt be tiu duda divertirse en mandar disparar salsas. Con f c'a del 16 al mediodía en Azcoitia con solos 4 de é pie 7 e! apóstata cura Go- nos escriben de Bay…</t>
  </si>
  <si>
    <t>…vilizado, y hará una impresión en la Europa tan peli Ministerio de ia Guerra. grosa y tan profundamente ¿olorosa que es moralmente impoaible que El Gobierno ba recibido partes del general Espinosa, en que da tarde ó temprano deje de producir terribles consecuencias. cuenta de sut operaciones desde el 1 a hasta ¿1 16. Escribe desde Aoiz, La humanidad, la religión , las luces del siglo, el Ínteres de la mis y después de detallar sus movimientos en. aquel…</t>
  </si>
  <si>
    <t>…s que fueron mañana, y tengo U sat.»f.&lt;ccon de decir á V. E. que be recib ió un tacados por fuerza. parte dei general Mi.ana a Ja una de la mañana , en qu- me pzrtic pa __El 34 el general Espinosa dió una buena lección i los faccciosos que Mosen Antón , en núm-ro de 1500 horr o*rs, iba a atacar esta vi entre Aibar y bada en las inmediaciones de Sangüesa. Las fuerzas nacio lla al amanecer «I día : cf .ct vimvrte io ha verificado al rayar :a auro nales n…</t>
  </si>
  <si>
    <t>Espinosa, Agustín</t>
  </si>
  <si>
    <t>Agustín Espinosa</t>
  </si>
  <si>
    <t>…oviembre de i8aa.=Excmo. Sr.=Francisco primero y ú'timo término, comparezcan en dicho juzgado, y en el oficio E.poz y Mina.=Excmo. Sr. secretario de Estado y del Despacho de la de D. Agustín Espinosa, por sí ó por su procurador con poder bastante i Guerra.” deducir su derecho en el juicio de testamentaría formada á los bienes » Habitantes de la Conca de Tremp: La rapidez con que las tropas fincados por la difuncion del indicado D. Gaspar, pues se les o¡rá…</t>
  </si>
  <si>
    <t>Espinosa, Bartolomé</t>
  </si>
  <si>
    <t>Bartolomé Espinosa</t>
  </si>
  <si>
    <t>…alo de Mendoza, alcalde constitucional de Co’omar. D. Pedro de la Cantolla. D. Francisco Javier Hernández. esta villa, se vende una cata de recreo y jardín perteneciente a&gt; i-vc - D. Bartolomé Espinosa. D- Domingo Menguar. D. Joscf Arroyo. Dan Jentismo Sr. duque de Medínaceli y Santistcban, sita en el lu zar de lJ.rni.negitdo Vinadea y D. Salvador Caqui». Carabanchel de Aba jo, entre Ies-calles que llaman del Cura y Sacris VARIEDADES. tán , que forma una fi…</t>
  </si>
  <si>
    <t>Espinosa, Carlos</t>
  </si>
  <si>
    <t>Carlos Espinosa</t>
  </si>
  <si>
    <t>…Antonio Quiroga , D. Rafael del comunas. Riego , D. Felipe Arco Agüero , D. Miguel López llanos , D. Deme Art. 147. «Por medio del arrepentimiento y de la enmienda el trio O-Daly, D. Carlos Espinosa y D. Manuel Latre. condenado á trabajos perpetuos podra , después de estar en el.o, 10 La comisión encargada de proponer las medulas necesarias para años , pasar ¿ la deportación.” cumplir la última voluntad del Sr. diputado D. Fernando Navarro, « Per «1 mismo medio el deporta…</t>
  </si>
  <si>
    <t>…iegos. D. Antonio Quitoga, D. Rasad del Ric^o , X). Fe.¡pe Arco Agüero, Chineo hace una guaira muy nctiva i las turcos de Epito; y h« co D. Miguel López Baños, D. Demetrio Q-Duly, D. Carlos Espinosa y el gido muchos convoyes de municiones destinados para la Mores. brigadier D. Manuel Larrc, resolviendo ¡a dona de si debería ser con ar Por alguno» buques que hoy han llegado de Corfú te ba rábido, reglo al reglamento de t8tt y 1815, dijo que el Gobierno co…</t>
  </si>
  <si>
    <t>Espinosa, Cirios</t>
  </si>
  <si>
    <t>Cirios Espinosa</t>
  </si>
  <si>
    <t>…a , Logroño, Calalas provincias de Oviedo, León, Salamanca, Zamora, Avila y Valla tayud, Teruel, Chinchilla, Jaén y Córdoba no se proveen , porque no do! id , al mariscal de campo D. Cirios Espinosa , que desempeña ac s„n litorales ni fronterizas, que son únicamente en las que debe recaer tualmente en propiedad la comandancia general de Castilla la Vieja. provisión , según el decreto. Los comandantes de las provincias de sa Comandancias subalternas de pr…</t>
  </si>
  <si>
    <t>Espinosa, D- Joscf</t>
  </si>
  <si>
    <t>D- Joscf Espinosa</t>
  </si>
  <si>
    <t>…nado en algunas minas de plomo que «tan á su cargo. La comisión de Agricultura, habiendo examinado la expmicioa del Se leyó un dictamen de la comisión ordinaria de Hariande de las coronel D- Joscf Espinosa para que teniendo presente lo acordado en Cortes anteriores sobre la aprobación de ya carotas de la enfadaría su favor en la sesión de a$ de Junio último, se le concediesen los ter mayor de los años 18, 19 7primeros meses del *0, el modo con que renos baldíos…</t>
  </si>
  <si>
    <t>Espinosa, Domingo González</t>
  </si>
  <si>
    <t>Domingo González Espinosa</t>
  </si>
  <si>
    <t>…ue le están conce didas ó se le concedieren p r las Cortes. Art. 10. Esto se entiende siem Juicio de jurados.pre que el importe de las contribuciones no pagadas existiere en prime D. Domingo González Espinosa, en nombre y á virtud de poderros contr buyentes; mas si resultare que se cobró de ellos, ó se le d¡ó d:l Excmo. Sr. duque del Inf.ntado, denunció al Sr. alcalde &lt;on»tiu-otro de&gt;tmo cualquiera que sea, ó que el ayuntamiento ó sus indivi cionai D. Anas Gonzalo…</t>
  </si>
  <si>
    <t>Espinosa, Garios</t>
  </si>
  <si>
    <t>Garios Espinosa</t>
  </si>
  <si>
    <t>…tian 14 de Agosto de l8as.=El conde d; V-liufu.-rtes.ví culatas noticias «v -----------r , - » . -. » • im.be en los informes qu; pr-v ene el decreto md.cajo; y la diputa- B indo. D. Garios Espinosa de lo* Montero» , caballero gran cruz con, cu vos ind v.duo» estro absolutameuU compren t.dos e id.nth- de la orden de S. Fernando, condecorado con ia de &gt;. Htrir.en g. do cado, con la causa d: ¡a patria , pospuesta toua cons.d. radon , ha nu- y con ia medall…</t>
  </si>
  <si>
    <t>Espinosa, Isabel de Buendia y</t>
  </si>
  <si>
    <t>Isabel de Buendia y Espinosa</t>
  </si>
  <si>
    <t>…apro da la ciudad da Lorca, se cita y emptaza á los descendientes de D. Felipe vechan , pu:s aquel’arti.u ó que el alcalde de beseña y los Cazorta* de Ortega Espinosa y Blazquez y Doña Isabel de Buendia y Espinosa, «rao sus enemigos» resultando lo contrario de las declaraciones de loa hermanos , primero y segunda llamado* con sus líneas y descendencias testigos examinados*, y la de M.ngo se limita á la circunstancia de set al goce del patronato de legos instituido por…</t>
  </si>
  <si>
    <t>Espinosa, Joerf</t>
  </si>
  <si>
    <t>Joerf Espinosa</t>
  </si>
  <si>
    <t>…d. ¡tan primer ayudante supernumerario del regimiento úKanteria del Toro a D. Leopoldo de Gregorio, espitan del reg imentó caba 5 'ríncipe, id. llería de Numancia, id. Castellón á D. Joerf Espinosa, coronel graduado y msvor coman Vai encía i D. Vicente María de Haro, capitán efectivo de infan dante supernumerario del regimiento infantería Infante D. Cáelos, id. tería y del batallón de la milicia activa de Alcázar da ü. J-an, coa Ciudad-Real a D. Joief O…</t>
  </si>
  <si>
    <t>Espinosa, Josef</t>
  </si>
  <si>
    <t>Josef Espinosa</t>
  </si>
  <si>
    <t>…á en cuyo despacho se vende este primer tomo á 17 rs. en rústica y 20 en la comiaion. pasta. La misma presentó su dictamen acerca de las adiciones que se hi Cartilla agraria, por D. Josef Espinosa de los Monteros, coronel cieron á varios de los artículos del título preliminar; y después de ha comandante de batallón. Se suscribe en todas las administraciones de ber manifestado las que habia admitido y las que no, propuso varios correos de las ciudades,…</t>
  </si>
  <si>
    <t>…los hombres amsntee Cartilla agraria, ó sea la práctica de la agricultura y de la ganade de la libertad que gimen bajo el yugo del poder absoluto vieron con ría , dispuesta por el coronel D. Josef Espinosa, y aprobada y recomen auma complacencia el esfuerzo hecho por los napolitanos para reconquis dada por las Cortes: cuaderno 1 Se vende en la librería de Rodrigue?, tar sus legítimos derechos, y le aplaudieron tanto mas, cuanto que se y en las administraciones…</t>
  </si>
  <si>
    <t>…y tloo y en Cádiz en la de Zaragoza, á 7 rs. los restantes Aprobado. Historia natural, análisis y virtudes de la fuente sublantina. Opús La comisión de Guerra , en la instancia de D. Josef Espinosa de loa culo dedicado á las Cortes por D. Antonio Josef Cha'anzon , necesario Monteros sobre que se le conceda el empico de primer comandante A los alumnos del arte de curar y útil á sus profesores; cuaderno en 4* del batallón de milicias de Castellón , opinab…</t>
  </si>
  <si>
    <t>…ismo solo dos diputa Cartilla agraria, ó sea la práctica de la agricultura y ganadería , dis dos bastaban para d cho reconocimiento , siendo asi que el principal car puesta por el coronel D. Josef Espinosa, y aprobada j recomendada go de los diputados era el de asistir á las disersiones del Congreso; ade por las Cortes: cuaderno núm. 4.' Se hallará en la librería de Rodrí mas de que habiéndose hecha economías en ramos muy importantes, guez y en las administraci…</t>
  </si>
  <si>
    <t>…an presentado Cartilla agrafía, ó sea la práctica de l.r agricultura y de la ganade medios luis** al resello , y tengan los billetes numerados desde 1801 al ría , dispuesta por el coronel D. Josef Espinosa, y aprobada y reco 1903, ambos inclusive. mendada per las Cortes: cuaderno g.J Se hallará en la librería de RoJuitios de jurados. drigu z y las administraciones de correos del reino. D. Josef María González, miliciano vo'untario de caballería de Formulario ma…</t>
  </si>
  <si>
    <t>…ot Sréa. marques de Cusa- Cartilla agraria, ó tea la práctica de la agricultura y la ganadería, no , IX Z &gt;1 o Gómez Casero, D. Benito Ottega Romanillos y D. Juan dispuesta por el coronel D. Josef Espinosa, y aprobada y recomendada Isidoro Pérez. ' por las Cortes: cuadernos 7.a y 8.* de la obra. Se venden en la li brería de Rodríguez, en donde se suscribe , asi como en todas las ad E&gt; Sr. fiscal de imprenta por ai y £ virtud de excitación del Go ministraciones…</t>
  </si>
  <si>
    <t>Espinosa, Manuel de</t>
  </si>
  <si>
    <t>Manuel de Espinosa</t>
  </si>
  <si>
    <t>…....... 1.050,000.J larmente á los aspirantes el dia que hayan de concurrir á la oposición con el fin de 00 causarles detención. Existencia en libranzas para 1 0 de Agosto. S.'*4- D. Manuel de Espinosa, agente de negocios de acreditada idonei dad, se encargará y desempeñará á satisfacción las comisiones que gus llecili.lo en metálico. ten poner á su cuidado y dirección las diputaciones provinciales por A cuenta dedos libraueis contu la caja de la mis una mo…</t>
  </si>
  <si>
    <t>Espoz, Francisco</t>
  </si>
  <si>
    <t>Francisco Espoz</t>
  </si>
  <si>
    <t>…ar el impetlérrito guerrero, el Viriato de nurstros tiempos, el Marte A Agrirount á rcun.rse cou el general M na, cuyos proyectos se ig- español, el rayo de la guerra , «1 invicto general D. Francisco Espoz moran.” y Mina, para que le ayuden en la grande empr-ss que le ha cotn t¡do Hn un párrafo de Manresa del dia 1 a se d’c.v - Acaba de llegar la el Gobierno d* purgar de morotruvs *1 suelo cataian, y retídmele !a noticia de que se sorprendió ayer a' enem.go en…</t>
  </si>
  <si>
    <t>Esquí, N.</t>
  </si>
  <si>
    <t>N. Esquí</t>
  </si>
  <si>
    <t>…rmada de mas aidor.__D. Juan Casals , presbítero de Sta. María del Mar—O. Narci de 500 hombres , ó oc que se ísueiccplt un correo, pues me será V. so Bas, rector del seminario con D. N. Esquí e, presb t;r . oen.tkúdo responsable de ia seguridad &lt;H estos , á pesar de que vayan sin custodia de la catedral.—P. Josef Msr'a Gil, mercenario, . riur—P. Perno de algunas Lo que traslado á V. para que con la fuerza de su mando S. Nicolás, agustino díscaiz ,…</t>
  </si>
  <si>
    <t>Est-ban</t>
  </si>
  <si>
    <t>…ef Goicoa de Madrid , D. Jaime O-Dalí de Puerto-Rico , ia dar , cumplir y egccutar el presente decreto en tudas sus parus. Tcn- casa de Bengutr y compañía d» Sta. Cruz de América, D. Est-ban dreitlo entendido para su cumplimiento, y dispondréis se imprima, Gaillard de París , y la casa de Valpole y Eilison ds Londres , se les publique y circule. = Está rubricado de la Real mano.=En Palacio cita y emplaza, como á cualesquiera otros que tengan ínte…</t>
  </si>
  <si>
    <t>Esta</t>
  </si>
  <si>
    <t>…sean pr-cisas mientras el conspirador esté en laclase de de- homló tiene en sociedad, y hasta de su misma op moni tcm S&gt; Tampoco le h.v respecto de la observación que ha hecho el señor Esta es una vrr !ad que nadie puede negar; y cua.qu na que sea el pr opinan! , pues el Gobierno no puede estar en todos los puntos de retu'tado del crimen de que se le acuse , &gt;1 x da una s-nt-n. a fsvriibie, Ja P n nsu a para ei arresto de los conspiradores , y s…</t>
  </si>
  <si>
    <t>Esta, Canga.-</t>
  </si>
  <si>
    <t>Canga.- Esta</t>
  </si>
  <si>
    <t>…elles: Quisiera que los Sres. de la comisión me dijesen corta: asi pues por estas razones no apruebo el dictamen de la comisión. ei el regidor obró como alcalde constitucional. El Sr. Canga.- Esta propuso como base de la reforma de Hacienda El Sr. Ramírez Arellano: No resulta sino qu«i el regidor y el al la suspensión del decreto de división territorial: pero el Congreso tuvo calde de barrio se presentaron en la casa del exponente, y pidiendo es á bien…</t>
  </si>
  <si>
    <t>Estaban, Pedro Po</t>
  </si>
  <si>
    <t>Pedro Po Estaban</t>
  </si>
  <si>
    <t>…dor de la Moncloa. Doña María Gerónima Carbonel, ame juntaban mas de 90 en la caía de la ciudad para la elección de oficiales. ricana , viuda: D. Luis Chaves, guardarop* del Rey : D. Pedro Po Estaban todos armados v y según deseaba el alcalde segundo se creía que dio, oficial segundo de la tesorería de a. M. : ei P. Fr. Pedro Tellez, por todo este mes estatúan uniformados. agonizante en el convento de Alcali D. Josef Alejo Mirabel (el Él brigadier Nebot c…</t>
  </si>
  <si>
    <t>Estado, Asensio del</t>
  </si>
  <si>
    <t>Asensio del Estado</t>
  </si>
  <si>
    <t>…4 hizo su entrada pública en esta capital el bri tidos. E1 ciudadano, el' militar , el eclesiástico cesan de ser miembros gadier de lo* egércitos nacionales y distinguido patriota D. Asensio del Estado, de la milicia y de la iglesia católica de Jesús desde que Ncbol al frente de su columna volante. Ya desde la mañana hab a dis traición y apostasía son sus divisas murales , y desde que la ambición puesto el ayuntamionto constitucional de esta por medio de ba…</t>
  </si>
  <si>
    <t>Estado, Oe</t>
  </si>
  <si>
    <t>Oe Estado</t>
  </si>
  <si>
    <t>…avia y la Valaquia; pero sin añadir que los ru¿os vayan entran Dirección general de resguardos. do en aquellos dos principados, sin embargo que esto debe suponerse. El Exento. Sr. secretario Oe Estado y del Despacho de Haciende No deja entretanto de ser muy extraño que ai nrsrau ti.mpo qu c algu me ha comunicado con lecha de l8 de este mes una Real Orden que nos consideran esta resolución de los turcos como efecto de una cesión tiene relación con el resgua…</t>
  </si>
  <si>
    <t>EstanVao</t>
  </si>
  <si>
    <t>…das ó que en chilla, capitán del regimiento de caballería de oagunto, sobre que se adelante se establecieren , te multiplicarán los propietarios interesados mandase formar causa á D. EstanVao banchez Salvador, ex-ministro en sostener el régimen constitucional. Por lo demás S. M. ha creido que de Ja Guerra; al comandante general de esta provincia, conde de Car los colonos ó usufructuarios de lo* terrenos asi vendidos eran acreedo tagena; al coronel…</t>
  </si>
  <si>
    <t>Este, Luis</t>
  </si>
  <si>
    <t>Luis Este</t>
  </si>
  <si>
    <t>…alema, partido de Ron Irradio Flotats, el barón de las Cuatro Torrea, D. Joaef Ortega Cañedo, da, en Granada, juro 450^mrs., en la misma cabeza__r. Papel sella L&gt;. 1 edro Perena , D. Luis Este ve , D. Joaef Garriga, D. Pedro Ram* do de Málaga, juro de 187,500 mrs., en la citada cabeza. bauo. D. Francisco Ignacio Pelleja y D. Antonio Fulla, después de — 3. Segundo medio por ciento de Córdoba, juro perpetuo 759 haber examinado el papel inserto en el…</t>
  </si>
  <si>
    <t>Este, M.</t>
  </si>
  <si>
    <t>M. Este</t>
  </si>
  <si>
    <t>…instalación de loa i los beneméritos de la patria, traducida del griego, é ilustrada con no ayuntamientos en el afio 1820 ; y que ios ayunumientos al tiempo de tas por J. F. V. J. D. M. Este precioso monumento de sabiduría de instalarse en cade un año, no están autorraades para nombrar nuevo la antigua Grecia, obra del patriotismo en medio de las intrigas y con secretario, debiendo continuar el que estuviese nombrado anteriormen vulsiones polític…</t>
  </si>
  <si>
    <t>Este, Manuel</t>
  </si>
  <si>
    <t>Manuel Este</t>
  </si>
  <si>
    <t>…j Radon, 1&gt;. Andrés Moya Luzuriaga, D. Martin Miguel Goicochca, Resolución de las Cortes autorizando al Gobierno hasta la próxima D. Angel Bonalto, L&gt;. Higinio Antonio Lorente, y D. Manuel Este legislatura para que pueda dispensar á los jueces de primera instancia de ban Cañtt. ' la obligación de preñar su juramento en las audiencias. (Gaceta drfjr.y __IX Nicolás de Santiago Rotalde, D. Miguel María de Velasco y Hacienda. L&gt;. Agustín Mascareñas denu…</t>
  </si>
  <si>
    <t>Este, Murfi</t>
  </si>
  <si>
    <t>Murfi Este</t>
  </si>
  <si>
    <t>…inadas que ingresan en el Estado, y suben á 54 millones anuales. queza necesaria para presentar la cosa tal cual es en sí. Por consiguiente la opinión del Gobierno es la misma del Sr. Murfi Este préstamo es tan sencillo, que lo entenderán los hombres mas en su" voto particular. Se dirá que debe estarte á lo que está hecho, rústicos dei campo; 50 por 100 dado en dinero efectivo , y otro 50por aunque sea mal hecho; ¡pera por qué no se ha de verificar l…</t>
  </si>
  <si>
    <t>Esteban</t>
  </si>
  <si>
    <t>…ismas se pasaron varios documentos relativos al mismo lo eran del desorden, y acasó comisionados para ello) habia dado lugar asunto, pasados por el vista de la aduana de Tarragona D. Esteban para que retratasen planes de conspiración por medio de ensayos direc Cancelada v Sancho. , tos ó indirectos, que á pretexto de ilustrar a las naciones de Europa pro Se concedió licencio al Sr. diputado Alemán pare regresar á su país. movían el desorden en Es…</t>
  </si>
  <si>
    <t>Estéban, Claudio</t>
  </si>
  <si>
    <t>Claudio Estéban</t>
  </si>
  <si>
    <t>…Antonio María Iba trola, migos- por la calle del Arenal &gt; parroquia de S. Ginés , rompiendo el herido. fuego mis avanzadas, y replegándose á este punto: los enemigos si Cazadores. D. Claudio Estéban, herido. guieron su marcha'en dos columnas, atacándome, la una de cazadores Primera. D. Josef Molinero, herido. D. Juan Velasco, contuso. por la calle dé ¿oteros, y la otra de granaderos por la de la Amargura, Segunda. D. Estéban Abascal, herido. extendiéndos…</t>
  </si>
  <si>
    <t>Esteban, Joaquín</t>
  </si>
  <si>
    <t>Joaquín Esteban</t>
  </si>
  <si>
    <t>…cx-capuchino, D. Mar ano servicio de la Armada. Pascual de Alcañlz, D. Miguel Juan Garc’a, D. Juan Bautista Gan A la de Marina una solicitud de Gabriel Barceló, pidiendo se le do, D. Joaquín Esteban, L&gt;. Ramón Toro y 1). Mariano Galindo, conceda una pensión por haberse inutilizado en el navio Santiago de ha mandado S. M. que en su Real nombre se les den las gracias, y América. que se publique en la gaceta para inteligencia del púhlico y satisfac Las Cort…</t>
  </si>
  <si>
    <t>Esteva, Agustín</t>
  </si>
  <si>
    <t>Agustín Esteva</t>
  </si>
  <si>
    <t>…placerlos y disimular tus defectos. La exequias de Julio Cesa: cuadro pintado por Juan Lanfranco, Para cortar de raíz «tos males te ha servido S. M. mandar, que desde dibujado por D. Agustín Esteva, y grabado por D. Blas Amalla en el día en que el gefe político Ktpectivo expida la certificación «le cón- ran pliego «fe marca imperial. Se halla en la catcografia «fe iu imprenta grua á cualquier religioso para secularizarse, no sea «te considerado co flaci…</t>
  </si>
  <si>
    <t>Esto, Garelly</t>
  </si>
  <si>
    <t>Garelly Esto</t>
  </si>
  <si>
    <t>…los que re-u.ten cómpli formado sobre la conspiración del y de Julio. r Y se ha de creer qu- el ces en la conspiración. auto de prisión es i consecuencia de los procedimientos del Sr. Garelly Esto quiere decir que el juez Paredes debía haberse atenido en esta como ministro! Yo no sé en qué se funda el auto de prisión: puede causa militar á hacer por separado las piezas correspondientes a ios oue que aparezca reo en aquella causa como complicado en la c…</t>
  </si>
  <si>
    <t>Estorch, Esteban</t>
  </si>
  <si>
    <t>Esteban Estorch</t>
  </si>
  <si>
    <t>…nia el primero, la dió el quién multitud de casas, y redujeron4cenizas las de D. Miguel M is de Xe- vive, y la mando h.icrr alto : los enemigos intimidados, que creyeron .xas y de D. Esteban Estorch, regidores, y las que ocupaban D. Ra seraneado» por un número considerable, retrocedieron en desorden, món Maciá y Bagó y D. Gerónimo Avellana, habiendo también pe d jando en las calles una porción considerable da armas y mochilas, y gado fuego á la de V. Fra…</t>
  </si>
  <si>
    <t>Estrada, Francisco Henriquez de</t>
  </si>
  <si>
    <t>Francisco Henriquez de Estrada</t>
  </si>
  <si>
    <t>…e», en donde se ha de hacer la propuesta de dicha plaza. Los que te crean con derecho á la sucesión de todas ó alguna de las Emprístito nacional. cuatro vinculaciones que fundaron D. Francisco Henriquez de Estrada y Los interesados en ¿I, cuyos resguardos interinos tengan los nú Zúfiiga, Fr. D. Josef Alfonso Clavero y Seté , D. Pedro de Peflalrer, meros desde el 18 al )t inclusive, se servirán concurrir á recoger sus presbítero, y el Dr. D. Juan de Pefialver,comparecerán por…</t>
  </si>
  <si>
    <t>Estrada, Francisco Josef de</t>
  </si>
  <si>
    <t>Francisco Josef de Estrada</t>
  </si>
  <si>
    <t>…erese se hace saber el púbiieo. u z , D- Rafael Mariano Pavón, D. Julián Alvarez de Gnlmago, Don A la entrada de los franceses en la ciudad de Burgos fueron extra Sliguel Cabezas, D. Francisco Josef de Estrada y D. Benito Pariza. viados del archivo de la Sra. marquesa de Fumtep.'layo los pr vi'e.’ios ANl/NCIOS. de ¡uros siguientes----Uno de 137,143 mrs-, situado sobre alcabalas de Sevilla en cabeza de D. Fernando de Matanza.__Otro de 41,675 Fn esta audiencia territorial de Castilla l…</t>
  </si>
  <si>
    <t>Estraves, Pedro</t>
  </si>
  <si>
    <t>Pedro Estraves</t>
  </si>
  <si>
    <t>…despachados Duna Maiía Vázquez, viuda de! alférez de fragua D. Ramón Cine, por varios particulares con órdenes de comprar en Amstetdaro créditos tero, pido mió io tierno: otra de D. Pedro Estraves , tutor de los ¡li austríacos anuí qu les correes oidmar o&gt; anuncias n la sub.da que dí jos niciu res de D. Juan Navairo, vecino que fue de Tortosa , pidiendo alos créditos á“bsb*n de tener con rr.ot vo de la noticia de la prisión se conceda una pensión á dic…</t>
  </si>
  <si>
    <t>Estrella, N.</t>
  </si>
  <si>
    <t>N. Estrella</t>
  </si>
  <si>
    <t>….scordia , cometen el mas grave de todos- quien intentó en vano sobornarle con ¡a oferta de unas cuantas onzas los crímenes contra Dios y c ntra los hombres. de cío-, y el llamado D. N. Estrella cogió asimismo al teniente coro nel D. N. Surz, que venia en las filas enemigas. Om&lt;to la relación de Madrid M ercóles 17 dt Julio, otros mas prisioneros de la clase de tropa, como asimismo la captura SS- MM. y AA- continúan sin novedad en su importante talud…</t>
  </si>
  <si>
    <t>Et, Jo.ef</t>
  </si>
  <si>
    <t>Jo.ef Et</t>
  </si>
  <si>
    <t>…magistrados de la audiencia de Puerto- Príncipr, en la isba de duba,tar á los pueblos amenazados de ser presa de los infames que egercen 4 D. Diego Frías, D. Jos-f Eugenio Bernal, D. Jo.ef Et:r’.m, Dontodo género de vejaciones , y ponerlos en el caso de buscar en la Ildefonso Josef Medina y i D. Josef Angel Garrido.tierra un asilo i su maldid. Lo que pongo en conocimiento de V. E. para que lo eleve al de S. M. Dios guarde á V. E. muchos años. Debi…</t>
  </si>
  <si>
    <t>Etcribá, Lorenzo</t>
  </si>
  <si>
    <t>Lorenzo Etcribá</t>
  </si>
  <si>
    <t>…ronel coman plirlo , se procederá á la declaración de ser librea los insinuados bienes, dante de la milicia nacional Jacobo María Spinota.sEl coronel gra y poder disponer de ellos D. Lorenzo Etcribá, conde de Rotova, que duado de caballería Pascua! Perez de los Cobos.=El teniente coronel los posee. comandante de las armas Bernardo Fernandez.sEl espitan retirado Juan Geografía universal, descriptiva, histórica, industrial y comercial Bastida, ss El cura p…</t>
  </si>
  <si>
    <t>Étli-</t>
  </si>
  <si>
    <t>…atólicos de tener asiento en la Cámara de los Lores. demencia intermitente, salió de su casa el 20 de Abril último con un Esta propuesta fue aprobada por 149 votos contra 144__ El lord Étli- gorro encarnado en la cabeza, calzones azules y chaqueta negra con di ct ha pedido explicaciones al marques de Londonderry sobre la conduc rección I la orden tercera de S. Francisco; y no habiendo sido admiti ta de Inglaterra respecto de los insurgen)' s espa…</t>
  </si>
  <si>
    <t>Eu</t>
  </si>
  <si>
    <t>…io de id ¿ti de Borines , concejo de Fiiofia en Asturias , cabo segundo que fue «leí presente nae dicen lo que sigue: regimiento de infantería del Infiesto, licenciado por inútil. D. Eu » Las Cortes, enteradas del expediente que no» dirigió V. E. en a i genio de Neira y Diez de Freixó, teniente coronel de infantería,y de Mano último, y devolvemos adjunto , lastioido por la diputación teniente que fue del regimiento de infantería de Toledo. D…</t>
  </si>
  <si>
    <t>Eu, Rosen</t>
  </si>
  <si>
    <t>Rosen Eu</t>
  </si>
  <si>
    <t>…que ha de llegar pronto ci dia de tu sx- tancia d: tst.. corte , te llama y emplaza á los que s* crean con derecho timlno. á los b.-.nes quedado» por el piesunto fallecimiento del Sr. D. Rosen Eu el número anterior publicamos la tituacion de la S’o de U'g-’t do p.,rüer, c cual a'gunos años antes de embarcarse en Cádiz en el pero un periódico de esta capital, r.fir éndose á carias de Zaragoza del ■avio S. Je m . inst.tuyó por su herederoá su hermano el…</t>
  </si>
  <si>
    <t>Eu-</t>
  </si>
  <si>
    <t>…nstancias que en los demas que han merecido este honor. estas es que el Congreso foime idea del actual estado de la Nación. Se leyó y mandó unir á la proposición una exposición de D. Eu- Por todas partes se ven inquietud-* , partidos y aun centellas de una sebio López Polo , oficial de la secretaría de las Cortes , en la cual co guerra civil; pero limitándome ahora á la provincia de Murcia , haré mo compañero que fue de D. Joaquín Vidal en todas…</t>
  </si>
  <si>
    <t>Eudait, Mosco</t>
  </si>
  <si>
    <t>Mosco Eudait</t>
  </si>
  <si>
    <t>…sir obús; R- tt.n ,e prep.i-sba para salir de V.anrvsa con su d¡, s¡.n país van insertar dicha caria en su periód co. hacerl.» levantar el campi . -2 h .ir Y r . —; ' - *&gt; Rector Sr. Mosco Eudait, ecnnumn de Olesa en Monserrat. , a.r: » Esta ido en capilla, y debiendo dar cuenta a Dios nuestro Señor Ha entrado en este pu r:o ei m -t . , c 1 n -: , esp tm T*,rrrr , d* dentro de breves horas de mis cutpas y pecados, conozco que fa tar a i Sta Cruz d: Te…</t>
  </si>
  <si>
    <t>Euge</t>
  </si>
  <si>
    <t>…eira y Diez de Freixó, teniente coronel de infantería,y de Mano último, y devolvemos adjunto , lastioido por la diputación teniente que fue del regimiento de infantería de Toledo. D. Euge rovinciel de Toledo, acerca de la reunión del logar de Yévenes de 5 'oledo á la villa de Yévenes de S. Juan , han resuelto lo siguiente: nio Velasco, capitán de milicia* urbanas, y su hijo D. Antonio , te niente de las mismas. D. Gregorio Vicente Unida, sarge…</t>
  </si>
  <si>
    <t>Eugee</t>
  </si>
  <si>
    <t>…clusi Sentimos no poder dar un extracto de la carta 25, que contiena vo. El espíritu mercantil se asusta del aumento rápido y progresivo que pormenores muy interesantes acerca del coronel Eugee , conocido por toman la industria y el comercio de les americanos; y los hombres pre» al paso generoso que dió para sacar al general Lafayette de las cárcel** cup»do&gt;, como lo son comunmente los ingleses , que suponían en otro de Olmutz. E* bien sabido que de…</t>
  </si>
  <si>
    <t>Eugenio</t>
  </si>
  <si>
    <t>…hos................. 40,000 que al fin llegaron á ser sus iguales. Si perdió la Hungría, adquirió á Id. al del Ferrol para la* anticipa Candía y Chipre; y aunque las victorias del príncipe Eugenio y del ciones de la goleta Galga............. *4.650 feld-mariscal Munich hicieron vacilar el edificio de la potencia oto Por continuación de la paga princi mana, lo dejaren sin embargo intacto; pero de 50 años á esta parte piada á librar en el mes anterior i…</t>
  </si>
  <si>
    <t>…l Key d: Suec a el contrato matrimonial entre su bre el reglamento de policía; y levantó la sesión á las tres. hijo el principe Oscar y la princesa hija del duque de Leuchtembcrg (príncipe Eugenio).__También s: hablaba del casamiento del Principe Extracto di 1os periódicos Atl Mediodía de ¡a Península. Real de Sajorna con una princesa que no se nombra. S. S. ha nom Cádiz. E gobierno superior político de Cádiz ha publicado la »i- brado nuncio cerca de i…</t>
  </si>
  <si>
    <t>Eül-tterou', Francisco</t>
  </si>
  <si>
    <t>Francisco Eül-tterou'</t>
  </si>
  <si>
    <t>…ecretaEn d.dia p&lt; vin.,11 cn.onwe a guita resistencia, que fue disipada 4 la fueiza iíi un ciruiaro y i las voces de Constitución o n-iuíti; , qtli re rio de svuntamiento-ssExcmo. Sr. D. Francisco Eül-tterou' petían cait, motn ni» los artíllelos que mandaba. 1 o&gt;tiriorm-nte sc^ __El entusiasmó que rn la* provincias Fa presduc-do e1 feliz é-s-r a-pr-s nt un u*ucrzn de Madrid , y puestos 20 m-iicianos di caba .eria u no n . 1 o,• 1 .on, vané de * tuacion.v con uqu.l…</t>
  </si>
  <si>
    <t>Eulate</t>
  </si>
  <si>
    <t>…Corta n Manso , Benito, Atienza , Marchámalo , Escudero, Alvarez, Manar» hacerlo con la madurez necesaria por el ahorro de alguna peqatfia «s. riz, Diez, Buey, Lapuerta, Alvarez (D. Eulate), Latre, López, tidad; asi pues apoyo la proposición que se ha presentado. Cuevas, Vega , Surra, Jaimes, Alcántara, Becerra, Cano y Alvarez El Sr. secretario de Gracia-y Justicia : La Constitución autoriza á las (D. Manuel). Cortes para usar de su derecho rem…</t>
  </si>
  <si>
    <t>Eum.i</t>
  </si>
  <si>
    <t>…lo» defensores de ¡a pite, lambían acui n en g-a . 1.. • mo he diel.i) antis ,■ no tendrá efecto &lt;.»ti duposi-ion. m-ro otros ciudadanos a aiut. 'se a ni- ¡cía raicJUr a . - a E¡ Sr. Eum.i:: y.: El artí.ulo m: parece jjiút;!, porque puede ir un y caballería: d- ia pr mera se 1 an a.otado er 1 j ¿ a» . coc. 31 ce &gt; , v ¿e -a -=■-. ".-'a • 3 trasporte d- un p.i-ils de ia 1’ iiin&gt;uu a otio qu: «stnvus: cuatro le O-tuive al tu del corr-ert ' , j,lS…</t>
  </si>
  <si>
    <t>Europa, Diego de Silva y Mendo</t>
  </si>
  <si>
    <t>Diego de Silva y Mendo Europa</t>
  </si>
  <si>
    <t>…e han extraviado los juco* siguientes Un juro de 618,095 mn-, vi obra mas hermosa que se ha dado 4 luz en nuestro* días, instruyen á la bre las alcabalas «fe Falencia', é favor de D. Diego de Silva y Mendo Europa, p durarán todavía cuando pa *1 tiempo haya consumido el úl za , conde «fe Saliijas. Fecha ai de Junio de 1816__ Un juro dt timo mármol de Thebaa, p la última piedra je las pirámides. 149,119 mrs., sobré el segundo uno por ciento de las alcabala» de Sevi La i…</t>
  </si>
  <si>
    <t>Eus-</t>
  </si>
  <si>
    <t>…países extranjeros, I de 1811. =eMi?u-1 López de Baños. = Sres. D. Tomas d- Gana, co la comisión op naba que» . Aprobado. mandante de la milicia nacional vo'untaria d nfantera , y D. Eus- La misma comisión op'naba que la sob: tud d i brlgid.er O. Jo* uquio de Bengoa , comandante de la de caballería de Bilbao.” sef María Meneos , comendador de la orden de A cántara , era inadm.Madrid Martes f de Abril. siblc. Aprobado. ge leyó la siguiente proposi…</t>
  </si>
  <si>
    <t>Eusebio</t>
  </si>
  <si>
    <t>…io de ser manu y habiéndose extraviado, se suplica i cualquiera que las hubiere Juñada factureras , deben sin embargo aspirar á este ramo de riqueza todas las las entregue i dicho D. Eusebio de la Troche, que vive calle del Me que están en el caso de sacar partido de sus producciones naturales , es són de Paredes, núm. a 2 , cuarto principal. decir, Us que puedan ser agricultor**; y N. E. competirá con sus veci Diccionario geográfico universal qu…</t>
  </si>
  <si>
    <t>Eutebio</t>
  </si>
  <si>
    <t>…situación actual de este reino expresasen, pretendientes dirigirán sus solicitudes al alcalde constitucional. con franqueza y con arreglo á su* conocimiento* el origen de la deca D. Eutebio de la Troche dirigió por el correo en 10 de Enero úl dencia, 6 te* la imperfección que se advierte en los ramos de indus timo desde Andujar á Sevilla seis certificaciones de créditos liquidado!, tria pública: y estamos seguras que convendrían ea que la falta…</t>
  </si>
  <si>
    <t>Eutton</t>
  </si>
  <si>
    <t>…a za: y se sabe que los primero* esfuerzos hechos para responder á esta Constitución. p-ticion no han satisfecho ai Gabinctode Petcrsburgo.” Si todo esto El zelo y patriotismo del general Eutton no se contentó solamente no es una mera conjetura, pudiera creerse que la Rusia se tiene por con esto, sjno que excitó á los patriotas dei vecindario para que te so engañada por la» demas cotíes, y que le pesa. corriese i los oficiales y tropa por 15 días: po…</t>
  </si>
  <si>
    <t>Excmo</t>
  </si>
  <si>
    <t>…á manos del Excmo. señor volver i inundar con la sangre de sus conciudadanos estas fértiles co virey. marcas. Dios guarde i V. E. muchos afios. Cuernavaca Main» 9da itai.s •» Sí, Sr. Excmo., ralea ton las ¡deas del coronel D. Agustín dd Excmo. Sr.sjoaef Joaquín Márquez y Donalic.=Ex^mo. Se. general Itúrbide, y las maquinaciones de sus infames secuaces, i quienes arras en gefe D. Pascual de Lifian.” tran mas sus propios intereses, su orgullo , v…</t>
  </si>
  <si>
    <t>…d, amor á la Constitución y al zelo proyecto de aquel establecimiento. Se mandaron repartir, y pasar á ia de la tranquilidad general. comisión de Instrucción pública. n Estos son, Sr. Excmo., nuestros deseos y los sentimientos de que A la de H uleada se mandó pasar un rgemplar del acta da arqueo se hallan poseídos todos los oficiales y tropa de las compañías que del de la tesorería general verificado en la últ.ma semana, y remitido por expresado…</t>
  </si>
  <si>
    <t>…adron, pidieron con el mayor ahin mas tos buenos españoles que su propia existencia. Pero hasta de ahora, co trasladarse á él, como lo verificaron en la mañaaa del 2 , los oficia- Sr. Excmo., esta principiada la victoria; preciso es continuarla, y que | i empleado, en la dirección general del cu-rpo, mnutno de la la Diputación coopere i consolidar la felic-dad de la Nación y Jc| Gu.rra y tunta superior facultativa, con los demás que se hallaban…</t>
  </si>
  <si>
    <t>Excmo, Antonio Rotten.es</t>
  </si>
  <si>
    <t>Antonio Rotten.es Excmo</t>
  </si>
  <si>
    <t>…H., con los batallones de Córdoba , Africa, de vimbre de 1821.= Excmo. Sr. = El brigadier comandante gene ligero de Canarias, un destacamento del regimiento infantería de Mur ral D. Antonio Rotten.es Excmo. Sr. marques de Castelldosriut, co cia, dos compañías del de Soria, una de cazadores de Vich , volunta mandante general del séptimo distrito.” rios de San Pedor, miqueletes de Berga, la partida de caballería de la Málaga 35 de Setiembre. Constitución , y una…</t>
  </si>
  <si>
    <t>Exento</t>
  </si>
  <si>
    <t>…tismo, si las mercenarias bayonetas de sn nente d; Cortes. asesinos son crpaces de aterrar ni turbar la frente del ciudadano 1 bre ••Velar sobre la observancia de la Constitución, Sr. Exento., es y pundonoroso. Lección terrible habéis dado también á esos genízaroe la primera y mas saqrada obli-aclon que sabia y poi. ticamente confia turK.sc» , digno apoyo y último recurso del agonizante despot imo. Vo laConstitucion española al cuidado de ta siem…</t>
  </si>
  <si>
    <t>Expondré, Galianos</t>
  </si>
  <si>
    <t>Galianos Expondré</t>
  </si>
  <si>
    <t>…Sr. Veiasco manifestó que en nada se oponía á las facultades plimiento interesaba sobremanera i la Nación. dai Rey la medida que se trataba, pues que solo se reducía i ver si "El Sr. Galianos Expondré brevemente los principios que me mueven los decretos que el Sr. Buey había citado habían tenido cumplimiento, á ¿probar el dictamen de la comisión. Considero este artículo como lo lo cual en de una absoluta necesidad pura que loa de b ma que en Inglaterra se…</t>
  </si>
  <si>
    <t>EzeAsimismo</t>
  </si>
  <si>
    <t>…n el domingo 2. Después de una ligera discusión de estos ares, como se proponía. fue aprobado el dictamen de ia comisión. Taro. La comisión opinaba debían aprobarse los poderes de D. EzeAsimismo fueron aprobados los poderes de los Sres. D. Lorenzo quicl Diez. Aprobado. Villanueva, D. Ramón Adan y D Josef Canga Argiieiies, dipu Sevilla. D. Cayetano Valdés, D. Juan Josef Sánchez , D. Antonio tados por las provincias de Valencia , Cataluña y Asturias. G…</t>
  </si>
  <si>
    <t>Ezpeleta</t>
  </si>
  <si>
    <t>…e hasta 13 ó t-¡9 duro* de sueldo por sus diferen creo que debe fijarse la capital donde 4‘Ci la comisión. tes asignaciones, y se les ha reducido í 60 duros, y esto ha sucedido El Sr. Ezpeleta; No alegaré la posesión que ha tenido Pamplona precisamente en un tiempo en qu; i la* demas ciases se les ha aumenta para demostrar que es prefeiibis á Vitoria, porque la considero inútil, do su sueldo. Si el Gobierno proponía estos sarillas mas corteifA y sí…</t>
  </si>
  <si>
    <t>…apoyaba el dictamen, y con Dios, para que se le admita una capitalización solicitada con anteriori cluyó pidiendo su aprobación. dad al decreto de las Cortes que las prohibía. El Sr. Ezpeleta opinó que* siendo muy módicas las. cuotas señaladas - Las Cortea quedaron enteradas de una exposición del a7untamiento á los gefes políticos para el gasto de las oficinas y sueldos de ciertos constitucional de Gorosalvo, dando gracias por haber elegido á la c…</t>
  </si>
  <si>
    <t>…libre de reponerle en á los partícipes certificaciones divididas en el número y cantidades que su destino. quieran los interesados, expedidas y firmadas por el comisionado espe El Sr. Ezpeleta hizo, presente que había ciertos destinos que no se cial , y aprobadas y registradas por la comisión de Visita de Cortes, podían quitar sino por causa legalmente sentenciada, cual era, v. g., d que para el efecto estará siempre reunida.” de un coronel; y preg…</t>
  </si>
  <si>
    <t>…rencia de eclesiásticos y puntos ; y estas, mas ó menos fundadas, han llegado á tales términos, paisanos. que han sido origen de que se consultase al consejo de Estado , y esta El Sr. Ezpeleta dijo que en el estado actual de las cárceles era mas corporación entendió que los fiscales no tenían una obligación á denun preferible y cómoda la prisión en las fortalezas que no en las cárceles ciar los papeles que en su conciencia no merecían denuncia. Per…</t>
  </si>
  <si>
    <t>…o ó algunos artículos fundamentales de la Consti mientos de beneficencia é los que poseen coches de recreo. tución , ó se dirijan á destruirla.” Se aprobó la siguiente adición del Sr. Ezpeleta: » Se exceptúan de No se admitió á discusión por 65 votos contra ¡o la siguiente ad¡. estos impuestos lea cruces militares concedidas por acciones distingui cion del mismo Sr. Palarea: » Los escritos de que trata el art. 17 de la das de guerra.” ley de 11 de…</t>
  </si>
  <si>
    <t>…en el modo que la comisión El Sr. Vadillo apoyó este articulo menos en la cláusula que dice': lo presentaba. » Ni hablar en nombre de otras personas aunque les hubieren dado po El Sr. Ezpeleta dijo que si creyese que el artículo estaba del modo deres para ello,'* la cual consideró que no debía aprobarse por ser con que habia dicho S. S., tampoco lo aprobaría; pero consideraba que solo tra el derecho común. trataba del caso en que los individuos d*…</t>
  </si>
  <si>
    <t>Ezqucrra, Joaquín</t>
  </si>
  <si>
    <t>Joaquín Ezqucrra</t>
  </si>
  <si>
    <t>…ade los recibos ó di del Crédito público D. Rafael Garbayo, padre del voluntario herido; spones, y cuyos números esten comprendidos desde el *41 al a8o, am al voluntario de Madrid D. Joaquín Ezqucrra, hallado casualmente en óos inclusive. esta ciudad; al estudiante D. N. Perez de Laborda, y á D. Apolinarío Juicios de jurados. Bellido, hermano de otro voluntario, quienes concurrieron al princi En la M. H. villa y corte de Madrid, reunidos los jueces de hec…</t>
  </si>
  <si>
    <t>E’aseo, Agustín</t>
  </si>
  <si>
    <t>Agustín E’aseo</t>
  </si>
  <si>
    <t>…ult.do podrá s-r muy fue electo el Sr. Montoya por 71 veto» d« * . 8. d.lerente d: lo que hasta ahora hemos emulo. La burla que eí divan Para la de Stvilia se proponía á los Síes. D. Agustín E’aseo , Don ha estado haciendo de ia Rusia podrá ser e fun-rst: Paree- qu: ya Justo Ramcn de Plaza y D. Juan de la Ptffi», y fue electo D. Jo.cf Ito se trata de .vacua-'on dd Pumont- , y r-sp cto de Nsfo;-s hay ru Vidal Moreno por 64 voto» de 1t6. inóles extraños.…</t>
  </si>
  <si>
    <t>F'mando</t>
  </si>
  <si>
    <t>…qu* surtan v i.'-.rm - - : c.\ Don N colas Garcity. é inte-tros cf-.’sto?, v s .&gt;1 n p • -- ,m nte cn todo v p~r : Á , menc.onados d rector*,, v ,;u- oci ? - d i?» v sT.Í-n* ar • Don F'mando vtt pn- la gracia de Dios y pr la C. n.utuAon da arriba t x,?r. sano ror c.m. f* &gt; rr.a • o r. n .: * s \ c la M marquia espión 1, Rey de las E-oiíia», á t ’ ; 1, 1 , ,,.ie o. ;rv- sean aua.tor.s ;te -a» cao, ri , a--.: - eos e ~ ¡ * de * tat • v Ten y ent n…</t>
  </si>
  <si>
    <t>F'orez</t>
  </si>
  <si>
    <t>…t. tarda , por eso U com s on no dudó en adoptar esta medida. H Sr. O.iver : Las obi-^ion. s del S . Munarriz han sido las mis Por lo qu: respecta a las objeciones que ha hecho el Sr. F'orez mas que han opuesto ¡os ores. Va-e i v F orez C» deron, qur ya • an Ca'deron te cito tengan la solidez qu; a pr mura vota aparece. D ce aido contestadas y rrhstidas c..mpietauirnte por los S.-.s, x»-; aro j S. S. qu; si esta medu'a tratase de los ayuntamiento…</t>
  </si>
  <si>
    <t>F'orn, Magin</t>
  </si>
  <si>
    <t>Magin F'orn</t>
  </si>
  <si>
    <t>…Riellt y el de B¡gas, Se ha presentado al alcalde constitucional de Igualada el miliciano Después de haber derribado las lápidas de .Vio; Jet y Farets se hallavoluntario de Calaf D. Magin F'orn, manifestándole,que la noche del -ba á la una dé la tarde del 29 en Lisadeoraut otra g.v illa, ignorándose i5, estando en su casa en aquella villa, se le presentó Pablo.... carpin «1 número de que se componía. tero de la villa de Piera, quien dijo que venia c…</t>
  </si>
  <si>
    <t>F'ran-</t>
  </si>
  <si>
    <t>…67,467 mr., dr Extremadura: 1.85 2,603 , en 'evilia, dia. Con est: motivo, y en obsequio de los jóvenes que no pueden te en la d • Fsichau Lome.bni: 866,197, de Murcia , en ia nvl abad F'ran- ner obra, minístrales, s: han añadido bajo forma de suplemento los c seo Bel-n: 1.365,332, H - Jaén: 195,164, de Córdoba, en la de descubrimientos mas interesantes hechos Fasta ahora; y de este modo O tav.o C-ntur.on : 430,'63, de Toledo, en la de Juan Bautis…</t>
  </si>
  <si>
    <t>F'ranc</t>
  </si>
  <si>
    <t>…D. Pedro cretado por las Cortes, haciéndose la rebaja correspondiente en la Ureta , D. Vntonó Quesada, D. D.cgo huar z , D. Francisco P-rcii», partida señalada para este tribuna!. D. F'ranc seo d - Faua M.-ndcz, D. Claudio Boute &lt;u, D. Ale ¡o El presidente dijo que mañana se continuaría la discusión sobre Sánchez'Mora , D. Josef Gómez Quintero y D. Jos.f de Forres , pai* el dictamen &gt;ij 'a comisión de Premios, y después la de los demas ne declar…</t>
  </si>
  <si>
    <t>F'rarc.-co</t>
  </si>
  <si>
    <t>…ef Cruz Mullen para la ce Patencia á D. Manuel Sierra y Bzn , que Después de una ligerísima discusión se autorizó i la mesa para que lo es subalterno de Lugo; para la de Segovia á D. F'rarc.-co pasase a las respectivas comisiones los expedientes, y diese cuenta á las ínante , que Jo es interino de Navana : para la de bcria a E* B rnardo Cortes en extracto. de los R.os, que lo es de la misma: para la de Teruel al cap.tan D ¡1 El Sr. presidente dijo q…</t>
  </si>
  <si>
    <t>F, A. G. de M. y</t>
  </si>
  <si>
    <t>A. G. de M. y F</t>
  </si>
  <si>
    <t>…ados desde esta Tomo 8.° de las conferencias eclesiásticas da la diócesis de Angers, a.mncio, ’cu Jan i deducirlo á dicho juzgado y escribanía det núme traducida al castellano por D. A. G. de M. y F., en el que se con ro de D. F. iiciano del Corral; apercibidos de que pesado dicho tárms- cluye el apreciable tratado sobre las censuras, que ningún canonista ha no sin haberlo hecho, se declarará vacante y aplicará al Créd.to pú desenvuelto con tanta latitud…</t>
  </si>
  <si>
    <t>F, Felipe de Suena y</t>
  </si>
  <si>
    <t>Felipe de Suena y F</t>
  </si>
  <si>
    <t>…uede ejercer, imprima , publique y circule,=Rubr cado oe la Rea m -nc.=r.¡i Paiacu 1: do experimenta que agotados todos los demás recursos, no ha con cio á 10 de Ju-.o de 102 2 =A D. Felipe de Suena y F.mb ey. seguido el buen obj «o que deseaba. Continúan las felicitaciones á la milicia nacional de Madr-.d. Don Fernando vn por la gracia d- D n y por la Constitución da Los voluntarios nacionales de infantería y «.aballaría de esta ciudad la M.muquí española ,…</t>
  </si>
  <si>
    <t>F, Francisco</t>
  </si>
  <si>
    <t>Francisco F</t>
  </si>
  <si>
    <t>…secretario del extinguido consejo de Guerra en Madrid 9 de Agosto de i8ai.s5antiago Josef Patero.=Con mi in tervención , Manuel Ezquwra. Galicia. _ . _ . _ , Gerona administrador D. Francisco F rnandez Puente, contadot TxraoNAiB*.de estancadas de Astúrias. Interventor O. Juan de Dios Portila, ofi cial de la comisión central de cumias de pr&lt; visionc?s. A fin de acordar lo conveniente fi la distribución del corto caudal Avila interventor D. Pedro Garc…</t>
  </si>
  <si>
    <t>…tismo. co. = Lo que he creido Conveni-nte ci-municsr 4 V. F. para noticia Seria prolijo y acaso imposible recorrer todas las clases de pseudo- de S. M. , por si el g-n ra. en g-fc D. Francisco F.spiz y Mina no hu patriotas; mas puede asegurarse que son tantas como los modos de ves biese t-nido opnrtuii dad para ver ficano. = D os gui'd-* á V. K mu tir, con mas ó menos habilidad, las pasiones y los vicios con la capa chos afios. Bar,e!■ na i3 de D ci t…</t>
  </si>
  <si>
    <t>F, Geró Ei</t>
  </si>
  <si>
    <t>Geró Ei F</t>
  </si>
  <si>
    <t>…se hace nctorio a! público para su conocimiento. contraídos en el d i:mp ñn de este desuno Al m sino tiempo he veni do en habilitar para el despacho interino de esta secretaría á D. Geró Ei F.ey se ha servido resolver qo? inm:di;umente se proceda í la nimo Lobo, oficial mayor de :a misma. Tendrcislo entendido, y dis frTrr.ncion de causa acerca de la (uva qu: hicieron de esta cap t : ios pondréis &gt;o necesario a su cumplimiento. =s En palacio á 6 de…</t>
  </si>
  <si>
    <t>F, Josef</t>
  </si>
  <si>
    <t>Josef F</t>
  </si>
  <si>
    <t>…portaron los impues Cartd a agraria, ó sea la pr ci ca de l.i agricultura y de la ganadería, tos del 17 por loo de los caudales de propios, correspondientes á los dispuesta por el coronel D. Josef F.spnosa, y aproba 'a y r eo Hienda* años de 1807 hasta 1813, por haberse invertido en los suministros á da por las Cortes; cuaderno i.° Se halar en las administraciones dt las tropa» yen otras urgencias públicas, han decretado lo siguiente: correos del reino, y…</t>
  </si>
  <si>
    <t>F, Luis</t>
  </si>
  <si>
    <t>Luis F</t>
  </si>
  <si>
    <t>…render la gavtllj qui infestaba este de dos marcha» forzadas , y allí se me reunió el comandante de z\stúp.i, ; lo que logré á las cinco de ayer tarde felizmente noticioso de rias D. Luis F mandez de Castro con dos compañías procedentes de su su indisciplina y poca vigilancia, di orden al cabo primero de Saguuto regimiento , too hombres de Alcázar y 30 caballos de Lusitania , con _Poli.arpo O lega cargase con cinco cabillos y ocho mfant s per la…</t>
  </si>
  <si>
    <t>F, P</t>
  </si>
  <si>
    <t>P F</t>
  </si>
  <si>
    <t>…a tranquilidad púb’ica de esta ciudad s-gu: » n alterarse en lo tnviaJo suyo á Italia á investigar los acontecimientos y comunicarlos mas mínimo. Según me avisa desde Bsrbsstro el brigadier P F.-i.pe á aquel periódico. Manipuló en Laybach ,y manipula en Verona. Tara Montes, comandante genera! de U s-gunda divo 011 , ha s-do de-u-j.dar una ¡dea de este fanático, presentaremos aquí el siguiente rasgo su da comp'etaiuente la facción de Mosrn Momb els ,…</t>
  </si>
  <si>
    <t>F, Ramón Luis</t>
  </si>
  <si>
    <t>Ramón Luis F</t>
  </si>
  <si>
    <t>…nes quedados por fallecimiento Sres. Garoz. Bages y Marau la causa seguida contra el intendente de abintestato del brigadier retirado de los ejércitos nacionales D. Jnsd provincia D. Ramón Luis F.scovedo, gefe político que fue de la de Augusto Malotau de Pont, ocurrido en esta corte i 4 de Octubre úl Sevilla, y actual diputado en Cortes por la provincia de Toledo, i timo, para que dentro del término precito d* ao días, coñudos dude consecuencia y en vi…</t>
  </si>
  <si>
    <t>F-mando</t>
  </si>
  <si>
    <t>…la solicitud de D. Alonso Pareja , vecino de Ec'ja, para pedían que te diese al Gobierno la correspondiente facultad pan que que se Itf concediese permito para emancipar i su hijo D. F-mando. pudiese destinarlos al punto de mas riesgo, ó en donde se tuviesen que La comisión opinaba se accediese á su solicitud del modo que lo pro operar con la mayor actividad , recomendándolos al Gobierno para el ponía el Gobierno; esto a, i n perjuicio de atar su…</t>
  </si>
  <si>
    <t>F-ti, Carlos</t>
  </si>
  <si>
    <t>Carlos F-ti</t>
  </si>
  <si>
    <t>…nues Antonio Quiroga, D. Rafael d i Riego, D. Feópe Arco Aciicro, tra vista, y puede dar lugar i sacar ilaciones, no basta para hacer con D. Miguel López Baños, D. D «ttfíoO-Dav y D. Carlos F-ti tusa jeturas sobre la cuestión de si en medio de su gran prudencia tendrá a serán la» que es e! art. &gt; s se designan para la primera acción distingui bien nuestro augusto Soberano emplear sus numerosos cgercito» en fa da de los generales de división, autoriza…</t>
  </si>
  <si>
    <t>Fa</t>
  </si>
  <si>
    <t>…esupuesto» para dar cumplimiento á lo lo * la Oiof. terac on germánica : se cree que el duque Decae » ira á que previene la ley fundamental en «su parte- Aprobado. Dinamarca, y ei barón Fa»quier á Italia con una ccn„.¡f.n iirportart-. La comisión de Hacienda , informando sobre varias proposiciones Gañí nuan ios ircend o» en les d parta mentó* del Seca, de '.'.se y dei del Sr. diputado Afianzo, era de parecer que en cuanto á Ja primera, boma , y…</t>
  </si>
  <si>
    <t>…os, y creo haber demostra ducto de los alcaides, y en las de separación se oirá previamente al ca do que el articulo está conforme con la Constitución. pitán y gefe.” Aprobado. El Sr. Fa có; Para mi es una monstruosidad, no solo que se pon Art. 176. » Si fuese por mudanza de domicilio, la autoridad mu ga la milicia local á las órdenes de los ayuntamientos, sino tamoien nicipal del pueblo donde se establezca el miliciano lo inscrib-rá en la a…</t>
  </si>
  <si>
    <t>…los conozco yo ) se ven desat.ndidos mientras que las Parece bastante cierto que desde el Congrtao de Laybach no ha su juntas diocesanas atienden al que les acomoda. Así que , el Sr. Fa có frido ninguna especie de alteración la política de Europa. puede estar tranquilo que la comisión ba tratado so.o de quitar los pre Los asunto* de Italia dula muy poco lugar i discusiones. La tran textos con que se quiere cohonestar el mal espíritu del cler…</t>
  </si>
  <si>
    <t>…smo grado. Esto es indudable , y la medí** que se discct- , le pidii calmar tolos los rrzelos. Es una verdad que estas autoridades po jos de atacar la libertad , como ha creído el Sr. Fa co, cr o que o la pulares parece que deben tener la mayor protección, porque son en las mis propia para sostenerla, y por lo mismo soy de Opinión que debe que el pu.bio lia depositado tu confianza; pero siendo indudab'e que ■probarse. muchas de ellas son las…</t>
  </si>
  <si>
    <t>Fa'có</t>
  </si>
  <si>
    <t>…alan también el attu u o d I mismo concilio que dice que su obl ga- que se hadaban. cion es la de pred'tar la palabra de Dios? Esta no es ley vig nte pan El V. \r üdles : Dice el Sr. Fa'có qu; la comisión deja de «'la «líos. Asi que, por no levar mas lejos la di». u»i&lt;&gt;n , digo que las di nar las dificu tades que algunos RR. obispos han propu-sto . f ficultades propu stas por los obispos no pru.bi otia'cosa que la d fi- que 'os d-ja en la nvisr…</t>
  </si>
  <si>
    <t>Fa'cti</t>
  </si>
  <si>
    <t>…Península , y después se interrumpió e! orden ; y Cortes se sirviesen permitir que leyese su memoria con anticipación al por lo mismo creo que no dvbe aprobarse la proposición det Sr. Fa'cti. de Ultramar , porque debía marchar hoy con S- M. El Sr. Arguelles: Por lo que ha manifestado el Sr. preopinante de El Sr. ministro de Marina leyó su memoria, en la cual hacia pre bo decir que se debe tronar en consideración la proposición del Señor sente que…</t>
  </si>
  <si>
    <t>Fa, Nuñíz</t>
  </si>
  <si>
    <t>Nuñíz Fa</t>
  </si>
  <si>
    <t>…s oyeron con agrado una exposición de la milicia nacio de se halle el an&lt; nimo original que dio princip.o i dicha causa. nal local de Lucena, felicitándola» por su instalación. El Sr. Nuñíz Fa cón preguntó si para pedr estos autos había pre Se leyó una exposición de la junta de Scfioras encargada de la direc cedido acuerdo de las Cortes, porque no recordaba hubiese habido re ción de ensefianza mutua de nifias , manifestando que ha determinado ce- s…</t>
  </si>
  <si>
    <t>Fabo, Francisco</t>
  </si>
  <si>
    <t>Francisco Fabo</t>
  </si>
  <si>
    <t>…es los lunes, miércoles y viernes de 8 á 9 de la noche----El lunes 7 se de 19 de Junio próximo pasado, y las autorizaciones de S. M. C. que •bre la cátedra de geoarafia á cargo de D. Francisco Fabo?. Serán dias se han citado al.principio. detección miércoles y viernes de 7 á 8 de la noche.__D. Antón a Art. 10. * Los Sres. Ardoin, Hubbard yr compañía presentarlo al Garrido continúa sus lecciones d; ingles en los martes, jueves y s ha Gobierno deS. M. C e…</t>
  </si>
  <si>
    <t>Fábregas</t>
  </si>
  <si>
    <t>…las del enemigo muy su » Si se verifica nueva incursión por parte de los facciosos, y llega la periores, teniendo adema» el objeto de la plaza , punto principal de mi columna del comandante Fábregas , según V. S. me ha indicado, será atención, ni pude proyectar un ataque formal sobre ellos, ni menos mas fácil evitar los excesos y atrocidades que intent-n cometer. forzar su posición para pasar á Castelló 4 auxiliar al cuadro del primer » Dios guarde á V.…</t>
  </si>
  <si>
    <t>Fabregnes, Pedro Mariano</t>
  </si>
  <si>
    <t>Pedro Mariano Fabregnes</t>
  </si>
  <si>
    <t>…Josef María-Pruna, teniente del regimiento in—• de la Corona, con 570 rs. Cantería de Galicia, con 570 rs. AlcaSu al capitán D. Joaquín Schcídizagel, teniente del regi Mallorca al capitán D. Pedro Mariano Fabregnes, teniente de inmiento suizo núm 4.a, con 570 rs. fanteiía y ayudante supernumerario del batallón de le milicia active da Badajoz A D. Josef María Caodalija, teniente do infantería auper- Palma, con dio rs. al mre. aumenrio «a el batallón de la milicia activa…</t>
  </si>
  <si>
    <t>Fació, Antonio</t>
  </si>
  <si>
    <t>Antonio Fació</t>
  </si>
  <si>
    <t>…de algunas casas; pero fue sin provecho. mi pan;.i con una compelía de milicia niclonal de infantería 4 las ór Con 14 horas de continuo fuego tojo hombres no pudieron des denes d: D. Antonio Fació, y destaqué mu patrullas hacia el sitio alojar i 190 de tos puntes que defendían , ni entrar en el centro de 'a donde al pir-cer amenazaban los ataque». La que mandaba el capitán villa por la lluvia de piedras, tejas y tablones que de todas partes c-ii D. P.…</t>
  </si>
  <si>
    <t>Facó</t>
  </si>
  <si>
    <t>…uentes cuando han merecido una pena de esta mtwi'-zt. E&lt; úr. Pra legislatura otdinaria los ores. Canga y Afonto” do ha dicho que no debe aprobarse la medida del max.mum con res El Sr. Facó: No me opongo ¿ la esencia del artículo; solo quie pecto á los prelados que han sido separados de sus du-cesis, y t. o 1 en ro que se explique claro lo que se entiende por fijar la suerte del clero, sido extrsfiados; pero. Señor, ; ao3 rs. no es acaso una can…</t>
  </si>
  <si>
    <t>Facundo</t>
  </si>
  <si>
    <t>…p .r .a casa del-Campo , y est.-bati 'eun!Jos en un j v-nta. nicarme, voy á darle parte ce cual to egecuté en a tare.- dei 7 del c»r- •* Los diputados 4 Curtes D. jo-qu n Fcrrei y D. Facundo lüf.nte, rirrt A 'as cuatro ce ella regr se" á la p azuela dei cuartel de la de las teniente coronel de ingenieros, sah.ron con la cibai.eiía manda s por t.oites, m v rrut.de o d n d 1 gen- r». , c..n 'a pirra de 1 ocho que ha- el general Copons, y se adelant…</t>
  </si>
  <si>
    <t>Faenar, Cooeepcioa</t>
  </si>
  <si>
    <t>Cooeepcioa Faenar</t>
  </si>
  <si>
    <t>…ía Fernandez la pensión qaé solicitaba. . efectos convenientes. Aprobado. La coibiaiua de Instrucción pública, en vista del expediente remi La r iisma, en vista de la instancia dé Doña Cooeepcioa Faenar, tido por el Sr. secretario de la Gobernación sobre que se destínela que pedia se la concediese una pensión, opinaba que la actual situa huerta del convento de dominicos de Valencia para un jardín botáni ción del erario no permitía deferir 4 su solicitud. Apr…</t>
  </si>
  <si>
    <t>Fagoaga, Anadeto</t>
  </si>
  <si>
    <t>Anadeto Fagoaga</t>
  </si>
  <si>
    <t>…por 73 votos de 144, habiendo tenido el tículo inserto en el Zurriago número 40, como injurioso á los señorea Sr. Merced 70 votos, y el ir. Lapucrta uno. D. Juan Arguelles Valdés, D. Anadeto Fagoaga y D. Antonio Siles, Se leyó la siguiente proposición del Sr. Adan-, n Pido á las Cortes magistrados de la audiencia territorial, se reunió el jurado, compuesto se sirvan autorizar á los Sres. Villavieja y Meca para que intervengan de los Sres. siguientes: D. Francisco Colombo,…</t>
  </si>
  <si>
    <t>Fai</t>
  </si>
  <si>
    <t>…ne el zoo re que los mdividu &gt;i deque se trata est,n como en tiempo ,'e Fernan tomase adío eclesiástico. do vi, pues cabalmente a*i están -, quiero que la cuenta y razan cae co El Sr. Fai^blnch apoyó el dictamen da la comisión, tnaniíttma-</t>
  </si>
  <si>
    <t>Faicon</t>
  </si>
  <si>
    <t>…iguiente si ias medidas praeter leget no cía el Sr. Nuñez Faicon por el modo con que había emitido su voto. son contrarias á la Constitución , y son conformes á la conveniencia El Sr. Faicon dijo: Yo quiero que todos los circunstantes sepan cuál púb.tca, ¿qué inconveniente ha de habrr en admitirlas? La Constitu es mi modo de pensar ; y asi digo no. ción establece expresamente la inamovibilidad de los magistrados; peto Se siguió la votación. Alvar…</t>
  </si>
  <si>
    <t>Faicon, Joaquín Nuilez</t>
  </si>
  <si>
    <t>Joaquín Nuilez Faicon</t>
  </si>
  <si>
    <t>…D. Manuel Abad y moza , D. Josef Pedraloez, D. Ramón Limi» y Méndez, D. Josef Queipo, obispo electo de Mechoacan , para el obispado de Torios»,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t>
  </si>
  <si>
    <t>Faicon, Nuñez</t>
  </si>
  <si>
    <t>Nuñez Faicon</t>
  </si>
  <si>
    <t>…leget y otras en fin ante ¡eget. acato había dado lugar al murmullo que se había notado en las galerías Claro es que sí, y por consiguiente si ias medidas praeter leget no cía el Sr. Nuñez Faicon por el modo con que había emitido su voto. son contrarias á la Constitución , y son conformes á la conveniencia El Sr. Faicon dijo: Yo quiero que todos los circunstantes sepan cuál púb.tca, ¿qué inconveniente ha de habrr en admitirlas? La Constitu es mi modo…</t>
  </si>
  <si>
    <t>Fairon, Josef</t>
  </si>
  <si>
    <t>Josef Fairon</t>
  </si>
  <si>
    <t>…dar un refresco á la tiopa seguí Ramón Gatbayo, que lo fue gravemente, y existe en el hospital, y el la marcha hasta la división de los caminos que pasado Lecifuiu siguen t rccro D. Josef Fairon, cortu,o de un rechazo; y en la purria del á Kob es y Alctebierr -&gt; en aquel punto tome noticias del paradero de fu rte prrdimos i on vo untario de Agón, cu o nombre ignoro , quien lo, facciosos, y icio pude saber que al ponerse el sol del día anterior murió…</t>
  </si>
  <si>
    <t>Fajardo, Luis</t>
  </si>
  <si>
    <t>Luis Fajardo</t>
  </si>
  <si>
    <t>…a en dirección de este pueblo, al que ha salinas dt Caravaca, au fecha ia de Setiembre dt 1567, en cab:za llegado sin ninguna novedad á la una de la tarde. Descansará toda ella de D. Luis Fajardo, marques de los Veltz , comendador dt Caravaca : la tropa , y m .ñaña pienso acercarme á la S*o de U gel. D os guarde á otro dt aoo9 mrs. sobrt la renta de seda de Granada, su fciha 4 de V. E. muchos años. Cuartel g neral de Gtiils 20 de Noviembre da Octubre…</t>
  </si>
  <si>
    <t>Fal</t>
  </si>
  <si>
    <t>…e scfioríoa, y lo presentase como propo do respecto de los presídeos di.í ji.i. sición para que ta comisión lo examinase. Ei Sr. Can¿a dijo que era muy oportuna la observación d-I Sr. Fal £1 Sr. Arguelles: No tengo inconveniente en asentir á la excitación có: hace muchos años que en E-ptúa se trata de la enacera; 00 de es que acaba de hacerme el Sr. Castejon; y en su consecuencia retiraré mi tos puntos, sobre lo que se ha formado un 1 xpcdient…</t>
  </si>
  <si>
    <t>…rfis con lis del trono, por tumor de entrar en una (D. Cayetano), Arguelles, Cuadra, Albiar, Taboada , Falcon, Ala discusión prolija. Toda» ¡as razones qu- acaba de manifestar e. Sr. Fal va, Ferrer (D. Antonio), Murfi, Bustos, Alvarez (D. Elias), Roset, có se dirigen a probar que r.o d;b: aprobar,- ta proposición pnr el Torre, Trujólo, Roig,Bauza, Vargas, Apoita, Salva, Canga, Prat, motivo que dejo indicad'-’- Me atrevo á a&gt;:^urar que mucha p…</t>
  </si>
  <si>
    <t>Fal-, Nu.íez</t>
  </si>
  <si>
    <t>Nu.íez Fal-</t>
  </si>
  <si>
    <t>…répido Rotteu ar.tes el Sr. secretario -le Mar-na. si ■ e el .urso di sus vi.toras ; y que ha vu.-.u a ene. r.lrar la cavii.a Sí díclaru el punto suiicictirrm-i.te discutido, y el Sr. Nu.íez Fal- d- O r ic- ', c'rca di Cist-ll-1 irol , la ha K l-do T d sp-rsodo , hacie n con pidió s-* vot.se por partes el d:.lamen. do suó r una perdida horro:. »i, sin er.ib*r.o qui rutante la acc un Se voto en el-, cío hasta donde de jo millon-s, y quedó ap obado. fue…</t>
  </si>
  <si>
    <t>Falces, Pió de</t>
  </si>
  <si>
    <t>Pió de Falces</t>
  </si>
  <si>
    <t>…n Catai, D. Ra tas , declarándose que la formación de esta causa no debe perjudicar fila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 Tomas Marta Zanon. Habida la conferencia de . celándose la escritura de fianza que…</t>
  </si>
  <si>
    <t>Falcó</t>
  </si>
  <si>
    <t>…aprobar el dictamen de le ción prescribe , como es una de ellas el no haberse celebrado la prime comisión. ra junta electoral en el primer domingo d: Diciembre, y si el sábado, El Sr. Falcó te opuso al dictamen de la comisión, manifestando creo que no* bailamos en el caso de no declarar nulas las elecciones da qu: no se podía hacer mérito de que el gc-fe político de Cuenca tuviese Cuenca. el carácter de presidente y elector, pues que no habia ni…</t>
  </si>
  <si>
    <t>…no tiene la confianza de aquellos mas fanáticos de lo antiguo, y enemigo* mas tenaces de lo moderno. habitantes. Nada han olvidado, y nada han aprendido. Encaprichado* con sus El Sr. Falcó apoyó |o qu* había manifestado el Sr. Adan respecto máximas góticas, imbuidos de principios repugnantes al estado ac de la renuncia de los destinos, la cual no debía considerarse como tal tual de laFuropa , nada desean con mas ansia que volver ¿ las insti has…</t>
  </si>
  <si>
    <t>…e dictase las providencias El Sr........ dijo que entendía que era inútil esta proposición, y que oportunas. no debía aprobarse, porque el velar sobre ia tranqudúbd pública era El Sr. Falcó presentó i consecuencia de este expediente la siguien propio dei Gobierno. te proposición: » Pido que se nombre una comisión especial que entien E! Sr. Gómez ( D. Alvaro) dijo que nunca habia pensado en que. da en cuantos negocios correspondan á las Cortes so…</t>
  </si>
  <si>
    <t>…Sr. Fernandez Cid por a2 de 103. No se admitió á discusión por óo votos contra 58. En seguida se leyeron los artículos 54 y 5 5 del reglamento y el 34 Se leyó una proposición del Sr. Falcó, relativa a que las Cortes se del capitulo de la ley de 9 de Octubre, y con arreglo á ello* se sirviesen fijar el orden con que habían de leer los secretarios del Despi proc- din al sorteo de los cuatro individuos que habían de componer la cho las memorias de…</t>
  </si>
  <si>
    <t>…án esto aun Se leyó por primera vez la siguiente proposición de los Sres. Bel- cuando lo reprueben del todo. da , Canga, Silva, Rio, Prat, Ordufia, Tcjeiro é Infante: » Pedimos El Sr. Falcó: Sin embargo de que se han mandado hacer las reformas i las Cortes que se sirvan tomar de nuevo en consideración el decreto que se puedan respecto de los gastos que te ocasionan en el Congreso, me sobre señoríos aprobado por las Cortes anteriores, y cuya sanc…</t>
  </si>
  <si>
    <t>…arios vecinos de Navalmoral, manifestan aprobadas dichas proposiciones. do el sentimiento que Ies han causado la* ocurrencias que en ios Al ti Se leyó la siguiente proposición del Sr. Falcó: » Pido que en el ca mos días de tai sesiones extraordinarias acaecieron respecto de los .señores so de darse preferencia por las Cortes á los objeto* comprendido* en comle de Terreno y Martínez de la Rosa , y que han renovado el jura las proposiciones -del S…</t>
  </si>
  <si>
    <t>Falco</t>
  </si>
  <si>
    <t>…de la secretaria A" a la moma una exposición de! críe p 1; .0 de Yji ac . ,d cctt• sp -- para justificar mi dicho. iu'tan do v i- «s d-.i !.:» s - br - - I repi -! m . - • c Je El Sr. Falco p-dió que se leveran dichos extractes , y asi lo acor \ la .oin-s -'ti d. ] eeis'a ,-n ja.-&gt; 1.1 1 ...i-.u'-a de i , d pufa \c daron las Cortes. Fn su consecuencia se lev -ron les extractos de las cau cí 'n p’ ” n. &lt;1 d. Zirr.ora solare sat-a. C- :as occrr.úa…</t>
  </si>
  <si>
    <t>…ían ocur La reunión de profesores de caligrafía , aritmética, hasta toda la par rido sobre el particular. tida doble para comercio, gramática y ortografía castellana y latina, F.l Sr. Falcó dijo que en las atribuciones del Sr. presidente estaba idiomas francés, italiano, aleman é ingles, manifiestan al público que el determinar cuándo se debia nombrar esta comisión, y este indicó de resultas de habérseles presentado varios alumnos de idioma fran…</t>
  </si>
  <si>
    <t>…ir presentando argumentos que no tienen mas que carácter de sub ásu casa muy tranquilo, guardando un profundo silencio, y yo tam terfugios, es una cosa á la verdad muy extraña. El Sr. Falcó pretende bién me vine á la mia. que la disposición que propone el dictamen de la comisión no pueda El Sr. Canga: El Sr. presidente ha dicho que en el puente de To adoptarse por una medida legislativa; pero yo pregunto, testan las Cor ledo i las cuatro y media…</t>
  </si>
  <si>
    <t>…corruptibilidad, que es propia inconveniente en aceptar un destino en el que pudiese haber contribui de la especie humana. do á la regeneración de mi patria. Ha dicho muy bien el Sr. Falcó que cada uno de nosotros tenia en Las Cortes pueden ya haber conocido por lo que acabo de decir los su mano dar una prueba pública de su desprendimiento. ¿ A quiénes se funestos efectos que causó el decreto de las Cortes extraordinarias. En les prohíbe hacer…</t>
  </si>
  <si>
    <t>…nstitución, y por objeto seductor, en mi dictamen no puede aprobarse. lo mismo creo que las Cortes deben aprobarla. El Sr. Romero apoyó la proposición, y manifestó que eran muy El Sr. Falcó deshizo algunas equivocaciones que dijo habia padeci distintas las circunstancias políticas de la época á que el Sr. Arguelles do el Sr. preopinante. se habia referido, respecto de las circunstancias en que actualmente se El Sr. Valdés: La proposición de que…</t>
  </si>
  <si>
    <t>…solicitando se declarase que desde la publicación de la dó aprobada. Constitución en el año 11 estaba abolido el pago de ciertos derecho1 No se admitió á discusión una adición del Sr. Falcó í la hecha pot que satisfacía i un monasterio, perteneciente ahora al Crédito público, y el Sr. Ferrer sobre que á los requisitos que debían concurrir en el que cuando no, se les perdonasen los atrasos: otra de la diputación provin hubiese de obtener empleo,s…</t>
  </si>
  <si>
    <t>…ua siciones que d cl.o decreto cstabiec a como contrarias á lo que prrr.ene los mismos que lo hubiesen sido. el concilio de Tiento, era de parecer que el otado decreto de 14 de El Sr. Falcó se opu&gt;o al dictamen, manifestando que podían ocur Mayo de 1811 dibe ser cumplido en todas sus partes sin esperar al tiem rir casos en que los curas pmocos no tuviesen los conocimientos nece po del nuevo arreglo del cirro. sarios para ser examinadores; y que…</t>
  </si>
  <si>
    <t>…punto, deracion. y decretaron lo conveniente en el particular, y la comisión no ha sido En segjqjdasalió la diputación acompañada de los maceras , é inme tan omisa como supone el Sr. Falcó en tomar en consideración estas diatamente salió la comisión encargada de entregar el león, el cual lie. dificultades. Las tomó, las pesó, y porque no le hicieron fuerza presen traba el Sr. Valdés como presidente de ella. ta su dictamen en los términos que ha…</t>
  </si>
  <si>
    <t>…el modo mas ventajoso de atender á refundidas en esta.” los gastos municipales; y que de este expediente resultaba que el reparto Asimismo se leyó por primera vez la siguiente del Sr. Falcó: n Pi vecinal era el único medio pata los pueblos de que se hacia mención. do á las Cortes declaren que la comisión de Premio* te abstenga da Aun en igualdad de circunstancias siempre es preferible este medio di proponerlas pensión ó recompensa pecuniaria , c…</t>
  </si>
  <si>
    <t>…s proaco pot tu paste i ae le rile ve del pago de te contribución por un año, dijo que la comi retiraría. sión anterior opinaba que ya se habían satisfecho los deseos de los su El Sr. Falcó apoyó la proposición. plicantes, y la actual que debía archivarse. Aprobado. El Sr. Buey maaifesab&lt;que el sitio, en disida estaboa tes taquígrafa La misma, en vista de te solicitud del ayuntamiento deTuy para en may malo para oir ..pique seria mmvcnicnw se ba…</t>
  </si>
  <si>
    <t>…iputados alguno* Se puso á discusión el dictamen de la comisión de Guerra sobre la documentos de este expediente. consulta del Sr. secretario del mismo ramo acerca de varias dudas Sr. Falcó* Como el exigir la responsabilidad i un funcionario pú ocurridas en la expedición de cédulas de premien á sígueos individuos blico s-a un asunto de tanta entidad , que suponga la gravísima causa que habían prestado juramento de fidelidad al intruso. de una in…</t>
  </si>
  <si>
    <t>…ebreto qoe la comisión d$ autos y diligencias que obraban en la misma cansa; y concluida su lec Mr. da Tatscbicbcf 4 Viena te dirige a pedir que el Gabinete austríaco tura dijo él Sr. Falcó: ae explique cuanto ante* «obre el partido que tomaría en caso de. guer Estoy persuadido del acendrado patriotismo de D- Francisco Serra ra; y parece que ya ni aun se trata de negociaciones con la Puerta. no, D. Florencio Ceruti y D. Agustín Chinchilla, y de…</t>
  </si>
  <si>
    <t>…¡Es posible, Señor, que se nos quiera comparar con lo&gt; desgraciados dado lugar á la formación de esti causa. turcos, y á nuestras autoridades con ¡os bajaes, poniéndose a» orde El Sr. Falcó ha divid do su discurso en tres partes, i saber: la del nes del Gobierno ea la categoría de los firmanes del Gran Señor? No ministro de la Guerra , la del comandante general de Madrid, el fiscal y pirece sino que aqui se ha hecho lo ni smo que en Turquía, y q…</t>
  </si>
  <si>
    <t>…abee lugar &amp; la otra sobre que se supriman ios habilitados militares, y se pongan pa formación de causa.” gadores que den las competente* fianzas. A la de Premios se pasó otra del Sr. Falcó sobre que esta comisión El Sr. fiscal D- Matías López de Frias denunció al Sr. alcalde Don se abrtenga de proponer recompensas pecuniarias para un individuo, Cayetano Rubio el número 3 uei periódico t.tuiado el Moderado en cualesquiera que sean sus servicios…</t>
  </si>
  <si>
    <t>…las Cortes de 1 ■* comprendido, y que las Cortes pueden resolver que mientras haya ma de Noviembre de 1820. gistrados cesantes con goce actual de sueldo, siempre que tengan laa El Sr. Falcó: Para aliviar les grandes males y la penuria en qu: * calidades necesarias, deben ser preferidos exclusivamente en las pro encuentra la Nación decretaron las Corres en 13 de Marzo última qu* puestas para las plazas de magistratura á los que no se hallen en aq…</t>
  </si>
  <si>
    <t>…aprobar tualidad el clero el medio diezmo, drbe percibir por sus rentas la el dictamen que se discute. taitad de lo que antes tenían; pero es preciso que no pierda de visia el El Sr. Falcó: Convengo enlavnecesidad que hay de fijar la dota Congreso el estado en que se hada la recaudación de este medio diez ción que si he tener un párroco, y aplaudo en esta parte el zelo de la mo. Aqui mismo tengo una queja del tefe político de Tuy , en que comis…</t>
  </si>
  <si>
    <t>…tedrales y colegiatas del de ser sus fieles observadores, y disfrutaremos de la dulce influencia reino. de la paz y armonía, que es la base de la felicidad social. Conozco , ha E! Sr. Falcó se opuso i este dictamen , porque ets muchas catedra bitantes de la provincia de Valencia, las gravísimas dificultades que les no se podía atender á los gastos mas prcc &gt;os del cuito, y no era ofrece el logro de la empresa que os propongo: no me contemplo con…</t>
  </si>
  <si>
    <t>…rroco como proponía la ba la proposición que se discute , verdad rameóte no as verificará esto, comisión. porque los buques extrangeros sarán los que extraigan nuestros frutos, El Sr. Falcó: Cuando se discutió el proyecto en su totalidad mani y los españolea no teniendo ningún estimulo para exportarlos no lo festé que efectivamente se necesitaba adoptar una medida que si no ge fiarán , resultando que las utilidades serán para aquellos. Se me d¡-…</t>
  </si>
  <si>
    <t>…sión pendiente sobra «I dictamen de la comi sión Eclesiástica acerca de la preposición del Sr. Gil Orduña. de la casa de comercio de Santiago titulada de Josef Atuires Úara'a y El Sr. Falcó: Es indudable que por rleones de pública Convenien Compañía sobre que se le perdonasen lot derechos que ahora adeudaba una partida de lín &gt; en rama cargada (en tiempo que nada pagaba este cia ta clase del clero debe ser proporcionada i las demar del Estado. P…</t>
  </si>
  <si>
    <t>…felicidad de vuestro ayunta- el artículo a.° debía redactarse en estos términos , conforme á la adi ir.i-i to a nstitucional, que no desea, que no quiere, que no aspira i ción del Sr. Falcó: n El mínimum de la congrua de los pirro .os de que smo i haceros mejores y mas felices, sala capitular de Qoeré- hab'a el artículo 5® drl segundo decreto de 10 de Junio de 1821 será taro Marzo 5 de 18a 1.” únicamente por el año anterior en la cantidad de 300…</t>
  </si>
  <si>
    <t>…lectorados «etesiártico» de Ttéveris y de Colonia qne loa causar una especie de estorbo para dicho arreglo. Archiduque* adben hacer baredimib el afecto ét sus cabildos. He aquí El Sr. Falcó se hizo cargo de la* razones expuestas por los Sres. qua nna gran materia de reflexión, tanto pam te Iglesia católica como habían impugnado el dictamen, y dijo qne *1 bien general exigía ta ex para la política eoropem cepción da qu* aa trataba en tero* da aqu…</t>
  </si>
  <si>
    <t>…ad á D. Juan Diaz, juez de primera instancia de la hayan provisto las Corte* á este objeto tan importante. .misma, opinaba que no hallándose este expediente suficientemente ins El Sr. Falcó dijo que aunque convenía en que se prohibiese hacer truido debia pasar al Gobierno á fin de que lo informase. Aprobado. cuestaciones directamente' por tí, creía no debia impedirse que las hi La de Legislación, en visia de la solicitud de 141 individuos de cie…</t>
  </si>
  <si>
    <t>…lo á ia comúson para que ble, y que la comisión no desconoce, cual es la necesidad de reducir lo reformase. los impuestos á la menor cantidad posible, concillándola con el buen El Sr. Falcó manifestó que no se trataba de arreglo de sueldos, sino orden de la administración pública, todo aumento que se haga, y que de rebajar á estos lo que se creyes* después opoituno; y que por lo no sea de absoluta necesidad , debe mirarse como un mal. Y ¿cómo mi…</t>
  </si>
  <si>
    <t>…reo que las Cortes no deben conoce la posesión. Pero es preci o tener presente lo que es propie aprobarle. dad: v como d jo muy bien el Sr. Marina, e»ta no es un «bieto h-:».'. El Sr. Falcó hizo algunas aclaraciones sobre el discurso que habia sino el derecho que compite a uno para disfrutar un* eos* v dispo pronunciado en una sesión anterior. ner de ella i su arbitrio. Siendo pues un derecho . claro es que e^t. r.v El Sr. Romero como de la comi…</t>
  </si>
  <si>
    <t>…os una vez repartidos , los ganaderos cular , ni de que las Cortes hagan este nombramiento , sino ia mesa. debían ponerse de acuerdo con los dueños para proporcionar el pasto á El Sr. Falcó, apoyándose en el art. 133 del reglamento, sostuvo su ganado, y que por lo mismo debía aprobarse el dictamen de la co que las Cortes no debian ocuparte en este nombramiento. misión. El Sr. Salvé deshizo una equivocación del Sr. preopinante; v declara Declarós…</t>
  </si>
  <si>
    <t>…os sucesos ocurridos rn Lorca el 30 de Abril ,J -tirado en la villa de Fedroso, en Sevilla, sobre capitalización de su leído qu: fue (véiue la ¿aceta del jueves 9 de Mayo} dijo el Sr. Falco: sueldo y preferencia de estos créditos para compra de bienes naciona Me ha llenado de dolor la rulacion de los sucesos ocurridos en Lorca,y les, la comisión opinaba que no podía accederse i tu solicitud por ser los hechos atroces cometidos por una facción de…</t>
  </si>
  <si>
    <t>y® 3 Conviene el Sr. Falcó con la comisión en que te exija la responsa funciones de un graa jurado, declarando haber 6 no lugar 4 la forma bilidad 4 los alcalde* y ayuntamiento de Lorca, por no haber adoptado ción de causa á c.tas autoridades; v no nos consta que el gefe político las m…</t>
  </si>
  <si>
    <t>…se, é abierta, y no era de creer que los examinadores quisiesen hacer una in igualmente lo quedaron la 7/ y 8/ sin discusión. justicia á vista del público. Se leyó una adición del Sr. Falcó al art. 5.0 de este dictamen, y El Sr. Romero dijo que debia suprimirse en la base que se discutía SC mandó pasar á la comisión. la palabra habilitación, porque suponía una dispensa de ley, y la base Se levantó la sesión á las once y media. no contenía ningun…</t>
  </si>
  <si>
    <t>…oposición na teramente confiante á las ideas de la comisión, debía aprobarse. Apro bado. „ Entendiendo que la disposición acordada ayer acerca de D. Anes Otro sobre la adición del Sr. Falcó, relativa i la dispensa de cur tesio Castillo &gt;e opone i la orden da 1." de Noviembre de 1810, pi- aos simultáneos. La comisión opinaba que esto dispensa Abra ent,c- £ Corte, que se suspenda por la mcreton. el dar cuno a aquel dersa de un curso, y p- qusdase…</t>
  </si>
  <si>
    <t>…uos , y acordaron que el Gobierno diese las gra mica , y que aunque disguste á algunos agradará á muchos. cias en nombre del Congreso por la oferta que hacían de sacrificar sus El Sr. Falcó: Si se examina detenidamente la propuesta de la co vidas por la causa de la libertad. misión será muy fácil convencerse, no solo de la ninguna necesidad que fie puso i discusión el dictamen de la comisión de Guerra sobre la hay de lomar una medida de esta nat…</t>
  </si>
  <si>
    <t>…ría , y se usó Ha dicho también S. S. que irán los oficiales de la b-igada i causar de la misma palabra. algunos perjuicios á los de la arma de cabullería. La comisión reconoce El Sr. Falcó se ha apoyado para impugnar el dictamen en los mé que causarán algunos, y por eso propone que el Gobierno busque el ritos singuiares de la brigada de Carabinero*. La comisión no los ig mejor modo de colocarlos sin postergar a ios oficiales de los regi nora, p…</t>
  </si>
  <si>
    <t>…e está nombrada con el Hat lerda sebre liquidación de los créditos procedentes de suministros. objeto de informar sobre el estado político de la Nación, la cual con A p-lición del Sr. Falcó se acordó que se imprimiese este dictamen. su zelo bien reconoedo por t'-dos los demas Sres. diputados tendrá F1 'r. Galiano leyó un proyecto de decreto presentado por la co- muy adelantados sus tr.ib.ijos hón me parece que es la que tiene reuni mivon de Prem…</t>
  </si>
  <si>
    <t>…minuta del mensage, me atrevería a p;op:&gt;n r que este ra aprobir el mecs'g: present ido por la comisión. volviese á la com.sion para que lo presentase de nuevo sobre las bases Ei Sr. Falcó: Me abstengo de entrar rn la cuestión de sí et necesaque he indicado. Quisiera pues que en vez de las providene as genérale* tio ó no el mensage á S. M., por ser ya cosa decid.da por el Congreso, que el mensage reclama de S. M. se dijese que en las relaciones…</t>
  </si>
  <si>
    <t>…'o quisiera que se expresase ti esto nace de la El Sr. Matan: Permítaseme, Señor , contestar á las objeciones del falta de cumplimiento de la orden de 30 de Abril de dar , en cayo Sr. Falcó, pu s ha sentado que el mensage está sembrado de expresio caso seria este un cargo terrible contra el Gobierno; y si se veía que nes inadmisibles, cosa que en mi concepto no ha sido probado. Re dicha ley no era bastante para contener los abusos, podía el Cong…</t>
  </si>
  <si>
    <t>…S. M. por contener expre trangero; y lo aprobaría en su totalidad si no fuera porque, como ha siones é ideas inexactas ; y no s;endo en mi concepto decoroso que lo manifestado el Sr. Falcó, contiene algunas expresiones y cláusulas que dirija asi el Congreso español , creo que las Cortes deben d sa probarlo. me parece no deben tener lugar en él; por todo lo que soy de dicta En seguida se decían este asunto suficientemente discutido, y haber men…</t>
  </si>
  <si>
    <t>…te al Gobierno para otor men de la comisión se hsn valido de razones que en vez de destruirle gar las condicciones del contrato. le sirven da apoyo. La comisión ha querido como el Sr. Falcó que en En efecto el Gobierno quedó facultado por el decreto de 17 de Ju ti resultado de la op:ración que se discute no peligre de modo alguno nio para abrir el préstamo de roo millones: al momento le ocurre la d crédito de la Nación, y no ha podido menos da r…</t>
  </si>
  <si>
    <t>…les que hayan i:t.trena suced’do lo que decía el Sr. preopinante; p ro que á él no le constaba. do en ella. El Sr- Ferrer pidió se leyese el acta del día en que las Cortes ante El Sr. Falcó: El Sr Canga ha hecho mucha» de las reíEx'ones que riores habían dado el decreto último de que habia hecho mención el trataba yode hacer en la mater a ; y conv. nenio de U s p rule s que Sr. Canga. acarrean á la Nación e»lo» empre»t;os, me aire, cía • &gt;.c.:r…</t>
  </si>
  <si>
    <t>…las Cortes, en el caso de manifestarse regimiento de artillería, sobre la que recayó la misma resolución. agraviadas , no po&gt;han menos de proceder sino por medio de la ley ; y El Sr. Falcó entregó otra de varios ciudadanos de Valencia , queján el Sr. secretario de Hacienda ha manifestado ios males que podría acar dose de la contr.bncion de consumos,cuyo gravamen dimana en mucha rear á la Nación esta especie de litigio; pero asi al Sr. secretari…</t>
  </si>
  <si>
    <t>…sto suceda. Asi pues, por todas estas razones creo debe aprobarse el que se trata. dictamen de la comisión. El Sr. Alix: Pidió que se leyere el dictamen del fiscal de la audien El Sr. Falcó: Si asi como ha sido el gefe político de Madrid el cia territorial sobre la exposición del interesado; y verificada que fue que mandó el arresto de la petsona de que se trata hubiese sido un esta lectura dijo : por el dictamen que acaba de leerse se halla con…</t>
  </si>
  <si>
    <t>…sin novedad, y que ai tampoco dei 4“ dj la ley de 11 de Setiembre de 8ao. No repetiré la Sra: Infanta Doña María Francisca seguía mas aliviada. las graves razonas alegadas por el Sr. Falcó; pero sí aludiré una obser- El Sr. presidente dijo que mañana continuaría la discusión de loe raci &gt;n importantísima. Los ciudadanos S. Román y consortes cuando asuntos pendientes, y que esta noche habría sesión extraordinaria á las aculieron al Gobierno en q…</t>
  </si>
  <si>
    <t>…el que se dispensase de esta obligación i aquellos hasta la paz.” Aprobado. que tuviesen justa y fundada causa. Art. j." » Al enageoarse por cuenta de la deuda pública esta mi £1 Sr. Falcó expuso que en su concepto se adelantaría muy poco tad de baldíos, realengos, ó la parte que se estime necesaria hipotecar, con la aprobación de este dictamen, aunque estaba conforme con los serán preferidos para la compra los vecinos de los pueblos respectivo…</t>
  </si>
  <si>
    <t>…el juzgado de El Sr. Ferrer dijo que siempre era algo chocante el que el deudor D. Tomas Benito Escame z. diese reglas al acreedor, obligándole á comprar en determinado tiempo. El Sr. Falcó presentó una exposición del clero de Yilnicia sobre El Sr. Canga contestó que existía hipoteca suficiente para el pago enagenacion de las fincas de las iglesias, y una proposición sobre el de la deuda pública , y de consiguiente podia fijarse un plazo para ob…</t>
  </si>
  <si>
    <t>…expresiones con sus instituciones, y que la precisión en que se ha' a hoy día la 11 -si no parecían oportunas. glat rra de mantener un eran número de indviduo» a-road ,, es u a El Sr. Falcó manifestó que de ningún modo convenía en !.i creación de la* causas que mas intuye pata que las libertades no se pres-.ctn de la comisión que en este artículo se proponía por creerla absoluta ya con aquel vigor que tuvieron antes de ahora Es necesario pues es…</t>
  </si>
  <si>
    <t>…la i las diputaciones provinciales; y por su mérito y sueldo que disfruten , y en consecuencia con los demas em lo mismo que debía aprobarse. pleados de otros ramos.” Aprobado. El Sr. Falcó dijo que el artículo no estaba conforme con las ideas Art. ij. » El Gobierno dictará las instrucciones y órdenes conve que acababa de sentar la comisión: que nadie dudaba que la orga nientes para la observancia del precedente decreto en todas sus partes, niza…</t>
  </si>
  <si>
    <t>…comi solo pare sacar individuos ■Je un cuerpo 4 otro, sino aun cu el case sión retirasen este artículo. d - sacar,; soldados de las compañía* de fusilero* para la de granaderas El Sr. Falcó dijo que seria muy monstruoso que 4 las autor! dad?» o cazador , de lo» mismos regimientos, lo* capitanes se resienten y no responsables de la tranquilidad pública, tinto en lo* pu.-blos c&lt;&gt;m &gt; &lt;-n lo II -van á bien. toda la provincia, cuales eran lo* alcalde…</t>
  </si>
  <si>
    <t>…anet y de los 75 hombres que juntas de comercio. También se conformaba la comisión, y quedo d- Fieu ras acudieron, y son de los que reciben ocho reales diarios. aprobada. Otra del Sr. Falcó, soVe qu: las casas d: beneficencia y estable Por parte de estos no hubo la menor desgracia. cimientos que han disfrutado hutía aquí d.-l prirlegio de usa- pape! de Madrll Miircolet »6 dt Junio. pobres , continúen gozando de la m usí gracia. La com.tion infor…</t>
  </si>
  <si>
    <t>…em Art. a.° » Estos cuerpos tendrán la misma dependencia de loa ins pleo de coronel» vivos del egército.”pectora y comandantes general» de distrito que los otros del egército, Ei Sr. Falcó manifestó que estos destinos deberían proveerse pory serán regidos asimismo por iguales ordenanzas.” Aprobado. antigüedad entre los oficiales expresados, porque de otro modo podría Art. g." — Las dos compañías de alabarderos se formar4ia sobro Suceder que un…</t>
  </si>
  <si>
    <t>…abna debía continuarse el pago de la viudedad que ha tures , aunque sean pagados por temporadas. Aprobado. bía obtenido, y que no debía haber lugar á votar sobre la última soli El Sr. Falcó reclamó una adición que había presentado reducida á citud de Doña Josefa Tía ver. Apribado. que al art. 7.0 se añadiese después de las palabras 6 quien Us substituya, La de D petac ones provinciales opinaba que debia pasar al Gobier las siguientes , donde no…</t>
  </si>
  <si>
    <t>…Febrero de ítfi s , y acordarse por las Cortes que el marques de Pie sibles la v^nta de bienes nacionales.drasblancas no puede continuar ejerciendo la plaza de consejero da Es El Sr. Falcó se opuso é la primera medida , como que podía aer su tado , si no hace dimisión de la plaza tefer.da. mamente perjudicial para el culto y el clero, mientras no se hubiese La comisión Eclesiástica en el expediente promovido por el cabil acontado el plan de rep…</t>
  </si>
  <si>
    <t>…ital del reino , ó en lu de las pro concediese la antigüedad desde la fecha en que habia sido graduado. vincias. El Sr. Valdés ( D. Cayetano) contestó que por la ordenanza anti El Sr. Falcó: Las Cort» han dado á los capellán» de Jos regimien gua los oficiales hacían dos servicios en campaña , uno por el grado que tos el cancter de párrocos entrena» que ant-s no tenían. Entone» po tenían, y otro por aquel á que tenían Opción ¡ pero que ya en esta…</t>
  </si>
  <si>
    <t>…tra atribución que imponer las manos sobre loa elegidos. De. cientemente discutido, y quedó aprobado con la indicación hecha por aquí resulta que lejos dé aer desventaja ló?que el Sr. Falcó ba mani el Sr.:Argtiti!es. festado’, &lt; s una ventaja real j efectiva para los mismo* elegido*, y la' Art. 3.a m No podrán ser admitidos á la oposición los ecleaiásticoe comisión ha creído que no debía trastornarse lo que previene la anti regulares no seculari…</t>
  </si>
  <si>
    <t>…ocociendo la utilidad de esta clase da »•* oponía á lo que prcv.ma sobre esta materia el derecho cam tuco. de d sliaccionrs, &lt;xp dieron ur.a orden para que se proporcionasen di El Sr. Falcó dijo que a ¿unos señores se habitan oividado ce qua versiones en ias p b acones populosas, que suplico a fir. »;cr=tar o te en llegando los exámenes no solamente se lomaban en consideración sirva ie.r (jse l.yn). Visto esta ti d.,.o de as Cortes de promover l…</t>
  </si>
  <si>
    <t>…y trasladar los religiosos regidor; y los electos no podrán escurarse de este encargo sino en los i otro. casos en que sea lícito escurarse de los empleos públicos, y cuando ba El Sr. Falcó convino con que el artículo de que se trataba era de ya desempeñado alguno de ellos en los dos años anteriores. mucha utilidad; pero fue de parecer que no debería darse al reglamen Este anículo se mandó volver i la comisión junto con el anterior. to de policí…</t>
  </si>
  <si>
    <t>…iano á las objeciones que ar han hecho contra esta comisión, y es el verse precisada í hacer el sacrificio doloroso de sus medida, solo resta contestar á las qu: acaba de hacer el Sr. Falcó, qu» mas caras opiniones, es decir, de aquellas opiniones favorables á la impugna el articulo bajo dos aspectos: á saber , porque lo consid:ra libertad ; pero ha sido necesario buscar una ley de excepción , pues no inútil , puesto que el Gobierno está faculta…</t>
  </si>
  <si>
    <t>…haber causado muchos males, no pueda me obrado la jurisdicción de detención. nos de valeime de él pata hacer ver que ¿1 dictamen de ia comisión Ha adelantado mas sus argumentos el Sr. Falcó, pues pretendiendo es inadm s ble ,y puede causar muchos males á la patria. desenvolver aun mas el art. 308, ba dicho que ias formalidades cuva La comisión ba presentado este proyecto para dar mas facultades suspensión se permite por él son las prescritas par…</t>
  </si>
  <si>
    <t>…o quitando del proyecto lo relativo al allana facultades que se habían ya reclamado de diferentes part s. miento de la. casas de ios cmdi latios, y cuarto fijando ci sentido de El Sr. Falcó: Cualquiera que ses el modo con que se quiera mirares- la palabra fu./irfci.imvitr, á fin de evitar toda aibiliaritdad. te proyecto, siempre vendremos á parar en que se trata de su.pcnd.i las A petición dei Sr. o.¡ver s: leyó el párrafo 5-ü del art. aót de la…</t>
  </si>
  <si>
    <t>…ue los Sres. militares se al destinar á poblar algunos de los espacios que hay allí sin la población teren. necesaria. Yo he visto personas que alejadas del recinto en donde se El Sr. Falcó: Según este artículo la misma pena se impone i lo* habían cubierto de ignominia, han procurado mejorar de conducta, facciosos que voluntariamente hayan tomado las armas que á los que han hecho fortuna, y en el dia son ciudadanos muy recomendables. las hayan t…</t>
  </si>
  <si>
    <t>…no debe ocupar la atención de las sentó un estado general sin la nómina de los individuos que .e compoCortes. nen , como tampoco de las 06c ñas subalternas, como lo hace ahora. El Sr. Falcó : Convengo con el Sr. preopinante en que este presu Con efecto ei presupuesto decretado so o se hace cargo de los sue.dospuesto adicional nada tiene que ver con las circunstancias políticas de la de los consij.ro» a-tualcs y gasto» de oficina, que ascendían á…</t>
  </si>
  <si>
    <t>…ue en su opinión resolución terminante de las Cortes, y por lo mismo yo convengo en era muy justo y oportuno. que el expediente se vuelva el Gobierno para que le instruya compe £1 Sr. Falcó: La comisión reconoce que para exigir la reponsabili- tentemente; pero sentando la comisión el principio, primero: » Que un dadá un secretario del Despacho es menester que las Cortes declaren ex-secretario debe ser juzgado en el caso de exigirse le la respons…</t>
  </si>
  <si>
    <t>…o una ad c.on sobre los oficia os particulares desde subtenirr.tr hasta er ¿adier no se d.be ha este asunto. cer mas que una d.-scarga por la tropa dei aromoañimiento al t -mpo El Sr. Falcó: No hay duda que ¡a entrada de S. M. en España re de dar sepultura al cadáver , y tres en la forma cxpücaua para curia.es cuerda mu.has grandeza» de U Nación, -osles sen el term.no í . _• de gen -rales. una puerta desastada; el dj-.tr.,oimiento del déspcU que…</t>
  </si>
  <si>
    <t>…particular; y en fin toda» 1» desgracias que te siguieron á ta entrada de» ARTICULO DB OFICIO. Rey en España. El Rey ha expedido el decreto siguiente: Asi pues la proposición del Sr. Falcó es justa y digna del Congre Don Fernando rn par ta gracia de Dioa y por la Constitución de la so: si este quiere fijar una época que recuerde el triunfo de las armas Monarquía española, Rey de las España*, i todos los que las presentes españolas contra las ex…</t>
  </si>
  <si>
    <t>…para r e sobre supresión de conventos en despoblado, con la adición propuesta servar silencio. por el Sr. Salva. Art. 16. « Todos lotque teoemos la honra de miiitlr Injo estas El Sr. Falcó manifestó que Labia observado que en la minuta se insignias nacionales que acaban de bendecirse, y nos reunirán cor.tía hablaba de conventos y no de monasterios; y que sí esta ley no com los enemigos de la Nación , de la Constitución política de la Monar pren…</t>
  </si>
  <si>
    <t>…án en el caro de aprobar le qu; se ».a Señores que opinaron nt&gt; haber lugar 4 vetar: Moreno, Serrano, propuesto. Z-ilurta, Grases, Domenjcb, Posadas, Fumare jo , Muro, Infante, El Sr. Falcó : Do» son los puntos cardinales en que s; apoya e! de Seoantf, Somoza, Rojo, Rico, Orduña , Sierra, Bel monta , Villa- creto de que se trata: á sabir, el arresto ds h&gt;s de.rDcuent: que es t. nueva, Oj.-ro, Ferrer (D. Joaquín), Scberon , Navarro Tejeiro, Rie s…</t>
  </si>
  <si>
    <t>…anueva, píos ti este breve se propaga y se derrama por el pueblo español, por Moreno, Somoza, Afonzo y Rico; «Pedimos i las Cortes se sitvan que no todos tienen la instrucción del Sr. Falcó. Los pueblos no ha prevenir al Gobierno proceda inmediatamente i dictar las providencias cen las dist:nciones que S. S., y solamente atienden á que han venido tan enérgicas como exigen las circunstancias para impedir la circula de Roma:; por qué pretende la c…</t>
  </si>
  <si>
    <t>…ono propongo; y en esta parte el Sr. preopinante no ha hc.úo ma» que rocido lo que dijo Felipe iv á la misma ccrte sobre un asunto semejan bu.tecer las refl'X.ones que ha hecho el Sr. Falco, para dsmo,t:"ar cus te. Este Príncipe dijo al cardenal de Borja , su embajador en Roma, no tiene objeto esta proposición. Le tiene , si sr .or , cual es el &lt;¡e evi que había llegado i su noticia que aquella tenia particular cuidado en tar el ataque violento…</t>
  </si>
  <si>
    <t>…it el a t. i.J, p.-rquí creo justo que ia pa'abra del dulto concedido por los brigadieres Palarea y Plastncia. b; g&lt; á-er ?, ar a sea rxt ns:va a lodos aquel o» á quena la cío. El Sr. Falcó: Sin rep tir !o que ya se ha dicho en esta delicadísima íii-cut'do e»te asunto -uSc.errt mente, se dec'aris no hab r iu^ar á discusión, hablaré sobre el h»cho memorable que ha ocasionado este votar sobra la tettodaa de¡ dictamen de la comisión, acordándose en…</t>
  </si>
  <si>
    <t>…guiente no podran tener lugar los horrores que ha anunciado haciendo salir á ios inobedientes.” el Sr. Bu y. Ei Sr. Isturiz.- La comisión al establecer este artículo se propone El Sr. Falcó manifestó que se altanarían todas las dlficulndes si el sin duda que en las plazas no queden personas que no se hallen abas articulóse redactase, diciéndose que la autoridad del gcb mador ó co tecidas de víveres para subsistir seis meses, y yo no sé ha ti que…</t>
  </si>
  <si>
    <t>…nder la ind.p.ndrncia nacional , por ,o,teel d-b.d canocimivnio con :a inst'ucci'm del exp diente oportuno.” n-r ¡a Cons' tu- on a.cr rada por ia, Cortes, por ib rtar a. Rrv F rE’ Sr. Falcó: Me parece que si »- aprueba este articulo , s- data lu r.j- do vix Icaut‘V rio en que se oa!Ub3, p »r conservar v &gt; gar á muc as ¡justicias, porqu- pod&gt; «n io» interesad-s qinar ios vo ñor r la di, nidal nacional, h cirron v-.r al mundo cuan muí.íes eran tos…</t>
  </si>
  <si>
    <t>…nstructivo», de lo que resultará que los acreedores luego que queda autorizado para resolver lo conveniente.** que vaya corcluyendo el período de la moratoria' representarán de El Sr. Falcó dijo que á su parecer este artículo estaba en oposición nuevo pidiendo otra; te formará el expediente por la diputación; y co con los artículos 15 y 16 de la ley de 27 de Setiembre de t8ao , que mo no se pone tasa al tiempo en que haya de formarse, vendrá á r…</t>
  </si>
  <si>
    <t>…ado &lt;n lairts ca;os sí hac¿ d.purado propinar o.'* tún mod". puede adopt rse lo que ei Sr. Rom ro propone. L&gt; .»t. Mor mu tue d*s cp-o-ou *¡i»e se suprtm.es- U última c ausula, El Sr. Falcó: Yo no sé qué razonrs pu-da haber para que no se aco que : Li iurtínte llamado tn c¿»¿oj ie huce ¿iirutado, por moden estas elección's i I &gt; que la Constitución y las leyes prescriben aer en su coQ^epto supirrica. respecto de ¡as elecciones de &lt;: pulidos a Co…</t>
  </si>
  <si>
    <t>…culo 331 de la Consti H iy se nos p-r». uta un i'-b;r m.iy •!.. rer.tr que llena: ; t-rtiniv tución. qu: hacer entender á !.■» espa r&lt; »j » tu., r.-n con respecto i a k. ,1 c.a Ki Sr. Falcó: El ari'.ii’.o que acaba de leerse dritruy: toda duda pacifica , paro no desai mada , a fi. ni. d. ¡a tu. 03 , qu.- a, »c bs.ia va que pu di hali-r en esla paite, poique dice expresan»-me que n de fecto del grfi- polít.co o flii itund.r,tv prenda el r. pulido…</t>
  </si>
  <si>
    <t>…as atribu de 17 de Abril de este afio te sustituya la palabra presas en lugar de ciones de ios alcaldía. la de pesca, con lo que quedaría resuelta la duda del Gobierno sobre la Ei Sr. Falcó: Aunque se han individualizado las funciones cor inteligri cía del decreto de 8 de Octubre de 1820. respondientes é los ayuntamientos , sin embargo no se puede des El Sr. presidente anunció que continuaba la discusión sobre el re truir con esto la significaci…</t>
  </si>
  <si>
    <t>…diligencias , y que tier.cn obligación de vigilar sobre ia se las palabras » sin riesgo ni perjuicio suyo.” gur dad y tranquilidad de ios pueblos. Esto m,smo lo previene la ley ti Sr. Falcó : Yo creo que seria mucho mas conveniente que se di de 9 de Octubre de 1812; y no añadiendo nada el artículo qua jese •» con arreglo á las leyes.” se dii.ute , creo que deb. aprobarse. Declarado el pumo suficientemente discutido, se aprobó el ar El Sr. Alonso…</t>
  </si>
  <si>
    <t>…militar tiene alicientes pata seguir en ia carrera de Jas armas; artículo está ea su Jugar, y debe aprobarte. peco mirando al hombre como ea en sí, le encuentro mas propenso á El Sr. Falcó: Este articulo no puede pasar; porque ve gravaría con retirarse con su sueldo que é buscar mayores glorias. La indisposición él á la Nación , y ademas seria presentar un aliciente muy inoportuno con un gefe, el deseo del sebiego y otros mol eos, le obtgan muc…</t>
  </si>
  <si>
    <t>…rcios de la fuerza sefialada por el mismo tío un Gobierno extranjero quiere consrvar de buena f otro gobierno, es imposible que t:r.ga bajo su sa vaguaro.a ;.■» ¿l; reglamenta. El Sr. Falcó : No creo que hay necesidad de qne la Nación haga un tratan de amtinir las ínst tu;iones de la nación roí.,», -trl »&gt;.»•:■ qcr ■&gt; sacrificio tan coitom como el que en est* dictamen se propone , ma la Fiancia ¡o hice respecto a Fspjft» La gu na c-.v , re» temo…</t>
  </si>
  <si>
    <t>Falcó, Francisco</t>
  </si>
  <si>
    <t>Francisco Falcó</t>
  </si>
  <si>
    <t>…Pre 4° Que la pregunta hecha por el sr. Oliver al Sr. secretario dd Despa mios. cho de la Guerra en la sesión del dia 23 del actual de si no era cierto Uno sobre la exposición de D. Francisco Falcó, capitán retirado, que los departamentos de artillería de Sevilla, Barcelona y Cartagena vecino de Cieza , en Mui.u, acerca de que en at:ncion a los servicios habian representado contra el segundo regimiento , tiene su ericen ei* que exponía se le concediese…</t>
  </si>
  <si>
    <t>Falcon</t>
  </si>
  <si>
    <t>…modificación propuesta por el Sr. Sotos; pero no hay necesidad de compañía y de los deuias oficiales en adornos para su muge*, se respe generalizar mas el artículo como quiere el Sr. Falcon, pues un mi taran los vrstidos de esta ; asi que, redactado ei artículo con mas clari litar que fuese destinado á dominio» de España i asuntos del servicio, dad le apiobare. aunque arribase 4 pai» extrangero por cualquiera causa, debía consi El Sr. Fedialvez:…</t>
  </si>
  <si>
    <t>…obierno, i fin de que este tome las providencias que quedaron aprobados. que el asunto exija.*’ » Los ge fes y capitanes podrán contraer matrimonio sin mas requisi A propuesta del Sr. Falcon retiró la comisión la parte de este ar tos ni diligencias que los demás espafioles; pero á fin de que conste al tículo qua dice: » La hará presente al general ó comandante general Gobierno la legitimidad de los contratos, y que el Gobierno sepa las de laa fue…</t>
  </si>
  <si>
    <t>…lt. 16. » hiendo el egercicio indispensablemente necesario para la cados, les p'oduciria mucho desaliente. conservación de la salud, se animará á los soldados á hacerlo (cuando E¡ Sr. Falcon se opuso i la última parte del artículo que dice: » 7 las circunstancias lo permitan) bailando, corriendo ó luchando, pro se les aumentará la ración &amp;c.considerándolo como cosa ridicula, porcionándoles é su embarco los instrumentos análogos * su país; 7 mayor…</t>
  </si>
  <si>
    <t>Falcon, Cristóbal María</t>
  </si>
  <si>
    <t>Cristóbal María Falcon</t>
  </si>
  <si>
    <t>…cisco Vega, segundo ayudante del rrgipara plazas de magistratura de la audiencia territorial de Canarias á miento infantería de América, con 610 rs. D. Josef Antonio Navarrete , á D. Cristóbal María Falcon y i Don Csuna al capitán D. Antonio González Villamil, segundo ayu Julián Gamboa; y para una fiscalía á D. Josef Atanasio del Castillo. dante del regimiento infantería de Búrgos, con 610 rs. Secretaría del consejo de Ejtado. Falencia al espitan D. Pedro Ruiz…</t>
  </si>
  <si>
    <t>…referidos alcances , 6 léase des De ia audiencia Je Canterías. D. Simón de la Plaza y Prado á la cubiertos de los pueblos y fondos de propios á favor de las contribu de Valencia. D. Cristóbal María Falcon á la de V*lenc:a. ciones y rentas generales del Estado hasta fin del afio de 1819 , se les Regentes. El de la audiencia da Galicia D. Fermín Gil de Linares á admitirán solo á los primeros contribuyentes , documentos de suminis igual plaza de la audiencia de A…</t>
  </si>
  <si>
    <t>Falcon, Nufiez</t>
  </si>
  <si>
    <t>Nufiez Falcon</t>
  </si>
  <si>
    <t>…oilo caso era io que se debía exa Ei Sr. secretario del Despacho de Marina dijo que según La ley or minar. gánica pertenecía ai almirantazgo ei proponer el número de tropas que Ei Sr. Nufiez Falcon contestó que los oficiales que se hallaban des debía existir. embarcados estaban haciendo servicio activo en ios arsenales y bata Ei Sr. Isturiz dijo que la comisión se babia visto precisada í dar llones de marina. su dictamen sin saber el número de individuo…</t>
  </si>
  <si>
    <t>…bado. El da 9 no se p-nsaba en París mas que en las elecciones de dipu 6.° Que no mantenga la Nación trc. tados, que se v rificanan el 10: los dos partidos procuraban por medio El Sr. Nufiez Falcon manifestó que este articulo se oponia al 4.* de los p nódicot llamar la atención de los electores para que votaya aprobado , pues que allí te suponía que habia ds haber algún buque aen á favor de sur paniaguados La ¿aceta de Francia habla de una que fuese men…</t>
  </si>
  <si>
    <t>…ngeros,” en lugar de las palabras » y ten no creo yo que el Congreso apruebe este artículo- gan hijos en ellos.” El br. Valdés (D. Cayetano): Aunque he tomado la palabra en pro El Sr. Nufiez Falcon : El artículo debe generalizarse mas , porque del artículo , no estoy conforme con el modo con que es ti redactado, puede un militar español ser destinado 1 América, y en el viaje arribar pues debe tenerse presente que al oficial de caballería no se le puede…</t>
  </si>
  <si>
    <t>…modo da hacer afectivo el déjicit ge El Sr. Valdés (D. Cayetano): fie pedido la palabra en contra, no neral. para oponerme á que se conceda al ministerio de marina la cantidad El Sr. Nufiez Falcon hizo varias reflexione* sobra el dictamen, mani de 10 mi Iones, sino para oponerme al modo con que se le conceden; festando que aunque estaba conforme con la comisión en que se rebajasen porque dice ía comisión que se le den por via de anticipación y á dedu á…</t>
  </si>
  <si>
    <t>Falcon, Nuíiez</t>
  </si>
  <si>
    <t>Nuíiez Falcon</t>
  </si>
  <si>
    <t>…egularmente tenían su modo des de la marina. El segundo se refiere al notable atraso de cuentas en de vivir. que se halla la marina desde mucho tiempo, según afiraia la contadu El Sr. Nuíiez Falcon dijo que los militares quedaban exceptuados ría mayor de cuentas del reino, con fecha de 6 del corriente, en el in de la rebaja de sueldos según lo discutido y aprobado por las Cort&lt; s, forme que tienen á la vista las Cortes : por todo lo cual la comisión pro…</t>
  </si>
  <si>
    <t>Faltasar</t>
  </si>
  <si>
    <t>…uyo recargo quedarán exentas tilla cott la denomira.ion dr marques de VilUbug-ma le peina en ;1 la» mercadería* que salgan en buque nacional; pero en uno y otro cato • fio de 1695 D. Faltasar llennquez J: Cahrcia, y que el de marques te ha de otorgar precisamente ¡a obligación prevenida en el art. 13 del de Villareal se conecd ó en c! de lóyo á D.-ña Latbata de Cr"t.r.. r., reglamento de depósito*, la cual ha de expresar el valor de las merca h ja…</t>
  </si>
  <si>
    <t>Faltón, NuBez</t>
  </si>
  <si>
    <t>NuBez Faltón</t>
  </si>
  <si>
    <t>…ión creía absolutamente necesario examinar coronel D. Florencio Cénit i y el capitán D. Agustín Chinchilla. los autos originales, debía haberlo expuesto al Congreso, y p.oceder El Sr. NuBez Faltón: Este expediente es sumamente voluminoso, con su acuerdo. pues tiene mas de 600 fojas, por lo que suplico ai Sr. presidente se sir El Sr. Salva dijo que en el oficio pasado por la secretaría al Gobier va suspender su discusión para que puedan enterarse bien d…</t>
  </si>
  <si>
    <t>Fampóy, Feiipe di Sierra y</t>
  </si>
  <si>
    <t>Feiipe di Sierra y Fampóy</t>
  </si>
  <si>
    <t>…ido de intimidar a los abal es pus quj no F*i ubr eado de la Real mano =En A anjaca a 1 - de J«uti« de ibza. den avisoa, y aun en alguna parte se h&lt;a llevado consigo a vanos »»- A D. Feiipe di Sierra y Fampóy.</t>
  </si>
  <si>
    <t>Fanando</t>
  </si>
  <si>
    <t>…de Julio de cidnos si necesitáis cooperadores; la patria no reclama jra tan impe 1811.= A D. Luis Balanzat.” riosamente nuestra permanencia en esta capital; hablad , y si es preci Don Fanando vu por la gracia de Dios y por la Constitución da so volaremos basta ponernos i vuestro lado; afirmaremos de consuno f de una manera indestructible el sistema constitucional; precisaremos la Monarquía española , Rey de Jas Españas, á todos los que las pre sen…</t>
  </si>
  <si>
    <t>Farde, U. Mauuel</t>
  </si>
  <si>
    <t>U. Mauuel Farde</t>
  </si>
  <si>
    <t>…ana Ztrd-n la, t n-ni c rom D. G br 1 Manu I de hurbe. Cap-i an pr vado de aF.&gt;nv&lt; a Fr G'-po 1 rrblrque. Man C.'-t.rvf.i*:. :.r '•-'.■.'-.i.' id d' ?■ ilo de los caballeros pagos coronel U. Mauuel Farde. Medico de cama n Ex .mo. ii. : uti.¡u’:m¡ a 10 q-e dige a V. 1 ii»»d; Capirrco</t>
  </si>
  <si>
    <t>Fardella, Juan</t>
  </si>
  <si>
    <t>Juan Fardella</t>
  </si>
  <si>
    <t>…sa todo ei pa»rr&gt; ce K-col.-to». La ayu.tante gen .ral le S M.; el baton O. Jos-rí Aetrn, gob rr.auoi de calle ti. los coch.s quedara Lbie para la finri.- on de la !'. pa. Girt.t; D. Juan Fardella ; el pnne pe de e-utó ; Mr. Gambs, inspector Filada la compon en esta, ha»;,, caicuir, -.1 núm ,r' dr persona» gi-nerai de les veterane* (advierta,.- que este apellido no es ital ano ); que habrán de concurrir, y el gasto que r caponará ei todo de ía :cnti Sr…</t>
  </si>
  <si>
    <t>Fatcó</t>
  </si>
  <si>
    <t>tarte. La comisión puta, convencida de los obstáculos que se preientan El Sr. Fatcó: La m:dida qu: ss discute abriría un campo á U ar ¡ií Gobierno para llevar á efecto la consolidación del sistema, ba pro bitrariedad mas completa, que si no es de t:m:r en ios actúa es señores puesto estas medidas; y :seria posible, Sefior, que el Gobierno y…</t>
  </si>
  <si>
    <t>Fayo, Baroto</t>
  </si>
  <si>
    <t>Baroto Fayo</t>
  </si>
  <si>
    <t>…a desecharse el dictamen das. ¡Ojalá se hubieran engañado! En este caso quizas se les hubiera de la comisión. perseguido como anarquistas y amigos del desorden; pero i lo menos El Sr. Baroto Fayo: Los ilustres preopinantes han dicho mucho; hubieran tenido el consuelo de ver triunfar la patria de unas pequeras pero yo diré poco. No me admira la conducta del Príncipe , ni extraño partidas .que nada suponían en el principio,y que soto se han rngrosa. el…</t>
  </si>
  <si>
    <t>Fa’có</t>
  </si>
  <si>
    <t>…a». Declarado este asunto bastante discutido, se mintió pasar á una co CORTES EXTRAORDINARIAS. misión especial. muslo* MI A l)tl Migo* SAHATO. Se leyó ta siguiente propos:cioo del Sr. Fa’có : - Sin perjuicio de Are i. h del dia I." lo qu: manifieste la comisión para la oport.ma r-.o ucion de la» Cortes, T. eida v aprobada el acta de la anterior , entró á jurar y tomó asien pido á las misma* se oficie inm.-diatamente ai Gobernó, a hn a- que to un…</t>
  </si>
  <si>
    <t>Fcleueiras</t>
  </si>
  <si>
    <t>…spuso en brev- su ma» pronta perse Se leyó un dictamen de la comisión de Constitución sobre la pro cución. Reunida ia fuerza posible de la mil.c a uaconai d- todas ar posición del Sr. Fcleueiras, para que en atención á haber acordado el mas, que se componía á ¡o ma&gt; de unos 150 hombres , mandados por Congreso cerrar sus tesiones el día 4 de Noviembre próximo, se avi el capitán D. Ful.pe Escudero, y cou .a probabilidad de que .a d -ecsase asi al Gobie…</t>
  </si>
  <si>
    <t>Fclin, Ramón</t>
  </si>
  <si>
    <t>Ramón Fclin</t>
  </si>
  <si>
    <t>…s laa drsislo entendido, y dispondréis lo conveniente á su cumplimiento. Pe- ventaja* que exije su situación peninsular y sus dilatados dominios de bm 4 «le Diciembre de 1821. = A D. Ramón Fclin " Ultramar. Esta obra es útil no solo á los marinos, sino á los que quie ran enterarse de la necesidad de las reformas que ha propuesto á las Cor D. Fernando vil por la gracia de Dios y por la ConstKpcion de tes la comisión de Marina. Se está imprimiendo la c…</t>
  </si>
  <si>
    <t>Fcmbley, Felipe de Sierra y</t>
  </si>
  <si>
    <t>Felipe de Sierra y Fcmbley</t>
  </si>
  <si>
    <t>…pios y aib trios de su térmipub ;que y circule.ecRubricado de la Real mano.—En palacio á 3 de no ios duoñosdirectos de ellos, cuya existencia se duda; bajo aperci-Jubo de 1 8jí.=A D. Felipe de Sierra y Fcmbley. b miento que ai que no lo verifique le parará el perjuicio que haya lu gar , según las órdenes comunicadas por el Gobierno en el asunto. ÍV n Fernando vir por la gracia de D:os y por la Constitución de la Monarquía rspaño'.i, Rey de ias F.spañas, á todos los…</t>
  </si>
  <si>
    <t>Fcnct, Juan María</t>
  </si>
  <si>
    <t>Juan María Fcnct</t>
  </si>
  <si>
    <t>…y « acordó proceder después d nombramiento de loa Marañes, D. Ramón Diu de Ortega, D. Felipe Fernandez Aria*, sedos Sres. diputado* que en ello* te citan. dar marques de ja Torro, D. Juan María Fcnct y D. Joan Bautista Se leyó d dictamen de la comisión de Premio* para que te conti Dotan*. núe pagando 4 D. Antonio Díaz del Moral, ex-diputado de la* Cor Sefiom qne disintieron: D. Pablo Marró Vetdalet, D. Pedro Gil tes dehMdloa 1813, 1814, i8»o y 1811 la pensión de 1 $9 rs. qu…</t>
  </si>
  <si>
    <t>Fcrier</t>
  </si>
  <si>
    <t>…iente* mo p- a qu - todo acreedor del Estado haya podido presenta!los. respecto de la escala de descuentes que presentaba la comisión. K. Sr. C mga: En cuanto i lo que ha dicho el Sr. Fcrier sobre el En seguida se dedaió haber lugar á votar sobre la totalidad del térm no pra la presentación de los créditos be visto con gusto que el dictamen. Créd-to pi.bi co h i cu dado de repetir por medio de los per.odicos de Se leyó la proposición primera, que…</t>
  </si>
  <si>
    <t>Fcrmoso, Josef</t>
  </si>
  <si>
    <t>Josef Fcrmoso</t>
  </si>
  <si>
    <t>…iempos jr D. Nicolás Luaces; pata la de Castro de Caidelas á D. Josef González países, disfrazan su perversidad con el velo de una moderación y pru Varela; para ia de Caiballino i D. Josef Fcrmoso ,y pata la de Madencia pérfida; pero es muy fácil conocerlos, por ser tan visible la ser al ccda de Limia fi D. Josef Martínez. característica que los distingue; á saber: que medran en todos los goHernos, ó á lo menos que nunca pierden. El Gobierno ha recibid…</t>
  </si>
  <si>
    <t>Fcrnanco</t>
  </si>
  <si>
    <t>…los incautos, que les sirven de ins trumentos: la ambición fue su primer móvil: la seducción el medio: la F.l Rey ha expedido los decretos sigu irtis: desesperación su resultado. Don Fcrnanco vn por la gracia de Dio. y por !a C'nst'tuc:on de ■ iodos ¡o. que ia. Los principales motores de esta insurrección confiaron acaso en pro* la Monarquía española. Rey de Us España., mesas hechas por extrangeros y en otras domésticas , fundadas todas en sent;.…</t>
  </si>
  <si>
    <t>Fcrrcr</t>
  </si>
  <si>
    <t>…a ahora paree* no se ha Se mandó pa&gt;». a la common de Vu.ta del Crédito pubiieo ¡a si verificado, prescindiendo de entrar en la cuestión sobre el estado de guiente proposición del Sr. Fcrrcr. esas compañías , ya sea por la calamidad de los tiempos ó por otras - Pido a las Corte» que mientras subsista e! (sarco nacional de San causas. Cirios como una a»oc&lt;ac&gt;on ó compañía de comercio, la resolución to El Sr. I errcr: No puedo menos de hablar en es…</t>
  </si>
  <si>
    <t>Fcrrer</t>
  </si>
  <si>
    <t>…a provincia de Guadala- La de Hacienda presentó su dictamen sobre las adiciones hechas í jara, quejándose de que se les apremiaba para el pago de contribucio las proposiciones del Sr. Fcrrer, que fueron aprobadas en la sesión d¿| nes del aAo ao, que no habia podido satisfacer por haberse apedreado día 11; y opinó que la del Sr. Albear no era admisible, y que debía sus campos en el año 19: otra de la diputación provincial de Extrema, aprobarse la…</t>
  </si>
  <si>
    <t>…men El Sr. accretario del Despacho de Hacienda: Imposible es recordar suales.” Según tengo entendido las inscripciones se han rendido ai 58, todos los pormenores del discurso del Sr. Fcrrer, porque sobre ser lar 60, &lt;Í2,64 y 66 por 100; pero yo quiero suponer que solo se hayan go ha sido variado; pero un embargo me haré cargo de los pumos ca vendido al do; es claro que los 280 millones les han valido 170 en pitales que ha tocado. metálico, de lo…</t>
  </si>
  <si>
    <t>…ución la organización de la milicia activa, porque te ha contado por lo» batallones del tren. con esta fuerza. El Sr. Ferrer ( D. Joaquín ): La comisión desde luego está confor E&gt; Sr. Fcrrer ( D. Joaquín ) contestó que la comisión no había me en que se construyan todos aquellos carros que deban tener una dado su dictamen sobre este punto porque las Cortea no habiaa acor forma particular para el objeto a que deb:n aplicarse; pero no asi dado nada…</t>
  </si>
  <si>
    <t>…o á las medidas este establecimiento. que han aprobado las Cortes para remediar loe males que sufre la Nación. El Sr. Canga: Yo no sé que derecho pueda tener este establecimien Ei Sr. Fcrrer ( D Joaquín ): El Sr. secretario de Gracia y Justicia to ni ningún otro de su especie para cobrar de la masa de la Nación y el Sr. Septien han dicho lo bastante ya sobre este asunto; pero yo una cantidad, que aunque se le asignó piadosamente en 813 , no puede…</t>
  </si>
  <si>
    <t>Fé</t>
  </si>
  <si>
    <t>…ente interino D Juan de Guillcrmeti, 7 Sres. diputados Don A la comisión de Agricultura se mandaron pasar un proyecto de Josef Luciano Ortiz Renta, D. Buenaventura Quillones y Dr. D. Fé ley remitido por el Sr. secretario de la Gobernación de la Península, lix García de la Torre , se trató y acordó entre otras cosas lo siguiente: relativo al fomento de los arbolados; y una exposición de la diputación Se leyó la siguiente exposición de los Sre…</t>
  </si>
  <si>
    <t>Fe</t>
  </si>
  <si>
    <t>…upra.s Juan Gó ra que concurran por sf ó por medio de personas autorizadas al inten mez 13 Ei copia. = Latorre.” to , y los sugetos i quienes tocan son los siguientes: á los Sres. D. Fe derico Gerónimo Berechan 1 o vates de 130 pesos, según endoso da VARIEDADES. D. Francisco Paula Chiocchini, en Cádiz é 31 de Diciembre de 1810: á los Sres. D. Roberto Loiiete i hijo, por dos ídem , según el que está Constitución dt las úlas Jónicas» i tu favo…</t>
  </si>
  <si>
    <t>…vación en la calle de Segovia; las avanzadas de esta com llo de los hebreos, porque descuidaba el cumplimiento de la ley de pañía me presentaron á las dos de la mañana al teñí nte general D. Fe la circuncisión , disimulando en su hijo lo que no toleraría en ningún lipe Saint-.Marc, acompañado de un alabardero, que por sospechas de otro súbdito suyo: San Pablo decía á los romanos que la ley es unapa- querer introducirte en el real palacio y lo intemp…</t>
  </si>
  <si>
    <t>…lle; D. Jaime L on , í D. Jo.ef Suar z Cu-nilas , y para el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 Irados…</t>
  </si>
  <si>
    <t>…tlnas, era de parecer que d.bian aprebatse. Aprobado. Excit: V. S. ei zelo v patriotismo de ¡os avuntam*-nt -i , . ¿-1 rf; La referida comisión, babeado examinado ;cs de los Sres. D. Fé que uno d? los .1 ;s de mes de FnfO ■ n »• . 1 m • &gt;• , »•» lix Vareia, D- Tomas Jener y D. L- osarlo Santos Suarcz , diputados d a de fi.sta , que se forme a m ... a !. caí , aeorr.pafe a .1 n -a electos por la Havana, era de patecer que d.bian ser aprobados…</t>
  </si>
  <si>
    <t>…publica a ias dos mer.es cuarto, queC»ndo qu: ha de costearlas; y siempre se ha prevenido en las ordenanzas del las Cortes en secreta. egército que el soldado haya de tenerlas. El Sr. Fe rer: A m, m: parece que bastará decir en el articulo que á las ttopas de traspoite se les ha de proveer de cus prendas, porque Primer distrito militar (Madrid.) No ocurre nevedid particu’ar en si el viage es largo , est; vestido no podrá setv.r paraotia vez ,…</t>
  </si>
  <si>
    <t>Fe'</t>
  </si>
  <si>
    <t>…á B-iie-Ur y Fred.» una fuerza de ge infar:-s , cuyo funo individiialmenu. E»i,s tropas li.n.n dado. tnu;ho« ;i,a. de g o- comandante l'eva la orden de pon-isc en comunicación c-n D. Fe' ip: ró ■ a patr-a , ' I d: av r tu- un í de ei o» =l&gt; os gu ros &gt; V. &gt;. Toiosana, que se asegura estar en Torre del Compt es Las . mu.- tarcias mucho» a Va'd robu» 14 de » tiembr- d 1 .ja.s:Feiipe Tolosa- pait icu'ar»» en que se hal1» esta pob’ación me oh. ra…</t>
  </si>
  <si>
    <t>Fe, Primo</t>
  </si>
  <si>
    <t>Primo Fe</t>
  </si>
  <si>
    <t>…seria uro ee los principales. Pedagozo d i pr'ncipe del imp-rio P. Joscf Ziiñlga ; ídem de los Los uttrat acuden a Ora. u¡-, de Bruiélai para que envíe t-opas prí' c p s m ¡ canos D. Primo Fe&lt; icianoCárd-nas. Capellanes de SS. MM. francesa» a os P .ineos; y a G.tceta de i randa va a forma un c.mD. M»nu-I Sartor o, Dr. v Miro. D. Isidro leñado lcaza, D. Jo- po de 1 29 francés s cerca de &gt;. Jcan d- Luz. Ei mism-r penoJ sta , -re li’f Antonio Lopn ,…</t>
  </si>
  <si>
    <t>Feder</t>
  </si>
  <si>
    <t>…Consecuente á lo que dije a V. S. en mi oficio de ayer relativo i la Canarias, con dio rs. acción glnr.o.a conseguida por ia columna de mi mando, debo manifes Va ene a al captlan D. Feder co Firlurn, nvjíar.f dr .’a rt: rju.tar que hadándome situado en el campamentodc Ames en la madrugada da se.'unds divóion de eransderos p-nv a , e n ó~o rs. i;c! r,y teniendo 1 ioi 'ace;o*o* i distancia de tres cuartos de legua h&lt;cia VillafrancJ al cap,tan D…</t>
  </si>
  <si>
    <t>Fedialvez</t>
  </si>
  <si>
    <t>…tículo con mas clari litar que fuese destinado á dominio» de España i asuntos del servicio, dad le apiobare. aunque arribase 4 pai» extrangero por cualquiera causa, debía consi El Sr. Fedialvez: Yo no puedo aprobarle, porque si i un oficial de derársele como desempeñando su encargo. caballería se le qmti ei caballo que ia Nación le suministra para que El Sr. Becerra se opuso a! artículo, diciendo que no era necesario baga el servicio, á uno de infan…</t>
  </si>
  <si>
    <t>Feijoo, Josef</t>
  </si>
  <si>
    <t>Josef Feijoo</t>
  </si>
  <si>
    <t>…á esta ciudad. ron en sus fitas. » Dios guarde á V. E. muchos años. Astorga aó de Agosto de » Lo que me apresuro á anunciar al público para su satisfacción y la i8j2.=Kxcmo Sr.=El coronel Josef Feijoo.=fcxcrao. Sr. comandante de los valientes que concurrieron i esta jornada. Valladolid a de Se general del a." distrito militar. tiembre da s8a2.=:El gefe político Josef Fernan«iez Queipo. » La tropa de cate batallón, que aunque sugerida por medio de Con este…</t>
  </si>
  <si>
    <t>Feio, Bárrelo</t>
  </si>
  <si>
    <t>Bárrelo Feio</t>
  </si>
  <si>
    <t>…os oficiales y en el miso.o Noruega al arreglar con los representantes de la nación algunos asuntos destino. de la mayor importancia , que nos parece lian de contribuir sobrema El Sr. Bárrelo Feio dijo: Me ceñiré é hacer algunas reflexiones, nera á su felicidad en lo venidero , usamos del derecho que nos conce miranda la cuestión solamente por Ja parle militar. de el articulo del acta constitucional, convocando para dicta extraordi Ap*nas supo Ja divis…</t>
  </si>
  <si>
    <t>Feirer</t>
  </si>
  <si>
    <t>….du correspon cxpiesa-as para oouticr su retiro; y que ai miniar que se retirase s.n diente ai empico que goza. razón nu ic ceba qu dai sueldo ai6uno, pulque se retiraba por su El Sr. Feirer q D- Joaquín ) : Este artícu'o está conforme con otro propia convciucuc-a, y uo Ucbia giavaisc a ia Dación con sueldos de la ley oigim.a , cuyo resu-iado ha sido qua ha ti.b du una p¡-t« de tctiios tan iu:go como s: ha puesto en uso. lio quo.era ñiciesrinos n…</t>
  </si>
  <si>
    <t>Fejó, Diego Antonio</t>
  </si>
  <si>
    <t>Diego Antonio Fejó</t>
  </si>
  <si>
    <t>…uestras fronteras. cado de la gota; peto qu: asi que se restableciese se presentarla en el __La Gaceta de Francia publica al siguiente párrafo con fecha do Congreso; y la otra del Sr. Diego Antonio Fejó, en que manifestando Setnlin 31 de Agosto. hallarse enfermo, pedia que te hiciese presente á las Cortes: » Algunos periodistas te habrán alegrado con la relación de las vic- i.° Que al mismo tiempo que reconocíala obligación en que se hall.iba no tolo de firm…</t>
  </si>
  <si>
    <t>Fél</t>
  </si>
  <si>
    <t>…, á la qu* echó en cara partida de Balda se hallaba en la Basil ca de i. Miguel de Ercelsó, en el congreso de La bach , que no sab a en cuanto á r'vo'uc ones comisiono al cap tan D. Fél x Sarasa para que con lu&lt;-rza armsda pa distinguir de tiempos, d- pueb'os, de circunstancias iScc. En fin , todo sase á apoderarse de ella. Salió en efecto oan.-a de Pamplona con 14 el mundo des*a sab.r qué nueva forma qu rrán dar á la F.uropa el coito «S 16…</t>
  </si>
  <si>
    <t>Fel-u, Ramón</t>
  </si>
  <si>
    <t>Ramón Fel-u</t>
  </si>
  <si>
    <t>…dro Fun i'cinnes. Rainbad, I&gt;. Francisco Ignacio Pelleja, !&gt;. Ios-f Franc seo Hijar, Para atender 4 los gaito* de tundiciones, maestranzas y parques da D. 1 -liu Rinz de Fortín: y D. Ramón Fel-u. Iodos, á excepción d«l artillería 1..000,000 rs. úit'mo , fueron de la referida opui.on de hacer lugar. EN LA IMPRENTA NATIONAL.</t>
  </si>
  <si>
    <t>Felc-gr.n, Ramón López</t>
  </si>
  <si>
    <t>Ramón López Felc-gr.n</t>
  </si>
  <si>
    <t>…omicilio de ellas ó el lu* rs. y 15 mrs. procedente dr los sueldos de loi anteriores secretarios del gar del origen ó vecindad del militar difunto , se les comunicará avi Despacho D. Ramón López Felc-gr.n, mcgisirado del tribunal su. reso en igual forma por medio de los re.pectivos alcaldes constituciona tno de Justicia , y O- Dieqo Ciernen.¡n , g;fe de s ce on de la secreta les de cada pueblo, los que estarau obligados á inquirir las tales perso ría de la G:…</t>
  </si>
  <si>
    <t>Felgueira</t>
  </si>
  <si>
    <t>…los pueblo*. Vdando por vuestra seguridad se dignó hacer al gobierno francés las reclamaciones mas «férrica» para elecciones de dipsilados se hiciesen por escrutinio secreto. ■ El Sr. Felgueira» dijo que se acababa de recibir un oficio del minis impedir que los malévolos cuenten, con el apoyo en que fardaban sus tro de Justicie, que era de la mayor urgencia , por io que mtenumpia mas seguras esperanzas: tenedlas vosotros en un Gobierno rusto . qna m…</t>
  </si>
  <si>
    <t>Feli</t>
  </si>
  <si>
    <t>…n objetos tan precio la Rosa, Marte! y Sánchez Salvador. sos como la libertad y el bien del pueblo heróico que representan, En contra lot Sres. Gaseo, bancho, Calstrava , Navarro (D. Feli creerían faltar á sus deberes si no manifestasen á V. M. que se haliaa pe). D&gt;az del Moral, Romero Alpuente, Muñoz Arroyo, Ocboa, íntimamente persuadidas de que * el actual ministerio no tiene la fuer* Díaz Morales, Yuste, Villanueva , Lastarria , Quintana ,…</t>
  </si>
  <si>
    <t>Feliciano</t>
  </si>
  <si>
    <t>…? que habiendo llegado á la corte con posterioridad a la época en que Contrayéndome al derecho individual, ¿por fit no han de poder ec irali.de los asunto» de Ultramar el-teniente coronel D. Feliciano representar juntos vatios ciudadanos qua tengan una misma optnsaaj Mi'iitenecro, en calidad de cuarto comisionado enviado por el general i por que se le» ha de poner esa traba de la itpilitWiiU de lo» emeo «n gefe d.-l ejército español de Oosta-Firmf, quien h…</t>
  </si>
  <si>
    <t>…cayo paradero se ignora , para que en el término de 10 documentos fehacientes, por término de 30 días contados' desde hoy. d as comparezca por la escribanía de cámara del cargo de D. Feliciano En la propia forma y por el mismo tiempo se admiten también para García Sancha i usar de su derecho en la causa formada al mismo y la p'aza de magistrado que ha quedado vacante en la audiencia de Va- otros consortes sobre introducción fraudulenta de una porción…</t>
  </si>
  <si>
    <t>…sde el en que se anuncie en lo» papeles p'íb.iccs, de las virtudes cristianas; esta tierra antigua y célebre se rió repentira- comparezca en U misma por la escribanía de Cámara de D. Feliciano mente hecha el objeto de una expedición militar, que iba á llamar hác a García Sancha, á fin de notificarte la parte que te comprende en ia ella la atención de Ja Europa y del Asia. Bien pronto fueron testigos sentencia pronunciada por el juez de primera inst…</t>
  </si>
  <si>
    <t>Feliciano, Josef</t>
  </si>
  <si>
    <t>Josef Feliciano</t>
  </si>
  <si>
    <t>»4»&gt; por «ii ¡lustre concolega el Sr. Josef Feliciano .declaraba qu: estaba cu dista de esta capital, acaban di dar una nueva prueba de lo qu: puede rramente conforui! con elli, i pesar de la noticia que corría acerca de el p.uioti.mo en los pochos españoles. Sf: la memer a de ;su- e’-aaric, |i sueva determinaci…</t>
  </si>
  <si>
    <t>Felipe</t>
  </si>
  <si>
    <t>…nen de tener la'fuera naacaaria de todo* ? Guerra &lt; D. Joaef Basilio*), Alcaraz, Amati, Navarrete, Gateo, Na A lat Corte» te ha comunicado d decreto da la «operación da loa varro (D. Felipe), Ynste, Priego, Romero (D. JosaQ, Diez Mom miníanos; y loa Sres. diputado* que lo hayan oído no habrán podido ia, Fernandez, Muñoz Arroyo, Solana, Guerra, Lasanta, Ocho*, mano» de formar el concepto debido: tolo la prudencia e* la que ha Cosío, Golfin, Paul,…</t>
  </si>
  <si>
    <t>…cidad, y sabe disfru Francisco), Alcaraz, Amati, Navarrete, Pareja, Palarca, Gaseo, tarla. El poderoso la ve apenas á una inmensa distancia, y la deja des Yuste, D sprat, Navarro (D. Felipe), Priego, Romero (D. Josef) , aparecer como una sombra vana. Camus Herrera , Fernandez, Díaz Morales , Solana, Muñoz Arroyo, Se mira como muy peligroso que un inmenso caudal pase de ma Guerra (D. Jo,ef Basilio), García Sosa, Lasanta, Ochoa, Golfín, nos de un…</t>
  </si>
  <si>
    <t>…e la sacie, Moreno, Lallave (O. Pablo), Amati, Alcaráz, Guerra (D. Josef dad , consideraría la prosperidad general como un medio de consol id», Francisco), Pareja, Gaseo, Navarro (D. Felipe), Desprat, Y usté, Pa tu propia felicidad. Saben ademas que le libertad de dividir sus bienes la rea , Priego, Romero ( D. josef), Diez Morales, Fernandez (Don les excita 4 una prudente economía para que por medio de ella puedas Anselmo), Solana, Guerra (D. J…</t>
  </si>
  <si>
    <t>…s varias reflexiones opinó que debía ciones y penas que se prescribe» pan los impresos «n la ley de z a de aprobarse el artículo. Octubre de . 810 y en la actual.” El Sr. Navarro (D. Felipe) dijo que estaba persuadido del carácter El Sr. Sancho dijo que debía suprimirse la palabra caricatura, y sus de inviolabilidad del Rey, por el cual era acreedor á todos los respe tituir pinturas &lt;t dibujos. tos debidos á su alta dignidad , de lo que todos es…</t>
  </si>
  <si>
    <t>…ión del orden público, Aprobada el acta'de la anterior, se mandó agregar á ella el voto prestándose generosamente al penoso servicio de la plaza, ¿ que no es de tos Sres. Navarro (D. Felipe), Romero Alpuente y Gaseo, contra taba obligada, para aliviar la fatiga de la reducida guarnición de tropa rio á la aprobación de los arts. 4 y 5 del decreto sobre libertad de im de línea. prenta. El *7 de Enero entró en Gíbraltar un buque, procedente de Rio-…</t>
  </si>
  <si>
    <t>…nda Aprobada el acta de la sesión anterior, te mandó agregar á ella loa por desacreditar el jurado; y tercera porque con el artículo se destruía ▼otos de los Sres Gaseo, Navarro ( D. Felipe),Romero Alpuente, en parte los saludables efecto* que en este asunto se propuso la Consti Flores Estrada y Desprat, contrarios i la aprobación de los artículos tución en la libertad de imprenta. En efecto, la suposición consiste en 6°, 7.°, 8.° y 9.0 del proy…</t>
  </si>
  <si>
    <t>wlfiá» nt wnwnd» por el groad* inconveniente que he díimetnJo. El Sr. Navarro (D. Felipe) dijo qne este artículo reformaba emeEl Sr. Omti: Ea peceño ao confundir lo que ca un juicio de Cen tameate el jh del decreto da oa de Octubre; y como so estaba aprotura, coa lo que lis aisaifcatado el Sr. Sancho , que e* una calumnia. báda la inutilidad de a…</t>
  </si>
  <si>
    <t>…ra Puigblancb, Desprat, Ramírez (D. Miguel), García Sosa, Gutiérrez rias á la libertad (en su persona y bienes) de los españoles americanos Acuña, Ciscar, Florez Estrada, Navarro (D. Felipe), Golfin, Gaseo, y europeos que hubiesen permanecido adictos á la metrópoli, y quisie Romero (D. Josef), Muftoz Arroyo, Quiroga , Cortarar, Guerra sen sel ir de aquellas provincias. (D. Josef Basilio), Yuste, Lallave (D. Vicente),García(D. Antonio) El Sr. Oli…</t>
  </si>
  <si>
    <t>…jueca al imponer la pena de trabajos perpetuos, reclusión dcc., aat dá wartad di imprenta. sin estar organizada alguna de los establecimientos necesaria para es , firSr. Navarro (D. Felipe) tomó la palabra» para manifiesta que de* te efecto. Añadió que fe comisión había pensado en enviar i la sanción ■eando tecbazar loe tiro* de la maledicencia habia hecho la propott* Real la titula del código por separado; pero le habia ocurrido el in don «trt…</t>
  </si>
  <si>
    <t>…ente: el pueblo disfruta de bue 1701, cuyo crédito es uno de los justificados contra la testamentaría del nas aguas, abundancia de caza y lefia, con un hermoso cielo que le ha Rey D. Felipe v de la clase de extraordinario, señalado con el núme ce de los mas sanos. Se admiten memoriales hasta el último dia del ro 838, perteneciente entonces á D. Mateo Pablo Diaz de Lavandera y próximo Abril, y se dirigirán á D. Josef Gregorio de Castro, secreta D…</t>
  </si>
  <si>
    <t>…e la exposición de D. Jos;í Ferrer, mine el modo de expedir las certificaciones de crédito del reinado del vocal de la diputación provincial de la» islas Btlcar--sr para que se ¡e Sr. D. Felipe v; y una exposición de la diputación provincial de la* exon rase de aquel encargo en atención al mal estaco de su salud , opi islas Baleares, pidiendo que se tuviesen presentas los dos horrorosos naba que debía accederse a ella,y llamar al suplente. Aprobado.…</t>
  </si>
  <si>
    <t>…en 14 de Abril de 1811 , hasta que re Está rubricado de la Real mano.mEn Aran juez á 13 de Mayo de ittsi- suelvan lo que estimen conveniente sobre et particular. De Real órden sA Don Felipe de cierra y Pambley. lo comunico á V. S. para su inteligencia y fines correspondientes.” Circulan j dtl ministerio de la Gobernación de la Península. Lo que se hace saber al público por medio del presente edicto para Entre las prevenciones que por órdenes cir…</t>
  </si>
  <si>
    <t>…»s pondréis se imprima, publique y circule.sRubricado de la Real ma- establecerá una escala, en la que las cuotas se aumentarán en raz r- di no.=En Aranjuez á 18 de Mayo de i8n—A D. Felipe de hierra y recta de las utilidades que podrá reportar el interesado, y en inversa Pambiey. de las que podrán resultar é la causa pública por «sta habilitación La dirección formará la escala, estableciendo por ahora ¿1 1 en cu;Circulara del minúterio dt la Go…</t>
  </si>
  <si>
    <t>…de este primer canto tter Malagamba , procedentes de mayores cantidades de los caudales i Para q.;,&gt; detenemos en hablar del méiito de Casti ni de este poema que tomó S. M. el Rey D. Felipe v para la 11 u de Vigo; y habien c .regir , t - en la edad octogenaria con todas las gracias y lozanía de Ja do fallecido dicho agente el año de 1 804 ó principios de i Boj , se hi jii-. 1 rtud i : Qué afiad rian mis elogios á los de todas las naciones que zo…</t>
  </si>
  <si>
    <t>…spondréis se imprima, publique j circule. 3 Está rubricado de bineros ; con el mismo motivo parece qne Caatro, Baena, Adamuz y la Real mano. sEi Palacio á 10 de Julio de i8ia. = A D. Felipe da algún otro pueblo se hallaban tia lápida de la Constitución , aunqua Sierre y Pamblcy. no se atribuye al mal espíritu de sus habitantes: ao asi en Lucen*, TKtSVXAIXS. donde parece que los malos ó eran en mayor número, ó por su osadía Por providencia del Sr…</t>
  </si>
  <si>
    <t>…y dispondréis se imprima, publique y circule.=Rubncado de de venta la colección completa de dicho periódico en 17 tomos encua le Real mano.esEn palacio a ap de Junio de i8ti. = i\ D. Felipe de dernados á la rústica por 360 re. vn. Los números sueltos se venderán Sierra y Pambi.y. como hasta aquí i 5 rs. Lárraga del año de 18aa» ó Prontuario de teología moral conforme El R»y se ha servido dirigirme para su circulación la ley siguiente: i las doct…</t>
  </si>
  <si>
    <t>…j dispondréis se imprima, publique j circule.^Rubricado ta obtita, que tal vez puede llamarse única en su clase, aun comparada de U Real mano.=En Palacio á 10 de Julio de i8ai-=A D. Felipe con la major paite de las extrangeras, 7deseamos ansiosamente que si de Sierra j Pamblej. guiendo el apreciable egemplo del Dr. Zeaorrete te dediquen los sabios facultativos de nuestras provincias á la investigación j análisis de las aguas Don Fernando vrt po…</t>
  </si>
  <si>
    <t>…que se les concede por la y circule. = Fslá rubricado de la Real mano.En palacio á 13 de Ju Constitución , han decr lado lo siguiente: Art. 1.“ Se declaran aplica lio de 1812 = A D. Felipe de burra y Pambiey. dos de hecho á ¡os estab cumiemos literarios prescritos en el reglamen Ayuntamiento constitucional cié Madrid. to general de instrucción pública todos los fondos, acciones y derechos que estaban destinado, á la enseñanza activa ó pasiva ,…</t>
  </si>
  <si>
    <t>…ndadamente conceptúa haberse co y circule.ssRubricado de la Real mano-sEa Palecio i 11 de Julio metido infracciones de ley, 6 algunos hechos distintos que merezcan pe* de 18a a.=A D. Felipe d« Sierra y Pamblcy. na de suspensión ó privación, y no se lupa mabdado formarles causa por las Cortes ni por el Gobierno, ni sean acúsalos por el fiscal ni Loa Seca, diputados sectatarida de lat Cortea han comunicado al de otra persona. Kn u vista jr de lo e…</t>
  </si>
  <si>
    <t>…S- M.exónerancfo i D- Gerónimo Lobo del Despacho permanece en incomunicación en esta bahía, y según e1 p rte de antea de la secretaría de Guerra,y confiándotele interinamente ¿ * D. Felipe di ayer .no existia en ninguna de sus embarcaciones ni un solo enfeimo. de Sierra y Psmbley. (Gaceta dtl zo.) Juicio!, de juradoe. Decreto deS. M- exonerando á-D. Josef María Mostoso de AltsÉn'la corte de Madrid, reunidos los juecei de hecho en turado da mira…</t>
  </si>
  <si>
    <t>…Reales decretos siguientes con f*cha de 5 de este mes. nanza para el régimen , constitución y servicio de la milicia nacional Accediendo á las repetidas instancias que me ha hecho D. Felipe local de la Península é islas adyacentes. Véndese é 3 rs. en al despacho Sierra y Pambley para que le exonere det encargo de secretario de Esta de la imprenta Nacional. do y del Despacho de Hacienda , he v.-mdo en adnvtirle la renuncia Retratos de la col.ccio…</t>
  </si>
  <si>
    <t>…adquirir el dominio por entero admitirá sobre Rubricado de la Real mano.=En Palacio á 31 de Julio de t8aa. = A la finca el canon correspondiente al valor de lo que adquiera en fa D. Felipe de hierra y Pambley. vor de los propios, ó del Crédito público en su caso; pero en el pri mero habrá de asegurarle con hipoteca suficiente. Art. 21. Podrán ex Crrcularn del ministtrio de Hacienda. ceptuarse del reparto las dehesas boyales por el término ¿mpro…</t>
  </si>
  <si>
    <t>…ique y circuí ■. = Fábricas de la Cavada. Está rubricado da la Real mano. = En Palacio fi 10 de Julio de 182a. Para atender fi los gastos y obligaciones de laa fábricas de arti sA D. Felipe de sierra y Pambley. llería de la Cavada 1.136,107 rs. Circular del ministerio de Marina. Capitanes de puerto. » Sin embargo de que en la circular de este ministerio de ia de Para loa sueldos de los individuos de esta clase, sin perjuicio de loa Abril del año…</t>
  </si>
  <si>
    <t>…á mis órdenes son valientes y d.cididas, el adjunto parte que le remite por el conduito del mariscal de campo d crie no anh-lan otro premio á sus afanes que el dar np.-tid.s dias D. Felipe l'e re na el comandante del batallón de SigiLnza D. Luis Bad g or a á la l.b rtad y á la patria.:=D &lt;&gt;j guarde á V. S. mucho» años. cigalupi , en el que manifiesta las circunstancias de la victoria que las Mis de las Matas 4 de Setiembre de i822.=Pedro Antoni…</t>
  </si>
  <si>
    <t>…del Sr.D. Rodrigo Castañon, juez de primera instancia Las pru.bas que intentaron el Abuelo y'Mingo de nada Ies apro da la ciudad da Lorca, se cita y emptaza á los descendientes de D. Felipe vechan , pu:s aquel’arti.u ó que el alcalde de beseña y los Cazorta* de Ortega Espinosa y Blazquez y Doña Isabel de Buendia y Espinosa, «rao sus enemigos» resultando lo contrario de las declaraciones de loa hermanos , primero y segunda llamado* con sus líneas…</t>
  </si>
  <si>
    <t>Feliú</t>
  </si>
  <si>
    <t>…nerlo en noticia d* secretario de la Gobernación en aquella época, habia promovido juicio S. M. y los demás efectos consiguientes.” de conciliación, al que no habia asistido dicho Sr. Feliú; por lo que Asi lo he hecho; y S. M. ha tenido á bien mandar comunique i acudió á varios tribunales-, y habiéndole manifestado que á ellos no V. la anterior resolución de las Cortes para su inteligencia y fines correspondía, suplicaba á las Cortes determinase…</t>
  </si>
  <si>
    <t>Feliu</t>
  </si>
  <si>
    <t>…son ca presentado su dictamen sobre la exposición que había hecho para que se balmente algunas expresiones que he oído en el discurso de ia discu exigiese la responsabilidad al ex ministro Feliu, i causa de no haber sión. Los principios que ayer sentó uno de los Sres. preopinantes, y xcmitido el Gobierno los documentos que se le pidieron; por cuyo mo los que han repetido hoy otros dos ¿res. que tienen el origen mas puro, tivo pedia que las Coitos man…</t>
  </si>
  <si>
    <t>Feliu, Ramón</t>
  </si>
  <si>
    <t>Ramón Feliu</t>
  </si>
  <si>
    <t>…Copons y Na vía, manifestando que con motivo de las expre nuncia. Y habiéndose aprobado esta proposición por las Cortes, de su siones que contra él habia proferido en el Congreso D. Ramón Feliu, acuerdo la trasladamos á V. E. para que se sirva ponerlo en noticia d* secretario de la Gobernación en aquella época, habia promovido juicio S. M. y los demás efectos consiguientes.” de conciliación, al que no habia asistido dicho Sr. Feliú; por lo que Asi l…</t>
  </si>
  <si>
    <t>…de Granada, sobre que se les perdonase el canon que pagaban por los ciones del ayuntamiento de Lucena, y declarasen haber lugar á la for terrenos que cultivaban. mación de causa á D. Ramón Feliu por las órdenes expedidas en este A la de Marina se mandó pasar una representación de varios fabri asunto. cantes de jarcias establecidos en las inmediaciones de B: 1 bao , en qua A la comisión de Legislación se mandó pasar una exposición del pedían se admiti…</t>
  </si>
  <si>
    <t>…tado á ju cio de conc-incion ante el alcalde constitucional al ex-mi- mo de su reconocimiento, al cual »on acreedores, ya que han estado nl'lro de Ja G- b.*rnae;on de la Península D. Ramón Feliu por las ex o.cureCdos por espacio de tres siglos. presiones que &lt;Lji contra el en la S'-ston de 1 j de Diciembre último, En seguida se leyó el dictamen de la comisión antei.or, y se di no acudió a dcho juicio: y habiéndose librad'' por el alcaide constitu jo…</t>
  </si>
  <si>
    <t>…pérdida considerable de muertos y heridos que no puedo ANUNCIOS. circunstanciar, porque empleado en la persecución el resto del dia he Respuesta á un impreso que con el nombre de D. Ramón Feliu, llegado á este pueblo, dos leguas y media delante del campo de batalla. ex-secretario de la Gobernación de la Península, circuló con el Uni n Ei dia «3 del corriente se me reunió en Fraga el batallón de versal contra el informe que dió la comisión de Cortes…</t>
  </si>
  <si>
    <t>…suyo exige el guez de la Vega, D. Vicente Tejeiro, D Josef de Torres , D. Al estado en que he encontrado este pais.=EI tiempo es frió; pero despe berto Arnet, D. Antonio de Marti, D. Ramón Feliu , D. Francisco jado y hermoso, sin embargo de ¡o adelantado de la estacion.=Dios María Guell y D. Josef Busqu.ts, declararon por unanimidad haber guarde i V. E. muchos años. Cuartel general de Tremp i a de No lugar á formación de causa contra el autor de una…</t>
  </si>
  <si>
    <t>Félix</t>
  </si>
  <si>
    <t>…cho que a¡ entrar se Esteves, D. Josef Moreno Montea, D. Josef Armada», D. Diego encuentra á la mano izquierda, y á la derecha había ct¡os adorno, de Mosquera, D. Domingo Sancha , D. Félix de la Riba , D. Jacobo So* menos importancia. El centro lo ocupaba una fi.ura de muger, 1 Ir bregra , D. Ramón Capóles, D. Josef Marín Quiroga , D. Antonio cual los autores de la descripción llaman una hit, que tenia las piernas Rodrigues, D. Vicente Torrea ,…</t>
  </si>
  <si>
    <t>Feliz</t>
  </si>
  <si>
    <t>…recibieron con agrado, y mandaron pasar 4 las comisio tino; y quedó elegido el primeio por 109 votoa , teniendo g el segun nes de División de territorio y Marina una exposición de D. Feliz do y otros 3 el tercero. Cavada, acompañando cinco egemplaret de una descripción de la pro Se eligió en seguida el gefe de la liquidación de la deuda pública; vincia de Santander. para cuyo destino estaban propuestos D. Antonio Eiola, intendente de La comisió…</t>
  </si>
  <si>
    <t>Femando</t>
  </si>
  <si>
    <t>….cs AD. Felipe de Sierra y Pambiey. cio de obligarle á residir donde S. M. determine. 8.° Concedida la tras lación á un refugiado, no podrá percibir su haber en la narra provincia Don Femando m por la gracia de Dios y por la Constitución de sin presentar el cetr del intendente de la anterior de su residencia. 9 ® la Monarquía espafiola , Rey de las Espades, á todos los que Jas pre Lo* gefes políticos t intendentes cesarán en la facultad que se les…</t>
  </si>
  <si>
    <t>…58 la honra de besar su Real mano." Muladares........................ 37* Po$ltObesw«M »9e»oen«oeuo9»oo9 2,065 El Rey ha expedido loa decretos siguteurec Archivo de escrituras pú* D. Femando vir par la gracia de Dios y por la Constitución da bllCaS99.................... y 1,911 la Monarquía espadóla, Rey de las Espadas, 4 todos los que las pro serle» vieren y entendieren , sabed: Que las Cortes han decretado lo et. Vo oficinas dela guiente: Sueld…</t>
  </si>
  <si>
    <t>…o á 11 de Ju iu de i8t).sA IX Diego Clemencic.* do algunos la má,cara, y otros se hayan animado de n.n v i .j es peranza de un triunfo; pero la mayoría di los buenos se abrí mani D. Femando vit por la gric;a de Dios y por la Constitución de !a festado por toda» partes, y las autoridades habr&lt;n sabido cum,-’ r con Monarquía espadóla , R-*y de las E,pañas, a t &gt;dos los que las preve:.ias su deber, según la irm r ó m. ñor urgencia de las c rcunstmc…</t>
  </si>
  <si>
    <t>…la Hacienda nacional de la misma, Pambley. refrendada de su escribano del número D. Jacinto Gaona y Loechtrs, »e ha mandado sacar á pública subasta por término de 30 días , conta Don Femando vupor la gracia de Dios y por la Constitución déla dos desde 15 del corriente, un solar, sito en esta corte en la calle de Monarquía española, Rey de las Espafias, á todos los que las presen S. Dámaso, con «1 núm. 8, en la mam. 71 , tasado en 8izo rs., que te…</t>
  </si>
  <si>
    <t>…e el menor desorden ni disgusto tut base el plac. r que r. bovuba en los El R«y ha expedido si decreto siguiente; •rinbanl.» de todos. H: creído conveniente noticiarlo á V E. para D. Femando vil por la ga.ia de Dios y por la Constitución de la inteligencia de h. M. , y icón» .u ncia de lo que indiqué en mi citado Monarquía españo’a, Rey de las España», á todos los que las pressn- oficia del ao. Dios guarde a V. K. m-cho» ai¡o&gt;. Barcelona .6 de No…</t>
  </si>
  <si>
    <t>Femindo</t>
  </si>
  <si>
    <t>…rán también por delitos públicos, comprendidos en la acción pp B Rey ha expedido el decreto siguiente &lt; pulir para acusarlos, las injuries públicas ♦ libelos infamatorios contra » D. Femindo vit por la gracia de Dio* y por la Constitución di ios funcionarios públicos acckca de su contracta como talca en el egerci la Monarquía española , Rey «le las España], á todos los que fas procio de sus funciones. aentes vieren y entendieren , sabed: Que las…</t>
  </si>
  <si>
    <t>Feo</t>
  </si>
  <si>
    <t>…e o d-rtro •e imprima, publique y c.rcule.=rF.tr rubr cado de Ij Real meses de los do» primero, m se* del sigu ente no podran reclamar su impor So Palacio a so de Ju.10 de itn.= \ D. Feo pe de Sierra y Pambley. te «le la Hacienda púb ica , r usar&gt;n de su trrecSo contra ios que Ha yan causado la demora, según se haüa pr.venido por Real orden «la Don Fernando vn por la graca de Dio» y por la Constitución de la ti de Jun o d - 181 o. Monarquía e…</t>
  </si>
  <si>
    <t>Fép, Bartolomé Onix de</t>
  </si>
  <si>
    <t>Bartolomé Onix de Fép</t>
  </si>
  <si>
    <t>…a «comeadme al Gobierno 4 i»dequc. lo ta» coovenientr. Aprobado. ... . - , olease según es mérito» y paderimieuta* pos al sistema ¿Opinaba que La misma comisioo.eo Je iostancix de D. Bartolomé Onix de Fép debía pasar al Gobierno para qna ¡afcrmate. Aprobado. éobr* que se lltvsi /sfeeso «I acuerdo de la* Corta* anteriores pera qpp La de Haciende, ea vista da la «peeseateeson del cabildo de Sevi pe autoric; al Gobierno é fin de que auxilie con fondo* Ja fabrica…</t>
  </si>
  <si>
    <t>Fer</t>
  </si>
  <si>
    <t>…sus méritos y circunstancias, ua sa á influjo del gen ral Quiroga. que obstase el decreto de 13 de Marzo último. Aprobado. La com.slon de Hacienda, informando sobre la adición del Sr. Fer La misma , en vista de ia solic tud de D. Juan Molino, vecino de rer al dictamen de la misma comisión ya aprobado sobre el cargamen Tarragona, en la cual haciendo presente sus ser*icios, y haber sido una to de cacao pertenrc mf á D. Joaquín Vilialba.y que desemb…</t>
  </si>
  <si>
    <t>…si se ha de imprimir todo, y suspenderse la dis en que se trata de la impresión de este dictamen debo manifestar que cusión hasta que «to te haga, se pasará ant« algún tiempo. El Sr. Fer el Gobierno no se opone i que se imprima, para que las Cortes, la rar ha dicho que se puede imprimir en tres dias; si S. S. lo puede hacer, Nación y toda la Europa se ilustre sobre una materia de tanta conse enhorabuena; el Gobierno no te opondrá; pero «te al…</t>
  </si>
  <si>
    <t>…o de 1397. Al mayorazgo fundado por Doña Ana de Pare mismo, que con &lt;us palabras y su cgemplo nos recomienda tanto el des , viuda del capitán García de Heredia, de que es poseedor D. Fer r- speio y la obed.encia A los Reyes , hace de ellos una pintura (cap. 8, nando María de las Pefiaá, corresponden los juros siguiente*.—Uno de 1 i.Rrg.), que c¡ itamet te no es mas cáustica la de nuestro poeta. 168,730 mrs. de renta en cada un afio, situado e…</t>
  </si>
  <si>
    <t>…ominen Jiménez, D. Sibastian Irnri, D. Jnsff Krlcbs, Don No ve sih - si el gran du jue Constantino tendrá el mando de toda» Josrf Ntiñez, D Jnjqu n Ferrrr . D Juan Diez Valentín , D. Fer las fu-r/ .s &lt;|ii ■ hay en las provi .-..ias fronterizas de Turquía , por h.i!&gt;-r nando Koilr'gu-z ó : .av Ca-as, D. Joaquín Soinnza, D. Isidoro Sar sido r.i.nih 1 lo comandan! - g-n-n! de todas las tropo situadas en Li jas, D. L-r ro G--liza --z, D l&gt;:-ro -\…</t>
  </si>
  <si>
    <t>Fer, Clemente</t>
  </si>
  <si>
    <t>Clemente Fer</t>
  </si>
  <si>
    <t>…por tu congrua. Las Cortes la recibieron con particular agrado. cen solo dos provincias en la isla de Cuba, á S. S. le tocaba probu Igual resolución recayó sobre una exposición de D. Clemente Fer que estos decretos están delegados, citando el ú:timo por el que se hanandez Otea , por la que cedía en beneficio de la Nación la cantidad de ya establecido dicha provincia. Solo se ha dicho pare probar su exii*3S? rs. y ji rara, i que ascendían los tres docu…</t>
  </si>
  <si>
    <t>Fer, Felipe</t>
  </si>
  <si>
    <t>Felipe Fer</t>
  </si>
  <si>
    <t>…preopinante merecían ocupar la buenos ó malos servicios. atenq on dél Congreso; y que si la merecían debía entrarse en esta dis Las Cortes quedaron enteradas de una exposición de D. Felipe Fer cusión dé upa manera mas auténtica y mas formal; para lo cual era ne mín Paul y D. Demetrio O-Dali, individuos de la última diputación cesario que el secretario de la Gobernación de la Península, ó aquel i permanente, dando gracias á las Cortes por su resoluc…</t>
  </si>
  <si>
    <t>Fer, Francisco</t>
  </si>
  <si>
    <t>Francisco Fer</t>
  </si>
  <si>
    <t>…pondréis sí imprima, publique y circule.=Está rubricado de la Real otros, y del mismo modo la medida de los que tengan poca talla, y mano.=En Pa acio a 3 de Noviembre de ittzz.xsA D. Francisco Fer cualquiera otra actuación necesaria para justificar lat excepciones, que nandez Gaseo.” solo se podrán alegar después de haber locado ia tuerte de soldado. 14 El piazo de tres dias concedido para oir las excepciones se contará Se halla vacante la primera judi…</t>
  </si>
  <si>
    <t>Fer, Josef García</t>
  </si>
  <si>
    <t>Josef García Fer</t>
  </si>
  <si>
    <t>…tivo á las solicitudes de los ayuntamientos constituciona Justicia. les de Tauste y Cabañales, en Aragón, para que se les indemnice de El de la misma , relativo á la exposición de D. Josef García Fer algunas cantidades que han invertido en la obra del canal, y pidiendo nandez, teniente coronel retirado, en solicitud de permuta de afio» de se les expida las certificaciones de crédito. La comisión opinaba que se accediese i estas solicitudes. estud -os para…</t>
  </si>
  <si>
    <t>Fer, Juan</t>
  </si>
  <si>
    <t>Juan Fer</t>
  </si>
  <si>
    <t>…scrito, 7 estaba compuesto de loé Sres. siguientes: O. Fran pam denunciar ante la ley tas iafraccioaas qaa cootm ella se cometu, cisco López Obramela, D. Benito Ortega Romanillos, D. Juan Fer quedando reapooaablca taba resaltas dd juicio. Madrid ro «la Abril' nandez Casariego ,-D. Andrea AlcouD. Josef Antonio Ponsoa, de «8*a^sCayctaao Valdrá, pre»identc-=Juan Oliver y Oaicta, dipo- D- Nicolás Alonso , D. Antonio R«gm, P. Martin Miguel de Goicoetrd…</t>
  </si>
  <si>
    <t>…dor D. Juan Cabello Veredas, declarándose no haber luzar á votar Di Real orden lo comunico » V. para su inteligencia v cumpli sobre la segunda, relativa á ia formación de causa al alcalde Juan Fer miento , dando al mismo fin cuantas fueren necesarias. Pa.ac c 30 de nandez de la Cámara. Abril de 18 a a. Las Cortes quedaron enteradas de dos oficio» del Sr. secretario de Circulares Je! ministerio de ¡a Gobernación de la Pem-.sula. Hacienda con los que rem…</t>
  </si>
  <si>
    <t>…njurioso á dicho señor; se reunió el jurado, compu sto pnciso detenerme porque se adelantaba la noche, y porque la tropa es de los señores siguientes: D. Manuel García del Barrio, D. Juan Fer taba extraordinariamente fatigada, y había acaba lo ya todas sus municio. nandez Casariego, D. Antonio R ‘g*¿ , p. Miguel Polz, D. Josrf Ma n-s : de-piies de concluida esta acción, que duró mas de tres horas, lla ría de Larnategui, D. Joaquín Lumbreras. O. Ju…</t>
  </si>
  <si>
    <t>Fer, Manuel</t>
  </si>
  <si>
    <t>Manuel Fer</t>
  </si>
  <si>
    <t>…Cuarta. Subteniente D. Pedro Gortez de Velasco fue herido lle correspondido por mis tropas con el mayor denuedo y bizarría, su vando la bandera en la mano que la asía. Milicianos, D. Manuel Fer friendo dos fuertes carga*, dé las que fueron rechazados hasta venir á nandez de los Ríos, herido. D. Nicolás Jofre de Villegas;, contuso: cargar á la bayoneta; pero esta obstinación fue Vigorosamente repelida Total z muertos, ja heridos y 3 contusos: por una…</t>
  </si>
  <si>
    <t>Fer, Pablo</t>
  </si>
  <si>
    <t>Pablo Fer</t>
  </si>
  <si>
    <t>…estar señalado el día 14 del corriente y siguientes á las nueva contribuido á romper sus cadena», debían asegurarse los premios conce de la mañana para la vista de la causa del ex-diputado D. Pablo Fer didos; y para que esto tuviese electo había sido de opinión que este nandez de Castro , presbítero, uno de ¡os 69 que firmaron la exposición asunto pasase á la comisión de V isita del Crédito público , para que al Rey en 14 de Abril de 1814. Las Cortes quedar…</t>
  </si>
  <si>
    <t>Fer-.r</t>
  </si>
  <si>
    <t>…a á los ¿c( s políticos , no puedo aglobar el aiticuio. be ¿¿ciara * ts c u¡i-u s..á.te:.;, r.te »-.¡ .u;Js. El Sr. -saiiufe-. hl ir. prrop nantc t.a asegurado que de la aproba Ki Sr. Fer-.r ( ¡&gt;. Jj.i.u n ; pregonó ai la c-'ni», n aimóís la ción de este articulo resil lar, un ataque direcio á la bbert.d de los adición de qu: se tí.es: corma a u&gt; L.::¡.¡.-.u m.-n:: .i .0 que ciudadano. , que se ca. n.ir.. al mócenle ds crim nal como al conspi con…</t>
  </si>
  <si>
    <t>Ferahnidó</t>
  </si>
  <si>
    <t>…ta con tinuada en el periódico el Indicador Catatan del martes 16 de Marzo ■ El Rey be expedido al decreto siguientes próximo pasado, número 71, denunciada por D. Ramón de Coruja, Don Ferahnidó vn por la gracia de Dios y por la Constitución de apoderado de los alcaldes constitucionales y ayuntamiento de la ciudad la Monarquía espadóla, Rey dé las Espafías, a todos los que tas pre de Lérida , declaran á unanimidad que no ha lugar á la formación de se…</t>
  </si>
  <si>
    <t>Ferand, Francisco G</t>
  </si>
  <si>
    <t>Francisco G Ferand</t>
  </si>
  <si>
    <t>…onsta du y figuras de esta lengua, con un v.icabu'ario alfabético m rcantit 9tt. 80 lanill as: á ido nidias mas alia está Gretn Bay, donde te hallan tfo: y frases idiomíticis. por D. Francisco G Ferand, catedrático de len en la Prnir t-des Ch'em (1 800 millas drl Estrecho') 120 familias. A gua inglesa. Se hallará en la I brerfa de Paz. ias or II &gt;s del r o de S. Jos-f, que desagua en el lago Michtgban, hay Los futldam ntos de la jur.sprudencia natural: obra…</t>
  </si>
  <si>
    <t>Feriaz, Iranci-.ro</t>
  </si>
  <si>
    <t>Iranci-.ro Feriaz</t>
  </si>
  <si>
    <t>…nistración militar. cuyo empleo d-.-s mp-fm interinamente el brigadier D. Santiago VVall, Para los sueldos y gastos de la administración militar 8.191,37a rs. al mariscal de campo D. Iranci-.ro Feriaz. y 6 mrs. .Tu icio de jurados. Milicia activa. Fn la ciudaá de Tarragona, r-unidos los jueces de hecho, declara Para los sueldos y gastos de ia inspección general de milicias, sub- ron haber ¡upar á formación de ¡ .ni ra contra 11 autor del articulo co inspec…</t>
  </si>
  <si>
    <t>Fericr</t>
  </si>
  <si>
    <t>…1 jQ rs. ar.iia.;»." Apn-lWo. Los Sres. Canga y Adan pres-ntaron su voto parFcuiar reconociendo Art. 31» «Cuando a.cíe:.dan á tenientes coroneles-n ’os m’ -no* que la ad c on del Sr. Fericr (O. Joaquín) .ra contraria ai tratado aprce cuerpis c ns'rvur n su misma giaduacion , con el sue.du da 11,jo» bado por las Cortes; y que por lo mismo no debían «tn acceder a el a. reales " A proba !o. Igualmente presentó su votopart cuiar el Sr. J.n.'n z mani…</t>
  </si>
  <si>
    <t>Fermín</t>
  </si>
  <si>
    <t>…plaza de regente de la audiencia territorial de Galicia, va Granada , sentado 4 pliegos St en cabeza de D. Miguel de Paz, de cante por fallecimiento de D. Josef Marta Cabañero, 4 D. Fermín 2279 mrs__ Otro sobre 89 soldados de Granada sentado 4 pliego i.', en Gil de Linares. cabeza de D. Francisco María Vellón , de 43 3,868 mrs__ Otros dos so Asimismo ha tenido 4 bien nombrar S. M. para plazas de magistra bre 89 soldados de Toledo 4 pliegos 7, e…</t>
  </si>
  <si>
    <t>…arán disfrutando 1 ao3 r*. líquidos sin des damaciones. cuento alguno. ANUNCIOS. б. ° También se exceptúan de la rebaja los sueldos de los ministros, Se desea saber el paradero de D. Fermín de la Perruchena y O'aencargados de negocios, cónsules y agentes diplomáticos de la Nación varri, administrador general de salinas en comisión en ia Mancha por en los países extrangeros, abonándoseles sin descuento loa haberes que lo* años 804 poco mas ó meno…</t>
  </si>
  <si>
    <t>…de la Vega Campuzano, teniente agre infantería jr del batallón de le milicia activa de Oviedo, con 450 rea gado al regimiento infantería dei R-ey, con 570 rs. les a' mrs. Soria á D. Fermín de líucsso , teniente del regimiento infantería de Kcíj 1 á D. Eleuterío Rodríguez Izquierdo, teniente del regimiento Guadalajara , con 570 rs. infantería nmemor al del Rey, con 570 rs. Segorve al capitán D. Andrés Rodrigo, teniente del regimiento in Feiro' a…</t>
  </si>
  <si>
    <t>…los provinciales y voluntarios; por cuya razón regre ínteres que mueve á los que os seducen y comprometen , pues estos, y só al da siguiente con eilos i esta, quedándose el mayor D. Fermín no otros, son los verdaderos intereses de la patria, y los cuales con su li Inarte con sus acó hombres de Valencci para recorrer la comarca de bertad é independencia formarán el patrimonio de vuestros hijos, único Crstona, Beizama y demas pmb'.os, donde era p…</t>
  </si>
  <si>
    <t>Fernade</t>
  </si>
  <si>
    <t>…o j&gt;acts&gt; icKt.:!. p;ecurto i\.. n !os .cexpuestos á mil contingencias, y reducidos á la mayor miseila. gitimos representarte^ Je este p-.rr•!.*&gt; Lo d,'wiararc&gt;r. u a¿Sr»'on .1 El Sr. Fernade, l’ríbeiro snsiu.o qu; el l’oriujnl había tenido siem nuestro si5tí:na y * i :r;fc ..j-a a- rjín*:-l: : ’o ' Lo S- J¡fSte pre el derecho ( generalm:nte reconocido ) da pos..ion y de primera \ &gt; fj» v..i!'jr.ur’o! Lo viudo aun mas, poique r.urstrsi ixuoab.i po…</t>
  </si>
  <si>
    <t>Fernan</t>
  </si>
  <si>
    <t>…do procedido las Cortes á la renovación de su presidente, La de Instrucción pública en la exposición del gefe político y di vice-presidente y secretario mas antiguo, que lo era el Sr. D. Fernan putación provincial de Catalufia, con la consulta que acompañaba del do Infante , han sido elegidos para presidente el Sr. D. Cayetano Val consejo de Estado sobre el modo de egercer los jueces de hecho sus dés, diputado por la provincia de Sevilla; para rica-…</t>
  </si>
  <si>
    <t>…icia se ha contentado con cnmplir la* fun tro número anterior. ciones que se le demarcan en el reglamento, y con auxiliar á la be De Vitoria escribían lo siguiente) »Parece que el coronel Fernan nemérita guarnición de esta plaza, no puede au ardor patriótico su dez ( Doa Pelos ) sorprendió i Lanzarote en la ermita de S. Gregorio, jetarse á estos límite* en lo* momentos que ha estallado en la* inme donde todos adiaron á correr tirando las armas , y qu…</t>
  </si>
  <si>
    <t>…dia de la tarde ha entrado la brillante columna qua con los del bloqueo , los de Berga y de Puigcerdá , y en dicho punto salió d: esta capital al mando del dignísimo gefe político D. Fernan permanece hoy dia de la fecha (ti). do Butrón eutre mil aplausos y aclamaciones , que sin duda fueran pa El sefior ge fe superior político de la provincia con fecha de 16 del ra estos patriotas la mejor recompensa de las penalidades que han habi presente mes…</t>
  </si>
  <si>
    <t>Fernan, Angel</t>
  </si>
  <si>
    <t>Angel Fernan</t>
  </si>
  <si>
    <t>…smas, las cuales se hallan^ libres Caballería de línea............. *043 Madrid.. ldem ligera........................ 383 L 5.8-f»- de todo gravamen y carga , acuda al juzgado del Sr. D. Angel Fernan dez di los Kios, ministro honorario de la audiencia territorial de Cas I Artillería i pie................. 638 tilla la Vieja , juez de primera instancia en esta capital, por la escri banía de número de D. Tomas de Sancha jr Prado , donde se adm.ti- Í Idem é…</t>
  </si>
  <si>
    <t>Fernan, Domingo</t>
  </si>
  <si>
    <t>Domingo Fernan</t>
  </si>
  <si>
    <t>…y cual , D. Josef Demetrio Rodríguez, D. Santiago Delgado, D. Fran lo segundo porque consideran cita máxima perjudicial de la interven' cisco Martínez Marina, D. Andrés Navarro , D. Domingo Fernan cion como un principio contrario á la paz de las ilaciones. dez Angulo y D. Francisco Colombo. Habida la conferencia , resultó por unanimidad haber lugar i la for ARTICULO DE OFICIO. mación de causa. VARIEDADES. Circular Ael ministerio Ae Hacienda. eSIMEXA PA…</t>
  </si>
  <si>
    <t>Fernan, Juan</t>
  </si>
  <si>
    <t>Juan Fernan</t>
  </si>
  <si>
    <t>…tán Mendivil, la injerte del Cjbaüo de D. Florencio Pu cio de los ult'.u 1 Ls gloria y prosperidad que promete 4 la Nación es che, cadete del Príncipe, y haber »a!ido h:rido el d: D. Juan Fernan pañola tu fttema liberal son paracllotstn tormento mas cruel que el dez de Bazan , que 4 mi inme-fiscion s gue al ejército en clase de aven de Tántalo. ¡Insensatos! ;Quen perdería mas, la Francia ó la España si turera. Lo que comunico a V E. , a fin de que te…</t>
  </si>
  <si>
    <t>Fernanda, Manuel</t>
  </si>
  <si>
    <t>Manuel Fernanda</t>
  </si>
  <si>
    <t>…a nacional. sante plaza de Cardona. A este fin dividí las tropas en dos columnas, Entro por la Mamada, siguió por la calle Nueva á la plaza de la Cons mandadas la pr i meta por el coronel D. Manuel Fernanda, coman titución , -stando las ventanas y balconea vistosamente adornados. En dante del referido batallón de Córdoba , y Ja inunda por el tmimte la m-ncionada plaza arengó al pueblo, el cual lleno de júbilo no cecoronel D. Pablo Viver, que lo es de Canarias; y…</t>
  </si>
  <si>
    <t>Fernandec, Angel</t>
  </si>
  <si>
    <t>Angel Fernandec</t>
  </si>
  <si>
    <t>…ciembre. el de 39,595 de58; una con el de 39,598 de 2572 rs. 18 mrs.: dos id. TarauNAins. en favor de D. AlbertoForaster,señaladas con los núms. 896: de 29,645 Por providencie del Sr. D. Angel Fernandec de los Ríos, magis rs. 5 mis. y núm. 1076, su vaor 1.11,353 rs. 20 mrs.; y otra id. proce trado honorario de la audiencia da Castilla la Viaja, juez de primera dente de vitalicio en favor de Doña Isabel Martínez, señalada con el instancia y de la hacienda púb…</t>
  </si>
  <si>
    <t>Fernandez</t>
  </si>
  <si>
    <t>…currido poste 3 de Marzo. riormente. Asimismo se pasó i dicha comisión la que se leyó en la expresada El Sr. Seoane: Cuando llegamos á palacio y manifestó este patriota sesión del Sr. Fernandez, acerca de la moneda. lo que hab.a sucedido si dieron las disposiciones convenientes para que No se admitieron á discusión las del Sr. González Alonso leída se acudiese al sitio donde decia. El Gobierno ha asegurado que dará las en la sesión del 3 del corrien…</t>
  </si>
  <si>
    <t>…lde del Pi necesario hacer mérito de su solicitud de parlamento , y de la valentía noso, que con Sus avisos y su cooperación ha auxiliado para .a destruc con que salió á oirtos el sargento Fernandez de la misma partida y re ción de los facciosos. I.a compañía de milicia nacional voluntaria áé gimiento de Cataluña. Jaime y su hermano se adelantaron para recibir Elche se ha distinguido particularmente, siguiendo infatigable ¡as mar le, y suponiendo en él l…</t>
  </si>
  <si>
    <t>…njusta y desastrada dangoz con pérdida de seis muerta , un prisionero y 10» disperso*. cuyas consecuencias serian de tanta trascendencia ? ¡ quien no ve que la Ei 14 sorprendió el coronel Fernandez, en Muniaín de Sa'-na», á guerra de Espada trastornaría tal ve* la Europa, y qu: sus resultados otros 100 facciosa que estaban haciendo gente, y con 80 hcznbrc* de serian muy diferentes de los que esperan sus imprudentes provocadores! Toledo y 16 caballa de B…</t>
  </si>
  <si>
    <t>…vienen á vender los iaccion de poner conocimiento de V.H., recomendando como debo esquilmos de sus cosechar é industria doméstica a las capitales y pueblos. el mérito del indicado coronel Fernandez y valiente tropa de su man Segunda id. Ropavejeros, vendedores de fierro viejo y libros usa do. Dios gusrde á V. E. mochos altos. Vitoria tp de Julio de tOii.s dos , todos de menor cuantía. Miguel López de Bafioe-stExcmo. Sr. secretario del Despacho de la Ter…</t>
  </si>
  <si>
    <t>…ruebas de la franca y liberal conducta que he no tuvimos pérdida alguna. El día inmediato 13 mandé á Manreta observado desde que con diverso* nombres tengo el honor de estar al al coronel Fernandez con su batallón, Soria y Vich á traer el convoy, frente de los negocios públicos. En la noche anterior se habrá notado para lo cual formé escalones con los miqueletes de Btrga , San Pedor algún movimiento, y traslucidme á esta hora las providencias que dic Ca…</t>
  </si>
  <si>
    <t>…ie, ann. a . -. .miad.mt: del resguirda de Alava, bus mojor le parezca, no solo á los gefes.smo también á los oficíale» dei egér vimient .s iu r&lt; n r&gt;p dos: ia misma noche que el coronel Fernandez cito. De otra manera sucedería que el egército no tendría aquel nub e entro con su c . un.na en Logroño, !a de lo. faeno &gt;. con t2 h .mentusiasmo que debe tener ; y esa juventud brosa, esos gefes y tfi.ia- bre» ds lu rza -mar-cui en tas inmedivc.or.es de i.st…</t>
  </si>
  <si>
    <t>…con escándalo la rui fueron rechazadas con perdida de algunos heridos.__El atroz atentado na de la nación, porque si se dejase progresar una revolución , seria cometido contra el coronel Fernandez y sus oficiales y tropa ha irrita^ muy di6cil remediar después los daños que ocasi- naria.” Aquí están do tanto á la guarnición y patriotas de Pamplona , que se preparaba un contestados todos loa argumentos que se han expuesto: téngase presen dia horrendo con…</t>
  </si>
  <si>
    <t>…o sucedió con los voluntario* de Brillas , con los de Ochan— ha venido un enviado del barón da Eróles á pedir dinero. Es fácil de diano, y se ha visto últimamente con el malogrado coronel Fernandez concebir en efecto el estado de penuria en que se encuentra el egércita y tu valiente tropa; los defensores de la Constitución, como quienes de la regencia. Se halla encerrado en un territorio que ha devastado con defienden eo ella la religión verdadera, desp…</t>
  </si>
  <si>
    <t>…egocio es uno de los A los hechos! ¡Merecen los facciosos estas consideraciones! ¡Las han mas difíciles que pueden presentarse a la deliberación de las Cortes: loa guardado con el coronel Fernandez, con Tabuenca y otros que han mismos señores que han ¡labiado, ya en pro, ya rn contra , lo confie caído en sus manos en virtud de capitulaciones ! Pues ye creo que aun san asi, y en i-fcuo lo es en mi concepto', según las circunstancias de guiándonos por los…</t>
  </si>
  <si>
    <t>Fernandez', Angel</t>
  </si>
  <si>
    <t>Angel Fernandez'</t>
  </si>
  <si>
    <t>…NCIOS. en consideración este asunto, crio que deben aprobar el dictamen de le En el juzgado de primera instancia y de la hacienda pública de eua comisión. ' eapital, del cargo del Sr. D. Angel Fernandez' de los Ríos, magistra Se preguntó ti se prorogaria por una hora mas la sesión, y se acor do honorario de la audiencia de Castilla la Vieja, y esct.batiíá dei núdó por la negativa. mero de D. Jacinto Gaona y Loaches , se ha denunciado como mostren Se leyó un o…</t>
  </si>
  <si>
    <t>Fernandez, Andrés</t>
  </si>
  <si>
    <t>Andrés Fernandez</t>
  </si>
  <si>
    <t>…s. Se mandó pasar 4 la co nisiDiscia ni siAoi alava. misión especial que entiende de este negocio. La comisión segunda de Hacienda, informando sobra la exposición Sesión del y. de D. Andrés Fernandez, procurador del partido de Sar, en Galicia, Se leyó y aprobó el acta de la anterior. que hace observaciones sobre el origen del priorato da este nombre, y Se leyó asimismo un oficio del Sr. secretario de la Gobernación de pide se suprima aquella colegiata, ag…</t>
  </si>
  <si>
    <t>Fernandez, Angel</t>
  </si>
  <si>
    <t>Angel Fernandez</t>
  </si>
  <si>
    <t>…ares y eclesiásticas, joras del cuarto, diezmo y medio diezmo con arreglo á lo determinado de cualquiera clase y dignidad , que guarden y hagan guardar, cumplir por laa Cortes, el Sr. D. Angel Fernandez de los Rio*, juez de pri y egecutar el presente decreto en todas sus partes. Tendreislo entendido mera instancia «le esta M. H. villa, por su providencia de este día, re rs su cumplimiento, y dispondréis se imprima, publique y circule, zs frendada de su escri…</t>
  </si>
  <si>
    <t>…la por termino perentorio para pedó csqela y do el segundo edicto, comparezcan á dicho juagado,que hoy despacha admitir documentos el dia ajdel citado'mes; adviniéndose que con •1 Sr. D. Angel Fernandez de los Ríes, juez de primera instancia tn qrreglpj^l artículo 10 dé la nueva R&lt;-al cédula de 11 de Julio de 1803, asta eapitil; y de los negocios contencioso» de la Hacienda pública, y ninpuji* v^vcai, por muchas acción -s qué tenga', ó poderes qué re Uña en…</t>
  </si>
  <si>
    <t>…es condiciones. Se rematarán las expresadas fincas bajo lis circunstan moneda para hacer d reconocimiento de lo» numerados desde el 48a i cias que se barán saber en el juzgado del Sr. D. Angel Fernandez de al illtfi, ambos induaive. los Ríos, |*or 1» escribanía de número «le D. Tomas de Sancha 7 Pia rlo , 7 en el término de 30 dias, contados desde el en que se publique . VARIEDADES. este aviso. Continúa tt artículo At ukUmytr. mota. En te gaceta «leí 6 del c…</t>
  </si>
  <si>
    <t>…as bases orgánicas, cuyas reglas, asi co mo las demas prescritas por el mismo arancel general y decreto» relati vos, debtrín observarse ta todo cuanto no esté expresamente variado Don Angel Fernandez de los Ríos, magistrado honorario de la audiencia territorial de Castilla la Nueva, juez de primera instancia y en c! presente decreto. ó prevenido los casos •&gt; En en que se extraigan de las islas Canarias pa de la hacienda pública en esta capital. Por el pre…</t>
  </si>
  <si>
    <t>…a ello por ei del Dr. D. Josef María Veiadiez, vecino de »ti corta , en junta general art- t.° del cap. g.° de la instrucción de ag de Junio de i8tg, que en que celebraren ante el Sr. D. Angel Fernandez de lo. Ríos, juez en caso de inobediencia repetida ordene la formación de causa, sin desis primera instancia de esta M. ti. villa, el día 7 del c. mente, te han tir por eso del apremio pecuniario, p que dicte cuantas pro videncias mandado sacar a pública suba…</t>
  </si>
  <si>
    <t>…tos p Mestre. salud pública está al cargo de los apuntamientos; si se necesita que ANUNCIOS. continúe el proto-medicato, que puede excusarte muy bien, y descar Por providencia del Sr. D. Angel Fernandez de lo* Rio*, magis gar al Estado de tan inútil gravúmcn, todo lo mas 4 que pueden exten trado honorario de la audiencia de Castilla la Vieja, p juez letrado en derse sus atribuciones ser4 i los actos de los ex4menes, que no se han primera instancia de esta vi…</t>
  </si>
  <si>
    <t>…haya cumplido el decreto de las Fn el juzgado de Hacienda pública de esta provincia de Madrid, que Cortes extraordinarias de &gt;é de Abril de 1811, para que se mande despacha el br. D. Angel Fernandez de los Ríos, ministro togado, ho erigir un monumento en esta villa para memoria de su heroico patrio norario de la audiencia territorial de Castilla la Vieja, juez de primen tismo, y que en su consecuencia se sirvan las mismas acordar los me instancia de esta…</t>
  </si>
  <si>
    <t>…an lo* números ¿ids el tan al aaag, —d— » Si- MM. y A A. continúan sin novedad en tu importante nlwL* inclusive. ANUNCIOS. El Rry ha expedido el decreto liguicnte t Por adicto dal Sr. D. Angel Fernandez da los Ríos, ministro to» Exigiendo el ¡mpoitante encargo que egercets loa gefes políticos honorario de la audiencia t rrtorial da Castilla la Nueva, y juta de las provincias qu- tu autoridad te dé á conocer desde luego en cual £doprimera instancia da asta M.…</t>
  </si>
  <si>
    <t>…5 .31 ANUNCIOS. de dominicos, que por lo general están avenidos con el médico de este villa , y acostumbran á pagarle seis ó mas cargas de grano. Se celebra en Por providencia del Sr. D. Angel Fernandez de loa Ríos, juez de la misma un mercado todos los sábados de cada semana, y los comesti primera instancia de esta M H. villa, y á petición de la junta de inte bles están á precios muy equitativos. Los profesores que aspiren i dicha resados en la herencia del…</t>
  </si>
  <si>
    <t>…o que debían declarar si había ó no lugar á Por el juzgado de primera instancia y de la hacienda pública del la formación de causa, y salieron los Sres. siguientes: EX Joaquín Ce- Sr. D. Angel Fernandez de los Ríos, magistrado honorario de la au valles ,conde de Florida-Blanca, D. Pedro Matute, D. Josef Antonio diencia de Castilla la Vieja, y escribanía del número de esta M. H. Ponzoa , D. Josef Radon, D- Andrés Moya Lnzuriaga, D. Bernardo villa de D. Jacint…</t>
  </si>
  <si>
    <t>…i recho á ua solar , sito en esta corte, calle de S. Dámaso,. sin número, putaciones provinciales sobre la reunión del pueblo de Yebcnes (en de la manz. 71 , acudan al juzgado del Sr. D. Angel Fernandez de los la provinca de Toledo) á la villa del mismo nombre. Ríos , juez de primera instancia de esta villa, por el conducto de la es Se aprobó el dictamen de la comisión de Hacienda , relativ.o ¿ que cribanía del número de D. Jacinto Gaona y Loeches, á deducir…</t>
  </si>
  <si>
    <t>…casa nacional de moneda de Fuente, actual poseedora, puede disponer de ellos como tales. diez á dos de la tarde á los sugetos que hayan presentado medios luisea Por el juzgado del Sr. D. Angel Fernandez de los Ríos, juez de para el resello , y tengan los billetes desde el número 117$ al 1 *94, primera instancia y de los negocio* contenciosos de la hacienda públíambos inclusive. ca de esta capital, y escribanía del número de D. Feliciano del Corral, También s…</t>
  </si>
  <si>
    <t>…o haber lu gar á votar sobre la primera parte del dictamen , habiéndose aprobado ANUNCIOS. la segunda , que empieza siendo por último de dictamen la comisión que En el juzgado del Sr. D. Angel Fernandez de los Ríos, magistrado para la entrada á los juzgados frc. honorario, juez de primera instancia y de la hacienda públ.ca, y.escriba El Sr. Salva manifestó , que se preguntara si volvería á la comisión nía del número de D. Cristóbal de Vicuña , se siguen auto…</t>
  </si>
  <si>
    <t>…ncicn inmediatamente, esto no ANUNCIOS. •e podría hacer aprobándose la propos.cion de que se trataba, medíante i que tendrían que resolver las Cortes sobre la diferencia que se en D. Angel Fernandez de los Ríos, ministro togado «le la audiencia contrase entre cualquiera de los artículos de los dos egemplares citados. territorial de Castilla la Nueva , juez de primera instancia y de la auEl Sr. Belda dijo que desearía saber de qué original se habían sa «t…</t>
  </si>
  <si>
    <t>…s. Circular del ministerio sobre el abono del doble tiempo de cam pada á los oficiales que han sufrido juicio de purificación. (Gaceta del ANUNCIOS. jS dt id.) Por providencia del Sr. D. Angel Fernandez de los Ríos , magistral Circular del ministerio sobre los militares procedentes de Ultra do honorario de la audiencia de Castilla la Vieja, y juez letrado en pri mar. (Gaceta de! 29 de id.) mera instancia de esta M. H. villa , refrendada por su escribano del…</t>
  </si>
  <si>
    <t>…echarle sino i su mismo po para que inmediatamente tome las mas enérgicas disposiciones, i fin de seedor. que te lleve i efecto lo mandado en la citada circular de ao de Setiem El Sr. D. Angel Fernandez de los Ríos , ministro togado, juez de bre, exigiéndose la responsabilidad á las autoridades encargadas de tu primera instancia de esta M. H. villa , ba señalado para el remate «le egecucion, que se hayan olvidado de tu deber. un solar, sito en esta corte, ca…</t>
  </si>
  <si>
    <t>…la librería de Cruz. han M.llan, D. Jo,ef Gómez Albacete, D. Julián de Fuent.s, Dea ANUNCIOS. Francisco Martínez Marina, D. Gonzalo Cárdenas y D. Matías Pini- Por providencia del Sr. D. Angel Fernandez de los Ríos , juez le. 11a, se tuvn la conferencia, y resultó haber lugar 4 la formación de trado de primera instancia de esta Ad. il. villa, y escríbame del nú causa por siete votos, habiendo votado no haber lugar el Sr. D. Marco* mero de D. Jacinto Gaona y…</t>
  </si>
  <si>
    <t>…es directas. Dice ta comisión en la explicación de la cuarta base del proyecto, ANUNCIOS. que la fuerza de la milicia garantiza tanto la conservación del orden, Por el juzgado dei Sr. D. Angel Fernandez de los Ríos, magistra como refrena los abusos del poder : y poniéndose por la segunda base do honorario de la audiencia de Castilla la Vieja, juez d - pr mera ins eata fuerza 4 cargo de los ayui.Umiemos, ciato et que se les da un po tancia y de la Hacienda pú…</t>
  </si>
  <si>
    <t>…ia d: D os y por la Constitución de igual perjuicio que si se presentirá. la Monarquía española, Rey de las España?, á todos los que las pre Por edicto que ha manean., publicar el Sr. D. Angel Fernandez da sentes vurn y entendieren , sabed: Que las Cortes han d. cretado lo los Ríos, juez &lt;h primera instare.a y de la hacienda p blica ce esta siguí rt-.-: •» Las Cortes, u-.ardo de la facu ud que se Rs concede pnr cap tal , se i ama á lo» dueños de una casa-cor…</t>
  </si>
  <si>
    <t>…ido de Coites. aus partes. Tendreislo entendido para su cumplimiento, y dispondréis TRIBUNATFS. •e imprima, publique y circule.=Está rubricado de la Real manóos Por el juzgado del Sr. D. Angel Fernandez de los Ríos, magistra En Palacio 4 8 de Julio de 1812.=A D. Felipe de Sierra y Pambley. do honor-rio de la audiencia de Castilla la Vieja, juez de primera ins Circular del ministerio dt la Gobernación de la Península. tancia y de la Hacienda pública de esta c…</t>
  </si>
  <si>
    <t>…contiuuará.j Andrés M ya Luzunaga , L). Antcnio Puibianch , ID. Jostí Demetrio laiBCNAl BS. Rodríguez. Habida ia conferencia resultó por unamiuidad habír lugar Fot providencia del Sr. D. Angel Fernandez da los Ríos, juar da é ia formación dt cauta. primera instancia de esta villa de Madrid, su fecha 9 del corriente, sa VARIEDADES. Cita, 1 ama y emplaza a ID. Juan Ejnvt, para que en el lérintuo de 10 Reflexiona tobre ia tJutacion Jel rutilo. dias precisos acu…</t>
  </si>
  <si>
    <t>…y dignidad, que guarden y hagan guardar, cumplir y cgecutar el presenta decreto ntusAtn. en todas sus partes. Tendreislo entendido para tu cumplimiento , y dis Por providencia del Sr. D. Angel Fernandez de los Ríos , magis pondréis sa imprima, publique y circule. :=Rubricado de la Real ma trado honorario de la audiencia de Castilla la Vieja, y juez letrado de no. = En palacio á apde Junio de 181a. = A D. Felipe da Sierra y primera instancia d« esta villa y d…</t>
  </si>
  <si>
    <t>…cuencia la ley absolvió i D- Ramón Fornico responsable de dicho que van á visitarlos, sea la que fuere tu dase. Los persas no tienen re impreso; y el Sr. juez de primera instancia D. Angel Fernandez de los paro (y aun lo hacen con gusto) en discutir los diferentes puntos de su Rio* mandó se le alzase la fianza, declarando al mismo tiempo que creencia; y esto para ellos es una materia inagotable de conversación , al este procedimiento no debía perjudicarl…</t>
  </si>
  <si>
    <t>…ante; sino que ciñéndolo á lo puramente preciso, le peca, sin mas llamarle ni emplazarle. pu,o una cabecilla sin orejas al cabo de un pescuezo largo y descarna Por providencia del Sr. D. Angel Fernandez de los Ríos, juez to do. A sus piernas y á sus ancas les quitó todo músculo inútil para el gado de primera instancia de esta villa , su fecha 23 de Setiembre cormovimiento, y en fin solo dió á su flaco cuerpo los vasos y tendones viente, se manda citar nuevam…</t>
  </si>
  <si>
    <t>…l de 1811 , introdujo so para su secundo remate el 18 del corriente de doce á una de su mañana licitud rl reo D. Miguel Legarra para que se le declarase comprendi en la posada del Sr. D. Angel Fernandez de los Ríos, juez de prime do en el indulto que concedía el art. 1 .* del decreto de las Cortes de ra instancia , sita en la calle y casa del Sacramento , cuarto J. ’, por la *8 de Enero de este abo. Aunque esta pr-tens on no se hizo con la escribanía de f&gt;.…</t>
  </si>
  <si>
    <t>…Martiaez, en donde p-rmaneció, hasta que subléva las aquellas provincias, é txiivMAias. inflamado del mas puro amor á la-madre patria, contrajo los mas distin Por providencia del Sr. D. Angel Fernandez de los Ríos , minis guidos y arriesgados servicio* gratuitos, como ha justificado en debida tro honorario de la audiencia territorial de Castilla la Nueva, juez de forma: que trasladado á la Península representó é S. M. en 8 de No primera instancia de su capi…</t>
  </si>
  <si>
    <t>…c Dcplabol de id. 56ta_DeteTaiaoMAina. he garay hijo de Bayona 610 7 la—D. Simón Permanchan de Oloron 379 7 4._D. Jura Luis Oaten de Gante jlá 7 io_Dofia Isa _ Por providencia del Sr. D. Angel Fernandez deloe Riot, jaez de bel Valcarcel, viuda de D. Ramón de id. 313 f 16—Boiaier 7Savar-primera instancia de esta corte 7 de la hacienda pública, aecita, llama din de Marsella 164 7 *6.__Viada da Robaut y compafiía de ia. 443 77 emplaza é lo* parientes de D. Manu…</t>
  </si>
  <si>
    <t>…os al fin que se cia babia pusto en sus manos para sostener un largo sitio. insinúa. Entre ios facciosos, refiere un periodista, se ha hecho máxima co En virtud de providencia del Sr. D. Angel Fernandez de los Ríes, mún aquel antiguo refrán, que dice: quien roba al ladrón tiene cien años juez de primera instancia en esta M. H. villa de Madrid', se cita y em de rerdan. Asi es que las rapifias se suceden con tal frecuencia unas á plaza 4 tolos los parientes de…</t>
  </si>
  <si>
    <t>…ucesivo , procedente de ha seguido ante el Sr. alcalde D. Rodrigo de Aranda y el Sr. juez da Ultramar , con la correspondencia pública y de oficio ; el navio San primera instancia D. Angel Fernandez de lo* Rio*, en reclamación del Pablo y goleta primera Mahonesa el 7 del mismo, todos buques de la negro , que se halla complicado en una causa criminal. Añade por Cn armada nacional. que la licencia para el bautizo fue denegada por el Excmo. Sr. carde nal ar…</t>
  </si>
  <si>
    <t>…tes. Que el Abuelo se retiró al Bodonal con inimo de reunir mu gente, TXIXUNALBfc ac comprueba por la declaración de Manuel Navas, en la que dijo: que En virtud de providencia del Sr. D. Angel Fernandez da los Ríos, el dia en que prendieron al Abuelo se le presentaron 4 un cuarto de ministro togado, juez de primera instancia y de la hacienda púb ica legua del Bodonal dos soldados de infantería con sus fusiles y bayone *n esta corte , ante D. Francisco Alcáza…</t>
  </si>
  <si>
    <t>…o* tribu TarauMAtxs. nales, justicias, gefes, gobernadores y demas autoridad**, asi civiles como militares y eclesiásticas, de cualquiera clase y dignidad, que Por providencia del Sr. D. Angel Fernandez de loa Ríos, minis guarden y hagan guardar , cumplir y egecutar el presente decreto en tro togado honorario de la audicnc a territorial de Castilla la Vieja, todas sus partes. Tendreislo entendido para su cumplimiento , y dis juez de primen instancia de esta…</t>
  </si>
  <si>
    <t>…en 837a rs. y 24 mrs. , cuya subasta se rlnfantería de linee........... 6500' publicó en el diario y gaceta de esta capital de 23 y 28 de Noviembre último, sa ha sefialado por el Sr. D. Angel Fernandez de los Ríos, Vitoria.. ,10,01a. I Caballería de linea............ 810 ministro togado honorario de la audiencia territorial de Castillada V e'Idem ligera....................... 1171 ja , juez de primera instancia de esta M. H. villa, el día 11 del cor I Artil…</t>
  </si>
  <si>
    <t>…e que deben costearse por toda la provincia los gastos que se ocasionen. 6.a Los gefes políticos darán noticia á este ministerio de recho que crean asistirles. Por providencia del Sr. D. Angel Fernandez de los Ríos, juez dotodas las medidas de egecucion que vayan adoptando las diputaciones, primera instancia de esta heróica vida de Madnd , se cita ..ama yesperando S. M. del zelo patriótico de estas corporaciones que no omi emplaza á Vitoriano Ribera, soldado…</t>
  </si>
  <si>
    <t>…posiciones de varios licitadóres que te comprometen á construir el lodo que haya lugar. de los que le han anunciado al público , y atendiendo á lis órdenes con Por providencia del Sr. D. Angel Fernandez de los Rio* , magis que te halla para acelerar sus operaciones, ha determinado no admitir trado honorario de la audiencia territorial de Castilla la Nueva, jues anas propuestas que las que te presenten hasta el 1.° de Enero próximo, de primera instancia y de…</t>
  </si>
  <si>
    <t>…2. ....................... go qtn fundó D. Juan Itnrriza Urdanetm y Doña Ana Menendez Ago niiüvms. nes, cura mitad posee en la actualidad Carlos Villanueva Potadas, Por edicto del Sr. D. Angel Fernandez de los Ríos se llama 4 tendrá la bondad de entregarlo* á su apoderado D. Ventura Fernandez las persona* que se consideren con. derecho á una casa-corral, sita M Sta. Olalla* que vive red de S. Luis, lonja núm. ay: uno de 137,084 esta corte , calle del Molino…</t>
  </si>
  <si>
    <t>…ras y da las digni dades, canongías y prebendas de las iglesias catedrales, colegiatas jr magistrales, entendiéndose solamente aquellas qua se fuesen verificando En el juzgado del Sr. D. Angel Fernandez da loa Rio*, magistrado después de reducidas al número de 16 y un deán en las metropolita honorario de la audiencia tarritorial de Castilla la Nueva , y |u-z da nas , y de 1 a con su deán en las sufragáneas, pues qua las que se com primera instancia y da la H…</t>
  </si>
  <si>
    <t>Fernandez, Bernabé</t>
  </si>
  <si>
    <t>Bernabé Fernandez</t>
  </si>
  <si>
    <t>…u: se nota en sus pa do; opinaba que debia accederse á su solicitud. Aprobado. gas y las de los oficiales del egército y rmplrados civiles, opinaba que Otro sobre la «xposición de D. Bernabé Fernandez y D. Inocencio se satisficiese á d cl oi individuos sus atrasos por la Hacienda públ.ca Noguera, oficiales que fueron de la extinguida secretaría de la Cámara del mejor modo qu: se pudiese ; previo éndoie al Gobierno luciese de Indias, pidiendo ae les declarase cesantes con…</t>
  </si>
  <si>
    <t>Fernandez, Bernardo</t>
  </si>
  <si>
    <t>Bernardo Fernandez</t>
  </si>
  <si>
    <t>…a etpaño a, !* segundad del sisteme y ei desengaño de los mas extraño* llan y D. Félix Cetndla*. ilusos. Este pueblo será vuestro apoyo en toras ocasion e. Los s-gio* Subímitnlts. D. Bernardo Fernandez, D. Diego Llórente, D. Pa coronarán el heroísmo de los valientes con el recuerdo mas dulce v blo Riera, D. Josef Cuervo A rango, D. Fmaciaco Macíac, D. Jotcf admirable. Morale*, D. Pedro Badiere, D. Pió Larténdo, D. Pedro Po illtru, «Coruña, su ayuntamiento c…</t>
  </si>
  <si>
    <t>Fernandez, Domingo García</t>
  </si>
  <si>
    <t>Domingo García Fernandez</t>
  </si>
  <si>
    <t>…ubasta te anunció en la gaceta «le S. Fernando; á D. Ignacio Ruis Lusuriap, secretario de le acade del día 19 de Setiembre último bajo la relación núm. 31/, con U ca mia Médica; á D. Domingo García Fernandez, químico; á D. Anto bida de 8 fanegas, varios árboles frutales y una casa en mal estada, nio Gutiérrez, profesor de fiaica en los estudios d¡e S. Isidro, é indi valorado todo en 36,398 rs. en venta, y 1300 rs. en renta; te ha pro viduo «le la academia Médica;…</t>
  </si>
  <si>
    <t>Fernández, Fer.mín</t>
  </si>
  <si>
    <t>Fer.mín Fernández</t>
  </si>
  <si>
    <t>…e Dios y Sta. Isabel, exceptuando Granaderos. Milicianos, D. Fermín Miranda; muerto. D. Juan la primera de fusileros, qué reforzó fiíja sexta del segundo en el mu Capdevila, ídem. D. Fer.mín Fernández, herido. D. Anastasio Aiduseo militar. - . ' , do, id em. D. Poiicarpo Fernandez, idem., D. Francisco López Novi ». A las ttefde la madrugada del diá de hoy me atacaron los ene llo, idem. D. Vicente Sedeño; contuso; D. Antonio María Iba trola, migos- por la c…</t>
  </si>
  <si>
    <t>Fernandez, Francisco</t>
  </si>
  <si>
    <t>Francisco Fernandez</t>
  </si>
  <si>
    <t>…' Nota. En le gaceta de 14 del corriente, col. 10, Ifn. ve, donde pete i la expresada comisión de Diputaciones provinciales la solicitud dice D. Francisco González Golfín , léase D. Francisco Fernandez del alcalde de Carcagente, relativa á que se permita á aquel ayunta Golfín—En le del 16, col. a.*, lía. 6g , donde dice del que de miento vender una heredad. nuncie loe escritores como delisuuentes, léase del que denusuien ¡os es Asimismo se aprobó el dictame…</t>
  </si>
  <si>
    <t>…lamasen el sueldo que debía podía acc -derse á su solicitud. Aprobado. abonarse á D. Juan Alvarez Guerra, secretario qu: fue di 1 ministerio La misma, en vista de la exposición de D. Francisco Fernandez de la Gobernación de la Península en 1814, y en el qu- con este mo Gómez, vecino de Oviedo, para que se trasladase á su hermano D. Ma tivo recomendaba el Gobierno los servíaos de cst: interesado, y la* nuel ia pensión de 69 rs. que se le había concedido por s…</t>
  </si>
  <si>
    <t>Fernandez, Francisco Gallardo</t>
  </si>
  <si>
    <t>Francisco Gallardo Fernandez</t>
  </si>
  <si>
    <t>…noticia de la prisión se conceda una pensión á dichos menores eti atención í los tetviciosd* de Ali-tiáfá, y de la probabilidad que presentaba este acontecimiento tu padie: ota ce D. Francisco Gallardo Fernandez, oficial que fue dt deqüí desasen las dis'n-.icucs intestinas de Turquía sin la intervención la secretan’» de liacicr.da, presentando un plan general de este ramo, -ue dé las de otras potencias. fue rcc.biúo con agrado; y otra de la junta diocesana de Búrgos,…</t>
  </si>
  <si>
    <t>…ria! de Bilbao, han ayuntamiento de la provincia de Córdoba; y asimismo recibieron con (Tirado en el pecho de todos sus individuos el agrado amor de la pa agrado una exposición de D. Francisco Gallardo Fernandez , acompa sando ua egemplar del tomo 6.° de su obra sobre las rentas de España. ñis; ▼ recordándoles los gratos juramentos que reiteradamente han pres tada de defender i costa de sus vidas las libertades públicas , les han Se leyó por primera vez el proyecto d…</t>
  </si>
  <si>
    <t>…gar. Asturias , vacante por renuncia de D. Francisco Rodríguez Espina. Historia de las minas de oro, plata y demas metales que se conocen Palacio 5 de Mayo de 182 a. en España por D. Francisco Gallardo Fernandez , antiguo oficial del ministerio de Hacienda. Un cuaderno que comprende cuatro artículos: El gefe político de Gerona da parte á S. M. en pliego de 2 del cor en el i.° se manifi*sta que las minas, en cualquiera parte que se hallen, riente, de la completa derro…</t>
  </si>
  <si>
    <t>Fernandez, Francisco Javier</t>
  </si>
  <si>
    <t>Francisco Javier Fernandez</t>
  </si>
  <si>
    <t>…corriente de 10 á is se pagará en la casa na to de cabilcrí» de Al mansa. Para ia de Bilbao ai mariscal de campo ción,il de moneda de esta corte á loe sugetos que hayan presentada D. Francisco Javier Fernandez. m.dios lunes al resello, y tengan ios billetes numerados desda el tejí Sexto distrto. Para comandante general de él, que se compone de as 1 o;o , ambos inclusive. las pro. inciasdeCaiatayud, Huesca,Teruel y Zaragoza,ai mariscal de campo O. Antonio Remon Zarc…</t>
  </si>
  <si>
    <t>Fernandez, Josef</t>
  </si>
  <si>
    <t>Josef Fernandez</t>
  </si>
  <si>
    <t>…sco Cortadellas, segando ayudante su pernumerario del batallón ligero de Barbastro , con 600 rs. al mes. Habiendo denunciado el fiscal de impresos de la misma provincia A'mería al capitán D. Josef Fernandez, segundo ayudante del re varios particulares del Diario Gaditano, núm. ($69, del dia 20 del pa gimiento de Zapadores , con 6to rs. al mes. sado Julio, como meitaiiores á la desobediencia en segundo grado; con A randa al capitán D. Norberto Florez Calderón, pr…</t>
  </si>
  <si>
    <t>…üitar.ssExcmo. Sr.: Ayer Sanz, el ayudante de Astúr-a, D. Antonio Ven, gravemente contuso dije á V. E. que esperaba un día de gloría de resultas de los movi el capitán de Sigucnza D. Josef Fernandez , y en razón de la herida mientos combinados de Us varias columnas d*st nadas é escarmentar de Bacigalupi me he entregado del mando. La pérdida de los faccio los facciosos de Navarra, Quejada, Ladrón y Juanito, que en unión sos no puedo reconocerla esta noche…</t>
  </si>
  <si>
    <t>…eneral retrocedí desde el pueblo de Beiillas, ejecutando el mismo movimien de.'ó organizada en .\ aval cuando seguía ios pasos del Trapease. to la columna del capitán de Sigiienza D. Josef Fernandez; de modo Columna mtr.il del alto Linca. » Cub cito y fuera de peiigro Becas- que con 300 hombres de mi batallón y 20 caballos de Sagunto, al qu-, hice una marcha rápida sobre Roda, y disd: este pueblo patrio mando del capitán D. Josef de la Vega, llegué i A y…</t>
  </si>
  <si>
    <t>…entreveo que los españo ra una canongía de la Ma. iglesia metropolitana ds Manila , en las iV», les del día no son tus favoritos; pero si los turcos : » ¡Quién puede Filipina*, á D. Josef Fernandez racionero mas antiguo de ella; y p,u dudar, dice, que el estado de güeña no comprometa gran número de esta ración á D. Ciríaco Iraola , medio racionero de Ja misma iglesia. intereses públicos y privados que bey en nuestras relaciones políti cas con la Espada…</t>
  </si>
  <si>
    <t>Fernandez, Josef Antonio</t>
  </si>
  <si>
    <t>Josef Antonio Fernandez</t>
  </si>
  <si>
    <t>…fina, saldré de esta ma de mi mando, el espitan D. Josef Sierra,el teniente D. Matías Pcraha, ñana á las cinco de la madrugada, y llegaré á Dax enrr: to y r a a mas e! subteniente D. Josef Antonio Fernandez, y el interventor D. Do tardar de la mañana dsi lunes 3 del corriente, a 'onde podrá V. f. d mingo Aristiza. A ias doce llegué é Ruestz, en donde acampé por ri irme sus preceptos , pues ignoro sí d-sde el momento d: mi lle&gt;ada haber facciosos en Tiermas: á po…</t>
  </si>
  <si>
    <t>Fernandez, Josef García</t>
  </si>
  <si>
    <t>Josef García Fernandez</t>
  </si>
  <si>
    <t>…-te de y desenfrenada la tiranía, ¡qué familia española dejaría de padecer y rentas de Gljon. perderse en acciones y reacciones, y en la voracidad de tantos malva Vigo admoistndor D. Josef García Fernandez , adm'n'sf radar del dos , que si pudiesen acabar con los hombres de bien, se acometerían Carril. Interventor D. Pedro de Olmos , depos.tario de aquel a ciudad. entre sí como los perros de Zurita , ó como naturalmente sucede entra Castellón de la Phna adminis…</t>
  </si>
  <si>
    <t>Fernandez, Juan</t>
  </si>
  <si>
    <t>Juan Fernandez</t>
  </si>
  <si>
    <t>…M. no. ocultar lat rnteacio- te del batallón ligera de voluntario! de Valencia, con 600 rs. pe* que le animan para lo sucesivo. Autorizados loa intendentes como Hellin al cap t.n D. Juan Fernandez, segundo ayudanta del ba fc» estas hojr cumplidamente por las últimas resoluciones de las Cortes» tallón ligero segundo de voluntarios de Aragón , coa 670 rs. ninguna disculpa podrá merecer su conducta si ella no acredita con he Hueíva á D. Josef de Costa, se…</t>
  </si>
  <si>
    <t>Fernandez, Juan Nepomuceno</t>
  </si>
  <si>
    <t>Juan Nepomuceno Fernandez</t>
  </si>
  <si>
    <t>…ventajas za vacante , dirigirá el memorial al alcalde constitucional de ella , ó al están consignadas en sus mismas bases , y en la cual sin desembolsos fi médico titular llamado D. Juan Nepomuceno Fernandez. jos ni de pronto coma en las demas, ta empieza á participar de ia segu Se Uia vacante la plaza de maestro de primeras letras del Puente ridad de tus edificios, con una intervención positiva y conocimiento del Arzobispo , en la diócesis de Toledo, cabeza de p…</t>
  </si>
  <si>
    <t>Fernandez, Juan Nieto</t>
  </si>
  <si>
    <t>Juan Nieto Fernandez</t>
  </si>
  <si>
    <t>…del templo de autos de inventario abintcstato á los bienes que han quedado por el Marte , edificado por Augusto , y dos columnas estriadas de orden co fallecimiento del presbítero D. Juan Nieto Fernandez, juez honora rintio, de marmol griego, de un tamafio prodigioso, pero de dos pie- rio de la nunciatura apostólica, vicario y capellán mayor por S. M. en zas , con un hermoso follage y una Minerva en bajo relieve; finalmen la nuevas poblaciones de la Carlota,…</t>
  </si>
  <si>
    <t>Fernandez, Julián</t>
  </si>
  <si>
    <t>Julián Fernandez</t>
  </si>
  <si>
    <t>…s que se diese documentos necesarios las exposiciones de los oficiales del mismo cuer en el día , ó an Diario de Cortes como el que actualmente se imprime, po D. Esteban Iz acua , D. Julián Fernandez y D. Vicente Joves, nuque como ha dicho muy bien un ir. preopinante, no será leido. Tedas nifstando no haber obtenido los grados que les correspondían por ha esta* razone* que militan contra el Diario de Cortes esfuerzan conside ber pertenecido á la columna volante del egército…</t>
  </si>
  <si>
    <t>Fernandez, Lcoucm</t>
  </si>
  <si>
    <t>Lcoucm Fernandez</t>
  </si>
  <si>
    <t>…l tñonts ha sentenciado hoy la causa que se yió Undécima ciase. Baile, á cargo de D. Juan González. Premio á el viernrs y el sébado último, declarando que un frunces no naturaliza D. Lcoucm Fernandez. Accésit a D. Francisco Ar.scun. do, cualquiera que sea el tiempo de su residencia en la Bélgica, no puede servir de i- stigo en los testamentos. Asi pues debe considerarse CORTES EXTRAORDINARIAS DEL AÍxO DE i8sa. esta jurisprudencia como extensiva á todos lo…</t>
  </si>
  <si>
    <t>Fernandez, Luis</t>
  </si>
  <si>
    <t>Luis Fernandez</t>
  </si>
  <si>
    <t>…as obras de utilidad común debían hacerse I ministrador delimítalo ramo; y otra de B.-Juan Manuel S. Román, 4 costa de los fondos que se señalan cu el presupuesto para caminos y I D. Luis Fernandez:Ramírez, D. Pedro Pascasio Fernandez sanJino y canales. 1 otros ciudadanos residentes en esta corte, quejándose del gefe político ' El Sr. Rico expuso varías razones en apoyo del dictamen. E D. Josef Martínez S. Martin por haberles negado permiso para hablar…</t>
  </si>
  <si>
    <t>…pero creo asimismo que las Corte* no deben aprobar este artículo. bre su presen de la brigada de Carab. ñeros. Por otra parte aun cuando baya un empresario que lo tome, tiene que D. Luis Fernandez de ' asno, comandante del segundo batallón abandonarle necesariamente , porque resultaría uno de estos extremos, á de! regimiento de infantería de Arfarías, d-rigió á las Corte* con ios saber, ó tener que hacer un papel como todo* lo* demás que se diese docum…</t>
  </si>
  <si>
    <t>…Pab'.o Bacigalupi hab a sa.ido de H i.‘»ci ;n dirección del Cinca, bilo de mi corazón comunico a V. S. ia victoria que las armas nacio y la que al cargo dei commdante de A;túr as D. Luis Fernandez de nales han conseguido contra los facciosos á las 9 de esta roche sobre Cas'.ro estaba d.spu sta pira salir de esta capita: d. r.t-o de dos horas Qu.saaa, Juan.to, Ladrón y el Trapense reunidos en Bofes __A las para Bilchite, y cuya dirección varié en el mem…</t>
  </si>
  <si>
    <t>…muy ventainsa; pero resueltos ya i combatirlo», se for na no indicado , llegó i la plaza , repitió viva» libres, s: t ro sobre la maron tres columnas , la de la derecha á cargo de D. Luis Fernandez guarda, hirió ai segundo couaandinte, mató á un c bo de -l'a , y de Castro , compuesta de una compañía de granaderos de Asturias, otra echando p.e á tierra entró sable en mano en el cuerpo de guardia, y de Sigiieoza y too hombres de Alcazsr, la del centro ó r…</t>
  </si>
  <si>
    <t>Fernandez, Manuel</t>
  </si>
  <si>
    <t>Manuel Fernandez</t>
  </si>
  <si>
    <t>…que todos sus individuos sabrán morir A la misma otra solicitud como la anterior de Doña María Sauz, si fuese menester pira llenar exactamente ios sagrados deberes de sus viuda de D. Manuel Fernandez, capitán retirado. encargos. Pido que se haga esta declaración para que se sepa que no so Las Cortes oyeron con agrado el donativo que en favor de la Na lamente unos motivos tan fútiles como los de ayer, pero ni aun otros ción hacia de un alcance D. Francisco…</t>
  </si>
  <si>
    <t>…s del Soberano Congreso. también fusilado en el indicado término de i a horas.=Solsona i g de El Sr. Presidente levantó la sesión á la hora acostumbrada. Junio de i8aa.=Ei coronel comandante Manuel Fernandez.” Barcelona de Junio. NOTICIAS DE ESPAÑA. Escriben de Mantesa el ay lo que sigue: Sobona aa de Junio. » En esta se acordó el levantamiento de cuatro compañías volantes de too hombre* cada una para la persecución de facciosos, pagados Comandancia militar y foi…</t>
  </si>
  <si>
    <t>Fernandez, María Manuela</t>
  </si>
  <si>
    <t>María Manuela Fernandez</t>
  </si>
  <si>
    <t>…una ticular, ha creído conveniente dar esta noticia, y yo me marcho in- pensión. med atamente para reunirme con la comisión, a fin de desempeñar nues A Ja misma una exposición de Doña María Manuela Fernandez, tro encargo. viuda de un teniente, solicitando una peDsion. F.l Sr. Galiano : F.l Congreso se ha ereido obligado a tomar esta* A la misma otra exposición de Doña Joaquina Sola en solicitud medidas , únicamente por las consecuencias que los sucesos de ayer pu…</t>
  </si>
  <si>
    <t>Fernandez, Mariano Milla</t>
  </si>
  <si>
    <t>Mariano Milla Fernandez</t>
  </si>
  <si>
    <t>…sea ntcesaHh.” Ya se blica- Se mandó pasar i la comisión segunda de Hacienda. deja ver que la comisión no ha tratado sino de que no queden frustra Las Cortes concedieron permiso a D. Mariano Milla Fernandez, das las miras de las Cortes anteriores, pues que la experiencia había jaez de primera instancia de .Zamora, para que pudiese prestar su jura acreditado que lo habían quedado de hecho , p que las juntas se habían mento ante el apuntamiento de aquella ciudad.…</t>
  </si>
  <si>
    <t>Fernandez, N.</t>
  </si>
  <si>
    <t>N. Fernandez</t>
  </si>
  <si>
    <t>…cayó se hacia mención en ¿1. sobra una solicitud de D. Francisco Antonio Navarro, vecino de Se El Sr. Infante contestó que la comisión, por no creerlo necesario y villa, y otra de D. N. Fernandez, presbítero, proponiendo varia* me por no causar mas gastos, no los había impreso ; pero qtt podrían lat didas para destruir á lo* facciosos, y prevenir crímenes de esta natu Cortes aprobarlos cuando se hiciese la lectura de este proyecto de ley, raleza. no t…</t>
  </si>
  <si>
    <t>Fernandez, Pedro</t>
  </si>
  <si>
    <t>Pedro Fernandez</t>
  </si>
  <si>
    <t>…iy teniente de in tería de León, con .$70 rs. fantería y del regimiento infantería de Córdoba, con 570 re. Alcázar de $. Juan á D. Josef Carrasco, teniente supernumerario Malaga A D. Pedro Fernandez dala Herían , teniente deinfantería del regimiento infantería de Guadalajara, con 570 rs. y del batallón de la milicia activa de Mátage -, con 450 ra. Astorga al capitán D. Pedro Pascual del Castillo , teniente del re Murcia á D. Ildefonso del Pozó,'teniente…</t>
  </si>
  <si>
    <t>…bien conocida es su intención res, Dr. D. Hstanis ao Segu*a , D'. D. Antonio Cab za de Vaca, de dar un ataque ultra á los tráncese* r.fugiados en España. D. Josef Antonio Huarte, D. Pedro Fernandez, D. Jos-f Igna La po icta de t aris anda muy vigilante. Mr. B. Ccnitant publicó cio de Arévao, Dr. D. I uc ano Castoreña, Lie. y Miro. D. Jo una carta contra et fiscai de la causa de B ¡t n , donde la intriga ha tef María Troncoso, L;c. D Antonio Cainacho. Pr…</t>
  </si>
  <si>
    <t>Fernandez, Pedro Pascasio</t>
  </si>
  <si>
    <t>Pedro Pascasio Fernandez</t>
  </si>
  <si>
    <t>…debían hacerse I ministrador delimítalo ramo; y otra de B.-Juan Manuel S. Román, 4 costa de los fondos que se señalan cu el presupuesto para caminos y I D. Luis Fernandez:Ramírez, D. Pedro Pascasio Fernandez sanJino y canales. 1 otros ciudadanos residentes en esta corte, quejándose del gefe político ' El Sr. Rico expuso varías razones en apoyo del dictamen. E D. Josef Martínez S. Martin por haberles negado permiso para hablar El Sr. Argiielles dijo que tratándose…</t>
  </si>
  <si>
    <t>Fernandez, Poiicarpo</t>
  </si>
  <si>
    <t>Poiicarpo Fernandez</t>
  </si>
  <si>
    <t>…erto. D. Juan la primera de fusileros, qué reforzó fiíja sexta del segundo en el mu Capdevila, ídem. D. Fer.mín Fernández, herido. D. Anastasio Aiduseo militar. - . ' , do, id em. D. Poiicarpo Fernandez, idem., D. Francisco López Novi ». A las ttefde la madrugada del diá de hoy me atacaron los ene llo, idem. D. Vicente Sedeño; contuso; D. Antonio María Iba trola, migos- por la calle del Arenal &gt; parroquia de S. Ginés , rompiendo el herido. fuego mis avanzada…</t>
  </si>
  <si>
    <t>Fernandez, Ramón</t>
  </si>
  <si>
    <t>Ramón Fernandez</t>
  </si>
  <si>
    <t>…representó é S. M. en 8 de No primera instancia de su capital y de la Hacienda pública , se cita viembre de 1817, solicitando se le alzase la confinación que se le im y emplaza á D. Ramón Fernandez, maestro cuchillero en esta corte, y puso en 1803, ó al menos que se le oyese cu justicia: enterado S. M. i D. Jostf Tellez, vecino de la ciudad de Guadalajara , y caso que de todo , y de que el tribunal tiene suficientes motivos para creer que hayan fallecid…</t>
  </si>
  <si>
    <t>Fernandez, Sebastian</t>
  </si>
  <si>
    <t>Sebastian Fernandez</t>
  </si>
  <si>
    <t>…&amp; oficio que no ésten indicado* cretuio. en las cía»?* anteriores y en las que siguen, se consideran comprcndidaa en la cines anteriores que tengan mas analogía. ffExcmo. Sr.: El coronel D. Sebastian Fernandez con fecha ae Ociara cíate de induciría perra poHaeion, del setual me participa haber dado alcance en las inmediaciones de Subdiridtda en las rrp-cies y clara de reputo qua siguen: Afioibei ios y tantos facciosos capitaneado* ñor Antera, á quien cau Primera tt…</t>
  </si>
  <si>
    <t>…i i." de Julio de 1820 ; te ha s rvido El Gobierno ha recibido del general Espinosa el parte siguiente: r so'vrr se extiendas por la dependencia de! cargo de V. S., habí! tan» El coronel D. Sebastian Fernandez, comandante del cart m de do inmediatamente i los interesados comprendidos en la liquidación de Estrila, en oficio de ayer, que acabo de recibir, me incluye un egem- 5 de Setiembre próximo pasado, al tenor de lo mandado en el d cuto plar impreso por disposici…</t>
  </si>
  <si>
    <t>Fernandez, Teodoro</t>
  </si>
  <si>
    <t>Teodoro Fernandez</t>
  </si>
  <si>
    <t>…ía delante de nosotros no pasaba se les vió 4 la cabeza de ella dando pruebas de valor: el espitan de de i a, que han podido salvarse por tener sus caballos mas descansa Lusitania D. Teodoro Fernandez 4 la cabeza de sus valientes, en unión dos que nosotros, y 4 favor de un bosque espeso , en que se refugiaron. conmigo, ha hecho todo lo que deja inferirse del resultado de «su ac £1 cura Merino ba estado para caer en nuestras manos; pero se salvó ción glorio…</t>
  </si>
  <si>
    <t>Fernandez, Teresa</t>
  </si>
  <si>
    <t>Teresa Fernandez</t>
  </si>
  <si>
    <t>…ag taoon. dispersos: la comisión opinaba qu; no podía acceders; á ella. Aprobado. Mr. Corcelles pidió que se imprimiese el discurso, y el presidente Otro acerca de la solicitud de Doña Teresa Fernandez para que s; le r-soondió con viveza: se levanta la sesión. le pague por tesorería una pensión de 60 rs. que cobraba pur la ce las Asi acabó esta famosa sesión , en la cual manifestaron algunos dipu «irdenss militares: la comisión opinaba que no debía arderse…</t>
  </si>
  <si>
    <t>Fernandez, Ventura</t>
  </si>
  <si>
    <t>Ventura Fernandez</t>
  </si>
  <si>
    <t>…üvms. nes, cura mitad posee en la actualidad Carlos Villanueva Potadas, Por edicto del Sr. D. Angel Fernandez de los Ríos se llama 4 tendrá la bondad de entregarlo* á su apoderado D. Ventura Fernandez las persona* que se consideren con. derecho á una casa-corral, sita M Sta. Olalla* que vive red de S. Luis, lonja núm. ay: uno de 137,084 esta corte , calle del Molino de Viento , señalada coa el núm. a de la maravedises; otro da 187,500; otro de 47,750 ; otr…</t>
  </si>
  <si>
    <t>Fernandez-Casariego, Juan</t>
  </si>
  <si>
    <t>Juan Fernandez-Casariego</t>
  </si>
  <si>
    <t>…egorio Sor Ojera Mendivii, D. Andrés Moya Luzunaga, D. Gaspar Aguilera, D. Jo Se leyó tina adición de lo* Sres. González Alonso, Serrano y LiUo sef María Puente, D. Ventura Rubio, D. Juan Fernandez-Casariego, al dictamen aprobado anteriormente para que las autoridades políticas D. Francisco Travesedo. bajo su responsabilidad remuevan lodos los obstáculos que se pongan Reunido el jurado, y habida la conferencia, *■ declavó por unanimi por lo* eclesiásticos á lo ac…</t>
  </si>
  <si>
    <t>Fernando</t>
  </si>
  <si>
    <t>…embre de 1821. = A D. Ramón Fclin " Ultramar. Esta obra es útil no solo á los marinos, sino á los que quie ran enterarse de la necesidad de las reformas que ha propuesto á las Cor D. Fernando vil por la gracia de Dios y por la ConstKpcion de tes la comisión de Marina. Se está imprimiendo la continuación en la Monarquía espafioia, Rey de las Espadas, á todos los que las presen •tras cartas, que contienen el examen crítico de varios planes sebre esi…</t>
  </si>
  <si>
    <t>…comisión en su discurro preliminar, esto es, que el proyecto está sem SI Rey Se expedido el decreto siguiente! brado de expresiones y defectos muy cousidcraMm, muchos do ellos da D. Fernando vn por la gracia de Día y por le Constitución &lt;fo tal naturaleza que es imposible corregirlos, como no sea por usa sola la Monarquía apañóla, Rey de la Espada, 4 toda la que la pre mano y nos pluma túcaz qua entienda tan importante y necsmrts refor sentes vie…</t>
  </si>
  <si>
    <t>…festó en seguida —A D. AngelValtcjc. que el partido de la Puebla dehanabria y olios lugares habian hecho tepresentaciones muy enérgicas á las Cunes para que no ios agregasen á lia D. Fernando vn por la gracia de Dios y por la Constitución de España*, presen á todos de las la Monarquía españoa. Rey lo* que lat sí y .y su por á la de Leen proximidad mayor de Zamora, Íirovir.ca de las Cortes vieren y entendieren tes han extraordinarias Que , sabed: p…</t>
  </si>
  <si>
    <t>…cio nes , es también traidor , y sufrirá la pena de muerte.” Aprobado. El Rey ha expedido el decreto siguiente: Art 193. » Asimismo es traidor , y sufrirá la propia p-na, el qne » D. Fernando vn por la gracia de Dios y por la Constitución da hiciere alguna tentativa para disolver ia Diputación permanente de Cor la Monarquía española, Rey de las Españas, a todos los que las presen tes, ó para impedirla el libre egercicio de sus funciones. tes viere…</t>
  </si>
  <si>
    <t>…as que han iniluido en el estado de la Hacienda pública, y que El Rey ha expedido los decretos siguientes: son bien notorias, solo la variación del sistema de hacienda es bastante D. Fernando vil por la gracia de Dios y por la Constitución de para causar un gran vacío en el tesoro. Pero para convencerse de que el la Monarquía española , Rey de las Espaftas, á todos los que las pre «stado de la Nación no es tal cual se ha querido pintar, do se nece…</t>
  </si>
  <si>
    <t>…ar mas utilidad da las fincas; y qua sa debería afiadir en el artículo que ae tomasen las fin El Rey ha expedido loe decretos siguientes: cas al menos por el valor de la tasación. D. Fernando vu por la gracia de Dios y por la Constitución de El Sr Sierra Pambley dijo que respecto da la primera observación la Monarquía española, Rey de las España*, á todos los que la* pre del Sr. Cas»seca no podía convenir la comisión , porque no era justo sentes v…</t>
  </si>
  <si>
    <t>…úsñbve de aSatnsAD. Esten jileo Salvador. ciudad d Zaragoca, reos ausentes en la cansa criminal pendiente en ia misma «ala contra Pedro L'or por ia herida que luco a Diego Montaña D. Fernando vtt por la gracia da Dina y por la Const¡tacaos de can isa tiro de pistola la noche del 5 de Mayo del ate pe- -asmo pasado, le Monarquía espadóla, Rey de las Espetas, á todos lo* que la» presen de la qua murió en 7 , y contra loa mismo* Uivets y Gracia por no…</t>
  </si>
  <si>
    <t>…ortificado, arsenal, almacén, parque , puerto, escuadra, El Rey se ha servido expedir la decreta siguientes: buque ó fábrica de municiones perteneciente á la Nación ó sus aliados. Don Fernando vu por U gracia de Dios y por la Constitución da Art. 157. - Iguale» penas sufrirán lot españoles que en tiempo da la Monarquía apañóla. Rey de las España, * todo» 1 &gt;s que la pre guerra desertaren ó se pasaren al enemigo , ó hicieren que otros se de sentes v…</t>
  </si>
  <si>
    <t>…ada* de la noche an A O. Angel Vallejo. terior , contraviniendo al edicto del dia qne prohibía las reuniones de gente, prorumpió en continuos alaridos de km itiego, sofocando cual D. Fernando vn por la gracia de Dio* y por la Constitocio» quiera otro grito á favor de la Constitución ó del Re/ constitucional, ■da la Monarquía española, Rey A las España*, a «odo* lo» que las pro- no por honrar al benemérito general, cu/o heroísmo es sabido y respe a…</t>
  </si>
  <si>
    <t>…la población rural. ” Dios ( dice) no puede querer que El Rey se ha servido expedir el decreto siguiente: esta ciase de la sociedad viva sumergida en la ignorancia , y que la ins Don Fernando vn por la gracia de D;o* y por la Constitución trucción quede reservada para otra. La religión encontrará una ventaja de la Monarquía española, Rey de las Espafias, á todos los que las pre real y visible en que la instrucción te haga popular, porque asi perde…</t>
  </si>
  <si>
    <t>…om, Hubbard y compañía del comercio de París el día 2a de Noviembre F¡ Rey ha expedido el decreto siguiente: de 1821 aa virtud de la autorización de la* Cortes de 27 y ¿y de Junio Don Fernando «n pot la gracia de Dio* y por la Constitución da</t>
  </si>
  <si>
    <t>…l hasta su salida &amp;C.” El Sr. Puigblanch opinó que el articulo del modo que re pioponía A D. Angel Vallejo.” zanjaba todas las dificultades que se habían suscitado, y por lo mismo Don Fernando vn por la gracia de Dios y por la Constitución de las Cortes no podrían menos de aprobarlo. El Sr. Sancho impugnó el artículo nuevamente presentado, por la* la Monarquía española. Rey de Jas Espafias, á todos los que las presen mismas razones que expuso ayer,…</t>
  </si>
  <si>
    <t>…misma pena al A D. Estanislao Salvador. que comete el homicidio en une persona que esté con su muger , que si lo cometiese en otra que estuviese con su biznieta. Esto no me parece Don Fernando vn por la gracia de Dios y por la Constitución de muy justo, porque la naturaleza misma esté indicando que el amor de la Monarquía etpafiola , Rey de las Españas , á todos los que las pre un marido para con su muger es mayor que el que puede tener á una sente…</t>
  </si>
  <si>
    <t>…ha rt'cho que se reconozca la independencia; pero yo creo que es in El Rey ha expedido el decreto siguiente ; dispensable que se haga este reconocimiento por medio de un tratado, Don Fernando vn por la gracia de Dios y por la Constitución de y asi para entrar en él et preciso que vayan comisionados de aquí, ó la Monarquía española, Rey de las Españas, á todos los que las pre que vengan de alli. Hasta ahora no se ha hecho otra cosa en América sente…</t>
  </si>
  <si>
    <t>…alguna, alusión al tí conocimiento de la independencia de América, El Rey ha expedido «I decreto siguiente: se podrían añadir al dictamen de la comisión la* siguientes palabras : Don Fernando tu por le gracia de Dio* y por la Cemtitey que je entienda que tete fajo uo ti oir» eos» que un» meJid» fu cion de U Monarquía espadóla. Rey de las Espafia*, i todos ios que ramente Je cencinattou. Con esta adición no habrá inconveniente en las presentes vier…</t>
  </si>
  <si>
    <t>…ión de la prosperidad pública; y es indudable que ella et tolano» El Rey ha expedido los decretos siguientes : la que puede derramar la comodidad , la actividad, la industria y 1* Don Fernando vu por le gracia de Dios y por la Constitu luces en un número considerable de lot individuos que compones la ción de la Monarquía española, Rey de las España», á todos los que sociedad. las presentes vieren y entendieren, sabed: Que las Cortes han decre Pero…</t>
  </si>
  <si>
    <t>…repetir lo que muchas veces se ha dicho ya. ¡Es posible que te nos El Rey ha expedido los decretos siguientes: diga que con esta ley se dan armas al Gobierno, y que por ella puede Don Fernando vrr por la gracia de Dios y por la Constitu disponer de la libertad de imprenta i El Gobierno como un simple par ción déla Monarquía espinóla, Rey de las Espaiias, á todos los que ticular se presenta ante los tribunales para que se exija la responsabi las pre…</t>
  </si>
  <si>
    <t>…El Sr. Vadilio opinó que no debia variarse el modo de nombrar los Fl Rey ha expedido los decretos S’Cuirntes: jueces de hecho, porque consideraba que era muy á propósito lo fuesen Don Fernando vn por;a gracia de Dios y por ¡a Conít'fuc’on &lt;íe la por los ayuntamientos constitucionales; á lo cual contestó el Sr. Cues Monarquía espaúo a, Rey de 'as España*, j to os ios quf !a cres.r.ts ta que la comisión entendía mejorar con esto la ley de :: de Octub…</t>
  </si>
  <si>
    <t>…ero de i8»a.= bro aprcciable de la magnificencia eg¡|&gt;c¡* llegará muy pronto á Paris, A D. Josef Cienfuegos. adonde tu duefio M. Sautnier ha dispuesto que tea trasladado inmedia » Don Fernando ru por la gracia de Dios 7 por la Constitución de tamente. Puesto en aquel centro de ilustración, ocupará las plumas que la Monarquía espafiola, Rey de las España», á todos los que las presen ton digna* «le hacerle mas conocido. Los sugetos instruidos en todo…</t>
  </si>
  <si>
    <t>…i derecho de petición , antes a! contrario que jamas se habia am El Rey ba expedido los decretos siguiente*: pliado como ahora : y que el disponer que hubiese algunos de los firma Don Fernando vil por ¡a gracia de Dios y por la Constitución de la dos en una representación que fuesen responsables de la ider.t'dad da Monarquía española , Ray de tas Españas , á todos los que las presente* las demas firmas no era nada extraño, porque la comisión y las…</t>
  </si>
  <si>
    <t>…¡rúes, asi por el mérito ae su trabajo como por el renombre del original. El Rey ha expedido el decreto siguiente : Compuso Voltaire esta poema en edad temprana, cuando todavía no Don Fernando vh por la gracia de Dio» y por la Constitu había podido adquirir su juicio aquella madurez hija del estudio, y aquel ción de la Monarquía española« Rey de las Kspsbas, í todos tos que gusto exquisito de lo bello, que le granjearon después la justa celebridad…</t>
  </si>
  <si>
    <t>…cífico. La fortuna ARTICULO DE OFICIO. nos fue adversa en esta expedición; pero el Gobierno no responde de los acasos de la fortuna, ni puede hacérsele cargo por la mala suerte de Don Fernando vtr por la gracia de Dios y por la Constitución de sus empresas, cuando no es dado al hombre el prever ni evitar to la Monarquía española, Rey de las Españas, á todos los que las presen dos los sucesos desgraciados. Desde la equinoccial arribó el cano Ale tes…</t>
  </si>
  <si>
    <t>…eclesiásticas, de cualquiera clase y dignidad, que guarden y ha El Rey ha expedido el decreto siguiente : gan guardar, cumplir y egecutar el presente decreto en todas sus partes. Don Fernando vir por la gracia de Diot y por la Constitu Tendreislo entendido para su cumplimiento, y d (.pondréis se impr itii, ción de la Monarquía española, Rey de las-Españat, á todo* los que publique y circule. = Rubricado de U Real mano, se Palacio 8 de les presente…</t>
  </si>
  <si>
    <t>…contar con que las leyes se cgecutarán con justicia e igualdad, y que mi cuidado paternal ARTICULO DE OFICIO. 1* esmetará cu su bienestar.” „ Señores de la Cármra de los Comunes: Don Fernando vit por la crac'a de Dios y por ls Constitución da *»Tengo la satisfacción de manilestaros que en el año ú'tiino el la Monarquía española , Key de la, F.-pióas. a iodos ¡os que la, pr,senproducto de las rentas ha sido mivor que en el anterior, y que parece te…</t>
  </si>
  <si>
    <t>…LO DE OFICIO. ■Febrero ále itrimA D. Luía Sorel*. ................ El Rey ha expedido el decreto siguiente: . Habiéndose.ofaserraiio los trámites prncr itos. perla ley, y califica Don Fernando vii por le gmeia de Do* y por le Constitu do los jueces- de hecho coa la nota de byurb so eu primer jirado ti arti ción de le Monarquía española, Rey de las España*, á todos los que culo inserta en afcoúna. 347 del periódico titulado él fobmel -fe t~g las pre…</t>
  </si>
  <si>
    <t>…reglamento de instrucción pública, formado (debía decir decretado) El Rey ha expedido el decreto siguiente: por las Cortes, quedase suprimido el proto-medicato de salud públd, •&gt; Don Fernando vil por la gracia de Dios y por la Constitución de y cesase en el egercicio de sus atribuciones luego que con Reai aproba la Monarquía española , Rey de las hspañas, á todos los que las presen ción se nombrasen los individuos que hubiesen de componer is junta…</t>
  </si>
  <si>
    <t>…IO. motas. En la gaceta núm. 55 del 23 de Febrero, píe. 298, col. i.1, El Rey ha expedido el decreto siguiente: hablando de los poderes de los diputados de Navarra, dice /&gt;. J 'f »Don Fernando vn por la gracia de Dios y por la Constitu Luis Ruin Muntrriz, debe decir /&gt;. Josef Luis Múñasele. ción de la Monarquía española, Rey de las Espaiías, a todos los que En la gaceta del domingo 14, col 3. , l.nt. 18 y 19, donde d;c* las presente* vieren y enten…</t>
  </si>
  <si>
    <t>…sarán lista de los que quedau nombra El Rey se ha servido dirigirme para su circulación la ley siguiente: dos jueces de hecho 4 las diputaciones provinciales , para que estas ha » Don Fernando vn por la gracia de Dios y por la Constitución de gan desde luego su eteccion. Art. 13. La declaración de los jueces de la Monarquía espafiola, Rey de las España* , á todos los que las presen, hecho, en que se dice: „ ha lugar ó no ha lugar i la formación de…</t>
  </si>
  <si>
    <t>…ó á lop artilleros que guarnecían la plaza de Pamplona en el ello de 1814. El Rey ha expedido el decreto siguiente •• A las mismas se pasó una instancia documentada de Dolía María Don Fernando vtr por la gracia de Dios y por la Constitu González, viuda de un sargento mayor, en solicitud de que se la con ción de la Monarquía española, Rey de las Espsñas,á todos lo* que ceda la viudedad que la corresponde. las presentes vieren y entendieren, sabed: Q…</t>
  </si>
  <si>
    <t>…u poder , aunque se baile presentado y verificado en la secretaria, El Rey ba expedido d decreto siguiente: tendrá facultad para asistir por tí á las juntas generales, siempre que Don Fernando va por le gracia de Dioe y por la Constitu acuda á dicha oficina en tiempo hábil, esto es, antes del término ción de la Monarquía espa&amp;ola, Rey de las España*, á todos los que refijado para la exhibición de las acciones y poderes, á recoger el que las present…</t>
  </si>
  <si>
    <t>…s lo necesario á su cumpiim ,-nto. K-te rubricado de la Real mano. En Aranjuez a to de Marzo de idae.cnA D. Josef Mos El Rey ha expedido los decretos siguientes: toso de Ailamira. Don Fernando vit p t la ¿racia de Dios y por la Constitución de Crrul.tr .1,1 m:&gt;r.!tir:o Jt • ! G:».— la monarquía española , Rey de ¡as España,, á todos los que i as presen Para poner en practica desde luego el decreto de las Cortes de 27 tes vieren y entendieren , sabe…</t>
  </si>
  <si>
    <t>…. y A A. continúan sin novedad en su imponente miad.” Habiéndote procedido 4 ella, resultó aprobad» la proposición por 77 El Rey ha espedido el decreto siguiente: votos contra 48. Don Fernando vii por la gracia de Dio» y por la Constitución de Los Sres. que la aprobaron fueron Infantes, Oliver, Selva, Prat, la Monarquía etpafiola. Rey de las Espafias, a todos los que las prese», Buruaga , Domenecb, Fumare jo , Loque , Somoza , Llórente , Rojo, tes…</t>
  </si>
  <si>
    <t>…es que |uzguc convenientes. Art. tt. Los pleitos y dudas que f—**— El Rey ha expedido los decretos siguientes: suscitarse en todo el ramo de minería, y no putém malverse por loa » D. Fernando vii por la gracia de Dios y por la Constitución da precedentes artículos , se resolverán por lo que previene la ordenanza la monarquía Española, Rey de las Españas, á todos los que las pre- de minería de Nueva- hspaña. Art. 1). Las minas y pozos de sal no se…</t>
  </si>
  <si>
    <t>…«onvocado; pero este hubiera venido de todos modos, y estaba dispues El Rey ba expedido el decreto siguiente: to á hacerlo. El Gobierno no necesita ser llamado á las Cortes cuando D. Fernando vtt por la gracia de D os y por la Constitución ri se trata de estos negocios; tiene derecho para ello, pues que se le da ia la Monarquía española , Rey de las Ijspañis , i todos los que lis p-.ley fundamental. El secretario actual de Hacienda ha dicho que la…</t>
  </si>
  <si>
    <t>tendentes y M individuo de k diputación provincial, 6 tu persona* El Rey he expedido el decreto siguiente: que estos designaren por lat jnntm que no caten cala capital de pro» Don Fernando vtt por la gracia de Dios y por la Comtilf ion da ▼Acia, baria la regnlack» de laa rebaja* de que labia *1 artículo ante» la Monarquía cip*fo¡a. Rey dé las Eapafiat, á lodos los qaa la» proseó ñor, con respecto al producto del atedio diezmo y i las obligacion…</t>
  </si>
  <si>
    <t>…trocientas plazas en el bergantn de guerra Hocuirs , la golua .V . 0 El Rey ha expedido el decreto siguiente: cuatro trasportes corsarios , logrando desembarcar con toda ¡e.ic Jad D. Fernando vil por la gracia de Dios y por la Constitución de noche del 14 al 15 en el surgidero de los Taques , península de J\¡11 Monarquía española , Rey de las Españas , á todos los que las pre- raguana , deteniéndome en dicho punto solo las horas precisas para fa K…</t>
  </si>
  <si>
    <t>…mayor prontitud posible. En el prólogo de esta nueva traducción El Rey ha expedido el decreto siguiente: se notan algunos d; los infinitas errores de las anterior *, y se hace ver D. Fernando vu pot la gracia de Dios y por la Constitución de la necesidad que hab a d - que esta obra clasica se tradujese por fin al la Monarquía española , Rey de las Españas , á todos 'os que las pre español. Cada tomo a id rs. sentes vieren y entendieren , sabed: Qu…</t>
  </si>
  <si>
    <t>…la de la Monarquía española decretada por las Cortes generales y aigunos españoles vamos desplegando para confusión de las naciones extraordinarias el año de 1811; mas Rey que el Sr. D. Fernando vtr, que hasta ahora no nos han conocido mas que por nu.'Stra fidelidad, por ni mas Gobierno, que el actual puesto i mi cargo corno su virey; in nuestra rectitud, por nuestra circunspección, por nuestra prudencia, y fringiendo tan inalterables principios y lo…</t>
  </si>
  <si>
    <t>…estro), pronosticándoos que el reino toso» en defensa det trono constitucional de nue»tro idolatrado Mo todo va á ser envuelto en un cúmulo de males incalculables: que al narca el Sr. D. Fernando vti , y para conservar la integridad de la Mo Rey pretenden defraudarle loa incontestables derechos de que está ea narquía , bajo las órdenes de V. E.. como su digno representante en posesión hace tres f iglo», y que vosotros vais á padecer cuanto no ea estas…</t>
  </si>
  <si>
    <t>…n, restablecimiento de la Constitución política, cuya observancia afirmaba pidiendo una remuneración por varias mejoras que habia hecho en algm el trono en la augusta dinastía del Sr. D. Fernando vst, protegía y no* terreno* agregados al Crédito público, opinaba qne debía pasar á sostenía la libettad civil, y aseguraba an propiedad i independencia, y informe é la junta nacional de dicho ramo. Aprobado. principalmente aseguraba el inapreciable tesoro d…</t>
  </si>
  <si>
    <t>…4. ii Se depositará en el archivo de Cortes el exped ente original El Rey ha expedido los decretos siguientes: del referido descubrimiento y exhumación. Madrid 14 de Abril de 1. ° D. Fernando vu por la gracia de D,os y por la Constitución da i8ai.=Caye!ano Valdés, presidente. = Juan Oliver de García, diputa do secretario.“V.cente Salva, diputado secretario.” la Monarquía espillóla , Rey de las Espadas , 4 todos los que las pre sentes vieren y ente…</t>
  </si>
  <si>
    <t>…lot mitino* pueblo*. A la par de esto te han hecbo también dcmxto El Rey ha expedido el decreto sígateme: ne* de terrenos inculto*, por i a* cuales *e han celebrado diferentes con D. Fernando vrs por le gracia de Dios y por la Constitución de le tratos de parte de tus duefios y de lo* colono*. Peto todo esto debe re Monarquía española , Kty de la España , i todos los que la presemos sultar necesariamente por los títulos que ae presenten , qne es f…</t>
  </si>
  <si>
    <t>…mas de que habían de entender en «sta Operación autoridades locales, El Rey ha expedido el decreto siguiente; «le las cuales no te podia desconfiar. Que ademas había también otra D. Fernando vn por la gracia de Dios y por la Constitución «le persona que tenia un ínteres en la integridad de las operaciones sobra la Monarquía española , Rey de las Espadas , 4 todos los que ias pre recaudación y repartición del medio diezmo, cual era la Nación ; per…</t>
  </si>
  <si>
    <t>…r actividad , recomendándolos al Gobierno para el ponía el Gobierno; esto a, i n perjuicio de atar sujeto al seivicio mi indicado objeto. Las Cortes lo oyeron con agrado. litar el D. Fernando. Aprobado. La com tíos de Diputación s provinciales, en vista de las exposi Otro sobre una exposición del cabildo de Canarias, y proposición ción-* de Doña Antonia Gómez, viuda de un empleado en el ayunta del Sr. Echevarría sobre el mi-mo objeto. La comisión…</t>
  </si>
  <si>
    <t>…ad en su importante salud.” Recaudado i cuenta en todo Abril................7-376,141.1 9 KI Rey ha expedido el decreto siguiente: Débitos que resultan para recaudarse en ei.mw.4a D. Fernando vn por la gracia de Dios y por la Constitución de Mayo...,-.......................... .. 4t * 282,481 ..a 3 la Monarquía española, Rey de las Espadas, a todos los que las pre J- l' - ------------------------"3 sentes vieren y entendieren, sabed: Que las Corte…</t>
  </si>
  <si>
    <t>…núan sin novedad en su importante salad.** Villamil. Habida la conferencia, resultó por unanimidad haber lugar á la El Rey ha expedido lo* decretos siguientes: formación de causa. Don Fernando vit por la gracia de Dios p por la Constitución de fa Monarquía espadóla , Rep de las Espadas, á todos lot que las presen En la oficina de la redacción ds la Gaceta se ha recibido el siguiente tas vieren p entendieren, sabed : Que la* Cortes han decretado, p…</t>
  </si>
  <si>
    <t>…refrendará el primer secretario , y se sellaran con el gran sello del Estado. El Rey ba expedido el decreto siguiente . Art. w El consejo dispondrá de fas fuerzas de mar y tierra. D. Fernando vu por la gracia de Dios y por la Oonsttuc:on da Art. 39. ” Podrí publicar las instrucciones que tenga por conve la Monarquía española , Rey de las Espiras . a todos os que las pre nientes,* v hac*r aplicar las leyes concerniente* *1 ordan público. sentes vie…</t>
  </si>
  <si>
    <t>…diatsmcMo una ley sobra al astablecimiento de los tribunales. El Rey ha expedido loa decretos siguientes : Art. 88. » Esta ley sefialará sus respectivas jurisdicciones y la* fórmu Don Fernando vn por la gracia de Dios y por la Constitución de las que deberán seguirse en «I orden da procedimiento* y cu la aratan- le Monarquía española, Rey de las Españas, á todos los que las presen c¡ación de la causa. tes vieren y entendieren , sabed : Que las Cort…</t>
  </si>
  <si>
    <t>…ón, suspensión y entredicho, y demás sent r.clas , censuras y El Rey ha expedido los decretos siguientes: penas eclesia*ticas fulminadas con cua'quier motivo o caca , i ji.tr -.el Don Fernando vir por U grac:a de Dios y por la Constitución da la ab homine, si de cualquier moja se ha-iaren ircur-.-., en ; ,-ers , s:lo Monarquía española, R.v de la, España;, i todos los q.ie lo presentes para que consigan el efecto Ae í&gt;tas letra, : detr.zvdo á la :r…</t>
  </si>
  <si>
    <t>…dice el continúan sin novedad en su importante salud.” Constitucional fraÁces que va á celebrarse un gran Congreso militar ea El Rey ha expedido ios decretos siguientes: Mohilow. Don Fernando vu por la gracia de Dios y por la Constitución de » Según avisos de Trieste, ia cindadela de Atenas se rindió por capi la Monarquía española , Rey de las España», á todos los que las pre tulación i los griegos, y estes iban i sitiar é .Salónica, á cuyas inme…</t>
  </si>
  <si>
    <t>…sultado el Gobierno sobre alguno* puntos para llevarle 4 efecto, el El Rey ha expedido los decreto* siguientes: Congreso habia contestado que estaba autorizado pan poner en rgecu- D. Fernando vti por la gracia de Dios y por la Constitución de la cion todae aquellas medidas que creyese convenientes; y asi que, aun Monarquía española , Rey de las Espadas , á todos los que las presentes que se pusiese en duda ti el secretario del Despacho se había ó…</t>
  </si>
  <si>
    <t>…hay un convento de agustinos, al qoe asistirá por el precio en que El Rey ha expedido el decreto siguiente: se conv -ngan. Los aspirantes deliran estar versados en las dos faculta Don Fernando vii por la gracia de Dios y por la Constitución de des de médico y cirujano, pues el agraciado tiene que ejercerlas ambas. le Monerquía española, Rey de las Españas, á todos los que las pre Se admiten memoriales hasta el 30 del corriente en la secretaría dd s…</t>
  </si>
  <si>
    <t>…huerta del extinguido convento de S Francisco da ta trenes r aquella villa, á fin de construir un cementerio rural, opinaba que de Uno sobre la solicitud de D. Andrés, D Manuel y D. Fernando bía accederse á lo que pedia dicho ayuntamiento, deciaran io que el lasjr.s , hermano», vecinos d: Cá-liz , para qje se les dispense la edad Gobierno está autorizado por el decreto de a de Febrero último para qu: les faltaba para administrar sus bienes sin ne…</t>
  </si>
  <si>
    <t>…i8ia.=A D. Felipe de Sierra y Pambley. recibido la noticia de la muerte del general Elío, loa be leido deteni damente; y veo que algunos (no todos) se equivocaron en las expresio Don Fernando vir por la gracia de Dios y por la Constitución de nes que me atribuyen. Dije que me lo escribía persona fidedigna, que la Monarquía española, Rey de las España;, á todos los que las pre para hacerlo en postdata habia abierto la carta 4 presencia del admi sen…</t>
  </si>
  <si>
    <t>…rnández el tomo 9." está en para una plaza de magistrado de la audiencia territorial de Castilla la prensa, y se entregará al tiempo ofrecido: continúa abierta la suscrip Nueva: á D. Fernando da la Torre y Heraa, á D. Simón de la Piaaa ción en todos los puntos anuncisdos. y Prado y i D. Miguel de Nájen para plana de la misma en la ele Arbol eucarístico de la vida , et sagrado corazón de J.sus sacra Canarias: á D. Aútbnió Ramón Gallegos para la jud…</t>
  </si>
  <si>
    <t>gpg Suecia. El piíocípe Oscar había ya salido á viaiar por Europa, y » Don Fernando vrr por !a ?-»;■•&gt; de Dios y por la Cor tifjcic-i.'as j ¿5 de Mayo ¡legó á Copenhague, donde fus reclb do del* modo mis la Monarquía española. Rey u; la-. Espinas , á rojo, ios que les pre í:i;:»ígv.&gt;. K¡ lü del mísuu lavo el Rey di onecía un &lt;iia di campo en…</t>
  </si>
  <si>
    <t>…la de Sa vatierra á favor de ti. Josef Sa'vador Sarmiento, conde de Sal El Rey ha expedido los decretos siguientes vatierra y de Pie de Concha, en Madrid á de Noviembre de 1678. . Don Fernando vil por la gracia de Dios y por la Constitución de Se suplica á quien tuviese noticia det parad.ro de todos,ó algunos de la Monarquía española, Rey dé la* España», á todo* los que las pre dichos privilegios se sirva comunicarla á dicho señor ó en su conta sen…</t>
  </si>
  <si>
    <t>…" un r para dar un ent ro Art. t.“’ Kstos pu b os har»n un son o, en El Rev ha expedido el decreto siguient •: trando con el nombre de cada una tartas c.viu’as cu i~tas de»-eras e Don Fernando vil por la y rae a de D &lt;*s V por la Constitución de havan tocado, v en otro tentar.- se rtr v?u- ran 10 be a» rum ead-s, la Monarquía española , R*y d* las Finabas, á todos los qu: 'a* pre «rad en da en la del r. en. 1. 1* ,~i!.,hri .... i..- . S-puo ¡a nuir…</t>
  </si>
  <si>
    <t>…es dación los documentos de principal y réditos pertenecientes á las capesobre reemplazos te hallan exentos, siempre que tengan casa abierta y llantas que disfrutan , fundadas por D. Fernando y D. Gonzalo Aloa. yunta propia, manejada por sí ó por criados, no les obstará el que lo so y por D. Lorenzo Perez Hurtado , las que despachadas por la contamaterial de la casa no comprenda todos los cuartos principales, segun duiía general de consolidación con los números 708…</t>
  </si>
  <si>
    <t>…allando yo utilidad alguna.en une se establezca esta guardia Real, El Rey ha expedido los decretos siguieates: ao sé seguramente para qua la hornos de organizar, estableciendo una Don Fernando vis por la gracia de Dios y par la Caastitucioa de</t>
  </si>
  <si>
    <t>…io de Lo que comunico á V. S. de Real orden para su mteligenc a v r cum ílit.aA O. Luis Balanzaf. plimiento , haciéndolo circular á quien corresponda. Madrid 19 de Ju nio de t8ta. Don Fernando vu por ta gracia de Dios y por la Constitución de Circulares del ministerio de Hacienda. la Monarquía española, Rej de las F.spafias, á todos los que las pre- El Rey se ha enterado por la consulta de VV. bS- de *8 de Mar-, sent -s vieren y entendieren , sabed…</t>
  </si>
  <si>
    <t>…ón , pues el calor podrá ocasionarnos otros males, tanto porque se aumentan las fatigas, como porque retrae de ellas á los que no tienen Jíl Rey ha expedido el decreto siguiente: 'Don Fernando vn por la gracia de Dios y por la Constitución d* la robustez suficiente para sufrirlas. Ademas nos cabe la desdicha de qun por la escasez de fondos será también indispensable suspender la obra la Monarquía española. Rey de las España» , á todos los que las p…</t>
  </si>
  <si>
    <t>…láusula Se bailará en las librerías de Brun y Antoran y en la de Rodríguezcontenida en el diario de esta ciudad dicbo el Indicador del d a 3g El Rey constitucional de las Espillas D. Fernando va , vindicado de Maro de «te 1^0 en la pagina 317, denunc ads por injuriosa por de las injurias que el autor de la Tercerola ha hecho á su sagrad* ¿ in D. Francisco Campos, apoderado de a Rxcma. Sra Doña Juana de Re violable persona &lt;Scc. núuss. 7,° y 8.a Se…</t>
  </si>
  <si>
    <t>…ido para su cumplimiento, y dispondréis se imprima, publique y circute.s El Rey ha expedido el decreto siguiente: Está rubricado de la Real mano.=En Aranjuezá 23 de Junio de 1822. Don Fernando vtt por la gracia de Dios y por la Constitución de A D. Nicolas Garelly. la Monarquía espadóla, Rey de las Españas, á todos los que las pre Circular del ministerio de Hacienda. sentes vieren y entendieren, sabed: Que las Cortes han decretado lo Los Sres. dipu…</t>
  </si>
  <si>
    <t>…á as autoridades y en i 1 conservación del oid.n estriba ia fe- El R*y ha expedido los decretos siguientes: lic dal de los ciudadanos. Los pu b os permanecieron tranquilos, y ias D. Fernando vu por la grac.a de Dios y por la Constitución de la autoridad » redob aron su vigi an*.i para cortar mayores niales. Monarquía española , R'V de las España; , a todos los que ia, presentí» Guando en oeviila se tuvo noten de este suceso as ieron para vieren y…</t>
  </si>
  <si>
    <t>…pan la egecucion de este decreto. Madrid *5 de Junio de 1822. = Alvaro El Rey ha expedido el decreto siguientes Gómez , presidente. = Josef Melchor Prat, diputado secretario.s An Don Fernando vn por la gracia de Dios y por la Constitución de gel de Saavedra , diputado secretario.” =Por tanto mandamos á todosla Monarquía espadóla, Rey de las Espadas, 4 todos los que las pre los tribunales, justicias, gefes, gobernadores y demás autoridades, asi sen…</t>
  </si>
  <si>
    <t>…y contra su mismo Rey , á quien aparentaban defender, vino ano El Rey ha expedido los decretos siguientes : che desde el Pardo i atacar la capital por el punto de ia plaza, hasta D. Fernando vn por la gracia de Dios y por la Constitución de 1* cuyas inmediaciones logró penetrar, favorecido de la obscuridad. Monarquía española , R:y de las Es pañas, i todos los que Iss p res; ríes listos facciosos emprendieron sin duda semejante operación , y con…</t>
  </si>
  <si>
    <t>…ho se le oír; y guardará justicia en lo q-.te ia tuviere, y no lo El Rey ha expedido el decreto siguiente: haciendo, la sant. ncla que en su ausencia y rtbeld.a se diere le pasará Don Fernando vu por la gracia d: D os y por la Constitución de igual perjuicio que si se presentirá. la Monarquía española, Rey de las España?, á todos los que las pre Por edicto que ha manean., publicar el Sr. D. Angel Fernandez da sentes vurn y entendieren , sabed: Que…</t>
  </si>
  <si>
    <t>…tflaa.3 A D. Felipe de Sierra y Pambley. egercer las facultades de Rey constitucional de la* Fspañat: su* minis tro* en igual situación no pueden gobernar el Estado: la Diputación Don Fernando vu por la gracia de Dina y por la Constitución de le sin una acción conocida pierde la consideración de los pueblos. Tiem Monarquía española, Rsy de las España*, á todos los qut las presentes po es de Salir de tan equívoca situación. vieren y entea dieren, sa…</t>
  </si>
  <si>
    <t>…n 7se dis Felipe de Sierra 7 Pambley. tribuirán todos los caudales del establecimiento , quedará á las órdenes del segundo comisionado especial, bajo la inmediata inspección de la Don Fernando vtt por la gracia de Dios 7 por la Constitución da jun-a directiva. Art. 11. Los contadores desempeñarán las funcione* la Monarquía «paíiota, Rey de las Fspafias, á todo* los que laa pre siguientes: 1.* la dirección económica de todos los ramos 7 arbitrios se…</t>
  </si>
  <si>
    <t>…e que aparezca algún responsable. 10. Podrán aprobarse los modelos El Rey ha expedido los decretos siguientes: que la contaduría mayor acompaña de los estados con que en lo sucesi Don Fernando vu por la gracia de Dios y por la Constitución de la vo habrá de dar cuenta de sus operaciones á las Cortes. 11. Los emplea Monarquía española, Rey de las Espafias, á todos los que las presen dos en la comisión de rezagos se reputarán vivos para la percepción…</t>
  </si>
  <si>
    <t>…» Los holandnes en el «pació de 107 éfidshan perdido 561 barco* fil Rey ha expedido loa decreto* siguiente*: de los i4,i67que han enviado á los mares de Spitzberg, ettp es, cerca Don Fernando vn por la gracia de Dios y por la Cowt/tucíon d* de 4 por too. En la bahía de Baffin ha perdido la misma nación 6a la Monarquía «palióla, Rey de las Espadas , á -todo* los que las pre embarcaciones de 3161, es decir, solamente .1 por 100. Actualmente sera s v…</t>
  </si>
  <si>
    <t>…ra los en misos del sistema constitucional, y que debe nacerles per El Rey ha expedido los decretos siguientes: der toda esperanza de un trastorno, si no quinen ser victimes de su Don Fernando vti por la gracia de Dios y por la Constitución de loca osadía. la Monarquía española, Rey de las Españas, a todos los que las pre No podía menos tan plausible noticia de inspirar á cada español, sentes vieren y entendieren , sabed: Que las Cortea han decreta…</t>
  </si>
  <si>
    <t>…mos puebo». idas a.\ D. Felipe de Sierra y Pambley. Art- *» Fn fin de cada tercio formarán los pu-blot usa liqu'dacion arreglada a', mod-lo que acompaña de ios sut n st-os que m.V;D. Fernando vn por la gracia de Dios y por la Constitución de la ten hecho en tc&gt;d &gt; é ; y ps-a ju-t ficar los precios d. ios grn .ros .uimMonarquía española , Rey de la* España*, a todos ios qne’las presente* nisirados ac rnpa-.aran á ia misma liquidaron un testimonio d…</t>
  </si>
  <si>
    <t>…sitio mismo donde el segundo batallón de Astirías proclamó el El Rey ha expedido los decretos siguientes: primero la Constitución *, y el de la ciudad de S. Fernando en el paragu Don Fernando vu por la gracia de Dios y por la Constitución de que se juzgue mas conveniente. Art. 3.° La academia nacional propondrá la Monarquía española, Rey de las Espadas, i todos los que las pre las inscripciones que hayan de ponerse en estos monumentos, y las pasa*…</t>
  </si>
  <si>
    <t>…hallan decididas í decretar la fuerza militar extraor XI Ray »e ha servido dirigirme el decreto siguiente: dinaria , y los recurios pecuniarios que se nrcciten para sostenerla, " Don Fernando vir por la gracia de D osv por la Constitución de siempre que el Gobierna creyese necesario cubrir nuestras fronteras. la Monarquía española, R-y de las hispana», a todos los que las pre Madrid 19 de Junio dr :8ia.” sentes vieren y entendieren , sabed : Que l…</t>
  </si>
  <si>
    <t>…y de conformidad con el dictamen del Gobierno, Con esta fecha me ha dirigido d Rey loe decretos siguientes: han venido las Cortes en declarar que los oficios de subalternos de los Don Fernando vn por la gracia de Dios y por la Constitución da tribunales y juzgados no se hallan comprendidos en la disposición del la Monarquía española, Rey de las Espafias, á todos los que las pre decreto de 13 de Marzo último, que prohíbe la provisión de empleos sent…</t>
  </si>
  <si>
    <t>…ema constitucional =A D. Diego Cicmencin. en ai de Febrero del año ao, protesta de nuevo que será un firme apo yo de las leyes que emanen de aquel, y que jamas consentirá se viole Don Fernando vis por la gracia de Dios j por la Constitución d* smpunemente el juramento prestado de sostener ¡a G nstitucion á pre la Monarquía española, Rey de las Espadas, á todos los que las pre cio de sus vidas si fuese necesario. Esto son sus votos f Jos mismos sent…</t>
  </si>
  <si>
    <t>…CIOS. Puno Peíncipe, n la i. a el. Cuba, - igua-rs plazas á las audiencias de la Cora a y Va lalniid, h,i quédalo vaeai t r ra, qu obtenían en El Rey constitucional de las F.pañas D. Fernando vrt vindicado la reh-nda Oe óue to Principe , cuyos sucedo» Sun d. 33^° pesos ca de las inju tas que W ha hecho el auíor de la Tctc.roU Sce.: míui. y y da una. 10 Se ha lar n con los entenerrs en las librerías de Sanz y Viiia. ■se idmitrn m m irales de los pr…</t>
  </si>
  <si>
    <t>…. 14.000,000 Aduanas.............................. 60.000,000 El Rej ha expedido los decretos siguientes: Papel sellado j letras de cambio.............................. 30.300,000 Don Fernando vn por la gracia de Dios j por la Constitución da Loterías........................................................................... 10.000,000 la Monarquía española, Rej de las Espadas, á todos los que las pre Correos............................... 14.000,0…</t>
  </si>
  <si>
    <t>…e la pérdida por no haber llegado aun el parte oficial. Fl Rey se ha servido dirigirme los decretos siguientes Sabiendo los facciosos que la milicia nacional voluntaria de Porrera Don Fernando vii pot la gracia de Dio» y por la Constitución de se hallaba fuera se presentaron en esta; p.ro la milicia noticiosa de tal la Monarquía española. Rey de las Españas, a todos los que las pre atrevían nto, corrió en alas de su zelo a defender su* hogares: y e…</t>
  </si>
  <si>
    <t>…a:.= \ D- Fel pe ce fierra y ?an.b. y. los futimos sucesos de la corte hayan dejado de producir os mayores en otros puntos , quiera el cielo que una crisis igual á la que acaba de Don Fernando vn por la grsci: d; D os y ror la Cor.t t .-c:on de asar vuevi á r ¡retirse: el patriotismo, es v.rdad. no habría de debi la Monarquía esp-ri ia, Rey o.- t= E-pi:,.» , c .c des ’ s que pre Jtarse , mas tal v z en su desarrollo impetuoso t ndria que obrar en U…</t>
  </si>
  <si>
    <t>…l8ta. = A ó mu.-rt - *-a para siempre ru.stra voz de reunión, y siempre r-p tamos Don Di-go Gl-nitncin. muerte ó Constitución. Síjov.b a 2 de Julio de 182a.” (Siguen las firmas.) D. Fernando vri por la gracia de Dios y por la Constitucicn de la DtRECCIO* GKVERAL DB lOTBRIAS NSCIOM ALES. Monarquía española, R y rfr ¡as Españas, á todos los que las presentes Noticia de los fu b!rs donde han cabido los premios mayores de la Vieren y . ntendirren , s…</t>
  </si>
  <si>
    <t>…LO DE OFICIO. al cumplimiento fie este artículo lo» jueces y escribanos. V Rey bs expedido los decreto* siguiente*: Art. ry. » Todos io* empleado* en los tribunales no podrán ejer Don Fernando ni por la gracia de Dios p por la Constitución fia cer su profesión ti 10 pmcstMci tu piieittf corriente t tícncto nulo la Monarquía española, Ry de las Etpeltat, á todos loa que las pee- todo cnanto actuaren tía esta requisito, p los jueces serán responsable…</t>
  </si>
  <si>
    <t>…recursos, no ha con cio á 10 de Ju-.o de 102 2 =A D. Felipe de Suena y F.mb ey. seguido el buen obj «o que deseaba. Continúan las felicitaciones á la milicia nacional de Madr-.d. Don Fernando vn por la gracia d- D n y por la Constitución da Los voluntarios nacionales de infantería y «.aballaría de esta ciudad la M.muquí española , Rey de las España», a iodos os que v ehan dirigido á sus compararos de armas en Madrid la manifestación aentes v er n…</t>
  </si>
  <si>
    <t>…es que todos los periódicos de Europa han publicado la sustancia de ¿I, El Rey ha expedido el decreto siguiente: y que ningún diplomático ha tratado de desmentirla , lo que segura Don Fernando vn por la gracia de Dios y por la Constitución de le mente hubieran hecho (como lo han verificado en otros casos ) st lo Monarquía española, Rey de las Espadas, á todo» los que las presen que se publicó sobre su contenido hubiera sido inexacto. tes vieren y e…</t>
  </si>
  <si>
    <t>…de 18¿2-3A D. Felipe de Sierre y Pambley. que vacaren, y que no deben proveerse según los decretos y órd oes vigentes, entrarán desde luego en la mata de bienes dest nados á la in Don Fernando vn por la gracia de Dios y por la Constitución da demnización de los partícipes legos de diezmos. Se exceptúan cólmen la Monarquía española, Rey de las Es pañis , í todos los que las pre te las fincas ó bienes que constituyen la dotación de las cape! lanías ó…</t>
  </si>
  <si>
    <t>…lamen los comandanta generales de las diputaciones provinciales y El Rey ha expedido el decreto siguiente: gefes políticos la falta del cupo del enterrar, á fin de que esté comple Don Fernando vit por la gsacia de Dios y por la Constitución de la to aquel al exigir el del presente en el término prefijado por las Cortes, Monarquía española, Rey de las Espadas, á todos los que las presentes teniendo en consideración las circunstancia» particulares de…</t>
  </si>
  <si>
    <t>…oda la provincia la cantidad de cinco millones de rs. El Rey se ha servido dirigirme los decretos siguientes: para atender i la manutención de este armamento, de que esperamos con Don Fernando vu por la gracia de D.os y por la Constitución da el tiempo el exterminio de todo* nuestros enemigos. Es coronel inspec la Monarquía apaño.a, Rey de la* Espafias, á todos los que las pre tor de esta fuerza , nombrado por ta diputación , el citado Baeza , reco…</t>
  </si>
  <si>
    <t>…s naciones, se anoten con el debido bley. orden de series y números todas y cada una de las certificaciones de remas perp’tuas redimibles pagaderas en París y Lóndtes al portador, D. Fernando vil por la gracia de Dios j por la Constitución de I» que se van expidiendo por el valor de los efectos que se recojan de la Monarquía cspafiola, Rey de las Espaftas, a todos los que las presen circuiac on, y forman actualmente el importe de los antiguos prés…</t>
  </si>
  <si>
    <t>…cabida que ia sr ,'aARTICULO DE OFICIO. da en el att. 6.' dentro de ¡a» do, ¡c^uas de disünc.a de nuestras cos ta», deteniéndole los boques, é imponiendo a¡ capitán ó pa;ror. cr.a Don Fernando vu por ia gracia de Dios / por la Constitución de la multa igual al valor de ellas. Monarquía española, Key de ¡a, E.pañas , á iod;,s lo» que las preset»* Ait. IV- ” Para cubrir dicha multa po-bá embargarse Ja par!; do tes vieren y entendieren, sabed: (Ja; la…</t>
  </si>
  <si>
    <t>…de lo. avunti-n-.ent'.s con aprobación de l*&gt; diputaciones pro El Rey ha expedido los decretos siguientes: vinciales, el cumpi meato vi: ..i&gt; .'..'.líalos; v ía. tandil ¿ ellos po Don Fernando vn por la gracia de Dioe y por la Constitución da dran adjudicáis á otras, después de cumplido el ;erm:ro que se la Monarquía española , Rey de las España*, á todos los que las pre fije. A l 14. To !.;» r&gt; .u.-te» que se entreguen a ios agracia-os sentes vier…</t>
  </si>
  <si>
    <t>…e Julio de 182a. zz A D. Diego Clemencia. fundarla únicamente en estar hipotecada una tierra determinada, en cuyo caso se le adjudicará la misma tierra en cuanto cubra su crédito. Don Fernando vit por la gracia de Dios y por la Constitución de la Art. 19. Si los acreedores fuesen manos muertas, recibirán las tierras Monarquía española. Rey dejas Españas, á todos los que Jas presen con la obligación de enagenarlas en el término de ua año j y ai asi…</t>
  </si>
  <si>
    <t>…s ó impresos en que se anuncien las diversiones públicas de toda El Rey ha expedido el decreto siguiente: especie , las obras venales en las librerías ú otros parages, y todo anun Don Fernando vn por la gracia de Dios y por la Constitución de cio en que de cualquier modo medie el interes particular. la Monarquía española, Rey de tas Espinas , á todos los que las pre Art. 22. » Los funcionarios públicos de todas clases, inclusos los santes vieren y…</t>
  </si>
  <si>
    <t>…este, de Kentuki, Santo *822. = A D. Miguel López de Bafios.” Domingo ó de otra clase que no sea havana,'siendo de buena calidad paracigarros puros.........—;.. ......1......... a Don Fernando tu por la gracia de Dios y por la Constitución de la Por la qu: de dichas ciases pueda aprovecharse para tri Monarquía española, Rey de las Españai, i todos los que las presen pas ó picada..................................................................... t…</t>
  </si>
  <si>
    <t>…ICULO DE OFICIO. le háb:a dirigido coa esta fecha el Real decreto siguiente: El Rey ha expedido el decreto siguiente: - Habiéndome hecho presente D. Antonio Martínez qne sus conti Don Fernando vu por la gracia de Dios y por la Constitución de la nuas y habituales indis posiciones no le permiten desempeñar el encar Monarquía española, Rey (fe las España:, á todos los que las presen go de secretario del Despacho de Hacienda , para el que le nombré po…</t>
  </si>
  <si>
    <t>…es te conviertan. Loa gefes eran V Jella y Moten Eudardo de S. Juan El Rey ha expedido el decreto siguiente: de las Abadesas, el cual pasó cuatro horas en la habitación del doctoc Don Fernando vn por la gracia de D,»» y por la Constitución de Antonio Vita haciendo el mas escrupuloso registro de todos los pape la Monarquía española, Rey Ce las F.spañas, a todos los que las pre les que dejó, y aunque como puede vd. pensar no había nada intere sentes…</t>
  </si>
  <si>
    <t>…do asegurarse que muy pocos dejaron de recibir alguna herida. Varios El Rey ha expedido el decreto siguiente: soldados se apearon para poder emplear los golpes con mas provecho, y Don Fernando vu por la gracia de Dios y por la Constitución de la cansados de matar y de herir, se encontraron en un parage en que no Monarquía española, Rey de las Españas, á todos los que las presen pudiendo continuar adelante por los obstáculos que ofrecía , pudieron t…</t>
  </si>
  <si>
    <t>…Rey se sirvió dirigirle con la misma fecha, que horrendas producciones de ¡a ambición y la perfidia. . dice asi: - No tardaron en descubrirte los negros efectos de la» mas atroces Don Fernando rn por la gracia de Dios y por la Constitución do maquinaciones , y de contado la sangre espadóla comenzó i corter en la Monarquía española, Rey de las España*, i todos los que las pre un suelo tanta» veces regado con ella. Después de mil esperanza» cri sente…</t>
  </si>
  <si>
    <t>…en el pago de Im obli gación» que en las provincias están á tu cargo. El Rejr ha expedido el decreto siguiente : El Gobierno ha resuelto trasladar de unas audiencias á otras i los Don Fernando vtt por la gracia de D.os y por la Constitución de la siguientes magistrados en uso de la facultad que la está concedida por Monarquía cspafiola, Rejr de las España*, á todos los que las presen el decreto de las Corte* de &gt;9 de Junio último. tes vieren y ente…</t>
  </si>
  <si>
    <t>…aldobrandinas que constituían Continúa el catálogo dt esta imprenta Nacional.__Colección de de una gran parte de las decoraciones de los baños de Tito. En estas pin cretos del Rey D. Fernando vn desde 4 de Mayo de 1814 hasta fin de turas , que adornaban las paredes de laa salas, apenas se descubre á pri Diciembre de 1819 , seis tomos 4.a, y uno de apéndice , El g.°, 6? mara vista cosa alguna de su antigua hermosura, por estar muy toma y el apéndic…</t>
  </si>
  <si>
    <t>…que iban á conducir desde Algeciras á Cataluña el batallón de la CoroEl Rey ha expedido el decreto siguiente: na, debiendo después de verificarlo volver al Océano, y continuar su Don Fernando vu por la gracia de Dios y por la Constitución de la derrota al pu.rto de l'.rrol para sahr desde allí y ía Cor uña con la cor Monarquía española, Rey de las Españas, a todos los que las presen respondencia de Ultramar el (5 de Octubre próximo, según está man…</t>
  </si>
  <si>
    <t>…da por los amigos de la libertad, persiguiendo á los facciosos ron el día &gt;8 ds Setiembre de 1819 por encargo de su augusto esposo el por las encumbradas timas hasta el anochecer. Sr. D. Fernando vrr.__Monumento sepulcral, egecutsdo para las mis » Según la fuerza y posiciones que ocupaban es de creer que conta ma* exequias. Estas dos estampas hermosaments grabadas en Roma se ban con la victoria y con apoderarse de la división : contra su cos hallan ve…</t>
  </si>
  <si>
    <t>Don Fernando vh por la gtacie de Dio* ypor la Conct'tucíon de U 8 0 y part: del 7.a distrito en busca del corsario de los rebeldes, ar Monarquía española, Rey de las Españas, á iodos los qu: las presen mado en la cala de Ausona , al mando del cabecilla Alegre; cerciorán t…</t>
  </si>
  <si>
    <t>…Asares , supe que reunida ¡a parí.di de Z-ivali y (.tras a la de ahue El Rey ha expedido el decreto siguiente: / sada, en numero de 3500 hombr-s v 140 caballos me esperaban en un» Don Fernando vit por la grac a de Dios y por 1s Constitución de posición ca»i innacesibte , persuadido» dei triunfo. la Monarquía Española, R-y de las Fspafias, á todos los que las pre- „ O.upaban los facciosos el monte de Asarta , aportado su izquier sentcs vieren y ent-…</t>
  </si>
  <si>
    <t>…a instancia de esta M. H. villa de Madrid, te cita , llama y empla F.l Rey ha expedido el decreto siguiente: za á D. Josef Mingo Oialora , natural de la villa d; l'ozorubio, en la Don Fernando vn por la acacia de Dios y por le Constitución de Mancha, de estado casado, de edad de 33 años, y Doña Teresa Nuúez, la monarquía española, Rey de las Etpañas, i todos los que lis pre de estado casada , para que en el término de nueve dias , contados d:sdc sa…</t>
  </si>
  <si>
    <t>…en raz &gt;n á pecto del día 24. que d eha consideración debía solo concederse a la, perlinas y no á Nso olvidemos que desde el año 3 resolvió la Nación restablece- ai sus familias. Sr. D. Fernando v:i ca ei trono de *u$mayort&gt;; modo que o qu- r¡&lt;,§ El Sr. Moreno apoyó el artículo, manifestando qu; aun respecto ds recuerda e**ie d a o haberse cumplido lo que ia Nacun ..*b 1 rour-ro. la nobleza se verificaba qu; ‘a mugar de un nob&gt;e - crin de esta dis N.…</t>
  </si>
  <si>
    <t>…ias que te siguieron á ta entrada de» ARTICULO DB OFICIO. Rey en España. El Rey ha expedido el decreto siguiente: Asi pues la proposición del Sr. Falcó es justa y digna del Congre Don Fernando rn par ta gracia de Dioa y por la Constitución de la so: si este quiere fijar una época que recuerde el triunfo de las armas Monarquía española, Rey de las España*, i todos los que las presentes españolas contra las extranjeras , fíjenla en buen hora; pero qu…</t>
  </si>
  <si>
    <t>…ego que seencoa;..* coa ¡as arrirz&gt;das rn.-m.gas correspondió ¿ El Rey ha expedido el decreto siguiente: Sus voc-'S en term nos de hj- ri.-, cr.er que ría siras 1 opas p-rtrn-c;aa Don Fernando vu por la gracia d- Dios y por la Constitución de la al cab cu.a bar :n de Eróle- , r pe- ir.u.ii!*; .1 march &gt; nac a ei pue Monarquía española, Rey do tas Kspañas, á todos los que las presentes blo con aVun.'S de los mi.-MU :e.: .- .[ando estos a ¡os de ,t a…</t>
  </si>
  <si>
    <t>…am plona: según otro iba O-Dontll acompañado de un capellán , y el dia El Rey ha expedido el decreto siguiente : 15 la habían precedido unos 140 refugiados, con to cairos de panta Don Fernando vit por la gracia de Dios y por la Constitución ¿i lones y a bandera*. la Monarquía española. Rey de las España*, á todos los que l_&gt; pré Lo que nos llena dt asombro es leer que el general francés Aoti- senles vieren y entendieren, sabed: Que las Co.-te* cxtr…</t>
  </si>
  <si>
    <t>…rera de S. Francisco, núm. 1. ARTICULO DE OFICIO. WSZSMVSVII uansit Ab El Rey ha expedido el decreto siguiente : Para la rifa de la casa sita en la plaza de ia Constitución de esu Don Fernando vil por la gracia de Dios y por la Constitución de M. H. villa se rcmeseron al administrador de Tolos* veinte villem, la Monarquía espadóla, Rey de las Espafias, á todos los que las pre señalados con los números siguientes: cinco del 1486 al 1490 ; cinco sent…</t>
  </si>
  <si>
    <t>….... ARTICULO DE OFICIO. Dirección general de aduanas y resguardos. El Rey ha expedido el decreto siguiente : JH/túmen de los valores y gastos dt las aduanas dt la Península en el Don Fernando va por la gracia de Dios y por la Coutitocroa de enes dt Octubre dt 18ta. la Monarquía española, Rey de las Españaa, i todoa loa que las pre Rs. de vn. sentes vieren y entendieren, sabed -■ Que las Corte* extraordinaria* lian decretado lo siguiente: Las Corte…</t>
  </si>
  <si>
    <t>…alas de Sevilla en dos juros $03,198 mrt.: uno de 4-6,810, y otro de El Rey ha expedido el decreto siguiente t *6,388. En esta renta subsisten en el i.° 468,39$, y en el &gt;. $,808, D. Fernando vis por la gracia de Dios y por la Constitución de la en ia citada cabeza__t.° Primero medio por ciento de Sevilla, juro Mmuquís española. Rey de las España», á todos los que las prtten- de 68$9 mis., en la expresada cabeza—*. Servicio ordinario de Sevi I í v…</t>
  </si>
  <si>
    <t>…ada ia primera hasta donds dice » ai gefe político.” Se puso á votación el final del artículo, y quedó desaprobado por El Rey ha expedido el decreto siguiente: 45 votos contra 43. Don Fernando vu por la gracia de Dios y por la Constitución de la Se suspendió esta discusión, y se leyó un oficio del Sr. secretario Monarquía española , Rey de ¡as Españas ,a todos los que las presentes de la Gobernación de la Península , al que acompañaba un proyecto d…</t>
  </si>
  <si>
    <t>…r lo, Brb n-i.-n el trono de España! F.¡ art. 179 de esta cion definitiva Si ».■ coma» a o qu* «-• pr« at en este ariicu o con 1-y funfam-nti. •: c : ” E. Rey dr ia, España, es el Sr. D. Fernando vr: lo que se dice en 1 87 , parece qu- se tan mis facu'tades a las dipu d- liurbon, qu • a. tu a mente reina í:..” : Como pues ,e atreven los cxtación-* en -I pri n r caso que en el s-.-aun 1.»; y pr? o in s:n &gt; creo tranzer , « rea-rosen cara nuestra d*cis.…</t>
  </si>
  <si>
    <t>…n loa lanceros de la provincia y algunos caballos de Borbon á un re El R»y ha expedido el decreto siíu'*ote: conocimiento militar, y aunque los faccioso* lograron fugarse, dejaron Don Fernando vji por la gracia de Dios y por la Conttítncion da sin embargo cuatro muertos, un oficial y un sargento pr-sioneros. la Mo-rriuir española , Rey de Jas España*, a" te de» los que las presen __La calumnia es el arma poderosa ds todos aquello* que defiendan tí»…</t>
  </si>
  <si>
    <t>…CIO. sión de ias escribanías de los juzgados de Hacienda tuvo el Rey i El Rey ha expedido el decreto siguiente: bien oír el parecer del Consejo de Estado; y conforme con él, se ha Don Fernando vn por la gracia de Dios y por la Constitución de la servido resolver que los aspirantes á estos oficios presenten en la direc Monarquía española, Rey de las España?, á todos los que las presentes ción genera! de aduanas su pretensión , acompañando á ella doc…</t>
  </si>
  <si>
    <t>i88o cioml el Sr. D. Fernando vn,.y tea unánime nuettro voto. Vira la de buen gobierno y de seguridad laa adoptaré el alcalde por sí, siendo religión: viva la Conttitucion: vira el Rey conttitucional. Tor.i 6 de único en el pueblo, y con acuerdo de su compafiero ó compañeros, si Diciembre…</t>
  </si>
  <si>
    <t>…re de 18a2. 3 ARTICULO DE OFICIO. Manuel Gonzaivez de Miranda. Núm. 9.a El Rty ha expedido el decreto siguiente; Soy del mismo parecer, 4 excepción de que habiendo alegado la Reí- Don Fernando vu por la gra-ia de Dios y por la Constitución da DI •! peligro que puede correr su vida si se ia obliga a ponerse en cami la Monarquía española, Rey de ¡as España», á toaos los que ias prrno , creo exigen lat leyes de la humanidad qu: no su desatienda esta s…</t>
  </si>
  <si>
    <t>Fernando, Claudio Coig y Mace y O.</t>
  </si>
  <si>
    <t>Claudio Coig y Mace y O. Fernando</t>
  </si>
  <si>
    <t>…ucido esta acción, por donde En la mañana de boy han Legado á ntt c ridad con sus asistentes podrá juzgar el mérito qus han contraído estos valientes, sin excluir al los coroneles D. Claudio Coig y Mace y O. Fernando fiada, que te ha subteniente del segundo regimiento de artillería D. Josef Labastida, llaban con los faccioso*. que con *o artilleros ocupaba la Casa-fuerte, y antes y después de ren Idem y. dirse dió las mayores pruebes de valor y constancia, sin que ninguno…</t>
  </si>
  <si>
    <t>Fernando, D</t>
  </si>
  <si>
    <t>D Fernando</t>
  </si>
  <si>
    <t>…l crecido de una ó mas clasn es perjudi otras cotas que el dia *4 &amp; Marzo, en que el Rey de las Espallas el cial al Estado si las demas perecen , asi también la ilustración y sabi Sr. D Fernando vn libre de «u cautiverio pisó el síselo español, se duría de los americanos apañóla no constituyen la felicidad corana sorteen por el ayuntamiento de la capital de cada provincia dos decen cuando viven en la ignorancia lat demu castas, que forman un todo tes…</t>
  </si>
  <si>
    <t>Fernando, Juan</t>
  </si>
  <si>
    <t>Juan Fernando</t>
  </si>
  <si>
    <t>…i pa támenes. go de lanzas y medias anatas por el título de marques de la C ncordn Uno sobre el expediente da D. Antonio Alvarez Baraga&amp;a jr Gon que concedieron las Cortes i dicho D. Juan Fernando, opinaba que es zález, en solicitud de que se le rehabilite pura obtener cualquier desti ta exposición debía pasar i la comisión de Premios. Aprobado. no que se le confiera en atención á que S. M. por sus particulares ser Se leyó un dictamen de la comisión de…</t>
  </si>
  <si>
    <t>Ferrar</t>
  </si>
  <si>
    <t>…crédito que tenia contra la Nación, opi no haber hallaclo a noyo en las autoridades ni disposición en los pueblos. naba qu: debía satisfacerse por el Crédito público. Aprobado. El Sr. Ferrar ( D. Joaquín ) manifestó la necesidad de hacer exten La misma, en vista del expediente promovido por varios proveedo sivo á las provinoias de Ultramar cato dictamen, como habia indicado res «le los presidios menores de Alfica, para qu: las Cortes aprobasen «I…</t>
  </si>
  <si>
    <t>…entajoso que no segnir como lean vds. ó no el Diario de Cortes , á mí lo que me importé es que lo hasta aqui. compren; pero ( añadió) lo que debe hacer uu buen fabricante es me El Sr. Ferrar (D. Joaquín) dijo que la comisión de Hacienda jorar su género de manera que aventaje á los otros si quiere aumentar también se había ocupado en examinar este asunto i causa de haber el número de los consumidores. ¡ Por qué no se trabaja en que el Diario le re…</t>
  </si>
  <si>
    <t>…los Sres. Prado y Meló, le comisión opinaba qu* no debían aprobarse. raerte general de loe acreedor** 4 le Nacipn. El Se. Baruége; Entiendo que d dictamen que acaba de loara no El Sr. Ferrar (D. Joaquín) dijo que el Sr. preopinante no se bacía está conforme coa lo que proviene d regla asento, porque se opon* di cargo de que loa intermadds «acuadrada de Guipúacoe eran unos ver rectamente á Jo que ya eral decretado por to* Corte*. daderos propietar…</t>
  </si>
  <si>
    <t>…r se pusieron caudales en la forma que se iiama en comandita. ¿Podría general de distribución, acerca del valor coa que debían considerarse putt resolverse, como ha manifestado el Sr. Ferrar, que estos accionis las cédulas hipotecarias liquidadas bajo el Gobierno intruso, y con qué tas sacasen sus capitales sin que antes se viesen las obligaciones que tu ce ¿dito» había de abonarse el importe del capital, y conformándose viesen que cubrir » No ha…</t>
  </si>
  <si>
    <t>…, porque el Gobierno cree que cierto que no la continuarán mientras no vean que se aprueba ó des el estado de las cosas no permite dilación. aprueba el dictamen de la comisión. El Sr. Ferrar (D. Joaquín): Si alguna caen en este mundo (hablo De consiguiente no me opongo de ninguna manera á que se im como diputado de la Necios espetóla, y con toda la libertad que me prima si se hace en el término de los tres dias que ha ofrecido el señor dan mis po…</t>
  </si>
  <si>
    <t>…que hubiere omitido le centinela saliente,. sospechar que sea persona mal intencionada , le hará fuego.” encargará á la entrante la exacta observancia da lo que se le ha entre El Sr. Ferrar (D. Joaquín) dijo que no encontraba ninguna razón gado , y que tenga presentes las obligaciones generales que s* le han en para que se disparase contra el que huía. señado.” Aprobado. El Sr. Isturtz preguntó cómo se habiade remediar si era un tordo el . Att.…</t>
  </si>
  <si>
    <t>…Sre*. diputados estaban sujetos á la lejr lo mismo que otro cualquiera. Continuó la discusión del empréstito. El Sr. Canga dijo que en asuntos que pesaban dentro de las Cortes El Sr. Ferrar (D. Joaquín) dijo: Vuelvo 4 tomar la palabra sobre ao debían entender los alcaldes ordinarias, porque no era decoroso ai este negocio, no tanto para decir algo de nuevo, como para rectificar Congreso t jr algo contradictorio á la inviolabilidad concedida d lo…</t>
  </si>
  <si>
    <t>…suceder que si llegase la ocasión venciere -' En nuestros periódico» se publican las noticias seguientes: de un modo ó de otro. Ye no se guirlio entre si miramiento alguno, y n El general Ferrar, al anunciar su nuevo destino de inspector gnios dos partido* cuan en lucha ab¡. ría. Si llegase 4 sucumbir el de Ha- pfisl de caballería» ha dirigido la siguiente alocución 4 la fuerza ar leb , quedarían sin fruto las tareas de lord htrsngfprd, que hasta aho…</t>
  </si>
  <si>
    <t>…casos &amp;c. por cor.s:cuier.te es c'aro que el art. 15 -s una no se le juzgase por los trámites regulare*. repetición en partedeloque se d ce en e! i.° hn segundo lugar ei articu El Sr. Ferrar: Este artículo esta conforme con todas las ordenanzas lo 15 deja un vacío que expone á dudas muy graves- En el se hab a dadas hasta el día en todas las naciones, pues un tnd.vidi/o que se po del modo con que se d.br cahfitar el disfrute d; ios derechos pol ti…</t>
  </si>
  <si>
    <t>Ferrar, Francisco</t>
  </si>
  <si>
    <t>Francisco Ferrar</t>
  </si>
  <si>
    <t>…ondena á morir con vosotros á la vez,entonen se itn.sEI brigadier comandante general Antonio Rolen.=Ezcmo. Se llenarán los fines i que anhelamos. Rcqueaa id de Julio de 1831.” ñor D. Francisco Ferrar.” (Siguen las firmas.) (Spb-mos que el Sr. comandante general, después de elogiar de bidamente Ja bizarría y acertadas disposiciones del brigadier Roten y A la milicia nacional voluntaria de infantería y caballería de la ca demás gefes, ha mandado dar las mas…</t>
  </si>
  <si>
    <t>Ferrar, Jaime</t>
  </si>
  <si>
    <t>Jaime Ferrar</t>
  </si>
  <si>
    <t>…, las Cortes , se bailaría ya en esta capital, puesta en 38 cajones, su pe lejos de aproximarnos hacia nuestro objeto nos alejaríamos de él; y este so 480 arrobas catalanas, y que D. Jaime Ferrar era el encargado do es el defecto que yo encuentro en Ja proposición , porque no se refiere á p?n:r en manos del Sr. presidente un catálogo de dicha librería. épocas determinadas ni á negocios positivos. Estoy tan lejos de apoyar Las Cortes oyeron con satisfa…</t>
  </si>
  <si>
    <t>Ferraz, Francisco</t>
  </si>
  <si>
    <t>Francisco Ferraz</t>
  </si>
  <si>
    <t>…u que haya percibido de mas. nombre , y sin demora, una suscripción, i cuya frente sea puesto al Esu saludable providencie te ha circulado á todos los pueblos de aefior comandante general D. Francisco Ferraz por 310 rs. vn., y que la misma. yo también lo tea por igual cantidad , que se entregarán á la persona __El mismo Sr. gefe político ha comisionado al comandante de le fuer que V. B. nombre para recibirlas, luego que anuncie en los periódicoe za de coraceros q…</t>
  </si>
  <si>
    <t>Ferrcr</t>
  </si>
  <si>
    <t>…han tenido todos los decretos de las Cortes, relativos á la ter no detenerse en semejantes consideraciones. administración de dichos bienes. Se ha observado con mucha oportuni SI Sr. Ferrcr (D. Joaquín): Sin oponerse a( plan de la comisión dad que el establecimiento del Crédito público se he tragado la mitad halló que no tenia toda acuella eficacia que se necesitaba para remediar de 1« Nación; cosa que por desgracia es muy cierta: y sin embargo…</t>
  </si>
  <si>
    <t>…a materia no después de cumplido el plazo para despachar los apremios. tenían mas apoyo que el imperio de la ley; y que sus facultades estaban El Sr. Sánchez apoyo esta id:i, y el Sr. Ferrcr (D. Joaquín) con reducidas i enriar una exortacion á los pueblos que no habían pagado, vino en ella i nombre de ia comisión. la cual no producía genetalmente efecto alguno. Añadió varias consi El Sr. Buey dijo que no debería usarse de estos apremios, sino cua…</t>
  </si>
  <si>
    <t>…ho de Gracia y Justicia, manifestando la utili tidades del déficit, el Gobierno se conforma enteramente. dad que resultaría de que los gefes políticos pudiesen publicar en cual El Sr. Ferrcr (D. Joaquín) manifestó que la comisión iba á presen quier tiempo un bando de indu'to en favor de los faccioso*. tar muy pronto su dictamen sobre la memoria del ministerio de Ha Se procedió á la discusión del presupuesto de Marina. cienda, en donde proponía el…</t>
  </si>
  <si>
    <t>…tas facultades sino en caso nrccsario. sos u.-cetarios, claro es que tus obligaciones quedarán sin cubrirse. El Sr. í»aav dra: lli dicho el ^r. Infante que no e* de esperar qus Ei Sr. Ferrcr (1). Joaqu n) : La materia de que se trata se ha discu niegun gobernador abuse de esta facultad; pero los legisladores no de tido ya suficientemente, y se ha probado por U comisión quedar satis ben contar con las virtudes de los l.cuibr s, sino por el coritta…</t>
  </si>
  <si>
    <t>Ferreir</t>
  </si>
  <si>
    <t>…ían i el, y obligaban al copian i saltar á tierra y presentársele con á Cortes; pero fueron desechadas. las patentes , para examinarlas ante* que fuesen á la secretaría i proce El Sr. Ferreir* Borges pronunció un largo discurso, quejándose da der infame'. El espitan miiiuo entró personalmente en la gabarra la carta del Sr. diputado Antonio Carlos Riveiro de Añorada Macedo francesa la Activa en el momento que llegó al puerto; pero su co é Silva á l…</t>
  </si>
  <si>
    <t>Ferrer</t>
  </si>
  <si>
    <t>…o de los gentileshombres que por tener otros destinos no estaban en un buque correo con la correspondencia para Ultramar , se avisa al pú egercicio. blico para tu inteligencia. El Sr. Ferrer: Me veo en el caso de manifestar deben aprobarse los poderes de que se trata, en cuanto no los considero incompatibles con ANUNCIOS. la Constitución misma. Esta quiere poner una puerta de bronce entre el poder egecutivo 6 el nono, y el poder legislativo ó la…</t>
  </si>
  <si>
    <t>…uiente : cayendo los restantes, 36 en el Sr. Sánchez, 2 en el Sr. Florez Capu Los desórdenes de Irlanda continúan del modo mis escandaloso, y zón , 9 en el Sr. Sierra, y uno en el Sr. Ferrer. cada día causan mayor inquietud ; pero el Parlamento ha aprobido ya En seguida se retiró la Diputación permanente acompañada hasta las dos medidas que tiene por convenientes para restablecer el sosiego en la puerta de los Sres. secretario* Salvé y Prat; y ha…</t>
  </si>
  <si>
    <t>…graría el mejor y mas tos necesarios para que los dignos representantes de la Nación tomen pronto despacho de un asunto de tanto ínteres. un conocimiento exacto del su estado. -El Sr. Ferrer dijo que la impugnación que se hacia á la proposi Me levanto, señores, para hacer ver á las Cortes que aun está incom ción del Sr. Prat seria buena cuando este negocio debiese pasar á una pletísimo el número de documentos que deben presentarse, según lo que c…</t>
  </si>
  <si>
    <t>…da por el ministerio de mi por negligencia ó culpabilidad de los Sres. secretarios anteriores, no cargo. sirva esto de embarazo para conceder lo que te pide , lo cual refluiría El Sr. Ferrer: La Constitución no reconoce mas que personas fi- en perjuicio de la Nación. '-!i.as i quien hace cargo. Loa diputados no tienen otro medio para esto El Sr. Adan: Mi objeto ha sido hacer conocer á los Sres. secreta que d.rigirse al min .tro que se presenta. P…</t>
  </si>
  <si>
    <t>…ando nosotros en la secretaría hemos visto que el Gobierno se sueldo que obtenga.'’ ocupaba efectivamente en tomar las medidas mas oportunas: que había A la misma se pasó otra d«l Sr. Ferrer para que el Gobierno pue c iado al capitán general y al gefe político , los cuales llegaron i la se da emplear á un individuo, siempre que este tenga cualidades muy re cretaría. Uno y otro dijeron que no tensan parte oficial de las ocur levantes , dando cuent…</t>
  </si>
  <si>
    <t>…haberse apedreado día 11; y opinó que la del Sr. Albear no era admisible, y que debía sus campos en el año 19: otra de la diputación provincial de Extrema, aprobarse la del mismo Sr. Ferrer á la cuarta proposición. Aprobado. dura , proponiendo algunas dudas ocurridas en el reparto de la contribu La misma comisión fue de parecer que Ja adición del Sr. Romeen ción terrlrorial: otra del ayuntamiento constitucional de Borja, queján te pusiese en est…</t>
  </si>
  <si>
    <t>…ión que se puede hacer al b.me acorda-en para que determínaselo conveniente. Aprohado. mento batallón de Asturias.” El br. presidente señalo para mañana vanos dictámenes de com.El Sr. Ferrer: Nada hallo tan justo como el que se haga uní de.no,- sion, y levantó ia sesión a la» tres y meJ a. trac.on a estos individuos, pues que por su valor n.i&gt; Sabam.-.s en .1 ARTICULO D F OFICIO. ’. .nerón; pero me opondré a que esta clase de denaosíra. iones :i…</t>
  </si>
  <si>
    <t>…por las Cortes. No se crea que «ta contribución ha sido so los gastos, y luego acordar las contribución». bre los consumos, sino que ha sido para gravar la industria agrícola. El Sr. Ferrer pidió que el Sr. secretario del Dmpacho guardase el Señor, que no se ha cobrado mas que siete millones de la contribución decoro debido al Congreso , y manifestó que S. S. estaba haciendo ia directa: ¿y de esto se infiere que no vale mas, y que no puede rendi…</t>
  </si>
  <si>
    <t>…y aseguradas las Cortes de esto, pasar á aprobar los presupues para trabajar en las obras de artillería, opinaba que debía acordarse ni tos de gastos. por las Cortes. Aprobado. El Sr. Ferrer: El discurso del Sr. secretario de Estado se ha redu Las Cortes oyeron con satisfacción la comunicación del Gobierne cido á dos puntos: i.° á probar que cuantas cuestiones se han traído de que SS. MM. y AA. continuaban sin novedad en su importante no son del…</t>
  </si>
  <si>
    <t>…le quedaré muy 4® 99 » 7 ** verá que hay la diferencia de 141 millones. Si por las no ticia» mas oficialas que tiene *1 Gobierno hay esta diferencia, ¡cómo m agradecido. ... . El Sr. Ferrer manifestó que le comisión peni «lar tu dictamen se ha- foaible formar juicio de la posibilidad de la Nación para ver la can bía valido do loa miamos datos que te señalabais cu la mamona ^da tidad con que ha de contribuir! Esta es la principal razón pot que d…</t>
  </si>
  <si>
    <t>…proponía lot 500 millonea como una medida de la cual no Y supuesto esto, ;á qué viene este con esa voz augusta í intimidarnos? ic podía pasar ¡ pero ya ha manifestado muy bien el Sr. Ferrer que la El año de &gt;0 se presentaron los presupuestos da gastos y el plan pa comisión desde luego convendrá caque tean 550 millones si fuese nrce* ra satisfacerlos, habiéndose propuesto un empréstito que se limó. Pe ario. La comíaion ba tratado por este medio d…</t>
  </si>
  <si>
    <t>…bía acceden, J aa nares.” Cita. Aprobado. Madrid Martes 26 dt Marzo. Habiendo dicho el Sr. presiderte que se iba é continuar la diace. •te» sobre las bases de Ha.cie.uia , dijo el Sr. Ferrer: La comisión h, CORTES. visto con sentimiento que se han entretenido las Cortes en una medi ransiDEnciA d«i safio» a teco. da que aquella creía útil, peto que te experiencia ha demostrado m serlo; asi que, tiendo Us bases que siguen una consecuencia Jé la qoe…</t>
  </si>
  <si>
    <t>…de mi digno compañero causa formada por ia de la delación hecha por el criado de Eguía , ds el Sr. Alava, y debo decir que estoy convencido de que sin perjuicio que ha hab'ado el Sr. Ferrer en el Congreso; y últimamente que este de muchas personas beneméritas que hay en Pamplona existe un espí acuerde «pie s&gt;n pérdida de tiempo se sujete á su discusión la memoria ritu declarado hostil contra la Conttitdcion , fundé (ib . en un error que leída po…</t>
  </si>
  <si>
    <t>…. Aprobado. tuvo el Sr. Velasco 6/ votos jr el Sé. Castejon yo, y en su conse La del Crédito público, informando acerca da la preposición dd cuencia quedó elegido el Sr. Castejon. Sr. Ferrer y otro*, sobre que te entiendan comprendida* ea la incorpo Se procedió á la elección de cuarto secretario. En el primer escrutinio ración al Estado las acciones del banco pertenecientes ¿ las comunida tuvieron,el Sr. Saavedra 6y votos, al Sr. Benito 65, el Sr…</t>
  </si>
  <si>
    <t>…edad para administrar sus bienes, opinaba que no drid a8 de Marro de i8aa. había lugar i esta sobe lud por los motivos que aparecen del expedien ANUNCIOS. te. Aprobado Ad.cioa del Sr. Ferrer al dictamrn de la comisión de Comercio Catón etpafiol político cristiano: obra original tacada de gravea ansobre la introducción de frutos pertenecientes á los emigrados de Ul tores nacionales y extrangero*, para la ensefianza y buena educación de tramar: ••…</t>
  </si>
  <si>
    <t>…r lugar á dudas y i con tro causas de recusación son: i.* la del respeto ó honor, cómo cuando testaciones. Uno de los interesados ea miembro del Parlamento, ó hay una distancia El Sr. Ferrer (D. Joaquín): Tal vez alguno» Sres. diputados ten muy notable entre las circunstancia» def mismo y las de algunos de los drán noticia de un artículo míe te insertó en el Impsrciaí sumamente jurados: ».* por razón de delito como cuando uno de estos esté sufrie…</t>
  </si>
  <si>
    <t>…. Infante se habían dado con cretarios de las Cortea lo que sigue: arreglo i la ley orgánica del egército. » Con fecha de i.° de Abril del afio último te consultó por ese nú- ¡ El Sr. Ferrer (D. Joaquín) apoyó la proposición, manifestando las nisterio á las Cortes la duda suscitada sobre le parte y el modo con m muchas rebajas que era indispensable hacer en los presupuestos de gas por lo que hace á sus sueldos han de pagar la contribución directa…</t>
  </si>
  <si>
    <t>…esto era solamente derechos que pagan los buques extrangeros que arriban ánuestros puer lo que debía hacerse. to» con objeto de hacer exportaciones; y concluyó proponiendo é ]* El Sr. Ferrer ( D. Joaquín ) dijo que la comtsion había obrado en deliberación de las Cortes la siguiente proposición: *&gt; Que los buques este asunto con mucha delicadeza, y le había parecido que cuanto extrangeros que lleguen á los puertos de España en lastre para cargar p…</t>
  </si>
  <si>
    <t>…ue se reduce á fomentar nuestra agricultura protegiendo la salida E. Sr. Galiano: Las Cortes no necesitan dar un testimonio de que de los frutos nacionales. Acaba de manifestar el Sr. Ferrer que de que abominan las doctrinas sentadas en ese papel, porque es su obligación los extrangeros no exporten los productos de nuestro país nos resultará abominarlas. Debemos aparecer como enemigos de ellas por los mismos una grande utilidad, pues que esta ope…</t>
  </si>
  <si>
    <t>…le carta de natu raleza , con la cual podré queda satisfecho. Aprobado. respecto de los emigrados de Ultramar. La misma comisioa, informando acerca de la solicitad de seis fsbsiEl Sr. Ferrer (D. Joaquín) manifestó que esta interesado bebía con cantada cardenillo en Catalufia, en que pedían se fijara en d arancel traido méritos particulares que debían sed atendidos. penad el derecho miximo que be «le pega este género, opada que El Sr. Alvcar dijo…</t>
  </si>
  <si>
    <t>…propon n , pusto qu- en la s crzcrédito nae onal. Se mandó imprimir este dictamen. taría del Despacho dé Hacienda deberá existir una razón exacta de to Con mot vo de su lectura el Sr. Ferrer (D. Joaquín) dijo: Desea dos y ca'da uno de los sueldos de las diversas clases de los emp(ea-los , y ría quz las Cortes por medio de una nueva declaración confirmases que seria fácil deducir la suma de que he hecho mentó. Por lo demas en e! term.no para las l…</t>
  </si>
  <si>
    <t>…4 millones por eso advertirán las Cortes que en el último del Gobierno se dice por 700 y tantos mil rs. la nota tercera, que será necesario añadir una cantidad alzada para las El Sr. Ferrer (D. Joaquín) s: hizo cargo de algunas de las obser- anticipac.ones que este ministerio hace á otros, las cuales serán consi raciones contenidas en el discurso que acababa de leerse, y dijo entre derables , si se atiende al estado de las provincias de Ultramar…</t>
  </si>
  <si>
    <t>…El Sr. presidente dijo que las Cortes habían hecho ya una ley, y no dicho colegio á la universidad de Granada podía accederse é tu solici necesitaban recordarla. tud. Aprobado. El Sr. Ferrer pidió que la proposición siguiese lo* trámites regula La de Guerra informando sobre la consn'ta del Sr. secretario de es res , puesto que la habían declarado -as Cortes comprendida en el ar te ramo, acerca de la inteligencia que debe dar*- al artículo 1 id de…</t>
  </si>
  <si>
    <t>…r. Arguelles manifestó que convenía por sn parte en que se propios y peculiares de cada uno de clioa. descartasen del presupuesto que se discutía íes partidas da regalos a las F.l Sr. Ferrer vD. Joaquín) contestó que todos los que han viajado potencias berberiscas y gastos secretos, siempre que se tuviesen ea con saben que hay abusos en ios gastos de que se trata, y que estos abusos sideración al asignar la cantidad adrada para gastos imprevistos…</t>
  </si>
  <si>
    <t>…de los fondo» públicos,se ha!.aban en el mismo caso que lo» demas n$eha levantado el bloqueo de Canea.” Hasta aquí las cartas de empleados que los cobraban del erario. Turquía. El Sr. Ferrer ( D- Joaquín ) contestó que la comisión había exami Algunas personas que creen tener dsfoe suficientes, aseguran que el nado la proposición del Sr. preopinante , y opinaba que debiendo los 15 de Abcii será memorable en la diplomacia; y que el 30 habrá un indi…</t>
  </si>
  <si>
    <t>…se sobre la; últimas ocurrencias de CataluAs del Despacho reducir tus gastos 4 los 8o9 que te le sefiaUbán. y Vizcaya , porque se habían difundido algunas especias equivocadas, El Sr. Ferrer (D. Joaquín): Se ha hablado con cierta especie de que convenia rectificar. desconfianza de ese fiando pera gastos imprevistos , por no saberse cuál El Sr. ministro hizo una relación de las dos tentativas que el fac ba de ser su extensión; pero la comisión ba…</t>
  </si>
  <si>
    <t>…spués algunas reflexionas sobre la utilidad ao podían redituar hasta principios del afio económico inmediato. de reunir en la capital esta colección de monumentos de las bellas El Sr. Ferrer hizo vanas observaciones sobre ios derechos de sani artes para el progreso de estas, y sobre el honor qui de ello resul dad , los cuales podrían ser de mucha importancia si al código sanita taba á la Nación; y concluyó diciendo que le parecía excesiva la re r…</t>
  </si>
  <si>
    <t>…secreta bierno consideraba de grande utilidad las obras de canales; pero que rio contestó que no las habia. siendo precisa la formación de planos y otros reconocimientos bastan El Sr. Ferrer (D. Joaquín) dijo que el proyecto de Lémur no era te costosos, desearía saber fijamente si podría echar mano de los tres tan impracticable comáis había dicho, pues estaba formado con el mamillones pan estos gastos eventuales indispensables; adviniendo que - y…</t>
  </si>
  <si>
    <t>…presidente señaló para mañana la discusión referida. Constitución exige para que te conceda la carta de ciudadano. La comisión de Guerra, informando sobre la prop sicion que se El Sr. Ferrer: He pedido la palabra para oponerme á la parte del había H -cho por algunos Sres. diputados, relativa á que siendo justo, ne artículo que dice que estos oficiales subalternos se agreguen á ios cuer cesario y conforme í las leyes el que la custodia de ia sagra…</t>
  </si>
  <si>
    <t>…, como sucede respecto de la provincia de Ca comisión. taluña, que i migran por la miseria: y asi creo que se está en el caso da La misma comisión, en vísta de la proposición del Sr. Ferrer j atender con los fondos suficientes á una obra que está en proyecto, otros para que de la cantidad asignada en el presupuesto de la Gober por dec r'o asi, desde el tiempo de Cárlos i: por lo que no puedo me nación de la Península para caminos y canales desti…</t>
  </si>
  <si>
    <t>…e las obras de los puertos de Pata ge* Se mandó pasar á la comisión da Premios ¡o siguiente proposición y otros, para qti: se comprendan en ¿l las obras necesarias en los puen del Sr. Ferrer (D. Joaquín): » Que en atención al mérito y servicio* tes de A'uiaraz, Cardenal y Alcántara sobre el Tajo, y el de Totines que ha contraído en el Perú y Chile D. Vicente Navas, se le recomien sobre el Duero. de al Gobierno. Se leyeron por primera vez varias p…</t>
  </si>
  <si>
    <t>…e le expidiese el docu vamtnte que se halla en la preposición. mento de capitalización que solicitó en tiempo oportuno. Aprobado. La misma comisión, en vista de la proposición del Sr. Ferrer La comiaion de Negocios Eclesiásticos presentó loa siguientes dic (D. Joaquín), sobre que el presupuesto que se selialase para el fomento támenes. «le la milicia nacional se invirtiese precisamente en ia fabricación de Uno sobre la solicitud de D. Juan Antonio S…</t>
  </si>
  <si>
    <t>…agadas corrientemente; « larga y muy costosa en España. pero con un mes que (alte esta cantidad, el Gobierno se hallará en im Eí Sr. secretario de Hacienda: Por lo que ha dicho el Sr. Ferrer posibilidad de cubrir dichas obligaciones; y la razón es porque los in podrían las Cortes y el público haber creído que mi proposición tenia gresos de la tesorería catan reducidos á esta cantidad del empréstito y por objeto precipitar la discusión de «te nego…</t>
  </si>
  <si>
    <t>…ntos, expuestos á servir'en mar y en tierra. Por es Por las cajas nacionalesade.la Havana....... 10.000,000 tas consideraciones se opuso al artículo que se discutía. 70.000,000 El Sr. Ferrer (O. Joaquín ) dijo que la comisión de Hacienda no tenia la presunción de infalibilidad, y mas cuando debia tratar de todos La comisión hubiera deséalo encontrar mayores economías en este los ramos del Estado; y que por lo mismo podia muy bien haberse presupue…</t>
  </si>
  <si>
    <t>…te no existía, ni la» Cortes habían seña ado el sueldo que osb -r tamentos , que no retirándote á tus casas. zar sus individuos. Después de haber hecho vana» rcfl.x " nes, cen/uEl Sr. Ferrer (D. Joaquín) dijo que la comisión podía haberse equi yó diciendo que aprobar el dictamen de la comisión en este jumo, nía vocado en lo que propon a; pero lo había considerado muy arreglado lo mismo que d. cr se desp.diese 1a fuerza que habla ahora en la mar &gt;…</t>
  </si>
  <si>
    <t>…de este Que ios departamentos no tenían acopiados los géneros y efectos que modo la rebaja indicada. rrcesita la marina militar, al paso que era preciso satistacer sus habares El Sr. Ferrer (D. Joaquín) indicó que la comisión habia hecho la á todos los individuos que dependen de ella; y asi que no era posible rebaja que en esta parte de su dictamen se mencionaba, porque habia se admitiese la rebaja que proponía la comisión, la cual llegaba á mas…</t>
  </si>
  <si>
    <t>…ronador que te pensaba echar cerca de las Tullerías. buque que no se hallase en estado de perfecto buen servicio. Los griegos van haciendo grandes progresos. En Semlin te tenia El Sr. Ferrer ( D Joaquín ) contestó que se debia entender que los noticia de una gran batalla cerca de Zcitun y de Neopatra, en que pa buques á que se referia la comisión en este artículo habían de ser ar rece murió el baji de Dramma. mador. Añadió que la comisión trataba…</t>
  </si>
  <si>
    <t>…isar i la comisión laves disgustos , principalmente por la contribución del registro ¡ pero de Poderes. ^ que estos habían calmado, y nunca debía creerse qise nna provincia que El Sr. Ferrer recordó con este motivo tTpronto'despacho d*l ex era la mas constitucional de la Monarquía quisiese proclamar la inde pediente relativo ai segando diputado por' le proviheiide'Guipúzcoa. pendencia. El Sr. Romero contestó que la comisión se ocupaba en él, y pr…</t>
  </si>
  <si>
    <t>…re en estado tan deplorable, tJ vez podría sacarla de muchos apuros.Por vocado por lo» estatutos del banco. último dijo que los individuos que habían representado no podían se El Sr. Ferrer (D. Joaquín ) dijo que en junta del banco nacional pararse de lo que dispusiese la junta de accionistas. de S. Cario* te d jo i lo» accionista* ti querían cobrar el dinero, ó qué El Sr. Isturiz dijo que si bien el banco nacional habia tenido apo era lo que dí…</t>
  </si>
  <si>
    <t>…migos de los hombres, &gt; La comisión de Visite del Ctédito público, informando sobre la ahogadas las pasiones mas indomables , nadie podía dudar que era lle proposición que biao el Sr. Ferrer (O. Joaquín) en la sesión de 16 del gad» la mas ventajosa y mejor combinada ocasión de asegura pan actual, relativa á los acuerdos de la junta de accionistas del hunco na siempre la dicha y la gloria, la grandeza y el poder de la Nación qat cional de San Ciri…</t>
  </si>
  <si>
    <t>…ictamen del consejo de Estado so este punto hasta que sobre él se oyese i la comisión Militar. bre este punto. El Sr. He-rcra dijo que el mismo tribunal podía proponer la refor El Sr. Ferrer contestó que el consejo de Estado suponiendo que se ma de que fu se suteept ble. podía establecer bajo otro pie un sistema de hacienda militar, creía qus El Sr. lsturiz convino en que se oyese i la comisión Militar; y el bajo él quedarían reducidos á 1.6749 r…</t>
  </si>
  <si>
    <t>tion sobre la tuerte que debían teguir los individuos de tropa que bu- El Sr. Ferrer dijo que como individuo de !i corr.is 00 de Hacienda bine en estas compañías , la comisión no tenia inconveniente en i¡u: des'aba con sus compañeros llevar hasta lo sumo las ec &gt;- • t, o • p-*ro se les agregase 4 los cuerpos que se quisiese, pursto que en ell…</t>
  </si>
  <si>
    <t>…obre el empréstito de 1 a de Noviembre se ve que se disminuyen les capitales de la deuda de que he heclde i8si. mención, y que solo se aumenta el r¿d&gt;to al so por too. Esta op&lt; El Sr. Ferrer (O. Joaquín): Cuando te leyó el dictamen de la co ración, si asi hub.era existido, es menester decir en honor de imisión dije que se trataba nada menos que de ia vida ó de la muerte de verdad que aunque gravosa hast» cierto punto, no era disparatad;la Nación,…</t>
  </si>
  <si>
    <t>…la comisión, En cuanto 1 la conve que la operación es tan legal que no puede ser mas. Nrda ha dicho hoy niencia , lejos de probarla la dejó como estaba; y todas sus observacio el Sr. Ferrer que destruya no solo !a» razones dadas por el secretario del nes se dirigieron contra el empréstito nacional para presentarle con Despacho de Hacienda; pero ni aun las de los señores que lian apoya los colores mas negros. No se crea que yo me propongo defende…</t>
  </si>
  <si>
    <t>…r tos de este préstamo, y en este caso ver cu nto puede import-r el cam no deben adoptar las Cortes. bio, de lo qu; resultará ser mas ó menos barato ei pagar en Madrid Ha dicho el Sr. Ferrer que una de las condiciones gravosas del tra que en l’ari» por ¿gemplo; si conviene ó no invertir dos miiicnes tado era la de haberse duplicado los capitales, como resultaba del ar en reco-’r inscripciones, y en fin examinar todas las denlas op raci- — tículo…</t>
  </si>
  <si>
    <t>…o que había dición que ios francés» y que loa holandés»! ¡No hemos depositado manifestado anteriormente. nu«tros fondos en casas públicas, y en el dia conservamos el papel, qu* El Sr. Ferrer pidió que te leyera el poder original que el Rey ha quizá servirá únicamente para envolver npecias! Al fin ai en «te tria bía dado al Sr. Vallejo, lo cual se verificó. do se aumentase solo el capital de los empresarios, y la inmansa deuda El Sr. Sufra: De acu…</t>
  </si>
  <si>
    <t>…, y que se le autorizase también para que sin sados por los agentes diplomáticos, ademas de otros muchos. pérdida de tiempo pudiese negociar can otras casas extrangeras, á fin El Sr. Ferrer contestó que el inconveniente de ser corta e-ta car:ide completar los 140 millones que restan de este empréstito. dad podía salvarse danflo orden al Sr. secretario del Despacho de ó uIgualmente se leyó otra del Sr. Oiiver, en la que hacia presente do para que…</t>
  </si>
  <si>
    <t>…ratado, aunque convenía en que este tenia condicio el cual se mandó imprimir. nes onerosas 4 la Nación y anticonstitucionales; pero que podia adop Se leyó ia siguiente adición del Sr. Ferrer á la propot'C'on de loa tarse el medio de los convenios ó transiciones, por las cuales se trata sefiores Canga y Adan : » Pido que á esta proposición aprobada se afia se de remediar lo* perjuicios que se seguían i la Nación de este empés- da , oyendo precisam…</t>
  </si>
  <si>
    <t>…os de trigo con dirección á los puertos de Catalufia, lo acordado por las Cortes sobre el empréstito. por cuya ruon habría bajado bastante tu precio; y que en ceso que su Otro del Sr. Ferrer ( D. Joaquín) relativo á lo mismo. biese considerablemente siempre había un recurso, cual era el de acudir Y otro de los Sr». Zulueta y Galiano, contrarioá la resolución de á Portugal, que podía considerarse como un depósito de granos extran las C»rtM por la…</t>
  </si>
  <si>
    <t>…aciones miñadas en sus inmediaciones en la ¿poca de la invasión de los france para el uso conveniente. ses ; y que acaso la villa no querría encargarse de otros gaste a que los El Sr. Ferrer : No sé cómo ha podido ascender á 5.400$ n. ti rese del coliseo , aunque habia mucha necesidad de ocupar gente. llo de los medios luises, porque estos se han recibido a peso en las ca El Sr. burra manifestó que había indicado confidencialmente que sas naciona…</t>
  </si>
  <si>
    <t>…séase descubiertos de los pu- blos y fondos de propios á favor de lu con drían pagar con estos créditos. tribuciones y rentas generales del Estado hasta fin del año de 1819 ,s* El Sr. Ferrer (D. Joaquín) contestó qua estos créditos se admitirían les admitirán solo á los contribuyen!;s los documentos de suministros en virtud de ia aprobación del artículo que se discutía en pago de las de que trata la orden de 17 de Octubre de 1810 , y en su defect…</t>
  </si>
  <si>
    <t>…os interesados no puede ser mas oportuna. No sirve fijar tér misión proponía. minos ni mucho menos imponer penas á los acreedores que no se pre El Sr. Argtiellei apoyó la idea del Sr. Ferrer, y observó al mismo senten en él á la liquidación , es necesario tomar medidas de otra espe tiempo que no debia perderse de vista que la misma junta directiva que cie. Esta liquidación se practica ahora por las oficinas que están á dis se creaba compuesta de…</t>
  </si>
  <si>
    <t>…al, y nada so tisfactorio en este negocio , opinaban que debia ser reprendido y amo bre el imprevisto. nestado, para que en lo sucesivo se preste á facilitará ios individuos de El Sr. Ferrer contestó con varias reflexiones, que en concepto de la las comisiones los documentos que sean necesarios. La secretaría advir comisión se asignaba lo suficiente para la manutención de la fuerza de tió que el voto de los Sres. Alava, Cuadra é Infante se hallab…</t>
  </si>
  <si>
    <t>…onstruir á expensas del erario estos monumento* se presentase algún puesta en terna de la junta directiva.” particular que quisiese hacerlo, el Gobierno le concederá permiso pa El Sr. Ferrer ( D. Joaquín ) opinó que atendida la grande impor ra que lo verifique interinamente.” Aprobado. tancia de este nombramiento, debían reservárselo las Cortes exclusiva Art. 5.' • Se concede gratuitamente el título de ciudad á la villa mente. de las Caberas en p…</t>
  </si>
  <si>
    <t>…de la Guardia R.al, y otra de 71 sargen ahora una sección de ia de liquidación." tos del primero y segundo regimiento de la ra.sma , p drendo se discu La comisión, á propuesta del Sr. Ferrer, se convino en que el tiese pronto ei proyecto de la comisión de Guerra sóbre la organización examen de este artículo se suspendiese hasta que se hubiesen discutido de dicha guardia, y manifestando que sufrirán con iodrciWe gusto cual los otros; y asi se acor…</t>
  </si>
  <si>
    <t>…ra la misma junta nacional el progreso que se haga en la liqui razón no se vería su firma en el dictamen. dación y reconocimiento de los ctéditos referidos hasta su conclusión. K1 Sr. Ferrer dijo que tampoco aparecería la suya por los mismos 6.* La publicación que se expresa en el articulo anterior te repetirá motvos, y los Sres. Isturiz y Surra manifestaron que tampoco podían por los comisionados en todas las provincias por medio de la imprenta.…</t>
  </si>
  <si>
    <t>…nacional; pero que sin embargo la comisión no tenia laconvenicnts sin hacer bajas en una con perjuicio ó recargo de otra.” en que volviese i ella para aclararlo. Asi se acordó. El Sr. Ferrer (D. Joaquín) manifestó la necesidad que había da que se .estableciese una base para repartir la contribución á ios foraste TITULO III. ro* ; porque en este punto se habían notado abuso* de mucha conside firmamento. ración, habiendo llegado el caso de tener al…</t>
  </si>
  <si>
    <t>…n general da con algunas providencias que había tomado que ten a la vista estudios, diputaciones provinciales, ayuntamientos p demas á quienes en ellos. corresponda.” Aprobada. El Sr. Ferrer (D- Joaquín) dijo que podía asegurar á las Cortes que y. ' » Las Cortas dispondrán que el proyecto de reglamento de segu -por conductos muy fidedigno* le con.taba qus ul vez á tu» horas ha ridad pública, encargado á una comisión especial, se presente i su exa…</t>
  </si>
  <si>
    <t>…en que hayan de pagar Los bres. Oliver y Melendez hicieron varias r dexiones sobre este los ayuntamientos , y dictará las demas reglas oportunas para la pun pírra'o ; y aunque el Sr. Ferrer ¿D Jcaqu n) manifestó las razccrs ,n tual observancia de lo contenido en los anteriores artículos.” Apr&lt; baco. qu: se haba fundado la comisión para presentar la tarifa, no se apro Se procedió á discutir en tu totalidad el pian de la contribución de bó esta ,…</t>
  </si>
  <si>
    <t>…de cabouge libr s donde se conocen, nada tiene que ver con las ganancias de los aunque tuviesen cubierta. productos: el a"o pagado cuando se trató de este mismo asunto se fijó El Sr. Ferrer (D. Joaquín) en nombre de la comisión contestó que esta contr buc.on, no con arreglo á las ganancias, sino respecto del podia ponerse en vez de la cláusula de que no tuz.eseu eulierta la de m ñor producto que puede tener el que egerza una clase de industria;…</t>
  </si>
  <si>
    <t>…a sobre haberse negado el juez D. Antonio activaría la venta de fincas, en donde se emplearían los créditos. Martínez Arroyo á despachar los asuntos pendientes en el juzgado de El Sr. Ferrer dijo que siempre era algo chocante el que el deudor D. Tomas Benito Escame z. diese reglas al acreedor, obligándole á comprar en determinado tiempo. El Sr. Falcó presentó una exposición del clero de Yilnicia sobre El Sr. Canga contestó que existía hipoteca su…</t>
  </si>
  <si>
    <t>…ue habia en lo* pueblos, que ni pertenecen i la clase de frutas y otros c'smest.b.es , y los corredores que estuviesen en la com lujo ni á la de alquiler. pra y venta de ellos. El Sr. Ferrer (D Joaquín) indicó que era preciso no recargar de Segunda esp.cie. Ropavegeros, vendedores de hierro viejo y libros masiado á los coches, por cuanto si no ios habia , perecerían una por usados, todos de menor cuantía. Tercera especie. Barberos y peluque ción…</t>
  </si>
  <si>
    <t>…l él lo que debían hacer ios dueños de los plantíos con oi tabaco de tm consumidor, por med'o del tta&amp;co libre del tabaco, ¡está surtido coa cosecha. mejor género v mas barato! El Sr. Ferrer ( D. Joaquín) contestó que los plantíos no estarían Esta es 01ra cuestión que no puede perderte de vista. El Sr. Canga en estado de dar producto ha&gt;t i e- ano proa uso , v ad- mas no se pri ha manifestado qu: los contrabandistss venden mas caro;y es un ha vab…</t>
  </si>
  <si>
    <t>…inal, y se declaró c.la sus t n-dores. As. pu s, para qu • no 1- vi sen r duc dos a n m por la negativa. seria cstns habitantes, qtisiera yo qu ; no fu se ex: urira ¿st¡ proS h El Sr. Ferrer (D. Joaquín) iba 4 habla' , y el Sr. presidente no se c on , encargando -I Gob.erno que pacas; con prif.r n;ii y re' c.os daj lo permitió , llam ndole por tres v.ce» ai orden. é los fabncant s de sal de S F mando 1 po-qu; s' no , señor, vi i d *Habiéndose pre…</t>
  </si>
  <si>
    <t>…ngero 5 por 100: el extranjero no apoyaba, y que en tu día contestaría á laa observaciones del Sr. Surra. cuesta de comisión sino el 4 por 100 sobre parte del empréstito, no so El Sr. Ferrer (D. Joaquín&gt;dijo: Yo me quejo de la comisión y bre el todo , y el nacional sobre el todo; por consiguiente lejos de ser del Sr. secretario de Hacienda, por haber comparado ctte empréstito el argumento una comparación de ventaja en favor del préstamo nacio con…</t>
  </si>
  <si>
    <t>…o inde algunos derechos, opinaba que debia exigirse la responsabilidad á lot pendientes á los Estados Un dos. cónsules, se sor y escribano de dicho consulado, be mandó quedar soEl Sr. Ferrer (D. Joaquín) manifestó que la comisión estaba pene bie la mesa. trada de los mismos principios que animaban al Sr. preopinante, pues Asimismo se mandó quedar sobre la mesa nn dictamen de la comi proponía se autorizase ampliamente al Gobierno para que proceda…</t>
  </si>
  <si>
    <t>…as obligaciones no pueden aprohaise , porque como ha demostrado nut -.anv-rte que pesan sobre el Estado. ei s- or F&lt; rr r, hacen ei m smo efecto que las primitivas condición s. El Sr. Ferrer dijo: El Sr. secretarlo del Despacho de Hacienda ha La amalgamación de la d-uca de Hoiaada : es forzada ó v-!ur. ta supuesto que las Cortes , al pasar al Gobierno este tratado, de hecho xi» ? Si r» voluntaria, ¡en manos de quién esti la vo untad : Curo es le…</t>
  </si>
  <si>
    <t>…obierno ha cumplido con su de Se mandó pasar á la comisión que ha entendido en este asunto una ber, ni las Cortes pueden aprobarlo. Las razones por que se debe eli proposición del Sr. Ferrer (D. Joaquín) para que te hagan extensivas minar asta deuda se hallan tan repetidas por los Sres. Ferrer y Surra á los tenedores de las acciones del empréstito nacional algunas gracias en las diferentes discusiones que ha habido sobre esta materia, que me conc…</t>
  </si>
  <si>
    <t>…ía Pardo y Quirogs , consul Se leyeron y mandaron pasar á Ja comisión tres adiciones: una dd tor dal Crédito público, á D. Raimundo Orrisn, intendente de egér- Sr- Ojero; otra del Sr. Ferrer , y otra del Sr. Lagssca. cito y director de rentas, y i D. Ramón Bango, antiguo oficial mayor Se leyeron y hallaron conformes varia* minutas de decreto, y te de la consolidación de este ramos y habiéndose procedido á la votación levantó la sesión á la una y…</t>
  </si>
  <si>
    <t>…a di.frutarán el sueldo de t53 rs., y conservaran ei empleo de t.&amp;icnt:i rios; por todo lo cual no aprobaba el di.timen de la comisi m. Coroneles vivos del egérc to." Aprobado. E! Sr. Ferrer (D. Joaquín) manifestó que siendo el ¡UJicit de 96 Arr. 23. 1 Estos capitanes tendrá.. opc’on á la m’tad de las vacan millones, según Juba manifestado la comisión, y autorizándose al tes de comandantes de batallen que o.utran en los mismos cuerpo», y Gobierno…</t>
  </si>
  <si>
    <t>…onía directamente. nientes, expresándolos con la mayor claridad y distinción.” Aprobado. Aprobado. Art. a.° o Las cuotas de los gastos públicos se remitirán precisa Sobre otra del Sr. Ferrer (D. Joaquín), que decía :» Pido que la mente por los ayuntamientos, bajo responsabilidad , en todo el mes de fianza que te exige á los vecinos á quienes te reparten suertes de terre Enero próximo para la aprobación de las diputaciones provinciales.” nos baldí…</t>
  </si>
  <si>
    <t>Férrer</t>
  </si>
  <si>
    <t>…- errt nelas á dis-ancia compeler le , reconozcan »er la vjs.ta de su c*bo, surefoto ú 'final: y 4 fin de quí las guardias mir.dataspara cuando se tratase de las l yes penales. El Sr. Férrer (D. Joaquín) indicó que esta doctrina de la autori no la ignoren, y qu: sus centinelas no extrañ.n el rumo, se la comuni dad del cabo era tan antigua, que s-ria desquiciar el primer elemento de caran recípiocammte los g. fes de las guardias confinante». la or…</t>
  </si>
  <si>
    <t>…te artículo, prov denc.as convenientes para los indicado, fines. no se repruebe el artículo constitucional. El Sr. Marau hizo varia, reflexione» para manifestar que ni» se ha | El Sr. Ferrer (D. Joaquín) pidió que se leyese el segundo caso del cia mér to de lo» procuradores de os ayuiunn.cotos para ia cooperación ! artículo 321 de la Constitución (se leyó y continuó): lie pedido se de las media, que la autoridad había de lomar para proteger las p…</t>
  </si>
  <si>
    <t>…yes fundamentales no pueden trasladarse al código donde el Sr. Argii.jles manifestó que lo apoyaba. . : , hay leyes secundarias. Dícese que es inútil el artículo; yo no lo creo El Sr. Ferrer ( D. Joaquín): Mi horror 4 Ta palabra policía ms •si, porque cuando se expresa ’&gt; ni se podrán mezclar en ia conducta obliga 4 impugnar este articulo. En efecto no sé quién es el magistra privada de aquellos sino en el modo y casos prevenidos por las leyes,”…</t>
  </si>
  <si>
    <t>…go convendría en que ron presos á loa de la junta.” no ae aprobase el artículo ; pero en mi concepto lo hay. •&gt; Todas las cartas que recibimos, tanto de nuestros amigos estable El Sr. Ferrer ha sido el que se ha aproximado mas á dar í conocer cidos en los diferentes pueblos de las provincias , como las que nos di los inconvenientes que puede haber; pero $. S convendrá en que no es rigen nuestros compañeros de armas, que se hallan con ¡as division…</t>
  </si>
  <si>
    <t>…eria mejor dejar esto la Península , para que las Cortes se sirvan declarar como carga conce al arb trio de los ayuntamiento!. jil le de diputados de barrio de aquella capital. El Sr. Ferrer (D. Joaquín) dijo que precisamente estábamos en la Se mandaron pasar á la misma comisión las siguiente* adiciones del capital de la monarquía, en donde era preciso corregir el desorden que Sr. González Alonso al reglamento de policía. se notaba en la numeraci…</t>
  </si>
  <si>
    <t>…efectuados en d.-ho tri los arsenales, á fin de hacer el reintegro sin perjudicar al fondo de ccnstruccon ni á dichos empicados. mestre 148. a4.fr ■cultura , industria y artes. El Sr. Ferrer (D. Joaquín) se opuso .1 que se pagasen haberes perso No hay en esta ciudad cria de ginado», m ñas, montes ni p an— nales de los 50 millones destinados por ia» Cortes últimas para el tíos. En cuanto a agricultura solo d:bz hacerse memo d? ia aclima equipo y c…</t>
  </si>
  <si>
    <t>…igadas que sirvan para el ramo de artillería y esten servidas ejecución la organización de la milicia activa, porque te ha contado por lo» batallones del tren. con esta fuerza. El Sr. Ferrer ( D. Joaquín ): La comisión desde luego está confor E&gt; Sr. Fcrrer ( D. Joaquín ) contestó que la comisión no había me en que se construyan todos aquellos carros que deban tener una dado su dictamen sobre este punto porque las Cortea no habiaa acor forma parti…</t>
  </si>
  <si>
    <t>…por el Sr. Infante, sino para demostrar también esta. que será imposible llevar á efecto lo que propone la comisión. Si se di Entró de vuelta del Real palacio la diputación : y el Sr. Ferrer jese que todos los facciosos que han tomado las armas contra la patria (D. Joaquín) como presidente de ella dijo qua habia sido recibida con se entregasen á la disposición de los comandantes generales para que el ceremonial de costumbre, y que S M. había ofre…</t>
  </si>
  <si>
    <t>…al fiual de este artículo i: añada : »&gt; No CBtend.érdase e.ta dó aprobado. disposrc.on con los que habiendo sido sacados á la fuerza y obligcd s a Leído el punto segundo, dijo el Sr. Ferrer (D. Joaquín): Supongo servir, acrediten que no ha sido posible evadirse de ello. Les qu: se que hay una necesidad urgente de buques, que es lo que habrá motivado hallen en este último caso *:rán entregados al egército por lo* supes de la propuesta de este art…</t>
  </si>
  <si>
    <t>…que este im El Sr. Suna: A pesar de que está estampada mi firma en este dic previsto ea aereo, porque solo estamos en el primer trimestre de este tamen , yo no la he puesto. ( El Sr. Ferrer advirtió que esto seria por ■fio, y no puede saberse tu resultado. una equivocación.) De ningún modo puedo conformarme con la pro El Sr. secretario de la Gobernación de la Península: No entraré ea puesta de la comisión , porque creo de absoluta necesidad que…</t>
  </si>
  <si>
    <t>…rido , y que par* hacerle* frente »-■ b* visio el Gobierno en e¡ comque se concedan lo* 12 millones que pide. prom-so de echar mano de los fondos m nos uegtntes. Asi pues ruego El Sr. Ferrer: La ley orgánica que dictaron las Cortes sabré el ita a las Cortes se sirvan tomar lí) consideración este asunto, en e! que s¿ ponante ramo de beneficencia ba dejado al Gobierno un vasto campo el Gobierno insiste, es por la persuasión en que cía de su necrs.d…</t>
  </si>
  <si>
    <t>…a comisión par Bien conozco que la Nación en cierto modo no puede atender como te de un princ.pio falso. dsberia á sus obligaciones; p'ro al mismo t s-uip.i no cu do o r con pa El Sr. Ferrer ( D. Joaquín) dijo que por lo qne hab'a manifestado ciencia que ss diga aqui mismo qu- rsiamos pobres. ¿De este modo có •1 Sr. sacretario da la Gobernación se coitocia que todos estaban de mo hemos de tener crédito? La Nac.on esta pobre; ptro es por mo acuerd…</t>
  </si>
  <si>
    <t>…Ctedito púhiico, y podían resultar gravísimos perjuicio» ai &lt; x cto cumplimiento. Barcelona 31 di Octubre de 1822.=M- marques *e tratase de hacer io contrario. de Candido,ñus. El Sr. Ferrer dijo que las Corte* no habían revocado ni pensaban Idem _jr. revocar una promesa solemne hecha i la Europa entera, es á saber, IVot' ias del egército de operaciones. El cuartel general estaba el 30 que la deuda pública ds España debía ser redimida con los bie…</t>
  </si>
  <si>
    <t>…ta de los facciosos no y que se sirva disponer su cumplimiento." c*ta™ *n disposición de servir en la marinería. Lo traslado i V. S. de Real orden para su inteligencia y cumpli £1 Sr. Ferrer (D, Joaquín}: Yo creo que á estos individuos se les miento en esa provincia da su mando- Madrid 6 de Noviembre de 182 a. puede destinar tanto á la tropa de marina como á la marinería , aten TXISCVALUS. diendo al estado en que se hallan las provincias litorale…</t>
  </si>
  <si>
    <t>…or la Ingla aitku'o 2.u terra es decididamente el de conservar la paz, tanto en el Oriente Se leyó el art. 3.® como en el Occidente de la Europa.__El mismo Courier dice en otro El Sr. Ferrer ( D. Joaquín ); En el artículo anterior te habla dn lugar que á la España se la debe aconsejar y dar dictamen , y que t «la esca'a, y ahora del caso en que un buque toque en un puerto. Estaa intervención 4 mana armada no harta mas que retardar el resultada do…</t>
  </si>
  <si>
    <t>…cargo contra los patriotas? Coronemos la obra, porque ti.:./.a comprendida en el art. loo del reglam;nto. je ha hecho mientras quede tt!?n f«r hacer." (Kejrz arriba Barcelona.) El Sr. Ferrer ( D. Joaquín]) dijo que el vasto pian del proyecto que Esperaban cía Barcelona a, general Milans,que desde Vicb llevaba se había leído requería mucha meditación, y que la comisión de Ha ciertos 'presos, bien resucito á que si á su columna se le disparaba un c…</t>
  </si>
  <si>
    <t>…tan importante, opinaba que debía aprobarte. Aprobado. de las armas ; y si el gefe de la tropa tuviese alguna queja acerca del tra I it misma comisión, en vista de una adición del Sr. Ferrer i la or to que se les baya dado, la hará presente al general ó comandan denanza militar para que en todos lo* parages donde dice armas á la te general de las fuerza* de mar; y en caso de que este no haya re funerala se sustituya armas terciadas, opinaba que d…</t>
  </si>
  <si>
    <t>…uchas veces consi Aunque nadie ha dudado de que las armas de la libertad llevan con derables perjuicios. sigo siempre el triunfo y la victoria sobre los agentes del despotismo, El Sr. Ferrer (D. Joaquín): La comisión halla que la cantidad to ios ansiaban el primer encuentro de las tropas con los facciosos •- me adicional. de 50 millones prescrita por la» Cortes para el m-nt-.t-no apresuro por lo mismo á manifestar al público el extracto de los pa…</t>
  </si>
  <si>
    <t>…, se bailarían reducidas á aquel derecho de guerra y paz que tiene Se leyó y aprobó el acta de la anterior. todo Gobierno regular; y cuando á nadie le ha pasado por la imagina El Sr. Ferrer ( D. Joaquín) leyó el dictamen de la comóion de ción disputar á la Francia el derecho de mantener un egército de ob Hacienda sobre la memoria presentada í las Cortes extraordinar a, por servación en las fronteras de España para evitar que un vecino atente el.…</t>
  </si>
  <si>
    <t>…ones ocupadas y los trabajos hechos por el ene señalar hasta qué época se habían de hacer ¡as provisiones. migo desde que este embistió la plaza: a.° los trabajos de contra ata El Sr. Ferrer (D. Joaquín) indicó que ademas de las com:niá.:des que ó defensivos, y las disposiciones progresivas de la aitillcría y de volantes de que había hablado el Sr. Isturiz había otras q &gt;e no 10 eran, las tropas á medida que vayan adelantando los enemigos sus apr…</t>
  </si>
  <si>
    <t>…a puntualidad que que pide el Gobierno y en lo que concede la comisión; ; pero no podrá exige el asunto. el Gobierno aplicar las cantidades que se le conceden i lo mas preciso; El Sr. Ferrer (D. Joaquín ): El Sr. secretario del Despacho de Ha Ír no podrá negociar 25 ó 30 millones de reales, teniendo en su favor cienda ha empezado su discurso manifestando que por el poco tiempo a opinión pública? Creo pues que el dictamen de la comisión está fun q…</t>
  </si>
  <si>
    <t>…s ordinarios que neces t-n las coras en vir por todo lo cual creia que el artíiu'o no debía aprobarse. tud de los reconoc.mí-.irles que niciere ci ingeniero ccrrtandjnte , y da El Sr. Ferrer (D. Joaquín), apoyando ¡o repuesto por el Sr. Olí- l.s que proy ctase nu vament-*, tíi-á cuenta el g-.b.-n.dor a: coman ver, dijo que podía aprobr.rs: la primera parte d-1 articulo, diciéndose dante genera! d.-i dutr.to , pasándole al prop c&gt; t'err.po las rei…</t>
  </si>
  <si>
    <t>…e aduanas ha producido una cantidad muy pequeña en com del dictamen de la comisión , lo cual se verificó. paración de cato* 40 millonea. Eato partee que encierra una especie de El Sr. Ferrer (D. Joaquín) : A pesar de que ton conocidos los abu contradicción, y la comisión sin examinar si en efecto el producto del sos que ha habido en algunos consulados , me abstendré de hab'ar : li medio por 100 ea damasiadoexcetivo, no ha hecho mas que conformars…</t>
  </si>
  <si>
    <t>…saber, reclamaciones fundadas y legítimas (por ción » y i su nombre ai lo juzgare conveniente el Gobierno.” estar expn-samente comprendidas en ios tratados) y reclamaciones du El Sr. Ferrer contestó que la comis.on no tenia inconveniente, y dosas, subdivid endose estas en otras fr-s clases inferiores, según sede- se aprobó el artículo con esta adición. tallan en el adjunto cuaderno de categorías, que de ningún modo po Art. 4.° » Siendo una deuda…</t>
  </si>
  <si>
    <t>….ni n que d be i secha-s; c d ctam n refe-encía el Sr. preopinante , y después de una corta discusión con el que se eit-ute, por cuanto r.sucva ton ii";... i 'ia precipitación una Sr. Ferrer ( D. Joaquín) se aprobó el artícu'o. mater a bá tante grave , y ¡u as Co'trs t-.m-n en consideraron t.:í Art. 5," 1» FJ Gobierno queda encargado de tomar las disposiciones negocio para aver.guar que ventajas resudaren de derogar la | y ¿. 3 mas activas y conv…</t>
  </si>
  <si>
    <t>Ferrer, Antonio</t>
  </si>
  <si>
    <t>Antonio Ferrer</t>
  </si>
  <si>
    <t>…edientes que pasaba á las Cortes con arreglo á la Constitución, CORTES. cala forma siguiente: mnSIDBNClA DHL SBftat BURO. A la comisión de Poderes se mandó pasar una exposición de Don Antonio Ferrer, electo diputado por las islas Baleares, inanif.-stando que Sesión del día 3 de Atarse. el estado de su salud no le permite desempeñar este cargo , por lo cual Aprobadas las actas de la última junta preparatoria y la de la aper ■apocaba á la Diputación perman…</t>
  </si>
  <si>
    <t>…que el famoso Alí, bajá de Janina , habia sido entregado vivo go de Torres. á su enemigo Churschid-Bajá por sus propias tropas, de las que la ma El Sr. Secretario Salva dijo, que D. Antonio Ferrer, diputado yor parte sonalbaneses. Si se confirma esta ocurrencia, será muy útil electo por las isla» Baleares, había presentado hoy sus poderes; por cu para los turcos por la impresión que generalmente causará, y también yo mot.vo era inútil se discutiese el…</t>
  </si>
  <si>
    <t>…ropios , á fin de c mstruir una casa Leída y aprobada el acta de la anterior , entró á jurar y tomó asien consistorial en la plaza del mismo lugar de que carece: ia comisión to el Sr. D. Antonio Ferrer, diputado por las islas Baleares. opinaba podía accederse i dicha solicitud, vendiéndose dicha tierra con A la comisión de Premios se mandaron pasar una exposición de la las formalidades de derecho, y dando cuenta y razón del producto y de diputación provinci…</t>
  </si>
  <si>
    <t>…general Mina. Su proclama se leyó delante de la lápida, y el va go mis guerrillas con el grueso de las suyas que se hallaban al frente liente comandante de la M. N. de esta villa D. Antonio Ferrer y del pueblo. Al arrojo de mi columna no tardaron los enemigos en Pons dió un espléndido convite á todos cuantos se presentaron , los desordenarse completamente, y emprendieron la fuga precipitada á las cuales se han ofrecido gustosos i sostener nuestro Códig…</t>
  </si>
  <si>
    <t>Ferrer, Joaquín María</t>
  </si>
  <si>
    <t>Joaquín María Ferrer</t>
  </si>
  <si>
    <t>…l día ni desempeño aquel empleo , si soy capi Atienza. Aprobados los poderes de estos Sres. diputados. tán de Guardias; por consiguiente no tengo impedimento para poder Guipúzcoa. D. Joaquín María Ferrer. La comisión opinaba que ser diputado á Cortes. Hay ademas otra razón que demuestra esto mis debían aprobarse loa poderes de este individuo. Aprobado. mo. Los gentileshombre, de Cámara mas antiguos que están en eger Jaén. D. Manuel Ventura Gómez y D- Pedro Li…</t>
  </si>
  <si>
    <t>Ferrer, Ramón</t>
  </si>
  <si>
    <t>Ramón Ferrer</t>
  </si>
  <si>
    <t>…eclaman el haber correspon partido herido , y el cazador y teniente de la misma compañía D. Bal diente, y con harto dolor se han de desatender muchas veces sus clamo tasar Auger y D. Ramón Ferrer, y trea cazadores contusos. res. Este cuerpo político no puede por mas tiempo sufrir en silencio es __Se nos acaba de asegurar que el general Mina se halla en Lérida, y tos males; vista la invitación del Sr. gefe político superior, no ha podi que ha empezado…</t>
  </si>
  <si>
    <t>Ferret</t>
  </si>
  <si>
    <t>…en las listas hombre* casi inútiles, j que hasta ahora no &lt;le Guerra. habían prestado servicio* i la marina. El Sr. Presidente sefialó pera la discusión de mafiana el dictamen El Sr. Ferret (D. Joaquín): Tengo entendido que no hay necesi déla comisión de Hacienda sobre intendencias: el de la de Poderes dad de haberse matriculado en la lista de que se trata para gozar de sobre los del Sr. diputado electo por Sevilla : el de la de Casos de res cie…</t>
  </si>
  <si>
    <t>Ferrev</t>
  </si>
  <si>
    <t>…aso particular se perjudicasen los in cumento* á la comisión da Salud pública. tereses de I* Hacienda pública. El Sr. Pedralvez, individuo de Ja comisión do Sanidad, después de El Sr. Ferrev (D Joaquín) apoyó con algunas observaciones la opt manifestar las grandes dificultades que te han ofrecido á esta para arre aron del Sr. preopinante, manifestando entre otras cosas que ti las pro glar el proyecto de código sanitario, hizo presente que sin emb…</t>
  </si>
  <si>
    <t>Ferríf</t>
  </si>
  <si>
    <t>…n movimiento inesperado de tropa*. incluirse en la escala de rebaja de sueldos. Se asegura que el plan de campaña adoptado por el divan, es obra El Sr. Canga apoyó lo d ebo por ei Sr. Ferríf. añadiendo , que á de un antiguo general francés que ha gozado de mucha celebridad. Se fin de que la rebaja que sufriesen estos ind.vlduo» fUc»e un btn.ic o gún este plan, los turcos deberán atacar y llevar la guerra al país para el erario , era necesario ent…</t>
  </si>
  <si>
    <t>Ferris, Fermín Sánchez y</t>
  </si>
  <si>
    <t>Fermín Sánchez y Ferris</t>
  </si>
  <si>
    <t>…f&gt;7-1 $ 25.624,'82 .30 •3-íí47»*67..I5 *5-6*4,282..30 Madrid r.° de Maya de i8aa. ANUNCIOS. privilegio de 15 de Octubre de 1511,39 mrs. de juro en la 'renta de Por providencia del Sr. D. Fermín Sánchez y Ferris , juez de pri las alcabalas de Avila: Juan de Heredia Savando y los sucesores en su mera infancia de Alicante, se cita y emplaza á los que se crean con mayorazgo, por otro de 29 de Mayo de 1608', 88,500 mrs. de renta, derecho á los bienes de la obra pia funda…</t>
  </si>
  <si>
    <t>Ferro</t>
  </si>
  <si>
    <t>…00 podían tud , aunque sean moderados. trasladarse i Madrid sino un corto número de estos objetos preciosos. En cuantu á ios establecimientos de beneficencia dijo que la mayot El Sr. Ferro (D. Joaquín) dijo que ta comisión no desconocía La pane de sus fondos dependen del Crédito público; y que si la deuda Utilidad de reunir en la capital los monumento* de las nobles artes que nacional turarte un buen giro, como era de esperar, estos estableciho…</t>
  </si>
  <si>
    <t>Ferrrr</t>
  </si>
  <si>
    <t>…p.-ticion de 5,'&gt; El maestro barrillero ó quemador de barrillas y sosas y sos ayu dantes, que hicieren las mezclas que quedan prohibidas en íos artícu algunos Sres. diputados. El Sr. Ferrrr (D. Joaquín) manifestó que si las Cortes hablan dé los anteuores , pagarán una multa de 5 á 30 duros , ó sufrirán de-13 í ocuparse en discutir con empeño esta ciase de negocios , las leyes que 30 días de prisión en la rarcel pública, y no podran emplearse en…</t>
  </si>
  <si>
    <t>Ferrts, Sebastian</t>
  </si>
  <si>
    <t>Sebastian Ferrts</t>
  </si>
  <si>
    <t>…io 10 de Agosto de 1811. mentos del Crédito público desde i.° de Mayo hasta fin de Junio últi mo , acudirán á la misma i recoger los equivalentes renovados en lá Por traslación de D. Sebastian Ferrts á la judicatura del partido mina de t8ai con los libramientos de intereses devengados el dia aa de Inca, provincia de Mallorca , ha quedado vacante la de Ibiza, y del que rija y siguientes, entregando los correspondientes resguardos. para su provisión se admi…</t>
  </si>
  <si>
    <t>Ferter</t>
  </si>
  <si>
    <t>…e* para al Estado y de muy gran que no tenemos de que disponer para los gastos de guerra. de para la milicia activa. El Sr. Valdes(D Cayetano): Es cierto qu: el no tener actual El Sr. Ferter ( D. Joaquín) dijo que la milicia activa habia dis mente el egército la fnerza armada que las Cortes decretaron habrá frutado hasta ahora de un fondo muy pingüe , el cual podía muy producido un ahorro imprevisto en el presupuesto; pero esto será ¿ be bien sub…</t>
  </si>
  <si>
    <t>Fertrr</t>
  </si>
  <si>
    <t>…Sr. secretario de Hacienda manifrstó que el Gobierno estaba con otro modo diría que no hab:a pod.do quitar i tiempo les obstáculos forme con la propot eion que había enunciado el Sr. Fertrr. que se oponían á su defensa ; que creía qu: la fu*rra que le atacaba era El Sr. Sánchez dijo que suscribiría gustoso i la misma proposición. insuficiente , y oras dacu'pas á que no se da lugar d ¡indo el artículo Se decían', en seguida esta artículo suficien…</t>
  </si>
  <si>
    <t>FeruanAx, Juan</t>
  </si>
  <si>
    <t>Juan FeruanAx</t>
  </si>
  <si>
    <t>…a pro queja dada por D. Francisco de Paula Bué, vecino de i —-r-v , cen vincia de Patencia, no cataba comprendido en la ly de de Oc tra el alcalde constitucional de aquella ciudad D. Juan FeruanAx de la tubre de 1810, opinaba que ea efecto tro lo estaba. Aprobado. Cámara y contra el regidor de la misma D. Juan Cabello Barrada, por La comisión de Legislación, en vista del expediente promovido haber altanado su casa; en el cual Is comisión, en vísta de h…</t>
  </si>
  <si>
    <t>Fesí</t>
  </si>
  <si>
    <t>…del regimiento infantería Imperial Ale militares. jandro. Barcelona: pan primer comandante al coronel graduado D. Ramón Tolosa (ligero): para coronel al coronel títo de infantería Don Fesí, teniente coronel del regimiento de caballería de Numancia. Francisco Ignacio Amura, supernumerario del regimiento de Fernan Bilbao (ligero): para coronel al coronel vivo de infantería D. Juan do VII. López Campillo , teniente coronel del regimiento de Zamora…</t>
  </si>
  <si>
    <t>Fetiu, Simón</t>
  </si>
  <si>
    <t>Simón Fetiu</t>
  </si>
  <si>
    <t>…los'iaeoévmicntes que podia contribuyeron al lucimiento «le la fiesta los ciudadanas -D. Francisco llevar consigoilp'supresión de equell* voz, «lijo refiriéndose i iodo lo Valles, D. Simón Fetiu y el eclesiástico D. Josef-Martí, escolapio se qtie acababa de mamfcstao: - ~ - cularizado, lo* primeros pronunciando arengas patrióticas en la plaza, su las palabras mágicas ya toda han perdido Sefiores , &lt;* CrMur, «tal atote fuerza el sentido el Írármenteel…</t>
  </si>
  <si>
    <t>Fetrer</t>
  </si>
  <si>
    <t>…cha gravedad, contestar el Sr. Infarte. ■yr que en su concepto (filaría diferirse su discusión para otro dia. Declarado en seguida el punto suficientemente discutido, se puso á El Sr. Fetrer (D. Joaquín): La comisión rn su dictam-n te ha he votación , y resultó que lo aprobaban 41 sefór.-s, y lo desaprobaban 30. cho cargo de una proposición de d f.r-'ntes Sres. diputados, que pidie El Sr. Isturiz observó que no había suficiente número de Sres. di…</t>
  </si>
  <si>
    <t>Fg, Mariano</t>
  </si>
  <si>
    <t>Mariano Fg</t>
  </si>
  <si>
    <t>…eis á quien corres dirección del Pedregal, p r cuyo camino corre aquel en la mas ver ponda . arKsií rub Lado d- la R al m.no.^En Palacio á 19 de Ago* gonzosa fuga. to de i8ca. = A D. Mariano Fg a." •&gt; Tengo la honra de comunicar i V. esta ¡mportant* notic'a para C,rcul.tr ael ma.isttrio de Hacienda. su satis acción y la de las tropas y pueblos que se hallan bajo su man El Sr. s*cr-t;r o d 1 D spacho de la Cobe.nacion de la Península do. Dios guarde…</t>
  </si>
  <si>
    <t>Fia</t>
  </si>
  <si>
    <t>…brigadier conde de Pino Hermoso, go ANUNCIOS»bernador de la plaza de Alicante. Para la de Játiva al mariscal de cam po D. Diego Clarlce. Para ia de Castellón al mariscal de campo barón Fia salido el 7.” número del 5.° trimestre (.4$ de la colección) de de Andida. Para la de Murcia al mariscal de campo D. Antonio Ma las Décadas de medicina y cirugía prácticas, el cual contiene: i.9 Con ría Peón. sideraciones prácticas sobre las afecciones gástri…</t>
  </si>
  <si>
    <t>Fiael, Francisco</t>
  </si>
  <si>
    <t>Francisco Fiael</t>
  </si>
  <si>
    <t>…cusión , y se continuó ia del dicia.-n n de !¿ comi tución española , sino sus principios , ha coatribuido i que ae involucre sión de Casos de responsabilidad acerca de exigiría a D. Francisco Fiael odio hécia ella, y la persuasión de ciertas personas que han tenido •encia. furto en formar esa facción. Este es el mal, y las Cortes no deben per Habietuio hablado tebre este asneto los Sres Villaboa , Sa’vcto, der de vista este asunto. Un Gobierno que mira…</t>
  </si>
  <si>
    <t>Fiancis.o</t>
  </si>
  <si>
    <t>…tr ias n Para realizar est: proyecto s- crea d.sde luego una junta com eminentes; ¡oor ti r'.o a v- sóti.»*, guerreros armorul s; la patr a hen puesta de cinco individuos, que son D. Fiancis.o d.i K y, coronel de il ce tu stro vtf.iciz-', y ia md.cia nacutra! voluntaria de Guada 'aura la milicia vo untaría de esta ciudad, D. Justo Kavax , comandante de de ambas armas, inacopad» oc gozo, y cntusic-nada por vu »tro vaicr, uno de sus botal ones, D. Lu…</t>
  </si>
  <si>
    <t>Fiancisco</t>
  </si>
  <si>
    <t>…Nación, cupo en la suerte del primer extracto de la barca de Caspe; después de algún tiroteo con una avanzada se retiraron, de este dia á Doña Juana Francisca de Labiano, hija de D. Fiancisco, y no se presentaron hasta el amanecer del dia siguiente: desde luego sargento mayor que fue de uno de lot batallones «le loe voluntarios de por la descubierta tuve noticia de la superioridad de sus fuerzas, que la Rioja, muerto en acción de guerra. después h…</t>
  </si>
  <si>
    <t>Fianseri, Antonio</t>
  </si>
  <si>
    <t>Antonio Fianseri</t>
  </si>
  <si>
    <t>…cab cillas Cutí y Ñas, aunque este último di ANUNCIOS.cen que ha sido de los mu ríos; pero no lo sé todavía. *» Estoy dando disposiciones para rendir los de la toree , que se obs Don Antonio Fianseri, director del monte pío de médicos y boti tinan en no verificarlo. carios de esta corte , hace saber a las viudas y húerfanos de los facultati » Estos desdichados en combinación con otros creyeron apode vos de ambat clases que tengan derecho a) expresado mont…</t>
  </si>
  <si>
    <t>FiaQciscéPArazonéi</t>
  </si>
  <si>
    <t>taldo, D. Sut‘19) Catrera, D. Salvador Campo* y D. Juta Pifitir». grande, recibid el beso de amor, el abrazo de grat:tud y los traspor Tmintes. D. FiaQciscéPArazonéi, D." Anrel del Ostillo, Don tes de admiración que os ofrece el ayuntamiento de la Coruña r esta Francisco Jimana, D. Cirio* Marrngal, D. Rafael Cu&lt;d, D- Juan porbio, émulo de vuestras eminentes virtudes i incomparab'es glorias. Francisco Alomo, D. Cristóbal N…</t>
  </si>
  <si>
    <t>Fiar</t>
  </si>
  <si>
    <t>…mprend n feld-mariscales, general*», d.l Bu'ro, núm. 10, é tguai citación y emplazamiento se entienda con coroneles , t n enl s coroneles áre Esta extiaoidinarla p ov d.ncis ha el D. Fiar e s.o Card.fics; apercibido este y aquellos que de no vericausado sensación en Viena , y a- mia como indicio de gu-rra : lo c rio fi .irlo les patara el perjuicio que haya lugar. es que las ob'igac ones metálicas bajaron en Viena el 22 de Junio á 7' j. Por p…</t>
  </si>
  <si>
    <t>Fiat</t>
  </si>
  <si>
    <t>…s votos particulares de los Sres. Buey y Prado, contrario» .? ha de los Comunes acerca del estado de la agricultura había causado una berse admitido á discusión la proposición del Sr. Fiat sobre la colec grande sensación , y no será menos fuerte la que cause en el resto de ¡a ción de cánones. Europa. La prueba es que no ha habido ni uno solo en el partido de la Se leyó el dictamen de la comisión de Poderes, la cual en vir oposición que se haya…</t>
  </si>
  <si>
    <t>Ficovedo</t>
  </si>
  <si>
    <t>…o hah-cn lo'o hecho as. , hab a resultado un inconveniente gra- debía aprobarse. Aprobado. v-, cual . ra et de i^ue habiendo admití 1o nu-va» excepciones, se Con respecto á )a del Sr. Ficovedo para que fuesen exceptuados los proportan otras, apoyando*-- en las comparación-s que se hacían entre nietos únicos que mantuviesen á sus abuelos, era de opinión que de las c as s &gt;xc i ludid" y &gt;a« &lt;jue pretend an rXC jtuar , y concluyó bían . xc ;tuerte los…</t>
  </si>
  <si>
    <t>Fidslgo, Manuel García</t>
  </si>
  <si>
    <t>Manuel García Fidslgo</t>
  </si>
  <si>
    <t>…mismo Congreso no puede tener buen resultado, Algunos sezarle. Aprobado. Sores diputados han manifestado la necesidad de que la reforma empie La misma, en visu de la exposición de D. Manuel García Fidslgo, ce por la m smi representación nacional; bajo e&gt;tc supuesto, y siendo labrador y vecino de los Palacios (Sevilla) , solicitando se le perdona fijo que el Diario de las Cortes del modo que está en el d a es un gas sen 160 fanegas de trigo que adeudaba á 'os p…</t>
  </si>
  <si>
    <t>Fieires</t>
  </si>
  <si>
    <t>…obispo de Vich , acusado de complicidad dos brigadas para sorprender al cabecilla Maiavila, y su camarada el con los facciosos, se reunían estos en mucho número para hostilizar ex-brigadier Fieires que acababan de llegar de Urge!, y que estaban en la ciudad , y hacer esfuerzos por librarle: marché al momento i Santa S. Pedro de Torrel-ó con 1500 facciosos; pero un temporal horri Colonia de Farnés , adonde llegué el día 18: el 19 i las 9 de la ma ble me…</t>
  </si>
  <si>
    <t>Fieras</t>
  </si>
  <si>
    <t>…ra «I díctame* de siempre haciendo fuego contra lo» faccico* de &gt;;n Ar:..n , Ms.alos diplomático» sensato», no podría menos de ser funestísima para ios viia .Carago! y el aticz cx-general Fieras, logrando i::n.?r. su a »emigrados ultras y su partido dentto y fuera de Franca, pues esta per.ion y mutínJ.des 'mucha g rite. Par. ;.- qu: a descubrir r¡c-»tra Cicasta de «ente pu de compararse á la» momias, ¿ut it deshacen m el visiun todo» ios tefer.dos pu…</t>
  </si>
  <si>
    <t>Figueiredo, Juan Manuel de</t>
  </si>
  <si>
    <t>Juan Manuel de Figueiredo</t>
  </si>
  <si>
    <t>…e superior político de Otó. Domingo D. Pascual lUaJ, Con la mayor sorpresa hemos leído en los periódicos ingleses un que ha desembarcado en Inglaterra. oficio del agente portugués D. Juan Manuel de Figueiredo en Buenos- El 1.® de Diciembre fue cuando les gefes de la insurrección dieron Air-s, con iecha 11 de Agosto de 1811, dirigido á tos gobernantes de el guipe que teman preparado, y que fue inevitable, pues el únicocuerChi e, y que arriba publicamos como copiado…</t>
  </si>
  <si>
    <t>Fígueras</t>
  </si>
  <si>
    <t>…a Losada, supernumerario del regimiento de Málaga. nuel Fernandez Rema, comandante del batallón ligero de S. Marcial. Vitoria (ligero) : para primer comandante al coronel graduado Don Fígueras: para primer comandante al teniente coronel D. Luis de Joaquín Urreiztieta, teniente cotonel mayor del regimiento de infante Viliadomar y de Castellarnau , primer teniente del a.° regimiento de ría de la Corona. la Guardia Real de infantería. Velez el Rubio:…</t>
  </si>
  <si>
    <t>Figueroa, Ambrosio Lorenzo de</t>
  </si>
  <si>
    <t>Ambrosio Lorenzo de Figueroa</t>
  </si>
  <si>
    <t>…s da medo, Búrgos y su tiena la de Becerril ; suplica 4 la persona que sepa Misas; pero que unos y otros fueron batidos, causándoles una conside su paradero se sirva dar noticia á D. Ambrosio Lorenzo de Figueroa, rable pérdida, tiendo la nuestra de cinco heridos, y habiendo cogido que vive calle del Escorial, núm. 16, cuarto z.° en la acción dos individuos de Caragol. Que la otra columna, al insudo D. Ignacio Pérez de Soto, vecino de esta corte , remitió por el del c…</t>
  </si>
  <si>
    <t>Figueroa, Manuel García Barro</t>
  </si>
  <si>
    <t>Manuel García Barro Figueroa</t>
  </si>
  <si>
    <t>…mente funesto á ia marcha de la administración de justicia, sa vicio de la milicia nacional local de aquella ciudad, que con su heroi biamente recomendada por la Constitución.” co comandante D. Manuel García Barro Figueroa se mantuvo acuarte Se leyeron por primera vez las siguientes proposiciones del sefior lada desda el 7 de Febrero hasta igual día-de Marzo, que supo la feiia Sánchez. instalación de este augusto Congreso, por lo cual pedimos á las Cortes 1/ Que las comisiones…</t>
  </si>
  <si>
    <t>Filangicri, Cayetano</t>
  </si>
  <si>
    <t>Cayetano Filangicri</t>
  </si>
  <si>
    <t>…o pata plano forte l.tis su.criptorev K la obra Mulada Ciencia de lepislacion, escrita en y otra, var as de las óperas ya .«cuia-as, y «¿u; rau a egtcuU&gt;t« en aje ta .ai.c [ioí el caballero Cayetano Filangicri, y traducida al castel'ano lan le , las que se daren á piccios equitativos. EN LA IMPRENTA NACIONAL.</t>
  </si>
  <si>
    <t>Filangiede</t>
  </si>
  <si>
    <t>…etado lo siguiente: Se autoriza al establecimien ANUNQIOS. to del Crédito público para que ezpida una tercera clase de documentas La ciencia de la legislación: obra escrita por el caballero Filangiede crédro desde la menor cantidad hasta la de 4999 rs., á fin de hacer ri, nueva traducción al castellano por D. Juan Ribera, rn 8” prolon los piaos menudos que resulten de las liquidaciones. Madrid *9 de Ju gado , y adornada con un hermoso retrato del autor. El…</t>
  </si>
  <si>
    <t>Filangieri</t>
  </si>
  <si>
    <t>…ras y los cgéreito*! Yo creo qua cu la librería de Hurtado á 1 a cuartos. las Cortes compro meterían su decoro si adoptasen el voto que se ha pre Ciencia de la legislación, por el caballero Filangieri, traducida a) sentado. Por lo demás las otras medidas que se presentan, son absoluta castellano por D. Juan Ribera. Se ha publicado el tercer tomo de esta mente peculiares de la» atribuciones del Gobierno, excepto la cuarta célabre obra, Cura recomendación te…</t>
  </si>
  <si>
    <t>Filangieri, Cayetano</t>
  </si>
  <si>
    <t>Cayetano Filangieri</t>
  </si>
  <si>
    <t>…su importante salud. Los suscriptores á le obra titulada Ciencia de la legislación, escrita El Sr. presidente sefia! ó para mafiana la continuación de los asun en italiano por el caballero Cayetano Filangieri, y traducida ü caste tos de sefioríos, y de Hacienda, y si quedaba tiempo el dictamen sobro llano por D. Jaime Rub¡o, abogado que roe de los Real1* consejos: los negocios de Roma ; y se levantó la sesión á las tres y media. tercera edición , corregida, coteja…</t>
  </si>
  <si>
    <t>…tacion de la Península. Los suscriptores á la obra titulada Ciencia de la legislación , eser ta » Enterado el Rey de que algunos pueblos no han cubierto todavía rn italiano por el caballero Cayetano Filangieri, y traducida al cant— el contingentada hombres de mar que les ha correspondido de los 3500 llano por el Lie. D. Jaime Rubio , tercera edición, corregda, cor jada que la» Cotíes han decretado en 14 de Mayo de 1821 , y que se lian con el original impreso en 178…</t>
  </si>
  <si>
    <t>…ón de luces, haga dege Los suicriptore» i la obra titulada Ciencia de la legislación, escrita en nerar los sentimiento, religiosos en misticismo ó en incredulidad. italiano por el caballero Cayetano Filangieri, y traducida al castellano Creo hab-r manifestado mi opinión con bastante ciaridad; pero pa por D. Jaime Rubio, tercera edición, corregida, cotejada con el ori ra todos los que s-an de mi modo de pensar, Ja cuestión que he pro ginal que se imprimió en Milán e…</t>
  </si>
  <si>
    <t>…ón de todos los pot nu Los suscriptores i la obra titulada Ciencia de la legislación, escrita dos, Gmbisti fue el primero que, según nos dice la historia, le hi en italiano por el caballero Cayetano Filangieri, y traducida al caste zo experimentar todas las calamidades de una invasión extranjera. llano por D. Jaime Rubio, abogado que fue de los Reates consejo.: Et Rey de loi persas triunfó como un bárbaro: el aspecto de la gran terc-ra edición corregida y cotejada…</t>
  </si>
  <si>
    <t>…a lápida de ia ANUNCIOS.Constitución los cuerpos para ¡r al convite. Los suicriptorts á la obra titulada Ciencia de la legislación, escrita en ARTICULO DF. OFICIO. italiano por el caballero Cayetano Filangieri, y traducida al castellano El Gobierno ha reiib'Jj los rae tes s'guíenteji P°r L&gt;- Jaime Rubio, abogado que fue de los Reales consejos : tercera edición corregida y cotejada con el original que se imprimió en Mi » Columna volante.=Los sables de mis valientes…</t>
  </si>
  <si>
    <t>…la Nación en una guerra civil, Los suscriptores á la obra intitulada Ciencia de legislación , escrita circunstancias que agravan todavía el proceder de este hombre, cuando por el caballero Cayetano Filangieri, y traducida al castellano por desde el primer dia que Bilda se presentó en su casa era ya delincuen D. Juan Ribera , acudirán á recoger el 6.a y último tomo á la librete en no haber dado parte á lat autoridades públicas, y en no haber eía de Sojo. En la mism…</t>
  </si>
  <si>
    <t>…&gt;0 mrs. vn., de que Los suscriplores í la obra titulada Ciencia de la legislación, escrita soto cor-es t&gt;ond« parte á las aduanas. Madrid 28 de Octubre de 1812. en italiano por el caballero Cayetano Filangieri , y traducida ai caste =V 0 B.0e=Im3z.=Como gefes de sección =Juan Pedio de Barrenechc. llano por D. Jaime Rubio, abozado que fue de loa Reales cons.jos: ^Francisco de Nestosa. tercera edición , corregida , cotejada con el original que se imprimió M ilan aro…</t>
  </si>
  <si>
    <t>Filipinas, Dome-</t>
  </si>
  <si>
    <t>Dome- Filipinas</t>
  </si>
  <si>
    <t>…r y verificar particular te habían manifestado. Aprobado. fos viages de naturalistas hábiles i las islas de Puerto.Rico , Cuba y Se mandó pasar i la misma comisión una adición del Sr. Dome- Filipinas, y de radie ir en ellas los conocimientos de todos los ramos nech al art. 1 a sobre recaudación para que concluyese diciendo: ” A de la historia natural, y preferentemente de la química y mineralogía. menos que esta suspensión no proceda de una culpa ó delito…</t>
  </si>
  <si>
    <t>Finando</t>
  </si>
  <si>
    <t>…1.*, lín. 6.*, de |1]&gt;.=:A D. Luis Baianzsi. dice «cuanto menos srin los put b o» d: l»e dcir a cuanto menores sean lo» pueblos." __Fn la mi-mi , col. 3 Ifn. 44 y 43 , donde dice Don Finando vn por Ja gracia He Dios y por la Constitución de Euisa Coturm, leas- Fratuisca 2?«*rt.n._En algunos egi-mplsrei de la le Monarquía española, Rey de ia* Españas, á todos los que Jas pre gacela «xiraordmaria de ayer, lia. 7.*, dice Junio dt ¡Seo, léase 18a»EN…</t>
  </si>
  <si>
    <t>Fine, Martin de</t>
  </si>
  <si>
    <t>Martin de Fine</t>
  </si>
  <si>
    <t>…esta corte; la 1ey absolvió «1 Dr. D. Salvador Gosalbes, responso» cado el nombre de Paria fi esa rennion de familia* impura» qua los ble de dicho impreso; y en su ronanrueacia el Sr. D. Martin de Fine* indiano* designan con 1* denominación de sale viles, étckeenderlm in da, juez de primare iartancíe de Madrid, mandó se alzase la fianza, mundo. Los Paría atan obligado» í huir de la pretenda de todo in y declaró qua asta procedimiento no debía camarín perjui…</t>
  </si>
  <si>
    <t>Firiman</t>
  </si>
  <si>
    <t>….neo los que sarcducacon de la juventud y los establecimientos de instrucción pública. gre y fuego intentan dcf.n lcr una religión que ai quiere fu -o n: san Nuestro arzob.spo, ei conde Firiman, es uno de los que se han gre , irán disminuyendo el número di ilusos, basta que no ce Jar.do declarado contra el establecimiento de los jesuítas. Sin embargo la cosa mas que los malvados, la cuchilla de la iev acabe de hac.r p^cv á es había estado dudosa has…</t>
  </si>
  <si>
    <t>Firmónt, Alejo</t>
  </si>
  <si>
    <t>Alejo Firmónt</t>
  </si>
  <si>
    <t>…nto; pero no es es-a mi Opinión coa I.a comisión de Agricultura y Artea, informando sobre la solicitud respecto al gefe político de Murcia: este individuo reside en la capital, de D. Alejo Firmónt para que se le permitiese grabar y publictr la y de ningnn modo puede ser r cipo nuble de todos los sucesos de la pro Constitución política de la monarquía española , y teniendo á la vista vincia, salvo si se prueba el hecho de que no tomó medidas enérgica* l…</t>
  </si>
  <si>
    <t>Fito, Manuel Rodríguez</t>
  </si>
  <si>
    <t>Manuel Rodríguez Fito</t>
  </si>
  <si>
    <t>…tan penoso por lo escabroso del terreno es Perseguidos los facciosos fugados de Calatayud por el brigadier muy Tca&gt;m*r.dal&gt;le; pues lo mismo trepaban por él cual si fueran corzo*. D. Manuel Rodríguez Fito con tres compañías de zapadores 7 dos F.sta m*d:uzada ha salido la división de Torrijoi para Lérida á en de voluntarios, s* reunieron hacia Vülaluenga, 7 en la noche del dis contrar á Romagosa y Romanillo que circunvalabin dicha ciudad; 7 1 2 salieron precipi…</t>
  </si>
  <si>
    <t>Fito, O. Manuel Rodríguez</t>
  </si>
  <si>
    <t>O. Manuel Rodríguez Fito</t>
  </si>
  <si>
    <t>…iosos.no le Al Sr. gefe político de esta provincia se ha presentaba ¿1 esc- ro jos de esta capital. Inmediatamente acordé con el comandante militar siguiente: de esta provincia el brigadier O. Manuel Rodríguez Fito, coronel de «Antonio Rovira, miliciano voluntario de la pr'mera comr-ñí* zapadores, el movimiento que convenía egccutar. En consecuencia dis del primer batallón de esta capit'l, de ofi; a cortant-, s-b: que t do puso dicho s- ñor comandante que á las diez de…</t>
  </si>
  <si>
    <t>Fitrer</t>
  </si>
  <si>
    <t>…as Cortes abrir una risita de los expedientes de las nemos que entrar, y lugo tratar del modo de cubarlas. propuestas hechas por el consejo de Estado, autorizándose al Gobierno El Sr. Fitrer (D. Joaquín) man.f itó que era indispensable que para divo!ver las que no se encuentren arregladas á lo que previenen las Cortes se ocupasen de estos gravísimos asuntos separadamente, por los d tercios de Cortes en esta materia. que no solo se trataba de pedi…</t>
  </si>
  <si>
    <t>Fitz-Clarence</t>
  </si>
  <si>
    <t>…istencia ros aquellos facinerosos, y se llevaron su cabeza como en trofeo. política. Sin embargo rata república nueva exige y» uno* gastos de 3 Otro destacamento á las órdenes del capitán Fitz-Clarence se reunió millón» de libras esterlinas , superiores á los de nuestra antigua mo al primero: dicho capitán enrió á reconocer el campo de los rebel narquía en 1700. Aun en 1791 apenas gastábamos mas de 6 millones. des , los cualee perecían muchos y muy ventajos…</t>
  </si>
  <si>
    <t>Fiva-, Agustín de</t>
  </si>
  <si>
    <t>Agustín de Fiva-</t>
  </si>
  <si>
    <t>…os sugetos siguientes: 1&gt;. Josef Antonio Sans ysu hijo, cx.guard.a, go que en este proceso debió haberse hecho constar todo lo concer D. Narciso Sans yRius, D. N., rector de Orta, D. Agustín de Fiva- niente a la existencia de la conspiración en que Balda trabajaba con su ller ,canónigo de la catedral, O. N. Bla, ex-secretario de la inquisi partida, a los atentados, violencias y atr.ipeliamientos comet dos por ción , j beneficiado de Sta. María del Mar, lo…</t>
  </si>
  <si>
    <t>Fivaller, Agustín de</t>
  </si>
  <si>
    <t>Agustín de Fivaller</t>
  </si>
  <si>
    <t>…n ei hasta el a del corriente, que rector de Horta.__ID. Pedro Josef Avalla, canon go y vicario gene d;;ar.do too h :v.b:.: en aquel punto, salió el resto en dirección á tos ral. _D. Agustín de Fivaller, canónigo de ia cat.drai—O. N. Blá, Siasos iic Mura-, á su ie_rcso, u -1 salir deis Misos, fueron atacados cx-seerttano de la inquisición, y beneficiado de fita. María del Mar. por ios facciosos de Mora y la R.b/Ta en número de 1 coo hombres; _Los dos capella…</t>
  </si>
  <si>
    <t>Fivaller, Josef</t>
  </si>
  <si>
    <t>Josef Fivaller</t>
  </si>
  <si>
    <t>…a. El general Lasen» estaba en las fiestan su amor á la Constitución. cercanías de Lima con fuerzas muy respetables. S. Martin había salido Se recibió con agrado una exposición de D. Josef Fivaller, ce de Lima con el objeto de atacar á La*crna, y se aguardaban la* noticias diendo en beneficio del Estado ciertos créditos contra la tesorería gene de sus resultas con la mayor ansia. ral, cayos documentos acompañaba; y se acordó remitir estos crédito* En nu…</t>
  </si>
  <si>
    <t>FLangieri, Cayetano</t>
  </si>
  <si>
    <t>Cayetano FLangieri</t>
  </si>
  <si>
    <t>…Ultramar di ce ai de Gracia y Justicia, con fecha de ayer, desda el Real sitio de Tomo 4.0 de la ciencia de la legislación : obra escrita en italiaao Aranjuez lo que sigue: por el caballero Cayetano FLangieri, nuevamente traducida por Doa » El R.y Q. D. G.) sigue en cama, sin haber experimentado en el Juan R bera en octavo prolongado, y adornada con un hermoso retra día de hoy m.joría alguna en su importante salud. S- M- la Reina y to del autor. Los cuatro lomos p…</t>
  </si>
  <si>
    <t>Fleuri, Claudio</t>
  </si>
  <si>
    <t>Claudio Fleuri</t>
  </si>
  <si>
    <t>…s y sab os hereditarios: ellos son los señores mas temido* librería de Rairz á 14 rs. en paita. por su crueldad y por su genio imperioso: cada templo es un serrallo, Discurso, del abad Claudio Fleuri sobre la jurisdiction eclesiás y ias Jewadaiiii , ó h'jas de Dios, solo se distingpcn de la» dama» cor- tica , y sobre el origen, progresos y decadencia d: las órdenes religiosas, t oa- .1, po su habilidad en las danzas lascivas que hacen parte del cul traduc…</t>
  </si>
  <si>
    <t>…de 56,230, en la indicada un «omito en 8.° i 6 , rs. en la librería de la viuda de Quiroga__ Discur renta y cabeza, de D. Diego B.-ancos y Salcedo &gt; otro de 2 24.400 , en sos del abad Claudio Fleuri sobre la jurisdicción eclesiástica y sobre el la referida renta y cabeza: otro de 429, en alcabalas del principado origen, progresos y decadencia de las órdenes religiosas, traducidas de Aslúrias de Oviedo, en cabeza del Lx. D. Pedro Nufiez Morque- del francé…</t>
  </si>
  <si>
    <t>Fleyres, Felipe</t>
  </si>
  <si>
    <t>Felipe Fleyres</t>
  </si>
  <si>
    <t>…gan aquella operación, ya por la pérdida de loa El Rey ha resuelto que el teniente general barón de Eróles y el títulos originales de pertenencia que motivaron los acontecimientos brigadier D. Felipe Fleyres, por haber abandonado las banderas nacio imprevistos de la última guerra de la independencia, y la confusión y nales , declarándose enemigos de la Constitución política de la Monar desorden que estos mismos introdujeron en los archivos de los ayunta quía, y o…</t>
  </si>
  <si>
    <t>Florando</t>
  </si>
  <si>
    <t>…i.* Dt Constitución. Mendiola, Fagoega, Guridi y Alcocer,Goalla -.Urania con su gente pidió ayer desde Lascano repetida* vecra xelez (D. Tonbio), San Martin, Cantarides, Castdlo (D. Florando), raciona al pueblo de Viltafranca ; tus autoridades y vecindario se oeMíien, Erara, Godoi, Ibaraa, y Odoardo. - mroo con iudiguaciou; Uraaga los atacó por la tarde, y los viltafrao- Dt Podtr egecutioo. Horbegoso, Arguelles, Fernandez , Tor . sin mas auxilio…</t>
  </si>
  <si>
    <t>Florcz, Juan Bautista</t>
  </si>
  <si>
    <t>Juan Bautista Florcz</t>
  </si>
  <si>
    <t>…Salvador de parto de la cosecha inmediata. la Monta&amp;a, contra la audiencia territorial de Astúrias y el escribano El Sr. Flores Calderón se opuso 4 esta artícn'o, manifestando qua D. Juan Bautista Florcz, por los procedimientos hechos 4 instancia la comisión nada habia propuesto acerca de ia asignación campéente del apoderado de los monees de Corias, opinaba que no estando pro que se debía hacer 4 loa ministros subalternos de las parroquias, como bados los he…</t>
  </si>
  <si>
    <t>Flore</t>
  </si>
  <si>
    <t>…la parte del En primer escrutinio quedó elegido para presidente el Sr R ratado que se refiere á los 140 millones; pero no asi la amalgamación por r4 «'«to» de J4S. «uniendo 70 el Sr. Flore* Calderón y unolf d a ,n eu&gt;kargo, el tratado mismo nos pone en ¡a precisión Sr. Escovedo. 7 uuo el o haber de desaprobar el empréstito si se ha de desaprobar la ama'gaEn la elección de vice-presidente tuvo 69 votos el Sr. Atienza v, macion. Voy a presentar e…</t>
  </si>
  <si>
    <t>…Lo Otro sobre una exposición del ayuntamiento de Barcelona, manifes la 1 1 id. tando la necesidad de que los gastos de la milicia nacional por ’a perse En la serta qu*dó electo el Sr. Flore* Calderón por 88 voto», te cución de los facciosos fuera de los respectivos pueblos te satisficiesen niendo 11 (1 Sr. Ruiz de (a Vega * 5 el $r- Lillo, 4 el Sr. Gzroz , f por la Hacienda nacional, y no por los pueblos, en atención á la esca i uno los Sr s Alv…</t>
  </si>
  <si>
    <t>…e Barcelona intenta formar un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Tesorería general dt ¡a Nación. Alonso por 6a votos de 111, teniendo el Sr. Herrera Bnttamante $3 En Real arden de…</t>
  </si>
  <si>
    <t>…e venir de de zyer 13. y de ctr_s va. ». particularidades que no toa de un 11 ::s piovncias distante». g"ii raí. z\ muchos act-difa el silencio qu: ,c --.jareaba sob'í !a . -ceF.l Sr. Flore* Calderón: La comisión ha creído que la cuota que se rtciot»-» del g-r -' l VJ-r.a, y rtros se desesperaban por no sabir aun .0 señala es suficient-* para un vis ta^or , atendiendo ai estilo en qu: se que se ha de hacer en D.ciembre. encuentra ia Nación ; sin…</t>
  </si>
  <si>
    <t>Florea</t>
  </si>
  <si>
    <t>…las casas de ¡os que conspiren contra el sistema. cretario d-i Despacho sin haber declarado ar.tes las Cortas haber luaar Algunos Sres. diputados observaron que la adición que el Sr. Florea i la formación de causa , á mi modo de entender entra los dos incon Calderón había propuesto al art. 3.0 y se había aprobado por las Cor venientes de dajar impune á un hombre de quien te sospechase haber tes , no estaba íntegra en aquel artículo, sino entre é…</t>
  </si>
  <si>
    <t>Florencio</t>
  </si>
  <si>
    <t>…nrral Lope* dt Bonos. Odoido 4.* Dt Rrglammio interior dtl Congraa. Fagoaga, Osota, Mus- ^Nombrado por S. M. tu secretorio de Estado 7 dd ** •uiz . Csmscbo (D. Camilo) y Castillo (D. Florencio.).................... la Guerra me separo de voaotro* con d aent-mtento de no poder conti, • Dt Relacionas exteriores- Valdrá, Flore, (OrCirilo), Aguilar, nmr ratanirando de cerca roturo ,d? y ^ Zavala, Gírate , Benitez Peres , Amada (D. Pascual), Riesgo y Ga…</t>
  </si>
  <si>
    <t>…c! que en 14 del misino le duS el teniente coronel co guardias di Carpí, donde deberá pr-srnurs- persona meiit- dentro del mandante accidental del regimiento caballería de bagunto D. Florencio término de di.z días, coñudos desde la pub icacion de r-te e/icla, 4 Ceruti , en que le mini6..&gt;u que habiendo salido una partida de dicho dar los descargos y det'cnsis, y de no come ¡r-cer en el r.f r do p azo cuerpo, al cargo d-l teniente D. Ramón To-o , y…</t>
  </si>
  <si>
    <t>Flores, Francisco de</t>
  </si>
  <si>
    <t>Francisco de Flores</t>
  </si>
  <si>
    <t>…orca, su Habiéndose denunciado al Sr. D. Rodrigo Aranda, alcalde conitíponiéndose que había llegado tarde su petición por haber espirado ai tncional de esta muy heróica villa, por D. Francisco de Flores 4 nom término por el que te había autorizado 4 dicho Sr. nuncio , quien me bra «le D. Podro Alonso de la Espina, vecino de la ciudad de Avila, contesta con fecha del 3 en los términos siguientes: do» artículos insertoaen el núm. ais y 156 del Espectador, el p…</t>
  </si>
  <si>
    <t>…ss seis y raedla da la mi- de todos ó alguno de dicho privilegios se sirva entregarlos ó dar raz- n Cana con el obj'tode acercarme a la Seo da Urea), según dije á V. E. en casa de D. Francisco de Flores , eslíe de la Esgrima, frente á la de en mi parte de ayer, he recibido en el cani no var os avisos del co la Espada, núm. a , cuarto 1.° mandante Gurrea, por los que m: a tviert- quj os facciosos huy.-n en Habiéndote extraviado al convento de religiosas de St…</t>
  </si>
  <si>
    <t>Floridablanca, Conde de</t>
  </si>
  <si>
    <t>Conde de Floridablanca</t>
  </si>
  <si>
    <t>…n corcepto de injurioso y calumnioso 4 aquellos; se reunió el jurado Jas fin as que están hipotecadas para el pago de un alcance que resultó compu&gt;to de los individuos siguientes: Sr. Conde de Floridablanca, 4 O. Nicolás Guerrero por frutos de excusado de las vicarias de Coin y Sr. D. Juan Paz, Sr. D. Aniceto Ltzana, Sr. D. Benito Ortega Roma Antequera en 1814; y persuadido S. M. de que no hay otro medio de nillos, Sr. D. Josef K yser, Sr. le. Marcos Izquierdo,…</t>
  </si>
  <si>
    <t>Fluxá.puesto, Miguel</t>
  </si>
  <si>
    <t>Miguel Fluxá.puesto</t>
  </si>
  <si>
    <t>…s y i D. Diego Osa y Ocho»; y para las dosmero. fisca tas de la misma audiencia 4 D. Manuel de la Plaza y Farias y 4 El Sr. presidente señaló pera la discusión de 'mañana al presu D. Miguel Fluxá.puesto del ministerip de Marina, y levantó la sesión 4 las cuatro. Junta general directiva de earat de moneda. _ Hay rasgos de patriotismo y desinterés , qu* casi seria delito en un Hoy sábado 18 del corriente se pagará en esta casa nacional da moneda de nueve 4 una…</t>
  </si>
  <si>
    <t>Fluxi, Miguel</t>
  </si>
  <si>
    <t>Miguel Fluxi</t>
  </si>
  <si>
    <t>…d 7 de Junio de 182.2. Estado ti no se admitía el proyecto que te presentaba, por cuanto el for mado por el Gobierno había excitado algún descontento entre los in Por promoción de D. Miguel Fluxi á fiscal dela audiencia terri dividuos de los cuerpos de milicias; y esperaba que las Cortes fijasen torial de Mallorca, ha quedado vacante la plaza de ¡u z letrado del de una vez su suene. Después de otras varias reflexiones opinó que partido de Palma, en la…</t>
  </si>
  <si>
    <t>Fmer</t>
  </si>
  <si>
    <t>podía pagar Rta de contribución; parsciéndole escandaloso que Hahlén- El Sr. Fmer : El Sr. Prado s; hubiera consolado reapretó de nuc 4osc constituido en el año de 11 un nt.ixitnum de sueldos mucho me - irá pobreza si hubiera leído el Universal de hoy, en el cual se sirnta que aor, no te hubiese de hacer ahora lo mismo: y concluía pidiendo…</t>
  </si>
  <si>
    <t>Fnangieri</t>
  </si>
  <si>
    <t>…precios y la buena calidad de Los suscriptores á la obra titulada Ciencia de la Legislación, escrita las especies. Y para su notoriedad he mandado fijar el presente edicto, por el caballero Fnangieri, y traducida por D. Jiime Rubio: tercera que se publicará en esta capital ,se circulará á las plazas y pueblos prin edición, corregida , cotejada con el original, y añadida con discursos ana cipales del distrito de esta intendencia, y se anunciará en los peri…</t>
  </si>
  <si>
    <t>Fof</t>
  </si>
  <si>
    <t>…7 de la mo gobierno del Rey; 7 dijo que acaso serviría este nombre respetable pa narquía legítima. ra autorizar las cartas 7 las circulares inconstitucionales é ilegales que -• El general Fof impugnó el artículo, 7 dijo entre otras cosas: » La dirigiesen los prefectos en nombre del Rey á los electores; 7 en prueba comisión ha propuesto una modificación que me parece totalmente con de ello leyó una carta del prefecto del Sena, escrita á nombre del…</t>
  </si>
  <si>
    <t>Foibes, Juan M.</t>
  </si>
  <si>
    <t>Juan M. Foibes</t>
  </si>
  <si>
    <t>…e su detall. por D. Tomis Godoy y Cruz , representante de Mendoza, D. Miguel El coronel D. Antonio Ordofiez con las tropas de su mando, que se Zafiartu, plenipotenciario de Chile, D. Juan M. Foibes, agente de hallan en Gausin y Casares, deben reunirse i la mencionada columna, los Estados-Unidos, D. Juan García del Rio y D. Diego Paroissien, y operar según lo determine tu gefe__ Soldados: vuestro deber y la enviados del Perú. venganza de? insulto que ha…</t>
  </si>
  <si>
    <t>Fon, Andrés</t>
  </si>
  <si>
    <t>Andrés Fon</t>
  </si>
  <si>
    <t>…do no firma el secretario del ayuntamiento yes á D. Antonio Ramón Careaga: para el d: S. Salvador de Lama D. Francisco Altes, el cual fue también comprendido entre los expulsos. á D. Andrés Fon tan y Rodríguez: para el de B emposta á D. Juan La correspondencia particular habla cambien de estos extraños su Taboada: para el de Riradavia á D. Jaccbo Mas Villafuerte; y para cesos ; pero en casos como esto» nunca se sabe por el pronto la verdad el ds Mon…</t>
  </si>
  <si>
    <t>Fon, Francisco</t>
  </si>
  <si>
    <t>Francisco Fon</t>
  </si>
  <si>
    <t>…No hay señales vi Ciudad-Real administrador D. Josef Pcrez de la Fuerte , que lo ee sibles en el cielo! ^No protege D os con repetidos hecho* la causa del de Aranjuez. Interventor D. Francisco Fon un, del departamento de pueblo español! Fomento. » Si el Ser supremo es el autor de la justicia y de la armonía Salamanca interventor D. Santiago Bonilla, cesante de aquella* del universo; si los males están mezclados con el bien para que el oficinas. bi-n se…</t>
  </si>
  <si>
    <t>Fon, Juan Fiaccisco</t>
  </si>
  <si>
    <t>Juan Fiaccisco Fon</t>
  </si>
  <si>
    <t>…í crimen «fe esta audiencia territorial de Castilla la Nutva, su fecha 5 ticos no consientan el menor disimulo en este asunto, y den parte ade de Enero último, se cita y emplaza á D. Juan Fiaccisco Fon tan, veci mas del estado en que te baila en sus provincias el finiquito general no de esta corte, empleado en la oficina de Fomento y Balanza, cuya que te les encargó activar por al art. 7° de la Real orden referida, ai pa residencia se ignora, para que en el…</t>
  </si>
  <si>
    <t>Fonam, Josef Amonio</t>
  </si>
  <si>
    <t>Josef Amonio Fonam</t>
  </si>
  <si>
    <t>…y lúa guardar, cumplir manillo», D. Juan Fernandez Casariego, D. Andrea Ateos, D-Martin y ejecutar*! presente decreto en todas sus partes. Tendíeislo entendido Miguel de Goicmcbm, D. Josef Amonio Fonam, D. Antonio Reves 1 9Enu bocadosu cumplimientode la Real ,mano.=Eny dispondré»Arantejuezimpeima,i 17 dspubliqueAbril ydaciicole.s:«8ii¿: y P. Josef Pío Saetea 1 habiendo vetada qna* no habia Inzar Di Nimtit A I&gt;- Felipa Sierra y Pambley.” csxatm ra ti di» 9jd…</t>
  </si>
  <si>
    <t>Foncillas, Mariano</t>
  </si>
  <si>
    <t>Mariano Foncillas</t>
  </si>
  <si>
    <t>…gualmente entrar por la parte de San Girón* D. Lucas Velasco, capi No hay ea un Estado persona alguna que no pueda ser'* útil de uno tán de zapadores, y ayudante de estado mayor ; D. Mariano Foncillas, ú otro modo, y nadie puede eximir»: de esta obligación. Todos deber* ton ente de Ingenieros; D. Marcelo Ort.s, subteniente de voluntarios contribuir i proporción desús facultades al bien común. Unos empleas de Valencia , y D. Joaquín Vara del Rey , capitán d…</t>
  </si>
  <si>
    <t>Fondcvila, Joaquín</t>
  </si>
  <si>
    <t>Joaquín Fondcvila</t>
  </si>
  <si>
    <t>…811.” cente Díaz linones, teniente Nicolás Pa.tor, suhter...r.te tV*r- C.str-Ilon , subteniente Marce'o Oniz, subteniente WeBcran- 1 *. r, »-h* A consecuencia de haber manifestado D. Joaquín Fondcvila que tentente Pedro Tvirsado , tenlrrtr V.cmte López , vUt:rr Oc- esus males no le permitían cumplir con *st* emano, se suvió S. M. re tino de Catas, im-ente Jaime (&gt;1 an , ten. ríe j vef F-r: *&gt;. *'■'' ”*o levarle de él , y expedir el Ha* d-cr to que s . ue :…</t>
  </si>
  <si>
    <t>Fonderala, Pablo</t>
  </si>
  <si>
    <t>Pablo Fonderala</t>
  </si>
  <si>
    <t>…Entro. plaza se dará un extracto de ellos. Sesión de Cortes del ay. Idem ta. En esta sesión se continuó la discusión del proyecto de reforma de Se ha presentado en esta ciudad el capitán D. Pablo Fonderala compañía de viñas del Alto-Duero. M , de la goleta española X Antonio, el cual con 9 hombres de ,u '■ Idem de130. tripulación llegó á este puerto en la goleta americana Armonía, y dice Se empezó la discusión del art. 157 del provecto de Constitución ue habien…</t>
  </si>
  <si>
    <t>Fondevila, Joaquín</t>
  </si>
  <si>
    <t>Joaquín Fondevila</t>
  </si>
  <si>
    <t>…m. a; en la inteligencia de que se a.° D. Antonio Gutiérrez por 64 de 119. rán preferidos los que disfruten pensión del erario nqpional. j.“ T&gt;. Manuel Carrillo por 61 de 114. 4.a D. Joaquín Fondevila por 58 de x 11. Habiéndose denunciado a! Sr. alcalde constitucional de esta muy héf.“ D. Joaquín Baeza por 63 de 10a. róica villa D. Arias González de Mendoza por el Sr. fiscal de impren 6° O. Martin Navas por 58 de 99. ta el impreso titulado -. 'Nudo constit…</t>
  </si>
  <si>
    <t>…rado da mira dcl encargo de ministro de la Gobernación de la Península , y con* calificación^absolvieron el artículo inserto en el periódico Ululado nue fiándosele interinamente á D. Joaquín Fondevila. (Gaceta del to.j va Diario de Madrid, núm 366, que principia: » Sr. editor: en la Decreto de S. M. exonerando á D. Joaquín Fondevila del encargo Miscelánea núm. 473y concluye con las iniciales A. J. G. M. L". P. S; de ministro interino de la Gobernación de l…</t>
  </si>
  <si>
    <t>Fons</t>
  </si>
  <si>
    <t>…0 muertos 7 doble los pocos frutos que los rebeldes les han dejado en sus campos. Asi ha número de heridos. sucedido, habiéndose Cambien recogido de la casa del Vilar de Coma n Al coronel Fons en el parte que me ha dado le-faltan expresio jo cargas d: vino, que vienen muy bien por ser género que escasea nes para alabar el valor y bizarría con que se batió la tropa de su man mucho- en esta plaza. No bien habían las valientes compañías ocupado do ; o…</t>
  </si>
  <si>
    <t>Fons, D- Pedro</t>
  </si>
  <si>
    <t>D- Pedro Fons</t>
  </si>
  <si>
    <t>…an saciar su rabia y furor ; por esta ñía del resguardo militar , total 350 hombres, para que á las órdenes razón, 7 para que t,o vuelva de nuevo á verse comprometido, paso or del coronel D- Pedro Fons 7 Puiggalí saliese i hacer una diversión so den al coronel de León para que se replegue con su tropa á Figueras, bre los enemigos, como en efecto lo verificó,emprendiendo tu marcha con lo que no solo tendré mas reconcentradas las fuerzas , sino que se é las n…</t>
  </si>
  <si>
    <t>Fonseca</t>
  </si>
  <si>
    <t>…entes '■ órdenes del alférez de Farnesio D. Josef Ll-ra lo* ataqué de Ume-y Egéreito de operaciones del tépiímo distrito militar. = Excmo. ie* al sable, al propio tiempo que dicho capitán Fonseca hizo otro tan liar¡ » Por mi parte de ayer 4 la* n y media de la mañana dije i to con e! resto, y los que se escapaban de nuestras espadas espiraren á V. E. que quedaban colocadas las piezas en favorable posición , y que las bayonetas de la infantería. El fru…</t>
  </si>
  <si>
    <t>Fonseca, Ramón</t>
  </si>
  <si>
    <t>Ramón Fonseca</t>
  </si>
  <si>
    <t>…as restricciones que pongamos. Asi pues para completar el número que debe tener la misma audiencia de Aracreo que debe aprobarse el artículo en los términos que se presenta; on, á D. Ramón Fonseca y D. Josef Ignacio Alava; y para las dos pues si se impugnase, no habría mas razón para hacerlo que el ser la pe 5 e fiscales de la de Granada, con cuya provisión queda igualmente com na demasiado suave. pleto et número de todas sus plazas, á D. Francisco de Paula Sierra y El Sr. Gol…</t>
  </si>
  <si>
    <t>Font, Jotef</t>
  </si>
  <si>
    <t>Jotef Font</t>
  </si>
  <si>
    <t>…medio día asomaron una porción de facciosos por la pa-te Conde , D- Lucas Gallego, D. Htnrique GarcíaD. Andrés Juan y de C*&gt;te'lvell, é icmcdiaumerte saüó para aquel purlo una v*. D. Jotef Font, todos estos de su compañía , y de infantería los volun liTt.’ compañ'* de catadores de m ntaña al mando del captan D. Jotarios Miguel García y Toméis, y J &lt;¡:f García , este crido del expre f Gara , que los desalojó en un momento : pero impsn.»djiurntc d.ó s…</t>
  </si>
  <si>
    <t>Font, Pedro</t>
  </si>
  <si>
    <t>Pedro Font</t>
  </si>
  <si>
    <t>…e entre todos constaría de unos 400 infantes y de 14 soldados son bien conocidos , present.ndose voluntario en los ries.os , y exce de la Constitución muy fatigados, y al mando de D. Pedro Font y diéndose en el cumplimiento de su deber. Es muy necesario que el va Puigvalí salió á las 9 para socorrer i Castellón : fue atacada por los ban lor sea recompensado, y que las virtudes militares y adhesión á !a cau didos á media hora de esta, y dutó el fuego…</t>
  </si>
  <si>
    <t>Fontales, Josef</t>
  </si>
  <si>
    <t>Josef Fontales</t>
  </si>
  <si>
    <t>…i8a:.=:Marisno Egea =ÍXoni*io Ca paz.=Ardoin Hubbard y com que te sepa tn paradero, se rrpite rite aviso pira noticia de los int.re pañía. = Es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t>
  </si>
  <si>
    <t>Fontanelas, Joaquín</t>
  </si>
  <si>
    <t>Joaquín Fontanelas</t>
  </si>
  <si>
    <t>…desde la fecha de su publicación en la gaceta; en el con milicia activa de Laredo, con 670 rs. al mes. cepto de que el sueldo anual es de 1579 pesos regulados por un quin Madrid á D. Joaquín Fontanelas, segundo ayudante del regi quenio en razón del g por too que está señalado á dicho empleo de lot miento infant.ría de Femando vil , con 67o rs. caudales que administra. Medina del Campo á D. Salvador Guerrero, segundo ayudante agregado al batallón de la milic…</t>
  </si>
  <si>
    <t>Fontanellas, Francisco</t>
  </si>
  <si>
    <t>Francisco Fontanellas</t>
  </si>
  <si>
    <t>…s dictá Cortes pan abrir un préstamo ventajoso á la Nación no lo ha hecho, menes. y ha abierto un empréstito que en vez «le traer utilidades, resulta un Uno sobre «na solicitud de D. Francisco Fontanellas, vecino de grave perjuicio de la misma, ya no ha cumplido con el decreto de las Barcelona; opinando que no debía accederse á ella. Aprobado. Cortes. Yo dejo á un lado la operación del gran libro que ha dicho el Otro sobre la solicitud de la diputación provinc…</t>
  </si>
  <si>
    <t>Fontanillcs, Joaquín</t>
  </si>
  <si>
    <t>Joaquín Fontanillcs</t>
  </si>
  <si>
    <t>…nitltuconsl Eareetora el rasgo te de la pr mera de cazadores del propio cuerpo D. Felipe Ciará, y el patriótico del ciudadano R'.v'ra. (Gaceta .iel 17 ) Vn ircóz- i*ni firayudante D. Joaquín Fontanillcs d i mismo levemente contuso en un mado.R. B. y C. , indiv dúo de a milicia raciora v 'unri- a , ha s do pie. A nadie recomiendo, porque debo hacerlo de todas, pu-s codos el pri i-.eto que ha se. u do un r.cb e eg n p o , er.tr gapdr m :* l- sole son dignos de…</t>
  </si>
  <si>
    <t>Fop</t>
  </si>
  <si>
    <t>…rtante, p cuidarán do » Nada afiadué. continuó Mr; B. Constant, al discurso admirable remitirme sin tardanza copia da cnanto determinasen on -osla gravo de mi ilustre amigo el Sr. general Fop, que aun está resonando en «unto. vuestros corazones; p me ceSiré i decir que se prepata una guersa » No se ocultará á la Uustracion de lo* alcaldes p apuntamientos qu* contra la libertad , la independencia y los dráecho» de nuestros vecino». el bien de la pa…</t>
  </si>
  <si>
    <t>Fornells, Josef</t>
  </si>
  <si>
    <t>Josef Fornells</t>
  </si>
  <si>
    <t>…justicias, gefes, se ha de egecutar con arreglo al plan y condiciones puestas por el ar gobernadores y demás autoridades, mi civiles como militares y eclesiás quitecto hidráulico D. Josef Fornells, da acuerdo con el administrador ticas , de cualquiera clase y dignidad, que guarden y ha^an guardar, cum del Crédito público en es» citio D. Felipe D.ez Cerón , usada en plir y egecutar el presente decreto en todas sus partes. Tendreislo en 48,780 rs., subas…</t>
  </si>
  <si>
    <t>Fortes, Camello</t>
  </si>
  <si>
    <t>Camello Fortes</t>
  </si>
  <si>
    <t>…an loa berse manifestado en dicha capital alguno* síntomas de peste__ La cor ministros , eran mas déspotas. respondencia de Petersburgo hasta el a a de Enero hace ver que aquel El Sr. Camello Fortes manifestó la imposibilidad que había en for Gabinete sigue la misma política que el de Turquía en cuanto al silen mar dos tribunales que entendiesen de la responsabilidad de loa ju^ cio y velo misterioso con que cubre el estado de las negociaciones, per ces,…</t>
  </si>
  <si>
    <t>…o comprar en los Estados-Unidos dos navios y dos fra secretarios para el mes entrante, y salieron electos para presidente el gatas de guerra. Se. Varella ; para vice-presidente el Sr. Camello Fortes, y para secre 2S dt Noviembre. tarios los Sres. Felgueiras, Lino Coutinho, Kreire y Pinto de Magal- San Martin queda desmando en el pueblo de la Magdalena, media hacs; y para suplentes los Sres. Barroso y Lores da Asnada. Con l# legua distante de esta ciudad;…</t>
  </si>
  <si>
    <t>…on te , vice-presidente y secretarios de las Cortes para el mes entrante, y Bartolomé Jos:f Gil lar jo , b boticario di las Cortes, y otros emplea salieron elegidos, presidente el Sr. Camello Fortes, vice-presidente el dos en la misma, pidiendo que se mande terminantemente liquidar Sr. Pinto de Fransa, y secretarios los Sres. Soares de Acevedo, Filguei- los sueldos que tienen devengados en los 6 años del régimen absoluto ras. Freiré y Barrozo; con lo que…</t>
  </si>
  <si>
    <t>Fortes, Camelo</t>
  </si>
  <si>
    <t>Camelo Fortes</t>
  </si>
  <si>
    <t>Nóm. tig. (y enano».) "I? GACETA DE MADRID. MARTES 3o DE JULIO DE 182a. * NOTICIAS 1XTRANGERAS. El Sr. Camelo Fortes impugnó el artículo fundándose es que en rorro* ai. contrario á las bases, y opuesto á los intereses del Brasil, y i lo que deseaban los pueblos de aquel reino; lo que se manifestaba patenteminte Lisboa 16 de Julio. por lo* poderes que habían dado, y en Jos c…</t>
  </si>
  <si>
    <t>Fosada</t>
  </si>
  <si>
    <t>…naba que ai ba de dicho art. 4.'’ podría po que se piden para pagar á lo» cesantes, aunque no se presenta cantidad nerse dicha adic.on. liquidada , se puede aprobar igualmente. Ei Sr. Fosada : No entiendo cuál puede ser el espíritu de esta adi El Sr. Oliver: Yo quisiera que los señores de la comisión me dije ción. Las Cortes han tenido ya por conveniente señalar ei plazo dcr.i o sen si hay algún decreto que dé derecho á los empleados diplómat eos…</t>
  </si>
  <si>
    <t>Fosada, Vicente</t>
  </si>
  <si>
    <t>Vicente Fosada</t>
  </si>
  <si>
    <t>…dadas. Laa planada por derecha i izquierda, de modo que se crucen y encuentren Cortes lo oyeron con agrado. batiendo los arrabales , campaña, marina ti la hubiote, y otros parsges D. Vicente Fosada, vecino dt la CoruPa, presentó á laa Cortea que el gobernador ó comandante señalare; y en el concepto da que varios ejemplares de una memoria h'stú ica, relativa 4 la independen siempre las patrullas han de estar en movimiento hacia uno y 01ro cia española. L…</t>
  </si>
  <si>
    <t>Fosadas, Vicente</t>
  </si>
  <si>
    <t>Vicente Fosadas</t>
  </si>
  <si>
    <t>…scutido; y habiéndose votado resultó aprobado por 70 y dé sus agentes, y dar al pueblo toda la independencia posible paré votos contra 50. asegurar la felicidad patria. Filipinas. D. Vicente Fosadas. La comisión, después de haber El gefe político que la Constitución inhabilita para ser diputado i examinado ios poderes de este individuo , como asimismo la reclama Cortes por la provincia donde egerce su cargo , por suponerle demasiada ción hecha contra su…</t>
  </si>
  <si>
    <t>Fosch, Cayetano</t>
  </si>
  <si>
    <t>Cayetano Fosch</t>
  </si>
  <si>
    <t>…. temaron inm ¿latamente tfi- n Al mismo tiempo mande al acreditado cap'tan de la cuarta ccmcacistmas prov.¿encías para acudir á sofocar en su origen este r.uevo pañ-a dz Cañar as D. Cayetano Fosch ccn !a mitad de eíla 3 poses cfoco de rebelión y de trastorno del orden público; y hay mot vos de narse de ia a tura de Pujol, lo que cor, arrojo verificó después dr un esperar que llegue á conseguirse pronto; y que muy en breve quede pa v vo fuego de los ene…</t>
  </si>
  <si>
    <t>Fournás, Blas</t>
  </si>
  <si>
    <t>Blas Fournás</t>
  </si>
  <si>
    <t>…rancisco—1&gt;. Antonio Abadal, auditor de guerra.—D Jos f Vi.ior para pr.tt.r.a bajo la ley, en el entre lar to que todos sus bienes se apli de Ofiate, mag stracio de la audiencia__ D. Blas Fournás, genera-._ can ec un on con ti resultado otras providencias i resarc.r una par D. Joaquín Carnudo , ídem__ ID. JoseT Antonio San* , ídem , y su hijo, te de ios perju.cios ocasionados Gerona 3 do Setiembre de i8i2.=Joex-guardia de la Real Persona__D. Matías Ma…</t>
  </si>
  <si>
    <t>Fov</t>
  </si>
  <si>
    <t>…os, sin saberse la refutar tus argumento» t paro qn» sin embargo diría-untas oigo acer causa de esta novedad. Esperaba que ea vista dele* seguridades dadas ca de la* objeciones dd general Fov, relativas 4 taaenpreaiones: Dif por S. M. de ana reducción considerable en el ramo militar, ae mejo nidod Real, dertckoi del Rty, derechos de las Cámaras. raría la Hacienda de Inglaterra. Mr. Brougham manifestó que el tunea • «Cuál, yrapiaaó, ea el espíritu…</t>
  </si>
  <si>
    <t>Foy</t>
  </si>
  <si>
    <t>…e era preciso prevenir este caso para lo futuro, CAMARA db 10$ diputados__Centmita la sesión Jet Je Enero. pues no había razón ni justicia para consentir que un ciudadano insul El general Foy subió á la tribuna, y dijo que era indudable que una tase á otros, 7 mucho menos á aquellos que habían sido los primeros creencia religiosa, viva, 6 riñe y propia para dirigir las conciencias mere en levantar el grito para regenerar la patria, yen una ciudad…</t>
  </si>
  <si>
    <t>…estado de sostener una guerra que Sabia retirado so adición , y Mbsdt contestado que sí, tomó la pa puede ser muy larga, y mas en un país en que el saqueo prom.-te pocas labra el Sr. Foy pan apoyar la suya. ventajas. 4.® No tener tinta confianza, como algunos suponen en el Manifestó primeramente que c! artíyi’o qne proponía no era otra feliz éxito de la empresa, pues aunque los turcos tienen poca disciplina, cota mas que cf 4.* tic la ley de…</t>
  </si>
  <si>
    <t>…l, Marruecos &lt;Scc., donde también el tiempo auto: .dad constitucional. ha consagrado las instituciones. Mr. de Chauvelin pronunció un largo discurso, apoyando la modi ficación del general Foy. Después de haber manifestado en él que el CORTES. ministerio no había apoyado con hechos su aserción, y de haber citado el art. 4.1 de la ley de 17 de Mayo, comparándole con el que se estaba Segunda junta prepseratoria del día 30 de Febrero. discutiendo, par…</t>
  </si>
  <si>
    <t>…a energía; ti sentido se site*, «Creo que no necesita insistir mas paito demostrar que la modifica ra siempre que se le quiete determinar, y se da lugar con él á intermi- ción del general Foy es lo ánico que puede disipar lo que hay de dema nables coaueHrun:"».; ■&lt;•'''• «í • siado vago y demasiado peligroso en la ley, supliendo una omisión, £1 gendrahSebmtidni', para-desnuir ftas 'razones alegadas por elpra- míe parecerá á- los ojos «ta todos una…</t>
  </si>
  <si>
    <t>…rtículo, porque uno de los modos mas perjudiciales que habia en Fran al orden.... cia de quitar i cualquiera la estimación era el arma del ridiculo , á Las últimas expresiones del general Foy causaron mucha agitación cuyo uso era tan propenso el genio francés 7 tan própia la índole de en la Cámara; pero este dijo que se afirmaba en lo dicho; que no ha su lengua. bia mas autoridad que la autoridad constitucional del Rey , y que su » Las canciones (…</t>
  </si>
  <si>
    <t>…por Al fin se adoptó el primer párrafo del artículo 6.® después de ha los condados de Ulster, Kildare, táeath, Dublin, Limerick y Cork, ber desechado una adición propuesta por el general Foy. y todas las relaciones que envían los generales y subalternos están lle En seguida leyó el presidente el segundo párrafo , y después de un nes de pormenores á cual mas desagradables. breve debate te aprobó también. En Mont-Henry ha sido tomada por asalto le…</t>
  </si>
  <si>
    <t>…amos que se complete la revolución por el Fn la sesión de ayer de la Cunara de los Diputados pronunció el ascendiente de la justicia y de la rezón (recio* gritos a la derec.na : ¿ general Foy un largo discurso, en el cual, después de haber tocado le izquierda: si, tí), por la arm mía de tas libertades públicas con el vanos puntos importantes, habló de la revolución espadóla en los tér poder moniiqu co, no* s e.rjin.., mucho , y tenemos esperanza d…</t>
  </si>
  <si>
    <t>…todo i proscntos de ia patra, asi como estos os conducen á vurstra tu na estoy en ia obiigae-on de encam.nares por ia senda de vuestra felicidad. los d scursos de Mr. Bignon y del general Foy. » Ya habéis oido (dijo Mr. de Montmorency) lo* consejos y leccio No despreciéis el ú timo anuncio que os d.njocon la franqueza y amis tad que d -be ser norte de toda autoridad cor stituciona!, cuyos pr.nci- nes que con tono magistral me ha dado el respetable…</t>
  </si>
  <si>
    <t>…) que solo la malignidad pudiera atribuir á intenciones siniestras el es Quien podre , s-un s , atr.huirnos uua intcticii.a di'rre- t'i He tablecimiento del cotdon sanitario. ( El Sr. Foy : el nombre del Rey mos tomad') ia, medidas conreo entes contra ci torr.nle asosudor de ia no debe sonar en estas ocasiones......El Sr. Dupont: la responsabilidad fi.bre amarilla; p ro se sUeoii- que aun tememos ma, el corita, o de es vuestra. ) En el discurs…</t>
  </si>
  <si>
    <t>…amaré impolítico, lamente de una tercera ocupación militar; este gr.to , que hizo re porque solo sirve para hacer perder un tiempo precioso ai soberano sonar ayer en la tribuna el general Foy con tan vehemente elocuencia, Congreso , que debería emplearse en muchos y urgentes asuntos dt nuvsparece que ha entibiado un poco su ardor. Nuestras tertulias oligárqui- tta afligida patria, y no en dictar ley-s para los que declaran abierta quicas modifican…</t>
  </si>
  <si>
    <t>…ario de los que puedan y á la misma Cántara de los Diputados porque aprobó la impresión de quiei-11 .nseribirs- en la m íen voluntaria, y se atienda á las demás ne un discurso del general Foy; después de atacarla la disculpa diciendo cesidades de este cuerpo pauiótsco. que a lado dsrtihe se había solido. El Constitucional la desmiente.</t>
  </si>
  <si>
    <t>Fpífano</t>
  </si>
  <si>
    <t>…vjo de una maneta digna dei mayor elogio, fn seguida, ron despu-s por las calos cantando Intimos, y dando v.vas que acredi y ya que lo. fcc pai ,b&gt;n en r; ¡ r.da, ectió el cap tan D. Fpífano taban mas v mas los objeto, que siempre y ssc usivamente .os ocupa Mancha con la níarteria y c.bi.i.iu 1: su mando, y recibió una con ban ; pirándose esta palrut ca comt.va a la pu rta ae la casa del ciu- tusión en el pie chitcho, i suhar.do herido tamb en un…</t>
  </si>
  <si>
    <t>Fr</t>
  </si>
  <si>
    <t>…in dijo que la comisión habia suprimido la españoles talterados de Monicvideo D. Ramón Ar’iacab ■ ¿ . Juan última cláusula de este artículo, y en su lugar habia sustitu do lo si y D. Fr «cisco de las Carreras, pa aran ¡ su ent ala -os c.r „v.o&gt; cor guiente: ” Previa formación de causa, y sin perjuicio de las demas pe respondientes como si vinieran cn bandera nacnr.a!. nas que corresponlan á los culpados.” ' Art. a." -Se aprueban !a&gt; reala, e…</t>
  </si>
  <si>
    <t>…bución provisional, habiéndosele embargado á di Ceuta, manifestando haber denunciado la pastoral que habia publicado cho Cabezas la yunla de muías con que labraba. aquel reverendo obispo Fr. Rafael Velez en 19 de Junio de 18a 1 , y A la misma se pasó un expediente instaurado á solicitud de D. Juan acompañaba un egemp'ar de dicha pastoral pata conocimiento de la Lorenzo Fernandez, vecino de Valdeconcna , contra el alcaide de Diputación permanente…</t>
  </si>
  <si>
    <t>…el Deapacho que se Observaciones sobre la apología del altar y del trono, que escribió basen cuand 1 te cel'bra a gun tratado; generalmente estos regalos con el R. obispo de Ceuta D. Fr. Rafael de Veles. Se hallará en las libre sisten en caja; de brillantes; pero en el día no estamos en cite caso, y rías de Hurtado y de Barco; en Valencia en la de Mellen, y en Bar los Estados-Unidos que saben lo que es gastar, no permiten regalo al celona en…</t>
  </si>
  <si>
    <t>…nizados á costa del m smo vcci- 4atio. Se ectiend. que Se ha pub-ícado en nuesho* per.od cu* ;a sguíente cxn«'-rf.ic’on: toda exacción forzosa será considerada como un saqueo. Nos D. Fr. Ri munJo btrauch y Vtdai , por &gt;4 D üí y de 4. x Si alguna partida de facciosos destruyere, saqueare ó detrr ola ‘•anu Sede Apostólica, rbi,po de Vich , del consejo de 5. ¡tí. Ose. rarc considerablemente alguna cuta ó cualquiera otra posrsion que este ,,\l v…</t>
  </si>
  <si>
    <t>Fr-ny</t>
  </si>
  <si>
    <t>…na, en vista de las solicituo;» de D. I&gt;-vningo cuatro cuerpos , e hicieron las descargas de ordenanza durante el oficio FieiX, D. P "inas Brida, L&gt;. Jostí López, D- Josrí More! y D. Fr-ny ims* solemne- Concluida la misa, pronunció la oración fúnebre el csco di 'a:as Corral, cadetes de la guardia Rea., para que &gt;■ les p,oDr. D. Bisit.o Mateo , decano de la co.egial, el cual lleno tos deseos moviesi á subtenientes supernum-rat o», en at.nci, a a…</t>
  </si>
  <si>
    <t>Fr.moi</t>
  </si>
  <si>
    <t>…tiempo en miserables venganzas, quedaban absolutamen señala, ó en consideración precisamente al delito mas grave: declaran te impunes las principales cabezas de la conjuración. El general Fr.moi t en cuanto á la primen duda , que la audiencia no. ha tenido un moti hacia continuas representaciones contra un sistema tan irracional, y se vo justo de dudar acerca de la clasificación del delito; pues aunque lo*, creyó satisfacerle quitando al príncipe de…</t>
  </si>
  <si>
    <t>Fraa, María</t>
  </si>
  <si>
    <t>María Fraa</t>
  </si>
  <si>
    <t>…ierno de que So. MM. y A A. cent auabin sin novedad en su im— Ya en la época citada conoció el Gobierno las dificultades que se p ríante salud, siguiendo con alivio ia ora lufanta Doña María Fraa* presentaban por no haber las Cortes declarado terminantem nt: ,al des cisca de Asís. arrollar su dictamen, cuál era la parte qu; quedaba vigente de las or Ei Sr. presidente d.jo qre mañana se discutiría el dictamen sobre el denanzas de montes, pues desde lue…</t>
  </si>
  <si>
    <t>Fraile</t>
  </si>
  <si>
    <t>…i la distribución del rado indigno del nombre español , perderá todos sus empleos, sueldos, medio dirimo. honores y temporalidades» sufrirá ocho años de pnt.on en lo» tenn.r.01 El Sr. Fraile dijo que de ningún modo estaba sometida á la deli prescritos por el articulo procedente, y después será expulsado para beración de las Cortes la resolución de este asunto, porque no tenia siempre del territorio de la monarquíaninruna conexión con el arreglo d…</t>
  </si>
  <si>
    <t>…e no suce dos del Crédito público , los cuale* representaban en este caso un agen dería en Aragón, donde todavía hay fuego! ¡Qué no sucedería en esa te de la Nación. Gatalefia! El Sr. Fraile manifestó que en su concepto no habia necesidad de Pero, Sefior, examinemos bien este asunto, y convendrán todos lo* ^ue te estableciesen esa* juntas , y que era mejor que se liquidase á cada Síes, diputados en que primero que se den los bienes á estos partic…</t>
  </si>
  <si>
    <t>…quitar sino por causa legalmente sentenciada, cual era, v. g., d que para el efecto estará siempre reunida.” de un coronel; y preguntó si los individuos que obtuviesen estos em El Sr. Fraile manifestó que no creia. muy conforme con el espiráis pleos estarían en al caso de los demas. de la Constitución el que estuviese siempre reunida la comisión de Vi' El Sr. Calatrava contestó en los mismos términos que anteriormente. tita del Crédito público. S…</t>
  </si>
  <si>
    <t>…ipes los adquieran donde Sa mandó insertar en el acta el voto particular del Sr. Dolama mas les convenga. contiario á la aprobación de las Cortes de ios arts. a.* y a.° del dic El Sr. Fraile manifestó que sería de mayor utilidad dar -Ht luego tamen de las comisiones de Hacienda y Visita del Crédito público. las certificaciones de todo el valor, según lo que resultase de la liqui Se leyó la minuta de decreto sobre la habilitación del puerto da dac…</t>
  </si>
  <si>
    <t>…ciplina exterior de le sos en que estas permitan suspender la egecucion de las órdenes supe Iglesia. riores , será castigada con arreglo el cap. 6.a, titulo 6.a de esta parte.” El Sr. Fraile sostuvo el parecer del Sr. Allende, opinando que de Aprobado. bía haber absoluta libertad en la escritura sobreestá materia. Art. 323. » Es delito toda reunión secreta para tramar, preparar 6 Después de una ligera discusión quedó aprobado el artículo , supri…</t>
  </si>
  <si>
    <t>…cado el Sr. Sancho en sn guiente n: parece que es inútil hacer una ley separada, y que no pue discurso. de haber nin. un inconveniente de que esto se popga en el código, que es El Sr. Fraile pronunció us discurso en favor del dictamen de l« co ana recopilación de todas la* leyes penales. Esta es mi opinión en cuan misión , el cual no se pudo oir; y el Sr. presidente levantó la sesión á to á la primera parte. Ahora quisiera que la comisión m- cont…</t>
  </si>
  <si>
    <t>Fran</t>
  </si>
  <si>
    <t>…11 i D. Josef Eduard, ingles-residente en Alicante: el pr-supuesto del afío económico anterior. Asimismo se mar.tfesuoa en 12 i D. Antonio‘Matin Tint, natural de Viena; y el 13 á D. Fran ella lo que producirían las rentas, que era 66¡ millones, resultando de cisco Benebel, natural de Francia. déficit 197 millones y tantos mil rs.; concluyendo con ía advertencia Se leyó la siguiente proposición del Sr. Prat: » Pido i las Cortea de que en el co…</t>
  </si>
  <si>
    <t>…orres, vecino de Barcelona, acompañando el plan que Moreno sobre que se le concediese una pensión, y una representación habia formado sobre el arreglo del Crédito público: otra de D. Fran de D. Miguel González, capitán agregado al estado mayor, sobre qua cisco Manuel Perez, haciendo varias observaciones sobre los vitalicios, te le satisfaciesen 2700 rs. por los motivos que expresaba. y manifestando que la milicia local era suficiente para sostener el siste A la de…</t>
  </si>
  <si>
    <t>…ría; pero que dichos señores secreta daron distribuir. rios se habían negado i ello, manifestando que el Gobierno no podía La comisión de Poderes , en vista de los presentados por D. Fran proceder í tomar esta medida por noticias vagas. y que estando ya este cisco Roig, diputado electo por las islas Baleares , opinaba que debian asunto sujeto al poder judicial, el Gobierno cuidaría de que se castiaprobarse, sin embargo de la representación hec…</t>
  </si>
  <si>
    <t>…curar y útil á sus profesores; cuaderno en 4* del batallón de milicias de Castellón , opinaba no debían las Corles ac con 10 tablas: su precio 8 rs. vn. Se hallará en la botica de D. Fran ceder á esta solicitud. Aprobado. cisco Villegas , portal de Manguiteros; y en la de D. Josef Antonio Se leyó la lista de los expedientes pasados en el dia de hoy A as Oíiez , calle de Postas: en Santiago en la de D. Pedro Romero : en Sa respectivas comisione…</t>
  </si>
  <si>
    <t>…&gt;tacrcio , fcdpelr» yisao la exposición de D. Ma&gt; junta de inspectores, que Mía verileaos por escalafón general, sin per tro Estaai, comisionado de la Sea de Urge! ea Cataluña , y D. Fran juicio de retirar &lt;M servicio ¿ los qué se coc «aderasen inútilca por su cisco Fornurs, apoderados da ay pueblos de le Cardefie aspe fióle, ttt inaplicación. Aprobados ■- - ós..'».- de dictamen qur se pidiese informe á le diputación provincial dé Cale» La cor…</t>
  </si>
  <si>
    <t>…la patria it ve c-v. Los jueces ds hecho que vo yos artículos serán de bueña calidad, y el pan de trigo puro sin otra taron por la afirmativa fueron D. Francisco Escudero I,asi , D. Fran mezcla, bien cocido y sazonado: de forma que la fanega castellana no cisco Carranza, D. Bernardo de la Peña Díaz, D. Josef María de exceda en su producto de 64 raciones, ni baje de tío. Ansa, D. Josef Antonio Puyade, D- Vicente Sánchez Cirquero , Don a.* Este…</t>
  </si>
  <si>
    <t>…del La comisión de Hacienda opinaba qu- pasas- al Gobierno para qua m;smn zelo, y de aquella energía que las circunstancias exigen, procu le instruyese el expediente promov.do por D. Fran_i—o R nco.a . fa ren del modo mas eficaz contener á los malévo'os, y no consien bricante de papel, sobre -1 recir.’o de derecho- mu &gt; c país v contri tan en lo m» mínimo que nmzuno de estos perturbadores del or bución de patentas, y sobre no admitirse po: el…</t>
  </si>
  <si>
    <t>…ión , informando en el expediente remitido por nuestra felicidad , y el mas grande entusiasmo y decisión por sostener la diputación provincial de Salamanca sobre la qu ja dada por D. Fran esta y vengar tamaño atentado. El mismo D. Joscf Muñoz hizo poner cisco Hernández contra el alcalde de Viliarino D. Vicente Tapia por •n el sitio de la lápida el correspondiente letrero, mientras se coloca Jiaberic puesto preso con grillos, sin tomarle declar…</t>
  </si>
  <si>
    <t>…n de Viaita del Crédito público, á la cual se pasaron llamado tanto la atención ds todos, parecía indispensable que an varias observaciones sobre el arreglo de este ramo que hacia D. Fran tes de derribar este edificio se estuviese muy seguro de que se conse cisco Castellar, opinaba se tuviese presente en la discusión. Aprobado. guiría el objeto á que se aspiraba; cosa que en su entender no estaba La comisión primera de Legislación , en vista d…</t>
  </si>
  <si>
    <t>…y D. Miguel Piando!it; y habiendo votado que ha lugar Don Por unto ttubdamos i todos los tribunales, justicias, gefes, go Magín Coraminas, D. Joaquín Vifials, D. Isidro Gallarda, D. Fran bernadores y demás autoridades, asi civiles como militares y eclesiás cisco Subiracht y D. Benito de Plandolit. Barcelona 13 de Mayo de ticas , dé -cualquiera clase y dignidad, que guarden y hagan guardar, i8ia.=Magin Corominas.sMíguel de Plandolit. =:Ranión…</t>
  </si>
  <si>
    <t>…audiencia da Galicia D. Fermín Gil de Linares á admitirán solo á los primeros contribuyentes , documentos de suminis igual plaza de la audiencia de Astúrias , y al regenta de esta D. Fran tro) y demás de que trata la orden de a/ de Octubre de 1810 , y en cisco Vena y Cornejo á la de Galicia. •u defecto documento* con interes de la d uda pública. Madrid 19 de Crédito público. Junio de tita, s Alvaro Gomes, presidente, s Francisco Benito, di Qui…</t>
  </si>
  <si>
    <t>…Puigblanch, D. Cayetano Romero, D. Juan Pablo Pas intervenir en tus negocios interiores; lo primero porque no es justo, y cual , D. Josef Demetrio Rodríguez, D. Santiago Delgado, D. Fran lo segundo porque consideran cita máxima perjudicial de la interven' cisco Martínez Marina, D. Andrés Navarro , D. Domingo Fernan cion como un principio contrario á la paz de las ilaciones. dez Angulo y D. Francisco Colombo. Habida la conferencia , resultó po…</t>
  </si>
  <si>
    <t>…izante en el convento de Alcali D. Josef Alejo Mirabel (el Él brigadier Nebot con unos 130 hombres continuaba en Tor- Moreno), teniente coronel: el temerte D. i'. Tafazona ó Díaz, D. Fran tosa' había salido días antes en busca de cuatro correos atrasados que cisco Moso , oficial de la curia eclesiástica y L&gt;. Josef Solera , presbítero, estaban en Vinaróz , los que encontró en la-Rápita. capellán de las comendadoras de Santiago en esta corte ,…</t>
  </si>
  <si>
    <t>^ia»is ii*i'iiini.,ilU«ll/jaWSKBgaSra *77* le». » Eitos («man ideada urt* procesión de recibimiento con patío y tns, publique y circule ¿sEstá rubricado de la Real mano.tsA D. Fran demás zaramiujas , pirj la cual hab'an convidado i ios habitantes de los cisco Fernandez Gaseo. pueblos circuuv&lt;c nos , y de ios cuales ni uno solo asistió. El constituí conal vecindario de Puigcerdá ha recibido á un indignos huéspedes Circular del ministerio…</t>
  </si>
  <si>
    <t>….ta d-1 consejo de Estado sa ha servido S. M. nombrar estetura dot varas, delgado «le cuerpo , pelo negro, color trigueño y para la p rtt d iurt letrado del part.do da Plasencia i Don Fran cerrado da barba; rogando á ia persona que tuviese noticia de qu* rais cisco fcanebez Casulla. te ó de su fallecimiento se aiivs comunicarlo al citado cura párroco. IN LA IMPRENTA NACIONAL.</t>
  </si>
  <si>
    <t>Fran, D</t>
  </si>
  <si>
    <t>D Fran</t>
  </si>
  <si>
    <t>…a de Ciudad-Real a D Pedro Clemente Ligues , que lo ■ citando una pensión por los mé.itos contraídos pe r su difunto marido. «s de la de Valla dolid: para la de Murcia al ini est; general D Fran 1 A la de Hacienda una instancia de Doña Manuela Aivarez, so- cisco Javier Abadía, que lo es de la misma : para interine de ¡a de ; licitando una pensión. Toledo al coronel graduado D. Salvador Linares: para ia de J. n i A la del Créd’to público una exposició…</t>
  </si>
  <si>
    <t>Fran, María</t>
  </si>
  <si>
    <t>María Fran</t>
  </si>
  <si>
    <t>….........—— 1.500,000 Idem de S. M. la Reina————................. 53*333—*1 Idem deLSermo. Sr. Infante D. Cárlos María;...... 137,500 Casa Real.. &gt;• Idem de la Serma. Sra. Infanta Doña María Fran ► I.924,t66..2i cisca de Ams................................................................... 45,833-11 Sermo. Sr. Infante D. Francisco de Paula................... 137,500 .Serma. Sra. Infanta Doña Luisa Carlota................... 50,000 Giro nacional—.————…</t>
  </si>
  <si>
    <t>Fran, Marta</t>
  </si>
  <si>
    <t>Marta Fran</t>
  </si>
  <si>
    <t>…retario de Ultramar de que SS. MM y AA. cent nuaban sin no Isidoro Jara, vecino de Poyales del Hoyo, soltero, carpintero de *7 vedad en su importante salud , y que la Sra. Infanta Doña Marta Fran afio» de edad , reo prófugo en la causa criminal pendiente en la misma cisca secuta con atirió. ... sala y escribanía de cámara da D. Juan Antonio Atmazan en grado El Sr. presidente dijo que mañana ae continuarían laa disensiones de segunda instancia por las…</t>
  </si>
  <si>
    <t>Franc</t>
  </si>
  <si>
    <t>…á pesar de la ligera falta de ha Toledo. D- Gregorio *nz de Villavieja, D. Manuel Alaria Satnz berse celebrado aquella elección en el sábado i.° de Diciembre, debien de Buruaga y D. Franc seo Bas Garba. Fueron aprobados ios poderes do haberlo hecho en el domingo 2. Después de una ligera discusión de estos ares, como se proponía. fue aprobado el dictamen de ia comisión. Taro. La comisión opinaba debían aprobarse los poderes de D. EzeAsimismo fu…</t>
  </si>
  <si>
    <t>…se le restituyese al servicio en clase de capitán que é ella. Aprobado. era en tiempo de la guerra de la independencia, y de que fue privado La moma , en vista de la exposición de D. Franc:sco Perez Alonso, por srr hijo de cortador, opinaba que debía volver al servicio con el apoderado de D. Juan Tojor», para que en la liquidación de uno; cré empleo que obtuvo por tus méritos en la citada guerra; y que las Cor ditos de Felipe v que este tiene á…</t>
  </si>
  <si>
    <t>…Cr&lt;i &lt;t B rnabé , captan del CuerpoÚt a-.tibatelion del regimiento ¡ofantoia de la Reina, id. liería, id. Barcelona á D. Pablo Vivcr, segundo comandante del batallón li Segorve i D. Franc seo de Oóa , mayor cotu.n sute supernumera gero de Canarias, id. rio d I regimt nto irf,r feria de la A ína , id. Bubao i IX Sebastian Pablo da Gambra, rapiña graduado de tt- Tarrs.ors &gt; D. Franc scu aabatés, segundo comandante del bata sienf coronel de regim…</t>
  </si>
  <si>
    <t>…ros del Bar tes la separación dé la madre patria, es acaso el mas digno de notaría co de Valdeorras , aunque dedicado# á las oscuras y continuas laboree la monarquía despótica del doctor Franc a. de que ya dió noticia el se— del campo, no ton menos sensibles que los que habitan las ciudades á fior Cabrera Nevaras ca su memoria sobra a estado de la América la unión y valor qu: habéis mostrado en la madrugada del y dsl cor meridional. riente, á la gl…</t>
  </si>
  <si>
    <t>…pañía del tercer batallón de la mdicia nac.oral de tar Sres. Pedral vez, Ruiz del Rio Si c. (~.ía e la misma ¿aceta) opinaba que e-lona y 8 voluntarios de la de Col 1 bato, con su alcalde Franc »ca la egecucion de lo que en ellas se proponía ofr ea muchas dificultades Elias, fuesen á sorprender á los facciosos que se aprox maban a: m npor no haberse prevenido esta diposicion antes de verificar el soiteo; y cionado pueblo, mierrras que (1 comandante…</t>
  </si>
  <si>
    <t>Franc, Manuel</t>
  </si>
  <si>
    <t>Manuel Franc</t>
  </si>
  <si>
    <t>…estoy de la necesidad de rebatir ios prme pios lar; y en vista de todo esto opinaba la mayoría de la comisión que la en que se ha apoyado la desobediencia de Cádiz. exposición del brigadier D. Manuel Franc sco deJáuregui, hecha el l.J El Sr. ti,Hojosa manifestó que n » hab a mas que leer las represen de Kn.ro en Cáliz, se pisase al Gobierno para que sirva de ilustración taciones de Sevilla y Cád'7 , y se veri* si estaban las Cort;s ab^ra en el acerca d.- su con…</t>
  </si>
  <si>
    <t>Francas.-, O.</t>
  </si>
  <si>
    <t>O. Francas.-</t>
  </si>
  <si>
    <t>…a El 14 se estableció una guirdia en la casa del g-n-ral Rieeo dr la atención es ei siguiente , ¡ns-rto en el Argus , y es de la expresada .emitad de la compañía de |i&gt;vení», cuyo capitán O. Francas.-» Ki nir.z chi. -i’or toda ia ciudad circulan rumores de que ios iofi_.es , tanta de Arcllano se presertó 4 ¿I y le arengó en verso. Lo momo h20 el de las Pimpas como dr la cordi.len, se disponm á una ineur-icn ve teniente de la misma D. Manul Mrrtin-z. K1 gen…</t>
  </si>
  <si>
    <t>Francés, D Miguel</t>
  </si>
  <si>
    <t>D Miguel Francés</t>
  </si>
  <si>
    <t>…sospe se al llamado Basca, que encontró el destacamento que mandaba el chosos me puse de acuerdo con el benemérito comandante general de mismo Melgarejo, y fue aprehendido por el teniente D Miguel Francés, esta provincia , quien secundando mis ideas con el patriotismo y discer siendo esta ocasión la única en que esto* miserables han usado de I» nimiento que tanto le distingue, destinó al teniente coronel capitán del armas con que pretendieron esclavizarnos, pu…</t>
  </si>
  <si>
    <t>Francfort</t>
  </si>
  <si>
    <t>…nes de Hacienda y Visita del ALEMANIA. Crédito público, sobre el expediente formado para la subista de la casa del tribunal extinguido da la inquisición. Según este resulta que en Don Francfort 11 de Ututo. Josef Urrutia y Arrat a recayó el primer remate en 27 d- Marz; de Por las última noticias de la Rusia meridional se sabe que conti 1821 con aprobación del intendente, quien señaló término pa*a las me &gt; remitanúan quietas en sus acantonamientos la…</t>
  </si>
  <si>
    <t>Francini</t>
  </si>
  <si>
    <t>…n su im- puede ya querer.” poitaute salud.” POXTUCAl. CORTES EXTRAORDINARIAS. Lisboa /o le Diciembre. rttnsiBBMCIA D*l »e£gX OlIVSK. En la sesión de Cortes del día de ayer hizo el diputado Francini ls siguiente proposición : Sesión del dia ¡7. „ Xo habiendo cumplido la ilustre Foposa de S. M. con la forma Se levó y aprobó el acta de la anterior. lidad quí ex g: la ley , como esperaba la Nación, y de oue S M. el La comismn de Guerra, en vista de una expo…</t>
  </si>
  <si>
    <t>Francis</t>
  </si>
  <si>
    <t>…l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 Irados de la audiencia de ANUNCIOS. Puno Peíncipe, n la i. a el. Cuba,…</t>
  </si>
  <si>
    <t>…en cabeza de D. Fernando de Matanza.__Otro de 41,675 Fn esta audiencia territorial de Castilla la Nueva, sala primera ci maravedises, situado sobre salinas de Galicia en cabeza de D. Francis vil , se han segu.do autos por apelación entre Pedro Moreno, vecino co Gallo.—Otro de 139,137 mrs , en cabera de D. Fernando M lian dé la villa de Su. María de los L anos, y los estrados del tribunal, za , situado sobre diezmos de la mar. I.a periona que supi…</t>
  </si>
  <si>
    <t>…segunda llamado* con sus líneas y descendencias testigos examinados*, y la de M.ngo se limita á la circunstancia de set al goce del patronato de legos instituido por el presbtero D. Francis adicto al sistema constitucional. co Manuel de Ortega, vecino que fue de dicha ciudad , del que hoy se £1 juez de primara instancia de Veldemoro D. Francisco Herrare reputa la referida Doña Isabel Muñoz última poseedora, peía que faltó al cumplimiento de sus…</t>
  </si>
  <si>
    <t>Francisca, María</t>
  </si>
  <si>
    <t>María Francisca</t>
  </si>
  <si>
    <t>…D. Hilario Jiménez , nombrados por la* Cortes á asistir al reconocí* otros los agentes, mudando de carácter, y haciendo cuantos papeles miento del aillo que dé á luz la Scrma Sra. Doña María Francisca é les convenga para conseguir engallarnos y precipitarnos , ó á lo menos Asís; afiadiendo que se habían dado las órdenes correspondientes alai aniquilarnos y paralizar la rus re ha de la prosperidad trajo el sistema ministrador de correos para tener pronta un…</t>
  </si>
  <si>
    <t>…c on que S. S. ha ma - SS MM. continúan sin novedad, como iguaimerre ios Sres In nifestado , siempre que ella este lundar.a &lt;n lo» principo* que todoa fantes y Serma. Sr*. Infanta Doña María Francisca, la Infanta Doña los Sres diputados, y cada uno de ellos , están obligados a conserrar, Luisa Carlota tampoco ha tenido novedad después de su fcaiz alumbra porque es el encargo principal de sus poderes. miento.*</t>
  </si>
  <si>
    <t>…s prohíban vender los bienes cretario del Despacho de Estado lo siguiente: nacionales á los cuerpo* mercantiles 6 corporaciones que tengan cré » Excmo. Sr.: La Scrma. Sra. Infanta Doña María Francisca de ditos contra el Estado. Asís ha .dado felizmente á luz un robusto niño «n la mañana dtl día El Sr. presidente dijo que mañana se discutiría el dictamen de la co de hoy, el cual ha sido bautizado á las seis de la tarde del mismo en el misión de Guerra sobre…</t>
  </si>
  <si>
    <t>Francisca, Maria</t>
  </si>
  <si>
    <t>Maria Francisca</t>
  </si>
  <si>
    <t>…al término se admiten memórales de continuaban sin novedad, y que seguía con mejoría la Sertna. Sra. In pretendientes á la judicatura de primera instancia del partido de Man fanta Doña Maria Francisca. zanares , provincia de la Mancha, que se halla vacante por renuncia da Se leyeron dos minutas de decreto revisadas por la comisión de Cor D. Alfonso Josef de Soto. rección de estilo: la úna sobre la fuerza del egército permanente para el presente año, y la s…</t>
  </si>
  <si>
    <t>…del art. 187 de la Constitución, el Gob'erno de que SS. MM. y AA. continuaban sin novedad, y que ai tampoco dei 4“ dj la ley de 11 de Setiembre de 8ao. No repetiré la Sra: Infanta Doña María Francisca seguía mas aliviada. las graves razonas alegadas por el Sr. Falcó; pero sí aludiré una obser- El Sr. presidente dijo que mañana continuaría la discusión de loe raci &gt;n importantísima. Los ciudadanos S. Román y consortes cuando asuntos pendientes, y que esta n…</t>
  </si>
  <si>
    <t>…mo había Gobierno de que SS. MM. y A A. continuaban sin novedad , siguiendo dicho cxactíaimatnente el Sr. Castejon, este asunto no correspondía mas aliviada la Serma. Sra. Infanta Doña María Francisca. é laa Cortes, sino al poder judicial, porque era un punto de hecho; Se mandó quedase sobre la mesa ti dictamen de las comisiones dt que la propiedad no se había de tomar en un sentido taa extenso que se Guerrra y Hacienda sobre que se conctda al Gobierno la…</t>
  </si>
  <si>
    <t>…de Aranjuez lo que sigue: » SS. M.M- y A \. continúan sin novedad en su importante salud; La voz pública mas acreditada es la de que les turcos abandonan y la Serma. Sra. Infanta Doña María Francisca sigue con alivio.’* la Moldavia y la Valaquia; pero sin añadir que los ru¿os vayan entran Dirección general de resguardos. do en aquellos dos principados, sin embargo que esto debe suponerse. El Exento. Sr. secretario Oe Estado y del Despacho de Haciende No d…</t>
  </si>
  <si>
    <t>…autores de los impresos acusa ' n SS. MM. y AA. continúan sin noved.d en su importante salud; dos por abusos de libertad de imprenta se lee lo siguiente: y la Serma. Sra. Infanta Doña María Francisca sigua con alivio.” - Los infrascrito* jueces de hecho, habiendo examinado la nota con tinuada en el periódico el Indicador Catatan del martes 16 de Marzo ■ El Rey be expedido al decreto siguientes próximo pasado, número 71, denunciada por D. Ramón de Coruja,…</t>
  </si>
  <si>
    <t>…y que acaso abusarían de ellas, por cuyo motivo pidió que el » SS. MM. y AA. continúan sin novedad en su importante salud} articulo vo'viese i lá comisión. y la Serma- S». Infanta Doña María Francisca sigue con alivio.* El Sr. Galiano dijo que este artículo era una consecuencia del pri mero, y que le parecía muy bien que una junta de contribuyentes tra Los Sres. diputados secretarios de las Cortes me dicen en 4 del ac tase sobre el modo de llenar el cupo d…</t>
  </si>
  <si>
    <t>…ranjucz ¡o que sigue : tos correspondientes á su cuo-pl.mieDto. Madrid 11 de Jun o d. 1022. » SS. MM. y A A. continúan sin novedad en su importante sa'ud, y la Scrmu. bra. Infanta Doña María Francisca sigue con aiivio.” D. Antonio López, intendente graduado de ezérc:r-&gt;, c&lt; ndtcoeado con .a insignia militar de la bal-lia de Tintine», m n.itio yr n. pal El Rey ha expedido los decretos siguientes: ¿i Hic tr.Ja militar de la p aza de Madud ccc. Don Fernando v…</t>
  </si>
  <si>
    <t>…en que participaba que SS. MM. y A A. continuaban sin no te, pites sabe que la contribución de patentes no ha sillo bien recibida en vedad , y mas aliviada i# Sexma, fita. Infanta Doña María Francisca de España , porque no fue impuesta el año pasado , sino en tempo de la Asis, quien hab * salido á misa. &gt;nv.s on francesa; con 'it.' motivo diré que ai el afio pasado cuando se El Sr. presidente anunció que mañana se discutiría al dictamen de establecieron asta» coatti…</t>
  </si>
  <si>
    <t>…Idem del Sermo. Sr. Infante D. Carlos María.—. 137,500 Casa Rea/.....—. ' Idem del Sermo. Sr. Infante D. Francisco de Paula. I3?»5°0 , 4.306,203.. 3 Idem de la Serma. Sra. Infanta Doña María Francisca. 50,000 Idem de la Serma. Sr» Infanta Doña Luisa Carlota. 50,000 .Idem del Sermo. Sr. Infante D. Carlos Luis... ..... 6,000 Cortes................... AI tesorero de tas mismas á cuenta de su presupuesto— 288,834..!* ("Secretaría del Despacho....—.............…</t>
  </si>
  <si>
    <t>Francisco</t>
  </si>
  <si>
    <t>…idencia del señor juez de primera instancia de Fregtnal N mos ver los abusos con ojos muy perspicaces, porque si cometemos un llama por último edicto á los parienta del presbítero D. Francisco yerra en estos dos puntos, difícil será el remediarlo. Megía, vecino que fue de dicha villa, los cuales deberán presentios Hemos hecho dos ensayos, ensayo de la libertad de imprenta, y en el término de 30 dias, contados desde «ta publicación, si a cree* tntay…</t>
  </si>
  <si>
    <t>…licia racional, llamado de cabezaa de familia, que han sido La autoridad constitucional de las Cámaras es la que queremos, y no víctimas de la epidemia. I.a memoria del benemérito D. Francisco de otra; también queremos la autoridad constitucional del Rey, y á esta Larrard , que estaba al frente de esta bellísima compañía, y cuya muni y no á otra ninguna hetnos jurado obedecer. ficencia ha hecho tan importantes servicios en diferentes épocas á la ca…</t>
  </si>
  <si>
    <t>…iento constitucional y de los - beneméritos milicianos, que habían dicho1, y haber - áwwtfté» los'iaeoévmicntes que podia contribuyeron al lucimiento «le la fiesta los ciudadanas -D. Francisco llevar consigoilp'supresión de equell* voz, «lijo refiriéndose i iodo lo Valles, D. Simón Fetiu y el eclesiástico D. Josef-Martí, escolapio se qtie acababa de mamfcstao: - ~ - cularizado, lo* primeros pronunciando arengas patrióticas en la plaza, su las palab…</t>
  </si>
  <si>
    <t>…Francisco Osorio det de Marina , y D. Luis Sorela interino del Un número tan corto de sucriptores no le podrán indemnizar muy de Hacienda; be venido en nombrar para el de Estado á D. Francisco ventajosamente de sus calosas anticipaciones. ;Y será posible que cuan Martínez de la Rosa, para «1 de la Gobernación de la Península é is do toda fe Nación está entonando himnos «fe gratitud en elogio de nues las adyacentes, de qu: estaba encargado D. Franci…</t>
  </si>
  <si>
    <t>…sus límites so pena do ü^arareslúes—La «la los herederos «le D. Josef de Casas &gt;030 rs. 7 3 mueete&gt;" hnr rrmlni dt loe rusos fueron admitidos, v el Oobiemo del niUravedises_La de D. Francisco de los Hoyos 19» rs. y j mrs—.La Japón 0076 probablemente pagarlos con los suministros cn trigo 7 vi Ó D. Tomas de Quiroga 92 rs. 7 14 mrs__ La de los herederos de vases qne hizo* la escuadra; pero insistió en la prohibición de que gnBi María Taboas 115 rs. 7…</t>
  </si>
  <si>
    <t>…exteriores, con repartiéndose los restante* entre los Sres. Gómez Becerra, Isturiz , Mar que remitía la nota que había pasado al Gobierno el encargado de Ne chámalo, Cid , Gómez (,D. Francisco), Grases, Cano y Ladrón de gocios de S. M. C., protestando contra la resolución que habían toma Guevara. do las Corte* de que fuesen puesto* en libertad loa graso* españoles Después fue elegido el Sr. Ruiz de la Vega por 81 votos, repar D- Tomas Blanc y D. Ra…</t>
  </si>
  <si>
    <t>…ación. diendo se declare el retiro que deben gozar aquellos empleados. El Sr. Meca: Yo be ti atado de presentar al Congreso las noticias A la comisión de Premios una exposición de D. Francisco deP¿ua que se han adquirido hasta ahora por ia comisión, ules cuales las he Pler, subteniente del batallón de Barcelona, exponiendo sus servicios podido expresar según mis cortos conocimientos : estoy muy distante por la causa de la libertad. de creer que el…</t>
  </si>
  <si>
    <t>…i|la y \»a -on , opinaba , confcvruánEl de la de Legislación, relativo á la exposición del teniente general dose con él , que las Cortes lo aprobasen, j fin de que lo» respetables D. Francisco deCoporsy Navia, en la cual manifestaba que habiendo restos de los adalides de la lib*rtad rec bjn de la Nación un t-stimo — citado á ju cio de conc-incion ante el alcalde constitucional al ex-mi- mo de su reconocimiento, al cual »on acreedores, ya que han es…</t>
  </si>
  <si>
    <t>…cobranza de los fondos públicos í aefia la milicia nacional local. La contribución territorial, que en el primer tercio de t8a t A la de Casos da responsabilidad una exposición de D. Francisco debió haber rendido........................................................ 50.000,004 Sánchez de Coma, vecino de Santander, quejándose de uno de los al Produjo................................................................................ 7.7-0,6íj caldes c…</t>
  </si>
  <si>
    <t>…ctual que debía archivarse este expediente. A probado. de que los diputados hablasen desde ella-, en las primeras sesiones hubo La comisión de Premios, en vista de la solicitud de D. Francisco un cierto deseo de sabir á ella, y un cietto respeto que no duró ma Molina, teniente del regimiento de infantería de la Constitución, ha cho, porque taego te hizo tan ridículo, «|ue me acuerdo que cuando ciendo presente tus Mr vicios, y pidiendo se le recomen…</t>
  </si>
  <si>
    <t>…, y que con ella volviese á 1a mumi su ante Bítc-.tu , viuda , para que se le concediese una pensión a su lujo : de rior dictamen. Doña Teresa Par-des, viuda del mariscal de campo D. Francisco de La com-sion de libertad de imprenta presentó su informe acerca de Oita, para que ve le concediese una pensión por los méritos de su di las duda» propuestas por la ¡unta protectora de la m.-mt. La i.-* ou.:a funto marico; y de un religioso bc.lüii.u de iá.ictnj»-…</t>
  </si>
  <si>
    <t>…llama y emplaza por segunda vez y término de 13 dias, gislativa ó el comisario superior ; pero no pueden hacer por sí mismos contados desde el en que se anuncie, en primer lugar á D. Francisco proposición alguna. Les pertenecen los nombramientos para todos los Remigio del Valle, ó quien su acción represente, y á cualquiera otta empleos del gobierno general, bajo la aprobación del lord comisario. persona que tenga en su poder ó les hayan sido reteni…</t>
  </si>
  <si>
    <t>…ste- Martínez Marina, D. Simón Gonza’e, Vusté, D. Andrés Alcon y firme sinqse hubiesen surtido ningún buen efecto, ae embarcó en di D. Valentín Recio. Pero habiendo man festado el Sr. D. Francisco cha plaza con 400 hombrea que le sobraban de su guarnición, y que Martínez Marina y el Sr. D. Simón González Yuste no podían asistir no contribuiaa á otra cose sino 4 consumir los cwtos víveres que en al juicio para que eran convocados, se procedió ai sorteo…</t>
  </si>
  <si>
    <t>…a» que tienen este ca- Josef Demetrio Rodríguez , D. Antonio Alcázar, D. Pedro Alvar» r , se pu -&gt;len dar de ba)a en sus respectivos cuerpos , y de consi Delgado, D. Andrés Alcon, D. Francisco de la Carrera, D. Josef guiente tienen que proveerse rstos destinos. R ve* Queraltó. De .q-ji rtsuua que el egército sufre un gravámen, y que los esta Reunido el jurado y habida la conferencia se declaró por 1 dos n»-yoi«s están compuestos de oficiales de art…</t>
  </si>
  <si>
    <t>…de León, D. Rodrigo Sanjnrjo, D. Josef Miro, D. Miguel Mo bilite cata introducción cuando el trigo excediere de 8o r*. la fancga( reno , D. Alfonso Carrera, D» Gabriel Rodríguez, D. Francisco 7 la harina de i so rs. el quintal. Montoro,D. Vicente Martina Gómez, D. Antonio María Cuatre El Sr. Munarrii presentó á las Cortes á nombre de D. Josef Ma ras , D. Juan Josef de Cores y D. Francisco de Paula Díaz, jaeces de ría Zuaznabw el tonto *.“ del Ensa…</t>
  </si>
  <si>
    <t>…tín de Nicolás, D. Valentín Rec-.o, disposición , y 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libra ó quintal de Habida la conferencia, se declaró por unanimi…</t>
  </si>
  <si>
    <t>…ada , Doña María Josefa Velasen, viuda de D. Pedro Celestino ARTICULO DE OFICIO. González de Salazsr, curado a de sus cinco hijos , D Nicolás , Doña María Antonia, Doña Ana María, D. Francisco «fe Paula y Cofia El Sr. secretario del Despacho de la Gobernación «le Ultramar con Mu ía Josefa de Salazar, Doña Tomasa Quqada , y por su muerte su fecha de ayer dice «lesde el Real sitio de Aranjuez lo que sigue: hijo D. Bernardino Espinaca, D. Manuel de Vi…</t>
  </si>
  <si>
    <t>…a comisión de Visita de las Cortes! Sin embargo, general. no te hizo asi, y no parece sino que se trató de introducir aquí una A la de Viaita del Crédito público una exposición de D. Francisco guerra. No ct puee Cancelada responsable de ninguno de estos extre Rodríguez Saavedra, solicitando se le perdone la tercera parte del ar mos. La comisión, deseosa de poner un término prudente é este nego riendo de varias aincuras del monasterio de S. Martin d…</t>
  </si>
  <si>
    <t>…ta. •t mucho mas fácil que ei hacerlo por menor, y por lo mismo opino Aprobado. , que la comisión lo verifique de aquel modo. La misma pidió se la autorizase pira agregar i ella á D. Francisco El Sr. Cuadra: Habiendo oído ai Sr. Soria parece que todo es fácil; de Pardo, abogado de esta coste , á fia de que pudiese auxiliarla en el pero deagi aciada mente no ea asi: la comisión debe enterarse í fondo de todo lo que puede haber ocasionado los males y disgu…</t>
  </si>
  <si>
    <t>…n de esta materia: reunidos en ¡as casas consistoriales Circular del ministerio señalando d conducto do 4» se deben ser- de esta c.uJací y tarde del dia 11 del corriente loe Sres. D. Francisco »'r los qne hayan de impetrar bulas y gracias apostólicas. (Gottta átl Llano, del comercio; D. Josef Vecino, D. Vicente Azur, merques sjáe id.) de Rio-Flor do; D. Gerónimo Masía, presbítero; D. Vicente Iranzo, Circular del ministerio en que so inserta una con…</t>
  </si>
  <si>
    <t>…ones que im alsrmantrs, hizo salir en su persecución una partida de la milicia na pidan ia guerra; pues los turcos iss liarán por temor , y el Emperador cional local, al mando del teniente D. Francisco de la Lastra, i la qau Alejandro por el deseo de conservar el sistema po.itico , á cuyo resta te unieron dos voluntarios de caballería y el mismo alcalde a.0, coman blecimiento tan eficazmente ha contribuido.” dante de esta arma; y como lograsen ver á ios mal…</t>
  </si>
  <si>
    <t>…o el año siguiente Igualmente se apiobo otio de ia misma, relativo a qua debía ac á costa de los fooclo» d: propios y aib l. ios. Formarán y remitirán al ceder»: á la instancia d- D. Francisco oanchiz Arfora, sobre que ta mismo tiempo otro presupuesto del valor de estos fondos, y si no al conmutase el grado de bachiller en cánones en et de l.yn. canzase para cubrir el piesupu sto de gastos, propondrá á la diputa La misma comisión , en vista de la e…</t>
  </si>
  <si>
    <t>…Ovando, D. Diego Fernandez Mufioz y D. Joaquín Medina; drán la reunión, y darán al efecto las órdenes y disposiciones oportu habiendo votado por la afirmativa D- Leandro Pallares, D. Francisco nas , instruyendo el debido expediente para hacer consur que concur de Paula Mendez, D. Ciríaco Clavero y D. Francisco Montoro. ren las circunstancies prevenidas- Art. 8.° Se autoriza á las diputacio nes provinciales para que por los medios justos, equitativo…</t>
  </si>
  <si>
    <t>…laza por tercera y última vez y término de 8 días, deben resultarles de las obras públicas principiadas á egecutar en ellas, contados desde el en que se anuncie, en primer lugar á D. Francisco se I bre un millón de rs. por cuenta de la cantidad señalada para este Remigio del Valle, ó quien tu acción represente, y i cualquiera otra objeto en el presupuesto de dicho ministerio , ademas de los 5009 rs. persona que tengan en su poder ó les hayan sido r…</t>
  </si>
  <si>
    <t>…ema decía lo Feliu , juzgaba oportuno que se pidiese a. Gobierno la orden dirigida ea «M m enunciaba en el resto del dictamen. 4 de ¡setiembre último al «x-gefe po.ít co da Madrid D. Francisco de ^ El sr. Buey torturo el dictamen de la comisión , haciendo ver con Copont 1 N«v.a , en la que se expresaba el motivo de la separación del ñus observaciones la conveniencia y utilidad de que se pusiese en prác expresado general del mando militar de la prov…</t>
  </si>
  <si>
    <t>…nueve alcabala de lo vendible por mayor y menor de le ciudad rá primeramente la mejora del medio dieamo , y después la del diezmo de Toledo ,cn la villa de T-lavera, an cabeza de D. Francisco Du de la cantidad que resulto líquida, hecha la baja dal medio diezmo. que de Estrada, en Madrid 4 9 de Marzo de 165a—Otro de jo9 Advertrncím. Respecto 4 estar mandado por Real orden de 21 de maravedises, situado en las alcabalas de Talavcra, en cabeza de Fran M…</t>
  </si>
  <si>
    <t>…/.p-* , O. Juan F-ancisco Vidot, D. .'ógismundo Moret, ría de Sojo , donde han suscrito; y en ,1a misma se hallará venal to T&gt;. F ranc.wo Midaigo, i). Juan Bautista de hiejaburu y D. Francisco da la r.bra. I^naco M mí. Voto. Fn la gaceta de ayer pág. 97*, col. a.*, lío. 50 falta la pa D. Mallín Fernandez Elias disintió de dicha calificación. labra Aprobad» al fin del paítalo. EN LA IMPRENTA NACIONAL,</t>
  </si>
  <si>
    <t>…e la v&lt;i a , y i los c'udadanos da la milicia local los sentimientos puros da Rocha y su muger Doña Catalina García Ramiro Corajo; Dolía María mi vrat tud y admiración. de Robles, D. Francisco de la Rocha por agregación del mayorazgo &gt;■ Drst nado por el Sr. comandante general de este distrito para con- que pozaba su hermano D. Pedio Duran; D. García Catvajal y Pare tnuar '»&gt; operaciones de la piazs de la C onstitución, puerta dei Sol y des; Elvira…</t>
  </si>
  <si>
    <t>….............. »-o7*&gt;579 483,373 588,106 cepto de sedicioso y obsceno. Kn su vista se reunió el jurado, compues Recaudado por 3 to de los Sres. siguiente s: D. Valentín Hortigosa, D. Francisco de la débitos de ico-&gt; 91,376.. 6 12,376.. 6 Carrera, D. Joaquín Huerta Ceval .os, D. Cayetano Romero, D. An píos de siles..,J drés Alcon, D. Josef Antonio Ponina , D. Francisco Mattinez Mari Salitre, azufre) 7.8S4 658.. 9 7.'PS &gt;5 na , D. Antonio María Esp j…</t>
  </si>
  <si>
    <t>…llarán patriotismo de la compañía de su accidental mando. en esto un completo desengaño del fin que tienen los locos pro» ectos de n En la mañana del 7 se me ordenó por el Exento. Sr. D. Francisco los que los engañan; y los perverso» seductores, conociendo lo mismo, Ballest.ros atacase á los guardias facciosos por la calle del Arenal ccn la bailarán motivo de desistir de su temeraria empresa, presentándoseles á aegunda compañía de granaderos. Al desemb…</t>
  </si>
  <si>
    <t>…usto. Cortad inm- cionaron la tarde del citado d a , y de las curio V. fue huí a tr&gt;tgo pre con nuestro acendrado amor , y decid * todos los perv rsot con como ayudante del fiemo. Sr. D. Francisco 1&gt;* lj**rroa., ceña enjas &gt;nverdad y valent&lt;a: en Astorpa, asi como en cada uno de ios pueb’os d ntet v.no V. á exc.tar nuestra conducta v e..¡uia»mo. el que sí au que componen esta magnánima Nación, tenemos hermanos, voluntarios mentó hasta un grado indecibl…</t>
  </si>
  <si>
    <t>…nti, • Dt Relacionas exteriores- Valdrá, Flore, (OrCirilo), Aguilar, nmr ratanirando de cerca roturo ,d? y ^ Zavala, Gírate , Benitez Peres , Amada (D. Pascual), Riesgo y Gar cía (D. Francisco ) . _ , : se o» 6 1 Dt Publicación de leyes. Lombardo, coato aecretot'O, Bicerra, _______ rfneo Echen ¡que. Jimence (D. Jotef María). Alcocer (D Santago), Vi- de sjcríficsrme en’Sbraqufe di la pama me obl.^n ¿ aceptar un dcstillanueva, Garza y Figweroa. _ , .…</t>
  </si>
  <si>
    <t>…» Conspiración de Va En su vista ae reunió ri jurado, compuesto de loa Señorea siguientes: lencia , de la Monde# 7 de Annjuez ; de loa emigrado* refugiado* en D. Antonio Gamonal, D. Francisco de la Carrera , D. Benito Orteea el Rosellon i las órdeaea del conde de Calderón 4tc." Como el conde Romanillos, D. Cas-miro Martin, D. Antonio Regés, D. Antonio «le Calderón te halla en Valencia, sin haber pensado ni pensar en PuigbUnch, D. Francisco López O…</t>
  </si>
  <si>
    <t>…z Jet pueblo, p-r.ódico d- esta ciudad, del vier lación al seminario conciliar de Coria» los de las obras pías de D. Pe nes 9 *1*1 actual al fol. *3 , denunciado por injuriólo por D. Francisco dro Roco r D. Vicente Marrón, los cedidos por el duque de Abran Artis, capitán retirado y sargento mayor del primer regimiento de la les , y las demás cantidades qu: forman las bases de dotación de dicha, milicia nacional voluntaria de esta ciudad, han declar…</t>
  </si>
  <si>
    <t>…bres; _Los dos capellanes de Psdralves, ex-monges —_1D. Salvador Vieta, pero ria.stros van nt.s les d.spcrsaron inmediatamente, matándoles párroco de S. Andret._D. Mariano Gassois—D. Francisco £ol.r._ j jo hembras, luí nih por U caballería, que en aquel llano se hartó du P. Juan de S. Josef.__P. Buenaventura Maaegat.__P. Gerónimo de acuchillar y inet-r: esto sin contar les muchos que te ahogaron ai reViladecans, capuch.no. psser á r.adu e; 1 b:.-,…</t>
  </si>
  <si>
    <t>…to Cisellas, como |uez interino de primera instancia de esta corle, en au mar un nuevo giro , ó se exponen á llegar tarde. tos s¿-cuneos que penden por ia escribanía del cargo de D. Francisco La evacuación de la Moldavia y la Vaiaquia continúa siendo un Alcázar, se sacan á pública subasta por término de 30 días dos casas problema, pues los genízaros no quieren retirarse; y si se llega á verifi contiguas, que en la calle del Piamonte, parroquia de S.…</t>
  </si>
  <si>
    <t>…neral del sexto distrito.” volver d:l aturdimiento, y rematándolos por decirlo asi, después Idem ig. de ¡es últimos triunfos; si el Gobierno español estuviese tan pene El teniente coronel D. Francisco brandis da parte desde Segura el trado de esto , como lo estamos aqui muchos que oímos , vemos, y ca 17 de haberse dispersado en pequeñas partidas la facción reunida de los llamos, haría ios últimos esfuerzos, echaría el resto por presentar cabecillas; Tabaco…</t>
  </si>
  <si>
    <t>…ste nom- D. Juan Isidoro Perez , D. Isidoro de Hoyos, D. Isidro Merino, Don brami-nto. Sea la que quiera la id-a que algunos se forman del estado Gaspar Aguilera , D. Juan Cortés, D. Francisco de la Carrera , Don de la Península , lo cierto es que nuestro crédito se aumenta. Las ins Sebastian Andrés, D. Joaquín Manrique y D. Joaquín Lumbreras. cripciones de i8ao estaban el 13 i 6-J; y las de 1811 á 6$. (En 27 Habida la conferencia declaró por unani…</t>
  </si>
  <si>
    <t>…li y i los de esta corte en los primeros dias de Julio. naran la derecha, y con la misma mano te quitarán el morrión ó gorra, El Sr. Salvato presentó unas observaciones hechas por D. Francisco y permanecerán en esta posición hasta que te pierda de vista, en que se Salva, vecino de Barcelona , sobre el origen de la fiebre amarilla. Las dará la voz de á su formación, á la que se pondrán en pie cubriéndote Cortes las recibieron con agrado, y las manda…</t>
  </si>
  <si>
    <t>…z de la Vega, D. Vicente Tejeiro, D Josef de Torres , D. Al estado en que he encontrado este pais.=EI tiempo es frió; pero despe berto Arnet, D. Antonio de Marti, D. Ramón Feliu , D. Francisco jado y hermoso, sin embargo de ¡o adelantado de la estacion.=Dios María Guell y D. Josef Busqu.ts, declararon por unanimidad haber guarde i V. E. muchos años. Cuartel general de Tremp i a de No lugar á formación de causa contra el autor de una carta inserta e…</t>
  </si>
  <si>
    <t>…a sobre el alcázar y alcabalas de Ciudad-Rodrigo, en favor de día 30 del mes anterior; dispuso que la caballería, compuesta de 50 Diego del Aguila: el otro ds 30$ mrs. en favor de D. Francisco del hombres avanzase, lo que Verificó con tal bizarría, que dando una bri Aguila, deán de Ciudad Rodrigo; y otro de 188 mrs. de renta, en llante carga á 120 caballos enemigos, los dispersó completamente: su cabeza del mismo; se suplica á quien los haya hallad…</t>
  </si>
  <si>
    <t>…-ra que el comasJa.n'e gen -ta; seña , i'eA la comisión de Guerra se mandó pasar el expedlenf» rvomoví- va-.d., e trocí sus moch lis , y formando en b-italla en una ó des ¡ído por D. Francisco de la Iglesia, relativo al esiab.ccím r.-.o J« una n a. s .u.i s; pvr rv a en la crd-n. tscuela de equitación. ' rt. í. « ;.u . 0 qu • -■ c- mandante genera! de la división se avis Continuó l.i discusión de la ordenanza mil t.:r. te, s tocará por ci tambor di…</t>
  </si>
  <si>
    <t>Francisco, Infante D</t>
  </si>
  <si>
    <t>Infante D Francisco</t>
  </si>
  <si>
    <t>…(Consignación de S. M.......... 2.284,000 I Idem de S. M. la Reina...., 53,333-** : Idem de! Nenno. Sr. Infante D- Cárlos Varía........ 87,500 Casa Real............Idem del Sermo Sr. Infante D Francisco de l auta. 87,500 3.608,166 ..22 Íldem de la Serma. Sra. Infarta Doña Marta I ran chea de A-ir..................................................... .............. 45,833-11 (.Idem de la Serma. Sra. Infanta Doña Luisa Carlota. 5 c,eco "Giro nacional ••••«•••••…</t>
  </si>
  <si>
    <t>Francisco, Juan</t>
  </si>
  <si>
    <t>Juan Francisco</t>
  </si>
  <si>
    <t>…la Azuela y D. Francisco Robles y Benitez: los otros cuatro U. Ni mes de los recibos del suministro que practique, para que presentándo colás Iraola, D. Bernardo de la Peña Diaz , D. Juan Francisco E*pelos en contaduría con ia correspondiente relación demostrativa proce losin y D. Juan del Pozo y Tejada dijeron en sentido opuesto. da á su liquidación , y expida el libramiento de su importe, para que la tesorería lo satisfaga. Habiéndose denunciado por D.…</t>
  </si>
  <si>
    <t>…Cádiz, compuesto de lo* *4548...... IOOO. En Cádiz. señores D. Franc.sco Hidalgo, D. Antonio Cañad;.i, D M gu i Gar $084..... IOOO. En Jaén. cía Ortiz, D. Josef María Retoilillo , D. Juan Francisco b&gt;pe os.a, j§8rii...... IOOO. En Badajoz. D. Joaquín María Gofii, D. Francisco Puga, D P.b o Maten y IX-n *780/...... IOOO. En Madrid. Juan Perez, declaró por unanimidad no ka.tr lujar a ¡a jotma.wn ARTICULO DE OFICIO. de cauta. CORTES. El fiscal de impreso*…</t>
  </si>
  <si>
    <t>Francisco, Manuel</t>
  </si>
  <si>
    <t>Manuel Francisco</t>
  </si>
  <si>
    <t>…osición del Sr Sancho, aproba ¡a por las G-rtea, reducida 4 que soi y por lo m*»mn nniní. q.i- debí* sprobitíí por :s!:::üri: en ¿! el or pasen i una comisión la representación de D. Manuel Francisco jiure- den y tranquilidad pública. gu¡ y las demas que tengan relación con los acontecimientos de Cádiz; El Sr Uraga dijo que lo que se impugnaba era sois los abonos del y después de haberla examinado con detención y madurez , opinaba que culto religioso , y…</t>
  </si>
  <si>
    <t>Franco, Antonia</t>
  </si>
  <si>
    <t>Antonia Franco</t>
  </si>
  <si>
    <t>…or la - cha tesorería, opinaba que no debía aceedeise a ella. Aprobado. reunión de los representantes de la Nación para lo» año* ia y ij. En La misma , en vista de la solicitud de Doña Antonia Franco , viu esta función pronunció D. Angel Jiménez y Navarro, vicario de esta da de D. Tomas García, cabo que fue del reaguardo de Redondel*, parroquia, un corto pero elocuente discurso, manifestando en primar ira que se le concediese un* pensión, opinaba que no p…</t>
  </si>
  <si>
    <t>Franco, Fernando Rty Villar de</t>
  </si>
  <si>
    <t>Fernando Rty Villar de Franco</t>
  </si>
  <si>
    <t>…e entre los ale D. Juan Antonio Méndez 2 206 rs. y 5 mrs. La de Doña Mar.a Josefa manes que saben francés, y el Corresponsal de Hamburgo es el mas Valiente 1874 rs. y 5 mrs. La de D. Fernando Rty Villar de Franco común en los cafés y entre el pueblo de lot diferentes Estados alemanes- y Sto. Domingo 1719 rs. Los interesados en las dependencias al cuida lista guerra de intriga va tomando en el dia mucho mas vuelo, según do de D. Francisco Antonio Gom/z , de Cartagena d…</t>
  </si>
  <si>
    <t>Franco, Joaqun</t>
  </si>
  <si>
    <t>Joaqun Franco</t>
  </si>
  <si>
    <t>…convenientes sobre este ramo. comisión el articulo, por cuyas razones fue de parecer no debía apro La comisión de Visita d.l Crédito público, en vista de la exposi barse. ción de D. Joaqun Franco para que se le permitiese capitalizar una El Sr. Olivcr contestó que la comisión lo que entendía era que los pensión quj disfrutaba, y del informe favorable del Gobierno, opina terratenientes ó forasteros propietarios en los pueblos de que se trata no ba que…</t>
  </si>
  <si>
    <t>Franco, Manuel</t>
  </si>
  <si>
    <t>Manuel Franco</t>
  </si>
  <si>
    <t>…anejar tus bienes á D. Manuel En la ciudad de Valencia, habiendo sido denunciado ante el señor Diez Abreser, subteniente del regimiento de Valencia. alcalde segundo constitucional D. Manuel Franco por Sebastian Cruz, Se concedió cairta de ciudadano á los individuos siguientes, según vecino de Alicante, el papel titulado Liberal Alicanti «, núm. 65, proponía la comisión de Legislación : A D. Pedro Dejoui, coronel por contener un artículo que trata de su…</t>
  </si>
  <si>
    <t>Franco, Soares</t>
  </si>
  <si>
    <t>Soares Franco</t>
  </si>
  <si>
    <t>…inuó la discusión del proyecto de decreto sobre la inviola nas y ba.cones con ricas colgaduras, prnturas preciosas y yerbas aro bilidad de las casas de los ciudadanos. ma teas. El Sr. Soares Franco leyó el s gu ente proyecto de ley: El 16 varios amigos del general dieron un banquete de 60 cubier »» Habiéndose prohibido absolutam nte la introduce.on del acóte tos en el edificio del Generaufe, en ei que se br ndó repetida, veces á la exttangero de aceitun…</t>
  </si>
  <si>
    <t>…s para los párrocos, un soldado contuso de Gerona: un soldado de Vi: aviciosa h'r-Ho que rstaba pendiente. con un caballo, el capitán de ia m I.c a activa de Burgos D- Casim.ro El Sr. Soares Franco presentó un proyecto de ley, relativo i la crea García de Vinuesa , y el teniente D. Manuel haivador, her dos con ua ción de una nueva orden para recompensar i los beneméritos de la pa toldado, y del regimiento de Extremadura el capitán D- Mi.u- Galtria. bau,…</t>
  </si>
  <si>
    <t>Franco, Soases</t>
  </si>
  <si>
    <t>Soases Franco</t>
  </si>
  <si>
    <t>…sido desechados los t ■ artículos primeros adicionales i viando al pr mer Infiute,sino únicamente en el día por no haber otro. la Constitución para el Brasil, se pasó á leer el Ei Sr. Soases Franco pronunció un largo discurso, en el que rebatió Air. 12. » En la capital del Brasil habré una delegación d-1 poder algunas da las rscones'slegadas, y sostuvo que debían rstaldccerse va egecutivo, que egercerá todas las atribuciones del poder R&lt;-al, excjsto ria…</t>
  </si>
  <si>
    <t>Francos, Zenon López</t>
  </si>
  <si>
    <t>Zenon López Francos</t>
  </si>
  <si>
    <t>…ernume te del mando del regimiento de la Corona. rario del regimiento de Soria. Cuenca para primer comandante al comandante de infantería Don Valladolid : para primer comandante á D. Zenon López Francos, Josef Ruiz Albornoz, ssrgento mayor de la milicia activa de Cuenca. mayor comandante supernumerario del regimiento de caballeó* del In Calahorra: para coronel al coronel vivo de infantería D. Juan An fante. tonio Tabuenca, teniente coronel mayor del regimien…</t>
  </si>
  <si>
    <t>Franderación</t>
  </si>
  <si>
    <t>…tentenos publica. Mudos, Portara! , A'amsn , Izarte, Re persona , excluyendo á cualquiera otra, y después de una madura consi jón, Valle CD. Fernando), Airares CD. Msnu.l), A.vet (D. Franderación ba declarado que el Sr. D. Agustín de Itúrbide es la persona ama ciaco) y Ortiz de ia Tone. acreedora á este alto destino bajo la base del plan proclamado en Igua sa. Menas. Gotero, Tejada, marque* de Raya , Obragon , Gola, y aceptado por la mayoría de la Nac…</t>
  </si>
  <si>
    <t>Fransa, Pinto de</t>
  </si>
  <si>
    <t>Pinto de Fransa</t>
  </si>
  <si>
    <t>…, b boticario di las Cortes, y otros emplea salieron elegidos, presidente el Sr. Camello Fortes, vice-presidente el dos en la misma, pidiendo que se mande terminantemente liquidar Sr. Pinto de Fransa, y secretarios los Sres. Soares de Acevedo, Filguei- los sueldos que tienen devengados en los 6 años del régimen absoluto ras. Freiré y Barrozo; con lo que se levantó la sesión. que estvieron separados de sus destinos. Se mandó pgsar á la comisión de Comercio…</t>
  </si>
  <si>
    <t>Franseri, Antonio</t>
  </si>
  <si>
    <t>Antonio Franseri</t>
  </si>
  <si>
    <t>…26 Deuda total con interes. 2552.632,411... 30 Deuda total sin ínteres. Madrid t.° de Noviembre di 1822. ANUNCIOS. El Rey se ha servido conceder la gran cruz de la Real orden ame D. Antonio Franseri, director del monta pío «la médicos y boti ricana de Isabel la Católica al teniente general D. Josef de Laserne, carios «le esta corte, hace saber qua siendo pasado al término da ua capitán general y pí político superior del Perú, y ai coronel de in mes, que…</t>
  </si>
  <si>
    <t>…Madrid 13 de Diciembre da s8ii.=El cirujano mayor da lossgár» te edicto. citot nacionales=Sa'.vio lila. ANUNCIOS. Habiendo resuelto S. M. que la correspondencia de esta corte par* D. Antonio Franseri, director del monte pío de médico* y boti la provincia de Lérida te dirija por ia carrera de Valencia i Barcelonés carios de esta corte , hace saber , que siendo pasado el término de 15 se hace saber al público para su gobierno. dias*, que por segundo se seña…</t>
  </si>
  <si>
    <t>Franzini</t>
  </si>
  <si>
    <t>…orrespondan, pudiendo ha acx he en el despacho de los negocios.” cer la elección de entre toda la provincia.” •» Un octavo al millar sobre todo el metálico y 1 por too sobre el F1 Sr. Franzini dijo que siendo el día 13 de Mayo el del cumple- importe liquido de los arbitrios concedidos, y que se concedieren al ato» de S. M. el Sr. D. Juan vi, parecía justo que los portucue. s die Crédito público, se repartirá entre los vocales de la junta d rectiva,…</t>
  </si>
  <si>
    <t>Fraocia</t>
  </si>
  <si>
    <t>…obra a estado de la América la unión y valor qu: habéis mostrado en la madrugada del y dsl cor meridional. riente, á la gloria que habéis adquirido, y al honot que habéis dadoá El doctor Fraocia era muy estimado de lo* habitantes de la pro la Micion , afianzando para siempre la prenda de sus libettadet. vincia del Paraguay, y valido de su ascendiente consiguió manten-r!os Recibid por tanto la felicitación mas cariñosa de nuestra gratitud. Iranqu los,…</t>
  </si>
  <si>
    <t>Frarcisco</t>
  </si>
  <si>
    <t>…Paüavicini: 201,58 2 , de-Sevilla: 3c0, de Murcia, vn gres.:; q-e hace esta ciencia todo» los años no es posible que un trata la d- jimvtin ''píno'a: 6078, de Patencia , en ia del abad Frarcisco do de química s: Ivilie largo tiempo al nivel de los conocimientos del MaraBe'inn: 1.967,467 mr., dr Extremadura: 1.85 2,603 , en 'evilia, dia. Con est: motivo, y en obsequio de los jóvenes que no pueden te en la d • Fsichau Lome.bni: 866,197, de Murcia , en…</t>
  </si>
  <si>
    <t>Frarco, Francsco</t>
  </si>
  <si>
    <t>Francsco Frarco</t>
  </si>
  <si>
    <t>…viciosa, al dei teniente D. Manuel Laborda, y del aüer-.z D. I ju-ticia, y que todos los esfuerzos son impotentes para contener sus pro d.fonso Marchante, el subteniente de G roña D. Francsco Frarco, gresos. La pérdida de los enemigos ha consistido en to muertos, no que desde Altanvz salió s o untai lamente á unirse con ’.a columna , y siendo menor el número de heridos, por los que se vieren retirar; se siguió de ayúdame á mis ¡.,m-d.au, órdenes; y el ce…</t>
  </si>
  <si>
    <t>Frase</t>
  </si>
  <si>
    <t>…t r por m- d.-c*. to d* ayer la renun zalez, por los capitanes D. &gt;ebast 20 L.n.' Va .. ! 1 cia qu* hizo del mÍDi»i*r o d* a Goh rnac.on de a P ninvua D. Jo dez Cuesta, tenientes D. Frase wo Moiemos, V&gt; Mi't e. e,- 1 1 sef Maris Moscoso de \ Um ri , h- v nido m nvir.sr el d-ipacfio duiess , subteniente F&gt;. Antón Rs.n.'., ssr.i.r.to* s cur.-v s X interino de dicho m n-st-r o i P. Pi- o C in- nc n , mi s-cr tino de Beln.JjsfG.il. vaho prmi-ro Mi…</t>
  </si>
  <si>
    <t>Frasquirri, Juan Antonio</t>
  </si>
  <si>
    <t>Juan Antonio Frasquirri</t>
  </si>
  <si>
    <t>…r una notica circunstanciada de lo que dente en Monzón: el 7“ á D Juan Rolando , natural de Genova; el habían producido las rentas, y de lo que se había pagado 3cc., trataba 8.a á D. Juan Antonio Frasquirri, italiano: el y.' á D. Josef Cambe- del presupuesto para el próximo afío económico, el cual -¡scenda á lay, romano: el 10 á D Lorenzo Caustini, genovés y domiciliado en 801.591,645 rs., Dotándose el ahorro de &lt; &gt;8.644,01 2 as. respecto del Albacete: el 11 i D…</t>
  </si>
  <si>
    <t>Frat</t>
  </si>
  <si>
    <t>…tivo uno proposición que te trascendental. Hay un artículo en la Constitución que dice que todoa nia hecha. los diputados serio juzgados por el tribunal especial de Cortes. Ade Ei Sr. Frat dijo que ana no te hebra podido dar cuenta de el la, por mas de esto hsy la declaración de las mismas de 16 de Mareo últimos que había otras de fochas muy anteriores; y por otra parta tampoco era y i todo esto se ba negado i dar cumplimiento el trihunel de ju…</t>
  </si>
  <si>
    <t>…promover estudios; pero opinaba que ser,a necesario oír ai sr. secretario del varias obras públicas. Despacho. La com sion de Visita del Crédito público, en vista del expedien El Sr. Frat d ipiles de haber leído varios art eu'os del reglamente te promovido por D Josrf Taora sobre óquidac on de varios créditos, de in-truc.ion pública, dijo que estabi a cargo de la dr-c:i«n central era de parecer que se volviese el expedienta al Gobierno para qu…</t>
  </si>
  <si>
    <t>Freire</t>
  </si>
  <si>
    <t>…con los errores del ca Estando destinado para esta discusión el proyecto de reforma de la pricho , ostentan patriotismo cuando devoran a tu patria, te proclaman moneda, lo leyó el Sr. Freire; y el Sr. Brito se opuso á que se discu amigos del orden cuando io perturban con cwáudaio, y se glorian de tiera, fundándose en que no se había repartido aun el dictamen del mi defender los derechos del hombre cuando destruyen los cimientos del nistro de Haci…</t>
  </si>
  <si>
    <t>Freiré</t>
  </si>
  <si>
    <t>…Cortes para el mes entrante, y salieron electos para presidente el ren en pos de los facciosos para destruirlos; motivo noble y poderoso Sr. Crouvea Durao, para vice-presidenta el Sr. Freiré, y para secretario# para mover vuestra bien acreditada generosidad, y pira excitaros en los Felvueiras, Sarmentó, Peixoto y Soanes Franco; y suplente* el instante á ofrecer vuestros intereses en la suscripción que el ayunta los Sres. Basilio Alberto y Barroso…</t>
  </si>
  <si>
    <t>Freiré, Juan Joscf</t>
  </si>
  <si>
    <t>Juan Joscf Freiré</t>
  </si>
  <si>
    <t>…e ios terrenos be'.d.os , p-op ,n,en Otro de la misma para que igualmente se pasase al Gobierno la solí» do al moma tiempo todas aquellas medida, ¡ue en su coeicrpeo pudie ctud de D. Juan Joscf Freiré, administrador del hospital de Tarrago» ran adoptarse para dar un impulso i e ti interesante opera.-cu ; y asi na, sobre que se ie adjudiquen algunas fincas de las destinadas al Cré qu: se atrevía á exigir se ocupase la comisión de este asunto en seña ar dito…</t>
  </si>
  <si>
    <t>FreireSesiónleyó</t>
  </si>
  <si>
    <t>…si las circunstancias. Tal vez llevará el dia en que se l-aÍiaotva:una desmembraciónpero esta nuncadeselaent-nderiaTurquía europeasino concomolas seprovinciashizo ce !adePo-la El Sr. FreireSesiónleyó elde dictamenCortes deide lal.°comisiónde Marzo.de Constitución so derecha del Danubio, pues en cuanto á las de la izquierda as tiene bre las variaciones que debían hacerte en ios artículos i va y 174; y la Rusta demasiado á su alcance para admitir participes…</t>
  </si>
  <si>
    <t>Freirs</t>
  </si>
  <si>
    <t>…te* sobre beneficencia, y había contestado que lo contra 58. tomaría en consideración , á fin de que tuviese su debido efecto. El Sr. presidente nombró aí Sr. Cabrero en lugar del Sr. Freirs para El Sr. presidente contestó que las Cortes quedaban enteradas y sa la diputación que había d: entregar á S. ¡A. el decreto sobre establecí* tisfechas del zelo con que la diputación había cumplido su encargo; j miento» de beneficencia; y habiendo llegado l…</t>
  </si>
  <si>
    <t>Freüe, Beatriz</t>
  </si>
  <si>
    <t>Beatriz Freüe</t>
  </si>
  <si>
    <t>…o D. Bernardo Pérez de Herrera, por el que puedan tener al crédi to á alguna penona ó corporación, ó en perjuicio de le causa pública to «le 47,977 rs. y 3a mrs. correspondiente á Doña Beatriz Freüe ó de tercero interesado. contra el estado del marquesado de Fromista, y á los réditos vencidos » Segundo: Los que del mismo modo proceden criminalmente con y mandados pagar por la sentencia, cuya cantidad unida á la antece tra alguna persona, o la complican e…</t>
  </si>
  <si>
    <t>Fri-c</t>
  </si>
  <si>
    <t>…r manifestado el mis misión opinaba que podra accederse á esta solicitud. Aprobado. mo ayuntamiento no tuvo otro fundamento paradar aquel paso que el de Otro sobre la solicitud de D. Fri-c seo de Paula N., subteo-er"» un anónimo que le fue presenta jo en el acto de una conmoción popu del regimiento de Barcelona, en ia que manifestaba que en t.hiero oel lar. Por último protestamos á la faz de la Nación que todos nos-uro» , y año 20 había publica…</t>
  </si>
  <si>
    <t>Friaa, Matías López de</t>
  </si>
  <si>
    <t>Matías López de Friaa</t>
  </si>
  <si>
    <t>…el actual cias oportuna* que te reserva el ayuntamiento descoso del acierto en tas ha admitido la dimisión que ha hecho del cargo de fiscal de imprenta el intrusante materia. Lie. D. Matías López de Friaa á causa de tu quebrantada salud , 7 ha Se halla vacante el partido de médico titular de la villa de Almonombrado al m amo tiempo para que lo desempefie á D. Isidoro Tarín, rox, provincia de Toledo su dotación et de 600 ducados y cata fran abogado también del…</t>
  </si>
  <si>
    <t>Frías, Bernardino Vicente</t>
  </si>
  <si>
    <t>Bernardino Vicente Frías</t>
  </si>
  <si>
    <t>…iputaciones provinciales los recursos que se hcija. El Sr. D. Fernando Aguilar , marques de Sta. Ella. propongan para los establecimientos que deban sustituirse 4 los anti- Ocaña. D. Bernardino Vicente Frías, escribano que fue del nú uos, debiendo estos continuar hasta el momento que los nuevos se mero de la villa de Ocaña , y murió en clin abintcstato el 14 de Oc alien en disposición de prestar sus auxilios 4 los necesitados. tubre de io 19 , dejando ocho hijos…</t>
  </si>
  <si>
    <t>Frías, Diego</t>
  </si>
  <si>
    <t>Diego Frías</t>
  </si>
  <si>
    <t>…ndo el resultado de esta acción liber ra magistrados de la audiencia de Puerto- Príncipr, en la isba de duba,tar á los pueblos amenazados de ser presa de los infames que egercen 4 D. Diego Frías, D. Jos-f Eugenio Bernal, D. Jo.ef Et:r’.m, Dontodo género de vejaciones , y ponerlos en el caso de buscar en la Ildefonso Josef Medina y i D. Josef Angel Garrido.tierra un asilo i su maldid. Lo que pongo en conocimiento de V. E. para que lo eleve al de S. M.…</t>
  </si>
  <si>
    <t>Frías, Matías López de</t>
  </si>
  <si>
    <t>Matías López de Frías</t>
  </si>
  <si>
    <t>…ni añadir en el pregón cosa alguna del títu la misma, y ha recaído la «lección por unanimidad en el licenciado lo del libro ó papel, so pene de une multa de cuatro á diez duros, ó D. Matías López de Frías, abogado de los tribunales nacionales y del de un arresto de ocho á veinte diss.” ilustre colegio de esta corte. Y se hace saber al público con el objeto El Sr. Sancho: No se debe permitir pregonar por la calle los pape de que los impresores pasen al dicho fi…</t>
  </si>
  <si>
    <t>…l mismo terremoto. Esta observación la hi temano con la junta. zo Mr. Biot ea el colegio de Francia, plaza de Cambray, donde tiene su habitación. Habiendo denunciado el Sr. fiscal D. Matías López de Frías al Se ANUNCIOS. bos L&gt;. Rodrigo Aranda, alcaide constitucional de esta M. H. villa, el Mercurio de Espada. Diciembre de 1811. Véndese i 4 rs. en el número 9 de la Tercerola , como subversivo y sedicioso, se verificó el despacho de la imprenta Nacional. sorteo…</t>
  </si>
  <si>
    <t>Friat, Matías López de</t>
  </si>
  <si>
    <t>Matías López de Friat</t>
  </si>
  <si>
    <t>…dad en su importante salud.” A la comisión Eclesiástica se pasó una del Sr. Pacheco, sobre que no hay* mas jurisdicción en las iglesias que la de lo* obispos, quedan El Sr. fiscal D. Matías López de Friat denunció al Sr. alcalde consdo abolidas todas las demas. . titucional D. Cayetano Rubio ei núm. ja del papel titulado d ZurnaA la misma otra del Sr. Prat, sobre que se determine el número go como subversivo, por al ningún (esputo con que trata a las Cortea de…</t>
  </si>
  <si>
    <t>Friaza, Manuel</t>
  </si>
  <si>
    <t>Manuel Friaza</t>
  </si>
  <si>
    <t>…tarias del con* ju de Esta Señores que compusieron el jurado: D. Josef Quintero , D. Anto do , conforme á lo prevenido en el art. ■ 7 del cap. j." del reglamen nio Marfa Comieras, D. Manuel Friaza , D- Francesco de Paula Mén to dal mismo consejo. Ramo t'mil. Por los títulos de jueces I.irados ó dez, D. Claudio Boutelou , D. Josef Anitua, D. Manuel del Casti de primen instancia se cobrará un a por 160 sobre el valor i- los llo, 1). Andrés de Monti, D. A…</t>
  </si>
  <si>
    <t>Fricó</t>
  </si>
  <si>
    <t>El Sr. Fricó: La experiencia ha demostrado qu: era indispnsabl- i las Cortes de conocer en el Crédito público con toda ext-csícn , y reformar el reglamento de esta arma; pero para probar que e' que pro sin embargólas Cortes han nombrado una com non que entienda en el pone…</t>
  </si>
  <si>
    <t>Frídrih, Luis de</t>
  </si>
  <si>
    <t>Luis de Frídrih</t>
  </si>
  <si>
    <t>…do que tino trigo, cebada y aun atroz.9 de modo que la causa primera unn ......----- .. ---------- . , nwmAtn. otro origen. Lo que está sucediendo todos los dias confirma esta opi D. Luis de Frídrih, capitán de los egércitos nacionales, y alférez de nión, porque siempre que los aduares y tribus errantes encuentran en la cuarta compañía del batallón provincial del segundo regimiento de guarun cantón la paz y la seguridad, juntamente con lo que les basta ,…</t>
  </si>
  <si>
    <t>Frimont</t>
  </si>
  <si>
    <t>…fu'sen las que gobernasen, y no el poder absoluto ó la voluntad verificar los defensores de los reos de la causa de Cádiz del 10 de Mar de un favorito. Asi pues ha recompensado al general Frimont con el tí zo el cotejo de la acusación fiscal , opinaban que para evitar todo pre tulo de principe de Antrodoco y azo9 ducados. Ademas ha dado al mis. texto de nuevo entorpecimiento en una causa tan interesante á loe ao, al duque de Blacas y al conde de VVibn…</t>
  </si>
  <si>
    <t>…Turin refiere que cl Gabinete austríaco acaba de pasar al de Ña en quienes por habeise Cucado no puede egecutarse. Tampoco es rara !« póles una nota, que ha sido entregada por el general Frimont en perso condena de 1 3 , de 10 y aun de 30 años d pr s-ion! T .mbi-n ocupan na V que da el mayr.r cuidado. Parece que se prepara por ella la pró muchas páginas de los per odíeos :.•» relacione» sobre ¡. s qu: liarhan la xima salida de todas las tropas austrí…</t>
  </si>
  <si>
    <t>…rá en Siilistria. Ño es fácil formar idea del »r,J rr.'.rto de los genízaroa, de los soldados, y en general de tojos ios o; o muios, *Si «» cierto (y esto parece indudable) que el general Frimont ha están deseando con viva* ansias venir i las manos, r seria va rr.uv didado tardías quejas sobre este particular, y aun que ha escrito al Rey ficíl, y aun arriesgado, hablarles de concesiones, dé composición'y da paa.”en término» categórico» , no seri tal v…</t>
  </si>
  <si>
    <t>FriSe</t>
  </si>
  <si>
    <t>…te discutido, quedó aprobada la exceptuado en la uno ttia. (Víate ¿a^rta Je a- dr O.tutreJ Nos» tra partida duodécima. ta de disminuir ias tropas austríacas que hay en N po.es. El general FriSe m*nd’&gt; pasar á la comisión di Htcienda una a-licon del Sr. Me- moni irá al y,or.greso. lend'i a .a partida prim-ra para qu- s- rectifique a cantidad de toj'i Estados roirue..;. Ademas del cardenal Spina y de Monseñor Máz reales que en ella se seña an , ' se d…</t>
  </si>
  <si>
    <t>Frontín</t>
  </si>
  <si>
    <t>…los dias mis mos que la perfidia osó ¡multar nuestras lib rtades en esi capital del VARIEDADES. r-ino nos hubiera permitido volar i vuestras fi’as , no porque vuestro Noticia Ael doctor Frontín, tirano Ael Paragüey. valor n-c-titase de otro auxilio en el combate , uno para partir con vosotros las fatigas, y gozar del placer de abracaros en ai triunfo ; p:ro Apena* pueden compararse las facciones que destrozaron la anticontad siempre con nuestra deci…</t>
  </si>
  <si>
    <t>Frontín, Josef Villar</t>
  </si>
  <si>
    <t>Josef Villar Frontín</t>
  </si>
  <si>
    <t>…la escribanía de Cámara «leí careo de D. Juta Antonio Aimazan, á fin de hacerle saber el traslado que se le ba con VARIEDADES. ferido del alegato de mejora presentado por parte de D. Josef Villar Frontín del auto que proveyó el Sr. D. Angel Fernandez de los Ríos, Concluye el artículo de ayer. juez de primera instancia en esta corte, de que se interpuso apelados, El mundo civilizado no olvidará nunca la época de la axpedicioB recibiendo 4 prueba la causa en qu…</t>
  </si>
  <si>
    <t>Frrrer</t>
  </si>
  <si>
    <t>…dir el dia 1 ■ del que rige y siguientes , de 10 á yan arribado en el mes de Octubre gocen de la misma gracia. una de la mañana, 4 recoger renovados los que resultan corrientes El Sr. Frrrer (D. Joaquín) : El plazo de un año que se establece es con arreglo al decreto de las Cortes de ap de Junio de cate año, en suficiente para una parte de America; pero no asi para las costas del tregando los respectivos resguardo». Perú y Cibo de Hornos. En las…</t>
  </si>
  <si>
    <t>Fruncí</t>
  </si>
  <si>
    <t>…o salieron algunas tropas al man » En esta refriega no tuvimos ningún muerto, y sí tris heridos, qtro do d'-d coronel Muso, y se batieron con los facciosas, que eran en bas fueron D. Fruncí co Riba s, empleado en la intendencia de esta pro tante número, y se han hecho fuertes 4 la otra parte del rio Es preciso vincia, D. N. Losada, médico, y D. Aniceto Alfonso, oficial de la que !a espada de la justicia descargue de una vrz sus go'pes so^re esto…</t>
  </si>
  <si>
    <t>Fruto</t>
  </si>
  <si>
    <t>…á sus so Munich ( Batiera 9 de Mayo. licitudes. Aprobado. Nuestra Constitución va desenvolviéndose á pasos lento* , pero segu La de Legisiac.on, informando sobre la exposición de D. Fruto* ios. La mayor parte di nuestros ministros , afectos i ios principios cons Alvaro, vecino de esta corte, que soucitaba pcim.ao para administrar titucionales, ti glorían de satisfacer lo* votos de la nac.on y del stgio; tus bienes, opinaba que debía acciirrse…</t>
  </si>
  <si>
    <t>Frutos, Agailiu</t>
  </si>
  <si>
    <t>Agailiu Frutos</t>
  </si>
  <si>
    <t>…o de i8r «i D. Luis Sorel*. bién han solicitado, por razón de que tiene á su cargo la dirección de la enseñanza de lastre* facultades de curar; por la misma razón habría Los Srea. D. Agailiu Frutos y D. Agustín Josef Mestre, cirujano también de intervenir en loa exámenes y demas de los que egerzan la* y boticario mayo» del Rey, é individuos del tribunal del protomedica- ciencia* eclesiástica*, morales, política*, y aun lo* ramos científicos mi lo , estimulados del deseo de que n…</t>
  </si>
  <si>
    <t>Fs'có</t>
  </si>
  <si>
    <t>…ués conti clusivamente, á lo menos con la posible preferencia, se ocupe de ellos núe su discurso el Sr. Meló. el Congreso, y se logren todas las ventajas que él mismo se ba pro El Sr. Fs'có: Estoy muy lejos de reprobar absolutamente las so puesto al votar el mes de próroga.” ciedades patrióticas, donde se ilustran los ciudadanos, y se discuten Después de una ligera discusión quedó aprobada. materias políticas, porque considero esto de mucha util…</t>
  </si>
  <si>
    <t>Fscoredo</t>
  </si>
  <si>
    <t>…Sres. Blake El sr. Alix : El dictamen de la comisión contiene des partes: en la )’ Taboada, uno el Sr. Rodrigo y otro el Sr. Marchámalo. Tota! 85. primera dice que los poderes del Sr. Fscoredo están arreciados á .a t.or.sEn la décima fue elegido el Sr. Pumarcjn por 68 vote» de 8* , re lifuc on , v p -r I 1 m smo deben aprobarse: y en la secunda min fie.!* partiéndose los testantes cu esta forma; 8 el Sr. Vulaboa, 4 el señor a.¿unas iludas sebre si…</t>
  </si>
  <si>
    <t>Fslcbanez, Euscbio</t>
  </si>
  <si>
    <t>Euscbio Fslcbanez</t>
  </si>
  <si>
    <t>…spen D. Manuel Cataban, D Manuel Josef Calzado, D. Manuel Cruzado, saron rl tiempo de servicio con Real despacho que le falt-.ba para po D. Jos tí Castro , D. Francisco Capdevila, D. Euscbio Fslcbanez, Don der obtener la gracia de hábito en la orden de Santiago, bajo el con Francisco Antonio Este vez, D. Andrés Fulgencio Blanco, D. Josef cepto de que pusiese en tesorería general lo* citados too® reales. Y no Gitpcrt, D. Pío Guas, D. Manuel Heredia , D. Fel…</t>
  </si>
  <si>
    <t>Fspinosa</t>
  </si>
  <si>
    <t>…Migucl Lcpcz de Baños—Viloiia 27 de beza, y no descansará un instante vuestro general y compañero da arJulio de 18a 1.” massCários Espinota.=Vitoria 27 de Julio iS».” Proclama dtl general Fspinosa. Madrid Viernes a de slroito. Mil itires del distrito: m Nombrado por 5. M. para suceder en el mando de este valiente • S$. 11M. y A A. continúan sin novedad en mi importante salud.” egército á vuestro dignísimo caudillo López Bsños, conocí la insufi ciencia…</t>
  </si>
  <si>
    <t>FTanc</t>
  </si>
  <si>
    <t>…sefa’a. Por el preséntese cita , llama y emplaza á todos los que se con Las principales noticias recibidas hoy por tos peri/sd’co» extranjero* ceptúen con derecho á los bienes de D. FTanc:sco Catdeñcs, ausente da #* r-duc n á lo siguient.: Las negociaciones con Turquía están Ccmo esta corte, vecino que ha sido de ella, á fin de que se personalicen «n ae halaban en 1 3 de Mayo: e! di van piomet. de palabra evacuar los prin el juzgado del Sr. D.…</t>
  </si>
  <si>
    <t>Ftancisa</t>
  </si>
  <si>
    <t>…ón de entregas diariamente se dará aviso en los periódicos. apercibimiento de que pasado sin haber comparecido, se procederá fi declarar libres lo* bienes de sus dotaciones, y que Doña Ftancisa de ln El lúnes 15 del corriente te pagará en la casa nacional de moneda de Fuente, actual poseedora, puede disponer de ellos como tales. diez á dos de la tarde á los sugetos que hayan presentado medios luisea Por el juzgado del Sr. D. Angel Fernandez de los R…</t>
  </si>
  <si>
    <t>Ftliu, Ramón</t>
  </si>
  <si>
    <t>Ramón Ftliu</t>
  </si>
  <si>
    <t>…iliciano* armados del segundo batallón, que Está rubricado de U Real manoSsEn Palacio á 6 de Enero de i8ai.s promovieron al alboroto á tocar generala, ¿ qne se negó con firmeza, A D. Ramón Ftliu. sin que aus órdenes y persuasiones ni la* de vario* oficiales lograran hacerlos retirar del acto, que interrumpieron, y se celebraba de orden Don Fernando vn por la gracia de Dio* / por la Constitución de del gefe político. Este, á consecuencia de haber sido…</t>
  </si>
  <si>
    <t>Ftorez, Carlos</t>
  </si>
  <si>
    <t>Carlos Ftorez</t>
  </si>
  <si>
    <t>…trito militar. ( VaUadol id ).__Entre Cabrales de Abajo y ro no estoy exactamente informado; pero pasan seguramente de 50 a rto. Vitlastr han sido cogidos los cabecillas Carceda y D. Carlos Ftorez, y Los facciosos habían llegado aquí á las dot de la tarde, y habían exigido entraron presos en Oviedo el dia 8. En Astúriss parece suceder lo con 300 raciones, que no han tenido t.cmpo de recoger. Esta sorpresa prueba tarlo que eo otras provincias; los gefes…</t>
  </si>
  <si>
    <t>Ftr</t>
  </si>
  <si>
    <t>…allería cuatio horas después de haber salido caita. Véndese en las librerías de Kodrigu'z y Matute. sus úit mas pvtidas. Vota. En la gaceta de&lt; a* , col. 4/ , lin. 17 , donde dita D. Ftr» La uopa que llegó á las nueve de la noche estaba fatigadísima, min E.cultero, léasa D, Fernando Escudero. EN LA IMrRENTA NACIONAL.</t>
  </si>
  <si>
    <t>Ftrnandez</t>
  </si>
  <si>
    <t>…a: Cuando Se discutió este artículo la primera vez maf necesidad de decir mps' fuo lo que el artículo ekprcsa. opuse á su aprobación, y la experiencia ha manifestado que es muy El Sr. Ftrnandez insistió en que debía aclararse este artículo, pre- suave la pena prefijada para impedir lot mala que pueden producir el fjando lo que debía hacer el curx ó prelado que presidiese. abuso, de lot sarcasmos. En buen hora que sea cierto que la lectura por . El S…</t>
  </si>
  <si>
    <t>Ftskitie</t>
  </si>
  <si>
    <t>…e Esta sesión se ocupó toda en di, ut.r y aprobar a'gjnos art cu'c» gunda ‘cctura d- aquí á ties iiiw„s del proyecto Je Cunsi.tuc c a que hab &lt;sn vu;.tu á la comisi. n , y e ;a K&lt; lord Ftskitie : I) sde que a¡ iiü quí excluye i Ls católicos se la los prc»eiitaba enmendacos. di í fu iza de 1 y en if&gt;"d s; ha demostrado claram nte que les hechos I.irm de! 4. qu * s a « garon pira tístabiec.'rlo no cx.stieron jamas Hi perjurio de Pi En esta sesión se d…</t>
  </si>
  <si>
    <t>Fu</t>
  </si>
  <si>
    <t>…ncerse de libertad cayó en Aragón a impulsos del despotismo , cayo también pr - que las Cortes pueden entender en todo lo concerniente al Crédito'pú mero la m ¡¡cia nacional; y ei Sr. Fu c recordará también que en el blico, pero de ninguna manera en la dirección de la milicia nacional; año 14, cuan 10 se dió el reglamento a esta arma, fue en lo» último» y seguramente no hay una sola palabra en la Const.tueiun que de á las dias, y cuando estib…</t>
  </si>
  <si>
    <t>Fuen, Julián de</t>
  </si>
  <si>
    <t>Julián de Fuen</t>
  </si>
  <si>
    <t>…de los brea. D. Francisco Barra , D. Josef Demetrio Rodríguez, cesidad ; y que por el contrario deben hacer lo posible por abstenerse D. Matías Casero, D. Joaquín Huerta Ccvallo», D. Julián de Fuen de elle. Ñu sno Gabinete ha seguido este cuerdo parecer, peto cierta tes, D. Bernardo Asenjo, marques de Torrenueva, D. Angel Bonalcorte ha maniLstado una opimon enteramente opu sta, la cual dicen toy D. Andrea Navarro; y habida la conferencia que previene la…</t>
  </si>
  <si>
    <t>Fuen, Sebastian García de</t>
  </si>
  <si>
    <t>Sebastian García de Fuen</t>
  </si>
  <si>
    <t>…quier oficio; pero sí creo cho á los bienes de la cap-llanía y patronato pisivo de familia, fundadomuy fundadjs las demas ob*ei raciones qu: ha hecho S. S. Por este me por el Lie. D. Sebastian García de Fuen labrad» , presbítero, 4 que nt»dio se pai de.en efecto alarmar á un pu blo , \ produce mayor efecto agr -gado el Real de legos que fundaron Gabrí *1 G¿rcía d* Fuen¡i*'ri^iupo de estos pápete^ en el pn b'O que no los de otra clase; si ae de|a el y Agustín* Fer…</t>
  </si>
  <si>
    <t>Fuenmayorj, Pedro</t>
  </si>
  <si>
    <t>Pedro Fuenmayorj</t>
  </si>
  <si>
    <t>…consiguió que abandonasen el fuerte de res D. Claudio Boutelou, D. Josef Nostench , D. Mariano Joaquin di Varaivedc y su Península. En seguida dirigió su marche sobre Coro, Cosío, D. Pedro Fuenmayorj D. Francisco Javier Perez, D. Leandro en donde se le reunieron 400 bombees da fiaguerrillas, 4 quienes ar Pallares, D. Josef Anima, D. Vicente Martines Gómez , D. Anto mó con los fusiles que 4 prevención sacó da Puerto-Cabello, con loe nio María Guillen, D. Antonio de Quesada , D. Jos…</t>
  </si>
  <si>
    <t>Fuent.s, Julián de</t>
  </si>
  <si>
    <t>Julián de Fuent.s</t>
  </si>
  <si>
    <t>…el tercero intercalar (qo* a mero, D. Marcos Izquierdo , D. Mamerto de Landaburu, D. Josef de •1 original del autor ) «n la librería de Cruz. han M.llan, D. Jo,ef Gómez Albacete, D. Julián de Fuent.s, Dea ANUNCIOS. Francisco Martínez Marina, D. Gonzalo Cárdenas y D. Matías Pini- Por providencia del Sr. D. Angel Fernandez de los Ríos , juez le. 11a, se tuvn la conferencia, y resultó haber lugar 4 la formación de trado de primera instancia de esta Ad. il. v…</t>
  </si>
  <si>
    <t>Fuente</t>
  </si>
  <si>
    <t>…no soío se docr.trrJ.i' de apoyar este c:cta:s-.er. , s;:.o b ico á :o r- su' to en el artículo anterior. que íc peo ca ci verti-dero camino que debía s-.gv.ir ; tr.an.iestando El Sr. Fuente dei Rio : Fundándome en los mismos arts. 8 y 16 que esta gracia no se prd.a hacer ext. n.s.va a mas personas q .c las qetf del d.-creto de &gt;9 de Junio que cita la comisión en su dictamen , digo se c tabal: en el decr.to de 2y de Jen,.'. La comiso n habiendo e…</t>
  </si>
  <si>
    <t>Fuente, Juan de</t>
  </si>
  <si>
    <t>Juan de Fuente</t>
  </si>
  <si>
    <t>…y disuadirlo» de su deplorable Esta providencia te ha dado por la escribanía mayor de dicho tribunal error; y en seguida marché con un escuadrón de Almansa y otro del fi cargo de D. Juan de Fuente. Príncipe en persecución de los fugitivos, regresando fi esta capital des Lo* que te crean con derecho á la posesión de los bienes de la do pués de haber hecho vario* prisioneros, y de dar orden al coronel Don tación de la administración fundada por D. Bernar…</t>
  </si>
  <si>
    <t>Fuentes, Juan de</t>
  </si>
  <si>
    <t>Juan de Fuentes</t>
  </si>
  <si>
    <t>…ón , cntrejáodol* al m amo tiempo un Por providencia del tribunal nacional de comercio de Cádiz, redanto, ya en término* muy honorífico* prohíba á todo baqua ruso por el escribano D. Juan de Fuentes el 16 del corriente en aproximarte en adelante i la» costas japonesas. Se ve paca que esta na •tju» nóm. ató del ate pasado de 1796, que son de concurso de acreeción ct tan enemiga da variar sus reglamento» y sus leyes, como la dcftm ó ia casa que tituló Pard…</t>
  </si>
  <si>
    <t>…e de resortes: el pertido En el tribunal del consulado nacional de comercio de Cádiz , y por ant,-español, que debe i esta Nación la dicha de haber vuelto¿ tus ho la escribanía de D. Juan de Fuentes, teniente de escribano mayor siu gares, y de ver restablecido el trono de loa Borbolles, no deja pie dicho tribunal, penden ios autos núm. ató del afio pasado de 1796 co dra pnr mover con el intento de desacreditar al Gobierno de la Pe- mo concurso de acreedo…</t>
  </si>
  <si>
    <t>Fuentes, Julián de</t>
  </si>
  <si>
    <t>Julián de Fuentes</t>
  </si>
  <si>
    <t>…a para afianzar nuestra naciente Señores que fueron de opinión contraria: Marques de Cusano, Don libertad, oponiendo un muro de bronce contra los golpes del fiero Antonio Alcázar, D. Julián de Fuentes y D. Juan I.uque. despotismo; y si bien tuvimos la dicha nosotros de combatir en defensa de tan precioso objeto al lado del bravo batallón de la Constitución en En la villa de Alcocer, provincia de Guadalajara , distante una le la ciudad de Montilla el dia 30 de Junio con…</t>
  </si>
  <si>
    <t>…dra, diputado secretario. Reunido el jurado, compuesto de los Sr-s. D. Valentín de Nicolar, Por unto mandamos a todos los tribunales, justicias, gafes, gober D. Joaquín Lumbreras, D. Julián de Fuentes, D- Valentín Recio, nadores y demts autoridades, asi civiles como militares y eclesiásticas D. Jatn Antonio López, D. Matías Casero, D. Josef Casulla , Don de cualqu'.-n ciase y dignidad, que guarden y hagan guardar, cumpór Gregorio Mndivil y D. Simón Gonzále…</t>
  </si>
  <si>
    <t>…dinero.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Mes de Setiembre de iSea. lificaron con ln fórmula de absuelto la carta contenida en el Diario Acta del arqueo…</t>
  </si>
  <si>
    <t>Fuentes, Pedro</t>
  </si>
  <si>
    <t>Pedro Fuentes</t>
  </si>
  <si>
    <t>…studios para que la resolviese con arreglo á los A la comisión de Hacienda se mandó pasar nn proyecto, presenta arta. 7 y 8 del reglamento de instrucción pública. Aprobado. do por D. Pedro Fuentes, «obre reducir á moneda el metal campanil. Se presentó nn dictamen de la comisión de Marina sob-c el modo A la de Casos de responsabilidad se mandaron pisar una exposición de hacer las liquidaciones de tus alcances á los individuos de It arma de varios indivi…</t>
  </si>
  <si>
    <t>Fuertes, Ignacio</t>
  </si>
  <si>
    <t>Ignacio Fuertes</t>
  </si>
  <si>
    <t>…a sol.citen lo» contraiantis. bico y ropas, 50 best-asy 7a escop tas y trabucos. El capitán del res &gt;• F.stas certificaciones de rentas expresar n clara y d&gt;st nramcr.lí ¡a guarda D. Ignacio Fuertes estuvo allí con su partida y los locales de cantidad, los cambios, y las época» m qu d Sen »^r pacact-s en ceda esta villa; hoy salen las cargas para esa, y yo con la columna de mi una de la» tres plazas, asi como el tordo e.-t .1 . *0 2 la amort cae; n mando…</t>
  </si>
  <si>
    <t>Fuertes, Tomas Linacero y</t>
  </si>
  <si>
    <t>Tomas Linacero y Fuertes</t>
  </si>
  <si>
    <t>…el decreto de 13 de Marzo no tuada en concepto de memorias, á los cuales salieron pretendiendo comprende á los empleados de magistraturas y togados de primera ins derecho el Lie. D. Tomas Linacero y Fuertes, clérigo de menores en tancia.” asta corte , como capellán cumplidor de la memoria de misas que fundó Se verificó la segunda lectura del dictamen de la comisión Especial Dofia Isabel Gómez, viuda de Sebastian Ruiz, y Doña Isabel Anto encargada de informar á l…</t>
  </si>
  <si>
    <t>Fuga, Josef María Suarez de</t>
  </si>
  <si>
    <t>Josef María Suarez de Fuga</t>
  </si>
  <si>
    <t>…bien de estos extraños su Taboada: para el de Riradavia á D. Jaccbo Mas Villafuerte; y para cesos ; pero en casos como esto» nunca se sabe por el pronto la verdad el ds Monforte á D. Josef María Suarez de Fuga. pura. Todos convienen en que á petar de la agitación inevitable en se Se previene á los interesados que dentro del preciso término di ig mejantes acontecimientos, no se alteró la tranquilidad pública. Un su- días acudan á la secretaría del consejo de Estado…</t>
  </si>
  <si>
    <t>Fun, Pedro</t>
  </si>
  <si>
    <t>Pedro Fun</t>
  </si>
  <si>
    <t>…ine as de Andamela, Galicia y Valencia Srrs. que a mpusuron el jurado: 1). Josef de Calderón, D. Josef 1.206,991 rs. y 10 mrs. Ort-ga (.acedo, D. Jo'ef Mm- , J). Guillermo O.¡ver, D. Pedro Fun i'cinnes. Rainbad, I&gt;. Francisco Ignacio Pelleja, !&gt;. Ios-f Franc seo Hijar, Para atender 4 los gaito* de tundiciones, maestranzas y parques da D. 1 -liu Rinz de Fortín: y D. Ramón Fel-u. Iodos, á excepción d«l artillería 1..000,000 rs. úit'mo , fueron de la…</t>
  </si>
  <si>
    <t>Funes, Manuel</t>
  </si>
  <si>
    <t>Manuel Funes</t>
  </si>
  <si>
    <t>…a, que el dis anterior habia fondeado en el mis ARTICULO DE OFICIO. mo, procedente del de Cádiz, la corbeta de guerra Aretusa, al mando deí teniente de navio de la armada nacional D. Manuel Funes , con el Circular del ministerio de Hacienda. objeto de hacer en dicho buque algunas pequefias, obras pan continuar Por el art. ■ t del decreto de las Cortes de 17 de Junio último se tu comisión. dispone que los títulos de todos los empleados p.bicos, excepto…</t>
  </si>
  <si>
    <t>Fuster, Josef</t>
  </si>
  <si>
    <t>Josef Fuster</t>
  </si>
  <si>
    <t>…de Juan Mattinez de Rojas, á 5 de SetiemRniz de Navamuel, D. Josef Fernandez Guerra, D. Josef Díaz de Ri« bre de la era 1414» año 1376—«Otro «le la confirmación de un juro de baa, D. Josef Fuster y D. Pedro Manuel Velluti. 50 cargas de pan y 500 mrs. i favor de D. Juan de Rojas, marques de Poza, por el privilegio en favor de su abuelo Sancho de Rojas, en 18 En la ciudad de Granada reunido* los jueces de hecho en ¡Arado de de Diciembre de 1488__Otro de un juro de 17,314 ron. so…</t>
  </si>
  <si>
    <t>Fuster, Pedro</t>
  </si>
  <si>
    <t>Pedro Fuster</t>
  </si>
  <si>
    <t>…de la Azuela, haber lugar á formación ele causa contra el autor del artículo comunicado inserto en ei periódico titulado el Gorro, nútin Campos, de Madrid; par» !•» de Valencia á D. Pedro Fuster, mero too, firmado por » un buen español ,” y denunciado como injuabogado de Albalá de Pardines; para las de Cata uña i D. Vicenta del Hierro, abogado de Madrid; para las de Cáceles a D. Andrés Ma rioso al batallón de la M. N. V. de dicLa plaza. ría Alférez,…</t>
  </si>
  <si>
    <t>Fustes, Josef Fernandez Guerra y D- Jotef</t>
  </si>
  <si>
    <t>Josef Fernandez Guerra y D- Jotef Fustes</t>
  </si>
  <si>
    <t>…ba si faccioso Ramb a), seis fusi man , el conde de la Purb'a , D. Josef L-nares , D. Manuel Mariano les, 34 escopetas, seis sib' s y todos los bagages con v,reres; púdico* Doral, D. Josef Fernandez Guerra y D- Jotef Fustes. do aseguras- que si no hub&gt;era sido por la oscuridad de is noche , hu Sres. que d-clararon no haber lugar: D. Manuel Pareja, D. Josef bieran'quedado lodos prisioneros, sin qus de nuestra parte hubiese la dcSandorat y D Josef Lop¡z de Artibe. menor pérdida. H…</t>
  </si>
  <si>
    <t>Futrir, Jo.quta</t>
  </si>
  <si>
    <t>Jo.quta Futrir</t>
  </si>
  <si>
    <t>…en. La comisión de Hacienda, en vista del expediente promovido por que por e. art. tri de la coi-stitucinn, -a primera f cuitad que se i« D. Francisco López del Baño, apoderado de D. Jo.quta Futrir* de concede al Rey e» la de cv&gt; dir lo» d.crrtns, r-rlim wos e it-s iu.cioAimeida, vecino de Lisboa, sobre que se hiciese efectivo el pago de nes que ere* conducentes para la eg&lt;. ucú-n de as 'eve» , v una délas unas letras libradas desde Rio-Jantiro contra l…</t>
  </si>
  <si>
    <t>Fw</t>
  </si>
  <si>
    <t>…Pavía D. Antonio Baiges, á de los montes de Achorrocb. quien como noticié ayer á V. S. comisioné para proteger el paso del __Por carta particular d¿ Vitoria del 16 se sabe que el coronel Fw* correo, y contener las insolencias de los facciosos, me ha dado hoy ntidtr ha derrotado en Navarra otra cuadrilla de facciosos » de ios cua~ por la mañana desde los Monchos el parte que inserto á V. S. les mulleron 43 , y quedaron prisioneros a/» n En cumpli…</t>
  </si>
  <si>
    <t>F’rinc</t>
  </si>
  <si>
    <t>…se nido á aum- ntar el número de las importantes ventajas conseguidas en imprima, puhi que y circule. = ta rubricado de la Real mano.=A poco tiempo por .as armas const.tu.lonaies. D. F’rinc -i" L ircul.i* Jr .',» Diré te :urt rrneral Jr ¿Juanas y rrj ruar.ios. Lo mas sustancial de las noticias extranjeras recibidas hoy «e reduce Por zi m m t: .0 d, il Ci-n ¡a cen íe»oa 18 de, a luz; se me h» á lo q ie sigue : El Congreso sen solemnísimo, por el…</t>
  </si>
  <si>
    <t>G, Antonio</t>
  </si>
  <si>
    <t>Antonio G</t>
  </si>
  <si>
    <t>…nde» quedar sobre la mesa el dictamen de la com'von de Ca mezclarlos con los verdaderos amantes de la libertad! Al contrario, es sos de responsabilidad acerca de la queja dada por D. Antonio G¡li darles armas para conseguir su intento el mostrar injusticia, y desaten ra 1 , alca de constitucional de Valencia, contra el gefe pol tico D. Joder á los mas eminentes patriotas. Es preciso decir esto á S- M-, y pe sef Plasencia, por haberle suspendido en…</t>
  </si>
  <si>
    <t>…inteiino; En seguida sr leyó dicho d.ctamen de la comisión de Casos de y repito que esto prueba demasiado, porque en cuanto á lo primero lo responsabilidad sobre la queja dada por D. Antonio G ppini, dueño mismo puede verificarse respecto de un alcalde,y en cuanto á lo segun del café de la Fontana de Oro, contra el grfe po.ítico de Madrid por do el Gobierno sabrá á que juez elige para despachar interinamente el sus proced miemos contra dicho G ppin…</t>
  </si>
  <si>
    <t>…cuanto se para hoy * y si había tiempo el d clamen de la com s;on de Ca,os de ha manifestado en la dúcusion de este negocio procure transigir con responsabilidad sobre la quija de D. Antonio G pp;ni contra el ¿efe dicha casa del mejor modo posible , y dando cuenta i las Corles de todo. político de Madrid; y asimismo d'jo que esta noche habría sesión a as El Sr. Ferrer dijo que no había egemplar que pudiese autorizar el ocho y media para discutir el…</t>
  </si>
  <si>
    <t>…con mol vo de su exoneración, é la expresada solicitud Aprobado. manifestaba m -u honor haba quenado vulnerado , sin que á pesar de La misma comisión, en vista de la exposición de D. Antonio G tr su« re terada, r.stancas se ¡e hubiese querido oir en ¡ust.c a; por todo ío, profesor de lengua inglesa en el Ateneo español, so'tcitanno qu.’ rn lo cual pe ti* que dicha txposíc oa pasase i la comisión de Ca-os de rtsvirtud de sus servicios y pad cimiento…</t>
  </si>
  <si>
    <t>G, Jorge</t>
  </si>
  <si>
    <t>Jorge G</t>
  </si>
  <si>
    <t>…cias. T 2.89t .90;— 23 Precitada en las provincias. Rs.vn. 1899.737,9i3-M¿ Tora!. R*. vn. 1869.721,62 i-i-í Total. Madrid 15 de Julio de 1822.^ Aranalde» Por renuncia que ha hecho D. Jorge G iben hxqu*dido vacante al de E*t*l!a, en ta prov'ncia de N-r-am», y et admiten tn-mnrialei la judicatura del partido d- Alcoa , en la provincia de Jaiva, y se ad d* pr t-nd .entes por termino de 3 1 J..&lt; en 1* ver ta-ja ti-. («oírte da mitan memorial*» de pre…</t>
  </si>
  <si>
    <t>G, Josef María</t>
  </si>
  <si>
    <t>Josef María G</t>
  </si>
  <si>
    <t>…ntamiento de S gavia, en que se do no presentase e¡ oportuno testimonio ApobaJ-&gt;. quejaba del repartimiento de la contribución territorial. La comisión Otro sobre la exposición de D. Josef María G&lt;n.z, Colegial del opinaba que este expediente pasase al Gobierno para los efectos conve Imperial de S. Miguel de Granada, para que se le habú re ur&gt; curso de nientes. Aprobado. estudio de derecho canónico. La com.sion opín.ba que d-b a p.;?a- a la Otro sobre…</t>
  </si>
  <si>
    <t>G, Ju'ian</t>
  </si>
  <si>
    <t>Ju'ian G</t>
  </si>
  <si>
    <t>…istas y en cuantas reuniones se ve D. Pedro Nolasco Sevillano. rifiquen de tambores , cornetas , pífanos ó trompetas ; inspeccionará si Eti Valencia la de Gandía, por d'tnis-on de D. Ju'ian G»ol-ta. se i-alian con la compostura y aseo correspondiente , sin llevar prenda fie adin ten memoriales para cada una de estas plazas, aonq.ar.ados alguna que no tea de su vestuario, como si eslan los instrumentos en de un rg-mpiar del extracto de nitritos de!…</t>
  </si>
  <si>
    <t>G, Melchor</t>
  </si>
  <si>
    <t>Melchor G</t>
  </si>
  <si>
    <t>…sores, cuyo valor se rcbij» en A'mería administrador D- Francisco Gal.chino , que lo es da un pais extranjero: enemigos domésticos formidables ot acometieron , y Jaén. Interventor D. Melchor G*'«rá , cesante de rentas. la tiaicion concebía tal vz y preparaba fuerzas exrjrminadcras. ¡Qus Ja¡n a:mmist-Ador D. Antón o Va dés, administrador de Baza. impavidez: qué sublime patrict'imo: qué ardor y disciplina marcial no Interventor D. Manuel García, prim…</t>
  </si>
  <si>
    <t>G, Pedro</t>
  </si>
  <si>
    <t>Pedro G</t>
  </si>
  <si>
    <t>…aitolomé Mascareñas, parada al Gobierno de ce to de la rifa. Aprobado. den de las Cortes, manifestando que el conseto de Estado era de dicta La misma, en v.sta d- la exposición de D. Pedro G raud para men que el Gobierno no se hallaba con facultades pi i co ocarie en que se le permita ta introducción d: uva barrí.a d- borrj para su fá la prebenda eclesiástica que solicitaba; pero que $. M. ie cota deraba brica de papties píntalo., opoubi qu- p id…</t>
  </si>
  <si>
    <t>G, Ramón</t>
  </si>
  <si>
    <t>Ramón G</t>
  </si>
  <si>
    <t>…nos, una escuela, derados concurran al nombramiento del nuevo vocal i la casa ha su dotación aaoo rs. id—Hoya Gonzalo: ato vecinos, una escuela, bitación del comisionado -especial D. Ramón G¡1 Couder &lt;1 día 18 su dotación 1650 rs. id Fuente-Alamo: 287 vecinos, una escuela, del corriente y hora de las 10 de tu mañana ; en la inteligencia de su dotación a200 rs. id__ La Babra: 287 vecinos, una escuela, su que si se reuniesen solo doce ex-partícipes…</t>
  </si>
  <si>
    <t>G, Riruon</t>
  </si>
  <si>
    <t>Riruon G</t>
  </si>
  <si>
    <t>…taban por e' s st ma, arrebataban a 'a mure d.l comind-jr.ts pasado el cual y no cumplí ndo, se tendrán dichos d st:not mdcfr.t'D. Manu ’ Morentrn . y á la h-uriana :e! vo.untar o D. Riruon G r- blem-ht: por vacantes: que se encargue í los intcnd ntes qu- bajo la barO, y robaban la» casas : p ro oportunamente se pre. uto en la&gt; a.tu- mas estre.hi responsabilidad dup.iqcrn su vigilancia sobre los emp't ans de Sta. Qu Icela '» columna de la mil.cta…</t>
  </si>
  <si>
    <t>G, Vicente Antonio</t>
  </si>
  <si>
    <t>Vicente Antonio G</t>
  </si>
  <si>
    <t>…personalzan , y que evite se repitan las funestas convulsiones como la ocurrida mente ó por medio de apoderado para el t.° de Mayo próximo ante elen Valencia. comisionado especial D. Vicente Antonio G.rcía del Valí*, con el Admitida á discusión quedó aprobada. Objeto de nombrar la junta de partícipes legos que se crea por dicho ar Se dió cuenta del oficio del Gobierno, en que participaba que tículo i,° del referido decreto.SS MU. y A A. continu an con buena…</t>
  </si>
  <si>
    <t>G-imee, Jowf</t>
  </si>
  <si>
    <t>Jowf G-imee</t>
  </si>
  <si>
    <t>…Ciulern.n ion de la Península. i*.;i bu virtud sí reurnó e. jurado,compuesto ¿i ios señores *¡rt: r Distando el R:y dar á las fábricas de armas de la Nación al fo D. Rafaíj Cjii»! D. Jowf G-imee .W-xictu, D. Zo&lt;IoGofn-e Óí-^'o, mento y protección qua s?an comostibiai con las circunstancias ac- O Andrés Aicon , U. Juan í^.rtés» ÍJ. Marco» I¿-¿u:;rd 11 1&gt;. d-i.G ec l-¡'iies,be ha servido mandar S. M. que los gef;» político» empleen, González da Campo,…</t>
  </si>
  <si>
    <t>G-liano</t>
  </si>
  <si>
    <t>…s da eiiat en el pnm-r caso no pueden s.-r t. mediados en el momento, y res se quinase al frente de banderas: cosa seguramente culpable; pero que pecto dei segundo ha confesado el Sr. G-liano que se ha corregido bastan recuerdan á los Gobiernos cuanto ota! hacen cuando chocan con la opi te en el nombramiento de los jueces, y la misma comisión h» v stoque nión pública. no hay motivos par* hacer cargo alguno al actual secretario de este ra Fundido p…</t>
  </si>
  <si>
    <t>G., A. Z.</t>
  </si>
  <si>
    <t>A. Z. G.</t>
  </si>
  <si>
    <t>…ra el de ducida de la quinta edición del francés a\ castellano, aumentada por Mondoñedo 4 D- Henrique Posada: para al de Lugo 4 D- Bartolomé el autor y adicionaba por el traductor D. A. Z. G. Los suscriptos» García Terrón: para el de Betanzos 4 D. Pedro González Nadela: para acudirán i recoger el tomo a.u 4 las librerías de la viuda de Quirogt el de Tuy 4 D. Josef Rivera y Gil: para el de Santiago 4 D. Bles Olo y de Sanz , donde se bailarán juegos com…</t>
  </si>
  <si>
    <t>Ga</t>
  </si>
  <si>
    <t>…otra robre el mismo asunto. Por lo que hace á lo demas Se leyó la siguiente proposición del Sr. Buey por primera vez: debo decir que pata mí ton muy respetables las opiniones del Sr. Ga» En vista de la denegación de S. M. á sancionar el decreto de 7 de reli, aunque no estamos conformes en ellas. Respecto de la proposición Junio sobre exhibición de los títulos ptimordiales de señoríos, y para soy de parecer que no se apruebe, mediante á que h…</t>
  </si>
  <si>
    <t>…expresan. Fn seguida se aprobó el dictamen de la comisión. A I* de Diputación» provine.ales con uriincia una AI Sr Mura, La misma comisión en vista de la instancia da la vioda de D. Ga sobre que se establ zea un juzgado de primera instancia en Si* Cruz briel Zúfiiga i oficial del egército , pidiendo se la concediese una pen de Tenerife. sión, opinaba que no se debía acceder 4 esta solicitad. Aprobado. A la de Hacienda dos de los Sres. Rom y…</t>
  </si>
  <si>
    <t>…irección g-netal de loterías nacionales el paradero tegra ai P. Solchaga en 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t>
  </si>
  <si>
    <t>…la misma exposición del Sr Garelly, y por lo que prescrito en la ley de 17 de Abril de 13a 1 en el art. a.°, y lo qu» expone la comisión , que se ha dado auto de prisión contra el Sr. Ga en la discusión de este artículo en la sesión del 15 de Abril preguntó relly , extendido y firmado por el rr '.mo fiscal , y qu: aquel individuo el Sr. Zipata , como también lo que contestó el Sr. Garelly; pero este desempeñó et cargo de secretario; p r consi…</t>
  </si>
  <si>
    <t>…lo, Apoita, Roig, Bauzá, Vargas, Rico, Orduña, extraordinarias. Canga, Prat, Ojero , Ferrer ( D. Joaquín), Garmendia, Torre, Sán E: Gobierno no fue interpelado para proteger al ex-secretario Ga chez , Lodares , Blak.e , Torner, Alcalde, Busaña, Montesinos, Sil relly, sino para que pasase á las Cortes su exposición. Dando primera va, Arias, Lis, Allanero, Benito, Casas, Martí, Belda , Cortés, H:umente las gracias al Sr. preopinante por haber dicho qu…</t>
  </si>
  <si>
    <t>Ga, Antonio</t>
  </si>
  <si>
    <t>Antonio Ga</t>
  </si>
  <si>
    <t>…n su vista te reunió el jurado, compuesto de los Sres. siguientes: » Exento. Sr.: Con ia satisfacción que me permite el dolor de ver D. Manuel González del Campo; D Marías Casero; D. Antonio Ga derramada tanta sangre española, anuncio i V. K. que en la madruga mona'; D. Benito Ortega Romanillos; D. Gonzalo de Cárdenas; Don da de este dia he sorprendido tin completamente é 300 facciosos que Juan Paz; D. Juan Manuel de Aréjula; D. Manuel Mermo, y Don…</t>
  </si>
  <si>
    <t>Ga, Aquilino</t>
  </si>
  <si>
    <t>Aquilino Ga</t>
  </si>
  <si>
    <t>…y majadas de pastores inmediatas al ser muertos sus girn tes. sado, en el ténnino de otros ocho meses, que por segundo término se El comandante de la coiumna in’.vil de la Mancha D. Aquilino Ga les concede , contados desde esta Echa , comparezcan en su 1 arpado y vilanes , que da el parte , tnan;fi:»ta en detall »u» movimientos hasta ha escribanía de D. Juan Villa y Oiier por sí ó por nvdio de sus ap&lt; deber encontrado la facción, y su combinación co…</t>
  </si>
  <si>
    <t>Ga, Isidro</t>
  </si>
  <si>
    <t>Isidro Ga</t>
  </si>
  <si>
    <t>…co votos contra cuatro que no ha lugar d ia formación do la diputación provincial, debiendo aer la enseñanza gratuita 1. lo» pre causa, habiendo opinado que sí D. Magín Coraminas, D. Isidro Ga tendientes presentarán sus memoriales en el término lie 15 días, con llarda, D. Francisco Sobirachs 7 D. Juan Lladó. Barcelona 28 de Se tados desde esta publicación. ... tiembre de i8n.=Macario Riu.rrPablo María Vcrdalei.=Francisco Baraja constitucional, polí…</t>
  </si>
  <si>
    <t>Ga, Josef</t>
  </si>
  <si>
    <t>Josef Ga</t>
  </si>
  <si>
    <t>…cuerpos sin estatua alguna ni busto, y expre Aprobado. sarse en la inscripción que en ellos se ponga la circunstancia de ser in La comisión de Premios en vista de lo expuesto por D. Josef Ga terinos, y hasta que se edifiquen los decretados por las Cortes. ya , capitán de la milicia nacional voluntaria de Reui, para que en Art. 10. » El mismo Gobierno dispondrá se depositen en una igle a: encion á las diligencias que ejecutó dirigidas á salvar la…</t>
  </si>
  <si>
    <t>Ga, Josefa</t>
  </si>
  <si>
    <t>Josefa Ga</t>
  </si>
  <si>
    <t>…tos está reservado igualmente el derecho por la sentencia leyes, ya haciendo lo que prohíben , ya dejando de hacer lo que or dé la chancillería á lo* que le puedau tener mejor que Doña Josefa Ga denan. briela Valdearcnas. » Cuarto: Loa funcionario* públicos de cualquiera clase que , ejer Habiéndose rifado en esta corte dos dulletas bordadas á pasa«lo de ciendo alguna autoridad, sra judicial ó gubernativa, ó alguna supe toda moda en la penúltima extra…</t>
  </si>
  <si>
    <t>Ga, Juan Martínez de</t>
  </si>
  <si>
    <t>Juan Martínez de Ga</t>
  </si>
  <si>
    <t>…orizada por los respectóos intendentes y res D. Segismundo Moret, D. Francisco Servando Mufíoz, D. Lope ministros de la hacienda militar. Manuel de Luengas, D. Francisco Hidalgo , D. Juan Martínez de Ga* De Real orden lo comunico á V. para su inteligencia y efectos tica , D. Juan Francisco Vidot, D. Antonio Cortés y Coll, D. Luis corr spondicntes á su puntual cumplimiento. Madrid u de Diciembre del Gargollo, D. Antonio Canadell, D. Juan Bautista Llanos, Dode…</t>
  </si>
  <si>
    <t>Ga-</t>
  </si>
  <si>
    <t>…rza, de los cuales me haré cargo por el mismo orden que Ei Sr. Cangi -. Me levanto para comedir ai señor pr-opininte, y se han presentado, aunque mi digno compañero de comisión el Sr. Ga- para manifestar mi opm on, la cud es que por terrible que parezca liano ha expuesto razones muy fuertes para apoyar esta medida. esta medida, las circunstancias exlg.n que us ad-pt.-mns tuertes si se Se dice que se ataca la libertad individua!, la libertad sa…</t>
  </si>
  <si>
    <t>…te la casa da todo español; ij dónde está en Constitución; yo al contrario estoy persuadido de qua las aprobaron bajo la propu:sta del Gobierno el que se le dé esta autoridad! (El Sr. Ga- la inteligencia da que «an de la cine da las qua no nac«itan da san llano pidió se leyese la medida novena prepuesta por el Gobierno, y ción , y tí da las comprendidas an su* facultades. verificada esta, continuó el Sr. Arguelles.) Resulta que «ta medida Ahor…</t>
  </si>
  <si>
    <t>Gabarro</t>
  </si>
  <si>
    <t>…cultad en adherirse á tsie dic prevenido en la Constitución. No se crea que por esto desconozco la tamen. sub.im: máxima de que salus ptpuli jttprema Irx at: si -yo considerase El Sr. Gabarro: Esta medida ha nac'do de la comisión por una ex que la salud d:l puib.o exigía que se prescindiese con resp cto i le* citación del Gobiern &gt;: est: acaba de manifestar por medio del dr. se eclesiásticas de las disposiciones de la Constitución, de que llevo he…</t>
  </si>
  <si>
    <t>Gabr</t>
  </si>
  <si>
    <t>…conceda se d.bia estar á lo acordado por las Corles en este particular. Apro la misma grac.a a Gu.lienn . Pun.Sum.r»: otro para qu. se cor...bj bado. también carta de c.udarhno á D. Gabr el F-ixrr,, teniente cor..nel La misma en vista de la instancia de D. P iro González, vecino de retirado: otrus dos concediendo ivual ¿rae a á Jorge F-qnirro y i Va Mu.urr, sobre que se adopte un plan presentado por este individuo pa lentín Fixolmi; y otro di…</t>
  </si>
  <si>
    <t>Gabriel</t>
  </si>
  <si>
    <t>…la general tn la corte las letras de cambio giradas antes de la invasión terra. francesa por la consolidación de Vale* á cargo de sus comisionados Diez meses fiá que está preso el arzobispo Gabriel con los princi principales en las provincias de la Península y de U i tramar, ó v ice- ver pales personages griegos de Corfú ; se esperaba que á la muerte de Alí- sa , que se hallaren sc-'pladas ó sin aceptar y no satisfechas; y también Baji serian puestos en…</t>
  </si>
  <si>
    <t>…iciendo que no la comisión de Hacienda sobre el empréstito. k opondría á que hubiese en Etpafia depósitos de dichos artículos cuan Las Corta concedieron el permiso que solicitaban D. Gabriel do viese un resguardo bien orgánica do, y que absolutamente no pu Herrera, nombrado juez interino de primera instancia de Ciudaddiese extraerse nada de loa almacén»; pero ahora era todo lo contra Rodrigo; D. Pedro Lorenzo, nombrado juez interino de primera in…</t>
  </si>
  <si>
    <t>…iudiguaciou; Uraaga los atacó por la tarde, y los viltafrao- Dt Podtr egecutioo. Horbegoso, Arguelles, Fernandez , Tor . sin mas auxilio que tu propio denuedo, le rechazaron ras (D. Gabriel). Terrazo (D. Pedro), Izazaga, Rodrigues , Daca y dofeun argento.__El cotoad Jiuragui se hallaba últtmaaaeute en Ba Dt Dtdaratkm i la Nación. Mendiola, Tagia, Marín y ba con tu columna. . Proclama del grnrral Lope* dt Bonos. Odoido 4.* Dt Rrglammio interior d…</t>
  </si>
  <si>
    <t>…pasado, dias que tanto disgusto han ocasionado i los aman tes verdaderos de la felicidad de la patria-, pero día» que eternizarán el » El Rey se ha servido mandar que el teniente general D. Gabriel nombre de la nunca bastante bien ponderada milicia nacional volunta de M.ndizabal sea destinado de cuartel al punto en que le acomode fi ria de Madrid y su heroico vecindario. ¡ Loor eterno, almas n &gt;blesy ge jar su residencia , declarando al mismo tiempo que…</t>
  </si>
  <si>
    <t>…drid á 16 de Octubre de 1571: otro de 503 mrs , situado los cazadores del partido y al batallón de Galicia , al mando del primer sobre la renta y alcabalas de Madrid en cab.-za d* D. Gabriel de comandante de esta cuerpo D&gt; Fernando Arillo, ataoó aquella mañana Enao, y se sentó en cab:za del Lie. D. Pedro Arriaga en el año de 4 la facción de Caragol, que durante la noche pudo reunirse en las ven 161 j : otro de 7oo9 mrs. , librados en *9 de Mayo d…</t>
  </si>
  <si>
    <t>Gabriel, Josef</t>
  </si>
  <si>
    <t>Josef Gabriel</t>
  </si>
  <si>
    <t>…ncia. La comisión opinaba que A la de Instrucción púb'ica una instancia de D. Lorenzo Hernán este expediente no se hallaba suficientemente instruido, y era de pare dez , y otra de D. Josef Gabriel ¡sutil, párroco de Caracas, pidiendo se cer se devolviese para que se completara. Aprobado. les dispensen dos cursos literarios parapodr concurriré unasoposí.i ne*. Otro sobre la solicitud del ayuntamiento de Logrosan, provine # A la de Comercio una exposició…</t>
  </si>
  <si>
    <t>Gabrielli, Julio</t>
  </si>
  <si>
    <t>Julio Gabrielli</t>
  </si>
  <si>
    <t>…ue dos en Agosto último otros varios por la santa congregación de Ritos. han abandonado tus ovejas ,y se han refugiado á Urgel. Parte de esto* —El 16 de Setiembre murió en Roma el cardenal Julio Gabrielli. apóstatas tiran sus hábitos por ganar decomer robándolo á otros.—El Cuatro habitaciones *3 disputan en Verona la preeminencia para el día 10 salió de Barcelona un convoy con varias piezas de artillería y alojamiento del Emperador de Austria. Los demas Monarc…</t>
  </si>
  <si>
    <t>Gafo, Andrés</t>
  </si>
  <si>
    <t>Andrés Gafo</t>
  </si>
  <si>
    <t>…este procedimien venientes en esa provincia de sn mando. Madrid 13 de Abril de 181a. to no le debia cantar perjuicio en su reputación. Declararon absnelto dicho impreso los tres. D. Andrés Gafo, Don Circular expedid* por el mmieterio de Gracia y Justicia á lodos loe dio cesanos. Valentín de Torrecilla, D. Joaquín lbaira, D. Joaquín Llombart, D. Josef Vecino, D. Félix Mora, cl marques del R o Florido, Don El Sr. secretario de Estado con fecha 7 del c…</t>
  </si>
  <si>
    <t>Gafon, Luía</t>
  </si>
  <si>
    <t>Luía Gafon</t>
  </si>
  <si>
    <t>…1403 7 *4.__Detebegoycn da id. 1080__ Legrand de la Sandro de cgemplar impreso de «na mérito* 6 ¿acumentó» fehaciente» por término St- Malo 1147 7 16.__Girador Moettre de id. 555—D. Luía Gafon da go dias. de Gallón de León 141(7 18., Sahuc Dcplabol de id. 56ta_DeteTaiaoMAina. he garay hijo de Bayona 610 7 la—D. Simón Permanchan de Oloron 379 7 4._D. Jura Luis Oaten de Gante jlá 7 io_Dofia Isa _ Por providencia del Sr. D. Angel Fernandez deloe Riot,…</t>
  </si>
  <si>
    <t>Gahano</t>
  </si>
  <si>
    <t>…cit es de 197' mil ones ; y si e: Gobierno n pro Site-, debían ser las fuente-, adonde prc se dcb.a rxuíiii. pone mcóios ai efecto, es porque cree que su debe .a 1 &gt;11 e,t- ...CEl Sr. Gahano: El Sr. secretario del Despacho se presenta i dar haciéndose las reformas correspondientes. En e! mismo p.-esupc sto se cuenta, y por lo mismo le pregunto¡ si responde ó no de la memoria * podrían hacer reformas , que aunque sensibles se podr an aprobar en el…</t>
  </si>
  <si>
    <t>…, y ni: opinión no c» esta Se trata de ver si estamos ó no den probar ante los tribunales sus hechos; pero yo dire a S. s. acer obligados á observar con rigor la Constitución. Ki Sr. Gahano ha di ca de estos hechos que los hay que causan en todo el mundo un con cho con la franqueza que le es propia , que con las medidas pr ncipales vencimiento práctico de la opinión del que los comete, y sin embargo que »e discutrn se pon* una dictidura , v que…</t>
  </si>
  <si>
    <t>Gaian, Gregorio</t>
  </si>
  <si>
    <t>Gregorio Gaian</t>
  </si>
  <si>
    <t>…ianas, dice Mr. Jauban i&lt; s parapetos del barranco fortificado. Kl terreno era muy fragoso; b-Tt, separadas por fuerza del seno de sus afligidas madres, y sacrifica sin embargo el teniente D. Gregorio Gaian con unos l o cabal os del das á la btibars codicia de lo* especuladores en este tráfico, son tras ts.u dr m de artillería y tres nacionales lesdió dos cargas, que les hizo ladadas desde las riberas dal Ponto basta las del mar Caspio, y desde allí corrr y deji…</t>
  </si>
  <si>
    <t>Gaielly</t>
  </si>
  <si>
    <t>…l regla las Cortes sobte éste expediente 1 ¡ por dónde les consta a las Cortes el mento para sostener que no consta el h.-cho, es evidente que las Cortea delito de que se juzga al Sr. Gaielly l No basta el que se diga que era no pueden desentenderse de este asunto. público y notorio el auto de prisión acoidado contra este cimadano, ¡Valdrá la argucia forense para decir que no consta á las Cortes que pues á la comisión no constaba sino por una simp…</t>
  </si>
  <si>
    <t>Gaielty, Nicolás</t>
  </si>
  <si>
    <t>Nicolás Gaielty</t>
  </si>
  <si>
    <t>…s , qu*. debí .n entregar los cuir. =1-1,ti rubricado de ln R:al maao.= En zVranjuez a id de Mayo pr,stamistas ea los m set dr Junio, Jul o, Agosto y '..t;:mbre , solo de 1812 c=A D. Nicolás Gaielty. recibía 10 ni.liones y p eo de rs., cn ct ncion á los interesas devenga Circular del i'.-óiijí.-i.u de Gracia y Justicia. dos, y que debían cobrar los mismos; y concluyo diciendo que Condetcer.dicnuo la bta. sede a los deseos del Rey se sirvió expedic apoyab…</t>
  </si>
  <si>
    <t>Gaiiano</t>
  </si>
  <si>
    <t>…ón los cónsules, capataces ó prohombres de las tenerías buscaran fuera de de Infracciones de Constitución. eilas y en el mas breve término otroa edificio* para este objeto, que El Sr. Gaiiano dijo*. Me parece que en cato da tomarse en conside dando desde abora eipreaamante prohibida la introducción de cuero* ración debería mas bien pasarse á la comisión de Infracciones de veren este parage. =E1 teniente general marque* Nunciinte.” dad; porque esta…</t>
  </si>
  <si>
    <t>…stábamos bien penetrados de la falta de diputados, hasta qus salieien £ luz los respectivos diarios de Cortes. medio» que generalmente se experimenta; casi todos venimos de laa El Sr. Gaiiano expuso que leyéndose en las provincias las sesiones provincias, p hemos sillo testigos presenciales del estallo en que se ha de Cortes mas bien por los periódicos que por d diario de estas, con- llan; pero esto no es mas que una parte «le la cuestión, p si hu…</t>
  </si>
  <si>
    <t>…pies de longitud marina, según el mismo orden de antigüedad indicado.” Aprobado. y seis pulgadas de anchura.” Art- 4.0 » La infantería del egército permanente embarcada en los El Sr. Gaiiano fue de parecer que era mas propio que el león de la buques de la armada nacional estará sujeta á Ja-ordenanza de dicha insignia en vez de estar de pie fuese zampante. armada. El Sr. Saavedra apoyó esta idea ; y el Sr. Valdés ( D. Cayetano ) di El Sr. OI i ver…</t>
  </si>
  <si>
    <t>tirucioo, púa que a A deseo de toda la amantes de la libertad. Lo Respecto á que el Sr. Gaiiano con mucha npeetetiidad ha dicho que tiuu mu guata á la Nación a ata divergencia de opiniones »aa. que dea oste mensage el que haya da abrir ana discutían «abrá tu con pápela incendiar km; y confie» que aunque me gata leer cierta cfco- tenido , no. diré mída q…</t>
  </si>
  <si>
    <t>…, y. 11poderes rivales, y que podría traer muy matas consecuencias. Que el había dado buenos resultados. Gobierno era quien di bis tener la fueiza fisici como se hacia en todas El Sr. Gaiiano sostuvo el artículo, diciendo entre ctras cosas qu- ailas naciones y en todas las diferentes formas de Gobi.rno, y las Cor tratar de los in.om-cnitnt-s de una fuerza permanert', era .x.i-a otes la moral de la opinión y de la confianza pública. Por todo lo cua…</t>
  </si>
  <si>
    <t>…bear g.d.ó se leyese el articuio 338 de la Constitución. nacion.s que g.mrn tu o el de,pul »mo. ■ isti asegurada; y si nutstros enetr re* &lt;S* leyó.) La saivac.cn de la patr'a n El Sr. Gaiiano : Aun cuando el carácter de la cuestión y la convic venciesen , sé muy bun que mi sangre itus onde iu'go á emrjrccí !o* ción ínt ma en que estoy de la necesidad de adoptar estas medidas, no patíbu os. m• llevase á tomar I* palabra en pro dei asunto que d.sent…</t>
  </si>
  <si>
    <t>…Paredes se ajustase en ía actuación de la causa debe d,rse á la Mama; y esta para mí es una cuestión absolutamen á la Const ilición y á las leyes. te separada de ¡a primitiva. El Sr. Gaiiano : Yo quisiera que se imprimiese este dictamen, pues El Gobierno ha propuesto al Congreso el aumento de fuerza naval, es ud punto de legislación muy delicado el que se somete á la consi j á este t-i.a d-cidir si este aumento c» ó no suficentr. Si la* Corte» de…</t>
  </si>
  <si>
    <t>…bado lo r st-*'lr cíe- jti ■ -; r‘. Cortes, de !a cual la comisión le ha copiado al pie de a !er. ■ Cea Se s-ji brron los a" r ^uios s'su.rj.t-'s : * respecto á la observación del Sr. Gaiiano , d.jo que rs j r-,o- Art. 13. » Tampoco cr.neesc r.dr.á - n qus por lo» '■ertcenc. dal porcion los dos casos que S. S. hab:a puesto , prriue en una ¡-.azi le fec.r.to se abran za-.¡j,, cam-nos honoc.s , n¿ se :ac: .1: ■ -rr^as rj va armas el gobernador es el…</t>
  </si>
  <si>
    <t>…se representen en el salón lo* gloriosos que yo creo que no debe aprobarse el artículo en estos términos. sucesos del 7 de Ju io , se represente también, no solo el alzamiento El Sr. Gaiiano : En cuanto al gefe político de Madrid be dicho de i.3 de Enero, sino también otros varios sucesos que tienen rela que no habiéndose hallado entre las filas de los leales en la noche del ción con él, tal como el glorioso y magestuoso alzamiento de la ó y madr…</t>
  </si>
  <si>
    <t>Gaiiaoo</t>
  </si>
  <si>
    <t>…mis eficaz y saludable que si lo fu-se por ia autoridad civil, por hay tanta vigilancia , ni tampoco concurren en «.ios ¿as c.rcunsunc.as las rizones que al efecto ha indicado el Sr. Gaiiaoo: aquella autoridad extraordinarias qu: en ios- dema». proceden si mpre con mas energía que esta, por su misma consttu- El orad, r apoyó y amplio alcunis d; las raronrs propu-stis pof cion ; y como es una verdad constante que una coacción puesta en prác el Sr.…</t>
  </si>
  <si>
    <t>Gaíindo, O. Antonio</t>
  </si>
  <si>
    <t>O. Antonio Gaíindo</t>
  </si>
  <si>
    <t>…llos de Bor- de la Guerra lo que sigue: bon que había hecho pasar í vanguardia á las órdenes de su comandan n Ayer ocupó la tercera columna ¿ Salas altas: la primera , segun te el capitán O. Antonio Gaíindo, lo despreciaron , cargándolos coa da y el cuartel general ¿ Barbaatro , retirándose los enemigos á 1a iz tal intrepidez, que les hizo huir despavoridos, arrojando algunos sus quierda del Cinc*. Hoy han egseutado las tropas un movimiento simul armas, y matand…</t>
  </si>
  <si>
    <t>Gaioz</t>
  </si>
  <si>
    <t>…y de los inconvenientes que hay en este esto es menos malo que el que un conspirador se pasee libremente. asunto, no proponga un remedio á ellos, y que se reserve al código pe El Sr. Gaioz como de la comisión contestó) á los argumentos que nal rl allanarlos: esta es mi primera dificultad. Veamos si ios incon había hecho el Sr. preopinante, manifestando entre otras cosas qu; ¡a venientes qu’ yo propuse son fundados y legítimos. La comisión dice…</t>
  </si>
  <si>
    <t>Gaip.t, P.</t>
  </si>
  <si>
    <t>P. Gaip.t</t>
  </si>
  <si>
    <t>…lor y virtudes hau confundido al enemigo común. cont'ibu r i tan interesarte ob|*TO. 1 .* Ai »t nrm: en ia ..umeia del » Conciudadano:Estos son lo» enemigo» contra quien:» ia bene coronel P. Gaip.t d J . :ev- , j " Jn .• c .1--c é^:a ven .r di ia»</t>
  </si>
  <si>
    <t>Gaivan, Manual</t>
  </si>
  <si>
    <t>Manual Gaivan</t>
  </si>
  <si>
    <t>…estra ha consistido en un soldado d-1 resguardo meno, á los que v ivan icunidos el captan dei ml,mo r . munro mi i itar hetido levemente. Tengo la satisfacción de anunciar á V. S. D. Manual Gaivan, ueíe del estado miyor de esta columna, v el subque todas las tropas se han conducido con el mayor valor y entusias teni-nte de Gerona D. Salv-o Butgurs que esiaban en marcha jara unír mo ; pues después de una r pina marcha de 14 horas »m haber comi tenos , l…</t>
  </si>
  <si>
    <t>Gaixésj</t>
  </si>
  <si>
    <t>…ón de ios enemi tamer.te, que solo se salvó baiaberri con unos 6 ó 7 de caballería , que gos de la patria, y los deseos que les animaban de acudir adonde quie dando prisioneros el comandante Gaixésj_Ioj demás oficiales y unos ra ,e presenten los forajido* á_ nacerles conocer lo que pueden hombres 8a soldados. Advierto que Salabern salió también con su“uchillada libres. Los trofeos de la victoria daban el mayor realce á ia co umna, por la mano del hétoe.…</t>
  </si>
  <si>
    <t>Gal</t>
  </si>
  <si>
    <t>…eyó en segada estas riñas salió gravemente herido. la proposición que dió motivo al nombramiento de dicha comisión. Tiempo U que se esparció en Alemania d rumor de que uu archi El Sr. Gal uno di(o que la comisión no debía asustarse porque as duque de Austria estaba ya destinado para suce«lcr al Papa Pao vu en se hubiese aprobado alguna de las medidas que proponía en su dic •1 pontificado. En el dia parece que d Gabinete de Vina piensa en tamen…</t>
  </si>
  <si>
    <t>…el dictamen de la co ríales ; y no se er a que con src-aiiña», r-a cñor, eran lab.’rs ’ r ti misión. mos. Yo he sido oficial «1e la secretar a cuando ei mir.ist’o rozaj-t 6ví0 El Sr. Gal ¡ano preguntó qué sueldo era el que percibían los secre reales, que fian , «.oir.o l-í d'ciio, haberes leen mor po* ser dir-.tor tarios del Despacho. de monee.», su. er nrcnd-.ntc de la Haciera: j'b';;a. per «un r r.i oEl Sr. Canga: Todavía no se les ha señal…</t>
  </si>
  <si>
    <t>…la anterior legislatura á estos funcionarios, los cuales queda» entrasen en lo sucesivo á servir, y que solo la gozasen laa da lot exis rán sujetos á la rebaja general. tentes. El Sr. Gal ¡ano dijo que deseaba saber cuáles eran los sueldos que Partiendo de este principio la comisión extiende esta disposición actualmente gozaban los gefes políticos; y con este motivo se leyó el hasta la fecha del decretó, y dice que las Cortes declaren que las…</t>
  </si>
  <si>
    <t>…mos i las Cortes que á pesar de que continúe esta discusión tran d- Lis, Reillo, Busaña, Navarro T. jeiro, Ailbnzo , Soria , Gar ac-rca de la devolución del expediente ó causa del Sr. Gal ano se ve cía, Valdes (D. Dionisio), Garó/ , Istur / , tirases. Abreu , Z i!ueri. rifique dicha remisión.*' Marau, Atlenza, Alix, Gome/ qD. Manuel', Melendcz , R rr.-ro. El Sr Obver: Creo que se esté en el caso de d.‘cTarar que ha habi Pacheco, Sangcms, López…</t>
  </si>
  <si>
    <t>…ón secreta, se resolvió que no se leyese. triunfos Después de una corta discusión quedó aprobada la proposición " La Nación apellóla, Señor, a presa del ñus amargo descontento del Sr. Gal laño. ■I va en algunas de sus principaia provincias entregado el gobierno Se leyó un oficio del Sr. secretario de la Gobernación de la Peala- en manos poco expertas, en sugetos que no gozan del amor de tos pue tule , el que ecompaiiabe otro del gefe político…</t>
  </si>
  <si>
    <t>…u; fu: á discusión se mandó pasar í la comisión Eclesiástica. nes al año; y si'resulta menos péid'da, la operación es ventajosa. Yo ; A la de Guerra sí mandó pasar una adición del Sr. Gal .ano , para no quiero mas que hacer presante á las Cortes que el ínteres en este qué les guardias de la Persona dei Rey procesados por la ocurrencia del préstamo no es mayor que el que sé estipu’a en los otros préstamos de 8 de Junio de 182a nbfüescn consider…</t>
  </si>
  <si>
    <t>…la lectura del art. ao de la ley orgánica; pero no hs sido acordó que no. asi. Este dice que habrá una guardia Real para la custodia de la per Se leyó la siguiente proposición del Sr. Gal ¡ano: n Pido i las Cor sona del Rey; y mi opiniones ó que la guardia Real de infantería sub tes que queden como efectivos en las compañías de alabarderos los 79 sista hasta que se extinga por tu propia virtud , ó qu: no subsista. Si sargentos que quedan como…</t>
  </si>
  <si>
    <t>…enfermos de su com El Sr. Saavedra: Preciso es que en este artícu'o te exprese la ¡dea pañía que hubiere en el hospital, y dará á sus oficiales puntual noticia que ha expuesto el Sr. Gal ¡ano, porque hay muchas ocasiones en que dei estado de su salud, asistencia y cualquiera queja que tuvieren. la tropa debe marchar con silencio , y tal vez He lo contrario puede Art. *0. «Siempre que la compañía tome las armas acudían los malograrse una acció…</t>
  </si>
  <si>
    <t>…articular sobre el mismo ar licía. tículo, proponiendo la extinción total de monges 7 regulares. El Sr. Meló: El Sr. preopinante que ha impugnado el epígrafe no Igualmente leyó el Sr. Gal ¡ano el proyecto sobre sociedades patrió se ha hecho cargo de que á la comisión solo tocaba el prescribir ciertas ticas , cuyas disposiciones se reducían á lo siguiente: reglas para ciertos delitos, á pesar de que cuanto desea el Sr. Buey está Las personas qu…</t>
  </si>
  <si>
    <t>…mamo de pr-sentar*: loe cunscrito i esta medida. El del Sr. Varela, á que ya hi contestado mi facciosos con aquella actitud de invasión que cocsmujc la goma ya digno compañero el Sr. Gal ¡ano, se reduce á agüellas mismas espe está declarada esta para aquel pueblo? Caro e.r pu;s que en .1 caso cies que , ya bajo de uu aspecto ya bajo de otro, se ban presentado con Cn que tiene efecto esta medida es como si se estuviese en estado d * guer tra l…</t>
  </si>
  <si>
    <t>…caso podía cualquier estado de dar su dictamen sobre este punto. En cuanto á ia saguiidi «spafiol arrestar á este delincuente, y adónde se le había de llevar , ó á observación dal Sr. Gal ano-dirá á S. S. que aquí no se trata da impo qué juez te había de presentar. El orador expuso qua aegunel art. apa ner una pena á la «migración ni coartarla : no, tíóorr: la bise de tola de la Constitución, se le debía contestar por la afirmativa, y decir en…</t>
  </si>
  <si>
    <t>…e daría margen i graves incon conspiradores; ¡mas puede haber circunstancias por las cuales esta venientes. ' capitulación pudiese tener algún valor! A esto creí yo que Ja comi El Sr. Gal iano: Al ver anunciada esta discusión , y á pesar de con sión Inri taris sus trabajos:; quién duda que pueden ocurrir esus cir siderar su gravedad, importancia y trascendencia , estaba resuelto á dar cunstancias ? en silencio mi voto sobre el particular; pero…</t>
  </si>
  <si>
    <t>Gal, Ramón</t>
  </si>
  <si>
    <t>Ramón Gal</t>
  </si>
  <si>
    <t>…itado general expresa haberme de esta provincia , me 4‘ce con fecha de ayer desde la villa de Valls lo dirigido desde la Espluga, porque no ha llegado á mi mano.” siguiente : « El comandante D. Ramón Gal i me dice desde Capel lides tam » Antes de ayer batimos dos veces i la gavilla de facciosos, man bién con fecha de ayer lo siguiente: Que en la tarde del día anterior dados por el fraile Trapense , como ya di parte i V. E. desde la Esplu- llegó á aquella vill…</t>
  </si>
  <si>
    <t>Gal.ano</t>
  </si>
  <si>
    <t>…n especial que se irau jiti.: ía.l de la Península. nombraría al efecto , v que se iiupi;micsc con urgencia. n Otro c irreo extraordinario ha llegado esta noche qne salió de Pa £1 Sr. Gal.ano: IXbu mamfoUr a Ijs Cortes que en el discurso rís en la det 3 ai 6. Trae ios periódico, de 'os dos di as ú't mes; p-ro de las misiqa, c-tutelando ai de S. M. nos hemo, comprometido so- ninguna noticia conticmn d ina de publicarse, á no s.*r qu: quisiése lemne…</t>
  </si>
  <si>
    <t>Gala</t>
  </si>
  <si>
    <t>…quedó aprobada , y la cuarta restante desaprobada. este punto por lo* autores militares; y el célebre Carao! decía qua ni En seguida se leyó el art. 6.°; y habiendo manifestado el Sr. Gala tun se debis labrar eu el radio de embestidora de una plaza fuerte: por no que tenia este artículo tanto enlace con cttos que debían conside todo lo cual la comisión cree haber contestado ya á las objeciones que rarse-corno la ba:4 , y principalmente con el 4…</t>
  </si>
  <si>
    <t>Galano</t>
  </si>
  <si>
    <t>…no compañero el Sr. Galiano, si pudiese creer que el C ngreso haba bias en solicitud de que se le paguen por dicho establecimiento tenido el mas mínimo temor por su existencia. El Sr. Galano sabe cantidad» á que es acreedor. con qué frialdad y caima se acordó que la comisión pasase a inlonnar- Ala comisión de Legislación se pasó una consulta de) Gobierno se sobre las indicadas ocurrencias ; por cousiguientc creo que el br. Ga acerca de los aconte…</t>
  </si>
  <si>
    <t>…xclusivamente á la destrucción^ ai los individuos que ocupaban estos destinos eran 4 propósito para ellos. un país que debió conservarse y enriquecerse i expensas de las convul El Sr. Galano manifestó que lo que proponía la comisión era una siones políticas de la Europa, y á favor de la emigración de la Pe medida muy justa, porque se veian empleados en la administración de nínsula. justicia, que no merecían serlo por causas que eran bien notorias…</t>
  </si>
  <si>
    <t>Galáno</t>
  </si>
  <si>
    <t>…nto de g de Se los : 18 de ellos en la clase de teología expositiva, dogmática y moral; tiembre de 1810. seis en la de lugares teológicos, filosofía motel y Constitución; 16 en El Sr. Galáno recordó una proposición que tenia bechs, y que ver la de segundo año de filosofía; to en la del primer alio de la misma, saba sobre el mismo asunto, y pidió que s* discutiese simultáneamente y ¡9 en la de gramática latina. En todas las dates desde Enero últim…</t>
  </si>
  <si>
    <t>…o había hecho al dictamen pudiese recaer sobre medi sino cuando se discutan sus artículos sr paradamente. das que se sujetasen á votación. Por último observó el orador que siem El Sr. Galano. Dice muy bien el Sr. Soria, que esta discusión tie pre que las medidas que se proponían fuesen admisibles, como se ha ne un carácter raro, y la rareza capital que encuentro en él es que el bía dicho por todos los Sres. diputados, el dictamen debeiia aprobars…</t>
  </si>
  <si>
    <t>…una copia autorizada del acta da concurran las circunitanc as prescritas en el art. 9.0 d. este título.” cada sorteo , para que se una al expediente de la respectiva propuesta El Sr. Galano d io que era indudable que lot oficia'".» de artillería que ha de formar la junta. liab an •o&gt;ra'J© »ut ascensos por su ap icac on y talento, cncunstanc aa que nunca hab an desmentido; pero que también era cierto que mu CAPITULO IX. chos inv n-t que prntntiao…</t>
  </si>
  <si>
    <t>…lla , po.que puede ntgcciar aque.lo que le ha.a fata para lltuariasi artículo , por ser ur. principio general r conocido. por Jo cuai deb aprobarse *1 dictamen de la coniis.on. Ei Sr. Galano: Me par ce que las ad ciones del Sr. B*lda ettin Los sefio.es Galano y M -Un&lt;¡&lt; z renunciaron la palabra. conformes con lo que la comisión dó a ent nd r cuando se discutió es El Sr. secretario de ll-civoda : H; pulido la pa:abr í sobre el artí te artícu'o; pu…</t>
  </si>
  <si>
    <t>Galáno, Alcalá</t>
  </si>
  <si>
    <t>Alcalá Galáno</t>
  </si>
  <si>
    <t>…ado uno en tierra de otro, presentado la comisión nombrada al efecto. te emprendían á veces pleitos que arruinaban á muchas familias ;y des Asimismo se leyó el voto particular del Sr. Alcalá Galáno, el pués de baber hablado extensamente á favor del artículo, concluyó di cual opinaba que i la ultima cláusula dal sexuado período que empieza ciendo : » Enhorabuena que los hombres poderosos para sostener tus ca - á lo cual dio origen la desconfianza indicad…</t>
  </si>
  <si>
    <t>Galano, Alcalá</t>
  </si>
  <si>
    <t>Alcalá Galano</t>
  </si>
  <si>
    <t>…e para manifestar los deveos del Gobernó en este particular. El rarse d.- ella por todos los medios posibles. Gobierno paite del principio deque las tmrzas marítimas son el ver El Sr. Alcalá Galano pidió que se volviese á leer el dictamen de dadero sosten de las provincias de Ultramar, y que si con tiempo se la comisión , porque se habría borrado de la memoria de algunos se hubieran enviado escuadrillas á las provincias del Norte y del Sur de ñores di p…</t>
  </si>
  <si>
    <t>Galarzt, D- García de</t>
  </si>
  <si>
    <t>D- García de Galarzt</t>
  </si>
  <si>
    <t>….=Josef Francisco PoupSana.rsJoaquin Cebraá.=Ftancisco Ma Ccccrei, aplicándola los fondos y rentas del colegio de S. Pedro, fun tas de Matesma.ncPróspero de BoíetuK dado por el R. obispo D- García de Galarzt, con la casa de les tx- En la 73. Los mfrascr'tos jueces de hecho, habiendo examinado el jetuitss en que se hallaba establecido el mismo colegio antes de su tras impreso titu.ado la Voz Jet pueblo, p-r.ódico d- esta ciudad, del vier lación al seminario concil…</t>
  </si>
  <si>
    <t>Galatrava</t>
  </si>
  <si>
    <t>…da mente c»n él la pena pecuniaria.” Aprobado. cia, se le impondrá también la pena de vergüenza pública.” Art. 478. » El funcionario público que en cualqniera de lo* caso* que El Sr. Galatrava expuso que debía omitirse el último párrafo, por quedaa expresados en este capítulo exija ó haga exigir lo que sepa qu* no haber aprobado tas Cortas la pena de vergüenza, y asi *e aprobó no se debe pagar ó que es mas de lo que se debe, sufrirá por este solo e…</t>
  </si>
  <si>
    <t>Galban, Miguel</t>
  </si>
  <si>
    <t>Miguel Galban</t>
  </si>
  <si>
    <t>M3° D. Joaquín di Córdoba y el gef&lt;s del E. M. D. Miguel Galban, con tado Domin?uez.si Dios guarde i V. S. muchos años. Segura 24 de le ordfn de que se situase i la espalda del pueblo y tomase el camino Setiembre de 1822. = Francisco Brandit. — Sr. comandante general del de Mora por si se retiraban por allí, mientras^yo c…</t>
  </si>
  <si>
    <t>Galdot, Josef María de</t>
  </si>
  <si>
    <t>Josef María de Galdot</t>
  </si>
  <si>
    <t>…onio Sandalio de Arias, D. Antonio Regas, lebrar el dia 5 del próximo nv» de Set embre de 11 á 12 de su mañana. D. Lorenzo Lambes y D. Manuel Estaban Caíala. Los testamentarios de D. Josef María de Galdot, vecino y agen te de negocios que fue en esta corte, se hal'an con algunos recibos de En la página 7a del libro que se ll-va en Barcelona con el título intereses de vales y de otros créditos que diferentes sugetot de la pro de Jaece&lt; de hecho, en que se halla…</t>
  </si>
  <si>
    <t>Gali, Ramón</t>
  </si>
  <si>
    <t>Ramón Gali</t>
  </si>
  <si>
    <t>…da-, para primer comandante al segundo comandante supernu ria, y se discutiría et presupuesto de Marina jr el d clamen sobre protec merario del batallón ligeto segundo de Cataluña D. Ramón Gali. ción del comercio, y que mañana se discutiría el arreglo del gobierno Logroño : para pr.mer comandante al coronel graduado D. Alfon económico-político de las provincias y las ordenanzas militares; con lo so Gallego, teniente coronel efectivo de infantería, y…</t>
  </si>
  <si>
    <t>…de cam Excmo Sr.: Los Sres. diputados secretarios de las Cortes en 14 del po D. Miguel de Haro, y ia derrota de otra cuadrilla de 600 indivi actual me dicen lo siguiente: duos por D. Ramón Gali con las tropas y milicia de aquel partido ; y » Hallando las Ccrt.s fundadas las razones en que se apoya el Go man,Testaba haber reconocido las tropas nacionales el convento de Po- bierno para haber suprimido la plaza de interventor mayor del resguar bJet, ha…</t>
  </si>
  <si>
    <t>…el D. Pedro Caaasola.” » Excmo. Sr.: El coronel D. Lorenzo Cerezo , comandante de ar El ataque y movimientos de la* tropas del Rey y Barcelona ha sido masen Minresa, y el teniente coronel D. Ramón Gali, me dicen desde como V. E. verá por la copia del parte que le incluyo, cuyo tenor «a Manresa con fecha de antes de ayer lo siguiente: » El teniente coronel al siguiente: D. Josef Perez Gsberl , primer ayudante del regimiento de Murcia, y •&gt; Columna Mallorquín…</t>
  </si>
  <si>
    <t>Galia</t>
  </si>
  <si>
    <t>…er contenida par» que no ofenda. ¡ Podría acaso el hom su reserva! ( Aplausos repetidos rr la, gclcr-a».'• bre pretender en el día el egetcioo de su primitiva licencia ! No, se Ei Sr. Galia o : Reclamo el crden , 3t. presidente. ñor, porque la sociedad se estableció para que el bien fuese general : El Sr. presidente llana 1 al o-d.-n a ¡3» es erras. •si que no es cierto que esta medida ataca la libertad del modo que se El Sr Canga : Concluiré pu…</t>
  </si>
  <si>
    <t>Galia-</t>
  </si>
  <si>
    <t>…trata de la aclaración del ert. 4° del decreto da convenientes que se presentarán para fijarla de una manera precisa , im ir da Setiembre, artículo que, como ha dicho muy bien el Sr. Galia- parcial y severa; y pira evitarlos rogaría yo i los señores de la comi no, sa halla copiado casi i la letra en el i.°quc presenta la comisión, y sión omitiesen esta última cláusula del artículo. contiene la oferta que en 15 de Enero del afio de i8ao hizo á su…</t>
  </si>
  <si>
    <t>…titulaban árbitros de la Europa. En seguida manifestó que no Asimismo se aprobó el dictamen de la de Diputaciones provincia podía hacerte una comparación, como había pretendido el Sr. Galia- les , concediendo permiso al ayuntamiento del Puente del Arzobispo no , entre la conducta que observó el Parlamento ingles con los Esta para enagenar varias tierras á fin de armar la milicia nacional. dos-Unidos, y la que debían observar las Cortes de España…</t>
  </si>
  <si>
    <t>Galiaco</t>
  </si>
  <si>
    <t>…acciosos en barbastro; pero varían sobre la situación del Traptnse, mada , y no ai Sr. Garelly solamente. á quien algunos suponían cnGraus: he visto carta de ayer, que aseguran El Sr. Galiaco dijo que la cuestión no se presentaba bastante clara, no haber nov -dad en aquella capital. porque la exposición no venia acompañada de datos que hiciesen ver D os guarde i V. S. muchos año*. Cuartel general de Ayerve *4 1* competencia, y por lo mismo debía d…</t>
  </si>
  <si>
    <t>Galiaguiente</t>
  </si>
  <si>
    <t>…l lugar qua Te correspondía. Yo quisiera que anterior estuvieron pel ando en defensa de las libertades patrias; por consi mente se manifestase esto. En cuanto i lo que ha dicho al Sr. Galiaguiente aquellas personas están comprendidas en esta artículo, porque no del sentimiento que le ha causado el que se hubiese dicho que la formaban ea realidad la guarnición de Madrid en aquellos dias. La co comisión trataba de declarar beneméritos i estos hombres cua…</t>
  </si>
  <si>
    <t>Galiana</t>
  </si>
  <si>
    <t>…, encargado de la antes no pjedo menos de manifestar, que aunque todos somos a peta tranquilidad pública. dos de la N ación, y todos inviolables por nuestras oprniones, es n ce El Sr. Galiana : Puesto que hay una comisión especial para este ne sarlo que nos respetemos mutuamente, pues lo contraro no nos pro gocio , á ella d&lt;4* pasar ese oficio. Las Cortes no deben ocuparse en ducirla sino disgustos; yo hago la justicia á todos tos Sres. diputados…</t>
  </si>
  <si>
    <t>…nto diputado cuando se dtó aquella declaración , &lt;Mva ser J jst.cva; pero el exigirla es un asunto nsuy serio, mcxime s n un pre juzgado por el tribunal espcc'al de las mismas. Et Sr. Galiana no vio exam n de las ctusas que haya para el.o: y p.r 10 tanto reformo mi se halla en el mismo caso , pues que aquella declaración time una fi s- proposición jen estos térm.nos: •&gt; P.do á ias ciortes que por el tribunal tencia anterior á su nombramiento, y po…</t>
  </si>
  <si>
    <t>…quio del bien, de mi patriar todas las aeatümeatos. sidente señala» una sesión para tratar da asta asunto. de mi corazón, y apoyo desde luego que te dirija á 3. M- un mea aje;, El Sr. Galiana: He tonudo la palabra para apopar la proposición, confiando en que los dignos iadivtdssoe que componen la comisión fi que no hace mas que pedir que se lleve á efecto un mensage jra vota cuyo cuidado está encomendada, se valdrán de todo; loa medios quo do por…</t>
  </si>
  <si>
    <t>Galiano</t>
  </si>
  <si>
    <t>…pera que se le dispensen siete meses que le faltan cual leyó uno de los Sres. secretarios; asimismo el voto particular .del para entrar en la edad de poder administrar sus bienes. Sr. Galiano , individuo de la comisión, el cual se reducía i queso A la de Guerra una exposición del segundo batallón de la milicia añadiese otra cláusula. Se mandó quedar sobre la mesa. . local de Valencia, solicitando se le permita usar de solapa blanca en su Habiéndos…</t>
  </si>
  <si>
    <t>…Entró á jurar y tomó asiento en el Congreso un Sr. diputado. ciones que se hiciesen al tiempo de su discusión. El Sr. secretario de la Guerra leyó la memoria de su ramo, y el F.1 Sr. Galiano contestó que el expediente estaba muy bien instrui Sr. presidente dijo que se pasaría á la comisión, y que las Cortes la to do, y por lo mismo pidió que se discutiese á la mayor brevedad. marían en consideración. El Sr. Infante dijo: La secretaría debe adveni…</t>
  </si>
  <si>
    <t>…que se reglamento para la administración de este ramo; y todo esto no 10 veo manifestaban en la misma. en la memoria. Asi pues es precito que se pasen á las Cottes todos estos El Sr. Galiano dijo que según lo que exponía el Sr. mnistro no documentos, pues de lo contrario es el corto tiempo de tres meses que respondía de la memora que pr.s-ntaba: á lo que contestó este que ni tenemos de sesiones no podremos tomar las disposiciones convenientes pod…</t>
  </si>
  <si>
    <t>…; y usando de la palabra que le estaba vez podría dar noticia el sr. secretario de Gracia y Justicia. concedida, pidió at señor secretario de Gracia y Justicia se sirviese dar El Sr. Galiano preguntó nuevamente st el Sr. secretario de la Go cuenta á las Cortes de los procedimientos judiciales que se están prac. bernación halna expedid^» alguna orden para la formación de causa en licando en la capital de Murcia contra algunos que se sabe son muy C…</t>
  </si>
  <si>
    <t>…con los deberes que me ha impuesto el pueblo que me dió sus poderes. de que exista en aquella provincia alguna partida de facciosos! ¡ No tie Se leyó la siguiente proposición del Sr. Galiano, Alix,Saavedra y ne el Gobierno noticia de que no sale correo alguno de Burgos sin lle Grases: » Que la comisión encargada de examinar el estado de la Na var escolta, y de que los milicianos voluntarios de aquella ciudad no ción , agregando á los datos que va…</t>
  </si>
  <si>
    <t>…para reunirme con la comisión, a fin de desempeñar nues A Ja misma una exposición de Doña María Manuela Fernandez, tro encargo. viuda de un teniente, solicitando una peDsion. F.l Sr. Galiano : F.l Congreso se ha ereido obligado a tomar esta* A la misma otra exposición de Doña Joaquina Sola en solicitud medidas , únicamente por las consecuencias que los sucesos de ayer pue de Jo mismo que ia anterior. den traer, y por los demas que pueden ocasiona…</t>
  </si>
  <si>
    <t>…posición, porque por ella se va á abrir lá restricciones. puerta á ios chismes, al espionage y á la suspicacia. Habrá habido abusos; pero estos no han sido de nosotros, y debe _El Sr. Galiano: Confieso que esta proposición no es para mí de tan mos ser muy circunspectos en señalar la época en que hayan podido co ta importancia coma la que se votó el otro día. Yo confesaré de buena meterse. Yo no vengo á calificar aqui la conducta de nuestros antece…</t>
  </si>
  <si>
    <t>…e sin contravenir i la La misma, informando sobre el expediente promovido por Don Constitución y al reglamento. Anselmo Mendivil, de Vitoria, acerca de los procedimientos de la El Sr. Galiano dijo que la medida sexta no es de las que pueden curia eclesiástica del obispado de Calahorra en las diligencias practica- producir ley, y que sieado la principal de las que se proponen, puede cas sobre una dispensa matrimonial para un hijo suyo, opinaba que…</t>
  </si>
  <si>
    <t>…mismo objeto de fomentar el estableci m.«l¿daque se discute, hubiera recaído sobre los jueces que pudieran miento de la milicia nacipoal. haber dado motivo á ser reconvenidos. El Sr. Galiano dijo que ara necesario qua la comisión fijase su Opi Asi que aprobando esta proposición , aunque no la considero nece nión, y manifestare si retiraba la priméis medida, ó si quería que «oteo saria, desearía que se preguntase al Gobierno tu opinión acerca de l…</t>
  </si>
  <si>
    <t>…indispensables para que al Gobierno pueda proceda bía ocas iones en que era necesario prohibir talca roces. «on el debido conocimiento á la concesión da los «apretados taruga. El Sr. Galiano apoyó la proposición, y manifestó que se haba en su totalidad, ya en 1a parte que tea absolutamente necesaria |m querido entrar en la primera cuestión que anteriormente se había sus Ís1 limpie», desahogo y laborea da loa establecimientos piadosas 4 « citado a…</t>
  </si>
  <si>
    <t>…on los principales per»onages; pero lo que hay de seguro es, que tomasen en consideración estas obíejvacones. te cruzan los cornos de gabinete, y que los negocios se activan in El Sr. Galiano: La comisión ha tr.udo en este punto de asustar los finito. trámites de la ley antigua á los de la moderna, y ha considerado que las NOTICIAS DE ESPAÑA. garantías que aquel a ofrece á la liberta ! son mayor;» en esta p-r 1» Madrid Mdrcolts y dt Atril. indepen…</t>
  </si>
  <si>
    <t>…e la recusación, puesto que asi se in obligar á ello diciendo deberán. dicaba en la consulta de la junta suprema. El Sr- Galiano dijo que la comisión te conformaba con la obser El Sr. Galiano contestó: La comisión ee ha propuesto cqmo mode vación del Sr. Munarriz respecto á los periódicos i pero que en cuanto lo en esa materia la instrucción del jurado entre los ingleses. Allá i los demas impresos era mas cómodo y «palito que quedase un egem adema…</t>
  </si>
  <si>
    <t>…debe conceder igualmente ó unos que á Sr. Ruia de la Vega: Las Cortes me permitirán que en comprobar, otros. . cion de lo que se ba dicho redera jro un caso análogo que á mi me El Sr. Galiano: La comisión he convenido ya en que en un juicio de ht sucedido. En el primer jurado de acusación se verificó ci presentarse injurias están igualmente interesados el actor y el reo; y por So mismo uno como responsable del escrito, y recusar á varío* de loa ju…</t>
  </si>
  <si>
    <t>…Sr. Ojeroi La proposición que se discute es sumam.nte sencilla, blica , lo que se acababa de manifestar. pues que se reduce á fomentar nuestra agricultura protegiendo la salida E. Sr. Galiano: Las Cortes no necesitan dar un testimonio de que de los frutos nacionales. Acaba de manifestar el Sr. Ferrer que de que abominan las doctrinas sentadas en ese papel, porque es su obligación los extrangeros no exporten los productos de nuestro país nos result…</t>
  </si>
  <si>
    <t>…á la mayor miseria por falta de fondos con tinuase, porque no se consideraban reos acreedores á indu'to. que cubrir sus mas precisas atenciones, siendo uno de ellos la universi El Sr. Galiano insistió en qu: estas exposiciones no d&lt;b&gt;an pasará dad de Salamanca, qu; había hecho una representación á las Cortes la comisión, pues si se acordaba la amnistía, estos individuos no ten manifestando su triste situación ; la cual había llegado á tal punto, q…</t>
  </si>
  <si>
    <t>…ta, 20, órdenes que se han querido comparar con las del consejo de Casti apruebo el artículo que se discute. lla cuando mandó que los pueblos se suscribiesen á la Novísima Reco El Sr. Galiano: Si la cuestión se hubiera presentado desde el prin pilación; pero yo no puedo convenir en esto con el Sr. Adan, aun cipio bajo cierto punto de vista, yo creo que ya estaría resuelta. Fts que Sí convendré en cuanto á que en los pueblo* solo el cura , el médi…</t>
  </si>
  <si>
    <t>…ola las jurisdicciones de Yevenes de Toledo y Ye venes de S. Juan , y cionales tienen su bula.” de extender esta medida á los pueblos de Navalmoral, Kavalucillos, kl Sr. Salva: El Sr. Galiano ha inculpado á la comisión , manifes Cernlvo y demás de la provincia que se hallasen en el mismo caso; y tando que esta trataba de imponer á los pueblos una contribución mas en vi,ia del dictamen -del consejo de Estado que aprobaba la propuesta de las que pag…</t>
  </si>
  <si>
    <t>…s que habían hablado en esta discusión; y habiéndolo la América , ellas solas , sin haber costado mas desembolsos que su equi verificado uno de ¡os Srcs. secretarios , continuó el Sr. Galiano , y dijo po, hubieran reanimado el patriotismo hcró&gt;co de una inmensidad de que e,to era una de las cosas que mas importaban , y era mengua españoles, que conocen que la Constitución llena de todo punto ios para ia Nación española el que después de dos años q…</t>
  </si>
  <si>
    <t>…, dijo que todo* tres habían tenido igual concepto el alcalde constitucional era el que debería fallar. idea, igual egecucion é igual suerte; y que por consiguiente este último El Sr. Galiano manifestó que respecto de la primera objeción la era digno de igual honor que los demas, y. que aun se notaba la dife- ' comisión creía que el término mas conveniente era el que se habia pro rencia de que Lacy había sido fusilado cuando Vidal había sido ahor…</t>
  </si>
  <si>
    <t>Gáliano</t>
  </si>
  <si>
    <t>…Ta gracia dispensada i la de Barcelona por la misma causa.” en este asunto, pues d curso que debía tener esa pasar la propotí— Si leyó por primera vez la siguiente proposición del Sr. Gáliano: croo 4 la comisión para que diese su dictamen. Se.acordó que pasas* á la de Agricultura. » Pido que las pensiones señaladas por las Cortes en testimonio de la gra titud nacional i lot gefes de los egército* de S. Fernando y Galicia, Se leyó otra proposición…</t>
  </si>
  <si>
    <t>…o de mala fe, del Congreso. Repito que este es el grande interes que debe tener el yo le perdono por mi parte. Congreso todo para poder satisfacer é le Opinión pública, y comba El Sr. Galiano manifestó que en cuanto 4 la primera parte del dic tir todas las ideas que con este motivo se hen manifestado- Habiendo tamen de la comisión sobre la declaración solemne que las Cortes de acordado las Cortes que una comisión especial se encargase de reve.r el…</t>
  </si>
  <si>
    <t>…irse á una persona parece que la opinión de los tres individuos que hemos firmado el voto está en su lugar. sin formación de causa: ojalá que siempre se hubiese obrado con arre El Sr. Galiano dijo que fundado en las mismas expresiones de loe glo á esta máxima; pero creo que en este caso es inoportuna. Sa trata Sres. de k comisión, y en la enumeración de los hechos que referían, aquí de un servidor nuestro , y por consiguiente está en nuestras atri…</t>
  </si>
  <si>
    <t>…creto debían repo dar que el supremo tribunal de Justicia remitiese inmediatamente al de nerse en el estado que tenían en aquella fecha , no obstante las provi Cortes ta causa dei Sr. Galiano: que se manifestase á la sala segunda de dencias posteriores de cualquiera de los tribunales supremos; y después dicho tribunal ei desagrado con que ia» Cortes habían visto su proce de hacerse cargo del dictamen de la comisión de Legislación de la an der en e…</t>
  </si>
  <si>
    <t>…á este obj.to, y tratando única que propuso la consulta. mente de ilustrar á las Cortes , no aventuraría un hecho ni una ex El Sr. Meló, después de manifestar que la conducta del Sr. Galiano presión que pudiese comprometer su decoro. Si las Corles quieren en la anulación de las elecciones de ayuntamiento de Lucena era muy saber esta misma mañana cuál es el verdadero estado de este negocio, racional , y que precietmente debía tener este negocio un…</t>
  </si>
  <si>
    <t>…pués de haber sido rícelo el se diputado de la Nación , no de corporación alguna. Aquí no se trata de ñor Galiano diputado á Cortes, ¡qué facultades tiene el Gob-erno la causa del Sr. Galiano para que deje de ser diputado , lo es en ei día, para ejercer una función judicial, ni por que su declaratoria había de debe serlo, y yo sostendré por mi parte que debe continuar con este ser suficiente para que no fuese valida la elección r La Con&gt;t tucon pr…</t>
  </si>
  <si>
    <t>…ación; y que á lo comisión las poderosas'razones que hemos tenido para hacer estas re menos podía considerarse á estos interesados como cesantes. bajas con sentimiento nuestro. El Sr. Galiano contestó que la carga de los cesantes era inmensa, y Sin embargo no puedo menos de decir que á pesar de la necesidad que habiéndose decretado que se les prefiriese en la provisión de em qu* tenemos de fomentar el ramo de instrucción pública, hay otra ne pleos…</t>
  </si>
  <si>
    <t>…os que han de pagarse por los productos líquidos de teso de ninguna necesidad el hacer nueva declaración. rería general: que la separación de los gastos de la administración de El Sr. Galiano contestó que no veía razón alguna para que pu todos los demas del Estado era mujr oportuna, y mucho mas en el diéndose hacer el reconocimiento con dos señores diputados, se em caso en que se estaba de que todos ellos estaban aprobados ya por las pleasen cuatr…</t>
  </si>
  <si>
    <t>…tos. do de 400 ducados que disfrutaba. Igualmente se nombró pare la comisión de Diputaciones provincia La comisión de Hacienda, informando sobre una instancia del les en lugar del Sr. Galiano al Sr. Lodstcs, y para la especial encarga ayuntamiento de Gandía, en que pedia se cximie»- á aquella ci udad da de la exposición de varios oficiales del egercito de Galicia en lugar de i pago dei 19Í por too que le cargaba la contaduría de Propio» en un del…</t>
  </si>
  <si>
    <t>…n de que &gt;e nombre una comisión especial, se salvaran todas las dificul de que lo publ.qm y circule á quien corresponda para su cumplimiento. tades. Madrid 13 de Abril de 1812. K1 Sr. Galiano: Las Cortes no pueden to nos de reconocer la tras cendencia é importancia del código penal: pode. s..r que no se «ntwn- Con f-cha de 11 de e«t- mes me dice el Sr. secretario del Despacho da el art. 141 (que pido se lea ) como yo 10 entiendo (se leyó. ) Por de…</t>
  </si>
  <si>
    <t>…cnda, las Cortes debían dar un público testimonio del aprecio que le m.-ri.ea estas grandes pruebas de patriotismo. Con estemotivo hiro el nv.smo ^Td^íÍuztosV ilnto^^ T«.el seguro Sr. Galiano una proposición, 4 la que suscribieron otrosSres. diputa.o,, £tr ¡Sido «¡mi-® * ¡8“'“ cemmonim rmpecto del n.fio que hs- reducida 4 lo siguiente: í.d.doáluz U Sra. Infanta DoBa María Francisca de Asís; y que ha- n Pedimos 4 las Cortes se sirvan declarar haber…</t>
  </si>
  <si>
    <t>…e subsista este cuerpo, cuando menos, hasta el arreglo definitivo de El Sr. secretario del Despacho de la Guerra dijo que á este proyec la guardia Real. No estoy de acuerdo con el Sr. Galiano acerca de que to de decreto había dado ocasión un dictamen de la comisión de Ha la brigada de Carabineros no tiene una existencia legal, porque está cienda sobre los excesivos gastos que acarreaba la brigada de Carabine autorizada para existir como los demas…</t>
  </si>
  <si>
    <t>…, Falcó, Adan, Calderón, Baño, Melendez, Becerra, Oralle, en contra del dictamen,entre ellos los Sres. Casas, Lodaresparques de Escovedo y Sr. presidente. la Merced y Tomas; y el Sr. Galiano dijo: un incidente desagradable, Los señores que lo desaprobaron fueron los siguientes: Cuadra, Ta que puede ser efecto de un hervor de las pasiones, no debe perturbar el beada y Lamas. progreso de esta discusión. Una vez que el Sr. Me!o ha sentido una li Se…</t>
  </si>
  <si>
    <t>…neficios á la causa de la libertad, y tea esio dicho en be prorogó en seguida la sesión por una hora mas. su desagravio. Todas lat cosas de este mundo están expuestas al abuso, £1 Sr. Galiano: En el curso de la discusión se han mezclado 'doc y no por eso hemos de prohibir de una vez las cosas para evitarlos. No cuestiones que versan sobre puntos diferentes; una de «lias, la princi . son los abmos los que arredran i los gobernantes, respecto de las…</t>
  </si>
  <si>
    <t>…Sr. ViUaboa dijo que se trataba de una duda de una ley , y por comisión que entendía en los negocios de Cataluña. lo mismo debía pasar este asunto á ia comisión de Legislación. Ei Sr. Galiano r Pido que se me diga fin primer lugar por qué ley El Sr. Prat dijo que estando todos los antecedentes en la comisión estamos nosotros autorizados para conceder un indulto : yo er-o que co de Casos de responsabilidad, debía pasar á ella la exposición que acom…</t>
  </si>
  <si>
    <t>…men debía volver á la co Impotencia; mas no por eso deben dejar laa autoridades de estar vigilan misión. te* , antes bien deberán procurar redoblar sus esfuerzo* para reducir 4 El Sr. Galiano dijo que si en la opinión de todos los que no ha la nada á los alborotadores tusos que tanto han provocado el rigor de blan admitido á discusión este proyecto contuviese el mismo medi las leyes , y vituperado la dulzura, prudencia y moderación de los que das…</t>
  </si>
  <si>
    <t>…esorería general celebrado en 1- a l ma anuía. guir la ca rrera militar i los que viniesen buscando asilo á España. La comisión segunda de Hacienda, informando sobre ia so.ctui El Sr. Galiano manifestó que ya se babia decidido no admitir tro de varios vecinos de Vilianueva del Campo, para que se Íes adoime- n pas extrangeras en el servicio; y que debiendo componerse el egército en pago de contribuciones varios cred.tos costra ct Luido, op.caoa de…</t>
  </si>
  <si>
    <t>…tario del Despacho de U Gobernación d: Ultramar con consideren mas oportuno. fecha de ayer dice desde el Real sitio de Aranju-'z lo que sigue: Se leyó la siguiente proposición del Sr. Galiano: » Pido que decla »SS. MM. y A A. continúan sin novedad en su -mportantc salud." ren las Cortes que no ha lugar á deliberar sobre este punto.” Circular íiel ministerio &lt;ir la (surrra. Su autor para apoyarla dijo: Los datos que movieron á las Cortes Los Sres.…</t>
  </si>
  <si>
    <t>…ombros; y la marcha lenta y oscura que se obser nistas. Aprobado. vó últimamente eb el Gobierno fueron reanimando las pasiones ama*Se procedió á la disensión de le proposición del Sr. Galiano para tiguadas , presentando oportunidad 4 las maquinaciones extrangerai, que se declare no haber lugar á deliberar sobre la exposición del ayun acalorando los ánimos, sembrando sospechas, y conduciéndonos apre tamiento de Lores. suradamente 4 la situación en…</t>
  </si>
  <si>
    <t>…eyes y su eterna fe- constitucional, en perju:cio de la causa de ia l.bertad : y mientras nos f icidad.*’ consumimos con esta especie de guerra, se están fraguando revoluciones El Sr. Galiano : Siento sobremanera que el mal estado de mí salud en diferentes puntos, de que nos ofrece un egemp o bnn notable la ate prive hoy de extenderme como deseaba sobre estos asuntos, que he provincia de Cataluña. Veo que se conserva en ¡os mandos poiít.cos á mira…</t>
  </si>
  <si>
    <t>…n su que poco decoroso; repito que me comprometer.* solemnemente i ello. voto dieron una muestra de su desagrado en esta parte ; y yo solo pue El sr. Adan: La imaginación viva del Sr. Galiano ha indicado al do compadecer la triste situación en que se encuentra el gefe de esta recorrer los diferentes mínetenos causas partí cu. ares , que en concepto secretaría. Miseria, abandono y destrucción completa; he aquí el esta de dicho señor debían formar p…</t>
  </si>
  <si>
    <t>…, y ae bacía preciso que ae insistiese en esu idea pira maídos de las provincias. que S. M- la tomare en consideración. Que tampoco debía perdene.de vina otra cause iadicada por d Sr. Galiano, ¿ saber, ia intervención Metes. Valorde rtgittro.del derecho Idems*liado.del papal • Idemde cambio.de letras de nee naaao ocetta auxiliada del iadujo de algunos malos conseje*', roa, que bien bel lado» con el desoriento, minaban para destruir la liber Enero.…</t>
  </si>
  <si>
    <t>…isión ; opinaba que pasase al Go tienen los extranjeros en nuestras convulsionas, panto sobre d que bierno para que lo informase, devolviéndolo después á las Cortes. hab.ó ayer el Sr. Galiano y otros varis» señores, no puedo roeos» sle Aprobado. decir qa? no me hacen fuerza las razones que se han alegado para de La misma comisión , informando sobre una exposición del ayunta mostrar que los negsicisM dd Gobierno español cerca da algunas nació mient…</t>
  </si>
  <si>
    <t>Galíano</t>
  </si>
  <si>
    <t>…ento al ver en al.iums de sus te todo choque entre ellos. principales provincias entregado el gobierno en manos poco expertas, A esto me parece se han reducido las reflexiones del Sr. Galíano; por en sujetos que no gozm {leí amor da ios pueblos." ; Y quunJs son es lo demas yo desearía que desde luego nos hubiésemos ocupado de si el tos sugetosi ;Cómo se han de remadiar estos tnahssi no se expresa ter mensage efectivamente comprendía ó no comprendí…</t>
  </si>
  <si>
    <t>…ebían comprenderse en el decreto para evitar la confusión que Castellón........... 188,0/9................... *33.4 podría resultar. Chinchilla........ 186,260........... 131,1 El Sr. Galiano manifestó que habiendo expuesto el Sr. Becerra lo Ciudad-Real.... a96»S *5............ 2 10,4 mismo que él tenia que decir, solo añadía que interesando á la Nación Córdoba........... 337.105............ ...... *39&gt;S que el reemplazo «e hiciese lo mas pronto p…</t>
  </si>
  <si>
    <t>…rque les parece demasiado lesiva ó poco conforme á sus intere que se omitiesen. No hubo lugar .á votar. se*, ¡las Curtes venideras no podren hecer lo mismo con cui'quier c-trr» El Sr. Galiano dijo que desearía saber si este dictamen debía ó contrato? ¡Qué motivo de confianza podrá tenerse cor. una Nacicn que no volver á la comisión. asi s- conduce? Este es el pT,mer efecto que p. Jr¡a producr la decla Fl Sr. Arguelles manifestó que no podía hablar…</t>
  </si>
  <si>
    <t>…iar toda ia plata del palacio de las Cor bía volverse el dictamen i la comisión para que le rectificase. tes , sin otra recompensa que el honor de hacerlo. Las Cortes lo oyeron El Sr. Galiano contestó que desearía que los Sres. que implicaban con a. rado, y mandaron pasar á la comisión del gobierno interior. el dictamen de la comisión se pusiesen en su lugar, pues entonces se La crnns on «le Instrucción pública, en vota de la instancia del guramen…</t>
  </si>
  <si>
    <t>…dos en el decreto de 11 de Setiembre , y no lo estaban en el articulo ra y en principios de -Marzo de 18jo. que te discute por la restricción que envuelve le palabra proclamar. El Sr. Galiano dijo que rogaba á loa Sres. diputados que impugna El Si. Galiano contestó que ninguno estaba mas pronto que la co ban el dictamen que no continuasen el cotejo entre el egército de San misión á hacer a la benemérita guarnición de Madrid la justicia que la Fern…</t>
  </si>
  <si>
    <t>…alizaciones que pro ción dd Gobierno, pues que estaba persuadido de que todo el Congre ponía la comisión. so no dejaría de cormeer que en las circunstancias en que nos hallamos El Sr. Galiano manifestó que la comisión no había hecho mas en era preciso poner une fuera respetable sobre las armas; circunstancias este asumo que lo que se acostumbraba en la economía doméstica, esto en que el Gobierno se encontraba sin recurso alguno pora frustrar la es…</t>
  </si>
  <si>
    <t>…que ahora la discusión recaía sobre el de los Sres. Riego, Gra a gastos fijos y á imprevistos. ses y Galiano. El Sr. Arguelles manifestó que seria ana inconsecuencia autorizar El Sr. Galiano dijo que el asunto estaba ya resuelto, y mediante i al Gobierno para que pudiese disponer de la fuerza que pedia, y no que el primer voto se hallaba aprobado y acrisolada la conducta de los otorgarla los medios para mantenerla. Despuea de apoyar esta idea con…</t>
  </si>
  <si>
    <t>…ontestó que esto embarazaría la op ración, por lo miente» juzguen que pucrien desempeñar ambas obligaciones.” cual la comisión habia creído conveniente el que a todo aquel cuya El Sr. Galiano manifestó que no debía coartarse la voluntad i nin propiedad no llegase al valor de la suerte , se le diese esta por entero. gún dispénsa lo para entrar en la milicia, con tal que el ayuntamiento El Sr. Guevara fue de opinión que solo se diesen las tuertes á…</t>
  </si>
  <si>
    <t>…uno de los artículos separada mas pausa y detenimiento con el mismo fin.*’ Con esto creo haber con mente. Cuando s? trate de cada una de estas medidas, entonces vendrá testado al Sr. Galiano. bien el examen de los males que con ella se quieran remediar , y enton El Sr. Romero manifestó que el Sr. Galiano se había dirigido con ces vendrá bien el que ia comisión nos instruya sobre este asunto; y me sus observaciones á impugnar el preámbulo del dict…</t>
  </si>
  <si>
    <t>…es, puesto que de lo contrario todos queman decir que eran acordando te pidiesen al Gobierno ciertas noticias. Se mandó qu.dar los acometidos y no los agresores. sobre la mesa. El Sr. Galiano ha tocado una medida y una ¿poca que no es la La misma comisión , en vista de la queja de D. Antoün Garc's, primera ves que se ha tocado en el Congreso: esa medida y esa ¿poca vecino de Colmenar Viejo, contra el cura párroco de aquel lugar , por pertenecen ya…</t>
  </si>
  <si>
    <t>…tivo pidió que el » SS. MM. y AA. continúan sin novedad en su importante salud} articulo vo'viese i lá comisión. y la Serma- S». Infanta Doña María Francisca sigue con alivio.* El Sr. Galiano dijo que este artículo era una consecuencia del pri mero, y que le parecía muy bien que una junta de contribuyentes tra Los Sres. diputados secretarios de las Cortes me dicen en 4 del ac tase sobre el modo de llenar el cupo de las contribuciones. tual lo sigu…</t>
  </si>
  <si>
    <t>…y en una propia hora sea publicado la grande cuestión de si eran ó no útiles los puertas francos. A petición este bando en toda ella, mandaré, de acuerdo con el Sr. comandante del Sr. Galiano se mandó impiimir dicho dictamen y los votos par militar de la misma , suspender toda acción á las fuerzas que operan ticulares. ejecutivamente contra las gavillas de facinerosos que existen , con el Él Sr. Oliver presentó una exposición del ayuntamiento de M…</t>
  </si>
  <si>
    <t>…ia inserta en la todos los altos; mientras están reunidas las Cortes tiene qoe atender á Gaeeta de ayer.y una infinidad de negocios; y últimamente sin darle otro*auxilios, pues El Sr. Galiano dijo: Me opongo.! rata proposición, por hallarla de lo contrario seria establecer una especie de poder cgecutivo, es im contraria á la Constitución , pues coarta nuestros poderes , aunque i pri posible que pueda desempeñar completamente este encargo. En buenm…</t>
  </si>
  <si>
    <t>…jo que en este particular creía también que debería El Sr. Caadra dijo que loa deseos 4*1 Sr. Infante qnednrin satisfe corregirse el srticulo. chos si se aprueba la medida ■ j. El Sr. Galiano manifestó que creía que loe gefes políticos no debita El Sr. secretario dd Despacho de Gracia y Justicia dijo que laa pegar las cony ¡tes cívicos, é menos qae se les señalasen tas cantidades indicaciones del Gobierno con respecto i los prelado* de Cata uña ha…</t>
  </si>
  <si>
    <t>…. 9&gt;. *’ Las insignias se depositar,n en las salas del ayunta ción ultramarina, nacida de causas inevitable. miento , de donde no podían extraerse sino p,ra Ir.s casos en au ha El Sr. Galiano dijo que de las mismas razones alegadas por el »e- ya de formar»e la milicia , y con el permiso de ios alcaldes.” Aprobado. fior Romero en apoyo del dictamen se deducía el argumento mas Art. 93. •&gt; En la creación de los cuerpo* se bendecirán tas insig fuerte…</t>
  </si>
  <si>
    <t>…y cuatro vu.aies sa---: s par si.r.c' donde hub -r. rn-;c, se perjudicial, y en ledes cases in ís.az. conr.por.drs icio dei g. fe y de eos socales; -a» fu.tas de tilos s: s_:.üEi Sr. Galiano apoyó te prcpasic.cn con varias de tas razones ya tu r n de. rr.cúo irii uo en e: art 129. expuestas a añadiendo qu: no debía Geu.ta.-se a las Caries el :r.!t.j|u q»e Art. 137. » Cuando U mi'.cit local fi.2za srrvíc:o en p'az» s ti ’r, lema en cualquier asunt…</t>
  </si>
  <si>
    <t>…uanto qu t ese el Gob ernó por él miedo de que no les quitase entrega del dinero en tesovería.” sus desl nos. Los Sres. Lodares y Prado hicieron varias observaciones sobre asta El Sr. Galiano apoyó el art-'cu'o, hzcíendt*i presente que aunque es artículo, manifestando que eato* apremios no debía pagarlos todo el taba conforme en que los gehs * qn nri rt ,-t gi.-s; la rnponsab.lidad pueblo en gen. ral, sino solamente el d odor. deberán ten r alguna…</t>
  </si>
  <si>
    <t>…consejo de Estado tobre el mismo vinciales por resultas de la visita que deben hacer del estado de la Ha •tumo. cienda en los pueblos informen al Gobierno circunstanciadamente 'El Sr. Galiano dijo: Tan íntima conexión tiene la memoria que se sobre esto y sobre la conducta de lot empicados, y tu adhesión al sis va a discutir con ias proposiciones del Sr. Sánchez, que parece imposi tema constitucional. ble tocar este asunto sin tener presentes ambos…</t>
  </si>
  <si>
    <t>…er sus deudas, habiendo de hacerlo con intervención del comisio fl Sr. Arguelles manifestó que se oponia enteramente á la idea nado del Crédito público. Aprobado. propuesta por el Sr. Galiano, pues las Cortes t: hallaban en el caso La comisión segunda de Hacienda opinaba que d:bía concederse á de hacer valer un derecho no inútil, sino es un derecho y una existen la viuda de Juan de Moya la viudedad que solicitaba por el Monta cia r al y reconocida…</t>
  </si>
  <si>
    <t>…convenido el da la medida 7.1 mismo Santiago , y por lo mismo opinaba que las Cortes podían admi Asimismo se aprobó la 8.* tir la dedicatoria hecha por el interesado. Aprobado. El Sr. Galiano hizo una adición , relativa i » que toda negociación El Sr. Scmoza leyó una exposición del Sr. diputado Riego, en la •c entendiese sin admitir mediación de potencia extrangera;” y pata que manifestaba que ia connsicn de Casos de responsabilidad no había apoya…</t>
  </si>
  <si>
    <t>…Aprobado. el tercero, quedando elegido el Sr. Diaz del Moral. La comisión de Agricultura , en vista de una exposición de virios La comisión de Ultramar, en vista de la adición del Sr. Galiano labradores de la provincia de Córdoba para que no te les exija detecho al informe de la misma sobre la memoria del Sr. secretario de la Go de pontazgo cuando llevan á pacer sus ganados, opinaba que pod:a au bernación da Ultramar, para que toda negociación en…</t>
  </si>
  <si>
    <t>…e manda pero lo que expresé , según creo, fu-’que al formarse la guardia Real do suspender dicha provisión. de caballería estos individuos tendrían opcion á venir á ella lo mis El Sr. Galiano presentó una exposición y documentos de un ex mo que los d mas del ecérclto. Contrayéndome al artículo diré que la tranjero perseguido por adicto á la causa de la libertad , solicitando que razón que la comisión ha t nirto para ponerlo en estos términos es se…</t>
  </si>
  <si>
    <t>…bían satisfacerse de los Rula de la Vega y Ramírez de Amilano, contrarios i lo resuelto so 10 millones que debía haber de economía en el sistema administrativo. bre la adición del Sr. Galiano acerca del dictamen de la comisión de Apiobado. Ultramar ubre la m mona del Sr. secretario del Despacho. Los de los b - procedió á ia d scusion de! dictamen de la comisión Eclesiástica Sres. Marau , Oliver , Ojero, Alix , Ruiz d: ia Vega , Buruaga , Diez sobr…</t>
  </si>
  <si>
    <t>…aron al Gobierno á poner sobre las armas la milicia los comunicase, y entonces los enviaría á las Cortes. nacional activa fue haber hallado en el egército permanente un déficit El Sr. Galiano: Cuando los apuros en que se encuentra la patria en de io9 hombres. Yo conozco la necesidad que hay de tomar una acti estas circunstancias son tan notorios, no se necesitan memorias para tud imponente; pero también es preciso que cuando se quiere que la proba…</t>
  </si>
  <si>
    <t>…a medida en cuestión, á fin de que las Cortes se sirvan parados d¿ las mitra* ya no tienen que cumplir con ist: sagrado deber, desecharla. bastante será para sostenerse lcD rs. El Sr. Galiano: La comisión te halla en un terreno desventajosísi Discutida suficientemente esta medida, quedó aprobada en estos tér mo, y se ha aunirntado con el c'ocuents discurso que acaba de pro micos: » Se encarga á la prudencia del Gobierno el señalamiento de mane.ar…</t>
  </si>
  <si>
    <t>…que tad enunciada, y prueba cuán distante está de tratar de arrogarse facul • se leyese el 107 del mismo. tades que en boca de alguna* persona* ct una especie de arbitrariedad. El Sr. Galiano pidió que se leyesen los artículos del reglamento No lo es, sefior; el Gobierno está dispuesto á tomar las medidas ne que tratan del modo con que han de conducirse los aefiores diputados cesarias para salvar i la patria «in traspasar jamas una línea los decre…</t>
  </si>
  <si>
    <t>…es repe Este artículo no puedo aprobarlo por el modo con que está con tidas á derogar la citada cláusula. cebido su final, pues dice que estos empleados no podrán resistirse ds El Sr. Galiano: Al paso que esta cuestión va progresando se va manera alguna á esta traslación, aunque renuncien sus sueldos. Bien aumentando la desventaja del terreno en que se encuentra la comisión. sabido es el pacto que subsiste cutre el Gobierno y los empleados; y Por…</t>
  </si>
  <si>
    <t>dades tunen mas vigor , como ha dicho muy bien el Sr. Galiano. No crea que esto ba ocasionado el progreso de nuestro* malea. Yo llamo se trata aqui de dictar una medida perpetua , en cuya caso estarían la atención del Congreso sobre lo que se hizo en el año ao, y lo que se muy bien algunas de las reflexiones que se han…</t>
  </si>
  <si>
    <t>…nsado con el establecimiento de cuando la amenaza exdus vamente el exterminio de su existencia políti sociedades patrióticas | en donde puede explicarse la opinión pública, ca. El Sr. Galiano, á quien particularmente me dirijo en este momen to , sabe que la historia no» ofrece constantes egemplos de esta verdad: que es el freno mas poderoso de la arbitrariedad y del abuso; queda compensado con la responsabilidad que siempre carga sobre el Go él pr…</t>
  </si>
  <si>
    <t>…á un proyecto de decreto que no se habí* puesto aun en discu en las poblaciones grandes; en ella», aunque existan conventos, las au sión. toridades pueden vigilar sobre ellos. El Sr. Galiano contestó que no porque se aprobase esta medida re La comsion también ha tenido presente que no es posible extin caería la misma aprobación sobre el proyecto de decreto que trataba de guir el estado religioso, cuando el erario no se halla en disposición de pre…</t>
  </si>
  <si>
    <t>…al, seduciendo á lo» ignorantes, y la Uy sobre monaca.es, y que una ley no podía derogarse sino por propagando notici.s falsas. mtd o de otra. Extracto de notieiat extranjeras. El Sr. Galiano contestó que el origen y modo con que s: había Aunque las sesiones ds Cortes y 10» negocios de lis provincias fron discutido la medida presentada por la comisión le responderían á o. S. terizas a ia Francia nos pr.ran de poder cxtend-rnos por ahora en la de s…</t>
  </si>
  <si>
    <t>…r la reunión, y en fin otraa varia* ya acordado, sino únicamente que preceda declaración de la autoridad cosas. competente , con arreglo á los cánones para deponer á un obispo. £1 Sr. Galiano contestó que si se complicaban las leyes con mu El Sr. Canga : El Sr. preopinante supone que el asunto 4 que se ha chos artículos era el modo d: que no se ti puntualmente» y referido se ha resuelto por las Cortes con una precipitación criminal; se abria un ca…</t>
  </si>
  <si>
    <t>…rdar la rama pedida por el milicia activa dando principio por la primen divís.i.n , j ^u; Gobierno. insuficiente esta cantidad pata llenar el obj-to qu; s: hab í p:op;ir»to . 1 El Sr. Galiano: E* bien tábido que hay una porción de plaza* de Gobierno, te habían quedado sin vestir otros batallones ó- ia m:l cía. grandíaima importancia en laa cualea *e halla tu fortificación en un El orador hizo otras varias observaciones, y concluyó dic-rnco que de…</t>
  </si>
  <si>
    <t>…del egército á En cuanto á la del Sr. Gómez Becerra á la medida 13 para que des petición drl Sr. Aillon. pués de la palabra magistrados se añadiese » y jueces ," era de opinión El Sr. Galiano; Con la mudanza de la palabra acantonamiento se que debía aprobarse. Aprobado. han desvanecido algunas dudas que tema; sin embargo voy á presentar Se acordó que no pasara é la comisión una adición del Sr. Munar- todavía alguna observación. Los «pañoles (dice…</t>
  </si>
  <si>
    <t>…s. Aguirre, Becerra, Garoz, tienen , porque las Cortea las pueden variar cuando lo tengan á bien. Valdés (D. Dionisio), Belmonts, Raillo, Tejaito, Garmaadia y Cal Yo preguntaré &gt;1 Sr. Galiano si an todas las leyes que se han estable- derón para componer la comisión encargada da formar las ternas de cido en todos los paites del mundo no se ve que esten arregladas á laa los visitadores que han de examinar las cauta* da conspiración falleci circunsta…</t>
  </si>
  <si>
    <t>…oyecto de nin los ciudadanos amantes de su patria la conservará; y no encuentro un gún modo puede aprobarse. testimonio mas solemne para creer que las medida* no son peligrosas El Sr. Galiano: Todas las pasiones se han puesto en movimiento que esa alarma y esa contradicción que se experimenta. Interin vea este al impugnarse el proyecto que presenta la comisión , y yo al defender ardor por la libertad, ese entusiasmo de los pueblos cuando son libre…</t>
  </si>
  <si>
    <t>…iciones que casa con el objeto de ver si en ella se halla algún contrabando , porque traigo aqui escritas. aunque te hallase en ella, v. gr., tabaco , ya sé las penas en qus in El Sr. Galiano: El Sr. Canga, individuo de la comisión,. ha teni curre el que tiene géneros estancados; pero el registrar los secretos de do á bien hacer unas adiciones durante la discusión, y las ha anuncia la familia es muy diferente : en ellos están muchas veces su honor…</t>
  </si>
  <si>
    <t>…ica, que pido esta providencia , el individuo que se hallase eu el caso del artículo se lea. (Asi se hizo.) recibiría mucho honor en ser pasado de las banderas de la rebelión á El Sr. Galiano: Para adoptar esta medida ha tenido presente la co las banderas nacionalet. misión que se trata de una clase de hombres que aunque cometen un El Sr. Aillon : Por mas que se diga en apoyo de este artículo no delito puede decirse que no son criminales; por tsnt…</t>
  </si>
  <si>
    <t>…ropusi-ra d-ifur el orj-n sucia'. Para esto bu-ciria el mrdio de bién respecto de los diputados á Ccrt-s. asegurar á lodos ius individuos que forman el poder egecutivo, y había El Sr. Galiano: La comisión se ha visto en este asunto en una po- logrado su intento. La comisión está bien persuadida de que no hay nada sic’on muy delicada: se le proponía en la adición de que se ha lucho mas importante que la representación nación»!; pero componiéndose m…</t>
  </si>
  <si>
    <t>…sirvan ser mas generosas en los presupuestos que mente por el ministerio de la Gobernación ó de la Guerra. lo ha sido la comisión en su dictamen , llevada sin duda de un deseo El Sr. Galiano dijo que habiéndose expuesto par los señores pre noble. opinantes todss las razones que tenia que exponer i la consideración del Se declaró haber tnger á votar sobre la totalidad del proyecto, y Congreso, solo le quedaba que añadir lo conveniente que seria qu…</t>
  </si>
  <si>
    <t>…tar ia idea del Sr. Ar diputaciones se hallen en este caso Se dirá que aunque ésten terminadas guelles. las sesiones puede reunirse de nuevo la diputación para hacer de jurado, El Sr. Galiano: No te me oculta la fuerza de los argumentos del pu-s las s -siones que para el efecto tengan no se comprenderán en las Sr. preopinante-, pero si el jurado ha de organizarse en los térmínoe ordinarias; p ro es preciso observar que estos individuos egercen sus…</t>
  </si>
  <si>
    <t>…e a las Cortes dependencia , los resultados serán los que he manifestado. al aumento de esta fuerza exttangeta. Con respecto á las demas personas 4 quienes comprende la adición El Sr. Galiano; Para probar que el Sr. preopinante ha incurrido en no es menos necesaria su independencia para sostener el equilibrio del una equivocación , suponiendo que la comisión propone el aumento Estado; y si para esto se ha creído oportuno establecer una excepción d…</t>
  </si>
  <si>
    <t>…del Gobierno, se prue caso m que S. M. no crea necesaria la sanción: asi que, «ta « tama- ba que necesitan de la sanción. mente útil. El Sr, Argííell« deshizo una aquívocacion del Sr. Galiano. Ademas si la propuesta hecha por S. M. fuera lo que han decreta El Sr. Ruiz de la Vega: Aunque couoaco que la resolución de las do las Cortes, entonces no era tan necesaria la sanción; paro la minu Cortes ha de ser enteramente contraria á Jo qua yo trato de…</t>
  </si>
  <si>
    <t>…peí rerr-i o de c&gt;.r.|var*v... uc&lt;c:&gt;.s cuAiig*a i. 0 u-.lit;.; en y el reglamento. nos arr.b ci. sos el cbj.tu c. se. .1. pta»*.los pro ect.m U1 sugvto * que ha bicho alusión el Sr. Galiano, qu* fue et celebra Pu-s si ta *s sur. r.r; stra, rcuss , tal-# nuestru irtttnc'on-J y tsl M.i.b.au , dijo en la asamblea constituyóte qu* en *1 memento *n nueetri conducta, es ir.n gabie qu- trnrmrs rtir chúi *x ¿ir qu as que se decretas* alguna ley para pon…</t>
  </si>
  <si>
    <t>…cargo da varios argumentos qua se hicieron ayec los pasaportes de los que quieran emigrar i país ext:rangero. en favor del dictemen de la comisión sobre ei grave inconveniente El Sr. Galiano: De ninguna manera podía la cernís on proponer r.iemis las circunstancias y mucho una nuava contribución en actuaíai, do que resultaba sa quería la resolución la interpretación de dar i Í|us por venia propuesta cuando no si Gobierno. tuvo tam La comisión de a…</t>
  </si>
  <si>
    <t>…o , y acuda á extinguir los incendios que se originen por cualquie de la comisión que reformen este artículo. ra causa, evitando los desórdenes que eu estas ocasiones producéis El Sr. Galiano: Yo estoy conforme en que llegado el caso de de confusión. clararse una plaza en estado de sitio , desde aquel momento debe tener Art. ao. » Igualmente podrá guarnecer con ella los parages menos el gobernador ó comandante de la plaza todas las facultades qu;…</t>
  </si>
  <si>
    <t>…de elta no poírá variar el orden y reglas que el propietario nacional local siempre que haya de lomarlas le dará conocimiento.” hubiese establecido sin 11ra necesidad urgente. El Sr. Galiano manifestó que aprobaría el ail'vuio si la comisión Art 7" *» No se e.-cuiirán fiestas nía to alguno público que pueda añadía una cláusula reducida á que siempr: que se reuniese un regimien i-r motivo de juntarse muebo pueblo donde hubiere tropas de guarni to…</t>
  </si>
  <si>
    <t>…en-ral del distrito, de todo lo que haya pasado en la pla que pido en Ja proposición que se discute. za en el anterior relativamente al servicio , disciplina y egercicios de la El Sr. Galiano: El Sr. preopinante dice qua no inculpa á la comi tropa de su mando, sin que obste para informar extraordinariamente sión con la preposición que ha presentado; peto yo creo que en el he sobre los acontecimientos qu así lo exijan. cho de pedir á las Coites que…</t>
  </si>
  <si>
    <t>…te misión no tendrán inconveniente en adoptar la idea del Sr. Infante , y artículo aquel dignísimo patriota. que al tratar de poner en el salón de Cortes un emblema del 7 de Ju El Sr. Galíano: Si mal no me acuerdo, ya se ha aprobado el artí lio , se ponga también del i.° de Enero: yo por mi parte no lo tengo. culo que previene que te inscriban los nombres de los que perecieron El Sr. Aillon : Convencido por las razones del Sr. Infante , creo i con…</t>
  </si>
  <si>
    <t>…r te» sobre un expediente en qu- sí han cvurc,Jo ¡a. m...~as. Se puso a discusión el voto rtri V. Carca. ■ ?» rróas particu'a- mutación provincial : entonces comcuc a o. o. que Eí Sr. Galiano: Suelen d.sfmrarse m icha, veces estaban de hecho incapacitados para el caso ; porque si bien entonces res de los hombres ; quiero decir , ia, de tm siad v par^ alidad , q„c sg tan ocupaban aquellos pu-stos, en el día se encontraban scpnados de ellos, general…</t>
  </si>
  <si>
    <t>Galiano, Alcalá</t>
  </si>
  <si>
    <t>Alcalá Galiano</t>
  </si>
  <si>
    <t>…mente te derivan unos de otros. Son putación permanente que el Rey había mandado exigir la responsabili muy originales los personaga que representa, enapecial la Gitana por dad al Sr. Alcalá Galiano por haber anulado la elección de ayuntamien su sagacidad y por su ánimo noble y desembarazado: los careciera de to de Lucena para el año pasado en calidad de gefe político que era en los tra ingleses no ton menos origínala, y forman muy gracioso con tonces de…</t>
  </si>
  <si>
    <t>…Demcnech, Somoza, Llórente, Rojo, Muro, deres hasta que se decida á su favor la causa que se le mandó formar. Ruiz de la Vega, Canga , Gil Orduña, Rico, Baiges y Oliva, Murfi, El Sr. Alcalá Galiano: En este asunto vamos extraviándonos de la Salvato , Villanueva, Ferrer , Ojero , duque del Parque, Meca, Seoacuestión , y no hacemos mas que excitar las pasiones; llegará el dia en ne, conde de Adanero , Vela seo, Robinat, lbarra , Reillo, Navarro que los as…</t>
  </si>
  <si>
    <t>…ederte sin k averiguación del cho que se buscasen, se han encontrado en ei lugar donde menos sn esperaba. hecho. Ha d:cho uno de los Sres. preopinantes que este asunto debia mi El Sr. Alcalá Galiano: Siento mucho el adoptar la severidad en aingun caso; pero en el actual no puede prescindir*; de ella , y no pue- rarse gubernativamente, bien por la secretaría de Cortes, ó bien por la comisión de Gobierno interior; pero ni por parte de la secretaria ni do m…</t>
  </si>
  <si>
    <t>…ial sobre la memoria presentada por los se que juague á propósito, aunque no sean cesantes ni goz n su.id- , con ñores secretarios de Esudo y del Despacho en 1 a del corriente. El Sr. Alcalá Galiano ocupó la tribuna , y leyó el discurso que tal que hayan dado pruebas positivas de adaes.oa al sistema con.muprecedía al dictamen , reducido á que en las circunstancias en que ac cional. tualmente se hallaba la Nación . dividida parte da ella en facciones Todo…</t>
  </si>
  <si>
    <t>Galiano, Antonio Alcalá</t>
  </si>
  <si>
    <t>Antonio Alcalá Galiano</t>
  </si>
  <si>
    <t>…ela até escrita por el gé por los Sres. D. Francisco Javier lsturiz, D. Pedro Juan Zulucta, Don nero de la celebrada del inmortal Cervanta, titulada Persila y SigisJoaquín Abreu y D. Antonio Alcalá Galiano, y un oficio del Señor munda, y aunque son muy complicados y enredosos los lanca , están ministro de la Gobernación de la Península, en el que decía 4 la Di tan bien enlazados, que naturalmente te derivan unos de otros. Son putación permanente que el Rey habí…</t>
  </si>
  <si>
    <t>…comisión , se podrí resolver con conoci Justicia , acerca de la remisión de ia causa mandada formar al Sr. dipu miento A causa. ToÁ lo Amas es querer que se hagan tas cesas A tado D. Antonio Alcalá Galiano sobre la anulación de as elecciones un modo inmaturo y precipitado. del ayuntamiento de Lucros, y en la que estiba entendiendo la sala se A petición Al A. Oitvcr se leyeron algunos artículos A los decre gunda de dicho supremo tribunal • la cual, después de ot…</t>
  </si>
  <si>
    <t>Galiano, Diego Alcalá</t>
  </si>
  <si>
    <t>Diego Alcalá Galiano</t>
  </si>
  <si>
    <t>…ribuciones atrasadas, da Cañar .as. D. Pedro Porro Cidoncho, fiscal, á lado Valencia. con arreglo I lo mandado por las Cortes, del mismo modo que circu De la audiencia dt Gaiieia. D. Diego Alcalá Galiano á la da Aslan los créditos sin ínteres contra el Estado, expedidos por el Crédito túrias. público. De la audiencia de Granada- D. Josef Ruiz Caballero á Valen j* » Que subsista la suspensión de las liquidaciones pendientes, se cia. D. Gonzalo de H -r-Hia á Se…</t>
  </si>
  <si>
    <t>Galiano, Fausto</t>
  </si>
  <si>
    <t>Fausto Galiano</t>
  </si>
  <si>
    <t>…s Ot ros cuatro de la comisión primera de Hacienda para que sa ejecutivos que la junta directiva, de acuerdo con ¡&lt;1 comisión de las conceptuasen habilitados para obtener destinos D. Fausto Galiano, Don Cortes, tuvieren por oportuno, i incorporar al Fstado todas las finca', JosefGonaalez Cosío, D. Juan Campo y Pantojay D. Manuel Fran censos y derechos pertenecientes á las hermandades, cofradías y demas cisco Fernandez. aplicadas al Crédito público , «ju…</t>
  </si>
  <si>
    <t>Galiaoo</t>
  </si>
  <si>
    <t>…ras AreUaao pan vol El Sr. Infante: La comisión esté de acuerdo con ios principios ge ver á su provincia, y permanecer an ella por al tiampo da trae meen nerales que ha tentado al Sr. Galiaoo; para ha extrañado que se dé i con el objeto de recobrar su talud. estas ordtnanzas un carácter de permanencia, que verdaderamente no El Sr. presidente nombró í los Sres. Aguirre, Becerra, Garoz, tienen , porque las Cortea las pueden variar cuando lo tengan á…</t>
  </si>
  <si>
    <t>Galiauo</t>
  </si>
  <si>
    <t>…o tropa rennancite y luego nac'onal, v c adinarias, en que s acordaba hubiese un reg amento de policía. ro es que no se puede inferir por e,to la ccnsecutr.c a que ha d.-ouc uo El Sr. Galiauo: Yo doy mi voto al regam-nto que se discute; pe el Sr. Romero, porque la palabra nacional aqu. es coto un C'-r-tr¿púla ro si bubi-s- de e.tsr sobre el pie que se prescribe en ese decreto con lo de la primera expresión; no haciéndole tampoco mer.to de ia nt.nu…</t>
  </si>
  <si>
    <t>Galieao</t>
  </si>
  <si>
    <t>…n vista de nn espe sión alguna; y que se esté en el caro de que inmediatamente ee mande diente remitido por el ministerio de Gracia p Justicia sobre las pen venir ia cauta del Sr. diputado Galieao y se haga entender i dicho tri siones de seis p cuatro rs. concedidas por S. M. i Fr. Alonso Matu bunal supremo, ei alto desagrado coa que han oido las Cortes so proce tes y á otro religioso, é consecuencia de una solicitud del R. arzo der; robre lo cual voy…</t>
  </si>
  <si>
    <t>Galindo, Francisco Suarcz de Castilla</t>
  </si>
  <si>
    <t>Francisco Suarcz de Castilla Galindo</t>
  </si>
  <si>
    <t>…, á quien quisieran ha León : otro de 1138 mrs., situado en alcabalas de Sevilla y su partido, cer el mayor mal que pudiera sufrir, cual sera el verse de nuevo aher- en cabeza de D. Francisco Suarcz de Castilla Galindo: otro de zojada, y hecha vil ttofeo del dominio absoluto. 141,594 mrs. , en alcabalas de Sevilla y su partido en cabeza de Alon so López de León; y otro de 18,700 mrs. , situado en el servicio ordi ARTICULO DE OFICIO. nario y extraordinario de la ciudad de Gu…</t>
  </si>
  <si>
    <t>Galla</t>
  </si>
  <si>
    <t>…eos; que solo eran .no.vi pagados pocos dias há sobre funestas disensiones acaecidas en los Esta dos portugueses de Ultramar, y las cuales habian obligado al l’rincipe duales. El Sr. Galla se opuso al artículo , diciendo cue no i,taha bastarte Regenta d*l Brasil á embarcarse para Europa el 10 de Noviembre</t>
  </si>
  <si>
    <t>…sino que absolutamente se les prohibía que las oye rero; y lo mismo los demas. Asi pues yo creo‘qué lo mejor es adoptar ran; y los actuales, por valerme de la misma expresión del Sr. Galla lo fue propone la comisión , y que nuestros emisarios vayan autoriza rlo, pueden o rlas de oficio, sin faltar á sus obligaciones y sin escanda dos para todo, menos para reconocer la independencia, oyendo cuan lizar, remitiéndolas al Gobierno para los usos con…</t>
  </si>
  <si>
    <t>Gallan, D Jaime</t>
  </si>
  <si>
    <t>D Jaime Gallan</t>
  </si>
  <si>
    <t>…ten general de la Conca: he uu oficial, el subteniente D. Manuel Alegre, unida con ¡a de patr odispuesto este tarde que el comandante Gurrea con unas compañías de tas al mando del teniente D Jaime Gallan, .i su encuentro en la di cazadores y unos pocos caballos se adelante sobre el puente , con cuyo rección que llevaban, como lo verificaron, apostindose en el pueblo de movimiento los enemigos se han retirado á las alturas inmediatas. Mi- Aratores; y tomando l…</t>
  </si>
  <si>
    <t>Gallarda, Isidro</t>
  </si>
  <si>
    <t>Isidro Gallarda</t>
  </si>
  <si>
    <t>…retario.” - cígalupi y D. Miguel Piando!it; y habiendo votado que ha lugar Don Por unto ttubdamos i todos los tribunales, justicias, gefes, go Magín Coraminas, D. Joaquín Vifials, D. Isidro Gallarda, D. Fran bernadores y demás autoridades, asi civiles como militares y eclesiás cisco Subiracht y D. Benito de Plandolit. Barcelona 13 de Mayo de ticas , dé -cualquiera clase y dignidad, que guarden y hagan guardar, i8ia.=Magin Corominas.sMíguel de Plandolit.…</t>
  </si>
  <si>
    <t>Gallardo, Bartolomé</t>
  </si>
  <si>
    <t>Bartolomé Gallardo</t>
  </si>
  <si>
    <t>…ponerse sobre las armas. accederse á la gracia que solicitaba. Aprobado. El Sr. Infante dijo que á ias cora s iones no se les ocultaba la des La móma , en vista de la solicitud de D. Bartolomé Gallardo, bi igualdad que en este gravamen Inbu entre las provincias 1 pero que bliotecario de la» Coi les, por si y i nombre de los demas oficiales de esto era inevitable hasta que tuviese cumplido efecto el decreto de ias La misma, para que se mandasen despachar las…</t>
  </si>
  <si>
    <t>Gallardo, Francisco</t>
  </si>
  <si>
    <t>Francisco Gallardo</t>
  </si>
  <si>
    <t>…rado que los escrito* dirigidos 4 aumentar todo lo posible &gt;4 medró, Cdatiausudo ha Cortes en secreta. masa de lucro que es necesaria para deliberar sobre tan importante ma teria. D. Francisco Gallardo, antiguo o6cial da la secretaría de Ha ARTICULO DE OFICIO. cienda, autor de la obra sobre rentas y de otros varios escritos que de El SC. secretario del Detpecho de la Gobernación de Ultramar, con muestran sus profundo* conocimrntoa en este ramo, ha presentad…</t>
  </si>
  <si>
    <t>Gallego, Alfonso</t>
  </si>
  <si>
    <t>Alfonso Gallego</t>
  </si>
  <si>
    <t>…ón de cauta contra el autor del núm. 18 det Patriota riojano, por que sea el referido término, no te admitirán lat que se hiciesen, y se lo reapectivo á la denuncia que hizo de ¿I D. Alfonso Gallego; y en procederá á lo que baya lugar. Madrid 7 de D ciembrt de 182a. cuanto á la hecha por D. Eduardo Pastor ae declaró también haber Lecturas útiles y entretenidas, por D. Ataeasio Céspedes y Monlugar por los acia primero* tnprascriptoa, y no haber lugar por…</t>
  </si>
  <si>
    <t>Gallego, Joan</t>
  </si>
  <si>
    <t>Joan Gallego</t>
  </si>
  <si>
    <t>…as.......................... i)6 5 0 • D. Manuel Sainz Gómez del Campo denunció al Sr. alcalde Don Sueldos de empleados en las- oficinas det Ramón Casellae un artículo firmado por D. Joan Gallego, é inserto en Exento, ayuntamiento constitucional. el Universal núm. ai ó, como injurioso á su persona en valias expre Secretaría, archivo, le siones. trados consistoriales y En su viita se reunió el jurado, compuesto de loe Sres. siguientes: escribanos......…</t>
  </si>
  <si>
    <t>Gallego, Juan</t>
  </si>
  <si>
    <t>Juan Gallego</t>
  </si>
  <si>
    <t>…2 i.rCumo gafes de accciom=Juan Pedro de Barrenechc.=Francisco de Neatorece.aV.° J.vsdffliz&gt; Juicios de jurado. por D. Jaime Rubio, abogado que fue de lo* Reales Consejos, tercera D. Juan Gallego, procurador titubeo del Real (¡tío de S. Lottnte, edición corregida, cotejada con et original que te impumsó en Milán por si y en nombre del ayuntamiento y comea de vecinos del mismo, el año de 1784, y añadida con discursos analíticos í cada tomo para denunci…</t>
  </si>
  <si>
    <t>Gallego, Juan Nicasio</t>
  </si>
  <si>
    <t>Juan Nicasio Gallego</t>
  </si>
  <si>
    <t>…reservándome hablar en la disensión ratura y anea á D. Agustín Arricia, individuo de la academia E.pa'de los demas artículos, digo que aunque se apruebe la primera parte fiola; á D. Juan Nicasio Gallego, individuo de la academia de ban del artículo a.°, me opongo absolutamente i Ja segunda , porque me Fernando; ¿ D. Alberto Lista y á D- Mariano Rodríguez de Ledes— parece que seria contrario al mismo objeto , que es el de la imparcia na, individuo de la socie…</t>
  </si>
  <si>
    <t>Gallego, Manuel</t>
  </si>
  <si>
    <t>Manuel Gallego</t>
  </si>
  <si>
    <t>…a han sufrido, y debemos quín Huerta Cevallos, D. Andrés Navarro, D. Francisco Trarcsedo, procurar hacer conocer al pueblo las ventajas del sistema. No nos de D. Santiago Delgado, D. Manuel Gallego, D. Isidro Merino, Don tengamos para esto en un principio mal aplicado y equivocado. Las Cor Cárlos Romeral, D. Juau Labio Pascual, D Lino Campos, D. Josef tes , atendiendo á la utilidad pública, que es el único objeto del legis María Puente y D. Francisco Ba…</t>
  </si>
  <si>
    <t>…consejo de Estado par» Valentín de Nicolás, D. Josef San Millan, D. Antonio Regás, Don que los cancele. Art. 9.0 El Gobierno bajo estas bases dictará las reglas Isidoro de Hoyos, D. Manuel Gallego y D. Domingo Villamil. conveniente para la exacción, señalando las épocas en que deban ha Habida la conferencia, resultó por unanimidad haber lugar d la cerse los pagos. Madrid &gt;8 de Junio de 1811. = Alvaro Gómez, Jormacion de causa. presidente. = Josef Melchor Prat, diputado secr…</t>
  </si>
  <si>
    <t>…sta el final. Gregorio de Isasi. =Cipriano González Espinosa, secretario.*’ Bn su vista se reunió el jurado, compuesto de loa Sres. siguiente*: D. Rafael Costa, D. Andrés Navarro, D. Manuel Gallego, el Ayuntamiento constitucionaI de Cádiz. conde de Torre del Fresno , D. Celestino Olozaga , D. Bernardo Por acuerdo del Excmo. ayuntamiento incluyo á V. S. copia del Asenjo, D. Juan Pablo Pascual, D. Juan Luque y D. Julián de oficio que le pasó el Sr. gefe s…</t>
  </si>
  <si>
    <t>…13 , y presentada al Rey por una diputación En su vista se reunió el jurado compuesto de los Sres. siguientes: de 11 individuos de las Cortes en 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t>
  </si>
  <si>
    <t>Gallego, Manuel Josef de</t>
  </si>
  <si>
    <t>Manuel Josef de Gallego</t>
  </si>
  <si>
    <t>…Exento, ayuntamiento consti Señores que suscribieron á dicha calificación. D. Ignacio Pajares, tucional de esta M. H villa al Prado, y después de la ceremonia acos D. Josef Bardo, D. Manuel Josef de Gallego, D. Valentín Rcc o, tumbrada , y habiendo hecho una elocución al pueblo, te dirigió A la D. Joaquín de Cevaüos, D. Domingo Fernandez de Anguio , D. Juan iglesia de S. Isidro, en donde se celebró la misa de Réquiem, con una Paz, D. Iliginio Antonio Lorente, el…</t>
  </si>
  <si>
    <t>Gallegos, Aútbnió Ramón</t>
  </si>
  <si>
    <t>Aútbnió Ramón Gallegos</t>
  </si>
  <si>
    <t>…a ción en todos los puntos anuncisdos. y Prado y i D. Miguel de Nájen para plana de la misma en la ele Arbol eucarístico de la vida , et sagrado corazón de J.sus sacra Canarias: á D. Aútbnió Ramón Gallegos para la judicatura de prime mentado. Compendio de su cu lo púb'ico y de sus divinas rxcel. ncias: ra mitinea del partido de Campillo*, en la provincia de M laga; fi u« tomo en 8.° Se hallará en la librería de la Viuda d - Barco López. I). Pedro J menee Navarr…</t>
  </si>
  <si>
    <t>Gallegos, Nicasio</t>
  </si>
  <si>
    <t>Nicasio Gallegos</t>
  </si>
  <si>
    <t>…ara la comisión que ha de formar el código militar de procedimientos. En todos los estados hay desórdenes, hay exagerados, hay facciosos Las Cortes oyeron con agrado un oficio del Sr. D. Nicasio Gallegos, y lodo lo que se quiera: sus continuos clamores y encontradas preten su fecha jo del corriente, en Valencia, manifestando al br. presidente siones no sirven mas que para mover las pasiones, y para excitar el zeto que la 1 breria que el diputado D. Fernando N…</t>
  </si>
  <si>
    <t>Gallegos, Pedro</t>
  </si>
  <si>
    <t>Pedro Gallegos</t>
  </si>
  <si>
    <t>…soldado de Granada, con loa caballos lodos ios demás que han contribuido 4 tan brillante acción. del ayudante del regimiento del Príncipe D. Manuel Villar, y del al » El teniente coronel D. Pedro Gallegos, comandante auxiliar dat férez de Lusitania D. Manuel Salvador, lo que parece increíble en un tercer distrito, llegó 4 tiempo de formar una columna de reserva, que ataque verificado por gd caballos contra óoo infantes y loo de caba nos hubiera podido ser muy…</t>
  </si>
  <si>
    <t>GalletS</t>
  </si>
  <si>
    <t>…pasai el estrecho ca. Fue ministro de ate sacramento, como también del de la confir inmediatamente con un cuerpo de tropas embarcadas en buques de tras mación , el Emo. y Rmo. Sr. cardenal GalletS, obispo de Alisano, porte para trasladarse á Jas costas de la Morea. El almirantazgo griego quien duí en seguida la comunión al regenerado. S. A. R. D. Cirios ha tenido ya noticias de esto, y está haciendo los preparativos necesa Luis, Infante de España, é hi…</t>
  </si>
  <si>
    <t>Galmsoga, Fraruivco Martínez de</t>
  </si>
  <si>
    <t>Fraruivco Martínez de Galmsoga</t>
  </si>
  <si>
    <t>4c Rn! orden y compon rcurvcJi cometida al ex alcalda da casa y so y prosa , y manifestaron conocimientos extensos y exactos en tato* icone D. Fraruivco Martínez de Galmsoga contra D. Lorenzo Cairo da ramos, adquiridos en un tiempo cortísimo. Se presentaron también dos Hozas y consortes, por conspiración contra el anterior Gobierno , T c® alumnos de y sfios, los que habiendo entrado sin conocimiento alguno el dia contra D- Manuel…</t>
  </si>
  <si>
    <t>Galrano</t>
  </si>
  <si>
    <t>…en :.__ti comandan procuraría conc u&gt;rlo euanto ante* fuese posible. te militar de Ktus roe dice con esta fecha lo qu: cop o: - Tengo !a El Sr. Arcürlb*: Mu parece qu: la idea del Sr. Galrano no está sat'sfaccion de poner en not cía d- V. S. la derrota sufr-da ror los fac en contradicción con la qu: ha manifestado el Sr. Canga. De manera ciosos en la villa de Vifo's é mmecbacones de esta en &lt;1 día de .-y r, ninguna puede ser un obstccu.o la discus…</t>
  </si>
  <si>
    <t>Galtria, D- Mi.u-</t>
  </si>
  <si>
    <t>D- Mi.u- Galtria</t>
  </si>
  <si>
    <t>…arcía de Vinuesa , y el teniente D. Manuel haivador, her dos con ua ción de una nueva orden para recompensar i los beneméritos de la pa toldado, y del regimiento de Extremadura el capitán D- Mi.u- Galtria. bau, gefs de la plana mayor de la columna , y el teniente D. W 1El proyecto constaba de 13 artículos, reducido* i que se crease una ceslao López, heridos, un solo muerto, y un sargento y si.t • so dados orden denominada Orden nocional de los beneméritos de ¡…</t>
  </si>
  <si>
    <t>Galuno</t>
  </si>
  <si>
    <t>…o una bis: pre de Vahado! id para que se rebap; á aquel.a provincia el cupo de la con liminar y necesaria tribución g neral. La comisión opinaba que debía pasar á la de Hacien- El Sr. Galuno dijo: No se trata de proponer una ley nueva , s:no di. Apiolado. del modo de hacer efectivo el decreto de ¡as cAnt-* d- 11 de Se:.«.nb-* Otro sobre la exposición del ayuntamiento de Sabanilla, p'ovincia de 1810 Los argumento* del Sr. B-ída huberan v.-n.do muv…</t>
  </si>
  <si>
    <t>Galvan, Juan</t>
  </si>
  <si>
    <t>Juan Galvan</t>
  </si>
  <si>
    <t>…tas, en D. Manuel Alonso Diez, D. Salvador Bros, D. Hilario Brihuega, cargada de la recaudación de lanza* y media anata, que el título de Cas D. Antonio Bravo, D. Antonio Cumbres, D. Juan Galvan, D. Mi tilla con la denominación de mirquet de Villabragima le poseía en *1 nué’ González Santos , D. Mauricio González , D. Juan Gerena, Don año de 1693 U. Baltasar H nriqu-z de Cabrera, y que el de marque* Jct'f Yela , D Antonio Moln r, D. Josef M.ndez, D.…</t>
  </si>
  <si>
    <t>Galvan, Miguel María</t>
  </si>
  <si>
    <t>Miguel María Galvan</t>
  </si>
  <si>
    <t>…iento para celebrar una tran de Zmiara, y capitán graduado; otro d spensa ido de edad para recíbase sición con Mariana Rubio y Ferrar, acerca de un terreno que posee. de abogado i D. Miguel María Galvan : otro sobr - que se le d.spense la La comisión de Hacienda, en vista de la solicitud de varios comer edad para administrar por si sus bienes a D Miguel Gres Puente, del ciantes de Málaga, sobre que no se les cobre el a ¡ por too que se exi comercio de Cádiz:…</t>
  </si>
  <si>
    <t>Galvez, Bartolomé</t>
  </si>
  <si>
    <t>Bartolomé Galvez</t>
  </si>
  <si>
    <t>…uis Sánchez Nielo, habilitado por laa ingenierosA variospor empleadosun mes de delhaber...........ramo de 3,164.-13. Cortes. A los empleados en el depósito hi Huelva administrador D. Bartolomé Galvez, oficial de la conta drográfico por un mes de haber............ 11,995.-27. duría de la aduana de Cartagena. Interventor D. Manuel María Monse- Al mozo de la pagaduría por un gur, habilitado por las Cortes en virtud de cesión de una prestamera mes de su goce.…</t>
  </si>
  <si>
    <t>Gamarra</t>
  </si>
  <si>
    <t>…método de curación que sigan hac'enda de Macac-&gt;n«, á cuvo punto se «Frigia con ?! drsign.o de ocu los profesores del bosp'tal, podrá instruir á su coronel ó comandante parlo. El coronel Gamarra con ias compañías de cazadores marchaba á de lo que hubiere digno de reparo. También se mformtrá de cualquier vanguardia d? la columna; y apenas se acercó cuando «1 enrmizo otro enfermo de su cuerpo que hubiese en el hospital por lo tocante á rompió el fuego…</t>
  </si>
  <si>
    <t>Gamarra, Petronila</t>
  </si>
  <si>
    <t>Petronila Gamarra</t>
  </si>
  <si>
    <t>…comunico á V- S. para su inteligencia, y que D Lorenzo Riaño: otro de ao9 id. aobre dicha renta, en cabeza de lo circule en esa provincia dt su cargo para que tenga cumplimiento* Doña Petronila Gamarra: otro de 5111 id. sebre la misma, en cabía Madrid rg de Junio de 182a. de Dofia Catalina Mazuelo: otio de 71,938 id. sobre U renta del 10 por loo de lanas , en cabeza de Doí.a María de Arteaga: otro de 51,938 Dirección genera! ¡ir impuestos indirectos y efect…</t>
  </si>
  <si>
    <t>Gamboa, Antonia</t>
  </si>
  <si>
    <t>Antonia Gamboa</t>
  </si>
  <si>
    <t>…las autoridades locales, y que que debían perdonarse dubas cantidades. Aprobado. ' - los facciosos no tuvieron impedimento alguno para comet -ríos. Del Otro sobre la solicitud de Doña Antonia Gamboa, cuya instancia expediente resulta que hicieron lo contrario dichas autoridades lóceles, (tasó á infeume i la contaduría de Distribución: la comisión, en vitta puesto que mandaron qu: el rct.n d: milicia que estaba en el principal de dicho informe, opinaba qu…</t>
  </si>
  <si>
    <t>Gamboa, D- Francisco Romo y</t>
  </si>
  <si>
    <t>D- Francisco Romo y Gamboa</t>
  </si>
  <si>
    <t>…o las mismas razones. Apro Barcelona na de Junio. bado. En nutriros periódicos se publican las siguientes noticias. La comisión primera de Hacienda, en v&lt;ta de It solic'tud del El Sr. D- Francisco Romo y Gamboa avisa desde Teruel que des ayuntamiento de Barcelona sobre que atendidas las circunstirc-as ,h_* pués de dispersada la gavilla de Rambla ha mandado retirar á sus casas aquella población en los meses de Agosto, Setiembre, O.tubr-, N i los milicianos que había…</t>
  </si>
  <si>
    <t>Gamboa, Josef María</t>
  </si>
  <si>
    <t>Josef María Gamboa</t>
  </si>
  <si>
    <t>…un soldado, y el pueb'o Castillejo, D. Josef María Va'dobino*, D. Francisco Perez Pafacios. se resiste á marchar: las milicias guardan i Rio Acha y a fita. Marta, Supernumerarios D. Josef María Gamboa y fiando bal, D. Josef Manuel y todos los movimientos indican que ha sido completa la derrota. Frías, D. Antonio Va.dés, D Jo,;f Antonio Bernal y Perez. Uziere* Para ocultar al pueblo y i los Gobiernos extrangeros este descala D. Juan Datan , D- Bruno Fragoso…</t>
  </si>
  <si>
    <t>Gameto, Joscf</t>
  </si>
  <si>
    <t>Joscf Gameto</t>
  </si>
  <si>
    <t>…le está concedida, te U coloque pa cio sobre puertos francos. ra evitar este gravamen. Habiendo manifestado varias Sres. diputados que había asomos por Otro de la misma para que á D. Joscf Gameto, administrador da discutir que deberían ser preferidos al que te había anunciado, en es rentas de la villa de Aunaden , se le tenga por el Gobierno la conside pecial el dictamen sobre sociedades patrióticas, el ¡señor pre.,den ración que sea compatible coa la…</t>
  </si>
  <si>
    <t>Gamez, Juan María</t>
  </si>
  <si>
    <t>Juan María Gamez</t>
  </si>
  <si>
    <t>…, que todavía se ignora, y de tiendo sin cesar: Constitución ó muerte. &amp; Fernando 16 de Julio de aquí se quiere inferir que no se tiataba en ál sino de la infracción de i8aa.=sBl coronel Juan María Gamez.” tratados, y de la violación del derecho de gentes con el ministro ruso. Cierto es que no se ha dado á luz el ultimátum ruso; pero también lo ARTICULO DE OFICIO. es que todos los periódicos de Europa han publicado la sustancia de ¿I, El Rey ha expedido el de…</t>
  </si>
  <si>
    <t>…ltimo por la de aquellos españoles inmorales y desnaturalizados que se em momento de nuestra exisuncia.=S Fernando ifi de Julio do s8ti.= peñan en agoviar de males á su pstria. El coronel Juan María Gamez.=Ezcmo. Sr. secretario de la Diputación Los acontecimientos de Madrid pueden contribuir mucho al desen permanente de Cortes.” gaño de los ilusos y de sus seductores; pero por el pronto no se cono Continúan las felicitaciones á la milicia nacional. cerán bien…</t>
  </si>
  <si>
    <t>Gamo</t>
  </si>
  <si>
    <t>…Hdas estas mona opinó que lo mejor era que este oficial fuese entera 6 cargo----------------f tierno por •*» afios- £ ¿erad» mente independiente y de nombramiento del Gobierno. El Sr. Gamo epínó que debían suprimirte las contaduría* de pro Inhabilitación tempo--) Inhabilitación p*rpo-í**k^1‘**c*®"fe pio», porque estando encargadas actualmente las diputación» de exami ral_______ _____—• t*u...„-------.....-------1 ' nar las cuentas de los prop:o…</t>
  </si>
  <si>
    <t>Gamonal, Antonio</t>
  </si>
  <si>
    <t>Antonio Gamonal</t>
  </si>
  <si>
    <t>…es de todas clases que hay excedentes en Josef Gómez Albacete, D. Mariano Zorraquin, D. Francisco Barra, el ejército si la soi-.ctan. Art. a.° Los oficiales que obtengan licencias D. Antonio Gamonal , conde de Floridabianca y D. Carlos González ilimitadas pódrtn volver á sus respectivos cuerpo» siempre que la hayan Llanos, Habida la conferencia resultó no haber lugar por cinco voto», usado á lo menos un año. Art. 3.' Teniendo i¿utl consideración los habi…</t>
  </si>
  <si>
    <t>…y dignidad, que guarden y En su vista se reunió el jurado , compuesto de los Sres. siguientesbagan guardar, cumplir y egecutar el presente decreto en todas sus D- Manuel Pinilla. D. Antonio Gamonal; D. Manuel Merino; Don partís. Tendreislo entendido para su cumplimiento, y dispondréis se Zoilo Gómez Casrro; D. Miguel Dolz; D Manuel Carnicero; Don imprima, publique y circulets-stí rubricado de la Real mano.sEn Angel Bonalto; D. Rafael Costa y I). Marcos…</t>
  </si>
  <si>
    <t>…e conspiración dice: » Conspiración de Va En su vista ae reunió ri jurado, compuesto de loa Señorea siguientes: lencia , de la Monde# 7 de Annjuez ; de loa emigrado* refugiado* en D. Antonio Gamonal, D. Francisco de la Carrera , D. Benito Orteea el Rosellon i las órdeaea del conde de Calderón 4tc." Como el conde Romanillos, D. Cas-miro Martin, D. Antonio Regés, D. Antonio «le Calderón te halla en Valencia, sin haber pensado ni pensar en PuigbUnch, D. Fra…</t>
  </si>
  <si>
    <t>Ganano</t>
  </si>
  <si>
    <t>…ó dos edificios que estorbasen en una plaza no sacate la Nación asi que, el aiticulo esta bien redactado. el fruto que debía de esta fortificación que la estaba costando muchos Ei Sr. Ganano: Los argumentos del Sr. preopinante son de aque mil iones: Las circunstancias de las plazas, el egército, la guetra , la llos que 1u.cn ios Jogicos que por probar demasiado no prueban nada, clase de enemigos con quien se pelea &amp;c. , todo esto hace variar la b…</t>
  </si>
  <si>
    <t>Gandiaga, Luis</t>
  </si>
  <si>
    <t>Luis Gandiaga</t>
  </si>
  <si>
    <t>…cayeron en su po «n Agosto......................................................................... 523,000 der , no quedando duda fus uno de ellos el benemérito y digno patrio ta D. Luis Gandiaga. La misma noticia se confirma por el parte que 5.400,000 ha recibido el Sr. comandante militar de ta provincia. Con este moti Distribuido en efectos. vo ha salido de Jerez la fuerza disponible de S. Marcial y alguna caba Eira las atenciones d.l departamento l…</t>
  </si>
  <si>
    <t>…sesinato cometido por el faccioso Zatdivar al anochecer del dia tados en Ja superficie superior. El número de estos es ocho, los colmi de ay^r en la persona del benemérito militar D. Luis Gandiaga, temer llos cuatro, y los dientes molares ocho. Los colmillos se parecen á los te coronel agregado ai regimiento de S. Marcial, y en otros cuatro sol de un perro ya grande, y los demas son semejantes á los del hombre. dados del resguardo militar, obliga á est…</t>
  </si>
  <si>
    <t>Gane, N. Díaz</t>
  </si>
  <si>
    <t>N. Díaz Gane</t>
  </si>
  <si>
    <t>…lo contra Rodrigo; D. Pedro Lorenzo, nombrado juez interino de primera ins rio^ era menester que Catalufia sufriese la escasez de granos, supuesto tancia de la ciudad de Murcia, y D. N. Díaz Gane!, juez d: primera que 1» demas provincias de España «tabra obligad» i ganar los géneros instancia de Rivadeo , para que pudiesen prestar el juramento ante loe catalanes. r»pectrvos ayuntamientos constitucionales de las cabezas de partido El Sr. Murfi dijo qu:…</t>
  </si>
  <si>
    <t>Ganga</t>
  </si>
  <si>
    <t>…putaciones provinciales. Asi* se Por último declaran tos diputado» al Panellenion (toda la nación acordó. griega) qu; han concluido su tarea» y que el Congreso se disuelve hoy. El Sr. Ganga leyó el dictamen de la comisión de Hacienda sotan La obligación del pueblo será en adelante obedecer lea lepes y empatar Im proposiciones t una del Sr. Obver, y otra de los haca. Rom y Ssrabsa 4 sus ejecutor». para que se suprima el derecho de registro públic…</t>
  </si>
  <si>
    <t>Gañido, Pedio</t>
  </si>
  <si>
    <t>Pedio Gañido</t>
  </si>
  <si>
    <t>…por pérfido que sea, que no empleen en Josef Garay, D. Francisco López de Olavarrieta, D. Francisco Iz daño de la patria Jo* que se han declarado sus enemigos. No les ha quierdo y D. Pedio Gañido , quienes deberán presentar sus trió i jo, i bastado alzar el estandarte de la rebelión, y armar el brazo del espa otra junta general que debe celebrarse el domingo 10 d:l próximo ñol en contra de su hermano, fomentando la funesta guerra civil; m se Noviembre…</t>
  </si>
  <si>
    <t>Gano</t>
  </si>
  <si>
    <t>…ducirla si estas no alcanzaban, y no hacer asignacio Se leyó y aprobó el acta de la anterior. nes imag'nariat. Se mandó pasar 4 la comisión do Hacienda la siguiente adición del El Sr. Gano fue de paiacer que con los 8o9 rt. había lo suficiente Sr. Lodares al art. iodql proyecto sebte arreglo délo tesorería. para los gastos de oficina. » Pido á las Cortes se declare que los individuos destinados 4 Jas Se tuvo el asunto por discutido, y quedó apr…</t>
  </si>
  <si>
    <t>Gante, Jura Luis Oaten de</t>
  </si>
  <si>
    <t>Jura Luis Oaten de Gante</t>
  </si>
  <si>
    <t>…e id. 555—D. Luía Gafon da go dias. de Gallón de León 141(7 18., Sahuc Dcplabol de id. 56ta_DeteTaiaoMAina. he garay hijo de Bayona 610 7 la—D. Simón Permanchan de Oloron 379 7 4._D. Jura Luis Oaten de Gante jlá 7 io_Dofia Isa _ Por providencia del Sr. D. Angel Fernandez deloe Riot, jaez de bel Valcarcel, viuda de D. Ramón de id. 313 f 16—Boiaier 7Savar-primera instancia de esta corte 7 de la hacienda pública, aecita, llama din de Marsella 164 7 *6.__Viada da Rob…</t>
  </si>
  <si>
    <t>Gao, Me'chor</t>
  </si>
  <si>
    <t>Me'chor Gao</t>
  </si>
  <si>
    <t>…portugués. rt’rosa, y cuyo entusiasmo es indec b'e. A esta diversión s cu'r» U de El St. Tngoso leyó el dictamen de la comisión de Constitución ua famoso castillo d: pólvora, que D. Me'chor Gao na, de o"*en del sobre las dudas que habían ocurrido acerca de la eg-cucion de la ley ayuntamiento , hizo poner en el centro de la catrera, que agrario -r.j.i-o de elección s; y habiéndose discutido y aprobado por el Congreso, se ¿ mas de ac3 personas que se…</t>
  </si>
  <si>
    <t>Gaona, Jacinta</t>
  </si>
  <si>
    <t>Jacinta Gaona</t>
  </si>
  <si>
    <t>…d i expresado señart juez y citada escribanía , lea,- !tl Sr. Do* tra »go mas aliviado. S. M. la Rema y Señoras Infantes no tienen a4n el Fernandez, dt lot Rsos , y escribanía de D. Jacinta Gaona y novedad alguna en su importante sa.ud.” Lo. ches. EN LA IMPRENTA NACIONAL</t>
  </si>
  <si>
    <t>Gaona, Jacinto</t>
  </si>
  <si>
    <t>Jacinto Gaona</t>
  </si>
  <si>
    <t>…os de los ex4menes, que no se han primera instancia de esta villa, refrendada por su escribano del número de hacer por el secretario , tino por los vocales, y 4 firmar los títulos D. Jacinto Gaona p Loeches, se ha mandado citar p emplazar por se de reválida. Mas trat4ndo*e, conforme al espíritu de la Constitución, de gunda vez, como por medio de este aviso te cita, llama y emplaza 4 los aliviar la sitarte de lo* espato'es, parece consiguiente que no de…</t>
  </si>
  <si>
    <t>Gaos, Tomas de</t>
  </si>
  <si>
    <t>Tomas de Gaos</t>
  </si>
  <si>
    <t>dúos que informan sobre la pioprw.ic:on referida que deberían dar su ge fe político y espitan comandante D. Tomas de Gaos , pero no en cuan -dictamen con la extensión que' se ha hecho. Ha dicho el er. secretario to al modo de! mismo descubrimiento; esperando de su buen zelo y adhe. qne hay algunas provincias que tienen sus exenciones en esta parte; pe sion á un sistema tan justo…</t>
  </si>
  <si>
    <t>Gar</t>
  </si>
  <si>
    <t>…por la parte mas baja. pre que le quedara el medio diezmo. Ya be dicho que no pretendo que el clero sea rico, porque esto hl Sr. conde de Toreno dijo qne no habia indicado que el Sr. Gar no lo he querido nunca &gt; pero sí que pueda mantener el culto público cía Page fuese de aquellos Sres. diputados que habían pedido se discu con decencia ,y que se presente de un modo decente en la sociedad; en tiese el dictamen de la comisión Eclesiástica ; an…</t>
  </si>
  <si>
    <t>Gar, Atanasio</t>
  </si>
  <si>
    <t>Atanasio Gar</t>
  </si>
  <si>
    <t>…ón de gobierno. Siete facciosos que componen la partida del y como si estuviera reconocida por algunas gentes. Por lo que toca á «apellan de coro de la catedral de Toledo, llamado D. Atanasio Gar esta parte de los Pirineos es bien sabido que no se la considera sino cía, que falsamente se titula canónigo, subsisten todavía con mengua de como i una junta de facciosos, organizada á su modo para alucinar á los pueblos que los han tolerado á sus inmcdiac o…</t>
  </si>
  <si>
    <t>Gar, Francisco de Paule de</t>
  </si>
  <si>
    <t>Francisco de Paule de Gar</t>
  </si>
  <si>
    <t>…herido ocho, y cogido oace prisione- das, inserto en el Plusoh número 10. tot, qire serán juzgados con arreglo 4 la ley marcial, seis caballos con Sw. que declararon haber lugar: D. Francisco de Paule de Gar monturas (uno de ellos el que montaba si faccioso Ramb a), seis fusi man , el conde de la Purb'a , D. Josef L-nares , D. Manuel Mariano les, 34 escopetas, seis sib' s y todos los bagages con v,reres; púdico* Doral, D. Josef Fernandez Guerra y D- Jotef Fustes.…</t>
  </si>
  <si>
    <t>Gar, Manuel</t>
  </si>
  <si>
    <t>Manuel Gar</t>
  </si>
  <si>
    <t>…fundamental. El poder egecutivo crito por la Constitución. por su parte necesita caminar con cierto desembarazo para poder desem No hubo lugar á deliberar sobre una exposición de D. Manuel Gar peñar las obligaciones que le corresponden ; en inteligencia de que será cía Sosa, diputado que fue por Yucatán , pidiendo que se le diesen co una extraordinarísima inconsecuencia el que con el mejor zelo nos opon pias de los documentos que obraban en la secr…</t>
  </si>
  <si>
    <t>…nto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milicia nocional de Madrid. El Excmo. Sr. secretario de Estado y del Despacho de Hacienda A lo* héroes de Madrid el ayun…</t>
  </si>
  <si>
    <t>Gar-z</t>
  </si>
  <si>
    <t>…'arado el punto suficientemente discutido, se aprobó la dase tectos, escu lores, trabadores y pintores de cuadros, -n ju&gt; o &lt;.ó» qu o segunda. de las nebíes artes; ” y la otra del Sr. Gar-z a ia tarifa d: nnp virios, Terc ra clase: de industria para población. que decía: ” Pdo que en el sueldo d: adranstralorcs dr tod s c »rPrim-ra especie: almac nes de vino por mayor y mnor, de aguar* poracion-s ó individuos particular;* se afitlan c nt.i.i res…</t>
  </si>
  <si>
    <t>Garay</t>
  </si>
  <si>
    <t>…sé cómo la comifion de Hacienda dijo queel clero quedaba rico; carle , antes bien pensaba dejar una cuota con la cual pudiese presen porque aunque e* cierto, lo dijo en tiempo del Sr. Garay, no es ahora tarse decentemente en la sociedad , y se atendiese igualmente al decoro asi, porque el clero ha perdido mucho, y en mi modo de pensar no es y lustre del culto divino. Que el argumento que había hecho S. S. acer justo ni arreglado á buena lógica q…</t>
  </si>
  <si>
    <t>…tiroteo continuaba; la nuestra ha consistido en el mencio virtud de acusación formal de aquel ayuntamiento. nado cadete y un bizarro soldado de Pavía herido de un balazo, y un El coronel Garay con su caballería estaba ayer en Sos. Juanito ha caballo del mismo cuerpo de bayoneta. Ademas el caballo del cadete evacuado á Caseda y se ha dirigido á Aibar, donde parece se reunirá extraviado. lia coadyuvado mucho el valor del alférez D. Josef Pesi con Lad…</t>
  </si>
  <si>
    <t>Garbayo, Francisco</t>
  </si>
  <si>
    <t>Francisco Garbayo</t>
  </si>
  <si>
    <t>…ula 34$. Roten, coronel supernumerario de infantería; para el mismo destino La de cigarros mixtos de la Havana 7 Virginia 3a. La de cigarros de del de Africa vacante por retiro de D. Francisco Garbayo, i D. Luis hoja de Virginia 14. Bacincour, coronel vivo y teniente coronel mayor del de Burgos; para Se suspendió esta discusión, y se mandaran pasar á la comisión igual empleo del de Granada, vacante por remoción al de Córdoba del varias adiciones i los artí…</t>
  </si>
  <si>
    <t>Garbayo, Rafael</t>
  </si>
  <si>
    <t>Rafael Garbayo</t>
  </si>
  <si>
    <t>…os tenedores de cón , al cadete de Zapadores D. Bonifacio del Corral , al comisionado las carpetas que acreditan la entrega en su contaduríade los recibos ó di del Crédito público D. Rafael Garbayo, padre del voluntario herido; spones, y cuyos números esten comprendidos desde el *41 al a8o, am al voluntario de Madrid D. Joaquín Ezqucrra, hallado casualmente en óos inclusive. esta ciudad; al estudiante D. N. Perez de Laborda, y á D. Apolinarío Juicios de…</t>
  </si>
  <si>
    <t>Garc's, Antoün</t>
  </si>
  <si>
    <t>Antoün Garc's</t>
  </si>
  <si>
    <t>…oticias. Se mandó qu.dar los acometidos y no los agresores. sobre la mesa. El Sr. Galiano ha tocado una medida y una ¿poca que no es la La misma comisión , en vista de la queja de D. Antoün Garc's, primera ves que se ha tocado en el Congreso: esa medida y esa ¿poca vecino de Colmenar Viejo, contra el cura párroco de aquel lugar , por pertenecen ya á la Opinión pública: las ha juzgado en mi concepto; y no explicar la Constitución tegua io mandado por la…</t>
  </si>
  <si>
    <t>Garc.a</t>
  </si>
  <si>
    <t>…l ir. Sai vi, p.ra la de Peso* y medidas á los seño cederse al qu- so¡o se sirve de ella para privar de la misma á sus conciu res Lamas y Balda; y pan la primera de Legislación al señor Garc.a dadano. , arrastrándolos á la esclavitud por medio de la anarquía. Tam Bastamente. poco advierten que dejar en libertad á tales individuos, haciéndolo* El Sr. Riego leyó una exposición de varios comisarios ordenadores iguaVs en derechos con los ciudadanos pac…</t>
  </si>
  <si>
    <t>Garc.be, Ramón de</t>
  </si>
  <si>
    <t>Ramón de Garc.be</t>
  </si>
  <si>
    <t>…mo se remitió por ese En la 64: Los infrascritos jueces de hcí io, habiendo examinado nrinist rio , para la resolución d las Cortes, la consulta qu* el tribu la representación que D. Ramón de Garc.be como procurador de nal supremo de Ju r cía hic 1 á 5. M sobre si deben ser juzgadas con D. Amonio de E,ter y Barcena, presentó denunciando por injurioso el arreglo á la ley de 2Ó de Abi l del mismo año ¡as causas pendientes impreso titulado Suplemento al diar…</t>
  </si>
  <si>
    <t>Garcés</t>
  </si>
  <si>
    <t>…al campo cadáveres, y 80 vienen entr: nuestras bayonetas'sujetos al r gor to. Un cuerpo de realistas ■ compuesto de 1500 á 1800 hombres , aco de la ley ; entre estos el ex-tenieme coronel Garcés, con cuatro dába metió de improviso al egército independiente, que constaba de mas de les mas Los efectos que ban qu-dado en mi poder son 40 hermosos caba }9 hombrea, de los cuales mas de i3 han sido muertos , heridos ó llos, 200 fii,iles, una caja de gu-ria…</t>
  </si>
  <si>
    <t>Garcés, Gregorio</t>
  </si>
  <si>
    <t>Gregorio Garcés</t>
  </si>
  <si>
    <t>…endo la caballería, con el objeto de aumentarla y organizaría cuanto nuestias avanzadas, que carearon con fuerzas ir.uy considerables. El cosea posible, de acuerdo con el teniente coronel D. Gregorio Garcés, mandante Fábrega tuvo qu? retrarse pasando por medio de la villa , i hasta qu: se reúna el comandante general de la misma , con quien acor la salida de la cual encontró la primera compañía de Navarra y la dará rmd. entonces. cuarta, que estaban establecidas…</t>
  </si>
  <si>
    <t>Garces, Josef Eladio</t>
  </si>
  <si>
    <t>Josef Eladio Garces</t>
  </si>
  <si>
    <t>…lo exi TX1BUNALBS. giesen las circunstancias, como sucedió en 1808. Bonapaite nos llama ba tamb-cn revolucionarios, y nos creía sin recursos, sin egército, sin Por providencia del Sr. D. Josef Eladio Garces, juez letrado da pericia militar, y no se equivocaba; pero le faltó el dato principal, primera instancia de la ciudad de Soria y su partido , sa cita, llama y qu: era el conocimiento del carácter español, y asi le salieron falli emplaza i todos los acreedores…</t>
  </si>
  <si>
    <t>García</t>
  </si>
  <si>
    <t>…España. En ata villa de Cícera acabe de verificarse la restitución y apartur^ del colegio y estudia que en ella fundó en 1603 el R. obispo CORTES EXTRAORDINARIAS DEL AftO DB 181». D. García «la Galana; todo ello en consecuencia de Ral orden al in tento expedida por S. M., con revocación de otra, por la que a de ramiBUKCiA tuti ntox xn. cretó y realizó la traslecioa de dicho colegio y estudia á la ciudad do Caía en 1819. Sesión del £ dt Entro. Ap…</t>
  </si>
  <si>
    <t>…l pena que el por tsetíto propagare' cualquiera otra máximaó doctrina que tenga que escribiese la anterior una tendencia directa 4 datruir ó trastornarla Constitución política .El Sr. García (D. Antonio) : No puedo convenir con este artículos de la múnaraula, sufrirá una prisión '-do dós é mí*' años, perderá sus La sátira por su aencia no puede provocar sino indirectamente, porque empleos , sueldos y honores, y se le ócuparin las temporalidades t…</t>
  </si>
  <si>
    <t>…á esta dase benemérita de la sociedad : por esta ta desde el momento se convenció ser incompatible casa de lactancia y razón fue de parecer que d.bis aprobarse la proposición del Sr. García educación de jóvenes de ambo* sexos, que deben ser imbuidos en la Page, y que las Cortes debían autorizar al Sr. presidente para que pa moral mas severa, con estancia da pordioseros, que por su género de sase el oficio cot respondiente al inspector de caballe…</t>
  </si>
  <si>
    <t>…iente adición del Sr. Pajarea empleo, i9 rs.”Quedó aprobado. al art. i.° del proyecto adicional de libertad de imprenta:» Son igual No fue admitida á discusión una preposición del Sr. García (Don mente subversivos los escritos en que se propalan máximas que supon Antonio) sobre que se imponga une contribución para los estableci gan destruidos alguno ó algunos artículos fundamentales de la Consti mientos de beneficencia é los que poseen coches de…</t>
  </si>
  <si>
    <t>…ciones del cerebro explique ei análisis de las idea», tra arreglado? Si se trata de expedientes que puedan ser de circuns siguiendo el sistema deDesttut Tracy por el compendio del Sr. García» tancias , también se debe adoptar la misma medida, como que la» resultando de aquí el establecer antes que nadie un curso de ideología, circunstancias pueden haber variado; pero si se trata de otros en que conforme á lo decretado por las Cortes en el plan ge…</t>
  </si>
  <si>
    <t>García', María</t>
  </si>
  <si>
    <t>María García'</t>
  </si>
  <si>
    <t>…* mas cultas da la Europa, nos sentimos animados de aquel no Aprobado. ble orgullo que nuestroa progenitores disfrutaron como hombres libres; La misma, en vista de la solicitad de Doña María García', vecina pero do hasta , conciudadano», adquirir una victoria; es necesario saber de Arenas de S. Pedro (Toledo) , para que se ic perdone una parte de la aprovechar-' ae tomó la fortaleza , y mayor seria nuestra humillación í® f tantos reales que su difunto ma…</t>
  </si>
  <si>
    <t>García, Andrés</t>
  </si>
  <si>
    <t>Andrés García</t>
  </si>
  <si>
    <t>…cto del cargamento de fierro que dié Leída y aprobada el acta de la anterior, entró á jurar y tomó asien origen á asta reclamación, y concluyó desaprobando el dictamen de la to el Sr. D. Andrés García, diputado por la provincia de Granada. comisión. Las Cortes quedaron enteradas , y mandaron pasar á la comisión de El Sr. Valdét (D. Cayetano), después da referir los incidentes Hacienda el acta de arqueo de la tesorería general practicado en el mea ocurridos…</t>
  </si>
  <si>
    <t>García, Antonio</t>
  </si>
  <si>
    <t>Antonio García</t>
  </si>
  <si>
    <t>…uerte de algunos patriotas que gimen bajo el pe»o de la arbitrariedad, diendo el aumento de sueldo. fie levantó la sesión á las once ycua-to. A la de Agricultura una exposición de D. Antonio García, apo Sesión de re de Marzo. derado de 33 pueb os que se titulan de la tierra de Aimazan, en la pro Se leyó v aprobó el acta de ía anterior. vincia de soria, p diendo se les concediese la comunidad de pastos qu Las Cortes quedaron enteradas de do» oficio»; uno…</t>
  </si>
  <si>
    <t>…smo objeto en las contadurías prin •&gt; La» Cortes, después de haber tomado en consideración lo expuesto cipales establecida» en las capitales; teniendo entendido qne este térmi por D. Antonio García, vecino del lugar de Perdices, y comisionado no pata su presentación es absolutamente improrrogable, y que todos por los 39 pueblos que se titulan de la tiern de Alanzan, acerca de Jos vales que sean presentados desde el día 1." «le Julio, saldrán perju Jo» p…</t>
  </si>
  <si>
    <t>…ina, caballería de Ulzurrun y Eraso, teniente coronel mayor del regimiento de Sevilla. línea. . Segorve: para primer comandante al coronel graduado D. A San Alcali: para coronel 1 D. Antonio García de loa Ríos, coronel dro Tello, comandante del primer batallón del regimiento de infante del regimiento de infantería de Mallorca. ría de Zaragoza. A cahíz: para primer comandante á D. Francisco Castañera, co S. Clemente: para primer comandante i D. Hipólito…</t>
  </si>
  <si>
    <t>dilección general de estudios para loa usos convenientes el catecismo El Sr. Arguelles fue de parecer que siempre se debia tener conside constitucional presentado por D. Antonio García. Aprobado. _ ración á los actuales empleados en el Crédito público, y que mientras También te aprobó otro dictamen de la comisión de Legislación, no estuvieran convencidos de haber faltado á sus deberes, no se les po 11 cual opinaba se accediese á la solicitu…</t>
  </si>
  <si>
    <t>…Gsucia de la Chica, teniente su tas al mea. pernumerario del regimiento infantería da Valencia, con 570 ra. Barcelona al capitán D. Miguel Reig, teniente del regimiento in Salas A D. Antonio García, teniente de infantería y del regimien fantería de Aragón, con 570 re. to provincial de Oviedo, con 450 rs. al mee.' Bilbao A D. Luía de la Torre y García, teniente eupemumenrio Oreóte A D. Andrés Antonio Rapoteitaa, teniente dei regimiento del regimiento inf…</t>
  </si>
  <si>
    <t>García, Baltasar</t>
  </si>
  <si>
    <t>Baltasar García</t>
  </si>
  <si>
    <t>…iñols; D. Diego Ifiero, administrador de correos; D. Maria tas , una caja de guerra, un caballo que montaba el cabecilla Santocil- no Oliveras, librero; D. Mateo Sampons, abogado; D. Baltasar García, des, titulado comandante de los voluntarios realistas de Alava, j otros CX-cartujo , y D. N. Llanos, rector del colegio de dominicos. var*os ' íectoi. Igualmente salió herido un oficial por el cabo de Lusi- Madrid Domingo r¿ de Setiembre.Unia Pedro Sánchez ,…</t>
  </si>
  <si>
    <t>García, Bartolomé</t>
  </si>
  <si>
    <t>Bartolomé García</t>
  </si>
  <si>
    <t>…, en cabeza de los herederos de Bartolomé González de Legar— 2. Tercero medio por ico ds Toledo, juro 69,959 mrs., en En Valencia................................. 1000. cabeza de D. Bartolomé García de la Calzada—ti. Millones de Gra 6000. nada, en tres juros 965,613 maravedises: uno de 66,700: otro de 126,11 a ; y otro de 77&gt;i7&gt;9t en cab:zi de D. Antonio Manrique ds Madrid 3 de Diciembre de 1811.sCoronel presidente, Francisco Guzman y D. Alonso Perez. —'…</t>
  </si>
  <si>
    <t>García, Bernabé</t>
  </si>
  <si>
    <t>Bernabé García</t>
  </si>
  <si>
    <t>…, esta sangre caerá sobre los hombres que de Otro sobre la solicitud de Doña Benita Rubín de Celis, viuda de dos años á esta parte ponen su mayor conato en robarnos todas nuestras D. Bernabé García, oficial d; la secretaría de Hacienda, y diputada garantías. (Murmullos á la derecha): esa sangre caerá sobra los que que fue en las anteriores Cortes, para que se le concedí una pensión. quieren privar de sus derechos á una nación generosa. ( Fuertes mur- La…</t>
  </si>
  <si>
    <t>García, Casto</t>
  </si>
  <si>
    <t>Casto García</t>
  </si>
  <si>
    <t>…n los electores, y vieron I i com .ien d- Hacienda presentó los siguientes dxt'menes. como circunstancia precisa si entre ellos había alguno que tuviese Uno sobre la exposición de D. Casto García, en la que manifesta algún defecto por el que no pudiese desempeñar semejante encar ba que &lt;1. bi i hacerse uso d. la plat. .ab-ada de las iglesias, como se ha go. Con efecto resu tó» que el elector del partido de Arac. na se hallaba bía . recudo en orras crc…</t>
  </si>
  <si>
    <t>García, Cayetano</t>
  </si>
  <si>
    <t>Cayetano García</t>
  </si>
  <si>
    <t>…un pueblo, en cu no , D. Pedro Ramón de Jerez, D. Josef Villa verde, D. Santiago Ma yo semblante se Lia aquel contento, que solo puede inspirar al habitan rín, D. Manuel Pareja , D. Cayetano García y D. Francisco de Gra te honrado la satisfacción de ver en sus legítimos defensores los hijos nada , declararon por unanimidad haber lugar á la formación de causa predilectos de una patria libre, i la que tantos dias de amargura causan contra el autor del número segundo del periód…</t>
  </si>
  <si>
    <t>García, Concepción</t>
  </si>
  <si>
    <t>Concepción García</t>
  </si>
  <si>
    <t>…ado una actitud severa, ha sido do Doña Manuela da Alday. Dibujo: Doña Carmen Moreno. Constitu para defenderse de una facción desnaturalizada, que ha atacado i la Na ción: piirmio Doña Concepción García: segundo Doña Rosalía Doción mi sus derechos mas sagrados. aeijo. Doctrina cristiana: primero Doña Juana Duran: segundo Doña (3) :-,¡ el estado de España no es tan pacífico como debía ser es Cayetana Martínez. Historia sagrada: Doña Manuela de Alday. Mú poiqu…</t>
  </si>
  <si>
    <t>García, Eugenia</t>
  </si>
  <si>
    <t>Eugenia García</t>
  </si>
  <si>
    <t>…se adin.ten memoriales acompañados de sus conseguido el fin á que te aspiraba, se repite cata anuncio por la refe tespectivos sxtractos de tnóritus por ei término de go días. rida Doña Eugenia García; añadiéndote para mayor conocimiento que la edad d*l D. Isidro Mandoza en el expresado año de 11 era de aj, A prnpua-.ta d-1 consejo de Estado sa ha servido S. M. nombrar estetura dot varas, delgado «le cuerpo , pelo negro, color trigueño y para la p rtt d iu…</t>
  </si>
  <si>
    <t>García, Feliciano</t>
  </si>
  <si>
    <t>Feliciano García</t>
  </si>
  <si>
    <t>…el termino de 10 dias, contados desde la pubicacion de este anunc'c, v Laa Cortea han tenido i bien prorogar por nn alio mai el término comparezcan por la escribanía de cámara de D. Feliciano García 'lan que estaba prefijado en último de Junio próximo para la presentación cha á usar de su derecho en forma, y eracuar el traslado que Ies ésta de créditos contra el Estado i los cuerpos públicos y particulares de las conferido en la causa formada i los mismo…</t>
  </si>
  <si>
    <t>García, Francisco</t>
  </si>
  <si>
    <t>Francisco García</t>
  </si>
  <si>
    <t>…fice* males daliinos, y í que el Ínteres ind.vidual et bastante estimu'o para Aprobado. perseguirlos, no debe pagarse por los propos de los pueblos lo En vísta de la solicitud de D. Francisco García, vecino de Zamo que hasta ahora se ha dado por la presentación de estos an.males. Des ra, sobre ciertos terrenos de propios , era de parecer que re accediere 4 pués de algunas ligeras observaciones del Sr. Bu«y tabre este dicta ella. Aprobado. men , ae mandó…</t>
  </si>
  <si>
    <t>García, Javier</t>
  </si>
  <si>
    <t>Javier García</t>
  </si>
  <si>
    <t>…aría del conse me dices de orden de las mismas lo siguiente: jo de Estado, por lo respectivo á los negocios de Gracia y Justicia , Pro » Las Cortes han examinado una exposición de D. Javier García puestas y Gobernación, donde te admitirán acompañadas de un ejem Flores, coronel del regimiento de milicia activa de Pontevedra, en que plar impreso de sus méritos ó de documentos fehacientes por téimino pide que en atención á ser el cuerpo que manda el prime…</t>
  </si>
  <si>
    <t>García, Joscf</t>
  </si>
  <si>
    <t>Joscf García</t>
  </si>
  <si>
    <t>…omisión de Caminos y Cao»’,es presentase su preyecto sebre es Otro de la de Diputaciones provinciaies para que se pase i la de tos puntos. Casoi de responsabilidad la instancia de D. Joscf García, vecino de le Ei Sr. AVtrez Gutiérrez dijo que la comisión hab.a cons.deraJj villa de tleilin (provincia de Murcia), quejindote de aquel ayunta este punto en la memoria dei m msterio de la Gobernación d. i» Pe miento por sus procedimientos en la cobranza de c…</t>
  </si>
  <si>
    <t>García, Juan</t>
  </si>
  <si>
    <t>Juan García</t>
  </si>
  <si>
    <t>…s invadidas por los enemigos mera instancia de esta M. H. villa de Madrid, se c.ta, llama y em de nuestras libertades patrias, buscaron un asilo en este baluarte de ellas. plaza á D. Juan García halas , comisario de guerra honorario ; D. An De Tortosa el día 10 avisaban que la milicia voluntaria iba toman tonio Sánchez, pintor de cámara de S M.: D. Lorenzo Gómez , ad do pie, pues en lugar de los 18 ó ao que eran, ya el 3 del actual se ministrador de…</t>
  </si>
  <si>
    <t>García, Juan Esteban</t>
  </si>
  <si>
    <t>Juan Esteban García</t>
  </si>
  <si>
    <t>…bastantes;': Argiiello, idem. D. Juan Escorial; ídem. D josef Miguel, de Góicopero no puedo detallar su número por ahora por haber tenido que con chea, idem. D. Angel.¿erez, idem. D. Juan Esteban García , contuso. ducirlos i diversos hospitales: por mi parte he tenido ia pérdida qué D. Jacobo Gilvan, ídem. D. Josef Coriúri, ídem. Paisano i D. Juan manifiesta el adjunto estado: Josef Ibarr.ta , contuso , agregado. •s El brigadier D- Juan Palarea estuvo i mi l…</t>
  </si>
  <si>
    <t>García, Juan Justo</t>
  </si>
  <si>
    <t>Juan Justo García</t>
  </si>
  <si>
    <t>…de Madrid que tuvieren poderes de accionistas de igual derno de 10 pliegos á 6 rs. ó mayor número de acciones, habiendo sido otorgados derechamente á Elementos de matemáticas por D. Juan Justo García; tomo 2-* ellos con facultad de que puedan concurrir á las juntas generales y co de la quinta reimpresión. Se hallará en la librería de Brun. brar los dividendos, y no lo uno sin lo otro, deberán entregarlos en la Devocionario sagrado de los privilegios, grac…</t>
  </si>
  <si>
    <t>García, Juan Oliver y</t>
  </si>
  <si>
    <t>Juan Oliver y García</t>
  </si>
  <si>
    <t>…os los poderes de estos se ven. Yo estuve en esas funciones; pero fui como consejero de estado ñores como proponía ia comisión. que era entonces , lo cual lo puedo probar. Málaga. D. Juan Oliver y García, D. Josef Alcántara Navarro El Sr Canga Arguelles manifestó que por haber hecho el señor y D. Juan Blak. La comisión, después de haber examinado los pode Cuadra una especie de inculpación á la comisión debía decir que ola res de estos interesados, y asimismo…</t>
  </si>
  <si>
    <t>García, Juana</t>
  </si>
  <si>
    <t>Juana García</t>
  </si>
  <si>
    <t>…de Escena, jurisdicción de Herrera, de la manz. 481 , a favor de la capellanía fundada por Domingo Iduse le presentaron dos toldados de infantería con attnamtnlo y capotea quera y Doña Juana García de llenada, su muger , cuyo último po franciscanos, y le preguntaron por el Abuelo, ó si sabia de alguna seedor y patrono fu* Eugenio de Iduquera, para que respecto haberse part:da de facciosos, y contestándole que estaba preso, prorumpieroa denunciado como v…</t>
  </si>
  <si>
    <t>García, Kamon</t>
  </si>
  <si>
    <t>Kamon García</t>
  </si>
  <si>
    <t>…dicho qu: en el momento de la causa, opinaba que debía aprobarse. Aprobado. que ei ministerio de Hacienda no pudiese proporcionar la* cantidades D. Pedro Alcana, D. Manuel López , D. Kamon García jr Don que se necesitaban para ia* grandes atenciones del día, seria preciso Manuel Bravo, exponiendo que habían dispertado una partida de la* ocurrir á lat c. orles para que tratasen de aumentar lo* presupuesto*. dronet junto á Arenas, pedían i las Cortes de…</t>
  </si>
  <si>
    <t>García, Lorenzo</t>
  </si>
  <si>
    <t>Lorenzo García</t>
  </si>
  <si>
    <t>…an cometerse por ra que lo dijere asi á la misma diputación. Aprobado. los papeles públicos, la idea de la comisión de hacer la impresión por La misma, en vista de la solicitud de D. Lorenzo García, vecino contrata estaba fundada en los principios de economía política, según de Alcaraz, para que se le concediese la ptopitdad de ocho fanegas de los cuales los poderes del Estado no puedan ser fabricantes ni im tierra de realengo en que había hecho aiguuot…</t>
  </si>
  <si>
    <t>García, Manuel</t>
  </si>
  <si>
    <t>Manuel García</t>
  </si>
  <si>
    <t>…egecutó con cuidado y exactitud. láminas: D. Francisco Araujo, D. Manuel Mosquera, D. Manuel ,,Toda la sala estaba sembrada, como ordinariamente sucede, de obras Ca nbos y Senes, D. Manuel García, D. Eulogio López, D. Cirios de escultura: el planisferio ocupaba la parte del techo que a¡ entrar se Esteves, D. Josef Moreno Montea, D. Josef Armada», D. Diego encuentra á la mano izquierda, y á la derecha había ct¡os adorno, de Mosquera, D. Domingo Sancha…</t>
  </si>
  <si>
    <t>…reparaba fuerzas exrjrminadcras. ¡Qus Ja¡n a:mmist-Ador D. Antón o Va dés, administrador de Baza. impavidez: qué sublime patrict'imo: qué ardor y disciplina marcial no Interventor D. Manuel García, primer oficial de «¡u j.a cortadutia. habéis ostentado en el combate! Sin perder un momer to en la estre To’edo i»tirv* ;or D. Grrg- rio Fernandez Cid , oficial primero chez de las caites habéis extendido vuestras filas por el frente enemigo, »e ha sido de a…</t>
  </si>
  <si>
    <t>García, Miguel</t>
  </si>
  <si>
    <t>Miguel García</t>
  </si>
  <si>
    <t>…de consiguiente en una edad .» ,.u • r.o p_A la comisión de Instrucción pública se pasó una exposición de di.se a..qurir lo» conoc m ertol 1» c. varios para egerc.r a .u.-a .! ■ a D. Miguel García de la Madrid , acompañando pn rgemp'ar de ia otra mas ; por todo lo cual fue de opitsion que u«b.a ac.araise este p.. ;a que ha traducido, intitulada Exr¡:.sscK&gt;n de ln deberes de i /wif're y’.iel por med o de una adición. eindadano, manifestando que serta mu…</t>
  </si>
  <si>
    <t>…Coll, D. Luis corr spondicntes á su puntual cumplimiento. Madrid u de Diciembre del Gargollo, D. Antonio Canadell, D. Juan Bautista Llanos, Dode 18a a. Juan Francisco Espelosin, j D. Miguel García (Miz , calificaron por unanimidad con la fórmula de obsusito el artículo Plata sU ¡a Consti tución , inserto en el Diario Gaditano de a de Setiembre último , de En atención al mérito y servicios del mariscal de campo Don nunciado como sedicioso tn primer ¿rod…</t>
  </si>
  <si>
    <t>García, Miguel Calvo</t>
  </si>
  <si>
    <t>Miguel Calvo García</t>
  </si>
  <si>
    <t>…. Juana Izquierdo, consortes y vecinos de Madrid, de quienes tomó En la nía segunda civil de la audiencia de Madrid y escribanía de los apellidos el bautizado. Cámara del cargo de D. Miguel Calvo García penden autos en segunda instancia entre partes, de la una actor demandante D. Guillelmo Parían, del comercio de esta corte, y de la otra D. Agustín Goulard, fabriLista de las circulares, decretos &amp;c.t publicados en la ¿aceta tn el cante de licores, sobre pago…</t>
  </si>
  <si>
    <t>García, N.</t>
  </si>
  <si>
    <t>N. García</t>
  </si>
  <si>
    <t>…ir incesantss tareas en estos dias da conflicto y de glotis. con serenidad el fuego, conservar la obediencia y formación aun en El general entregó la medalla al procurador síndico D. N. García, las crisis mas apuradas, y lo que es mas noble y digno de admiración, diciéndole con la mayor afabilidad que se sirviese presentarla ai ayun los he visto salir de tus filas, no sin riesgo de sus vidas, y con pañuelos tamiento como una expresión sincera de la…</t>
  </si>
  <si>
    <t>García, Nicolás</t>
  </si>
  <si>
    <t>Nicolás García</t>
  </si>
  <si>
    <t>…que por la multitud de negocios que han de niente de Cantabria D Manuel Gómez Pena, y los alféreces de Lusita despachar las diputaciones no les sobraran muchos empleados, sino nia D. Nicolás García y D. Francisco Moscoso, como asimismo el ca alguno que otro, y en favor de estos poquísimos es el artículo que ha bo de Sagunto Francisco Pérez, á quien le hirieron el caballo.** presentado la comisan. Pagaduría militar del primer distrito. El Sr. Navarro TVjeiro impugnó el artícul…</t>
  </si>
  <si>
    <t>García, Pantaleon</t>
  </si>
  <si>
    <t>Pantaleon García</t>
  </si>
  <si>
    <t>…odos los ramos dependientes de los mtr.ístecon el mayor patriotismo concurrieron á esta benemérita acción ton: rios es una medida gubernativa, y qu; el G'.b croo puede y c‘eb- uur D. Pantaleon García, cabo segundo de caba lería, y comandante de la de ella con justo motivo. La sola suspensión no podr, ser reclamad* eá partida; D. Manuel Guiteler; Joseí Fernandez Carrera; Esteban Casa justicia por el empleado qua la sufra , pues deberá únicamente hacer las…</t>
  </si>
  <si>
    <t>García, Pedro</t>
  </si>
  <si>
    <t>Pedro García</t>
  </si>
  <si>
    <t>…la Gobernación de Ultramar, con La de Guerra opinaba que no debía haber lugar á deliberar ao- fecha de ayer, dice desde el Real titio de Aranjuez lo siguiente: bre la solicitud de D. Pedro García, teniente retirado, que pedia sa m SS. MM. y A A. continúan sin novedad en su importante mlod.** invalidase su retiro, y te le concediese el destino que antes tenia. Aprobado. Habiendo procedido las Cortes á la renovación de su presidente, La de Instrucción p…</t>
  </si>
  <si>
    <t>…dei. Mérida i D. Francisco Javier Pardillo, teniente supernumerario regimiento infantería de la Reina, con 570 rs. al mea. del segundo voluntarios de Aragón , con 570 re. Alcojr A D. Pedro García , teniente supernumerario del regimien- . Manrcsa A D. Manuel Diz, teniente del regimiento infantería' to infantería de la Princesa , con 570 1». Imperial Alejandro , con 570 rs. Almería A D. Manuel Romero, teniente del regimiento infantería Motril A D. Josef…</t>
  </si>
  <si>
    <t>García, Ramón</t>
  </si>
  <si>
    <t>Ramón García</t>
  </si>
  <si>
    <t>…con los documento* que legitimen su* créditos al secretario de ellos se compadeció al va aquel hombre i quien creyó victima de al S. M. y escribano del número da c&gt;U propia villa D. Ramón García gún accidente. Hizo acercar la lancha, recogió al bramin, y reanimó Jiménez; en la inteligencia de que pasado el referido término, sin ma sus decaída fuer zas-echándole alguna gota de licor en la boca. Luego aviso te procederá i. techa entrega de bienes y den…</t>
  </si>
  <si>
    <t>García, Roque</t>
  </si>
  <si>
    <t>Roque García</t>
  </si>
  <si>
    <t>•educido» de la* parrafia* que te le* habían contado. (O mismo objeto la exposición de D. Roque García, apoderado de la ¡1. Si entrásemos á referir alguna* anécdota* secundarias , vería el pú- la de la Higucrita. A pichado. Mico la ridiculas y la ignorancia de lo* que figuraron en esta esce La comisión Eclesiástica, en vista de la solicitud del cabildo de la n…</t>
  </si>
  <si>
    <t>…uaban sin novedad en su importante salad. 4 D. Pedro Alonso Pacheco, apoderado del Excmo. Sr. duque de Se mandó pasar i la comisión de Legislación una consulta del Go Abi antes: á D. Roque García, apoderado del Excmo. Sr. duque de Al bierno sobre si podrá mandarse remitir á Madrid una causa fenecida ba , y á D. Antonio Sastre Real , apoderado del Excmo. Sr. conde de en la audiencia territorial de Galicia, para que se* visitada según cali Parcent y Con…</t>
  </si>
  <si>
    <t>García, Santiago</t>
  </si>
  <si>
    <t>Santiago García</t>
  </si>
  <si>
    <t>…mismo modo:; qué es pues lo que po Se leyó y aprobó el acta de la anterior. drá proponer de nuevo? Se fatigará en vano, y nada adelantará. Debe Se dt&lt;&gt; cuenta de una exposición de D. Santiago García , vecino pues nombrarse una comisión para que entienda en este asunto, y i individuo de la milicia nacional voluntaria de esta capital, pidiendo componerse de los Sres. que han dicho que las medidas prepuestas por ae le concediese ir con el segundo batalloo d…</t>
  </si>
  <si>
    <t>García, Teodoro</t>
  </si>
  <si>
    <t>Teodoro García</t>
  </si>
  <si>
    <t>…ientes dictá A la comisión de Gobierno interior s: pasó una exposición de Dos menes: Josef Antonio Gallardo, manifestando sus servicios, en virtud de los Uno sobra la solicitud dé D. Teodoro García para que se le habi cuales S. M. le ha nombrado su secretario, y pedia á las Cortes ta litase para obtener algún empleo sin embargo da no gozar sueldo ni •irviesen colocarle en su secretaría. hab-r sobre el enfrio. La comisión , en vista de los informes favor…</t>
  </si>
  <si>
    <t>García, Tomas</t>
  </si>
  <si>
    <t>Tomas García</t>
  </si>
  <si>
    <t>…l reintegro de los partícipe* legos. Si el medio diezmo, des lo. Aprobado. pués de hechas las averiguaciones convenientes, resultase quehoalcan be dió cuente de uncí exposición de D. Tomas García, coronel del za para la manutención del cuito y del clero, si un carga tan pesada regimiento de Guadalaiata, manifestando que los individuos del se no bastase para llenar un objeto de tanta preferencia, será necesario gundo batallón de aquel rcgimiento que gu…</t>
  </si>
  <si>
    <t>…es de la Nación para lo» año* ia y ij. En La misma , en vista de la solicitud de Doña Antonia Franco , viu esta función pronunció D. Angel Jiménez y Navarro, vicario de esta da de D. Tomas García, cabo que fue del reaguardo de Redondel*, parroquia, un corto pero elocuente discurso, manifestando en primar ira que se le concediese un* pensión, opinaba que no podía accedería lugar que en aquel dia debian salir del reconocido corazón de loa oyen su solici…</t>
  </si>
  <si>
    <t>García, Vicente Antonio</t>
  </si>
  <si>
    <t>Vicente Antonio García</t>
  </si>
  <si>
    <t>…empleado D. Vicente drf Campo; y para la plaza de juez letrado del partido d« podrá reclamar en justicia. Madrid 17 de Junio de i8*a.=A!varo Gó Cangas de Ti neo , cn Asturias , á D. Vicente Antonio García del mez , presid:nte.es\ngel Saavedra, diputado secretario.rtFrancisco Be Valle. nito, diputado secretario.” =Por tanto mandamos á todos los tribuna A consulta del consejo de Estado de 19 de Junio último se ha ser les , justicias, gefes, gobernadores y demas…</t>
  </si>
  <si>
    <t>GarcíaD, Htnrique</t>
  </si>
  <si>
    <t>Htnrique GarcíaD</t>
  </si>
  <si>
    <t>…erdo* y ctras cosaa. el cabo primero D. Sebastian Capdevila y los milicianos 1&gt;. Joseí __jj0j. j medio día asomaron una porción de facciosos por la pa-te Conde , D- Lucas Gallego, D. Htnrique GarcíaD. Andrés Juan y de C*&gt;te'lvell, é icmcdiaumerte saüó para aquel purlo una v*. D. Jotef Font, todos estos de su compañía , y de infantería los volun liTt.’ compañ'* de catadores de m ntaña al mando del captan D. Jotarios Miguel García y Toméis, y J &lt;¡:f García…</t>
  </si>
  <si>
    <t>Garcías, Lorenzo</t>
  </si>
  <si>
    <t>Lorenzo Garcías</t>
  </si>
  <si>
    <t>…................................. 33,046-11 En la balija que salió para Galicia el 5 del corriente, y fue intercep 5 a Beneficencia y salud pública— 13,169-17 tada en Villalpando, D. Lorenzo Garcías remitía bajo pliego certificado Gastos imprevistos.................................. 10,693- 6 4 la dirección de D. Pedro de Llano de la Coruña nueve documentos de crédito sin interes, expedidos en 16 de Setiembre último por la di 355,600-17 rección del Crédi…</t>
  </si>
  <si>
    <t>GarcLi</t>
  </si>
  <si>
    <t>…nteligencia del art. 33 vendiéndolas ó distribuyéndolas á sabiendas de cualquiera modo.” de la ley de 16 de Abril de 1811. La comisión opinaba que las apela Art. 145. (Adición del Sr. GarcLi.) «O se prohibiere por las le ciones instauradas por los canónigos Erroz y Morales, complicados en yes ó por legítima autoridad con arreglo á ellas , y que no ceda, áte.” las cansas de Búrgos y Avila, estaban comprendidas en el referido ar Art. 246 párrafos 5…</t>
  </si>
  <si>
    <t>Garctly, Nicolás</t>
  </si>
  <si>
    <t>Nicolás Garctly</t>
  </si>
  <si>
    <t>…de 1$ hombres á cargo de su comandan circule^Está rubricado de la Real maco .=En palacio á la de Julio te D. Felipe López Valdemoro, la cual protegió la deserción de mu de i8xa.sA D. Nicolás Garctly. chos guardias de las filas sediciosas, colocándose en seguida con fuerza Circular dtl mmi/terio dt Hacienda. bastante en loe balcones del tribunal supremo de Justicia, contribu * Considerando que en las capitales de las provincias nuevamente yendo de este mo…</t>
  </si>
  <si>
    <t>Garc’a, Miguel Juan</t>
  </si>
  <si>
    <t>Miguel Juan Garc’a</t>
  </si>
  <si>
    <t>…pirca de la pena que deberá imponerse á los desertores de segunda vez del recode Mequinenza, J&gt;. Estiban Dovon, cx-capuchino, D. Mar ano servicio de la Armada. Pascual de Alcañlz, D. Miguel Juan Garc’a, D. Juan Bautista Gan A la de Marina una solicitud de Gabriel Barceló, pidiendo se le do, D. Joaquín Esteban, L&gt;. Ramón Toro y 1). Mariano Galindo, conceda una pensión por haberse inutilizado en el navio Santiago de ha mandado S. M. que en su Real nombre se l…</t>
  </si>
  <si>
    <t>Garda, Juan</t>
  </si>
  <si>
    <t>Juan Garda</t>
  </si>
  <si>
    <t>…do que lo habían quedado de hecho , p que las juntas se habían mento ante el apuntamiento de aquella ciudad. Separado del decreto referido solo en la pane relativa 4 ios párrocos. D. Juan Garda, capitán de caballería del regimiento expedición*» Dijo aper él Sr. Prado que aquí en la discusión se había querido ha lie de húsares de Fernando vil, y residente en un depósito, cedía en cer valer el egempio de ua amo que tenia muchos criados, p que vi benef…</t>
  </si>
  <si>
    <t>Garda, Juan Pablo</t>
  </si>
  <si>
    <t>Juan Pablo Garda</t>
  </si>
  <si>
    <t>…a. Por ú'timo, hizo ver Ja necesi llán a que rn la misma iglesia fundó Catalina González , y posee el dad que había de que se nombrase una comisión que entendiese rxciu- prnhilíio D. Juan Pablo Garda, se suplica á quien hubiese hallado sivam nte en pres ntar á las Cortes los trabajos y reformas necesarias dichas escrituras se sirva entregarlas al dicho presbítero, residente en la para Ihvar &lt; la posible perfección una institución naciente dimanada expresa…</t>
  </si>
  <si>
    <t>Gareii</t>
  </si>
  <si>
    <t>…laterra se llama resolución, qua es sentar una porción de gistratura recayesen en sugetos dignos de ocuparlos. máximas cuando se está examinando un mal, que son otros tantos in El Sr. Gareii: A pesar de qu: desde la época en que me hallo en dicantes de la causa de él. Considero mies que el Congreso, preguntan el ministerio no v ha provisto uní sota plaza de magistratura , no pue do á la comisión cuáles son las verdaderas causas de que dimanin «to…</t>
  </si>
  <si>
    <t>Gareily, Nicolás</t>
  </si>
  <si>
    <t>Nicolás Gareily</t>
  </si>
  <si>
    <t>…se vende y rematará en e! mejor postor,Ea í rubricado de la Real mano.sEn Aranjuez á 16 de Jumo de (8ta. para invertir su producto en el Vestuario de ia tropa ó en el pico di =s A D. Nicolás Gareily. los créditos que contra sí tiene.ia inspección general nacional d. m ¡icias provinciales, una casa principal con dos rs. d arios de a .ua p i.iDon Fernando va por la gracia de Dios y por la Constitución da ble , sita en esta corte y en ,u ca&lt;&lt;e de vlca'.r ,…</t>
  </si>
  <si>
    <t>Garel</t>
  </si>
  <si>
    <t>…Congreso necesita res - v.-r 1 Pero st brr a matrr a; pero como e, obj to principa1 -s tratar rUi fuete del ya este asunto no admite dudas ; están resueltas por el Gobierno , las Sr. Garel y, digo que sobre este particular la Con, t tu. on y ias !-ye* apoya la comisión , y de consiguiente ya tienen los diputados súnchen d terminan el fu ro de ios acertar.os de! Despicho, v .; ia, .ict-v na te luz para acordar sobre ellas lo conveniente. des toc…</t>
  </si>
  <si>
    <t>Gareli</t>
  </si>
  <si>
    <t>…mo dementes, ó que se juzguen De lot Aelitos contra et Rey, la Rema 4 el Príncipe heredero. por la ley de Partidas. Art. m. » Todo el que conspirase directamente y de hecho con Ei Sr. Gareli dijo que en todas las naciones qae reconocían un solo tra la sagrada i inviolable persona del Rey con el designio de matar culto era necesario establecer algunas leyes pera reparar algunos exce le, herirle, prenderle 6 maltratarte de obra, es traidor, y sufri…</t>
  </si>
  <si>
    <t>…ber propagado algunas máximas contra la modificación en este artículo por las razones que he indicado. religión no insistía en su error, después de declarado tal por la autori F.1 Sr. Gareli hizo varias observaciones pera manifestar que debía dad competente, el cual r.o dejaba de dar un escándalo, y de ———r aprobarse el artículo, haciendo un análisis del decreto que habían dado un delito contra el Estado que necesariamente debía repararse. las Co…</t>
  </si>
  <si>
    <t>…ías no se mueven, en razón de que es liecncia-para tener libros prohibidos con el fin de refutar sus doctrinas. tas están ya acostumbradas á no entender de otro modo; de forma fit Sr. Gareli apoyó el articulo, manifestando que era muy confor que si dijera el carretero una alabanza á Dios no lograría lo que desea me á las facultades de lat Cortes el aprobar ó reprobar la prohibición ba. Demostrando que la malignidad de estas palabras no podía calc…</t>
  </si>
  <si>
    <t>…sin que preceda mandamiento del juez por escrito que se notifique al servaciones acerca de este articula. tratado como reo. Cualquiera que incurra en alguno de estos dos casos Ei Sr. Gareli opinó, que dsspues de las palabras prohibido! por loe sufrirá un arresto de to á 1 odias, y ti hubiere procedido como funcio leyes debía a fiad irte 6 autoridades competentis con arreglo d la ley. nario público perderá ademas su empleo. El Sr. Calatrava dijo…</t>
  </si>
  <si>
    <t>Gáreli</t>
  </si>
  <si>
    <t>…on el fin de prender ó perseguir á al aen Jas palabras j&gt;ener ¡tímente reconocido!, después de extranjero!. gún malhechor súbdito de España que se haya refugiado en aquel país, El Sr. Gáreli apoyó el artículo, manifestando que no debían fijarse sufrir n la pena de suspensión de empleo y sueldo por uno á tres las prerogatívas de los embajadores en el código penal. años.” El Sr Calatrava indicó que no era el objeto del Sr. López el que El Sr. Sánch…</t>
  </si>
  <si>
    <t>…le hay, ó removerlo ai es malo; ai la comisión hu le cual había quedado suspendida ea la sesión anterior. biste tenido este epeargo hubiera hablado claramente con la franquean El Sr. Gareli dijó; Yo aguardaba con temor la discusión de loa que es propia de los individuo* que la componen. proyecto* de lev que ha tenido d honor de presentar la comisión, de La cuestión no debe extraviarse: el mal existe; d remedio perte m luí soy individuo; pero al…</t>
  </si>
  <si>
    <t>…memorable mensage;i áster:que el mi de le libertad de la imprenta, no se podía deducir la que había dicho nisterio habrá perdido la fuerza moral, y que esa dé absoluta —rridait el;Sr. Gareli: asimismo hizo varias observaciones respecto de haberse una reforma en el. Si esto lo ha declarado ya el Congreso, y todos loe creído que en el expresado dictamen se trataba de una ley represiva de buenos españoles lo conocen, ¡i qué querer demostrar ahora la…</t>
  </si>
  <si>
    <t>…l dar te á las Cortes, son seguramente las que están consignadas en ese do nuevas leyes, si las actuales están sin egecucion! Es claro que en esta cumento que se acaba de leer. El Sr. Gareli ha dicho que el Gobierno caso de nada servirán. Se ha dado mucha importancia á los abuses que jinda p.de; pero por la minuta que se ha leído, y en la que se demues se pueden haber cometido; y yo que he visto lis causas seguidas en tra lo contrario, no s: pued…</t>
  </si>
  <si>
    <t>…e consiguiente mi opinión es que debe sufrir este proyecto alguna va gar á votar sobre el proyecto referido. riación en cuanto al modo de elegir el jurado, porque en las diputa El Sr. Gareli deshizo algunas equivocaciones que dijo haber pade ciones provinciales hay dos empleados por el Gobierno que pueden per cido el Sr. preopinante. judicar mucho en algunas provincias pequeñas, y mi intención es ex El sr. conde de Toreno dijo: Al oir las palabra…</t>
  </si>
  <si>
    <t>…ar; y en cuanto k la segunsla que no se resuelva cota alguna han derse ahora. que el expediente esté instruido, Sin embargo de todo esto mi opinión es que no debe haber lugar i El Sr. Gareli dijo que d expediente lo había instruido el miañatotar el dictamen de la comisión: diré lo* motivos en que me fundo, río de Estado enviando varios expedientes, relativos é abusos reda y creo que todos lo* Sres. diputados me harán la debida justicia en creer m…</t>
  </si>
  <si>
    <t>…so la libertad de imprenta, como el primero y mas firme modo contrano á la libertad de los ciudadanos. «poyo de la libertad civil y política , nos gloriamos de nuestros esfuer- El Sr. Gareli dijo: yjue el artícu’o de que se trataba no era otra cosa tos,sin embargo de que somos hace muchos dias víctimas del abuso de mas que el desenvolvimiento del artículo constitucional que habla de tsti l.bertad, i trueque de la cual nos son gratas las mismas ca…</t>
  </si>
  <si>
    <t>…eriencia. Dícese que si hace locuras.... No las puede hacer, por nes opinó que no debía aprobarse el artículo. que todo lo que mande que no sea por el conducto de los ministros El Sr. Gareli dijo: No responderé á la objeción que ha hecho el nadie tiene obligación ni debe obedecerlo. ; Los ministros no están su Sr. preopinante, reproduciendo la del Sr. Navas sobre la extensión que jetos i responsabilidad ? Pues esta pone totalmente á cubierto la r…</t>
  </si>
  <si>
    <t>…se nos reunieron varios generales y ficciones,-ó de otra manera semejante.” diferentes oficiales , congratulándose con nuestro arribo. Un considera Después de haher satisfecho el Sr. Gareli i algunas dudas propues ble número de personas á caballo se incorporaron con la comitiva, y tas por el Sr. Letanía. te aprobó el artículo. la milicia nscronal de caballera , los coches y carruajes de todas cía Art. 3.a *&gt; Son incitadores á la desobediencia en…</t>
  </si>
  <si>
    <t>…r esto S. M. el Emperador de Rus» tendrá que salirle al encuentro. Era tal so debía aprobarse el artículo. la exasperación entre los alucinados musulmanes, que si les dieran or El Sr. Gareli contestó que la comisión habrá aumentado la pena para den de retirarse sin esperanza ds guerra eren de temer funestísimas reprimir las injurias que se dirigían contra los particulares, y para ase consecuencias—Parece que los rusos se hallan también en el caso…</t>
  </si>
  <si>
    <t>…se en posta » esta capital, habiendo manifestado de opinión que no debía aprobarse el artículo que te discutía. no haber podido hacerlo antes con motivo del estado de su salud. El Sr. Gareli: Para aclarar la discusión debo' hacer presente que no Se levantó la sesión á las tres. debe embarazarla una clíusula que hay en el art. (4, la cual cuando llegue el caso de discutirse se aprobará ó no se aprobará. Por las refle ARTICULO DE OFICIO. xiones que…</t>
  </si>
  <si>
    <t>…cual era de parecer que no debí* aproba conocimiento de esa superior y efectos consiguientes.” se el artículo. Lo que hago notorio al público para su inteligencia. Barcelona 31 El Sr. Gareli contestó que le comisión se había atenido al texto li da Enero de »«rr —Et pceaidratessJuM Munarriz. teral de la ley de as de Octubre en materia tan delicada, es cuya ley hablando el art. 7.0 de loe libelo* infamatorios atablecia que queda Madrid Vitmtt 8 de…</t>
  </si>
  <si>
    <t>…a de funcionario» público», tino aun respecto a los mismos dictámcn:* de los mismos jueces de hrós. las comisiones dé Cortes; peto aquí no se trata de esto , sino de los jui • El Sr. Gareli dijd que el fftsblsciuiltinu del jurado era ausceptibio cios calumniosos, y lo mitán» digo contra un particular que contra un de mejoras en muchísimas legislatura, y La comisaos proponía abura la funcionario público: r. gr., si se digese, siendo falso, tal mi…</t>
  </si>
  <si>
    <t>…se previniere en las or miento de un pueblo pudiese representar á las Cortes para que estas su denanzas. plicasen á S. M. que convocase á Cortes extraordinarias, que es lo mis El Sr. Gareli en nombre de la comisión convino en que se separa mo que se hizo el año pasado. Asimismo opinó que el articulo en sí se este artículo de la ley que se discutía, para que no fuese á la sanción estiba obscuro, y por lo mismo debía hacerse alguna aclaración. Rea…</t>
  </si>
  <si>
    <t>…ot que han leido su Regulatsur, iba con intención de con solo por el miedo dí que pudiese abusarse de e!. tinuar su carrera literaria en Lisboa, en atención á que siendo puerto El Sr. Gareli contestó que la comisión no 1-alais hecho mas quedeslindar los limites del derecho de petición , que li C n.t tuc on no r1*- «le mar, tendría mejor proporción de introducir en los países extrangeros cia mas que conceder en general; que arte derícnc&gt;, asi como…</t>
  </si>
  <si>
    <t>…ue-deben* ro, que sí se analizara quedarla reducido á un axioma. En ¿I se habla de aclararse este artículo. las autoridades legalmente constituidas, y por lo mismo estas no tie El Sr. Gareli contestó que el espíritu de la comisión era que la nen mas existencia que la que les da la ley. Si no tienen mas existen Diputación permanente representaba á toda la Nación no habiendo cia que la que les di la ley , no pueden tener ninguna facultad fuera de C…</t>
  </si>
  <si>
    <t>…Octubre de i8at. Véndese á 4 rs. en el des te sobre el que tomase el mando de una autoridad voluntariamente. pacho de la imprenta Nacional. Se suscribe en dicho desjracho, y en El Sr. Gareli dijo que las Cortes podian resolver este asunto en ra las provincias en todas las administraciones principales y agregadas de zón «le que se les había remiti«lo por el Gobierno , por lo demas mani correo*. festó que ya se sabia y estaba declarado en el código…</t>
  </si>
  <si>
    <t>…ia , y alistamiento voluntario, y te encargara también á la comisión el ex efectivamente contestó lo que ro podía mena de contestar , que aa lo tenderlo.* que ha dicho muy bien el Sr. Gareli. Sin embargo .de cato no aatitfiEl Sr. ArgiteUes dijo que aprobaba Isa ideas de le comisión; pero xo; y aunque considero redundante la excitación que propone la comi ue sin embargo le quedaban algunos escrúpulo* sobre lo que acababa sión , suscribiré gustoso…</t>
  </si>
  <si>
    <t>Gareli, Nicolás</t>
  </si>
  <si>
    <t>Nicolás Gareli</t>
  </si>
  <si>
    <t>…se imprima, publique v circu código civil. Está rubricado de la Real mauo—En Aranjuez á 11 de Marzo de i3u. El Sr. Gatiano dijo que no solo debería tratarse de estos asuntos, z=A D. Nicolás Gareli. sino también de examinar el código penal aprobado por las Cortes an teriores. Para llevar á efecto el decreto de las Cortes de 2 - de Enero de es Con este motivo se acordó nombrar una comisión que se encargase te año, por el cual determinaron el arreglo prov…</t>
  </si>
  <si>
    <t>Garelly</t>
  </si>
  <si>
    <t>…a que había en El Sr. Adan pidió que se fijasen los datos sobre que debía fundat llursca de Infante D. Antonio han marchado el 21 á Monzon. Acti la comisión su dictamen, porque el Sr. Garelly no remira ningún an ve V. S. la salida de los individuos d:l mismo cuerpo que deben haber tecedente ni documento; y se opuso á que se tomase en consideración llegado ahí desde Teruel. Cuando las fuerzas no están en proporción mientras no v:m-‘se documentada,…</t>
  </si>
  <si>
    <t>…eto pa a que s* ds¡t:ncba esta „¿ntición de causa, y no obstaba el que ya no desempeñase este encardo el da-t , c.i.ii es la Mu.na, era de sumí utilidad paia aquella i.la : d.b ro Sr. Garelly, mucho mas cuando el delito de conspiración no era do te.ierse presente que este ramo habla «suco hace mucho t -mpo n;ay como el de asesinato, estupro y otros, que ninguna relación t.nlan desitemirdo, y que s: 110 se señalaban las cantidades necesarias pira d…</t>
  </si>
  <si>
    <t>…r. presidente anunció que mañana se discutiría el dictamen de Fernandez de Laguna á deducir el derecho que crea tener sobre la divi la com sion especial sobre la exposición del ex-ministro Garelly , y en sión del referido vínculo. seguida ei proyecto de la ordenanza del egército, é invitó i los señorea Por providencia del juez segundo de primera instancia de Murcia diputados á que asistiesen mas temprano á las sesiones para poder cum se señalan dos mes…</t>
  </si>
  <si>
    <t>…villa, ponéadole en ella á disposición del Madrid Sábado 9 de Noviembre. expresado D. Juan Paredes. Constan ¿gui mente por este testimonio las diligencias practicadas en busca del Sr. Garelly su enfermedad, por la S. M. el Rey y SS. AA. continúan *ín novedad en su importante que no ha podido ser trasladado á la cárcel, y que el fiscal Paredes ha talud. S. M. la Reina continúa aliviada. manifestado finalmente por escrito que para cubrir el expedien…</t>
  </si>
  <si>
    <t>…su encargo, es preci cida por todos, y de la que resulta el mal proceder del juez de la cau so que las Cortes declaren ante todas cosas que ha lugar á la formación sa , porque el Sr. Garelly po puede ser juzgado si no por el tribunal de causai segundo, que de ella debe entender el tribunal supremo da que la misma Constitución le señala: este es el argumento mas fuerte Justicia : tercero, que el mismo ba de conocer de todas las causas crimi qua se…</t>
  </si>
  <si>
    <t>…tenga duda alguna , y las C rtes tam de el¡a. poco deben tenerla, porque el Gobierno ha remitido ia exposición del Dice la cornisón que no puede formalizar la responsabilidad, por Sr. Garelly, y sobradamente indica los puntos de que tienen que ocu que el ir. Gar-liy no to pide; yo d:gn que en esto os señor-» que ia parse las Cortes. En el oficio de remisión dice el Gobierno que tenien componen han obrado mas como ¿u-;,t«s que .orno diputo de la do…</t>
  </si>
  <si>
    <t>…ro es que para que estos entender seria muy oportuno que con arreglo á ellas se decidiese este recursos tuviesen el efecto conveniente ; y asi la única disposición que negocio. El Sr. Garelly ha estado egerciendo el cargo de secretario del podía tomar el Gobierno sobre este negocio, mirándole bajo el aspecto Despacho de Gracia y Justicia: por sus procedimientos en el desem ds un asunto que presentaba duda de ley , era enviarlo á las Cortes pa peño…</t>
  </si>
  <si>
    <t>…-mos minos de entrar en tu consideración; por do la atención del Gobierno y del público. que ia crono ogía de U.» hechos mismos no permite se equivoquen ni La prisión acordada del Sr. Garelly era notoria; y conociendo el confundan con otros qj- no pueden tener tanta notoriedad. Gobierno que á las Cortes tocaba aclarar este punto sobre el derecho Esta no puede s-r d- satendida s n que ia Constitución sea un es que diese la Constitución al interesad…</t>
  </si>
  <si>
    <t>…l vez, Rey, González , Manso, Ruiz ha obrado con delicadeza, pregunto: viéndose interpelado por la pre del Rio, Valdés ( D. Dionisio), Gómez, Paterna, Sotos, Tomas, tensión del ex-secretario Garelly de un modo que nada tema que hacer Cuevas, Vírela, Cano, Guevara, Marchámalo, Prado , Escudero, sino dar cuenta al Rey de la exposición que acompañaba para que esta Eulate , Munarriz , López Cuevas , Alvarez, Suarez, Gener, Garoz, pasase á las Cortes extraord…</t>
  </si>
  <si>
    <t>…proba 5. Sebastian 4 &lt;/e Noviembre. ción de la última parte del dictamen de la comisión especial sobre la El Liberal guipuzcoano publica hoy las noticias siguientes: solicitud del Sr. Garelly. Estos últimos días empiezan ya á notarse los efectos del nuevo plan A la comisión de Guerra se mandó pasar una exposición de la di adoptado por los enemigos de toco bien para insurreccionar en masa putación provincial de Logroño, informada por el Gobierno, r…</t>
  </si>
  <si>
    <t>Garelly, Nicolás</t>
  </si>
  <si>
    <t>Nicolás Garelly</t>
  </si>
  <si>
    <t>…potencias puede conmover i toda la Europa: Está rubricado de la Real mano.sEn Aranjuez i 14 de Mayo de 182a. esta idea contiene al Gabinete ruso, y la misma da nuevos ánimos y sA D. Nicolás Garelly. aun osadía al divan , al que parece se le ha hecho conocer bien cir cunstanciadamente la situación de los pueblos cristianos. Asi pues el El comandante general del séptimo distrito militar desde Cerrera, temor conserva aun la paz; y el rczelo de algunos acon…</t>
  </si>
  <si>
    <t>…caba la contribución so que y circule.=Está rubricado de la Real mauo.csEn Aranjuiz á a a da bre consumos al pago de la deuda contraida por este empréstito, pues Mayo de a8aa. = A D. Nicolás Garelly. las Cortes sucesivas podían decretar que no existia esta contribución, y por lo mismo que no podría nunca considerarse como autorizado este Don Fernando vn por la gracia de Dios y por la Constitución de individuo para estipular el empréstito baio las condici…</t>
  </si>
  <si>
    <t>Garelly, Nicolas</t>
  </si>
  <si>
    <t>Nicolas Garelly</t>
  </si>
  <si>
    <t>…cute.s El Rey ha expedido el decreto siguiente: Está rubricado de la Real mano.=En Aranjuezá 23 de Junio de 1822. Don Fernando vtt por la gracia de Dios y por la Constitución de A D. Nicolas Garelly. la Monarquía espadóla, Rey de las Españas, á todos los que las pre Circular del ministerio de Hacienda. sentes vieren y entendieren, sabed: Que las Cortes han decretado lo Los Sres. diputados secretarios de las Cortes me comunican con fe siguiente- • Las Cor…</t>
  </si>
  <si>
    <t>…ad en el acto de la sus de la Gobernación de la Península. (Gaceta del 14.) cripción, y la otra al tiempo da recibirla, y pasados dichos tres meses el Decreto de S. M. nombrando i D. Nicolás Garelly ministro inte precio terí de 3800. rino del Despacho de Estado. (Gaceta del 14.} Memoria sobre lat calenturas gástrica* y sus complicaciones, ó por Resolución de S. M mandando que las diputación'! provinciales mejor decir Tratado completo de las calenturas qu…</t>
  </si>
  <si>
    <t>…go pue acompañando una expcsicon dirigida á las Cortes extraordinarias por de hacer contra- los facciosos de Cateda y Ctrcastillo. Dio* guarde á el ex-secreurio de) mismo despacho D. Nicolás Garelly, la cual había V. S. muchos años. Cuartel general de Sos jr Octubre as de 1812. = resuelto S. M. se sujetase al conocimiento de las mismas Costes. Se le Antonio K:mon Zarco del Valle. =sSr. brigadier barón de Ca- yó dicha exposición, y en elle exponía D. Nico…</t>
  </si>
  <si>
    <t>…guaciones que tenga Se dió cuenta del dictamen de la comisión especial á que se habia que hacer el comandante general para la clasificación , tendrá que va pasado la rxposicion de D. Nicolás Garelly, en la cual hacia presen lerse de los ayuntamientos, curas párrocos y otras personas de los pue- te que habí indo llegado á su noticia, y siendo público y notorio qua Ll o, los cuaus siempre darán informes falsos y en favor de los fac estaba acordad* su prisi…</t>
  </si>
  <si>
    <t>…sidente d,jo : » La&gt; Cortes sr gozan en ver que 1¿ liber Que no existia querella de infracción contra al fiscal Paredes, pues tad triunfa de la in q'lujad de su» en-.tr.icc».” que D. Nicolás Garelly concluía su exposición , suplicando á las Cor E! .sr. I.turiz : Mi parece que el motivo de dilatarse uta discu tes lomasen en consideración este asunto; y que no teniendo el expe sión nace de confundir las Cortas ordinarias con las extraordicar as , y diente…</t>
  </si>
  <si>
    <t>Núm. 330. (7 cuarto*.) ,jrSS • .•V5V5'v»v5v GACETA DE MADRID. DOMINGO 10 DE NOVIEMBRE DE 182a. NOTICIAS DE ESPAÑA. cía y Justicia el Excmo. Sr. D. Nicolás Garelly, proceda i su arresto y con u.cion á la cárcel de villa, ponéadole en ella á disposición del Madrid Sábado 9 de Noviembre. expresado D. Juan Paredes. Constan ¿gui mente por este testimonio las diligencias practicadas en busca del Sr. Garelly su enfermedad, po…</t>
  </si>
  <si>
    <t>…nqueza sobre los extremos que a.1|ec¿den , no puede menos de que es preciso examinar muy despacio. La Constitución habla de los se observar que todo el contesto de la soljditud de D. Nicolás Garelly cretarios del Despacho, y no de los que lo han sido: solo por una in abraza dos puntos , de los cuales ae reduce el uno i reclamar la in terpretación se puede comprender que habla de los «x-secretarios , y esta competencia del fiscal D. Juan Paredes, y el otr…</t>
  </si>
  <si>
    <t>…Gobierno que siendo ciertos loa extremos que abraza el recurso, á sa precisas de ellos las que indica la comisión. Dice esta ante todas cosas ber, auto de prisión acordado contra D. Nicolás Garelly por el fiscal que por mas que ha mirado i toda luz este negocio, no sabe con qué D Juan de Paredes, mande á este fiscal que pase al tribunal supremo objeto se ha sometido á la deliberación de las Cortes. de Justicia el tanto de cargo ó de culpa que resulta co…</t>
  </si>
  <si>
    <t>…ex-secrctario del Despacho D. Nicolás Ga- Volviendo pues á la resolución délas Cortes sobre la exposic'on rely, acerca de la adición de los bres. Ofiver, Seoane, Veíasco , Alon de D. Nicolás Garelly, diré que no puede considerarse como I.y, por so, Reillo , Alvarez Gutiérrez, Solieron, Kuiz de la Vega y otros, que no ha sufrido las lecturas de tal, ni las demas formalidades prescri que pedían se añadiese al final de la resolución de las Cortes sobre di t…</t>
  </si>
  <si>
    <t>Garelty, Nicolás</t>
  </si>
  <si>
    <t>Nicolás Garelty</t>
  </si>
  <si>
    <t>…atención de los políticos, quienes consideran al Aüstria circule.erfirri rubricado de la Real mano =En Aranjuez á 16 de Abril en la necesidad de lomar esta providencia. de t8aa.sA D. Nicolás Garelty. La conducta que seguirá el Gabinete austríaco en caso de romperse Resolución de las Cortes. la» hostilidades entre rusos y turcos es obj,-to de suma importancia , y En vista de las instancias de Doña María Josefa de Piles, riada del que no acaba de aclararse…</t>
  </si>
  <si>
    <t>Gareprimero</t>
  </si>
  <si>
    <t>…un tribunal. Me parece pues que bajo este concepto de nin Por todo lo expuesto, para la comisión ion otros tantos axiomas, gún modo pueden tomar en consideración la exposición del Sr. Gareprimero, que para exigir la responsabilidad i un secretario del Despa lly. Se dirá que aquí hay un hecho notorio, una circunstancia recono cho , ó al que io haya sido, por las funciones de su encargo, es preci cida por todos, y de la que resulta el mal proceder del j…</t>
  </si>
  <si>
    <t>Gareti</t>
  </si>
  <si>
    <t>…las cuales han de ser ttasfenbles, y con las modificaciones quo de aprobar el dictamen de la comisión. ae juzguen necesarias en los documentos para facilitar su circulación en El Sr. Gareti manifestó que la comisión habia presentado la cues las plazas extrangeras. tión bajo el verdadero punto de vista, pintando el origen y progresos Art. 13. » Las rentas asi inscritas serán pagadas en efectivo, esta de este desgraciado suceso con todos los color…</t>
  </si>
  <si>
    <t>Garetly</t>
  </si>
  <si>
    <t>…483 y 486), obligación del Gobierno. Debemos tener presente la reclamación que y contra los que confabulándose dos ó mas de ellos conciertan entre sí se ha hecho á las Cortes: el ministro Garetly concluye tu exposición alguna medida contraria á las leyes (art- 488); í resisten, frustran ó Im diciendo: » Ruego á Jas Cortes se sirvan tomar en consideración este piden de cualquiera modo su egecucion (art. 489), y es evidente que de gravísimo negucio ; cu…</t>
  </si>
  <si>
    <t>Garetly, Nicolás</t>
  </si>
  <si>
    <t>Nicolás Garetly</t>
  </si>
  <si>
    <t>…primer,escuadrón de artillería tjíglinmientM ice. (Gnióa irl S3.) nacional i j: al regimiento de caballería de Alcántara 48; al de Espa Decreto de S. M. admitiendo la dimisión de D. Nicolás Garetly, y ña 41 i al.de ¡Cálatrara 46; al del Rey , primero de ligeros, 41; al de habilitando á D. Damian de la Sonta y á D-xantiago Usoz para que le Numancia., 9" dé id., 41. sustituyan en el Desjpcho de los ministerios de Gtacia y Justicia y Lo* individuó* que com…</t>
  </si>
  <si>
    <t>Gargollo, Luis</t>
  </si>
  <si>
    <t>Luis Gargollo</t>
  </si>
  <si>
    <t>…el instituto científico central español a los alumnos cursantes que han de ser de este , á ios de cua quiei »uo del mismo ramo , » los enD. Nicolás Farto, I). Antonia, castillejo, D. Luis Gargollo, U. An tonio Cañad-ti, L). Joaquín Alvarez, L&gt; oantago de la Azuela, Don cargados da la educación, y á cuanto, bajan de ten.r algún inlluj, &lt;n la instrucción pública, fie vende en la, lit/r.rus de Ortega, dan/ , .Matute, Josef Antonio Pjya.lc , D. Doitl-ng» o…</t>
  </si>
  <si>
    <t>Garlan, Josef Joaquín</t>
  </si>
  <si>
    <t>Josef Joaquín Garlan</t>
  </si>
  <si>
    <t>…s, D. Rafael Ramiio , teniente coronel veterano del regimiento de infan se arreglarán á ella en cuanto á la presidencia y orden de colocación tería de Tres Villas en Nueva-España. D. Josef Joaquín Garlan, espi de los capitulares. Art. 4.3 No habiendo tal costumbre , presidirá co mo alcalde i.° el que tiene esta calidad en el lugar ó el único de la tan retirado. Junta general directiva dt tatas dt moneda. villa, decidiendo entre los dos la mayoría de edad. Ei…</t>
  </si>
  <si>
    <t>Garor</t>
  </si>
  <si>
    <t>…n continuar en el servicio por tener nes que sirven cá.cdra* de universidades y colegios.” robustez y capacidad para ello, se les debía dejar en libertad de hacerlo. Otras dos del Sr. Garor, la una sobre que los beneficiados que están Habiendo convenido lo* Sres. de la comisión en lo sustancial de es destinados al desempeño de cátedras, los que estudian con licencia del ta modificación , se declaró el punto suficientemente discutido, y que obisp…</t>
  </si>
  <si>
    <t>Garox</t>
  </si>
  <si>
    <t>…se prevenía en este articulo , y no estaba de mas el que ¡o aprobasen que en la preposición se expresan. las Cortes, aunque después se acordase que en cada ayunumiento hu Otra del Sr. Garox extendida en varios artículos, relativos i la biese un registro civil para el efecto. amortización de tas capellanías de sangre que esten vacantes ó vacaren Previa una ligera discusión ,en la que hicieron varias observaciones en lo sucesivo, repartiendo sus b…</t>
  </si>
  <si>
    <t>Garoz</t>
  </si>
  <si>
    <t>…a por 69 de 97 , d Sr. Lilio por 69 de 96 , el Sr. Canga Argitelle* habían animado á él y á sus compañeros pira hacer esta proposición, por 73 de 94 , el Sr. Mur6 por 69 de 93, *1 Sr. Garoz por 74 da 97, prescindiendo de las personas, porque solo atendían á las cosas. y el Sr. Fernandez Cid por a2 de 103. No se admitió á discusión por óo votos contra 58. En seguida se leyeron los artículos 54 y 5 5 del reglamento y el 34 Se leyó una proposición…</t>
  </si>
  <si>
    <t>…blico que proceda con descuido ó lentitud en el estas razone* debe desaprobarte el dictamvn de la comisión. desempeño de su encargo se le castigue del modo que allí se expresa. El Sr. Garoz: Estoy íntimamente persuadido de que el poder le Yo creo que cuando menos el gefe político de Madrid se encuentra gislativo pan entonar al cgecutivo y judicial tiene una arma fuerte, en este caso. Su orden, dirigida á ia justicia, manifiesta que trataba de cu…</t>
  </si>
  <si>
    <t>…fectiva la responsabilidad de lo* mismos en Fue nombrado para la comisión segunda de Negocio* eclesiástico* el caso que haya.mojtivos poderosos. Por esto me parece que no es de el Sr. Garoz. coroso ocuparte en esta medida, mayormente cuando autoriza en algún Se mandó pasar á la comisión de Ultramar un oficio del teniente modo los escándalos, como me propongo probar; pero vamos i la ine general D. Josef Dávila, gobernador del castillo de S. Juan…</t>
  </si>
  <si>
    <t>…asó el sets del arqueo de la tesorería gene tos y derechos que tuviese cada pueblo anteriores á su reunión. ral en 14 del corriente, remitida por el Sr. secretario de Hacienda. El Sr. Garoz se opuso á esté adición, manifestando que lejos de La comisión de Premios, en vista de le solicitud de D Vicente pro lucir el efecto que deseaba su autor, podría ser un motivo de des Rubio para que sa le concediese el retiro correspondiente á la clase de unió…</t>
  </si>
  <si>
    <t>…sta paite el d efamen de fa cr.mision. El Sr. Taboada hizo algunas observaciones contra el primer artícu Ei Sr. Grases manifestó que no tenia luda que ver el que te trata lo; y el Sr. Garoz habló en favor del mismo. se de tomar una medida interina con que la comisión de Hacienda proEl i r. Vega dijo que exigir de estos militares el que hubieran de pusi.se que estos oficíales pasasen i los depósitos. casarse para que pudios-n continuar encargados…</t>
  </si>
  <si>
    <t>…l Sr. Seoane apoyó lo manifestado anteriormente por el Sr. Pe Se leyó y aprobó el acta de la anterior. dralvez. Se dió cuenta de una exposición de D. Vicente Bcltran de Lis, en El Sr. Garoz se opuso á que se hiciesen pagar tantas cuotas cuantos que manifestaba que penetrado de la necesidad de fomentar la marina eran los cursos que se dispensaban, y suplicó á los señores de la comi nacional, y convencido de que para ello se necesitaban recursos p…</t>
  </si>
  <si>
    <t>…sión sin preceder proposición , dictamen de comisión ni otro alguno ñor presidente haga preguntar si pasará dicha exposición al Gobierno. de los medios prevenidos en el mismo. El Sr. Garoz dijo que nada debía obstar i que pasase la exposición Ei nr. Ooria dijo que para tratar de exigir la responsabilidad á le á la comisión que entendía en los asuntos de Cataluña , pues esta debía aala segunda del tribual supremo de Justicia , y de ti habis ó no…</t>
  </si>
  <si>
    <t>…te pu planes que no te podían realizar en el corto tiempo que quedaba. diesen proporcionar en el reino , opinaba que te debía autorizar al Go El Sr. Villaviej* apoyó las ideas del Sr. Garoz, en cuanto 4 que bierno como lo solicitaba, aunque debía este procurar que en lo suce la recaudación se podía verificar por los colectores que nombrasen ia* sivo no hubiese necesidad de acudir al extrangero para proveemos de juntas actuales; pero que la distr…</t>
  </si>
  <si>
    <t>…la palabra castigado i la Art. 37. n Si viese incendio, oyese tiren , reparase pendencia ó de mortificado. cualquiera desorden dará pronto aviso á su cabo; y ti catre tanto que H Sr. Garoz te opuso también á la palabra mortificado. este llegase pudiere remediar ó contener algo, sin apartarse de sa El Sr. Infante expuso que la voz mortificar ero muy conocida en el puesto , lo cgecutará.” Aprobado. servicio militar, y se sabia muy bien culi era s…</t>
  </si>
  <si>
    <t>…para el artículo siguiente. •can reintegrados en el derecho de conceder dispensas. A la Eclesiástica. El Sr. Buruega, después de manifestar lo delicuio «leí asunto, dijo&lt; Otra del Sr. Garoz sobre el modo de suceder en los bienes de las Yo no entieixlo que haya empréstito nacional tan bien establecido que capellanías de sangre que se bailan vacantes ó vacaren. A la de Legis prive á la Nación española del derecho de constituirse en juez de todas l…</t>
  </si>
  <si>
    <t>…iputados si la aprobación del proyecto en dt la mayoría de la comisión, y creía no debia este aprobarse. su totalidad envolvía la de laa dos bases, se contestó por algunos indi El Sr. Garoz dijo que había muchos abusos en el aprovechamiento viduos de la comisión que el resumen de las bases no era sino una par de estos pastos, y que esto era lo que había tratado de remediar la co te del discurso preliminar , pero no del proyecto, el cual debia em…</t>
  </si>
  <si>
    <t>…En defecto de lo* almacenes de la Nación para sumi se les hacia para que pudiesen indemnizarse de sus gasto*. nistrar armas á esta milicia, 6 de que ellos por su pitnotismo las El Sr. Garoz fue de opinión que debería volver el articulo á la co presenten, se comprarán estas de los fondos de la milicia m;sma, ó del misión para que se reformase en lo relativo á la indemnización de los sobrante de los propios del ayuntamiento, ó por cualquier otro m…</t>
  </si>
  <si>
    <t>…Sr. TrujóloPor este artículo parece que queda la milicia probar que este artículo no es admisible. nacional local independiente del poder egecutivo, cuando este por A petición del Sr. Garoz »e '.cyo el arf. 70 de este reg:artv nto. m.d.o de sus subalternos debe asegurar el orden y la tranquilidad en El br. Beltran de Lis: Por no molestar á las Cortes m- coa.retaré las provincias, de todo io cual es responsable» y por lo mismo debe Solamente a pr…</t>
  </si>
  <si>
    <t>…no excepción £;!c¿ ó le d.bieron enrar tn el sorteo anterior, y tic qS-e d.ben er.uar en Jtr, ga i.” lo cual me parece injusto; pu-s en uu cor.rep’o ■ ! berrín verificarse ras El Sr. Garoz opinó que deber a fijarse desde luego en este articulo des quintas, haciénd-se la., exceptó. ccrrerpou.i.eníes. que no entrasen en el sorteo lo* mozos que no tuviesen la talla que es Él ir. Adan : Confieso que me ha i eryr. nd.do trrribbrrente ote tá señalada…</t>
  </si>
  <si>
    <t>…tes á que esta una de la diputación provincial de Bilbao: otra de la milicia nacional idea pueda dar lugar. voluntaria y compañía sagrada de ancianos de dicha villa; y otra del El Sr. Garoz manifestó que ó debía privarse absolutamente á los ay untamiento constitucional de la misma, felicitando á las Cortes por militares el casarse , ó en caso de permitírselo debía dejárteles llevar su instalación, y pidiendo ios últimos se adoptasen algunas medi…</t>
  </si>
  <si>
    <t>…empieados ha estado sujeta al pago egercer los oficios de padres con los pupilos que tuviesen a su cuidado. de las contribuciones, y las Cortes este año han dicho que empleado El Sr. Garoz dijo que no había una razón para que á un md.tar púboco pagara el tanto por c.ento , teguu el sueldo que disfrutar., que se le privase de la facultad de admitir una tutoría; y que al contrario, es lo mismo que si se les rebajase el sueido. De no hacerse esto…</t>
  </si>
  <si>
    <t>…quien qu sier: . n I.eida y aprobada el acta de la anterior, se mandó agregar i perjuicio de sus padres y densa» a.cenrtientes, T díl quinto , en p r u.(lia el voto particular del Sr. Garoz, contrario í lo resuelto sobre ios cio de sus l&gt; jos y dcina» dascmdiertes." ar:s. i.° y 2. del cap. 1." de la ordenanza militar relativo i los testa E! Sr. Rorn.ro dqo que este jrti'.u'n co-t-n'a una porc:on d- de ra.ruó», y el del Sr. Remero, contrario al i…</t>
  </si>
  <si>
    <t>…por la Constitución y ias leyes respecto de los dornas ciu derechos que son comunes á todos los c.udadanoi, ha introducido tam dadanos. Que en cuanto é lo que había manifestado el Sr. Garoz de bién la distinción entre delitos comunes y privados, ó sea peculiar á «n que debía considerarse como circunstancia mas agravante en un secre cierto género de funcionarios públicos. tario del Despacho el conspirar contra el Estado por medio de una or La Con…</t>
  </si>
  <si>
    <t>…sión de as Cortes que diciendo concluyó 9 del corriente : y en necesario que so aprobase su proposición. bién presente que aunque esta emigración as realmente* un mal, este r.i El Sr. Garoz contestando al Sr. Aillon dijo que un «eerstario del se puede remediar con ningún medio violento, cono» il que proponen Despacho podía ser preso por delitos comunes. Afiadió algunas otrae los señores que firman el voto particular. La historial nos -m-fia cuá…</t>
  </si>
  <si>
    <t>…p!os de guerras extrafiis; pero ¡son estos aplicables á una guerra de la puede aprobarse el dictamen. natu raleza de la de aquel dia! ¡Acaso puede celebrar algún general amnis El Sr. Garoz como de la comisión contestó ti Sr. Gómez Becerra, tía con tos facciosos armados! ¡En dónde estila ley que lo permita : Es manifestando entre otras cosas, que asuntos de esta naturaleza podrían pues el punto de que se trata absolutamente nuevo; y no habiendo…</t>
  </si>
  <si>
    <t>…obado. nado la validación da lo* testamento* de que te trata. Art. 13. *» Las formalidades con que deban practicarse el inventa El Sr. Marau dijo que ai no te adóptate la idea del Sr. Garoz re rio , custodia y depósito ds los bienes del difunto, y lo que deba ha sultaría un perjuicio ¿.los militares en vez de resultarle* un privilegio cerse cuando hubiese dejado hijos menores de edad, son objeto de las que basta ahora les han concedido las leyes…</t>
  </si>
  <si>
    <t>Garoz, F.</t>
  </si>
  <si>
    <t>F. Garoz</t>
  </si>
  <si>
    <t>…muertos, 12 heridos y 3 contuso*.. oficiales de la guardia Rid de infantería D. Felipe Bros; O. Ramón En el tercero j muerto, 10 heridos y 5 contusas. Fábregas, D. Joaquín Marte!, D. F. Garoz el» el segundo batallón; y Total, 3 muertos, 41 heridos y if.contusos. D. F. Carreño, D. Luis Zafortesa y D. Manuel Lace Le, que se hallaban Madrid 10 de Julio de 1812—_És copia__ El comandante acci en el tercero , los que también se portaron con el mayor val…</t>
  </si>
  <si>
    <t>Garrea</t>
  </si>
  <si>
    <t>…la f.vabi.1 e¡gañolas. ■ y tomadas las medidas oportunas para el ataque, á la una de la tarde Se leyó el art. a i, cuya discusión se babia suspendido, y fue apro principio este el comandante Garrea por el ala derecha del enemigo, bado hasta las palabras tn-viarái la orden i los turnan.lantei generales que defendió sus puestos con firmeza, hasta que sucediendo lo* demás dt ella, suprimiéndose lo restante a petición del ár. Va.des (D. Ca movimientos que y…</t>
  </si>
  <si>
    <t>Garrido, Alfonso</t>
  </si>
  <si>
    <t>Alfonso Garrido</t>
  </si>
  <si>
    <t>…stros mediadores. Repiten que estos impreso publicado en el Diario de dicha ciudad, núm. 1 5, denuncia han renovado su pretensión de que la Puerta envis un plenipotenciario do por D. Alfonso Garrido, como injurioso y denigrativo á su repu turco á las fronteras para negociar; pero el divan s gue burlándose de tación. los Gabinetes cristianos. El periódico francés el Piloto publica varias reflexiones en favor de F.l Sr. fiscal de imprenta D. Joaquín de la…</t>
  </si>
  <si>
    <t>Garrido, Domingo</t>
  </si>
  <si>
    <t>Domingo Garrido</t>
  </si>
  <si>
    <t>…contraerlos haya sido empleado con Real por término de 15 dias como último y perentorio que se les concede, á nombramiento, y los justificase con documentos competentes, se le ad D. Domingo Garrido y D. Sebastian de Zumarin , en concepto de de mitirán para su clasificación. tenedores que aparecen ser de dos vales, uno da 300 pesos y otro da ■ 3. A las clases de empleados no expresadas en el decreto de 10 de • 30 de Setiembre de 1809, núms. 36,663 J 175.328 1 Plra que den Abril d…</t>
  </si>
  <si>
    <t>Garrido, Rafael</t>
  </si>
  <si>
    <t>Rafael Garrido</t>
  </si>
  <si>
    <t>…................................................................. 4 ídem. Barcelona i ps. fs........................................................ ifi gana. Por fallecimiento de D. Rafael Garrido ha quedado vacante la ju Vales de Enero 7 Mayo............................................ 78 a 784. dicatura de primera instancia del partido de Segovia, para la que se Idem de Setiembre...................................................... 794 por 100. admi…</t>
  </si>
  <si>
    <t>Garrido.tierra, Josef Angel</t>
  </si>
  <si>
    <t>Josef Angel Garrido.tierra</t>
  </si>
  <si>
    <t>…os infames que egercen 4 D. Diego Frías, D. Jos-f Eugenio Bernal, D. Jo.ef Et:r’.m, Dontodo género de vejaciones , y ponerlos en el caso de buscar en la Ildefonso Josef Medina y i D. Josef Angel Garrido.tierra un asilo i su maldid. Lo que pongo en conocimiento de V. E. para que lo eleve al de S. M. Dios guarde á V. E. muchos años. Debiendo salir de esta corte la correspondencia de la Ma’a en vir Cuartel g-nera' d- Oenevilla 18 de Octubre de i8*a.=Excmo. Sr. =s tud…</t>
  </si>
  <si>
    <t>Garriga</t>
  </si>
  <si>
    <t>…ICIAS EXTRANGE&amp;AS. esta casa. Las personas interesadas en la educación religiosa , científica y moral de los caballeros que han sido confiados al cuidado y vigilancia T0SQS1A. del Sr. Garriga han quedado complacidas al ver que las esperanzas que concibieron al poner en tus manos el precioso depósito de una ju Smirna yo de Movitmkrt. ventud distinguida se realizan sucesivamente del modo mas satisfacto A proporción que la» cosas de loa turcos van po…</t>
  </si>
  <si>
    <t>Garriga, Joaef</t>
  </si>
  <si>
    <t>Joaef Garriga</t>
  </si>
  <si>
    <t>…Ron Irradio Flotats, el barón de las Cuatro Torrea, D. Joaef Ortega Cañedo, da, en Granada, juro 450^mrs., en la misma cabeza__r. Papel sella L&gt;. 1 edro Perena , D. Luis Este ve , D. Joaef Garriga, D. Pedro Ram* do de Málaga, juro de 187,500 mrs., en la citada cabeza. bauo. D. Francisco Ignacio Pelleja y D. Antonio Fulla, después de — 3. Segundo medio por ciento de Córdoba, juro perpetuo 759 haber examinado el papel inserto en el periódico Vigilante Ta…</t>
  </si>
  <si>
    <t>Garriga, Josef</t>
  </si>
  <si>
    <t>Josef Garriga</t>
  </si>
  <si>
    <t>…. seis ó veinte y cuatro horas ; mas nosotros hace ya seis meses que noe Secunda clase. Dvitrina cristiana é historia sagrada, á careo del hallamos en tan mise' &gt; estado. director D. Josef Garriga. Premio á D Vedro Aita. Accésit a D. Ilde fonso Estrada. ALBMANIA- Tercera clase. Contitucion política déla Monarquía española, k cargo de dicho Gamga. Premio á D. Jacobo Colombo. Accésit A Maguncia ^ de Entra. Estrada. Mientras dure la guerra de ios helenos,…</t>
  </si>
  <si>
    <t>Gas</t>
  </si>
  <si>
    <t>…a es una cuestión subalterna, en ia qu- no se puede, y no se trata de quitar la facultad de censurar con sei’eridad entro ahora ; sin embargo, recordando lo que man íestu ai er -1 Sr. Gas y amargura si se quiere las acciones del Gobierno; pero no zaherir, in eo , no puedo menos de hacer una observación. ¿ Por .ju-ene» están coinjuriar ni calumniar á nadie. La comisión trata también de aquel.os es pu sM» estas autoridad 5 populares! Por ciudada…</t>
  </si>
  <si>
    <t>Gas, D</t>
  </si>
  <si>
    <t>D Gas</t>
  </si>
  <si>
    <t>…efe político de la provincia de Bilbao , reunido con las tro braltar, te dirigía á Benidorra:, conduciendo geneios de ilícito co pas del mando del brigadier D Julián Sánchez y del coronel D Gas mercio , como dijo al preguntarle su procedencia y punto adonde ss par Jiuregui en oficio que recibo en este momento, y me dirige á las dirigía; y habiendo roto el fuego, en seguida s: travo el combate ,que nueve de la mañana de este día desde O.handiaoo , me…</t>
  </si>
  <si>
    <t>Gaseo</t>
  </si>
  <si>
    <t>…ó se mu de que el clero que ra tratar de modificar las rentas del clero no te necesita hablar de la de como estaba antes, ó de que te lleve á efecto el citado decreto. Iglesia. El Sr. Gaseo ha hablado de esto; pero yo soto haré una bre 'Si se quiete que el clero quede como estaba en tiempos anteriores, ve observación. No ha habido ni puede haber religión sin ministros; entonces «I resultada seré que habré necesidad de tomar una medida por consig…</t>
  </si>
  <si>
    <t>…el diotam -ti de qu: se trata; y siendo yo de una opinión diversa , ten decer u Oíos siempre; pero esta misma dice que la obedienc:a debe ser go las mismas ideas que enionces. El Sr. Gaseo , para apoyar el d.cracional y justa, y que no debe ser tan cie»a que llegue al extremo ds tam.n, drsde luego creyó que las Cortes no podían entrar en esta discu qu; nos privemos de nuestra razón. sión , porque no habiendo habido una proposición de algún Sr.…</t>
  </si>
  <si>
    <t>…ey exige que las Cortes no hagan esta declaración sino cuando de lo que debe ser la obediencia. del expediente que se forme resulten datos suficientes para ello; véase Ha dioho el Sr. Gaseo que es preciso examinar las causas que lia si de la representación de t.° de Enero resultan cargos suficientes para habido, y que si no hubiera habido causas, no hubiera habido estos declarar la formación de causa al brigadier Jáuregui: yo expondré mi afectos…</t>
  </si>
  <si>
    <t>…e el dictamen de 'as comisiona de Ha ra sino la goleta espadóla Justino, y el número de marineros ahogados cienda y segunda de Legislación sobre este asento, y asi sr verificó. El Sr. Gaseo se opuso al dictamen de la comis en , dictado que no solo ha sido de siete. tenían las Cortes facultad para resolver este negocio por ser un asunto Madrid Marta 39 dt Enero. contencioso entre particulares, y por lo tanto propio del poder ¡uicui; n SS. MM. y A…</t>
  </si>
  <si>
    <t>…y pagarán una multa igual al tadores , pues no se había aprobado aun la venta por el Ciédito público. precio que hubiesen dado por ellos , de la cual se aplicará ia mirad é ia El Sr. Gaseo sostuvo que la junta del Crédito público tenia el de-' persona comprad».’1 recho de aprobar las ventas de sus fincas; pero esto era cuando no ha Art. 185- (Adición del Sr. Martínez de í» Rosa.) »Intercale» eu bla nada de contencioso en el dictamen , pues en e…</t>
  </si>
  <si>
    <t>…la proposi blemente i las grandes 7 simultáneas reformas. Jamas sa emprendieron ción del Sr. Calatrava. bajo los auspicios de la libertad, fintea capaz de llevarlas á riba, sin £1 Sr. Gaseo, apoyando la proposición del Sr. Cslatrari, opinó que que saliesen á su encuentro pera inutilizarlas loe conatos y las maqui no debía servir de obstáculo para La aprobación de la misma, la facul naciones de los que las experimentan ó las temen, el telo indisc…</t>
  </si>
  <si>
    <t>…tribuciones, que es el de contraerse á tomar en consideración los objeto* de entonces acá á los hombre* mas ilustres! Luego existen esto* que el Gobierno sujeta á su discusión: el Sr. Gaseo conoció 1* fuera* de abusos, y sería un crimen ó una falta imperdonable en nosotrosaino lo* este argumento, p para responder i ¿1 apeló al articulo de la Constitu corrigiésemos. Yo no quiero que te confundas laa cuestione*, y digo ción, en el cual se dice en…</t>
  </si>
  <si>
    <t>…sacrificios qut yo por ella, loriosa restauración ea Marzo de i8so; lo cual en algún modo lo ha ni puede tampoco pretender demostrar que eirá mas dispuesto contra el S echo ya el Sr. Gaseo, señalando algunos'aucesoa qué marcan los' mo desorden y la anarquía que lo está el autor, de le proposición, ¿imi tivos de la causa principal de estos males, de los cuales se puede dedu témonos á imputar las opiniones sin atrevernos, á censurar las intencio…</t>
  </si>
  <si>
    <t>…consejo y motivó cutores! En mi concepto están de parte de los segundos. La ley esta la consulta de este. blece una pena para los delitos que se cometen contra la seguridad del Ei Sr. Gaseo dijo: Creo que las Cortes me harán la justicia de creer Estado, cual es la sedición, bajo cuyo nombre se comprende la ex que si voy á hablar en esta discusión en una opinión contraria al pro citación á la desobediencia. La ley crea un derecho personal á favor…</t>
  </si>
  <si>
    <t>…opinión et que ha lugar á votar, serian los primeros a opo mas pueden hacerse perfectas desde el primer día , porque el tiempo es nerse á las leyes que se presentan. Ha pensado el Sr. Gaseo que esto el que manifiesta mejor sus defectos, y remediándolos puede obtenerse era un ataque directo i las libertades públicas, y ha creído que no es la perfección de ellas. tábamos en el caso de entrar en esta discusión, y sobre este particular Conozco que e…</t>
  </si>
  <si>
    <t>…anto con motivo de las apelaciones como por el nombranvento de los ás de tomar una providencia tan enérgica como pronta para evitar los jueces de hecho, como dijo muy bien ayer el Sr. Gaseo. Vjin.is ádar insultos que ayer se hicieron á la representación nacional, á la liber le nuevas leyes, ademas de las que tiene , para que no. hiera ; y en es tad y á la Nacmn entera, y ya que no han tenido por conveniente adop to no se manifiesta otra cosa mas…</t>
  </si>
  <si>
    <t>…te),García(D. Antonio) El Sr. Oliver presentó su roto particular , en que opinaba debía y Diaz del Moral. exigirte la responsabilidad.! quien hubiese lugar por las últimas ocur El Sr. Gaseo manifestó qne el objeto de esta proposición era que rencias de la América. les Cortes inmediatas fijasen con mas conocimiento la ley de que se tra Loa Sres. Toreno, Moscos» y Espiga presentaban e! suyo, es qu: opi taba, según !a memoria que d-bia presentar la…</t>
  </si>
  <si>
    <t>…tria. Eu la tal nota voto particular del Sr. Solano! sobre no haberse admitido á discusión (s&gt; tal nota hay) diz que está conforme el divan en aceptar el ultimá la proposición del Sr. Gaseo y otros Srcs. diputados, de que se diú tum de Rusia; pero sin dejar de insistir acerca del castigo de los grie- cuenta en la sesión del g. f&gt;ieroemigrados,este documentoy sobrediplomático,la ocupaciónsegúnde opiniónla Moldaviade un ycríticola Valaquia., mani…</t>
  </si>
  <si>
    <t>Gaseo, Francisco Fernandez</t>
  </si>
  <si>
    <t>Francisco Fernandez Gaseo</t>
  </si>
  <si>
    <t>…balance general de ellas y circule.=Está rubricado de la Real mano.=En palacio á 24 de Oc y pasar sus resultados i los libros nuevos; y para mayor ilustración de tubre de 1822.= Y D. Francisco Fernandez Gaseo. todo ello se presentan los modelos del libro diario y del mayor para su mutuo confronte y mas completa inteligencia de la doctrina dada. El R*v, á propuesta del cons-jo de Estado , se ha servido nombrar Es interesante y necesaria á todo empleado de Hacienda,…</t>
  </si>
  <si>
    <t>…sde esta hora hasta el pre y circul-.sEstá rubricado de ia Real ramu-En palacio a 3 de No sente han disparado con tal felicidad, que hemos hecho callar la arti viembre de aSai.stA D. Francisco Fernandez Gaseo. llería de los facciosos, y empezado á destrozar sus muros, no meaos compactos que los torreones. El Gobierno ha recib'do los pattts sguiect-x: » Antes de anoche el ingeniero Cardona, el ayudante del general S ato distrito nit ii»r.r=.&gt;.inandancia gen:rat.=Ex…</t>
  </si>
  <si>
    <t>Gaseo, Josef Fernandez</t>
  </si>
  <si>
    <t>Josef Fernandez Gaseo</t>
  </si>
  <si>
    <t>…e publicar la lepe*. ( Ga tramar á D. Josef Manuel Vadillo. (Gaceta del 7.) rda del 39.) Decreto de S. M. nombrando ministro de la Gobernación da la Gracia y Justicia. Península á D. Josef Fernandez Gaseo. (Gaceta del 7.) Resolución de las Cortes , en que con motivo de una consulta he Resolución de las Cortes á favor de los oficiales militare* que aun cha sobre un procedimiento que resulta en la causa de Santi Joanni, de que tengan alguna nota, reúnan lo* requ…</t>
  </si>
  <si>
    <t>Gaseo, Juan</t>
  </si>
  <si>
    <t>Juan Gaseo</t>
  </si>
  <si>
    <t>…ría dtl a6). Val y Rovira por uno de 600 peto* en Barcelona á 10 de Octubre de los pueblos que Krusenstern ha observado presentan aun aquellos 1814, por Francisco Marti y Oriol: á D. Juan Gaseo y compañía por caracteres originales que el poete guau de pintar y el filósofo estudia otro de ídem en ídem á 28 de Diciembre «le ídem, por Domingo Pera con afrcion ; pero que no siempre se concillan con el buen orden social. é hijo: i D. Lorenzo Milravilm po…</t>
  </si>
  <si>
    <t>Gaseó, Juan</t>
  </si>
  <si>
    <t>Juan Gaseó</t>
  </si>
  <si>
    <t>…Antonio Val y Rovira, por uno de 600 pesos, en Barcelona i 10 de giendo que se forme una idea exacta del sistema de Gobierno de aque Octubre de 1814 por Francisco Marti r Oriol: á D. Juan Gaseó y llos isleños, cuyos intereses están tan íntimamente unidos con los de compañía , por otro de idem en ídem, a 28 de Diciembre de idem por los griegos. Por lo tanto presentaremos aquí un bosquejo de la Consti- Domingo Perez é hijo: i D. Lorenzo Milravila, por…</t>
  </si>
  <si>
    <t>Gaseo, Juscf Fernandez</t>
  </si>
  <si>
    <t>Juscf Fernandez Gaseo</t>
  </si>
  <si>
    <t>…de este mes; la salvas nido en admitirle la renuncia que ha hecho de dicho destino, y en teis, y esto basta: hicisteis temblar í loa déspotas: y del modo mas pa nombrar para él á D. Juscf Fernandez Gaseo. Tendteislo entendi sivo manifestasteis al orbe entero lo que son, lo que valen, y lo que do &amp;c.” pueden los naturales del suelo en donde existieron Sagunto y Numancia. " Accediendo el R?y á las repetida* instancias del brigadier conde - Ingratos hasta el mas…</t>
  </si>
  <si>
    <t>Gaspar</t>
  </si>
  <si>
    <t>…rra.” deducir su derecho en el juicio de testamentaría formada á los bienes » Habitantes de la Conca de Tremp: La rapidez con que las tropas fincados por la difuncion del indicado D. Gaspar, pues se les o¡rá y nacionales han penetrado hasta vuestra capital debe ofreceros el último guardará justicia; con apercibimiento de que pasado el referido térmi desengaño de su poder, y de la debilidad de los que quisieran contra no , sin otra citación ni em…</t>
  </si>
  <si>
    <t>Gassois, Mariano</t>
  </si>
  <si>
    <t>Mariano Gassois</t>
  </si>
  <si>
    <t>…número de 1 coo hombres; _Los dos capellanes de Psdralves, ex-monges —_1D. Salvador Vieta, pero ria.stros van nt.s les d.spcrsaron inmediatamente, matándoles párroco de S. Andret._D. Mariano Gassois—D. Francisco £ol.r._ j jo hembras, luí nih por U caballería, que en aquel llano se hartó du P. Juan de S. Josef.__P. Buenaventura Maaegat.__P. Gerónimo de acuchillar y inet-r: esto sin contar les muchos que te ahogaron ai reViladecans, capuch.no. psser á r.ad…</t>
  </si>
  <si>
    <t>Gassols, Mariano</t>
  </si>
  <si>
    <t>Mariano Gassols</t>
  </si>
  <si>
    <t>…s autoridades constituidas, contra el orden po drales, ex monges, D. Salvador Vieta, párroco de S. Andr s, jr lítico interior de los pueblos, o contra el símbolo de nuestro Gobier D. Mariano Gassols; los cuales, s'gun el Diario Constitucional de no constitucional; en una palabra, á lo que intentó, obró ó se pro Earcelona, deben ser exc uidos de aquella lista. puso obrar en el sentido de trastornar, destruir ó alterar la Constitu ción política de la .Mona…</t>
  </si>
  <si>
    <t>Gastejon</t>
  </si>
  <si>
    <t>…algún beneficio ta,tieropo no prohibido tan notorias como había manifestado S. S- Ultimamente, contestando por' la ley se entienda que a con la obligación de ejercer la cuta da al Sr. Gastejon, dijo que la comisión convenía en que se expresase el alma*. artículo del modo que había propuesto S. St. . . ' Se layó por, agenda va y mandó pasar á I* comisión de Hacienda Discutido el punto sufic¡entcmjnte, se'»«tóí el artículo por partes, una proposición…</t>
  </si>
  <si>
    <t>…guardo militar 1.112,411 re. Declarado este asunto suficientemente discutido, te puso á votación y 29 mrs. vn. en dicho mes de Mayo, según expresan los respectivos á propuesta del Sr. Gastejon la parte del dictamen que dice: » Por todas contadores de provincia, y sobre cuyo gasto se ratifica lo anotado en el estas razones los que suscr.ben son de parecer que las Cortes no deben mes de Enero del presente año, de que á las aduanas tolo corresponde ap…</t>
  </si>
  <si>
    <t>Gastón, Lucas</t>
  </si>
  <si>
    <t>Lucas Gastón</t>
  </si>
  <si>
    <t>…'cuiarmente al te jira,ente á ¿ui hartar.tei. niente de Bailen D- Fermín Legu a, que con los a.fereces de Lusitanía n Amado, coriipatr.olas: ha llegada i nót ela de este cuerpo la D. Lucas Gastón y D. Nico.as García , y una guerrilla de caballería consternación que es han causado las voces malignas esparcidas para de LusUnia y Farnesio, montaron la a’tura con el mayor arrojo, y haceros ere*r que se hab a desi.t do de la d.fensa cortea los facinero persiguieron obstinadan…</t>
  </si>
  <si>
    <t>Gastón, Miguel</t>
  </si>
  <si>
    <t>Miguel Gastón</t>
  </si>
  <si>
    <t>…s y algunas otras frioleras. de esta provincia que iban en la guerrilla , habiendo asimismo muerto un soldado de crti compañía; los facciosos perdieron un cap,tan y tres El contra-almirante D. Miguel Gastón , comandante de marina facciosos muertos , iiab ando debido el daño que nos causaron y la sal- en ia América septentrional, participa al miníst-rio d:l mismo ramo vac.on da' las dos compañías á la oscuridad de la noche. Det Puente se la entrada en el puerto d…</t>
  </si>
  <si>
    <t>Gatell</t>
  </si>
  <si>
    <t>…erto de nuestra 7 voluntarios de Mataró los ahuyentó, y llegamos 4 este punto « las parta en este combate de mv dirdos horas el capitán retirado D. Igna t a de la mañana del 3. El capitán Gatell , asi como los oficiales Quin cio Ibort. Kl enemigo quedó en el pujb'o , y saqueó las casas de loa tero y Ortiz y el brigada Damato, quien sirvió dé guia ademas, asi habitantes conocidos por amantes da Ja Constitución &gt; habiendo ademas como los restantes indi…</t>
  </si>
  <si>
    <t>Gatell, Josef María</t>
  </si>
  <si>
    <t>Josef María Gatell</t>
  </si>
  <si>
    <t>…s donde han cabido los premios mayóte* de U sin perder momento hice marchar la caballería al gran trote, disponien lotería moderna nacional en el sorteo del dia de ayer. do que el capitán D. Josef María Gatell, adicto al estado mayor, se pu Números. Premios. Administradme!. siese á la cabeza de ellos con los oficiales de dicha arma D. Josef 21901...... 10000 ps. fs............. En Madrid. Quintero y D. Ramón Ortíz, siguiendo las compañías de Zaragoza 7 24286.......…</t>
  </si>
  <si>
    <t>Gateo</t>
  </si>
  <si>
    <t>…a sean dios! Esto no pueda ser. desconocido en el reglamento, y que lo será siempre á petar de lo que La comiaioa que entendió ea loe desagradables aucaaoa de Cádia y dijo ayer el Sr. Gateo: las Cortea tienen derecho para admitirá discusión Sevilla dijo que seria un crimen tolerar lo* íbuaoi: yo pregunto á las una proposición de cualquier aeter diputado, p una vea admitida pueden Cortea si han desaparecido cato* abusos- Aun después de la resoluc…</t>
  </si>
  <si>
    <t>Gateó, Nicolás</t>
  </si>
  <si>
    <t>Nicolás Gateó</t>
  </si>
  <si>
    <t>…ignorancia, se sientan co Y circule.=:Eiiú iubr.cado de lu Real iuano.=En i’-ílcio á »o de Ju munmente principios algo v,*g los cuales tienen dos inconvenientes: lio de sdsi — .V D. Nicolás Gateó y. " primero el de la trivialidad; y segundo el de dar armas i la crítica. Para esforzar el modo de pensar contrario se huye del raciocinio, F,1 Rey , con presencia de 1* exposición &lt;ju« ha hecho Doña Justa cotí el prc xto de desechar las teorías , y se ap.ta…</t>
  </si>
  <si>
    <t>Gati</t>
  </si>
  <si>
    <t>…ar contra aquella población en unión con que las leyes no debían multiplicarte cuando eran relativas á un ma Us tropas que se hallan en las inmediaciones de Tárrega. mo objeto. F1 comandante Gati se dirigía con los valientes de su división 4 El Sr. Seoane contestó que eunque era cierto que en el código sa los pueblos de las faldas de Momcrrate para batir á los facciosos que en nitario se establecía esto mismo , debía tenerse entendido que en el ac ell…</t>
  </si>
  <si>
    <t>Gatiano</t>
  </si>
  <si>
    <t>…que también debía tratarse del para su cumplimiento , y dispondréis se imprima, publique v circu código civil. Está rubricado de la Real mauo—En Aranjuez á 11 de Marzo de i3u. El Sr. Gatiano dijo que no solo debería tratarse de estos asuntos, z=A D. Nicolás Gareli. sino también de examinar el código penal aprobado por las Cortes an teriores. Para llevar á efecto el decreto de las Cortes de 2 - de Enero de es Con este motivo se acordó nombrar una…</t>
  </si>
  <si>
    <t>…é escuadren había de que mozo de Jalapa con cartas, que dicen que por otio llegado allí de Mé dar suprimido. jico había venido la orden para que bajasen las platas detenidas en El Sr. Gatiano reprodujo Ies razones del Sr. Remero, afadiendo aquella villa, y que hoy se ponían cu camino para esta. que aunque conocía el patriotismo del cuerpo de artillería , debía con Hazaña Abril xo. Ayer fondeó en esta el bergantín S-¡liante, pro servarse el escuadr…</t>
  </si>
  <si>
    <t>…la comisión va Lozroao............. rias ad ciones á los artículos aprobados d.l plan de contribucicucs. Lu^o................... 1 k.1. Se leyó por primera vez una proposición del Sr. Gatiano , reducida Madrid................. .... *S»o d95......... ao6 t. á p-dir que se reuniesen en una las autoridades de gefe político é in M.laza............. . .....*90.3 14 • ^06, tendente. Murcia........... ..... --- 1 ; 2,0 ^ a........ . . ... 17 8. Lo» indiv…</t>
  </si>
  <si>
    <t>…ni puede hablar, ni fumar, ni hacer otra cota, al paso que en o tras haya recibido, repitiéndola al primer sargento cuando se presente en se le permite todo esto. la compafiía. El Sr. Gatiano: Quizá creo que estamos en un mismo sentido lo* Art. 17. •&gt; Los sargentas alternarán en el servicio de semana. El que hablamos en pro y en cont-a del articulo. Aquel a c ase de silencio que lo desempeñe permanecerá en el cuartel cuidando de la policía, que ex…</t>
  </si>
  <si>
    <t>Gatirrrez, Bernardo</t>
  </si>
  <si>
    <t>Bernardo Gatirrrez</t>
  </si>
  <si>
    <t>…nación de la Pen n,u a , aunque los gulidias acuartelados en S. Gerónimo. era indudable que habla proposiciones pendientes para qu se i.dasí Otro de la nfsma sobre la instancia de D. Bernardo Gatirrrez, te i ef-cto con la prontitud posible el decreto de las Lorias sobre ei re niente cerón el graduado; siendo de parecer que se tcn.a presente a este partimiento de los tírtenos de propios y baldíos, por todo .o cusí con intersirió para que pueda ser colocado e…</t>
  </si>
  <si>
    <t>Gatos</t>
  </si>
  <si>
    <t>…o atendida la dio diezmo y primicia ae recaude y administre con la mayor exactitud.*’ proximidad de la cosecha.” Ei Sr..Scpti*n: Yo no puedo menos de observar que en estos nego El Sr. Gatos fue de parecer que la renovación de lot vocales ecle cios vale mas Miza de práctica qne arroba de teoría. Dice el artículo siásticos debía hacerse antes de proceder á la distribución del medio que las juntas diocesanas serán responsables, ¿y de qué! Yo creo q…</t>
  </si>
  <si>
    <t>Gatuno</t>
  </si>
  <si>
    <t>…tario del Despacho, Barrio , haciendo presentes varias dudas sobre la calificación de los im que quizá por imprudencia ó quizá con razón dijese lo mismo. Por presos. otra parte el Sr. Gatuno ha dicho que venimos i ser represenUn tes da Se leyó Jé liste de los expediente» que te habían pesado á lea comisio* la Nación , y no agentes de ias provincias; sin embargo conozco que oes respectivas. puede haber casos en que sea necesario que los diputados…</t>
  </si>
  <si>
    <t>…rá saberse si se puede pagar mas ó menos. La comi nombrado por un Sr. diputado o lo fuete por el Gobierno. sión ha tenido presente que es un princip'o sentado por todos los eco El Sr. Gatuno pidió que se leyese el nombre y apellido del sugeto nomistas, que lo que se arranca del pu-.IVo por las contribuciones, se de que se trataba , porque lo con ti ario seria una hipocresía. arranca para consumirlo improductivam :nt; , y por lo mismo solo se El S…</t>
  </si>
  <si>
    <t>…presar los sentí:: lentos de gratitud por ios giro tosas s.orneen.ui.tus toiidsdes presidisesn astas corporaciones » n concederí-s ei voto. del / de Julio, y ei voto part.íuur del Sr. Gatuno sobre este a.uruo. E bi. Becerra: B» pre.iso teñir prcante que el art. 309 de !x Se cont.nuó la discusión pendi-nre. C?n,t.tucion , que hable de ios ayur.timi intos, dice que estos se com Art. 167. »Impuesta -a muta, se pisara aviso al ge fe político pa pon n…</t>
  </si>
  <si>
    <t>Gaüano</t>
  </si>
  <si>
    <t>…ación de la causa i instancia de un particular in eonvi niente el reemplazar los individuos que faltasen. teresado en ella, porque solo por medio del juicio podrán tal vez repa Ei Sr. Gaüano obsetvó que el art. lia de la ley de lib.rtad de im rarse los dafios que haya causado el impreso, ó pueda causar asan des prenta aclaraba mas este punto ; y leído que fue este artículo , man Tes pués de muerto su autor. tó el Sr. Meló que no tenia na-ds que d…</t>
  </si>
  <si>
    <t>GaÜano</t>
  </si>
  <si>
    <t>…los se que el Sr. Olirer, manifestando ademas que la profesión militar era cretarios de gobiernos políticos.” incompatible con muchas minuciosidades i que están sujetos los paisa Sr. GaÜano: Yo no puedo conformarme con este artículo, porque nos 1 y en este artículo te les obligaba á unos requisitos i que estos na &lt; quién será el que avetigüe si un militar ha pretendido ó no el mando citan sujetos. de gefe político ? El Sr. Infante dijo que los m…</t>
  </si>
  <si>
    <t>Gaue, Nicolás</t>
  </si>
  <si>
    <t>Nicolás Gaue</t>
  </si>
  <si>
    <t>…recibimos de Viena Sa leyó y aprobó el acta de la anterior. están del todo acordes en este moda de pensar. La d reccion pacífica Se dió cuenta de una exposición de la consorte de D. Nicolás Gaue van tomando los asuntos se atribuye particularmente al Gabinete relly , en la que á consecuencia de una grave indisposición que padecía e San James. Se dice que el nuevo congreso, aunque se había creído su marido, acompañaba un documento justificativo en apoy…</t>
  </si>
  <si>
    <t>Gavila</t>
  </si>
  <si>
    <t>…rchas, y aun tn la misma acc on tan feliz suerte, que fue prisioneros, y cocieron tres cabahos; y en este mataron cuatro facciosos, herido en elia tan solo el cabalo del expresado comandante Gavila hicieron 10 prisioneros; cayeron en su poder seis caballos / algunas ar nes. El comandante general recomí-n Ja el va.or y pitiioiismo de to mas , habiendo librado de esta suerte un incidente al hijo del ex-gcneral dos los individuos que han concurrido a tan g…</t>
  </si>
  <si>
    <t>Gayan</t>
  </si>
  <si>
    <t>…n , á lo q te quedará re muchas frases pira seducirle ; y asi no extrañamos ni su confusión ni su conocido su atento servidor Q. B. b. M.Calaf 24 de ¿setiembre de 1822, estilo. El Sr. Gayan contestó como hombre de bien , como general de Francisco Espoz y M:r.a.” honor, como verdadero patriota , y en fin como amante sincero ds la Castellón de la Plana 14 dt Setiembre. Constitución y del Rey const Iticionaí ; piro no le perdonamos el que El brigad…</t>
  </si>
  <si>
    <t>Gayen, Ramón</t>
  </si>
  <si>
    <t>Ramón Gayen</t>
  </si>
  <si>
    <t>…dante general del sexto distr.to , saiio esta iban á pelear en defensa de la le. Mas de 200 individuos, dice el gober manana al amanecer para la vi.la de Tarrasa. nador de Cardona D. Ramón Gayen, se han acogido ya al indulta, y Igualada 4 de Junio. H&gt;y se ha celebrado en fsta vida una jorra te hallan depositadas en mi poder ciento y tantas armas de luego. compue sta d. comisionados de 14 purbios, en ia cuai se ha r.io ¡o Es de esperar que aprovechen…</t>
  </si>
  <si>
    <t>Gayó</t>
  </si>
  <si>
    <t>…peso, están en absoluta oposición en su modo de pemar «cerca da l8l t han de sufrir los dos años de recargo para la obeion de premios; él. Se trata de exigir la responsabilidad at Sr. Gayó n, gefe político la comisión opinaba que ios que se acogían i un indulto te eximían que fue de Madrid , por haber llamado ad efltetum videndi un expe de la pena que merecían por su delito; pero no se hacían acreedores á diente que se seguía por el ayuntamient…</t>
  </si>
  <si>
    <t>Gayo-, Ramón</t>
  </si>
  <si>
    <t>Ramón Gayo-</t>
  </si>
  <si>
    <t>…eneral de la armada por un Calatayud administrador D. Alberto Ibar Navarro , contador ce mes de sus goces de sueldo y gratificasante de propios, con sueldo de r i3 rs. Interventor D. Ramón Gayo- 31,101... 1. so González, subteniente del resguardo. A los escribientes de las dependen Cuenca interventor D. Antonio Diez, oficial de la contaduría da cias militares por un mes de sn haber.. *»39S—3*- ” 170,47 «_« 5. León. Al comandante y partida de tropa Ch…</t>
  </si>
  <si>
    <t>Ga’óano</t>
  </si>
  <si>
    <t>…muchas cosas inconcebibles que se han que de e»t: modo u&gt;- de sus facuitade» caja n::, de ios cu; pi.ic -». observado durante la discusión de las medidas que se han presentado E* Sr. Ga’óano: Las i»zon-s que ha menucslado e; or. F..c,' son á la deliberación del Congreso, una de elias es la fluctuación y varia tan claras y fúndalas que no tara t‘n nln, uo r.e-s-.ro de cu 'a. Actba ción que ha habido entre las opiniones de los Sres. diputado». Por…</t>
  </si>
  <si>
    <t>Gcronims, María</t>
  </si>
  <si>
    <t>María Gcronims</t>
  </si>
  <si>
    <t>…o en norario , D. Antonio Sánchez, pintor de Cámara de S. M., D. Loren circunstancias menos apuradas. » Algunas personas respetables y libe zo Gómez, administrador de Ja Moncloa , Doña María Gcronims rales, dice una carta, fueron presas porque se presentaron falsos dela Carbonell, americana , viuda, D. Luis Chaves , guardaropa del Rey, tores , que podían muy bien estar cohechados por el oro de Urgel, ó D. Pedro Podio, oficial segundo de la tesorería de i&gt;…</t>
  </si>
  <si>
    <t>Gdiano</t>
  </si>
  <si>
    <t>…te, por cuanto ella misma supondría que el Congreso hab.a tenido sentencia, que fue últimamente conmutada en diez años de prestó o. unos temores de que ha estado muy lejos. Si el Sr. Gdiano ha visto El Sr. Infante.' Con este motivo no puedo menos de recomendar nuestra impasibilidad; si el público mismo que asiste á las sesiones es nuevamente al Congreso la necesidad de que te den al egército nuevas testigo de la calma con qu; se han tenido , ¿ p…</t>
  </si>
  <si>
    <t>Gelaber, Josef</t>
  </si>
  <si>
    <t>Josef Gelaber</t>
  </si>
  <si>
    <t>…e todo manifestó que dividuos de la comisión segunda de Legislación aparece que el oficial esta última cantidad que el Gobierno estimaba como absolutamente ma)t)( de la secretaría D. Josef Gelaber se portó de un modo poco sa necesaria debia concederse toda sobre el presupuesto general, y nada so tisfactorio en este negocio , opinaban que debia ser reprendido y amo bre el imprevisto. nestado, para que en lo sucesivo se preste á facilitará ios individuos…</t>
  </si>
  <si>
    <t>Gencr, Tomas</t>
  </si>
  <si>
    <t>Tomas Gencr</t>
  </si>
  <si>
    <t>…car á publica En segu eta ce leyó una representación de los Sres. diputados por subasta por término de 30 días una casa destinada para masón ea la esta provincia D. Félix Varela , D. Tomas Gencr y D. Josef Santos población del sitio de Aranjuez , titulado el Parador nuevo de la CrSuarez. con la que acompañaban los poderes de estos dos últimos, brera , señalada con los núms. 1 a y 13, linde las calles del esmino da manifestando que no inclu an las actas de elección por…</t>
  </si>
  <si>
    <t>Gener</t>
  </si>
  <si>
    <t>…i- Se proc*dió i la elección de presidente, j en primer escutrinio tu ble de los turcos en no querer dar oídos i ningún consejo amistoso, y vo el Sr. duque del Parque 41 votos, el Sr. Gener 45, el Sr. Ci'.deroa en no admitir ni aun ia sombra de una intirvencion a favor délos grie 39, el Sr. Sedeño uno , el Sr. Back otro, el Sr. Hen-iquez otro, ei se gos. Ais-una» cartas fidedignas que llegaron ayer á esta capital dicen qu* ñor Vaidés Bustos otro…</t>
  </si>
  <si>
    <t>…n.cesidad que habia de su to yo no ¡os considero mas qu .omo un juraio qu.- .‘-h de rn os tal reforma. n-goc.os mercantiles; pero tilos :.a:i conscqu.d * &gt;'■ • O » -mr a.-.o ut El Sr. Gener dijo que á la comisión se le habia encargado única por una de aquel'»» di-pos ceros pop s c • aq t-»ub. .no, ei estamente el que decidiese 1a cuotion de si han de continuar o no los ar b.cc.mirrto út asesar &gt; , 11» bau: s y otros . n.• c bitrios consulares, p…</t>
  </si>
  <si>
    <t>…» para que te atienda á los gastos de cstoa económico d: 8aa en la parte relativa á instrucción pública. establecimientos, ya sea por la dirección de estudios, ó por el ministe El Sr. Gener pidió que se leyesen los art». a4 y 55 de las bases or rio de la Gobernación. gánicas di los alánceles; y asi se verificó- Se declaró este asunto suficientemente discutido, y se preguntó s¡ El Sr. Canga pidió que se leyese la fecha de la orden de las Corte» h…</t>
  </si>
  <si>
    <t>Genovés, Julián Fernandez y IX Vicente</t>
  </si>
  <si>
    <t>Julián Fernandez y IX Vicente Genovés</t>
  </si>
  <si>
    <t>…l, Saavedra, Buruaga, Domenech, del mismo cuerpo , pidiendo que se promoviese á capitanes á D. Es Sierra, Pumarejo, Murfi, Infante, Ruiz de la Vega, Somoza , Lló teban Escalagoyo, D. Julián Fernandez y IX Vicente Genovés, tenien rente, Rojo, Riego, Rico, Gil Orduña , Canga, Septien, Baiges, tes de dicho batallón, y asimismo que se concediesen otras gracias á B.-lmonte, Moreno, VilIanu-'Va , Henriquez, Ojito, Soberon , Ferrer otrot individuos del mismo; habia resuelto S. M. qu…</t>
  </si>
  <si>
    <t>Gerena, Juan</t>
  </si>
  <si>
    <t>Juan Gerena</t>
  </si>
  <si>
    <t>…Cas D. Antonio Bravo, D. Antonio Cumbres, D. Juan Galvan, D. Mi tilla con la denominación de mirquet de Villabragima le poseía en *1 nué’ González Santos , D. Mauricio González , D. Juan Gerena, Don año de 1693 U. Baltasar H nriqu-z de Cabrera, y que el de marque* Jct'f Yela , D Antonio Moln r, D. Josef M.ndez, D. Jos.f Medi de Villareai te concedió en el de 1698 á Doña Báibara de Centurión, na , D. Vicente Martínez Baquero, D. Vicente Navas, D. Jos…</t>
  </si>
  <si>
    <t>Germán, Isabel</t>
  </si>
  <si>
    <t>Isabel Germán</t>
  </si>
  <si>
    <t>…ltos á notran- Ubeda, reino de Jaén, en aa de Febrero de 1801, ambos hijos de aigir con ijui -n para conservar íntegra la Constitución cual la hemos ju D. Miguel Camporedondo 7 de Doña Isabel Germán difuntos, ae da es rado, vacile un momento en sacrificar sus intereses y la vida. F.sta es te aviso á efecto de que llegando á tu noticia se presenten ó den razón la resolución de los verdaderos españoles; rs la que tienen bien mani desús personas á D. Patric…</t>
  </si>
  <si>
    <t>Germano</t>
  </si>
  <si>
    <t>…esta por el comandante turco (en ausencia de JusuJ-bajá, que en cuerpo á las Corles , y que la resolución que habia recaído era la de ■ - está en Lepanto) ha sido desechada por el arzobispo Germano, i quien costumbre. , se te había comunicado; pero que se ha ofrecido otra mas equitativa. be acordó que en cuanto á ta felicitación que se hacia á las Cortes 'Las principales fuerzas de los mónitas están actualmente concentrada» en esta representación quedab…</t>
  </si>
  <si>
    <t>…al , y nombrado agentes diplomáticos en las cortes de Europa, Sevilla........................................................................... ídem. ence los cuales se cuenta el arzobispo Germano, que dicen debe ir á Valencia............................................... .................... iRu ia__Cotocotroni ha tomado por asalto el campo atrincherado da Alicante-........ ........................................................... Idem. Patrá&gt;, def…</t>
  </si>
  <si>
    <t>Gerómm</t>
  </si>
  <si>
    <t>…ni n&lt; Gircís, mayor supernumerario dal regi niente coronel del regimiento infartaría o* Fernando vti, »d. miento infam-ría d. Fxtr-mucura, cft ei sueldo que di,futa. S. Clemente i D. Gerómm De gado,c-pitan graduado de tenien Ve ez ei Rub-o á D. P dro Suarez Quiro», cap.tan de mlantera y te coronel del regimiento infantería de Fernando vir, id. del bata! 'on de la m..icia activa de Oviedo, con ,c&gt; 410 rs. al mes Calahorra i D. Antonio H dalgo, espit…</t>
  </si>
  <si>
    <t>Gerona, Josef Donvngo de</t>
  </si>
  <si>
    <t>Josef Donvngo de Gerona</t>
  </si>
  <si>
    <t>…egimiento de infante Viliadomar y de Castellarnau , primer teniente del a.° regimiento de ría de la Corona. la Guardia Real de infantería. Velez el Rubio: para primer comandante i D. Josef Donvngo de Gerona (ligero) para coronel al coronel vivo de infantería Don Brandis, comandanta del primer batallón del regimiento infantería Josef María Co'ubi, teniente coronel mayor del regimiento de Aragón. Infante D. Antonio. Guadix: para primer comandante al comandante de…</t>
  </si>
  <si>
    <t>Geróni</t>
  </si>
  <si>
    <t>…niversidad, y pidiendo que Us Cortes le tomen pias no están firmadas, y es preciso que se firmen ; y siendo el ¿r. Oliret tn La cornTs'lán"^ Hacienda , en vista de la instancia de D. Geróni uno de los que deben firmarlas, ptegunmé ÍS.S ¡sí presentándosele estos dos ejemplares, de cuya inexactitud se ha enterado uno de les se mo Ü-ibú, natural de Fiopca. pidiendo el reintegro de 1113 i*, que ñores que los han risto, pondrá su firmal Yo creo que n…</t>
  </si>
  <si>
    <t>Gerónimo</t>
  </si>
  <si>
    <t>…a dtl i/. La coniís on op naba que debía aprobarse. Aprobado. Leída y aprobada el acta de ia anterior, se mandaron agregar i ella La misma comisión, en vista de las solicitudes de D. Gerónimo los votos particulares de los Sres. Loque, Buruaga, Reil'o, B-ltran de Galarizo , vocal de la diputación provincial de Salamanca, D- Manuel Lis, Arellano, Ojeio, Llórente, Serrano, Muro, Meca y b u t de la Quintero, vocal de la misma, D. Agustín Marquero, voc…</t>
  </si>
  <si>
    <t>…de S. M. exonerando á D- Luiz Balanza!'del Despacho de la La {unta municipal de sanidad del. puerto de Cádiz continúa toman?- aecretaría de Guerra, y confiándotele interinamente á D. Gerónimo do las medidas oportunas para arreglar el modo de hacer la cuarentena Lobo. (Gaceta'del 10. y . v tfd obsbréhcion el convoy venido últimamente de la Havanai el cual Decreto de S- M.exónerancfo i D- Gerónimo Lobo del Despacho permanece en incomunicación en est…</t>
  </si>
  <si>
    <t>Gerre</t>
  </si>
  <si>
    <t>…l aó se venti- cada 3 rs. de renta. có la reunión de las tropa, que ven an comí go con las del coronel » De la citada suma los 13 millones de rentas corresponder, ú la con Asura y comandante Gerre3 , manir brar.tío asi !a infantería como la cesión de esta cantidad hecra por izs Cortes : y los 4 miiones y -;cc® caballería i m; voz en dos lineas con ird c.ble entusiasmo; aquella restantes equivalen al cielito ex raordinario para el tarn st-.r o ce misma…</t>
  </si>
  <si>
    <t>Gf</t>
  </si>
  <si>
    <t>…que se le den las Dijfoticiunti tronutoriai. fia .as. Por tanto creo que no hay inconveniente en aprobar el dictamen. Quedaron aprobados sin discusión los artículos siguientes: El Sr. Gf,m z ( D. Manu 1) : El cero no debe ser ambicioso ni as Art. 186. - Se proroga por uu año ei term no decretado en 4 da pirar á grandes bu-nrs; prio tampoco debe estar reducido é suma esca Mayo de 1821 , para que los ayuntamientos puedan autor.ztr e* pasa sez ;…</t>
  </si>
  <si>
    <t>Gi</t>
  </si>
  <si>
    <t>…ada uno de sus individuos cuando para r io sean requer do,." ca, y conc’uvó diciendo que no debía aprobar,:. La falta d: cump.inuento de estas ,.b a, dispos-oon s ¡u dado y ee* E1 Sr. Gi iano : Yo creo que d bem s considerar en el caso di que tá dando lugar í que se mullip iquen ios ladrones y maihechor * en ta se tra'a io mismo que en todos .o» de reforma, isto es, la do oros i pre rtos puntos de la Fenmsuia. El Gobierno, al paso que ha v;,i…</t>
  </si>
  <si>
    <t>…balI nzo mayor conde de Regla; capitán de gua'd a mar ña; y que Sí limitarán á p-rfir , aconsejando, qu: sr tnojificjue ia ques de Salvati rra; ayudantes de S. M. teniente gen-ral D. Gi» no Const tucion. La *íac ta de F.itadn d. B r n se burla d- ia r.ct cía Gainza, brigadier D. Donvngo Malo e llúbd, id. D. Josef Antón o (que liama absurdi), n qu se fecaqa: u » «ust iacr, ,.asa nr. por Echevarri, id. D. Rafa-I Ramiro, id. D. Lu s Cortázar, i…</t>
  </si>
  <si>
    <t>Gi, Josef</t>
  </si>
  <si>
    <t>Josef Gi</t>
  </si>
  <si>
    <t>…al último decreto sobre distribución del medio diezmo. fondos que recaudaren , y de su inversión, y acuellas los harán insertar Otro de la misma comisión acerca de la instancia de D. Josef Gi en los papeles públicos, dando cuenta 4 la junta directiva de cuanto ra! , prebendado de Mondofiedo , para que se le trasladase á Barcelona, advirtieren digno de su noticia.” opinando que se pasase al Gobierno para que si las prebendas de Bar El Sr. Romero di…</t>
  </si>
  <si>
    <t>Gi-, Nicolás</t>
  </si>
  <si>
    <t>Nicolás Gi-</t>
  </si>
  <si>
    <t>Fdip« de Sierra y Pambtey secretario de Hacienda: á D. Nicolás Gi- hace por «1 delirio da bajas pasiones, ha producido inmediatamente reli secreutio de Gracia y Justicia: á D. Luía de Balanza! secretario de aquella indignación santa que se apódete del corazón el ver profanada Guerra: á D. Manuel de la Bodega secretario de la…</t>
  </si>
  <si>
    <t>Gias</t>
  </si>
  <si>
    <t>…ción, se usara de todo el rigor á que ellos mismos se hacen en cierto las cualidad» que hubiesen de tener. modo acreedores! Entonces conocerían bien á pesar suyo los terribles El Sr. Gias^s contesto que se usaba de la palabra ditrru-der , por efectos de sus exagerados principios, y llorarían sin esperanza de con que los oficiales que pisaban al estado mayor trnian que sutrir un exa suelo , quejándose de su suerte , que ellos misinos habrían pr…</t>
  </si>
  <si>
    <t>Giben</t>
  </si>
  <si>
    <t>…sobre cada pueblo disponga se satisfagan por un reparto entre lo* de la Pe nínsula , acompañando el informe que se le pidió á consecuen vecinos. cia de la propos cion que hizo el Sr. Giben en la sesión del dia 3 de El Sr. Romero manifestó que deseaba saber si la aprobación de este Junio de 1811 , relat.va al establecimiento de camellos en España; y dictamen podía tener el inconveniente de que otros muchoaayuntamiendecía que para llevar á efec’o…</t>
  </si>
  <si>
    <t>Gibert, Josef Victoriano</t>
  </si>
  <si>
    <t>Josef Victoriano Gibert</t>
  </si>
  <si>
    <t>…s. .vale noors. Otra publicado por el que se titula el Zeloso de la observancia de las leyes, de tres fanegas en Valdecasillas, linde con cerros del concejo de esta denunciado por D. Josef Victoriano Gibert, juez de primera instan villa, fi 200 ts. cada una, y toda en 600 ts. Una viña al sitio de la cia del partido de esta ciudad, por unanimidad de votos han declarado Terral va, linde fi oriente con otra de Bruno Mejia, y á mediodía con haber lugar á la formació…</t>
  </si>
  <si>
    <t>GiHaao</t>
  </si>
  <si>
    <t>…que esta medida en el modo que se guen bien cuidados, y sa procura que ungen todas laa ventajas que pue propene no ca adaúaibte; an fin yo ú repruebo. de dar de sí el terreno. £1 Sr. GiHaao: Cabalmente esta medida, por repugnante qu* aeu Instrucción pública. en sentir de la comisión, es la que mas exactamente se encamina al Educación de la niñez. En esta ciudad hay actualmente 57 escue objeto de la destrucción de las facciones; porque no hay mas…</t>
  </si>
  <si>
    <t>Gil</t>
  </si>
  <si>
    <t>…dos señores estos individuos arreglados á lo que previene la Constitución debían diputado*. Aprobado. aprobarse. Asila. D. Josef Cano. La comisión opinaba debía aprobarse el po El Sr. Gil de la Cuadra: Yo quisiera que la comisión hubiera te der de esta Sr. diputado, y se abstenía de hablar de una rec íñase on nido presente que el duque del Parque es gentilhombre de Cámara en hecha contra la elección de D. Leandro Ladrón de Guevara, por cuan eg…</t>
  </si>
  <si>
    <t>…ar lo que convenga. miento exjeto del estado de !a Nación , pedia que se aprobara la propo El Sr. Villanueva expuso que el Gobierno era quien d--bia haber sición presentada por el Sr. Gil de la Cuadra, para que se nombrara una cumplido el decreto de las Cortes, y que de no haberlo hecho asi era comisión especial que . ntendiera en este asunto. él responsable. &gt;e apiobó la siguiente propos clon del sr. Alava : *&lt; Que las memo El Sr. Vega dijo q…</t>
  </si>
  <si>
    <t>…dad en la confian Puesta esta á votación quedo aprobada. za que el gefe le inspire, pedimos que se manden observar los artícu fie leyó por segunda vez Ja siguiente proposición del Sr. Gil de la los siguiente*:. Cuadra: » Pido que se nombre una comisión para que examine el esta i.° Para el nombramiento de los gefes políticos precederá propues do político del reino , tomando todas las noticias que crea convenientes, ta hecha por la provincia. ad…</t>
  </si>
  <si>
    <t>…cedido á todos loe presente su dictamen dentro «te un brevísimo término que señalen la individuos del mismo egército, opinaba que debía pasar al Gobierno. Cortes.” A proba ilo. El Sr. Gil de la Cuadra dijo que lu comisión no tenia ma* noticia La misma, en vísta de la solicitud de D. Francisco Sánchez, sargen que las remitidas por la secretaría de Gracia y Justicia, y que esperaba to segundo del regimiento de infantería de la Constitución, mani…</t>
  </si>
  <si>
    <t>…100 Srrs. Valdés Cayetano), Infante, Herrera, García y Rodríguez de administración ; se han servido las Cortes acceder á la solicitud del Paterna; y para la de Caminos y Onales al Sr. Gil de la Cuadra en consulado de Cartagena de Indias." lugar del Sr. Benito. Y lo traslado i V. de orden de S. M. para su inteligencia y efec Se procedió á la elección de los dos Sres. diputados que deben ir 4 tos correspondientes. Madrid 28 de Abril de i8*a. Ara…</t>
  </si>
  <si>
    <t>…de 9 aprobarse el dictamen de la comisión. de Noviembre de 1810 lo que acababa de manifestar el br. Arguelles. El Sr. Munarriz deshizo una equivocación del Sr. preopinante .ma El Sr. Gil de la Cuadra impugno también el dictamen, manifestan nifestando que tos accionistas del banco no eran acreedores, sino deu do que no le parecía conveniente ni necesario. dores , porque desde el momento que entregaban sus capitales al esta E! Sr. Istur ¿ hizo…</t>
  </si>
  <si>
    <t>…icos. Por estas razone* creo que laa Cortes no pueden Del Sr. Muro sebre lo mismo. npaobar la medida de que se trata. De los Sres. Diez, Alvarez (D. Manuel), Lodsre», González, El Sr. Gil de la Cuadra: Procuraré contestar á las observaciones que Apoitia y Ruíz del Rio, contrarío 4 la extensión que se había dado al ae han hecho por los secretarios del Despacho. La comisión, al propo ner que informen las diputaciones provinciales, no ha tenido m…</t>
  </si>
  <si>
    <t>Gil, Fermín</t>
  </si>
  <si>
    <t>Fermín Gil</t>
  </si>
  <si>
    <t>…tó el ar. Ciiatrava que novación de tu presidente, v ice-presidente y secretario mas antiguo* antes de hacerse esta pregunta debían saber las Cortes la Opinión del qu -■ lo era el Sr. D. Fermín Gil de linares, fiad sida elegido* para pre Gobierno. sidente el Sr. D. Ramón Giraldo, diputado por la provincia de la E&lt; Sr. s-cretario de la Gobernación de Ultramar: Si no se pasa este Mancha; para vice-pres¡dente el Sr. D. jotef Rovica, diputado poi la expedie…</t>
  </si>
  <si>
    <t>Gil, Francisco</t>
  </si>
  <si>
    <t>Francisco Gil</t>
  </si>
  <si>
    <t>…pultar entre las ruinas de Josef Martí, prssbiUro.=JosefCodlna.e=MiguelCamp..=RegidorGre la patria, si usando V. M. de las facultades que le concede no refrena gorio Píancha.=eDr. D. Francisco Gil^eOctavio Pastor , presbíteros la audacia de los malvados , contando para tan urgente como necesa Lorenzo Ros, d.l comercio =Manuel María Gonzaivez, espitan dA rio empeño con la decisión de los que suscriben , y la de tantos espa caballería retirado.eebebastia…</t>
  </si>
  <si>
    <t>Gil, Francisco Taboada y</t>
  </si>
  <si>
    <t>Francisco Taboada y Gil</t>
  </si>
  <si>
    <t>…mpono campo D. Antonio Zea, que desempeña en propiedad la comandancia de las provincias de la Corufia, Lugo, Orense, Vrgo y Villafranca, general de las islas Baleares. al teniente general D. Francisco Taboada y Gil, que desempeña inte Comastdaneiat subalternas de provincia correspondientes al duodé rinamente la comandancia general de Galicia. cimo distrito. No los hay con arreglo al decreto ya citado.^ Comandancias subalternas ds provincia correspondientes al segundo De…</t>
  </si>
  <si>
    <t>Gil, Jacabo</t>
  </si>
  <si>
    <t>Jacabo Gil</t>
  </si>
  <si>
    <t>…lumna de 200 hombrea j una pieza de artuierís , al man aqui si será la Constitución cauta de que no llueva en nuestras tierras. do del comandante del primer escuadrón de esta arma D. Jacabo Gil Por lo relativo al comercio es innegable que ha decaído algún tanto de Avalle. del estado floreciente en que le vimos en épocas anteriores; ¡pero Idem dtl 26. es acaso desde (8so, á cujo afio debemos al beneficio de la Cons Nada sabemos del Ampurdan j demas punto…</t>
  </si>
  <si>
    <t>Gil, Josef</t>
  </si>
  <si>
    <t>Josef Gil</t>
  </si>
  <si>
    <t>…eraban entre las grietas de sus ás Mdlmg* ao de Agosto, peras breñas, veitieron le inocente sangre de D. Joscf Montalbo y Se han publicado en esta capital las noticias siguiente*: D. Josef Gil; murieron , sí, murieron; p;ro serán eternos en la memo D. Manuel «le Lancha, teniente coronel «le los egércitoe nacioaa» ria de lot buenos , y tus manes, que nos piden la venganza , nos ense lea, y comandante de la columna que salió de esta ciiKlad cu persec…</t>
  </si>
  <si>
    <t>Gil, Josef Rivera y</t>
  </si>
  <si>
    <t>Josef Rivera y Gil</t>
  </si>
  <si>
    <t>…r D. A. Z. G. Los suscriptos» García Terrón: para el de Betanzos 4 D. Pedro González Nadela: para acudirán i recoger el tomo a.u 4 las librerías de la viuda de Quirogt el de Tuy 4 D. Josef Rivera y Gil: para el de Santiago 4 D. Bles Olo y de Sanz , donde se bailarán juegos completos en pasto y í la rústica. res; y para el de Sta. María de Sar 4 D. Juan Martinez Araujo. nota. En la gaceta del 28 de Enero al principio de la col. 4.a a dice haberte dado cuenta…</t>
  </si>
  <si>
    <t>Gil, Josef Taboada y</t>
  </si>
  <si>
    <t>Josef Taboada y Gil</t>
  </si>
  <si>
    <t>…or alguna de El Rey se he servido nombrar comandante general interino de le las persona» y para el fin que expresa el art 539, se aplicará la pena provincia de Galicia al teniente general D. Josef Taboada y Gil, y da que en el mismo se presenta.” Aprobado. Ja de Aragón, con la misma calidad de interino, al mariscal de campo Art. 676. » El que solicite á muger casada ó á menor de edad pera D. Antonio Rcmon Zarco del Valle, en atención á haber sido elec que se deje ro…</t>
  </si>
  <si>
    <t>Gil, Josel Fermín</t>
  </si>
  <si>
    <t>Josel Fermín Gil</t>
  </si>
  <si>
    <t>…putación de los cinco Gremio* mayores de Madrid. D. Miguel mento se da por supuesto, y no se hace, ó si te verifica, es por medio de Perez, D. Alejandro del Bureo, D. Pedro D¡az , D. Josel Fermín Gil, fórmulas y ceremonias en que ninguna parte tienen los súbditos! ¡O D. D:e¿o del Rio, D. V.cente García Di z, D. Antonio de Lago, son lot de los Gobiernos representativos, en que todos lot ciudadano* D. l ab ,an de Mora y Santiago Sal. se presentan libre y pe…</t>
  </si>
  <si>
    <t>Gil, Julián</t>
  </si>
  <si>
    <t>Julián Gil</t>
  </si>
  <si>
    <t>…o. Di Sixto García; ra proteger y conservar las armas que en él se hallaban -, en donde ha herido. permanecido siete dias sin reí erarse ; por no haberlo permitido lo crí Tercera. D. Julián Gil, herido; D. Atañasíó González, ideal. tico de las circunstancias: la de cazadores estuvo escoltando y soste Quinta. Sargento D. Antonio López Luarte; herido: niendo las dos piezas de artillería que defendían ««te punto : el tercer Total 19 heridos jjj contuso…</t>
  </si>
  <si>
    <t>…Jos-f Lozano, Don ARTICULO DE OFICIO. Josef Antonio Henriquez , D. Lorenzo Gatcia Carrillo, D. Bartolomé Habiendo procedido las Cortes extraordinarias á la renovación da Alesina y D. Julián Gil, administradores q-ie han sido de la renta en su presidente , vice-presidente y secretario mas antiguo el Sr. D. Diego esta corte, se les avisa por este periódico, á fin de que se presenten en González Alonso, han sido elegidos, para presidente el Sr. duque d…</t>
  </si>
  <si>
    <t>Gil, Leonardo</t>
  </si>
  <si>
    <t>Leonardo Gil</t>
  </si>
  <si>
    <t>…ón turca de Coron cansa contra el autor drl artículo comunicado inserto en el Tribuno, hizo una salida desesperada, y se retiró con pérdida de 500 hombres. núm. 15, denunciado por D. Leonardo Gil de la Cuesta, gefe político Se asegura que los griegos s? han apoderado de Carina, plaza fuerte del interino qoe ha sido de Segovia, como calumnioso á su persona , se ha Negroponto; y que el bajá de Acre se ha sublevado contra la Puerta. celebrado juicio de c…</t>
  </si>
  <si>
    <t>Gil, Pedro</t>
  </si>
  <si>
    <t>Pedro Gil</t>
  </si>
  <si>
    <t>…eyó d dictamen de la comisión de Premio* para que te conti Dotan*. núe pagando 4 D. Antonio Díaz del Moral, ex-diputado de la* Cor Sefiom qne disintieron: D. Pablo Marró Vetdalet, D. Pedro Gil tes dehMdloa 1813, 1814, i8»o y 1811 la pensión de 1 $9 rs. que y D. Joaquín Busquéis. I* aefiató I* junta de Granada durante la guerra de la independencia cANirot en el dU j Je AM dU i8*s* en atención a sus padecimiento* y servicio». Aprobado. Proposición de…</t>
  </si>
  <si>
    <t>…de tomar re La comisión de H¿rienda presentó lo* sirníentes dictámenes. solución alguna sobre el particular, respecto á que el número y dota Uno sobra el expediente promovido por D. Pedro Gil, del comer» T</t>
  </si>
  <si>
    <t>…es, 7 ayudante agregado de la Real comlugar i la formación dt causa por siete votos contra dos, que han si paftí, da guardias Alabarderos, que falleció repentinamente el dia 13 do D. Pedro Gil 7 D. Francisco Matas d: Mare.ma. Barcelona 9 de de Noviembre de 1820, fi fin de que comparezcan por medio de procu Setiembre de i8aa.sGines Quintans.sjuan Evaristo de Castellar.= rador con suficiente poder fi deducir su derecho dentro del preciso tér Francesc…</t>
  </si>
  <si>
    <t>Gil, Ramón</t>
  </si>
  <si>
    <t>Ramón Gil</t>
  </si>
  <si>
    <t>…sef de la Canal, «le D. Pedro Delgado, profesor de matemáticas puras en uno de lo indívidiio de la misma. Para la clase de ciencias fisicti y matemáticas colegios de esta corte. á D. Ramón Gil de la Cuadra, consejero honorario de-Estado, é indi viduo de la academia médica de cata corte; ¿ D. Josef Martínez de San ANUNCIOS. Martín , gefe político de esta provincia, é individuo de le ecademie Médica; i D. Felipe Bauzá, director del depósito hidrográf…</t>
  </si>
  <si>
    <t>…istido á las bodas y capitu' as ones deres de estos Sres. diputados. Aprobado. del Rey é Infantes; pero si lo he hecho no ha sido como geni IhornMadrid. D. Juan Antonio Castejon , D. Ramón Gil de la Cua bre , porque de estos no asisten mas que cierto número de los qu- srdra y D. Dionisio Valdés. Fueron aprobados los poderes de estos se ven. Yo estuve en esas funciones; pero fui como consejero de estado ñores como proponía ia comisión. que era enton…</t>
  </si>
  <si>
    <t>Giliano</t>
  </si>
  <si>
    <t>…carcelero, que tantos servicios habia hecho á los patrio nación .de la Península. tas , y á los que estaba «1 mismo reconocido. Después de una ligera discusión quedó aprobado. El Sr. Giliano dijo que las Cortes no debían distraerse de lo prínciSe puso i.discusión el dicism.n dPIs comisión primera de Hacien pal del presupuesto, pues que este carcelero debia reclamar de las Cor da sobre el presupuesto de la Guerra , el cual se reducía á proponer la…</t>
  </si>
  <si>
    <t>Gilvan, Jacobo</t>
  </si>
  <si>
    <t>Jacobo Gilvan</t>
  </si>
  <si>
    <t>…número por ahora por haber tenido que con chea, idem. D. Angel.¿erez, idem. D. Juan Esteban García , contuso. ducirlos i diversos hospitales: por mi parte he tenido ia pérdida qué D. Jacobo Gilvan, ídem. D. Josef Coriúri, ídem. Paisano i D. Juan manifiesta el adjunto estado: Josef Ibarr.ta , contuso , agregado. •s El brigadier D- Juan Palarea estuvo i mi lado toda la noche, jr Cazadores. Corneta/D- Tomas Vicente, herido. después de 'haberme ayudado con…</t>
  </si>
  <si>
    <t>Gimfaernat, Cirios</t>
  </si>
  <si>
    <t>Cirios Gimfaernat</t>
  </si>
  <si>
    <t>…atallón de voluntarios co un nuevo método preservativo del contagio de las enfermedades epidé mandante Andrés Visedo. =Por la clase de capitanes marques del micas , comunicado por D. Cirios Gimfaernat. Moral.=Por la de tenientes Tomas Hernández.:: Por la de súbtenien- Noticia de los principales sucesos ocurridos en el gobierno de Espa tes Ramón Bergon^cPor la de sargentos Joaquín Picot. — Por la de fia desde el momento de la insurrección en 1808 hasta la d…</t>
  </si>
  <si>
    <t>Gine</t>
  </si>
  <si>
    <t>…ilio García Manri Zamora. D. Manuel Alvarez. Quedaron aprobados ios poderes de que; para la del de Cervera, en Catalufia, vacante por promoción de este individuo como se proponía. D. Gine» María Serrano á la del de Avila, á D. Manuel de Pedro!»; La comisión de Poderes presentó su dictamen acerca de tres recla para la del de Falcet, también en Cataluña, vacante por promoción de maciones de uno de los electores de Bermeo , del ayuntamiento cons…</t>
  </si>
  <si>
    <t>Ginldi, Francisco</t>
  </si>
  <si>
    <t>Francisco Ginldi</t>
  </si>
  <si>
    <t>…cial. Aprobado. pecto de los depósito* de primera y aguada des* Aprobado. La comisión segunda &lt;fc Hacienda en vísta de la exposición de D. Vi La misma comisión ,«n la solicitud da D. Francisco Ginldi, na cente Navas , administrador de tabacos de Coquimbo, en el distrito de tural de Milán, sobre que se le dispense d requisito de estar casado con espetóla, yule habilite pera hacer el cosnercio de América, ere de dictaaecn que este interesado debía pedir 4 l…</t>
  </si>
  <si>
    <t>Gippint, Juan Antonio</t>
  </si>
  <si>
    <t>Juan Antonio Gippint</t>
  </si>
  <si>
    <t>…era responsabilidad sobre la queja dada contra el gefe político de Madrid separar del mando de la milicia activa á los gefes que no fuesen á pro D. Josef Martínez de S. Martin por D. Juan Antonio Gippint, duefio pósito pera ello por falta de aptitud ó de adhesión al sistema. del café de la Fontana de Oro, por haberle puesto incomunicado en la En seguida te acordó pasase el oficio del Gobierno coa urgencia á cárcel de Villa el d a 18 de Setiembre de 811. La co…</t>
  </si>
  <si>
    <t>Giraido</t>
  </si>
  <si>
    <t>…osa. Total del número de Sres. marera* diputados que votaron 116. _Con fecha 11 de este mes escriben de las orillas da! Mein lo siguiente: En segundo escrutinio obtuvo 70 votos el Sr. Giraido y otro* 70 Las últimas noticias de Pctcrsburgo que publica el diario aleman de el Sr. Díaz del Moral; y habiéndose procedido al tercer eso minio, que Francfort con la fecha de so de Diciembre son muy poco lisonjera. dó elegido el Sr Giraldo por 77 votos, habi…</t>
  </si>
  <si>
    <t>Giral</t>
  </si>
  <si>
    <t>…e los mismos acontecimien rencia de presentarse el comandante general en las casas consistoriales, tos referidos, y dando noticia de que habían sido muertos un oficial y excitó al alcalde Giral á que procediese á la formación del sumario; 4 soldados , y heridos 2 oficiales y 11 soldados. pero hubiera he- l.o mucho mejor en dirigirse al juez de primera ins El Sr. Alava reprodujo las observaciones que anteriormente Iicbla tancia, y asi hubiera eximido…</t>
  </si>
  <si>
    <t>Giraldez, Manuel Antonio</t>
  </si>
  <si>
    <t>Manuel Antonio Giraldez</t>
  </si>
  <si>
    <t>…á producir el efecto ds que dichos Xa comisión de Visita del uédito público,en vísta de U represen destinos manicipa'es se hagan odiosos , principalmente cuando nada se tación de D. Manuel Antonio Giraldez, v.cmu la Oorui.a ,qu.-j n- Je» abona p.ia gastos de repartimiento y recaudación, Cuando á todas dose.del decreto de las Cortes dey de Nov.cinbre de »8io,«p.iubi que las oficinas se les abona una cierta cantidad para gastos de ellas. Todo las Cortes debían de…</t>
  </si>
  <si>
    <t>Giraldo</t>
  </si>
  <si>
    <t>…procedió á la elección de presidente , y no la hubo ea primer es vincias contra los ataques de los rusos y de los heteritas. Esta contesta crutinio , en el cual obturo 58 votos el Sr. Giraldo, 5a el Sr. D.az ción te enviará á las demas cortes; y cu c¡ entre lauto cada um to de! Moral, y uno respect ¡rímente los Sres. Mtíñoi T”*—ro^ Fm-!e, mará tus medidas, organizará tus egércitos, y se dispondrá para la pri- Marín Tauste, Sancho, Gareli é Ilinojo…</t>
  </si>
  <si>
    <t>…e 14 d-’ Ju io tí i pr.-a-ni • a o ¿.pi tido un este salón: no se seguramente cuál lu: cá motivo. Pero sobre el rea men, constitución y servico de la a, ic'a r.ac r: , hcy mis, el Sr. Giraldo no había hecho renuncia de su dest.no, y el « Lo que de Real orden comun.co * V. para su intí .i;r.c.i y Sr. ld'. id.i la ua 1 echo. :Y que &lt; s lo qd- se dice contra cst-' hecho del cumplimiento Madrid ti de Setiembre de 1312.” Sr. Posada ’ Qj.- no debió deja…</t>
  </si>
  <si>
    <t>Giraldo, Ramón</t>
  </si>
  <si>
    <t>Ramón Giraldo</t>
  </si>
  <si>
    <t>…o mas antiguo* antes de hacerse esta pregunta debían saber las Cortes la Opinión del qu -■ lo era el Sr. D. Fermín Gil de linares, fiad sida elegido* para pre Gobierno. sidente el Sr. D. Ramón Giraldo, diputado por la provincia de la E&lt; Sr. s-cretario de la Gobernación de Ultramar: Si no se pasa este Mancha; para vice-pres¡dente el Sr. D. jotef Rovica, diputado poi la expediente al Gobierno para que informe, daré mi opinión como par de Cádiz, y para secret…</t>
  </si>
  <si>
    <t>Girao</t>
  </si>
  <si>
    <t>…otras per Se desecho el art- 194. Habien Jo»e discutido el art. 19; fue desechado por el Congreso, fsonas. te mandó que volviese á la comisión con todas las indicaciones que M El Sr. Girao tomó la palabra, y pronunció uñ largo discurso contra habían hecho, para que en vista de ellas lo extsnd ese de nuevo.el dictamen de la comisión, diciendo que por tres ratones no debía dis cutirse: i.a porque no se sabían las circunstancias particulares de ca…</t>
  </si>
  <si>
    <t>…NCTA DEL SEfiOR ALAVA. cluyó diciendo que por todas razones debía hacerse en secreto. Sesión ordinaria del ay. El Sr. Gómez Ozorio habló en coctia de las votaciones públicas, y el Sr. Girao las defendió. Se leyó y aprobó el acta de la anterior. Se suspendió esta discusión, y se pasó á hacer la elección de presiden Se mandó pasar á ia comisión de Hacienda una exposición de Don te , vice-presidente y secretarios de las Cortes para el mes entrante,…</t>
  </si>
  <si>
    <t>…ropas fuesen á empezar de nuevo en España aquella lucha terri ro solamente con voto en la p»'te militar.” ble que tantas lágrimas y sangre costo á ambas naciones; pero el grito El Sr. Girao tomó la palabra, y dijo: Está en discusión el art. 5.0 de dolor y espanto que se ha oído en toda la Francia al hablar so de ese proyecto que se llama pobres , y que y a llamaré impolítico, lamente de una tercera ocupación militar; este gr.to , que hizo re por…</t>
  </si>
  <si>
    <t>Gírao</t>
  </si>
  <si>
    <t>…eligiosas , según mejor les con lo persiguió hasta las puertas, y quemó una parte de sus arrabales, de venga." donde ios turco*, hacían, fuego. Al anochecer volvió á ocupar sus El Sr. Gírao dijo: Tomo la palabra en favor de este artículo. Heno puestos. del miyor placer y satisfacción por haber visto los sentimientos filan » El 14 te adelantó el enemigo con toda* «os fuerzas, trayendo i trópicos de este soberano Congreso. Gracia* i Dio* veo manif…</t>
  </si>
  <si>
    <t>…en el parage del Brasil que sea mas infames esperanza* de tus enemigos. conveniente, y que designe la ley.” Continúan las exposiciones dirigidas eí la Diputaeiesn permanente dt Eí Sr. Girao te opuso 4 que se entrase en la discusión de leyes para Corles.ni Brasil, que no las obrd.-cia , las despreciaba y ponía en ridículo, fundando su discurso en las noticias que habia de aquél país. » Excmo. Sr.: La diputación provincial de Má'tg», al reunir;? p…</t>
  </si>
  <si>
    <t>…cuál era la portantes de la provincia , y los nobles sacrificios y esfuerzos que están opinión general. haciendo sus corporaciones públicas, su brillante milicia, todos sus ha El Sr. Girao dijo: Había hecho ánimo de no hablar sobre este asun bitantes para la defensa de las libertades patrias. to, porque estoy cansado de las discusiones acerca del Brasil; pero no » El fanatismo y el perjurio Us atacan hasta en vuestros propioa me es posible pasa…</t>
  </si>
  <si>
    <t>Girboncll, Julián</t>
  </si>
  <si>
    <t>Julián Girboncll</t>
  </si>
  <si>
    <t>…apoderado ant- el Sr. D. Tomas Liñan, juez de primerr instancia de quirirle; y esta fue la causa principal de su g’oo'a y de los progresos la ciudad de Valencia , y escribanía de D. Julián Girboncll , á pedir extraordinarios de sus armas. fijos de quedar d bilitados por la multi lo que eslinvn en la demanda que en dicho juzgado pende á solicitud tud de sus victoreas , estas m smas Íes adquirían nuevos súbditos, y les de los herederos del mismo Juan Argen…</t>
  </si>
  <si>
    <t>Gircfa, Simón</t>
  </si>
  <si>
    <t>Simón Gircfa</t>
  </si>
  <si>
    <t>ió-jí cuarta y quinta d:l mismo apoyaban tú izquierda en la derecha de loa idem. D. Eusebío Alvarez, idem. D. Simón Gircfa; ídem. D. Juan granaderos' del mismo, defendiendo el boquete de la calle de la Sal, y Antonio Maruri, idem. D. Josef Orejuela , idem. D Máximo B=n¡las dos entradas del cuartelillo i corto también lá de la calle de Bote sia., i.dem, paisano. D. Hermenegildo Ro…</t>
  </si>
  <si>
    <t>Gircia.planes, Antonio</t>
  </si>
  <si>
    <t>Antonio Gircia.planes</t>
  </si>
  <si>
    <t>…o en el dia sa halla villa de Epita en Aragón. (Gaceta del 19 de id.)bien mudada la política europea para pensar ea poner ea ejecución Decreto de le» mismas sobre una solicitud de D. Antonio Gircia.planes de esta naturaleza. (Gaceta drl 19 de id.) ARTICULO DE OFICIO. Decreto de la* muaaat *ebt« una consulta del ge le política de Ga El Sr. secretario del Despacho da Marina con fecha da ayer dica licia (Gaceta del if de id.)</t>
  </si>
  <si>
    <t>Girón, Antonio</t>
  </si>
  <si>
    <t>Antonio Girón</t>
  </si>
  <si>
    <t>…ablo, y no maria que le mandó formar, y pedia se le exigiese la responsabilidad. por el Gobierno) ¿quién es capaz de creer que ei ayuntamiento ce A la de Marina una exposición del brigadier D. Antonio Girón, Barcelona y la diputación provincial de Cataluña sean intrumenlos de manifestando estar sirviendo interinamente el destino de mayor general ¡a tiranía 1 ;Es posibie que a estos cuerpos tan respetables, elegidos por un de la armada, y pidiendo se le dé el sue…</t>
  </si>
  <si>
    <t>Girón, Pedro Tellez de</t>
  </si>
  <si>
    <t>Pedro Tellez de Girón</t>
  </si>
  <si>
    <t>…lo hace saber para noticia de los que deseen interesarse en su Velasco, duque de Frías, consejero de Estado, é individuo «le les aca remate. demias Espafiola y «le S. Fernando; á D. Pedro Tellez de Girón, prín Dictamen de las comisiones de Hacienda y División del territorio cipe de Anglona, consejero de Estado, de las academias de la Historia etpafiol sobre le píente del gobierno superior político de les provincias. y de S. Fernando; á D. Eugenio Tapia, direc…</t>
  </si>
  <si>
    <t>Giroz</t>
  </si>
  <si>
    <t>de lo&gt; testamentos de que trata debe tei par* un tiempo determinado. que antea en cualquier estado de ellas te hubiese presentado alguna de El Sr. Romero dijo que la Opinión del Sr. Giroz no te oponía al las personas allegadas, de que se hace mérito en el art. 11, á loa albaartículo , 7 que por lo miimo podían lat Corte* aprobarlo *in perjuicio ceas del testador, en cuyo caso cesará todo procedimiento de oficio.** de que S. S. hiciere una adic…</t>
  </si>
  <si>
    <t>Gisbert</t>
  </si>
  <si>
    <t>…ce de una estadística eclesiástica ¿*«n el cual se habla muy en grande, y se ha todo lo que han perdido. bla también de los monge*, donados, y aun de los frailes legos, como si El Sr. Gisbert manifestó que hubiera deseado que las actuales co estos perteneciesen al clero. Vamos á ver k&gt; que hay acerca de lo que misiones hubiesen tenido presente lo que en .otro ti. mpo propuso la co ha dicho el Sr. Ochoa. El Sr. Canga Argiiillet en la memoria que pr…</t>
  </si>
  <si>
    <t>…scusión quedó suspendida en la sesión pias de la eclesiástica. de 9 del corriente. ( Víate la gaceta• del /o.) El Sr, Gareli dijo que se procedía con un concepto equivocado por El Sr. Gisbert dijo , que á consecuencia de lo que había manifesta muchos de lo* Srcs. que impugnaban el artículo, poique era menester do el Sr. Calatrava en una de las sesiones anteriores no habria dificul tener presente que una vez admitida una religión en un Estado, ella…</t>
  </si>
  <si>
    <t>…” tregados con los correspondientes pagarés de intereses devengados, pre No te admitió á discusión. sentando lo» oportuno» resguardos. Se mandó pasar ¿ la comisión una adición del Sr. Gisbert al artí culo $35, y una proposición del Sr. Alaman para que recopilándose • las penas que se imponen á los dueños de los negros por violencias ó ma’os tratamientos, se hage de ellas un capítulo particular, que forme Hoy t6 del corriente se pagará en la casa N…</t>
  </si>
  <si>
    <t>…emas sus temporalidades ea S. M. el uso de la media firma en todos los despachos en que tuviese ambos casos.” que ponerla entera, en la forma acostumbrada Art. i-; 1. (Adición del Sr. Gisbert.) Añídase en párrafo sepaSe aprobó el dictamen de la comisión de Guerra sobre la solicitud tallo: » S¡ fuese extrangero no católico el que cometiere este delito se hecha por varios oficiales, sargentos, cabos y tambores que han ie impondrá una reclusión ó pri…</t>
  </si>
  <si>
    <t>…en gar á votar sobre la base 5.* del dictamen de la comisión de Hacienda. tos de Pamplona, acuerden llamar á ios secretarios de la Gobernación Se levó la siguiente proposición del Sr. Gisbert: » Teniendo noti y Guerra pira que oyendo á los diputados , tomen las mediJa» mas efi cias auténticas de que las maquinas de cardar é hilar lana de la villa de caces y activas para que acaben para siempre los disturbios en aau.ü* Atcoy están amenazadas de nue…</t>
  </si>
  <si>
    <t>…n , con los bas** didos', y lo que es mas sensible con las presas inocentes de la seduc Barcelona 91 de Mayo. ción, van sembrando el robo, la venganza y el asesinato. Verdad ea El comandante Gisbert, restituyendo»; d *4e Ripitl á Vich, ha re que el clero en general no debe cargar con ia infamia de cierto núme cibido U noticia del levantamiento de ios faccioso» por la parte de Bar ro de individuos que *a cometen, mayormente cuando todos ios espa ga en Na…</t>
  </si>
  <si>
    <t>Gisbert, Lorenza</t>
  </si>
  <si>
    <t>Lorenza Gisbert</t>
  </si>
  <si>
    <t>cha par D. Lorenza Gisbert, ofreciendo proveer i fot arsenal n con tículo, por cuento todas ellas se hallaban acordadas anteriortn;nt* en goo9 codos cúbicos de madera de Italia país la construcción de buques, lo» reglamentos y leyes vigentes. -v ■ —^ «o cuya consecuencia el Gobierno pe…</t>
  </si>
  <si>
    <t>Gisbert, Vicente</t>
  </si>
  <si>
    <t>Vicente Gisbert</t>
  </si>
  <si>
    <t>…un tolo por haberse demostrado que no Valtncüt. La comisión opinaba que debían aprobarse loe pódate de tenia empleo en palacio, cuanto porque no había habido reclamación los Sres. D. Vicente Gisbert, D. Martin Serrano, D. Lorenzo Villaalguna contra esta elección. nueva, D. Vicente Navarros D. Bernardo Falcó, D. Manuel Beltran El Sr. Galiano manifestó que debía observarse á la letra la Consti de Lis, D. Jaime Gil Ordnfia, D. Juan Rico y D. Francisco Belda…</t>
  </si>
  <si>
    <t>Gisbsrt, Josef Victoriano</t>
  </si>
  <si>
    <t>Josef Victoriano Gisbsrt</t>
  </si>
  <si>
    <t>…umna del egército dd general Ruego tuero declara Canaleta responsable da dicho impreso-, y en su consecuencia el sellar do marcha nacional y de ordenanza. juez de prime» instancia D. Josef Victoriano Gisbsrt mandó qa* Se leyó Un oficio dd Sr. secretario de Gracia y Justicia, en que a* le altas* inzuid ratamente la crocina, declarando f« ara* procedíparticipaba 4 la* Cortes hallarse le Serme. Sr». Infinta Dolía María mieatu no debía causarle perjuicio en tu teputa…</t>
  </si>
  <si>
    <t>Givateiro, Antonio</t>
  </si>
  <si>
    <t>Antonio Givateiro</t>
  </si>
  <si>
    <t>…a necesite para llenas el objeto; pues los conocimientos peculiares i su Voluntarios de batee.oía, id. arrea les pone en el caso de poder hacer el oso conveniente, bajo str Jaén á D. Antonio Givateiro , teniente coronel graduada y sargen responsabilidad, de la fuerza militar i sos órdenes, estando en sus fa to mayor del batal.on de !• indicia activa de Badajoz , id. cultades el nombrar sin sujeción i escala i los cuerpos é individuos de Játiva a D. Milco .…</t>
  </si>
  <si>
    <t>Giyon, Joaquín</t>
  </si>
  <si>
    <t>Joaquín Giyon</t>
  </si>
  <si>
    <t>…in la cual no podrían responder de que las tropas cum del regimiento infantería lnía.itc D. Cirio», id. pliesen con tu deber, ignorando culi ea el que se les encomendaba Logroño í D. Joaquín Giyon, comandaste supernumerario del re por ota autoridad: por lo tanto, asi como desde luego y sin la menor gimiento infe tería de Guadal-jara , id. demora están obligados los gefes militares i pastar í las autoridades Lores i D- Francisco \líon»o Martínez de Tude…</t>
  </si>
  <si>
    <t>Gl-nitncin, Di-go</t>
  </si>
  <si>
    <t>Di-go Gl-nitncin</t>
  </si>
  <si>
    <t>…rio de la capital del reino: Consttucion Está rubricado de la Real mano.ss Palacio 11 de Julio de l8ta. = A ó mu.-rt - *-a para siempre ru.stra voz de reunión, y siempre r-p tamos Don Di-go Gl-nitncin. muerte ó Constitución. Síjov.b a 2 de Julio de 182a.” (Siguen las firmas.) D. Fernando vri por la gracia de Dios y por la Constitucicn de la DtRECCIO* GKVERAL DB lOTBRIAS NSCIOM ALES. Monarquía española, R y rfr ¡as Españas, á todos los que las presentes Not…</t>
  </si>
  <si>
    <t>Gliver</t>
  </si>
  <si>
    <t>…ontinuar Para hacer esta verdad mas perceptible supongamos que esto hubiese en un'arbitrio sobre el vino. sucedido entre dos particulares , y que el uno no quisiese cumplir con El Sr. Gliver presentó una exposición de varios individuos de! co el contrato: ;rstaria en su mano poder hacerlo? No señor ■. la parte mercio de esta corte, quejándose de los privilegios de que disfruta la contraria le interpelaría ante lc-s tribunales,y estos le obligaría…</t>
  </si>
  <si>
    <t>Gloria, María de</t>
  </si>
  <si>
    <t>María de Gloria</t>
  </si>
  <si>
    <t>…í* á S. M. qu- diese licencia a Infante D. Miguel para ir al Bra- do se trata de la España. Las calumnias, los denuestos, las continuas s 1, pu i se proponía casar! •. con su luja Doña María de Gloria, y re provocaciones, los absurdos, los disparates, ¡as tont tías, toeo ha cora ndaba i S. M. que como padre no quisiese quitarle a este su hijo parado por ahora en ios periodistas , que ya por costumbre ó por oficio la fortuna futura, n g&gt;ndolc la licencia qu…</t>
  </si>
  <si>
    <t>Gnlmago, Julián Alvarez de</t>
  </si>
  <si>
    <t>Julián Alvarez de Gnlmago</t>
  </si>
  <si>
    <t>…llegue á noticia de las per gel Pefia, D. Josef María Domínguez, D. Juan de Dios Hidalgo Vaz- sonas á quienes se interese se hace saber el púbiieo. u z , D- Rafael Mariano Pavón, D. Julián Alvarez de Gnlmago, Don A la entrada de los franceses en la ciudad de Burgos fueron extra Sliguel Cabezas, D. Francisco Josef de Estrada y D. Benito Pariza. viados del archivo de la Sra. marquesa de Fumtep.'layo los pr vi'e.’ios ANl/NCIOS. de ¡uros siguientes----Uno de 137,143…</t>
  </si>
  <si>
    <t>Gó</t>
  </si>
  <si>
    <t>…de ¡os Sres. diputados; y digo esto encotuestocion á lo vecindario haya mas de uno- que ha manifestado ei Sr. preopinante. igualmente se mandó pasar á la comisión otra adición del Sr. Gó El Sr. Afonzo: Estoy muy lejos de creer, ni atirt remotamente, mez Becerra, para que el nombramiento de jueces interinos se entienda que tenga el Sr. presidente el menor irten-s »n po-tergir r»ta dis.urioñ á propuesta del con: jo de Estado. de tanta importancia. No…</t>
  </si>
  <si>
    <t>…ue se considetaba como un premio, probaba ejército.” mas bien las facultades que la suficiencia del que lo obtenía, y que m s La miima comisión , habiendo examinado la adición del Sr. Gó divnns de esta gracia son los abogados que egercen su facultad, poique mez Becerra , re ativa á que se autorizase á las diputaciones provincia son mas út Vs que lo- doctores que no la ejercitan. les para que por medio de juntas supletorias, compuestas del gef…</t>
  </si>
  <si>
    <t>Go'c'iestcr</t>
  </si>
  <si>
    <t>…l si,tema de unidad r tal Aunque la discusión lun'i mucho tiempo, solara .'ule hablaron a’gunos de !o= dos remos era de absoluta imposibilidad; i q«r la legs'atc,:* oradores; y el lord Go'c'iestcr, el lord canciller y el conde de L.v.r- d bu ser diversa encada reino con resp-cto i ciertos asuntos , v i qu» pool impugnaron con vehemencia el til!, el que defendieron lord Ers- el poder rgtcul.vo no podía obrar en el Brasil un una dclegac en pcrkine , el c…</t>
  </si>
  <si>
    <t>Gó, Joaquín</t>
  </si>
  <si>
    <t>Joaquín Gó</t>
  </si>
  <si>
    <t>…o por D. Pedro Díaz Franco y Dofía María Roma lo que sigue: no ; á saber : uno de 112,800 mrs. de renta , situados sobre el 6 por roo » Excmo. Sr.: El Rey se ba servido mandar que D. Joaquín Gó del almojarifazgo de Tenerife en nombre de D. Andrea y Luía Lorenzo, mez Liaúo, nombrado intendente general militar por resolución de 4 con fecha de 27 de Setiembre de 1613__ Otro de 6860 mrs. de renta, de Julio del afío último á consecuencia del decreto de l…</t>
  </si>
  <si>
    <t>Go-</t>
  </si>
  <si>
    <t>…a Zavala , derrotarlo el loen Urrestilla, entró el rt be tiu duda divertirse en mandar disparar salsas. Con f c'a del 16 al mediodía en Azcoitia con solos 4 de é pie 7 e! apóstata cura Go- nos escriben de Bayona que el &gt;4 y el 15 se oa «Lsde aquella c urostidi; mlieroit é breve rato hit a el monte Irarriz , 7 i las 5 de la dad un fuerte cañoneo hacia la parte de Iratí, de !o que se cr-e que r-a tarde envió é la misma villa 6 de lo» suyos i exig…</t>
  </si>
  <si>
    <t>GoaérfD</t>
  </si>
  <si>
    <t>…ó elegido vice- presidente el sr. Salvato por 73 votos de 117, cioso , exageran ó desfiguran los hechos mas sencillos, no será malo repartiéndose los restantes en esta forma, goal Sr. GoaérfD. Airiiu), recordar aquí y acarar la noticia de haberse publicado en Francia un 20 al Sr. Vaidés, uno al br. Septien , uno al Sr. Castejon , uno al se decreto para levantar 409 hombres. Debe saberse que el egércilo francés ñor Infantes, y uno al Sr. Tomas. Tot…</t>
  </si>
  <si>
    <t>Gobierno, El</t>
  </si>
  <si>
    <t>El Gobierno</t>
  </si>
  <si>
    <t>…donde fueron mu cio á ay de Noviembre de 1821. dados i las satinas de Galicia y Asturias , en cab.za de D. Cristóbal Gómez da Sandoval, los cuales posee y pertenecen al Excmo. Sr. duque El Gobierno ha recibido los partes siguientes* de Osuna; se agradecerá á Ja pereona que ¡o* entregue ó dier: razón de • Exento. Sr.: A una misma hora hemos salido esta mañana de Sort ellos á D Josef Antonio Blanco, tu apoderado en esta co:te , que vi el comandante Gurrea…</t>
  </si>
  <si>
    <t>Godino, Andrea</t>
  </si>
  <si>
    <t>Andrea Godino</t>
  </si>
  <si>
    <t>…ento infantería de Piasencia al capitán D. Josef de Sandoval, teniente de infantería y León , con 570 ra. del batallón de la milicia activa de Granada, con 450 rs. al mes. Baeza A D. Andrea Godino, teniente del regimiento infantería de Patencia á D. Luía de la Peña y Medrano, teniente de infantería y la Reina , con 570 rs. del batallón de la mi'icia activa de Búrgos , con 450 rs. al mes. Cádiz á D. Josef Partorin, teniente supernumerario del regimiento…</t>
  </si>
  <si>
    <t>Godoy, Manuel</t>
  </si>
  <si>
    <t>Manuel Godoy</t>
  </si>
  <si>
    <t>…dientes oficinas, que en el lugar de Tres-Casas posee el Crédito Ja com s on; y habiéndose declarado por la afirmativa, resultó haber público como una de las fincas secuestradas á D. Manuel Godoy , acuda Jugar á votar por 71 votos contra 30. en el término de dos u)esei á las oficinas del mismo establecimiento en Se preguntó si seria nominal la votación acerca de dicho dictamen; Segará, donde se le admitirá siendo arreglada. y hab endose resuelto por l…</t>
  </si>
  <si>
    <t>Goealbes, Salvador</t>
  </si>
  <si>
    <t>Salvador Goealbes</t>
  </si>
  <si>
    <t>…un do lo* doce jueces de hecho con la fórmula de abeuelto el impreso ti* sistema que le priva aun de loa derechos de la humanidad. Esta son la talado » Manifiesto que hace ftl Dr. D. Salvador Goealbes, por el pn familia que egeroea oficio* qne no expresó Menú en su ley, ó te de demuestra las observaciones que deben hacerse en la sentencia que ha dican á cualquiera especie de trabajo humilde. dado el Se. D. Valentín Recio te. ," denunciado el dia s de Enero…</t>
  </si>
  <si>
    <t>Gofii, Joaquín María</t>
  </si>
  <si>
    <t>Joaquín María Gofii</t>
  </si>
  <si>
    <t>…D. Franc.sco Hidalgo, D. Antonio Cañad;.i, D M gu i Gar $084..... IOOO. En Jaén. cía Ortiz, D. Josef María Retoilillo , D. Juan Francisco b&gt;pe os.a, j§8rii...... IOOO. En Badajoz. D. Joaquín María Gofii, D. Francisco Puga, D P.b o Maten y IX-n *780/...... IOOO. En Madrid. Juan Perez, declaró por unanimidad no ka.tr lujar a ¡a jotma.wn ARTICULO DE OFICIO. de cauta. CORTES. El fiscal de impreso* de 1» provincia de Cád'z denunció rn 5 cel cor Comisión de Visita…</t>
  </si>
  <si>
    <t>Goi, Mariano</t>
  </si>
  <si>
    <t>Mariano Goi</t>
  </si>
  <si>
    <t>…aquella junta , se vetificó uoo y otro con solos los Srea. D. Jablecido »u cuartel general en el camino entre Barbastro y Haesca, sin cobo Purga , D Manuel de Rivacoba y Gorvea y D. Mariano Goi duda con el objeto de impedir que lo» facciosos se dir -jan a Navarra, coechea, no habiéndose presentado el Sr. D. Juan Muguiro,que tiene como pudieran intentarlo.-Con efecto , se hallaba á ia mitad del cami hecha por doa veces su dimisión, y los ouos tres in…</t>
  </si>
  <si>
    <t>Goicochca, Martin Miguel</t>
  </si>
  <si>
    <t>Martin Miguel Goicochca</t>
  </si>
  <si>
    <t>…las Cortes sobre los oficios de subalternos de los tri áre*, que lo declararon injurioso: D. Valentín Recio, D. Josef bunales. ( Gaceta del 2j. j Radon, 1&gt;. Andrés Moya Luzuriaga, D. Martin Miguel Goicochca, Resolución de las Cortes autorizando al Gobierno hasta la próxima D. Angel Bonalto, L&gt;. Higinio Antonio Lorente, y D. Manuel Este legislatura para que pueda dispensar á los jueces de primera instancia de ban Cañtt. ' la obligación de preñar su juramento en l…</t>
  </si>
  <si>
    <t>Goicochea, Martin Miguel de</t>
  </si>
  <si>
    <t>Martin Miguel de Goicochea</t>
  </si>
  <si>
    <t>…que todos los pueblos están animados contra de Nicolás, D. Juan Fernandez Casariego, D. Juan Pablo Pascual, ellos , y que sus fuerzas son en el dia muy cortas, y abora seria menos D. Martin Miguel de Goicochea. con I: muerte de Bolívar; pero nada esperamos del Gobierno el obser . Reunido el jurado, y habida la oonferencia, se declaró por unani var el abandono con que mira estas desgraciadas provincias, sin conven midad no haber lugar 4 la formación de causa. cerse…</t>
  </si>
  <si>
    <t>Goicoechea, Juan Bautista</t>
  </si>
  <si>
    <t>Juan Bautista Goicoechea</t>
  </si>
  <si>
    <t>…stino al brigadier D. Luis Balan rado por uno á tres afios del pueblo respectivo y so leguas en con zas , gefe de sección de la propia secretaría; y para el que este deja á torno. D. Juan Bautista Goicoechea, oficial primero segundo de la misma. » Si ademas de la solicitación hiciere su autor alguna otra tentativa para consumar el delito, sufrirá una reclusión de cuatro á diez y ocho Lo* duefio* de lo* bulto* presentados con sello acudirán hoy 30 del meses, *• n…</t>
  </si>
  <si>
    <t>Goicoechea, Marcelino de</t>
  </si>
  <si>
    <t>Marcelino de Goicoechea</t>
  </si>
  <si>
    <t>…riores, hasta ría; D. Ramón Guerra , teñirme de infantería; Gumersindo Bueno, elevar la queja al ministerio. La privación sbsoluta de emp eo y sueldo sargento segundo de la misma; D. Marcelino de Goicoechea, volunta podrá el empleado reclamarla en justicia; pero los tribunales en este rio de infantería; D. Josef de la Tapia, voluntario de Midrid, residen caso limitarán su juicio á declarar sí hubo ó no culpabilidad en el re te en Tordesillas; Pedro Reguera; J&gt;.…</t>
  </si>
  <si>
    <t>Goíhn</t>
  </si>
  <si>
    <t>…e hiedra la p.iz con él? be ñor, las palabras significan mucho Cortis. Por io mismo creo que debe aprobarse. mas de lo que parece en algunas ocasiones, y en ellas es preciso mu El Sr. Goíhn elijo qu: se había opuesto al anterior dictamen , por cha meditación. Dicen los bres. Murfi , Navarrete y Paul en su voto par que creía que era un reconocimiento tácito de ia independe.' c.a, y se ticular: oponía a esto par la misma razón: qu: ademes creía qu…</t>
  </si>
  <si>
    <t>Goin.z</t>
  </si>
  <si>
    <t>…uta como la que el Art. 113. » Fstando el gobierno político de la* provincias, **gun Sr. Valdés propone. el art. 324 de la Constitución , i cargo &lt;L1 gefe político nombrado por El Sr. Goin.z ( D. Manuel): Quisiera que la comisión me dijese si el Rey en cada una de ellas , reside en él la superior autoridad dentro ha de subsistir ó i.j el gefe político subalterno de Sierramorena. de la provincia para cuidar de la tranquilidad pública , del buen or…</t>
  </si>
  <si>
    <t>Gol</t>
  </si>
  <si>
    <t>…un libelo contra el Rey. vantó la sesión i las tres y media. Habiéndose declarado este punto por suücié Me meóle discutido, le AP.T1CULO DE OFICIO. yó el Sr. Tapia á petición del Sr. Gol fin el art. 28.3 del código penal. En senuida se pidió que la votación fuese nominal, y las Cortes resol El teniente general marques de Campoverde, comandante general vieron que no, é igualmente que el artículo no se volase por partes : i de Andalucía, con fe…</t>
  </si>
  <si>
    <t>Golenhln</t>
  </si>
  <si>
    <t>…om ticos que opinaban por la guerra, y que serán destituidos; Los bres. d= la »a!a segunda del crinun de la audiencia de Madrid ya citan entre estos ai Sr. Panin en Varsovia, y al Sr. Golenhln en Vie por el presente anuncio citan, llaman y emplazan á I,idro Jara, vecino na. —Ya se dice que el Congrrso será en Verona para Setiembre , y no ■de Poyales del Floyo , so tero , carpintero, de 17 a-'rs de edad ,re*o pró en Flor-ncia para Agosto___El genera…</t>
  </si>
  <si>
    <t>Golfia</t>
  </si>
  <si>
    <t>…entonces queda terra respecto de este mismo asunto con los jueces de hecho y los de rá redutida á polvo. derecho. Repito qu: la comisión en este artículo no ha tratado de otra El Sr. Golfia se opuso al artículo, manifestando que no creía justo cosa sino de ilustrar la conciencia del jurado, y no de dictar una lejr que se declarase subversivo un papel en el que se hiciese una injuria le que dé lugar á interpretaciones que puedan ser perjudiciales…</t>
  </si>
  <si>
    <t>Golfín</t>
  </si>
  <si>
    <t>…ortes , sobre las gracias dispensadas ¿ los señores vmtes de los delitos. Quiroga , Riego , Arco Agüero &amp;c. El Sr. Calatrava expuso que en el código se establecían ys la* pena* El Sr. Golfín hizo algunas observaciones acerca del modo con que que se debían imponer á estos delitos; ules eran las de que se hablaba es estaba redactado el art. ■ •L&gt;, manifestando que decía las Cortes contraen el «t. ggg, con lo cual quedaba deshecha la objeción del Sr…</t>
  </si>
  <si>
    <t>Golfin</t>
  </si>
  <si>
    <t>…del primer extracto de la de este dia Se modifioó la proposición en los término» en que convino el selíec i Vicenta Duque, comprendida en los víctimas del Dos de Mayo. Sancho. El Sr. Golfin se opuso á esta modificación porque no especificaba __En un periódico de esta capital se lee hoy que en las provincias de en la proposición quién debía calificar la intimidad de la concXion , y Austria , la Croacia, !a Carnio s y la Carintia había habido una…</t>
  </si>
  <si>
    <t>…a*. tiíaósin el podran , si lo desean, volver á ia metrópoli, trayendo con Leído que fue este dictamen ( ze.ne la gaceta drl 2/), tomó la pa sigo sus familias y caudales. labra el Sr. Golfin, y dijo: Desde ia primera vez que se leyó aquí esta 8.* »Igual derecho gozarán lo* americanos residentes en la Penín dictamen, y en el mismo acto de oirle se me ocurrió la idea de que ia sula é islas adyacentes. medida que la comisión propone en él para que s…</t>
  </si>
  <si>
    <t>…ué garantías podrán tener? ¿No cqpocen las Cortes uno.” que si estos permanecen álli, el dictamen‘que den no será con la liber El Sr. Paul dijo: Cuando pedí la palabra creí que el Sr. Golfin tad y exactitud necesaria? El modo de conocer la opinión de loa pue concretaría tu discurso i impugnar en Jo sustancial el dictamen que blos no es el que se propone. El Gobierno tiene los medios y recursos presenta la comisión; pero como ha visto el Congreso,…</t>
  </si>
  <si>
    <t>…ofendido la moral pública, si se ha vulnerado el ho entrar en la discusión de la totalidad del proyecto. nor ó la fama de algún ciudadano , ¡Han sido denunciadas estas ofensas El Sr. Golfín pidió que se leyera el dictamen del Gobierno y la ante la autoridad judicial para corregirías! Yo convengo en que ha ha consulta del consejo de Estado. Se verificaron estas lecturas, y también bido abusos; pero ¡estos son de parte de la ley, ó de parte de sus…</t>
  </si>
  <si>
    <t>…el artículo debia ponerse con que neciamente creen poder barieaaria. Lo que me ha parecido conve toda claridad. niente poner sin perder momento cu el conocimieoto de V. K. para El Sr. Golfin propuso que se dijese en el artículo que las sátiras ó que se sirva elevarlo al de S- M- , siendo portador de este oficio el te alegorías debían ser de las que excitaban directamente á la desobe niente coronel D. Jnsef Rcndon, empleado a las inmediatas ordene…</t>
  </si>
  <si>
    <t>…y menor que Emperador, y que su hermano el gran duque Constantino, muy am las que se imponían en el código. bicioso , está ansiando por ser Rey de Grecis como se le ha prometi El Sr. Golfín dijo que creía no deber aprobar» el artículo, supues do : todos están convencidos de la guerra; pero sospechan que no se ve to que ya estaba MÜalada en el código la pena regular, ó á lo menos po rifique hasta Abril ó Mayo. ner» el artículo solamente hasta que…</t>
  </si>
  <si>
    <t>…e ve que no puede egercer sus funciones por er para firmar las representaciones que creyesen convenientes. rores de un ministerio, ¡podrá mirarlo con paciencia y callar! Yo creoEl Sr. Golfín dijo que no quisiera que se creyese que hablaba por que no, y el resultado-será que no podrá representar, si este artículo so lisonjear i la muchedumbre, porque si sus opiniones se habian ex aprueba. traviado del verdadero punto de vista, seria por haberlas c…</t>
  </si>
  <si>
    <t>…aun para defenderse cada uno. Fn los Estados del párrafo las palabras previa/imirws de causa en adelante. libres constituidos sobre bases reales debe haber restricciones que se El Sr. Golfin: El Sr. preopinante se ha equivocado cuando ha d ebo desconocen en un Gobierno despótico; y por lo mismo que en los pri que solo ae trata del derecho de petición, porque no es asi. y por io meros hay mas derechos que en los segundos, deben tener sus limites.…</t>
  </si>
  <si>
    <t>…os 4 retirar esta última Con este motivo manifestó que las inculpaciones que se habían he medida adicional. cho al general O-Donojú habían sido infundadas, pues que este indi . El Sr. Golfín pidió que se leyera el dictamen de te comisión; y viduo era un ciudadano justificado que jamas pudo hacer lo que verifi manifestó que en el segundo párrafo estaban ya desaprobados los trata có sino por un error involuntario, y no por un ínteres personal como…</t>
  </si>
  <si>
    <t>…dro el Cruel y Torquemada. Aqui d b ¿ramos pano-americana bajo la protección de un Emperador , como lo propuso exclamar, y con razón, ¡á qué no obligas á los mortales corazones ei Sr. Golfín; se conseguirían al menos tratados de alianza con lodos maldito espíritu de partid &gt;! ¡abominable u'tracismo! P.-to en vano se aquellos estados , y ya que felizmente asi México como la mayor parte empeñen los gaitero, de este partido en alucinar i la Europa c…</t>
  </si>
  <si>
    <t>Golfin, Francisco Fernandez</t>
  </si>
  <si>
    <t>Francisco Fernandez Golfin</t>
  </si>
  <si>
    <t>…po oportuno de proposiciones que conforme á él hicieren. Madrid 37 de Noviembre hablar como ahora: verdad et que el que sirve habla cuando le mandan de i8aa.asPor la infantería el coronel Francisco Fernandez Golfin, sns ames. pre,idente.=Por la milicia nacional activa el coronel Alfonso Valderábano.=Por la artillería el coronel Manuel del Pino.rsl’or la caballe ARTICULO DE OFICIO. ría el teniente coronel Joaquín Barreda.=Por el estado mayor general el coronel Santiago M…</t>
  </si>
  <si>
    <t>Golfin, Francisco González</t>
  </si>
  <si>
    <t>Francisco González Golfin</t>
  </si>
  <si>
    <t>…manca: para la de Gra A la de Hacienda una representación de Doña Josefa Castilla en nada al teniente coronel D. Josef de lieceta: ya'a la de Alicante al solicitud de ura pensión. coronel D. Francisco González Golfin : para la de Málaga al brig .dier Se acordó que se imprimiese la copia remitida por el ministerio D. Josef Marrón , que lo es de la misma : para la de Oviedo á D. Ma de Hiiienda del reparto de li contribución territorial de i 20 millones. nuel María Acevedo,…</t>
  </si>
  <si>
    <t>Golfín, Francisco González</t>
  </si>
  <si>
    <t>Francisco González Golfín</t>
  </si>
  <si>
    <t>…cho pueblo ; y otro relativo á que se ' Nota. En le gaceta de 14 del corriente, col. 10, Ifn. ve, donde pete i la expresada comisión de Diputaciones provinciales la solicitud dice D. Francisco González Golfín , léase D. Francisco Fernandez del alcalde de Carcagente, relativa á que se permita á aquel ayunta Golfín—En le del 16, col. a.*, lía. 6g , donde dice del que de miento vender una heredad. nuncie loe escritores como delisuuentes, léase del que denusuien ¡os e…</t>
  </si>
  <si>
    <t>Golowkn</t>
  </si>
  <si>
    <t>…sión cree que se deben hacer las siguientes rebajas en Jo Se asegura que en un cornejo de catado celebrado en Viena , y al cual que se pide. han asistido el embajador de Rusia, el conde Golowkn y el senador 1/ La general en los sueldos de los empleados Está ya aprobada. TatiscKíft', te ha resuelto que te hagan nuevas gestiones en Conttanti- 2.a Ei sueldo de dos directores , cuyas plazas no se proveen por aho nopla para saber si la Puerta insiste en…</t>
  </si>
  <si>
    <t>Gom, Francisco Antonio</t>
  </si>
  <si>
    <t>Francisco Antonio Gom</t>
  </si>
  <si>
    <t>…de lot diferentes Estados alemanes- y Sto. Domingo 1719 rs. Los interesados en las dependencias al cuida lista guerra de intriga va tomando en el dia mucho mas vuelo, según do de D. Francisco Antonio Gom/z , de Cartagena de Indias, 6443 rea a^v.-rtimos por el mencionado Corresponsal, adonde va á parar ahora les y 4 mrs. Los interesados en las dependencias de Osorio y de Listre cuanto la malevolencia de algunos franceses es capaz de inventar. y Vergara 17,971…</t>
  </si>
  <si>
    <t>Gom, Josef Moreno</t>
  </si>
  <si>
    <t>Josef Moreno Gom</t>
  </si>
  <si>
    <t>…calificación del escrito inserto en el Diario Gaditano de 27 de Setiem sutil ,Tejeiro, Busafta, Silva, Afonzo, Cortés, Betda, Soria, Garoz, bre último, bajo «leí nombre del Sr. ex-diputado D. Josef Moreno Gom z (D. Manuel), García, Valdés ( D. Dionisio), Sotos, To Guerra, denunciado por D. Juan González de Kivas, cónsul de Es mas, A varez Gutiérrez , Isturiz, Grases, Zulueta , Abren, Muro, paña en Gibraltar. Declararon por unanimidad abstulto á tu autor. Atienta,…</t>
  </si>
  <si>
    <t>Gom.z, Pedro</t>
  </si>
  <si>
    <t>Pedro Gom.z</t>
  </si>
  <si>
    <t>…lián dante del primer batallón del regimiento de infantería de Málaga. Romero, supernumerario de ia milicia activa, que ha mandado la ter Teruel (ligero): para primer comandante i D. Pedro Gom.z , co cera división di granaderos provinciales. _ mandante de batallón supernumerario del regimiento infantería de Baeza: para primer comandante al teniente coronel D. Antonio Ro Córdoba. mero , primer ayudante mayor del primer regimiento de la Guardia Toledo:…</t>
  </si>
  <si>
    <t>Goma, Bonifacio</t>
  </si>
  <si>
    <t>Bonifacio Goma</t>
  </si>
  <si>
    <t>…lario Armcatía, juez de pri de magistraturas, y se levantó la sesión á las tres' y cuarto. mera instancia de la misma , habiendo visto la causa criminal seguida contra el ex-monge D. Bonifacio Goma, presbítero, cura de la parro ARTICULO DE OFICIO. quial da Cillaperlata, á virtud de formal queja que dieron contra él va El Sr. secretario del Despacho de la Gobernación de Ultramar dice rios individuos dd ayuntamiento constitucional de la citada villa da al…</t>
  </si>
  <si>
    <t>Gome</t>
  </si>
  <si>
    <t>…iocesanas que Uó descubierto m juego eo qu« no perdía jr podía ganar. no estuviesen en la capital de provincia. El Sr. Argüelka dijo que habiendo resuelto la» Cortea que la ex- El Sr. Gome* (D. Manuel) manifestó que atendida la importancia ídoa no pesa** 4 la comisión que había entendido en los negocios da este asunto para el atreglo de la dotación dd clero, podia discutiría Catatada, en de lanosa consecuencia que pasase al Gobierno, ade* en es…</t>
  </si>
  <si>
    <t>…gunas modifi va de hipoteca al pago de la deuda nacional, y con preferencia á los caciones en el dictamen. créditos que tengan contra la Nación los vecinos de los pueblos á que El Sr. Gome* ( D. Manuel), después de hacer varias observacio correspondan los terrenos; y debiéndote dar entre estos créditos el pri nes canónicas sobre la justicia y necesidad de llevar á efecto las leyes mer lugar á aquellos que procedan de suministros hechos en la gu…</t>
  </si>
  <si>
    <t>…que la mayoría de dicha junta hubiese dado una liqu 'daciones hechas, opinaba d.bia admitirse. Aprobado. inteligencia tan infundada i aquel decreto, por s:r enteramente contra El Sr. Gome* (' &gt;. Minué.) leyó por primera vez el proyecto de la ria al sentido del expresado artículo, el cual no necesitaba de aclara comrs'on Eclesiástica sobre dotación de los individuos del ciero. Se ción alguna. Aprobado. mandó imprimir. La comisioo de Güera, info…</t>
  </si>
  <si>
    <t>Gome, Joaquín</t>
  </si>
  <si>
    <t>Joaquín Gome</t>
  </si>
  <si>
    <t>…afio , me le han remitido con motivo de ha* liarme en ta actualidad en esta M. H. V. para que le ponga en manos de V. E. Con mucho gusto lo hago , rogándole se airva asegurar i la D. Joaquín Gome» de Liafio, intendenta general militar, caballe Diputación permanente que mi opinión y mis deseos son los mismos ro de la cruz y placa orlada en ta orden nacional «le S. Femando &amp;c. que loe de mis compañeros, y que en cualquier situación en que nos »En virtud…</t>
  </si>
  <si>
    <t>Gome, Juan</t>
  </si>
  <si>
    <t>Juan Gome</t>
  </si>
  <si>
    <t>…tos de tal mes y año. 10 y ia del propio mes, se ha trasladado para el jj del corrient- Ene Firma del contador. Firma del interesado. ro .á las tode su mañana en la posada del ir. D. Juan Gome? y Oiaz, An. 4.0 » Si con el billete asi reducido i too rs., de que trata el ministro honorario de la audiencia l.rritorial , y juez de primera in .i.nantecedente artículo, vuelve á la misma administración el interesado cia de esta M. 11. villa, que la tiene…</t>
  </si>
  <si>
    <t>Gomes, Alonso</t>
  </si>
  <si>
    <t>Alonso Gomes</t>
  </si>
  <si>
    <t>…Montoro, da 191,370 mrs. de renta anu»l.__Otro én las salinas de convento de S. Francisco de Moaibltncb. Con el deseo de libertar á ln Andalucía, tierra adentro, en cabeza de otro D. Alonso Gomes de. excelente tropa de Cantabria me resolví i salir de la plaza can ico hom Montoro , de 54,935 mrs. de renta anual, expedido en 19 de Noviem bres de Zaragoza y Cantabria, y en al instante de emprender d movi bre de 1646. Y habiéndose extraviado los privilegi…</t>
  </si>
  <si>
    <t>Gómez</t>
  </si>
  <si>
    <t>…ndo los restantes, 30 en el Sr. Sánchez, uno en el Sr. Herrera commj 'nt, .leí alio ic cumple este año, ▼ deben salir del servicia io9 Bustamante, uno en el Sr. Zuiueta, uno en el Sr. Gómez, uno en el cumplidos. Para reemplazar estos, y llenar los vacíos que ha dejado el Sr. lrujilio , y otro en el br. Saavedra. orden sanitario (que se cree tendrá que renovarse todos los años, te Quedó elegido segundo secretario el Sr. Oliverpor 70 votos de 116,…</t>
  </si>
  <si>
    <t>…qudúbd pública era El Sr. Falcó presentó i consecuencia de este expediente la siguien propio dei Gobierno. te proposición: » Pido que se nombre una comisión especial que entien E! Sr. Gómez ( D. Alvaro) dijo que nunca habia pensado en que. da en cuantos negocios correspondan á las Cortes sobre extravíos pú las Cortes se entrometiesen en una cosa que no les pertenecía , y solo se blicos de opiniones , sin traspasar las líneas que separan sus facu…</t>
  </si>
  <si>
    <t>…a al Rey por el contador general de to subalterno de la Vela , con las mismas condiciones de esta , v el Distribución acerca del dia desde que l.a de abonarse el suel lo á los Sr. coronel Gómez librara hoy mismo sus órdenes al ge te que manda empicados de nueva entrada , á los que obtengan ascensos de esca re allí para la entrrga del puesto y demas particulares, o'' El Gobier la, y á los que lo sean internos, se ha servido a. M. declarar por re no d…</t>
  </si>
  <si>
    <t>…, pues de c tro modo en vez de lograrse eco en cuanto á las demas equivocaciones que pudiese hab.t habido, que nunca serian de la comisión. nomías se aumentarían muchos gastos. El Sr. Gómez ( D. Manuel 5 dijo que le parecía pequeña la reba El ¡&gt;t. Olives dijo que el párrafo que se discutía tenia dos partes: ja que proponía la comisión , porque serian muy pocos loa monumen eu cuanto á la primera creyó que serie mas conveniente aguardar la re tos…</t>
  </si>
  <si>
    <t>…mpoco les ponía trabas en la facultad dictamen de la comisión dijo, que te tcscivaba la palabra para cuaado de examinarse para solicitar dispensa. se discutiesen sus articules. El Sr. Gómez: Me parece que el dar á la dirección de estudios la El Sr. Pedral ver: No hay otro atbitrio que elegir esta especie de prue facultad de que conceda estas dispensas, et darle un poder legislativo, ba para saber ti en su estudio privado ha podido adelantar tant…</t>
  </si>
  <si>
    <t>…mo, procedente las encomiendas del gran priorato de S. Juan, como proponin la co de las eutumiendai dd gran priorato da S. Juan, que posee el referi misión ; 4 les que contestó el Sr. Gómez ( D. Manuel) apoyando la do Sr. Infante en dicho arzobispado, opinaba que la» Corte» podían opinión que había expuesto el Sr. Velasco. servirte declarar fu la expresad» recaudación corresponde 4 los admi El Sr. Casas manifestó que en tode la Nación no había o…</t>
  </si>
  <si>
    <t>…nsguiente juzgo preciso que se lleve y opinó por lo mismo que debía aprobarse el di?utn?n &lt;31 ¡a comisión. á efecto lo acordado, á saber, qu: se propongan medidas oportunas, lo El Sr. Gómez (D. Manuel) d jo qu? las dipuUc.cinrs pr^.s .ocíale* cual no se ha verificado todavía ; y en este sentido creo que la p-oposi podían entender en la bu?na recaudación dei m.-d.o diezmo. ción debe aprobarse para que el asunto vualva a la comisión nomlvad». El S…</t>
  </si>
  <si>
    <t>…lo* curas párrocos con respecto á sus tra dente é individuos del clero entendiesen en esta operación. bajos y necesidades, y luego á los demas partícipes eclesiásticos de diez El Sr. Gómez (D- Manuel) contestó que las mismas Cortes an mos en la proporción justa que les puede corresponder Asi pues la teriores habían acordado fuesen las juntas diocesanas las recaudadoras comisión Eclesiástica , descaes de haber oido á los Sres. preopinantes, del…</t>
  </si>
  <si>
    <t>…s en el depósito, según Leída y aprobada el acta de la anterior, se mandó pasar i la co- el artículo 17 del reglamento de depósitos.” Aprobado. mís'on Eclesiástica una adición del Sr. Gómez ( D. Manuel Ventura) Art. id. •&gt; Se petm tiri sin embargo á los interesados que al despa al proyecto sobre reforma de las juntas diocesanas. char de salida para Ultramar esta cíase de géneros declaren nuevamen La comisión de Guerra, en vista de la solicitud d…</t>
  </si>
  <si>
    <t>…on una especie de despojo á los or Arguelles si se hsbia cump'ido con lo prevenido en la orden de las dinarios. Cortes de i* de Mayo de 1813; y habiendo contestado algunos seño El Sr. Gómez ( D. Mannel) dijo que entendiéndose pos ordinario* res diputados que si , quedó aprobado el dictamen. - no tolo lo* obispo* sino en cierto modo los p 11 roeos por su institución, El 'r. presidente dijo 41- se procedía a la discusión del dictamen era claro que…</t>
  </si>
  <si>
    <t>…larmente cultivadas purda mantenerse con sus qu: no había otro mas sencillo que el que ptoponia la comisión. productos una familia agricultor! de cinco pnonas, ni se reduzcan á Ei Sr. Gómez (O. Manuel) hizo vanas observaciones , á las qua menos de lo preciso para mantener 4 un individuo. contestó e! sr. Lodarcs; y en seguida se declaró el punto suficiente* El Sr. Arguelles; Dice el artículo que se repartan las tierras restan mentí discutido. tes…</t>
  </si>
  <si>
    <t>…aquellos eclesiásticos de cuya coudueU puedan responder.'' E»ta vigilancia especial sobre cierta c ase de p;r» ,nas ‘i u'i p;n» r co Después de haber hecho varias observaciones el Sr. Gómez ( Don nocida m*.ra.ni.ule , y es preciso ver si bastará para au’nr.iUr »!: ■ . Manuel) sobre esta medida, á las que contestó el ir. Castejon , quedo lanera el lomar esta» medidas de pr.caución. Bija este supu sto » &gt;v o •probada. á las Cortes que tum-.n en ce…</t>
  </si>
  <si>
    <t>…la comisión encargada de presentar su dic tobre los títulos te admitan las certificaciones de juros. tamen sobre las proposiciones del fir. Sánchez, leídas en el dia 8 de Otra del Sr. Gómez ( D. Manuel) para que las diputaciones pro Marzo, y asimismo el informe del consejo de Estado tobre el mismo vinciales por resultas de la visita que deben hacer del estado de la Ha •tumo. cienda en los pueblos informen al Gobierno circunstanciadamente 'El Sr.…</t>
  </si>
  <si>
    <t>…vinciales lo estimen nece dias antes de remitirlas á dicha aprobación.” Aprobado. sario. Aprobado. Art. 4.a » Cuando acudan los ayuntamientos á ias diputaciones pro Sobre otra del Sr. Gómez (D. Manuel) al artículo 4.°, relativa á vinciales solicitando permiso para disponer de arbitrios nuevos, ó por no que en donde no haya suficientes baldíos y realengos para her suertes haberlos ó por hallarte en necesidad de adoptarlos para obras de públi de á…</t>
  </si>
  <si>
    <t>…litares , podiendo esto ocasionar naves males al Estado. pues de este modo se evitaría toda falsificación que pudiese haber. Se resolvió que el art. s.° volviese á la comisión. El Sr. Gómez (D. Manuel) contestó que el artículo debía quedar Art. $.° » Siendo un egercicio propio del ministerio de los cape tal como estaba, porque por el derecho canónico debían tener Jos pár llanes la asistencia y consuelo espiritual de los oficiales y soldados roco…</t>
  </si>
  <si>
    <t>…de los objetos compañía, sino de todo el regimiento.” Aprobado. que han de discutirse en el Congreso, y que debían arreglarse previa &lt;se mandó pasar á la comisión una adic.on del Sr. Gómez ( Don mente en las conferencias de Viena, no se fijen ya definitivamente has Manuel), relativa á qu• el art. ■ j del cap. 10 sufra la misma altera ta haberse reunido todos en Verona. Se ha extrañado mucho e»u con ción que lo, artículos 1.* y a.0 de diciio cap…</t>
  </si>
  <si>
    <t>…e produjese ventajas, ti á que se refería el que ahora se discutía. déheri* adoptar para la ordenanza actual, El Sr. Adton se opuso *1 artículo , manifestando entre otras cosas El Sr. Gómez ( D. Manuel): Los artículos que actualmente se dis que en su concepto no estaba bien demarcado el modo de verificar las cuten remandaron volver é la comisión,'i.' para que se suprimiese propuestas. la voz de capellanes-. a.“ porque se hizo ver demostrativamen…</t>
  </si>
  <si>
    <t>…o el dic las armas en la mano; y que por tanto parecía cosa ridicula que te gas tamen. tase el tiempo en exceptuar á determinadas clases, debiendo desaparecer Sobre la adición del Sr. Gómez ( D. Manuel) al art. ■$ I ísde toda sombra de privilegio; y concluyó , diciendo que no se oponía á que se exceptuaran los que hubiesen pedido dispensa para casarse y no que las excepciones aprobada» hasta ahora se llevasen á efecto; pero de la hayan aun alcan…</t>
  </si>
  <si>
    <t>…que se diga lo contrario. Esta no goza de las garantías que conce íu.:.; uno el delator y otro el aprehensor. de la Const tucion á los ciudadanos, pues que no sabe qué prcvid.-ni- Sr. Gómez ( D. Manuc ) : Cuando la comisión propuso que C:as toma el g;fe político. ; Y el usar de esta mcdidi conua un espa r.:ev-n los jueces los que ejecutasen la prisión , se impugnó su medida ñol a quien acaso no te ie puede considerar como ce as i.radar , no per…</t>
  </si>
  <si>
    <t>…embargo esto» dos día» debían in-.u 1»: por antigüedad de ¡c» r-.sciases inferiores. pectivas decl jraciones. Art. 6r. &gt;» A los oficiales de estado mayor de p’aza desde goberna El Sr. Gómez dqo que la Concepción no r! !»¡» ocupar el tercer lu dor inclu ive ha.la capitán de ¡laves se les cinsni-rau para su, lian &gt;- gar, porque aten i codo á a rnij.an que jucuurují se ti.cuta mas c-¡res fúnebres como vivas en la clase que fueren su¿ empleo, cu e.…</t>
  </si>
  <si>
    <t>…ias con arreglo a las c&gt;b»ervac ones que se hicieron en la dis tninos en que debían extenderse los pasaportes. cusión del anterior, y por lo mismo me opongo á este dictamen. No El Sr. Gómez (D. Manuel) cor.t.xt o que constando e! articulo de te diga que corresponde ai Gobierno la iniciativa de las leyes sanita dos partes, la prim’ra qu: todo el mundo h.cíes: uso del pa,apor rias: estas leyes d ben hacerlas las C mes de modo que solo conten te, y…</t>
  </si>
  <si>
    <t>…usión. Rafut curativo. Director de hospitales , médico mayor, cirujano Se mandaron pasar é la comisión de Policía varias adiciones del mayor, boticario mayor, y veterinario mayor. Sr. Gómez (D. Manuel) sobre las cartas de seguridad, y ot-a del señor Ramo judicial. Auditor.” Melendez al art. sy de dicho reglamento , qus dteéa: &gt;■ Deseass de íes Sr. Saavedra: Ei epígrafe de este capítulo no me parece exacto, palabras modo de tí: ir conocí, le, añá…</t>
  </si>
  <si>
    <t>…tos 170- He visto en los consulados apropiarse tas facultades que ia to apoyo el dictamen de la comisión. Constitución da exclusivamente á los alcaldes constitucionales , es de El Sr. Gómez ( D. Manuel ): Ademas de las razonin«¡uE lian ex cir, la de juicios de conciliación; y en fin, he visto y tm5o noticias puesto los bies, preopinantes para sostener el dictamen d-r La comisión, de otros muchos egemplos d- -sta especie. Ademas de estos perjuici…</t>
  </si>
  <si>
    <t>…d.U pi.-.b .r i esta la evidencia de ta criminalidad del secretario , al ponsables i estas autoridades. r ¡.du io seria que cate continuase. Ademas de esto podría suceder otra* Ei Sr. Gómez (D. Manuel) 1 No se puede prescindir de aprobar veces que aunque el ayuntamiento probase loa motivos que había para este articulo, porque de lo contrario r.-su.tara que nunca estarían bien que ss removiese al secretario, este continuaría solo porque tendría d…</t>
  </si>
  <si>
    <t>…s religiosas secularizadas han recurrido al Rey, solici, Jo conveniente. _ . _ _ , tando unas licencia para testar de todo lo que disfrutan en propiedad, Después de haber hecho el Sr. Gómez (D. Manuel ) algunss ob y otras pidiendo habilitación para adquirir los bienes paternos que pu servaciones contra el artículo, á las que contestó el Sr. Valdéi (Don dieran corresponderles; y considerando S M. icdudable el que las mon Cayetano), se d-claró est…</t>
  </si>
  <si>
    <t>…putación con loa informes y documentos originales.” vincia.'’ Aprobado. . Se suspendió esta discusión, y se mandaron pasar é la comisión do* Se leyó el a !. 99. adicione*, una del Sr. Gómez (D. Manuei) al art. 96 , que decía a, : Ait. 99. » En las obras nacionales, que por su extensión ó impor ” Imponiéndose multas proporcionadas á los ayuntamientos que no re tan: a , y por internar al raí no en general, esten inmediatamente á mitan las listas c…</t>
  </si>
  <si>
    <t>…ento del las atenciones ordinarias no están cubiertas oon ei número de emplea Gobi.rno en est- asunta. dos prop j stos , de lo que resultará que estas quedarán siempre desaten* Ei Sr. Gómez 'D. Manuel): Las razones del Sr. I-turiz , Ir ios de didas. En las atenciones ordinarias están comprendida» la corresponden probar algo contra este artículo, prueban á su favor: Y i'. hi indicado cia d*l Gob ernó que diariamente están recibiendo las dipuuc on…</t>
  </si>
  <si>
    <t>…e en él la superior autoridad dentro ha de subsistir ó i.j el gefe político subalterno de Sierramorena. de la provincia para cuidar de la tranquilidad pública , del buen orden, E- Sr. Gómez fijeena: Si está aprobado por las Cortes, dbcrá subsistir. de la seguridad de las personas y bienes de sus habitantes , de la cgccu- El Sr. Romero pidió se leyese el art. 324 de !a Constitución, que cion de las leyes y órdenes del Gobierno, y en general de lo…</t>
  </si>
  <si>
    <t>Gómez, Alonso</t>
  </si>
  <si>
    <t>Alonso Gómez</t>
  </si>
  <si>
    <t>…ANUNCIOS. ta villa ta dividió la columna dirigiéndose cada sección á los puntos que le tenia señalados. Los 110 hombre* da Cantabria qua debían venir por Al mayorazgo fundado por D. Alonso Gómez dé Montoro, del la Espluga á situarse en Montblancb, te atrageron sobre sí toda la masa qne hoy es poseedor D. Alonso de'Montoro y Andrtdez, corresponden del enemigo que te habia diseminado por los montes: viéndola dividida los juros siguiente*: Uno en los mi…</t>
  </si>
  <si>
    <t>Gómez, Alva.-o</t>
  </si>
  <si>
    <t>Alva.-o Gómez</t>
  </si>
  <si>
    <t>…ue el producto de las contribuciones no alcanzaba para trice-presidente y secretario mas antiguo , que lo era el T\ V . cubrirlas. Salrá , han sido elegidos para presidente el ir. D. Alva.-o Gómez</t>
  </si>
  <si>
    <t>Gómez, Alvaro</t>
  </si>
  <si>
    <t>Alvaro Gómez</t>
  </si>
  <si>
    <t>…n el ramo de milicias, y asi se acordó por las Cortes. vedra, Villanueva y Alix. Se dió cuenta de una exposición del ayuntamiento de Pamplona, Se leyó ia siguiente proposición del Sr. D. Alvaro Gómez: en la que manifestaba el sentimiento que le habia causado la aserción ” Pido que se nombre una comisión ¿special de tranquilidad p4hjU- ' hedía por ia comisión de las Cortes cuando se trató dei indulto con ca, que entienda en todos los negocios de este ramo,…</t>
  </si>
  <si>
    <t>Gómez, Antonia</t>
  </si>
  <si>
    <t>Antonia Gómez</t>
  </si>
  <si>
    <t>…agrado. litar el D. Fernando. Aprobado. La com tíos de Diputación s provinciales, en vista de las exposi Otro sobre una exposición del cabildo de Canarias, y proposición ción-* de Doña Antonia Gómez, viuda de un empleado en el ayunta del Sr. Echevarría sobre el mi-mo objeto. La comisión opinaba que las miento de esta villa, y de la viuda de D. Josef Viliami! , empleado fincas adjudicadas i dicho cabildo en pago de deudas deben ser entre también que fue e…</t>
  </si>
  <si>
    <t>Gómez, Antonio</t>
  </si>
  <si>
    <t>Antonio Gómez</t>
  </si>
  <si>
    <t>…rdo Re.r.iMo Keent, regimiento. A la de Premios se mandaron pasar dos exposiciones: una de la en li que reclamaba contra varios procedim entos aibitri- o» d i exviuda del teniente coronel D. Antonio Gómez, haciendo presentes los ntiCistro de la Gob rnacion de Ultramar D Ramón Lo .• t'e n muchos servicios que hizo su marido en el espacio de 48 años que sir- A la de Diputacon s provincial-s una ex no- C" n dr c —&gt;d» \ a¡Vió á Jj Nación , pidiendo que la» Cortes…</t>
  </si>
  <si>
    <t>…ón. perjuicio del E-tade. Asi que, nada me parece rr.a, &lt; q":e el d cha Aprobado. men de la comis’on , ni niríj me parece rr.as e-.euc a !i rei-a r n m-sOtro sobre la solicitud de D. Antonio Gómez , comandante super ma que evitar por e;te med o el iu,o que se h» r.tr da.'.lo en e; a. I..numerario de infantería: la comisión opinaba que debían recomendarse I» funciones de que s¿ tmta han hecho de - ta, ú le. v.-n'r , r ro r.o al Gobierno los servicios de…</t>
  </si>
  <si>
    <t>…...... ...................- Va.¡a 7 Ztr 1: ( Zi............................................................................................... anuncia al público que el comisonado D. Antonio Gómez de ia Torre 9 león.............................. ......................................... *4 ha fijado este dia en el lunes 10 de! próximo mes de Junio, á fin de que los interesados en este negocio no aleguen ignorancia , y que en Santander..................…</t>
  </si>
  <si>
    <t>Gómez, Bonifacio</t>
  </si>
  <si>
    <t>Bonifacio Gómez</t>
  </si>
  <si>
    <t>…Cortes, usando «le la facultad que te lea concede por la Cons vas que contiene dicho escrito: dijo que debia declarar y declaraba al titución , han decretado lo siguiente: citado D. Bonifacio Gómez indigno del nombre espafiol, y privado Art. i.° Se tendrá por marcha nacional de ordenanza la música mi «leí ministerio parroquial, asi como de cualquiera pensión que goce, ú litar del himno de Riego que entoneba la columna volante del egérci- igualmente de t…</t>
  </si>
  <si>
    <t>Gómez, Francisco</t>
  </si>
  <si>
    <t>Francisco Gómez</t>
  </si>
  <si>
    <t>…ción del ayuntamiento constitu tepa, pidiendo se les continuase pagando la pensión que actualmente cional de Moufoite de Le unís de los útiles servicios que han hecho disfrutaban. D. Francisco Gómez , teniente del regimiento de infantería ligera se A la misma una representación del contador de valores, acompa gundo de Aragón y la partida de ao hombres que mandaba, apre ñada del informe del tesorero general, sobre que subsistiese el archivo hendiendo á va…</t>
  </si>
  <si>
    <t>Gómez, Francisco de Paula Castro y</t>
  </si>
  <si>
    <t>Francisco de Paula Castro y Gómez</t>
  </si>
  <si>
    <t>…el «ludio de D. Cayetano causa, siendo la votación, nominal la siguiente; Sres. que declararon Benedicto, abogado , vecino de la expresada ciudad, plazuela del To no haber lugar: D. Francisco de Paula Castro y Gómez, D. Josef ro , núm. 3, é presentar toa documentos que justifiquen dicho parentes Morales d.- los Rio*, D. Pablo Mateu, D- Antonio Castillejos, Don co en el termino preciso de 60 dias; en el concepto de que pasados Manuel Moreno de Mora, D. josef María Retorti…</t>
  </si>
  <si>
    <t>Gómez, Josef</t>
  </si>
  <si>
    <t>Josef Gómez</t>
  </si>
  <si>
    <t>…, se reunió el jurado , compuesto de los Sret. situíen- los muchos gastos indispensables para formar un establecimiento de es tes: D. Joaquín Huerta Cevallo» , D. Ignacio Pajares ,D. Josef Gómez ta clase, y que tarto redunda en beneficio de ellos mismos y del pú Albacete, D. Antonio Regai, D. Juan Antonio López, D. Jos-f Bar blico. Asi es que desde su fundación lleva ya empleadas Jas siguientes do , D. Josef Radon» D. Isidoro de Hoyos y D. Antonio Dí…</t>
  </si>
  <si>
    <t>Gómez, Josef García y</t>
  </si>
  <si>
    <t>Josef García y Gómez</t>
  </si>
  <si>
    <t>…para muchas r fi.-x enes. Parece qu: ei prin Para la de Gramd* »e proponía á lo» Sres. D. Juan Alfonso Mon- cipa! objeto del cor.grso »on los negocies de Turquía, y ia Rusa toya , D. Josef García y Gómez y D. Juan de la Torre y Bo-u.t; jr vuc.ve i promover con ca or e.te punto, cuyo result.do podrá s-r muy fue electo el Sr. Montoya por 71 veto» d« * . 8. d.lerente d: lo que hasta ahora hemos emulo. La burla que eí divan Para la de Stvilia se proponía á los Síes. D. Agu…</t>
  </si>
  <si>
    <t>Gómez, Juan</t>
  </si>
  <si>
    <t>Juan Gómez</t>
  </si>
  <si>
    <t>…dictá cido convenientes pata evitar la repetición de tan escandalosos delitos. menes. » Nunca dudé que este infausto suceso produciría en el espíritu del Uno sobre la solicitud de D. Juan Gómez, vecino de Torre Falcon, benemérito regimiento é que perteneció Díaz la indignación consi para que se declare sin valor el Real decreto del año 1801 sobre la can guiente contra los que le privaron de un valiente compañero de armas, celación de los vales reale…</t>
  </si>
  <si>
    <t>Gómez, Juan Bautista</t>
  </si>
  <si>
    <t>Juan Bautista Gómez</t>
  </si>
  <si>
    <t>…. Cuadra, por par-cetle que no era a” La comisión de Visita del Crédito público, en viste de la solicitud cetario para formar juicio del estado de te Nación el examinar k&gt;* pt* de D. Juan Bautista Gómez, opinaba que debía paaar al Gobierno. peles que remitiese el Gobierno, por ser notoriamente conoCids* u Aprobado. causas de 1a agitación que te observaba en tote* partea; por lo «sd La de Diputaciones provinciales, tn vista de te exposición de un opinaba que…</t>
  </si>
  <si>
    <t>Gómez, Juan María</t>
  </si>
  <si>
    <t>Juan María Gómez</t>
  </si>
  <si>
    <t>…ia Relación de los gefes que ha nombrado S. M. coroneles y prime activa de Segovia. ros comandantes de loa batallones de la milicia nacional activa que se M idrid : para coronel á D. Juan María Gómez, coronel del regi expresan. miento de infantería de la Reina. Alcázar de S. Juan: para primer comandante al primer comandan Manresa: para primer comandante á D. Josef Santa Pau, comandan te de infantería ligera D. Antonio María Guerrero, agregado al mis te su…</t>
  </si>
  <si>
    <t>Gómez, Lorenzo</t>
  </si>
  <si>
    <t>Lorenzo Gómez</t>
  </si>
  <si>
    <t>…emplaza a D Juan García Salas, comisario de guerra honorario; Don dados de ante mano. No parece que algunos Gabinetes están demasiado Antonio Sánchez , p atar de Cunara de Si M.; D. Lorenzo Gómez, contentos con la política que traslucen quiere seguir la Inglaterra, la administrador de ia Moncloa; Daña María Gerónima Carbonell, cual en punto á intervenir en los negocios interiores de otros Estados americana , viuda ; D. Luía Chaves, guatdaropa dd Key ;…</t>
  </si>
  <si>
    <t>…en efecto los compraron; y adamas que el dicho oficial dis lo que hasta ahora se ba enseñado en tres ó cuatro. Contribuir* cada tribuía diner&lt;Jen lo» Barrios pera ganar gente: que D. Lorenzo Gómez uno de los alumnos con 25 rs- mensuales. El número no excederá de era uno de ios principales agente» con quien se entendía la junta, y su ao, ni serán de meaos de 12 años de edad ni de mas de 16 ó 17. Ss ministró a! Abuelo el caballo zarco y 10O rs. para ¡a c…</t>
  </si>
  <si>
    <t>…as. plaza á D. Juan García halas , comisario de guerra honorario ; D. An De Tortosa el día 10 avisaban que la milicia voluntaria iba toman tonio Sánchez, pintor de cámara de S M.: D. Lorenzo Gómez , ad do pie, pues en lugar de los 18 ó ao que eran, ya el 3 del actual se ministrador de la Moncloa. Doña María Gerónima Carbonel, ame juntaban mas de 90 en la caía de la ciudad para la elección de oficiales. ricana , viuda: D. Luis Chaves, guardarop* del Rey…</t>
  </si>
  <si>
    <t>Gómez, Pedro</t>
  </si>
  <si>
    <t>Pedro Gómez</t>
  </si>
  <si>
    <t>…r su conducta imprudente y por de la Junta de censura de Méjico , quejándose del juez de primera ins sus principios exagerados. Inútiles serán ya todas las tramas que urdan tancia D. Pedro Gómez sobre sus procedimientos en un asunto de esta semejantes hombres, que deberían ocultarse en el rincón mas ocul clase. tar del pudrió, antes que procurar hacer el ridículo papel que hicieron A Ib de Hacienda una exposición del ayuntamiento constitucional en ci…</t>
  </si>
  <si>
    <t>…revalidación de abogado á D. Josef Torres, la dispersa de un año d« y cortar estos desórdenes verdaderamente escandalosísimos, y para evi edad para poder administrar sus bienes á D. Pedro Gómez , miliciano tar las funestas consecuencias que pueden tener, pues pronto se dirá en de Bilbao, y á D. Nicolás González, y el permiso para que pueda las provincias que en Madrid se están batiendo unos regimientos con egercer la abogacía el -cura párroco del lu…</t>
  </si>
  <si>
    <t>…ionales el paradero tegra ai P. Solchaga en 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t>
  </si>
  <si>
    <t>Gómez, Tomas Josef</t>
  </si>
  <si>
    <t>Tomas Josef Gómez</t>
  </si>
  <si>
    <t>…untos que ocupabsn estas tropas después de En la ciudad de Granada , reunidos en jurado de acusación los se la acción de Orcan.a Hoy á las to de la mañana he entrado en esta ñores D. Tomas Josef Gómez, D. Juan Moral, Dr. D. Lorenzo Rua ciudad seguido de las tres divisiones, y rodeado de un pueblo, en cu no , D. Pedro Ramón de Jerez, D. Josef Villa verde, D. Santiago Ma yo semblante se Lia aquel contento, que solo puede inspirar al habitan rín, D. Manuel Pa…</t>
  </si>
  <si>
    <t>Gómez, Vicente Martina</t>
  </si>
  <si>
    <t>Vicente Martina Gómez</t>
  </si>
  <si>
    <t>…o bilite cata introducción cuando el trigo excediere de 8o r*. la fancga( reno , D. Alfonso Carrera, D» Gabriel Rodríguez, D. Francisco 7 la harina de i so rs. el quintal. Montoro,D. Vicente Martina Gómez, D. Antonio María Cuatre El Sr. Munarrii presentó á las Cortes á nombre de D. Josef Ma ras , D. Juan Josef de Cores y D. Francisco de Paula Díaz, jaeces de ría Zuaznabw el tonto *.“ del Ensaco histórico-crítieo sobre la legis hecho, con la fórmula de mbttulto…</t>
  </si>
  <si>
    <t>Gómez, Vicente Martines</t>
  </si>
  <si>
    <t>Vicente Martines Gómez</t>
  </si>
  <si>
    <t>…u marche sobre Coro, Cosío, D. Pedro Fuenmayorj D. Francisco Javier Perez, D. Leandro en donde se le reunieron 400 bombees da fiaguerrillas, 4 quienes ar Pallares, D. Josef Anima, D. Vicente Martines Gómez , D. Anto mó con los fusiles que 4 prevención sacó da Puerto-Cabello, con loe nio María Guillen, D. Antonio de Quesada , D. Josef Diez de Usu cuales y su fuerte marchó 4 sitiar 4 800 y pico de enemigos que ocu ren* y D. Josef da Goyonet*, jueces de hecho, con…</t>
  </si>
  <si>
    <t>GomezfD</t>
  </si>
  <si>
    <t>…io portugu s, ce par los males de la Nación, cuya exposición presentó el Sr. Suvedra, sando desde hoy el goc* de lot derechos da V. M., de qu. se halla pri ’ otra, que presentó el Sr. GomezfD. Manual), en la cual felicitaba i vada por no habar querido adherirte a! pacto social. Dios yuaide á Ías Cortes por tu instalación y sus disposiciones la junta diocesana da V. M. Palacio de Be:nposta i.*da picicmbrt de 18»&gt;• P¿Jasn. ccizc de Araujo y Castro .…</t>
  </si>
  <si>
    <t>Gon</t>
  </si>
  <si>
    <t>…ia fundado en que las Cortes debian dar leyes para que so fuese al de las del Gobierno.” terada la tranquilidad pública. D.-spues de una ligera discusión , y habiendo propuesto el Sr. Gon El Sr. ’.-eoanc dijo que U tranquilidad pública se habia visto ame zález que pasase esta exposición del gefe político de Pamplona á la co nazada de mil modos distintos ; y a pesar de las diferentes medidas be rnisón de infracciones de Constitución , se acordó asi.…</t>
  </si>
  <si>
    <t>…isco Travesado, D. Benito Ortega Romanillos, D. Juan La sables para cimentar y consolidat en la niñez lo* verdadero* conoci que , D. Antonio María Espejo, D. Josef Gómez Albacete, D. Gon mientos de la existencia civil 7 derecho* naturales del hombre social zalo Cárdenas, D. Joan Corté*, D. Mariano Zorraquin 7 Ó. Joaquín con las obligaciones patacón Dios, él mismo, tus semejante* 7 libre pa Manrique 7 Manrique. tria. Los pretendientes dirigiiá…</t>
  </si>
  <si>
    <t>demás ramos ; tampoco dejarán de penetrarse que un vecino con casa diente y conforme la hab a propuesto el Sr. Gon»? Bece-ra. Lo de ab&gt;ciu y una yunta , si abandona estos objetos,deja su casa yerma, con mas del artícu.o no se aptolj &gt; , y se mando vmvrr i u comisión. 10 cual todo su trabajo, todos sus afanes y todos sus desvelos para pro Se mandó insertar en el acta un vo…</t>
  </si>
  <si>
    <t>Goñ', Joaquín Mana</t>
  </si>
  <si>
    <t>Joaquín Mana Goñ'</t>
  </si>
  <si>
    <t>…n y enagenacion da fincas ditano, núm. 707, del día * del a.tuai; y teunido ei jurado... mpsct» del Crédito público, contestando á un oficio de esta comisión de Vs— de los señares D. Joaquín Mana Goñ', D. Ación o ce L .arara, Don aita, dice con fecha a a del actual lo que sigue: Francisco Ignacio, D. Juan del Pozo y Tejada, D.^Mait n fe-taanC-z — Mi primer cuidado al encargarme de la couvsion especial de in Elias, D. Francisco Escudero, D J .an Bautista \…</t>
  </si>
  <si>
    <t>Gon, Diego Antonio</t>
  </si>
  <si>
    <t>Diego Antonio Gon</t>
  </si>
  <si>
    <t>…............. Er. Ocaúa. de infantería de Vitoria D. Máximo Remoto, a. asesor D. Bernardo 18245..... 1000...................... En Madrid. Peinador, y al juez de primera instancia D. Diego Antonio Gon zález Aionso, actual diputado de Cortes, haberles sido grato su ze ARTICULO DB OFICIO. lo por la gioria de los tres héroes castellanos Juan de Fadilia, Juan .El Sr. tecretario del Despacho de Marina con facha de ayer dice Bravo y Francisco Maldonado , en el d…</t>
  </si>
  <si>
    <t>Gon.i</t>
  </si>
  <si>
    <t>…rtes como lo hab a presentado el Sr. sjiri , r quedo aprobado. 8. ^ *&gt; Los dependientes «leí palacio del Rey. Art. 8.&lt;&gt; " En el filmo t im.strz de cada a "o ilirnl ran los trun1-1 Sr. Gon.i (I). Manuel) dijo que deb a ponerse en su lugar loa tam'entot en .lase de «o untinos a 'o» |. vrn.-s que lo «o . t.n »on tas dependientes del palacio del Rey de toda clase de destino. caudjdc* necesarias, y que hayan cump ido en el m.»mo año lo» 1$ El Sr. Agu…</t>
  </si>
  <si>
    <t>Gonet, Luis Beltran</t>
  </si>
  <si>
    <t>Luis Beltran Gonet</t>
  </si>
  <si>
    <t>…untos D. Josef Plasencio Rubio , vecinos y del comercio de la ciudad de la indicador; que cuantas disposiciones se tomen contra estos pueblos, los Havana, como fiador y síndico de D. Luis Beltran Gonet, sobre el reputa un ataque hecho 4 nuestros imprescriptibles derechos; y que no apresamiento de la fragata americana George Paty-Wasington , proce reconoce ni reconocerá en sus actuales diputados á Cortes facultad dente de Mariland, que fue conducida al puert…</t>
  </si>
  <si>
    <t>Gongora, Joaquín de</t>
  </si>
  <si>
    <t>Joaquín de Gongora</t>
  </si>
  <si>
    <t>…ada de los franceses, y después nscional de artillería establecida en el colegio de la c uñad de Srt&gt;cv.a desde el de 1814 hasta el del feliz restablec ió lento de nuestra sagrada D. Joaquín de Gongora denunció al or. aicaide t.° D. N .o.s» dn Constitución. Desde luego creemos que los huesos hallados son de per Prados y Perez dos impresos , uno de la representación hcct.a a e. M. sonas sacrificadas en la época del monstruoso tribunal de la inquisi por ios m…</t>
  </si>
  <si>
    <t>Gonzá</t>
  </si>
  <si>
    <t>…isla adyacentes. Galtono» Velasco, Mana y Ruiz de la Vip. Aun no habia entrado el general Mina en Catalufia, y ya le había Se acordó se insertase en el acta el voto particular del Sr. Gonzá derrotará el mismo Diario: no se atreve á matarle mucha gente; pero lez , contrario 1 la aprobación de varios añículos de las ordenanzas sí á cogerle 800 prisioneros. del egército. Sito Gaceta d* Francia no anduvo en repaiui respecto del Empe Se mandó pasar á…</t>
  </si>
  <si>
    <t>Gonzá, Josef Manuel</t>
  </si>
  <si>
    <t>Josef Manuel Gonzá</t>
  </si>
  <si>
    <t>…te los cuales deben ser relevado* por igual fuerza. Van escoltados por un frenesí se jactan de amarrarnos y atarnos en seguida al ominoso carro piquete de caballería, al mando del teniente D. Josef Manuel Gonzá de su soñado triunfo. El Arbol precioso de nuestra libertad sufre todos lez— Al partir saludaron con alegres vivas el signo de nuestras liber los días los mis fuertes sacudimientos: s no ser tan honda» sus raíce», tades. hubiéranlo arrancado ya de nuestro sue…</t>
  </si>
  <si>
    <t>González</t>
  </si>
  <si>
    <t>…iéndose los restantes entre los Sres. Becerra, Viliaboa , Romero, Lisboa 14 de Febrero. Marchámalo, García, Domenech y Ladrón de Guevara. Sesión de CoaUt Jet xa. Después lo fue el Sr. González (D. Diego) por 84 votos de 111, Cata sesión se empleó toda en oir los dictámenes de la* comisione* repartiéndose los restantes entre los Sres. Becerra, Henriquez, Villasobra varios expedientes de asunto» particulares que se le* habían pasado. boa, Marchámalo,…</t>
  </si>
  <si>
    <t>…Gobernación de la Península en la discusión fueron electos en esta forma. sobre el orden cíe Ic t las memorias del ministerio.” El Sr. Nuñfz ( D. Toribio') por 60 votos de 87 , el Sr. González El Sr. Isturiz dijo: Los motivos que hemos tenido para hacer esta Aguirre por 66 votos de 94, el Sr. Romero por 67 votos de 91 , el proposición es que en los Gobiernos representativos el poder egecutivo Sr. Ser a ni por 70 de 96, el Sr. Villanueva por 75 de 105 , e…</t>
  </si>
  <si>
    <t>…que 110 faltan los tesoreros en dilatar el Sr. Isturiz. la rendición de cuentas cuantío no han rccib.do las cartas de pago de Admitido 4 discusión el dictamen de la comisión , el Sr. González la tesorería general. Se ha dicho que no las han reclamado ; pero si ia Aguirre se opuso 4 él, manifestando que los diputados suplentes de tesorería general tieDe obligación de remitiisclas , la laita estará en bían reemplazar á los propietarios cuando estos…</t>
  </si>
  <si>
    <t>…s castillos del Callao guar Asegúrate como positiva la entrada de la divisiob de tropas nacio necidos con mas de a9 hombres, pasó i posesionarse, coma lo verifi nales al mando del coronel González en la capital de la intendencia có , de la provincia de Tarma, distante poco mas de 40 leguas, com de Trujillo, después de haber derrotado completamente -i Arenales, poniéndose su egército de dos batallones del Infante D. Cirios, i.° de caudillo insurgente, s…</t>
  </si>
  <si>
    <t>…ntas. A paofaadet 6tt apoderado de na cutíale* , te ha hecho i la reía coa mi acuadrilla pa Se dió cuan» de un oficio del Sr. dipntado D. Andrea 'T ra la coala del Norte; y que el coronel González ae- halla, íes un ac Bustamante, haciendo la misma cesión que los demas Sres. diputados de ucias , robre Guayaquil, deapuca de habar batido cerca de Quito al co- 1* cuarta parte de sus dietas» Las Cortes quedaron enteradas. luflkbiano Sacre.—Loa puebloa del P…</t>
  </si>
  <si>
    <t>…adora, sé ha hallado en el mayor compromiso, te aprobada. niendo á sus habitantes en la mas triste situación que se puede pen Se verificó la primera lectura de una proposición del Sr. González sar. La representación que leeré dacá una breve idea de esta conmoción, Rom y otros señores diputados para que se declare franco el puerto da de la cual han sido víctimas cinco nacionales del batallón que se ha Mahon , por convenir asi á la salud pública y al…</t>
  </si>
  <si>
    <t>…de modo alguno presentarlas con respecto i aque j." bus secretarios. llos pueblos en que no hubiese t rrenos baldíos. 6 ° Los magistrados de las audiencias y jueces de primen F.l Sr. González ( D. Manuel) expuso que con esta medida se iba instancia. i perjudicar mucho á aquellos individuos que tenían ganados, pues si p.° Los alcaides de las cárceles. te les pr vihi del uso y aprovechamiento de estos terrenos, se les obli 8.° Los dependiente* del p…</t>
  </si>
  <si>
    <t>González, Alejandro</t>
  </si>
  <si>
    <t>Alejandro González</t>
  </si>
  <si>
    <t>…al tuvo efecto en el aa próximo aiguiente; y con esto se dió por concluso el sumario, y pasa TXTtUKALB*. ron los autos al promotor fiscal para que con arreglo i la ley de sé de El Sr. D. Alejandro González, juez interino de primera instancia Abril (es la misma que va citada antea con fecha 17 ) formalizase •n esta M. H. vilia , que vive calle del Estudio de S. Isidro, núm. 16, la acusac on d ntro del término que ella prescribe, siguiéndote la cau cuarto princip…</t>
  </si>
  <si>
    <t>González, Atañasíó</t>
  </si>
  <si>
    <t>Atañasíó González</t>
  </si>
  <si>
    <t>…proteger y conservar las armas que en él se hallaban -, en donde ha herido. permanecido siete dias sin reí erarse ; por no haberlo permitido lo crí Tercera. D. Julián Gil, herido; D. Atañasíó González, ideal. tico de las circunstancias: la de cazadores estuvo escoltando y soste Quinta. Sargento D. Antonio López Luarte; herido: niendo las dos piezas de artillería que defendían ««te punto : el tercer Total 19 heridos jjj contusos. batallón estuvo de reserva…</t>
  </si>
  <si>
    <t>González, Carlos</t>
  </si>
  <si>
    <t>Carlos González</t>
  </si>
  <si>
    <t>…y por lo mismo atá ya dado á reconocer, y egercieado la comandancia de la armado solo las leyes que proponía la comisión debían ser objeto de discusión. Sevilla. Et de igual clase D. Carlos González de la Barcena ha salido El Sr. Gareli dijo que cuando la comisión presentó su dictamen las para Ujijar, en las Alpujarra, en cumplimiento de la Real orden par Cortes estaban discutiendo el código pena!, y según le parecía, discu la que S- M. le destinó de cua…</t>
  </si>
  <si>
    <t>…Gómez Albacete, D. Mariano Zorraquin, D. Francisco Barra, el ejército si la soi-.ctan. Art. a.° Los oficiales que obtengan licencias D. Antonio Gamonal , conde de Floridabianca y D. Carlos González ilimitadas pódrtn volver á sus respectivos cuerpo» siempre que la hayan Llanos, Habida la conferencia resultó no haber lugar por cinco voto», usado á lo menos un año. Art. 3.' Teniendo i¿utl consideración los habiendo disentido los Srss. D. Josef Luis Amandt,…</t>
  </si>
  <si>
    <t>González, Diego Antonio</t>
  </si>
  <si>
    <t>Diego Antonio González</t>
  </si>
  <si>
    <t>…mismo har-n los aduno vira ximo Keinoso, al asesor D. Bernardo Peinador, y al juez de primera dores de la Hacienda nacional ó el Oédito público en el caso que be instancia de Toro D. Diego Antonio González haberles sido gratos su neficien directamente y por su cuenta alguna» minasen terreros «genos. jelo por la gloria de los tres héroes castellanos Juan de Padilla, Juan Art. 5.“ Los que beneficien minas no pagar-n ningún derecho pait-cuBravo y Francisco Maldona…</t>
  </si>
  <si>
    <t>González, Francisco Antonio</t>
  </si>
  <si>
    <t>Francisco Antonio González</t>
  </si>
  <si>
    <t>…r de Espafia. Esta obrita, dispues Manuel López Opero, de la academia de S. Femando, y diputado en ta en cartas dirigidas de un amigo á otro, empezó á publicarse alguna» Cortes; á D. Francisco Antonio González, bibliotecario mayor de la afio* hi. En ella te exponen lo* elementos que constituyen une marina biblioteca Nacional, y secretario de la academia Espafiola; á IX Lean poderosa y permanente; te da una idea de tu historia en las última* dro Moratín ¡i D. Juan A…</t>
  </si>
  <si>
    <t>González, Genara</t>
  </si>
  <si>
    <t>Genara González</t>
  </si>
  <si>
    <t>…con dirigirnos al rial de Castilla la Nueva, su fecha 30 de Agosto último, se ha man templo (sabida que fue la victoria), y dar gracias al Altísimo con una dado citar y emplazar á Doña Genara González, viuda de D. Agustín solemne misa y Te Deum por el triunfo que acababan de conseguir la* Ugena , y á D. Martin Lorenzo Cabo , cuyo paradero te ignora, para armas liberales, jurando de nuevo á la salida al frente de la lápida que en el término de 1 2 dias comp…</t>
  </si>
  <si>
    <t>González, Ignacio</t>
  </si>
  <si>
    <t>Ignacio González</t>
  </si>
  <si>
    <t>…to á la epidemia como á También se aprobó otro de la misma comisión, en el cual en vista otros sucesos particulares. Las Cortes la recibieron con agrado, y á pe de la solicitud de D. Ignacio González, para que se le concediese una tición del Sr. Prat la mandaron pasar á Is comisión de Salud pública. pensión de 4 rs. diarios por haber servido 50 años de cocinero en el mo A la comisión de Instrucción- pública se mandaren pasar 31 expe nasterio del Escorial,…</t>
  </si>
  <si>
    <t>González, Josef</t>
  </si>
  <si>
    <t>Josef González</t>
  </si>
  <si>
    <t>…yo diciendo que era necesario ilevar ade La comisión de Hacienda era de dictamen, en vista de los méritos lante esta med da , para que los pueblos viesen que se cumplía lo ofre de D. Josef González, que podía habilitársele para obtener empico cido ir-ter ormcnte , y que no eran ilusorias estas promesas. Aprobado. D seutirfo el punto suficientemente se acordó que la votación fura* A la comisión de Diputaciones provinciales se mandó pasar une por paites.…</t>
  </si>
  <si>
    <t>…cienda la Real orden siguiente: rieres de dos vales de 6oa pesos ds Mayo de 1808, núms. 394,680 y ’&gt; Los jueces de primera instancia de Alcázar de S. Juan, de Ciudad- 400,814, y á D. Josef González, que lo fue de otro de 250 pesos déla Real y de Dalias han rccurr.do recientemente al Gobierno, manifes creación ds Setiembre del mismo año , núm. 156,341 , para que den tando las dificultades que encuentran en la remisión de la correspon tro del término de 3…</t>
  </si>
  <si>
    <t>…n de Latiu á D. Josef Soto Ace-rcdo; para la de Celanova á de la causa victoriosa. Estos hombres perniciosos en todos tiempos jr D. Nicolás Luaces; pata la de Castro de Caidelas á D. Josef González países, disfrazan su perversidad con el velo de una moderación y pru Varela; para ia de Caiballino i D. Josef Fcrmoso ,y pata la de Madencia pérfida; pero es muy fácil conocerlos, por ser tan visible la ser al ccda de Limia fi D. Josef Martínez. característic…</t>
  </si>
  <si>
    <t>González, Josef María</t>
  </si>
  <si>
    <t>Josef María González</t>
  </si>
  <si>
    <t>…aprobada y reco 1903, ambos inclusive. mendada per las Cortes: cuaderno g.J Se hallará en la librería de RoJuitios de jurados. drigu z y las administraciones de correos del reino. D. Josef María González, miliciano vo'untario de caballería de Formulario magistral y memorial farmacéutico recogido por el Aranjuez, denunció al Sr. alcaide constitucional D. Cayetano Rubio cabjiiero Cada de Gassicourt, traducido de la q.* edición, y adornada Un artículo inserto en…</t>
  </si>
  <si>
    <t>…o que luego que los espa- cio de inventario y concurso de acreedores de los bienes encontrados en f.oMS cvn&lt; ciercn bien que ios extrangeros introducirá el fuego de la la casa del Sr. D. Josef María González, que si se present í.en se E s discord ia , se había notado qu: su indignación empezaba i darte otro oirá y administrará justicia en lo que la tuvieren; con apercibimiento giro d fereute. Nuestra revolución terminará inmediatamente que cesen de que el referid…</t>
  </si>
  <si>
    <t>González, Juan</t>
  </si>
  <si>
    <t>Juan González</t>
  </si>
  <si>
    <t>…ndizabai. Premio á D. Pedro Aita. tos imprevistos. Accésit ; D. Jacinta Madrid. El tribunal de Arel tñonts ha sentenciado hoy la causa que se yió Undécima ciase. Baile, á cargo de D. Juan González. Premio á el viernrs y el sébado último, declarando que un frunces no naturaliza D. Lcoucm Fernandez. Accésit a D. Francisco Ar.scun. do, cualquiera que sea el tiempo de su residencia en la Bélgica, no puede servir de i- stigo en los testamentos. Asi pues deb…</t>
  </si>
  <si>
    <t>González, Juan Nepomuceno</t>
  </si>
  <si>
    <t>Juan Nepomuceno González</t>
  </si>
  <si>
    <t>…ificación de 8341 rs. miento z 0 de Cataluña en concepto de injuríalo ; habiendo disentido y 30 mrs., señalada con el núm. 4187 y el 33,083 de reconocimiento; únicamente los Sres. D. Juan Nepomuceno González y D. Eugenio da y hab endo sido interceptado dicho correo , causando el extravío de la La- Torre. expresada certificación, se suplica á la persona que la tenga en su pod&lt;r la remita al comisionado principal del Crédito público en Pam En la M. H. villa y corta de Madrid, r…</t>
  </si>
  <si>
    <t>González, León</t>
  </si>
  <si>
    <t>León González</t>
  </si>
  <si>
    <t>…n parte del vecindario, ous demostraron su entu bien de la patria. siasmo y regocijo mientras la tropa formada a la entrada del castillo, n El juez de primera instancia dd partido D. León González del recibiendo la bandera con las formalidades de ordenanza, ia colocó Camino es un sugeto ilustradísimo y de' wh rectitud, reuniendo á en su sitio , é hizo las correspondientes salvas de artillería y fusilería. estas bellas prendas la firme adheeion á las nu…</t>
  </si>
  <si>
    <t>González, Manuel Casildo</t>
  </si>
  <si>
    <t>Manuel Casildo González</t>
  </si>
  <si>
    <t>…diputado suplente. Quedó aprobado el dictamen de zaron á leer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putados. to* Sres. diputados. Apro…</t>
  </si>
  <si>
    <t>González, Mariano</t>
  </si>
  <si>
    <t>Mariano González</t>
  </si>
  <si>
    <t>…cl marques del R o Florido, Don El Sr. secretario de Estado con fecha 7 del corriente tac dice lo Antonio Casanovas , D. Octavio Pastor, presbítero, D. Pedro Cotdoque sigue: bés y D. Mariano González. » En consecuencia del oficio de V. E. de ttf del próximo parado D. Máximo £as lo declaró injuriosa en primer grado. dirigí al Sr. nuncio de S. S. la nota respecto 4 las dificultades que se habían presentado para is secularización de una monja de Mallorca, su…</t>
  </si>
  <si>
    <t>…ales de las libertades do CtoaílU y Atapatt (Gae. árt ay át ¡á.) .-Habirndo sido denunciado ante el Sr. alcalde constitucional interino de Val encía D. Pedro Birreda Centelles por D. Mariano González, Resolución d: la* Cortes declarando qne sobo dabe considerarse pa D Antonio Nieto y D. Rafael Lozano, oficiales del regimiento de Za pel oficíatele lasdñcnoones di Cortes eiDiatiode las asmas. (Gottla mora , en representación de este , por injurioso y calumn…</t>
  </si>
  <si>
    <t>González, Mauricio</t>
  </si>
  <si>
    <t>Mauricio González</t>
  </si>
  <si>
    <t>…anata, que el título de Cas D. Antonio Bravo, D. Antonio Cumbres, D. Juan Galvan, D. Mi tilla con la denominación de mirquet de Villabragima le poseía en *1 nué’ González Santos , D. Mauricio González , D. Juan Gerena, Don año de 1693 U. Baltasar H nriqu-z de Cabrera, y que el de marque* Jct'f Yela , D Antonio Moln r, D. Josef M.ndez, D. Jos.f Medi de Villareai te concedió en el de 1698 á Doña Báibara de Centurión, na , D. Vicente Martínez Baquero, D. Vice…</t>
  </si>
  <si>
    <t>González, Nicolás</t>
  </si>
  <si>
    <t>Nicolás González</t>
  </si>
  <si>
    <t>…ndalosísimos, y para evi edad para poder administrar sus bienes á D. Pedro Gómez , miliciano tar las funestas consecuencias que pueden tener, pues pronto se dirá en de Bilbao, y á D. Nicolás González, y el permiso para que pueda las provincias que en Madrid se están batiendo unos regimientos con egercer la abogacía el -cura párroco del lugar de Salas D. Antonio tra otros. Las Cortes deben tener presente que estos sucesos son muy González Prieto. parecidos…</t>
  </si>
  <si>
    <t>González, Pedro</t>
  </si>
  <si>
    <t>Pedro González</t>
  </si>
  <si>
    <t>…alquileres del edificio de su propiedad en que actuaUnente se nistros respectivos. Por lo misino pido á ia» Cortes que el cíia que se halla ei tribunal de Guerra jr Marina: el de D. Pedro González, veerno tenga a bien señalarse paia la discu.ioa 4c c»te asunto, haya de verifi dcAlgeciras, haciendo presente el excesivo contrabando que se hace carse con presencia al menos del br. secretario de Hacienda. «n aquella costa: el de D. Manuel de Santayana jr o…</t>
  </si>
  <si>
    <t>…con satis agregándole á la masa ó fondo común destinado para gasto* imprevis facción. tos y extraordinarios en el presupuesto general. Se concedieron lo* permiso* que solicitaban D. Pedro González La comisión está muy satisfecha de ia conducta de los actuales se Várela, D. Josef Herrera, Di Basilio García Manriques y D. Juan cretarios del Despacho ; pero su objeto ha sido avilar para lo aucesivo Machado, electos jueces da primera instancia , para prestar…</t>
  </si>
  <si>
    <t>…villa de Moron de la Frontera 7 su partido, se convoca 4 otra en el distinguido lugar que ocupaba. Ea aquel memorable dia defen losjsariemes actuales descendientes del licenciado D. Pedro González disteis la independencia de la Nacioo, atacada pérfidamente por el tira de Ore liaos, presbítero, cura que fue de la parroquial de dicha villa no de la Europa; pero en el p de Julio tuvieron vuestro* esfuerzos de Moron, llamados al goce de las renta* del patr…</t>
  </si>
  <si>
    <t>González, Tomas</t>
  </si>
  <si>
    <t>Tomas González</t>
  </si>
  <si>
    <t>…0,000 1.000,000 leída 7 aprobada el acta de la anterior se mandó pasar á la comi Cruzada................................ 16.000,000 1 2.000,000 sión Eclesiástica una exposición de D. Tomas González, canónigo de Correos.................................. . 20.000,000 10.000,000 Falencia, en que solicitaba que se le declarase no comprendido en' el Loterías................................. . 10.000,000 10,000,000 decreto de ta de Setiembre de 18ig. Lanzas .…</t>
  </si>
  <si>
    <t>…o opinó que debía aprobarse. La comisión Eclesiástica opinaba que debía pasar á la de Legislación El Sr. Castejon dijo que podían ser ciertos todos los méritos que la instancia de D. Tomas González, canónigo de Plasencia y archive se referian; piro que esto no era de la cuestión , porque únicamente recaía ro de Simancas! Aprobado. sobre el modo con que debía premiarse i este interesado , si por un pri La comisión de Comercio presentó un dictamen acerca…</t>
  </si>
  <si>
    <t>Gonzalo, Lms Fernandez</t>
  </si>
  <si>
    <t>Lms Fernandez Gonzalo</t>
  </si>
  <si>
    <t>…stilla la Nueva, juez de primera instancia de esta corte, i ins tan sencillo ^que no pide mas inteligencia de números que la de saber su tancia del sindico de la t&gt; stamentaría de D. Lms Fernandez Gonzalo mar , ni mas registro de páginas que la del precio: arreglado por Fr. Ma del Rio, se ha servido convocar á junta general de acreedores á ella tía* Joaquín Ccbrian. Se hallará en las librería* da Paz y de Sanz á 8 rs. para el domingo 10 de Febrero próximo á la…</t>
  </si>
  <si>
    <t>Gonzalo, Miguel</t>
  </si>
  <si>
    <t>Miguel Gonzalo</t>
  </si>
  <si>
    <t>…cidos. Lo que se avisa al público para no de ocho dias se presente en la essribanía de Cámara de la referida tu inteligencia. Madrid 7 de Setiembre de 1823. audiencia , que egerce D. Miguel Gonzalo, para que pueda tener efec to la notificación del particular que le comprende en la expresada pro Estando instruyendo et ayuntamiento de le ciudad de Sevilla coa videncia definitiva de 18 de Junio. la mayor actividad el expediente de repartimiento de los terr…</t>
  </si>
  <si>
    <t>…rofe, sino U meditación y el guientes á este aviso compirrzcan en él , y escribanía de Cámara del cáicu’o , pues de tres casas una fue incendiada con toda regla y método. cargo de D. Miguel Gonzalo, por medio de procurador y en forma i Verdad es que perecieron unos 100 turcos por el ansia del taqueo, y contestar á dicho traslado;con apercib mi nto de estrados. gran número de cristianos; arrumaron un hermoso acueducto que había, Por providencia de la sal…</t>
  </si>
  <si>
    <t>Gonza’e, Simón</t>
  </si>
  <si>
    <t>Simón Gonza’e</t>
  </si>
  <si>
    <t>…pués de haber mandado salir del Moral, D.Carlos Romeral, D. Mamerto Landaburu , D. Francisco de Puerto Cabello varias expediciones contra loa disidentes de Coste- Martínez Marina, D. Simón Gonza’e, Vusté, D. Andrés Alcon y firme sinqse hubiesen surtido ningún buen efecto, ae embarcó en di D. Valentín Recio. Pero habiendo man festado el Sr. D. Francisco cha plaza con 400 hombrea que le sobraban de su guarnición, y que Martínez Marina y el Sr. D. Simón G…</t>
  </si>
  <si>
    <t>Gonza’ez</t>
  </si>
  <si>
    <t>…ucta. se del acierto en la aprobación de que se trataba. Se leyeron las siguientes minutas de deereto», que se declararon es Declarado el punto suficientemente discutido, pidió el Sr. Gonza’ez tar conformes con lo acordado por las Cortes: una sobre que no pue Alonso que se leyesen tos arts. 316 y 333 de ia Constitucon , y la fa dan servir en la Guardia Real los oficiales extrangeros que no tengan cultad tereera d: ios ayuntamientos; y ver deada est…</t>
  </si>
  <si>
    <t>Gorostidi</t>
  </si>
  <si>
    <t>…randes máximas , parece qu.* ti nsn Berr&gt;z por la columna del coronel ¿íuregul. Parece que entre ellos hecho un contrato de predicar la discordia, avivar el fuego de los re ibt el cura Gorostidi con algunos da ios que lleva seducidos. sentimientos, exasperar los ánimos, oponer nuevos obstáculos á la Extracto__ Gobierno político da Bilbao. _En la noche del dia a consolidación da nuestra, instituciones , y envolvernos en ur.a espan ma puie an marcha co…</t>
  </si>
  <si>
    <t>Goruaiez, Antonio</t>
  </si>
  <si>
    <t>Antonio Goruaiez</t>
  </si>
  <si>
    <t>…eé avan ocupaban los facciosos en número de mas d* i9 hombres. Conociendo zar á dicha su vanguardia por su izquierda y frente nuestro, por don que me aguardarían avisé al teniente coronel D. Antonio Goruaiez de los siguió algún tiempo, en el cual se acabaron de reunir las doa CevaFos, que se hallaba inmediato, para que con la columna de su columnas en este punto, las que s:hallan acampadas en las eras, y to mando marchase por la derecha y atacase al enemigo , mie…</t>
  </si>
  <si>
    <t>Gosalb</t>
  </si>
  <si>
    <t>…róxima erupción. En la noche del 16 Los memoriales se dirigirán *1 ayuntamiento. al 17 se repitieron con violencia las detonaciones, de modo que las oí Cuando la* fumigaciones del doctor Gosalb» merecían el mayor mos desde esta ciudad. Al dia siguiente arrojaba el Vesuvio una densa aprecio en varios puntos de la Península, y cuando su benéfico influjo humareda: el 18 empezó 4 lanzar una gran cantidad de cenizas y pie iba 4 propagarse 4 los reinos ex…</t>
  </si>
  <si>
    <t>Gosalbes, Salvador</t>
  </si>
  <si>
    <t>Salvador Gosalbes</t>
  </si>
  <si>
    <t>…n próximo anterior por O. Juan Laborie, comerciante francés, residente los estanque», lo» buzo*, y wbmtodo los jiferos. Los enropeos han apli en esta corte; la 1ey absolvió «1 Dr. D. Salvador Gosalbes, responso» cado el nombre de Paria fi esa rennion de familia* impura» qua los ble de dicho impreso; y en su ronanrueacia el Sr. D. Martin de Fine* indiano* designan con 1* denominación de sale viles, étckeenderlm in da, juez de primare iartancíe de Madrid, ma…</t>
  </si>
  <si>
    <t>Gosalves, Salvador</t>
  </si>
  <si>
    <t>Salvador Gosalves</t>
  </si>
  <si>
    <t>…1. = Alvaro Gómez, Jormacion de causa. presidente. = Josef Melchor Prat, diputado secretario. =Francisco Be nito , diputado secretario.” Por tanto mandamos á todos los tribunales, D. Salvador Gosalves denunció al Sr. alcalde D. Cayetano Rublo justicias , gefes, gobernadores y demas autoridades, asi civiles como mi un aviso impreso, fijado en las esquinas como injurioso i su persona. litares y eclesiásticas, de cualquiera clase y dignidad, que guarden y En…</t>
  </si>
  <si>
    <t>Gosc, Antonio</t>
  </si>
  <si>
    <t>Antonio Gosc</t>
  </si>
  <si>
    <t>…misión opinaba que podía accederse á tario de Torre», supuesto comandante general de todas las gavilla» o* dichas solicitudes. Aprobado. aquel distrito. Otro sobre la solicitud de D. Antonio Gosc y 14 soldados eut del Idem 10. regimiento suizo de Wimpfen, un teniente del de Z.-v y un tambor del de Kaiser , pidiendo cartas da naturaleza. La comis on opinaba qua Sigue la tranquilidad pública en esta provincia, y lo* pueblo* se ma podía concederse lo que…</t>
  </si>
  <si>
    <t>Gota.be, Salvador</t>
  </si>
  <si>
    <t>Salvador Gota.be</t>
  </si>
  <si>
    <t>…: F.l cho establecimiento de esta corte. público se acordará , y concluye para nada , denunciado por rl doctor Nota. En la gaceta d«L 6 , col. 7.a, lín. 64,donde dice en la cual, D. Salvador Gota.be»; en cuya virtud 1* ley absolvió á D. Juan La- léase tn ¡o cual. EN LA IMPRENTA NACIONAL</t>
  </si>
  <si>
    <t>Gotiza'ez, Josef García</t>
  </si>
  <si>
    <t>Josef García Gotiza'ez</t>
  </si>
  <si>
    <t>…, teniente del regimiento infantería gero primero voluntarios de Aragón, con 570 ra. de Navarra, con 570 rs. Castellón ai capolan D. Félix Hernand, teniente del regimiento Ronda á D. Josef García Gotiza'ez , teniente de infartería y del tnfant ríu del Pnnc pe, con 570 rs. batallón de la milicia activa de Ronda , con 450 rs. Ciinchilla .i D. Feliciano Sala zar, teniente del regimiento infan Santiago á D. Vicente Vaiderrama, t-nfants de infantería y profetería vo…</t>
  </si>
  <si>
    <t>Gou, Pedro</t>
  </si>
  <si>
    <t>Pedro Gou</t>
  </si>
  <si>
    <t>…brazos de mando del sargento de Soria Gerónimo Grande, que reforzada despu'S un ,0'dado de fortuna, que le quitó hasta la somb’a de la iibe-trd. p -r eí teniente del mismo cuerpo D. Pedro Gou, hizo que matindo Uno de .'os documentos que prueban tas tropelías com tidas en á dos c hiriendo á otros de los que servían de llamada falsa per la iz aquel d a es la r-pritentacion hecha por varios individuos del quinto quierda de su grande emboscad 1, se re…</t>
  </si>
  <si>
    <t>Gouiez</t>
  </si>
  <si>
    <t>Otra del Sr. Gouiez sobre que á los pueblos que por escasez de nombrados gobernadores «1* tus chispados como tales, i petar de ha metálico no puedan cubrir con él sus contribuciones, se le perm.u ha berlo sido á invitación del mismo Gobierno s” opinaba que debia pasar cerlo en f…</t>
  </si>
  <si>
    <t>Goulard, Agustín</t>
  </si>
  <si>
    <t>Agustín Goulard</t>
  </si>
  <si>
    <t>…Cámara del cargo de D. Miguel Calvo García penden autos en segunda instancia entre partes, de la una actor demandante D. Guillelmo Parían, del comercio de esta corte, y de la otra D. Agustín Goulard, fabriLista de las circulares, decretos &amp;c.t publicados en la ¿aceta tn el cante de licores, sobre pago de 1380 francos, ó sea 55jo is. vn., á mes de Setiembre. cuyo pago fue condenado dicho D. Agustín en providencia definitiva Gobernación de la Península. di…</t>
  </si>
  <si>
    <t>Govantes, Angel</t>
  </si>
  <si>
    <t>Angel Govantes</t>
  </si>
  <si>
    <t>…personas que -del minio moda agrado, y mandaron que pasase esta exposición al Gobierno. admita ó se convenga en admitir, ademas de sp legítimo salario , al ite concedió permiso al Sr. D. Angel Govantes, diputado por la gún regalo para hacer un acto de tu oficio ó cargo , aunque sea tasto* provincia de Burgos, para que pueda restituirse 4 su pais 4 fin de res* ó para dejar de hacer uno que no deba ejecutar, perderá su cargo ó tableccr su salud. empleo, y no…</t>
  </si>
  <si>
    <t>Goyairola, D Basilio de</t>
  </si>
  <si>
    <t>D Basilio de Goyairola</t>
  </si>
  <si>
    <t>…no estaban comprendido* en __El ■$ del corriente fondeó en este puerto el hermoso bergantín el torteo pata el reemplazo del cgéicito. Se mandó pasar á la comisión Donostiarra, tu capitán D Basilio de Goyairola, ptocedcnt* de la da Guerra. H*vana con 758 caja* da acúcar terciada, 150 quintales palo campe A la de Marina se pasó nna exposición de varios hombr^ de mar, che y 104 sacos cafe,i la consignación de lo* Síes. D. Pedro Que- en que manifestaban la imposibilida…</t>
  </si>
  <si>
    <t>Goyonet, Josef da</t>
  </si>
  <si>
    <t>Josef da Goyonet</t>
  </si>
  <si>
    <t>…evención sacó da Puerto-Cabello, con loe nio María Guillen, D. Antonio de Quesada , D. Josef Diez de Usu cuales y su fuerte marchó 4 sitiar 4 800 y pico de enemigos que ocu ren* y D. Josef da Goyonet*, jueces de hecho, con la nota de injurio paban el puerto de la Vele, fortificados en cinco fuertes: durante loa so en terter grado el último artículo comunicado en el nútn. 83 dd nueve dias que duró el sitio hicieran varias salidss, y en todas ellas loa peri…</t>
  </si>
  <si>
    <t>Goyos, Felipe</t>
  </si>
  <si>
    <t>Felipe Goyos</t>
  </si>
  <si>
    <t>…Francisco Antonio Este vez, D. Andrés Fulgencio Blanco, D. Josef cepto de que pusiese en tesorería general lo* citados too® reales. Y no Gitpcrt, D. Pío Guas, D. Manuel Heredia , D. Felipe Goyos, Don hab endose personado el interesado con el fin de hacer la entrega, ni Juan Manuel Lnrr, D. Josef Sucarana, D. Josef Morales, D. Ma hecho otra gestión, é ignorándose su residencia, se le avisa por medio nuel Melero , D. Josef Perez, D. Antonio Pereira, D.…</t>
  </si>
  <si>
    <t>Gr</t>
  </si>
  <si>
    <t>…o El Sr. Infante convino con la variación propuesta p- r el Sr. Ro al juxio de este interesado coa arreglo á lo» decretos vigentes de la» mero; pero en cuanto i la observación del Sr. Gr uño H jo ser cierto misma», reconocidos sus distinguidos servicios y rehabilitado sus ante que sobraba una de las clases de mariscal de campo ó de bread,er; pe riores méritos, condicufti y estado , se miraba sin acr repuesto de. hecho ro que la dificultad est…</t>
  </si>
  <si>
    <t>Gra</t>
  </si>
  <si>
    <t>…es. Al primer aviso ó se bal de fuego to guardia. do* los cuerpos de la guarnición tomarán la* armas en sus cuarteles, y Quedó este artículo aprobado, a Radiándose i propuesta del Sr. Gra dando parte á tu gefe y al gobernador ó comandante de la plaza espe ses después de las palabras »en los reapectiroa asmesoa” las Siguicnwt rarán tus órdenes: lot comandantes de guardias y otro* puestos de ella » después de envainada la bayoneta.” las pondrán…</t>
  </si>
  <si>
    <t>Granada, Julián</t>
  </si>
  <si>
    <t>Julián Granada</t>
  </si>
  <si>
    <t>…os poderes de estos Srcs. como proponía la co consejo de Estado, se ha dignado nombrar para una de las judicaturas misión. de primera instancia de Madrid, vacante por promoción de D. Julián Granada. La comisión, habiendo examinado los poderes de D. Die de Sojo i una plaza de fiscal de la audiencia de Catalufia, i D. Ramón go Entrena, electo diputado sup'ente por esta provincia, opinaba que de Argos; para la del partido de Soria, vacante por fallecimient…</t>
  </si>
  <si>
    <t>Granado, Andrés Benito</t>
  </si>
  <si>
    <t>Andrés Benito Granado</t>
  </si>
  <si>
    <t>…termino prefijado, les parará todo perjuicio. Las reclamaciones se mé Matizólo, por otro privilegio de 13 de Noviembre dé 1655, 18,759 recibirán por el oficio de la escribanía de.D. Andrés Benito Granado, mrs., situados en I* renta del servicio de millones de Madrid. Se supli escribano del juzgado de dicha ciudad. ca á la persona ó personas que tuvieren noticia del paradero de los pri 1 or decreto de los Sres. de la sala segunda del crimen de esta au vilegios…</t>
  </si>
  <si>
    <t>…ceñu de cuenta de los asentistas los derecho* ó gastos de la escritura de obli dos desde el 26 de Abril del presente año , acudan á deducirle por medio gación. de la escribanía de D. Andrés Benito Granado, escribano de dicho juz 9. a Que con arreglo á las mismas no surtirá efecto ninguna sub gado , legitimando sus personas, é instruyendo sus solicitudes; apercibi asta hasta que por el ministerio se comunique Real aprobación. _ rlos de que pasado dicho término…</t>
  </si>
  <si>
    <t>Granado, Mariano</t>
  </si>
  <si>
    <t>Mariano Granado</t>
  </si>
  <si>
    <t>….itIco.__ par de alpargatas per p.aza. D. Pablo Miranda, brigadier y coronel del primer regimiento de .1;ti E.tas p uvidmc.a» me obliga á tomar el escandaloso proceder de lle ría._D. Mariano Granado», comandante del presid.o de la ciudade- esa juslic.a J p biaciun, foc . de ia rebeicn de la beiva y abrigo da la._L&gt;. Cirios Obasi, espitan de llares de rdem—D. Pedro Carr.ias, infames asesinos, y las extenderé hasta efectuar lo prevenido en el ar empleado d…</t>
  </si>
  <si>
    <t>Granados, Manuel</t>
  </si>
  <si>
    <t>Manuel Granados</t>
  </si>
  <si>
    <t>…idad , que guarden Júrelo de Jurador. y ha.an guardar, cumplir y egecutar el presente decreto en todas sus par tes. Tendreislo entendido para su cumplimiento, y dispondréis se* im D. Manuel Granados, on nombra y representación de loa alcaldes* prima, publique y circule. =s Está rubricado de la Real mano, 'ss Ed regidores y procuradores síndicos que forman el ayuntamiento consti tucional déla villa de Cattueru, de lo* dos curas párrocos de la iglesia Pala…</t>
  </si>
  <si>
    <t>Grande, Gregorio Justo</t>
  </si>
  <si>
    <t>Gregorio Justo Grande</t>
  </si>
  <si>
    <t>…, Don propia dirección te dispondrá lo conveniente para el zecibo de los refe- Jaime Sola , D.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 Hilario Brihuega, cargada de la recaudación de lanza* y med…</t>
  </si>
  <si>
    <t>Grano, Antonio</t>
  </si>
  <si>
    <t>Antonio Grano</t>
  </si>
  <si>
    <t>…os los frutos, de curo derecho había estado en poses-on hasta ahora, ale Aprobado. gando que por una Real resolución se le h-b a concedido á aquel.a c 11Otro sobre la solicitud de D. Antonio Grano, maestro de prime dad por el Rey D A'onso xi el disfrute de ¡o» pastes de d.cbos terre ras letras de Aguilar de la Frontera , para que de los fondos de los nos baldíos y de propios , y tamb'en por medio de urt transacion que propios se le señalase una dotació…</t>
  </si>
  <si>
    <t>Grase</t>
  </si>
  <si>
    <t>…ropa de la guardia Real tendrán tas dársele mayor fuerza , aunque fuesen solo un par de escuadrones nías. mismas gratificaciones de armamento y de hombres que tes del resto del El Sr. Grase* contestó que la comisión creía que era suficiente el egercito, mas la de gran masa ó fondo de vestuario será de tres reale, número de plazas que se había acordado que tuviesen los regimiento* mas al m s que la correspondiente al arma del-«cuerpos respectivos…</t>
  </si>
  <si>
    <t>Grasé</t>
  </si>
  <si>
    <t>…a mayoría Art. 34. » Siempre que hayan de entrar tropa* en la plaza f aunque de la junta lo opinase asi." «ten ocupada* las obras exteriores y camino cubierto, la guardia de la El Sr. Grasé* manifestó que en su concepto no había motivo pe puerta tomaré la* armas , y aranzari una partida con un oficial ó sar ra variar lo que disponía la ordenanza antigua en esta parte- Con es gento é que reconozca si son del servicio nacional , y con esta seguri…</t>
  </si>
  <si>
    <t>Grasé, Josef</t>
  </si>
  <si>
    <t>Josef Grasé</t>
  </si>
  <si>
    <t>…ue, diputado por la provincia de Vallado!id ; para vicc-prcsidente interesan. el Si. I tí Antonio Martínez de Velasco , diputado por la de Burgos, tvibunaiks. y para secretario el Sr. D. Josef Grasé», que lo es por la de Cataluña. Por providencia del Sr. D. Martin de Pineda y tara, juez de pri mera instancia de esta M. H. villa de Madrid, te cita , llama y empla F.l Rey ha expedido el decreto siguiente: za á D. Josef Mingo Oialora , natural de la villa d…</t>
  </si>
  <si>
    <t>Grases</t>
  </si>
  <si>
    <t>…ebia volver á la comisión para que mañana Becerra, Lodares , Albcar y Manso. Total 86. ó pasado mañana presentase su dictamen en estado de discutirse. En la sexta quedó elegido el Sr. Grases por «6 votos de 78 , te ti Sr. Soria dijo que habla encontrado aprobada el acta de las elec niendo 5 el Sr. duque del Parque , 4 cada uno de los Sres. Villaboa y ciones de la provincia de Toledo, y los poderes del Sr. Escovedo a;re Valdés, a el Sr. Manso, y u…</t>
  </si>
  <si>
    <t>…se regimientos de infantería sn clase de supernumerarios.” apruebe en rsta paite el d efamen de fa cr.mision. El Sr. Taboada hizo algunas observaciones contra el primer artícu Ei Sr. Grases manifestó que no tenia luda que ver el que te trata lo; y el Sr. Garoz habló en favor del mismo. se de tomar una medida interina con que la comisión de Hacienda proEl i r. Vega dijo que exigir de estos militares el que hubieran de pusi.se que estos oficíales…</t>
  </si>
  <si>
    <t>…que lo que ne merse la mala intención de los enemigos del sistema , que abultarían cesitaban era dinero. ciertas reformas, y exagerarían los males que con ellas se seguirían á El Sr. Grases dijo que 4 lo mas y con dificultad podrian construir aquella plaza para ponerla en mal sentido; por último dijo que aunque te en ellas qod fusiles. el consejo de Estado expresaba en su dictamen que podian servir los El Sr. Ferrer repuso que en Durango se habi…</t>
  </si>
  <si>
    <t>…s. Las Cortes lo oyeron coa puedo menos de mirar la cuestión bajo el aspecto que lo hizo el Sr. So lía. S. S. en el dit pasado apuró de tal maaera esta cuestión, que de agtado. El Sr. Grases presentó otra igual exposición de los oficiales del 4.0 mostró hasta la evidencia que las Cortes, en el caso de manifestarse regimiento de artillería, sobre la que recayó la misma resolución. agraviadas , no po&gt;han menos de proceder sino por medio de la ley ;…</t>
  </si>
  <si>
    <t>…seguirá igualmente el uso branza.” Aprobado. del país, también con «probación de las diputaciones provinciales.” Art. to. - Los individuos de ayuntamiento perdería d derecho 4 El Sr. Grases dijo que el armamento debía ser en toda la milicia la percepción del importe del a por 100 en la parte d - contribuooa uniforme con el del egercito permanente. que no cobren y pongan en tesorería en ei tiempo de su encareo p: bis El Sr. Saavedra apoyó esta mi…</t>
  </si>
  <si>
    <t>…ue creia debia aprobarse el artículo con esta modifica sin que esto se oponga á que quede en la parroquia donde se haya ce ción. lebrado el sacramento el asiento respectivo.” . El Sr. Grases manifestó que la comisión no tenia ya inconveniente El Sr. Becerra manifestó debería hacerse el asiento en la parroquia en sustituir la palabra párrocos castrenses á la de capellanes. respectiva, y por lo mismo fue de parecer que se afiadiesen en el artí Decl…</t>
  </si>
  <si>
    <t>…rra preguntó si el Gobierno tenia existencias de grano* necesitarían todos los almacenes de la Nación para guardarlos. con las cuales pudiese proveer de víveres alguna* plazas. El Sr. Grases manifestó que era absolutamente indispensable la El Sr. secretario de Hacienda: El Gobierno tenia bastantes existen construcción de carros para provisiones y demás: que en cuanto á las cias de granos procedentes de rentas decimales; pero ademas de la venta br…</t>
  </si>
  <si>
    <t>…que no recae sobre delito alguno, y harta desventura militar aprobada por las Cortes; y asi se verificó. tiene el que es obligado i salir de su casa para permanecer con los fac El Sr. Grases: El egército español está compuesto de ciudadanos ciosos; este va contra toda tu voluntad, y de consiguiente de ninguna beneméritos, patriotas honrados y decididos , y mirarán con odio el manera comete delito , antes bien es muy perjudicado por los facciosos:…</t>
  </si>
  <si>
    <t>…alguna acogida favorablemente por nuestro* Habiéndose procedido á la elección de secretario , quedó eiegido el 1-ctor s; p ro ü.ics á nu'stro sistema de no atm tir como realidades Sr. Grases por 74 votos, habiendo obtenido 49 el Sr Bcida , 2 "el se nu '.tros dcsios, nos c-ñimos á referir estas noticias tales como corren ñor D.ez, 1 el Sr. Tejeiro, y uno cada uno de los Sre». íurra , Adán, en París entre personas muy ag-na» H* toda idea revolucion…</t>
  </si>
  <si>
    <t>…e precisamente visite aquel día los hospitales , y le pre serán de tos destinados al egército de campaña.” informe de todo lo que merezca su noticia y providencia. A propuesta del Sr. Grases convino la comisión en añedir al artí culo después de la palabra - siempre” las siguiente»: » que aee posi CAtlTVtO tv. ble y quedó aprobado el articulo. Asamtlea del egército. Se aprobaron loe artículos siguientes: Art. i.* - Cuando el Rey tcaolriere con det…</t>
  </si>
  <si>
    <t>Grasés</t>
  </si>
  <si>
    <t>…se empleen en el servicio áci cuartel gene go al que crea conveniente, y el Rey dará ó no su aprobación. ral , la compañía de guias , &lt;1 gobernador del cuariel general, el apo El Sr. Grasés: Yo creo que el general en gefe ha de poder propo sentador de. mismo , y el conductor general de equipagrs. ner un oficial cualquiera del estado mayor para gefe de este cuerpo. Art. 5. •» D.sdc luego que sea nombrado ci grte dci estado ma El Sr. Infante: La c…</t>
  </si>
  <si>
    <t>…ficación alguna i la tropa por su asis nadores nombrados, cuando motivos poderosos le precisen á ello.” tencia para la egecucion de la sentencia , ni por cualquier otro auxilio El Sr. Grases: Yo no puedo convenir en que el general en gefe del que para este objeto prestare antes ó después. egército de operaciones de un distrito haya de poner en las plazas co 10. » Se sefialan al reo para sus alimentos y asistencia durante el mandantes superiores á…</t>
  </si>
  <si>
    <t>Grases, Josef</t>
  </si>
  <si>
    <t>Josef Grases</t>
  </si>
  <si>
    <t>…antes; y por estas circuns barse lo» poderes de este Sr. diputado. Aprobado. tancias , á pesar de que es bien conocido el aprecio que el duque del Cataluña. D. Pedro Surra y Rull, D. Josef Grases, D. Ramón Parque se merece, y el patriotismo qne le acompaña , creo que se halla Sal vito de Fsteve, D. Francisco de Paula Roset y B*bí , D. Josef Bai- en la imposibilidad de ser diputad»; y mi creo obligado por la ley mis yes Oliva, D. Josef Melchor Ptat, D.…</t>
  </si>
  <si>
    <t>Grasés, Josef</t>
  </si>
  <si>
    <t>Josef Grasés</t>
  </si>
  <si>
    <t>…o la 7 escribano. correspondencia particular inserta en el número 192 dei Indicador ca ANUNCIOS. talán del 9 de Agosto próximo pasado, denunciada por injuriosa en primer grado por D. Josef Grasés 7 Arbo, apoderado del ayuntamien Se halla Vicente la plaza de maestro de primen educación del ta to constitucional da la villa de Villafranca del Panadés; han declara car de Fuenlabrada: su dotación ea de 44°° «*■ anuales, señalado* poc do por cinco votos con…</t>
  </si>
  <si>
    <t>Gravina</t>
  </si>
  <si>
    <t>…últimas Cortes D. Josef de Espiga y Don les; que todos los pormenores de la conjuración los babia comunicado Diego Muñoz Torrero; y habiendo sabido por los papeles públicos que al cardenal Gravina , arzobispo de Palermo , uno de los conjurados ,que dichos señores habían sido reconvenidos por el nuncio de »u Santidad se había arrepentido al tiempo de la egeeucion ; y en fin que la policía por razón de sus opiniones políticas, habia pasado oficio la Dipu…</t>
  </si>
  <si>
    <t>Gray</t>
  </si>
  <si>
    <t>…es los Pares católicos, que estaba s.fiaada para el i.° del corriente. Mi- tacamento de hombres de los regimientos de Aragón y Soria , al nif-tó que hacia esta solicitud porque el conde Gray , qu- sola to mando del coronel Coiubi, dió sobre ellos, y después de dos horas da ma1 una parte muy princ pal en eti c'ase de do: &gt;-»i ,r&gt; s, no podría fuego batió completamente á aquellos facciosos, oblándolos á abando a.i t r i la Cámara hasta que pisasen…</t>
  </si>
  <si>
    <t>Grcaville</t>
  </si>
  <si>
    <t>…insurgente, la nuevo destino de gobernador de la India. Se ignera quién le sucede:á, que después de robarle los víveres que tenia, lo dejó ai anochecer; em- y se presumen que sea lord Grcaville. La Rusia se ve atecada por bureándole *1 espitan f parte de la tripulación del bergantín Statira.^ periodistas ingleses que basta ahora bao seguido diferente po í.ica. Las Se ha presentado D. Juan Antonio Ageo, capitán del bergantín Sera- inscripciones de Es…</t>
  </si>
  <si>
    <t>Gre</t>
  </si>
  <si>
    <t>…dad ñor persojia algna&gt;)uqpl&gt;&gt;os ^juard- a V. S. mu la Península, de Guaría y del ínterin» de Hacienda, be resuelto que cho» afios. Or/hueja g de Enero de lL: =Palia Horti In.sSr. D. Gre o» encarguéis interinamente de la primera , y que coa le misma calidad gario Pyqucróy Ó.ifü fl't*.—E* copia, de que certificoc=Kranc:sco Mardesempeñen la de lá Gobernación D. Vicente Ceno Manuel , le de tinezc=Lvs. inferios eorr=»ponJen bien y oelmente con ,u…</t>
  </si>
  <si>
    <t>…a del Bollo á D. Juan Balifía: para el del Barco la del referido cuerpo en el ínterin que te construye y remite el león de Valdeorras 4 D. Josef Valladares, y para el de Quiroga á D. Gre en la forma que se exprese para el efecto indicado. Dios guarde i V. E. gorio Goyanes. muchos afío». Palacio 13 de Junio de i8aa.=Balanzat.=3r. Inspector Se previene á los interesada! que dentro del término de 15 dias acu general de la milicia nacional activa…</t>
  </si>
  <si>
    <t>Gregario</t>
  </si>
  <si>
    <t>…esto de los señores siguientes: D. Juan Isidoro Pérez, y 14 en pasta: la lista de los suscriptores ss pondrá al fin del tomo úl D. Ben.to O tega Romanillos, D. Zoilo Gómez Casero, D. Gregario timo , todo conforme al prospecto que se dió en' la gaceta de .Madrid da Miguel de Mendivil, D. Manuel García de Barrio, marques de Cusa- 30 de Marzo , núm. 91, Espectador de 9 de Abril, núm. góo , Diario no, D. Pedro Alvaro Da gado, D. Martin de Zarandia, D.…</t>
  </si>
  <si>
    <t>Gregorio</t>
  </si>
  <si>
    <t>…de S. Marcial natural. Ya parece que están nombrados bospicares para la Moldavia D- Vicente Arrue; pero por desgracia cuando se verificó jri habían pa- y la Valaquia; para esta al Sr. Gregorio (.hikai &gt;. ignora aun el sado por uno de eltoa, noticia que le dieron á Arrue en uno de los cor» nombre del otro. lijos, diciéndole iban con In mayor precipitación una porción de ca (¿recia. Aunque abandonados k sí mimos los griegos no por eso bellos. dejan d…</t>
  </si>
  <si>
    <t>…nte se admiten memoriales para la judicatura del partido paso diciendo que no se acordaba de haber tocado jamas una cuerda tan de Novelda, que ha quedado vacante por traslación de D. Gregorio delicada. Marau á la del de Murcia. Si esta no es alguna anécdota inventada puede dar motivo i mu Los pretendientes acompañarán á los memoriales un extracto de chas reflexiones, y la primera que se presenta es ¿quién habría prepa sus méritos. Palacio 18 de ic…</t>
  </si>
  <si>
    <t>Gregorio, Hipólito</t>
  </si>
  <si>
    <t>Hipólito Gregorio</t>
  </si>
  <si>
    <t>…de Junio último bajo el título de El navaltt M A. P.; se reunieron los Sres. jueces de hecho D. Jo Madrid«9de.Tan'ode i8:3 — Alviro Gómez, preid-nte.rcjosefMel- sef Félix Ezcurra, D. Hipólito Gregorio, 1&gt;. Joaquín de Pueyo, Don evnr Prut, dputado Sícnuna-Fran-sco Benito , diputado secreta- Manuel Cantin , D Agustín Alcaide, D. Pedro Muniera, D. Joaquín z¡o.=Por tuno ■njn'imoi 1 lod.s o» tribunales, justicias, gefes, go Rentue, D. Mariano Antonio Laborda y…</t>
  </si>
  <si>
    <t>Gregorio, Leopoldo de</t>
  </si>
  <si>
    <t>Leopoldo de Gregorio</t>
  </si>
  <si>
    <t>…Calatayud a D. Antonio Ma;az, temante coronel graduado y ea- nel dei regimiento coraceros de la Reina , id. ¡tan primer ayudante supernumerario del regimiento úKanteria del Toro a D. Leopoldo de Gregorio, espitan del reg imentó caba 5 'ríncipe, id. llería de Numancia, id. Castellón á D. Joerf Espinosa, coronel graduado y msvor coman Vai encía i D. Vicente María de Haro, capitán efectivo de infan dante supernumerario del regimiento infantería Infante D. Cáelos…</t>
  </si>
  <si>
    <t>Greigh</t>
  </si>
  <si>
    <t>…leyes sanitarias, t* De Odesa escriben estar pronta i dar la vela la escuadra rusa de le rebajase parte de las contribuciones de consumos, patentes y urbana; Nicotajew , y que el almirante Greigh , que manda la escuadra , debía opinaba que en atención á lo que exponía dicho ayuntamiento, podía salir de Pctersburgo al mism &gt; t empo que el Emperador. rebajársele la tercera paite de la contribución de consumos del presenta Leipiick Qiaxonia) 10 de Mayo.…</t>
  </si>
  <si>
    <t>Grey</t>
  </si>
  <si>
    <t>…-cto i ciertos asuntos , v i qu» pool impugnaron con vehemencia el til!, el que defendieron lord Ers- el poder rgtcul.vo no podía obrar en el Brasil un una dclegac en pcrkine , el conde Grey y los lores Cirvnville v ItoiJand. rai n-rué. _KI mi sít»o día 21 se botó al atu.i rn ti arsenal de Woolwich U El art'Culo i.° decia: - Habrá en el reino del I’raUI r rn e! de fragata M 'nnhfit. r, de 6o cañón»* , siendo su madrina La y k.hurn. Portuval v les…</t>
  </si>
  <si>
    <t>Grimarest, Pedro</t>
  </si>
  <si>
    <t>Pedro Grimarest</t>
  </si>
  <si>
    <t>…r de Oibraltar, en al ción y Clasificaciones id ea» 31,682—21 buque ingles Asolano, los sujetos siguientes: Galiano, comerciante A empleados en comisiones acreditado de G braltar: D. Pedro Grimarest, su esposa y dos hijas con id.............................................. 24,393— un criado: D. Diego Escandon, tesorero de Granada: D. Juan Martí A pensiones-............................ 34,299— 8 nez Pimllos, ex-guardia: D. Juan Martinez Torres: D. Franci…</t>
  </si>
  <si>
    <t>Grimiud, Francisco</t>
  </si>
  <si>
    <t>Francisco Grimiud</t>
  </si>
  <si>
    <t>…rtes ia del corriente á Jas ocho de la noche se abre la cátedra pi-nse acudir á la protección de los príncipes cristianos , por evitar su de mecánica, aplicada á las artas, por el profesor D. Francisco Grimiud ruina. de Veíaunde, que continuará los martes y sábados á dicha hora. Año y medio va pasado de negociaciones serias, de amenazas ftter~ Las personas que gusten concurrir á esta enseñanza se presentarán í tes, de representaciones enérgicas por parte de algunos…</t>
  </si>
  <si>
    <t>Grises</t>
  </si>
  <si>
    <t>…que se que drbia accederse á esta solicitud. Ap o bailo. hablaba en este articulo debería ser solo por un año. Las comisiona» de Oorn rcio y M-r*na f &lt;ta Tiiu &lt;iel *xp-&lt;l:entfi El Sr. Grises contestó que no se podía expresar lo que proponía el inslauiado por eJ c pitan general é inúndente de ia is a de Cuija , so Sr. preopinante , porque el soldado que tan so o se reenganchase por un bre que se habinuse como de cuaita c ase á un puerto ds la m .o…</t>
  </si>
  <si>
    <t>Griteo</t>
  </si>
  <si>
    <t>…consideración cato# ó eqnellea negocios, y per» que cualquiera verá que S. &amp; te apartó de fa cuestión; peyó sin embargo resolver lo mas oportuno: no ea exacto paca lo qne dije el Sr. Griteo, recordaré uno: dijoS. S.que lo* sucesos de esta corte en Febrero da iSat ti se quiere mayor convencimiento apelo i la práctica observada i» no loa bahía causado la libertad te imprenta: es notorio que esto* 1 Cortes ordinarias y extraordinarias da Cádia, en…</t>
  </si>
  <si>
    <t>Grrg-</t>
  </si>
  <si>
    <t>…r y disciplina marcial no Interventor D. Manuel García, primer oficial de «¡u j.a cortadutia. habéis ostentado en el combate! Sin perder un momer to en la estre To’edo i»tirv* ;or D. Grrg- rio Fernandez Cid , oficial primero chez de las caites habéis extendido vuestras filas por el frente enemigo, »e ha sido de aquetas oficinas , y agregado actualmente i las Oe Guai Puede haber mayor arrojo 3 ; Pudi .ra ser tan terrible el peligro indivi ..ajar…</t>
  </si>
  <si>
    <t>Grúa, La</t>
  </si>
  <si>
    <t>La Grúa</t>
  </si>
  <si>
    <t>…caicuir, -.1 núm ,r' dr persona» gi-nerai de les veterane* (advierta,.- que este apellido no es ital ano ); que habrán de concurrir, y el gasto que r caponará ei todo de ía :cnti Sr. La Grúa, individuo del supremo tribunal militar; D. Vito cion. Por el estado adjunto &lt;e d.muvt a que la fuerza m-t.tar a-cíend* Nunciante, encargado dei destino de inspector general o: toJvj los á 8443 p'azus, qu: la c. m «icr» 5 a el - v,.to a 9O para ■ curr r a . j…</t>
  </si>
  <si>
    <t>Gruner</t>
  </si>
  <si>
    <t>…ta: el proyecto de une so- que había en el asunto. cicdad germánica de Hauf-Zacharias Bccker en G^iha. 6. ‘obre El orador pasó en seguida á impugnar e' dictaro n de la combina, El Sr. Gruner co 1811. 7- Sobre las conexiones d’Arndt hasta «l diciendo que si se tratase de hactilo en todas sus partes , su discurso se alio da 1813. 8.* Sobre las conexiones d’Arndt en *813 y 1814. ria «temo, y que asi se ceñiría i lo principal. Manifestó que sari» co…</t>
  </si>
  <si>
    <t>Gsberl, Josef Perez</t>
  </si>
  <si>
    <t>Josef Perez Gsberl</t>
  </si>
  <si>
    <t>…amón Gali, me dicen desde como V. E. verá por la copia del parte que le incluyo, cuyo tenor «a Manresa con fecha de antes de ayer lo siguiente: » El teniente coronel al siguiente: D. Josef Perez Gsberl , primer ayudante del regimiento de Murcia, y •&gt; Columna Mallorquína: En todo el día de ayer y parte del do comisionado en peraecuc on de facciosos, nos dice desde Vich con fe hoy he atacado, perseguido y derrotado en diverso* puntos á los fac cha «le ayer lo…</t>
  </si>
  <si>
    <t>Gsliano</t>
  </si>
  <si>
    <t>…pasado.- obra elemental propia para elevar las almas «le los 4 votar sobre el dictamen de la comisión. jóvenes, é inspirarles las virtudes mas útiles á la sociedad: --scrita en El Sr. Gsliano preguntó si con esto quedaba decidido que se vota francés por Pedro B anchard, y traducida al castellano por D. Ignacio se el proyecto , £ lo cual contestó el Sr. Nuiles ( D. Torivio) que la García Malo: 7 tomos ea 1 . mayor. Se hallarán á 77 rs. en pasta en…</t>
  </si>
  <si>
    <t>…oa ote • J.V-;f~rando i los de las Cortes haber dado a luz con toda feu- motivo tus sentimientos petrióticos. a V t^Li-m^Sra.Infanta Dolía Francisca de Asis, á las once y cuer- El Sr. Gsliano manifestó que tenia en su poder uoa exposición cidiid U Sef®4* robusto ni6o , el cual fue bautizado a las igual del cu rpo de artillería de i Femando, que estaba encar¿.d . de presentar i las Cortes; y que no quería que por unt om.»,on ui". ..nsenS^dídídade 1…</t>
  </si>
  <si>
    <t>…pidió que te leyese la instrucción citada, para que las importancia de las proposiciones que últimamente había hecho á Jm Cortes viesen que en nada te oponía i la Constitución. El Sr. Gsliano expuso que era indispensable que los pueblos paga Coites D. Vicente Bcltran de Lis, y lo mucho que convendría que es te interesado las explicase, solicitaba que se le autorizase para pedir á sen las contribuciones, para atender con su producto á las cargas de…</t>
  </si>
  <si>
    <t>…a, ingeniero* y marina concurran con lo* demas del halla arreglada en un todo al etpíritu da la Constitución. egército, alternarán entre tí por la antigüedad qua gozaren en sus Si Sr. Gsliano -. Me opongo i le proposición de que so trata por empleo* d* vivo*; mas atoando embarcado* m observan el reglamen tres motivos; al primero por i ñopos tuno, al segunda por injusto, y el to que rija á la marina. terceto por alarmante. Por inoportuno, porque pu…</t>
  </si>
  <si>
    <t>Gsnge</t>
  </si>
  <si>
    <t>…rto modo de cite impórtate ser mulgó la Constitución. Una porción de ciudadana hicieron una repre vicio. sentación pidiendo la prisión «le este y otros sugetos que había figura El Sr. Gsnge, después de hacer varia* observaciones sobre la grande do en tiempo del despotismo. Se la puso en la cindadela, sin tomarla importancia de la institución de la milicia nacional, manifestó que a por entonces declaración alguna; y habieiuioie preguntado ai Gobi…</t>
  </si>
  <si>
    <t>Gsreily, Nicolás</t>
  </si>
  <si>
    <t>Nicolás Gsreily</t>
  </si>
  <si>
    <t>…diándose vacante el destino de secretario de Estado y d-l Des ría de Valencia, al paso que ss congratulan con su. compañeros de ar pacho de G acia y Justicia por renuncia que hizo D. Nicolás Gsreily, mas porque han salvado la libertad y la Nación, añadiendo el timbre que lo oh'enla, he venido en nombrar para él á O. Felipe ILmc.o Na roas glorioso i sus fastos militares, devorados por el deseo de imitar i varro. Temlreislo entendido &amp;c. ” tan ilustres gue…</t>
  </si>
  <si>
    <t>Gsroz</t>
  </si>
  <si>
    <t>….° su presupuesto reciba de la tesorería general, y «talándose de lo que dis y 16 del citado decreto.” tribuya é invierta justificadamente en las atenciones «leí ministerio «le Kl Sr. Gsroz impugnó este artículo, pidiendo se leyese el id del su cargo. decreto de 29 de Junio del año anterior, y manifestando que en su opi 8. a » Cada secretirio del Despacho tendrá una pagaduría que reci nión debían entender y componer las ¡untas d.occsanat parte d…</t>
  </si>
  <si>
    <t>Gstiano</t>
  </si>
  <si>
    <t>…exigiese la responsabilidad á las autor nes extranjeras no están confiados á los mejores sugetcs; y «do d ridades civiles y militares que intervinieron en las ocurrencias de aque Sr. Gstiano en esta parte sle! ministerio de Estarlo, tuvo á bien convenir lla ciudad en tí de Abril último, manifestaba que no podía fijar su conmigo en que la conducta de los funcionarios en este ramo ha dejado dictamen poc haber pedido al Gobierno varios antecedentes,…</t>
  </si>
  <si>
    <t>Gt, D Juan</t>
  </si>
  <si>
    <t>D Juan Gt</t>
  </si>
  <si>
    <t>…capital, y too hombres del re JVlt’ciar oficiales recibidas por el Sr. gefe político de esta provincia, gión nto de Soria, á perseguir los enemigos del orden , y observar el n El Sr. D Juan Gt vil, comandante accidental del batiUon expe espír tu de los pueb'os circunvecinos; y siendo obligación de todo ciu dicionario del Inmemorial d-l Rey, dió parte desde VaiIs con fecha dadano en • .u parte el dar noticia ai público de estas operaciones, me 21 al…</t>
  </si>
  <si>
    <t>Gtlímo</t>
  </si>
  <si>
    <t>…la comi d.-bian nombrarse estos funcionarios: 'a comisión pudiera indicar algu sión en la palabra aumento, pero si insistirá en el armamento, sobre lo nos , como ya lo ha hecho el Sr. Gtlímo respecto del comandante cual te han hecho al Gobierno repet das excitaciones: por ultimo rtsgeneral de Cataluña-, pero no lo ha considerado ms.ei.irio , y si que de P'cto del egército permanente, es verdad que tas Cortes deben decretar bía decirlo á S. M. par…</t>
  </si>
  <si>
    <t>Gtm, Pedro</t>
  </si>
  <si>
    <t>Pedro Gtm</t>
  </si>
  <si>
    <t>…-re li’f Antonio Lopn , Dr. D Manuel López , D. I .nació Correa , Don mito de Bonapailc, peto muy amante de sus doctrinas y po it .a, .-.ha Ignacio Vidas ñor. Id. m honorarios Dr D. Pedro Gtm s , Duc á rodar ia nd esa de haberse d.-scub ;rto una trama , foru ada por Jes tor D. Ciro Villaurrutia , Dr. D. J ■ sef Mi :a Buche ir, Dr Don refugiados trances.* y algunos constitucionales españoles- No seí ala Juan Baut sta Ar ch.derr tea , Dr. D J-is-f J…</t>
  </si>
  <si>
    <t>Gtroi</t>
  </si>
  <si>
    <t>…ramar, dando gracias por el decreto d; 8 de Mayo tu aprobación se examinara antes la certezh de las causas. último, relativo al establecimiento de las diputaciones provinciales El Sr. Gtroi apoyó el dictamen de la comisión. donde no las hay; y una exposición del ayuntamiento constitucional El Sr Casis manifestó que en general todo repartimiento de con de tíarachico, dando gracias por haber elegido á aquella población por tribuciones hecho por el…</t>
  </si>
  <si>
    <t>Gttardiolsdepuesto, N.</t>
  </si>
  <si>
    <t>N. Gttardiolsdepuesto</t>
  </si>
  <si>
    <t>…IA. providencia dada par la diputación provincial de Catalnfie para que fue se repuesto en el empleo de secretario del ayuntamiento de Vil!aseca, Pont *7 de Mayo. partido de Reus, D. N. Gttardiolsdepuesto que fue de dicho destino En una carta de Pera de fines de Marzo dicen lo que sigue: » Se re por el ayuntamiento del afio 1821 por haber nombrado otro secretario, gula en 1 oo9 hombres el número de tropas asiáticas reunidas en las in opinaba que la providencia…</t>
  </si>
  <si>
    <t>Guach, Juan</t>
  </si>
  <si>
    <t>Juan Guach</t>
  </si>
  <si>
    <t>…uno ó dos individuos que estén en es ciosos y 20 caballos al mando del titulado gobernador de M .quinente caso , la junta podrá consultar los demas de las otras compañías , pi za D. Juan Guach: hicieron noche y detención hasta las dos del dia diendo al efecto los informes convenientes. Para este primer ascenso siguiente, habiendo pedido a su llegada 400 raciones de pan, 26 de te necesitará saber leer, escribir, contar, y el catecismo de la Constitu…</t>
  </si>
  <si>
    <t>Guajar-, Miguel María</t>
  </si>
  <si>
    <t>Miguel María Guajar-</t>
  </si>
  <si>
    <t>…e agregado at estado mayor d- M ila’i, pi-a de Marzo último. Aprobado. que se le continuase el pago de una pensión de 5 s. d.ar o» que e con Otro sobre el expediente promovido por D. Miguel María Guajar- cedió S. M. por hab.-r perdido un brazo en la última guerra , opinaba do y Fajardo, comandante del resguardo de Santander, sobre el pago que debía acced-rse á esta solicitud. Aprobado. de los sueldos devengados en el t empo que estuvo suspenso de dicho La com…</t>
  </si>
  <si>
    <t>Guará.o, Juan</t>
  </si>
  <si>
    <t>Juan Guará.o</t>
  </si>
  <si>
    <t>…niente ds Rey de id__ D. Ignacio Pombo, comisario da Gu na.__ á cada uno de estos ó á ias viudas de aquellos cuatro reales diarios D. Silvestre Manuel Blanco, contador de correos—.D. Juan Guará.o. por tiempo de un año y nrrscs eni.cpados. Del mismo modo pagará la, fiscal de la auditoría de guerra—D. Miguel de Castciis, magistrado V. á 1a tropa destinada a esta comrs.on el rancho de mañana, y un de la audiencia._D. Andrés Kubiano, secretario del g--fc…</t>
  </si>
  <si>
    <t>Guarísejo, Juan Sempere y</t>
  </si>
  <si>
    <t>Juan Sempere y Guarísejo</t>
  </si>
  <si>
    <t>…es deben avisa al público pata noticia del interesado ó interesados. por otra parte haber sido comprendidos en la lista formada por el con Historia de las rentas eclesiásticas por D. Juan Sempere y Guarísejo primario, que tiene á su cargo la administración en el intervalo nos. El autor se propone manifestar en este pequeño resumen cuál fue de las sesiones, compuesto de cinco vocales del senado último, del el origen , estado y progresos de las rentas eclesiásticas…</t>
  </si>
  <si>
    <t>Guas, Pío</t>
  </si>
  <si>
    <t>Pío Guas</t>
  </si>
  <si>
    <t>…la orden de Santiago, bajo el con Francisco Antonio Este vez, D. Andrés Fulgencio Blanco, D. Josef cepto de que pusiese en tesorería general lo* citados too® reales. Y no Gitpcrt, D. Pío Guas, D. Manuel Heredia , D. Felipe Goyos, Don hab endose personado el interesado con el fin de hacer la entrega, ni Juan Manuel Lnrr, D. Josef Sucarana, D. Josef Morales, D. Ma hecho otra gestión, é ignorándose su residencia, se le avisa por medio nuel Melero , D…</t>
  </si>
  <si>
    <t>Guasch, Francisco</t>
  </si>
  <si>
    <t>Francisco Guasch</t>
  </si>
  <si>
    <t>…aron pa»ar á la biblioteca y á la comisión de Salud públi- se decía ni se trataba de decir que no hubiese mas fiestas nacicnales, I ci dos ejemplares de una memoria presentada por D. Francisco Guasch, sino que la del 19 de Marzo fuese pagada por U Nación , porque todos I médico de Villarodona, en Catalura, relativa á una calentura que se los Sres. diputados sabían que los fondos de propios eran escasos, y que I padeció en aquella villa en el afio 1805. La…</t>
  </si>
  <si>
    <t>Guatreiro</t>
  </si>
  <si>
    <t>iostf El Sr. Guatreiro leyó el dictamen de le comisión especial de Nego i.* „ta ciudad de Solsona debe considerarse desde ahora reducida í cio* del (mil. Le comisión en el preámbulo de su dictamen exponía un estrecho sitio. los acontecimientos de lastres provincias del Sur del Bras…</t>
  </si>
  <si>
    <t>Gucrreiro</t>
  </si>
  <si>
    <t>…tm cim á su columna de un donativo que se hizo en c.u ciudad, Se leyó y empezó á discutir el proyecto que presen! ■ al Concreso y tuvo dinero existe en poder de D. N. Ellzaide. el Sr. Gucrreiro sobre los casos y formalidades con que podrá allanarse Por la noche también asistió al teatro, cuya concurrencia fue rula ci a de un ciudadano portugués. rt’rosa, y cuyo entusiasmo es indec b'e. A esta diversión s cu'r» U de El St. Tngoso leyó el dictamen de…</t>
  </si>
  <si>
    <t>Gucrreno</t>
  </si>
  <si>
    <t>…idea era anti-católica , anti-religiosa y ahti-polític*. cordia ; pero tan lejos de eso, algunos de ellos te han convertido de El Sr. Ferreira Borges sostuvo la proposición , y el Sr. Gucrreno pastores en lobos carnívoros. presentó la siguiente adición , que fue aprobada : *&gt; Que entre las justas Ya antes de este suceso habían cometido varios atentados alguno* causas de que se trata se haga mención particular dé la repugnancia del de esta cuadrilla…</t>
  </si>
  <si>
    <t>Gudal, Mariano</t>
  </si>
  <si>
    <t>Mariano Gudal</t>
  </si>
  <si>
    <t>…lor j Colchester , el cual hablando con la ma Puch, D- Manuel Sierra, E&gt;. Luis Cántense, D. Antonio Cebollero, yor vehemencia le dirige estas terribles palabras: » Vengo corriendo D. Mariano Gudal, D. Celso Píanzon, D. Juan Bucle, D. Pascual del continente á deciros que el fanatismo y la intolerancia vuelven á Pratosi, D. Manuel Lasala, D- Miguel Gavara y D. Dionisio Ma recobrar alli su imperio: mirad lo que vais á hacer; admitiendo 4 loa rín, que lo h…</t>
  </si>
  <si>
    <t>Gueho, Lino Antonio</t>
  </si>
  <si>
    <t>Lino Antonio Gueho</t>
  </si>
  <si>
    <t>…dad pública. Aprobado. hermanos, y la comisión se conformaba con su dictamen. Aprobado. be ontiriuó la discusión del dictamen de la comisión de Premios, Otro sobre la solicitud de D. Lino Antonio Gueho, portugués, principiado en 11 sesión de ayer. para que se le concediese carta de ciudadano. La comisión opinaba Art. i.-1 n Las gracias concedidas en el decreto di tt de Setiembre qu: podía acced.-ne á ella. Aprobado. de lilao comp endia i cuantos proclamaron…</t>
  </si>
  <si>
    <t>Guer, Salvador</t>
  </si>
  <si>
    <t>Salvador Guer</t>
  </si>
  <si>
    <t>…ca, y hacer mucho daño. Por ANUNCIOS.estas razones creo que no se puede aprobar el artículo sino en los tértninos que be indicado. Por providencia de 18 del corriente del Sr. Lie. D. Salvador Guer El ¿r. Martínez de la Rosa: No encuentro la dificultad que mani rero , ju-*z letrado de primera instancia de la v»lla de Naralcarnero ffiesta el Sr. Sancho de que la autoridad tenga que conceder permiso á su partido, refrendada por el escribano de su juagado Tom…</t>
  </si>
  <si>
    <t>Guerieiro</t>
  </si>
  <si>
    <t>…drs-shada. de la Península. E! Sr. presidente puso en seguida á votación la siguiente proposición Sret. Velasen, del Rio, Alvarez (D. Pedro), Valle, Sová,Iros* qu; hr.bia hecho e! Sr. Guerieiro: •» Todos los magistrados y oficiales •á y Benito. de justic a serán responsables de los abusos del poder ó yerros que co- Comisión de Salud pátlica. Sra. Pcdralvrz, Lagasca, Suoan*, Mon meties-n en «1 eiítcicw dj sus funciones.” Quedó aprobada. tesinos , Lóp…</t>
  </si>
  <si>
    <t>Guerra</t>
  </si>
  <si>
    <t>…El que con el designio de matar á algún diputado de Cortes, Se acordó quedase sobra la mesa el dictamen de ia comisión da secretario de Estado y del Despacho, consejero de Estado, magistrado Guerra sobre la solicitud de los ayudantes del regimiento da Malaga ó juez, gefe político ó alcaide, genera: «a gefe ó de división , cip.tan •cerca de su pase á la milicia activa. ó comandante general ds provincia , ó gobernad.'/ mmijr, pr.iado Las comisiones de Hac…</t>
  </si>
  <si>
    <t>Guerra, Alvares</t>
  </si>
  <si>
    <t>Alvares Guerra</t>
  </si>
  <si>
    <t>…o demas pue dicho artículo lo siguiente: la cual será doble en Ultramar. También den ponerse de acuerdo para tomar cada una la providencia conveniente. admitía 1a comisión la «leí Sr. Alvares Guerra, la cual te podría expre El Sr. San Miguel ¡ La discusión parece que estriba sobre la inteli sar en la forma siguiente: los escritos oficiales dt tac autoridades públi gencia de la palabra acordar-, pero verdaderamente esta palabra no sig cas no quedan sujeto…</t>
  </si>
  <si>
    <t>Guerra, Alvarez</t>
  </si>
  <si>
    <t>Alvarez Guerra</t>
  </si>
  <si>
    <t>…n testimonio del escribano del jugado, por el que conste haberse jus talidad el dictamen de la comisión. tificado que la pobreza de los reos es en tales términos, que de ningún El Sr. Alvarez Guerra: Creo que conviene el que te aclare un idea modo pueda de sus bienes reintegrarse el cuerpo de qne dependa de lo que ha manifestado el Sr. Sierra Pamblcy; esto es, respecto de la parte que les hubiere suministrado.* que el Crédito pública ha tenido en este as…</t>
  </si>
  <si>
    <t>…UEVES 7 DE FEBRERO DE 182 a. NOTICIAS DE ESPAÑA. el Sr. presidente para la comisión formada ayer í consecuencia de la Madrid Mi: reales 6 de Febrero. proposición del Sr. Sancho al Sr. Alvarez Guerra por indisposición oSS. MM. y A A- continúan sia novedad en su importante talud.” del Sr. Calairava. Se mandaion repartir los egemplares remitido» por el Sr. secretario la» noticia» de Lisboa hasta el i.° del corriente no dejan de ser de Hacienda sobre la habi…</t>
  </si>
  <si>
    <t>…ta ley se inserte aquella dispo de la ley de at de Octubre, como de la clase de las acusaciones de sición." que se trataba, concluyó manifestando que no se debía aprobar el ar Del Sr. Alvarez Guerra; » Que los actos de las autoridades cuando ticulo. ss manifiesten por medio de la prensa ao quéden sujetos á las leyes so El Sr. Martínez de la Rosa dijo que la cuestión debía presentarse por bre imprenta, sino á la responsabilidad de sus respectivos destinos…</t>
  </si>
  <si>
    <t>Guerra, Ar- Moreno</t>
  </si>
  <si>
    <t>Ar- Moreno Guerra</t>
  </si>
  <si>
    <t>…ti jueces «le hecho que han de entender ea u quisas. calificación en segunda instancia «leí escrito del ex-dipuu«lo D. Jo*( El Sr. Buey manifestó que habiendo dicho lo bastanto el Sr. Ar- Moreno Guerra por denuncia de D. Josef Duval á nombre de Das giielles renunciaba la palabra. Juan Josef Ribas, cónsul español en Gibraltar. El Sr. Adan: La prudencia del Sr. Arguelles ha llamado la aten Se leyó el artículo /.''adicional al reglamento, y en tu virtud a ción…</t>
  </si>
  <si>
    <t>Guerra, Joscf Moreno</t>
  </si>
  <si>
    <t>Joscf Moreno Guerra</t>
  </si>
  <si>
    <t>…Rey pueden en el oficio del mismo, que se leyó ayer en el nombre de uno de los avocar causas pendientes. Aunque esta causa esté concluida con respec jueces de hecho , recusado por D. Joscf Moreno Guerra , que es D. Ro to á la semencia de absolución de los individuo* a quienes comprende, drigo Valdés Bultos. no se halla fenecida, ni en estado de que las Cortes puedan juzgar so Se procedió en seguida al sorteo para reemplazar á los seis jueces bre ella. Pido q…</t>
  </si>
  <si>
    <t>Guerra, Josef Aivarez</t>
  </si>
  <si>
    <t>Josef Aivarez Guerra</t>
  </si>
  <si>
    <t>…ud de D. Francisco Roldan, impre- auditor de guerra D. Juan Ramírez y Cárdenas: para ¡a d- C c.-r s i i sor , relativa á que se declarase si debia percibir de tesorería ó del Cré- D. Josef Aivarez Guerra, que lo es de la d: Patena a: pma lude l..or» I dito público lo que se le d b.a par papeles que había impreso peitene- á D. Andrés Crespo Cantolla , que lo es de la mbm»: pira ía de Pam I cíenles á la audcncia de V.uludolid. plona al coronel D. Mariano Viila:…</t>
  </si>
  <si>
    <t>Guerra, Josef Fernandez</t>
  </si>
  <si>
    <t>Josef Fernandez Guerra</t>
  </si>
  <si>
    <t>…un juro de 39 tan. aobte el porde, D. Josef Mariano Pulido, D. Francisco Montenegro, D. Mariano tazgo de Pancocvo i favor de Juan Mattinez de Rojas, á 5 de SetiemRniz de Navamuel, D. Josef Fernandez Guerra, D. Josef Díaz de Ri« bre de la era 1414» año 1376—«Otro «le la confirmación de un juro de baa, D. Josef Fuster y D. Pedro Manuel Velluti. 50 cargas de pan y 500 mrs. i favor de D. Juan de Rojas, marques de Poza, por el privilegio en favor de su abuelo Sancho…</t>
  </si>
  <si>
    <t>Guerra, Juan Alvares</t>
  </si>
  <si>
    <t>Juan Alvares Guerra</t>
  </si>
  <si>
    <t>…áles son los candidatos sobre Parga, consejero honorario de Estado c individuo de la academia de quienes ha de recaer la propuesta; pero jamas deberán las Cortes au la Historia; á D. Juan Alvares Guerra, individuo de la de S. Fer torizarla para que se informen de los diputados, pues que seria el mo nando; á D. Josef Rodríguez, director del observatorio astronómico do mejor de comprometerlos, no digo con la Nación, sino con sus de Madrid, y ¿ D. Simón de Roja…</t>
  </si>
  <si>
    <t>Guerra, Juan Alvarez</t>
  </si>
  <si>
    <t>Juan Alvarez Guerra</t>
  </si>
  <si>
    <t>…y de los méritos y srrvicios del interesado, opinaba que mismo ramo, relativo á que las Cortes declamasen el sueldo que debía podía acc -derse á su solicitud. Aprobado. abonarse á D. Juan Alvarez Guerra, secretario qu: fue di 1 ministerio La misma, en vista de la exposición de D. Francisco Fernandez de la Gobernación de la Península en 1814, y en el qu- con este mo Gómez, vecino de Oviedo, para que se trasladase á su hermano D. Ma tivo recomendaba el Gobiern…</t>
  </si>
  <si>
    <t>Guerra, Juan Alvatez</t>
  </si>
  <si>
    <t>Juan Alvatez Guerra</t>
  </si>
  <si>
    <t>…amar al su auioodad, s, había nombrado una comisión, compuesta de los señores plente , pudiendo asegurar al Congreso que ni á este ni a&lt; propi- tario D Jo. f de Esp ga y (ladea , D. Juan Alvatez Guerra , D. Marcial los conozco; y que no tengo otro ínteres sino el de que la provincia de A. tomo Lop-z, D. Diego Muñoz Torrvro y D. Angel Vallcjo, pa Sevilla se halle legalnvnt- representada. ra que forir.se un proy cto de le y para que en lo sucesivo se evitasen…</t>
  </si>
  <si>
    <t>Guerra, Juan Amable y</t>
  </si>
  <si>
    <t>Juan Amable y Guerra</t>
  </si>
  <si>
    <t>…rtagena , que quín Sotomayoré Itúrbido, D. Manuel Labastida, D. Manuel Quíntanar, se resistía a salir porque no le pagaban,quedó reducida á 300 hombres. D. Juan Guerra Manzanares, D. Juan Amable y Guerra , D. Agustín Desde Po payan i Cartagena no se Encuentra un soldado, y el pueb'o Castillejo, D. Josef María Va'dobino*, D. Francisco Perez Pafacios. se resiste á marchar: las milicias guardan i Rio Acha y a fita. Marta, Supernumerarios D. Josef María Gamboa y…</t>
  </si>
  <si>
    <t>Guerra, Moreno</t>
  </si>
  <si>
    <t>Moreno Guerra</t>
  </si>
  <si>
    <t>…94 la Gaceta para laa noticias que deban publicarse sobre este punto; y la de Cortes, participando que habiendo sido recusados por el Sr. cxcomisión entiende que asi debe hacerse. diputado Moreno Guerra, los Sres. Apoíta, conde de Adancro, Sara7.* Si la junta protectora se ha de renovar por entero mediante k via, Rey, Valdés Bustos (D. Dionisio) y Fcrrer (D. Antonio), sa haberse renovado también la legislatura, ó si en atención 4 que no lle cados á ia suerte…</t>
  </si>
  <si>
    <t>…la rebajade la contri •tención á no tener propio*, y sobre una proposición del ái. Sierra Patobución sobre consumos de la ciudad de Málaga, y otra de los señores bley, y otra del Sr. Moreno Guerra, diputado* en la* anteriores Cortes, Baurá y Ferrcr ( D. Antonio) sobre que en atención á que la cosecha relativa al mismo asunto. La comisión informaba que debía pasar a[ da legumbres en la isla de Mallorca estaba enteramente perdida, y la de Gobierno pan qu…</t>
  </si>
  <si>
    <t>Guerra, Ramón</t>
  </si>
  <si>
    <t>Ramón Guerra</t>
  </si>
  <si>
    <t>…, pues deberá únicamente hacer las do; Pedro Macto: Canuto Alvarcz; Pío Bedate, milicianos de caballe gestiones que le convengan ante sus gefes inmediatos y superiores, hasta ría; D. Ramón Guerra , teñirme de infantería; Gumersindo Bueno, elevar la queja al ministerio. La privación sbsoluta de emp eo y sueldo sargento segundo de la misma; D. Marcelino de Goicoechea, volunta podrá el empleado reclamarla en justicia; pero los tribunales en este rio de i…</t>
  </si>
  <si>
    <t>Guerra, Secretario de</t>
  </si>
  <si>
    <t>Secretario de Guerra</t>
  </si>
  <si>
    <t>…mía á que obligan laa circunstancias, san desatender el objeto pri no propone i las Cortes el aumento de estos gastos imprevistos. mario , opina que podrán señalarse 3.000,000. El Sr. Secretario de Guerra; Verdaderamente puede haber ahor El Sr. secretario de Guerra: Los 4 millones que pida el Go ros imprevistos; pero estos serán muy despreciables comparados con los bierno para atender á la milicia activa ton sumamente necesarios , por gastos que debe haber. Un…</t>
  </si>
  <si>
    <t>Guerreiro</t>
  </si>
  <si>
    <t>…para loa cuerpos de El Sr. gefe político D. Jossf .Perol con fecha de ayer publicó d Rio-Janeiro á algunos soldados de la expedición que lo deseaban áte. «¡guíente manifiesto: El Sr. Guerreiro tomó la palabra , y pidió que no se hablase del Haiitantee de la provincia dé Gerona. En este momento recibo los contenido de las cartas del Príncipe Rea!, porque era ¡tupos b e haber parta que desde Bianes me han dirigido el teniente coronel coman lo en el e…</t>
  </si>
  <si>
    <t>…experimenta la naturaleza cuando se ve correr la sangre humana; V. E. que ponga esta pregunta á votación.” esta pena queda compensada con la gloria de ver triunfar la santa cau El Sr. Guerreiro , después de decir su Opinión , manifestó que el ta en que los dos pueblos están comprometidos. preopinante había insultado con su pregunta a todo el Concreto. • Héroes jr valientes espafioles, dignos descendientes de aquellos Por último habiendo sido la vota…</t>
  </si>
  <si>
    <t>…ra ñau averi y beneficios edaiítticos como otro cualquier clérpo secular. guación sobre las desavenencias ocurrida» entra us provincias dd alto Sobre esta primera facultad dito el Sr. Guerreiro que se trataba del y del be jo Canadá asusto ma* impórtame poi sus efectos. y después d* discutir iargamea-</t>
  </si>
  <si>
    <t>Guerreó</t>
  </si>
  <si>
    <t>…tos.) GACETA DE MADRID. MIERCOLES ¡«7 DE MARZO DE i8aa. NOTICIAS EXTRANGERAS, octavas circularán por d valor de 3,840 reto, ylat demás por tu peso en igual proporción. avstxia. El Sr. Guerreó» manifestó que de este aumento dal valor del oro se seguiría la baja de le monede de plata; y después de hacer alguna* Tuna $ do Marzo. reflexiones sobre esto , concluyó dicicndc qae no podó untarse det El Obsoroador erustriaeo publica boy la* siguientes noti…</t>
  </si>
  <si>
    <t>Guerrero, Antonio María</t>
  </si>
  <si>
    <t>Antonio María Guerrero</t>
  </si>
  <si>
    <t>…nto de infantería de la Reina. Alcázar de S. Juan: para primer comandante al primer comandan Manresa: para primer comandante á D. Josef Santa Pau, comandan te de infantería ligera D. Antonio María Guerrero, agregado al mis te supernumerario del regimiento de infantería del Rey. mo batallón. Monterey: para primer comandante al coronel graduado D. Josef Alicante: para coronel al coronel viro de infantería D. Josef Wi- Miranda Cabezón, comandante del primer batall…</t>
  </si>
  <si>
    <t>Guerrero, Josef María</t>
  </si>
  <si>
    <t>Josef María Guerrero</t>
  </si>
  <si>
    <t>…hijos predilectos de la fuerte Iberia, de moneda , y que 1.578,360 ps. que condujo últimamente el mayor los ilustres defensores da su soberanía, el apoyo incontrastable de su domo D. Josef María Guerrero, sin hacer uso de ellos, se depositen en libertad , el terror de los absolutistas y aristócratas , que violando el cajas para impedir que sean extraídos furtivamente, y vayan á servir de mas solemne juramento han conspirado para su perdición: i vosotros fomen…</t>
  </si>
  <si>
    <t>Guerrero, Nicolás</t>
  </si>
  <si>
    <t>Nicolás Guerrero</t>
  </si>
  <si>
    <t>…a pa Real orden sobre la cesión qu« 'f? ra el pago de las fincas hipotecadas al pago de un alcance que resultó á minar io de Montarte de Lento*. ifiaceta del ¡o &gt;u,ue *** A,b* d'i D. Nicolás Guerrero. (Gaceta del a.) Decreto de la* Corte* autorizando .iAV,.______ Circular del ministerio mandando que en todo* los expedientes que convertir lo* convento* suprimid»* . a) .. ,~rno pir* 1“* •*“*•** se le dirijan por las oficinas dependientes de él se ponga un e…</t>
  </si>
  <si>
    <t>Guerrero, Salvador</t>
  </si>
  <si>
    <t>Salvador Guerrero</t>
  </si>
  <si>
    <t>…o de esta miento de que pasado sin haberlo verificado , les parará el perjuicio que negocio. haya lugar. ' ’ Se levantó la sesión á las tres y cuarto. Por providencia del Sr. Lie. D. Salvador Guerrero , juez de prime ARTICULO DE OFICIO. ra instancia di la villa s partido de Navalcarnero, refrendada de tu es cribano Andrés Rubio Carrillo, se cita, llama y emplaza í las personas El Sr. secretario del Despacho de Marina con fecha de ayer dica que se crean con…</t>
  </si>
  <si>
    <t>…encia Ptrt- y Cumula. ramo que nace y depende de la prosperidad de ellas. ANUNCIOS. Si el estado en que se halla esta América no es bastante i dar 4 co Por providencia del Sr. Le. D. Salvador Guerrero, juez letrado dt nocer que tu comercio debe ser pasivo ínterin que no tenga produccio primera instancia de la villa y partido de Navaicarnero, dada en el dia nes tan cómodas y abundantes que puedan competir en otros mercados, 8 del corriente , y refrendada po…</t>
  </si>
  <si>
    <t>…ayudante del regi quenio en razón del g por too que está señalado á dicho empleo de lot miento infant.ría de Femando vil , con 67o rs. caudales que administra. Medina del Campo á D. Salvador Guerrero, segundo ayudante agregado al batallón de la milicia activa de Málaga , con 670 rs. El Rey, á consulta del consejo de Estado , te ha servido nombrar ' Salas al espitan D. Francisco Vega, segundo ayudante del rrgipara plazas de magistratura de la audiencia ter…</t>
  </si>
  <si>
    <t>…Aias.bajo 'a vigilancia de 'as autoridades civiles , y cu tuda» .as costas. Debo hacer a’to aquí ar.tes de pu.r i ,'a determmac on de la audiencia. Ei Por providencia del Sr. Líe. D. Salvador Guerrero, juez de prime indudable q '« este juez conceptuó dci.i.cu nte á L garra- El dentó no ra instancia de la villa de Návalcarnero y su partido , dada en 20 del podía s r ot-o que el de que fue acusado, y sobre cuya perpetración corrí, nte, y refrendada pnr el es…</t>
  </si>
  <si>
    <t>Guesala, Domingo de</t>
  </si>
  <si>
    <t>Domingo de Guesala</t>
  </si>
  <si>
    <t>…a derecha de lo* enemigos, dejando dant- Orneta ,á quien se le encontró un despacho de alférez dado por para protejerla toda la caballería , que al mismo tiempo observaba la de un D. Domingo de Guesala , y un oficio del mismo en que prevenía mlos facciosos; y la segunda columna atacó el monje y bosque d; la dere terc-ptase ia correspondencia de Vizcaya , hiciese la quinta, sacase concha. En un momento se hizo general la acción , que principió 4 las do* trlb…</t>
  </si>
  <si>
    <t>Guevara</t>
  </si>
  <si>
    <t>…bía coartarse la voluntad i nin propiedad no llegase al valor de la suerte , se le diese esta por entero. gún dispénsa lo para entrar en la milicia, con tal que el ayuntamiento El Sr. Guevara fue de opinión que solo se diesen las tuertes á los calificase si se lo permitían sus ocupac.oncs, mayormente en las actua que ias pidiesen, y no se les obligase á tomarlas, pues esto redundaría les circunstancias, en que cta preciso fomentar la milicia por t…</t>
  </si>
  <si>
    <t>…- bre la suma total de los tres cupos de contribución, la cual repartirán ae del alcalde.” como aumento de ellos. Art. 36. » Será obligación de los milicianos conservar su arma Ei Sr. Guevara opinó que era mas conveniente que el repartimien mento y equipo en el estado mas brillante posible, y solo se les abo to se hiciese por carga vecinal, ó sí no se aumentase el a por 100 narán las composiciones que dimanen de actos de servicio , mediando para i…</t>
  </si>
  <si>
    <t>…con por &lt;xceso ó recargo indebido que experimente en esta clase de contri veniente en aprobar el aitículo. buciones, acudirá rn queja á ia diputación provincial, sin que en nin El Sr. Guevara: Yo quisiera que la comisión sustituyese en lugar gún caso '' s r-.-a esto de pretexto para entorpecer el servicio.” de las palabras « entre todo* los capitulare*” las siguientes: » entre F.l 'r. Viióní z; En mi opinión debería decirse que el agraviado todos…</t>
  </si>
  <si>
    <t>Guevara, Iñigo Velez de</t>
  </si>
  <si>
    <t>Iñigo Velez de Guevara</t>
  </si>
  <si>
    <t>…la guerra , los f; cha 15 de Enero de 1578: otro en ei primero medio por 100 de Ma resultados deben haberos demostrado que este es uno de los errores drid de 19,751 mrs. en la ds D. Iñigo Velez de Guevara, su fecha con que d sde un principio se esta abusando de vuestra credulidad.Dó ao de .\bril de 1655 : otro en el tercero y cuarto uno por roo de Má ciles a mis anticipados avisos , permanecisteis tranquilos en vuestras cr laga de 2.2503 mrs. en la de Doña Jua…</t>
  </si>
  <si>
    <t>Guevara, Joaquín Ladrón de</t>
  </si>
  <si>
    <t>Joaquín Ladrón de Guevara</t>
  </si>
  <si>
    <t>…e la corpision de ninguna ma La segunda de Hacienda, en vista de la solicitud de Do&amp;a Bernar nera habia tratado de de|ar desatendida la marina militar: que en cuan da N., viuda de D. Joaquín Ladrón de Guevara, pata que en atención to á lo que había dicho el Sr preopinante acerca de que no era justo so á les méritos de este se le conceda una pensión ó socorro, opinaba qua despidiese á ios maestros de ribera y calafates sin habérseles satisfecho no podía accederse á…</t>
  </si>
  <si>
    <t>…Vicente Vaiderrama, t-nfants de infantería y profetería voluntados de Castilla , con 57a ra. sor de matemáticas del colegio militar de Santiago, con $70 rs. Ciudad-Real al cap tan D. Joaquín Ladrón de Guevara, teniente S. Clemente á D. Isidro López Denia, teniente del batal'on ligero del regimiento infantería de \frics, con ¡70 ra. voluntarios de Tarragona , con 570 rs. Córdoba á D. Félix Rodríguez, teniente del regimiento infantería Sigüenza á D- Manuel Peña Espi…</t>
  </si>
  <si>
    <t>Guevara, Josef de</t>
  </si>
  <si>
    <t>Josef de Guevara</t>
  </si>
  <si>
    <t>…id , ambos en cabeza de los herederos de Alonso Ladrón méritos por el término de 30 dias. de Guevara, y otro de 45,786 mrs. en salinas de Andalucía, costa dé la mar , en cabeza de D. Josef de Guevara ; se suplica al que supiere su Juicio di jurados. paradero se sirva avisarlo á D. Vicente de la Llave , notario mayor de El Sr. fiscal de imprenta denunció al Sr. alealde D. Cayetano Ru la vicaría eclesiástica , quien le gratificará. bio un párrafo inserto en…</t>
  </si>
  <si>
    <t>Guevara, Ladrón de</t>
  </si>
  <si>
    <t>Ladrón de Guevara</t>
  </si>
  <si>
    <t>…taciones, aunque las menos pos ib'es, sean co* re,ponno reclamar el número de brazos que en otras época*. dientes i su clase. Et oficial mayor de una secretaria es un consejero El Sr. Ladrón de Guevara fue de parecer que volviese el artículo á inmediato del ministro, y es necesario que sea hombre de luces y de la comisión , teniendo por suficiente ei sueldo de 309 rs. líquido» para instrucción, 7 no se encontrará con tanta facilidad si no esta compet.alos o…</t>
  </si>
  <si>
    <t>…s razones digo que es inoportuno cuanto se a’edebe haber lugar á votar sobre el proyecto en cuestión. gue acerca de la just cía ó injusticia del artículo del dcei -to de 1811, i'l Sr. Ladrón de Guevara apoyó el dictamen de la comisión ma que debemos efi irnos 4 dar á este una interpretación mas clara, mas nifestando la necesidad que habia de sacar á los pueblos del conít cto natural y genuina; y por lo tanto debe aprobarse el dictamen de la co en que se hal…</t>
  </si>
  <si>
    <t>…ución ; y que no tenia fuerza alguna el argumento en que se atribución del poder judicial su resolución. apoyaba esta base, porque la comisión de Visita del Ciédilo público, |( El Sr. Ladrón de Guevara manifestó que la comisión no había po única que existía en ei día de esta especie, la creía igualmente contraria dido menos de atenerse á lo dispuesto en el decreto de 8 de Junio de i ia Constitución ; y se opondría á su creación si se tratase de cid, i 813,…</t>
  </si>
  <si>
    <t>Guevara, Leandro Joscf Ladrón de</t>
  </si>
  <si>
    <t>Leandro Joscf Ladrón de Guevara</t>
  </si>
  <si>
    <t>…mpo en que su compafiero D. Juan Antonio Yandiola se ha que se legilicen como corresponde. Aprobado». llase inhabilitado, como diputado á Cortea, para llenarlas personalmen Avila. D. Leandro Joscf Ladrón de Guevara. Aprobados lo* pode te. Y dejando de estarlo para el t.° de Marzo próximo, te ha servido res de este Sr. diputsdo como proponía la comisión. •1 Rey mandar que en el mismo dia entre á d •srmptfiár Yandiola 4 Extremadura. D. Alvaro Gómez Becerra, D- Facundo Inf…</t>
  </si>
  <si>
    <t>Guevara, Leandro Ladrón de</t>
  </si>
  <si>
    <t>Leandro Ladrón de Guevara</t>
  </si>
  <si>
    <t>…ión hubiera te der de esta Sr. diputado, y se abstenía de hablar de una rec íñase on nido presente que el duque del Parque es gentilhombre de Cámara en hecha contra la elección de D. Leandro Ladrón de Guevara, por cuan egercicio. Por una casualidad tengo en mi poder la lista de los indivi to este individuo no había presentado sus poderes. Aprcbido. duos que tienen este empleo, y entre ellos está el Sr. Duque del Par lilas Bolearet. D. Felipe Bauzi. La comisión opi…</t>
  </si>
  <si>
    <t>Guijarro, Joaquín</t>
  </si>
  <si>
    <t>Joaquín Guijarro</t>
  </si>
  <si>
    <t>…to de Guadalajara. infantería de Navarra. Alcoy: para primer comandante al primer comandante de infar.te- Osuna: para coronel al coronel vivo D. Agustín Oviedo , ayudan ifa ligera D. Joaquín Guijarro, agregado al batallón de la milicia ac te mayor de la brigada de carabineros R ales. tiva de Pontevedra. . Falencia: para primer comandante á D. Gaspar Blanco, coman Almería: para primer comandante al coronel D. Antonio de Cas dante de escuadrón del regimient…</t>
  </si>
  <si>
    <t>Guillcrmeti, Juan de</t>
  </si>
  <si>
    <t>Juan de Guillcrmeti</t>
  </si>
  <si>
    <t>…o plan de arbitrios. Aprobad ’. del corriente por el Sr. presiente D. Faustino del Toro , Sr. intenden La misma, en vista de la solicitud de los ayuntamientos cnnsi ra te interino D. Juan de Guillcrmeti , 7 Sres. diputados D. Josef An cionales da Aranjuez, $. Lorenzo del Escoria! 7 el Pardo, para que se</t>
  </si>
  <si>
    <t>Guillen, Miriano</t>
  </si>
  <si>
    <t>Miriano Guillen</t>
  </si>
  <si>
    <t>…de Santander, relativa i c ertis contestación.s qu; tie veniente. Aprobado. ne coa lamcrindad de Trasmiera , opinaba que debía pasar al Gobier La m'ima comisión ea la instancia de D. Miriano Guillen, cara no para que procediese con arreglo i la* leyes vigentes Aprobado. pínroco d - Alforja, sobre :a «,a que debe ocupar , y ahora pertenece al La misma, en vista déla solicitud del ayuntamiento const tuc onal Créd to público, -ra de dictamen que se oyes: á…</t>
  </si>
  <si>
    <t>Guiller</t>
  </si>
  <si>
    <t>…mant ner el orden en esta heroica provincia. Barcelona ay glo a los "Virtos vigentes. Apnbaeo. de Abril de idaa.seJuan Munarnz.” A la com son de Comercios? pasó una exposición de D. Guiller mo Oliver , tx-diput do » Cortes, y vec no de Tarragona , acompañan Madrid Luntt 6 dr Mayo. do un inform- qne tenia extendido como individuo de la anterior co— mis-'on de aranceles sobre los mismos; y un impreso que contenía v*CORTES. rias observaciones, mani…</t>
  </si>
  <si>
    <t>Guillermo</t>
  </si>
  <si>
    <t>…A D. Manuel Romero, teniente del regimiento infantería Motril A D. Josef López Cbevarri, teniente del regimiento infan de Búrgot.con 570 rs. tería de Vitoria, con §70 rs. Avila al capitán D. Guillermo Den , teniente del regimiento in Mondofiedo i D. Miguel López Vázquez, teniente del regimienta fantería de Extremadura, con ^70 rs. infantería de León, con 570r»......... Aranda A D. Juan García Zenzano , teniente del regimiento infan Madrid A D. Lorenzo Fernande…</t>
  </si>
  <si>
    <t>Guindulain.rc.Vl, Joaquín</t>
  </si>
  <si>
    <t>Joaquín Guindulain.rc.Vl</t>
  </si>
  <si>
    <t>…iiarcelons no contienen noticias interesantes; pa las 10 de la noche =E1 capitán comandante Manuel Martínez de Mo ro hemos recib-do impreso el siguiente parte: ren!.n.zcSl alférez comandante Joaquín Guindulain.rc.Vl. I. ¡. gtfe su perior pul. tico de la provincia de Zaragoza.’’ Egérc.'lo del séptimo distrito militar. Cereña 14 de Agesto. En la mañana de este día he recibido el siguiente parte que me ha Se ha publicado la siguiente circular del gobierno político de esta d…</t>
  </si>
  <si>
    <t>Guirea, Manuei</t>
  </si>
  <si>
    <t>Manuei Guirea</t>
  </si>
  <si>
    <t>…des y ib caballos ,se ha unido otra de ge o de U s pr mero» \ uno» 3 - de ios pués, por sus cab .cillas Qursrdi , bantos Ladrón , Jjan.to y Ba.da. segundos a: nundo del comanda-t: D. Manuei Guirea , y 1. e s — „ No obstante el excesivo número de ellos al nuestro , pues se rué vamos la misma dirección qu: los fa-closcs, para ob.iga:.o» a qj- p.n:ha asegurado pasaban de i9, las posiciones ventajosas que ocupaban , la tren en dicho valle del Roncal.” aspe…</t>
  </si>
  <si>
    <t>Guiteler, Manuel</t>
  </si>
  <si>
    <t>Manuel Guiteler</t>
  </si>
  <si>
    <t>…el G'.b croo puede y c‘eb- uur D. Pantaleon García, cabo segundo de caba lería, y comandante de la de ella con justo motivo. La sola suspensión no podr, ser reclamad* eá partida; D. Manuel Guiteler; Joseí Fernandez Carrera; Esteban Casa justicia por el empleado qua la sufra , pues deberá únicamente hacer las do; Pedro Macto: Canuto Alvarcz; Pío Bedate, milicianos de caballe gestiones que le convengan ante sus gefes inmediatos y superiores, hasta ría; D.…</t>
  </si>
  <si>
    <t>Gullin</t>
  </si>
  <si>
    <t>…fíciles circunstancias de que estaba rodeada , dijo: Ahora quisiera que el Sr. secretario diga si ha habido ocurrencias Que cuando había oido el principio del voto referido por el Sr. Gullin, posteriores á la (echa de la consulta del consejo en las provincias de Ul en el que se censuraban las medidas propuestas por la comisión ionio tramar. poco decorosas á la Nación, habia creído que se iba á proponer el que El Sr. secretario de U Gobernación de…</t>
  </si>
  <si>
    <t>Gunacoa</t>
  </si>
  <si>
    <t>…c negocios de Cádiz y Sevilla, no tenia ya todo* loa antecedente*, y aun tamen. minutado al segando mensage! ¡ No te pidió la responsabilidad á laa Se dió cuenta de una adición dd Sr. Gunacoa! párrafo a.* del artí autoridades de Sevilla, porque aun insistían en la desobediencia, per culo 21 s del código penal para que ae declare « ai dicho párrafo ae refiere este mismo diputado que ahora ba hecho cata proposición! el tiempo de pubticarm la carta p…</t>
  </si>
  <si>
    <t>Gunzaúz, Vanuel</t>
  </si>
  <si>
    <t>Vanuel Gunzaúz</t>
  </si>
  <si>
    <t>…nos trata sino i un Mart n z 100. D. Jos.f Rodríguez 100. D. Manuel K.os fio. Don enconado resentimi. r.to, á no ser que cuando escribió esta apología se J'ran.- seo M.rtin-z fio. D. Vanuel Gunzaúz 80 D. Vicente de Vera acordase de ia América, y de las mvect vas que habría leído en algu 80. D. Juan Pcdto Morales 80. D. Joscf Santacana 80. Total io0 rs. nos autores poco ve rae s conira sus d scubridores y conquistadores, en quienes no suponen mas cualida…</t>
  </si>
  <si>
    <t>Guo-, Domingo de</t>
  </si>
  <si>
    <t>Domingo de Guo-</t>
  </si>
  <si>
    <t>…. absuelve de la ¡nstsncia, con reserva de nueva acusación ,*i hubiere lu Se rende el monetario que perteneció á D. Antonio Sane, impre gar á consecuencia de las declaraciones del cura D. Domingo de Guo- sor de Cámara que fue «le S. M., compuesto de medallones, medalla* sala y Teresa de Iturralde, prófugos, cuya causa se sigua por separado; y monedas antiguas y modernas de diferentes motlelos y metales, como condenando entretanto ádicho maiqnetde Valdespina p…</t>
  </si>
  <si>
    <t>Gur, Francisco</t>
  </si>
  <si>
    <t>Francisco Gur</t>
  </si>
  <si>
    <t>…pueblo. Una general alegría resplandecía en todos ios Licia atrás, y la disposición de la cara manifiesta la expresión del terror, semblantes: Al digno y patriota alcalde primero D. Francisco Gur rra lo cual le da la apariencia de una caricatura humana ; pero me inclino a ae le ha visto siempre dispuesto á cuanto pudiese contribuir al mayor creer que estas dos circunstancias son accidentales, y provi. nen del gé esplendor, al piso que zeioso del orden…</t>
  </si>
  <si>
    <t>Gurr</t>
  </si>
  <si>
    <t>…strito de la misma , precederá su coman Sexto distrito militar—Comandancia general.__« Ayei se adelantó el dante accidental á hacer la propuesta, y presidirá ia junta el 06-ial de comandante Gurr^a con la vanguardia camino de Aren: anoche supe emplro superior de los tres concurrentes, y dentro de uno nvsmo el que los enemigos habían reforzado el Pont de Montaña; dispuse que al mas antiguo, y lo mismo se verificará cuando se halle vacante la com- amane…</t>
  </si>
  <si>
    <t>Gurrea</t>
  </si>
  <si>
    <t>…dete evacuado á Caseda y se ha dirigido á Aibar, donde parece se reunirá extraviado. lia coadyuvado mucho el valor del alférez D. Josef Pesi con Ladrón y los restos de Quesada. Ei comandante Gurrea estará i no, que con su tino é intrepidez heroica dió exacto cumplimiento á la hora de esta sobre aquellos malvados con 600 infantes y 40 caballos. las órdenes que le comuniquéLa partida del Rojo, que te halla en la Sierra de Aib&amp;rracin, es peí- » Los dos sar…</t>
  </si>
  <si>
    <t>…ta este pu b'c. No doy CoiHt'Kicion. á V. 5. It&gt;» detalles de esta escaramuza por no haberlos extendido toda Dspues se leyó y mandó pasar con urgencia 4 la comisión de Cons vía el comandante Gurrea. titución una prop' sicton d i Sr. Miranda , pidiendo que s« declarase re - El día 6 fueron batido» en Oliete por la columna del mando del belde al Gobierno de Rio-Janeiro, y traidores á todos loa que le obe teniente coronel D. Jostf Segaría , &lt;1 Gitano, Le.…</t>
  </si>
  <si>
    <t>…ncia', seguu'parece. Entre sus com pasado muchos dispersos de los facciosos, dirigiéndose a&gt;C;nca: que el pañeros de fortuna ha corrido la especie de que las falanges feotas se ha comandante Gurrea habia alcanzado al anochecer y muerto unos cuan bían apr derado de Figueras. tos en Sig.ma,y que M¡rallelas solo con cuatro de á caballo pasó el 16 D as pasados llegó á Socoa en una lancha de Lequeitio un tal Lan- á las 5 de la tarde por las inmediaciones de…</t>
  </si>
  <si>
    <t>…ab?e , y aun necesaria, 00 Despacho de ia O -erra lo siguiente: soto á los eclesiásticos, sino también y aun quizá mas á nuestros legis " • a primera columna ai mando del teniente coronel Gurrea ocu ladores y poiit cos, r los prof sores (i* ambas :uriprudrncias y i cuan pó rsla mañana á &lt;-»ia ciudad, y á poco entró en ella la segunda: am tas personas i u.tradit se interesan en c srreg o y armonía de las do* bas han permanecido aqu&gt;. La tercera esta a…</t>
  </si>
  <si>
    <t>…smo que las guerrilla* sobre el flanco izquierdo del enemigo en tu retirada la primera, del se colocasen i la parte opuesta del camino, en una línea de piedras, mando del teniente coronel Gurrea, mientras yo con le tercera me que ocupaba casi la extensión de su frente, manteniéndote un poco á dirigía por tu retaguardia: la caballería que destaqué al trote no ha po retaguardia del centro de ellas el resto de la columna. El enemigo hi dido alcanzarlos,…</t>
  </si>
  <si>
    <t>…24 hombres con inutilizados lo* puentes, y pronto el someten general de la Conca: he uu oficial, el subteniente D. Manuel Alegre, unida con ¡a de patr odispuesto este tarde que el comandante Gurrea con unas compañías de tas al mando del teniente D Jaime Gallan, .i su encuentro en la di cazadores y unos pocos caballos se adelante sobre el puente , con cuyo rección que llevaban, como lo verificaron, apostindose en el pueblo de movimiento los enemigos se h…</t>
  </si>
  <si>
    <t>…da Zaragoza 18 dt Noviembre. becerro ó becerra i 60 por la de buey , vaca ó novillo, y 6 por cada Nuestros periódicos publican las siguientes noticias: cerdo. Carta esctit* por *1 comandante Gurrea á un amigo tuyo. Deipues de una breve discusión quedaron aprobados esto* artículos, Pont 8 de Noviembre dt iSsa. - Con fecha del 4 te escribí desde extendiéndose el primero de este modo: «Que se permita'en Barcelo Bslaguer nn-stra entrada *n aquella ciudad, y…</t>
  </si>
  <si>
    <t>1?!ít Toledo que destacó el general con el comandante Gurrea (instruido sargento Ramón López , á lot toldados Ignacio , Benito , Bartolomé, ya de sus plañís) pata que mandase el ataque de ia cordillera que se iba Ramón Fetter , Francisco Pineda, Tomas Soler, Mariano Portugués, formalizando. Manuel Sánchez, Josef Rincón…</t>
  </si>
  <si>
    <t>…a pereona que ¡o* entregue ó dier: razón de • Exento. Sr.: A una misma hora hemos salido esta mañana de Sort ellos á D Josef Antonio Blanco, tu apoderado en esta co:te , que vi el comandante Gurrea con la quinta división de tu mando, encargado ve calle de la Encomienda , núm. 4 y 5 , cuatto bajo de la derecha. por mi de seguir los pasos i los facciosos que llevamos delante hace Se han extraviado tres privilegios d: juro»: uno dt mrs., sobrt tíos dias, y…</t>
  </si>
  <si>
    <t>…ez de la mañana hemos bailado casi rencia de Fernando vn y un piquete de caballería del Infante , y encar á un mismo tiempo las avanzadas de los facciosos colocadas á la en gué al comandante Gurrea el ataque de la izquierda , reservándome el trada de la Cerdaña en la inmediación de Montallá. Inmediatamente de la derecha con el resto de las tropas que componían las divisiones han tratado aquellos de colocar sus fuerzas ea posición ; mas como á la primera…</t>
  </si>
  <si>
    <t>…parroquiales debía paszc i la comisión de Legislación. Zaragoza ij de Diciembre. Aprobado. Continuó la discusión de la ordenanza del ejército. Se han recibido aquí 00a cartas del comandante Gurrea al general Se aprobaron los artículos siguiente». Bellido, cuyo conten.do es como sigue: 1/ La vu de Urgcl 14 de Noviembre: » Mi afectísimo general: TITULO X. t neo la satisfacción d-.- cs.iib.r » vmd. desde esta ciudad , donde los ene migos de la patria se c…</t>
  </si>
  <si>
    <t>Gurrea, M</t>
  </si>
  <si>
    <t>M Gurrea</t>
  </si>
  <si>
    <t>…rimer lugar Mr. Bagge Katliursi, y de de Avguedas que i las d'-s te la madrugada vedase fi sus alcances el signaban al lord Harrowby para plenipotenciario al Congrego (si valiente comandante D. M Gurrea, con do caballos al rr-n»lo lujr). dod.l de igual clase D. M gu.l li.i-anea, y veo infecte» ce To Loa parisienset se van á ver libres de oir vrrdides en la tribuna na ledo , que tuvieron la dicta de enccctrai ios en ia mañ-na de ev-r cional ; pues el dia 17 l…</t>
  </si>
  <si>
    <t>Gurrea, Manuel</t>
  </si>
  <si>
    <t>Manuel Gurrea</t>
  </si>
  <si>
    <t>…resto de la infantería y caballería por el urina ss A momo Remon Zarco del Valle. que viene de las Cu.-vas á dicho T rig. Al llegar á su inmediación _ El comandante de caballería D. Manuel Gurrea con fecha 19 del d sparó el vigilante de la torre; y mandando avanzar i todo escape i corriente , y desde Egui , me dice lo que sigue: (Véase ¡a Gaceta del la caballería por el pu b'o, sostenida por la guerrilla de infantera , tua6 , artículo de Pamplona.) vi…</t>
  </si>
  <si>
    <t>…s gasto* públicos y ssfialando arbi «n refresco esta digne tropa que tengo el honor de mandar , y man trios para llenarlos. {Gaceta del 26.) dando al saliente patriota el teniente coronel D. Manuel Gurrea ata Decreto de las Cortes en que se hace el repartimiento de so millo» case con su columna , compuesta de loa cuerpos de Hostalrich , partidas net de rs. sobre el clero. {Gaceta del 17.) da Toledo , Lusitania y la Reina y siete patriotas voluntarios, y al co…</t>
  </si>
  <si>
    <t>…do con los anteriores , y de la milicia de Soria un terrtorial de Valencia, vacante poz falicc.miento de D. Da m.c o Aicabo muerto y un sargento herido. purnte. se ha dado pane al comandante D. Manuel Gurrea , que existía Igualm-nt: ha trnído á b!en ncmbtat S. M. para ias des f-i ss anoche en Arguenas, y rescató al alcalde, adonde le remití y8&lt;5 pa de la de Galicia i D. Josef Moreno Remirez y a D. Arttor o \r as res de *1 pirraras para su tropa. de Prada. C-'A és…</t>
  </si>
  <si>
    <t>Gurrea, Pedro</t>
  </si>
  <si>
    <t>Pedro Gurrea</t>
  </si>
  <si>
    <t>…re filosofo Je nuestro* tiempos, tratan ría, del ayudante de Lusitama D. Pedro Antunes, del alférez rct iado do de .iquel d ■ que disfruta toda corporación cuando se le falta á la D. Pedro Gurrea, y del cap.tan de cgerctio y de la milicia voíunt.r.a justicia, se expresa a,i : •* De la obligación indispensable que ia natura» de Tafalla D. Joaquín Sanz de Mendiondo , que viene voluntar,o, aban iezi impone á 11» naciones para que no sufran la injusticia…</t>
  </si>
  <si>
    <t>…e; y ahora puedo extenderme á decir que su valor , unido al de i3. Retirada la tropa, se colocarán las músicas, á saber: la de la mi ayudante D. Joaquín de Aragón , el subteniente D. Pedro Gurrea, milicia en el balcón de la Panadería, y las del Infante y Guadaiajara el sargento segundo Juan Bala, y los soldad ;s Antonio Ponce y Pedro en el de la obra r&gt;u:va, para tocar carciones patrióticas, contradanzas Molina, de Lusitana, y del de la Reina Antonio…</t>
  </si>
  <si>
    <t>Gurtca, Manuel</t>
  </si>
  <si>
    <t>Manuel Gurtca</t>
  </si>
  <si>
    <t>…de algún08 recodo* que formaba la moutafia para cubrirás del faego enemigo, y felicidad. JTJfm g. cargando 4 lo* rebelde* en cuanto el canal lo permitía. (Despachó dos El teniente coronel D. Manuel Gurtca dice al Sr. comandante ge ordenanzas en busca del comandante de la caballería qoa había manda neral de este texto distrito militar desde Sangüesa con fecha de t.* del do retirar con el convoy desde el principio del fuego, con orden do no detenerse has ti enco…</t>
  </si>
  <si>
    <t>Gustavson</t>
  </si>
  <si>
    <t>…es á la censura de Francfvrt 31 de Marzo. los escritores, quienes, como decía Mr. Laporte, forman una nación aparte. El hombre público que una vez se ha comprometido a favor de El coronel Gustavson (Rey que fue de Suecia) se ha quejado de irjurias contra el ed tor y el autor de una biografia relativa á su perso los intereses de su patna , se debe ya todo é ella , y por tanto está obligado á sacrificar en obsequio suyo, no solamente tu repo,r&gt;, uno na qu…</t>
  </si>
  <si>
    <t>Gustawson</t>
  </si>
  <si>
    <t>…da proponerse en la presente De los estados auténticos que se han publicado resulta que en el afio legislatura. pasado de 1821 murieron en esta capital 2911 hombres, *547 muge- El coronel Gustawson (antiguo Rey de Suecia) ha publicado una res, 2561 niños que no llegaban á diez años, 2282 niñas de la misma obríta intitulada: Ati opinión sobre la Constitución, militar de la Suiza edad: total 10,311 , esto es ,411 menos que en 182c. dedicada á mis confeder…</t>
  </si>
  <si>
    <t>Gutiér, Alejandro</t>
  </si>
  <si>
    <t>Alejandro Gutiér</t>
  </si>
  <si>
    <t>…e creerse que no pertenecen A dicha aula.” (Hace casi la contribución. anuía pintura que la Gaceta.) Después de hablar del tumulto de los Otro relativo á la memoria presentada por D. Alejandro Gutiér estudiantes dice: » Ya los combatientes divididos en dos cuadrillas pa rez, relativa á la inversión de los caudales del Estado. La cornisón opi recían estar prontos á veair i las manos.” Una grande mayoría de ellos naba que debia archivarse. se había reunido…</t>
  </si>
  <si>
    <t>Gutiér, Ar.tonio</t>
  </si>
  <si>
    <t>Ar.tonio Gutiér</t>
  </si>
  <si>
    <t>…s, En la ciudad .de Tarragona, reunidos los Sres. jueces de hecho y también es cierto que notamos en dos periódicos, uno ingles y otro Don Josef Antonio Bertrán, D. Rafael Sdsate, D. Ar.tonio Gutiér francés, «n lenguage di veno del que antes usaban .* enemigos irreconci rez de Pando, D. Guillermo Olivrr, D. Pablo Sauri y Ern, Don liables da la Espada, invocéban contra nosotros todo el poder da la santa Juan Olivclla, D. Josef Pujol, D. Jo»ef Martí y D. F…</t>
  </si>
  <si>
    <t>Gutiér, Pedro Alvarez</t>
  </si>
  <si>
    <t>Pedro Alvarez Gutiér</t>
  </si>
  <si>
    <t>…e los han tenido ni los que los puedan te viduo como opinaba la comisión. ner. Yo no sirvo empico ninguno en palacio , luego no hay duda que Granada. D. Francisco de Paula Soria , D. Pedro Alvarez Gutiér puedo ser d putado de Corles. La misma lista de que ha hecho mérito rez, D. Pedro López de Luque y D. Antonio Segura. La comisión el Sr. preopinante me servirá para demostrar lo contrario que ha creído después de haber examinado lo* poderes de estos Sres. opi…</t>
  </si>
  <si>
    <t>Gutiérrez, Aivar.z</t>
  </si>
  <si>
    <t>Aivar.z Gutiérrez</t>
  </si>
  <si>
    <t>…del Sr. Isturia , que te declaró com Vara prim.r sup ente salió electo el Sr. Soria por 84 votos, tenien prendida en el art. too del reglamento, y se admitió á discusión. do s el Sr. Aivar.z Gutiérrez, 2 los Sres. Eseovedo , Infante y Sálva ••Pido que no se declare ningún a.unto por b star.t; discutido lo , y uno los '-re*. C'sas, Abreu, Gómez (D. Manuel) , Airx , Mat cuando sea un secretario del Despacio el último que haya usado de la ch jrri.o, O.rver ,…</t>
  </si>
  <si>
    <t>Gutiérrez, Alrarez</t>
  </si>
  <si>
    <t>Alrarez Gutiérrez</t>
  </si>
  <si>
    <t>…o del orden de Tiin tar es car* ¡L, rior , la cual quedó aprobada mandindo agregar á ella el voto particu de la c udad de Cordobe, en que pedia sa le abonase por dicto con lar del Sr. Alrarez Gutiérrez, contrario al sentido en que se había vento1 la cantidad que ic pertenac a por su legitima, y que Kilia p.-iciaprobado el mensaje. b:do este, y que te declarase por punto gener-1 que todos los .. . ven La comisión de Legislación presentó su dictamen sobre la…</t>
  </si>
  <si>
    <t>Gutiérrez, Alvarez</t>
  </si>
  <si>
    <t>Alvarez Gutiérrez</t>
  </si>
  <si>
    <t>…opinaba que de S. S. Fstas listas se reparten por el sumiller de Corps; y la de este año bían aprobarse. dice: Lista d; los gentileskombres de Cámara existentes en 1° de Entra El Sr. Alvarez Gutiérrez manifestó circunstanciadamente todo lo de 1H20 , con distinción dé los que no desempeñan esta 'servidumt rc ror que había ocurrido en Baza en la elección de diputados i Cortes. En se tener ot¡ os destinos , de los que se hallan en aptitud de servir al Bey gui…</t>
  </si>
  <si>
    <t>…los re tas las aprobaron; pero habiéndose echado de minos en los drcr&lt;.toa ligiosos en sus cuestaciones.” de Cortes ios sueldos, ó sea la planta de la secretaría de Estado , se El Sr. Alvarez Gutiérrez leyó el informe de le comisión especial propone ahora que se envíe á las Cortes para su aprobación. Respecto nombrada para examinar la memoria del Sr. secretarlo de la Goberna de los sueldos que deben gozar los oficiales mayores de las secretarías ción de la…</t>
  </si>
  <si>
    <t>Gutiérrez, Andrés</t>
  </si>
  <si>
    <t>Andrés Gutiérrez</t>
  </si>
  <si>
    <t>…causa.” responda para su cumplimiento.” Habiéndose denunciado ai Sr. alcalde constitucional D. Rodrigo Lo participo 4 V. S. a! fin expresado; sirviéndose avisarme de su Aranda por D. Andrés Gutiérrez, como poderhabiente de varios indi recibo. Madrid a2 de Abrit de 182a. viduos del consulado de Santander y varios comerciantes de la misma Dirección ¡entra! Je Hacienda pública. plaza , el folleto tí'ulado Manifiesto que hacen los ¡ejes de ¡a adua El Excmo Sr…</t>
  </si>
  <si>
    <t>Gutiérrez, Antonio</t>
  </si>
  <si>
    <t>Antonio Gutiérrez</t>
  </si>
  <si>
    <t>…onio Hernández Morrjon , que vive calle dtl Principé, i.° D. Manuel Josef Quintana por 65 votos de x s 3. esquina ú la plazuela de Matute, núm. a; en la inteligencia de que se a.° D. Antonio Gutiérrez por 64 de 119. rán preferidos los que disfruten pensión del erario nqpional. j.“ T&gt;. Manuel Carrillo por 61 de 114. 4.a D. Joaquín Fondevila por 58 de x 11. Habiéndose denunciado a! Sr. alcalde constitucional de esta muy héf.“ D. Joaquín Baeza por 63 de 10a.…</t>
  </si>
  <si>
    <t>Gutiérrez, AVtrez</t>
  </si>
  <si>
    <t>AVtrez Gutiérrez</t>
  </si>
  <si>
    <t>…sentase su preyecto sebre es Otro de la de Diputaciones provinciaies para que se pase i la de tos puntos. Casoi de responsabilidad la instancia de D. Joscf García, vecino de le Ei Sr. AVtrez Gutiérrez dijo que la comisión hab.a cons.deraJj villa de tleilin (provincia de Murcia), quejindote de aquel ayunta este punto en la memoria dei m msterio de la Gobernación d. i» Pe miento por sus procedimientos en la cobranza de ciertas cantidades. nínsula con la exte…</t>
  </si>
  <si>
    <t>Gutiérrez, Bonifacio</t>
  </si>
  <si>
    <t>Bonifacio Gutiérrez</t>
  </si>
  <si>
    <t>…la tancias prescritas hayan defendido la patria , padeciendo por ella infi hospitalidad domiciliaria. nitos trabajos. Asi que , apruebo en todo el dictamen de la comisión. Sr. Dr. D. Bonifacio Gutiérrez, profesor de cirugía y medicina, y Después de haber hecho varias observaciones el Sr. Roncero con catedrático de la escuela especial de la ciencia de curar en esta corte, tra el dictamen de la comisión , á las cuales contestó el Sr. Adan , se individuo de la…</t>
  </si>
  <si>
    <t>…ncisco Javier Caro , presbítero, D. Josef, de su mafiana con una oración inaugural facultativa, que leerá el doc Doña Josefa y Doña Joaquina Caro Gutiérrez, todos cuatro herma tor D. Bonifacio Gutiérrez, catedrático de la misma, ha acordado la nos , vec nos los tres primeros de Valdemoro, y la última de esta mi*, {'unta de catedráticos, se manifieste al público para el conocimiento de ma corte, D. Agustín, Doña María Ugaite y Díaz y Dolía Ana Ma os que aspir…</t>
  </si>
  <si>
    <t>Gutiérrez, Gabriel</t>
  </si>
  <si>
    <t>Gabriel Gutiérrez</t>
  </si>
  <si>
    <t>…n razón de no tener el tiempo suficiente de D. Eustaquio Martínez de Toro, i D Josef Eladio Garcés; para la del residencia en la provincia. de Sedaño, en la provincia d- Burgos, á D. Gabriel Gutiérrez; para la Después de una ligera discusión, y de haberse leido un documento del de Ateca, en la de Aragón, vacante por fallecimiento de Don justificativo que dicho Sr. Entrena presentó &gt; te acordó i petición del Agustín Palacios,á D. Andics Ramos Rico; para la…</t>
  </si>
  <si>
    <t>Gutiérrez, Gaspar</t>
  </si>
  <si>
    <t>Gaspar Gutiérrez</t>
  </si>
  <si>
    <t>…ltar, y que por desgracia no habían autoridades de Barcelona. salido vanos estos presentimientos, pues que los desastres llegaron á su Otro de la misma, relativo á la solicitud de D. Gaspar Gutiérrez, colmo en la noche del 17 del corriente, en la que se renovaron en cier vecino de Segovia, para que se le satisfagan los suministros hechos al to modo los excesos del 10 de Marzo en Cádiz. siendo el caso que una ejército de 1 astilla la Vieja: la comisión es…</t>
  </si>
  <si>
    <t>Gutiérrez, Melchor</t>
  </si>
  <si>
    <t>Melchor Gutiérrez</t>
  </si>
  <si>
    <t>…ta aqui se hacían en los sueldos con varios nombres y apli- Agustín de Frías y Val, administrador en aquella ciudad del Excelen cac-ones. tísimo señor duque de Frías y Uccds , y á D. Melchor Gutiérrez, ad 4.0 La rebaja de sueldos se entender! temporal, y se bar! de los ministrador del Excmo. Sr. conde de Miranda en la villa de este que se devengaren en el próximo afio económico, que empezar! el t.° de nombre: la junta nombrada celehra sus sesiones en aquel…</t>
  </si>
  <si>
    <t>Gutrta</t>
  </si>
  <si>
    <t>…en el tro con 500 hombres lo escoltaré hasta Campo, y ti es menester hasta no , tuvo el desconsuelo de que se te hubiesen anticipado los traidores, Benarque, permaneciendo aquí el comandante Gutrta hasta mi vuelta, quienes le hicieron arrojar desde lo alto del serrallo el cadáver del in y el brigadier Saiz, de quien nada sé. Dio» guarde á V. E. muchos feliz Monarca; pero no desmayó por eso ni dejó de sostener el valor años. Graus 8 de Setiembre de i8zt.…</t>
  </si>
  <si>
    <t>Guydyr</t>
  </si>
  <si>
    <t>…ar ceremonia, como asientos &amp;c. Ademas para la conservación del orden 7 tículo ; pero ti la ley ni puede ni debe ser ateísta, tampoco debe ser sec buen gobierno se ha nombrado al lord Guydyr para hacer 7 firmar loa taria , 7 tal la haría el proyecto det Gobierno si quitaseis al jurado el billetes de entrada á la sesión. A este efecto ha publicado un edicto avi conocimiento de esta especie de negocios para trasladarlo á los tribuna sando que Entre…</t>
  </si>
  <si>
    <t>Guzman, Alfonso Perez de</t>
  </si>
  <si>
    <t>Alfonso Perez de Guzman</t>
  </si>
  <si>
    <t>…venta y emisión de __ 13. Seis por ciento de la is’a de Tenerife, juro perpetuo de 40 millones de rs. vn en rentas al g por 100 , inscribiéndolas en el 112,054 mrt., en cab za de D. Alfonso Perez de Guzman , patriarca gran libro. Art. i.° Dichas rentas se venderán al mayor precio posi de las Indias y limosnero mayor de S. M_ 1 o. Salinas de Cuenca, ju ble , consultando loa tiempos y la* circunstancias. Art. 3.0 El Gobier ro perpetuo 33,660 mrs., en dicha cab.-z…</t>
  </si>
  <si>
    <t>Guzman, Alonso de</t>
  </si>
  <si>
    <t>Alonso de Guzman</t>
  </si>
  <si>
    <t>…. 781 maravedises en dicha cabeza.__i.° Millones de Jaén, en tíos juros *98,913 mrs., uno de 126,535 , y el otro de 72,388 , en cab.za ¿a I Artillería i pie.. ............... saos D. Alonso de Guzman , patriarca de las Indias__19. Segundo m :d:o Valencia.. (.Tren............... 164. 4,3*0- por soo de León , juro 80,907 mrs. , en dicha cabeza___j. R-nu, de Infantería de línea............ 1300-» Sota y Barrilla de Murcia, juro 367,288 mrs., en c beza de Dom…</t>
  </si>
  <si>
    <t>Guzman, Alonso Perez</t>
  </si>
  <si>
    <t>Alonso Perez Guzman</t>
  </si>
  <si>
    <t>…............... 650 maravedises : uno de 166,660 .otro de 149,788 , en cabeza d.l rela para la M. Los 69 capotes (Caballería ligera..»............N. A. se distribuirán.836 cionado D. Alonso Perez Guzman—8. Primero medio por too del En Madrid.....................................Artillería á pie.................. roto*500. tabaco, juro reducido 56,150 mrs., en cabeza del citado D. Pedro En la Coruña...............................................I Idem é caball…</t>
  </si>
  <si>
    <t>Guzman, Alonso Perez de</t>
  </si>
  <si>
    <t>Alonso Perez de Guzman</t>
  </si>
  <si>
    <t>…ja y D. Antonio Fulla, después de — 3. Segundo medio por ciento de Córdoba, juro perpetuo 759 haber examinado el papel inserto en el periódico Vigilante Tarraco mrs., en cabeza de D. Alonso Perez de Guzman, Patriarca de las In nense, núm. 18 , de! d.a 10 de Octubre Chimo, que empieza: No puede dias __5. Tercias de la ciudad de Ronda, juro de 1 i,8oo mrs., en ca menos ; y acaba : despreciados por , denunciado por D. Miguel de Ha beza de D. Antonio de Renavides y…</t>
  </si>
  <si>
    <t>Guzman, Alonso Pérez de</t>
  </si>
  <si>
    <t>Alonso Pérez de Guzman</t>
  </si>
  <si>
    <t>…endreislo entendido 2. Uno y medio por ciento de almojarifazgo, juro de 603,99$ mrs. • para su cumplimiento , y dispondréis se imprima, publique y circule. en cabeza del precitado D. Alonso Pérez de Guzman_i9. Almojari =Rcbricado de la RealmanasEa Palacio 4 6de Diciembrede 181*. fazgo mayor de Sevilla, en dos juros, 386,300 mrs.: uno de 15,100, =A D. Mariano Egea.” otro detdr ,200, en dicha cabeza _io. Primero medio por ciento de En su virtud el Excmo. Sr. secr…</t>
  </si>
  <si>
    <t>Guzman, Ambrosio Espinóla y</t>
  </si>
  <si>
    <t>Ambrosio Espinóla y Guzman</t>
  </si>
  <si>
    <t>…xistentes en el referido dia en la contaduría ge Guzman, cardenal de la santa iglesia romana, que talleció en 164c/, neral de recaudación para remitir i dichas secciones, ao r r ’ D. Ambrosio Espinóla y Guzman, su sobrino , que murió en 1641!; Íos cuales estuvieron depositados en la iglesia que tu.- casa profesa de Total.....................................-............ ajad los jesuítas hasta el 4 de Mayo del expresado año de 1710 , en que fue Madrid 14 de Setiemb…</t>
  </si>
  <si>
    <t>Guzman, Antonio Manrique de</t>
  </si>
  <si>
    <t>Antonio Manrique de Guzman</t>
  </si>
  <si>
    <t>…1.309,680 mrs.: uno que fuere mas ventajosa al erario público. Madrid 7 de Diciembre de de 640,770, otro de 476,810, y el otro de 192,100 ea la relacionada abzi. cabeza y en la de D. Antonio Manrique de Guzman._i 14. Dichas sa* El Gotismo ha recibido el oficio siguiente t linas, juro y haber 155,10a mrs., en cabeza del citado D. Alonso---I. Servicio ordinario de Toro, juro 111,500 mrt,, en la misma cabe n Excmo. Sr.: Pot el parte que tuve el honor de dirigir i V. B…</t>
  </si>
  <si>
    <t>Guzman, Francisco Ramírez de</t>
  </si>
  <si>
    <t>Francisco Ramírez de Guzman</t>
  </si>
  <si>
    <t>…iene en la caite y casa dei Sacra Los animales variantes: poema del abate Gasti, traducido al caste mento , cuarto 1° de la derecha. llaa. por un c sante. Al mayorazgo fundado por D. Francisco Ramírez de Guzman, qu* II. aquí una obra que se ha adquirido la mayor celebridad; y á pesar hoy posee D Fernando María de las Pedas, corresponden sus jucos si de que su cont-mdo no debe ser agradable á las cortes de Europa, en guientes.__ Uno de 93,73° nu&gt;- **e ,cntl anual, si…</t>
  </si>
  <si>
    <t>Gziano</t>
  </si>
  <si>
    <t>…eía que todo Cite Rey, y añadió que según ella debía pasar al Gobierno. asunto debía sez examinado por ia comisión de Casos de responsabi El Sr. Casrejon: Lo que ha manifestado ei Sr. Gziano no tiene lidad. contestación, y asi las.Cortes no «febea ocuparse en u :a exposición so El Sr. Tomas reclamó el reglamento por haberte entrado en discu bre la cual es el Gobérno quien debe reso.ver ; p. r o qje p do a) se sión sin preceder proposición , dicta…</t>
  </si>
  <si>
    <t>Gzroz</t>
  </si>
  <si>
    <t>…dó electo el Sr. Flore* Calderón por 88 voto», te cución de los facciosos fuera de los respectivos pueblos te satisficiesen niendo 11 (1 Sr. Ruiz de (a Vega * 5 el $r- Lillo, 4 el Sr. Gzroz , f por la Hacienda nacional, y no por los pueblos, en atención á la esca i uno los Sr s Alvarez Gutiérrez, Infante, Sálvalo, Navarro Tejei— sea de medica en que ae encontraban, y hallarse obligados á otros gasto* ro , Va'des (D. D.on s o) , Saavedra y Lop z…</t>
  </si>
  <si>
    <t>H'rreparte, Antonio</t>
  </si>
  <si>
    <t>Antonio H'rreparte</t>
  </si>
  <si>
    <t>…calles, expuestos á la intemperie, y faltos de todo. Zaragoaa ij de Agostr. * Quedan pues en 'cío cerca de zo9 griegos , repartidos la mayor o Acaba de llevar eo posta ei t. mente coronel D. Antonio H'rreparte en los as pueblo* que el valiente filies-agí ha tomado bajo su tt, y ha dejado en la c.ufad de Calatasud al g.ntra: i). Jai- Martin el protección, y euros habitantes concurren á la capiial sin que nadie loa Empecinado con U fueiza de 50a infantes, dos pi-za»…</t>
  </si>
  <si>
    <t>H, Antonio</t>
  </si>
  <si>
    <t>Antonio H</t>
  </si>
  <si>
    <t>…dro Suarez Quiro», cap.tan de mlantera y te coronel del regimiento infantería de Fernando vir, id. del bata! 'on de la m..icia activa de Oviedo, con ,c&gt; 410 rs. al mes Calahorra i D. Antonio H dalgo, espitan graduado de teniente co que disfruta en prov ncia. ronel del rcgitni' nto infantería de Burgos, d. Vich • D. Joaqirn Alb*rto Claver . capitán graduado de finiente Ferrol (antes Composteia) á &gt;. Juan de Medina, comandante en- coronel del regimie…</t>
  </si>
  <si>
    <t>H, D</t>
  </si>
  <si>
    <t>D H</t>
  </si>
  <si>
    <t>…ledi : obertura de la Figlia deltaria del nía.si'o l ame y IX ri ie Jos f Gallego. IlaUt .a la coníeipncia, resudó por uuaui- para p '.no forte, todas grabadas y estampadas por el profesor D H:ttou: daJ n..i_ r tugar á ¡a formación dt cauta. lomé VVitmb». A la mayo: brevedad publicar., dict o profesor les p— xas siiui-nt-s: marcha, cero y pie,aria de ia Guia ladra: ion-enea ANUNCIO.. del Ot.;io , canudo por ia hra. ba’a. olis-nua d-i Otero pata pla…</t>
  </si>
  <si>
    <t>H, Gonzalo de</t>
  </si>
  <si>
    <t>Gonzalo de H</t>
  </si>
  <si>
    <t>…ado, expedidos por el Crédito túrias. público. De la audiencia de Granada- D. Josef Ruiz Caballero á Valen j* » Que subsista la suspensión de las liquidaciones pendientes, se cia. D. Gonzalo de H -r-Hia á Sevilla. gún se previene en la orden de las Cortes, basta que se den para su De ¡a audiencia de Navarra. D. Fermín Sauz López á la de Ara egecucion reglas ciertas y rigorosas, que eviten los graves daños y per gón. D. Felipe Ba&gt;absr á la de Valladoli…</t>
  </si>
  <si>
    <t>H, Isidora de</t>
  </si>
  <si>
    <t>Isidora de H</t>
  </si>
  <si>
    <t>…anca , f». Fanci. o ti a Carrera, D. Marcos Menezo, Don vas siguientes.:dúo del primer acto del Otelo dt- Rossim , cantado ¡ &lt; r las 1’. ’io Ai&gt;ar- i).-l rio, D. Cayetano Romero, D. Isidora de H&lt;&gt;&gt;oa Sras. aa a y Lledi : obertura de la Figlia deltaria del nía.si'o l ame y IX ri ie Jos f Gallego. IlaUt .a la coníeipncia, resudó por uuaui- para p '.no forte, todas grabadas y estampadas por el profesor D H:ttou: daJ n..i_ r tugar á ¡a formación dt cauta…</t>
  </si>
  <si>
    <t>H, Manu-</t>
  </si>
  <si>
    <t>Manu- H</t>
  </si>
  <si>
    <t>…¡a» A^orti» de 24 de Marzo de 1S13 :a devo.vr**e con m. mi rra*'. 33 de Junio de 1813 , y en ia circular de S. M. de 16 de Noviembre Hecho este d.t'mdo ex«m-¡, encuentro: I. &lt;)ue D. Manu- H r* úd año pasado oand z, alias el Abuz o» y L&gt;. Jos f Mingo Ota.or-4, comeó ron el Y io comunico á V. S. de Real orden para su inteligencia y cum- d-iíto de conspirjc rn contra el &gt; &gt;trma con»t&lt;t ;c:ona: 4a? fe» z r»r^ t* pl m entó, y para qu: publicándolo y…</t>
  </si>
  <si>
    <t>H, Manuel</t>
  </si>
  <si>
    <t>Manuel H</t>
  </si>
  <si>
    <t>…ria de hoy.) En la ciudad de Málaga, reunido* los Sres. jueces de hecho Don Luego que S M. concluyó su discurso se levantó el Sr. pr-vdvnte Felipe de Alzu , D. Joaquin di MulgtEa, D. Manuel H dalgo y Ca de las Cortes, y contestó en estos términos. (Véate la 1 Caceta.") sino, D. Josef Ferrmn de Jáuregui , D. Líos d- Carretas y Ramón, H'b endo acabado de hablar el Sr. presidente, se f.vantó S. M., D Pablo Solana, D. Jo*;f García Mocj y Perez y D. ‘…</t>
  </si>
  <si>
    <t>Ha</t>
  </si>
  <si>
    <t>…o. hacerl.» levantar el campi . -2 h .ir Y r . —; ' - *&gt; Rector Sr. Mosco Eudait, ecnnumn de Olesa en Monserrat. , a.r: » Esta ido en capilla, y debiendo dar cuenta a Dios nuestro Señor Ha entrado en este pu r:o ei m -t . , c 1 n -: , esp tm T*,rrrr , d* dentro de breves horas de mis cutpas y pecados, conozco que fa tar a i Sta Cruz d: Ten -rife en 3- d-at, c-n du i 1, , papa, « i. e.i r,m* mi deber si no dirigiese 4 ruad, la pitscfile para des…</t>
  </si>
  <si>
    <t>Ha, Miguel de</t>
  </si>
  <si>
    <t>Miguel de Ha</t>
  </si>
  <si>
    <t>…m. 18 , de! d.a 10 de Octubre Chimo, que empieza: No puede dias __5. Tercias de la ciudad de Ronda, juro de 1 i,8oo mrs., en ca menos ; y acaba : despreciados por , denunciado por D. Miguel de Ha beza de D. Antonio de Renavides y Razan__541. Alcabalas de Ma lo, mar.scal de campo de los egércitos nacionales, y comandante mili drid, juro y haber 788,961 mrs., en cab-za de los Santos lugares de tar de la provincia de 1 arragoua , declararon por unanimida…</t>
  </si>
  <si>
    <t>Habiendo, Bartolomé</t>
  </si>
  <si>
    <t>Bartolomé Habiendo</t>
  </si>
  <si>
    <t>…,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renta en su presidente , vice-presidente y secretario mas antiguo el Sr. D. Diego esta corte, se les avisa por este periódico, á fin de que se…</t>
  </si>
  <si>
    <t>Habiéndose, Jo</t>
  </si>
  <si>
    <t>Jo Habiéndose</t>
  </si>
  <si>
    <t>…éis lo necesario á su cumplimiento.= E-tá rubri influido en lo mas mínimo las pasiones é intereses de la especie humana. cado de la Real mano, ss Araejuez 10 de Abtil de i8a:. = A D. Jo Habiéndose conformado los señores de la comisión se reformó el sef María Mosooso de Altamira. artículo en estos términos: » Una comisión especial de visita nombra Circulares del ministerio de la Gobernación de la reniñ óla. da por las Cortes, propondrá á las mismas las…</t>
  </si>
  <si>
    <t>Habiéndose, Pedro Serra</t>
  </si>
  <si>
    <t>Pedro Serra Habiéndose</t>
  </si>
  <si>
    <t>…uando se trate de la* rentas y su administración. Aprobado. ninguno de los Sres. la mitad mas uno de los votos; no hubo elección. La de Guerra en la instancia del capitán retirado D. Pedro Serra Habiéndose procedido á segundo escrutinio entre los Sres. Velase» no , pidiendo se le conceda el sueldo que le corresponde como inuttil y Castejon, tuvo cada uno 68 votos; y resultando empate ss repitió lado en campa fia, opinaba que debía pasarse esta solicitad al Gabá…</t>
  </si>
  <si>
    <t>Habiéndote, An</t>
  </si>
  <si>
    <t>An Habiéndote</t>
  </si>
  <si>
    <t>…Reunido* la mañana del 17 del corriente en el pa'acio de las Cor ber lugar á votar, y que la votación fuese nominal. tes los Sres. jueces de hecho D. Antonio Martínez de Velasco, D. An Habiéndote procedido á alia quedó aprobado el art. *.° por 88 vo tonio María Alca'á Galiano, D. Lorenzo Villanueva, D. Juan Rico, to* contra 44. D. Javier Isturiz, D. Juan Josef Sánchez, D. Ramón Busaña, D. Jo Los Srei. que aprobaron fueron los siguientes: Salvé, Prat,…</t>
  </si>
  <si>
    <t>Hablando, Galia-</t>
  </si>
  <si>
    <t>Galia- Hablando</t>
  </si>
  <si>
    <t>…ue han dirigi de una expresión mas vulgar, se han dicho favor.» y disfavores respec do las Cortes a S. M. to del Gobierno. El Sr. Argiielles: Dijo muy bien en la sesión de ayer el Sr. Galia- Hablando del secretario del Despacho de Hacienda dijo el Sr. pre no, que no se debe atacar á nadie tino en su presencia , y que hubiera opinante que no había podido menos de escanda izarse al verle presen deseado que el impugnado hubiese estado presente ; y yo no pued…</t>
  </si>
  <si>
    <t>Hacienda</t>
  </si>
  <si>
    <t>…leña que suministró á las tropas inglesas. de Toledo. Se mandó unir á un expediente general que obraba en la comisión de La comisión de Poderes, en vista de los presentados por el Sr. Don Hacienda. Joaquín Patiño, diputado electo por la provincia de Galicia , y de la so A la misma y de Infracciones de Constitución unidas una exposi licitud del mismo, para que atendiéndolas Cortes á la enfermedad que ción de la diputación provincial de Murcia, en la que…</t>
  </si>
  <si>
    <t>Hacienda, Ce</t>
  </si>
  <si>
    <t>Ce Hacienda</t>
  </si>
  <si>
    <t>…n no son avarientos, y desde luego están conformes coo lo que propore cipios que dejo manifestados. la comisión; y sin embargo si las Cortes quieren haceries alguna rebijt, El Sr. secretario Ce Hacienda: He observado que hubo algún mur los secretarios del Despacho desde luego ío aplaudirán. Debo decir en mullo cuando he dicho la mxligni.i.iJ dtl -utblj. Yo no he d.cho ni honor, no solo de los actuales secretarios del Despacho, sino también puedo d eir .1 mal…</t>
  </si>
  <si>
    <t>Hacienda, Francisco Dcbrar de Aaaiantla</t>
  </si>
  <si>
    <t>Francisco Dcbrar de Aaaiantla Hacienda</t>
  </si>
  <si>
    <t>…pan queen el terdam 1039 7 14—De Bring Pontoy de id. 1033 7 10__ La societérmino de 30 dia* acudan ante al Se. Rio*, por la escribanía mapor da dad de Vender hayen de id. 89 7 6.—D. Francisco Dcbrar de Aaaiantla Hacienda pública, á legitimar su penosa ydertchoa al remanante da 78» 7 4—Frege 7 compafiía de Leipeick 741 7 ia_D. Joan Cornei-la testamentaria del referido Vasal»; en inteligencia de que no haciéndolo, llio Frank de Hirchiberg 6y9_D. Martin Stochfleth de Hamburgoae…</t>
  </si>
  <si>
    <t>Hacienda, Miguel María de Velasco y</t>
  </si>
  <si>
    <t>Miguel María de Velasco y Hacienda</t>
  </si>
  <si>
    <t>…ara que pueda dispensar á los jueces de primera instancia de ban Cañtt. ' la obligación de preñar su juramento en las audiencias. (Gaceta drfjr.y __IX Nicolás de Santiago Rotalde, D. Miguel María de Velasco y Hacienda. L&gt;. Agustín Mascareñas denunciaron al Sr. alcalde i.° constitucional de Resolución do las Cortes ad.cionando el art. a.® dvl decreto sobre Eúrgos D. Ventura de Cerragería y Mendicta en concepto de subversi .explotación de minas. (Gaceta del g ) vo é injurios…</t>
  </si>
  <si>
    <t>Haciende, Ramón Cade Ja</t>
  </si>
  <si>
    <t>Ramón Cade Ja Haciende</t>
  </si>
  <si>
    <t>…fuese, tendrán arbitrio les asentistas á pedir se reconozca par p ritos inteligentes, nombrados uno por su parte, y otro por la Habiéndose denunciado a! Sr. alcalde constitucional D. Ramón Cade Ja Haciende nacional, y en caso de discordia, nombrará este terce sellas por D. Josef Selles, vecino de esta corte, el impreso titulado ro; siendo ds cuenta de los asentistas la pérdida de los que se desechen, Jluin.t del comercio interior de España , en concepto de subv…</t>
  </si>
  <si>
    <t>Haigas</t>
  </si>
  <si>
    <t>…Sto. Domingo. En el mismo sentido habió luego el gene que pudiese alcanzarlos la tropa, no obstante hab ríos perseguido dos ral Sebastian!; y i uno y i otro contestaron el contra-almirante Haigas dias consecut.vos hasta su entrada en Vizcaya en medio de las mayo y el conde Vaublanc. . . res privaciones y trabajos. Las modificaciones que proponían los Sres. Scbastiani y Laborde Paiazutlat dt la Sierra 16 dt Junio. fueron desechadas, á lo menos por una…</t>
  </si>
  <si>
    <t>Halcb-Efféndi</t>
  </si>
  <si>
    <t>…e ford tome nuevas medidas. Se decia que en la última conferencia que el punto; pero sí que es ya tal el escándalo que ha causado en los pueblos lord tuvo con el favorito del Gran Señor Halcb-Efféndi dijo este que de Europa el llamado corJon sanitario, que la política, y acaso la tran la Puerta no intentaba entrometerse en los negocios interiores de otra* quilidad del continente, están reclamando esta providencia: no habla potencias, ni que tampoco sufrir…</t>
  </si>
  <si>
    <t>Halen, Manuel Van</t>
  </si>
  <si>
    <t>Manuel Van Halen</t>
  </si>
  <si>
    <t>…o año*. Madrid '3 de Julio de «82í.icEt coronal, tenimt» co-ntul de principal cimiento para afirmar el feliz sistema que nos rige, y de mu Dragones Amcncau s, Antonio i&gt;íosuc =ii. D. Manuel Van Halen."</t>
  </si>
  <si>
    <t>Hallándote, Maria</t>
  </si>
  <si>
    <t>Maria Hallándote</t>
  </si>
  <si>
    <t>…to le cau sase perjuicio en su reputación. Los Sres. jueces de hecho que declara Dirección general de aduanas y resguardos. ron aisucito dicho impreso fueron D. Matías de Velasco, D. Maria Hallándote vacante la plaza de contador déla aduana de Ceuta, pro no Prtet, D. Miguel sanchez , marques de Riofiorido, D. Luis Oliag, vincia de Cádiz, dotada con 6600 rs. anuales, y siendo precisa su pro D. Joaquín Saez Quinlanilla y D. Gabriel Montaner; D. Francisco vi…</t>
  </si>
  <si>
    <t>Hamburgo, Corresponsal de</t>
  </si>
  <si>
    <t>Corresponsal de Hamburgo</t>
  </si>
  <si>
    <t>…. 1241 r*. y 1 maravedí. D.Crist/.bal de ZaF.l Diario de Franefort, periódico que te publica en francés, y *1 ya* id. 1141 rs. y 1 maravedí, D. Juan dé Seto id. 1678 rs. y 12 mrs. Don Corresponsal de Hamburgo en alemán, son los instrumentos de este Francisco Antonio Figueroa id. 1568 rs. y 11 mrs. Doña Antonia Ma partido anti-espaftol, para que circulen por la Alemania todas las pa ría Otero id. liso rs. y 12 mrs. Las Sras. Sopranis id. inors. y 1* trañas, todas l…</t>
  </si>
  <si>
    <t>Hamburgoae, Martin Stochfleth de</t>
  </si>
  <si>
    <t>Martin Stochfleth de Hamburgoae</t>
  </si>
  <si>
    <t>…remanante da 78» 7 4—Frege 7 compafiía de Leipeick 741 7 ia_D. Joan Cornei-la testamentaria del referido Vasal»; en inteligencia de que no haciéndolo, llio Frank de Hirchiberg 6y9_D. Martin Stochfleth de Hamburgoae daslaanrln loa bienes por mostrencos. En el testamento que otoñó en *109—D. Cárlo» Hetria 7 compafiía de Lóndrca 4941—Ponrtalos 7In nueva ciudad da Segovia i 18 de Diciembre de 1814, 7 bajo el cual compafiía de Neuchatell (34 7 18—D. Francisco Millant 7 compe…</t>
  </si>
  <si>
    <t>Hamelia</t>
  </si>
  <si>
    <t>…an Coloso, de las fragata* la Guerrera , la Tttis y de la corbeta e. Eco, torte por lo que respecta á la Turquía; r loe deseos de todo» los aman á las órdenes del contra-almirante barón Hamelia. Se juntarán á ella ees d» la humanidad se verificarán quizas mas pronto da lo qua se ts- el navio Juan Barí 7 loe bergantines el Simo y el Genio, que están «parejeado en Brea» -- aunda este segunde diviwofc el barón Meinard de gEtfffrfLoe , disfrazados de gr…</t>
  </si>
  <si>
    <t>Hammer</t>
  </si>
  <si>
    <t>…s feroces é ignorantes guerreros de la Europa occidental, ' teros y otro de pintas? los cuales insultaron y estropearon hasta las imágenes la Virgen, que Fn conclusión la obra del Sr. Hammer es muy interesante en las sin duda no conocieron por alguna diferencia en el trage. Despuesdeeste circunstancias actuales, en que toda la Europa está en expectativa espe hecho nadie se admirará ya de la destrucción de las bibliotecas , las rando cual será la…</t>
  </si>
  <si>
    <t>Hardemburg</t>
  </si>
  <si>
    <t>…den, «I respeto y la quieren que concurran acompañados de varios ministres , entre los cua conservación del pacto social, la obediencia i las autoridades establecí- les indican al príncipe Hardemburg y conde de Bernsdorf por la Pru* das, todo esto os está encomendado, y depende de vuestra firmeza y de sia, á lot Sres. Nctsclrode y Tatischtflf por la Rusia; p.*ro no citan to vuestro patriotismo, b n ia decisión de la milicia nacional y sin el de davía á lo…</t>
  </si>
  <si>
    <t>Haro</t>
  </si>
  <si>
    <t>…s habrá concluido Jos asuntos hombre-i en Cambrils para cubrir aquel punto. Al anochecer ha entra que tiene á su cargo para el de este mes, y se aplaz.rá para el di* do en esta el general Haro con algunos oficiales de estado mayor, 100 g del que viene. Durante este intervalo despachará ia Cámara a’ta los hombre* de tropa de línea y un cañón de á ocho. Veremos ti mañana ÍHls que tiene sobre la meta, y el dia 3 se cerrará la aesion con un dis se hará…</t>
  </si>
  <si>
    <t>…ar ragona el brigadier de los egércitos nacionales coronel de Pavía D. Juan nición el oficial mas antiguo de los nombrados , que haya de encarante Aidama, nombrado para suceder al general Haro en la comandancia del mando de la artillería de la plaza , entrará eo ella con los demás militar de aquella provincia, el cual fue recibido con las mayores de oficiales, un comisario de guerra, guardaaimacen y artilleros, recoge mostraciones de alegría. rá la…</t>
  </si>
  <si>
    <t>Haro, Miguel de</t>
  </si>
  <si>
    <t>Miguel de Haro</t>
  </si>
  <si>
    <t>…e séptimo distrito militar retirar.” me dice desde Tarragona con fecha de ayer lo que sigue: » Lo comunico i V. S. para su noi'cia y satisfacción, no practi » El mariscal de campo D. Miguel de Haro, comandante militar cando otro tanto con el parte que el citado general expresa haberme de esta provincia , me 4‘ce con fecha de ayer desde la villa de Valls lo dirigido desde la Espluga, porque no ha llegado á mi mano.” siguiente : « El comandante D. Ramón G…</t>
  </si>
  <si>
    <t>…ciosos que capita Dirección de resguardos. neaba el monge Trapeóse cerca de la Espluga por el mariscal de cam Excmo Sr.: Los Sres. diputados secretarios de las Cortes en 14 del po D. Miguel de Haro, y ia derrota de otra cuadrilla de 600 indivi actual me dicen lo siguiente: duos por D. Ramón Gali con las tropas y milicia de aquel partido ; y » Hallando las Ccrt.s fundadas las razones en que se apoya el Go man,Testaba haber reconocido las tropas nacionale…</t>
  </si>
  <si>
    <t>Haro, Vicente María de</t>
  </si>
  <si>
    <t>Vicente María de Haro</t>
  </si>
  <si>
    <t>…a del Toro a D. Leopoldo de Gregorio, espitan del reg imentó caba 5 'ríncipe, id. llería de Numancia, id. Castellón á D. Joerf Espinosa, coronel graduado y msvor coman Vai encía i D. Vicente María de Haro, capitán efectivo de infan dante supernumerario del regimiento infantería Infante D. Cáelos, id. tería y del batallón de la milicia activa de Alcázar da ü. J-an, coa Ciudad-Real a D. Joief O iraIdo, segundo teniente coronel del los 450 rs. al me» que dofruta…</t>
  </si>
  <si>
    <t>Harrowby</t>
  </si>
  <si>
    <t>…uadas, dispuse desde esta villa Lóndres el ttf que tenia el primer lugar Mr. Bagge Katliursi, y de de Avguedas que i las d'-s te la madrugada vedase fi sus alcances el signaban al lord Harrowby para plenipotenciario al Congrego (si valiente comandante D. M Gurrea, con do caballos al rr-n»lo lujr). dod.l de igual clase D. M gu.l li.i-anea, y veo infecte» ce To Loa parisienset se van á ver libres de oir vrrdides en la tribuna na ledo , que tuvieron la…</t>
  </si>
  <si>
    <t>Hato, Miguel de</t>
  </si>
  <si>
    <t>Miguel de Hato</t>
  </si>
  <si>
    <t>…al mariscal de campo D. Josef Vellido, gobernador de la plaza de Lé lencia; D. Amonio (Jasanova y Ravana-s, abogado; D. Juaqu n Ro rida. Para la de Tarragona al mariscal de campo D. Miguel de Hato, maguera, id.; 1&gt;- Félix Mora, capitán de infantería, teniente del ex gobernador de la plaza de Tortora. presado regimiento; ui mar.scal de campo D. Joaquín Ibarra, sibm»Octavo distrito. Para comandante general de él, que se compone de pector de aitillena; D-…</t>
  </si>
  <si>
    <t>He</t>
  </si>
  <si>
    <t>…s: el égército de la fe, ti etercito del resolución para escarmentarle como merece=.£7 príncipe dt Anglona. padre Trapenit I ¡ Y quiénes este padre de la Trapa! Una noticia que P. D. He excusado entrar en pormenores relativos al tal papel, se ha publicado de él lo presenta como un aventurero y como el hom pues no creo sea necesario decir nada acerca del crédito que debe darse bre mas malo de la Europa. ¡Y son estos los apoyos del altar y del…</t>
  </si>
  <si>
    <t>He-rcra</t>
  </si>
  <si>
    <t>…e podía ser conveniente dtfcrir El Sr. Olíver pidió se leyese el dictamen del consejo de Estado so este punto hasta que sobre él se oyese i la comisión Militar. bre este punto. El Sr. He-rcra dijo que el mismo tribunal podía proponer la refor El Sr. Ferrer contestó que el consejo de Estado suponiendo que se ma de que fu se suteept ble. podía establecer bajo otro pie un sistema de hacienda militar, creía qus El Sr. lsturiz convino en que se oyese i…</t>
  </si>
  <si>
    <t>Hedjiaz</t>
  </si>
  <si>
    <t>…atricios , porque Us coftquistu que se atribuyen á los árabes en general no las hicieron realmente osas que 1» tribus del Comandancia general dei tercer distrito—«• Exento. Sr. El capitán Hedjiaz y del Yemen (O 1** del interior de las tierr» no emigraron del regimiento caballería de Funesto D- Francisco de Torre*, que con 50 caballos del mismo cuerpo esta encargado de ia persecución y extermi (1} Estas grande* conquistas fueron posterioras á Mahoma, p…</t>
  </si>
  <si>
    <t>Heideclc, Santiago</t>
  </si>
  <si>
    <t>Santiago Heideclc</t>
  </si>
  <si>
    <t>…o del gran libro yr caja de amor __E1 lunes 14 se abre una cátedra de primer año de matemáticas á car tización , y de la hipoteca asignada al pago y redención de las rentas; go de D. Santiago Heideclc. Serán diat de lección les martes, jueces y en cujro único sentido ha de entende/se la expresada cita, pues en sábados de 4 y media á Ó.__EL viernes i.° de Noviembre se abre una todo lo demas, relativo á la emisión de las rentas á que se contrae ei cátedra de…</t>
  </si>
  <si>
    <t>Hele</t>
  </si>
  <si>
    <t>…fenecidas en la» audiencias de la que crea convenientes.” Península é islas adyacentes desde el día id’ de Abril de 1820.” Se mand-: pisar á la comisión de Guerra la siguiente del Sr. Hele: De los Sres. Escovedo, Domenech , Beltran de L:s y .-vl:r • En *» Pido á las Cortes prevengan a! G ibicrno que en todos lo» reglamen atención á las repetidas quejas que se han dado a las Cortes y al G b cr tos de uniforme que presente al Congreso para su apr…</t>
  </si>
  <si>
    <t>Hen-iquez</t>
  </si>
  <si>
    <t>…Sr. duque del Parque 41 votos, el Sr. Gener 45, el Sr. Ci'.deroa en no admitir ni aun ia sombra de una intirvencion a favor délos grie 39, el Sr. Sedeño uno , el Sr. Back otro, el Sr. Hen-iquez otro, ei se gos. Ais-una» cartas fidedignas que llegaron ayer á esta capital dicen qu* ñor Vaidés Bustos otro, el Sr. Villaboa otro, al Sr. Infante otro, v el el Emperador Alejandro , cansado de tanta altivez de parte de un ene» Sr. Aguirre otro .- tota! di v…</t>
  </si>
  <si>
    <t>Hencs-, Juan de</t>
  </si>
  <si>
    <t>Juan de Hencs-</t>
  </si>
  <si>
    <t>…destino á la servidumbre del Sermo'. Sr. Infante D. Cirios Ma Circular del ministerio sobre organización de la —i'-ii activa. ría, al t-nicnte general de los egércitos nacionales D. Juan de Hencs- (Id. de id.) trosa, en consideración i sus dilatados buenos servicios. Circular del mismo sobre colocación, distribución fleo de lot gefe» y oficiales que prestaron juramento al Rey intrato- (Id. deí ai.) ' Los duefios de rales de las nneve clases de ta creac…</t>
  </si>
  <si>
    <t>Henriquez, Antera</t>
  </si>
  <si>
    <t>Antera Henriquez</t>
  </si>
  <si>
    <t>…1.pediente remitido por la diputación provincial de Jaén sobre los pro novadat las que bajo el mismo cargo cuidasen de la distubucion. cedimientos del gobernador militar de Marto* D. Antera Henriquez El Sr. Arguelles dijo, que aun cuando se pudiera hacer asi queda contra Gerónimo'Tellcz, vecino de aquella villa, era de parecer que ba p&gt; r dicho medio una especie de excusa ó pretexto á las nu. vas jun dicho gobernador había infringido el art. *90 da la Constituc…</t>
  </si>
  <si>
    <t>Henriquez, Francisco</t>
  </si>
  <si>
    <t>Francisco Henriquez</t>
  </si>
  <si>
    <t>…ara el obispado de Torios»,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 Aprobados los poderes de estos Srcs. como proponía la co consejo de Estado, se ha dignado nombrar para una de las j…</t>
  </si>
  <si>
    <t>Henriquez, Joaquín</t>
  </si>
  <si>
    <t>Joaquín Henriquez</t>
  </si>
  <si>
    <t>…nel graduado y capi O una I). M.autI Ber,jum -, a, mayor comandante supernumera tán d-l regimiento infantería de Vitoria, id. rio del regirme oto mlánt-ría Oe Alrica, id. Alcalá á D. Joaquín Henriquez, mayor comandante supernume P'l tic a á D. Josef Orliz, ci'tninúar.t* de infantería y sargento rario del bala! on ligno prim.ro de Voluntarios de \ragon, ¡&lt;t. mayor de li m-t c-i aci.ra de inmpostna (Ferrol), id. Alcañiz i I). Ptbto Vi;a, espitan graduado tic…</t>
  </si>
  <si>
    <t>…. en la Fuente, D. Pabío Solana, D. Diego María López, D. Juan Jimé rústica.—Eximeni, instituciones phitosophicae et mathcmaticae: dos nez de Enciso, D. Josef Fermín de Jáuregui , D. Joaquín Henriquez tomos 8 ° marquilla, á *8 rs. en papel y 38 en pasta.__Idem, de studiis y D. Eugenio de La-Torre , declararon haber lugar a formación dt philosophicis et mathzmatícis: un tomo 8.° marquilla, 9 1*. en papel cauta contra el autor de las páginas 167 y 168 dei nú…</t>
  </si>
  <si>
    <t>Her</t>
  </si>
  <si>
    <t>…ecretario fue electo el Sr. Serrano por 61 votos del to Debiendo sacarse á pública subasta la contrata de la provfaíon de tal 120, reuniendo el Sr. Belda 31, el Sr. Romero dos, el Sr. Her ternera fina para lat Reales servidumbres de SS. MM- y AA, y en rera Bufamente uno, el Sr. Infante uno, el Sr. Seoane uno, el ae- virtud de resolución del Excmo. Sr. marques de Sta. Cruz, mayordomo fior Zu'ueta uno, y el Sr. Abren uno. mayor de S. M.; se hace…</t>
  </si>
  <si>
    <t>Her, Antonio</t>
  </si>
  <si>
    <t>Antonio Her</t>
  </si>
  <si>
    <t>…eza de £:rnardo López y Doña Beatriz de Valencia, su muger, cor recibido con agrado, te nombró una comisión que le examinase, y pre respondiente al vínculo ó mayorazgo fundado por D. Antonio Her sentase el reglamento que debería regularizar ulteriormente las opera nández de Llanos, y Doña Antonia de Valencia, de que es poseedora ciones de la sociedad. Discutido con la mayor libertad y franqueza en la Exenta. Sra. marquesa ds Bondad Real, se servirá e…</t>
  </si>
  <si>
    <t>Her, Gerónima de</t>
  </si>
  <si>
    <t>Gerónima de Her</t>
  </si>
  <si>
    <t>…aquel Juan Pablo Lavafia ó Lavaría-. otro en la renta déla media anata el bergantín de la armada nacional Jacinta, conduciendo la tropa de mercedes, de 143,691 mrs., en cabeza de Doña Gerónima de Her con que salió de Vigo y una goleta insurgente apresada. Que la corbe rera y Juan de Soto; y otro situado en media anata de mercedes , en ta Diana con el resto del convoy quedaba aobre el cabo de San An privilegio de 3759 mrs., en cabeza de Doña Francisca Leon…</t>
  </si>
  <si>
    <t>Her, Manuel</t>
  </si>
  <si>
    <t>Manuel Her</t>
  </si>
  <si>
    <t>…n de las comendadoras de Santiago en esta corte , comprendido* Hada unos 10 ó 12 diasque los facciosos habían cogido la corres lodo* en las causas seguidas rn dicho juzgado contra D. Manuel Her pondencia que había salido de Tortosa cerca de Amposta, y media hora nández (alias el Abuelo) , D. Josef Mingo Otalora, D. Manuel Ce antes de entrar allí los facciosos , por lo que se está formando cauta al ca , capitán retirado de artillería con grado de cor…</t>
  </si>
  <si>
    <t>Heras</t>
  </si>
  <si>
    <t>…levantó la sesión. á sus ministros, y se cree generalmente que si fallece, habrá muchos NOTICIAS DE ESPAÑA. partidos sobre la sucesión al mando entre el marques de Torre TaRe y el general Heras, segundo de San Martin, terminándose con la anar Madrid Miírtolet 2/ dt Marzo. quía, por lo que emigran á toda priesa muchas familias de españoles, De Ultramar hemos recibido directamente las noticias qu« siguen: contra los que no omiten los enemigos medio de…</t>
  </si>
  <si>
    <t>Hercules</t>
  </si>
  <si>
    <t>…t-Au!aire i la Cámara de ▼eras que si prendería á los delin-uentes, ó lo menos á parre de ellos, los diputados la proposición siguient: : pan impon r &lt;sei castigo que exigirse. E! Sr. Hercules, satisfecho con »• Tengo la honra de proponer i la Cámara que según el tenor del esta d”mostración , fue generoso, y se contentó con hacer entender a los articu.o 16 de la ley de aj de Marzo de 1822 mande que e! fiscal culpados 1a injusticia del hecho , y cad…</t>
  </si>
  <si>
    <t>Hércules, H.</t>
  </si>
  <si>
    <t>H. Hércules</t>
  </si>
  <si>
    <t>…aqu-los forajidos que era español. Estos pira asegurarse de la c.rteza cos, no obstante su superioridad, restablecer su dem nación en los drl h-cho llevaron al c .pitan 3 casa de D. H. Hércules, agente de Espa puntos meridionales de ¡a Turquía europea. ;Qu'én no se acuerda da ña , ei cual tomo á pechos este asunto , y dió queja al bajá, al genizaro las hazañas de Scandciberg en este pais escabroso, que presenta posicio aíá v 1 los aviles, protestánd…</t>
  </si>
  <si>
    <t>Heredia, Agustín de</t>
  </si>
  <si>
    <t>Agustín de Heredia</t>
  </si>
  <si>
    <t>…clases, Intendenta de Málaga con motivo de las dudas ocurridas en el despa h«mores y distinciones , excepto lo» que se concedan de justicia.” cho de una partida de cacao propio de D. Agustín de Heredia , entre Se verificó la tercera, lectura de los proyectos de libertad de im este, el odmsnitmdor de aquella adnana y la juna de sanidad por ao prenta , sociedades patrióticas y derecho de petición, y el Sr. presidente haber permitido sa introducción dicha junt…</t>
  </si>
  <si>
    <t>Heredia, García</t>
  </si>
  <si>
    <t>García Heredia</t>
  </si>
  <si>
    <t>…la de nuestro poeta. 168,730 mrs. de renta en cada un afio, situado ea las alcabalas d* T‘ do pu-s curnto d ce &lt; a.ti, FenJon y la tagiada Escritura debe en- Ecija , en cabeza del capitán García Heredia , su data en Madrid en 17 t :.--r .. d - los Monarcas que abusan de su autoridad, ó descuidan los de Agosto de 1590__ Otro de 37,300 mrs. de renta anual en las alca inijiortamis mos d b.r s que les impone su destino, bl abuso, los vicios balas de Ecija, en ca…</t>
  </si>
  <si>
    <t>Heredia, García de</t>
  </si>
  <si>
    <t>García de Heredia</t>
  </si>
  <si>
    <t>…su apoteosis en la Convención. Dios 13 de Mayo de 1397. Al mayorazgo fundado por Doña Ana de Pare mismo, que con &lt;us palabras y su cgemplo nos recomienda tanto el des , viuda del capitán García de Heredia, de que es poseedor D. Fer r- speio y la obed.encia A los Reyes , hace de ellos una pintura (cap. 8, nando María de las Pefiaá, corresponden los juros siguiente*.—Uno de 1 i.Rrg.), que c¡ itamet te no es mas cáustica la de nuestro poeta. 168,730 mrs. de renta…</t>
  </si>
  <si>
    <t>Heredia, Manuel</t>
  </si>
  <si>
    <t>Manuel Heredia</t>
  </si>
  <si>
    <t>…antiago, bajo el con Francisco Antonio Este vez, D. Andrés Fulgencio Blanco, D. Josef cepto de que pusiese en tesorería general lo* citados too® reales. Y no Gitpcrt, D. Pío Guas, D. Manuel Heredia , D. Felipe Goyos, Don hab endose personado el interesado con el fin de hacer la entrega, ni Juan Manuel Lnrr, D. Josef Sucarana, D. Josef Morales, D. Ma hecho otra gestión, é ignorándose su residencia, se le avisa por medio nuel Melero , D. Josef Perez, D. A…</t>
  </si>
  <si>
    <t>Heredia, N.</t>
  </si>
  <si>
    <t>N. Heredia</t>
  </si>
  <si>
    <t>…las comisiones de Aranceles se mandaron pasar una consulta caso se comprende asi el que mate por esta provocación , como el que del intendente de Málaga acerca de una solicitud de D. N. Heredia, por ella promueva en el acto una riña ó pelea de que resulte la muerta relativa al despacho de una partida de azúcar, y una exposición de del ofensor. D. Juan Antonio Miguel, fabricante de tapicerías , vecino de Valen - Segundo: por ti- peligro ó ultraje ó d…</t>
  </si>
  <si>
    <t>Hered’a, Rafael de</t>
  </si>
  <si>
    <t>Rafael de Hered’a</t>
  </si>
  <si>
    <t>…oe Odesa aS dt Abril. interesados podía accederse á sus solicitudes Aprobado. Ha/ todavía aquí alguno» «ugato» que creen que el Emperador sa La misma, en vista de le exposición de D. Rafael de Hered’a, pi crificará el ínteres aparente de la Rusia al Ínteres general de la Europa; diendo se le recomiende al Gobierno para que lo coloque en un desti y que este sacrificio , que le aeré mu/ doloroso , sari admitido con su no correspondiente á los méritos que con…</t>
  </si>
  <si>
    <t>Herí, Paulina Ugarte y</t>
  </si>
  <si>
    <t>Paulina Ugarte y Herí</t>
  </si>
  <si>
    <t>…Luisa Caro y Ugaite, de estado soltera, na tura' y rrfina que fue de esta corte , hija de D. Josef Caro Gsrcía y Se hace saber al público que parte de la correspondencia de As de Doña Paulina Ugarte y Herí fio, naturales que fueron el primero turias, que debió llegar á esta corte ayer 17 del corriente, fue inter de la villa de Valdemoro, y la segunda de la ciudad de Valencia, en ceptada por una partida de facciosos ó ladrones en Hurdongo , monta- cuyos autos á…</t>
  </si>
  <si>
    <t>Hermotilla, Baltasar</t>
  </si>
  <si>
    <t>Baltasar Hermotilla</t>
  </si>
  <si>
    <t>…la Puerta bajo iot En el día 6 de Octubre próximo pasado cgecutó en este villa eutpicioa del Austráy de la Inglaterra. No te duda ya que lot ejérci el licenciado en cirugía-médica D. Baltasar Hermotilla , acompañada to» turco» y ruto» te pongan en movimiento luego que le estación lo del profesor aprobado en la misma facultad D. Ildefonso Torra, con permita, es decir, á últimos de ette etc* ó principio» de Mayo. «istencia del médico D. Gerónimo Navarro y los…</t>
  </si>
  <si>
    <t>Hernán, C-uimíro</t>
  </si>
  <si>
    <t>C-uimíro Hernán</t>
  </si>
  <si>
    <t>…ara el de Oviedo; á D. Joaquín Roales , para ei de G ion : á calculables de desatender estas reclamaciones. Asi que, repito , que res D. Josef Antonio Zaldua, para e! de Avilé»; i D. C-uimíro Hernán pecto det Crédito público no hizo mas que acceder al voto de la comi dez , para el de Villaviciosa; á D. Gonzalo Vsldés Posada . pira ei da sión , que dijo debía hacerse momentáneamente. Llanet; i D Benito Suarez Campa , para el delnfiesio; i D. J -,;f Ló • U…</t>
  </si>
  <si>
    <t>Hernán, Lorenzo</t>
  </si>
  <si>
    <t>Lorenzo Hernán</t>
  </si>
  <si>
    <t>…os á Cortes , y de sueldos y gastos del tribunal de la Nunciatura. sueldos de los jueces de primera instancia. La comisión opinaba que A la de Instrucción púb'ica una instancia de D. Lorenzo Hernán este expediente no se hallaba suficientemente instruido, y era de pare dez , y otra de D. Josef Gabriel ¡sutil, párroco de Caracas, pidiendo se cer se devolviese para que se completara. Aprobado. les dispensen dos cursos literarios parapodr concurriré unasopo…</t>
  </si>
  <si>
    <t>Hernand, Félix</t>
  </si>
  <si>
    <t>Félix Hernand</t>
  </si>
  <si>
    <t>…te del batallón li Pontevedra ¿ 1J. Josef Pereira , teniente del regimiento infantería gero primero voluntarios de Aragón, con 570 ra. de Navarra, con 570 rs. Castellón ai capolan D. Félix Hernand, teniente del regimiento Ronda á D. Josef García Gotiza'ez , teniente de infartería y del tnfant ríu del Pnnc pe, con 570 rs. batallón de la milicia activa de Ronda , con 450 rs. Ciinchilla .i D. Feliciano Sala zar, teniente del regimiento infan Santiago á D.…</t>
  </si>
  <si>
    <t>Hernández, Alfonso Antonio</t>
  </si>
  <si>
    <t>Alfonso Antonio Hernández</t>
  </si>
  <si>
    <t>…pos donde te hayan D. Pedro García Bajo, escribano de tu número, te sigue expediente instrudo los pretendientes 4 ella. Esta opinión no es solo de los expo contra los herederos de D. Alfonso Antonio Hernández, vecino que nentes , sino de diferentes cuerpos literarios de las facultades que lo tie fue de aquella villa, sobre que paguen al Crédito público 6396 rt. y nen representado 4 las Corte*. La nulidad pues del proto-medicato es 20 mrs. que este le quedó debiend…</t>
  </si>
  <si>
    <t>Hernández, Antonm</t>
  </si>
  <si>
    <t>Antonm Hernández</t>
  </si>
  <si>
    <t>…ue dar Ensayo de ideología clínica, ó los fundamentos filosóficos parala le forma de tal á la que aun está en la niñez. Siendo pues evidente enseñanza déla medicina y cirugía: por D. Antonm Hernández .\lor&lt;que Nueva-España no goza de la abundancia que pudiera , porque ea jon: un lomo cu tt.u be hallará de venta en las libnna» de Pérez y limitada su población ; y siendo también cierto que la falta de cata de Calleja. EN LA IMPRENTA NACIONAL</t>
  </si>
  <si>
    <t>Hernández, Aquilino</t>
  </si>
  <si>
    <t>Aquilino Hernández</t>
  </si>
  <si>
    <t>…le este primer distrito militar los autos de testamentaría del Excmo señor tesorería de León. D. Josef Joaquín Duran, mariscal de campo de lo* egércitos naciona Soria int:rventor D. Aquilino Hernández, oficial de la contaduría les á instancia de varios interesados, se ha mandado celebrar junta ge principal de León. neral de herederos y acreedores, para la cual ha señalado el dia 28 del Málaga interventor D. Juan Josef Saelices , administrador cesante corri…</t>
  </si>
  <si>
    <t>Hernández, Francisco Javier</t>
  </si>
  <si>
    <t>Francisco Javier Hernández</t>
  </si>
  <si>
    <t>…iación cefebr.v'o Sres. que compusieron el jurado: D. Pedro Andrés. D. Antonio anta el Sr. D. Arias Gonzalo de Mendoza, alcalde constitucional de Co’omar. D. Pedro de la Cantolla. D. Francisco Javier Hernández. esta villa, se vende una cata de recreo y jardín perteneciente a&gt; i-vc - D. Bartolomé Espinosa. D- Domingo Menguar. D. Joscf Arroyo. Dan Jentismo Sr. duque de Medínaceli y Santistcban, sita en el lu zar de lJ.rni.negitdo Vinadea y D. Salvador Caqui». Caraban…</t>
  </si>
  <si>
    <t>Hernández, Josef María</t>
  </si>
  <si>
    <t>Josef María Hernández</t>
  </si>
  <si>
    <t>…concedida á D. Antonio Rafael Bctancourt, que la servia, ha manda Constitución ,con 610 rs. al mes. do S. M. se publique etta vacante, á fin de que los empleados en ac Manresa al capitán D. Josef María Hernández, segundo ayudante tual servicio ó cesantes que aspiren á ella, y reúnan las circunstancias supernumerario del regimiento infantería de Granada, con 610 reales prevenidas en los decretos de las Cortes y órdenes del Gobierno, pre al mes. senten sus instancias e…</t>
  </si>
  <si>
    <t>Hernández, Lorenzo</t>
  </si>
  <si>
    <t>Lorenzo Hernández</t>
  </si>
  <si>
    <t>…aba 4 las Cortes que el de Marina con fecha de La comisión de Tmtruccion pública, rn vista de una exposición de ayer le decia desde el Real sitio de Aranjuez que SS. MM. y A A. se D. Lorenzo Hernández, proto-médico de la Ha vana, pidiendo se le guían sin novedad en su importante salud. Las Cortes lo oyeron con dispensasen los años que le faltaban para obtener la jubilación , opinaba satisfacción. que drb a pasar 4 la dtroacion de estudio* para que la infor…</t>
  </si>
  <si>
    <t>Hernández, Manuel</t>
  </si>
  <si>
    <t>Manuel Hernández</t>
  </si>
  <si>
    <t>…da una, 9900 rs. Otra en dicho sitio, linde con otradeD. Julián guel Corriols. = Juan Bautista Dotres. rs Juan Evaristo de Castellar. = Salustiano Fernandez de Vclasco y huerta de D. Manuel Hernández, Joaquín Ruíra 7 Lacreu. = Pedro Comes. = Salvador Manzanares ss de caber cinco fanegas á 700 rs. cada una, importa «500 rs. Otra en Francisco Subiracha.sjuan Coll. = Pablo Torrents. el sitio del tejar y vega de la misma, linde con tierra de Monjas de To ledo…</t>
  </si>
  <si>
    <t>…capellán de las comendadoras de Santiago en esta corte; ARTICULO DE OFICIO. comprendidos todos en las causas seguidas en dicho juzgado contra Circular del ministerio dt Hacienda. D. Manuel Hernández (alias el Abuelo), D. Josef Mingo Otalora, El Rey se ha enterado de lo que el tesorero general de la Nación D. Manuel Ceca, cap.tan retirado de artillería, con grado de coronel propuso en 6 de Agosto último; sobre la forma y calidad de las fianzas de infanter…</t>
  </si>
  <si>
    <t>…rete , que «tan relativas al mismo particular. Continúa el informe del visitador de ¡a causa fenecida en la audiencia Picaa principal , Col. 21Ó. (Je continuará.j de Madrid contra D. Manuel Hernández, llamado el Atutía, Don Josef M-ni'n Otalora y consortes , sobre conspiración contra el siste TXIXWA.I.S*. ma constitucional. Por providencia del Sr.D. Rodrigo Castañon, juez de primera instancia Las pru.bas que intentaron el Abuelo y'Mingo de nada Ies apro d…</t>
  </si>
  <si>
    <t>Hernández, Manuel López</t>
  </si>
  <si>
    <t>Manuel López Hernández</t>
  </si>
  <si>
    <t>…atenciones de Setiembre 841,575 rs. de vn. Madrid 19 Bilbao.............................................................. ............. f gana. de Octubre de 1822.2EI interventor general Manuel López Hernández. Santander....................................................................... 4 ídem. Barcelona i ps. fs........................................................ ifi gana. Por fallecimiento de D. Rafael Garrido ha quedado vacante la ju Vales de Enero 7 May…</t>
  </si>
  <si>
    <t>Hernández, Pablo Ramón</t>
  </si>
  <si>
    <t>Pablo Ramón Hernández</t>
  </si>
  <si>
    <t>…continuación de dicho artículo se añada*, solicitud de Doña María Teresa Simonet, viuda del teniente coronel también se declaran exceptuados Jos canónigos de la iglesia de S. Isi D. Pablo Ramón Hernández, pidiendo una pensión. Aprobado. dro de esta corte, y los prebendados de oficio de las catedrales y cole La de Instrucción pública , en vista del expediente promovido por giatas.” el ayuntamiento de Arenzana de Ahajo. (Búrgos), para que se invierta El Sr. Alv…</t>
  </si>
  <si>
    <t>Hernández, Pedro</t>
  </si>
  <si>
    <t>Pedro Hernández</t>
  </si>
  <si>
    <t>…io, comparando iguales cantidadesd uno pernumerario del batallón ligero de Canarias , con 000 rs. y otro. Los comerciantes de dentro y fuera de esta corte que quieran Calatayud al capitán D. Pedro Hernández, segundo ayudante del surtirse de dicho género, lo hallarán á prec'os convencionales m su regimiento infantería de la Corona, con 610 rs. casa botica, ca le de Segovía, frente al jardín de Osuna, en bot.s de Castellón al capitán D. Bernardo Becerra, segundo a…</t>
  </si>
  <si>
    <t>Hernando</t>
  </si>
  <si>
    <t>…en su importante «alud.1* papel de indemnización que tes corresponde, porque tu morosidad re tías* las opei aciones de la cata. El Rey ha expedido el decreto siguiente; ANUNCIOS» D. Hernando vu por la gracia de Dios y por la Constitución de Don Juan Marra* pone.al pfiblieo en su casa, calle de Carreras, le Monarquía española , Rey de las España* , a todos los que la* pre ■úm 38, cuarto a.9, frente lacas* de correos, un gabinete ó colección sentes…</t>
  </si>
  <si>
    <t>…a = A D. hc.ipe de b.crra y Pamb.cy. chos pueblos en donde ha desaparecido el arbolado, l’or islas razones desearía que en el ait'.cu o se rehílese solo la comisión á los terrenos Don Hernando vit por la gracia de D' s v por la Constitución da de arbitrios y ccalcngo sin arbolado , haciendo uua sx.cpc.on en obse la Monarquía española , Rey de iu Espaua», a todos los qu* ia* prs—</t>
  </si>
  <si>
    <t>Hernani, Gregorio Sainz</t>
  </si>
  <si>
    <t>Gregorio Sainz Hernani</t>
  </si>
  <si>
    <t>…si tro del reino. (Gaceta del 6. y guiente. :Di Florentjn Izquierdo, D. Norberto Flores Calderón, D- Za Decreto de S. M. nombrando á D. Juan Antonio Yandiola único carías Sagrcdo, D. Gregorio Sainz Hernani, D. Juan de iglesias, Don tesorero general, y encargando á D. Antonio Martínez la formación Luis Díaz Hoyuelo, D. Josef Juan de Isla, D. Juan Marroquin, y Don de la cuenta de la tesorería general en el año económico que ha finado. C irios García. Habida la co…</t>
  </si>
  <si>
    <t>Heron</t>
  </si>
  <si>
    <t>…ción!” aquel día D. N- Heron. Que prescindiendo del epíteto de faccioso con » No tanto ei preciso guardarse del poder absoluto por los príncipes que el editor nombra en su nota al Sr. Heron, yo creo haber dado bas mismos, que siempre suelen ser mejores que los que les andan al rede tantes pruebas de no ser protector ni amigo de los qne seen facciosos; dor , cuanto por la cadena que forma empezando desde el trono has y por último , que ti el edit…</t>
  </si>
  <si>
    <t>Heron, N-</t>
  </si>
  <si>
    <t>N- Heron</t>
  </si>
  <si>
    <t>…festar que en la casa don nes de españoles les han dado poder pata hacer esta vergonzosa pe de yo vivo no ha entrado aquel jamas, y por lo tanto no pudo hacerlo tición!” aquel día D. N- Heron. Que prescindiendo del epíteto de faccioso con » No tanto ei preciso guardarse del poder absoluto por los príncipes que el editor nombra en su nota al Sr. Heron, yo creo haber dado bas mismos, que siempre suelen ser mejores que los que les andan al rede tante…</t>
  </si>
  <si>
    <t>Herrare, Francisco</t>
  </si>
  <si>
    <t>Francisco Herrare</t>
  </si>
  <si>
    <t>…ituido por el presbtero D. Francis adicto al sistema constitucional. co Manuel de Ortega, vecino que fue de dicha ciudad , del que hoy se £1 juez de primara instancia de Veldemoro D. Francisco Herrare reputa la referida Doña Isabel Muñoz última poseedora, peía que faltó al cumplimiento de sus obligaciones. dentro del término de dos años, coñudo* desde el 3 de Octubre de D.cr tó la prisión de D. Antonio Sánchez, su criada Teresa* 1822 , concurran á acredita…</t>
  </si>
  <si>
    <t>Herrera</t>
  </si>
  <si>
    <t>…primer secretario el St. Infantes per 75 votos de 130, adopto por vía de prueba con el objeto inmediato de la economía. El recayendo los restantes, 30 en el Sr. Sánchez, uno en el Sr. Herrera commj 'nt, .leí alio ic cumple este año, ▼ deben salir del servicia io9 Bustamante, uno en el Sr. Zuiueta, uno en el Sr. Gómez, uno en el cumplidos. Para reemplazar estos, y llenar los vacíos que ha dejado el Sr. lrujilio , y otro en el br. Saavedra. orden sa…</t>
  </si>
  <si>
    <t>…seria mas conveniente p -r el Gobierno, contra lo que era de esperar-, opinaba que la» Cortee suprimir. podían declarar, consultando lo» efectos de dicha rehabilitación, corresEl Sr. Herrera propuso que los mariscales de campo y los brigadie pondcrle el sueldo de magistrado sin ejercicio desde la referida rehabili res quedasen reducidos á generales de brigada. tación basta que el Gobierno le emplee según corresponda. Aprobado. Ei Sr. Infante pidi…</t>
  </si>
  <si>
    <t>…de as pesquisas que podían ha tolo ios casrs que se indicaban pudiese el soldado servir mas de seis años. cerse pita averiguar ,us contrabandos, era contrario á ias eyes Vigen El Sr. Herrera contestó que este estaba conforme con lo que se es tes: ia comisión opinaba que era confirme á Us regias preser tas en 1* tablecía en la ley orgánica del egército, en la cual cuando se discutió Constitución , y que debía archivarse este expedente. Apiobado. s…</t>
  </si>
  <si>
    <t>Herrera, Antonio</t>
  </si>
  <si>
    <t>Antonio Herrera</t>
  </si>
  <si>
    <t>…un Principa ¿intrinco, y ae hablaba de un cuerpo de observación en Francisco San Julián, que mató tres facciosos ,y singularmente al fi„U) las orillas asi Báltico. de dicho cuerpo D. Antonio Herrera, que habiéndole dado permito __Se da por seguro que el caballero Busca ande muy diligente en Veto para ir con laa guerrillas , me sirvió de ayudante de órdenes durante , lia para negociaciones del restablecimiento de la orden de refriega, y avanzando de los p…</t>
  </si>
  <si>
    <t>Herrera, Antonio Ortiz de Zarate y</t>
  </si>
  <si>
    <t>Antonio Ortiz de Zarate y Herrera</t>
  </si>
  <si>
    <t>…urados es pasasen á las próximas Cortes para que las tomasen en consideración. tá en práctica en Francia y en los Estados-Un idos de la América sep Asi se acordó. tentrional , por D. Antonio Ortiz de Zarate y Herrera. Ei admirable La misma comisión , habiendo examinado los documentos que se la sistema de jurados, que tantos bienM y utilidades produce en los paites pasaron por la Diputación permanente, relativos al nombramiento de extrangeros en que está en práctica, tan j…</t>
  </si>
  <si>
    <t>Herrera, Antonio Zarate y</t>
  </si>
  <si>
    <t>Antonio Zarate y Herrera</t>
  </si>
  <si>
    <t>…del Pruth. un egemplar de la obra intitulada Facultadet de ¡os Juradoj, traduci En Francia se sigue hablando de la tentativa del general Berton en da y presentada á las mismas por D. Antonio Zarate y Herrera. Thotiars, sin que puedan aclararse con exactitud los hechos ni el esta A la comisión de Hacienda se mandaron pasar una lista de varios do de este asunto. El Gobierno nada ha publicado de oficio, y los pe débitos remitida por el Sr. secretario de Hacienda, ¿…</t>
  </si>
  <si>
    <t>Herrera, Bernardo Pérez de</t>
  </si>
  <si>
    <t>Bernardo Pérez de Herrera</t>
  </si>
  <si>
    <t>…e derecho ó árbitros que á sa 1807 está reservado el derecho á los hijos, nietos y bisnietos del í.cen biendas juzgan contra la ley por ínteres personal, por afecto ó desafec sado D. Bernardo Pérez de Herrera, por el que puedan tener al crédi to á alguna penona ó corporación, ó en perjuicio de le causa pública to «le 47,977 rs. y 3a mrs. correspondiente á Doña Beatriz Freüe ó de tercero interesado. contra el estado del marquesado de Fromista, y á los réditos venci…</t>
  </si>
  <si>
    <t>Herrera, Camus</t>
  </si>
  <si>
    <t>Camus Herrera</t>
  </si>
  <si>
    <t>…ámente inocente al procesado. Si esto no pudiere ver Sears-, se les fueion aprobados. declarara y hará la indemnización por el orden prescrito en ei código Se leyó una adición del Sr. Camus Herrera y otros Sres. diputado» de procedimiento». ace.ca del art. 150 del cap. y.9, la cual se mandó pasar á la comisión. Art. tí ;. » S. el procedimiento criminal hubiere sido en virtnd de acusación particular, ei acusador hará la índrmtTzaoon: v en e' caso CAFIltU…</t>
  </si>
  <si>
    <t>Herrera, Isabel de</t>
  </si>
  <si>
    <t>Isabel de Herrera</t>
  </si>
  <si>
    <t>…. siguientes: Don de Octubre da 1606__.Otro de un juro de 30,05 a mrs. sobre las alca-Valentín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Espejo; D. Pedro Matute y D. Casi ques de Leganes, á 4 de Diciembre de 1655.—Otro de u…</t>
  </si>
  <si>
    <t>Herrera, Josef</t>
  </si>
  <si>
    <t>Josef Herrera</t>
  </si>
  <si>
    <t>…extraordinarios en el presupuesto general. Se concedieron lo* permiso* que solicitaban D. Pedro González La comisión está muy satisfecha de ia conducta de los actuales se Várela, D. Josef Herrera, Di Basilio García Manriques y D. Juan cretarios del Despacho ; pero su objeto ha sido avilar para lo aucesivo Machado, electos jueces da primera instancia , para prestar el juramen todo abuso que pudiera cometerse, haciendo que todos los secretarios to que d…</t>
  </si>
  <si>
    <t>Herrera, Josef de</t>
  </si>
  <si>
    <t>Josef de Herrera</t>
  </si>
  <si>
    <t>…parte relativo i e*a acción, del que, tía mas por Miguel Valent n.=El conde de Cata-Hems.z=Nicoles Bravo, regenmenores todavía, resala que fe* facciosos han sido denotados. Ses-=A D. Josef de Herrera.” Correspondencia del Sa. No ae confirma la derrota de Zavala: anta Cooig de las minuta» de la» comuKMWi del Congreso mexrcaoo» m t^r- oo dice que entró anteaya en Leqncitio. El encuentro con Ca aun se distribuyeron por su presidente Francisco García Cantarin…</t>
  </si>
  <si>
    <t>Herrera, Luciano de</t>
  </si>
  <si>
    <t>Luciano de Herrera</t>
  </si>
  <si>
    <t>…ustín de las islas Floridas cuando los españoles tomaron aquella pla reclamaba el pa¿o de los diezmos, ha quedado abolido del mismo mo za , se trasfirió 4 la Habana con su albacea D. Luciano de Herrera por do que todos los demas tribunal s superiores; por consiguiente no pue haber muerto en aquella época sus padres. Después de poco tiempo , y den valerse en la época presente do los medios que antes tenían para precisamente en ocasión en que las milicias urb…</t>
  </si>
  <si>
    <t>Herrero, Juan Antonio</t>
  </si>
  <si>
    <t>Juan Antonio Herrero</t>
  </si>
  <si>
    <t>…sotros que con la faina. II ha cti* de Dofia Gcróaima Bnviesca 3585 rs.__La de la compañía «le berse negado á recibió la casta del Monarca ruto no era acaso na Séparos qu* dirigió D. Juan Antonio Herrero s8g rs. 7 3 mn.__La i asalto st m atiande i laa opiniones rrcibidnsen la coi; de Jedo, pues ¿U Escaso. Sr. conde de Gerona 406 r«—La del Excmo. Sr. D. OísM alegaba por motiew urla necesidad en que se hubiera visto la corte ja- tabal de Zayia 1463 ra. 7 7 mrs—…</t>
  </si>
  <si>
    <t>Herrero, Puente</t>
  </si>
  <si>
    <t>Puente Herrero</t>
  </si>
  <si>
    <t>…rsto Puente Herrero , D. Andrés García del Corral y D. Josef Fernandez va haciéndose frecuente , y ya no se extraña. Un ptriod sta cr„e que no Paul; y fue electo por unanimidad el Sr. Puente Herrero por 1 ij van á ser grandes ni muchos ios resu.lados de! congreso; y lo» ulti votos. mátum turcos dan m-stívo para muchas r fi.-x enes. Parece qu: ei prin Para la de Gramd* »e proponía á lo» Sres. D. Juan Alfonso Mon- cipa! objeto del cor.grso »on los negocies…</t>
  </si>
  <si>
    <t>Herrero, Ramón María</t>
  </si>
  <si>
    <t>Ramón María Herrero</t>
  </si>
  <si>
    <t>…án inevitables. El Gobierno federal ó general no tie Valladolid i D. Fetik Blanco y Vitoria ,id. ne fuerza bastante para mevebir y disipar cata criáis, ni pera impedir Ponufedn i- D. Ramón María Herrero, id. sus ominosas resultas. El poder egecbtivo está mal combinado con el Trujillo i D. Francisco Mogollón, id. legislativo y el judicial: carece de las facultades mis indispensables pa Málaga.*! coronel D. Joaquín Santistehaa , id. ta hacer observar las leyes…</t>
  </si>
  <si>
    <t>Herreros, Femando Mainez</t>
  </si>
  <si>
    <t>Femando Mainez Herreros</t>
  </si>
  <si>
    <t>…as de enseñanza, obliga Dos Josef Benito de Urrntie, vecino de esta coi te, en nombre 7 ción á celebrar misa de alba en la* épocas de sementera 7 recolección A virtud .de poder de D. Femando Mainez Herreros, que lo es de Gua- de frutos caso de suprimirse el convento de trinitarios descalzos da di dala jara, denunció el Sr. alcalde D. Miguel de Ni jeta un párrafo in cha vira-, 7 últimamente tener de tu cuenta un pasante que merezca tu serto en al Espectador de 10…</t>
  </si>
  <si>
    <t>Herreros, García</t>
  </si>
  <si>
    <t>García Herreros</t>
  </si>
  <si>
    <t>…malos; pero tampoco todos son juttifi. ría de los magistrados de la Nación. Sin embargo de esta confesión cados; y no perdamos de vista que estos clamorea anuncian una verdad, del Sr. García Herreros hemos visto que la mayor parte de estos in y esta es que hay faltas muy grandes en la aplicación de la ley: cutis, dividuos ha quedado en sus puestos. Asi pues creo que las Cortea sean no ae deduce de las quejas generales, porque debe ser el resultad» eaun en…</t>
  </si>
  <si>
    <t>…l efecto de la visita es que el visita pune. Asi lo eaplicó el dignísimo diputado Sr. Arguelles en contes dor saque nota de aquellas causas en que crea que no se han cum tación al Sr. García Herreros en el referido año de 13; de modo que plido las leyes, y las envíe á las Cortes para que vean si son ó no ai hubiera una queja documentada, ao había necesidad de visita. Pero de importancia. Si las juzgan tales , llaman la causa, y examinada de</t>
  </si>
  <si>
    <t>Herreros, Juan Josef García</t>
  </si>
  <si>
    <t>Juan Josef García Herreros</t>
  </si>
  <si>
    <t>…que si llegase á fallarles, des 10 ts. diarios, casa y una buena huerta. Los pretendientes dirigirán aparecería toda la población , de la cual es el único apoyo. sus memoriales á D. Juan Josef García Herreros, presbítero en dicho He aqui las circunstancias en que la natufaleza ha constituido á los pueblo. beduinos para hacer de ellos una casta de hombres no menos extrafia Diálogos familiares sobre las preocupaciones generalmente esparci en lo fis co que en lo mora…</t>
  </si>
  <si>
    <t>Herreruelo, Miguel</t>
  </si>
  <si>
    <t>Miguel Herreruelo</t>
  </si>
  <si>
    <t>…on la obra dsl conde da ^territorial, compuesta de loa Sres. Paz, Arg£ieiies,Santurio, Fagosga jr Destutt de Traci y la medalla chica da plata. So concluyó Is sesión \Vach, contra D. Miguel Herreruelo, canónigo magistral de la santa con el examen de dos alumnos de In clase de agricultura que está bajo iglesia de Zamora, como autor del impreso titulado Disertación teoldgi- la protección de la sociedad, los que fueron premiado* con varias obras a-jurídica en…</t>
  </si>
  <si>
    <t>Heruandez, Joscf</t>
  </si>
  <si>
    <t>Joscf Heruandez</t>
  </si>
  <si>
    <t>…n presentó su dictamen écc. Asi pues es paeuso que estas copio* bre los fondos público* de aquel» villa. Aprobado. coacuerden con el original.' La moma. en vis» de L exposición de D. Joscf Heruandez, profe</t>
  </si>
  <si>
    <t>Hi'i, Ferx de</t>
  </si>
  <si>
    <t>Ferx de Hi'i</t>
  </si>
  <si>
    <t>…p ata ¡abra’a._ Me Cuba—125 picas toei &gt; 6 n, ayudante d: Astúrias, D. Junan Sanz, subt niente d: S-- a godon__jr&gt;5 sacos cacao Caracas----349 barriles y 37 r .:cs ccíc__ pii-m y D. Ferx de Hi'i, subteniente del mismo , todos de arma Un tercio cera.—534 cueros.—441 cajas y ¡01 tercios tabaco. blanca, y fuertemente contuso el espitan del propio D. Jostf Fernan Madrid Martes JO de Setiembre. dez , aunque les haya si lo sst sfactor o derramar su sangre…</t>
  </si>
  <si>
    <t>Hi, Francisco</t>
  </si>
  <si>
    <t>Francisco Hi</t>
  </si>
  <si>
    <t>…habiendo declarado no haber lugar á la formación de causa. gados en virtud de recibos visados por los gefe* de ios cuerpos, y de Los jueces de hecho que fueron de esta opinión son D. Francisco Hi los del comisario de guerra respectivo. dalgo , D. Antonio Cortés y Coll, D. Francisco Puga, D. Santiago de 4. * Será de cuenta de ios asentistas la totalización en fin de cada la Azuela y D. Francisco Robles y Benitez: los otros cuatro U. Ni mes de los recib…</t>
  </si>
  <si>
    <t>Hidalgo, Antonio</t>
  </si>
  <si>
    <t>Antonio Hidalgo</t>
  </si>
  <si>
    <t>…os int.re pañía. = Es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Quintana, D. Antonio Cortes por decreto de 9 de Mayo de 1811 , en consideración á los ser- Méndez, D. Francisco Oliveras, D. Franci…</t>
  </si>
  <si>
    <t>Hidalgo, Félix María</t>
  </si>
  <si>
    <t>Félix María Hidalgo</t>
  </si>
  <si>
    <t>…conforme é «lenunciad &gt; por el Sr. procurador sindico tercero, ó invitación del señor ellas, todos los pueblos que siendo como loa de Yévenes una población alcalde const.tucional D. Félix María Hidalgo; habiendo prestado ei sola, esten divididos por una calle, un arroyo fi oua línea semejan juramento con arreglo á la ley , declara ion no haber lugar á la forma te, tengan dos ayuntamientos y la consiguiente separación en el go ción de causa D. Josef María Ti…</t>
  </si>
  <si>
    <t>Hidalgo, Franc.sco</t>
  </si>
  <si>
    <t>Franc.sco Hidalgo</t>
  </si>
  <si>
    <t>…una que d.ce: - El cura de .a C-.rr.caT- abu 19010....... 4000, En Madrid. sándole de injurioso; y reunido el jurado en Cádiz, compuesto de lo* *4548...... IOOO. En Cádiz. señores D. Franc.sco Hidalgo, D. Antonio Cañad;.i, D M gu i Gar $084..... IOOO. En Jaén. cía Ortiz, D. Josef María Retoilillo , D. Juan Francisco b&gt;pe os.a, j§8rii...... IOOO. En Badajoz. D. Joaquín María Gofii, D. Francisco Puga, D P.b o Maten y IX-n *780/...... IOOO. En Madrid. Juan Pe…</t>
  </si>
  <si>
    <t>Hidalgo, Francisco</t>
  </si>
  <si>
    <t>Francisco Hidalgo</t>
  </si>
  <si>
    <t>…e vocado y reunido el jurado, compuesto de los sefiores D. Francisco Ig del batallón de la milicia activa de Búrgoa, con 670 rs. al mea. nacio Marti, D. Francisco Antonio Larraza, D. Francisco Hidalgo, Asiorga al capitán D. Manuel Arguello, segundo ayudante del re D. Martin Fernandez Elias, O. Manuel Moreno de Mora, D. Josef gimiento infantería de Galicia, con dio rs. María Viilaranda, D. Gerónimo Martínez Enrile y D. Juan Bautista Alcalá al capitán D. Her…</t>
  </si>
  <si>
    <t>…s cada tres rimes , autorizada por los respectóos intendentes y res D. Segismundo Moret, D. Francisco Servando Mufíoz, D. Lope ministros de la hacienda militar. Manuel de Luengas, D. Francisco Hidalgo , D. Juan Martínez de Ga* De Real orden lo comunico á V. para su inteligencia y efectos tica , D. Juan Francisco Vidot, D. Antonio Cortés y Coll, D. Luis corr spondicntes á su puntual cumplimiento. Madrid u de Diciembre del Gargollo, D. Antonio Canadell, D. J…</t>
  </si>
  <si>
    <t>Hidalgo, Josef Pedro</t>
  </si>
  <si>
    <t>Josef Pedro Hidalgo</t>
  </si>
  <si>
    <t>…ntamiento hasu al día 6 de Junio Lo participamos 4 V. S. para su mas exacto cumplimiento , y que inclusive. dé 4 esta Real resolución toda la publicidad posible, sirviéndose avi A D. Josef Pedro Hidalgo, vecino de la villa de S. Pedro Manri sarnos de su recibo. Madrid a a de Abril de 1821. que, provine.a de Soria, como poseedor del mayorazgo, fundado por £&gt;. Miguel Sanz Dorador, vecino que fue de esta corte, le correspon El Rey , 4 consulta del consejo de Es…</t>
  </si>
  <si>
    <t>Hidalgo, Mariano García</t>
  </si>
  <si>
    <t>Mariano García Hidalgo</t>
  </si>
  <si>
    <t>…do» lo* pueblo* de la provincia de se afios desde 1718 á 174* : otro sobre que sépase al Gobierno la solicitud mando la» jnntas de beneficencia en la forma y modo ptetentoe, se de D. Mariano García Hidalgo, teniente de cazadores de Cuenca , reía- ocupen estas no solo en el desempeño de las obligaciones que pone á su tira i que se le perdonen 16416 rs. que debe á la Hacienda pública co cargo el artículo ia, y de lo*objeto» que designa el 40, sino en re mo fiador…</t>
  </si>
  <si>
    <t>Híego</t>
  </si>
  <si>
    <t>…Díspuesde darme el parabién de que haya s reí Se a-ordo que pasa»e a una c un &gt;: jti esp.c a! ¡a prrpo».c:cn del do mi argumento para que se le haya ocurrido al Sr. Adán una expre Sr. Híego para que se extienda un pioy.cto de amnistía gen.-ai -No. sión q je ine ha hecho mucha gracia , digo que ia gran diuca tai que se S: acoicto que pasase a oiracomo.cn opeoai la s.tui::.te a ;».;on ha puerto i estas elecciones no la ha deshecho S. S. Ademas ¡a…</t>
  </si>
  <si>
    <t>Hiera, Pedro de</t>
  </si>
  <si>
    <t>Pedro de Hiera</t>
  </si>
  <si>
    <t>…na ó personas que tuvieren noticia del paradero de los pri 1 or decreto de los Sres. de la sala segunda del crimen de esta au vilegios expresados, se sirva entregarlos al referido D. Pedro de Hiera diencia territorial de Castilla la Nueva, su fecha 15 del corriente, se Peso y Quiñones, en Avila, ó en Madrid á D. Francisco Antonio de ha mandado citar y emplazar á Cirios Pasamente* y Juan Barba , veci Hiera, qué vive calle dél Amor de D.01, núm. 3.°, cuar…</t>
  </si>
  <si>
    <t>Hierro, Vicenta del</t>
  </si>
  <si>
    <t>Vicenta del Hierro</t>
  </si>
  <si>
    <t>…n Campos, de Madrid; par» !•» de Valencia á D. Pedro Fuster, mero too, firmado por » un buen español ,” y denunciado como injuabogado de Albalá de Pardines; para las de Cata uña i D. Vicenta del Hierro, abogado de Madrid; para las de Cáceles a D. Andrés Ma rioso al batallón de la M. N. V. de dicLa plaza. ría Alférez, de Aodojar; á D. Bartolomé Martínez para ias de Cana En la misma ciudad de Cádiz, reunidos en jurado de acusación loerias , y para las de Mall…</t>
  </si>
  <si>
    <t>Higi</t>
  </si>
  <si>
    <t>…: D- Lino Campos, D. Nicolás Alonso, D- Antonio del Al Se leyó la siguiente adición del Sr. Becerra: » Pido que la remisión cázar, D. Joaquín Cevallos, D. Felipe López Valdemoros, D. Higi«leí código penal á la sanción del Rey se eotienda corregidos y com nio Antonio Llórente, D. Sebastian Andrés, D. Antonio María Espe probados exactamente los dos egemplares.” jo y D. Valentín de Nicolás. Y habida la conferencia, se declaró poc El Sr. Oliver se…</t>
  </si>
  <si>
    <t>Higi-</t>
  </si>
  <si>
    <t>…ió el jurado, compuesto de los Sres. siguientes: Don de Octubre da 1606__.Otro de un juro de 30,05 a mrs. sobre las alca-Valentín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Espejo; D. Pedro Matute y D. Casi que…</t>
  </si>
  <si>
    <t>Hiiienda, Ma de</t>
  </si>
  <si>
    <t>Ma de Hiiienda</t>
  </si>
  <si>
    <t>…sco González Golfin : para la de Málaga al brig .dier Se acordó que se imprimiese la copia remitida por el ministerio D. Josef Marrón , que lo es de la misma : para la de Oviedo á D. Ma de Hiiienda del reparto de li contribución territorial de i 20 millones. nuel María Acevedo, que lo es de la de Asturias: para 1» de Búrgss A la de Hacienda se mandó p isar una expos.cion .del director del al coronel D. Jacobo Escario, que lo es interino de la nabina: pi…</t>
  </si>
  <si>
    <t>Hilario</t>
  </si>
  <si>
    <t>…ara educación, determinó que celebraran exime- clase de generales en cuartel, ni los gefes de io» estados mar ores de nes públicos los niños de esta escuela pública , dirigida por D. Hilario ejército, ni estados mayores de plazas, deben s-.-r comprendidos en la Pardo y Perez. Reunido* los ni ¡ios en la basílica del Santo Cristo, y rebaja de sueldos que designa ia escala aprobada , por coiisid- rarse esta* á vista de un inmenso concurso, fueron ex…</t>
  </si>
  <si>
    <t>Hilase</t>
  </si>
  <si>
    <t>…es, al de A randa D. Francisco Fernandrz Caricesantes de que se trata están inclusos en el decreto de las Cortes que hatiós , a*, de Villarcayo D. Lucas Martínez j y i los de Poza D. Hilase ha citado. Esto no es asi, porque la comisión dice desde luego que non Cuntieras y D. Ignacio Narbona, quienes fueron voluntariamente estos empleados se consideren como cesantes, sin expiesar que ésten in con la columna, siendo de los primeros en loe riesgos…</t>
  </si>
  <si>
    <t>Hiniesta, Juan Antonio</t>
  </si>
  <si>
    <t>Juan Antonio Hiniesta</t>
  </si>
  <si>
    <t>…ooperar al exterminio de ¡os miserables que pertur aquella ciudaJ d ti abo 1780 hasta el de l8zi: y otra txp .scon ban el sosiego y la tranquilidad de los pacíficos ciudadanos. de D. Juan Antonio Hiniesta, encargado de la sociedad medica de Cá : __Esta tarde ha llegado un ayudante de artillería con un parte para el diz para presentir á las Cutes el número l. , tomo g.1-’, del per.óhco i Gobierno político, y la noticia de que las columnas de láveme, San de la i…</t>
  </si>
  <si>
    <t>Hipa, Miguel</t>
  </si>
  <si>
    <t>Miguel Hipa</t>
  </si>
  <si>
    <t>…. aooo D. Marcos Izquierdo , D. Francisco Travesado, D. Antonio Dazdel Los honorarios deberán satisfacer lo mismo,, incluyéndose en el Moral, D. Josef Pió Santos, D. Pedro Matute, D. Miguel Hipa y pago de lo* grados anteriores, si no lo* hubiere satisfecho, por cgem- D B n.to Ortega Romanillo*. plo: Un juez de primera instancia á quien se conceden los honores da Hab da la conferencia resultó haber lugar á la formación de cama magistrado de audiencia…</t>
  </si>
  <si>
    <t>Hipólito</t>
  </si>
  <si>
    <t>Gaceta de Madrid n.º 214 (extraordinaria)</t>
  </si>
  <si>
    <t>…bastantes murtos en el campo, cuyo detall remitiré; advirtiendo que entre os primeros se halla et ayudante de la milicia nacional activa de N§ü ti za D Ju*n Francisco Perez, y un D. Hipólito, de la congregación de S. Fe ipe Ner.s=Araujo. i» Lo coir único i V. E. con la mayor satisfacción para su conr ci miento; y tan luego como reciba loa pastea ulteriores loa comunicaré igualmcnu.” EN LA IMPRENTA NACIONAL.</t>
  </si>
  <si>
    <t>Hiscar, Martin Antonio</t>
  </si>
  <si>
    <t>Martin Antonio Hiscar</t>
  </si>
  <si>
    <t>…en su tota Y la de Premios opinaba que las Cortea podían declarar que los lidad, menos la última desde donde dice: » las cuales si hallaren mo servicios hechos i la patria por el teniente D. Martin Antonio Hiscar tivo para ello les mandarán exigir la responsabilidad.” habían sido gratos i la misma, recomendándole al Gobierno. Aprobado. La misma comisión opinaba dibia aprobarse la adición del Sr. AlSe leyó un oficio del Sr. ministro de Gracia y Justicia, en el qua vsre…</t>
  </si>
  <si>
    <t>Hite, Miguel de</t>
  </si>
  <si>
    <t>Miguel de Hite</t>
  </si>
  <si>
    <t>…c tud de! ayuntnv-n. lo i.® del arreglo definitivo del Crédito público. to de Baza para que te fije aili la residencia del batallón de mi oca -cSe dió cuenta de una exposición de D. Miguel de Hite , coman tívade nueva creación con el nombre de Velez-Rubio, opin»b. que dante militar de Tarragona, en que hacia algunas reflexiones sobre las debía pasar al Gobierno para que resolviese io mas conveniente. causas que fomentaban á los facciosos, y modo de ext…</t>
  </si>
  <si>
    <t>Hito</t>
  </si>
  <si>
    <t>…aron en un barranco, donde sostuvieron el ...Noticioso el comandandante militar de ¡la provincia de Tarragona fuego medie hora; pero acosados por la guerrilla y flanqueados por el general Hito de que había uno* i9 facciosos en la Selva, 800 en Masreato de la columna emprendieron la fuga , sin haber sido posible seguic pujol y otros 800 en Kindoms, pueblos todos distantes una ó una y en su persecución por impedirlo el terreno. Los facciosos serian u…</t>
  </si>
  <si>
    <t>Hizo, Buruagt</t>
  </si>
  <si>
    <t>Buruagt Hizo</t>
  </si>
  <si>
    <t>El Sr. Buruagt Hizo varÍM observaciones en apoyo da esta dicta- por lo mismo hemos hecho la proposición pan qu* discutiéndose pri a.B, etfonaida alguna* da la» anteriormente espuerta*. mero estos asuntos, no nos veamos obligados el último dia á aprobar El Sr. Infante dijo: Cuand…</t>
  </si>
  <si>
    <t>Hizo, Romero</t>
  </si>
  <si>
    <t>Romero Hizo</t>
  </si>
  <si>
    <t>…eo que este artículo debe ceder muy bien que un malhechor burlase la vigilancia de las autori •probarse. dades introduciéndote en una di estas habitaciones, y no me parece qua F.i Sr. Romero Hizo varias reflexiones para manifestar que debería tele podría castigar , no siendo fácil distinguir cuál era la habitación añadirse al artícu.o antes de la palabra españoles la siguiente duda- del posadero , y cuáles las de los huespedes. danos. El Sr. ArgüUes:…</t>
  </si>
  <si>
    <t>Hmojosa</t>
  </si>
  <si>
    <t>…ni resistencia, ni desobediencia, ni obstinación: No sefior ; nacieron de los hombres que por excelencia se llaman libe se ha d.cho que la causa es idéntica á la de Sevilla, y el Sr. Hmojosa ha rales, aquellos que echaron abajo el ministerio pasado. manifestado que estas dos causas no se parecen en nada.En la represen El exceso del amor á la libertad, que produce un demasiado calor, no tación de Scviila no solo hubo una inobediencia, sino un insu…</t>
  </si>
  <si>
    <t>Hmt, Du</t>
  </si>
  <si>
    <t>Du Hmt</t>
  </si>
  <si>
    <t>…distinguirán los grados de coronel con tres es C'-mo 600 ó 700 facciosos, capitaneados por los cabecillas Bes i eres, trellas de oro en ios hombros y botas de ia manga, ei uniente coronel Du Hmt&amp;y D. Tomas Bslío d¿ Caspe, y entre aquellos joó navarros; i con una de plata entre las de oro, y el sargento mayor todas de p ala. hora y mecha de S- Peiegrin y en mi dirección empezaron ¿ tirotearse » fcsta disposición no impide (asi se previene en decreto f…</t>
  </si>
  <si>
    <t>Hn, Francisco</t>
  </si>
  <si>
    <t>Francisco Hn</t>
  </si>
  <si>
    <t>…les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libra ó quintal de Habida la conferencia, se declaró por unanimidad haber lugar á la lo&gt; Mbzi.ns que entreguen de buen…</t>
  </si>
  <si>
    <t>Hnuevo, Franc-Vo</t>
  </si>
  <si>
    <t>Franc-Vo Hnuevo</t>
  </si>
  <si>
    <t>…lidad, imponiéndosela á este en tales casos. No hubo lugar á votar. El Sr. secretario del Despacho de Hacienda dito que esto no era Otro sobre la solicitud del comisario de guerra D. Franc-Vo Hnuevo, pues el establecimiento tenia actualmente uno ó dos consulto Borja de Pardío, en la que haciendo presentas sos métaos y servía res , los cuales tenían muchísimo en que ocuparse, debiendo considerar pedia una recompensa. La comisión era de d-ctamen que los se…</t>
  </si>
  <si>
    <t>Hocknell</t>
  </si>
  <si>
    <t>…itares de Ultra D. Roberto Loiiete é hijo por dos ídem, según el que está í su favor mar d decreto de y de Noviembre de itao. (G«tt* dtl a/.) en Cádiz á ay de Abril de 1814 por J. D. Hocknell: A. D. E. E. Amozoila por uno en ídem á 5 de Enero de 1813, por P. P. Debol, VARIEDADES. hermano* jr compañía Francisca «le Paula Chiocchiní: á D. Antonio (Contmda ti viatt al rtdtdor dtl mundo. Garría dtl a6). Val y Rovira por uno de 600 peto* en Barcelona á…</t>
  </si>
  <si>
    <t>HockOcll</t>
  </si>
  <si>
    <t>…31 de Diciembre de 1810: á los Sres. D. Roberto Loiiete i hijo, por dos ídem , según el que está Constitución dt las úlas Jónicas» i tu favor en Cádiz á 27 de Abril de 18(4 por J. D. HockOcll: á Doa El estado de los negocios políticos en el oriente de Europa fija en E. E. Amososla, por uno en ídem, á 3 de Enero de 1813 por P. p. el día la atención general; y el estado particular en que se hallan las is Debol, hermanos y compañía, Francisco de Paul…</t>
  </si>
  <si>
    <t>Homaro</t>
  </si>
  <si>
    <t>…ara mndifirat el decreto ya - ocupación militar, y en qua 4 -lo* UdttríCuadernos) se Ira mire abso aprobado. lutamente como extranjeros; los hermosos y dilatados estados de Hun El Sr. Homaro: El fundamento que parece ba tenido la comiaioa gría disfrutando de nna Constitución libre y fnerte; pero divididos fió ba sido el eocaervec lo* estudio* ackaráaricos t pero y* se ha dicho que solo en los diferente* cultos católico, protestante y griego, sino…</t>
  </si>
  <si>
    <t>Homero</t>
  </si>
  <si>
    <t>…que indicasen existir algún mal, capaz de comprometer la suerte de la niente conforme las leyes previenen. Ñ'c.on, las manifestarían sin el menor disimulo. Los secretarios del El Sr. Homero: Si no me equivoco creo que las prisiones nacía D.'spaci o cometerán faltas como todos los densas hombres , y las come- de opiniones políticas, y ai el Congreso me lo permite preguntaré á los t rán tanto mayores cuanto menor sea su capacidad y talento; pero p…</t>
  </si>
  <si>
    <t>…!a prrv 'M de ser diputado. En este caso creo que ¡a cues S: levó por segunda vez la ptj¡v.»c on del Sr. Ordur.x , para qu» tión está decidida , y que se debe aprobar ei coto del Sr. Homero. los KK. obispos y arzob spos no ordenen ha»ta qu: el Congreso huya Mi Sr. Adan : 1.a comparación que ha hecho el Sr. Argii.-iics me pa decretado el número de c.crigos que ha de haber. re.; que no es exacta , porque el matrimonio no tiene suplente, y Caa- Su…</t>
  </si>
  <si>
    <t>…dores del tuales del Océano. El peligro es igualmente poeitivo para al Austria y alcalde constitucional. la Prusia, paea la uaa perdería sus provincia* polacas, j la otra per4» El Sr. Homero impugnó el dictamen de la comisión, maní(estando ría hasta la existencia en el momento en qne nn conquistador afortuna que ios documentos que se hihian presentado no eran suficientes para do, líbre de los escrúpulos de la conciencia y del honor, ocúpese el tm…</t>
  </si>
  <si>
    <t>…habia fundado Después de haber hecho varias observaciones el Sr. Becerra contra su dictamen en el convencimiento que tenia de que el ínteres personal el dictamen, y contestado el Sr. Homero como de la comisión, quedó era el mejor agente para la egecucion de obras grandiosas; por io cual •probado. - proponía en el punto segundo que las Cortes declarasen de propiedad Continuó la discusión del dictamen de la comisión de Hacienda so particular los c…</t>
  </si>
  <si>
    <t>…aran siempre ei tratamiento que go El Sr. Canga: Se ha confundido el día 24 de M::zo con el 1; de cen sus maridos. Mayo * en ei que entro S. M. en Madrid. C -t;» hac abw.idu Ja Ei Sr. Homero sí opuso á que las m ig r;s d: los individuos de salva á)ue se haca en ci ú¿t¡mo día; p«.ro no d«b»n ha^er *0 mumo r^*que se trataba tuvieran el mam 1 ti 111:11.enta que estos, en raz &gt;n á pecto del día 24. que d eha consideración debía solo concederse a la,…</t>
  </si>
  <si>
    <t>…pruebe, si lo halla viera de Rubí. Al momento se tomaron en Barcelona enervicas dispo justo y equitativo. siciones, y el mismo eche político había salido el día 4 á recorrer al El Sr. Homero manifestó que en esta instrucción se trataba de las gunos pueb'os de la provincia, y en particular é Molina de Rey. diputacion-s provinciales; y que por lo mismo no debían mezclarse las Los periódicos de Barcelona publican ya el parte del general M na ob.ieac…</t>
  </si>
  <si>
    <t>Honi.ro</t>
  </si>
  <si>
    <t>…lón de Guird.»», que pedían se les conce cciiri nd-.nr-s en un caso que no ira estado en ia previsión de la diese su licencia lev , ó i estuvo •. i pedo remediar o. La reHexon del Sr. Honi.ro es Otro de la comisión de Prem:os para que se pasase al Gobierno el fu-.rte. TiT.:n,i:&gt; un i provincia que deberla dar seis diputados , y no en expediente promovido por Juan Paez, soldado del regimiento ds Vo vía m..s que cinco, i’uro no puedo menos de respon…</t>
  </si>
  <si>
    <t>Hore, Alejandro</t>
  </si>
  <si>
    <t>Alejandro Hore</t>
  </si>
  <si>
    <t>…obligado La comisión de Hacienda, en vista de la solicitud de Doña Serafina á refugiarse en Lumbreras : que en seguida habia entrado la muchedum Endel, viuda del mariscal de campo D. Alejandro Hore, en que pedia * bre en su casa, y la despojaron de todo lo qué en ella había, (levándose ae la dispensase de la residencia del pueblo en que cobraba la pensión los papeles, dinero y demas, quedando reducidos á cenizas el resto de púa poder continuar disfrután…</t>
  </si>
  <si>
    <t>Hortigosa, Valentín</t>
  </si>
  <si>
    <t>Valentín Hortigosa</t>
  </si>
  <si>
    <t>…3.0, en con Salinas.................. »-o7*&gt;579 483,373 588,106 cepto de sedicioso y obsceno. Kn su vista se reunió el jurado, compues Recaudado por 3 to de los Sres. siguiente s: D. Valentín Hortigosa, D. Francisco de la débitos de ico-&gt; 91,376.. 6 12,376.. 6 Carrera, D. Joaquín Huerta Ceval .os, D. Cayetano Romero, D. An píos de siles..,J drés Alcon, D. Josef Antonio Ponina , D. Francisco Mattinez Mari Salitre, azufre) 7.8S4 658.. 9 7.'PS &gt;5 na , D. Anton…</t>
  </si>
  <si>
    <t>Hoyo, Isidoro de</t>
  </si>
  <si>
    <t>Isidoro de Hoyo</t>
  </si>
  <si>
    <t>…mento, y fueron hechas en épo D. Lorenzo Lambe*, D. Bernardo Asenjo, D. Francisco López de cas posteriores, es decir, eu ¡os primeros siglos del cristianismo. En fin, Olavarrieta, D. Isidoro de Hoyo» y D. Joaquín Huerta y Cevallos, algunos residuos menos considerables, unidos á los que hemos citado, calificaron con la fórmula de absuelto el artículo inserto en el número son ios únicos testigos que podemos presentar en prueba de que existió la 78 del peri…</t>
  </si>
  <si>
    <t>Hoyos, Ignacio</t>
  </si>
  <si>
    <t>Ignacio Hoyos</t>
  </si>
  <si>
    <t>…día, y que es de sumo tada de barranco*. Antes de llegar ai pueblo de Ai do ver , una cu rri.la ínteres. Arias de Olera que el di van ha sospechado que entre la Ru mandada por el capitán D. Ignacio Hoyos desalojó de una a. tura que na y la Pers a hay ciertas negociaciones secretas, que deb* presumirse no dominaba el Canciña á la avanzada de :os facciosos, que tirando a.cu sean muy favorab.es al imperio otomano; y que el reis-eflendi ha pedi sios tiros huyó ab…</t>
  </si>
  <si>
    <t>…motivo por que hacn las mug re; un uso fre también pcrt.cularmente 4 V. E. al capitán de granaderos de Málaga cuente de tos polvos dt sntimon o , el cual da á los ojos cima langui D. Ignacio Hoyos, que sitando interceptado el camino de Tairagoua, dez voluptuosa t n amortiguar su brillo. Como se timen por una cosa adunda se dirigía, ae unió 4 la columna, siguiendo todos lo» m.vi- muy hermosa as crjai negras , bien arqueadas y juntas , recurren tam micut…</t>
  </si>
  <si>
    <t>Hoyos, Isidoro de</t>
  </si>
  <si>
    <t>Isidoro de Hoyos</t>
  </si>
  <si>
    <t>…e ellos mismos y del pú Albacete, D. Antonio Regai, D. Juan Antonio López, D. Jos-f Bar blico. Asi es que desde su fundación lleva ya empleadas Jas siguientes do , D. Josef Radon» D. Isidoro de Hoyos y D. Antonio Díaz del sumas : en pago de cata , muebles, libros, papeles y demas objetos pro Moral. pios de su instituto 121,540 rs.: en suscripciones en favor de los des Y habida le conferencia, declaiaton por unanimidad 1 No kaitr lu graciados atacados por la epidemia en Bar…</t>
  </si>
  <si>
    <t>…OFICIO. Aniceto ¿¡zana, D. Carlos Romeral, D. Mariano Zorraquin, D. Ma El Sr. Metalario del Despacho de la Gobernación de Ultramar con merto Landaburu, D. Joaquín Huerta Orvallos, D. Isidoro de Hoyos, beba de «ver dice desde el Real *¡tio de Araajuez lo que sigue: D. Antonio Díaz del Moral, D. Francisco Travetedo y D. Domingo » SS. MU. p AA. continúan sin novedad en su importante salad.** Villamil. Habida la conferencia, resultó por unanimidad haber lugar…</t>
  </si>
  <si>
    <t>…rio de Negocios ex En su vista te reunió el jurado, compuesto de los Sres. siguientes: trangeros.” Los d mas periodistas tampoco dudaban el 13 de este nom- D. Juan Isidoro Perez , D. Isidoro de Hoyos, D. Isidro Merino, Don brami-nto. Sea la que quiera la id-a que algunos se forman del estado Gaspar Aguilera , D. Juan Cortés, D. Francisco de la Carrera , Don de la Península , lo cierto es que nuestro crédito se aumenta. Las ins Sebastian Andrés, D. Joaquín…</t>
  </si>
  <si>
    <t>Hrrrrtos, Manuel María</t>
  </si>
  <si>
    <t>Manuel María Hrrrrtos</t>
  </si>
  <si>
    <t>…rovincia y á toda España en 1.“ del La comisión de V'Sita del Cred'to público, informando sobre ln corriente, y al m.smo tiempo que su lectura ha ¡mineado mi corazón exposición de D. Manuel María Hrrrrtos para que no se le moleste por «iei gozo que no puede de¡ar de sentir el hambre de bien al *er procla el pago de una deuda que tiene en favor de: Crédito público, opinaba que mar con dignidad y energía los sagrados principio, del ord.n social , he se esté á lo…</t>
  </si>
  <si>
    <t>Hsradia, Agustín</t>
  </si>
  <si>
    <t>Agustín Hsradia</t>
  </si>
  <si>
    <t>…chémonos de el dictamen de las comisiones de Hacienda y &lt; omercio sobre *1 despa ia caima qu&lt; nos conceded cielo: pensemos en reparar nuestras pérdi cho de una partida de cacao de D. Agustín Hsradia. EN LA IMPRENTA NACIONAL.</t>
  </si>
  <si>
    <t>Hstanis</t>
  </si>
  <si>
    <t>…nstitucionales españoles- No seí ala Juan Baut sta Ar ch.derr tea , Dr. D J-is-f Julio García T -t- época , s tio ni cosí que lo valga: pero bien conocida es su intención res, Dr. D. Hstanis ao Segu*a , D'. D. Antonio Cab za de Vaca, de dar un ataque ultra á los tráncese* r.fugiados en España. D. Josef Antonio Huarte, D. Pedro Fernandez, D. Jos-f Igna La po icta de t aris anda muy vigilante. Mr. B. Ccnitant publicó cio de Arévao, Dr. D. I uc ano…</t>
  </si>
  <si>
    <t>Hua-te</t>
  </si>
  <si>
    <t>…merecida opinión de hon pitan general de provincias internas Eustamante, Quintanar, Loaces, rados, valientes y prot .atores de la prosp-ridad di la patria: estadio, Guerr ro , el Sr. Hua-te, padre di la F.mp ratriz, A'mtnsa , Aicme pueblo s, de que el que os dió la libertad conservará vu-slro* derechos, na (D. Mariano), D. Domingo Ma'o é ltú bide , Cavaleri, el mar y estid'o de que si tengo disposición para premiar a1 bueno , la teneo ques de Ai…</t>
  </si>
  <si>
    <t>Huarte, Josef Antonio</t>
  </si>
  <si>
    <t>Josef Antonio Huarte</t>
  </si>
  <si>
    <t>…i cosí que lo valga: pero bien conocida es su intención res, Dr. D. Hstanis ao Segu*a , D'. D. Antonio Cab za de Vaca, de dar un ataque ultra á los tráncese* r.fugiados en España. D. Josef Antonio Huarte, D. Pedro Fernandez, D. Jos-f Igna La po icta de t aris anda muy vigilante. Mr. B. Ccnitant publicó cio de Arévao, Dr. D. I uc ano Castoreña, Lie. y Miro. D. Jo una carta contra et fiscai de la causa de B ¡t n , donde la intriga ha tef María Troncoso, L;c. D…</t>
  </si>
  <si>
    <t>Huerta, Manuel</t>
  </si>
  <si>
    <t>Manuel Huerta</t>
  </si>
  <si>
    <t>…enos conserva en medio de su miseria tre los intendentes de egércita i D. Josef María de Aurrecoechea antes el mayor de iodos los bienes, la libertad. El pobre vive en medio de de D. Manuel Huerta—En 1811 y aa te ha publicado la Guia de los sayos, y el atractivo de los aféelos domésticos puede en cierto modo Forasteros sin la cita del año en los egemplares que llevan portada dar algún alivio á sus males; bien al contrario del preso, que todo lo ha grab…</t>
  </si>
  <si>
    <t>Hufdand</t>
  </si>
  <si>
    <t>…concitando unos ciudadanos con nes sobre la rabia. a.a Un extracto dal diario aleman de medicina prác-J tra otras, no han cesado de contristar á las personas honradas, al tica del doctor Hufdand. 3.0 El extracto de lat sesiones literarias de la mismo tiempo que han causado el trastorno de la nación. En la pug escuela especial de medicina, y de la academia médica de esta corte, na de las facciones, el partido vencedor en medio de sus triunfos na y d d…</t>
  </si>
  <si>
    <t>Hufeland</t>
  </si>
  <si>
    <t>….* compañía de fusileros: mera parte de una interesante memoria sobre las neuralgias. a.° Un n teniente Gaspar Dotres.sPor la 2.* compañía Josef María Cala- método antivenéreo del doctor Hufeland, médico del Rey de Prusia, y bu¡g=Por la 3/ compañía Ramón Casi nos-=Por la 4:’* compañía: otro del doctor Bernard, médico del Rey de Baviera. j." Un artículo Manuel Navarro.=Por la 5.* compañía Josef L!uch.=Por la compa de variedades y otro de bibliografia m…</t>
  </si>
  <si>
    <t>Hurtado, Lorenzo Perez</t>
  </si>
  <si>
    <t>Lorenzo Perez Hurtado</t>
  </si>
  <si>
    <t>…iempre que tengan casa abierta y llantas que disfrutan , fundadas por D. Fernando y D. Gonzalo Aloa. yunta propia, manejada por sí ó por criados, no les obstará el que lo so y por D. Lorenzo Perez Hurtado , las que despachadas por la contamaterial de la casa no comprenda todos los cuartos principales, segun duiía general de consolidación con los números 708 y 953 , 7090 dos dcc., sino que por la voz casa ha de entenderse la habitación del 954s las recibió en i…</t>
  </si>
  <si>
    <t>Hurtado, Manuel</t>
  </si>
  <si>
    <t>Manuel Hurtado</t>
  </si>
  <si>
    <t>…guida se declaró este asunto suficientemente discutido, y no partida para prrseguir i los facciosos. se aprobó la medida de que se trataba. Se ai ó cuenta de una representación de D. Manuel Hurtado de afi. » Las autoridades de los pueblos en donde hubiere juntas da Mendoza , médico de esta corte, en la que ofrecía hacer todos jes ex facciosos serán juzgadas militarmente.” perimentos necesarios para probar que no es contagiosa la fi bre amari La comisión…</t>
  </si>
  <si>
    <t>Hurte, Diego Parada y</t>
  </si>
  <si>
    <t>Diego Parada y Hurte</t>
  </si>
  <si>
    <t>…ean Ubres. El presidente Cuenca. La comisión no encontraba ninguna dificultad en los pode que no tiene esta circunstancia en el desempefio de su encargo, desde res presentados por D. Diego Parada y Hurte, D. Nicolás Escolar, luego se inclina á algún partido con preferencia áotro. Todos los hom D. Juan Manuel Pió Arias y D Manuel 'sierra; pero no asi cn’el ac bres tienen esta misma inclinación en semejantes ocasiones , y el gefe ta , en la que observaba que el…</t>
  </si>
  <si>
    <t>Hurucalde, Jacinto</t>
  </si>
  <si>
    <t>Jacinto Hurucalde</t>
  </si>
  <si>
    <t>…alde Arias, y la de los sugetot ya expresados, los nombres de D Josef segundo Ramón Carel las. 3: Alcalde tercero Cayetano Rubio, s Al María Domenech , D. Tomas Sánchez del Pozo , D. Jacinto Hurucalde cuarto Miguel de Na jera. = Alcalde quinto A rías Gonzalo de do,D. Josef García Carrasco y D. Temas Muñoz de S. Pedro, sia Mendoza, a Alcalde sexto Vicente Bertrán de Lis. = Regidor Elias olvidar por otra parte los de sus sabios y beneméritos diputados i CorV…</t>
  </si>
  <si>
    <t>I, Francisco</t>
  </si>
  <si>
    <t>Francisco I</t>
  </si>
  <si>
    <t>…inte bles están á precios muy equitativos. Los profesores que aspiren i dicha resados en la herencia del difunto duque de Medina»idonia, se cita y plaza dirigirán sus memoriales i D. Francisco I.¿raro, secretario do emplaza por término improrogable de 60 dias á los que pretendan te aquel ayuntamiento, por el término de mes y medio, contado desde el ner derecho á dicha herencia por título de criados del difunto duque. is de Marzo de 1821. {Véanse las g…</t>
  </si>
  <si>
    <t>I, Francisco Escudero</t>
  </si>
  <si>
    <t>Francisco Escudero I</t>
  </si>
  <si>
    <t>…al caso; cu que empieza Cuando la patria it ve c-v. Los jueces ds hecho que vo yos artículos serán de bueña calidad, y el pan de trigo puro sin otra taron por la afirmativa fueron D. Francisco Escudero I,asi , D. Fran mezcla, bien cocido y sazonado: de forma que la fanega castellana no cisco Carranza, D. Bernardo de la Peña Díaz, D. Josef María de exceda en su producto de 64 raciones, ni baje de tío. Ansa, D. Josef Antonio Puyade, D- Vicente Sánchez Cirquero…</t>
  </si>
  <si>
    <t>I, ID Juan</t>
  </si>
  <si>
    <t>ID Juan I</t>
  </si>
  <si>
    <t>…de "ct embre p:&lt; ximo pasado , v han ele dro Ac.vedo, td. D- Juan Corvantes, marqu s d- '• C-eena; ten en gido para su presidente al fir. ID. Ramón Sjirjjo, d pulido por la pro te coronel ID Juan I ráelo Gurr a, D. Jo,c) Garav, D Josef Isita, vincia de Cataluña; para vite pres.dente al Sr. D. J aquin Gir. a Dó Conde del Valle , ma ques de Guadalupe Cia ario. M-yordrmos de meme h, diputado por la provincia de Valencia , y pa-a secretarios á S'mana : cond…</t>
  </si>
  <si>
    <t>I, Juan Antón.o</t>
  </si>
  <si>
    <t>Juan Antón.o I</t>
  </si>
  <si>
    <t>…añadido por su orden alfabético tres En su vista se minió el jurado compuesto de los señores siguientes: tablas : la 1." de les autores: la 2.1 de las fórmulas ó recetas; y la 3/ D. Juan Antón.o I opez; t). Valentin Ruiz; D. Felipe López W- de las enfermedades, be vende en las librerías de Paz y eu ladeQuiroga, demoro; D. Antón o Seoíne; D. Manujl Esteban Catal &gt; ; D. Cavtniro á 18 rs. El autor avisa i los libreros de las provincias que si gustan Marti…</t>
  </si>
  <si>
    <t>I, Juan Dotres y</t>
  </si>
  <si>
    <t>Juan Dotres y I</t>
  </si>
  <si>
    <t>…bir un parte del comandante general del lugar á la formación dt causa por siete vetos, habiendo votada que 8.a distrito militar , en que con fecha de 23 de Diciembre corriente, sí D. Juan Dotres y I). Jos:f Antonio Bilcviiy. Barcelona 6 de Di y haciendo referencia al que le había dado en al del mismo el co ciembre de 18aa. Juan Evaristo de Castellar , Pascual Claris, Baltasar mandante militar de la provincia de Castellón , manifiesta que el dia Domenech,…</t>
  </si>
  <si>
    <t>I, Lorenzo Fernandez de</t>
  </si>
  <si>
    <t>Lorenzo Fernandez de I</t>
  </si>
  <si>
    <t>…aquel punto de acuerdo coa otra que saldría de Coro , y que lo midad no haber lugar 4 le formación de causa. grada esta empresa ae {¡acuitaría posesionarse en poce tiempo ae Ca — D. Lorenzo Fernandez de I* Reguera, teniente del regimiento iaracas.” Cantería 4c CúitHiba, en nombre del regimiento de línea de Aragón __» Otra carta de Curazao da 15 de Febrero de persona acreditada di* denunció al Excmo. Sr. marque* de Sea. Cruz, alcalde primero consti ce que el ge…</t>
  </si>
  <si>
    <t>I, Marta</t>
  </si>
  <si>
    <t>Marta I</t>
  </si>
  <si>
    <t>…de! Nenno. Sr. Infante D- Cárlos Varía........ 87,500 Casa Real............Idem del Sermo Sr. Infante D Francisco de l auta. 87,500 3.608,166 ..22 Íldem de la Serma. Sra. Infarta Doña Marta I ran chea de A-ir..................................................... .............. 45,833-11 (.Idem de la Serma. Sra. Infanta Doña Luisa Carlota. 5 c,eco "Giro nacional ••••«••••••••«••••••••••••••o*********** ••**••*•*•* 3-793-775-30 Remera á la tes&lt; rería…</t>
  </si>
  <si>
    <t>I, Miguel de</t>
  </si>
  <si>
    <t>Miguel de I</t>
  </si>
  <si>
    <t>…ros alborotadores y promo Ultramar.” tores de disturbios pera sacar partido de ellos. Por a» que unos y otros te agiten por conseguir miras tan inicuas serán vacos todos sus es •» D. Miguel de I atorre, caballero de cuarta clase con cruz y pla fuerzos; Cataluña seré siempre por esta parte el baluarte inexpugnable ca de la orden nacional de b. Femando, condecorado con seis cruce* de la libertad española; y los catalanes, verdaderos amante, de las ins…</t>
  </si>
  <si>
    <t>I, Nicolás Uri CAPITULO</t>
  </si>
  <si>
    <t>Nicolás Uri CAPITULO I</t>
  </si>
  <si>
    <t>…pitánFelipeD-EguiliortD.Antonio de Arana:Nicolás losVillavaso,voluntariosD. D.DomingoSimeón BE IOS DELITOS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t>
  </si>
  <si>
    <t>I, Patricio</t>
  </si>
  <si>
    <t>Patricio I</t>
  </si>
  <si>
    <t>…instante que s: supo la marcha de los facciosos, las ctvumnas de Estado y del Despacho de la Guerra.’' del j.1* y 6.J distrito reunidas, después di d.;ar -n Sos ia d-.l mando del coronel D. Patricio I&gt;'min¡?u.z, oleren h e a Jaca j&gt; r la r&gt;-ta- Parir que te cita en el anterior. goardia de aquellos. Tamb en corrieron ¿ncia a.l&lt;, y s-: ¡cu un.do en Ayerb-‘, la que al mando de! cr mand,,'t * de las muio.s df btiim- *» Primera brigada de la primera divís.on.=C…</t>
  </si>
  <si>
    <t>I, Rafael Costa y</t>
  </si>
  <si>
    <t>Rafael Costa y I</t>
  </si>
  <si>
    <t>…o para su cumplimiento, y dispondréis se Zoilo Gómez Casrro; D. Miguel Dolz; D Manuel Carnicero; Don imprima, publique y circulets-stí rubricado de la Real mano.sEn Angel Bonalto; D. Rafael Costa y I). Marcos M■ñero. palacio á 13 de Julio de i8a»-=A D. Felipe de Sierra y Pam bley.” Habda la conferencia, resultó por unanimidad haber lugar á ia /cr emación de causa. Las Cortes en uno de sus decretos de 19 de Junio último autoriza ANUNCIO ron el «■•.rablec-'…</t>
  </si>
  <si>
    <t>I, Ruiz de</t>
  </si>
  <si>
    <t>Ruiz de I</t>
  </si>
  <si>
    <t>…ue pudiesen ser mas útiles en una provincia que en otra, sino en principios que son bien conocidos á todo el mundo. para que el Gobierno los enviase á donde hiciesen mas falta. El Sr. Ruiz de I2 Vega deshizo una equivocación que dijo haber Quedó aprobada la medida 22. padecido el Sr. preopinante. 23. n Se autoriza al Gobierno para que el haber de los cesantes que La comisión reformó la medida a5 en estos términos n en los pue crea conveníante de las…</t>
  </si>
  <si>
    <t>I, TV</t>
  </si>
  <si>
    <t>TV I</t>
  </si>
  <si>
    <t>…ue se digne ¿oponer que se ms r .en la gaceta de esta ciudad - añade también el sindico , que el raspo ,’e Partí 19 dt Marzo. política, que el caba'lcro secretaría de la capitanía general TV I\ Jro Avían de Odesa con fecha de 11 de Febrero, que para Marzo Tomas de Córdoba ha estampada sobre el partí, u ar en el lr.vcsxipillegaría el Emperador Alejandro a aquella ciudad, y que se habían he dor de esta piara, núm. 16 de a8 de Agosta próxima pacido, e…</t>
  </si>
  <si>
    <t>I, Vil</t>
  </si>
  <si>
    <t>Vil I</t>
  </si>
  <si>
    <t>…y acarreos. Ei proyecto de ios fac Sr. Benito al Sr. Riego, y para la de Policía al Sr. Belmonte en lugar ciosos era el apoierarse de nuevo de Ca»t?ilL&gt; lit y sostenerte en el del Sr. Vil I avieja. para conaervar su prestigio , ó cuando no reconquistar su artillería 7 Se leyó el dictamen de la comisión especial encargada de examinar municiones, que les hacen una falta nctabie. las medidas propuestas por el Gobierno sobre ia adición al art. 6° de…</t>
  </si>
  <si>
    <t>I-tur</t>
  </si>
  <si>
    <t>…n reprobada La comisión de Hacienda ha encontrado varias dificultades en la la» Cortes, no podían aprobarse. nueva tarifa y plan administrativo de este ramo de hacienda, presen El Sr. I-tur z dijo que ei Sr. preopinante habia impugnado es tado á las Cortes por el secretario del Despacho, y encuentra ha pro tos artículos bajo un supuesto falso, y que sera incurrir en el mis puesto á estas que se le devolverán para su arreglo definitivo. Luego mo…</t>
  </si>
  <si>
    <t>I-turiz</t>
  </si>
  <si>
    <t>…stán cubiertas oon ei número de emplea Gobi.rno en est- asunta. dos prop j stos , de lo que resultará que estas quedarán siempre desaten* Ei Sr. Gómez 'D. Manuel): Las razones del Sr. I-turiz , Ir ios de didas. En las atenciones ordinarias están comprendida» la corresponden probar algo contra este artículo, prueban á su favor: Y i'. hi indicado cia d*l Gob ernó que diariamente están recibiendo las dipuuc ones; los la necesidad de que se extinga es…</t>
  </si>
  <si>
    <t>I-Vi</t>
  </si>
  <si>
    <t>…lo» señóte» siguientes. D. Manuel Estiban Catai, D. Ra tas , declarándose que la formación de esta causa no debe perjudicar fila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 Tomas Marta Zanon. Habida…</t>
  </si>
  <si>
    <t>Iatoriz</t>
  </si>
  <si>
    <t>…resaltar ea ios diferentes ramos le era indife encargaba á hombres instruidos. rente que m apróbaae la rebaja. Ei Sr. secretario del Despacho apoyó las ideas del Sr. Lagasca, y Ei Sr. Iatoriz contestó que si las Cortes aprobsban las rebajas que dijo que estas pequeñas economías no recompensaban los perjuicios que proponía le comisión , estas serian ilusorias siempre que ios Srcs. secre podían ocasionar á la instrucción pública, 4 lo menos en la pa…</t>
  </si>
  <si>
    <t>Iba, Antonio María</t>
  </si>
  <si>
    <t>Antonio María Iba</t>
  </si>
  <si>
    <t>…r. - . ' , do, id em. D. Poiicarpo Fernandez, idem., D. Francisco López Novi ». A las ttefde la madrugada del diá de hoy me atacaron los ene llo, idem. D. Vicente Sedeño; contuso; D. Antonio María Iba trola, migos- por la calle del Arenal &gt; parroquia de S. Ginés , rompiendo el herido. fuego mis avanzadas, y replegándose á este punto: los enemigos si Cazadores. D. Claudio Estéban, herido. guieron su marcha'en dos columnas, atacándome, la una de cazadores Pr…</t>
  </si>
  <si>
    <t>Ibabe, Pedro Josef de</t>
  </si>
  <si>
    <t>Pedro Josef de Ibabe</t>
  </si>
  <si>
    <t>…esías de la misma. Faetón exa dico , i fin da qua comparezcan en el referido juzgado , y por la escribo» minados i continuación tres alumnos de laxiasc de economía política nía de D. Pedro Josef de Ibabe, á la mayor brevedad á oír la referida que estableció la sociedad, y que gratuitamente airvo so socio facultativo sentencia. D. Josef Diaz Yabarren*, ¡os que maní festaronconocimiento* muy exac En la.canas seguida por k tala segunda criminal de esta audiencia…</t>
  </si>
  <si>
    <t>Ibafi-z, Anselmo</t>
  </si>
  <si>
    <t>Anselmo Ibafi-z</t>
  </si>
  <si>
    <t>…empleados que ac sargento segundo de aquel cuerpo Felipe Gutiérrez, y i los milicia tualmente existen ; por consiguiente es muy distinto un caso de otro. nos voluntarios de Burgos D. Anselmo Ibafi-z , D. Hcnrique Pimcntel Se ha dicho que la comisión camina en el supuesto falso de que los Y D. Vicente CoiUntes, al de A randa D. Francisco Fernandrz Caricesantes de que se trata están inclusos en el decreto de las Cortes que hatiós , a*, de Villarcayo D. Luc…</t>
  </si>
  <si>
    <t>Ibaira</t>
  </si>
  <si>
    <t>…Ultramar presentó su informe sobre las proposicio exacto de la necesidad y ut-lidad de adoptar la medida que se propone. nes del Sr. Sánchez; y leído este y el voto paiticular del Sr. Ibaira, se El Sr Casi r|on contestó que la com'sion hab'S tenido pTe&gt;-rtcs altcordó quedase sobre la mesa. exteoder su n forme todas las noticia» que rx.stian sobre ia mst ría. ¡as Continuó la discusión del arreglo del Crédito público. cuales resu (aban de los disti…</t>
  </si>
  <si>
    <t>Ibañcz, Anselmo</t>
  </si>
  <si>
    <t>Anselmo Ibañcz</t>
  </si>
  <si>
    <t>…e acogida en nuestras fronteras á lo» españoles (/talutos añade la Bailen, 18 milicianos naconai-s, y D. F r r nc o Varona, capiun de Gactta.') caballería retirado en la A.’mun.a, D. Anselmo Ibañcz, mil.c aro vo El ministro del Interior respondió á todos los puntos expuestos por luntario de Bfagos y D. Jonf Tabarrs, vecino de esta villa, que con el general Scbastiani, y particularmente al de España , diciendo que ni el mayor entusiasmo se presentaron co…</t>
  </si>
  <si>
    <t>Ibañez</t>
  </si>
  <si>
    <t>…será tratada con el rigot de las le mandante de la guardia de la puerta por donde entraron en esta cap ta ; yes militares. Art. 4 0 Yo no puedo menos de avisar á todos los veci el capitán Ibañez en ta ciudadcla, y el faccioso ea la prisión del cuaitel nos de esta ciudad el riesgo que amenaza £ este pueblo , siempre que en de Atarazanas. él Ueyu.- á cometerse algún desorden; y para evitarlo con tiempo to » C.ucadanos: Los que tienen el honor de ser ag…</t>
  </si>
  <si>
    <t>Ibar-, Josef</t>
  </si>
  <si>
    <t>Josef Ibar-</t>
  </si>
  <si>
    <t>…rimer comandante al comandante de infantería tiva de Oviedo. D. Julián Ramón Vaivcrde, sargento mayor del batallón de la mili Calatayud: para coronel al coronel vivo de infantería D. Josef Ibar- cia activa de Toledo. ra, primer comandante de tropas ligeras, supernumerario del batallón Toro: para primer comandante al comandante de infantería Don de cazadores de Bar batí ro. Tomas de Lira y Monroy, sargento mayor del mismo batallón de Castellón: para p…</t>
  </si>
  <si>
    <t>Ibarra</t>
  </si>
  <si>
    <t>…objeto del proyecto no era de inser moria del secretario del Despacho de Ultramar , y un voto particular del tar tocios los reglamentos y ordenanzas relativas a los ramos da poli Sr. Ibarra. Se acordó que se imprimiese. cía , sanidad y de mas de que trataba, poique esto seria ir mas allá de Se protedió i la discusión en su totalidad del proyecto del gobier lo que debía proponerse; y que las impugnaciones que se habían hecho no económico-político…</t>
  </si>
  <si>
    <t>…licores, opinaba que no debia haber lugar áde En ia eegtr da votación pira diputado americano recayó la elección liberar. Aprobado. en el Sr. Quiñones por 81 votos, teniendo gt el Sr. Ibarra, j nao el Se mandó quedar sobre la mesa el dictamen de la comisión de Co Sr. Cu vas. Total 133. mercio acerca del modo de compensar á la casa de Murphi y compañía En la tercera votación resultó electo et Sr. Castrón por 78 votos, de Lóndres del privilegio par…</t>
  </si>
  <si>
    <t>…sar í Claro es que sí; y en el mismo caso creo que nos hallamos con res* la biblioteca. pecio á las provincias de Ultramar. Asi pues, sin atreverme yo a juz be concedió permiso al Sr. Ibarra para volver á Goatemala con gar cuál será ei resultado de estas medidas, desde ahora digo que sin cluida esta legislatura, 1 fin de restablecer su salud. recursos será nulo el que tenga , y por lo mismo creo que debe apro La comisión de Bellas Altes, en vista…</t>
  </si>
  <si>
    <t>Ibarra, Joaquín</t>
  </si>
  <si>
    <t>Joaquín Ibarra</t>
  </si>
  <si>
    <t>…riscal de campo D. Miguel de Hato, maguera, id.; 1&gt;- Félix Mora, capitán de infantería, teniente del ex gobernador de la plaza de Tortora. presado regimiento; ui mar.scal de campo D. Joaquín Ibarra, sibm»Octavo distrito. Para comandante general de él, que se compone de pector de aitillena; D- Vícente Ravana.s, presbíuro, y D. Luis Selles, las provincias ¡de Alicante, Castellón , Chinchilla, Játiva , Murcia y abogado; declararon por unanimidad haber luga…</t>
  </si>
  <si>
    <t>…Cá- riente los Sres. D. Josef Sonano, presbítero; el marques de Fuente el dix , pido que queden desde luego extinguidas la contaduría y tesorería Sol; D. Honorato Piera, abogado; D. Joaquín Ibarra, subinspec de cgército de dicha plaza, estableciéndose en ella un pagador , con tor de artillería; D. Facundo Alarcor, coronel retirado; D. Josef forme al plan administrativo de hacienda militar con uno ó dos ofi Enguídanos; D. Vicente Marzo , abogado; D. Ana…</t>
  </si>
  <si>
    <t>Ibarrondo, Josef</t>
  </si>
  <si>
    <t>Josef Ibarrondo</t>
  </si>
  <si>
    <t>…uales opítraba podía concederse la dispensa de edad á D. Ildefonso es asi. ¡Y qué ha sucedido respecto de muchas conclusiones? Que el Pastor para poder administrar sus bienes, y á D. Josef Ibarrondo para que las de'endia aprendía de memoria una disertación que no esta cgcrcer la abogacía. ba compuesta por él, y en poniendo tres silogismos sobre una cues A la comisión de Hacienda se mandó pasar una exposición de Don tión la gamba. Pues ahora no deben perm…</t>
  </si>
  <si>
    <t>Iberas, Joaquín de</t>
  </si>
  <si>
    <t>Joaquín de Iberas</t>
  </si>
  <si>
    <t>…las Cortes acceder á esta Anastasio Nava*,IX Andrés Gafo, D. Miguel Sánchez, D. Octavio exposición, por cuanto el asunto 4 que se refería era un testimonio da Pastor, presbítero, D. Joaquín de Iberas, D. Josef Marín Coronado, la gratitud nacional; y que no siendo tampoco decoroso el decir que D. Josef Maten y D. Vicente Verga». ao había lugar i deliberar robre ella, era precito que las actuales Cor te* mostrasen su aprobación de lo hecho por las anteriore…</t>
  </si>
  <si>
    <t>ICeco</t>
  </si>
  <si>
    <t>…ante &lt;Scc. Se mando pasar á ia comisión de li.ua&gt; Artes. que a ellos se sgaen p &gt;r la resolución de 8 de Junio de 1S13 hasta Se mando pasar á la comisión de Gu:rra una adición del Sr. ICeco que ia prop-edad se halle dividida. al art. a.° del cap. 3." de la ordenanza militar sobre los colores de las Previa una discusión sobre esta proposición, en la que se manifestó coibjtas ó grimpoloues de las insignias militares. que no debía haber ir,c-inveni…</t>
  </si>
  <si>
    <t>ICeene, Ricardo Rainal</t>
  </si>
  <si>
    <t>Ricardo Rainal ICeene</t>
  </si>
  <si>
    <t>…de Balda algunos dias, no tomó armas ni tuvo Exposición dirigida al Excmn. Sr. ministro de la Ou;rra , por el parí- ninguna en cuanto se determ naba y egecutaba: que disgustado y coronel D. Ricardo Rainal ICeene. Se halla de venta en las librerías pesaroso de hallarse en aquella reunión meditó el sparars- de Balda prncipalrs de la corte i 2 rs. vn. en la primera ocasión que se le pr-sentase , manifestando esta intención Ñuta. F.n la gaceta del 13, col. 4.* , lín. 19,…</t>
  </si>
  <si>
    <t>Icón, Andrés A</t>
  </si>
  <si>
    <t>Andrés A Icón</t>
  </si>
  <si>
    <t>…ba por el despojo; pero aqui no hajr tal des rieta, D. Benito Olga Romanillos, D. Juan Fernandez Casariego, pojo, porque este supone violencia en ei acto , y falta de autoridad en D. Andrés A Icón, !). Martin Miguel deGoicochea, D. Josef Anto la persona que se despoja? ademas tampoco hay posesión, poique las nio Ponzoa y D. Antonio Regas. cosas afectas i señoríos territoriales y solariegos no son susceptibles de D. Nicolás Alonso declaró no haber lugar…</t>
  </si>
  <si>
    <t>ID</t>
  </si>
  <si>
    <t>…í tiago Calderón y Fonlecha . para la de Huesca á D. Jase: Cantolla, mirillas, pido se sirvan habilitar á la mesa o á una comisión para que auditor de guerra: para la de Gerona al coronel ID. Josef Pe lo, reparta todos, á excepción de los que presenten fu: dada duda de la rol: para la de J ítiva d coronel graduado D. Rarrot -rrie Ame: , q;. ¡o. cumis'oii á que pertenecen, medíante á que la secretaría lleva razón de es interino de la de Toledo: pa…</t>
  </si>
  <si>
    <t>Id, Agjstin Espinóla y</t>
  </si>
  <si>
    <t>Agjstin Espinóla y Id</t>
  </si>
  <si>
    <t>…resente no se han enterrado públicamente en dicho panteón ■olidacion y renovación......................... ..................... jíy mas personas que los arzobispos de esta ciudad D. Agjstin Espinóla y Id. existentes en el referido dia en la contaduría ge Guzman, cardenal de la santa iglesia romana, que talleció en 164c/, neral de recaudación para remitir i dichas secciones, ao r r ’ D. Ambrosio Espinóla y Guzman, su sobrino , que murió en 1641!; Íos cuales es…</t>
  </si>
  <si>
    <t>Idem</t>
  </si>
  <si>
    <t>…o1 piratas, los que navega esperan tener un Gobierno como los jonios. ron en las aguas del estrecho en la noche de este dia. En París se hablaba del nombramiento de mariscal én el general Idem 18. Lauriston, designándole como comandante en gefe del cordón llama Permanece cruzando en el Estrecho unafragata de guerra portugue do sanitario, hacia donde» según un periodista de provincia , todavía sa; y en estos últimos dias no ha ocurrido en el mar nov…</t>
  </si>
  <si>
    <t>Idem, Buey</t>
  </si>
  <si>
    <t>Buey Idem</t>
  </si>
  <si>
    <t>…cirlo asi, el centro di aquella independ rncia, á que naturalmente bado. propenden los Estados de la Alemania meridional. La comisión Eclesiástica, en vista de una proposición del Sr. Buey Idem 1+ relativa al derecho que tienen los panocot de celebrar ios matrimonio* Todas las noticias de ConstantenopL están contestes en que cuantos de sus feligreses sin necesidad de licencia del ordinar.o en los casos pre pasos han dado las potencias europeas cerca…</t>
  </si>
  <si>
    <t>Idem, Febpg</t>
  </si>
  <si>
    <t>Febpg Idem</t>
  </si>
  <si>
    <t>…ñía de cazadores de Córdoba, otra de italianos , el batallón ¿o audiencias y tribunales del reino que estaba pendiente. Africa y la guerrilla de coraceros , mandada por el alférez D. Febpg Idem extraordinaria del jl. Carrasco, que con tanu decisión contribuyó i este resultado , hacién Se dió cuenta de varios expediente* por las comisiones de tus res- doles pie á tierra fuego de tercerola , y causándoles con todos loa demás peer vos ramos, y el Sr. F…</t>
  </si>
  <si>
    <t>Idem, Sebastian Or-</t>
  </si>
  <si>
    <t>Sebastian Or- Idem</t>
  </si>
  <si>
    <t>…......... 3S Habiéndote denunciado al Excmo. Sr. marques de Santa Cruz, al Idem francés........... ....................... ?S calde primero constitucional de este M. H. villa, por D. Sebastian Or- Idem ita iano....... ...... 4* ttx de Lsnzagorta, en nombre de Fr. Francisco Borja de Montilla , lec También ha habido cátedra de idioma alemán, que está actualmen tor de attes y teología, del orden de capuchinos en la provincia de An te cerrada por fa¡ta de discí…</t>
  </si>
  <si>
    <t>Iduriz</t>
  </si>
  <si>
    <t>…an tocos los coi ivejy ¡o» .¡ruados en ccmision , considerándolo como una proposición del mismo Sr. Abreu. despoblado. Lo que dice el Sr. Pacheco de que ese ccr.w, sto no tiene El Sr. Iduriz expuso que el Sr. Abreu lia d:bido arreglar su voto mas que 15 religiosos que.se egercitan en la práctica dt En*, ejercicios al resultado de la discusión de ayer , y que debía discutirse desde luego espirituales, se diría con respecto á los demás, y íodcs^lei…</t>
  </si>
  <si>
    <t>Ierren, Jaime</t>
  </si>
  <si>
    <t>Jaime Ierren</t>
  </si>
  <si>
    <t>…s una de las columna» que había man á exponer lo que les convenga en razón de la solicitud presentida por dado para cortarles la retirada teguia su marcha á O.ot, hizo con la otra D. Jaime Ierren» en ios autos pendientes en grado de apelación entre una marcha de flanco, dirigiéndote á Moyá , cuyo movimiento le pro D. Joscf Palacios y D. Jorge Palacios, su tío, intendente que fue de porcionó la suerte deque su vanguardia atacase y dispersase al Caragol…</t>
  </si>
  <si>
    <t>Íes, Romero</t>
  </si>
  <si>
    <t>Romero Íes</t>
  </si>
  <si>
    <t>…l Congreso hacia esto; y efectivamente ¡a llama, primero porque en el día so'.o ascendían ! 5 millones. lienta desde luego el principio de que ia rebaja debe ser genera1 , y no E! Sr. Romero Íes ó el d:cr to d.- las Gs-tes ge-era.e&gt; v extradebe excluirse i los secretarios del Despacho ; y seeundo porqne ha ord'raras , relativo á a 1-y de, H.y=i, e.hizo ver v&gt;t -I que ios biendo adoptado el mismo principio la com s o:t del Gobierno, hace es secretario…</t>
  </si>
  <si>
    <t>Ifiero, Diego</t>
  </si>
  <si>
    <t>Diego Ifiero</t>
  </si>
  <si>
    <t>…ción 6 hombres mu-rtos, que duos siguientes: D. Francisco Querol, escribano; D. Vicente y Don te han visto, 4 prisioneros, y a de ellos heridos, 14 fusiles y esc.ipe Tomas Piñols; D. Diego Ifiero, administrador de correos; D. Maria tas , una caja de guerra, un caballo que montaba el cabecilla Santocil- no Oliveras, librero; D. Mateo Sampons, abogado; D. Baltasar García, des, titulado comandante de los voluntarios realistas de Alava, j otros CX-cartujo…</t>
  </si>
  <si>
    <t>Ifiigo</t>
  </si>
  <si>
    <t>«meramente disuelof y que reinará la tranquilidad en aquella parte de Uno almojarifazgo mayor de Sevilla , en cabeza de D. Ifiigo de la provincia de Cuenca , unto por el acogimiento de los reos, cuanto Mendoza, de n9 mrs., tu fecha 18 de Setiembre de 1509: otro al* por las providencias de tino vigilancia que dejo establecidas en unión cabalas de Sevilla, en cabeza del referido D. Iñigo…</t>
  </si>
  <si>
    <t>Iflfó, Se</t>
  </si>
  <si>
    <t>Se Iflfó</t>
  </si>
  <si>
    <t>…Gabriel González Rey , escribano del número del mismo juzga su importante salud. Las Cortes lo oyeron con agrado. do, en el expediente seguido i instancia de Dolía María Antonia y Don Se Iflfó un oficio del Sr. secretario de Ultramar, al que acompasa Lorenzo Iruegas, vecinos de Madrid, contra D. Fermín Castaño, de ban los poderes de los Sres diputados electos por la Iiavana. Aranjuez; y para hacer pa¿o á estes se ha mandado sacar á publica En segu…</t>
  </si>
  <si>
    <t>Ig</t>
  </si>
  <si>
    <t>…edicioso en primer grado, se reunió el jurad* que se ha tratado de tomar esta medida ; pero hasta ahora no ae ha po que debía ver dicho escrito, compuesto de los Sres. siguientes: D. Ig¡. dido consegu r; y por lo mismo las f ortes deben ocuparse en examinar hio Antonio Lorcnte, D. Cirios González Llanos, D. Rafael Costa, detenidamente el proyecto de decreto que acaban de oir. D. Juan Cortés, D. Pedro Rodríguez de Toro, D. Josef Radon , Dos A…</t>
  </si>
  <si>
    <t>Ig, Francisco</t>
  </si>
  <si>
    <t>Francisco Ig</t>
  </si>
  <si>
    <t>…io, como meitaiiores á la desobediencia en segundo grado; con A randa al capitán D. Norberto Florez Calderón, primer ayudante vocado y reunido el jurado, compuesto de los sefiores D. Francisco Ig del batallón de la milicia activa de Búrgoa, con 670 rs. al mea. nacio Marti, D. Francisco Antonio Larraza, D. Francisco Hidalgo, Asiorga al capitán D. Manuel Arguello, segundo ayudante del re D. Martin Fernandez Elias, O. Manuel Moreno de Mora, D. Josef gimi…</t>
  </si>
  <si>
    <t>Igle, Agustín Fernandez de</t>
  </si>
  <si>
    <t>Agustín Fernandez de Igle</t>
  </si>
  <si>
    <t>…irección de D. Pedro de Llano de la Coruña nueve documentos de crédito sin interes, expedidos en 16 de Setiembre último por la di 355,600-17 rección del Crédito público á favor de D. Agustín Fernandez de Igle Por remesas hechas á los pagadores de sias; y habiendo llegado el pliego á su destino , se hallaron faltar en él las provincias en libranzas y electos. 914,000 de los expresados nueve documentos los cinco siguientes: De ¡os tuímerot. Rs. vn. Mrs. 1.269,600-17 1.1…</t>
  </si>
  <si>
    <t>Iglesias, Joan Manuel</t>
  </si>
  <si>
    <t>Joan Manuel Iglesias</t>
  </si>
  <si>
    <t>…al: carece de las facultades mis indispensables pa Málaga.*! coronel D. Joaquín Santistehaa , id. ta hacer observar las leyes, y mantener el buen orden en el país, y no SigíLnza i D. Joan Manuel Iglesias, id. existe y domina tino por continuos esfuerzos y manejos de una políti Plateada i O. Claudio Viauesa, id. ca astuto y seductora, cuyo objeto ea deslumbrar con lisonjeras y ve Alca zar de S. Juan i D. Narciso Muñiz, id. nas apariencias al pueblo, intrigar e…</t>
  </si>
  <si>
    <t>Igna</t>
  </si>
  <si>
    <t>…puntos de mi línea, para dar á S M. la prueba mas género humano. Dios guarde á V. E. muchos años. Madrid 14 de Julio admirable de la generosidad española. El capitán de aftillerU D. Igna óe iKsi.asFrancitco Ballesteros» Excmo. Sr. comandante general del cio Lop-z Pinto fue encargado por mí de conducir á V. E. el referido prima distrito militar.** parlamentario, y de ataunciarie el briileate éxito que acababan de te■cr las armas de le patrie.…</t>
  </si>
  <si>
    <t>…replegarse al cuartel, habiendo muerto de nuestra 7 voluntarios de Mataró los ahuyentó, y llegamos 4 este punto « las parta en este combate de mv dirdos horas el capitán retirado D. Igna t a de la mañana del 3. El capitán Gatell , asi como los oficiales Quin cio Ibort. Kl enemigo quedó en el pujb'o , y saqueó las casas de loa tero y Ortiz y el brigada Damato, quien sirvió dé guia ademas, asi habitantes conocidos por amantes da Ja Constitución…</t>
  </si>
  <si>
    <t>Igna, Isidro</t>
  </si>
  <si>
    <t>Isidro Igna</t>
  </si>
  <si>
    <t>…r, P. D Pedro JuFan lo* egemplares que tuviera. López, D . D. Marcos Cárdenas. Sum hr de pa acó D. Jos-f Maria ARTICULO DE OFICIO. no Fernand. z. Ma stro de ceremonias Dr. y Miro. D. Isidro Igna cio de lcaza. Gentileshombre* de cámara con egcrocio; mariscal En el presente día 3 de Octubre se han corst‘luido las Cortes ex-' de Castilla cond- de fi. M .t o, coronel D Antonio Tcran , id. D. Pe traord narias convocadas en 6 de "ct embre p:&lt; ximo pasado ,…</t>
  </si>
  <si>
    <t>Igna, Jos-f</t>
  </si>
  <si>
    <t>Jos-f Igna</t>
  </si>
  <si>
    <t>…intención res, Dr. D. Hstanis ao Segu*a , D'. D. Antonio Cab za de Vaca, de dar un ataque ultra á los tráncese* r.fugiados en España. D. Josef Antonio Huarte, D. Pedro Fernandez, D. Jos-f Igna La po icta de t aris anda muy vigilante. Mr. B. Ccnitant publicó cio de Arévao, Dr. D. I uc ano Castoreña, Lie. y Miro. D. Jo una carta contra et fiscai de la causa de B ¡t n , donde la intriga ha tef María Troncoso, L;c. D Antonio Cainacho. Predicador;* Doctor…</t>
  </si>
  <si>
    <t>Ignacá, María</t>
  </si>
  <si>
    <t>María Ignacá</t>
  </si>
  <si>
    <t>…, se cita, llama y emplaza por el término de jo días, resistir ls fuerza de esta verdad, y é los que juzguen con ligereza sobre contados desde esta publicación, a los parientes de Doña María Ignacá los principios qus hemos establecido: la demostración sera tanto mas Perez Al varado, que se crean con derecho á los b&gt;enc&gt; de ia capellanía clara y convincente cuanto sea mas prolijo el análisis. Nuestro comercio fundada por la misma en dicha villa, la que s…</t>
  </si>
  <si>
    <t>Ignacio</t>
  </si>
  <si>
    <t>…rles las virtudes mas útiles á la sociedad: --scrita en El Sr. Gsliano preguntó si con esto quedaba decidido que se vota francés por Pedro B anchard, y traducida al castellano por D. Ignacio se el proyecto , £ lo cual contestó el Sr. Nuiles ( D. Torivio) que la García Malo: 7 tomos ea 1 . mayor. Se hallarán á 77 rs. en pasta en comisioncreia que d.ba discutirse artículo por artículo. las librerías «le Hartado y de Orea. Se leyó el art. 148 de la…</t>
  </si>
  <si>
    <t>…o 430. I). Martin Latios 100. D. Alvaro Sai.clicz aoo. Seño En una pa'.ab a tuda la historia de España se le olvidó de repente al res H-rnandez fí rmanos 200. D. Joscf Monroy 160. D. Ignacio escritor d: ita. Et na , cuando quiso hab ar de la resistencia tenaz que Martin z 160. D. Juan Pirer 160. D. Ramón Ca vo 16 &gt;. D. Zacarías hici r n los españoles á su dominación , que sentían á par d: muerte. Mvnge 160. D. E. E. 160. D. T. P. río. D. I. Y iíí…</t>
  </si>
  <si>
    <t>Ignoramos</t>
  </si>
  <si>
    <t>…Ibiza. Los periódicos publican leta de entrada acudirán á dicho establecimiento de una i dos del dia, sus nombres. y de seis á ocho de la noche_Desde el dia 1 de Octubre continúa Don Ignoramos que el general Mina haya hecho todavía movimiento al Pedro María Delgado su segundo curso de matemáticas. Los Sres. que guno capaz de llamar la atención; pero escriben de Cataluña que los tuviesen los conocimientos de aritmética y geometría , y quisieren in f…</t>
  </si>
  <si>
    <t>Igual</t>
  </si>
  <si>
    <t>bride i8iz¿=Fxcmo. Sr.=Miguel de IIaro.=Fxcmo. Sr. comandante Igual suerte que el prim ro sofrió el cirujano de la plaza D. Aniceto general del 7.a distrito militar. Moreno, que de aficionado, y sin que precediese orden a'guna, te incor Comandancia general de la primera linea de operaciones cernirá faccioso!. poró en las guer…</t>
  </si>
  <si>
    <t>Igual, Felipe Martin</t>
  </si>
  <si>
    <t>Felipe Martin Igual</t>
  </si>
  <si>
    <t>…tm 'modo muV^sÚMiihe S. Gregorio ■ se el articulo por la universidad de Cerrera, y audiencia de Cata tu da, y rian fanático* lo» Reyes trincos que tambréh/Ksprtárnn este asüo ; y D. Felipe Martin Igual; y manifestó que la materia de que *e trataba en fin, té ley f' del lió. i’; dé la N. Recocí que trata d- e,tr&gt;. Pó» ¿ t era tan clara, y tan necesario el articulo á la conveniencia pública, que mo ■: izo varita observaciones para manifestad que este artículo…</t>
  </si>
  <si>
    <t>IIíVÍ, Antonio</t>
  </si>
  <si>
    <t>Antonio IIíVÍ</t>
  </si>
  <si>
    <t>…O f-rs, ministro de Prusa en nuestra cor Hacienda nacional la gratJicacion señalada. te, p üc nc a para irtro-ucir un » .b-os un pagar derechos según Capitanes. D. Luis Beaumout, D. Antonio IIíVÍ* , D. Joaquín costumbre: y cnnvi .n ¡a qu - s- • rxpiluí a: dj-se que se le ha Ramos, D. Mariano Moreno. D. Aranasio Cuadros, D. Buenaven ba torced do a introduce.on cu ndo . ra encarnado de Negocios de tura Basas, D. Gaspar Delvado, D. Jactfco huno, D. Migue…</t>
  </si>
  <si>
    <t>Iituriz</t>
  </si>
  <si>
    <t>rijo bien público. Aquí *e trata de Ies facciosos que han s'do sacados á !a fuer* E! Sr. Iituriz: Yo solo deseo saber si este reglamento hi ti: ser za de tus casas para tomar parte en tas facciones; y yo no veo en titos provisional .&gt; peni., n i.te. desgraciado* que siguen á los agentes de la tiraría in.s que espaft d_s se * Ht or. Va;.:.s ('.&gt;. C.yetano…</t>
  </si>
  <si>
    <t>Ikr.a, Joset</t>
  </si>
  <si>
    <t>Joset Ikr.a</t>
  </si>
  <si>
    <t>…Las Cortes recibieron con agrado , y mandaron pasar i la comisión tiempo que se lígu rn las arciones civiles y políticas para precaver los de Hacienda una expos.con del ciudadano D. Joset Ikr.a , vecino de excesos en la couducta de los ind.i'iducs de un pueblo ,,.¡ue es ei fin á la Coruña, acompañando impreso un proyecto sobre nuevo otdcn de que se dtrije el reglamento de policía. De consiguiente parece se está en el caso de clasificar en este regla…</t>
  </si>
  <si>
    <t>Il.-via, Lorenzo Valdés</t>
  </si>
  <si>
    <t>Lorenzo Valdés Il.-via</t>
  </si>
  <si>
    <t>…olumna, al insudo D. Ignacio Pérez de Soto, vecino de esta corte , remitió por el del comandante D. Pablo Viver , compuesta de los miqueletes de Puig- correo del 6 del corriente i D. Lorenzo Valdés Il.-via , de G jon, en cerdi y el baiallon de Canarias, sostuvo la noche anterior la acción que dosados á su favor cinco ins.ripclones del banco nacional de S. Carlos, indicó en el antecedente escrito en las inmediaciones de Oiot, hiñién núm*. 1728 , *719, 1730,1731,…</t>
  </si>
  <si>
    <t>Ilahmga, Diego</t>
  </si>
  <si>
    <t>Diego Ilahmga</t>
  </si>
  <si>
    <t>…rcs ) aúiUi n qur hasta aquí d a rada terna, compuesta de D. Felipe Martínez de Aragón, D. Juan Manuel había decido el congreso c-n respecto á la E.pa'a. Xo bao a - ir de Certzo y D. Diego Ilahmga; y habiéndose procedido á la votación, salió cretada d ciaracion a zuna , ni se había env ado ultimátum algu:.; a Ma electo D Felipe Martínez de Aragón , por 00 votos de 131 de total. drid. Tampoco había apariencia de que se d »o i.'ra -i torcris-».™ Para la…</t>
  </si>
  <si>
    <t>Ilaro, M-guei de</t>
  </si>
  <si>
    <t>M-guei de Ilaro</t>
  </si>
  <si>
    <t>…nder lo que era una falsedad enorme! » Dios guarde á V. E- muchos afíes. Tarragona 18 de Setiembre ds ” Haga vmd., Sr. rector, la caridad de hacer saber á mis compa 1822. = Excmo. Sr. M-guei de Ilaro. =i'.itmo. Sr. comandante general ñeros , por medio de la lectura pública de esta carta en Olesa , que yo del 7-° distrito militar.” les p do dvjrn de perseguir á sus hermanos los españoles: y que &lt;» una Comandancia militar de Vick. mentira lo de que no hay y…</t>
  </si>
  <si>
    <t>Ilaro, Miguel de</t>
  </si>
  <si>
    <t>Miguel de Ilaro</t>
  </si>
  <si>
    <t>…rSai.aExcmo. Sr.sFrancisco Espoz y Mina.aExcmo. Se número 17 del Vigilante tarraconense, denunciada por vi mariscal ñor secretario de Estado y del Despacho de la Guerra.” de campo D. Miguel de Ilaro. D chi carta, denunciada como injuriosa, empieza con las palabtas de querido hermano, y acaba con la de mayo Egército de operacionee del 7? distrito militar—Excmo. Sr.: » Ayer res elogios. di cuenta i V. É.de mi entrada en esta ciudad con la primera división…</t>
  </si>
  <si>
    <t>Ilde</t>
  </si>
  <si>
    <t>…ya seis meses que noe Secunda clase. Dvitrina cristiana é historia sagrada, á careo del hallamos en tan mise' &gt; estado. director D. Josef Garriga. Premio á D Vedro Aita. Accésit a D. Ilde fonso Estrada. ALBMANIA- Tercera clase. Contitucion política déla Monarquía española, k cargo de dicho Gamga. Premio á D. Jacobo Colombo. Accésit A Maguncia ^ de Entra. Estrada. Mientras dure la guerra de ios helenos, y hasta que la política eu Cuarta clase.…</t>
  </si>
  <si>
    <t>Ildefonso</t>
  </si>
  <si>
    <t>…aprobaron los dictámenes de la misma comisión, en lo que estaba instituido. En muchas cosas es verdad ; pero en otras no los cuales opítraba podía concederse la dispensa de edad á D. Ildefonso es asi. ¡Y qué ha sucedido respecto de muchas conclusiones? Que el Pastor para poder administrar sus bienes, y á D. Josef Ibarrondo para que las de'endia aprendía de memoria una disertación que no esta cgcrcer la abogacía. ba compuesta por él, y en poniendo t…</t>
  </si>
  <si>
    <t>Iludo</t>
  </si>
  <si>
    <t>…itanean, porque les es ya inso- gunda d:l crimen , pende en grado de segunda instancia la causa re yi-tabie la fatiga; al mismo tiempo que no tengo expresiones funda mitida por el juez Iludo del partido de Tarazona , de la Mancha, da» para dar a V. E. una idea clara del entusiasmo y deseos de llegar contra vanos vecinos d: la villa de Mahera sobre el alboroto ocurri á ia» mano» qu: anima á todas las clases qu: ms honro de mandar; do en ia misma l…</t>
  </si>
  <si>
    <t>Im, Felipe</t>
  </si>
  <si>
    <t>Felipe Im</t>
  </si>
  <si>
    <t>…ispondréis se imprima, publique y circule. = Rubricado demu carruaget por cada mulo, nuda, catad lo ó yegua 30. Tercera id.: de la Reai tn*no.=En Palacio á 10 de Julio de i8ia.eeA D. Felipe Im uagiaerot ó barin/ns pac cada mulo , muía, Ocabulio de carga ó de Sierra y Pambley. para alquilar so. Cuuto id. ■ pee rada &gt;111104. Quinta id.: Por cada car Tarifa general lotre empteados. reta de bueyes al par ao. Sexta id.3 robabas de molas, y..r cada una g…</t>
  </si>
  <si>
    <t>Im-rass-a, Vicente</t>
  </si>
  <si>
    <t>Vicente Im-rass-a</t>
  </si>
  <si>
    <t>…í en dicha prisión el haber instruido el espe de dicho barón, son D. Fernando Amari , D. Cayetano de Chiara, diente que acompañaba ; y emir de íc-do resultaba que era contrario al D. Vicente Im-rass-a y D. Gerónimo Lamanna._^a han desarmado decreto de las Cuites de 24 de Miren de 1813, del cual se desentendie en Sicilia á los habitantes de Móntenle, Parco, Me/zagno, Colli y a ron las autoridades , gefes y jueces ce aquella ciudad , pedia que las Or los del arrabal de Olivuzzt ;…</t>
  </si>
  <si>
    <t>Imaz, Josef</t>
  </si>
  <si>
    <t>Josef Imaz</t>
  </si>
  <si>
    <t>…admitir Ja dimisión del cargo de secretario interino del Despacho de que se trataba por lo que ya te había manifestado, y no eran con de Hacienda, que repetidas veces había hecho D. Josef Imaz , y en su venientes, porque si debia entenderse del modo que lo proponía la co consecuencia nombrar á D. Luis Sorela, director general de bulas, papel misión , nunca se haría en España una refutación de las obras que estu sellado y registra. Las Cortes quedat…</t>
  </si>
  <si>
    <t>Imazan, Juan Antonio A</t>
  </si>
  <si>
    <t>Juan Antonio A Imazan</t>
  </si>
  <si>
    <t>…las que arios de idad, reo prófugo en la cauta criminal pendiente en Ja misma con arreg'o al citado decreto de rs de Junio y detpu s de su publica aaia, y escribinú &lt;ie cámara de D. Juan Antonio A Imazan, en grado ción luyan sido ó sean descubiertas, ó que estando abandonadas fuesen de secunda instancia , por las heridas dadas 4 Ambrosio Valle jo; y la reclamadas con arreglo al art. 11 de dicho decreto. 3.0 Que el Gobier mandan que dentro de p d as, que por s…</t>
  </si>
  <si>
    <t>Imperial, Juan Cárlos</t>
  </si>
  <si>
    <t>Juan Cárlos Imperial</t>
  </si>
  <si>
    <t>…iezmos de la mar de Castilla, en cabeza da Gas Contribución sobre consumos----Mes de Mayo de süsa. par del Esquimao : otro de 108,677, id. sobre alcabalas de Granada, en cabeza de D. Juan Cárlos Imperial: otro de 3500 ducados sobre laEstado que demuestra la rec.iud.nion que ha tenido dicha contribución renta de pimienta de España, en cabeza de Gerónimo Gaoli , de loa en ei exrresado mes en todas las provincias de ia Península. cuales segregó é hizo venta de '…</t>
  </si>
  <si>
    <t>IMPRENTA, Juap Josef de OlaaebaL EN LA</t>
  </si>
  <si>
    <t>Juap Josef de OlaaebaL EN LA IMPRENTA</t>
  </si>
  <si>
    <t>…n obc al de conocimiento de los numerados desde el 1731 al 1799, ambos in dicho regimiento: téngase entendido que este oficial fue el mismo »■&gt;* clusive. ronel de dicho regimiento D. Juap Josef de OlaaebaL EN LA IMPRENTA NACIONAL.</t>
  </si>
  <si>
    <t>ImUtió, Alonso</t>
  </si>
  <si>
    <t>Alonso ImUtió</t>
  </si>
  <si>
    <t>…l discreto ar bada por unanimidad de votos. bitrio del sefior presidente la calificación de su importancia. Se mandaron pasar á la comisión de Legislación las observad' mes pre El Sr. Alonso ImUtió en su último dictamen apoyándose en el par- sentadas por la comisión de Poderes, acerca de las nulidades que se ha* tafo a.® 4:1 art. 101 del reglamento que manda se oiga con preferen bian notado en los poderes de algunos de los diputados de la actual le cia…</t>
  </si>
  <si>
    <t>In</t>
  </si>
  <si>
    <t>…testaciones qua se suscitaron entre los apoderados El Sr. Lodares hizo varias reflexione» para demostrar que la recatadel Erna Sr. Cardenal arzobispo de Toledo y el secretario del Sr. In dación del medio diezmo debía estar 4 cargo de los administradores de fante D. Cirio» sobra la recaudación dal medio diezmo, procedente las encomiendas del gran priorato de S. Juan, como proponin la co de las eutumiendai dd gran priorato da S. Juan, que posee…</t>
  </si>
  <si>
    <t>…resentó su dictamen sobre varias adiciones que se gumento que se había hecho por un» de los Sres. pr-opinante* de q,1 mandaron pasar á ella , y opinaba que debían aprobarse la dei Sr. In la milicia te había visto desatendida, contistó que deb a t n- rs- pre fante al párrafo J.° del art. 5.a: otra del Sr. Cortés al art. 8.~: otra del sente la situación del Estado y la falla de fondos, causa que hab&gt;.i &lt;.L&gt;. Sr. Balda al Sr. del por art. objeto…</t>
  </si>
  <si>
    <t>…en efecto, ni que las Coit.s deben apicbaria. F'einandrj los faeciosos, y l &gt; pocos na d os que ofr.-cr i.* s luacion da La comisión adoptó el siguiente artículo presentado por el Sr. In esta cap tai para una defensa extenor, eran considera:.on s qu» drb ero* fante: - be autoriza al Gob ernó para que pueda remover, ó retirar y decidir al rnemigo 4 intentar un ataque, que íes oír cía la o non da reemplazar en propiedad y discreciona.mente i lo…</t>
  </si>
  <si>
    <t>In'ante</t>
  </si>
  <si>
    <t>…t* lo que se tenga por conveniente sobre el dicta hacer la requisición del número de caballos que tenga por conveniente. men de la comisión de Hacienda, de que acabo de hablar. El Sr. In'ante: En el dictamen de la comisión no te trata de decre El St. Canga i lie tenido la fortuna de haber desempeñado lo* ne tar una requisición general de caballos, sino de aprobar lo que ya ha gocios ptrtenecientes á los consulado» en la secretaría del Despacho de…</t>
  </si>
  <si>
    <t>Indares</t>
  </si>
  <si>
    <t>…ópez del Baño: Bajo ningún concepto puede tener lugar el opinión es que este artículo debe desaprobarse. perdón qu: se propone en este artículo. El que solicite el perdón tiene El Sr. Indares: La comisión , en vista de la consulta del Gobier ó no responsabilidad; ti la tiene, es en perjuicio de estas deudas , y no no acerca del modo cómo debe llevarse á efecto la concesión d; c.tcs debe concedérsele; si no tiene responsabilidad, es porque está ins…</t>
  </si>
  <si>
    <t>Indart, Martin Julián de</t>
  </si>
  <si>
    <t>Martin Julián de Indart</t>
  </si>
  <si>
    <t>…darían por oposi caja de consolidación, habiendo salido encabriado este nuevo docu ción el dia 24 del presente, peón la dotación de 400 ducados anua mento de crédito al presbítero D. Martin Julián de Indart, como po- les cada nna, pagados por el apuntamiento mensualmente del fondo de aoedor de la capellanía fundada en esta corte por D. Juan de Ec heñí propios; mas habiendo determinado S. E. la diputación provincial la an 5/ Do fia Paula Ordoftez de Buentalante;…</t>
  </si>
  <si>
    <t>Indicador, El</t>
  </si>
  <si>
    <t>El Indicador</t>
  </si>
  <si>
    <t>…úan todavía en ella, sin que te haya podido averiguar el motivo de semejante providencia. El Barcelona ai de Marta. embajador de Inglaterra se ha interesado en favor de Hilarión , obispo El Indicador catalan de hoy nos anuncia que en la frontera de esta de Tirnova, que goza de la opinión mas respetable por su virtud y su provincia con la Francia se preparaba para el dia 15 de este mes un se saber, y que estaba ocupado á petición de la sociedad bíblica de…</t>
  </si>
  <si>
    <t>Infan</t>
  </si>
  <si>
    <t>…l expediente promovido por los administradores del caya , á pesar de que ha habido matriculado* siempre, se ha tenido li-, arzobispado de Toledo y el de las encomienda* det Sermo. Sr. Infan birlad para pescar, y no se ha considerado como marinero í un ca te D. Cirios; y se levantó la sesión á las tres y cuarto. lero que vive en la orilla del mar, y tiene aa buquito con el cual pel ea una parte del alio. Extracto de tat noticien recibidas for los…</t>
  </si>
  <si>
    <t>Infant'</t>
  </si>
  <si>
    <t>…medios maa * propósito para la variación de esto* dos artículos; armas dos batallones de 500 hombres que un batallan d: iS), por d por consiguiente, á petar de lo que ha dicho el Sr. Infant', queda de gasto que ocasiona ei mayor número de oficiales: el ser individuo de la mostrado que el Gobierno tiene pedido ei reemplazo total de la mi milicia activa si no se está sobre las armas, no es mas que estar alista licia activa. do para cuando la patria…</t>
  </si>
  <si>
    <t>Infant-</t>
  </si>
  <si>
    <t>…regimientos de la guardia R-al cumian 119 ano* tanes apenas podrían correr con S. M. todos los días. de antigüedad ; p - ■ c,iu w «,11o suce&lt;1e con 14 r gimie: tos de infante— El Sr. Infant- : La comisión no se admira de encontrar mucha opo tía ; y me paree, qu 1 o son estos menos acreedores que aquellos en es sición al proyecto que ha presentado á la deliberación de las Cortes, y ta pule i que se i?, tensa c nsderacioc. Se dice también que no es…</t>
  </si>
  <si>
    <t>Infanta</t>
  </si>
  <si>
    <t>…l.:.do, y por lo misino no debía estar en el título Gastos eventuales............................................................. 1 1.53,61 1 que trataba de su*, obligaciones. El Sr. Infanta manifestó qus la comisión habia creído que era con aS&gt;3-.a,67* veniente decir cqui lo que era el soldado. En su consecuencia se apro Por economía* en la fuerza activa del egérc:to , que bó el artículo. proceden entre la diferencia del presupuesto del Go Art.…</t>
  </si>
  <si>
    <t>…se aprobó, encabe;índole de este modo: •&gt; Los cuerpo* de infan mediatamente á elle. tería y caballería de línea y ligera &amp;c.” -Se leyó el art. 186 del código pedal á petición del Sr. Infanta, y Art. 10. » Ni en campaña ni en tiempo de paz podrá ser juzga al 187 del mismo código á petición del Sr. Sotos- do ningún militar por ninguna comisión, sino por el tribunal competen Kl Sr. Infante: Las Cortes han visto que la primera parte de este te determ…</t>
  </si>
  <si>
    <t>Infante</t>
  </si>
  <si>
    <t>…Cortes sobre exámenes de loe —*-t*rirnifi de arti El Rey se ha servido nombrar gentilhombre de Cámara con ejer llería. (Id. del tj.y cicio , y destino á la servidumbre del Sermo'. Sr. Infante D. Cirios Ma Circular del ministerio sobre organización de la —i'-ii activa. ría, al t-nicnte general de los egércitos nacionales D. Juan de Hencs- (Id. de id.) trosa, en consideración i sus dilatados buenos servicios. Circular del mismo sobre colocación, distribución fleo de lot…</t>
  </si>
  <si>
    <t>….......................... 6,666. fConsignacion de S. M...........................................—— 1.500,000 Idem de S. M. la Reina————................. 53*333—*1 Idem deLSermo. Sr. Infante D. Cárlos María;...... 137,500 Casa Real.. &gt;• Idem de la Serma. Sra. Infanta Doña María Fran ► I.924,t66..2i cisca de Ams................................................................... 45,833-11 Sermo. Sr. Infante D. Francisco de Paula................... 137,500 .Serma.…</t>
  </si>
  <si>
    <t>…conocimiento de la Lorenzo Fernandez, vecino de Valdeconcna , contra el alcaide de Diputación permanente. aquel pueb'o, por haber infringido la Constitución en sus arts. a8y y El Sr. Infante manifestó que el gobernador de Ceuta exponia que 390 , habiéndole tenido preso dos días sin habt r precedido sumario. el jurado había declarado haber lugar i la formación de censa; pero A ¡a cornis ón de Hacienda una solicitud de D Francisco Lopes que ain emb…</t>
  </si>
  <si>
    <t>…uiera que la encontrase, porque este era el mejor medie» este expediente pasase i la comisión de Poderes. para que cada uno cumpliese con su drbdi , y todos estaban interesólos El Sr. Infante dijo que aquel diputado no presentaba los poderes, y en que cada uno de los poderes tuviese la mayor reputación pos tile, este acompañaba un testimonio de ellos, sin duda para que no se extra porque de lo contrario era buscar que los poderes se pusiesen en lu…</t>
  </si>
  <si>
    <t>…nservarla, y io que faltaba ara solamente circunstancia». una policía arreglada é la Constitución y á la» leyes. da mandó pasar á la comisión «le Legislación un expedían» de le El Sr. Infante dijo que no entraría en le conveniencia de que se diputación provincial de Guipúzcoa acerca del número de diputado* nombrase la comisión de qu« se trataba, porque nadie dudaba de ella, que debe elegir» en aquella provincia. y so o *r limitaba á exponer que el…</t>
  </si>
  <si>
    <t>…greso, a fin de que el Go quienes corresponde aconsejar y enseñar al pueblo á que no ponga de bierno pudiese desempeñar en esta parte su obligación. mandas injustas &amp;c. &amp;c. El Sr. secretario Infante* dijo que precitamente estaba sobre la ma El Sr. Borgd de Barros manifestó la necesidad que habia de los juicios ta esta consulta del Gobierno. de conciliación entre las gentes del campo y en los pueblos pequeños, Se leyó la minuta de la contestación al discu…</t>
  </si>
  <si>
    <t>…y bien instrui Sr. presidente dijo que se pasaría á la comisión, y que las Cortes la to do, y por lo mismo pidió que se discutiese á la mayor brevedad. marían en consideración. El Sr. Infante dijo: La secretaría debe advenir pata el conoci Se mandó pasar i las comisiones de Legislación y Negocios eclesiás miento de las Cortes que hay mas de 500 expedientes prontos para ticos la memoria presentada por el Sr. ministro de Gracia y Justicia. discutirs…</t>
  </si>
  <si>
    <t>na r cite expediente, seria menester que se nombrasen comisiones pasa Mi viage por el desierto tenia varios objetos, entre ellos ver algu los otros joo que habia dicho el Sr. Infante. nos campamentos beduinos, hacer que me enseñasen *11* caballos, y Las Cortes resolvieron que quedase sobre la mesa para discutirse en en fin observar el famoso viento llamado aamieli, pues reinaba en el día que se señalase. aquella estación. £1 Sr. Infante d…</t>
  </si>
  <si>
    <t>…bo manifestar que se han pa-ado ai consejo de EsMd cuanto á los* hechos era regular fuesen todos ciertos. é inmediatamente que este evacúe su informe . el Gobierno los pasara á El Sr. Infante dijo que únicamente en cuanto i los hechos podría las Cortes. exigirse la responsabilidad, y que por lo mismo debía leerse la me Ei Sr. Canga: Dice el Sr. preopinante que suprimiéndose aleums moria. cantidades del presupuesto, y haciéndose reformas, no result…</t>
  </si>
  <si>
    <t>…e los nego asunto interesante, porque se trataba d* aclarar ia Constitución y el re cios de sus respectivo* ramos , y que solo respetaban le ley, y no la prác glamento. . tica. El Sr. Infante dijo: Fsta proposición es indeterminada , porque el El Sr. Canga dijo que las prácticas del Congreso debían ser respe asunto está resuelto, y á mí me parece también que tanto el regla tadas por el Gobierno y todo el mundo, asi como el Congreso res mento como…</t>
  </si>
  <si>
    <t>…res han excitado al poder legislativ,-» man y entreguen tan pronto como sea posible á los Sres. diputados.” para que acabara con estas reuniones. Manifestaba también que hablan El Sr. Infante manifestó que de la impresión de los expedientes re producido algunos males tamo la voz de rtpúbika sostenida y propaga sultaba un inmenso gasto á las Corte', el cual sedebia evitar, y con ma da por enemigos de la libertad y de la Constitución , como los que…</t>
  </si>
  <si>
    <t>…Somoza pidió que las Cortes acordasen que habían oído con timamente resultaban aaoo. agrado estas proposiciones» Un Sr. diputado se opuso i que se aprobasen las proposición.-*, El Sr. Infante: EL ejército que tantos servicios ha hecho i la causa porque según ellas les Sres. diputados no podían presentar las que tu de la independencia y de la libertad, debe Uanaar en este momento la vieran por conveniente. atención de Jas Cortes'. Este tiene actual…</t>
  </si>
  <si>
    <t>…sobre el p.rhabian tenido noticia, no lo hicieron porque temieran por su existen ticular de que se trata. cia , porque esta esta á mucha altura, sino porque no podían desenten Ei Sr. Infante manifestó que en ef.cto está nombrada esta comi derse de tales acontecimientos cuando se trataba de ia tranquilidad pú sión, y que algunos de sus trabajos obraban en la secretaría; pero que blica, y porque la Nación no podría muar con indiferencia el que se e…</t>
  </si>
  <si>
    <t>….a n Que para ios mismos fines se encargue esra comisión de ave restablecimiento de la libertad de Es palia.” riguar el uso de las gracias y recompensas que haga el Gob.erno en El Sr. Infante apoyó esta proposición , y en seguida quedó aprobada. virtud de las atribuciones que concede al Rey la Constitución ; la Se mandó pasar á la comisión de Hacienda una proposición del se- suspensión de los empleados públicos, y ia presentación de piezas ecle fi…</t>
  </si>
  <si>
    <t>…niente en que se sus A la de Hacienda se mandaron pasar, el expediente promovido pendiese esta discusión. por algunos ge ó» de Is oficina de la llicicnda publica de Vaienc.a so El Sr. Infante manifestó que la actual planta de la secretaría de bre que ef administrador de te misma d-socupa* ia hab.u.ton en que la Guerra era monstruosa en todos sentidos , ya por el r limero de ofi vivía: una exposición del Sr Infante D. Cario» Luí», Pr n^ipe he-.ócro…</t>
  </si>
  <si>
    <t>…le, convengo en general en la aprobación de los artículo, del dicta cipicio espantoso. men de la comisión. Se dice que los que muestran un zelo excesivo por la libertad son fac El Sr. Infante hizo varías observaciones reproduciendo lo qu: ex ciosos. Lo mismo se decia en esto mismo sitio cuando las provincias de puso en la sesión anterior, respecto de qu: los desórdenes ¡acaecido» Cádiz y Sevilla clamaban contra el ministerio anterior. También se e…</t>
  </si>
  <si>
    <t>…ando prseguia á los faccioso* de Salvatierra , y puedo ase eztrangeros que no tuviesen carta de ciudadanos. gurar que sus individuos presentaron un modelo digno de imitarse por El Sr. Infante manifestó las razones que le habían movido á hacer todos los ciudadanos honrados; llagó el regimiento á Pamplona, y aquella proposición , reducidas é que siendo tan interesante la custodia sucedió Jo mismo que con ios anteriores: llegó después el regimiento d…</t>
  </si>
  <si>
    <t>…La comisión opinaba que debía accederse á ella. Quedó apro. Mr. Benjamín Constant tenia pedida la palabra para hablar sobre bado este dictamen con la modificación propuesta por el Sr. Infante, un hecho personal, y á pesar de la oposición furiosa de muchos in para que la recomendación fuese general, y no contraída á ningún des dividuos del lado derecho, se la concedió el presidente. tino particular. . Luego que le vieron en la tribuna empezaron i v…</t>
  </si>
  <si>
    <t>…de las libertades públicas que por ellas nos están concedidas, i» Que ha podido muy bien afirmar, como lo hiao el digno diputado Sesión del *9 dt Marta. y benemérito ciudadano el Sr. Infante, que ni los militares de que so trata , ni otro alguno da los que componen el mismo cuerpo dejarán de Se lité y aprobó el acta de la anterior. oir y repetir con igual satisfacción y entusiasmo que todos los deroa* Las Cortes oyeron con agrado las felicitacion…</t>
  </si>
  <si>
    <t>…smas; y en este inconveniente se pudiera caer ai multiplicando se en las banderas de la patria. ó repitiendoá menudo estos fallos, declarasen la infracción con dema A petición del Sr. Infante se aprobó esta parte, diciendo que en siada frecuencia. En el caso actual hav tanta mayor necesidad de pro nada debe perjudicar el acto de tomar partido. ceder con detenimiento, cuanto que dos comisiones , para mí de mu Segunda duda: Si los que se acogieron a…</t>
  </si>
  <si>
    <t>…ido ha ab ado la c-T.isxa. La misma comisión , en vista del expediente promovido por el apo Si hay ahora otras not c as postei icrcs que puedan dib; dar la f.ic.-z* de derado tíel Sr. Infante D. Cárlos Lu s, Principe heredero de Lúea, so au dictamen , iLhen ccn.uiuc.rse a la misma para que lo» r»ct.fique bre el pago de sus alimentos, opinaba cae tanto estos alcances como con arr.g'o a e! as. los de h. M la duqu-sa Je Lúea debían pagarse lo mismo que los de El…</t>
  </si>
  <si>
    <t>…mbró para la comisión de Corrección de estilo , en lugar del La comisión de Hacienda , en vísta de la exposición de D. Antonio Sr. Saavedra , al &gt;r. Galiano ; para la de Guerra al Sr. Infante; para la Izquierdo, vecino de Cádiz , sobre el pago de cierta cantidad qpe la de Milicias nacionales al Sr. Riego; para la especial encargada de exa debía el Crédito público, opinaba que no debía veri (ráese el pago en minar el estado político de le Nasiou el…</t>
  </si>
  <si>
    <t>…de imprenta; y levantó la sesión á las tres. el Gobierno dé noticia de los adelantes ó tibiera que nótate respecto ARTICULO DE OFICIO. de esta ihstruccion. Habiendo manifestado el Sr. Infante que en el decreto orgánico de El Sr. secretario del Despacho de la Gobernación de Ultramar di la milicia activa estaba señalado el tiempo en que esta debia tener sus ce con fecha de ayer desde ei Real sitio de Araajuiz lo que sigue: alambicar, úfe se admitió…</t>
  </si>
  <si>
    <t>…scrito original y el egemplar que se han propuesto, y lo entenderá de modo que te vea claramente firmado. que son los jueces de primera ínstanos ios que deben entender en estas El Sr. Infante dijo: La ley de a a de Octubre nos uca de lodo apu cansas. Es de advertir también que en la leeislaeion inglesa , que los *ero, y es indiferente que ae adopte ó no lo que propone la comisión. Sf fiores de le comisión &gt;e han propuesto tomar por modelo, hay cie…</t>
  </si>
  <si>
    <t>…ica so puede menos de admitirse el dictamen de la comisión en su totalidad bre el repartimiento del medio diezmo. reservándome yo oponerme al art. para demostrar que en los 300 El Sr. Infante: En el juicio de la comisión únicamente han tenido ducados que se asignan á los curas pírrocos no han de entrar ni los de cabida las consideraciones de justicia y de política. En el proyecto pro rechos de estola, ni el pie de aliar , ni el producto de los man…</t>
  </si>
  <si>
    <t>81 Sr. Infante: Lo* motivo* que nos haft movido pan hacer esta* Bien conozco que en esto no hay no perjuicio; poro tf croo que proporcione* han sido el que reunida* la* comisione* de Hacienda y bien de le Nación se debería mandar que aunque se proveyeses «TI Guerra con los…</t>
  </si>
  <si>
    <t>…o que hay un medio de sai ir de esta, y aten frutos en cada diócesi al precio medio del último quinquenio ” der con igualdad á todos los curas p-rrocos. La comisión opina que á El Sr. Infante: Aunque he pedido ia palabia en contra del dicta cada uno de estos se le den 300 ducados, y yo no trato de oponerme en men de la comisión, no es para impugnar el artículo absolutamente. esta parte ai artícu o; pero si qu sien que e»te repaitimiento se hiciese…</t>
  </si>
  <si>
    <t>…no que lo hiciesen voluntaria la haya leído, ni sea capaz de entenderla. De este modo se les obligó á mente. hacer un gasto enteramente perdido. Por otra parte yo quisiera que fié Sr. Infante: Si las Cortes desaprueban el artículo qOe te discute, todos los pueblos estuviesen en disposición de recibir las luces que pue me parece que es inútil que se haya aprobado el anterior. La cuestión en den dar las discusiones de las Cortes; pero los pueblos ge…</t>
  </si>
  <si>
    <t>…Por otra parte no creo que los pueblos no esten ea disposición de porarán y reunirán en uno solo hasta que se haga la renovación á fin pagar 9 duros, que como ha dicho muy bien el Sr. Infante, será á lo del presente año. único que ascienda el Diario de Cortes. Que no asciende á mas que á es 3.0 Si hubiese costumbre de que ’os ayuntamientos se hayan re ta cantidad está bien fácilmente demostrado , porque la comisión supo unido para algunos actos ,…</t>
  </si>
  <si>
    <t>…s, y estí procurando otras medidas diferentes , las cuales das que había manifestado el Sr. preopinante. convienen con la que acaba de manifestar el Sr. preopinante , «s decir, Ei Sr. Infante: Yo quisiera que se dijese al Gobierno, que sin em no propondrá el Gobierno medidas, como v. gr. hostilidades directas de bargo de que las Cortes van á tomar en consideración este asunto, no un éxito incietto, porque estas son perjudiciales, y cree el Gobiern…</t>
  </si>
  <si>
    <t>…decir que esta re él habia, exponía que habiéndose encontrado entre estos un retrato dt cusación motivada pudiera admitirse en cualquier jurado, ya fuese de S. M. el Rey, otro del Sr. Infante D. Cirios y otro del cardenal Men acusación , ya de calificación , porque todo lo que sea favorable á la li doza, no parecía decente que se vendiesen con los demas enseres, lo bertad de estos juicios es conforme á la ley de as de Octubre. cual hacia presente á las Cort…</t>
  </si>
  <si>
    <t>…ciones provinciales, en vista del expediente K! Sr. Salvato hizo algunas observaciones sobre este dictamen ; y el promovido por la junta de caminos de Laredo para que se lom'nv.tn Sr. Infante como de la comisión manifestó que esta no tenia inconve pagando vanos arbitrios con objeto de construir una carret-ri d.^ríe niente en retitar la segunda paite para que la* disposiciones que indica aquella población a Castilla, era de perecer que continuasen…</t>
  </si>
  <si>
    <t>…prudente* Consignación del Rey 40 millones de rs. Gastos de la cámara La parte de los gastos ha sufrido reformas, pues ascendiendo la de de la Reina 6409. Consignación del Sermo. Sr. Infante D. Carlos los ministros según el presupuesto á 1.771,000, ha quedado reducido i.6¡o9. Gastos de la cámara de la Serma. Sra. Dolía Francisca de Asís, é 5529, hallándose una diferencia de 1.220,000. Los de lo* cónsules su esposa, 6oo9- Consignación del Sesmo. Sr. Infante…</t>
  </si>
  <si>
    <t>…. González Alonso, en comprobación de lo que habia dicho conveniente, y que te estableciese en lo sucesivo. el Sr. secretario del Despacho reprodujo lo que ayer manifestó en el El Sr. Infante contestó que la comisión no tenia inconveniente en discurso que leyó al Congreso sobre que en lugar de tos iób9 rs. qus que el artículo te entendiese con la modificación propuesta por el se se señalaban para el ministro de Roma, te le debían asignar i8oá&gt;, po…</t>
  </si>
  <si>
    <t>…o sino sa tamen. ber el cesado de aquellas provincias y las providencias que se hab ía Habiéndose declarado el punto bastante discutido, te aprobaron los tomado. dos artículos. El Sr. Infante dijo que ten'a notíc'as sobre este punto de persona* El Sr. presidente dijo ; Esta mañana, con motivo de tas noticias que Buy fidedignas, y que no estaban acordes con lo que dec.a el Sr » cr.se han recibido por el correo de Cataluña, un Sr. diputado hizo una…</t>
  </si>
  <si>
    <t>…lo que ¿ o la lectura de un documento de esta naturaleza no puede tener otra ten haya dejado de decir. dencia que la de dilatar la discusión , ó la de incomodar al secretario. El Sr. Infante: La comisión divide en doe partes su dictamen so El br. Prado insistió en que se leyese dicha consulta, y se verifi bre cate asunto; p:ro yo creo que es nn punto puramente gubernativo y có asi. de nmguna manera legislativo. El expediente valuminoso sobre esta…</t>
  </si>
  <si>
    <t>…5- M. al aceptarlo se ha servida consejo de Estado, expatriándolo del reino; de consiguiente estoy con mandar que te haga público en la gaceta este rasgo patriótico. forme con el Sr. Infante en que se diga al Gobierno que con arreglo á — K! comisionado especial interino de la diócesis de Salamanca t—-y las leyes vigentes está autorizado para obrar con amplias facultades en saber á todos los individuos partícipes seculares de diezmos en ella, 7 es…</t>
  </si>
  <si>
    <t>…res muertos y algunos heridos. contestaciones que hubo entre el cardenal arzobispo de Toledo y el En seguida leyó otra representación de la diputación provincial de secretario del Sr. Infante D. Carlos sobre qué administradores debían Murcia, refiriendo estos mismos acontecimientos, y presentó la si ser los que habían de cesar en la reclamación del medio diezmo, opi guiente proposición : *» Pido á las Cortes que penetradas del estado las nando ia comisión q…</t>
  </si>
  <si>
    <t>…scutido, quedó aprobado el ar La misma, en vi&gt;ra de la solicitud de D. Antonio Castillo , alférez ticulo. del regimiento de caballería de la Constitución , pidiendo se le conce El Sr. Infante leyó el decurso preliminar al proyecto de reforma diese la dispensa que necesita para contraer matrimonio, opinaba que de las ordenanzas militares y pan-* del tratado pr.m ro. este interesado debía solicitarla por lo* medios prevenidos en el decreto Suspendid…</t>
  </si>
  <si>
    <t>…na puesto que si tal fuese el motivo no a* le» i acor poraria á iw «lema» te capilla. ' jimiento» del egéredo. A la de Hacienda ae pasó un oficio del ¿efe político de Astúria», El Sr. Infante: La comíame «ye* que el artículo rali redactado de acompañando ejemplares del estado que ha publicado la junta superiot modo quede ninguna manera múde perjudicar ala buena opni&gt;a y de beneficencia de Oviedo de los caudales que han entrado en su teso crédito q…</t>
  </si>
  <si>
    <t>…as satán lo* que puedan mismo lo hacia presente á las Cortes para que determinasen lo conve coatestar. / niente. Ei Sr. Villamura: El Sr. eacretario de la oomition que be enten El Sr. Infante: Efectivamente en los artículos que acabe de citar el dido muy por menot en el examen de lo* expediente» que *e han pa Sr. Salvé a*, previene que los proyectos de ley se discutan primero e- «n ndo podrí d..r neón. totalidad , y después artículo por artículo;…</t>
  </si>
  <si>
    <t>…que era el obj:to de .a bres, que en la nulidad y despr.-cio en que se ven envueltos no respi comisión. ran mas que espíritu de turbulencia , de descontento y de anarquía , por El Sr. Infante manifestó que esta ordenanza te había formado sobre cuyo mid o procuran saciar la ambición que los devora y la codicia ¡ue las bases de la ley orgánica, la cual en el art. 149 decía-. - se formará los excita á todo género de intrigas , de ardides y de medios…</t>
  </si>
  <si>
    <t>…biendo manifestado el Sr. Vsldés (D. Cayetano) que en la ma nia se colocará en el extremo de una asta, cuya longitud será de ocho rina ya no había batallones sino regimientos , el Sr. Infante, como de pies de Búrgos. y, su diámetro de una pulgada y cuatro lineas. En la la comisión , convino en que se digese regimientosdt marina, con cuya parte superior del asta y al remate del zócalo que habrá por bajo de la variación quedó aprobado el articulo. b…</t>
  </si>
  <si>
    <t>…bilitación hasta que el Gobierno le coloque. La ter de perpetuidad ; y asi fue de parecer que se suprimiera. comisión, después de observar que habiendo las Corte» puesto térmmo El Sr. Infante convino con la variación propuesta p- r el Sr. Ro al juxio de este interesado coa arreglo á lo» decretos vigentes de la» mero; pero en cuanto i la observación del Sr. Gr uño H jo ser cierto misma», reconocidos sus distinguidos servicios y rehabilitado sus ant…</t>
  </si>
  <si>
    <t>…, y habló robre el origen principal de sus d.tensiones que te vido por las contestaciones que ha habido entre los administradores Botaban. dei aizobispado d: Toledo y del Seroso. Sr. Infante D. Carlos robre El Sr. Arguelles: El Congreso tiene resuelto que seenrie un men la cobranza de ios diezmos pertenecientes á vanas encomienda»: deasage á S. M.; por consiguiente la proposición que se d »cut- no puede pu-s ei de la com sion de Casos de responsabilidad so…</t>
  </si>
  <si>
    <t>…n priorato de S. Juan, como proponin la co de las eutumiendai dd gran priorato da S. Juan, que posee el referi misión ; 4 les que contestó el Sr. Gómez ( D. Manuel) apoyando la do Sr. Infante en dicho arzobispado, opinaba que la» Corte» podían opinión que había expuesto el Sr. Velasco. servirte declarar fu la expresad» recaudación corresponde 4 los admi El Sr. Casas manifestó que en tode la Nación no había otro* curse nistradores del priorato de S…</t>
  </si>
  <si>
    <t>…barse el los grandes trastornos que ha causado este cuerpo en la ciudad de Sevi dictamen de la comisión. lla , y por lo mismo no los repetirá. Se envió después i este cuerpo un El Sr. Infante : No puedo prescindir de hablar sobre este malhada gefe que tiene un espíritu constitucional; este gefe entró en el cuerpo, do dictamen , y la comisión de Guerra por mi órgano hará presente á y tuvo que licenciar i algunas soldados por incorregibles; quedó el…</t>
  </si>
  <si>
    <t>…cuerpos del ción que considere á la brigada de Carabinero* como de la guardia Cgérc.io con su mismo haber. Real, y la razón que ha ten&lt;do para creerlo asi et que no ha sido lla El Sr. Infante: El Sr. Arguelles ha sentado que ninguna economía mada esta brigada en el momento en que fue extinguido el cuerpo de resulta en el momento al erario de adoptar esta medida; pero es preciso Guardias de Corps ; y por lo tanto le comisión de ninguna manera pue q…</t>
  </si>
  <si>
    <t>…s de los acontecías ier.tos de Catalufia, y asimis disfrutar en aquel regimiento á que fuesen destinados. mo la tranquilidad que deseo tenga esta provincia , es lo que me ha mo Er Sr. Infante contestó que la comisión no había creído justo n¡ con- vido i hacer esta proposición. Cataluña, señor, se halla subiendo las veniente el que se despojase del haber que disfrutasen en la hígada de mayores calamidades y horrores que se pueden p nsar: ostígada p…</t>
  </si>
  <si>
    <t>…te Congreso, que desde el primer di» manifestó su disgusto por el tes, soy de parecer que.deba aprobarse ia proposición. abandono de la marina, y excitó al Gobierno ai remedio. El Sr. Infante : Los Sres. que han hablado contra la proposición La comisión hacia en seguida varias retí exiones sobre esta materia, han hecho ver que la comisión no debe volver á tomar en considera y proponía á la deliberación de las Cortes ias resoluciones siguientes: ci…</t>
  </si>
  <si>
    <t>…os, no conve to suficientemente discutido, y quedó aprobado el artículo. nía que estos la tuviesen siempre presente. Art. 8.a »Cuidarán los ayuntamientos, por medio de providen El Sr. Infante contestó que ti bien tendrían lo* pueblos presenta cias eonómicat, arregladas á la* leyes de franquicia y libertad, de que que todos los año* debían contribuir al reemplazo del egército , tam los pueblos estén surtidos abundantemente de comestibles de buena c…</t>
  </si>
  <si>
    <t>…n conceder tas dispensaciones matumomaus y otras gracias que se harían estos individuos con cumplir con las funciones propias de su expiden por la Sarta Sede. ministerio. Otra del Sr. Infante para que se supriman los colegios de abogados, El Sr. B'cerra contestó que hasta ahora se había cumplido lo que y puedan egercer esta facultad lodos aqueles que tengan los requisitos se prevenía en este articulo , y no estaba de mas el que ¡o aprobasen que en…</t>
  </si>
  <si>
    <t>…que podía producir El Sr. Becerra expuso las razones que había tenido ia comisión para malos resultados. »o acceder á esta instancia , y en seguida quedó aprobado ci d ctamen. El Sr. Infante contestó que la comisión no trataba mas que de ha Otro sobre el expediente promovido por D. Antonio Marata , ve cer que los pueblos entregasen completo su cupo, y que no protegiesen cino de un pneblo en la provincia de Aragón , sobre que te le concedan í los…</t>
  </si>
  <si>
    <t>…oponía á que continuasen, primero porque estas juntas d.oce- cantiles y demás de las provincias de Ultramar. sanas eran viciosas en su esencia y organización, y segundo porque Et Sr. Infante leyó el dictamen de la comisión de Guerra sobre el eran inútiles. arreglo del egército, en el cual se proponía que este constase de ó: ,c-}g Que ya habia dicho el Sr. Afonzo que no tenian opinión, y que ¿I hombres divididos entre todas las armas: que hubiese…</t>
  </si>
  <si>
    <t>…rea de la casa Real, y asi es que apenas hay muchacho que llegue á servicios que presta dicha milicia. los ■ 8 años que no arroje la caja y tome rl fusil; y esto, repito, no es El Sr. Infante contestó que el servido de la miticia activa era mas porque tenga que-hacer alguna cois degradante, sino porque es eviden penoso que d de la local, porque estaba expuesta á salir de sus provin te que lleva la librea de la casa Real; asi que en mi concepto deb…</t>
  </si>
  <si>
    <t>…no le quedaba otro recurso que volver á servir en motiro del privilegio que se le había concedido para introducir géne el egército. ros dal Asia por valor de 40 millones-de re. El Sr. Infante contestó que la comiaion había tenido presente una Igualmente sa leyó y se mandó quedar sobre la mesa un dictamen razón política para extender el artículo en estos te:minos; porque si un de la comisión segunda Eclesiástica, acerca del expediente prcmov.do ind…</t>
  </si>
  <si>
    <t>…tual, ao daba tiempo para que te hiciese la re 1 Se declaró comprendida en el artículo too del reglamento. novación de las juntas diocesanas, debiendo continuar las actualmente El Sr. Infante la amplió en seguida, manifestando que los Sres. que eaistente* con u mismo encargo que habían tenido hasta aquí, asi liabian firmado esta proposición pedían que te diesen estas pensiones de por la razón axpuesta, como porque tus individuos, procediendo ya lo…</t>
  </si>
  <si>
    <t>…at ligios» bcinarria del monasterio de Tamarite en Aragón, pidiendo que que podría cum car otra comisión. en atención i haber salido de la clausura con el cbj to de restab ecer Ei Sr. Infante dijo que el Congreso había nombrado de su seno una su salud, y haberlo asi conseguido, se le dé por el gefe político d. Hues comisión de Caminos y Canales, que presentaría a la mayor brevedad ca la autorizjcion que elige la superiora de aquel monasterio para…</t>
  </si>
  <si>
    <t>…cinco, lo que prueba la buena voluntad que El Sr. Romero dijo que sin desconocer la fuerza di las razones del siempre nos tienen estas gentes.__La Regencia no ha c'rculado todavía Sr. Infante , era sin embargo indispensable qut las Corte* tu»&gt;s» a pre el decreto de las Cortes para que por el término de un alio se concedan sentes las pruebas constantes de adhesión al sist ma conatitucona 1 que pasaportes á los europeos, y sea libre la circulación y…</t>
  </si>
  <si>
    <t>…esta era una Lato.................. *53*7°»............ 180,0 contribución que recaía sobre las personas, y no sobre sus bienes. Madrid.............. »9°.49S............ ao6,l hl Sr. Infante contestó que la comisión estaba casi segura de la Málaga.............. *93.3 *4-........... 206,0 exactitud del cálculo por las muchas veces que le habia hecho y le ha Murcia.......... *Si.°58............. 178,8 bia examinado, siendo este de una naturaleza qu…</t>
  </si>
  <si>
    <t>…ueta preguntó si entre loa tnatriculadoa ae comprendían intervenido el libramiento é causa de no estar incluido en el presu los calafates y carpinteros de ribera; á que contestó d Sr. Infante que puesto de la Gobernación de la Península* y despees de t-tr varias como entes habia dicho le comisión, ae habia dirigido por ht nota de observaciones sobre la falta de cumplimiento de la orden citada «pedia matriculados (emitida pos el Gobierno, en la cua…</t>
  </si>
  <si>
    <t>…pie un sistema de hacienda militar, creía qus El Sr. lsturiz convino en que se oyese i la comisión Militar; y el bajo él quedarían reducidos á 1.6749 rs. los sueldo» de esta inten Sr. Infante , sin oponetse á esto , manifestó que los motivos que habia dencia con sus oficinas subalternas, resultando por consiguiente una tenido la comisión para proponer la rebaja de la tercera parte, eran ha diferencia ó ahorro de 6 millones; pero que como los indiv…</t>
  </si>
  <si>
    <t>…»vic»o en ei egército penuiineiite hi Sr. Romero dijo que este anícu o p Henéela al código militar. d-srmes H&lt;‘ !i.;b r scri'i ia ios año» que le tuque según tas leyc» del reem El Sr. Infante contestó que estaba en su luear, porque era meucstei plazo.** Apiolado. que el si.idaeo supuse que era obligación suya no tener convcrsacIon;» iituio m. que msmf;stasen tibieza ó desagrado en el s-rvic-o, y ninguna cosa Que contiene ¿as obligaciones Je ciase…</t>
  </si>
  <si>
    <t>…rden dará pronto aviso á su cabo; y ti catre tanto que H Sr. Garoz te opuso también á la palabra mortificado. este llegase pudiere remediar ó contener algo, sin apartarse de sa El Sr. Infante expuso que la voz mortificar ero muy conocida en el puesto , lo cgecutará.” Aprobado. servicio militar, y se sabia muy bien culi era su latitud, pu.'S era Art. 38. - No obedecerá el centinela mas órdenes que Iss que le una voz casi técnica, y se entendía por…</t>
  </si>
  <si>
    <t>…la forma que mas lea acomode, ji rafo to de la misma ordenanza. En vista de las observaciones que se hi separados, ya unidos en compañía. cieron por algunos señores diputados, ei Sr. Infante dijo que respecto de 5. ' Que los que hayan puesto sustitutos te hallan exentos durante la primera adición , la comisión creia no deb-r acceder se á ello, por la sustitución. que el vínculo y obligaciones de un hijo para con su madre eran de La comisión de Gu…</t>
  </si>
  <si>
    <t>…tes lo oyeron con satis suficientemente autorizado por él para fijar las condiciones y bases del facción. tratado , el poder judicial no podría dar su (alio sobre una cosa dudo El Sr. Infante leyó el proyecto sobre la formación de la guar sa. Que él no quería que el cuerpo legislativo apareciese como poco dia Real que presentaba la comisión especial encargada de este asunto, justo anulando el tratado, aunque convenía en que este tenia condicio el…</t>
  </si>
  <si>
    <t>…o del de en la segunda época que determina la comisión , i saber , antes que se creto de 11 da Setiembre. tuviese noticia de que $. M. había jurado la Constitución , por los in El Sr. Infante: Se trata de la aclaración del ert. 4° del decreto da convenientes que se presentarán para fijarla de una manera precisa , im ir da Setiembre, artículo que, como ha dicho muy bien el Sr. Galia- parcial y severa; y pira evitarlos rogaría yo i los señores de la…</t>
  </si>
  <si>
    <t>…ciones ó poca adhesión al sistema constitucional no sean á propósito para man vecinas; y por lo tanto soy da Opinión que se debe aprobar la proposi dar cuerpos militares. ción del Sr. Infante y demas sefiores que la han suscrito. Se declaró que estas proposiciones estaban comprendidas en el artí El Sr. Isturiz dijo: La in:ciativa de este asunto corresponde al Go culo lao del reglamento, y admitidas á discusión pidieron la palabra bierno , y no i J…</t>
  </si>
  <si>
    <t>…egislación acerca del expediente seguido entre el M. R. cardenal procesado* criminalmente, ó hayan sufrido penas corporales ó infama arzobispo de Toledo y el secretario del Sermo. Sr. Infante D. Carlos torias.” sobre la recaudación del medio diezmo en los pueblos pertenecientes Eí Sr. Rodríguez Paterna dijo que también debían excluirse de la ai gran priorato de S. Juan, y sobre las proposiciones hechas por el milicia los que fuesen deudores á los fondos púb…</t>
  </si>
  <si>
    <t>…bombee* vicios y á los muchos años que está concurriendo al monte p.o podía que de esta milicia han de ponerse sobre las armas. accederse á la gracia que solicitaba. Aprobado. El Sr. Infante dijo que á ias cora s iones no se les ocultaba la des La móma , en vista de la solicitud de D. Bartolomé Gallardo, bi igualdad que en este gravamen Inbu entre las provincias 1 pero que bliotecario de la» Coi les, por si y i nombre de los demas oficiales de es…</t>
  </si>
  <si>
    <t>…n amovibles cada dos año* .-en pito por cada dos. Podra haber un capellán, un cirujano y un macstto cada uno se renovará la mitad.” armero de la dase de voluntarios.” Aprobado. El Sr. Infante se opuso á este artículo, por par-cerle que no seria fá Art. 1 tf. n De 8 á 12 compañías formaran des batallones, de 12 i cil que hubiese en una compañía suficiente número de individuos que 18 tres, y sucesivamente se formarán les demas cuando haya mas fuer-,…</t>
  </si>
  <si>
    <t>…hemos hecho la proposición pan qu* discutiéndose pri a.B, etfonaida alguna* da la» anteriormente espuerta*. mero estos asuntos, no nos veamos obligados el último dia á aprobar El Sr. Infante dijo: Cuando ture el honor de presentar i la* Cortee lo todo sin discusión. la exposición del ayuntamiento de Guadalupe sxpuse, aunque breve- Dado *1 punto por suficientemente discutido, te declaró no haber mente, la».razone* qiie jensa aquel ayuntamiento par…</t>
  </si>
  <si>
    <t>…arlos en considaracioa los señores de la co los babia de pagar. misión. El Sr. Saavcdta dijo que en este particular creía también que debería El Sr. Caadra dijo que loa deseos 4*1 Sr. Infante qnednrin satisfe corregirse el srticulo. chos si se aprueba la medida ■ j. El Sr. Galiano manifestó que creía que loe gefes políticos no debita El Sr. secretario dd Despacho de Gracia y Justicia dijo que laa pegar las cony ¡tes cívicos, é menos qae se les señ…</t>
  </si>
  <si>
    <t>…gunda id., los de quincalla y joyería. con las penas que las leyes señalan á cualquier ciudadano en tales casos. Tercera id., los de droguería, especería y frutos u'tramarínos. El Sr. Infante dijo que le parecía que los delitos de que trataba I* Cuarta id., los de ferrería en barra y obrada , y otros cualesquiera comisión en esta parte de su informe estaban perfectamente clasificados; metales. pero que las penas que señalaba á los que se cometiese…</t>
  </si>
  <si>
    <t>…vilegio para poder introducir harina en la Havant, tenier. 11 cada uno de loa Sres. Romero y Ovalle, 5 el Sr. Prado, j el voto particular de los Sres. Jiménez , Mutfi y Roset. 3 o Sr. Infante, 2 el Sr. Flores Calderón , y uno cada uno de loe se— La comisión primera de Hacienda presentó los siguientes dic fior-s Velasco, Sierra, Laque, Sedeño, Eseovedo, Belda, Marta, támenes : Bjey, Salivto , Ru¡z de la Vega, Lilío y Zulueta. Total 124. Una sobre l…</t>
  </si>
  <si>
    <t>…dis al extrabgero en los términos acordados por el decreto de las Coi tes d« cute. 9 de Noviembre de 1810.” El Sr. Lagasca manifestó lo dificil que seria evitar el contrabando Et Sr. Infante: En este artícu'o se dice que la venta de si1 es se ha de este género, produciendo por consiguiente esta r-.nta m icho menos ga exclusivamente 4 la Hacienda púb'ica, et decir , que á los posee de lo que te creía; y que el único na.d'o que en su concepto había…</t>
  </si>
  <si>
    <t>…que las Cortes habían acordado' para que no debe crearse e.ta guardia por las razones que he indicado. •ale debía de entrar la guardia Real : que no se debía crear un regimien El Sr. Infante: La opinión del Sr. Argil lie* la tuvo en un princi to de caballería de la guard a, pues que la situación de la Nación no pio la comisión; pero conocedora de los males que podrían sobrevenir lo permitía absolulamert-, habiendo v ito las Cortes que apenas se p…</t>
  </si>
  <si>
    <t>…el Gobierno desplegándola en virtud de la autorización de lay dependientes , y autorizar á nuestros comisionados para este efecto. Dí- Cortes, haciendo ¡o que acaba de indicar el Sr. Infante, sino que tener ;ánlo si ao Buenos-Aires , en donde no hay un Gobierno estable : el ■nos una fuerza para mí mas grande, que es la mora!, la cual da una la f(amado libenidor del Perú , que es un hombre de suerte , pero que no titud qu« se puede decir es inmens…</t>
  </si>
  <si>
    <t>…ían empezado, 4 saber, del establecimiento de la milicia local, y quisieron centraliza la fuerza, dando al podar egecutivo la facultad con todos «tos sueldos, 4 lo que contestó el Sr. Infante, manifestan do que tolo disfrutaban de los sueldos de cuartel.de dispon» de «ta arma, porque temieron que te daba demasiada fuer Declarado el punto suficientemente discutido, quedó aprobado elza 4 las autoridad» popularos ; «i que , soy de opinión que debe ap…</t>
  </si>
  <si>
    <t>ioi 6 alumnos que hayan merecido el tTitilo de sobr'salientes por su conduc El Sr. Infante dijo que la comisión estaba pronta á que se redactase ta , aplicación y desempeño en los exámenes.’* Aprobado. el artículo en esto* términos: „ Los gefes y oficiales del regimiento de Art. 40. » Todos los que entren en lo sucesivo en clase de subte la guardia…</t>
  </si>
  <si>
    <t>…o* sucesivos asignando nuevos arbitrios si los hasta ahora concedido* no fuesen sucu d_j Príncipe de Lúea, depositario y encargado de los asuntos resp ctivoi í la tesum ntaría del Sr. Infante D. Gabriel, es iocompatiblo ficientes.” Art. &lt;S.° •&gt; Que estas medidas sean interinas hasta qua las Cortes,cou la plata que Actualmente ejerce de consejero de Citado, debe de- en vía» de lo que qu-da prevenido en el artículo anterior, disponganc ararse dicha comisión co…</t>
  </si>
  <si>
    <t>…spondientes al presente mes, y los 538,536 reales y 15 mrs. por cuenta de atrasos..........— 3.871,869-26 Idem de S. M» la Reina en d comente mes. — ... 53*333- ix Idem del Sermo. Sr. Infante D. Carlos María.—. 137,500 Casa Rea/.....—. ' Idem del Sermo. Sr. Infante D. Francisco de Paula. I3?»5°0 , 4.306,203.. 3 Idem de la Serma. Sra. Infanta Doña María Francisca. 50,000 Idem de la Serma. Sr» Infanta Doña Luisa Carlota. 50,000 .Idem del Sermo. Sr. Infante D. Carlo…</t>
  </si>
  <si>
    <t>…as vayan Consignación del Rey 40 millones de rs. Gastos de la Cámara de la manifestando por todas partes la suerte decretada por la Providencia Reina 6409. Consignación dsl Sermo. Sr. Infante D. C rios 16509. para los enemigos de la Constitución. Gastos de la Cunara d: la Scrma. Sra. Doña María Francisca de Asís, Luego que llegó la infantería continuaron el fuego las compañías su esposa, 6oo3. Consignación del Sermo. Sr. Infante D. Francisco de Zaragoz…</t>
  </si>
  <si>
    <t>…ontrata de la provfaíon de tal 120, reuniendo el Sr. Belda 31, el Sr. Romero dos, el Sr. Her ternera fina para lat Reales servidumbres de SS. MM- y AA, y en rera Bufamente uno, el Sr. Infante uno, el Sr. Seoane uno, el ae- virtud de resolución del Excmo. Sr. marques de Sta. Cruz, mayordomo fior Zu'ueta uno, y el Sr. Abren uno. mayor de S. M.; se hace saber al público para que la persona ó personas Finalmente fue electo para cuarto secretario el Sr…</t>
  </si>
  <si>
    <t>…do el Rey de que la Sra. Princesa ds la Beira debe gozar ARTICULO DE OFICIO. la misma conaideracion , honores y prerogativas que gozan los Sres. In fantes de España, como vuda del Sr. Infante D. Peiro Carlos, Primo Circular del ministerio de la Gobernación de la Península. del Rey, y Nieto del Sr. D. Carlos nr, de gloriosa memoria , ha teni Deseando el Rey que en el próximo invierno se proporcione traba* do á bien mandar que se anuncie al público esta declaración…</t>
  </si>
  <si>
    <t>…dad , examinando si sus piezas están limpias, arregladas y corrientes. mandato contrario 4 una ley expresa. Concluida esta revista hará reconocimiento de las municiones : exami El Sr. Infante : La comisión ningún inconveniente tendría en poner nará , tanto de frente como de espalda , el estado del vestuario y coren este articulo mas casos que los que presenta; pero ha creído que con reage: remediará prontamente laa faltas que notare ; y si hubiese…</t>
  </si>
  <si>
    <t>…ho ó cometiendo excesos, le conducirá al cuartel en calidad de mucho incremento mientras llegaba el parte. detenido, sea ó no de su compañía, y da.á parte de lo ocurrido al ofi El Sr. Infante dijo que había mu. has guardias mandad■* por uta cabo , las cuales tenían muy poca fuerza, y no podías absclutamenu cial de ¡a suardiade prevención.” Art. 18. « El cabo visitirá con frecuencia los soldados enfermo» Contener un alboroto. de ni escuadra que hay…</t>
  </si>
  <si>
    <t>…uadra , y dé parte á su primer sargento. clamar los gritos de la libertad que deben acompañar a! soldado. Prevendrá este entonces á los de segunda clase las que deban revistar, El Sr. Infante: Los señores que bao impúgnalo el art culo confie eligiendo para ti la que le parezca. Cada sargento examinará prolija san que hay ocasione* en que es necesario el si enero. Conforme está mente el vestuario, armamento ,correage y municiones, haciendo res reda…</t>
  </si>
  <si>
    <t>…ndrá de él con intervención y conocimiento del coronel y te del mismo modo que se hacia tespecto del pueblo. niente coronel mayor á beneficio de su alma; prohibiendo á los cape El Sr. Infante dijo que al pueblo no había inconveniente en pre llanes ó eclesiásticos que bagan sus veces el que con ningún título exi dicarle el evangelio y explicarle la Constitución siempre que se qui jan ofrenda ni cuarta funeral de los militares, sean de la clara que…</t>
  </si>
  <si>
    <t>…tiasos , pues no resultaba de la memoria , y deseaba que viniesen ambos tenían i su cargo la cura de almas. _ los expedientes de donde se habían tomado las noticias que daba el Ei Sr. Infante dijo que la comisión sin oponerse á los deseos de Sr. secretario en su memoria, para que se viese si arrojaban de sí eí dé los Sres. preopinantes creía que su objeto estaba suficientem nte des ficit de que se había hablado: empeñado con lo que d.ce el art. 2…</t>
  </si>
  <si>
    <t>…t-.s ~!c :&lt;&gt;» cu-.rpo» lijarán el dia en que deba efectuarse ia re en las ordenanzas generales del egército. unión de los gcf-» o lo» que hagan sus veces, y del cap.tan ó coman El Sr. Infante contestó que no creía estuviese de mas el artículo de dante de cada compañía, pa.a extender la» notas en Jas filiaciones j que se trataba, demarcando en ¿1 lo que deben hacer ios capel ,an * de hoja, de »crvicio de los cabos y sargentos; advirticndo qu: las d…</t>
  </si>
  <si>
    <t>…que objetar 5 pero que en él se compren les propuestos en la terna para los empleos de la clase de gefes. dían los derechos polírcos de los españoles, y «e concedía un privile El Sr. Infante contestó que con solo la lectura del artículo 4'' que gio exclusivo á una clase determinada , excluyendo las demás, lo que daría satisfecho el Sr. preopinante ( lo /ryd); pues por él se veían las no era mas que establecer una ley parcial que aunque estos esta…</t>
  </si>
  <si>
    <t>…* sargento* segundos mas antiguos reunía, las circunstancias que se yes , y no hay hombre que pueda precaver todos los que son meramen requieren para ser primeros. te posibles. El Sr. Infante contestó que ademas de ser mucho estímulo el que El Sr. Pedralvez: Toda la dificu'tad está en si las palabras son con lot sargentos y demás dates pudiesen ascender, bien por antigü-dad ó formes á la idea, pues por no «star bien expresada volvió el artículo á…</t>
  </si>
  <si>
    <t>…l tolo efecto del ascenso, estaián reputado», y con, r»»r a asi qu- on naba no drb a aprobarse el artículo. au lugar en la escala , en ios mismo* términos que si no se I »b -sea F Sr. Infante conisto qu- la razón de no exigirse exámen , ni ates* separado de ellos, verificándose tus salidas á gefe por igual » roedlo», drr á otras circunstancias para los ascensos en el cuerpo de artillería, co y bajo las mismas reglas que se observen con .os capitan…</t>
  </si>
  <si>
    <t>…este ramo leído en la sesión de ayer. deb« servir de obstáculo par* que se entre de lleno en ia docus.i-a aciuaL La comisión manifestaba en su dictamen que la pintura que el Go El Sr. Infante: Los Sres. se.r.'tarv'i del Despacha que acaban de bierno hac a en su memoria d i estado de las provincias limítrofes é hablar han manifestado algunas de las observac enes que ha tenila L ancia era muy exacta, por lo cual convenía.- i.J en qu- ia revo do pres…</t>
  </si>
  <si>
    <t>…amente el de guerra, y la situación verdaderamente creto tobre ette asunto pata que la comition Jo examínate. bastante critica, pues que veía una gnerra ds opio ion la mas mal* El Sr. Infante contrató que la comiaion de Gnerra no habia teni y tenaz; que las revoluciones cundían y saltaban de ponto en punto ; y do el orgullo de creer que *u dictamen sobre las memorial aera apro en fin qu: veia cumplido con harto dolor lo que en aquel mismo lugar ba…</t>
  </si>
  <si>
    <t>…es los modelo* de que Se resolvió que pesase al Gobierno, y le misma resolución recayó se hacia mención en ¿1. sobra una solicitud de D. Francisco Antonio Navarro, vecino de Se El Sr. Infante contestó que la comisión, por no creerlo necesario y villa, y otra de D. N. Fernandez, presbítero, proponiendo varia* me por no causar mas gastos, no los había impreso ; pero qtt podrían lat didas para destruir á lo* facciosos, y prevenir crímenes de esta nat…</t>
  </si>
  <si>
    <t>…como reunión para Art. il » Los oficiales turnarán en el servicio por antigüedad, su* acto de servicio. cediendo á los efectivos de una clase los supernumerarios de ¡a misma.** Et Sr. Infante dijo que por su parte no tenia ningún inconvenien Aprobado. te en adoptar la adición del Sr. Romero. Art. ti. n Los sargentos primeros serán reemplazados en ausen- El Sr. Ruiz del Rio: EL artículo conforme lo propone la comi cías y vacantes por el segundo mas…</t>
  </si>
  <si>
    <t>…do pueden ocasionarse guiente proclama-. •» El protector Ael Perú__Hab.iant.s d ■ Lima: la grandes males. división del Sur, sin ser batida, fue sorprendida y disperta. N pu-uen El Sr. Infante: Respecto de lo que ha manifestado el Sr. Valdés esperarse continuos triunfos en una guerra dilatada. Me crroceb, y es debo decir que la comisión no epina que se quiten los tenientes de Rey; *s notorio que siempre he dicho ;a verdad al pueblo. No es mi ir. mo…</t>
  </si>
  <si>
    <t>…de propósito que acordar una resolución ya terminantemente se en él la existencia de una guardia Real. dispuesta j observada? ¡ pues qué necesitan acato las Cortes que de esta El Sr. Infante contestó que la compañía de alabarderos era real manera te laa recuerden lo* articulo* de la Constitución ! La* Cortea no mente una guardia Real; 7 asi que no estafan de mas el que ac hicáeM ae han separado ni en un ápice de estos; y en el momento cu que tal…</t>
  </si>
  <si>
    <t>…el tncmp.atar que debería est.b ecerse un método distinto del que hasta aquí se zo con brevedad y just.cia. baba obs-rvado , en atención 5 haber muchas excepciones establecidas El Sr. Infante ¡ Creo que la comisión de Guerra no tiene bastante* por decretos anteriores , as cuales en su concepto no debr.an servir. conocimientos, y para esta materia es necesirio qu: se forme una co El sr. Infarte contesto que ia comisión conocía desde luego la ne mis…</t>
  </si>
  <si>
    <t>…nos de confianza. e! dictamen d ■ un p.it.cuiar , y por lo mi.n.o no coniuma naca iu Se leyó el artículo 71 de dicha ley á petición de un ir. diputado.que S. i. ha mamft stadp. Ei Sr. Infante : El br. secretario del De:pacho ha dicho ya la» ra-</t>
  </si>
  <si>
    <t>…trados , opinaba que debía aprobarse.*’ Aprobada. juicio de que según las circustancias pueda formár.eles cauta. Asimismo opinaba que podía aprobarse la del Sr. Varela para que El Sr. Infante: La medida en cuestión no da al Gobierno la robus se declarase que la traslaeioit de ios eclesiásticos, concedida ai Gobierno, tez y autoridad que se desea. Nunca ha podido exstir Gobierno algu nunca se entienda .para sacarlos de ¡a Península i añadiendo la c…</t>
  </si>
  <si>
    <t>…as en que en lugar aquellas disposiciones que nunca pueden tenerse ocultas, las cuales in de jO se dijese i9. dicaban que no está lejos el momento por que suspiran los buenos__ El Sr. Infante pidió que se afiadiete en el artículo despura de la pa Los ilusos que tranquilamente disfrutan de los beneficios de una Cons labra vednos las siguientes: sin perjuicio dt que ti Gobernó pueda alte- titución, odi.ndola al mamo tiempo, no pudiendo ó no atrevién…</t>
  </si>
  <si>
    <t>…mismo periodi.ta (que p*rrc; no es lerdo} vue.vei la car diente. ga contra la aparición de ia fragata y e ntra ia contestación del cónsul. Después de haber apoyado el artículo el Sr. Infante, se declaró _ Hi Liberal Cjuifuzcoano del ai publica entre otras noticias las si este asunto suficient m r,te discutido, y habiéndose procedido por partea guientes. á la votación del artículo, quedó aprobado. *&gt; Al amanecer del 18 llegaron á Atann gran número…</t>
  </si>
  <si>
    <t>…a no tenían confianza bieta estado en Andalucía, Muren, ViI.o-'j v ;ri- ¡r 1 n.ii» de e:;e en esta operación. temperamento, haiisria que ¿1 d&gt;a-r-de la r.. ;.. ,We • - n.cr tem El Sr. Infante dijo que el método que la comisión expresaba y de prano. z\si pue» yo crJo q..e no ».■ o 'zbe d-j ciar,.- . t: .a o, bía seguirse en el soiteo era el mas expedito, según lo había acred.la i no derogar aquel á que «e refin, pr r.&gt;lrai.'iicut; , s er.Jo ,:a::a…</t>
  </si>
  <si>
    <t>…eclarado el punto por bastante discutido, un Sr. di oíros lugares. Desearía que los Sret de la comisión conviniesen con putado pidió se contestase á la obj eion del br. Adan; y el Sr. Infante esta id-:a contestó que la idea de la comisión era solo que se convenciesen los El Sr. Infante: Ea preciso se tengan presente» dos cosas: primera, que tuviesen alguna duda, y que quedaba á cargo del ayuntamiento f</t>
  </si>
  <si>
    <t>…siem hayan servido seis años , y ios licenciados que hayan cun.y .do" ti pre que los tales sustitutos no sean de los comprendidos en los articu tiempo. las 9.' y 11.” Aprobado. El Sr. Infante pidió que este artículo volviese á la comisión, y asi Art. r 5. u Las únicas excepciones admisibles 7 sobre que se oirán ae acordó. los recursos, son las siguientes: 5.a x Los que han punto sustitutos en los términos y por e! tiem Habiendo pedido la palabra e…</t>
  </si>
  <si>
    <t>…nder la se»on, pa.a curo intento hara leer tres ve 11 dias por ei motivo de hadarse con recurso peudient - ces en voz alta esti les .requiriendo a ¡os concurrentes a reti-arse, Kl Sr. Infante: La com sion no tiene inconv.ment■ en redactar el y de no hmerlo se vil J.r¿ d: ¡a taerei ” Aprobado articu o como .es. a el br. pr op nante; prro d.b. tenerse present• que Art. 4. ” El hab r &gt; do su-pend da ur.a reunión, no la prra del cuando lacomision ha p…</t>
  </si>
  <si>
    <t>…o ta pirte, si fuese posible, el ínteres de la opinión y de las costum correspondiente al decreto de 8 de Junto, se valdrán &amp;c.” bres con el de la Hacienda nacional.” Aprobado. El Sr. Infante : La comisión ninguna dificultad tendría en redactar Art. g.° » Se le autoriza del mismo modo al Gobierno para que este artículo como ha propuesto el Sr. Pedralvez ; pero no creo qu- se ©bliiu: á los empresarios y directores de teatros á egecutar funciones de…</t>
  </si>
  <si>
    <t>…iabas en esta podría traer consecuencias dolorosas, singularmente Cádiz, Ceuta, parte seria muy perjudicial. Cartagena , Islas Baleares &amp;c. , pide en una nota que incluye 14 mi El Sr. Infante: La comisión conoce la necesidad que bay de con llones de rs. por lo respectivo al ramo de artillería, y 11 millones para ceder al Gobierno la cantidad que pide; y luego pasa a darle un conse la fortificación. La comisión está muy persuadida asi del mal estad…</t>
  </si>
  <si>
    <t>…secretario de Hacienda; Yo convengo en que no estando he ción no se habia cobrado desde el afio de i8ao. cho en su total el aumento del egército en el día i.° de Diciembre , ti El Sr. Infante, conviniendo en lo mucho que producía el impues sú'tari el ahorro de la parte que falte que aumentar; pero debe tenerse to sefialado sobre la tal para el equipo de la milicia activa , dijo que resente que también se originarán otros gastos. Por egemplo el pre…</t>
  </si>
  <si>
    <t>…las Cortes declaren que no admiten ninguna nue ¿ ser esclava de las cxtrangeras, porque tendría que apelar i sus pro va excepción á la ley del reemplazo del ejercito.” ductos. El Sr. Infante dijo que ia comisión admitiría gustosísima esta pro El Sr. Becerra dijo que los labradores con yunta propia y todos loa posición ; pero que seria una contradicción que habiéndose admitido las demás que se habían exceptuado lo habían sido hasta ahora, pero no…</t>
  </si>
  <si>
    <t>…directores de estudio , jueces de primera instancia y be volver á la comisión para que lo redacte de nuevo. consejeros de Estado, era de Opinión que debía aprobarse. Aprobado. El Sr. Infante: No soy de la Opinión del Sr. Valdés en cuanto á Respecto i la del Sr. Gómez Becerra para que al fin de la medida que «te articulo no «tá bien redactado. 8.a se añadiese • dando parte á las Cortes de esta disposición para la re El artículo en mi concepto tien…</t>
  </si>
  <si>
    <t>…ra ignorar que el modo da establecer militarmente. el despotismo ha sido sujetar á una 1er marcial á los ciudadanos. Se concedió permiso al Sr. diputado Remiras AreUaao pan vol El Sr. Infante: La comisión esté de acuerdo con ios principios ge ver á su provincia, y permanecer an ella por al tiampo da trae meen nerales que ha tentado al Sr. Galiaoo; para ha extrañado que se dé i con el objeto de recobrar su talud. estas ordtnanzas un carácter de per…</t>
  </si>
  <si>
    <t>…lo que dispone el código; por lo que no indiferencia que se trate de usurpaciones i unas medidas benéficas y sa puedo menos de desaprobarlo. ludables , y dictadas por él mismo- El Sr. Infante: La comisión ha creído adaptable la adición del se El Sr. Martí: Yo no he dicho que estas fuesen usurpaciones; he ñar Sancho, persuadida de que en nada se opone al espíritu del código dicho que hemos visto que en escritos públicos se nos lú tratado de penal,…</t>
  </si>
  <si>
    <t>…da al Los militares no se hallan en este caso; y sí vj»&gt;-n en ias -.c i que la provocaba , se le quitase. nes parroquiales para diputados, resultarían erar-s inconveniente»: r rEl Sr. Infante: El Sr. Oliver ha manifestado ya algunas de las ra que no se podría saber cuál era el número de vecino» d- un cu b o, zones que ha tenido la comisión para proponer este artículo, y i lo aumentándolos ó disminuyéndolos la tropa. H&lt;b n er. c.t » rt._o por añadi…</t>
  </si>
  <si>
    <t>…ían todos los demás ciu ros , porque si son casados el haber de llevar en su compañía á su mu dadanos , lo que no creía justo. ger y familia entorpece las marchas del egé'cito: el Sr. Infante ha con El Sr. Valdét (D. Cayetano): Este artículo va conforme con la testado á este inconveniente que no te permita que vayan la muger y ley orgánica del egército que está vigente. Las disposiciones de la ley familia: se dice que esto no es fácil que pueda re…</t>
  </si>
  <si>
    <t>…razones soy de opinión que no debe aprobarte ei como igualmente las curadurías de ninguaa especie.” articulo. El Sr. Diez impugnó este artículo , manifestando que si á un mili El Sr. Infante; El Sr. preopinante dice que es impolítico é injusto tar á quien se le hubiese conferido el cargo de jurado se le obligaba á decir que los militares hayan de recibir su sueldo íntegro un estar su salir del pueblo en donde lo fuese y residiese, faltaría al des…</t>
  </si>
  <si>
    <t>…te que se traías- de derogar el art. de la ley d- 1 t de Se hacia presente ai Congreso para tu inteligencia. tiembre de sdio. H. d cho que no tiene nada de nuevo este proyecto, El Sr. Infante dijo que tratándote de a tetar una ley v gente, las y para esto pido al Sr. s-ctetario se sirva le r ios ari. i.° , 1° y 3. de Cortes reunidas extraordinariamente no podían decretar sobre este pun la .ey de 11 de S:l rmb:; d . iSao. to sin que el Gobierno le…</t>
  </si>
  <si>
    <t>…o le tuvesen en su poder una hora El Sr. Vareta manifestó que ss se admitía la modificación propues mas de los 30 días; y también lo seria por omisión en el cumplimiento ta por el Sr. Infante se podría sacar un gran partido de estos hondo, s, de las facultades que se le dan. pues que bajo buenos reglamentos podrían destinarse á poblar algunos Quedó aprobado este artículo. puntos del continente americano. Se procedió á 'a discusión del proyecto de…</t>
  </si>
  <si>
    <t>…á los traba jet da hubiera acabado con todos. Habiendo sabido Brandis el día ít que mas penosos con cadena.” los cabecillas el Royo, el Gitano 7 Tena habían hecho prisioneros á El Sr. Infante impugnó la pitte quí dice 6 ruchan i la Pcv.n92 hombres 7 tres oficiales del provincial de Mondoñedo , se dirigió á sula ror cualijuicr m-Ar.ü , exponiendo qua podía suceder que .os co Monta Iban, donde se hallaban , los atacó, te apoderó del pueblo, 7 mandan…</t>
  </si>
  <si>
    <t>…bjeto que se en esta disposición hay una especie de castigo , no infamatorio, pero proponen los facciosos. sí obligatorio; pues el faccioso de que trata el artículo en cuestión El Sr. Infante: Kn ciertas ocasiones es necesario que haciendo , si se puede ser considerado en el mismo caso, y decírsele; faltas»: á tus quiete, traición á algunos inconvenientes, adoptemos loque exija *1</t>
  </si>
  <si>
    <t>…ño uno , el Sr. Back otro, el Sr. Hen-iquez otro, ei se gos. Ais-una» cartas fidedignas que llegaron ayer á esta capital dicen qu* ñor Vaidés Bustos otro, el Sr. Villaboa otro, al Sr. Infante otro, v el el Emperador Alejandro , cansado de tanta altivez de parte de un ene» Sr. Aguirre otro .- tota! di votos 132. No habietsdo reunido fUngur.c d« m go poco r»mib e, h» anunciado al Con creso de Velona su intención dichos Sres. ia m tad mas uno, se pro…</t>
  </si>
  <si>
    <t>…do- Madrid 6 de Noviembre de 182 a. puede destinar tanto á la tropa de marina como á la marinería , aten TXISCVALUS. diendo al estado en que se hallan las provincias litorales. El Sr. Infante: Me opongo al dictamen en la parte que dice que Fot providencia de los Sres. de la sala primera criminal de esta audien solo puedan servir 4 años ios individuos de que se trata , porque en cia territorial de 16 del corriente te ha mandado citar y convocará Ro…</t>
  </si>
  <si>
    <t>…el servicio, y asi debe yo no encuentio razón para que est* dejase de considerarse como exceptuarse lo que el militar necesita para ei desempeño de sus obliga cspafiol. ciones- El Sr. Infante : Todos lo* señores parece que están acordes con la En cuanto a la observación qu: acaba de hacer el Sr. preopinante idea del artículo, y solo se impugna su redacción. La comisión adopta diré, que seria muy ex-rafio qi: si un militar gastara los fondos de 1*…</t>
  </si>
  <si>
    <t>iC^f.l Sr. Infante: Fs muy difícil fijar en el artículo los casos en que que s:a por dos años el término que conceda á los españole, para los mistares pueden usar da la facultad que K les concede, atendiendo trasladar sus propiedades desde ia América (cptenli.or.aii solo aquell…</t>
  </si>
  <si>
    <t>…oro y i la plata mucho mas valor mienda llamada de 1-iedrabiiena, en Extremadura, vacante por falleci del que tienen. Las contribuciones han disminuido con motivo de la miento del Sr. Infante D. Antonio, dividida en 16 suertes, y tasada en guerra con los cristianos , y ahora recae todo el peso de ellas sobre los venta en 29.301,588 rs., y en renta anual en $40,996; la cual se anun musulmanes. Se ha dado también un decreto contra ei lujo; y se pro cia en el b…</t>
  </si>
  <si>
    <t>…erjuros que mancillan nuestra santa Constitución. propuso que se quitara de aquellas pata colocarle en este. Ei primero de nuestros deberes ha de set la obediencia i los gefet, El Sr. Infante dijo que habiendo sido aprobado por las Corte; -1 respeto i las autoridades, amor al orden , y la mas severa disciplina: art. a.' de este capítulo , la comisión creía necesario queda»: el q_e »: estos son los principales elementos que han de labrar nuestra fe…</t>
  </si>
  <si>
    <t>…s 1 y en este artículo te les obligaba á unos requisitos i que estos na &lt; quién será el que avetigüe si un militar ha pretendido ó no el mando citan sujetos. de gefe político ? El Sr. Infante dijo que los militares podían hacer testamento cuan El Sr. Valdés (D. Cayetano): Cuando el Gobierno quiera poner á do estaban con alguna tranquilidad, ú cuando estaban en combate, ó un militar de gefe político en una provincia debe tener una completa preparán…</t>
  </si>
  <si>
    <t>….ver por su frente ; peto las guard as pre hacerse su entierro acompañando al cadáver un oficial subalterno. sentarán las armas, los tambores y trompáis tocarán la marcha , tas El Sr. Infante convino en que se hiciese al articulo la adición pro guardias de prevencion formalán , y la demás vente de los batallones puesta. en los intervalos de sos compañías se presentarán sin armas, no pasan F.n seguida se declaró este asunto suficientemente discutid…</t>
  </si>
  <si>
    <t>…A c.¡ siquiera de esta ciase acompañará ia m'tid de los fue d -cl .rada por las Cortes patrono d. L»par.a. tambores, cornetas ú trompetas de su cuerpo, cu ios térana.s explica Ei Sr. Infante dijo que podría aument»-»; en el artículo. dos en los artículos --nteced.-ntes. El Sr. V«!des (D. Cayetano) : En cu,,,lo a ia Concepc on no ha y Sul.l.tJo , tambor, corneta , tromreta &lt;S rífano. mas declaración para que sea con, aerada como patrona ce hsp»f.a…</t>
  </si>
  <si>
    <t>…ión , han decretado loque sigue: Art. ■.‘'Estando determinada entró en España hasta que se sentó en el trono. en el art 8.° del decreto de &gt;9 de Junio del año próximo pasado ¡a El Sr. Infante apeyó el articulo, manifestando que el dia 34 de naturaleza de los créditos procedentes de capitalizaciones, y en el 26 Marzo recordaba , como habia dicho muy bien el Sr. Canga, las glorias del mismo decreto las personas á quienes te dispensa la gracia de ad…</t>
  </si>
  <si>
    <t>…plear para componer y lavar ei pantalón y chaqu.ron , y en los días no ínter or y guarnición del buque. festivos para asist r á la misa y parada- Esta» mismas puz.s se facilita El Sr. Infante: Los cuerpos que van de trasporte no solo deben es rán á las cases dichas ,ib rio de ios baques trasportes, y en unos y tar sujetos á la pelicía y gobierno interior del buque, si00 a ias leves otros se devolverán a su salida p.ia emplear.as en las tropas qu:…</t>
  </si>
  <si>
    <t>…e b biese mas de lo regular llegaría día en que no podrían tos convenientes.” beber nada por haber bebido mucho. Se leyó 7 mandó imprimir el dictamen de la comisión especial de El Sr. Infante manifestó que este artículo había sido copiado lite Legislación acerca de una consulta de D. Juan Paredes sobre el indulto ralmente de la ordenanza inglesa , porque la comisión hab a creído concedido por s. M. i algunos de los guardias que invadieron hostil o…</t>
  </si>
  <si>
    <t>…v.siooes, les prestarle cuantos auxilies les pida y puedan contribuir al mejor ser y no á la de! egército. vicio de la Nación, qusdsndo responsables de no hacerlo asi cuando !a El Sr. Infante: La comisión no tiene inconveniente en preponer justa queja de dichos capitanes produzca el juicio competente.” después de los gefes y oficiales del estado mayor al vicario gen-ral ; y si A propuesta del Sr. Valdés (D. Cayetano) convino la comisión en ha pues…</t>
  </si>
  <si>
    <t>…id* el acta de la anterior, se mandó agregar á ella el voto parti en la extensión que le daba la comisión. cular de ios Sre*. Luque y Salvá, contrario á la aprobación de los ar El Sr. Infante sostuvo el d'Ctamen manifestando que la comit'on Babia ampliado la petición del Gobierno por no hacer una excepción par tículos del reglamento de policía que te discutieron ayer. ticular , cosa que siempre llevaba consigo cierta odios.dad evit.ndosa La milici…</t>
  </si>
  <si>
    <t>…to con respecto á lo* ofi que el misma les señale. ciales , era prueba de que no creía oportuna esta resolución. Art. 5-J » Las brigadas también te designarán por números, y se El Sr. Infante manifestó que la comiaion no consideraba i la Nación compondrán de los cuerpos que determine el general en gefe, y esto* en estado de guerra , sino ai egército. ocuparán en las cuyas respectivas la antigüedad que tengan. El Sr. Marau consideró admisible en un…</t>
  </si>
  <si>
    <t>…mismo , y el conductor general de equipagrs. ner un oficial cualquiera del estado mayor para gefe de este cuerpo. Art. 5. •» D.sdc luego que sea nombrado ci grte dci estado ma El Sr. Infante: La comisión no ha podido atenerse sobre este asun yor del egercito ,e te entregaran del archivo y deporto topogr ruO del to á ia organización que tiene en otras naciones el astado mayor, estado mayor general copias de lo&gt; planos, descripc.oc-&gt;, memorias y po…</t>
  </si>
  <si>
    <t>…ina.... 3,5bo mercio sin causa legitima , debiendo también V. F. hacer las preven A criados del 534,870...2é ciones oportunas al resguardo para que redoble su eficacia en precaver Sr. Infante el contrabando. De orden de S. M. lo comunico á V. E. para su inte D Antonio. 3,000 ligencia y cumplimiento.” A emigrados £a traslado á V. S. para lo* mismos fines por lo que hace fi esa de Ultramar. l6,6 j 7-28 provincia. Madrid 14 de Noviembre de 1821. A te…</t>
  </si>
  <si>
    <t>…e se había mandado á buscar di las exacciones se hagan con cuenta y razón. El comandante encangado cha lista. de cubrir el forrage cuidará que no sa haga ningún daño á tos habi El Sr. Infante manifestó que habiendo desaprobado las Crrt-s el tantes , ni que te saque grano, paja ni heno sin la intervención del co art. g.°, la comisión retiraría los restantes de este c:p;u o, ccmo que misario y conoc miento de la justicia , si la hubiere en el pueblo…</t>
  </si>
  <si>
    <t>…ejo de Estado , y leyes vigentes , puesto que el coligo penal todavía no se ha puesto en asi se verificó. * práctica, ia misma fuerza pueden tener los argumentos que te empleen El Sr. Infante: Señor, desventajosísimo es para mí el terreno en en pro que los que se empleen en contra, pues unos y otros tienen á que tengo hoy que combatir tratándose de una materia espinosa y de su favor leyes vigentes. licada , puesto que voy 4 oponerme á la disposici…</t>
  </si>
  <si>
    <t>…El Sr. Gmealez Alonso . Qu.sien pod -r pronunc ar mi discurso y para impumar os seguiié un rumba c.uy distóte» d~i que ha seguioo con el misii.u puíso que ¡ s ores preop motes. el Sr. Infante. Todo lo que ha dicho su s-ñona es muy oportuno para Ei S . Infante ha marnf stado en el suyo su generosidad y su» prnelogiar ia conducta d: los brigad.res Palarea y l’.as.-nc.a au scriona c píos de humanidad, que á ia virdad me fian cnternecitío: pero como h…</t>
  </si>
  <si>
    <t>…d que caracteriza nerme al dictamen de ia comisión en &gt;u totalidad. á estrs hombres, quienes cuando no Ies a.iva para nada ie despreciaran El Sr. Valdés (D. Dionisio): Ha dicho el Sr. Infante que los Se Con ta aitivrz .me les es propia. ñores diputados que toman la palabra en contra del d etienen , se ha Drenase haber biiado a la Cerdaña francesa dos regimientos, y se llan en una posición delicada, pues que impugnan un proyecto del gún aseguraban…</t>
  </si>
  <si>
    <t>…ocurrir esus cir siderar su gravedad, importancia y trascendencia , estaba resuelto á dar cunstancias ? en silencio mi voto sobre el particular; pero la* especies que se han to El Sr. Infante anunció ayer loa grave* males que hubieran podido cado por muchos sefiores de los que han expuesto su opinión , y entre irru.rse de la resistencia de los 400 hombre* que te entregaron al bri altos los individuos de la comisión , á quienes profeso afectos de r…</t>
  </si>
  <si>
    <t>…la* duras leyes da la guerra armada eu un radio de 30 leguas; y 4.a cuando el Gobierno lo tuviese con el bienestar de los habitantes de lat plazas. por conveniente declararlo.” El Sr. Infante: Sien cuestiones como estas se ha de atender á ra Después de una corta discusión se mandó volver á la comisión á zones de conveniencia y de política , ningún artículo de este capítulo propuesta de los individuos de la misma. podría aprobarte; pero el mal está…</t>
  </si>
  <si>
    <t>…dades civiies para plaza á los vecinos que en él se eipreasn. disponer con ellas cnanto e=t ni - convenj.nie " El ür. Infante-. Los ar.omentos hechos por el Sr. Isturiz , y q:e El Sr. Infante : La cornis ón no puede consentir en esta modifica ha aplicado ¿. o. á la plaza de C diz , no son aplicables á todos los ción , porque quedaría entonces sin autoridad ni gobernador déla plaza. casos que pueden ocurrir. La plaza de Cádiz no se vi6 sitiada ente…</t>
  </si>
  <si>
    <t>…tículo* 56 y 57 de dad abriré la barrera, que cerraré inmediatamente que hayan pasado. la ordenanza militar. Art. i}. » Al ponerse el sol se cerrarin la* puertas de ia plaza, y El Sr. Infante dijo que la comisión creía que debería aprobarte hasta entonces no diaré el gobernador ó comandante superior el tanto, este articulo , pues que en concepto de la misma determinaba con mas y para comunicarlo á los puestos exteriores te set viré de la* poternas…</t>
  </si>
  <si>
    <t>…n ha Ser tima d¡;tr-.to m.'.íe.ír, () Barcelona.) Adema» de lo que va herno* publicado sobre lis ocurrsnc as de este di,¡rilo , rí; Tarrae - na d.-r an. ciendo los paco». ... 1 El Sr. Infante: Drbe tenerse presente que en la reba|i que la comi » don muchos los faceesos que se hin acogido al ir.'n *’ ace sión propone se haga del pre»upti-,to d: guiña , pueden estar incluidos cuatro d.as que se presentaron en so» r.-sp ,t ios pueblos 1 s d: o. i'eat…</t>
  </si>
  <si>
    <t>…ón; sos que hay por cobrar servirán pira pagar ¡as ob i¿ac ones de: Es por cuya raz n creo drb.n aprobarse. tado en este año económico; ji-rn el Gcbicnr.o por el menor valor de El Sr. Infante: Loque la comisión d jo el otro dia fue, que no creía ias rentas, y for 1, rr.aia recaudac on de ias contribuciones, te halla hubiese gobernador tan imprudente que perqué se ac i.M- á la pliz* ahora en una posicon m nos ventajosa que el año pasado , porque lo…</t>
  </si>
  <si>
    <t>…quirir sobre el estado de las plazas, castillos y fuertes que ten los Sres. da la comisión le retirasen. gan í su frente en territorio extraño , con expresión de sus dotaciones El Sr. Infante: Al proponer la comisión este artículo supuso que su y guarniciones, y ademas los pianos , croquisea y cuantos dato* esta friría alguna impugnación, y por lo mismo trató de redactarlo del mejor dísticos puedan procurarse. También deberán dar parte caída mea d…</t>
  </si>
  <si>
    <t>…s ..oa ria perfcct.tin.nte , siempre que el reglamento que citaba contradijese la que el gr be-nado; a,..-.u*i ia concesión de su f*crn.-So, s.-.i. io p--. ,* oidcn le ida .or el Sr. Infante ; piro que no siendo asi , dicho argumen obl gacroa de este v is: el z-iar qu; mee c r.t arenga á esta [ o fcito no tema fuerza alguna. En cuanto al artículo d.jo que lo creía con- c.on, tomir.do las prnv.dencu» que juzgue c.sriver.r-iiüs; ti .r.tn.veniente ,…</t>
  </si>
  <si>
    <t>…votar en su totalidad , y quedaron aproba manifestar la gratitud nacional i los que tuvieron parte en los gloriosos dos los arts. i.p y t.° sucesos del 7 de Julio de este año. El Sr. Infante tomó la palabra sobre el 3.0 y dijo : E¡ mayor ho Art. 1.' &gt;• Las Cortes extraordinarias reconocen y declaran que el nor i que pueden aspirar los hombres es el que se trata de conceder en din 7 de Julio de 182a es uno de los grandes con que se honra la Na est…</t>
  </si>
  <si>
    <t>…: mas diré, este proyecto de decreto está fundado sebre cuando trata de darlos i aquellos que tienen contraídos grandes méri otro del Gobierno , y por lo mismo las reflexiones del Sr. Infante pue tos ; por consiguiente no ha echado en olvido ai inmortal Land-buru; den dar motivo i un voto adicional, pero nunca á hacer variación en el peto debe saberse que el articulo trata de dar testimonios de gratitud a artículo que la comisión propone. Yo creo…</t>
  </si>
  <si>
    <t>…; y por lo mismo El br. Infante: Es bien sabido que hay muchos oficiales muy re no puedo aprobar este artículo. comendables por su probidad y buenas costumbres; piro que no son El Sr. Infante : Si los párrocos castrenses de los regimiento* cum capaces de mandar una compañía ó un batallón, y por este motivo se plen con su deber , tendrán qu: hacer tanto como los oficiales del ha extendido el artículo en Jos términos que han oido Jas Cortes. Por egé…</t>
  </si>
  <si>
    <t>…an los Declarado el asunto suficientemente discutido, se aprobó el artículo franceses, y que ai llegar á Madrid serán recibidos con arcos de triunen los términos propuestos por el Sr. Infante. los ; pero no añade que formados de bayonetas de mil cíanos. Se mandaron pasar i la comisión varias adiciones á los artículo* El día 14 estaban Jos fondos públicos en Londres como sigue: •probados. 3 por 100 reducido 79^ } 80. Cuatro por too 97 i -5 i q. Con…</t>
  </si>
  <si>
    <t>Infante, Pablo</t>
  </si>
  <si>
    <t>Pablo Infante</t>
  </si>
  <si>
    <t>…ía se ha Ante el alcalde constitucional de esta M. H. villa D. Ramón Casi mandado sacar 4 pública subasta una casa sita en esta corte, calle del llas acudió en 11 del presente mes D. Pablo Infante , denunciando el Ave María, núm. 5, rnanz. 34, que tiene de sitio 3904 £ pies, tasa artículo inserto en el Espectador nútn. *47 del día *7de Diciembre del da en 50,530 rs. vn. Quien quisiere hacer postura acudirá ante dicho áíiu qué empieza »&gt; VuC¿» en CaspC,…</t>
  </si>
  <si>
    <t>…lso debido , ha tenido ¿ Hab'éndose denunciado a! Sr. a&lt;caide constitucional de esta corta bien S. M. ademas mandar que se lleve á cabo con exactitud lo dis D. Rodrigo A randa por D. Pablo Infante en nombre del ayunta puesto en el expresado decreto, especialmente por lo que hace 4 su ar miento constitucional de Calatayud el impreso titulado: n cVoticia Je tículo 3.", cuidando de que los comisionados ésten adornados de las tas ocurrenciat que ha habido…</t>
  </si>
  <si>
    <t>Infante-</t>
  </si>
  <si>
    <t>…s sean solteros. Se dice que el militar que te casa los que ocasionaban á los pueblos con los bagages. deja expuesta su familia á la miseria y á la orfandad ; pero esto debe es El Sr. Infante-. A las observaciones del hr. Vareta ya ba contesta tar en las consideraciones de los que contraen el matrimonio. Déjete do victoriosamente el Sr. Váleles, y por lo mismo me limitaré á con este punto á la discreción de cada cual, y no se apruebe este artículo,…</t>
  </si>
  <si>
    <t>Infanteal</t>
  </si>
  <si>
    <t>…or por las actuales , debían enmendarlo. Íorechopoblacióni o rm»nv’d:proporciónla que lema;1: mente,pues nosi enresultabalas demásagravioprovinciasalguno.se(Juchabíaen en cuantoEl Sr. Infanteal núineaosatisfizode matriculado!diciendo quede cadala comisiónprovincia,se habá laa notaatenido,qus la rtba a de cuatro alma» por matncu ado, la comisión no había hecho sobre este punto le habia remitido el Gobierno, y que acerca de li re otra cosa qu - - . ui…</t>
  </si>
  <si>
    <t>Infantes</t>
  </si>
  <si>
    <t>…uatro proposiciones , añadiéndote en la tercera y censo de los ««pirantes de ingenieros que hubiesen estudiado los 4 años cuarta la cláusula de por ahora. que están prefijados. El Sr. Infantes dijo que debería añadirse á estas proposiciones ex A la misma oua consulta sobre el modo de nivelar las antigüedades ceptuándose el cato At ttr dt unos méritos relevantes el sujeto que ir t¡¡. de los sargentos de caballería pua vi ase.usos. _ ja; fundándose e…</t>
  </si>
  <si>
    <t>El Sr. Infantes: El Sr. Torre» íto ha podido presentar su cuenta, lo siguiente: 1* Formarán el tribunal de las Cortes en sala de pr.me portille las de que depende esta no se han presentado; y con este ntoti- ra instancia los Sres. L&gt;. Jaquir. García Dornen-ch, diput.do y.: l…</t>
  </si>
  <si>
    <t>…ré 4 ley ninguna que coarte mi libertad, que me prive de mis la paguen 44,621 rs- que se deben á su marido por suministros hecho* derechos, y que me hege sospechoso. á la'Hopa. El Sr. Infantes: El motivo de suscribir 4 esta proposición es un he A la misma otra solicitud de Dolía Josefa Catbonel, viuda de un cho que en usté mismo lugar me llenó de amargura. Un secretario del ayudante de egército, relativa al pago de cierta cantidad. Despecho, reconv…</t>
  </si>
  <si>
    <t>…a sofocar loa tan an se hieran do* 6 tras docena», y aun muchas mas. dados desteñios de revolución y anarquía. El acto que ae nos presenta ha sido premeditado, no por parte dal El Sr. Infantes: Con grande desconfianza en la cuestión que sa ha pueblo, sino de la tropa. Loe soldado* de la retrate llevaban sus ar suscitado voy á ver si puedo presentarla bajo tu verdadero punto de mas cargadas, lo que no se hace nunca en tiempo de pez, y mucho me vísta…</t>
  </si>
  <si>
    <t>…se habido re ción de ensefianza mutua de nifias , manifestando que ha determinado ce- solución sobre ello. lebrar exámenes de dicha ensefianza en el dia 1. de Abril, y lo hacia El Sr. Infantes dijo que la meta se veía en la precisión de aclarar presente i las Cortes por si algunos Sres. diputados, especialmente los la duda propuesta por el Sr. preopinante. La mesa esta autorizada para individuos de la comisión de Instrucción pública , gustaban conc…</t>
  </si>
  <si>
    <t>Infants</t>
  </si>
  <si>
    <t>…no hay necesidad de usar de caballerías: y pregunto yo, ¿son de menos Se dec'aró por bastante discutido. preferencia los productos de la agricultura que se cultivan de este mo El Sr. Infants pidió que volviese á la comisión , y asi se acordó. do á los que se cultivan del otro? ¿Y por qué esta diferencia entre los El Sr. presidente levantó la sesión á las once menos cuarto. que cultivan con yuntas y los que cultivan sin ellas, porque tu cultivo no…</t>
  </si>
  <si>
    <t>Infanzón, Vega</t>
  </si>
  <si>
    <t>Vega Infanzón</t>
  </si>
  <si>
    <t>…Milicias nacionales al Sr. Riego; para la especial encargada de exa debía el Crédito público, opinaba que no debía veri (ráese el pago en minar el estado político de le Nasiou el Sr. Vega Infanzón ; para la de Jos términos que solicitaba este interesado, por no ser conforme 4 I4a Sanidad, en lugar del Sr. prmideaie, al Sr. Argficllet; pera le especial bases de este establecimiento. Aprobado. encargada del Código de procedimientos militaros al Sr. Infan…</t>
  </si>
  <si>
    <t>Infarte</t>
  </si>
  <si>
    <t>…ta en inscripciones del gran libro.” cer debía desecha;»- el dicUmen de la comisión; a lo cual volvió á El Sr. Romero manifestó que este asunto er„ de mucha gravedad, contestar el Sr. Infarte. ■yr que en su concepto (filaría diferirse su discusión para otro dia. Declarado en seguida el punto suficientemente discutido, se puso á El Sr. Fetrer (D. Joaquín): La comisión rn su dictam-n te ha he votación , y resultó que lo aprobaban 41 sefór.-s, y lo d…</t>
  </si>
  <si>
    <t>Infatit-</t>
  </si>
  <si>
    <t>…: li place no hubn.se f t.o ir. c.iic-o, - .&lt;bemacor V. vea armada es la milicia nacional loca1.” dupctwra qu. su r.'.itr c.u otro oficia- de a y . - rn:c i.-.r. r-.s r .1 casa E¡ Sr. Infatit- dijo que ia comls on hacía uta va-iacion en la segun d i C luto, y 1.&gt;rii, ¡1 el .ni cjdo itiv-Mj.-io , 1 q,- ^ r. :..s doda p.rte , pero no en la primara, porque se reservaba hacer presente á cum.nto» 1- dii.i. r, 5 bj-naccr ai coinanuant. ¿ r.-.-rai p,i- qu…</t>
  </si>
  <si>
    <t>Infint-e</t>
  </si>
  <si>
    <t>…ramar han intervenido algunas pot meias i xtrang-ra»; y de buques los 1 5 millones que acordaron las Cortes. como quiera que en la memoria que sí' ha leído no se ha tocado este El Sr. Infint-e 1 La opinión de la secretaría es que esta proposición punto como corresponde , d.searia que los representantes tuvieran noti pasase á la comisión. D.ce el Sr. preopinante que por qué no se han cia ile la naturaliza de estas intervenciones, y asimismo de ¡as r…</t>
  </si>
  <si>
    <t>Infinta</t>
  </si>
  <si>
    <t>…cientes motivos para que las Cortes la re qut no, y qu: dr.be ser extensiva a cito, ¡n.;.i • Juvs la grac.a que va de . se ha concedido á los di ia casa de Campo y del Escena1. El Sr. Infinta hizo ver cuan aventurado hubiera sido que el briga- El Sr. G-omez Becerra: Para aprobar este articulo no ha lo yo las ra d-er Pal reí decidiese la lucha por las armas; nos describió la pos-cion tones qu: han tenido ¡as Cortes para aprobar el pr:m’ro. En rf-ct…</t>
  </si>
  <si>
    <t>InfjMe</t>
  </si>
  <si>
    <t>…á votar gio ; y desde ahora para siempre protesta que en todas las reformas que sobre ia totalidad del proyecto. propondrá en adelante á las Cortes sobre tu ramo 00 tendr* otro El Sr. InfjMe manifestó qu: la comisión no tenia inconveniente Objeto que el bien de la Nación, y el deseo de que desaparezca de catre en modificar el articulo i.c, su,ttu vendo en lugar de la palabra &lt;*nosotros todo gi to superviso ; puta como ya he dicho antes , y repito…</t>
  </si>
  <si>
    <t>Inftnte</t>
  </si>
  <si>
    <t>…el decreto de 1$ de Setiembre de á las que contestó el Sr. Galiano , se declaró este asunto suficiente 1810. mente discutido , y quedó aprobado el dictamen de la comisión , va El Sr. Inftnte pidió que te dejase la resolución sobre este asunta riando, en la última parte el término que se prefijaba , sustituyendo d para el dia Dos de Mayo, supuesto que estaba tan próximo. de tres dias, y añadiendo que esta serviría para todas lat recusaciones. El S…</t>
  </si>
  <si>
    <t>Infurtí</t>
  </si>
  <si>
    <t>…o mismo creo que Art. 35. ” Los militare: por regla general gozarán de las excepcio debería suprimirse. nes p-rsonal:s que exige la profesión militar qu: se determinan en este El .Sr. Infurtí: Aunque no tengo el honor de ser jurisconsulto h# lindo; pero nunca participatán de exc ipciones mas que en lo» casos leído algo de lo que en lo antiguo y moderno está prevenido en Ja ma expresados ó que en adelante se expresaren.” Aprobado. teria; y si se hu…</t>
  </si>
  <si>
    <t>Iñigo</t>
  </si>
  <si>
    <t>…evilla ao de Febrero de 1478—Otro jaro de j6S mi»., si generales, y por consiguiente ni el Rey ni d Gobierno de Inglaterra tuados en la* rentas de la ciudad de Sevilla, á favor de D. Iñigo de pueden admitirlos en clare de obligaciones.” Mendoza , fecha 29 de Setiembre de 1489—Tres juros de 3758 mrs., Lo mas curioso que ofrece la exposición de esta doctrina diplomá situados sobre los Puerto* Seco» de lo* obispados de Osota, bigüeuza. tica , mujr…</t>
  </si>
  <si>
    <t>Inláate</t>
  </si>
  <si>
    <t>…racto El Sr. Seoane leyó la cuarta parte del código sanitario , y se acordó son las sisuicr.tss: K imprimiese. Una dei r. Zulueta sobre que sr admita en pago de las firucas ma- El Sr. Inláate leyó la'segunda-parte de la ordenanza militar. cional s toda clase de créditos indistintamente! ^ . Se continuó la discusión del dictamen de la comisión de Visita del Otra del Sr. Buey p ra que, en conformidad del decreto de a a do . (Z.éd.tJ púbíico sobre ia…</t>
  </si>
  <si>
    <t>Inoc</t>
  </si>
  <si>
    <t>…jeturas que indican el ánimo que se tiene de adquítir el domicilio ó ción ai retado d- erar.o. Aprobado. vecindad mediante la residencia. Asi sucede que aun cuando un estu Otro de D. Inoc nc o Navirro Garrido aerea de varios puntos diante resida siete ft ocho años en el pueb'o donde está la universidad relat vos C omcel-s. la comsu n &lt;&lt;p naba que pasas al (J. b riso, pa y l ace su* estudios, no adqt¡ ere vec ndad , porque no siendo este su ra…</t>
  </si>
  <si>
    <t>Inog, Manuel</t>
  </si>
  <si>
    <t>Manuel Inog</t>
  </si>
  <si>
    <t>…* Ana inanriant- yeneral d-1 .pncto r- il stj. Rubio Trovani , vecina que lúe de dicha villa, y t-gunda mujer de - 1.a p ovincia d: Guadal,jara qu-da enteramente libre, y las limí D. Manuel Inog do , a bn de que ae presenten loe que ae crean rrtitrofes tranquilas. Quisiera tener la elocuencia da uu C.cerón para ha dores á los bienes quedado* por su fallecimiento. EN LA IMPRENTA NACIONAL.</t>
  </si>
  <si>
    <t>Inrante</t>
  </si>
  <si>
    <t>por consiguiente inhabilitado» para entrar á tetrir en el ejército es sueldo alguno: la comisión opinaba debía accedería á su solicitud. pañol.” Aprobado. El Sr. Inrante manifesté que el objeto de la comisión era. que no Otro sobre Is instancia de D. Manuel María Brsccurt para que se pudiesen servir en el ejército los extrangeros que no estuviesen natura le colocase en el Cred to público en atención á sus servicios y d mas li…</t>
  </si>
  <si>
    <t>Intantc</t>
  </si>
  <si>
    <t>…la creo dían dar al Gobierno facultades tan amplias como las contenidas en el obscurísima y complicada. art. a.° del dictamen; pero si las Cortes no tienen facultades para con El Sr. Intantc hi hablado de ella llevándola hasta uno de sus ex ceder amnistías, como ha dicho el Sr. preopinante, ¡de qué serviría que tremos ; olios señores son de opinión contraria, y yo no veo que haya viniese á eilas este asunto para aprobar ó desaprobar una capitulac…</t>
  </si>
  <si>
    <t>Ion, Isidoro Antí</t>
  </si>
  <si>
    <t>Isidoro Antí Ion</t>
  </si>
  <si>
    <t>…endo esperanzas de que ceda el di ría Josefa Piles debe gozar el sur ido de su difunto marido, el benemérito van , el Austria hace muchos preparativos de guerra, que algunos creen diputado D. Isidoro Antí Ion, desde el dia del fallecimiento del mismo, ion únicamente de neutralidad armada. Aunque hay quien se empeña según se haya egecutado coo tas viudas de Portier y Lacy: pero que el en sostener que el Emperador de Austria persiste en permanecer mero goce de tales…</t>
  </si>
  <si>
    <t>Ip.laim, Dem.trio</t>
  </si>
  <si>
    <t>Dem.trio Ip.laim</t>
  </si>
  <si>
    <t>…d de tes de la Morea ha triunfado el partido de los mamiol.is, y se ha Ira .átM-p.rfme cor. smbt-ncs adonde les acornadira; peto Íi.ibierido»e solí* flado el senado á Urachnri. El príncipe Dem.trio Ip.laim , reconocía c.t»»1o en so'os tres Ji «s i ao p.mpurte» para Emilias acomódala», por algunas de las divisiones de su» tropas por ¡imperador de lo¡ h-lt* han rieierm«n*lo no conc-'rier nin,-:»no masqu- &lt;t m litare», »oti calidad tíos, tuvo muy pocos votos en la…</t>
  </si>
  <si>
    <t>Ipsiíanti</t>
  </si>
  <si>
    <t>…e Sesión de Cortes del sita t.° los que desde las provincias interiores del imperio acudieron al llama Se continuó la discusión de la segunda parte del art. t;8 del pro miento del príncipe Ipsiíanti; y que se les ha prometido que en ca&gt;o yecto de Constitución que estaba pendiente; y el Sr. Borges Carneiro de guerra se formará de ello* una falange griega, manteniéndoseles dijo que le parecía que el supremo tribunal de justicia no debía entender por ahora…</t>
  </si>
  <si>
    <t>Ipsiianti</t>
  </si>
  <si>
    <t>…t , » h.!».re dice que e. Emperador Alejandro si ha empeñado con ei de Austria do la compañ a de cazadores d l partido escarmentado .i un •» íoo fac pira que ponga ,-n Itb rtad al príncipe Ipsiianti. cioso» que conservaban el catnajnsento de Ru Isryura, n-, »tándo ?» cua El 11 de Octubre muñó en Vient el Príncipe Rodulfo Francis tro, y apoderándose de seis fusiles , una caja de uct- i, nir.'t» y abu co , hijo de S. A. I. el archiduque Cirios. lia, otros…</t>
  </si>
  <si>
    <t>Ir, Feratin</t>
  </si>
  <si>
    <t>Feratin Ir</t>
  </si>
  <si>
    <t>…un periodista, quiere decir, co de la milicia activa de haría y Avila y ¡4 cabai os de la Rema, al mo individuo de la santa alianza, sin exigir su adhesión por escrito á mando dei coronel D. Feratin Ir arte ; y la segunda a las &gt; rden.» del esta memorable acia. de igual clase D. Alejandro O-Donell, que comprende pare de Bai __Inscripciones de España estaban en Londres el 17 de Octubre, las len , vevilla. Imper a: Alejandro, begovia , 40 caballos de 1* Rema…</t>
  </si>
  <si>
    <t>Ira-, Josef María Moscoso de A</t>
  </si>
  <si>
    <t>Josef María Moscoso de A Ira-</t>
  </si>
  <si>
    <t>…r., y de otro doris mas ilustrados y zelosos por la prosperidad nacional, de cuyos individuo del regimiento de Zey, los cuales no fueron comprendidos en nombres me manda el Excmo. Sr. D. Josef María Moscoso de A Ira- el dictamen de la misma sobre concesión de carta «le naturaleza á va mira , secretario de Estado y del despacho de la Gobernación de la Pe rios individuos de los regimientos suizos , opicaba que podían conside nínsula, le dé conocimiento, previniéndome que al…</t>
  </si>
  <si>
    <t>Iraa-</t>
  </si>
  <si>
    <t>…réis lo necesario á su cumplimiento. = Rubricado de ta csr iie ia haz de le tierra, y del sosiego de los talleres, oro mas puré KÓÍ mano. =: En Aranjuez á i} de Marzo de 181a. = A D. Iraa- 1&gt;‘- ei producido en tas constante* bonanzas de las ricas vetas de V». cisco Osorio.” terciana. Trabájese en buen hora para deslumbrar i la* potencias pn. nr-. p.i.íae y codiciosas con el brillo de nuestro* metales; pero conserve, a.* n Pera que podáis despac…</t>
  </si>
  <si>
    <t>Iraficta, Vicente</t>
  </si>
  <si>
    <t>Vicente Iraficta</t>
  </si>
  <si>
    <t>…e cbiigó á reforzar aquellas tropas con tres compafiías de Galicia secretaría del establecimiento. que tema en reserva, al mando del primer ayudante el teniente coro ANUNCIOS. nel D. Vicente Iraficta; pero cuando llegaron ya lo había vencido todo Vista en perspectiva de la iglesia de S. Ignacio de Roma, adorna el batallón de la Corona y las demas tropas de vanguardia , batiendo el da con ei aparato fún&amp;bre para Tas solemnes exequias de la virtuosa y campo…</t>
  </si>
  <si>
    <t>Iragorri, Gertrudis</t>
  </si>
  <si>
    <t>Gertrudis Iragorri</t>
  </si>
  <si>
    <t>…de Diciem 3710: una de 1489 rs-, mesillas, en favor de D. Domingo baenz , nú bre próximo venidero la preaentacíon de los privilegios de juros en el mero 7456: una 137U id., id. á Doña Gertrudis Iragorri, núm. 6250: archivo general de la distribución de la Hacienda pública para la liqui una id. de 1440 , id. D. Gabriel Acero, núm. Ó243 : una id- *410 dación de sus capitales, deberán tener entendido los interesados, que sueldos y mesillas, D. Jos.f Manuel de E…</t>
  </si>
  <si>
    <t>Iranzo, Vicente</t>
  </si>
  <si>
    <t>Vicente Iranzo</t>
  </si>
  <si>
    <t>…hayan de impetrar bulas y gracias apostólicas. (Gottta átl Llano, del comercio; D. Josef Vecino, D. Vicente Azur, merques sjáe id.) de Rio-Flor do; D. Gerónimo Masía, presbítero; D. Vicente Iranzo, Circular del ministerio en que so inserta una contestación del hacendado; D. £ non Gascón, presbítero; D. Vicente Vergara y MesSr. nuncio de S. S. sóbrela secularización do una monja de Mallorca. tic y D. Valentín Torrecilla; después de haber examinado el im…</t>
  </si>
  <si>
    <t>Iraola, Ciríaco</t>
  </si>
  <si>
    <t>Ciríaco Iraola</t>
  </si>
  <si>
    <t>…si los turcos : » ¡Quién puede Filipina*, á D. Josef Fernandez racionero mas antiguo de ella; y p,u dudar, dice, que el estado de güeña no comprometa gran número de esta ración á D. Ciríaco Iraola , medio racionero de Ja misma iglesia. intereses públicos y privados que bey en nuestras relaciones políti cas con la Espada i Y aun poniendo apatte estos perjuicios, que seria El Rey, que nada desea tanto como dar repetidos testimonio* de muy bueno evitar ,…</t>
  </si>
  <si>
    <t>Iraola, Francisco</t>
  </si>
  <si>
    <t>Francisco Iraola</t>
  </si>
  <si>
    <t>…graduado de ÉenicaM ufados que adquieren mas influjo y mas poder en el Congreso. El píle coronel. lo conoce estos abusos , y declama contra ellos. Las gacetas y periódi Mallorca á D. Francisco Iraola, sargento Mayor graduado de te* rcos en toda la Union abundan de declamaciones vehementes sobre este Siente coronel. particular. Todos con el sueldo que disfrutan. Los demócratas y los federalistas hacen esta guerra de pluma en Juicio de jurado/t fixtremo rui…</t>
  </si>
  <si>
    <t>Iraola, Manuel</t>
  </si>
  <si>
    <t>Manuel Iraola</t>
  </si>
  <si>
    <t>…os ; teniendo solo cinco de estos, y de poca consideración, en la columna estaba incomodada con la conducta que han observado los columna de su mando, incluso el alférez de Murcia D. Manuel Iraola. monges; al llegar las tropas una cuadrilla de facciosos disparó algunos Añade que la gavilla de bandidos incendió cinco casa, de Capellades.” tiros ; pero huyó como siempre. » Me apresuro á comunicarlo al público para su satisfacción. Barcelo » A las 9 de la…</t>
  </si>
  <si>
    <t>Irazabal, Josef Viente de</t>
  </si>
  <si>
    <t>Josef Viente de Irazabal</t>
  </si>
  <si>
    <t>…ndentes, &gt;c ha servido declarar, persuadido de que es llegado En Navarra. el caso de realizar la pena con que se conminó á estos en la circular La de Santistcban por traslación de D. Josef Viente de Irazabal 4 mencionada , á fin de que sirva de escarmiento y se dé un público tes la de Durango. timonio de la rectitud del Gobierno, el cual no hará jamaa prevencio Se admiten memoriales para cada ana de ellas acompsfiados de un nes que deje de cumplir, que los intend…</t>
  </si>
  <si>
    <t>Irazoqui, Martin de</t>
  </si>
  <si>
    <t>Martin de Irazoqui</t>
  </si>
  <si>
    <t>…te. El Sr. presidente pronunció otro en plaza i los que se consideren con derecho i los bienes concursados de que manifestó igualmente la satisfacción que había tenido la sociedad D. Martin de Irazoqui, debiendo acudir 4 formalizarle con los docu al ver los progresos que en tan poco tiempo habían hecho en el estu mentos que lo comprueben; y no acudiendo en el término de 18 me dio de una ciencia tan ardua; y habiéndoseles repartido por disposición ses , cont…</t>
  </si>
  <si>
    <t>Irazoz, Juan de</t>
  </si>
  <si>
    <t>Juan de Irazoz</t>
  </si>
  <si>
    <t>…te Pedro Javier de Astram, D. Joscf Joaquín Lcoca, D. Manuel B r.10 nato, y Mr. Oentz, secretario del Congreso, por parte del A nutra; fcch vrna, D. rrancisco Javier Aoiz de Zura, D. Juan de Irazoz, el conde de Neseirode por la de Rusia; el conde de Brrnstorff por la D. Juan Domingo Zuvin y ALua, D. Lu s Gaicia, E&gt;. Josef Mana de Prusia; el príncipe Ruifo por la de Ñapóles, y el duque de We- d. i. ¡Latina , D. M guel J.s.f de Borda, D. Miguel Josef Viii…</t>
  </si>
  <si>
    <t>Irazusla, Manuel de</t>
  </si>
  <si>
    <t>Manuel de Irazusla</t>
  </si>
  <si>
    <t>…s. Finando Aibisu , vicario de monjas del de S. Bartolomé; D. Juan Luis 10. Item de la cantidad repartida al obispado ó territorio de la ¡un» de Aguirrezabal, oficial de correos ; D. Manuel de Irazusla, factor de ta por razón del subsidio de go millones, y en partida t.parada de la provisiones; D. Sebastian Ignacio de Alzate, escribano; D. Martin que efectivamente haya satisfecho por su cuenta. Miguel Iraizos j Nicolás Mendiburu , residente* en aquella ciud…</t>
  </si>
  <si>
    <t>Iribarren, Fiancisco</t>
  </si>
  <si>
    <t>Fiancisco Iribarren</t>
  </si>
  <si>
    <t>…de que se pusieran sobre las ron nombrado* proa ella D- Josef M ría Vadillo, D. h.b.srian Alearmas el segundo'y tercer batallón de la milicia nacional voluntaria. jindro P.’ñasco, D. Fiancisco Iribarren, D. Santiago Jrsrf T rri, Don U no de los alcaldes pisó al curttei de dicha milicia con el fin de aren Pablo Matheu , D. Alrj.indro B.'u.cia y !•&gt;. Joaqu.n de Erras. Entera gar á los voluntarios qu; se reuniesen , inspirándoles ideas de orden y dos de esta di…</t>
  </si>
  <si>
    <t>Iribarreo, Francisco de</t>
  </si>
  <si>
    <t>Francisco de Iribarreo</t>
  </si>
  <si>
    <t>…limiento, y La comisión evacuó su encargo , y manifestó á la sociedad que le* jk fie de que disponga qos la* autoridades da Hacienda- pública en Ca alumnos de este establecimiento D. Francisco de Iribarreo , D. F.usa taluña le eeiseu cuando por beber refiado las circiusátaneiat deba cesar bio Rey, D. Santiago García y IX Femando Rodriguevetran &lt;j-«nos esta permiso. Palacio ad de Novitmbrs de ifii^sMalnao Egea.m deque la sociedad tes premíate con una medalla de…</t>
  </si>
  <si>
    <t>Irlanda, Je</t>
  </si>
  <si>
    <t>Je Irlanda</t>
  </si>
  <si>
    <t>…Sidmouth. Duró muchas horas; y se trataron Ei Jsr. Florea Ca.dcron apoyó que se señalase una cantidad al Go en ¿i negocios de gravísima importancia. bierno para este obj.ro. Ei vi rey Je Irlanda ha publicado una proclama, en la cual ha de tí ir. Rico manifestó que los particulares hacían las in.p-esirr.-s clarado á muchos baronías del condado de Tipperary en estado de re de las obras con mucha mas «constes a que el G bictno, v que en su belión y fuer…</t>
  </si>
  <si>
    <t>Irnri, Sibastian</t>
  </si>
  <si>
    <t>Sibastian Irnri</t>
  </si>
  <si>
    <t>…s , no ya de trn conquistador francés, sino de a!- nandez ViHámil Fin-ron ixaminarlos en ari-métlca D. Ans.dmo Mr re gun otro cor.qu stador extranjero.” íos , I&gt;. Dominen Jiménez, D. Sibastian Irnri, D. Jnsff Krlcbs, Don No ve sih - si el gran du jue Constantino tendrá el mando de toda» Josrf Ntiñez, D Jnjqu n Ferrrr . D Juan Diez Valentín , D. Fer las fu-r/ .s &lt;|ii ■ hay en las provi .-..ias fronterizas de Turquía , por h.i!&gt;-r nando Koilr'gu-z ó : .av…</t>
  </si>
  <si>
    <t>Irujo, Casa-</t>
  </si>
  <si>
    <t>Casa- Irujo</t>
  </si>
  <si>
    <t>…na discusión sobre un asuuto en idea formarían del Gefe del pueblo espafiol que había hecho tales nom que los españoles aparecíamos ccmo agresores. bramientos 1 En esto recibió el Sr. Casa- Irujo noticias del cónsul de Bayona, A esto se siguió luego pronunciar el fallo de que la diplomacia y haciéndole saber que loa refugiados en los Alduides trataban de volver la nigromancia eran como sinónimos. Los extrangeros al leer tales des i España pira reunirs…</t>
  </si>
  <si>
    <t>Isabel</t>
  </si>
  <si>
    <t>…sedicioso por Diego Fernandez de Cór«)obu, conde de Cabra, en 19 de Julio da 14Ú9, las expresiones ea que terminantemente m dice: «Tamaña ocurrencia y la confirmación de la Reina Doña Isabel en 24 de Mayo de 1475.no desdice nada de nuestra situación y de 1» necesidad que tenemos de -_Otro de un juro de 10,300 mrs. sobre los pueblos de la merindad dshacer la revolución, y proclamar de nuevo la libertad y la Constitución.” Monzon y otras ¿ favor de…</t>
  </si>
  <si>
    <t>…ibimiento de que pasados dichos dos años sin haberlo verifi Gómez , administrador del Pardo y la Monoica , D. Juan García Sa cado , se procederá tn rebeldía á declarar á la citada Doña Isabel las , Chaves eh guardaropa del R*y y el oficial de Almagro » contra Muñoz Ortega por efectiva última poseedora de los bienes afectos á los que resultaban los mismos ó mayores méritos. dicho patronato , con facultad amplia para que de aóos pueda dispo £1 princ…</t>
  </si>
  <si>
    <t>Isasi, Francisco Escudero</t>
  </si>
  <si>
    <t>Francisco Escudero Isasi</t>
  </si>
  <si>
    <t>…pos se les 5-0 se declaró no haber lugar á la formación de causa , y los que opi satisfaga la ración de pan en dinero, ó determine que se proceda á la naron en este sentido fueron D. Francisco Escudero Isasi, 1&gt;. Josef formaiizacion de nueves contrates por los motivos que previene el arti María de Ansa, D. Josef Antonio Puyade , D. Josef María Retoñólo, culo 14 de la Real orden ya citada de so de Enero de 181 r , quedará D. Vicente Sánchez Cirquero, D. Francisco…</t>
  </si>
  <si>
    <t>Isasi, Francisco Escudero de</t>
  </si>
  <si>
    <t>Francisco Escudero de Isasi</t>
  </si>
  <si>
    <t>…cederán dichos albaceas i evacuar su encargo, y les parará todo pre clararon haber lugar: D. Martin Fernandez Elias, D. DomingoOr- juicio á los que no comparezcan. tiz de Villate, D. Francisco Escudero de Isasi. Catecismo constitucional, ó sea la Constitución segunda vez inter pretada catequísticamente según su espíritu y letra, y conforme á las - En la pígine 69 del libro que se lleva en Barcelona con el título de órdenes 7 decretos de las dos legislaturas de ao y…</t>
  </si>
  <si>
    <t>Isidoro</t>
  </si>
  <si>
    <t>…Santiago Dr vado, D. Andr.t A-con , D. Manuel hst.ban Cama acción de apremio que los intendentes usaren contra ellos. Art. 2 2. tata , D. Andrés Navarro , D. Simón González Yu-t , D. Isidoro deEl Gobierno fijará los plazos en los que los ayuntamientos hayan de Ho&gt;os, D. Ánton o banda 10 de Anas, D. Antonio Gamonal y Donentregar en tesorería el importe de las contribuciones, y dictará las re Lorenzo Lambea. Habida la conferencia, resultó por unani…</t>
  </si>
  <si>
    <t>Isidro</t>
  </si>
  <si>
    <t>…105.” Se aprobó picio, y la modestia y compunción de lodos los asistentes, infundían devoción al mas distraído. El 'costo discurso pronunciado por el doc coa alguna enmienda. tor D. Isidro fiuaraz del Villar, dignidad y canónigo de esta santa Se suprimió el art. 140. Art. 141. «Ningún consejero de Estado podrá ser removido sino en iglesia catedral, arcediano de 'lineo, vocal de la diputación provincial virtud de sentencia pronunciada por el tri…</t>
  </si>
  <si>
    <t>…er grado, por los Sres'. conde de Totrefresno, D. Marcos de la franqueza : fiel observadora da las leyes, nada debe ocultar á los Meneo, D. Zoilo Goinez Casero, D. Antonio Scoane, D. Isidro pacíficos ciudadanos para restituir la tranquilidad y dulce calma i sus* Merino, D. Amonio Díaz del Moral, D. Josef Kives Queraltó, Don hogares: os hize en mi último anuncio del 1 una promesa, y voy á Juan Luque , D. liarlos González Llanos y D. Josef Demetri…</t>
  </si>
  <si>
    <t>…generai Milans marchó con la columna de sn mando á prote ellos fueron apremiados con rigurosos castigos; pero nada fue capaz de ger el convoy que dirigía i Vich con su escolta el capitán D. Isidro hacerles quebrantar su juramento, y todos sin excepción alguna prefi Coll,/” rieron ir desterrados á Siberia después dé haber recibido el knut. Tan También se ha recibido el parte que sigue: extraordinaria obstinación y entereza da mucho que pensar y mucho ••…</t>
  </si>
  <si>
    <t>…víe t-opas prí' c p s m ¡ canos D. Primo Fe&lt; icianoCárd-nas. Capellanes de SS. MM. francesa» a os P .ineos; y a G.tceta de i randa va a forma un c.mD. M»nu-I Sartor o, Dr. v Miro. D. Isidro leñado lcaza, D. Jo- po de 1 29 francés s cerca de &gt;. Jcan d- Luz. Ei mism-r penoJ sta , -re li’f Antonio Lopn , Dr. D Manuel López , D. I .nació Correa , Don mito de Bonapailc, peto muy amante de sus doctrinas y po it .a, .-.ha Ignacio Vidas ñor. Id. m honor…</t>
  </si>
  <si>
    <t>IsidroColl</t>
  </si>
  <si>
    <t>…líante trapa que compone En la noche del a 5 sl sfi de Junio fitimo salió da ta ciudad da el sexto distrito militar, y tenia la gloria da mandar, baria frente 4 loe Vich el espiun D. IsidroColl con zgo voluntarios, too infantes del indignos enemigos que atestan contra nuestra inmortal Constitución, y resguardo militar y ao caballos de la Constitución y mgnráó, con al primero perecerían todos que sucumbir $1 bárbaro despotismo, lo que objeto de sorpr…</t>
  </si>
  <si>
    <t>Isiur.z</t>
  </si>
  <si>
    <t>…Ademas, aun en el caso de bajar el precio de la sal 4 la mitad de siguientes palabras ttesdt i.° de Julia. lo que se propone , resultaría que aun duplicándote al número de fane Et Sr. Isiur.z : Aunque algunos individuos de la cotnYon se ha» gas de consumo no producirían nada mas de lo que dedaen producir al visto obligados á abandonar este lugar, sean las causas 'a» qu - qu ran, precio propuesto. Las fábricas de tal de particulares que están en io…</t>
  </si>
  <si>
    <t>Isiuriz</t>
  </si>
  <si>
    <t>…to por Real orden de tde Octubre á consecuencia de la Se declaró comprendida en el art. too de! reglamento. recomendación que mereció á las Cortes anteriores. Ei Gobierno al re El Sr. Isiuriz se opuso á la proposición, manifestando que laa Cor mitir cata instarse va apoyaba su contenido, añadiendo cuan útiles han tes habían dado ya un decreto sobre lo que en ella se prevenía, y que a ido y son los servicios del interesado, y en su vísta la comisió…</t>
  </si>
  <si>
    <t>Isla, Josef Juan de</t>
  </si>
  <si>
    <t>Josef Juan de Isla</t>
  </si>
  <si>
    <t>…uan Antonio Yandiola único carías Sagrcdo, D. Gregorio Sainz Hernani, D. Juan de iglesias, Don tesorero general, y encargando á D. Antonio Martínez la formación Luis Díaz Hoyuelo, D. Josef Juan de Isla, D. Juan Marroquin, y Don de la cuenta de la tesorería general en el año económico que ha finado. C irios García. Habida la conferencia, resultó por unanimidad haber (Gaceta del 6. y tugar d la formación de cauta. Decreto de las Cortes sobre las oficinas i cu…</t>
  </si>
  <si>
    <t>Islunz</t>
  </si>
  <si>
    <t>…l Sr. Muro fue de opinión que debería rebajarse el precio de ln Cortes hacia un pueb'o , que es ta eluda! de S. F mando. f .ta c u— sal que se proponía, con lo cual se conformó el Sr. Islunz como de la dad populosísima , y cuya memoria s?rí et rna en los fastos d. la h s» comisión. to.-ia de la independencia, no tiene mas rquezt que ias sa mas qu; co Se declaró este asunto suficientemente discutido. gen desde el muro hasta el término de ¡a curiad…</t>
  </si>
  <si>
    <t>Isluriz</t>
  </si>
  <si>
    <t>…cuentas del tesoro público, y tal vez al descrédito de párrafo hasta que se diesen reglas para el egército. la misma marina. El primero se reduce á observar que el presupuesto El Sr. Isluriz dijo qne la compon habia procedido en este asunto de la marina no viene, como se ha indicado mas adelante, acompaña de un modo imparcial, y que nada era mas doloroso que el proponer do de l is extractos de revista de la oficialidad, tropa y marinería em una r…</t>
  </si>
  <si>
    <t>…rtes, y 180 3 en créditos Se declaró este asunto suficientemente discutido; se preguntó á pe sin interes por las tres quintas paites restantes, en conformidad al citado tición del'Sr. Isluriz si la votación seria nominal, y se declaró que no. art. 26 del referido decreto de 29 de Junio; y estos mismos créditos Se leyeron los decretos de las Cortes de 8 de Marzo, 21 de Abril en poder de cualesquiera otros tenedores sa considerarán únicamente y 7 de…</t>
  </si>
  <si>
    <t>Istíiriz</t>
  </si>
  <si>
    <t>…da. me á las opiniones de los Sres. diputados de las Cortes anteriores: estas América de que se ttata. son inviolables, y las respeto ; pero sí diré que han salido fallidos sus El Sr. Istíiriz preguntó si sabia el Sr secretario í cuánto ascendían, cálculos, porque hasta ahora no ha venido dinero de América, ni ven las cantidades procedentes de América : á lo que contestó el Sr. secre drá. Resulta pues demostrado por la misma memoria de la secretarí…</t>
  </si>
  <si>
    <t>Istmia</t>
  </si>
  <si>
    <t>…aban los muchos males que se iban á seguir si se aprobaba en esta parte el á la marina. dictamen de la comisión. El Sr. Arguelles apoyó lo que habia manifestado el Sr. Zuluett, El Sr. Istmia manifestó que era preciso repetir la reflexión de siem exponiendo la necesidad urgentísima de que este ramo estuviese aten pre , á saber, que aunque el deseo de la comisión era que nuestra ma dido como correspondía, no solo para sostener nuestra comunicación…</t>
  </si>
  <si>
    <t>Istnrix</t>
  </si>
  <si>
    <t>…berar robre ella, era precito que las actuales Cor te* mostrasen su aprobación de lo hecho por las anteriores. Ea la ciudad de Barcelona, habiéndote observado los trámites pres El Sr. Istnrix dijo que d Sr. preopinante podía extender una pro crito» por la ley, y calificado los jueces da hecho con la fórmula de udposición robre este objeto, 4 ínterin se verificaba cato sa aprobó por surtio el impreso tía título firmado por el Vigilante constitucion…</t>
  </si>
  <si>
    <t>…car cate punto absolutamente: cualquiera ex que contiene y son propias de su naturaleza. presión que indique daaconaciatiento A desaprobación destruye el obje tía dicho también el Sr. Istnrix que U duplicación de loe capita to , y no hahimdri afijar no bey sobre que tratar. les era una da laa condiciones mu* katvaa que contiene el tratado. Esta Sin tmbatgn de que et imposible decir mea de lo que ac be dicho es nna teoría que es neoemrio explicarla…</t>
  </si>
  <si>
    <t>Istoriz</t>
  </si>
  <si>
    <t>…cit-, lo que ha pagado el armamento en este año, sino que ni aun lo estará el año que llaba bastante d.ficil. v lene. Toda la cuenta que hace aquí la comisión está á mi modo de Ei Sr. Istoriz: Yo no puedo menos de repetir á las Cortes lo que ver equivocada, porqua llama cuenta de presupuestos á la que es de varias veces he dicho. En mi concepto la falta de método y sistema qu* gastos , y de consiguiente resulta de esto una inexactitud: asi que yo…</t>
  </si>
  <si>
    <t>Istria, Capo de</t>
  </si>
  <si>
    <t>Capo de Istria</t>
  </si>
  <si>
    <t>…su correría á ios - gercilos, a la capital, según se esperaba. Ha sido falso 1o que se decía de ia desiitu- Circulares del ministerio ele la Gobernación de la Península. c on del Sr. Capo de Istria , pues ha sido este quien le ha acompaña Los Sres. diputados se.mar.os de las fortes con lect.a de 21 del do al citado viage. De los ejércitos rusos se dice que pertnan cerin corriente m.- dicen 'o que s gue : por ahora en sus posiciones ; pero que las guardi…</t>
  </si>
  <si>
    <t>…u noticia y efectos correspondien ques turcos, que llevaban á bordo grandes sumas para la compra de es te*. Madrid 15 de Octubre de 1811.” clavos en el Peloponeso. _ Parece que el Sr. Capo de Istria esta desti Circular del ministerio de Hacienda. nado para la embajada rusa en Holanda; otros piensan que irá á Vero- Los Sres. de la comisión de Visita del Crédito público me dicen na.__En Londres se t:niin noticias de Buenos-Aires hasta el ao de en 13 del ac…</t>
  </si>
  <si>
    <t>Istunz</t>
  </si>
  <si>
    <t>…n enterados de tal ó cual asunto, y 1 Se leyó asimismo d voto particular de los Síes. Jiménez y Adán. oían últimamente al Gobierno, sin que nada Ies constase de su atole. Otro del Sr. Istunz y rtio del Sr. Canga Argüelles. Concluyó diciendo que el decoto del Congreso y la utilidad pública Se acordó que se imprimiese con urgencia , y se levantó la sesión á exigían que las Cortes aprobasen esta proposición. las doce y medra. El Sr. marques de la Me…</t>
  </si>
  <si>
    <t>…ía ic para su apertura. El 18 aun estaba el duque de dicar otro ni. dio, la comisión desde luego lo adoptaría. VVeilington en Venecia. Se decía que en Verona se preparaba aloja El Sr. Istunz i La comisión ha reconocido la necesidad de propor miento para un gran personage ingles (ya hemos hablado otra vez del cionar i los que tienen en los países disidentes de América parte de rumor de que iria á Verona el ministro Mr. Canning ó S A. R. el su fort…</t>
  </si>
  <si>
    <t>Istur</t>
  </si>
  <si>
    <t>…o que tos accionistas del banco no eran acreedores, sino deu do que no le parecía conveniente ni necesario. dores , porque desde el momento que entregaban sus capitales al esta E! Sr. Istur ¿ hizo presente que la comisión no había propuesto mas blecimiento se constituían á cubrir las obligaciones de él. que lo que estaba manda ¡o, y que no tendría inconven ente en que se F.l k r. Isturiz : Encuentro una contradicción en lo que acaba de ma sustit…</t>
  </si>
  <si>
    <t>…sta d.bian obrar con mui ha circunspección , para que ia responta- Sub lelegados cu los pattidos de mucha extensión que convenga «*biiidid no llevase á ser i usnria. tab'rc. r. El Sr. Istur / después de manifestar la relación que t'nía este ar Directores principales de contribuciones directas, á cuyo cargo es ticulo con el anterior, ya aprobado , d.jo que el entorpecimiento que té tará promover el establecimiento , cobranza ■■ pago de ellas, y l…</t>
  </si>
  <si>
    <t>Istur.z</t>
  </si>
  <si>
    <t>…es y cuarto. nes provincial» En su d-íecto presidir» el mt-udante , yen defecto d* ambos el diputado grovioci-i pnm r nombrado.” Primer distrito militar. (M.drid.J oin novedad. El Sr. Istur.z: Nunca he poaido comprender porqué los celes po Séptimo distrito militar. ^Barcelona.) Se han recibido periódicos li! icos presiden ios ayumimiento» s.n ten-ir voto, y presidan ¡rs diputa de r»u- d stnto; pero son los atrasados de B, 9 y 10, y ya teniamoa ció…</t>
  </si>
  <si>
    <t>Isturi.r</t>
  </si>
  <si>
    <t>…precedente, subrogándose el recono no temiera extraviarse de ia cuestión. cimiento del título á la aprobación de la cuenta que en él se previenen.” El Sr. Munarriz contestó que el Sr. Isturi.r llamaba equivocadamente Aprobado. privilegio á un permiso concedido á la compiñía de Filipinas para in be aprobó el dictamen de la comisión de Poderes acerca de los troducir 40 millones de reales en géneros asiáticos por la antic pi presentados por D. Basilio…</t>
  </si>
  <si>
    <t>Isturia</t>
  </si>
  <si>
    <t>…de lo que se ha mandado , entonces es imposi -tidad ó faita en esta parte. ble. Es necesario apelar á otro medio. ao. Los ayuntamientos mirarán como una de las mas sagradas obüEl Sr. Isturia opinó que no debía fijarse término, sino exigir que ■gaciones proporcionar armas, fornicaras y municiones á la milicia lo. se cumpliese el artículo de la Constitución ; y que si no se hacia asi, cal voluntaria, y cuantas cantidades inviertan en estos objetos…</t>
  </si>
  <si>
    <t>…ida justicia y proporción. A la objeción d.-l r. Aton me# arreglo á los art». 8 J 319 ** El Constitución.to sobre no estar incluidos los jueces de primera instauciaen &gt;a contri El Sr. Isturia contesto ála». observaciones anteriores, y en este ca bución de. patentes contestó que sí lo estaban, asi como todos ios que led a te tuvo el asunto por suficientemente discutido, se declaró haber cobraban sueldos ó rentas fijas de los fondos comunes, ó por s…</t>
  </si>
  <si>
    <t>…visto no Gom z (D. Manu..), Piat, Lapuerta, Marchámalo , Alava , A¡- general. Aprobado. llon , Saavedra, B.Certa , Sedeño y Grases: total 114. Se leyó la siguiente proposición del Sr. Isturia , que te declaró com Vara prim.r sup ente salió electo el Sr. Soria por 84 votos, tenien prendida en el art. too del reglamento, y se admitió á discusión. do s el Sr. Aivar.z Gutiérrez, 2 los Sres. Eseovedo , Infante y Sálva ••Pido que no se declare ningún a.…</t>
  </si>
  <si>
    <t>…bo llamar la atención de las Cortes sobre los canales: disposiciones que faciliten su exacto cumplimiento. en buen hora que no se construyan; pero 1 lo jnenos que se conserven. El Sr. Isturia: Ninguno de los Sret. preopinantes se ha opuesto i Es verdad que las Cortes decretaron Iret millones de rs. para este obje las asignaciones que están concedidas á le*emigrados, y por consiguien to , ademas de lo que produjesen estos mismos, deducidos los gast…</t>
  </si>
  <si>
    <t>Isturix</t>
  </si>
  <si>
    <t>…se en esta materia se habia acercado i personas impuestas en en ella con tus capitales, y con una conttata expresa de pasar por lo el estado actual de este establecimiento. Que el Sr. Isturix habia recla que acordase la pluralidad de ellos. mado muy oportunamente la lectura de la quinta condición del art. 17 Después de varias observación** dijo el orador que ante todo se de de la citada ley (la leyó) , pues ella era tan terminante que alguno*, bía…</t>
  </si>
  <si>
    <t>…al oedan en que se habrá con táculos que se opusiesen á su fomento, y adoptasen las que tuviesen por cedido al marques este permiso (se leyó). convenientes ptra su prosperidad. El Sr. Isturix dijo que este habrá sido un privilegio que habrá con Se hizo la primera lectura de una proposición de la comisión pri- cedido el Sr. D. Cirios sv al interesado; y que anulados todos los pri mera de Hacienda , la cual, de acuerdo con el secretario del Despacho…</t>
  </si>
  <si>
    <t>Isturiz</t>
  </si>
  <si>
    <t>…e ba de sufrir la Nación. que te limitase el término que te habia prefijado. S* Que se señale la parte de ellos que ha de destinarse necesaria Se leyó la siguiente proposición del Sr. Isturiz: » Conforme á lo mente á aquellos objeto» de utilidad inmediata de ios pueblos, y que mandado en el art. t a/ de la Constitución, pido que los secretarios están i cargo del Gobierno, del Despacho remitan desde luego lat cuentas de ios gastos que se hu 4/ Que…</t>
  </si>
  <si>
    <t>…d , ó no. Si se verifica lo primero, procedas: del lo demas relativo 4 aquel ramo. - modo qu; deb; hacerlo el Congreso; mas entre tanto debemos callar, y Finalizada la memoria, ai Sr. Isturiz preguntó al Sr. secretario si observar lo que pa»a para p oceder con arr-glo á el.o. habían llegado los comisionados nombrados por el Gobierno disidentc( El Sr. VtFanueva tninifestó que sin embargo de exigir la respon y qué providencias se habían acordado res…</t>
  </si>
  <si>
    <t>…o, duque del Parque, Buey, Valdés, Escudero y sentante de su provincia. Rey. El Sr. Buey dijo que no le parecía muy arreglado el dictamen de la En la quinta votación fue electo el Sr. Isturiz por 65 votos, te comisión, porque de nada serviría que se aprobasen los poderes del seniendo 3 el Sr. Villaboa, 4 el Sr. Valdés, 3 «1 Sr. Cano, a el Señor fior Escovedo si no podía tener lugar en el Congreso, y por lo mismo Marchámalo, y uno cada uno de los S…</t>
  </si>
  <si>
    <t>…tes numerados desde el 974 ai embargo de esto el 5r. presidente y los secretarios no tienen inconve looo, ambos inclusive. niente en que se nombre por las Cortes esta comisión. El Sr. Isturiz manifestó que estando en duda si la mesa tenia ó no En la junta de jueces de hecho , celebrada en Murcia el 16 de Fe facultades para nombrar esta comisión, se debía verificar este nombra brero próximo, se declaró por unanimidad haber lugar á la formación mien…</t>
  </si>
  <si>
    <t>…al Gobierno pata que los extinga, y haga que tiene su nación en el Mediterráneo. salir de Madrid i sus individuos. A la de Premios una solicitud de D. Nicolás Santiago Rotalde, Mi Sr. Isturiz dijo que ante todas cosas era menester examinar si las reclamando por segundai vez la remuneración y declaración de sus ocurrencias, de que ha hablado el Sr. preopinante merecían ocupar la buenos ó malos servicios. atenq on dél Congreso; y que si la merecían…</t>
  </si>
  <si>
    <t>…conveniente; peco desde aquella época ya prendida en el art. 100 del reglamento, y se admitió á discusión. podrí el Sr. Torres haber presentado su cuenta. D.spues ha acudido pa El Sr. Isturiz manifestó que haba hecho das ha una proposición' ra que se le conceda nueva próroga , manifestando que los tesorero, sobre este mismo asunto, y i fin de que se remitiesen las cuentas in particulares no han rendido sus cuentas; pero cuando aceptó el empleo med…</t>
  </si>
  <si>
    <t>…n propia del Gobierno que de las taban organizadas en la forma en que se hallan ahora. Por mi parta Cortes. puedo citar entr: tros lances que sobre esta materia me han ocurrid) El Sr. Isturiz manifestó que por su parte no hallaba inconveniente en mi vida púbiic 1 , te en una ocasión hubo de costarme la vida una en que la comisión fijase el término , pues como el objeto de esta no trabacuenta sobre la ntidad de 49 rs., j en cuyo negocio so hubo era…</t>
  </si>
  <si>
    <t>…ejo de Esudo como único consejo del que se dijese simplemente que el Gobierno llevase a efecto la expre Rey. sada ley. Después de una ligera discusión se mandó que esta adición El Sr. Isturiz, como de la comisión, propuso que después de las pa pasase á la comisión. labras 20 ojitialt, se añadiese i lo mas. Se procedió á la discusión del dictamen de la comisión de Guerra El Sr. Canga apoyó que se fijase este máximum de 20 oficiales, y •obre la plan…</t>
  </si>
  <si>
    <t>…n cientea al monte pío de labradoras para d armamento de la milicia dividua que componían la misma comisión. local, era de dictamen que ai la puebla se convenían en ello se po- El Sr. Isturiz: La comisión devuelve la propaicion en el mismo rtriaocceder i dicha solicitad, y que para qu* tuviese efecto te pasase atado que anta tenia: asi que no ha llenado el objeto del Congresi, al Gobierno con urgencia. Aprobado. y creo que este debe pasar desde lu…</t>
  </si>
  <si>
    <t>…e infiere que no vale mas, y que no puede rendir guerra al dictamen con unas armas hasta ahora desconocidas. en seis meses lo que .debió rendir! No sefior. Si esta contribución hu Sr. Isturiz: Yo pido mu: que de no usar de la moderación debida biese estado repartida en los cupos de los pueblos desde el dia 1de se presente en la barra. Julio, j no te hubiera cobrado la mitad! No se hizo nada sobre el es El Sr. secretario del D»pacho manifestó que n…</t>
  </si>
  <si>
    <t>…iones con la caja de la Haque fue calculada por las Cortes en 20 millones, no ha llenado las es vana, y han llegado algunas remesas de aquella ciudad. „ peranzas que se tenían. El Sr. Isturiz: Ruego al Sr. secretario de Hacienda que diga si la En Madrid en el mes de Setiembre escasamente se había recaudado memoria de su ramo es exacta ó no , porque en ella se ha puesto cero millón y medio, de donde resulta que apenas sus miserables ingresos en la…</t>
  </si>
  <si>
    <t>…distinta el no empezar á establecerlo des El Sr. aanchez deshizo una equivocación que dijo haber padecidaS de luego. El Gobierno, cuyo objeto principal es la consolidación del *1 Sr. Isturiz. sistema, presenta á la deliberación de las Cortes los medios que consi El Sr. secretario de Hacienda: En la discusión que hoy ocupa ¿ h, dera mas á propósito para este fin: si las Cortes los considerasen excesi Cortas, ha tocado el Sr. Isturiz dos puntos que…</t>
  </si>
  <si>
    <t>…. Trujitlo, contrario i te resolución de las parcir voces de que esta economía llegaba hasta 4 los soldados. Cbtt&amp;7 phr la cual aprobaran 1a medida sexta del dictamen de 1a co- El Sr. Isturiz dijo: No pu do metros de decir que tes economía tbisío» especial nombrada con motivo de las ocurrencias de Valencia! qna alguno* Sre». diputad?* han crcido panden batane, á fin da qut a y de los Sres. Oliver y Romero, contrario á te resolución de tes Cor pres…</t>
  </si>
  <si>
    <t>…" y de este modo era excusad» n Hacienda pública entreguen ó pongan á disposición del tesorero ge» el art. u. neral, acompasando con una relación circunstanciada loa recibos de El Sr. Isturiz manifestó que no podía suprimirse en su totalidad el cargo de laa tesorerías de provincia , pac los cuales formará sus asiento» art- 11, porque en él te exprésala que ios secretario* dei D spsebo rusla contaduría de Valorea.” diesen sus cuentas anualmente. El…</t>
  </si>
  <si>
    <t>…de esto ames de votar sobre li El ministro de lo Interior dirigió en 1$ dr Marzo al cardenal arzo- tal idad. hispo de Ñipóles el decreto del Rey, por el cual se manda que todos El Sr. Isturiz dijo que habiendo desaprobado las Cortes la base de los maestros públicos ó particulares deben presentar cada semestre una 500 millones que se había propuesto por ia com sion para cuor r todos certificación con el visto bueno de sus respectivos obispos, hacie…</t>
  </si>
  <si>
    <t>…e lleve á efecto e*- desde Juego los demas del proyecto. S. S. dijo que cuando menos ha tas contratas» bía una presunción para creer que loa señoríos territoriales y solariegos El Sr. Isturiz preguntó si el tanto por too qne se había de designar aran de naturaleza feudales, como lo eran los jurisdiccionales y propia al contratista equivaldría al $ por too que encontraría de beneficio en mente feudales; pero si esto fuete cierto lis Cortes hubieran…</t>
  </si>
  <si>
    <t>…la cuenta de la tesorería administrando la justicia en nombre del Rey, hasta tanto que ae nom general. . brasen como correspondía. Para esto no hubo necesidad de presentar lo* El Sr. Isturiz dijo que seria mejor suspender la discusión de este títulos; la razón es porque á nadie le queda duda de lo qne es tener un asunto hasta que el Sr. secretario de Hacienda presentase un estado de privilegio exclusivo, privativo ó prohibitivo. Pero respecto de…</t>
  </si>
  <si>
    <t>…revistos, tino en el presupuesto. Por estas razones creo que que deba realizan» en lo» quo quedaren cesantes, dará un ahorro no debe desaprobarse la rebaja c.“ de que se trata. El Sr. Isturiz manifestó que la comisión, atendiendo i laa razones despreciable. Habiendo manifestado el Sr. secretario de Haciende que esto estaba expuestas en tu dictamen, había creído que el medio mas ezpediio de ya acordado en las bates de cuenta y razón de morería que…</t>
  </si>
  <si>
    <t>…da para aquella capital de un gran y repito, que la cuestión es si han de continuar tí no estas pensiones. personaje en calidad de enviado del Imperador Francisco para s-gi.ur .El Sr. Isturiz: He tomado la palabra para evitar que una cuestión las negociaciones importantes que en el dia hay entibiadas entre ambos anticipada por el Sr. secretario de Hacienda , induzca á una equivoca* Gab metes. Aseguran otros que ei Austria debe poner á la d::pos.c…</t>
  </si>
  <si>
    <t>…de S. M. se continuase i los llamados señorea el pago de existirá ningún presidio menor ni presidiario. la mitad de las prestaciones reales, bien fuete en metálico ó en frutos. El Sr. Isturiz d.jo que la com.áon nr&gt; proponía se activase la etxaSe contiuuó la discusión del dictamen de la comisión de Hacienda genacion, sino ei expediente sobre este a unto. sobre el presupuesto de este ramo , y se leyó la quinta parte , que trata El Sr Adan dijo que…</t>
  </si>
  <si>
    <t>…» co men de la comisión , sino para llamar la atención del Congreso sobre misión sea nombrada por las Cortes. un punto. Las Cortes no ignoran que al ganado trashumante se le ha El Sr. Isturiz: Se tu puesto por egemplo el haber hecho ¡as Cortea ce marchar 50 ó mas leguas en el invierno: los ganaderos por consi el nombramiento de una comisión de Visita del Crédito público: pero guiente , si los terrenos baldíos se han de considerar como propiedad pa…</t>
  </si>
  <si>
    <t>…la arena que sea ahora la cantidad suficiente para tu cauce que ha de regar 15 leguas en él se introduce. cuadradas Puesta en planta esta obra, se poblaría la provincia de Cata El Sr. Isturiz dijo que la comisión no tenia mas que decir tino que luña , y tus habitantes no tendrían que emigraT á buscar el sustento ea se recomendasen las necesidades mas urgentes, entre Jas cuales conside otras ; pues sin scif.bra de vanidad me atrevo á decir que es n…</t>
  </si>
  <si>
    <t>Isturíz</t>
  </si>
  <si>
    <t>…Alcántara, Becerra, Vega mitaré á indicar un punto que parece ha olvidado involuntariamente la y Sr. presidente. comisión; hablo de la intendencia dé Madrid. El Gobierno no la El Sr. Isturíz hizo presente que en el extracto de la sesión extraor comprendió entre las de la primera clase, atendiendo á que á la provin dinaria del d a 11 del corriente se habia cometido en el Universal la cia de Madrid se la ha considerado como una clase particular sep…</t>
  </si>
  <si>
    <t>El Sr. Isturiz (lijo que U IñcutÍM había tirbjado de i( una verdad, preciso hacer presen» al Confreso las grandes dificultades que »a a ctui saber, que el dictamen de la cotniuon estaba ajustado á Uiq; p ro sar esta disposición, que verdaderamente n se aprobua, seria decret…</t>
  </si>
  <si>
    <t>…r el número de tropas que Ei Sr. Nufiez Falcon contestó que los oficiales que se hallaban des debía existir. embarcados estaban haciendo servicio activo en ios arsenales y bata Ei Sr. Isturiz dijo que la comisión se babia visto precisada í dar llones de marina. su dictamen sin saber el número de individuos que debían comp.-.r.er El Sr. Arguelles dijo que desearía que los señores de la comisión este cuerpo; y como no existia aun el almirantazgo, pi…</t>
  </si>
  <si>
    <t>…endo necesidad de que tiva 4 la Europa La Rusia sa prepara: la Turquía espera el momento te hiciesen nuevos. de as bou I,dades, sm pensar en romper primero, á no ser que las cirEl Sr. Isturiz dijo que la comisión Habia propuesto este artículo cunstancas 'a ob'ieu-n á ello El Austria no puede ocultar sus prepa tan solo por haber tenido presente el escandaloso suceso que ocurrió rativos mí'itares. La Prusia tampoco se está quieta; pero de día en día…</t>
  </si>
  <si>
    <t>…dado para qua no se El Sr. Melendcz contestó que el mismo Gobierno hable anunciado aprobase el dictamen. 4 las Cortes que el arreglo del clero era una de las cosas en que estas El Sr. Isturiz, apoyindose en lo que había manifestado un indivi debian ocuparte: que era bien sabido que el mismo Gobierno había duo de la comisión acerca de la premura con que esta había presenta manifestado que tenia sobrados datos acerca de las diferentes causas que do…</t>
  </si>
  <si>
    <t>…. Joaquín ) dijo que en junta del banco nacional pararse de lo que dispusiese la junta de accionistas. de S. Cario* te d jo i lo» accionista* ti querían cobrar el dinero, ó qué El Sr. Isturiz dijo que si bien el banco nacional habia tenido apo era lo que dítponian de *u» bienes; y una mayoría de 150 indi logistas, según deca el Sr. preopinante, también en aquella época w viduos dijo que no quería que saliesen lo» fondo* del banco, amo habia escrit…</t>
  </si>
  <si>
    <t>…un solar de sus propios, á fin de satisfacer á vanos ser asunto prevenido en los reglamentos de Hacienda. acreedores, opinaba que d bis acceder.e á dicha soticitud. Aprobado. F.l Sr. Isturiz pidió en seguida se leyese el informe que daba sobre La comisión primera Eclesiástica, en vista de la solicitud del preseste expediente la comisión de Comercio de la anterior legis'atura (sa btiro ascripio al clero romano D. Josef Valcarcel, residente en Lu c…</t>
  </si>
  <si>
    <t>…ctos del Art. 6.J -Los dueños de aquellos oficios públicos, meramente de convenio ajustado con el Gobierno. honor , que no producen ningún rendimiento, serán reintegrados en el El Sr. Isturiz repuso que esto habia sido un convenio con el Go mismo precio que dieron en la época de la egresión , de la m:,ma ma bierno bajo ciertas condiciones, sobre lo cual podría decir mucho si nera que se previene en el artículo precedente, subrogándose el recono no…</t>
  </si>
  <si>
    <t>…que se reconozca este em llones no puede dudarte, porque asi se expresa en el decreto de las Cor préstito. tes: ¡y qué ha hecho este Gobierno en este tratado que esté fuera del El Sr. Isturiz : Protesto que respeto la opinión del Sr. Canga Ar decreto de autorización? Se dice que ha establecido un gran libro; que guelles ; pero no puedo convenir con S. S. en muchos de los puntos ha establecido una caja de amortización , y que estipuló la reúnen de…</t>
  </si>
  <si>
    <t>…os que se advierten cometi mino mas breve.” das en los artículos del tratado celebrado por D. Angel Vallejo. El 'r. B-!t&gt;an de Lis dijo que quisiera se fijase el tétmino de do» El Sr. Isturiz dijo que se conformaba con que no se leyese otra vez d&gt;as, como lo hah a indicado en una proposición, de la cual aun no se el preliminar del dictamen, puesto que este en tu totalidad se habia hab a dado turnia. repartido impreso 4 los Sres. diputados; pero qu…</t>
  </si>
  <si>
    <t>…lo que debiesen en Pero, sefior, solo una casa francos podia haber hecho un milagro tregar los prestamistas. que nosotros no hemos podido hacer, ¡ Son los «palióla de peor con El Sr. Isturiz hizo algnnaa aclaraciones respecto de lo que había dición que ios francés» y que loa holandés»! ¡No hemos depositado manifestado anteriormente. nu«tros fondos en casas públicas, y en el dia conservamos el papel, qu* El Sr. Ferrer pidió que te leyera el poder…</t>
  </si>
  <si>
    <t>…s: les ha dado 14 millones este se halla abierto, y aquellas expedidas , y deben inscribirse. de reditos anticipados en inscripciones que son lo* documento* que re Dijo también el Sr. Isturiz que el Gobierno ansiaba la resolución presentan los 140 millones que ellos deben entregarles en efectivo; pe de este negocio, y efectivamente la desea , porque le ba de poner en ro esto no es entregarles dinero , sino fácil.tarles ios medios de poder disposic…</t>
  </si>
  <si>
    <t>…asen desatendidas estas taba reducido á trastornar las deudas , convirtiendo unas en oirás; y obligaciones. que la comisión no desconocía tampoco las circunstancias apuradas en El Sr. Isturiz preguntó al Sr. secretario si lo* valor** del derecho que se encontraría el Gobierno; y que por lo mismo proponía que se de registro habían correspondido á las esperanzas del Gobierno. le autorizase para’negociar por otro lado lo que pudiese necesitar. El Sr.…</t>
  </si>
  <si>
    <t>…ón primera de Hacienda sobre •! presupuesto esta partida acaso por un olvido; pero que estaba acordada. impr-visto general de este ramo; la cual , en vista de las razones alega Ei Sr. Isturiz dijo que debía pasar á la comisión esta cantidad para das en la d.vcusion con el secretario del Despacho, no hal;aba inconve que diese su dictamen sobre ella. niente en que las Cortes decretasen pera el imprevisto general 24 mi El Sr. secretario de Hacienda c…</t>
  </si>
  <si>
    <t>…dar que el Gobierno rera tj á la mayor brevedad una noticia (obre abolición de las oficinas de liquidación. exacta y circunstanciada da lo que deb.-n producir en cada pueblo da El Sr. Isturíz contestó que según el artículo se entendía que tolo la monarquía cada una de las citadas contribuciones, imprimiéndola estaban los pueblos obligados á presentar sus créditos i liquidar, pues para que lo* pueblos puedan manifestar la* equivocaciones que ad las…</t>
  </si>
  <si>
    <t>…se debe aprobar la proposi dar cuerpos militares. ción del Sr. Infante y demas sefiores que la han suscrito. Se declaró que estas proposiciones estaban comprendidas en el artí El Sr. Isturiz dijo: La in:ciativa de este asunto corresponde al Go culo lao del reglamento, y admitidas á discusión pidieron la palabra bierno , y no i Jas Cortes; y el acceder á iniciativas de esta natjrakza ▼arios Sres. diputados en pro y en contra. llevados penalidades:…</t>
  </si>
  <si>
    <t>…o el sistema que pagan los intereses. Cuando estos se pagan con puntualidad el papel proponía la comisión. pronto adquiere todo el valor que representa. ¿Y hay esperanza de que El Sr. Isturiz contestó que la comisión se hallaba penetrada de las continuando la administración como ahora esta , producirán loa bienee ideas del Sr. preopinante; p*.ro que el desciédito del papel nacía prin lo suficiente para pagar los réditos! No Seftor. La experiencia…</t>
  </si>
  <si>
    <t>…en la habido quien haya tratado de mancillar el honor de loa individuos que contribución pecuniaria de la desigualdad que sufrían en la personal. componen la comisión indicada. El Sr. Isturiz dijo que no se podia saber la fuerza de la milicia En cuanto al oficial Carrillo la que informa encuentra que cuando activa de que el Gobierno tendría necesidad de echar mano; y que de menos es culpado de emisión tratándose de cosas tan trascendentales consig…</t>
  </si>
  <si>
    <t>…%*7nin bao tu subsistencia una multitud de pueblo», so podiendo meaoa de guna ley nene efecto retroactivo. llamar la atención de la» Ornea aobre estos grarfsum» perjuicio* «juc El Sr. Isturiz opinó qne debería ifafinf tsa latido , prriynr había te iban á experimentar en diferente* parte* de Cartilla. personas beneméritas que tenían honores de destino, de p**río , y no El Sr. Oliver contrató que para precarer en lo posible dicho* in tenían sueldo;…</t>
  </si>
  <si>
    <t>…eneral se deba hacer el pago en créditos con ínteres.*' Con cuyo los arbolados y hecho las saudas necesarias para extra.r !a madera que motivo se volvió á abrir la discusión, y el Sr. Isturiz insistió en el in les producía utilidad. La inaccesibilidad de los montes es la misma pa conveniente que habia manifestado antes, porque no se limitaba á los ra le, particulares que para el común, y estando en poder de los pr.mo suministro! que hubiesen hecho…</t>
  </si>
  <si>
    <t>…reservárselo las Cortes exclusiva Art. 5.' • Se concede gratuitamente el título de ciudad á la villa mente. de las Caberas en premio de haberse dado dentro de tus muros el pri El Sr. Isturiz contestó que se establecía la propuesta por guardar mer grito de libertad en la mafiaaa de i.°de Enero de 1820.” Aprobado. consecuencia con el plan general del proyecto, según el cual todo se Art. 6.° » Se declara nacional la escarapela encarnada con orla ver…</t>
  </si>
  <si>
    <t>…tema no solo gravan desigualmente á loe ciudadano* , á su industria y trabajo, extendidas sobre el asunto. sino que ponen trabas á la libertad. Es pues indisputable que ia con El Sr. Isturiz sostuvo el dictamen de la comisión , diciendo q-ce tribución directa es la mas conforma á la Constitución, pues cada uno respecto de la contribución de consumos la había reprobado siempre paga para los gastos del Estado en proporción é tu haber. Por consi por…</t>
  </si>
  <si>
    <t>…la desorganización de la milicia mima iodos los que se hagan en las renovaciones periódicas. En local. igualdad de fechas se preferirán: i.1’ al que tenga servicies anteriores El Sr. Isturiz sostuvo el art'culo, manifestando que era el mas pro en ia milicia activa por el respect.vo orden de grados y antigüedad pio y acomodado á la índole de la milicia local, la cual dijo ser ente en coa ; 2. al que los tenga en ia milicia local: 3 0 al de mas eda…</t>
  </si>
  <si>
    <t>…na junta de contribuyentes tra Los Sres. diputados secretarios de las Cortes me dicen en 4 del ac tase sobre el modo de llenar el cupo de las contribuciones. tual lo siguiente: El Sr. Isturiz dijo que cuando la comisión había presentado este » Las Cortes, con el fin de facilitar la egecucion de lo acordado por plan de contribuciones to había hecho en la inteligencia de que eta el las mismas para la liquidación de créditos, han tenido á bien resolv…</t>
  </si>
  <si>
    <t>…hasta el Prnth &amp;c., no es mas que de 4o3 ocasionaban, solo debía privarse de ella á los ayuntamientos morosos. hombres__En comprobac on del giro favoiabie que suponen ir toman El Sr. Isturiz convino con el Sr. preopinante en su observación, do los acontecimientos, citan qu: los griegos han ceLbiado con toda añadiendo que en cuanto á la responsabilidad por el cobro de las con libertad en Consiantinopla sus pascuas y diversiones nacionales: que la…</t>
  </si>
  <si>
    <t>…e Hacienden pero en mi opinión no basta esto: yo siempre diré:Churra, sitíenlo debe volver á la comisión. Hacienda y Ley: bajo este punto de vista debe mirarse la cuestión. Su* El Sr. Isturiz dijo: La comisión no ha dejado de prever algunas pongamos que se aprobase esta proposición, y que con motivo de les de las Tazones que ha dicho el Sr. secretirio del Despacho; pero te ha escandalosos sucesos que estamos viendo frecuentemente te ofreciese te p…</t>
  </si>
  <si>
    <t>…jo que cuando muy recargadas las diputaciones celona eran de igual valor que les ríe Móndatelo accediese i la so provinciales no convenia aumentar mas sus ocupaciones. licitud. El Sr. Isturiz contestó que era muy importtnte que las diputacio Otro de la comisión da Premios pata que se pooeediese i Luisa nes provinciales interviniesen en las operaciones de los comisionado* Conson la pensión de ia rs. diarios por razón de sus servicios impor- del Cré…</t>
  </si>
  <si>
    <t>…disponga que por los obispos y prelado* las providencias oportunas, ó haber dado cuenta i la autoridad. ae les separe del ministerio de sus parroquias &amp;c. Claro es que los reve El Sr. Isturiz dijo que podría logtarse el obj lo que se deseaba ha rendos obispos se harán cargo de los fundamentos que se les manifiesten ciendo á los predicadores que leyesen los sermones.jpara tomar esta medida, que no es judicial, como s- supone , sino pu Se declaró el…</t>
  </si>
  <si>
    <t>…0 en la primera población , y 800 en ia segunda. Tercera id. id., pena mayor que la de dos años de prisión. 900 en la primera y 600 en la segunda. Cuarta id. id., 600 en la pri El Sr. Isturiz contestó que el instituto de la milicia local no era mera y 400 en la segunda. Quinta id. id., 300 en la primera y 100 para alternar con el egército permanente , ó para obrar en unión con él en la segunda. á vista del enemigo, y asi no se debía suponer el cas…</t>
  </si>
  <si>
    <t>…tria; y concluyó diciendo, que no seria justo, liberal ni accediesen á la propu-sti de dicho gefe po'.itóo. benéfico comparar la industria y las ganancias de un pueblo de 20 ve El Sr. Isturiz dijo : Señor est» demostrado qu; las m.-d.di&gt; pal atiras cinos con las de una capital de iy9, ni tampoco el poner los vende producen los males de las reformas ab,oiuta&gt; s.n acarrear todo, lo, be dora de vinos, jabón &amp;c. en la tercera clase, estando en una inf…</t>
  </si>
  <si>
    <t>…stá en estado de poderse surtir poi me do de asi ntos ó de za, en cuyo caso seria un gravamen para el erario. otra manera, por no tener fondos que anticipar. La» Cortes dichosa El Sr. Isturiz sostuvo su voto particular contrario al estanco. y sabiamente han decretado en esta legislatura memorable el ra.do El Sr. Canga contestó á los Sres. preopinantes, diciendo que aunque mas eficaz de que todas las contratas que puedan hacer los adm.nova siempre…</t>
  </si>
  <si>
    <t>…a tutítulo 17 dtl dttrtfo dt ap dt Junio dt 1H31. Le legunda parte» zones que da la comisión, sino por otras. que comprendía harta la palabra mmiittrio, quedó igualmente aproba El Sr. Isturiz: Según se va presentando la cuestión parece mas da; y la tercera hastalal palabras tn ti reciamantt quedó desaprobada» bien que se está discutiendo el empréstito extrangero. El Sr. secre y en tu consecuencia la comisión retiró lo restante del artículo. tario…</t>
  </si>
  <si>
    <t>…le entre aquella autorización y la qu* ticia de ellas; por lo tanto apruebo la medida de que se trata. ahora se trata de dar. Las circunstancias han variado gon&gt;iderab'cm-:nte, El Sr. Isturiz: Conceptúo por enteramente inútil é ineficaz la me tanto en la Península como en América. En la primera porque hay un dida , por cuanto no querrán oír los Gobiernos establecidos en Amé sistema benéfi-o hace mas de tres años , r.o siendo ya un problema el rica…</t>
  </si>
  <si>
    <t>…de todos los bueno» El Sr. Mu:b apoyo la m Jija, nm:!cstanío qu: -ra abacl-it.in-rta necesario el que se prop •r..o:¡a»;n 10 u os aá Gobierno pera i.evar ade españoles. ... . _ Et Sr. Isturiz preguntó hasta que punto podía descansar el Go lante lo que ya hab un aprobado ias.Cortes. bierno respecto de la conducta de las demas naciones de Europa con Ei Sr. Afán: No r.e votado las medidas anteriores, porq-ie en ra la América. no siria dar esta a-tor.…</t>
  </si>
  <si>
    <t>…ei menor descuido en este punto. Madr.d 20 de Jumo de 1822. El Sr. presidente dijo que esta noche habría sesión extraordinar's para nombrar el individuo que había de sustituir al Sr. Isturiz para I» « Despurs de haberse exprjins» por este ministerio de mi cargo la* comisión de Visita del Crédito público , y asimismo para el nombra órdenes oportunas para rxc.tar el zeio de ¡as autoridae.-s cnca cad » da miento de las plazas del Crédito público, y…</t>
  </si>
  <si>
    <t>…disponer dé El .Sr. Paterna se opuso 4 «te artículo, manifestando que 4 1« ge neral» de que ae trataba se 1« iba á disminuir considerablemente el la fuerza que necesiten &lt;3cc. El Sr. Isturiz: Yo encuentro el artículo arreglado 4 la índole de sueldo. El Sr. duque del Parque: El general que ae separe de «tos regila institución de la milicia local y al espíritu de la misma Constitu mientos quedará con tu sueldo; yo he sido «pitan de guardias, yción;…</t>
  </si>
  <si>
    <t>…r Se procedió i la elección del individuo de la comisión de Visita ticulo s 1 del proyecto lo que se ptoponin en este edición, no debía del Crédito público que debis reemplazar al Sr. Isturiz. En primer es adoptarte. crutinio tuvo j8 votos el Sr. Valdés (D. Dionisio), 63 el Sr. Surra, Los Sres. Casas y Lodaret presentaban voto particular sobre esta a el Sr. Lasala, y uno cada uno de loa Sres. Ruiz de la Vega, Oliver adición , opinando en él que de…</t>
  </si>
  <si>
    <t>…er........................... 40.694 cado al Gobierno, ae hana pues que estaba aprobado, y que aino se la 22$ comunicaba no tendría que hacer estos gastos. ......... 8c,333 11$ El Sr. Isturiz se opuso al díctam-n de la comisión, manifestando ......... &gt;9 '.454 que í los secr tariot con corta diferenciase les hab an dado lascantida»«§ d s que p'dian en sus respectivos presupuestos ; y que s- para cubrir el ......... 88j.54* déficit se iban inscr.bi…</t>
  </si>
  <si>
    <t>…re crédito. La comisión de Diputaciones provinciales se conformaba tam mandaron instruir en averiguación de esto mismo Aun hay mas, poique bién con el dictamen precedente; mas el Sr. Isturiz sostuvo que no de después las Cortes rxtraordinariat, á consecuencia de las reclamaciobía hacerse esta excepción de la regla general establecida para el pago de nes de varios cabildos , volvieron i confirmar dicho segundo decreto desuministro*, y no se aprobó…</t>
  </si>
  <si>
    <t>…fioret, desechándose el de la mayoría, y declarándose en fran aclaración de la ley de sociedades patrióticas. quicia el puerto de Cádiz. lgua:mente se mandó m&gt;ertar el voto de los Sr. Isturiz, Zu'ueta, El Sr. Roset apoyó el dictamen de la ccir.isicn , manifestando que Saavedra , Rico , Viilanu.-va y Sánchez .contrario á la aprobación del sin entrar en la cuestión de la utilidad ó desconveniencia de los puertos dictamen de la comisión de Comercio s…</t>
  </si>
  <si>
    <t>…e Lis- de que el Gobierno necesita pata cubrir las atenciones del servicio cuarre l.° de Octubre de l8aa. = Antonio lhemon Zarco del Va- público. lle.=Sr. barón de Carondelet.” El Sr. Isturiz: Veo una grande informalidad en el modo de abrirso _ Los desagradables rumores esparcidos por esta ciudad sobre el asesi las Cortes- Poco tiempo hace que nos separamos, habiéndonos dicho el nato del valiente coronel D. Juan Antonio Tabuenca, del capitán Rey y…</t>
  </si>
  <si>
    <t>…mbién injusta: en efecto , querer obligar A las Cortea á que se some qua ahora aa aprobase el artículo. tan á un círculo tan estrecho como el que se traza por esta proposición, El Sr. Isturiz manifestó qua al artículo estaba redactado bajo el su cerrando la puerta i los diputados para cualquiera observación que pre puesto de una gnardia Real; pero qu* esa en el día no existía, y que sin tendan hacer acerca de los asuntos que al Gobierno ha sometid…</t>
  </si>
  <si>
    <t>El Sr. Isturiz: Estando cometida por la Constitución i las auto sonas y b'*n*s y la conservación de! orden público está á ca-ro de ios ridades i ocales la parte de este articulo que trata de la conservetion h»f - po it.cos i y en este , que citas autor.aafes toma-in toda» i…</t>
  </si>
  <si>
    <t>…n de los médicos extranjeros que soste Se prottAhíá la discusión en la totalidad del código sanitario. nían que la fiebre era litoral, y que no podía salir fuera de tres leguas El Sr. Isturiz: Me oponen á que se admita est: código, porque de la costa: también por falta de precauciones fueron afligidos de e.te hay muchas razones para combatirlo, y me parece que no viene al caso mal pueblos muy ventilados y sanitarios, como los de Rambla , S. Ro cua…</t>
  </si>
  <si>
    <t>…de esta medida, puesto que ha sido desechada en este tmsm 1 afío rarquía con la aprobación de esta medida! otra que c* enteramente idéntica. Tuvieron sin duda en consideración Ei Sr. Isturiz: Varias objeciones se han hecho á la rn-dida de que para hacerlo el que no se estaba en el caso de establecer una visita se trata, dirigidas sobre el modo de practicar la visita, y &gt; e ..s ha general en desdoro de un cuerpo respetabilísimo que necesita unta c…</t>
  </si>
  <si>
    <t>…que cada dia estaba mas militares que no den cumplimiento á sus disposiciones. Yo , fi pesar falto de medios. de que carezco de conocimientos en este ramo , enli ndo' que el Go El Sr. Isturiz: El Sr. preopinante ha atacado el articulo por la parte bierno no puede recoger los despachos á los militares sin preceder for que mas le agradece la comisión. Yo convengo en que es cosa dura mación de causa , para lo cual interpelo a! Sr. secreta: 10 del Des…</t>
  </si>
  <si>
    <t>…cido, y se han resistido á cumplir las órdenes que el Gobierno y aplicar su» caudales ai erario nacional.” les ha dado. En el apuro en que nos hallamos, y que le consta »'■ Go Eil Sr. Isturiz: Parecerá rxtrafio que siendo yo individuo de la co bierno, ¡á qué especie de rtmedio hemos de acudir! ¡Se esperaré i la misión , me haya separado de su dictamen acerca de este punto , en el formación de causa, y que entre tanto pase el tiempo, y las ordenes…</t>
  </si>
  <si>
    <t>…para dictar esta ley por huta de ilustra episcopales , era de opinión que se aprobase la medida. ción, añadiendo que no conviene tampoco que la tenga. Esta es una El Sr. Prado: El Sr. Isturiz ha impugnado esta medida , porque ha máxima mas propia de un gobierno tiránico que de un pueblo libre. creído que la comisión la ha dado una extensión muy limitada, y y o ¡Cómo es posible decir que la ilustración y la filosofia se oponen a la voy i impugnarla…</t>
  </si>
  <si>
    <t>…ara este objeto pide ahora el Go ñaló lo correspondiente en el presupuesto ordinario, d b: hacen; un bierno. cálculo del imperte á que ascenderá el ahorro que debe haber habido El Sr. Isturiz apoyó lo que había manifestado el Sr. preopinante, y correspondiente á la diferencia que hay de la fuerza qu: tiene el egérfue de opinión que la cantidad que se le concedía al Gobierno era sufi cito á la que debía tener. El Gobierno se conforma en que este ah…</t>
  </si>
  <si>
    <t>…roposición hablaba de las excepcio b.a con la corte de Koma, quedase comprendido en el sorteo. nes ya aprobadas. El Sr. Moreno dijo que sin embargo de lo que expuso en Junio úl El Sr. Isturiz contestó que tolo hacia referencia i las adiciones de timo cuando se trataba del otro reemplazo , se le ofrecía decir que mu que no se había dado cuenta, en que se pedían nuevas excepciones. chos pedían la dispensa y luego no se casaban; que el pedir la ditpe…</t>
  </si>
  <si>
    <t>…con unos oficiales de Marina qua están presiando a la pa púas que sus atenc on:&gt; no podían dilatéis. tria muchos servicios, si no sa les pagan sus sueldos, cuando se le» d.ben El Sr. Isturiz dijo que no se habla r.i.r do á tilagtitt Sr. sacrets'-.', muchos atrasados.’ Lejos de mí toda idea de parcialidad; pero sepan las sino al Gobierno, el cual deber.a haber h.c^o eieci.vcs aigucas car; Cortes que los oficiales de Marina sufren mustias privacion…</t>
  </si>
  <si>
    <t>…lado de un criminal: si esto no basta para desaprobar el ar asi quisiera que se reformase este artículo. tículo , creo que debe bastar el ser contrario á la ordenanza, como ha El Sr. Isturiz contestó que á petar de que parecía un poco dura manifestado el Sr. Saavedra, y al art. a¡5 de la ley orgánica, que pido esta providencia , el individuo que se hallase eu el caso del artículo se lea. (Asi se hizo.) recibiría mucho honor en ser pasado de las b…</t>
  </si>
  <si>
    <t>…nientes que de otro modo po cual les priva del mando cuando lo tiene por conveniente. Ahora drían resultar. bien, ; no seria lo mas raro del mundo qua el gefe político caminase El Sr. Isturiz: El Sr. preopinante no impugna el dictamen de la h'cía la casa del ministro, y este estuviese entretanto dictando la or comisión en todas sus partes; jr solo se ha quejado de la poca exten den para deponerle? Ambos obraban con arreglo á sus facultades , y el…</t>
  </si>
  <si>
    <t>…ar.e en vez del dicta Y secundando el justo pedido del citado Sr. general en gefe, lo ha men de la comisión. go notorio á cuantos comprende el contenido de las prevenciones que El Sr. Isturiz dijo que esto* bienes por su naturaleza estaban adju an: \.eJ:n , á fin de que no pueda escudarse con la ignorancia su mas dicados al Ctedito púhiico, y podían resultar gravísimos perjuicio» ai &lt; x cto cumplimiento. Barcelona 31 di Octubre de 1822.=M- marques…</t>
  </si>
  <si>
    <t>…na debe abo los magistrados y empleados que componen este tribunal supremo, ni nársele la suma que pid \ los gastos, que ascienden á 6q9 rs. da va.: por lo que la comisión opi F.l Sr. Isturiz: H: tomado la palabra sobre este número, porque no na ¿be abonarse el exceso que resulta. Aprobado. ha podido menos de admirarme la subida que ha tenido el número de cesantes y jubilados en este ministerio desde la legislatura pasada bas ja&gt;*. iv. ta ahora. A…</t>
  </si>
  <si>
    <t>…rado sentimientos respecto de los infelices extrangeros emigrados de su pa de los que trataba la proposición. tria p .r opiniones , diciendo que Espada será un asilo para todos El Sr. Isturiz, después de manifestar lo vejada que estaba la comi aquellos que por sus opiniones políticas vengan é buscarlo; pero tratar sión viendo que se impugnaban todos sus dictámenes, dijo que habia de depositar en unos extranjeros armados la seguridad del Estado es…</t>
  </si>
  <si>
    <t>…ados cesantes se les niegue el trasportar á la Península los caudales de Fiiip.nii: esto sena un al&lt;sueldo. surdo. Lo que dice y lo que apiueba la comisión es que los españo.es K! Sr. Isturiz: Por las mismas razones que di en una de las sesiones de Filipinas que tengan caudales en ios países d.alicates pu-dan tras interiores cuando se discutía el presupuesto del ministerio de Gracia y portarlos a aquellas islas en el termino de dos años , d.sfruta…</t>
  </si>
  <si>
    <t>…se po que ei comandante general del a.° distrito (Corulla) ha recibido Qcl día hacer en Cortes extraordinarias. g-rural en gfe de las armas portuguesas dala provincia del Miño, El Sr. Isturiz opinó igualmente que el proyecto de que se trataba D. Luis do Rezo, una carta en que le incluye copia del oficie, que le debía pasar á la comisión de ilacenda, pues que era la que se hallaba ha r m ti ío su Gobierno , á fin de que proceda al arresto de ios es…</t>
  </si>
  <si>
    <t>…to por los señores que la habían precedido en la palabra. mándolo en consideración resuelvan lo mas conveniente. El Sr. Romero: Como la comisión se funda en qua' por el decreto El Sr. Isturiz pidió que se leyese la ord o de la&gt; Cortes de 19 de Ju de 29 de Junio no se derogaron lo» arbitrio* consulares, y este supuesto nio último ; y verificada su lectura dijo: La simple lectura de esta or no es exacto, no puedo menos de impugnar bajo este concepto…</t>
  </si>
  <si>
    <t>…á petición de los Sres. Becerra y Canga , y el epí como créditos sin ínteres , con arreglo al art. 8.01 del mismo decreto. Y grafe del decreto del Rey de 4 de Mayo i petición del Sr. Isturiz. 3.° Estará ia junta nacional de Crédito público á lo que sa previene en Se voló el artículo por parles,y fueron todas aprobadas, inclusa la el punto anterior. Madrid 11 de Mayo ds i3aa.=Miguel Alava , preque señalaba el 14 de Marzo, que también lo fue por 59…</t>
  </si>
  <si>
    <t>…regla tintos, debiendo por ¡o m.»mo ir una puríi de el a »a sanción Real. mento, y quedó admitida á discuson. Por lo mismo creo que la» CoU:» aprobar.a lo que se p-v.poce, yira El Sr. Isturiz: Entre las muchas cosas inconcebibles que se han que de e»t: modo u&gt;- de sus facuitade» caja n::, de ios cu; pi.ic -». observado durante la discusión de las medidas que se han presentado E* Sr. Ga’óano: Las i»zon-s que ha menucslado e; or. F..c,' son á la del…</t>
  </si>
  <si>
    <t>…unda que estes ae extendiesen de un modo uniforme en tcgan bases , y luego se har:fi los reglamentos. do el reino ; lo pr: 11 tro ya estiba mandad.’ , y lo secundo e a una cosa Ei Sr. Isturíz:' El Sr. Pedratvez manifestó ayer lo bastante para que se utilísima , á fin d: que no se confundiese al hombre de buena con apruebe el dictamen que ahora presenta dcnu.vo la comisión. Las Cortea ducta con el malhechor. desecharon su antrrior dictamen, y no pu…</t>
  </si>
  <si>
    <t>…ro que viniese á buscar asilo enFspaBa,lo cual no debía hace***. Octavo distrito militar, (Valencia.) Por nn parte dado por el co El Sr. Saavedra apoyó !o que había manifestado el Sr. Isturiz ; y mandanta Serrano desda S. Marro *1 ay da Octubre al comandan!; habiéndose suprimido por la comisión la* palabra* serán detenidos, que general del octavo distrito te sabe qu* la acción del i¡ fue mas favo dó probado. rable da lo que te creía. Al enterrar l…</t>
  </si>
  <si>
    <t>…a autoridad p ena. Asi varios. pue» cr.oqueel artículo es de absoluta necesidad, y que d:bi aprobarse. —Un periodista de esta capital publica boy noticias de París hasta el si; El Sr. Isturiz : El Sr. preopinante no se ha becho cargo mas que de f nosotros no las teníamos directas sino hi-ia el 17 Pa-rce que s-cuia una parte del dxtamen, y a las impugnaciones dirigidas a elia es úni- aun siendo un m st-rio ia opinión del cor.^r-so » t&gt;re ios n-ecc.…</t>
  </si>
  <si>
    <t>…e sefialado en loe artículoi antecedentes de sus facultades, entonces se le podrá exigir la responsabilidad. no pueda recaer en ningún tiempo en personas á quienes no correspon El Sr. Isturiz: Yo convengo en que el general en gefe debe estar da , acudirán los interesados á los respectivo* comandantes generales revestido de toda aquella autoridad que es necesaria para hacer la guer de distritos militares con solicitudes documentadas que acrediten e…</t>
  </si>
  <si>
    <t>…como gefe de las autor.dades civiies para plaza á los vecinos que en él se eipreasn. disponer con ellas cnanto e=t ni - convenj.nie " El ür. Infante-. Los ar.omentos hechos por el Sr. Isturiz , y q:e El Sr. Infante : La cornis ón no puede consentir en esta modifica ha aplicado ¿. o. á la plaza de C diz , no son aplicables á todos los ción , porque quedaría entonces sin autoridad ni gobernador déla plaza. casos que pueden ocurrir. La plaza de Cádiz…</t>
  </si>
  <si>
    <t>1784</t>
  </si>
  <si>
    <t>…e la conveniencia pública pero {cómo ha de hacerlo, si conoce que no puede dar pruebas de que y la justicia. la conveniencia pública lo exija! Si yo no he oido mal, dice en uno El Sr. Isturiz: He tomado la palabra, nb pan entrar en el fondo de los artículos que tt karÁ txtcrnha tita gracia Síc. ; prueba clara da de la cuestión, tino para manifestar varias observaciones que rae ocur que considera tu dictamen ccmo un fruto de la indulgencia y benig…</t>
  </si>
  <si>
    <t>…comisión rn su dictam-n te ha he votación , y resultó que lo aprobaban 41 sefór.-s, y lo desaprobaban 30. cho cargo de una proposición de d f.r-'ntes Sres. diputados, que pidie El Sr. Isturiz observó que no había suficiente número de Sres. di ron a las Cortes se sirvi-.sen d ere lar que la comisión pres-ntaia los me putados para qu: se considerase aprobado. dios para Henar ias canridides acordada en los presupuestos. La comi En seguida se volvió á…</t>
  </si>
  <si>
    <t>…que pagaban les consulados , y en uiu.has estas atenciones, sino en otras muy diferentes , como ha indicado el no había ninguna, como se demuestia por este documento. ( Lo iryd.) Sr. Isturíz. Por lo contrario en una provincia como la mía, en donde no hay con El orador expuso otros motivos por los cutíes te oponía al dic sulados, hay un inst.iuto donde se enseñan matemáticas, náutica, di tamen de la comisión, manifestando que estos arbitrios produ…</t>
  </si>
  <si>
    <t>…mentos ú ordenanzas municipales en todo lo que no se oponga á la Sesión del día IJ". presente instrucción.” Leída y aprobada el acta de la anterior , se mandó agregar á ella el El Sr. Isturiz dijo que no podía aprobarse este artículo con la pala roto particular de los Sres. Arias y Busaña , contrario á lo acordado bra tuidar, porque sonaba muy mal aplicándola á unas corporaciones por las Cortes acerca di la ú'tima parte del art. 50. que debían obr…</t>
  </si>
  <si>
    <t>…úm a no es ni pu-de srr otra cosa mas que aeña’a jam nte ias de camine- v canales de navegación y de r¿eg..." una cu-nta general, y por lo mismo no creo qu: puedao llenarse los Ei Sr. Isturiz : Yo no ter.cré inconveniente en aprobar este ait.culo de,eos de la comisión, porqu: por un resumen tío s* puede conocer sá con til que la ccimsion me d _a qué utilidad ba de pioducir. ha habido fraude: é mí me parece que será mejor que se lean las cuen En él…</t>
  </si>
  <si>
    <t>…omisión de Guerra dos oficios det Sr. se Después de haber hecho algunas observaciones contra el artículo el cretario de este ramo; el uno relativo á las dudas ocurridas en la inte Sr. Isturiz, á las que contestó el Sr. Pedral vez, quedó aprobado el ar ligencia de varios artículos de la ley orgánica de! egéretto, y del 59 del tículo. decreto sobre arreglo de la Hacienda pública de 19 de Junio último; Se aprobaron los artículos siguientes? y ei segu…</t>
  </si>
  <si>
    <t>…qu* tengan entonce* cap tan genera! de Cartagena sobre prens, y las Cor**s efectivam fas liquidaciones.” resolvieron por convencía»"foto V v- 'mrtjriíis-.rt: sot-e la conso.tí El Sr. Isturiz pidió *e suprimiesen lat siguientes pa'abrat 6 por cua equivoca 1»; pero sin embargo rtt-, asur-to -s de ia ¡r.ty-r rr- rt. r lesquier otros mjt.ro/ i títulos. y yo creo que las Cortes están en el caso de entrar de nan o ¡i err-.m.iz-El Sr. Zulueta pidió tamb…</t>
  </si>
  <si>
    <t>…restó tn Marzo de 1821 yen Noviembre último, se ratifica en el bado. voto que dló el dia 29 da que conviene proced-r en este asunto se.un Se leyó y aprobó la siguiente adición del Sr. Isturiz al mismo pro lo qua ha vistoegecutar en otro» casos, y te permit; hasta tn ¡a t.-opa, yecto : » Pido á las Cortes qus te exprese como pirie de la guarnición sin perjuicio de la disciplina militar mas rigurosa; á saber: qu: sr di de Madrid , y comprendidos en…</t>
  </si>
  <si>
    <t>…el m'smo Cortes, la* cuale* entrarán en el examen de sí hubo motivo ó no para partido en los día* señalado», y en lo* términos que previene la Cons este nombramiento. titución. El Sr. Isturiz: Ante* podían ser necesario* to* gefe* político* subal Art, a2i. n Por ú'timo , loe alcalde* de lot pueblo* desempeñarán ternos; peto no ahora que el territorio de la Península está dividido en toda» la* otras funciones que le* están encomendadas por la&gt; t ye…</t>
  </si>
  <si>
    <t>…n término de | El Sr. presidente dijo qua S. S. podía retirarle ai gustaba, f el sei Sor Canga lo retiró. un m s &lt;n !a secretaría de dicha junta , que te halla en la carrera de Ei Sr. Isturiz: Jamas ha podido ser mi intento zaherir en lo mat S. Francisco, núm. 1; y habiendo concluido el término señalado , ha mínimo al sefior preopinante; conozco profundamente sus sentimien tenido a bien la junta ampliarle por 20 días mas improrogables, cau tos , y…</t>
  </si>
  <si>
    <t>…fe político superior podrá pedir á la diputación del juez competente en el término preciso de 14 horas." provincia' , y esta d-cbtri darle su informe, parecer y consejo, en los El Sr. Isturiz: Pido se lea el párrafo it del art. 172 d: la Consti negoc.os graves de sqs atribuciones en lo que tenga por convement:-, tución. ( Se leyó. ) p-.ro asi en estos casos, como en aquellos en qu: se prevenga al gefe Una de la» bases maa esenciales que tiene la C…</t>
  </si>
  <si>
    <t>…conformar ay ;nt im'-nt', hay viduños que dejan de »erl , : an 1. de Entro, y me con este d-ctanun. sin e:iibjrj,o vienen a a ¡sarro coma parte d; aje-i.* »'.':pj,ac.o.;, pu;S El Sr. Isturiz ; Ante todas cosas debo decir que para mí es suma del mismo modo mt car .s qu- deben coucunir io» indiViJuos de qu* mente difícil esa distinción aristotélica que se quiere hacer entre un se trata , aun ju- en r¡ d i no pertentwen ya a eiia. cuerpo moral y las…</t>
  </si>
  <si>
    <t>Isturiz, Francisco Javier</t>
  </si>
  <si>
    <t>Francisco Javier Isturiz</t>
  </si>
  <si>
    <t>…er.or, relativa a que se pase tablecimiento en esta corte , y demas que se expresa en dicho decreto á una comisión el reglamento interior de las Cortes pata que propon á los Sres. D. Francisco Javier Isturiz , diputado por la provincia r¿ Cádiz; D. Lorenzo Villanueva , diputado por la de Valencia, y Don ga las reformas convenientes. Se upobó la proposición del Sr. Rico sobre que se proponga por la Josef Canga Arguelles, diputado por la de Astúrias. Madrid to de M…</t>
  </si>
  <si>
    <t>Isturíz, Francisco Javier</t>
  </si>
  <si>
    <t>Francisco Javier Isturíz</t>
  </si>
  <si>
    <t>…o Se procedió en seguida al sorteo para reemplazar á los seis jueces bre ella. Pido que se lea un artículo de la Real cédula de t z de Fcbrerecusados, y salieron electos los Sres. D. Francisco Javier Isturíz, &gt;0 de i8só, que se halla vigente. D. Miguel Busutil, D. Juan Josef Sánchez, D. Ramón Busafia, Don Se leyó el artículo de dicha cédula. Josef Taboada y D. Jaime Gil Ordufia. A petición de un sr. diputado se leyó el oficio pasado por la secre Se nombró para la…</t>
  </si>
  <si>
    <t>Isturiz, Javier</t>
  </si>
  <si>
    <t>Javier Isturiz</t>
  </si>
  <si>
    <t>…Antonio Martínez de Velasco, D. An Habiéndote procedido á alia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Sierra, Pumarejo, Infante, Ruiz Alvarez y Gutiérrez…</t>
  </si>
  <si>
    <t>Isturiz-</t>
  </si>
  <si>
    <t>…o de navegación, ó anclage y tonela debo manifestar que la obligación de este es solamente hacer cgecutat je MS.743 " T &gt;8 mrs. las leyes. Productos totales 5.088,8(7 n.y¡ mrs. El Sr. Isturiz-. Deseo que no se abuse de la sagrada palabra de re Sueldos y gastos de administración 441,1*7». y 13 mrs. volución : lo que yo he dicho es que marchen los intereses de ella. Notas. 1.' Ademas se pagaron al resguardo militar 1.112,411 re. Declarado este asunto…</t>
  </si>
  <si>
    <t>Isturiz.-</t>
  </si>
  <si>
    <t>…observancia de esta orden , que se llevará á debido electo por consiguiente no podran tener lugar los horrores que ha anunciado haciendo salir á ios inobedientes.” el Sr. Bu y. Ei Sr. Isturiz.- La comisión al establecer este artículo se propone El Sr. Falcó manifestó que se altanarían todas las dlficulndes si el sin duda que en las plazas no queden personas que no se hallen abas articulóse redactase, diciéndose que la autoridad del gcb mador ó co tecid…</t>
  </si>
  <si>
    <t>Isturtz</t>
  </si>
  <si>
    <t>…taba en concordancia con ex st.endo tal sociedad desde que había caducado , los socios podían sa las nuevas instituciones, pues que en nada se oponía 1 ellas. car sus acc:nnes. Eí Sr. Isturtz dijo que el banco desde su creación habia sido útil Dec'arado el punto suficientemente discutido se mandó pasar á la al poder, y ominoso á los acción síes. com.s on la exposición de la junta nacional del Banco, para que la exa El -r. Munatriz dijo que la comi…</t>
  </si>
  <si>
    <t>…quín) dijo que no encontraba ninguna razón gado , y que tenga presentes las obligaciones generales que s* le han en para que se disparase contra el que huía. señado.” Aprobado. El Sr. Isturtz preguntó cómo se habiade remediar si era un tordo el . Att. 38. « Todo centinela hará respetar sn persona; y si cualquiera que se acercaba. quisiere atropellarle, lu prevendrá que se contenga; si no le ebedeenre El Sr. Infante expuso que matando á un sordo, l…</t>
  </si>
  <si>
    <t>Isturz</t>
  </si>
  <si>
    <t>…egla Austria. Las farorab es noticias de la evacuación de la Moldavia y mento , y a: admitió á discusión. la Va'aquia dan esperanzas de qu: no s: a’tirara la tranquilidad públi El Sr. Isturz preguntó si en los asuntos relativos á Hacienda se ca. Hay sin embirgo muchas personas qu: no creen en la entera eva consid.raba d arreglo del Crédito público, á lo que contestó el Sr. Belda cuación de los principados; y aun verificada esta , opinan siempre p…</t>
  </si>
  <si>
    <t>Istutiz</t>
  </si>
  <si>
    <t>…to- I tos que no existen, bl plan de instrucción pública as magnífico; pero do la partida de que setrataba. I no realizable por ahora: y es preciso atender antes á lo puramente El Sr. Istutiz manifestó que la comisión se había convenido en re-1 necesario , que no á lo de lujo, digámoslo asi. Ademas ha sucedido has tirar cuatro artículos que seguían á la partida de que te trataba. I ta aquí que cuando en Ma.lnd se establecían grandes cátedras, útil…</t>
  </si>
  <si>
    <t>…r simos en la administración de estos fondos, porque no había liber otros , concedidos para sus atenciones. tad de imprenta , no había responsabüdad ni otras cosas que aseguran El Sr. Istutiz: Por mas que se diga que ahora se señala solo un mes- la buena inversión de los fondos públicos, y de consiguiente podrían dio por too, se repite el anterior dictamen, que está ya desechado por hacerse estos abusos, no solo con 40 millones, sino con 4c9; pero…</t>
  </si>
  <si>
    <t>Istutlz</t>
  </si>
  <si>
    <t>…comisión asta paite para por la naturelaza da esta cantidad ni por ninguna otra cosa tiene im presentarla de nuevo. pelió en que se apruebe su dictamen en este parte. xca. ir. El Sr. Istutlz: Todo este presupuesto versa sobre sueldos de em Cornejo de Estado y sus dtpendenciat. pleados , y es el que adolece mas di 1 defecto que indiqué el otro dia, La cantidad decretada por las Cortes en la últi esto es, que este presupuesto parece un aumento del…</t>
  </si>
  <si>
    <t>It-</t>
  </si>
  <si>
    <t>…e los Sres. Ma- cuando lo creyesen conveniente. rau y Ruz de la Vega , contrario á 1a aprobación de los artículos sobre El Sr. Salva d jo que tenia que añadir ¿ lo expuesto por el señor It- . tabacos en el plan de conlr buciones; y et del Sr. Olrver, contrario a .ha turir en apoyo de la proposición que no se perdiera de vista que la Cotu» I berse nado por sufi-int emente discutido un articulo del misino pian en tituaon prevenía no pudiesen estar…</t>
  </si>
  <si>
    <t>Italia, Castle-</t>
  </si>
  <si>
    <t>Castle- Italia</t>
  </si>
  <si>
    <t>…hab'én3r&gt;s 1 fortificado en sus ideas con la expe Es también cierto que se opone ¿ los intereses de la Inglaterra el ;u: a lí- acia que ha desmentido formalmente las aserciones de lord Castle- Italia sea esclava del Austria, y por consiguiente no tiene lo» rr. smos reagh, seguirá un camino mas seguro y mas provechoso para su país motivos que esta coite para impedir el establecimiento de una poten que el que siguió su antecesor. cia independiente en laa in…</t>
  </si>
  <si>
    <t>Italia, Leonor Martínez</t>
  </si>
  <si>
    <t>Leonor Martínez Italia</t>
  </si>
  <si>
    <t>…jantes á tos lactdcmonios, y gobernándose casi por la* TRIBUNALES. mismas leyes, fueron por espacio de siete siglos los perturbadores do Por «I presente se cita, llama y emplaza á Doña Leonor Martínez Italia y de todos los países fronterizos, como los espartanos lo eran de y demás acreedores que lo sean á le herencia de Juan Argente, vecino la Grecia. Conservaron á la manera de aquellos la rusticidad de sus que fue de la ciudad de Valencia, ó sus herederos y repr…</t>
  </si>
  <si>
    <t>Ito, Jo.cf</t>
  </si>
  <si>
    <t>Jo.cf Ito</t>
  </si>
  <si>
    <t>…Stvilia se proponía á los Síes. D. Agustín E’aseo , Don ha estado haciendo de ia Rusia podrá ser e fun-rst: Paree- qu: ya Justo Ramcn de Plaza y D. Juan de la Ptffi», y fue electo D. Jo.cf Ito se trata de .vacua-'on dd Pumont- , y r-sp cto de Nsfo;-s hay ru Vidal Moreno por 64 voto» de 1t6. inóles extraños. Hib'ase de la abd-cacion del R r de X.poLs; pero l’ata ia de Galicia se proponía i los Sre». D. Francisco Camino, se encurntra un oblicuo para…</t>
  </si>
  <si>
    <t>Itúibide, Juana y Ramona</t>
  </si>
  <si>
    <t>Juana y Ramona Itúibide</t>
  </si>
  <si>
    <t>…¿ igualdad que tanto reclama La comisión de visita del Crédito púb'.co, m'ormandr. sr br* las rxla Constitución -spaño a del afio de l8ta. Por estas y otras razones posiciones de Doña Juana y Ramona Itúibide , ves ñas &lt;V ,si, o rí , proponía i la deliberación de las Corta los dos anículos siguientes: para qu: se la exima del pago en metal.10 d, un 4 por iqj d- ri reArt. i.° » Queda abolido desde l.° de Julio próximo el derecho cho de registro que dcb*n satisfacer…</t>
  </si>
  <si>
    <t>Itulbide, Agustín de</t>
  </si>
  <si>
    <t>Agustín de Itulbide</t>
  </si>
  <si>
    <t>…dad pública, se dirige i los ge íes, oficíale* y tvc pa que han to examinar los hechos , y si fuere necesario, de dar orden al cónsul para mado las arma* bajo el mando del ccroael D. Agustín de Itulbide con ue vuelva ¿ Suecia á dar cuenta de su coi.ducta. Ademas se ban man tra la Nación , el Rey y la Constitución de h Monarquía española del 3 ado armar muchos buques de guerra, y que vayan á reforzar nuestra afio de 1811,y les ofrece en nombre de S. M. un olv…</t>
  </si>
  <si>
    <t>Iturbe, Andrea Domingo de</t>
  </si>
  <si>
    <t>Andrea Domingo de Iturbe</t>
  </si>
  <si>
    <t>…los mismos facciosos: llevaron por fuet iaa armas. Hallábase dentro casualmente con dos milicianos su coman ea nueve ó 10 jóvenes, y se marcharon camino de Ocbandiano, dejan dante D. Andrea Domingo de Iturbe, quien amenazado por sorpresa do sumergidas en llanto i aquellas infelicaa familias.*’ de los cioco facciosos, délos cuales dos dispararon faltándoles el tiro, BarteUmm ge 4t Julia. aprovechó el momento de arrojarte sobre ellos, y con la ayuda de un Nuestro n…</t>
  </si>
  <si>
    <t>Itúrbide</t>
  </si>
  <si>
    <t>…en Francia, El 24 de Fihrero se instalan las Cortes mexicanas: Dios sabe loque komnres tan egoístas y crujo que deseen ver a ¡a España m la ‘:tuaJüCidrn-. Ya sabrán en esa que el Sr. Itúrbide es generalísimo, almiran cion hornbic en que se ha v..r, ¡a Fr.ncia Cre.b’e es que se u’ -m te de mar y tierra, declarado infante del ¡m. eno, y á su padre que es de Jodo» I. s medios po».b;,s . a fin de cx.ita: ¡as pasiones mire los «eave.-ro, le han dado ho…</t>
  </si>
  <si>
    <t>…os guarde i V. E. muchos afios. Cuernavaca Main» 9da itai.s •» Sí, Sr. Excmo., ralea ton las ¡deas del coronel D. Agustín dd Excmo. Sr.sjoaef Joaquín Márquez y Donalic.=Ex^mo. Se. general Itúrbide, y las maquinaciones de sus infames secuaces, i quienes arras en gefe D. Pascual de Lifian.” tran mas sus propios intereses, su orgullo , vanidad y presunción , que A ¿a dividan de vanguardia por tu comándente gmeraf coronel di bien, la felicidad y la pac de…</t>
  </si>
  <si>
    <t>Iturbide</t>
  </si>
  <si>
    <t>…tes promovidos , el pri no no podía dejar de aer su completa ruina y desolación. mero por D. Lorenzo de Sierra, lego secularizado de un convento da « Sabedor este cuerpo de que el coronel Iturbide tuvo la osadía de Alcalá , sobre que en atención i su avanzada edad se le concediese una plantear y declarar abiertamente una conspiración contra el Estado; pensión de aoo ducados anuales; y el segundo por la condesa de Valle que sus proyectos en ella son red…</t>
  </si>
  <si>
    <t>…a comisión otra adición del Sr. Sotos tia felicidad , ha recibido con el mayor dolor la infausta noticia de al art. a.° del mismo dictamen , relativa á que se exceptúen tam que ni coronel Itúrbide ba proclamado la independencia por el rumbo bién de lo preven-do en el 1.' los opositores a curatos que haya de Acapulco, y por este medio pretende sumergiros de nuevo en unos ganado cinco cursos académicos en materias vclevi ¡tices, y cuyas opo ansies t-U ho…</t>
  </si>
  <si>
    <t>Itúrbide, Agustín</t>
  </si>
  <si>
    <t>Agustín Itúrbide</t>
  </si>
  <si>
    <t>…Que si dentro del término de celebrado entre el general O-Donojú y el gefe de los disidentes de Nue 60 días siguientes al en que se dió la sustancia venenosa ó nociva re va-España D. Agustín Itúrbide, lo mismo que otro cualquiera acto ó sultare por efecto de ella el fallecimiento de aquel á quien te dió , su estipulación relativos al reconocimiento de la independencia mexicana frirá el reo la pena de muerte.” Aprobada. por dicho general, son ilegítimos y…</t>
  </si>
  <si>
    <t>Iturbide, Agustín de</t>
  </si>
  <si>
    <t>Agustín de Iturbide</t>
  </si>
  <si>
    <t>…o cónsul una orden dd Empe y tener V. E. k placentera satisfacción de poner en absoluta paz esta rador, en que le mandaba salir da Taoger sin la menor demora. reino: si el cotonel D. Agustín de Iturbide, abusando de la qua Ül 1} de Enero llegó M.Grabery áGibtaltsr. V. E. depositó en él ha prevaricado fallando á la Constitución «le ia El día 28 hizo el Emperador volver á plantar la bandera de Suecia Monarquía aspa ñola que ae ba jurado, y sembrado por todas p…</t>
  </si>
  <si>
    <t>…ón directa los arb.trios sobre vino y aguardiente pudiese consen » Excmo. Sr.: La admiración y asombro que ha producido la ex tirlo. Aprobado. traordinaria y criminal conducta del coronel D. Agustín de Iturbide en La comisión de Negocios de Ultramar , habiendo meditado acerca todo corazón adornado de los sentimientos que inspiran la augusta re de las proposiciones del Sr. diputado Sánchez, relativas á var.a&gt; r.-vi ligión que profesamos, la observancia del sabio Códi…</t>
  </si>
  <si>
    <t>Itúrbide, Agustín de</t>
  </si>
  <si>
    <t>Agustín de Itúrbide</t>
  </si>
  <si>
    <t>…Junio último , mandando suspender not en del Sr. comandante general de esta provincia de haberse suble en aquella isla la ley de armee les. Xas Cortes quedaron enteradas. vado el coronel D. Agustín de Itúrbide proclamando independencia,y El ayuntamiento y consulado de S. Sebastian, y el ayuntamiento apo.le áiiose de los caudales de Filipinas que se le habían confiado i su de Santander exponían varias razones en una solicitud que se leyó, para custodia por razón del…</t>
  </si>
  <si>
    <t>…A'amsn , Izarte, Re persona , excluyendo á cualquiera otra, y después de una madura consi jón, Valle CD. Fernando), Airares CD. Msnu.l), A.vet (D. Franderación ba declarado que el Sr. D. Agustín de Itúrbide es la persona ama ciaco) y Ortiz de ia Tone. acreedora á este alto destino bajo la base del plan proclamado en Igua sa. Menas. Gotero, Tejada, marque* de Raya , Obragon , Gola, y aceptado por la mayoría de la Nación, y al cual ban prestado vocticts y CtbUftid…</t>
  </si>
  <si>
    <t>Ivés, Si</t>
  </si>
  <si>
    <t>Si Ivés</t>
  </si>
  <si>
    <t>…una prisión de uno á cuatro afios; la inspección de los intendentea y de la junta del Crédito público. pero ti la persona entregada sufriese la pena de muerte de resultas de 1* Él Sr. Si Ivés manifestó que habiéndose desechado el dictamen de entrega, el funcionario público que la hubiere hecho i legal mente será la comisión de Hacienda y Visita del Crédito público sobre este asun deportado.” to , era claro que debía aprobarse el que se presentaba…</t>
  </si>
  <si>
    <t>IvTmi</t>
  </si>
  <si>
    <t>…ón ^ hib.endo sido leida por uno de lo. Srea. secreta- nimidad. presidente: Queda publicada como ley en Cortes ; dése Se leyó la siguiente proposición de los Sres. Meló, González (Don IvTmi oSsi/rno per» que proceda a su promulgación solemne . y ar- Manuel), Ruiz del Rio y Manto*' » Pedimos 4 ias Cortes que combi nando los intereses de la agricultura coa los de ia ganadería , que es el Ch¡ Fl Sr"FTmí^ñtó uta “£'c'on de I. diputación provincial d…</t>
  </si>
  <si>
    <t>IXmingo, I. Manuel Fernandez Travanco.s</t>
  </si>
  <si>
    <t>I. Manuel Fernandez Travanco.s IXmingo</t>
  </si>
  <si>
    <t>…ñados en c avar el puñal mon Torreiro. s Maauel Floree, sjoscf Montoro de la Peña. = Joscf homicida en las entrañas de la patria. No lograrán estos pérfidos su Moscoso. sP. S. del Sr. I. Manuel Fernandez Travanco.s IXmingo intento , si conservamos la unión mas estrecha , renovando el indele Fontan , secritano " ble juramento de no transigir de manera alguna con los enemigos de n Ciudadanos corufieset: En el hetóico alzamiento de 1810 contra Vuestras libertades. lo* atentados de…</t>
  </si>
  <si>
    <t>Iz, Esteban</t>
  </si>
  <si>
    <t>Esteban Iz</t>
  </si>
  <si>
    <t>…l como todo* lo* demás que se diese documentos necesarios las exposiciones de los oficiales del mismo cuer en el día , ó an Diario de Cortes como el que actualmente se imprime, po D. Esteban Iz acua , D. Julián Fernandez y D. Vicente Joves, nuque como ha dicho muy bien un ir. preopinante, no será leido. Tedas nifstando no haber obtenido los grados que les correspondían por ha esta* razone* que militan contra el Diario de Cortes esfuerzan conside ber…</t>
  </si>
  <si>
    <t>Iz, Francisco</t>
  </si>
  <si>
    <t>Francisco Iz</t>
  </si>
  <si>
    <t>…oiri , D. Timoteo Rodríguez Carrillo , D. Joscf Pió Santos, Don _No hay género de atllficio, por pérfido que sea, que no empleen en Josef Garay, D. Francisco López de Olavarrieta, D. Francisco Iz daño de la patria Jo* que se han declarado sus enemigos. No les ha quierdo y D. Pedio Gañido , quienes deberán presentar sus trió i jo, i bastado alzar el estandarte de la rebelión, y armar el brazo del espa otra junta general que debe celebrarse el domingo 1…</t>
  </si>
  <si>
    <t>Iza, Juan Domingo</t>
  </si>
  <si>
    <t>Juan Domingo Iza</t>
  </si>
  <si>
    <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 y los reglamentados D. Laureano dian para matar~ Eguilior , D. Ramón Eguillor y D. Francisco Eguillor. Art. 605. » Los que…</t>
  </si>
  <si>
    <t>Izquierdo, Antonio Jiménez</t>
  </si>
  <si>
    <t>Antonio Jiménez Izquierdo</t>
  </si>
  <si>
    <t>…tuviese obligado á sen-ir d:balde i la patria. tismo del alcalde constitucional de Quintanar de la Urden, en El Sr. Pamp ona haoló también contra el dictam.n , y opinó que Mancha, D. Antonio Jiménez Izquierdo. volviese á la comisión. Otros Sres. diputados apoyaron al preopinact*; y el Sr. Borges Car- C.-z.iiz 9 de Air!!. neiro dijo que hasta ahora no se había presentado al Congreso ningún Ha entrado en este puerto la corbeta española de guerra Diamante, asunto que…</t>
  </si>
  <si>
    <t>Izquierdo, Eleuterío Rodríguez</t>
  </si>
  <si>
    <t>Eleuterío Rodríguez Izquierdo</t>
  </si>
  <si>
    <t>…milicia activa de Oviedo, con 450 rea gado al regimiento infantería dei R-ey, con 570 rs. les a' mrs. Soria á D. Fermín de líucsso , teniente del regimiento infantería de Kcíj 1 á D. Eleuterío Rodríguez Izquierdo, teniente del regimiento Guadalajara , con 570 rs. infantería nmemor al del Rey, con 570 rs. Segorve al capitán D. Andrés Rodrigo, teniente del regimiento in Feiro' al espitan D. Fermín Roldan, teniente del regimiento in- fantería de la Reina , con 570 rs. hn…</t>
  </si>
  <si>
    <t>Izquierdo, Manuel</t>
  </si>
  <si>
    <t>Manuel Izquierdo</t>
  </si>
  <si>
    <t>…ra que en el término de 30 d as, rio gen: ral ecl-siástico.—D. Miguel de León y Medióla, canónigo _ contados desda el d- su publicación, comparezcan por sí ó per medio El pabor le D. Manuel Izquierdo—O. Gabriel Esquella , noble hacen da apoderado en dicho juzgado de primera instanc.a, y porta escribanía dado —D. Bartolomé Saiort, presbítero----D Juan Salort , fiscal del de número del infrascrito, i acreditar el derecho que les asista; en la tribunal ecles…</t>
  </si>
  <si>
    <t>Izquierdo, Marcos</t>
  </si>
  <si>
    <t>Marcos Izquierdo</t>
  </si>
  <si>
    <t>…de causa, y salieron ios A la de Canales y Caminos se pasó otra de los. Sres- Cano y Ladrón señores siguiente*: de Guevara, para que corra la dirección de camino* con las obras de D. Marcos Izquierdo, D- Francisco Travesedo, D. Celestino Ololos puertos del Pico y Menga , en la provincia de Avila. ugi, D. Francisco Barra, 1). Gonzalo Cárdenas , el marques de TorA la comisión de Guerra dos del Sr. Herrera Buslamente; la una reuueva, D. Joaquín Lumbreras , D…</t>
  </si>
  <si>
    <t>…ional, en concepto «le subversivo y sedicioso, te r-unió el jurado tener para si los dones y efecto* de esta prodigalidad. El partido decaído compuesto de los se Sores siguientes: D. Marcos Izquierdo, D. Anice boy daba m,hiu la ley 4 su sucesor, y esu es la historia en general to Lizana, D. Jotef Radon , D. Francisco Msrt&lt;nez Marina, D. Jode esas leyes. tef Reher, D. Lino Campos , D Jotef Larteategui, D. Antonio Ra Es pues preciso no desconocer esto, y te…</t>
  </si>
  <si>
    <t>…; f Que nos oculta el velo de los años. habiéndose reunido el jurado, compuesto de losSeet. D. Cayetano Ro Se venden ios dos primeros cantos, y el tercero intercalar (qo* a mero, D. Marcos Izquierdo , D. Mamerto de Landaburu, D. Josef de •1 original del autor ) «n la librería de Cruz. han M.llan, D. Jo,ef Gómez Albacete, D. Julián de Fuent.s, Dea ANUNCIOS. Francisco Martínez Marina, D. Gonzalo Cárdenas y D. Matías Pini- Por providencia del Sr. D. Angel F…</t>
  </si>
  <si>
    <t>…................... 2400 guientes: D. Gregorio Migusl de Mendivil, D. Josef Rivcs Queraltó, Ascenso á presidente de él........................................................ aooo D. Marcos Izquierdo , D. Francisco Travesado, D. Antonio Dazdel Los honorarios deberán satisfacer lo mismo,, incluyéndose en el Moral, D. Josef Pió Santos, D. Pedro Matute, D. Miguel Hipa y pago de lo* grados anteriores, si no lo* hubiere satisfecho, por cgem- D B n.to Ortega Ro…</t>
  </si>
  <si>
    <t>Izturiz</t>
  </si>
  <si>
    <t>…sea posible demoras y perjuicios ulte Art. 3-n ” Las reclamaciones fundadas en el tratado de aode Julio riores.” de 1814 y convención de ao de Noviembre de 1815 se dividirán en El Sr. Izturiz propuso se añadiese después de la palabra •• liquida dos clases principales, á saber, reclamaciones fundadas y legítimas (por ción » y i su nombre ai lo juzgare conveniente el Gobierno.” estar expn-samente comprendidas en ios tratados) y reclamaciones du El S…</t>
  </si>
  <si>
    <t>J'alvito</t>
  </si>
  <si>
    <t>…de presidente, v ice-presiden te y un secretario. se la habían pesado, y se levantó la saion. En la votación para presidente tuvieron, el Sr. Alava 70 votos, el NOTICIAS DE ESPAÑA Sr. J'alvito 68 , el Sr. Alonso uno, y el Sr.Cutejon uno; y no habien do tenido ninguno de dichos sefiores la mitad mas uno del total 140, Barcelona ti de Atril. se procedió á segundo escrutinio entre los Sres. Alava y Sálvalo, en el Ayer salió para Mstaró el Excmo. Sr. g…</t>
  </si>
  <si>
    <t>J'uregui, Manuel Francisco de</t>
  </si>
  <si>
    <t>Manuel Francisco de J'uregui</t>
  </si>
  <si>
    <t>…ó cometer hostilidades contra Espafia ú sus aliado», es también trai presentase su sucesor. Se acompañaba asimismo el oficio que pasó el dor, y sufrirá la pena da muerte. brigadia D. Manuel Francisco de J'uregui al Gobierno, participán • Sin embargo , si la excitación no hubiera llegado á surtir efecto dole esto mismo. 1 ■» Cortes acordaron que se uniese al expediente. alguno al tiempo del juicio, ni hubiere entonces peligro inmediato d« Se continuó I* discusión que…</t>
  </si>
  <si>
    <t>J, D-</t>
  </si>
  <si>
    <t>D- J</t>
  </si>
  <si>
    <t>…io del r. se Las Cortes recibieron con aprecio y mandaron pasase 4 la comisión cretario «le la Gobernaron de la Península, manifestando la neersio-d de Hacienda una exposición del brigadier D- J sef Rodríguez de Arias d organizar el ramo de cárceles, casas de corrección y presidios, según por la cual c día en favor del erario un crédito contra el estado impor el código penal sprob do por las Cortes, señalando loa arbitrios coa tante t69 rs ; y pedia…</t>
  </si>
  <si>
    <t>J, Gaspar</t>
  </si>
  <si>
    <t>Gaspar J</t>
  </si>
  <si>
    <t>…una circular, en la que se dice que deb endose aumentar la causa del divorcio ss ventila, 7 la egecucion de la sentencia se confia fuerza de la columna que está a las órdenes del coronel D. Gaspar J íual juez. Los casos son y deben ser muy raros; y asi creía el ministro rtgui, destinada á perseguir á los pettu.badores , te admitirán en ella á de Justicia que el proyecto era enteramente admisible.. todos los voluntario* que quieran alistarse, y se les pag…</t>
  </si>
  <si>
    <t>J, Josef</t>
  </si>
  <si>
    <t>Josef J</t>
  </si>
  <si>
    <t>…us ndoles una pérdida considera los pu.blos de Ttbscas y Esqu-vias, al mando del bizarro cabo e.° de la ble entre muertos y hndo,, y cogiendo prisionero en el pajar del me primera D. Josef J&lt;.-au!«.s, J - 18 soldados de infantería del regimien lón a un cabecilla de S. Andrés. El comandante l’.r.garron salió al to del Infante D. Antonio, á las órdanesde D. Lona i no Corrales, d# encu. otro con su tropa para envolver á los facciosos ; pero su preci…</t>
  </si>
  <si>
    <t>J, Josef Segundo Soler y</t>
  </si>
  <si>
    <t>Josef Segundo Soler y J</t>
  </si>
  <si>
    <t>…ión , Juros y ofi do , el barón de las Cuatro Torres ,D. Josef Pujol, D. Nicolás Villa- cina de Renovación de vale*, cuya publicación se egecuta á mas de ha campa, D. Tomas Vives, D. Josef Segundo Soler y J.-nkins , Don berse acompañado á la gaceta del lunes 10 del coniente mes , para que Pedro Rambaud, D. Francisco Ignacio Pelleja y D. Josef Antonio si algún interesado tuviese que hacer alguna reclamación lo verifique en Bertrán. el término preciso de dos meses,…</t>
  </si>
  <si>
    <t>J, Juan</t>
  </si>
  <si>
    <t>Juan J</t>
  </si>
  <si>
    <t>…es oyeron con agrado la manifestación que hacia de sus sen municipal de Fraga; D. Antonio M ilán de Fabara, D. Manuel Cor timientos patrióticos el Sr. D. Miguel López Baños. tés , D. Juan J.ssef Perez, D. Pedro Antonio Barena, gefe militar del A la comisión de Marina se pasó una consulta del Gobierno acer cordon; I). Josef S. Juan , I?. Amonio boro, D. Andrés Vahe , pirca de la pena que deberá imponerse á los desertores de segunda vez del recode…</t>
  </si>
  <si>
    <t>J-'raocicco, Manuel</t>
  </si>
  <si>
    <t>Manuel J-'raocicco</t>
  </si>
  <si>
    <t>…retario de la Gobernación de la Península, en el que participaba pondencia , ó por cualquiera otra inteligencia, intriga ó maquinación á las Corta de orden del Rey haber entregado D. Manuel J-'raocicco con alguna ó algunas potencias extrangera», ó con sus ministros ó agen Jáurtgui el mando militar ai brigadier D. Jacinto Romarate, y que es tes i procurare excitarlas, inducirlas ó empefiarlai i emprender la guer taba pronto á hacer lo mismo con el gobierno p…</t>
  </si>
  <si>
    <t>J-uregui</t>
  </si>
  <si>
    <t>…pueda tun la villa de Ataun, por haber suministrado racione* á ios iacciosos con earse. ; P ro que resultará ! Qut los crédulos, dando en el laza, arnudo tra una orden expresa del coronel J-uregui. como siempre con mucho artificio, tendrán que volver a tentar d-.:.tro Se ha hecho tomar pasaporte para fuera de la provincia á siete de de poto. J.as ¿ precios muy subí ios los mismos fondos de que se ¡m, loa ocho individuo* que fueron asegurados «n el cast…</t>
  </si>
  <si>
    <t>…e.a m-.ríbeo aca»o nrT *er* ma. (&gt;u: el r*- so facc oso en E.tella, y nu-str.s aranzidt» á ¡ro leguas de ¡.1 de este: sii&lt;id.io dó pjrdid»* &lt;jue hayan tuíisdo especuladores ds el coronel J-uregui en la Borunda con 1 zoo hombre» ; y por alguno» y &lt;:e Lóndrc'* otros pu'to» , todo* tomados para atraer a una acción ai lium'do eccr,,Oíros novelero# de la 1&gt;o!m hallaban m« cerca de nosotros un mo cito reai de Nevaría, estaban repartidos var.os cuerpos de tr…</t>
  </si>
  <si>
    <t>Ja</t>
  </si>
  <si>
    <t>…te su retirada se debe abancoiu&gt;ín d chi altura. Ja ú'l n i guerra de Ja independencia. Uno de ius Untos ma* fuert s di •» Vvu mos su marcha, y estando ya ■; ias órdenes dilExemo. Sr. Don Ja España, y que con tanto heroismo cor.tr.buvó á an qaúar hace pocos Fiancisco Copons, hizo a lo nuestra coiumnr para d tigirle; algunos años tas furst sde un pérfido invasor, aparee.i&gt; armado en la plaza d- la tiros de metralla, lo, que cantos sobre sus masas aun:-ma…</t>
  </si>
  <si>
    <t>…sco María Crespo, y en verdad jue -j parte no desmintió mi _Los periódicos ingleses publican un documento que se mira como presagio, la caída en manos de la facc.or del caudiíio y comandante Ja explicación del plan que por el ministro de una mm potencia se ha Tabú mea, cuyo mando tomé coa el srntn.'cn’o y pínaqueV. S. pue de presentar en el próximo Congreso, y según el cual entre ocr-s cosas de considerar. A su consecuencia arengué á ia tropa nuevam…</t>
  </si>
  <si>
    <t>Ja, Francisco</t>
  </si>
  <si>
    <t>Francisco Ja</t>
  </si>
  <si>
    <t>…ernador militar de Matanzas en la t»la de Cuba. Aprobado. de nuestros glor.osos afanes y de los saludables efectos del sistema cons La misma comisión, en vista de la exposición de D. Francisco Ja titucional , se empeña con mas porfia el genio de la discordia en levan vier Barra, gefe «lela cacuela de caminos y canales, sobre aumento de tar su negra cabeza para sumirnos en una horrorosa anarquía, cuyos su sueldo para gastos de escritorio fice., opinaba…</t>
  </si>
  <si>
    <t>Ja.mes</t>
  </si>
  <si>
    <t>…n: estaba entre los parisienses btetan de que se trata cuanta, medidas les sugiera su acreditado z-.io .íce. te extendida la opinión de que el Gab.nete francés tendrá que resol El Sr. Ja.mes pieguntó cómo se había de entender La palabra despo verse i seguir la política J.-1 de St. James ó la del de Petersburgo: y blado-, 1 lo que contesto el Si. Galiano qu: la comisión no interpretaba creían que lo prun ro seria lo mis regular. Esto significa s n…</t>
  </si>
  <si>
    <t>Já.regut</t>
  </si>
  <si>
    <t>…la formación de cau.a á Jáuson la a.&gt; rtura d 1 juicio, y el juicio m sino: podrá muy bien suceder régui. No voy á calificar doctrinas, sino á calificar hechos; pero es ne qu. el brigadier Já.regut se haya visto obligad ' ;í obrar como lo ha he- cesario que para esto se esté á todas las circunstancias de estos hechos, c o, y en consecuencia que se hallase comprom tido por un error de para que dundo;es el vaior que merezcm , se gradú, n como corresponde.…</t>
  </si>
  <si>
    <t>Jabalquinto, Eugenio</t>
  </si>
  <si>
    <t>Eugenio Jabalquinto</t>
  </si>
  <si>
    <t>…es á nuestros puertos, los cua de Hmojosa de la Serena contra el juez de primera instancia de aque les, por no pagar los crecidos derechos que están impuestos, se iban á lla villa D. Eugenio Jabalquinto por haber infringido el art. 284 de otra parte á cargar aquellos frutos, como hace poco habia sucedido con la Constitución, y pidiendo se declarase haber lugar á la formación de un buque sueco que llegó á Cádiz para exportar un cargamento de sal; y causa, opi…</t>
  </si>
  <si>
    <t>Jablecido</t>
  </si>
  <si>
    <t>…tasen juramento, y tomando poseaion quedase Bate parte no» hace ver que el general Zarco d.l Valle había esta- instalada aquella junta , se vetificó uoo y otro con solos los Srea. D. Jablecido »u cuartel general en el camino entre Barbastro y Haesca, sin cobo Purga , D Manuel de Rivacoba y Gorvea y D. Mariano Goi duda con el objeto de impedir que lo» facciosos se dir -jan a Navarra, coechea, no habiéndose presentado el Sr. D. Juan Muguiro,que tiene…</t>
  </si>
  <si>
    <t>Jac</t>
  </si>
  <si>
    <t>…ma conspiración central han sido de contribuciones directas del partido de $ gev a caminado 1 amortiguar el espíritu público , y se ¡ia trabajado en hacer Valladoiid administrador D. Jac nto García de la Torre, director nu'os ó ridículos los frutos de la Con titucion. Este sisi-ma lleva en sf de contribuciones directas de Taicncia. Interventor D. Sebastian da todos los principos del bizn y de la jusl.cia. l.o* pu-b'ss mas oprimi Se«nper:, adm…</t>
  </si>
  <si>
    <t>…res, y en el de dos si están en la* milicia voluntaria se presentó á ella por primera vez dicho Sr. gefs po “^Te'n este intermedio tuvieren la osadía de atacar de palabra ó lítico D. Jac .bo Gil de Avalle: pasó una revista de armas : lts h.bló con la 111 yor afabilidad, y les arengó en lo* términos mi, expre por escrito el sistema y la sagrad* csusa del Brasil, se formar» sutna- sivos, i ló que correspondieron los miliciano* con rep tilos viv…</t>
  </si>
  <si>
    <t>Jacin</t>
  </si>
  <si>
    <t>ii gó tivo» # haya acuchillado f (fesbcratado en el octavo a tropas numerosas » Accediendo á las repetidas instancias que me ha hecho D. Jacin y tan valientes por su instituto como feroces por su compromiso y des to Rom.late para que le exonere del encargo de secretario de Estado esperación. Los campos de Maratón se ven ya ecl; piados por ia plaza y del Despacho de Marina, he venido en admitirle la…</t>
  </si>
  <si>
    <t>Jacinto</t>
  </si>
  <si>
    <t>…y obediencia á ese augusto Congreso de lae Cortee, Sexto: » Cuando no baca las visitas de cárcel prescritas por las leyes, entregando el mando militar de esta provincia de Cádiz ú D. Jacinto ó no visita todos loa presos; ó cuando sabiéndolo tolera que el alcaide Romarate , espera que los padrea de la patria oigan su voz, que va 4 loa tenga privados dé comunicación esa orden judicial, ócn expresarles las necesidades y los deseos del pueblo gaditan…</t>
  </si>
  <si>
    <t>…presente as 1* discusión del dictamen de la comi- sentencia pierde tu «festino, y el prelado M pierde tu autoridad, y de aínn especial sobre los asuntos de Cádiz una exposición de D. Jacinto aquí se deduce que en cierto modo no se verifica la verdadera igualdad Ronuzate, en que pedia se instase por las Cortes é S. M. pan que exo legal. Para probar esto se ha alegado la razón inexacta de que el magis nerase fi los ministros. trado pierde tu «festi…</t>
  </si>
  <si>
    <t>Jackson</t>
  </si>
  <si>
    <t>…ensage tiene la fecha de 3 de Diciembre de 1821: el día i.9 .Los Estados-Unidos no pudieron consentir en este derecho..Las mis habia recibido el presidente la dimisión que hizo el general Jackson. mas condiciones se ofrecieron á la Francia y no se admitieron ; y ha Mr. Harbow ha .sido nombrado presidente de la Cámara de los di bitado pedido su Gobierno condiciones mas favorables á su navegación, putados. se tuvo por conveniente concedérselas. Es lásti…</t>
  </si>
  <si>
    <t>Jactfco</t>
  </si>
  <si>
    <t>…uí a: dj-se que se le ha Ramos, D. Mariano Moreno. D. Aranasio Cuadros, D. Buenaven ba torced do a introduce.on cu ndo . ra encarnado de Negocios de tura Basas, D. Gaspar Delvado, D. Jactfco huno, D. Miguel Mnl“ius,a,se quejó el hr. Oifers de que se hiciese pública la suspensión de querra, D. Juan Bsutisu ¿abala, D. banuago Aiificz, D. Joscf Moa-</t>
  </si>
  <si>
    <t>Jaén</t>
  </si>
  <si>
    <t>…ldados - prisio bía llegado á una ermita y alturas, camino medio entre Tolva y B-na neros un sargento y 4 soldados. ba rre, cuyo costado izquierdo cubría el gefe de la plana mayor Don Jaén. .Muertos a soldados -. heridos un subalterno y 4 soldados : pri Lúeas Velasco con las que llevaba, dirigiéndolas dos piezas da at- sioneros a cap tañes, 4 subalternos, a sargentos y 13 cabos y so.dados. ti lzría a la posición de la citada ermita. Los primero…</t>
  </si>
  <si>
    <t>Jaén-, Juan</t>
  </si>
  <si>
    <t>Juan Jaén-</t>
  </si>
  <si>
    <t>…la, pata rinnd se __En la villa de Jibrique se han acogido al Indu’to las personas si- cree que saldrá el día ao.” Esta mudanza de ministro puede dar n.ñi yuint’s: El cura párroco D. Juan Jaén-, su hijo D. Jos f Ja-n, pres vo i muchas conjeturas. Los periódicos publican el oficio de Gr.bi rbítero; D. Sebastian Vallejos, L&gt;. Jos-f Jaén, Juan Ga marro l’alina, no; la salud de Mr. Lutzow es, por supuesto , la causa de e.u previ Juan Gil Rubio, Josf Afu…</t>
  </si>
  <si>
    <t>Jaima</t>
  </si>
  <si>
    <t>…egocio srduo á la delibe ración de las actúala Corta extraordinarias reunida por circunstancias Seskn del dite i£. &amp; layó f «probó el acu de la anterior. Admitida fi discusión, al Sr. Jaima, como autor de ella,1naaifi stó Se dió cuenu de un oficio del ir. secretario de la Gobernación de ía razona que había tenido para fórmala no eran otros que el quela Península , invitando de orden de S. M. á Jas Cortes cxtraordtnaCorta reunida extraordinariame…</t>
  </si>
  <si>
    <t>Jaima, Josef Mana</t>
  </si>
  <si>
    <t>Josef Mana Jaima</t>
  </si>
  <si>
    <t>…corte, al de Julio, se ha servido nombrar mag’str do, de la audiencia t rntorial cual pr-.c. ile una advertencia , en que se indican las razones que ha teñi d- Castilla la Vieja á D. Josef Mana Jaima, D. Agustín Rodriguen rlo para reducirle al expresado principio, be hallará en las librerías de Buhamonde y D. Josef Vecino. Q.ii.ós, en ia de banz, en la de kanz y en la de B«un. frota. En el anuncio de ayer titulado JnveitigaríoHej analíticas é-c. El Rey, i…</t>
  </si>
  <si>
    <t>Jaime</t>
  </si>
  <si>
    <t>…que no debía accederse á dicha solicitud. Aprobado. muy notablrs de parte de los alcaldes y ayuntamiento constitucional de Otro sobre la solicitud de Dofia María Carbón, viuda de D. Jaime la ciudad de Lorca; y las infracciones mas manifiestas por parte de es Alcalde, vecina de Cartagena, pidiendo permiso para rifar una ha tas autoridades, á cuyo cargo está la fortuna, los bienes , y finalmente las cienda ; la comisión opinaba que tampoco podía…</t>
  </si>
  <si>
    <t>…e otro modo seria decre co. Aprobado. tar la ruina de aquella provincia. La comisión de Guerra presentó sn dictamen sobre varias adicio Se leyó por primera vez una proposición del Sr. Jaime* pera que nes al reemplazo del egército, y se mansió quedase sobre la mesa. se derogase el art. 6.a del decreto de 4 de Enero de 1813 Continuo la discusión sobre el empréstito. Se leyeron por segunda vez las siguientes proposiciones, y se man El Sr. Adan dijo…</t>
  </si>
  <si>
    <t>…curso de una noche ó de mediodía natural. Si el abandono de puesto tomar por arrendamiento. Aprobada. ú omisión del aviso sucediere estando el enemigo á mayor distancia, Otra del Sr. Jaime* *1 mismo art. 4.a, para que la facultad que por sufrir i el delincuente el arresto de tres meses.” él se concede á los ayuntamientos de poder cargar á la contribución de El Sr. \lv ar hizo presente que este artículo comprendía una mul consumos lo que estimen…</t>
  </si>
  <si>
    <t>…rnnrdo Asenjo, D. Joaquín Huerta Cevallos, D. Angel Bonal- fecha en'Madrid á 14 de Julio de 1578: otro de io3 mn. al millar, to, D. Martin Z»randia,D. Francisco López Olavarrieta, D. Jaime renta 33,660 mrs., situados en el partido de Sigüenza , fecha en Raíz Abreu , D. Valentín de Nicolás, D. Antonio Díaz del Moral y Madrid á 15 de Junio de 1614; se suplica á la persona en cuyo D. Ramón Llor. poder se hallen, se sirva entregarlos á D. Joaquín d…</t>
  </si>
  <si>
    <t>Jaime, Eduardo</t>
  </si>
  <si>
    <t>Eduardo Jaime</t>
  </si>
  <si>
    <t>…mino por y es que el hered-ro de ella es :l duque de Calabria ; dificultad que no 77 votos de 115 siempre es grande para los poderoso». Para la de Ovi-'do se proponían 3 los Sres. D. Eduardo Jaime, Se procura difundir la voz de qu- se trata de devolver i ios caba D Joaquín Cubi ¡o y D. Juan Maitinez Loque; y fue ele-u el señor lleros de MaJta su isla : esta idea pudi rj 1 ,_-r ---e-r qu: !o&gt; m r.istros Jaime por 6g votos di ijb. dei Ci ngreso no euardv…</t>
  </si>
  <si>
    <t>Jaime, Josef María</t>
  </si>
  <si>
    <t>Josef María Jaime</t>
  </si>
  <si>
    <t>…abían tenido á dicho cónsul como sos ve á efecto ia presentad;, n de cuentas. pechoso , y le vigilaban mucho , y sobre todo que el Gobierno hab a Se dió cuenta de una .xpn»c:&amp;n de D. Josef María Jaime, en la notificado al cónsul general dei Emperador Alejandro, á su iegac.cn que recordando »us setv.cios v p.ii-_:mientos por la causi de la 1 bir y á todos los demás súbditos rusos que saliesen del territorio de las is lad , por los que mereció de 1-, anterio…</t>
  </si>
  <si>
    <t>Jaimes</t>
  </si>
  <si>
    <t>…ar. Quedó retirado el voto particular del Sr. Arguelles. res, y sí otra cosa que resolvieron !a&gt; Cortes en sesión sec'eta , cuyas Se hizo la primera lectura de una proposición del Sr. Jaimes pan providencias examina el Gobierno ; y anuncio también cae s-n oeersique se acordase entre otras cosas que Interin recibía el decreto aproba dad di sentar «1 principio de la enajenación , dentro di tres meses no do la sanción de S. M. se continuase i los ll…</t>
  </si>
  <si>
    <t>…ndolos 4 los que no ten raleza 4 todos los hombres con igualdad! U nos motivos tan podeto&gt;os gan medios. y tan justos no podían menos de preparar el instante en que la na Otra del Sr. Jaimes, haciendo una adición 4 la regla cuarta del ar ción indignada, y recordando sus antiguas glorias, debía reunir sus tículo 101 del reglamento interior de Cortes que trata de las discu fuerzas para recobrar sus derechos, y vengar la patria de una tiranía siones…</t>
  </si>
  <si>
    <t>…prirlegio de usa- pape! de Madrll Miircolet »6 dt Junio. pobres , continúen gozando de la m usí gracia. La com.tion informaba fa vorab.emente , y quedó aprobada. CORTES. Otra del Sr. Jaimes, para que á las corporac ones y particulares que ransioBvcia dhi sk9ox coubZ sbcBXBA. en el dia señalado por la autoridad superior no hub'fsen cubierto as contribuciones , ademas de eximírseles esta», se les recargue y haga prest Sesión extraordinaria del 0$.…</t>
  </si>
  <si>
    <t>…ar cualquiera otro.fed de Sr. presidente El contestó que aunque el Gobierno sometía i la de negocios por otro conduelo que el del Gobierno , cuya idea, según ha bía manifestado el Sr. Jaimes, atabe enteramente conforme con el esliberación de las Cortes el proyecto presentado por el mismo, esto no impedía que la comisión luciese todas las modificaciones que tuviese píritu de la letra de le Constitución. El Sr. Oltvert Pido se lea el oficio del Gob…</t>
  </si>
  <si>
    <t>…n Cont nuo la d.scus.on sobre el reglamento ventral de policía. enviado ua escuadrón de a misarios secri-tus para cXlr.v ar el c.pmtu Se mandó pasn ¡í la cotn.sion una adición del Sr. Jaimes a uno de público, pertuibar la tranquilidad , y fom-ntai . i o .1 día y la anar loa articu-o. aprobados , y otra del Sr. Zulueta. quía en el Brasil. Estos péibdos *m sanos, ase. uracos fle que ci pueblo Se aprobaron ios artículos siguirnt.si tiene un odio imp…</t>
  </si>
  <si>
    <t>Jalcson</t>
  </si>
  <si>
    <t>…etaña no está de semejante parec.r. be ig hubo entre el gobernad r español de la Florida ti coronel Calava v el nora el dictamen de las demas potencias; pero como este punto entra general Jalcson. Añade que dicho mm.stro se ha retirado si campo con en la línea delicada de las trgitimi.lj.iet, no es verosímil que consientan animo de m volver i la capital huta que su corte le dé nuevas órdenes, se obre contra un proclamados principios; y mas cuando son…</t>
  </si>
  <si>
    <t>Jamin</t>
  </si>
  <si>
    <t>…y,y la Regencia permanente afiadiri prender el castillo de Saumur. Habiendo tenido noticia de este proyec ademas de eso «que entregará el gobierno luego que el sucesor de ln to e| general Jamin por d general Gentil Si. Alphonse, salió de An corona llegue á ser major de edad, ó cese la imposibilidad del Rej.” jees en la nubnt del *g, 7 se dirigió á Saumur con dos compafiía* Art. la8. » La Regencia permanente egercetáia autoridad Real, Id regimiento 4…</t>
  </si>
  <si>
    <t>JanEn</t>
  </si>
  <si>
    <t>…demás no debían sujetarse á la deliberación de las Cortes extraordinarias, y stancctON onnnaAL ai lornaiAt n*cio*Aiaa. por la tanto con venia en que se dirigiese la exroiiemn del brigadier JanEn la extracción de la primitiva lotería nacional, egecutada en la regni, y en vez de conexión se pusiese fui-.i conexión. tarde de ayer , han salido por el mismo orden con que aquí se anotan El Sr. Alaman manifestó que la secretaria había creído de su deber lo*…</t>
  </si>
  <si>
    <t>Janer</t>
  </si>
  <si>
    <t>…esen que pagar un derecho para to , quedó aprobedo el dictamen de la comisión. la obra de un puerto en Canaria». I. comisión de Comercio presentó su dictamen acerca de la* expo Fl Sr. Janer drahizo algún» equivocación** que dijo habia padeci sición» de varios navieros de S. Feliu de Guixols, del ayuntamiento do el Sr. preopinante , afiadiendo que el Sr. Olivar pertenecía 4 la pro constitucional y consulado de la ciudad de Tarragona y de otros va…</t>
  </si>
  <si>
    <t>…puede pres El Sr. secretario de la G -bernae nr. de l-tramar F~ la cufst:--&gt;n cindir da estas consideraciones- presente se trata de heclic., y cuando 'i.i-e ■ . ,&gt;•&gt; s‘ .i'-.ne El Sr. Janer manifestó que con motivo de hab.-r llegado a la Hi- tos hechos, y si hay culpabilidad , »- ; ce: : ha. r .t:,, . cu» has» vana muchos oficiales de Costa-firme, y haber otra porcicn considcrsbla faltado La «¡suca a que se refitrer. es: - i- . o- .» art 1 . • a…</t>
  </si>
  <si>
    <t>Janer, Félix</t>
  </si>
  <si>
    <t>Félix Janer</t>
  </si>
  <si>
    <t>…Illas; D. Francisco Soler; D. Ma.ln Coro mi ñas: D. Francis co Subirachs; D. Salvador Manzanares; ü. Agustín Jaumeandrcu; Don Por tras'ación de D. Mrnuel Vidaurre y Encalada y de Don Félix Janer y D. Josef AngtaseM. Agustín kidnfuz Bañan oíd., magi Irados de la audiencia de ANUNCIOS. Puno Peíncipe, n la i. a el. Cuba, - igua-rs plazas á las audiencias de la Cora a y Va lalniid, h,i quédalo vaeai t r ra, qu obtenían en El Rey constitucional de las F.pañas D. Fernando vrt…</t>
  </si>
  <si>
    <t>Jáoregai, Gaspar de</t>
  </si>
  <si>
    <t>Gaspar de Jáoregai</t>
  </si>
  <si>
    <t>…Encargo á los apuntamientos que den á «ta orden toda la publici guientes: dad necesaria para que llegue al conocimiento de todos los interesados, i.1 » Se pondrá i disposición del coronel D. Gaspar de Jáoregai un excitando para el objeto la cooparacion de los párrocos, á fin de que la fuerza respetable de tropa permamente y de voluntario! para que recor anuncien con toda brevedad p con la expresión que la gravedad del ob ra esta provincia en persecución de los facc…</t>
  </si>
  <si>
    <t>Jaques, Joaquín</t>
  </si>
  <si>
    <t>Joaquín Jaques</t>
  </si>
  <si>
    <t>…virtiesen ai propio tiem res D. Mariano Altaoja , D. Jotef Lloro, D. Caferino Lagrava, Don po qu* instruyesen á la juventud, haciéndola ver lo* peligros á qssa es Mariano Nassrre, D. Joaquín Jaques, D. Nicitio Manuel Villanueva, tá expuesta y el modo de avilarlo* , dió á lúa esta obra. Cada lectura D. Pascual Ciprés, D. Juan Gómez de Aiba y D. Ramón Gazol, de lleva al frente una estampa fias, que representa el suceso mas intere clararon por unanimidad ,…</t>
  </si>
  <si>
    <t>Jaratnillo, Francisco</t>
  </si>
  <si>
    <t>Francisco Jaratnillo</t>
  </si>
  <si>
    <t>…Exento. Sr. comandante general de este octavo distrito militar al co 4 este interesado lo que se le había ex gido en el año i8ao en la adua ronel del cuerpo nacional de ingenieros D. Francisco Jaratnillo, fue na de Sevilla por un cargamento de ancharlas. Aprobado. desempeña cata comisión importante con las tropas del egército, fue La comisión de Diputaciones provinciales, habiendo visto la expo en gran parte se han sacado de la guarnición de esta plaza, cuyo…</t>
  </si>
  <si>
    <t>Jase</t>
  </si>
  <si>
    <t>…á D. Juan Manuel Subricr para la de Logroño a D. Manuel San alguno de la Constitución que diga que las Cortes deben hacerlo por sí tiago Calderón y Fonlecha . para la de Huesca á D. Jase: Cantolla, mirillas, pido se sirvan habilitar á la mesa o á una comisión para que auditor de guerra: para la de Gerona al coronel ID. Josef Pe lo, reparta todos, á excepción de los que presenten fu: dada duda de la rol: para la de J ítiva d coronel graduado D…</t>
  </si>
  <si>
    <t>Jaso</t>
  </si>
  <si>
    <t>…ob|ctos para que fueron observancia de la Constitución con sátiras ó invectivas pagará una mul concedidos. ta de ig t rgo duros, ó sufrirá un arresto de tras mes» 4 un afio ds El Sr. Jaso • prescindiendo de si las Corta extraordinarias podían reclusión , duplicándose una y otra pena si fuere peleona pública el de conocer de este atunto, opinó que ante todav cosas debía oírse ai Go lincuente. Pero si cometíase «te delito un funcionario púbtieo…</t>
  </si>
  <si>
    <t>Jau-, Agustín</t>
  </si>
  <si>
    <t>Agustín Jau-</t>
  </si>
  <si>
    <t>…sto, número 193 , declaran no haber lugar á la formación ministerio de Marina , inserto es la vacUs del 7 de .V’&lt;Mo últimos dr cauta por ocho votos contra udo , que ha sitio el ce D. Agustín Jau- — En la misma , c&lt;&gt;'. 1 -J, lín. 4;, donde díte Contervador imperial, lAcandreu. Barcelona ig Agosto da *8ia.sVcntura Mena. = Simón de léase CunttrvaJur impar.iM. EN LA IMPRENTA NACIONAL.</t>
  </si>
  <si>
    <t>Jaunwandieu, JoaquínAgustín</t>
  </si>
  <si>
    <t>JoaquínAgustín Jaunwandieu</t>
  </si>
  <si>
    <t>…i ¡a formación de cau Sel1 SierraLaborda,y O. D.JuanJuanFranciscoJosef SavironSantoUria;, D. Manuelsiendo Canfín,de dictamenD. Cristo-con desa,l8aa.=shabiendoVicentedisentidoAleño,D. JoaquínAgustín Jaunwandieu,Busques. BarcelonaJaime 11Bosch,de JunioFé trajo D. Mariano Espafiol y de los Hoyos y D. Pedro Nolasco La- lix lilla, Felipe Bertrán y Ros, Josef F.oiats, Erasmo de Janer y de Gomosa, Joaquín Busquet», y Mariano Esteve y Montó. ANUNCIOS. El promotor fiscal de…</t>
  </si>
  <si>
    <t>Jaur</t>
  </si>
  <si>
    <t>…echaron i huir hacia ia fábrica de Ara ar, con dirección, ai pa torias de aquellas mismas huestes que extendí.ron su dominación por recer , í Picueta, adonde se despa.hu aviso *1 coronel Jaur gui , yen toda la Europa. Cádiz a de Ju'io de i8as, año tercero de la restaura do siempre dos de lo» voluntarios tras de los face os » para no perder sis ción de la libertad de laa Espal.as. — Siguen las firmas.” lastro El deuuedo de la intrep.da m i&gt;c a am.z…</t>
  </si>
  <si>
    <t>Jáur</t>
  </si>
  <si>
    <t>…ción. El raciona para el monte de Pagochoeta , y á la hora salieron con direc comportamiento de los eclesiásticos en las juntas do vecinos honrados, ción á Azpeitia. Entretanto el coronel Jáur?gu¡ con su columna sa ba p el resultado de este servicio en cada pueblo sari el regulador del pro ilaba en Urratilla á muy corta distancia, después de haber recorrido las ceder de los eclesiásticos , que guiará tanteáis diputación provincial snmediaciona , si…</t>
  </si>
  <si>
    <t>Jáur-gui</t>
  </si>
  <si>
    <t>…una propo drs-i* un m 1111 hMm m» . ; (».-br '. m 1 - &gt; 111 •- r R ".ar-:.- * sición el r. Sancho , que d 'Cía asi . rlo i bnc ,d,ei J lur--iu* r-tr .. pido qu: la exposición del brigadier Jáur-gui y d*mas que t*n- »u Ii-d ■ y t t '* "O! » a »;&gt;| V ■, »■&gt; t ,.*s i *» , 1 - ¡ o p-, v. t, gan debida cnnex.on con los asuntos de Unfr y S &gt; :iia , fi: . I K y i .j.i ■ ya hab in d.»-*tad 1^.»» -» ... ». 4 . - i » . v r * hr { 1 i » r v, v... ha sujetado á ia…</t>
  </si>
  <si>
    <t>Jaurcgui</t>
  </si>
  <si>
    <t>…a , no se necesita el requisito se hallan en ei caso de dec¡a¡ar haber lugar á la formación de causa. El q e dice '. i mayoría de la comisión , aunque parece que sí por el art. 16 brigadier Jaurcgui tal vez se ha visto en la precisión de abrazar, no so c, c ¡&gt;. a. dé la &gt; y .re aq de Marzo de 1813 ; pero, cuando se trató lo ia medida que resulta del expediente, smo acaso acaso otra, que se d asm t &gt; de -cv.lía ¡ se nicesi'aron mas documentos que la simpl…</t>
  </si>
  <si>
    <t>Jáure</t>
  </si>
  <si>
    <t>…o esto á la ilustración del Sr. Ca atrava; pero tarla ve que estos inconvenientes son tan graves que pueden ocasionar •hora no es del caa&gt;. E: Gobierno, penetrad &lt; d:i mer lo .¡el Sr. Jáure» sigua tiastorno, puede suspender la egecucton, y tiene obligación ds gui, le dió ei testimonio mas sohmne y mas honorífico , pon éudoie en dar cu nta de estos inconvenientes. Yo he visto con m.icha s t.síaccion uuo de tos puestos mas elevados á que se pu*d:…</t>
  </si>
  <si>
    <t>Jáureeui</t>
  </si>
  <si>
    <t>…iban al alcance__ La partida de los curas apóstatas de esta provincia estableciéndose en el mismo puerto un grande a .macen para deposito de anda siempre huyendo de la columna del coronel Jáureeui ; cont rualos géneros, de modo que el Gobierno podrá tener una noticia exacta mente se desbandan de ella grupos, que por donde pa.sn cometen todo de los que entren, y de tu cantidad. Aquellos tuya introducción en el género de violencias y extorsiones. El id d…</t>
  </si>
  <si>
    <t>Jáuregoi</t>
  </si>
  <si>
    <t>…ojarlos «le las supes, y che can dirección hécia Oiquina. después de una tenas resistencia y terrible fuego, al fin te biso la co — «El 13 é las «los «le la tarde llegó á Otate el coronel Jáuregoi con lumna duefio de ella* , poniendo al enemigo en una precipitada fuga tu columna, 7 ti dia siguiente de madruga»?* salió para Vizcaya reuni por cuatro direcciones; la una fuá la del camino hécia Mondragon da do con la «leí brigadier Ruii de Porras. Él 12 ha…</t>
  </si>
  <si>
    <t>Jáuregui</t>
  </si>
  <si>
    <t>…ado el punto suficientemente discutido, se aprobó la propo parecéh estar mas sujetas á la coyunda del poder absoluto, entre las cuj sición , poniendo en ell^/*a representación del brigadier Jáuregui, y ex íes contaremos las tres citadas provincias, que por su situación local, por vez de conexión , debida conexión. el gobiérne* que la» rigc, y por su poca :I—;trac:-n, sos las qu- ousss Se acordó que sobre Tai demás exposiciones se digne so!» qae Saz esper…</t>
  </si>
  <si>
    <t>…; del de los ditos J respecto propio pira Íicndenorín* demasGobb:cnerno.al Asidesordenpues c&lt;ir.cque 'pttino á&gt; cmnla con&gt;o.1 mas cte ob el podía piocederse no responsabilidad que brigadier Jáuregui, á exigirla porque esta no puede txigirse á ningún empleado público sino en v i— jeto el dictamen de los sres. Gira do y Rainonct, y creo que est.onoa tu l de moción de un Sr. diputado, ó de que a formal de algún ciuda en el caso de dar el ¡ailo que en él se…</t>
  </si>
  <si>
    <t>…e lia si de la representación de t.° de Enero resultan cargos suficientes para habido, y que si no hubiera habido causas, no hubiera habido estos declarar la formación de causa al brigadier Jáuregui: yo expondré mi afectos. Estoy seguro de esto, porque es un principio reconocido; pero opinión con la franqueza que me es propia. as preciso saber si las causas son efectivamente las que se dicen. Yo no Se ha dicho que es indudable que hay una inobediencia ,…</t>
  </si>
  <si>
    <t>…o por la reptes ntaciun de t.' de Eneras •nobi pueda justificarse ei mayor criminal: vej e la raptes ntacion del última de us qu* ha dirigido a Congreso y ha tenido presente laco» brigadier Jáuregui cuando asegura que no ic muer: ningún int*res p rmisión: ha dado uti rt.a )e gozo á toda España, y roe parece muy ímpro aona., y se veri que se ha tle.ado a formar un fanatismo d. |j lipió que la t spu.sia á esta representación sea la formaciun de causa. Si b…</t>
  </si>
  <si>
    <t>…o las facultades del Gobierno, y aun del poder legisla ra la custodia y asistencia de los presos, y los de los egecutores de jus tivo. Estos ton hechos palpables, de los cuales ci brigadier Jáuregui ticia , se pagarán, acreditando los disfrutan por Reales órdenes. nos ha dado el primer egemplo. Art. j.° » La manutención de los presos pobres y gastos de sus en El Sr. presidente dijo que habia ya pasado mas de las cuatro horas fermerías. i.° Con ia cuenta…</t>
  </si>
  <si>
    <t>Jáureguí</t>
  </si>
  <si>
    <t>…sa, f tuase sobre el camino real en Villafranca á la esptlda de Zaldivia, po por junto á Noveleta (tierra de E.tella) llegó á Mendigorria, cruzó el niéndose en comunicación con el coronel Jáureguí. Entretanto .1 ca Orraca! . y se ha un do con Juanito- Se asegura que el 10 i la mañana pitán Kiquelmi con su partida permanec a en Am zqu-ta, para donde estaba Quesada rn Unzué, y parece mdudjble que toda la cruzada está aaiió el 6 i fin de obrar seuun las c…</t>
  </si>
  <si>
    <t>…4 Aizarna. Esta gavi tropa seguir el alnance. lla en número de 80 4 1 oo hombre* se encontró con la columna del No fu: solo el pueblo bajo el que manifestó tu opinión en este dia, coronel Jáuregui en la proximidad de ITibaneta. Prevalidos de tu peti los curas y frailes lo hicieron con la mayor decisión. D: los primeros, ción ventajosa, rompieron loa faccioso» el fue¿o, y fueron desalojados aquritos que han manifettado su aversión al sistema fueron sus…</t>
  </si>
  <si>
    <t>…los facciosos en todas direccciones por la columna do to nui-ve, entre ellos al ex-fraile Cortés, y de coger dos prisionero- , el mí mando , y otra de igual número mandada por el coronel Jáureguí, uno pasado por el cuerpo de un balazo, varios fusiles , ¡as raciones de reunieron todas sus fuerzas en el valle de Sai azar: reunidas también las pan que acababan de tomar, y corto equípag: de m nt.is, morrales y nuestras los perseguimos por dicho valle y el…</t>
  </si>
  <si>
    <t>…ín exterminados muy pronto, ti ya no lo estuvieren 4 esta Posteriormente 4 cali parte se lia sabido por aviso que recibió el ? echa. Cádiz 4 de Agosto da i8as.” —Kscario. referido coronel Jáuregui que Zaba la entró en Síguela al mismo día ldtm 6. 6 con 300 de loa suyos. »la M. N. V. de esta ciudad, que an todas. épocas y circunstan —El último corteo general del interior no lo recibimos hasta el me cia» ha acreditado su noble decisión en defensa del sis…</t>
  </si>
  <si>
    <t>…morirá gustoso be, al mando de su alférez D. Josef Serrano, tomé nuestra izquierda, con vosotros por la libertad vuestro comandantes Felipe Tolosana." haciéndolo de la derecha el coronel Jáuregui, con toda su caballería y los s 4 nacionales voluntarios de esta capital. En esta dirección con Barcelona Jl de Agotto. tinuamos un corlo rato, y á poco tiempo te avistó un centinela sobre Escriben de Manres* el tó lo que sigue: la altura del monte que descub…</t>
  </si>
  <si>
    <t>…linas i Vizcaya. Acosada allí escarmientos y demas disposiciones consiguientes f por ta columna del brigadier Porras, volvió á meterse en Motrico, y CaiatajyuJ 14 de Setiembre. •I coronel Jáuregui i perseguirla, tomando disposiciones para cubrir el A los habitantes de esta provincia. „Ciudadanos: Nombrado por punto de Vil tahona , por donde podían les facciosos atravesar el camino S. M. gefe superior político de esta fértil provincia, me presento ante…</t>
  </si>
  <si>
    <t>…s hallaba el capitán Soroa con sua vo'únanos pa?a'os par la » Esta noche pasaré en esta para dar descanso é la tropa 7 heridos, provincia situado m Viilareal hasta nueva orden del coronel Jáuregui, 7 trataré «le averiguar cual sea la verdadera dirección de los facciosos, pera atender entretanto é cualquiera ocurrencia. que creo sea la «le Arénaazu , cruzando esta noche la carretera, 7 ver si «— La facción «le CueviUas se ha visto precisad* i acercarse…</t>
  </si>
  <si>
    <t>…sula; y por tanto pida __Ayer llegó á esta ciudad el Sr. brigadier Ruiz de Porras con su pla que s- pasen estos 4 la comisión de Constitución para tenerlos á la vista na mayor, el coronel Jáuregui y parte de la valiente tropa de Valencuando se trate del asunto. Puesta esta idea 4 votación quedó aprobada. cey, que compone la columna de esta último, á conferenciar por solo El Sr. presidente levantó la sesión á la hora de costumbre. dos ó tres días con la…</t>
  </si>
  <si>
    <t>…a Orio pocos momentos después de haber pasado la columna Se hallará i t a rs. en rústica y 16 en pasta en el despacho de la im con que el brigadier Porras con su plana mayor y el .coronel Jáuregui prenta Nacional. volvieron 4 sai ir de esta ciudad el 14. Continúa el catalogo dt esta imprenta Nación.ti—Diógenes Laercio „F,I mismo día salió el Sr. gefe político para dar un paseo de cor los to libro,: dos tomos 40, á z8 rs. en papel y 40 en pasta-__Distos…</t>
  </si>
  <si>
    <t>…que iste partido es incorrigibi-, con su gente el puerto de S. Adrián, dirigiéndose al parecer hacia Ala pues que ni la experiencia ni la adversidad I au hecho en é¡ erecto va. El coronel Jáuregui, noticioso de este movimiento, pasó i Villareal alguno; ha sido víctima de una revolución , cuta ferocidad se debió con la tropa de Espilla, y dió orden para que acudiesen al misino en parte á lo* ataque* de las potencias extranjeras, y quisiera segu r punto…</t>
  </si>
  <si>
    <t>…e la Vega, Zuiuets , Galiano , Murfi y Marau, contrarios 4 la aproba la de S. Sebastian loa de España, Salamanca y Bctanzot, al mando del ción da vario* artículos de la ordenanza. coronel Jáuregui , debiéndoae aumentar la fuerza dtl primero hasta El gefa político de Jitira felicitó á las Cortea por las medida* ex mil plaraa, á cuyo fin deban llegar lusgo quintoa de Burgos. H1 co traordinarias que habian aprobado para el exterminio de lo* face ¡osos. ro…</t>
  </si>
  <si>
    <t>Jauregui</t>
  </si>
  <si>
    <t>…aber tenido enlames i pesar ti: lo dila doles á repasar de la otra parte por el puerto de Lizarraga, respecto ¿ tado del viage. que el puente de lrurzun lo hallaron ocupado por el coronel Jauregui con 900 infantes y so caballos. Los avisos que recibí contestes Son de TRI ai'SALBS. qu- vi.f.- n ya bastante deserción , y que hay muchos descontentos y des- En la audiencia territorial de Castilla la Nueva , y en su sala se c t fiinza dt- los cabecillas que…</t>
  </si>
  <si>
    <t>Jáuregui, Agustín</t>
  </si>
  <si>
    <t>Agustín Jáuregui</t>
  </si>
  <si>
    <t>…or Se leyeron un dictamen de la comisión de Guerra relativo á la so ganización del gobierno de las islas Terceras, de que quedaron apro licitud del teniente coronel de caballería D. Agustín Jáuregui, sobre bados algunos artículos, y otros pendientes para otra sesión. que se le confirmase el grado de coronel por habar astado en la expedi Idem dtl ir. ción de Ultramar; y otro de las comisiones de Hacienda y Visita del Se continuó la discusión del proyecto…</t>
  </si>
  <si>
    <t>…ta ¿ fines del año a t y Asimismo se ¿probó el dictamen de la comisión de Gueira sobre principios del 22 ese poderoso imperio que fundó un tártaro aventure que se declare valido á D. Agustín Jáuregui el ascenso á coionel que se ro , y que extiende sus dominios desde el Ponto hasta el Nilo, y des le concid ó en el egército txpi.dicior.ario de Ultramar. de el Eufrates al Danubio. Se cont ¡mió ia d.scusion de) código pirra!. Como todas las cosas humanas pere…</t>
  </si>
  <si>
    <t>Jáuregui, Gaspar de</t>
  </si>
  <si>
    <t>Gaspar de Jáuregui</t>
  </si>
  <si>
    <t>…temente ¡a marcha de estas columna», y que me can lavo.* ciúo En el Literal Guiruzcaano se publica loque sigue: mucho con sus c: cocimientos, fmendo el úit.mo en ¡a n de hoy *1 El coronel D. Gaspar de Jáuregui comunica el siguiente parte el arrojo de matar por sí mismo á tr , facciosos. Espero de V- n. t . ncon fecha 11 del comente en Uzquita á las once de la noch dra la bondad de eievar todo lo t í t Jo a; conocimiento del Excelen n Hoy dia 1 1 á la una de la tard…</t>
  </si>
  <si>
    <t>…s órdenes conve „Si me es posible pasaré hoy mismo por Azcoitia i Elgoibar, con nientes á efecto de qur ya sea por el general Milán*, ó con otra fu rza forme m; tenia prevenido el coronel D. Gaspar de Jáuregui, donde de la mas disponible , se auxilie esta plaza por todos loa medios practi espero las órdenes de V. S. cables. D.os guarde á V. b. muchos años. Gerona ;■ de Setiembre de « Dios guarde á V. S. muchos años. Azpeitla 14 de Setiembre de t8aa.=josef Ferol.ssS…</t>
  </si>
  <si>
    <t>Jáuregui, Josef Fermín de</t>
  </si>
  <si>
    <t>Josef Fermín de Jáuregui</t>
  </si>
  <si>
    <t>…t lógica, 8."marquilla, á 9 rs. en la Fuente, D. Pabío Solana, D. Diego María López, D. Juan Jimé rústica.—Eximeni, instituciones phitosophicae et mathcmaticae: dos nez de Enciso, D. Josef Fermín de Jáuregui , D. Joaquín Henriquez tomos 8 ° marquilla, á *8 rs. en papel y 38 en pasta.__Idem, de studiis y D. Eugenio de La-Torre , declararon haber lugar a formación dt philosophicis et mathzmatícis: un tomo 8.° marquilla, 9 1*. en papel cauta contra el autor de las p…</t>
  </si>
  <si>
    <t>Jáuregui, Josef Ferrmn de</t>
  </si>
  <si>
    <t>Josef Ferrmn de Jáuregui</t>
  </si>
  <si>
    <t>…uyó su discurso se levantó el Sr. pr-vdvnte Felipe de Alzu , D. Joaquin di MulgtEa, D. Manuel H dalgo y Ca de las Cortes, y contestó en estos términos. (Véate la 1 Caceta.") sino, D. Josef Ferrmn de Jáuregui , D. Líos d- Carretas y Ramón, H'b endo acabado de hablar el Sr. presidente, se f.vantó S. M., D Pablo Solana, D. Jo*;f García Mocj y Perez y D. ‘ asto de Utary salió del salón con el mismo orden que babia entrado; y a: llegar i ralde, declararon haber layar…</t>
  </si>
  <si>
    <t>Jáuregui, Manuel Francisco</t>
  </si>
  <si>
    <t>Manuel Francisco Jáuregui</t>
  </si>
  <si>
    <t>La comisión especial encargada de examinar la exposición del no pueden tener aplicación cuando los poderes del Estado están clasifi brigadier D. Manuel Francisco Jáuregui , fecha erTCidiz el i-° del cados y separados entre sí por límites que no pueden traspasarse impu corriente , presentó su dictamen sobre cite asunto, que se le tab a pasa nemente, y cuando las leyes de responsabilidad están cstab ecidas. Jota do por la propor…</t>
  </si>
  <si>
    <t>Jáuregui, Manuel Francisco de</t>
  </si>
  <si>
    <t>Manuel Francisco de Jáuregui</t>
  </si>
  <si>
    <t>…16 al 17 inclusive del corriente mes, re ayuntamiento de Barcelona l eñas el 29 de Diciembre ú'timo, la de sultando de toda la ciudad y hospitales unos seis cadáveres de todos se D. Manuel Francisco de Jáuregui de i.® del corriente, la del ayunta xos y edades en una temporada en qus ordinariamente no bajan en miento de Barcelona de t.° del mismo, y la copia de la que dirigie otros años de ij á 10 por día. ron varios ciudadanos del ayuntamiento de aquella plaza. Páre…</t>
  </si>
  <si>
    <t>Jauregui, Manuel Francisco de</t>
  </si>
  <si>
    <t>Manuel Francisco de Jauregui</t>
  </si>
  <si>
    <t>…los legos; y sin embargo La comisión especial nombrada para informar acerca de las últimas ex ae imponíá uná-ley ifc excepción contra tos eclesiásticos sin atender' posiciones del brigadier D. Manuel Francisco de Jauregui presentó de nue á lo aprobado en el art."i89 , que era un argumento muy fuerte con vo su dictamen, habiendo tenido en consideración la última representa tra este artículo. ción del mismo, que las Cortes mandaron pasar ¿ella enlasesión de 14 0u¿ se debía supon…</t>
  </si>
  <si>
    <t>…esta generalidad N. S. (Q. D. G.), su Seroso, hermano el infante D. Cirios, contra mí ae va á afligir á toda clase de magistrado* de salas y «le tribunales! Yo y otros varios por D. Manuel Francisco de Jáuregui y satélites ante V. creo que en esto te padece nna equivocación muy notable, y que nos digo se me ha conferido traslado de la acusación puesta en la causa aparta del verdadero camino. ¡ Se trata por ventura de declarar que ha formada para sostener la citada c…</t>
  </si>
  <si>
    <t>Jáurevul</t>
  </si>
  <si>
    <t>…o de la provincia de ban arreg o á la» demas que rigen en la materia, y dando cuenta á este su Sebastian. perior Gobierno para que dicte las providencias que le corresponden. __El coronel Jáurevul va poniendo guarniciones en tos pueblos que se Dio» guarde á V. muchos años. Méjico 17 de Agosto de r8ea.” muestran animados del horror merecido por las gavillas de asesinos y » Primera s-cretaría de Estado._Seccion de Gobierno__ Cu'nr'o ladrones qu. hacen es…</t>
  </si>
  <si>
    <t>Jav</t>
  </si>
  <si>
    <t>…votos dados en aquella ciudad ia nota del reis-eft'rndi, la cual se leia con el mayor cscrut n.o s-crcto." anhelo á causa de su contenido s&lt;Jist:ca. Nuestro Gobierno observaba ti Sr. Jav er Monteíro manifestó que" esta era una cuest’on muy todavía un profundo silencio a.erca de aquella nota, y se creía que na ventilada, y que siempre *- había h.-cho la elección púb: icamente , y da se resolvería hasta la vuelta de Mr. de TattitschcfF. nunca p…</t>
  </si>
  <si>
    <t>Javier</t>
  </si>
  <si>
    <t>…lito ó culpa, ó dejaren de poner para su corrección ó i los Sres. Cuesta, G»reli, Manescau, Clemencia, Villa, Zapata, castigo al oportuno remedio. Medrano, San Miguel y Martínez ( D. Javier - Si el delito ó culpa del inferior fuere tal, que aun en e! caso de Se continuó la discusión del código penal. tío haberse cometido sino por ineptitud, omisión ó descuido haga in currir á su autor en pérdida del empleo, perderá también el suyo el su carlTVio…</t>
  </si>
  <si>
    <t>…gud, Ezpdeta, Arrieta, Casaseca, Moya, Gareli/Vecino, Motda la Nación! No recordaré i las Cotias lo que precisamente saben ya. coao, Lopes (D. Marcial) , Queipo, Cuesta, Martínez (D. Javier), No diré el efecto que ha debido causar d nombramiento da algunos da Maniau , Gisbert, Manescan, Liñan, Villa, Azaola, Lorenzana, Pelos elegidos en d animo da todos, los española qne se interesan en d ñafipl, Lamadrid , Cabezas , Zayas, Benitéz, Domínguez, H…</t>
  </si>
  <si>
    <t>…nfinitas privaciones, Pcñafirl, Lorenzana , Lsmadrid , Cabeza), sancho , Subercase, Beni- han logrado reunir una corta cantidad que timen muy guardada; estos tez, Znas , Martínez ,D. Javier), Domínguez, Huerta, Bahamonde, laboriosos ciudadanos son diestros en la labranza; han labrado por Gil de Linares , Toreno , Sánchez Salvador, Argaiz , Lo izaga , Rodrí mucho tiempo las heredades agenas, y desean con ansia llegar á ser ha guez de Ledesma, Alv…</t>
  </si>
  <si>
    <t>Javier, Francisco</t>
  </si>
  <si>
    <t>Francisco Javier</t>
  </si>
  <si>
    <t>…ei dia 10 de Marzo próximo venidero. Cádiz. La comisión, habiendo examinado los pódete* presentados La Gitana ó memorias egipcias. Esta novela até escrita por el gé por los Sres. D. Francisco Javier lsturiz, D. Pedro Juan Zulucta, Don nero de la celebrada del inmortal Cervanta, titulada Persila y SigisJoaquín Abreu y D. Antonio Alcalá Galiano, y un oficio del Señor munda, y aunque son muy complicados y enredosos los lanca , están ministro de la Gobernaci…</t>
  </si>
  <si>
    <t>…Dolía María mieatu no debía causarle perjuicio en tu teputackm. Francisca de Ata en el último me* de su embaraño; y lo hacia presan Sefioro* que declararon absuelto dicho impreso: D. Francisco Javier te para el cumplimiento dd art. &gt;84 y siguiente* del reglamento, los de Olea y Cárnico, D. Francisco Salvi, D. Antonio Cenia, D. Josef cuales te leyeroá; y « acordó proceder después d nombramiento de loa Marañes, D. Ramón Diu de Ortega, D. Felipe Fernandez Ar…</t>
  </si>
  <si>
    <t>…os familiares sobre las preocupaciones generalmente esparci en lo fis co que en lo moral. Esta singularidad es tan notable,que sus das contra la vacuna; traducidos del francés por D. Francisco Javier mismos vecinos los sirios los miran como i unos hombres extraordi Laso , primer profesor médico-cirujano de la armada nacional , indi narios: y esta opmion se verifica particularmente respecto de las tri viduo de la sociedad médico-quirúrgica de Cádiz y de ot…</t>
  </si>
  <si>
    <t>JavieT, Candido Josef</t>
  </si>
  <si>
    <t>Candido Josef JavieT</t>
  </si>
  <si>
    <t>…Estado al mitre» que le S. M. se ha servido admitir la dimisión que del min:sterio de es propio para tener la ventaja de ocuparse en sus negocios mas s sus Guerra ha hecho el hr. D. Candido Josef JavieT, aunque está nur *aanchuras! ¡Que tal vez la saotá alianza no ha uro para el sino un me t.«fecho da sus servicio-: y ha nombrado para sucedería en esta minis dio, y no un objeto , y que hoy perjudica i sus miias después de haber terio al Sr. M.randa, ex-diput…</t>
  </si>
  <si>
    <t>Javíi, Francisco</t>
  </si>
  <si>
    <t>Francisco Javíi</t>
  </si>
  <si>
    <t>…tumbran los canallas. personas autorizadas al intento , y ios siig-tn. i quienes toca son los si El fruto de la acc on ha S’do el hsber destruido coinpí tam nte as for guientes: á D. Francisco Javíi r Perez de ZniV-lo d¡*z v*V» de dio tificaciones que i-nan ios face osos, y aprsado y conduc do a Vina- pesos y nu-ve He goo, según endoso de 1). Julián Vivanco en Miroz c neo barcos que t-rvan Elogia el va or de las tropas que concur- drid á 14 da Octubre de…</t>
  </si>
  <si>
    <t>Jdartelv</t>
  </si>
  <si>
    <t>…a contaren, pido que se tes el art. 10 dei decreto do Art. (g. » Se creará en la cor*.’ otra junta central «le cuatro indi ay de Jumo anterior, be leyó el articulo , 7 continuó el Sr. Jdartelv viduos partícipes secu ares de diezmos, nombrados por las juntas de que Por st articulo se ve lo que las Cortes «feterminaron para el retarcihsblaei artículo anterior, 7 será ¿ndviduo 7 presidente de ella ai que naento «le mi participes lego*, luciendo»? la d…</t>
  </si>
  <si>
    <t>Je</t>
  </si>
  <si>
    <t>…el in =A D. Angel Vallejo. teresante objeto que te han propuesto de conservar, perfeccionar y pro pagar por este medio los conocimientos útiles de toda clase , no han po Dirección general Je impuestos indirectos y efectos estancados. dido menos de llamar mi solicitud y particular cuidado. En su conse En Real orden de 26 del corriente se me previene que trate de pro cuencia , animado del mas vivo deseo de cooperar ¿ la prosperidad y glo porcionar…</t>
  </si>
  <si>
    <t>…a. 8. J n El faccioso que prenda ó quite la vida á cualquiera de lo» ca Zaragoza i~ Je Agosto. bezas de su cuadrilla se me presentará, y pediré al Gobierno le indul Oficio del Se- comandante Je la columna en pertecucion de facetosot ta de toda pena. £&gt;. Joscf Serrano al Sr. gefe político Je la provincia. 9.0 n El que profiera un grito en favor del Rey absoluto sufrirá la Columna de la milicia voluntaria Je Zaragoza. » Acabo de recibir pena como sedi…</t>
  </si>
  <si>
    <t>…os malvados y gloria de la guar Crédito pub co, y Je cnnsizuiente san i éc i :.u i. 00 , ha dispuesto nición , mi ioa y habitantes del heroico puch o de Madrid, que afir la oficma general Je liquidación á v.itud de 10 que s- ha pr vendo maron con su sangre el Código saz,ado de nuestias libeitades. i Loor por los señores de la coro s onde Vis ta , que c di mingo 1. del coreterno á tan predilecto» hijos de la patr a! La diputación provine,a) de ai-…</t>
  </si>
  <si>
    <t>…e Id caja dt la tesorería general Je la Nación, que comprende JetJe i.® hasta 30 inclusive del corriente mtt, según acta formalizada en este Jia por el tesorero general y contador general Je distribución, con arreglo al artículo l.‘\ capítulo 4.* dt la mstruccicm general de dicha te sorería , aprobada por S. M. en 9 dt Junio de 1822, en consecuencia del artículo 14 Jet decreto de tac Cortil de 7 de Mayo del mismo ario. lugre tos. Reales de vellón…</t>
  </si>
  <si>
    <t>…letamente Mes de Setiembre de 182a.destrozada la facción de C-rgol por la tropa de línea y la milicia; da Valí el 10, que á pesar H- tener Romagosa y el Trápense una fuerte Estado general Je ingresos y distribución correspondiente a' citado mes. división en Montb'anch con mas de too caballos, hab an sido batidos Ingresos. R¡.completamente, y que te retiraron hacia ia Llacuna. Escribían de F güe ras con fecha de1 9 que var os cuerpos de tropas fra…</t>
  </si>
  <si>
    <t>…lusive del cardad: mes, según acta formal: zuda en este día por ei tesorero general y contador general de distribución, con arreglo al arti.ino I.1’, caríiuio 4. de ia instruí aun general Je ai. na te surería , aprobada por S. .tí. en jj de Junio de idea, en cois.cuencia del and.do 14 d:l decreto de las Cortfs de 7 de Muyo del mismo año. In f1 eses. Reales de vellón. Por la existencia que resultó en caja en 31 de Octubre ú't'mo; i saber: Fn diner…</t>
  </si>
  <si>
    <t>Je, Antonio Fernandez Nona</t>
  </si>
  <si>
    <t>Antonio Fernandez Nona Je</t>
  </si>
  <si>
    <t>…algún día no nos arredró Bayona , tampoco nos amilana ahora Verana, por mas formidable que Habiéndose remitido en apelación á la audiencia de Madrid los au se nos píeseme. tos de D. Antonio Fernandez Nona Je, marido de Ignacia Paños, ve __Los turcos tienen ciertamente bello modo de hacer peticiones y de cinos de esta corre, con 1) Manuel López M1I0, presbítero que fue mau.f su- al Gobierno lo que quieren. Un escrito se lee ó no se lee; de la misma , y heredero fi…</t>
  </si>
  <si>
    <t>Jen</t>
  </si>
  <si>
    <t>…o. Para comandante general de él, que se compone Primtr eiistrito. Para comandante general de ¿l,que se compone de las de las provincias de Badajoz y Cécercs, al mariscal de campo D. Jen. provincias de Ciudad-Real, Cuenca, Guadalajara , Madrid y Toledo, quin Montcmayor, que desempeña actualmente ea propiedad la coman, al teniente general conde de Cartagena, que desempeña actualmente en darte ia general de Extremadura. propiedad la cuinandanci…</t>
  </si>
  <si>
    <t>Jener</t>
  </si>
  <si>
    <t>…cia; ropea ! ! ! por lo mismo deberá entenderse el plazo que ahora se concede como una continuación del anterior. Los interesados que han presentado en la oficina de Renovación El Sr. Jener dijo qu: no habia inconveniente. certificaciones de endosos de los vales conocidos con el nombre de du El Sr. Valdéa (D. Cayetano): El pbro de que se trata debe ser dea- plicados por el Gobierno intruso desde «1 día 17 hasta 30 de Setiem de la publicación del…</t>
  </si>
  <si>
    <t>…Constitución; después de lo nido la comisión en suprimir en el artículo la palabra superior i cual dijo que estos do* artículo* le obligaban á desaprobar el 6,°, por propuesta del Sr. Jener, se votó por partes , y quedó aprobado en w que las disposiciones de este pugnaban con las de aquellos. totalidad. El Sr. Valdés ( D. Cayetano ) manifestó que la reflexión del safior Se aprobaron los artículo* siguiente*: Oliver tendí ia lugar cuando la tropa…</t>
  </si>
  <si>
    <t>…puedo menos de hacer presente al Congreso que ea que las Cortes están en el caso de, desaprobar el artículo. este negocio que estamos tratando se camina con tanta parsimonia y El Sr. Jener: La comisión no defiende los abusos de los consula flema española, que haca 37 años qua se está tratando de eá han da dos , antes bien recomienda i la circunspección de las Cortes que de subsistir los consulados, y aun no les ha llegado su fin, ni les llegará…</t>
  </si>
  <si>
    <t>…sión de Marina en lugar del Sr. Abren al tato, no obstante cualquiera renunc.a hecha en laver de sus comunida des o familias: ha resuelto S. M , oído el dictamen üel consejo de Es Sr. Jener. , ,. El Sr. presidente anunció que mañana se continuaría la discusión tado , que para evit»r*frecusnu*s soln..ludes y ansiedades de pane ae les pendiente , y levantó ia sesión a las irc&gt; v media. secularizados de ambos sexos, cortar lo* litigios que tiar-n p…</t>
  </si>
  <si>
    <t>Jepon</t>
  </si>
  <si>
    <t>…e D. Dionisio Rodríguez Taboas 119a rs. 7 4 mrs. de Kamstchatka, había obtenido un puntúo pera loa tusos de arribar al jXt de D. Pedro Lince de Bcrústegui 1476 rs. 7 4 mrs__ La de Don Jepon^ penque si Gobierno de este país peasó quizá que aquellas gen grano Sano* 1J3 rs. 7 7 mrs—La de D. Juan de Soto y Aguila» 1Ó3 tes pertenecían 4 alguna tribu poco temible de u Siberia; pero 4 la lle ri»y 11 mri.__La de D. Martín Martínez da Pmillos 48 rs. 74 m…</t>
  </si>
  <si>
    <t>Jerez, Pedro Ramón de</t>
  </si>
  <si>
    <t>Pedro Ramón de Jerez</t>
  </si>
  <si>
    <t>…, blo* de las metindades de Burtba, Logroño y otroe á favor «le DonD. Luis de Casamayor, D. Josef del Castillo, D. Cristóbal Josef dt Sancho Velasco, i 15 de Abril de 1468.Vrbina, D. Pedro Ramón de Jerez, D. Manuel Jiménez Pérez j Don Se desea saber el pandero de Doña Agueda de la Malla, natural de PoUcarpo Santisteban Morales. la villa de Bilbao, que hace años pasó á esta corte. Quien tuviese noti VARIEDADES. cia de su existencia tendrá la bondad «le avitat…</t>
  </si>
  <si>
    <t>…oy á las to de la mañana he entrado en esta ñores D. Tomas Josef Gómez, D. Juan Moral, Dr. D. Lorenzo Rua ciudad seguido de las tres divisiones, y rodeado de un pueblo, en cu no , D. Pedro Ramón de Jerez, D. Josef Villa verde, D. Santiago Ma yo semblante se Lia aquel contento, que solo puede inspirar al habitan rín, D. Manuel Pareja , D. Cayetano García y D. Francisco de Gra te honrado la satisfacción de ver en sus legítimos defensores los hijos nada , declar…</t>
  </si>
  <si>
    <t>Jerningham, Eduardo</t>
  </si>
  <si>
    <t>Eduardo Jerningham</t>
  </si>
  <si>
    <t>…or lo* dernst actos de su adminÍAracion. 5.a .i Y que reunidos por primera vez después del fallecimiento de Art. 6.a » Que se discuta inmediatamente el proyecto número a3» nuestro secretario Eduardo Jerningham, cuya pérdida nos causa un pro como ha indicado el Sr. diputado Villrla. fundo 1I0 ur, aprovechamos esta ocasión para manifestar nuestro reco Art. 7.® «Que el Príncipe Real continúe residiendo en el Jiras nocimiento á los reiterados ¿ importantes servicios qu…</t>
  </si>
  <si>
    <t>Jh</t>
  </si>
  <si>
    <t>…o* petaban sobra los fondo» públicos, y tra á la comisión de Industria. qu* se determinaba hace* una visita general de todas estas corporacio Se leyó la siguiente propqsicion «leí Sr. Jh*rra: n Al presentar mis nes, que el celo piadoso habia producido, y que habían dado despura poderes hice presente que por haberse «ledarado «le hecho independien Ocasión á machos abusos, debía cortarse en el momento el grave mal te la provincia de Guatemala,…</t>
  </si>
  <si>
    <t>Jiallrsna</t>
  </si>
  <si>
    <t>…e representa el memorable dia 7 de Julio de 184a en Madrid •&gt; Ai amanecer salgo con la vanguardia pera Barbastro: una colum 4 las cinco de la mañana , en medio pliego de marca. El general Jiallrsna ira á ba.a&gt; bijas: los facciosos en «.orto número entraban y salían en teros con dos piezas de artillería , caradores del primer baial'on y gra aquella c udsd: se han retirado hoy: c&gt; grueso al manúo de Quesada naderos de! segundo de la milicia nacional, en l…</t>
  </si>
  <si>
    <t>Jiaregui</t>
  </si>
  <si>
    <t>…n por Eugui, e iban v.vzcántaras de vino y 31 raciones de pan , e incorporándoseles el domin meme perseguidos. go anterior tres mozos del mismo Mundragoo. Noticiosos de esto en El coronel Jiaregui entregó el mando al coronel Asura, y se halla Vergtra, se puso y permanece su mu:cia sobre las armas, y todo el de vuelta en Tolos* para obrar de acuerdo con nuestra, dos colu nr.as vecindario con el ayuntamiento resuelto a resistir ha.ta al ultimo ex- en est…</t>
  </si>
  <si>
    <t>Jijo, Veja Infanzón</t>
  </si>
  <si>
    <t>Veja Infanzón Jijo</t>
  </si>
  <si>
    <t>8*t £1 Sr. Veja Infanzón Jijo que «te colegio era un cuerpo lega' , «• con familia, había hecho aprecialslet servicios i la patria, por el buen taV.ecido por Ja ley orgin.ci de la armada , par tuya i»z. n era ud i: ato que había dado á los muchos patriólas que habían estado bajo de su cue…</t>
  </si>
  <si>
    <t>Jimé, Francisco Javier</t>
  </si>
  <si>
    <t>Francisco Javier Jimé</t>
  </si>
  <si>
    <t>…re disertar D. Pedio Pab'o Márquez, D. Manuel Maríe Melgares, Don ligión. Eí triunfo de la justicia, de la razón y de la humanidad iba i Benito Serrano, D. Juan Biutista del Rio , D. Francisco Javier Jimé completarte......La Cámara Alta había oido ya sin oposic on su prime nez de Bagues, D. Antonio Medrano , D. Leoncio Val, D. Cayetano ra lectura , cuando llega lor j Colchester , el cual hablando con la ma Puch, D- Manuel Sierra, E&gt;. Luis Cántense, D. Antonio…</t>
  </si>
  <si>
    <t>Jimé, Juan</t>
  </si>
  <si>
    <t>Juan Jimé</t>
  </si>
  <si>
    <t>…an Nepomuceno González , D. Lorenzo del Castillo, D. Tomit de en rústica—Ernesti, metaphisica et lógica, 8."marquilla, á 9 rs. en la Fuente, D. Pabío Solana, D. Diego María López, D. Juan Jimé rústica.—Eximeni, instituciones phitosophicae et mathcmaticae: dos nez de Enciso, D. Josef Fermín de Jáuregui , D. Joaquín Henriquez tomos 8 ° marquilla, á *8 rs. en papel y 38 en pasta.__Idem, de studiis y D. Eugenio de La-Torre , declararon haber lugar a fo…</t>
  </si>
  <si>
    <t>Jiménez</t>
  </si>
  <si>
    <t>…tas que por lo mismo no retiraba el primer artículo. por las cantidades que hayan anticipado; pero dándola antes la bata de El Sr. Adan replicó, que cualquiera que hubiese oido al Sr. Jiménez que el contrato es nulo. En k&gt; demas están conformes loa iifinam de ln y al Sr. preopinante, creería que había habido arbitrariedad por parte comisión , y en que pase este asunto á la de Casos de rngnaiabiliilid. del Sr. Canga y suya; qua sentía decir que aqu…</t>
  </si>
  <si>
    <t>Jiménez, Benito</t>
  </si>
  <si>
    <t>Benito Jiménez</t>
  </si>
  <si>
    <t>…go* que pe acia n vano su* ataques traidores dirigido* 4 inutilizar lo* resultado* prós curso de acreedores i bienes de Doña Rosa Ramiros, vecina qne fue da dicha villa, 7 mugerde D. Benito Jiménez, ambos difuntos, en el peros de nuestra magnánima emancipación. Tu glorioso motivo, que cual, pan dar curto á cierta solicitud, te ha mandado dar traslado de inflama á la milicia de Bspona en le* sensibles emocione* dd goto alia 7 duras punto* pendientes á lo…</t>
  </si>
  <si>
    <t>Jiménez, Hilario</t>
  </si>
  <si>
    <t>Hilario Jiménez</t>
  </si>
  <si>
    <t>…pasaportes pan que celebrarían los ilusos. que vayan al sitio de Amnjuet los Sres. diputados D. Santiago bedel* Que conforme se les acaben ó se les atajen unos recursos inventen y D. Hilario Jiménez , nombrados por la* Cortes á asistir al reconocí* otros los agentes, mudando de carácter, y haciendo cuantos papeles miento del aillo que dé á luz la Scrma Sra. Doña María Francisca é les convenga para conseguir engallarnos y precipitarnos , ó á lo menos Asís…</t>
  </si>
  <si>
    <t>…imado de lot mas puros sentimientos en defensa de las liberta las providencias convenientes, prontas y eficaces para arreglar sus opera des de la patria y del trono constitucional D. Hilario Jiménez, inten ciones á la nueva división del territorio acordada por la* Cortes, facili dente honorario de provincia y diputado á Cortes por la de Aragón, tando y haciendo asi mas rápida la venta de las fincas.” ha hecho al Rey la oferta de sus dos hijos D. Joaquín…</t>
  </si>
  <si>
    <t>Jiménez, Josef</t>
  </si>
  <si>
    <t>Josef Jiménez</t>
  </si>
  <si>
    <t>…diente al consejo de c. nlidad do z&lt;59 rs. que debía 1 la Hacienda pública por razón de ai- Estado para que le consultase sobre él lo que estimase conveniente; en caíala,; otra de D. Josef Jiménez, solicitando que se le liquidasen por cuya consecuencia proponía que se dijese por ahora al Gobierno qut la oficina donde corresponda varios suministros hechos á las tropas fran encargase al consejo de Estado evacuase la referida consulta á la mayor cesas; y…</t>
  </si>
  <si>
    <t>Jiménez, Josef María</t>
  </si>
  <si>
    <t>Josef María Jiménez</t>
  </si>
  <si>
    <t>…Cabra,tonio de Torres Pardo, D. Josef López de Arriba, D. Antonio Josef á 1.“ de Marzo de 1637__Otro de un juro de ioo9 mrs. en varios pue González «le Aguilera, D. Lorenzo Ruano, D. Josef María Jiménez, blo* de las metindades de Burtba, Logroño y otroe á favor «le DonD. Luis de Casamayor, D. Josef del Castillo, D. Cristóbal Josef dt Sancho Velasco, i 15 de Abril de 1468.Vrbina, D. Pedro Ramón de Jerez, D. Manuel Jiménez Pérez j Don Se desea saber el pandero…</t>
  </si>
  <si>
    <t>Jiménez, Ramón García</t>
  </si>
  <si>
    <t>Ramón García Jiménez</t>
  </si>
  <si>
    <t>…ngulo recto entre la parte su Villa, refrendada «leí secretario «le S. M. y escribano de número de la perior del cuerpo 7 las extremidades inferiores. Krutenttern, no incli taiima D. Ramón García Jiménez, se ha mandado citar r emplazar, nando nunca mas que la cabeza, pasó sin duda en el concepto de loa «•rao por el presente se hace, i todos los acree«loTes á lo* bienes que japoneses por un salvage bien poco digno de ser admitido en una corte dados por el fall…</t>
  </si>
  <si>
    <t>Jiménez, Tomas</t>
  </si>
  <si>
    <t>Tomas Jiménez</t>
  </si>
  <si>
    <t>…gar. Poderes sobre este asunto. Se levantó la sesión pública á las dos y cuarto pan continuar las A las comisiones de Hacienda y Guerra se pasó una solicitud da Cortes en secreta. D. Tomas Jiménez, coronel de Artillería, pidiendo se le abone cima ARTICULO DE OFICIO. cantidad que por falta de recursos entregó á lop artilleros que guarnecían la plaza de Pamplona en el ello de 1814. El Rey ha expedido el decreto siguiente •• A las mismas se pasó una insta…</t>
  </si>
  <si>
    <t>Jiménez, Valentín Josef</t>
  </si>
  <si>
    <t>Valentín Josef Jiménez</t>
  </si>
  <si>
    <t>…despachadas por la dirección, ó re-1 segundo que fue del regimiento cíe infantería d:l Infante D. Carlos.mi t idas á las Cortes para su aprobación; peco en estas asi devueltas tac D. Valentín Josef Jiménez , sargento segundo que fue del regimiento Cortes conceden la ¿sacie de que no se sujeten i nuevo examen aque de infantería de Guadstcjara, natural de Araosla de Duero. Miguel llos interesados cuya idoneidad estaba suficientemente comprobada do Palacios, solda…</t>
  </si>
  <si>
    <t>Jinregui, Gaspar de</t>
  </si>
  <si>
    <t>Gaspar de Jinregui</t>
  </si>
  <si>
    <t>…mposición de penM en que incurrirán los padres NOTICIAS DE ESPAÑA* á interesados que no lo impidan con «reglo á Ja circuí» del dia 30, S. Stbaítian 4 dr Agosto. se previene que el coronel D. Gaspar de Jinregui está autorizado á ad Gobierno político de la provincia de S. Sebastian. Circuíales: 1.a mitir á los jóvenes que se la presenten; p que no debiendo servirles do Desde el dia en que la diputación provincial se reunió en esta ciu excusa la violencia que se prete…</t>
  </si>
  <si>
    <t>Jiraldes, Juan</t>
  </si>
  <si>
    <t>Juan Jiraldes</t>
  </si>
  <si>
    <t>…a. Es necesario amalgamar los ANUNCIOS.unos v 'o* otros, y que el Gobierno baga cesar la hostilidad de ambos partidos. Asi pues yo votaré el mensage siempre que la comisión se con D. Juan Jiraldes, vecino de Estepa, en Andalucía alta, suplica al venga en adoptar las bases que ba propuesto el Sr. Galiano. tenedor ó sugeto que sepa el pandero de cuatro inscripciones del Banco Se preguntó ti se prorogsria la sesión basta concluir este asunto , y nacional…</t>
  </si>
  <si>
    <t>Jis, D-</t>
  </si>
  <si>
    <t>D- Jis</t>
  </si>
  <si>
    <t>…imo por D. Juan Gonza'cz de Rivas , cónsul de España en G braltar , y en su nombre y representa Pasado por cuenta de; cupo nacional de con— ción D. Josef Duval; la ley absuelve al Sr. D- Jis;f Mir. no de Gu-c- sumo*........... *. 460,000 ra responsable de dicho escrito, y en su consecuencia mandó que se so Idem á cuen'a de lo que en el empréstito na- bresea en todo procedimiento anterior , sin que este le c iuse pe,juico ni cional se halla intere…</t>
  </si>
  <si>
    <t>Jiu-</t>
  </si>
  <si>
    <t>…o 4 nn oficial, un cabo y 10 toldado* del destacamento de Vi carta de ciudadanía quedan comprendido- en et i.t.hí.i 1 llareal que tenían prisioneros , y cuyas vcnLija* se deben al coronel Jiu- 4. ” — Loa españo.d* casadas que queden es el territorio del E lado cqgui y 4 tu valiente trape. Se lea cogieron á io* faccioso* dos prisio no podrán, bajo la pni de expatriación, tener p-ir sí casa* de abasto, nero*, ta bayonetas, 'una pistola , 30 canana* y…</t>
  </si>
  <si>
    <t>Jiu-, Gaspar de</t>
  </si>
  <si>
    <t>Gaspar de Jiu-</t>
  </si>
  <si>
    <t>…amilia que no se halle en ansiedad y zozobias; ia tiun dt J acerosos. du lee paz huyó de este recinto, y estáis palpando las caíamniad-s de tu v.rtud de orden que recibí del señor coronel D. Gaspar de Jiu- una gu.ura c.vil. Esos monstruos, abusando de vuestra credulidad, regu', comandante de la segunda sección, tercera división del egétclo han profanado la santa religión que profesamos, olvidando las sabias de operaciones y de «tí qunto distrito , su fecha 13 d…</t>
  </si>
  <si>
    <t>Jiur-gur</t>
  </si>
  <si>
    <t>…e ha di Las tropas los iftu in por tod-s p-rie&gt;. Icti e-u. cc rc.de con o&gt; avi rigido una proc'ama digna de un ciudadano que tiene que v.vir ó morir sos que sin duda han mov do ai coronel Jiur-gur a dirigirse a A.z-ms, con el sistema. Los granadinos se glorian cada dia mu de tener en su según d ce iba á haccrio entorers n. ¡mi cu cu parte dado ayer 9 des seno á ¿*t: d vno gefe y í tan liberal cuirpo, y unido í esto el mandar de Segura á las once y nud…</t>
  </si>
  <si>
    <t>Jiuregni, Gaspar de</t>
  </si>
  <si>
    <t>Gaspar de Jiuregni</t>
  </si>
  <si>
    <t>…do de examinar en averiguación del esiado positivo de la sin»- , medio, he resuelto lo siguiente: nía de Ronda , no me permiten nisd r ninguna circunstancia a ías 1.0 » Encargo al coronel D. Gaspar de Jiuregni , comandante de noticias que á mi salida de esa haba rec bdó V. E. sobre e&gt;:.- punto. la columna volante , que exija la pena de 10 ducado* por cada uno de El cabecilla Aguilar conserva tu pos cían en los pu b es de £:ntn;an, Im que hayan patada a la* banda# d…</t>
  </si>
  <si>
    <t>Jíuregui</t>
  </si>
  <si>
    <t>…didos quedase otra salida que la de esta proe.ncja. Por esta misma razón nues con el mas tierno entusiasmo por la tropa y milicia voluntaría, quienes tro gefe político escribió al coronel Jíuregui que con la tupa d-.bia ha llevando a! frente las dos bandas de músicos, desfilaron por delante de llarse la tarde del 6 en Alzan *, para que saliese i cubrir el punto de la lápida repitiendo por mitades de compañía el grito sagrada de tésm Zlídiria , desfilad…</t>
  </si>
  <si>
    <t>Jiuregui</t>
  </si>
  <si>
    <t>…r temores sino entre los partidarios de ;a gaba i Mondragon con 400 hombre*, y se ponía en comunicación con esclavitud y de la superstición. No hay duda que es poco generoso ,1 el coronel Jiuregui para concertar las operaciones , suponiendo qua recordar á este partido los beneficies que debe al Gobierno ingl- , los faccioso*, al mando del mal cura Gorostidi y Barrutia , ocupaban el cual ha expendido con profusión sus tesoros y derramado su sanj: A OHat…</t>
  </si>
  <si>
    <t>Jiuregui, Manuel Francisco</t>
  </si>
  <si>
    <t>Manuel Francisco Jiuregui</t>
  </si>
  <si>
    <t>…sois los abonos del y después de haberla examinado con detención y madurez , opinaba que culto religioso , y de esto no hablaba ia comisión. porque no d -cía que la exposición del brigadier D. Manuel Francisco Jiuregui, fecha de S. Cristóbal fuese grande ni pequeño, ni que $. B.*n tr- de Palermo 1." de Enero, se pasase al Gobierno para que se enterase de su conte fuese negro ó blanco; y por lo mismo no teniendo r-ada que ver con nido paia los efectos convenientes. el articu…</t>
  </si>
  <si>
    <t>Jíuregui, Manuel Francisco de</t>
  </si>
  <si>
    <t>Manuel Francisco de Jíuregui</t>
  </si>
  <si>
    <t>…Cuando no pone al preso en libertad bajo fianza, luego Se dió cuenta de la siguiente exposición. que en cualquier catado de la caum aparezca que no puede imponértele A las Cortes: D. Manuel Francisco de Jíuregui al tiempo que ma pena corporal. nifiesta su respeto y obediencia á ese augusto Congreso de lae Cortee, Sexto: » Cuando no baca las visitas de cárcel prescritas por las leyes, entregando el mando militar de esta provincia de Cádiz ú D. Jacinto ó no visita todo…</t>
  </si>
  <si>
    <t>Jiurejui</t>
  </si>
  <si>
    <t>…rarse en quisiesen regresar á ella lo verificaría?", i costa del Gobierno de , y desorden hacia el Roncal. que loa del Perú conservarían sus r-spectivos grados en el país h¡ co El coronel Jiurejui te preparaba últimamente i atacar á lo» curas mercio te hallaba sumamente abatido, siendo considerables las r-mesas apóstatas, que con 6o forajidos han rueito á entrar en esta provincia, hechas de Inglaterra, y lo peor que muchos artículos no eran á propó huy…</t>
  </si>
  <si>
    <t>Jíurrgut</t>
  </si>
  <si>
    <t>…espadóles sensatos están seguramente convencidos de que ia nación francesa desea la prosperidad y el bienestar de la P-.ninsula; La facciosa que el día 11 fueron dispertada por et coronel Jíurrgut tabeo que hacemos ardientes votos por la conservación de la Constitu en Leoz , habiéndose rehecho un poco, se prepararon 4 rrcibir en Asción que quiere observar ia Eipllh——............................... ................. pufo el 1 $ el ataque de nuestas da c…</t>
  </si>
  <si>
    <t>JJernardo</t>
  </si>
  <si>
    <t>…de I xtrem uliira , Guadalajara , Zamora, plean para sus labores. Aprobado. .. i a 1 ^ ■ y otra» dos; y opinaba en su comecuenc.a que el Gobierno re Otro aceica de la soiioúud de D. JJernardo y otros cirujano»</t>
  </si>
  <si>
    <t>JLatrc, Manuel</t>
  </si>
  <si>
    <t>Manuel JLatrc</t>
  </si>
  <si>
    <t>…ia no ofrecer dificultad alguna, se empe los poderes del br. diputado suplente. Quedó aprobado el dictamen de zaron á leer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t>
  </si>
  <si>
    <t>Jmn</t>
  </si>
  <si>
    <t>…. coman* p'aza en pnporcon del núm ro , sostuvimos con gloria de la, armas dant gen ral el che o siguí r.t-: nacionales un combate desi.ual por les enormes masas que cargaron á El Sr. D. Jmn \l&gt;rt n D ez el Empecinado con fecha 14 del ac un mismo Tempo por ios c.nco puntos de ¡a m.sma, de suerte que no tual inr dice desde Torraba lo S'guiínt : pudimos &lt;1 «intuir ,1 había algún alaqueque no fuese verdadero; y Al siguiente día de mi llegada a Zarag…</t>
  </si>
  <si>
    <t>Jn</t>
  </si>
  <si>
    <t>…mente que diiescn io que hab.an ficsh» Desde la ocupación de la ciml.i i de C. rvera por las tropa» al man en cumplimiento de ¡as ordenes comunicada», y añaLo que tn mi .-pido del brigadier D. Jn»ef María Tori.j » 110 ha ocurrido por aquella mon el artículo debía concretarse a tx.c r ru va-te' te e: vurr.p ..x.irri paite suceso alguno de con.id r.c &gt;&gt;n. Lo, lu.i ..o, d 1 l-iaiic y demás to de lo mandado, preguntan,10 al Gobierno mvd da» hab a : T.11ca…</t>
  </si>
  <si>
    <t>Jn-ante</t>
  </si>
  <si>
    <t>…os ... i" r-tuidn, por ñah. r cumpl - do s-.- rs lóle, l.o á las razones que s- habían alegado rn contra. aros. ;Vs- reí.tai n d ' servicio por 1-jH r cump do ». s año- ' No se E .Sr. Jn-ante . El Sr. Rom -ro ha contestado v.ctorio-rmerte á !»» ñor, los r. tirados no son estos; lo-. r-tiri.Lis son lo- que ai c..!&gt;o de razones pi ' j-tsest t» por el sr. M Va. reducida- a q.ie pu-de *• •’*.-r a' Ciertos años se lea da au retiro, y se s.p.ran d-i scr…</t>
  </si>
  <si>
    <t>Jnadictamen</t>
  </si>
  <si>
    <t>…o presente el art. t." del decreto de las Cortes de jj A la comisión Eclesiástica se pasó una adición del Sr. Lijares al de b.t embre de 18:0, que siendo notoria el patriotismo de D. Jnadictamen de la misma sobre el modo de distribuir las cxiitcn^.a. del qu.n Vidal podía accederse á dicha preposición. medio diezmo. E; Sr. Arguelles manifestó que era necesario proceder ccn mu ¡ a A ia comisión de Artes una exposición de D. Josef María de San circunspe…</t>
  </si>
  <si>
    <t>Jnin</t>
  </si>
  <si>
    <t>…ozabas. En 'f-cto , la patrulla compuesta de los c wdi- mis dos piezas en batería , enfilando la caite de las Platerías, h compa d’no» t&gt;. Agu'.tn M-só, u ju.r.lii de S. Gerónimo, D. Jnin l’.-tri- ñía d- c ra.¡ore» á su irin.-d ación: el escuadrón de caballería se vol c o M a la , ilf r 1 retirada leí regimiento caballería d; S.ipj-n, Den vió a' cu a t--l He donde habia salido. Francisco VI iría Vitlalba , m le ano local de O'dír, y I). N. I"r…</t>
  </si>
  <si>
    <t>Jnsd</t>
  </si>
  <si>
    <t>…eresados i los bienes quedados por fallecimiento Sres. Garoz. Bages y Marau la causa seguida contra el intendente de abintestato del brigadier retirado de los ejércitos nacionales D. Jnsd provincia D. Ramón Luis F.scovedo, gefe político que fue de la de Augusto Malotau de Pont, ocurrido en esta corte i 4 de Octubre úl Sevilla, y actual diputado en Cortes por la provincia de Toledo, i timo, para que dentro del término precito d* ao días, coñudo…</t>
  </si>
  <si>
    <t>Jo</t>
  </si>
  <si>
    <t>…ero (D. Josef) , aparecer como una sombra vana. Camus Herrera , Fernandez, Díaz Morales , Solana, Muñoz Arroyo, Se mira como muy peligroso que un inmenso caudal pase de ma Guerra (D. Jo,ef Basilio), García Sosa, Lasanta, Ochoa, Golfín, nos de un solo poseedor á las de una porción de padres de familia. Se Gutiérrez Acuña , Paul , Vadillo, Calatrava, Lallave (D, Vicente), gún los temores que manifiestan Cienos publicistas, parecería que esta O…</t>
  </si>
  <si>
    <t>…diócesis o sus apoderados; Atendiendo el R?v al particular mé-’ro v d:&lt;t:-~uiJo&lt; servlc os d*l y en cato de no haber ninguno en una diócesis, el comisionado espe mariscal de campo D. Jo*ef Dav.la , j i» noble y fiel condu.ta que ha</t>
  </si>
  <si>
    <t>…4 desempeñar al a ;unos europeos, que convencidos de la falta de buena* ¡mtituciona* poÍítica*, y de cuán poco* *on lo* bombee* capaces de dirigirles, no ven Hábil itacion para , Sr. D. Jo*ef Cien fue en nuestro estado social mas que une complicación incómoda y una got. (Garda dtl a.) brillante servidumbre. Es lástime que esto* bueno* ainos sean tan fiaos Decreto de la* Ce llan de ter considerado* como ton hermoso* lot feroce* nukahivjano*. (ir…</t>
  </si>
  <si>
    <t>…cia y Justicia, con el que remitía 300 egemp ares de la memoria impre de Asturias. sa r.su ramo. Se acordó que se repitiesen. La comisión de Premios, enterada de la exposición de D. Jo*ef Se Dyó el dictamen de la comisión de Guerra de la anterior legis- Skee, opinaba debía pasar al Gobierno, lícomlindando por tercera vez lat tira acerca de la planta de la secretaria de este ramo. á este ir.d viduo para su pronta coiocacion. Aprobado. El Sr.…</t>
  </si>
  <si>
    <t>…porque ayuntamientos de Vtgo, Badajoz y otros pueblos. desean estén cubiertas las atenciones del Estado. La Constitución darí- La comisión de Premios, en vista de la exposición de D. Jo¡tf simamente indica que lo primero es girar el presupuesto de gastos , y María Jaime sobre que se le concediese permiso para poder solicitar ua que las contribuciones sean proporcionadas i estos. Por el mismo ar destino correspondiente ¿ su carreta, opinaba q…</t>
  </si>
  <si>
    <t>…hana se discutirían varios dictámenes de comisión, y entre ellos el de miar en cierta manera de inconsecuente, porque se ha creído que no la de Casos de responsabilidad acerca de D. Jo sel h Usencia, gefe polí iba al compás de mi opinión; pero esta se halla consignada en la me tico de Valencia. moria que presenté á las Cortes cuando era secretario del Despacho, y Se levantó la sesión 4 las tres y media. ta ella se verá que ea la misma que a…</t>
  </si>
  <si>
    <t>…jr no comprende nada de cargos ni de pes i que se nombrasen los ti jueces «le hecho que han de entender ea u quisas. calificación en segunda instancia «leí escrito del ex-dipuu«lo D. Jo*( El Sr. Buey manifestó que habiendo dicho lo bastanto el Sr. Ar- Moreno Guerra por denuncia de D. Josef Duval á nombre de Das giielles renunciaba la palabra. Juan Josef Ribas, cónsul español en Gibraltar. El Sr. Adan: La prudencia del Sr. Arguelles ha llamad…</t>
  </si>
  <si>
    <t>…uede correspon el término de 30 días, que se cumplirán el día 3 de Mayo próxima. der á aduanas , porque aquel cuerpo resguarda igualmente iat re: tas be desea saber el paradero de D. Jo,ef Casanora que se ausento se estancadas de tabico y salinas, ni tampoco puede haberse pagado por Fcija hace dos años con pasaporte para Madrid; los que tengan alguna aquel ramo en laa provincia* de Astúrlas, Aragón , Extremadura, Sala noticia de su existenci…</t>
  </si>
  <si>
    <t>…lia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Sierra, Pumarejo, Infante, Ruiz Alvarez y Gutiérrez y D. Dionisio Valdés, para proceder con arre de la Vega,…</t>
  </si>
  <si>
    <t>…obados. Segundo. Los qu.: en «i día de U rx- cos minuto*, y qu* puede cualquiera hacer por tí mismo, como et pedicion del presente decri 10 hayan obtenido la . refutación y coloca profesor Jo enseñará. La persona que quiera hacerte retratar podrá ha» ción canónica de algún curato, ó beneficio con cura de almas. Tercero. cirio el día y hora que le acomode; pero el gabinete solo estará abierto Los que en mérito de oposiciones aprobadas y verificada*…</t>
  </si>
  <si>
    <t>…an Manuel San Román y otroa vario* ciudadanos, de aquella provincia á causa de los males que producen las sequías en en que se quejaban del gefe político de la provincia de Madrid D. Jo» ella. Las Cortes deben compadecerse de la Situación deCatalufia , no so aefMartinez de San Martin, por haber hecho un abuso de las faculta lo por el mal estado en que se halla su agricultura por falta de canales des que le concedía la ley de ai de Octabrede…</t>
  </si>
  <si>
    <t>…os dos primeros cantos, y el tercero intercalar (qo* a mero, D. Marcos Izquierdo , D. Mamerto de Landaburu, D. Josef de •1 original del autor ) «n la librería de Cruz. han M.llan, D. Jo,ef Gómez Albacete, D. Julián de Fuent.s, Dea ANUNCIOS. Francisco Martínez Marina, D. Gonzalo Cárdenas y D. Matías Pini- Por providencia del Sr. D. Angel Fernandez de los Ríos , juez le. 11a, se tuvn la conferencia, y resultó haber lugar 4 la formación de trad…</t>
  </si>
  <si>
    <t>…uidación de suminis La comisión de Instrucción pi.b' ca era de parecer que no debía tros de los años de 1818, 819 y 810; r qu: el intendente de aquella aecedrts: á la solicitud de D. Jo» f María Campo» y otro» para qu- se provincia declaró nulo el abono de 1810, por lo cual pedia que las les dispensase la asistencia personal para examinarse de farmacia. Apro Cortes declarasen valido dicho abono. La comisión opinaba que pitase bado. este expe…</t>
  </si>
  <si>
    <t>…:sto que en ella no se proponía nada de nuevo. Appubido. por aumento al presupuesto general, y 4 millón.s que debían l.míese La misma comisión , informando sobre una exposición de D. Jo de los nueve ¿Arrúmente concedidos en el imprevisto genera’. sef Pascual, subteniente retirado, vecino de Zaragoza, para que se le El Sr. Oliver dijo que no se oponía á que se autorizase al G.l't-rpermutasen algunos años de servicio por otros de práctica fore…</t>
  </si>
  <si>
    <t>…» Uub endo t-n do a bi n adm t r por m- d.-c*. to d* ayer la renun zalez, por los capitanes D. &gt;ebast 20 L.n.' Va .. ! 1 cia qu* hizo del mÍDi»i*r o d* a Goh rnac.on de a P ninvua D. Jo dez Cuesta, tenientes D. Frase wo Moiemos, V&gt; Mi't e. e,- 1 1 sef Maris Moscoso de \ Um ri , h- v nido m nvir.sr el d-ipacfio duiess , subteniente F&gt;. Antón Rs.n.'., ssr.i.r.to* s cur.-v s X interino de dicho m n-st-r o i P. Pi- o C in- nc n , mi s-cr tino de…</t>
  </si>
  <si>
    <t>…tigo -debido 4 so tníc'otj. La paira cu ■seta id. Gastos, de eopr;o ict&gt;9. , ,éf¡H ti ¿pxllio desus hijos;, y su, hijos uo d-jar n la. arri.i, l,a,;a vcr.u ..1. i’. í, J. Pr.r-i^t secretario Jo9. ScgUflsIoMií. 129. .aatifocha.. Resta tnV»,",*&lt;■ 1 ■’ ¡temo., y es que la-Dcii-ita-i:.:; p .-u-nn r,&lt;e Gi.ío. í: 5 cr-ti: ay csrreo y3. procure inclinar &lt;1 Real ánima A¿ S. 14. pata qu - pa^ á ¡a (1 nt-.del :i. V. ro i5r3. Primer tremaría i83. S'guado id. I…</t>
  </si>
  <si>
    <t>…, D. Francisco María Cte*po, O. Fermín Alcega , D. Antonio no omitáis medio m fatiga para consumar ‘a grande obra de la Nación Carriola, D. Cristóbal Tille: , D. Pedro dala Liare, D. Jo*ef Aba etpaño a, !* segundad del sisteme y ei desengaño de los mas extraño* llan y D. Félix Cetndla*. ilusos. Este pueblo será vuestro apoyo en toras ocasion e. Los s-gio* Subímitnlts. D. Bernardo Fernandez, D. Diego Llórente, D. Pa coronarán el heroísmo de l…</t>
  </si>
  <si>
    <t>…D. Josef Antonio Huarte, D. Pedro Fernandez, D. Jos-f Igna La po icta de t aris anda muy vigilante. Mr. B. Ccnitant publicó cio de Arévao, Dr. D. I uc ano Castoreña, Lie. y Miro. D. Jo una carta contra et fiscai de la causa de B ¡t n , donde la intriga ha tef María Troncoso, L;c. D Antonio Cainacho. Predicador;* Doctor andado muy lista. No gustó á los ultras, y la recogieron. Mr. B ConsD. Jos-f Julio García T«.rr-s, Fr. Josef Mana de J-,us…</t>
  </si>
  <si>
    <t>…os términos. (Véate la 1 Caceta.") sino, D. Josef Ferrmn de Jáuregui , D. Líos d- Carretas y Ramón, H'b endo acabado de hablar el Sr. presidente, se f.vantó S. M., D Pablo Solana, D. Jo*;f García Mocj y Perez y D. ‘ asto de Utary salió del salón con el mismo orden que babia entrado; y a: llegar i ralde, declararon haber layar .1 formacio-i de caura contra el autor del lat barandilla lodo el concutso protuinpió en vivas á ia Constitución, art…</t>
  </si>
  <si>
    <t>…CO* aider, D. Fflticisco Octavio de Toledo, D. Josaf T.sjarin, D Anto objeto de los sumarios es y debe ser la averiguación de la verdad , ave nio Narciso Sánchez, D. Juan de Soto, D. Jo».f ^rron i¡fD, Josef riguada que sea plenamente por la comprobaciou del cuerpo del delito Jiménez, calificaron con la nota de injurioso en tercer grado el impreso y por la confesión del reo, ó por el dicho conteste de testigos presen titulado Respuesta de D.…</t>
  </si>
  <si>
    <t>…n las cuales trabajan personas condena ordenadamente por el camino que dirige á Ma.ila, donde se ha).aba das por sus crímenes ó desterrados, ha mejorado mucho la situación situado D. Jo»ef Benito Azcuénaea con su coiumna, á quien avise sa de aquellbs infelices. Va poco á poco cesando el servicio personal á liese en mi socorro. Asi lo ver.¿que con el mayor orden, y al paso que estaban sujeto* los esclavos de Siberia , y en su lugar se han for…</t>
  </si>
  <si>
    <t>…inguna traba ai poder 1). V.cent- Garc a v'a. r , O. H . c C n ido d- i’az , O. Ramea judicial de desechar el dictamen de la comisión. Macia Lleopatt, D. Ju.m An.4- s de Sitovia y D. Jo&gt;:¡ A'm.r, Se dirá sin embargo que te trata de aprehender á un reo conspira cont'a Vt 'nano Jjat z, v .na d: tsti corte, casado , de cficio dor contra el sistema , en el caso de que todavía no se ha mamust do revocador de .a.ac , v son. ite», con tr.ct vo de l…</t>
  </si>
  <si>
    <t>…gos irreconci rez de Pando, D. Guillermo Olivrr, D. Pablo Sauri y Ern, Don liables da la Espada, invocéban contra nosotros todo el poder da la santa Juan Olivclla, D. Josef Pujol, D. Jo»ef Martí y D. Félix Ru'z , de alianza ; pero habiendo variado de optaron niegan ya i los aliados los clararon por unanimidad haber lugar i formación de -causa contra derechos qua antes gratuitamente la* concedían, y convienen en que el autor del impreso titul…</t>
  </si>
  <si>
    <t>…valer ritor.a&lt; f r«*vo-and-&gt; ¡a s nt-nc a d- pr.mira :n&gt;t-*nc-a dala p*.r Don '■o doble esfuerzo ias pie tensiones de esta clase. Madrid 15 de No- Martin de Pm-.da y »u acompa udo D. Jo»ef Mor no R.ui.rez , por ¡a w.iiiii.; de 18-2. que i? c Mid n • á p na de -.arrote á dicho* \hu ío y Mío?'-» » irr.unCircular del ministerio de Hacienda. niéndoiei la de 10 año* d pr*»id o con retín, on , falló contra i v*s Notic oso el K y da qu. las partida…</t>
  </si>
  <si>
    <t>Jo, Agustín</t>
  </si>
  <si>
    <t>Agustín Jo</t>
  </si>
  <si>
    <t>…eros d: s&lt;l: año se des en d e r qu- ua bramin sabio y virtuoso va tiendo cada di* ma* ha dejado de poner a1 boticario mayor de iosegeredot, que lo ca el de un raro fenómeno. &amp; M. D. Agustín Jo*ef Mestre. EN LA IMPRENTA NACIONAL.</t>
  </si>
  <si>
    <t>Jo, IX</t>
  </si>
  <si>
    <t>IX Jo</t>
  </si>
  <si>
    <t>…an Sebi-tían, que d f ndian 400 hombres , y dond- tenían un cañón. de atacar y dispersar á Misas en las inmediaciones de Monistrol, reci Los tn licianos de Srllent, al mando de su capitán IX Jo»erTo-rcs c-n bí oficio del alcalde constitucional de la patriota villa de Seiient, ha la éompañía di Jfatr.otas de B;rga, al de! suyo D. Josrf Camprub , ciéndome presente el estrecho sitio que le habían puesto los facciosos quien J egó á matar los en.m g is c…</t>
  </si>
  <si>
    <t>Jo, Juan</t>
  </si>
  <si>
    <t>Juan Jo</t>
  </si>
  <si>
    <t>…ediente á la comisión tario el Sr. D. Angel Saavedra, diputado por la provincia de Córdoba. de libertad de Imprenta. Aprobado. La comisión ordinaria de Hacienda en la instancia de D. Juan Jo Los Sres. secretarios de las Cortes comunican al del Despacho dn sef Heideck, profesor de lenguas orientales, acerca de una pensión que Gracia y Justicia con fecha de *9 de Marro de este afio la siguiente disfruta sobre temporalidades, opinaba que se debía acceder á l…</t>
  </si>
  <si>
    <t>Jo, Manuel</t>
  </si>
  <si>
    <t>Manuel Jo</t>
  </si>
  <si>
    <t>…icarla á dicho marques, que vive calle del fuzon , núm. 4, freny Val, vocal secretario. te * la fabrica de loó del cond* de A randa, que s- lo agradecerán. Habiéndose extrav,ado á D. Manuel Jo*, f Martínez un vaie Real Por auf&gt; qu- proveyó la tala segunda criminal de la audiencia ter- no consolidado de 400 pesos fuert.s de la creación dr May&lt;^, con elritor ai de Casi '¡a la -tiev* ,n 31 &lt;1c Mayo ú fino se mui da citar y núm. 31,673 , remitido al mi…</t>
  </si>
  <si>
    <t>Jo-</t>
  </si>
  <si>
    <t>…estado de ansiedad é incertidumbr* conocimiento de V. E. el sentimiento que les aflige al ver amenazada en que se hallan. la tranquilidad de esta ciudad, y despreciadas por el Sr. coronel D. Jo- La obscuridad de los tiempos, la diversidad de usos y costumbres, sef Costa y ios de su facción las órdenes y mandatos de las autorida la distinta legislación de las varias provincias, y la confusión que re des ; por lo que, y bien persuadidos de los buenos sent…</t>
  </si>
  <si>
    <t>…bienes He os conventos supumidos; y u t ir.immt; , que por el celona, haciendo varias observaciones sobre su abolición. A la de Visita del Crédito público se pasó una solicitud de D. Jo- mismo rstab ec imepto se provea de lo nece-.tio p..ra la subi.stercia de aqu lias comunidades reunida» que no t en ven re: tas suficientes. Admi aef Ramón Labrador, vec.no de .Vinería, para que se le admitiesen vales reales en pago del descubierto en que se h…</t>
  </si>
  <si>
    <t>…rio de la Guerra, insertan sión de Caminos y Canales. do otro dd comandante general del lept tno distrito militar, en que La comisión de Premios, informando sobre la exposición de D. Jo- con fecha de 11 del corriente decía; - Que acababa de recibir un oficio sef Rodríguez Bustos, pidiendo se le recomendase al Gobierno para que del comandante militar de la provincia de Lérida D. Josef Vellido, su en atención i sus méritos 7 servicios le conced…</t>
  </si>
  <si>
    <t>…lo conveniente para su cumplimiento, s Está rubricado que dirijimot con igual objeto á todos los que se publican en esta ca de la Real mano. = En Aranjuez é 15 de Mapo de 18aa.sA Don Jo- pital. = Dios guarde á vmdt- muchos años. Madrid 15 de Mayo de aaf María Moscoso da Altamira. 182 2. s Por si v como encargados de los demás tocios Miguel Martel. = Manuel López Cepero.= Juan Blasco Negrillo. = Josef María La contaduría general de consolidaci…</t>
  </si>
  <si>
    <t>…onstituc'on ó raueit- teman fijada . n el re- varse , á pret xto de vengar su honor ultrajado por el actual Gobier cmro d su fortificación: creo que el t nicnte coronel • ra luado D. Jo- no; y en la noche del 15 del corriente causaron una a'arma en ia vi »rf Cenfurgos, y aun el capitán D. Francisco P 'errer d ta aun á lla de Castro del Rio , provincia de Girdobi , habiéndoseles unido al V. S. m nudam rt* &lt;a hrró ca defensa de los milicianos:…</t>
  </si>
  <si>
    <t>…¡ canos D. Primo Fe&lt; icianoCárd-nas. Capellanes de SS. MM. francesa» a os P .ineos; y a G.tceta de i randa va a forma un c.mD. M»nu-I Sartor o, Dr. v Miro. D. Isidro leñado lcaza, D. Jo- po de 1 29 francés s cerca de &gt;. Jcan d- Luz. Ei mism-r penoJ sta , -re li’f Antonio Lopn , Dr. D Manuel López , D. I .nació Correa , Don mito de Bonapailc, peto muy amante de sus doctrinas y po it .a, .-.ha Ignacio Vidas ñor. Id. m honorarios Dr D. Pedro Gtm…</t>
  </si>
  <si>
    <t>Jo-, Juan</t>
  </si>
  <si>
    <t>Juan Jo-</t>
  </si>
  <si>
    <t>…D F lix Flores Aiatorre; cap IUn mayor et Fx- confusión: reiacit nss en pro y en con'U , según .1 esp r tu O;, part do, cel.nt's mo é I mo. Sr. ob spo de Puebla, su te' . nte Dr. D. Juan Jo- que ve ios sucesos como rea ni nt no son. S-f Gamboa. Cnnfisor-s r!e S. M. I Fr. Jns;f Ignacio T-cv ño ; de Fn Ñapo-s &gt;- hsc a m.steiio en 1.0 nombrar á los sug tos que S. M. a 1‘mp-ritr z Fi. Joaqu’n Silva; de S. A. el prínc p- del impe acompañaran ai R y ai…</t>
  </si>
  <si>
    <t>Jo-.-f</t>
  </si>
  <si>
    <t>…de los aSos anteriores no han tínez por §4 votos de total 96- producido &gt;' que debían , y de que el importe de las contribuciones Para Mallorca los Sres. D. Leandro RuVn d- C Ü», D. Jo-.-f ’Jr- no sr lia cobrado. rutia y Arratia y D Fciipr López Val demoro, y fue electo ei señor La comisión se ocupa en examinar cual e* el verdadaro déficit y del Rubín de Celis per 6a votos d-l total ¡16. ♦noi.&gt; de cubrirlo , y a su tiempo dirá el déficit ea tan…</t>
  </si>
  <si>
    <t>Joa</t>
  </si>
  <si>
    <t>…haberse reunido las dos tercera* partes de los votos. que con esta declaración van á hacer la felicidad de loa pueblos , liber Señores que compusieron el jurado: D. Angel Bonalto, D. Joa tándoles del yiigo ominoso que hasta ahora han sufrido, y debemos quín Huerta Cevallos, D. Andrés Navarro, D. Francisco Trarcsedo, procurar hacer conocer al pueblo las ventajas del sistema. No nos de D. Santiago Delgado, D. Manuel Gallego, D. Isidro Merino, D…</t>
  </si>
  <si>
    <t>…iego, Rico, Sa’vato, Canza, Septien, Baig:s, B:!monte. hechos que pasaban en Lorca el dia 30 de Marzo; pero la representa Moreno , Villanueva, Henriquez , Ojero, Sob-ton, Ferrer ( D. Joa ción de la diputación provincial de Murcia, por la que resulta que la quín), duque del Parque, Seoane, Sánchez, Iba:ra, Lis,Re:Ilo, Na ciudad de Lorca se hallaba oprimida por una porción de gentes inmo varro Tejeiro, Orduña , Bu tafia , Arias, Silva, Alfonzo,…</t>
  </si>
  <si>
    <t>…osef Mafia Domínguez, D. Leandro Pallares, D. Diego regidores que hayan servido dos afios. Para saber los regidores que de Ovando, D Francisco de Paula Méndez, D. Ciríaco Clavero, D. Joa entre los otros deberán continuar con los nuevamente nombrados se quín Medina, D. Diego Fernandez Mufioz y D. Francisco Montoro pa hará un sorteo , sacando- por ¿1 tos tres que deben seguir de los cua tro ra declarar si había ó no lugar á la formación de caus…</t>
  </si>
  <si>
    <t>…lagamba por medio de D- Isidoro Imbretch , dd tivas en la - 7, de las hereditarias en las gt , 8f , 81 y 83 ; del abuso comercio que fue de Cádiz , remitió hácia el afio de 1793 á D. Joa d-. los m n itros en la 40 y 41; de los inconvenientes de ios congresos quín Dareche y Urrutia, agente de negocios en esta cotte, tres cré na. onaó-s -,n las 48, 49 &amp;c. Seria muy fácil, á lo menos no me cos ditos de á 43,987 rs. cada uno, reconocidos el alio…</t>
  </si>
  <si>
    <t>9°* El Rey ha expedido el decreto siguiente: tor ti* la patria, denunciado á instancia dal Sr. gefe político D. Joa Don Fernando vn por la gracia de D os y por la Const'tuciott de quín de Aibiitu, la ley absolvió á D. Félix Ramón Beaudot, autor y la Monarquía capahola, Rey de lar Espinas, i todo* lo* que la* pre responsable de dicho impreso; en cuya consecuencia se mandó fuese sente* r…</t>
  </si>
  <si>
    <t>…ista se reunió el jurado, compuesto de los Sres. siguientes: Alt. 14. «.Se escribirán en papel del sello 4.° los libros de laa D. Juan Paz, D. Antonio Alcázar, D. Cayetano Romero, D. Joa fábricas de las iglesias y los parroquiales en donde se alargan las parti quín Manrique; D. Mariano Zorraquin, D. Nicolás Alonso, D. An das de casados , nacidos y finados. tonio Puigblancb, D. Ramón Llord y D. Francisco Martínez Marina. Art. 15. « Los fondos…</t>
  </si>
  <si>
    <t>…go fue sin duda considerable, pues aunque putación. se llevó los heridos en los caballos robados, se vieron sobre 16 en el Sres. que lo declararon absuelto: D. Juan Pablo Pascual, D. Joa camino real, entre ellos un oficial de caballería, y se asegura se quín Ruiz Llord , D. Francisco Martínez Marina, D. Bernardo Alon hallarán ocultos bastantes cadáveres; les matamos tres caballos, y les so , D. Antonio del Afcazar, D. Antonio Díaz del Moral,…</t>
  </si>
  <si>
    <t>…a perjudicarle en su reputación, y condenó al mismo y costumbres; á primera vista se nota que no se refieren á la Italia, tiempo en costas i D. Salvador Moxó. El Sr. juez de hecho D. Joa que su origen es griego, y parece que los indicados monumentos se en quín Huerta y Cevallos fue el único que disintió de dicha calificación. cuentran entre las ruinas de alguna ciudad del Peloponeso. Mas si por un lado no pedemos juzgar por ellos de la habili…</t>
  </si>
  <si>
    <t>…D. Luis Ca macho, D. Ignacio Lorenzo Torre Cosío, D. Eduarlindóte la comunicación con Sta. Fe, aunque sin embargo pudo pasar dode Lavara, D Cosme Sánchez Aparicio, D. Pedro Otero,D. Joa un oficial á pedir un refuerzo de 4Z} hombres a toda costa, i cuya quín Cadena, I). HemeterioTtúrbide.D. JuanRubroy Mayora.D. Joa consecuencia marchaban todas las guarniciones; y la de Cartagena , que quín Sotomayoré Itúrbido, D. Manuel Labastida, D. Manuel Q…</t>
  </si>
  <si>
    <t>Joa, Javier</t>
  </si>
  <si>
    <t>Javier Joa</t>
  </si>
  <si>
    <t>…s de magistratura y de jueces de primera instancia. llos los que no fuesen adictos al sistema , o tuviesen ou.&gt; taclias para La comtaion de H .cienda , en vista de ia solicitud de D. Javier Joa ser nuevamente colocados. Las Corte» por su decr-to del año 13 - pro quín d- Bust..mar.te , D. Manuel Po»d;llo y otros comerciantes de puesta de la Regencia declararon que los cesantes fu.sen preferidos á Santander, opinaba que debía pasar al Gobierno para qu…</t>
  </si>
  <si>
    <t>JoaefCadia</t>
  </si>
  <si>
    <t>…e. aolvió 4 Antonio Garda responsable da dicho impreso: en cuya con Se leyó una exposición remitida por d Sr. general D. Rafael del secuencia mando el Se. ¡oca da priman instancia D. JoaefCadia* y Gó Riego desde Zaragoza en ai de Agosto de i8ji , en qoe renunciaba mez que fuese puesto inmediatamente en libertad, declarando qa* caí* b pensión da 80» rt. que le habían asignado las anteriore» Corara, co procedimiento ao debía causarle perjuicio en su r…</t>
  </si>
  <si>
    <t>Joanis, Josef María</t>
  </si>
  <si>
    <t>Josef María Joanis</t>
  </si>
  <si>
    <t>…activa Igualmente se aprobó el dictamen de la comisión de Visita del de Jaén. Crédito p.' b ico sobre la solicitud de D. Francisco Kodriguz Avclla, Jerez: para primer comandante á D. Josef María Joanis, coman Tecino de Santiago , para que se le perdonase lo que restaba drl arrien dante del segundo batallen del regimiento de infantería Infante Dua do de varias fincas pertenecientes al mor.aa rio de S. Martin de aque Antonio. lla ciudad. La comisión opinaba s…</t>
  </si>
  <si>
    <t>Joaqnin, Josef</t>
  </si>
  <si>
    <t>Josef Joaqnin</t>
  </si>
  <si>
    <t>…Manuel Rincón, gobernador , ge- 10. Dt mfracción de Constitución- Obispo de Durango, Horb-gopolítico j cgman&amp;atf fép«wl de Vemcrus, puUicada en *5 de Ma ao, Andrade, Una, Herrera (D. Josef Joaqnin), Martines Zori yo, en la que se inserto d'deeretodíl Congreso mexicano, que contie to , Gomes ( D. Valentía }. ne la elección del Emperador Itúrbide; i cuya continuación ponemos ti. Dt empleos. Mari», Lopes Constante, Bastamente CD. Cir ,Mpdjea la lista de l…</t>
  </si>
  <si>
    <t>Joaqu</t>
  </si>
  <si>
    <t>…sición de los ciudadanos que Sept eo, Sierra, Jla ger, Jle'monte , Moreno, &gt;: u;.i, V 'mu.-vi, si qu-’tan del gefe po ít co cunc'us • con p ilir se le t x |a la responsa I-err-r ( D. Joaqu n ) . Pirque , Ib: — a , IC ni 1 » . v ;o . N-v-rbilidad , V que se K ir* la lev; pru In deque no están muy seguros rrv Te;riro , Rusa!'», Aforro. &gt;0' » . A'ii.r G : ■ re.- . I :¡ de la infrie, ion , y qu-- por so sicu.. nt ■ el s te poll.o pudo ¿.'optar Gris…</t>
  </si>
  <si>
    <t>…n ha manif.stado, de encargarse del D spscho de la secretaria de la Guerra, que tuve i bien confiarle por tni decreto de ayer, he venido En una exposición firmada por e! ciudadano teniente Joaqu:n Vía— en encargar interinamente el expresado D apacho de ia secretaria de Ka Morenv», strgemo pnmito Rjtr.c n Almanta, cap tan c.cdadíoo Guerra a D Felipe Sierra Punbtey. Tendreislo entendido, y dispon Bildom ro de T vvr.es, sargvrlo primero graduado «1c sub…</t>
  </si>
  <si>
    <t>Joaqu.n</t>
  </si>
  <si>
    <t>…eses incen nía de los Sres. Vaidés, Canga- Arguelles , Abreu, Baiges , Ciñ.zal, diaron el día 3 del corriente todos los cuarteles provisionales estableci Raíz de la Vega , Ferrer (D. Joaqu.n), Bauza , Caste-on, González, dos para las tropas en Milford; y que había un rumor vago de que los V elíseo , Medefio, O valle, Sánchez, Benito, Alcalá Gal .ano , Ramírez insurgentes ofrecían dejar las armas, y prestar juramento de fidelidad Areliano, Scoane…</t>
  </si>
  <si>
    <t>Joaquín</t>
  </si>
  <si>
    <t>…ión de los principios fundamentales de la salud de lodos igual fecha y sobre dichas alcabala*. los imperios,no permiten i la» grande* potencia* cooperar activamente Por edicto del Sr. D. Joaquín de la Escalera, juez de primera ins en este grande'litigio Nuestro deber se opone por desgracia muchas tancia de Cádiz, se cita á los que se consideren acreedores á los bienes veces á nuestra Opinión; mas do por eso debe creerse qne la Inglater mortuorio* de…</t>
  </si>
  <si>
    <t>…frentoso de la fatalidad. rafe í M., del colegio de esta corta, y cartulario de sus ¡agu Asi pues el Egipto cautivo, despojado de su gloria, y sepultado en dos de primen instancia D. Joaquín sanean, é un despacho librada tre sus ruinas, da todavía lecciones á los pueblos. En otro tiempo dedi por lo» señores de la audiencia territorial de Valencia á pedimento di caba sos mas nobles tareas, y hacia consistir tus me* bellas arta» en for D. Laureano…</t>
  </si>
  <si>
    <t>…sunto de la convocación de Cortes extraordinarias &amp;c.; y finalmente rente. acompañaba otra exposición con carácter de reservada, y ademas Us ac Hacienda. Canga Argiielles, Ferrer (D. Joaquín), Septien, Istu- tas de dicha Diputación permanente. riz, Ovalle , Ximenez, Surra y Adan. Se acordó que pasasen estos documentos ( excepto la exposición re Instrucción pública. Sres. Flores Calderón , Lagasca, Bauzá, Sotos, servada ) i una comisión especial.…</t>
  </si>
  <si>
    <t>…que subvenir 4 lo, Bustos, Torre, Ruiz de la Vega, Canga, Rico, Ordufia, Bajees, gastos enormes y precisos pare conservar la fuerza armada que ha de Sal varo . Villanueva, Ferrer (D. Joaquín ), Velasco, Ibarn, Bel- velar por tu seguridad? Los brazos quitados de la agricultura, de la, trande L&gt;t, Reillo, Navarro Tejeiro, Batalla, Bartolomé, Sedeño, minas y de la iMustris para ocuparte en la defensa nacional ¡ no influi Villaboa, Garoz, Valdés (D.…</t>
  </si>
  <si>
    <t>…a el acta de la anterior, te mandaron agregar £ ella que había diferencia entre las ¡untas electorales de partido p las de pro los rotos particulares de los Sres. Lodares, Nulíez (D. Joaquín), Ruii vincia , pues en las primeras á falta del gefe político debía presidir el del Rio, Ladran de Guevara, Sánchez Casas, González ( D. Manuel ), alcalde primero de U cabeza del partido según el art. 6/ de la Consti Albezr , Cueras r Villaboa, contrarios é…</t>
  </si>
  <si>
    <t>…ueza de Espafia es mayor de la Vega, Canga Arguelles, Gil Orduña , Rico, Baizes , Salvan,, de lo que te propone , y yo exijo que se presenten estos datos ea el Villanueva, Ferrer (D. Joaquín), Velasco , Ibarn, Beltran de L i, Congreso, pues que m deberían haber presentado cuando la comisión Rxillo, Bututil (Navarro Tejciro, Bartolomé, Eusafia , Sedeño, Galoi pidió. Debo decir también que la comparación que ha hecho el roz, Valdés (D. Dionisio) ,…</t>
  </si>
  <si>
    <t>…y juez logado de primera instancia, refrendado del escribano cartulario cucarda , bastón y espada con borlas ¿I mismo metal. Este unifoime sa da sus |tugados da primera instancia D. Joaquín tonches, 4 nn despa ri el de gala, y dichos funcionarios podrán también usar de otro pe cho librado por los señores de la audiencia territorial da Valencia 4 pe queño , compuesto de casaca, calzón blanco y la faja, limitándose el dimento de D. Laureano Bailes…</t>
  </si>
  <si>
    <t>…baron: Albear , Taboada , Faicon , Meló, Cue C'rduiia, 'septien, Velda, Baig's, Salvato, Villanueva, Ojero, Fer vas , Sarabia, Merced, González (D. Manuel), Tomas, Marchámalo, ie^ D. Joaquín), Parque, Scoane, Velasco, Torner, Ibarra, Bel Prado , Eulate y Munarriz. tran de Ls, Besañs, Bartolomé, Sedeño, Gvnr, Valdés Quinta partí. - Que también se exija la responsabilidad á loa indi (D. Donsio), Alvarez Gutiérrez, Isturiz , Grases, Zulueta, Abreu,…</t>
  </si>
  <si>
    <t>…enia contra la Nación, opi no haber hallaclo a noyo en las autoridades ni disposición en los pueblos. naba qu: debía satisfacerse por el Crédito público. Aprobado. El Sr. Ferrar ( D. Joaquín ) manifestó la necesidad de hacer exten La misma, en vista del expediente promovido por varios proveedo sivo á las provinoias de Ultramar cato dictamen, como habia indicado res «le los presidios menores de Alfica, para qu: las Cortes aprobasen «I S*. Quildone…</t>
  </si>
  <si>
    <t>…ía del dia 13 del corriente los Sres. D Jos f Sa-,,*»» , Soler, D. Francisco Rey, primero de coraceros ,yíD. Cayetano Ansiut. Arólas, D. Matías Sanmartín, D. Juan Bautista Antoni, D. Joaquín La comisión Eclesiástica, en vista de la exposición de Fr. Basilio Romaguera, D. Pedro Cordobés, D. Pedro Pascual Liob-t, D. Re Larraita, carmelita descalzo en Vizcaya , quejándose de no habérsele non Gascón y D. Vicente ¿.lopis, canónigo, después de haber exami…</t>
  </si>
  <si>
    <t>…das y i con tro causas de recusación son: i.* la del respeto ó honor, cómo cuando testaciones. Uno de los interesados ea miembro del Parlamento, ó hay una distancia El Sr. Ferrer (D. Joaquín): Tal vez alguno» Sres. diputados ten muy notable entre las circunstancia» def mismo y las de algunos de los drán noticia de un artículo míe te insertó en el Impsrciaí sumamente jurados: ».* por razón de delito como cuando uno de estos esté sufrien calumnioso…</t>
  </si>
  <si>
    <t>…, con motivo de las infinitas reclama Orduña, Canga, Septien, Baiges, Salvato , Vilíanueva, Ojero, F:r- ciones de los curas párrocos, y también por haberlas hecho sobre esta rer ( D. Joaquín), Parque, Scoane, VeJasco, Ibarra, L¡», Reillo, asunto algunos Srts. diputados. De otra manera no hubiera fi¡ado su Tejeiro, Eusafia, Bartolomé, Garrtr, García Bustam.nte, Valdés atención sino en proponer una medida general que tuviese efecto des (D. Dionisi…</t>
  </si>
  <si>
    <t>…habían dado con cretarios de las Cortea lo que sigue: arreglo i la ley orgánica del egército. » Con fecha de i.° de Abril del afio último te consultó por ese nú- ¡ El Sr. Ferrer (D. Joaquín) apoyó la proposición, manifestando las nisterio á las Cortes la duda suscitada sobre le parte y el modo con m muchas rebajas que era indispensable hacer en los presupuestos de gas por lo que hace á sus sueldos han de pagar la contribución directa m tos; y gu…</t>
  </si>
  <si>
    <t>…mente derechos que pagan los buques extrangeros que arriban ánuestros puer lo que debía hacerse. to» con objeto de hacer exportaciones; y concluyó proponiendo é ]* El Sr. Ferrer ( D. Joaquín ) dijo que la comtsion había obrado en deliberación de las Cortes la siguiente proposición: *&gt; Que los buques este asunto con mucha delicadeza, y le había parecido que cuanto extrangeros que lleguen á los puertos de España en lastre para cargar proponía no es…</t>
  </si>
  <si>
    <t>…do á las anualidades y va to el pago de una dotación fija para todos los individuos del clero; cantes y al subsidio , que también pagaba antes el clero , que crs de El ¿«r. Ferrer(D. Joaquín): La comisión se ba visto’’ obligada á 30 millones, y últimamente de a$. Asimismo ha renunciado el Fila dar su dictamen en estos términos á impulso de los deseosdé casi to do á todos la» diezmos que percibían las comunidades suprimidas, los dos los Sres. dipu…</t>
  </si>
  <si>
    <t>…no segnir como lean vds. ó no el Diario de Cortes , á mí lo que me importé es que lo hasta aqui. compren; pero ( añadió) lo que debe hacer uu buen fabricante es me El Sr. Ferrar (D. Joaquín) dijo que la comisión de Hacienda jorar su género de manera que aventaje á los otros si quiere aumentar también se había ocupado en examinar este asunto i causa de haber el número de los consumidores. ¡ Por qué no se trabaja en que el Diario le remitido las p…</t>
  </si>
  <si>
    <t>…echo el amor á la Constitución, que nos da leyes NUMBKO y.® benéficas y justas, y é nuestro Rey constitucional: amad al pueblo, Oficio del ayudante mayor de Us compañías de marina D. Joaquín resp.-tad al ciudadano y sus propiedades, y usad coa moderación dd Vial, dirigido ai Excmo. Sr. virey mismo triunfó; aai os lo eucaiga vuestro amigo y compañero de armas. n Excmo. Sr.: Los oficiales y tropa de las compaflías de marina so Josef Joaquín Márquez…</t>
  </si>
  <si>
    <t>…e 5,'&gt; El maestro barrillero ó quemador de barrillas y sosas y sos ayu dantes, que hicieren las mezclas que quedan prohibidas en íos artícu algunos Sres. diputados. El Sr. Ferrrr (D. Joaquín) manifestó que si las Cortes hablan dé los anteuores , pagarán una multa de 5 á 30 duros , ó sufrirán de-13 í ocuparse en discutir con empeño esta ciase de negocios , las leyes que 30 días de prisión en la rarcel pública, y no podran emplearse en es— estaban…</t>
  </si>
  <si>
    <t>…eputación. Declararon absnelto dicho impreso los tres. D. Andrés Gafo, Don Circular expedid* por el mmieterio de Gracia y Justicia á lodos loe dio cesanos. Valentín de Torrecilla, D. Joaquín lbaira, D. Joaquín Llombart, D. Josef Vecino, D. Félix Mora, cl marques del R o Florido, Don El Sr. secretario de Estado con fecha 7 del corriente tac dice lo Antonio Casanovas , D. Octavio Pastor, presbítero, D. Pedro Cotdoque sigue: bés y D. Mariano Gonzále…</t>
  </si>
  <si>
    <t>…ta villa Buruaga, Domenech , Luquc , Somoza, Llórente, Rojo , Ruiz de la D. Arias Gonzalo de Mendoza por D. Matías Martínez Rivabelloso, Vega, Riego, Rico, Canga, Septien, Ferrer (D. Joaquín), Parque, en nombre de D. Lesmet Bravo y de D. Joscf García Atocha, vecinos Rubinat, Ibarra , Reillo , Te jeito, Velasco, Ordufia, Busaña, Gar de Tiujillo, el folleto titulado: Nudo constitucional sacado por O. Ai. cía, Valdés CD. Dionisio), Abreu, Giases, Zu…</t>
  </si>
  <si>
    <t>…natu raleza , con la cual podré queda satisfecho. Aprobado. respecto de los emigrados de Ultramar. La misma comisioa, informando acerca de la solicitad de seis fsbsiEl Sr. Ferrer (D. Joaquín) manifestó que esta interesado bebía con cantada cardenillo en Catalufia, en que pedían se fijara en d arancel traido méritos particulares que debían sed atendidos. penad el derecho miximo que be «le pega este género, opada que El Sr. Alvcar dijo que no tenia…</t>
  </si>
  <si>
    <t>…usto qu- en la s crzcrédito nae onal. Se mandó imprimir este dictamen. taría del Despacho dé Hacienda deberá existir una razón exacta de to Con mot vo de su lectura el Sr. Ferrer (D. Joaquín) dijo: Desea dos y ca'da uno de los sueldos de las diversas clases de los emp(ea-los , y ría quz las Cortes por medio de una nueva declaración confirmases que seria fácil deducir la suma de que he hecho mentó. Por lo demas en e! term.no para las liquidaciones…</t>
  </si>
  <si>
    <t>…por eso advertirán las Cortes que en el último del Gobierno se dice por 700 y tantos mil rs. la nota tercera, que será necesario añadir una cantidad alzada para las El Sr. Ferrer (D. Joaquín) s: hizo cargo de algunas de las obser- anticipac.ones que este ministerio hace á otros, las cuales serán consi raciones contenidas en el discurso que acababa de leerse, y dijo entre derables , si se atiende al estado de las provincias de Ultramar por U otras…</t>
  </si>
  <si>
    <t>…ontresque, vista cesante de la aduana de Barcelona, que primir. estuvo también reunido en las comisiones del afio anterior. Las Cortes Se leyó una proposición de los Sres. Ferrer (D. Joaquín), Canga, accedieron á la solicitud de dicha comisión. Ojera, Prat y Zulusta , reducida á que sea improrogable el término se Se dió coenta de un dictamen de la comisión segunda de Hacienda ñalado en el decreto de a9 de Jumo de 18a 1 para la presentación de •ob…</t>
  </si>
  <si>
    <t>…que se trata, y que estos abusos sideración al asignar la cantidad adrada para gastos imprevistos. no se podían consentir en un Gobierno representativo. Lo momo ob El Sr. Ferrer ( D. Joaquín ) contestó que la comisión fijaría U can servó con respecto á cesantes y jubilados, porque á la comisn n la ha tidad para gastos imprevistos , oyendo á los Sres. secretarios de los di bía parecido que los 71 jóvenes de lenguas que fueron provistos por el fere…</t>
  </si>
  <si>
    <t>…últimas ocurrencias de CataluAs del Despacho reducir tus gastos 4 los 8o9 que te le sefiaUbán. y Vizcaya , porque se habían difundido algunas especias equivocadas, El Sr. Ferrer (D. Joaquín): Se ha hablado con cierta especie de que convenia rectificar. desconfianza de ese fiando pera gastos imprevistos , por no saberse cuál El Sr. ministro hizo una relación de las dos tentativas que el fac ba de ser su extensión; pero la comisión ba dicho ya esu…</t>
  </si>
  <si>
    <t>…ia; y no s; croa que Gil d: Orluña, Rico, Canea , Srptien, Ba.ges, Sahaío , Vuianueva, esta palabra detenimiento es con el objeto de que se dilate, muy al Muro , Sob ron , Ferrer £D. Joaquín), Seoane, A dañero , Ibaria, Bciconrrario. tran de Lis, Redlo , Fu,aña , Nn ario Tejr.ro , Suva, A:unzo , Cortes, Es muy triste verdaderamente que á la magistratura, que ha de Soria , García Bustamante , Ltur z , Gra-es, Aórru , /a.ceta , Marau, permanecer si…</t>
  </si>
  <si>
    <t>…tud , aunque sean moderados. trasladarse i Madrid sino un corto número de estos objetos preciosos. En cuantu á ios establecimientos de beneficencia dijo que la mayot El Sr. Ferro (D. Joaquín) dijo que ta comisión no desconocía La pane de sus fondos dependen del Crédito público; y que si la deuda Utilidad de reunir en la capital los monumento* de las nobles artes que nacional turarte un buen giro, como era de esperar, estos establecihonran fi la N…</t>
  </si>
  <si>
    <t>…no consideraba de grande utilidad las obras de canales; pero que rio contestó que no las habia. siendo precisa la formación de planos y otros reconocimientos bastan El Sr. Ferrer (D. Joaquín) dijo que el proyecto de Lémur no era te costosos, desearía saber fijamente si podría echar mano de los tres tan impracticable comáis había dicho, pues estaba formado con el mamillones pan estos gastos eventuales indispensables; adviniendo que - yor orden y c…</t>
  </si>
  <si>
    <t>…do, § tojo , Roaet, Rico, Luque , Canga, Sierra, Septien , Baiget , Salva- varias conferencias con el Sr. secretario del Despacito , su dictamen so to, Villanueva, Soberon,Fezter (D. Joaquín), Seoaue , Torner, Ru- bre el expresado presupuesto, y leído que fue hubo lugar á-votar sobra binat, Ibarra, Bcltran de Lia, Reillo, Busutil., Ordufia, Navarro, Butafia, Silva, Afonro, Belda,Soria ,García, Geroz, Gómez, Val» tu totalidad. „ La comisión hace p…</t>
  </si>
  <si>
    <t>…hubo una vio Septien, Canga, Salvato , Baiges , Bel monte, Moreno, Villanueva, lenta agitación en las galerías, y renunció la palabra después de haber Henriquez , Ojero , Ferrer (D. Joaquín) , Soberon, Seoane, Adan ro, reclamado el orden el Sr. presidente, y anunciado que se vería en la Sánchez, Lodares , Biack, Torner, Ibarra, Lis, Reillo , Bu saña , Lu precisión de poner en práctica el art. 101 del reglamento si no observa que, Arias, Alcalde,…</t>
  </si>
  <si>
    <t>…de los puertos de Pata ge* Se mandó pasar á la comisión da Premios ¡o siguiente proposición y otros, para qti: se comprendan en ¿l las obras necesarias en los puen del Sr. Ferrer (D. Joaquín): » Que en atención al mérito y servicio* tes de A'uiaraz, Cardenal y Alcántara sobre el Tajo, y el de Totines que ha contraído en el Perú y Chile D. Vicente Navas, se le recomien sobre el Duero. de al Gobierno. Se leyeron por primera vez varias proposiciones…</t>
  </si>
  <si>
    <t>…lización que solicitó en tiempo oportuno. Aprobado. La misma comisión, en vista de la proposición del Sr. Ferrer La comiaion de Negocios Eclesiásticos presentó loa siguientes dic (D. Joaquín), sobre que el presupuesto que se selialase para el fomento támenes. «le la milicia nacional se invirtiese precisamente en ia fabricación de Uno sobre la solicitud de D. Juan Antonio Serrano, presbítero, so fusile», opinaba que tiendo «le la mayor importancia…</t>
  </si>
  <si>
    <t>…as hombre* casi inútiles, j que hasta ahora no &lt;le Guerra. habían prestado servicio* i la marina. El Sr. Presidente sefialó pera la discusión de mafiana el dictamen El Sr. Ferret (D. Joaquín): Tengo entendido que no hay necesi déla comisión de Hacienda sobre intendencias: el de la de Poderes dad de haberse matriculado en la lista de que se trata para gozar de sobre los del Sr. diputado electo por Sevilla : el de la de Casos de res ciertos privile…</t>
  </si>
  <si>
    <t>…Gobierno cree que cierto que no la continuarán mientras no vean que se aprueba ó des el estado de las cosas no permite dilación. aprueba el dictamen de la comisión. El Sr. Ferrar (D. Joaquín): Si alguna caen en este mundo (hablo De consiguiente no me opongo de ninguna manera á que se im como diputado de la Necios espetóla, y con toda la libertad que me prima si se hace en el término de los tres dias que ha ofrecido el señor dan mis poderes), si a…</t>
  </si>
  <si>
    <t>…a, ni la» Cortes habían seña ado el sueldo que osb -r tamentos , que no retirándote á tus casas. zar sus individuos. Después de haber hecho vana» rcfl.x " nes, cen/uEl Sr. Ferrer (D. Joaquín) dijo que la comisión podía haberse equi yó diciendo que aprobar el dictamen de la comisión en este jumo, nía vocado en lo que propon a; pero lo había considerado muy arreglado lo mismo que d. cr se desp.diese 1a fuerza que habla ahora en la mar &gt;3. al art. 7…</t>
  </si>
  <si>
    <t>…ios departamentos no tenían acopiados los géneros y efectos que modo la rebaja indicada. rrcesita la marina militar, al paso que era preciso satistacer sus habares El Sr. Ferrer (D. Joaquín) indicó que la comisión habia hecho la á todos los individuos que dependen de ella; y asi que no era posible rebaja que en esta parte de su dictamen se mencionaba, porque habia se admitiese la rebaja que proponía la comisión, la cual llegaba á mas consideiado…</t>
  </si>
  <si>
    <t>…tf.0 » Las contribución-s para atender á las cargas del Estad» por cuya razón opiró que no debía aprobarse. se repartirán en p oporcion de lot haberes de cada uno. K1 Sr. Ferrer ( D. Joaquín ) manifestó que la comisión habia pro » No podrí exigirse ningún impuesto sino en virtud de una ley. puesto rst. artícu... en atención á que había considerado no ser justo (Jé continuara ) que gozasen de las gratificaciones de embarcados los que no lo estuvie…</t>
  </si>
  <si>
    <t>…a, Rico , Septien, Sierra, Vargas , Bel monte, Moreno, Afott- fue hollada la autoridad, vilipendiado el respeto debido al ayunta zo, Salvato , Villanueva, Ojero , Soberon, Ferrer (D. Joaquín), miento , puesto en movimiento Madrid, cerradas las tiendas, y otros Parque , Adinero , Sánchez, Lodsres, Apoitia , Biek, Torner , Ru mucho* desórdenes..... bí nat, lbarra, Lis, Reillo, Riego, Tej*iro, Busaña, Montesinos, ( Murmullo en las galerías) y el ora…</t>
  </si>
  <si>
    <t>…o tan deplorable, tJ vez podría sacarla de muchos apuros.Por vocado por lo» estatutos del banco. último dijo que los individuos que habían representado no podían se El Sr. Ferrer (D. Joaquín ) dijo que en junta del banco nacional pararse de lo que dispusiese la junta de accionistas. de S. Cario* te d jo i lo» accionista* ti querían cobrar el dinero, ó qué El Sr. Isturiz dijo que si bien el banco nacional habia tenido apo era lo que dítponian de *…</t>
  </si>
  <si>
    <t>…ian que te tea Vi-ir, Tabaada, Fatcon, Biuzi, Apoitil, Busto*, Torre, Trujllo, h cíes - ju-tic.a para que fuesen vengados los horrorosos exc--so, cometi Ofero , Sobaron , Ferrar ( D. Joaquín ) , Seoane , Herrera, Lodarts, dos p &gt;r los hib.tintes de Orihusta, sacr.fijando al benemérito ar.- en Jb- v , Forner, Alcaide, Belda, Henriquez, Casar, Martí, Lamas, subteniente de la primera compañía de granaderos D- Manuel D az, &amp;om, ."'rabil, Viltaboa, Pa…</t>
  </si>
  <si>
    <t>…que se habia otorgado este privile leyendo ¡os documentos que reclamaron varios Sres. diputados. gio. Que la compañía anticipó al Gobierno seis millones de real.s á El ér. F.rrer D. Joaquín): Cuando se hab'a de intereses de corpo cuenta de los derechos que hubiesen de adeudar los géneros que se in- raciones observo que se confunden estos con lo» de particu'ares, y el t.-odujeran , y durante la alianza con la Franc a en tiempo de la revolu tiempo…</t>
  </si>
  <si>
    <t>…eos se nardo , número ao, casa del Sr. diputado Pumarcjo. manales el evitar lodo alcance. De orden de las Cortes lo comunica Diccionario primordial latino y castellano, por el Dr. D. Joaquín mos á V. E. para los efectos correspondientes, devolviéndole adjunto Sanchis Abella. Se vende en las libretias de Alonso y Antoian. •l expediente que acompasaba al expiesado oficio.” n Y habiendo dado cuenta al Rey , se ha servido mandarlo traslade Gramática…</t>
  </si>
  <si>
    <t>…ías no deben subsistir, porque de nada sir hecha por punto general á los empleados civiles. ven , dejando ahora la cuarta parte que no es de presidiarios, el ahorro El Sr. Ferrer (D. Joaquín) manifestó que el Sr. Castcjon debia sa de las tres restantes seiá de 666,884 »• En los presidios menores hay ber también que un mariscal de campo que estando de cuartl en una otras cuatro compañías compuestas de 144 hombres de tropa y 799 pre plaza solo goza…</t>
  </si>
  <si>
    <t>…omitido le centinela saliente,. sospechar que sea persona mal intencionada , le hará fuego.” encargará á la entrante la exacta observancia da lo que se le ha entre El Sr. Ferrar (D. Joaquín) dijo que no encontraba ninguna razón gado , y que tenga presentes las obligaciones generales que s* le han en para que se disparase contra el que huía. señado.” Aprobado. El Sr. Isturtz preguntó cómo se habiade remediar si era un tordo el . Att. 38. « Todo c…</t>
  </si>
  <si>
    <t>…ados estaban sujetos á la lejr lo mismo que otro cualquiera. Continuó la discusión del empréstito. El Sr. Canga dijo que en asuntos que pesaban dentro de las Cortes El Sr. Ferrar (D. Joaquín) dijo: Vuelvo 4 tomar la palabra sobre ao debían entender los alcaldes ordinarias, porque no era decoroso ai este negocio, no tanto para decir algo de nuevo, como para rectificar Congreso t jr algo contradictorio á la inviolabilidad concedida d los di algunas…</t>
  </si>
  <si>
    <t>…on dirección á los puertos de Catalufia, lo acordado por las Cortes sobre el empréstito. por cuya ruon habría bajado bastante tu precio; y que en ceso que su Otro del Sr. Ferrer ( D. Joaquín) relativo á lo mismo. biese considerablemente siempre había un recurso, cual era el de acudir Y otro de los Sr». Zulueta y Galiano, contrarioá la resolución de á Portugal, que podía considerarse como un depósito de granos extran las C»rtM por la qu: se declar…</t>
  </si>
  <si>
    <t>…iertos de los pu- blos y fondos de propios á favor de lu con drían pagar con estos créditos. tribuciones y rentas generales del Estado hasta fin del año de 1819 ,s* El Sr. Ferrer (D. Joaquín) contestó qua estos créditos se admitirían les admitirán solo á los contribuyen!;s los documentos de suministros en virtud de ia aprobación del artículo que se discutía en pago de las de que trata la orden de 17 de Octubre de 1810 , y en su defecto docontribu…</t>
  </si>
  <si>
    <t>…e que antes de las 34 jo , Buruagi, Luque, Sierra, Baiges, Belmonte, Moreno, fia'rato, horas se entregue el arrestado al juez competente. No ha faltado i este Vitlanueva , Ferrer (D. Joaquín), Parque , Canga, Séptico , Trieiro, requ sito el gefe político , luego no ha dado motivo para que se le exi Busafia, Silva , Ibarra , Lis , Reilto , V aldés ( D. Dionisio ) , Garoz, ja la responsabilidad. Gómez (D. Manuel), Al varea Gutiérrez, Isturiz, Grase…</t>
  </si>
  <si>
    <t>…todos los decretos de las Cortes, relativos á la ter no detenerse en semejantes consideraciones. administración de dichos bienes. Se ha observado con mucha oportuni SI Sr. Ferrcr (D. Joaquín): Sin oponerse a( plan de la comisión dad que el establecimiento del Crédito público se he tragado la mitad halló que no tenia toda acuella eficacia que se necesitaba para remediar de 1« Nación; cosa que por desgracia es muy cierta: y sin embargo no los malea…</t>
  </si>
  <si>
    <t>…pensas del erario estos monumento* se presentase algún puesta en terna de la junta directiva.” particular que quisiese hacerlo, el Gobierno le concederá permiso pa El Sr. Ferrer ( D. Joaquín ) opinó que atendida la grande impor ra que lo verifique interinamente.” Aprobado. tancia de este nombramiento, debían reservárselo las Cortes exclusiva Art. 5.' • Se concede gratuitamente el título de ciudad á la villa mente. de las Caberas en premio de habe…</t>
  </si>
  <si>
    <t>…ro que sin embargo la comisión no tenia laconvenicnts sin hacer bajas en una con perjuicio ó recargo de otra.” en que volviese i ella para aclararlo. Asi se acordó. El Sr. Ferrer (D. Joaquín) manifestó la necesidad que había da que se .estableciese una base para repartir la contribución á ios foraste TITULO III. ro* ; porque en este punto se habían notado abuso* de mucha conside firmamento. ración, habiendo llegado el caso de tener alguno de esto…</t>
  </si>
  <si>
    <t>…libr s donde se conocen, nada tiene que ver con las ganancias de los aunque tuviesen cubierta. productos: el a"o pagado cuando se trató de este mismo asunto se fijó El Sr. Ferrer (D. Joaquín) en nombre de la comisión contestó que esta contr buc.on, no con arreglo á las ganancias, sino respecto del podia ponerse en vez de la cláusula de que no tuz.eseu eulierta la de m ñor producto que puede tener el que egerza una clase de industria; que no pasen…</t>
  </si>
  <si>
    <t>…las facultades de cada individuo,puis es evi se incluían las grandes empresas de los extrangeros. dente que en los pueblos pequeños el número de artesanos es muy ín E Sr. Ferrer (D. Joaquín) contestó que las grandes empresas ge fimo y d: pocos haberes.” Quedó aprobada. neralmente se llamaban nacionales, como sucedía con el banco nacio Se mandaron pasar á la comisión varias adiciones. nal de S. Cirios, no entendiéndose por esto que las compañías…</t>
  </si>
  <si>
    <t>…abso uta libertad de la Tru¡iUo , Lamas , Herrera Bustamante , i'atiño , Sierra, 5-'m u , (.Ye venta del tabaoo , y sustituir en su lugar una contribución! Esta es la ro , Ferrer (D. Joaquín), Scoane, Sánchez, Lodares, Ápoilia , ¿ ack, cuestión que debemos examinar. Rubina!, Torner , Scptiem , Husada, Adan, Montesinos, Silva , NeiLos interesados en esta materia son de dos especies; á saber: los ra , Arias, Cortés., Atcahie , Belda, Henriquez, Mar…</t>
  </si>
  <si>
    <t>…eclaró c.la sus t n-dores. As. pu s, para qu • no 1- vi sen r duc dos a n m por la negativa. seria cstns habitantes, qtisiera yo qu ; no fu se ex: urira ¿st¡ proS h El Sr. Ferrer (D. Joaquín) iba 4 habla' , y el Sr. presidente no se c on , encargando -I Gob.erno que pacas; con prif.r n;ii y re' c.os daj lo permitió , llam ndole por tres v.ce» ai orden. é los fabncant s de sal de S F mando 1 po-qu; s' no , señor, vi i d *Habiéndose precedido a lav…</t>
  </si>
  <si>
    <t>…e prosé rejo, Llorrente , Rojo, Aforro, Canga» Séptica, Siena, Bel monte, litos , esto* mismos estarían prontoa á pagar todas las asignaciones qu* Btiges, Saivato, Moreno, Ferrer (D. Joaquín), Seoane, Tejeiro, tiene á su favor el estado eclesiástico. Por último dijo que habiendo cal Busaña, Montesinos , Silva, Neira, lbarra , Lia , Villanucva, García, culado el Gobierno que el clero podia pagar 20 m liones, la comisión Muro, Gómez ( D. Manuel ),…</t>
  </si>
  <si>
    <t>…después de cumplido el plazo para despachar los apremios. tenían mas apoyo que el imperio de la ley; y que sus facultades estaban El Sr. Sánchez apoyo esta id:i, y el Sr. Ferrcr (D. Joaquín) con reducidas i enriar una exortacion á los pueblos que no habían pagado, vino en ella i nombre de ia comisión. la cual no producía genetalmente efecto alguno. Añadió varias consi El Sr. Buey dijo que no debería usarse de estos apremios, sino cuan deraciones…</t>
  </si>
  <si>
    <t>…sentó su dictamen sobre varia* adicione* qne se I* CORTES. habían pasado , y opinaba que debían aprobarse la* de lo* Sres. Legas rÚSIDXHCIA mi SliÑOR CON 82 BEC8ZXA. es , Ferrrr ( D. Joaquín ), Isturiz y Zulueta , Somoza, Pedral vez y Lo Sfíivn ordinaria del 24. cares, González (D. Manuel CasildoJ, Gómez (D. Manuel), y Ruiz Se leyó y aprobé el acta di la anterior, mandándote agregar á ella del Rio y Gisbcrt. fot votos particulares de los Sres. Ló…</t>
  </si>
  <si>
    <t>…100: el extranjero no apoyaba, y que en tu día contestaría á laa observaciones del Sr. Surra. cuesta de comisión sino el 4 por 100 sobre parte del empréstito, no so El Sr. Ferrer (D. Joaquín&gt;dijo: Yo me quejo de la comisión y bre el todo , y el nacional sobre el todo; por consiguiente lejos de ser del Sr. secretario de Hacienda, por haber comparado ctte empréstito el argumento una comparación de ventaja en favor del préstamo nacio con un contrato…</t>
  </si>
  <si>
    <t>…os derechos, opinaba que debia exigirse la responsabilidad á lot pendientes á los Estados Un dos. cónsules, se sor y escribano de dicho consulado, be mandó quedar soEl Sr. Ferrer (D. Joaquín) manifestó que la comisión estaba pene bie la mesa. trada de los mismos principios que animaban al Sr. preopinante, pues Asimismo se mandó quedar sobre la mesa nn dictamen de la comi proponía se autorizase ampliamente al Gobierno para que proceda en sión de V…</t>
  </si>
  <si>
    <t>…umplido con su de Se mandó pasar á la comisión que ha entendido en este asunto una ber, ni las Cortes pueden aprobarlo. Las razones por que se debe eli proposición del Sr. Ferrer (D. Joaquín) para que te hagan extensivas minar asta deuda se hallan tan repetidas por los Sres. Ferrer y Surra á los tenedores de las acciones del empréstito nacional algunas gracias en las diferentes discusiones que ha habido sobre esta materia, que me concedidas por e…</t>
  </si>
  <si>
    <t>…Gobierno para cubrir los gastos que se bierno español, que es d.cir, respetar sus d techos lian de ocasionar en esta empresa, en rano ser i que le hayan a .tor iza Fl Sr. F rrer ( D. Joaquín): Voy á vindicar el honor de la Nación do para llevarla adelante. Pot lo mismo in: opongo a la medida que *4 española, ultrajado en el sentido del Sr. secretar.o de Estado por los ex» discute. trangeros. Cuando tomé ayer la palabra sobre este asunto, uno de l…</t>
  </si>
  <si>
    <t>…ue ignorancia ó la menor cscu»a en su cum Se mandó insertar en el acta el voto particu’ar de los Sres. Ferrer plimiento: tomando V. i. por su parte cuantas medidas estjn a &gt;u al ( D. Joaquín) y Cal iano , contrario á la aprobación del cmpié,tito cxt-ang-io. cance para llevarlo á efecto y le dicte tu rio, tn d,simula: ei menor descuido en este punto. Madr.d 20 de Jumo de 1822. El Sr. presidente dijo que esta noche habría sesión extraordinar's para…</t>
  </si>
  <si>
    <t>…n el sueldo de t53 rs., y conservaran ei empleo de t.&amp;icnt:i rios; por todo lo cual no aprobaba el di.timen de la comisi m. Coroneles vivos del egérc to." Aprobado. E! Sr. Ferrer (D. Joaquín) manifestó que siendo el ¡UJicit de 96 Arr. 23. 1 Estos capitanes tendrá.. opc’on á la m’tad de las vacan millones, según Juba manifestado la comisión, y autorizándose al tes de comandantes de batallen que o.utran en los mismos cuerpo», y Gobierno para la ven…</t>
  </si>
  <si>
    <t>…gregan Pumare jo, Rojo , Moreno, Lagasca, Afonzo, Canga , Séptica, Ordoá la masa de los perceptores del medio diezmo, puede creerse con fun fia, Busafia, Sierra, Llórente, Ferrcr (D. Joaquín), Seoane, Rico, damento que este no alcanzará pan tanto, motivo por que las Cortes Villaoueva, Nena, Silva, Reillo, García Bostaman te, Ln, O iv r, ordinarias y extraordinarias anteriores hicieron ia reserva de que he ha Valdés ( D. Domsio), Garoz, Cueva*, To…</t>
  </si>
  <si>
    <t>…mente. nientes, expresándolos con la mayor claridad y distinción.” Aprobado. Aprobado. Art. a.° o Las cuotas de los gastos públicos se remitirán precisa Sobre otra del Sr. Ferrer (D. Joaquín), que decía :» Pido que la mente por los ayuntamientos, bajo responsabilidad , en todo el mes de fianza que te exige á los vecinos á quienes te reparten suertes de terre Enero próximo para la aprobación de las diputaciones provinciales.” nos baldíos con arbol…</t>
  </si>
  <si>
    <t>…en el campo , y ademas un prisionero que conduje á la defensa de sus libertades, que os ha elevado al mas alto grado de gir.esta: la nuestra se reduce al subteniente de artillería D. Joaquín fi:sols ria, guiarán ios pasos de estos vuestros compañeros como españoles y contuso en una pierna de una bala fría, un soldado de la segunda de como milicianos; y si alguna otra vez os llegaseis á encontrar en lid voluntarios de los emigrados herido, y un ca…</t>
  </si>
  <si>
    <t>…Félix Ezcurra, D. Hipólito Gregorio, 1&gt;. Joaquín de Pueyo, Don evnr Prut, dputado Sícnuna-Fran-sco Benito , diputado secreta- Manuel Cantin , D Agustín Alcaide, D. Pedro Muniera, D. Joaquín z¡o.=Por tuno ■njn'imoi 1 lod.s o» tribunales, justicias, gefes, go Rentue, D. Mariano Antonio Laborda y D. Francisco Lansac, qun bernadores y demás autoridades, asi civiles como militares y eclesiás declararon por unanimidad de votos haber lugar á la formaci…</t>
  </si>
  <si>
    <t>…María dios...... 10000 ps. fs. En S. Fernando. Pardo Quirora para la comisión especial de ia incorporación y venta da 13881....... 4000........... En Logroño. bienes nacionales: á D. Joaquín huarez dei Villar para la administra 781...... 1000............ Fn Madrid. ción de los bienes y arbitrios de! establee miento y pago de intereses; bcji:........ jooo.................. En Zaragoza. y á D. Amonio D-az del Moral para gefe de la liquidación de la…</t>
  </si>
  <si>
    <t>…Prusa en nuestra cor Hacienda nacional la gratJicacion señalada. te, p üc nc a para irtro-ucir un » .b-os un pagar derechos según Capitanes. D. Luis Beaumout, D. Antonio IIíVÍ* , D. Joaquín costumbre: y cnnvi .n ¡a qu - s- • rxpiluí a: dj-se que se le ha Ramos, D. Mariano Moreno. D. Aranasio Cuadros, D. Buenaven ba torced do a introduce.on cu ndo . ra encarnado de Negocios de tura Basas, D. Gaspar Delvado, D. Jactfco huno, D. Miguel Mnl“ius,a,se…</t>
  </si>
  <si>
    <t>…de la Naciou, cupo en ia suerte del primer extracto de la 4 los facciosos de S. reliu de Codines, en unión con la sección que va de este día á Dofia Mana Joaquina Machín, hija de D. Joaquín, ca no de Vicb y atacó por el camino de Centolas según las prc er.c enes pitán del regimiento de infantería de Zaragoza , muerto en el campo que le mía hechas: gradúo su pérdida en 73 mueatos; pero si hubie del honor. ran concurrido las tropas deTarrasa, que…</t>
  </si>
  <si>
    <t>…de la lanza y excelente* Lie. D Isidoro Tarín, y ha nombrado al mismo tiempo para que ¡o ginetei: la principal ocupación de las tribus vagabundas consiste en la d.-s-mpeñe al Lie. D. Joaquín da la Torre Bosuet, abogado del ilustre cria de vacas, cabras y ovejas, y en la de colmenas; asi ea que en la colegio de esta corte. lengua kurda la palabra mal, que significa bienes, fortuna, riquezas, aitve mas particularmente para expresar rebaños. Emprést…</t>
  </si>
  <si>
    <t>….” (Siguen las firmas.) os den la* mas expresivas gracias en nombre de la patria y el tuyo.. Juicio de jurados. Milicianos que compusisteis la columna móvil, vuestro ayuntamien El Sr. D. Joaquín de la Torre y Bossuet, fiscal de imprenta, de to constitucional al felicitaros cordialmente os repite que la unión, el nunció al Sr. alcalde D. Rodrigo Aranda un folleto titulado Carta respeto á Us autoridades y la mas ciega obediencia á las leyes son la* ter…</t>
  </si>
  <si>
    <t>Joaquin</t>
  </si>
  <si>
    <t>…s que se propone. son dependientes del pueblo, y no sus señores; no tienen mas poderes Juicio de jurado1. que los que han querido conferirles tus comitentes , y están obligado* El Sr. D. Joaquin de la Torre y Bossuet, fiscal de imprenta, de * egercerlos , no como á ellos les parezca, sino * gusto de ia Nación." sunció al br. alcalde D. Vicente Bertrán de Lia un folleto titulado La autora añade la nota siguiente: n Asi et que puede acontecer que Segun…</t>
  </si>
  <si>
    <t>…rtes, facili dente honorario de provincia y diputado á Cortes por la de Aragón, tando y haciendo asi mas rápida la venta de las fincas.” ha hecho al Rey la oferta de sus dos hijos D. Joaquín y D. Eusebio Ji En su vista hemos resuelto trasladar, como lo hacemos, la Real or ménez, el primero de 19 alíos, y el segundo de 18 , para que sirvan den inserta á todos los gefes políticos , á los intendente» de las antiguas en clase de soldados del regimiento caballería de ia…</t>
  </si>
  <si>
    <t>…rado contra ritos. nosotros: sin embargo creemos que toda tu política te reduzca á una Juicio Ae jurados. guerra encubierta, porque aun en mrdio de su obcecación, no dejarán de El Sr. D. Joaquín de la Torre y Bossuet, fiscal de imprenta, de penetrar que en una guerra descubierta pudieran muy bienirsc sucedien nunció al Sr. D Rodrigo Aranda, alcalde constitucional, el impreso do tales y tales acontecimientos, bien funestos á sus misinos promo titulado…</t>
  </si>
  <si>
    <t>…para negociar; pero el divan s gue burlándose de tación. los Gabinetes cristianos. El periódico francés el Piloto publica varias reflexiones en favor de F.l Sr. fiscal de imprenta D. Joaquín de la Torre y Bossuet denun la España, y un p rrafo de Berlin del 4 de Setiembre, que dice asi: ció al Sr. alcalde constitucional D. Vicente Bertrán de Lis , á excita • Se asegura que los Gabinetes de Viena y de Londres están unánimes ción del Gobierno, el fo…</t>
  </si>
  <si>
    <t>…obligación sucesiva de valerse de las mismas bianca. casas jara .practicar esta operación, y que libremente puede elegir á Sres. que fueron de opinión contraria: D. MitíasCitero, D. Joaquín •Hat ¿MÍt otras «pie crea convenientes para el efecto. Manrique , D. Gonzalo Cárdenas, D. Nicolás Alonso , D. Andrés Art. 8.a » Cuidará el Gobierno de dar á sus encargados en Madrid, Alcoa y D. saturnino Lozano. Lóndres y París las órdenes necesarias para el…</t>
  </si>
  <si>
    <t>…para atender 4 los im Sequera, Llórente, Herrera, Bustamante y Benito. portantes servicios que están confiados al egército, sino también por la Comisión de Hacienda. Sres. Ferrcr (D. Joaquín), Jiménez, Ova conveniencia pública y consolidación del sistema constitucional. lle , Septicn , Surra, Sierra y Rojo» El Sr. Adan: Por mucha confianza que merezcan los Kcretarios Comisión de Código de procedimientos. Sres. Flores Calderón , Villadel Despacho,…</t>
  </si>
  <si>
    <t>…á dis-ancia compeler le , reconozcan »er la vjs.ta de su c*bo, surefoto ú 'final: y 4 fin de quí las guardias mir.dataspara cuando se tratase de las l yes penales. El Sr. Férrer (D. Joaquín) indicó que esta doctrina de la autori no la ignoren, y qu: sus centinelas no extrañ.n el rumo, se la comuni dad del cabo era tan antigua, que s-ria desquiciar el primer elemento de caran recípiocammte los g. fes de las guardias confinante». la ordenanza el a…</t>
  </si>
  <si>
    <t>…rir una risita de los expedientes de las nemos que entrar, y lugo tratar del modo de cubarlas. propuestas hechas por el consejo de Estado, autorizándose al Gobierno El Sr. Fitrer (D. Joaquín) man.f itó que era indispensable que para divo!ver las que no se encuentren arregladas á lo que previenen las Cortes se ocupasen de estos gravísimos asuntos separadamente, por los d tercios de Cortes en esta materia. que no solo se trataba de pedir hombres pa…</t>
  </si>
  <si>
    <t>…prov denc.as convenientes para los indicado, fines. no se repruebe el artículo constitucional. El Sr. Marau hizo varia, reflexione» para manifestar que ni» se ha | El Sr. Ferrer (D. Joaquín) pidió que se leyese el segundo caso del cia mér to de lo» procuradores de os ayuiunn.cotos para ia cooperación ! artículo 321 de la Constitución (se leyó y continuó): lie pedido se de las media, que la autoridad había de lomar para proteger las perso lea est…</t>
  </si>
  <si>
    <t>…ales no pueden trasladarse al código donde el Sr. Argii.jles manifestó que lo apoyaba. . : , hay leyes secundarias. Dícese que es inútil el artículo; yo no lo creo El Sr. Ferrer ( D. Joaquín): Mi horror 4 Ta palabra policía ms •si, porque cuando se expresa ’&gt; ni se podrán mezclar en ia conducta obliga 4 impugnar este articulo. En efecto no sé quién es el magistra privada de aquellos sino en el modo y casos prevenidos por las leyes,” do capaz de h…</t>
  </si>
  <si>
    <t>…ejar esto la Península , para que las Cortes se sirvan declarar como carga conce al arb trio de los ayuntamiento!. jil le de diputados de barrio de aquella capital. El Sr. Ferrer (D. Joaquín) dijo que precisamente estábamos en la Se mandaron pasar á la misma comisión las siguiente* adiciones del capital de la monarquía, en donde era preciso corregir el desorden que Sr. González Alonso al reglamento de policía. se notaba en la numeración de las ca…</t>
  </si>
  <si>
    <t>…, Somoza , Rojo, Trujíllo, llenera, Tejeiro, Gil Oiduíia, que renuncien sus destinos, hasta que el Gobierno haya apiobado la Rico, Sierra, Baixes, Prat, Villanueva, Ojero, Ferré: (D. Joaquín), r.nencia. La conveniencia que tiene esta medida no necesita explica Garmendía, Parque, Sánchez, Loque, Potada, Septien, Busafia,Mon ción, porque es claro que cuando un empleado es perjudicial en un tesinos, Silva, Birmano, Neira , Bertrán de Lis , Adinero,…</t>
  </si>
  <si>
    <t>…s patrióticas, no son jil'o, Salva, Orduña , Te jeito, Rico, Sierra, Baigcs, Prat, Villalos mejores,)- las Cortes tienen reconocido ya que una de las princi nuera, Ojjro, Ferrer ( D. Joaquín ), bobrron , Garmendía, Brío gas, pales causas del estado d:p’orabl¿ á que había sido conducida ia S i- duque del Parque, Sánchez, Seplien, Busaña, Montesinos, Silva, c.icn era la apatía, la indiferencia , y aun la criminalidad de algu Vninami, Nena, Bertrán…</t>
  </si>
  <si>
    <t>…lación entera en Somoza , Rojo , Orriura, Montesinos , Tcjeiro, Rico, Sierra, Villaesta parte. En primer lugar dice el art. 308 de la Constitución que se nuera , Soberon , Eerrer (D. Joaquín), duque del Parque, Scptien, pueden suspend 1 algunas formalidades para al arresto de los delin Bussfia, Re.llo, Silva , Neira, Vi zutanos, Pedralvez, Garoz , Valcuentes ; y yo quisiera que se expresase qué formalidades son estas, sa- dés (D, Dionisio) , A'.v…</t>
  </si>
  <si>
    <t>…rtin de Zarandia, D. Joaquín Manrique y Manrique, D. Do cerca de la regencia de Urgel.” Otroa periodista» dicen que se retiran al mingo Fernandez Angulo, D. Josof Luis de Aniandi, D. Joaquín de interior varios regimientos. la Vega y Quintana, D. Andrés Moya y Luzuriaga, D. Valentín de Austria. Muchas eran las conjeturas que se hacían en Viena sobre Nicolás, D. Pedro de Matute y D. Juan Manuel de Arejula. los puntos que han de discutirse en el Con…</t>
  </si>
  <si>
    <t>…n d.-ho tri los arsenales, á fin de hacer el reintegro sin perjudicar al fondo de ccnstruccon ni á dichos empicados. mestre 148. a4.fr ■cultura , industria y artes. El Sr. Ferrer (D. Joaquín) se opuso .1 que se pagasen haberes perso No hay en esta ciudad cria de ginado», m ñas, montes ni p an— nales de los 50 millones destinados por ia» Cortes últimas para el tíos. En cuanto a agricultura solo d:bz hacerse memo d? ia aclima equipo y construcción…</t>
  </si>
  <si>
    <t>…rvan para el ramo de artillería y esten servidas ejecución la organización de la milicia activa, porque te ha contado por lo» batallones del tren. con esta fuerza. El Sr. Ferrer ( D. Joaquín ): La comisión desde luego está confor E&gt; Sr. Fcrrer ( D. Joaquín ) contestó que la comisión no había me en que se construyan todos aquellos carros que deban tener una dado su dictamen sobre este punto porque las Cortea no habiaa acor forma particular para el…</t>
  </si>
  <si>
    <t>…tado y de muy gran que no tenemos de que disponer para los gastos de guerra. de para la milicia activa. El Sr. Valdes(D Cayetano): Es cierto qu: el no tener actual El Sr. Ferter ( D. Joaquín) dijo que la milicia activa habia dis mente el egército la fnerza armada que las Cortes decretaron habrá frutado hasta ahora de un fondo muy pingüe , el cual podía muy producido un ahorro imprevisto en el presupuesto; pero esto será ¿ be bien subvenir á los g…</t>
  </si>
  <si>
    <t>…consejo de Estado, por término de marejo, Scoane, Domenecb, Somoza, Rojo, Adanero, Ordufia, 30 días. Canga, Rico, Laque, Sierra, Muro, Baiges, Prat, ViUan, Oj-ro, Sob.ron, Ferrcr (D. Joaquín), Parque, Septien, Tejeiro, Busa- Lista de las circulares, decretos &amp;c., publicados en las gacetas de Ra, Montesinos , Silva, Viéntanos, Neira , Bertrán de Lis, Reilio, Octubre. Gobernación de la Península. Belmonte, V»ldés(D. Dionisio), Oaróz, Gómez (D. Manu…</t>
  </si>
  <si>
    <t>…ientet raparlo en n* plata. Grandin Deion yeompefiía da Secretaría del eonstjo de Estado. París 331 rs. 7 16 mrt___A Revenas de id. 671 7 0._.Doern*r 7 ' Por dimisión que ha hacho D. Joaquín de la Cárcel del juzgado da compafiía de Paria 1613 7 4—D. Agustín Monunaron de id. 8018 7 primera instancia del partido de Pcfiíscola ha quedado vacante su pla *4—.La sociedad de Longhupe de id. *101 y 14-__La de Studen de za , y »e admiten memoriales de pre…</t>
  </si>
  <si>
    <t>…fecto lo que propone la comisión. Si se di Entró de vuelta del Real palacio la diputación : y el Sr. Ferrer jese que todos los facciosos que han tomado las armas contra la patria (D. Joaquín) como presidente de ella dijo qua habia sido recibida con se entregasen á la disposición de los comandantes generales para que el ceremonial de costumbre, y que S M. había ofrecido tomar en con estos les diesen destino, convendría con el artículo; pero tratán…</t>
  </si>
  <si>
    <t>…e declarada comprendida en el art. 100 del reglamento, una proposición se hayan deftnd.do de los facciosos, y de los que se hayan puesto en sobre el art. 5.0 de los Sres. Ferrer ( D. Joaquín ), Moreno y Cerral- acción de defensa.” bo, para que las Cortes se sirviesen acordar que los f.ociosos que hu Otra del i&gt;r. Trujillo, concebida en estos términos : « Pido á lss biesen sido sacados á la fuerza de sus casas para servir en las gavillas Cortes qu…</t>
  </si>
  <si>
    <t>…cias, y auxiliándolas para que prosperen. Este objeto es demasiado es solo un ente de razón. importante para que se concedan solo tres millones : si i una provincia El Sr. Ferrer (D. Joaquín ) manifestó que la comisión había pro en que se hace encarnizadamente la guerra se hubiesen enviado con cedido en este dictamen, no sobre ias bates de economía, porque en tiempo estos seis millones, estoy seguro de que no hubiera cundido el circunstancias ext…</t>
  </si>
  <si>
    <t>…r Bien conozco que la Nación en cierto modo no puede atender como te de un princ.pio falso. dsberia á sus obligaciones; p'ro al mismo t s-uip.i no cu do o r con pa El Sr. Ferrer ( D. Joaquín) dijo que por lo qne hab'a manifestado ciencia que ss diga aqui mismo qu- rsiamos pobres. ¿De este modo có •1 Sr. sacretario da la Gobernación se coitocia que todos estaban de mo hemos de tener crédito? La Nac.on esta pobre; ptro es por mo acuerdo, y que él c…</t>
  </si>
  <si>
    <t>…(Don que la exposición que le acompañaba debia ser objeto de las Cortes Elias), Trujillo, Apoita, Roig, Bauzá, Vargas, Rico, Orduña, extraordinarias. Canga, Prat, Ojero , Ferrer ( D. Joaquín), Garmendia, Torre, Sán E: Gobierno no fue interpelado para proteger al ex-secretario Ga chez , Lodares , Blak.e , Torner, Alcalde, Busaña, Montesinos, Sil relly, sino para que pasase á las Cortes su exposición. Dando primera va, Arias, Lis, Allanero, Benito,…</t>
  </si>
  <si>
    <t>…itku'o 2.u terra es decididamente el de conservar la paz, tanto en el Oriente Se leyó el art. 3.® como en el Occidente de la Europa.__El mismo Courier dice en otro El Sr. Ferrer ( D. Joaquín ); En el artículo anterior te habla dn lugar que á la España se la debe aconsejar y dar dictamen , y que t «la esca'a, y ahora del caso en que un buque toque en un puerto. Estaa intervención 4 mana armada no harta mas que retardar el resultada dos voces tízne…</t>
  </si>
  <si>
    <t>…cia , no puedo aprobar la cantidad que el Sr. ministro de Estado gracia que les está concedidapide para pagar á los cinp'eados diplomáticos cesantes. Dentro de poco El br. Ferrer (D. Joaquín): Por rsta adición se trata de que sa se presentará el presupuesto del ministerio de Hacienda, y allí se verá prolongue el plazo concedido respecto de los filipino* que quieran ex una lista nominal de empleados cesantes en este ramo, mas escandalosa traer sus…</t>
  </si>
  <si>
    <t>…los patriotas? Coronemos la obra, porque ti.:./.a comprendida en el art. loo del reglam;nto. je ha hecho mientras quede tt!?n f«r hacer." (Kejrz arriba Barcelona.) El Sr. Ferrer ( D. Joaquín]) dijo que el vasto pian del proyecto que Esperaban cía Barcelona a, general Milans,que desde Vicb llevaba se había leído requería mucha meditación, y que la comisión de Ha ciertos 'presos, bien resucito á que si á su columna se le disparaba un cienda sola no…</t>
  </si>
  <si>
    <t>…ruiría si gnienPs: » bajo recibe; y del m smo modo a !o» sargentos un có- para se aprobase. cilos y para los cabos y suidif.», t.abü.tado d- tolo ¡o n.ctsario ¿Se—” El ir. Ferrer (D. Joaquín): El comandante de un buque de gue—a Declarado el punto suncent rásente discutido quedó apiobado el CS como el gcb rnaJorde una p:aza, v por ¡o mismo torios d.b-n e»:ar artí ulo en esto» mismos térmico»: á sus órdenes; y asi solo he tomado ta pa »hra pasa que…</t>
  </si>
  <si>
    <t>…as transpirenaicas, hay otras en que se Salvador hanjuan, D. Manual Marco, presbítero, D. Pedro Pascual halla algo de verdad y bástame exageración; pero no cabe duda en Carbonell, D. Joaquín f:;ri, D. Sebastian Bal!las , D. Remigio Cruz, qua el resultado de ellas es que el partido ultra francés, qu* tanta pre- D. Joaquín Satz de Qumtaniüa , D. Mariano Orrit y D. Vicznte Azpondsrancia ha sabido arrogarse, toma muchas medidas que pudieran su nar, d…</t>
  </si>
  <si>
    <t>…que s; apoya e! de Seoantf, Somoza, Rojo, Rico, Orduña , Sierra, Bel monta , Villa- creto de que se trata: á sabir, el arresto ds h&gt;s de.rDcuent: que es t. nueva, Oj.-ro, Ferrer (D. Joaquín), Scberon , Navarro Tejeiro, Rie sa mencionan, y e! allanamiento de lz» casis y reconocimiento ó-: pi go , Busafia , Srptien , Montesinos, Vizmanos, Silva, Neira , Reillo, piles. Esto es 10 que pr ncipalni:i;te ha cor.tr buido a que las Ccr; ; Bertrán de Lis…</t>
  </si>
  <si>
    <t>…consi Aunque nadie ha dudado de que las armas de la libertad llevan con derables perjuicios. sigo siempre el triunfo y la victoria sobre los agentes del despotismo, El Sr. Ferrer (D. Joaquín): La comisión halla que la cantidad to ios ansiaban el primer encuentro de las tropas con los facciosos •- me adicional. de 50 millones prescrita por la» Cortes para el m-nt-.t-no apresuro por lo mismo á manifestar al público el extracto de los partea de Mari…</t>
  </si>
  <si>
    <t>…an reducidas á aquel derecho de guerra y paz que tiene Se leyó y aprobó el acta de la anterior. todo Gobierno regular; y cuando á nadie le ha pasado por la imagina El Sr. Ferrer ( D. Joaquín) leyó el dictamen de la comóion de ción disputar á la Francia el derecho de mantener un egército de ob Hacienda sobre la memoria presentada í las Cortes extraordinar a, por servación en las fronteras de España para evitar que un vecino atente el.Sr. secretari…</t>
  </si>
  <si>
    <t>…s y los trabajos hechos por el ene señalar hasta qué época se habían de hacer ¡as provisiones. migo desde que este embistió la plaza: a.° los trabajos de contra ata El Sr. Ferrer (D. Joaquín) indicó que ademas de las com:niá.:des que ó defensivos, y las disposiciones progresivas de la aitillcría y de volantes de que había hablado el Sr. Isturiz había otras q &gt;e no 10 eran, las tropas á medida que vayan adelantando los enemigos sus aproches; por e…</t>
  </si>
  <si>
    <t>…d que que pide el Gobierno y en lo que concede la comisión; ; pero no podrá exige el asunto. el Gobierno aplicar las cantidades que se le conceden i lo mas preciso; El Sr. Ferrer (D. Joaquín ): El Sr. secretario del Despacho de Ha Ír no podrá negociar 25 ó 30 millones de reales, teniendo en su favor cienda ha empezado su discurso manifestando que por el poco tiempo a opinión pública? Creo pues que el dictamen de la comisión está fun que ha trascu…</t>
  </si>
  <si>
    <t>…les ha tocado á 6 rs. por una casa; de foim* que sa'.-r tan me drían que conceder ¡as cantidad-s a! efecto. jorados los dueños que o» debe haber reparo en su cob o. F,1 ór. Ferrr (D. Joaquín) : En cuanto á loque el articulo previene La contribución de rentas dec'm’! s se valuó por las Cortes en ¡a que con las cantidades atrasadas que se cobren hayan de picarse ios misma cantidad que prepuso el Gobierno. atrasos no hay ninguna d ficuitad ; y lo qu…</t>
  </si>
  <si>
    <t>…ismo alos dd aprecio de le-sociedad y de todos tos amante* de la prosperi consejo de Estado para su total extinción. dad pública. - 1 Juicios de jtsrado. El Sr. fiscal de imprenta D. Joaquín de la Torre y Bossuct denun Lista de lat circulares, decretos iré. publicados en lar gacetae de cVo- ció al Sr. alcalde constitucional D. Rodrigo A randa rl folíete t talado viembre. el Zurriago números 77 y 78, en concepto de subversión y sedicioso. Güicmaci…</t>
  </si>
  <si>
    <t>…r de esto ao e* b ¿odote procedido i su votación, quedó aprobado. mas que perder el tiempo, queriendo establecer doctrinas fuera de to Se leyó una proposición de los Tes. Ferrer ( D. Joaquín ), Rojo, da reg&lt;* militar; y por lo mismo debe aprobarse el dictamen de la Gómez Becerra, Ovalle y otros Sres. diputados, que decía asi. » l’ar* comisión. llenar ias cantidades concedidas en los presupuestos adit.onales se seña Los Sres. Oliver y Belda apoyar…</t>
  </si>
  <si>
    <t>…te extraviado dos juros originales, encabezados en Don » Por lo demas,” y finaliza*. *» En el mismo caso que estábamos en el Martin de Arteaga, y pertenecientes en la actualidad á D. Joaquín de año de 8 en concepto de sedicioso. Arieaga, vecino de Madrid; á saber: un privilegio de to9 mrs. al En su vista se reunió el jurado , compuesto da los Sres. siguientes: millar de renta, 13,125 mrs. situados sobre las tercias de Carteen*, D. B-rnnrdo Asenjo…</t>
  </si>
  <si>
    <t>…que neces t-n las coras en vir por todo lo cual creia que el artíiu'o no debía aprobarse. tud de los reconoc.mí-.irles que niciere ci ingeniero ccrrtandjnte , y da El Sr. Ferrer (D. Joaquín), apoyando ¡o repuesto por el Sr. Olí- l.s que proy ctase nu vament-*, tíi-á cuenta el g-.b.-n.dor a: coman ver, dijo que podía aprobr.rs: la primera parte d-1 articulo, diciéndose dante genera! d.-i dutr.to , pasándole al prop c&gt; t'err.po las reiaeicnes y pl…</t>
  </si>
  <si>
    <t>…y engallo toldados sirvan á la Nación en los hospitales militares. formen unido* una fuerza asoladora; pero como i* razón dei hombre Se aprobó una proposición da los Stes. Ferrer (D. Joaquin ), es susceptible de ilustración,esta fuerza se desvanecerá luego que la luz Canga , Sierra , Rojo, Montesinos , Serrano y otros señores para que el disipe ias tinieblas de los error», y haga conocer á ios ilusos el extra ministerio de Marina remita los datos…</t>
  </si>
  <si>
    <t>…producido una cantidad muy pequeña en com del dictamen de la comisión , lo cual se verificó. paración de cato* 40 millonea. Eato partee que encierra una especie de El Sr. Ferrer (D. Joaquín) : A pesar de que ton conocidos los abu contradicción, y la comisión sin examinar si en efecto el producto del sos que ha habido en algunos consulados , me abstendré de hab'ar : li medio por 100 ea damasiadoexcetivo, no ha hecho mas que conformarse bre ellos,…</t>
  </si>
  <si>
    <t>…e i secha-s; c d ctam n refe-encía el Sr. preopinante , y después de una corta discusión con el que se eit-ute, por cuanto r.sucva ton ii";... i 'ia precipitación una Sr. Ferrer ( D. Joaquín) se aprobó el artícu'o. mater a bá tante grave , y ¡u as Co'trs t-.m-n en consideraron t.:í Art. 5," 1» FJ Gobierno queda encargado de tomar las disposiciones negocio para aver.guar que ventajas resudaren de derogar la | y ¿. 3 mas activas y convenientes al p…</t>
  </si>
  <si>
    <t>…var recorre la provincia de ro 306, imprenta de la viuda é hijos de Brusi,con las iniciales P. O-, Cádiz , y ha entrado en Jerez, Sanlúcar, Arcos, Córdoba, Butexera denunciado por D. Joaquín de la Torre, coronel del cuerpo nacional y Ronda. Un partidario de dos que diz que hay en la Mancha, se acer de ingenieros, unánimemente han declarado haber lagar a la forma có hasta Madrid Scc. Por todas partes haca aparecer millarea ds faccio ción de cauta.…</t>
  </si>
  <si>
    <t>Joaquín, Antonio</t>
  </si>
  <si>
    <t>Antonio Joaquín</t>
  </si>
  <si>
    <t>…as. Igualmente una certificación expedida por tesorería general en * de Art. 341. » Si alguno de loe delitos expresado* en los nueve pri Agosto de 1821, núm. 3667 al 9, á favor de D. Antonio Joaquín meros artículos de este capítulo fuere cometido por una reunión tumul Pardo y Pallys de 5 ■ 30 rs., reconocida en el Crédito público al núme tuaria de personas que llegando í cuatro, no pasen de cuarenta, y en 1 ro 3880. Se suplica i la persona en cuyo poder…</t>
  </si>
  <si>
    <t>Joaquín, FerrerfD</t>
  </si>
  <si>
    <t>FerrerfD Joaquín</t>
  </si>
  <si>
    <t>…resistencia á los no i» importancia d- estos serv e - , acua'd biá q;i* 'as Cortes accedie facciosos. sen a la toiicilud que se h-b a leído , para premiar dcbiCcrr..r.t; a Jos El Sr. FerrerfD Joaquín); Si yo hubiera considerado el dicta interesados. men de la comisión en el sentido que el Sr. Arguelles , desde luego E¡ Sr. I lorente cp-mó tamb en &lt;Mcf¡3 solicitud, y trarifertó varia* no me separarla de su opinión ; pero le entiendo de otra naan.ra muy pru…</t>
  </si>
  <si>
    <t>Joaquín, Josef</t>
  </si>
  <si>
    <t>Josef Joaquín</t>
  </si>
  <si>
    <t>…guiente el título de socio facultativo en ciencias políticas ofre cido por premio, y cediendo la onza, valor de la medalla que debía La Herniada, traducida en verso castellano por D. Josef Joaquín de adjudicarse en favor de una de las escuela* de nifias que dirige la socie Viruet y Espinóla: un tomo en 8.tf prolongado, de buena imprenta y dad, conocida por la de Santa Justa y Rufina: fue premiada otra me papel, nueve edición. Se vende en las librerías…</t>
  </si>
  <si>
    <t>Joaquina, Carlota</t>
  </si>
  <si>
    <t>Carlota Joaquina</t>
  </si>
  <si>
    <t>…r duplicado ! s g-'ei ie unas formado por el pod-r egecutivo, con motivo de haberse negado la Se y otras) de rodos los negociador quí tengan p-rd inte.; "un fgemp ar renísima Sra. Doña Carlota Joaquina i jurar la Constitución de la mo quedará en tas rtitendírci*», y el otro le remitir'ti á ia jutsu d.r;;t&gt;* narquía portuguesa, no moléstala al aob-rano Congreso con la exposi ción de este acont-cimiento, que se halla desenvuelto con claridad y del Crédito púb…</t>
  </si>
  <si>
    <t>JoaquínCorfú, Josef</t>
  </si>
  <si>
    <t>Josef JoaquínCorfú</t>
  </si>
  <si>
    <t>…banía á aquel establecimiento donde proceden, como paites de las 637 Cefalonia (antiguamente Cepha'enia)........ 69,000............ 7 acciones del fideicomiso del prenotado Excmo. Sr. D. Josef JoaquínCorfú fCorcyra, Phaeacia). ......................... 60,000............ 7 de Montealegre; con apercibimiento que de no egecutarlo, sin mas ci Zante (Zacy'nthus)........................................ 33,351............ 7 tarles ni emplazarles se dará el curso corr…</t>
  </si>
  <si>
    <t>Jode</t>
  </si>
  <si>
    <t>…os se Sores siguientes: D. Marcos Izquierdo, D. Anice boy daba m,hiu la ley 4 su sucesor, y esu es la historia en general to Lizana, D. Jotef Radon , D. Francisco Msrt&lt;nez Marina, D. Jode esas leyes. tef Reher, D. Lino Campos , D Jotef Larteategui, D. Antonio Ra Es pues preciso no desconocer esto, y tener presente las circunstancias gas y D. Antonio Puigblanch; habida la conferencia te declaró por del tiempo en que se dió la ley para ver si en…</t>
  </si>
  <si>
    <t>Joder</t>
  </si>
  <si>
    <t>…rca de la queja dada por D. Antonio G¡li darles armas para conseguir su intento el mostrar injusticia, y desaten ra 1 , alca de constitucional de Valencia, contra el gefe pol tico D. Joder á los mas eminentes patriotas. Es preciso decir esto á S- M-, y pe sef Plasencia, por haberle suspendido en el egereicio de sus funcionesdirle que remueva todoa los obstáculos que se oponen é la marcha del Las Cortes oyeron coa satisfacción la participación q…</t>
  </si>
  <si>
    <t>Joiq’</t>
  </si>
  <si>
    <t>…renta n anos. El tribunal de Cork, ha sentenc-ado i muerte á muchos tuga- Na-.una , como se nabi., hecho con ai-una, otras. tos convencidos de incendio y homicidio. Ei ir. Verter (D. Joiq’..n manit.it.&gt; que a esto no se p ^dia opo ner de ningún modo .a -emisión. FRANCIA. El ir. secretario de ,a Gobernación d¡j-&gt; que en caso de que se apmParís 32 d - Abril. base ia ¡dea del r. iaiva , era pr. c . &gt; que ¡as Cortes determinasen de El Monitor publi…</t>
  </si>
  <si>
    <t>Jolos</t>
  </si>
  <si>
    <t>…pidiendo ser ase n ¡i Jo á subteniente del mis mas que sobre la vigilancia de las autoridades, las tomaron, y también mo cuerpo, por concurrir en él iguales circunstancias que en D. Jolos del segundo y tercer batallón que estaban suprimidos por el ante aefPuig y D. N. Ampucro, que consiguieron esta gracia, opinaba que rior gefe pol'tico. El actual, i quien le causó mas escozor el vez ar podia acceder*: á su solicitud. Aprobado. mados á los mil…</t>
  </si>
  <si>
    <t>JomX</t>
  </si>
  <si>
    <t>…se. Lengua fratutsa , á careo de D. Juan Ribera. Pufo re‘ac:on al ultimátum del Gabinete ruso; y aunque al día siguiente se mió i D. Francisco Ana. Accésit á D. Jacinto Madrid y » D. JomX vee que son falsas, se repiten sin embargo de allí á dos días. Villa roe!. Octava clase. Lengua ¡atina, á cargo del mismo. Premio á Don VAISISSAJOS. J.nan Madrid. Accésit a Castro. Novena clase. Dibujo, i cargo de D. Castor Velazquez. Premio í.r Haya i.° de E…</t>
  </si>
  <si>
    <t>Jones, Manuel</t>
  </si>
  <si>
    <t>Manuel Jones</t>
  </si>
  <si>
    <t>…rs. al mea que disfruta de infam ría y sarst-nto mayor de la milicia activa drCuidad-Rea), &lt;d. en provincia. Tolosa i D- Francisco Arias Mercado, comandanta del primer ba Cádiz á D. Manuel Jones, mayor conMOdante supernumerario del tallen drl r.-gimi nto infam ría de Vitoria, id. regimiento infant-ria Infante D. Amonio; con el sueldo que disfruta. Tala vera á D. Víctor Cordero , espitan graduado de teniente coro Calatayud a D. Antonio Ma;az, temante…</t>
  </si>
  <si>
    <t>Jos</t>
  </si>
  <si>
    <t>…e ív estaba tenido que pagar las alcabalas correspondientes á ios lies primeros me próximo á enlazarse con la familia ¿Leal de Dinamarca; sin embargo, ses del año de 1814: otra de D. Jos. f Portillo , para que se le perdonen uo todos daban crédito á esta noticia, acordándose de una promesa de 4500 is. que aeltuda á los propios de su pueblo : otra del ayutitamucno casarse que se dice haber hecho el Rey á uno de sus augustos her to constitucion…</t>
  </si>
  <si>
    <t>…de Cruz. El Rey ha visto con satisfacción el generoso desprendimiento con En la villa de Noblejas, provincia de Toledo y partido de Ocalía, que el brigadier de la armada nacional D. Jos. f Rodríguez de Arias distante 9 leguas de esta corte, se halla vacante la plaza de maestro de ha cedido en favor de la Hacienda pública la cantidad de $69 r*. vellón primeras letras, con la dotación de io*n. diarios, pagados mensualque tiene de crédito por &gt;…</t>
  </si>
  <si>
    <t>…! pronto despacho de un ex taban las quejas sobre el particular. pediente promovido por el intendente de Aragón , para que se deter La misma comisión, en v.sta de la exposición de D. Jos;í Ferrer, mine el modo de expedir las certificaciones de crédito del reinado del vocal de la diputación provincial de la» islas Btlcar--sr para que se ¡e Sr. D. Felipe v; y una exposición de la diputación provincial de la* exon rase de aquel encargo en atenci…</t>
  </si>
  <si>
    <t>…quedarán caducados de he go Fernand:z Angulo , marques de Torrenucva, D. Juan Paz , Don cho. Lo comunicamos - V. E. por acuerdo de ¡js mismas, para que pa Manuel Esteban Caíala , D. Jos:f Rives Quera.to y L). Tomas Alaría iten ¡r&gt;!o en c i’i c.m er.tde S. M. se sirva dar las órdene» convenien Zunon. tes al efecto.=De urden del Rey lo ttasl-do á V. S. para su inteligen Los señores D. Manuel Carnicero y D. Juan Cortés lo calificaron cia, y á f…</t>
  </si>
  <si>
    <t>…, y siguientrs: D. Ts'dro Merino , D. Josef Dmetrío Rodríguez , D. Do sai de a.ju con este objeto c. ino á as once de la mañana. í-i coman mingo Fernandez \ngu!o, D. Pedro Matute, D. Jos f Antonio Pondante D. Manuel Arengo, qu; iba á la vanguardia con 24 soldados del zoa , D. Josef María Puente, D. Marcos Antonio Menczo, D. Juan b¡: ilion d*«liarb.isiro , se encontró con los facciosos en Coll-sacreu Francisco Travesedo y D. Carlos González Ll…</t>
  </si>
  <si>
    <t>…partido de médiéo titular da la villa de Afofrin, triunfo de la Constitución. provincia de Toledo, distante tres leguas de dicha capital, pueblo sano, » El digno diputado i Corte* D. Jos -f Orases, que como ayudante de Uoo vecinas, con dotación de to9 n. anuales, cobrados y pnvaii-s de estado mayor dispuso V- £• que me acompañase desde el cuartel de por el ayuntamiento 1 lot sUgetOs que quieran pretender presentaran sus S. Oil, ha correspondi…</t>
  </si>
  <si>
    <t>…de tan gran manos , capinn D. Miguel Claren*, con azúcar, tabaco, café y palo. calamidad la justa indignación de la patria , por la idea ciarla que dais Bergantín español Cometa, D. Jos f Gandullo, capitán , con azúcar, de obstinación en el delito: sí, seguntinos, conocedlo; vuestro sacrificio pimienta, tabaco y 808 pesos fuertes. Bergantín español Hércules Ga es el mas insensato que pueda concebirse; no es 4 Dios ni á la Nación ditano, csp’…</t>
  </si>
  <si>
    <t>…gército tendrá las facultades que te señalan en ayudante de Bailen D. Nicolás B'ac Rico, el teniente del mismo •1 decreto de laa Cortea de 6 de Enero de 1813 y las que le da la or D. Jos f M iría Onlin, y el ayudante de Luaitaaia D. Pedro Antufíez, denanza general del egérciR». g.® El intend.nte general militar con que nombré pare que como ayudantes comunicasen las órdenes ¿ las presencia del artículo del citado decreto propondrá c&lt;m ur colum…</t>
  </si>
  <si>
    <t>…ersivo. En su vista se reunió el jurado , compuesto do en sus cuadernos ÍJ y 7° de los objetos mas importantes sobre de luiSr-i. siguientes: D Nicolás Alonso, D. santiago Delgado, Don Jos ramos de agricultura y ganadería, como son ganado lanar y cabrio, Francisco Barra, D. D mingo Fernandas Angulo , marques de Cusano, aves domésticas é insectos útiles, con los que concluye su segunda D. I..&lt;renzo Calvo de Rozas , D. Benito Ortega Romanillos, D…</t>
  </si>
  <si>
    <t>…s de esta corte. dos piísvs la gloria de las aitms de España; pero en esto no fueron de Lista que te cita. peor condición los -sp.ñoi. s que los franceses , pu s si aquellos derra D. Jos f Comitre a.400 rs. D. Manuel Caballero 1300. D. Manuel maron en blandís la sangre agsna, estos vertieron en París la suya pro A'carar, menor, 1110. D. Pablo Latios 10. D. Joscf Martínez de pia con un furor sm cgempío. Hu-lado 430. I). Martin Latios 100. D. A…</t>
  </si>
  <si>
    <t>…ar fianzas; qu- mes y m-dío antes que con que v ni d sd Ta-azona ai man ió dei segundo v mandante d i bata cluya el término indicado noticien á V. S. y al tesor.ro genera’ el llón D. Jos f Mar a Araujo , y llamando la atención ce a gacilla, dió juicio que hayan formado de si serán ó no efectivas en tiemro oportu jugará que sa’icndo parle de los voluntarios del fuert , arrojasen al .na- no , y que se oiga á aquel acerca de lo» tesoreros. D; Re…</t>
  </si>
  <si>
    <t>…la villa de Jibrique se han acogido al Indu’to las personas si- cree que saldrá el día ao.” Esta mudanza de ministro puede dar n.ñi yuint’s: El cura párroco D. Juan Jaén-, su hijo D. Jos f Ja-n, pres vo i muchas conjeturas. Los periódicos publican el oficio de Gr.bi rbítero; D. Sebastian Vallejos, L&gt;. Jos-f Jaén, Juan Ga marro l’alina, no; la salud de Mr. Lutzow es, por supuesto , la causa de e.u previ Juan Gil Rubio, Josf Afuilar buz, A"gcl…</t>
  </si>
  <si>
    <t>…r to- izquierda, dirigida por mí, s: compuso d.- cuatro compañías de mi bsd i» ns cz»a» dr que se les l.ac.a fuego; espantados los facciosos á v »:a tal on, bat.en io el frente el capitán D. Jos f Fernandez con una a a ce la e. hombres, solo procuraron es.omti.rsc ó huir por t ¡idos y ta de tirador -» ds .Asturias y bigüenza, y los caballos de Sagunto al man pias, s.. ué-Ti'.'o en va fuea unos barrancos que en vano int- nló p: r do del capiun D. Jose…</t>
  </si>
  <si>
    <t>…tobre de gloria a los muchos de que se han hecho acreedores en defensa Ccdent. de un cen o libre de ¡0,554 rs. y jq rr.rv v.~. de pnn. ps. .»" A . délas libettades patrias. vor de D. Jos. f María Eliz . ndo; y liab: r.os Jo interceptada por ana » Deseoso ei cuerpo municipal y los pudientes de esta de propor partida de ¡acetosos que detuvo el corr.o que ia cóncav a , s: .nuce a ai cionar algún trabajo á las familias que por las circunstancias…</t>
  </si>
  <si>
    <t>…expiar sus crím.nes.s^u/r/u.’’ i ion; entre ellos e¡ brigadier Bravo, D. Ant.nio López Pantana, i.le» i //._$« ha publicado hoy por bando que ninguna persona ni D. Manuel Rincón , D. Jos f Domingo Rus , el cancnno D. M.guel corpora :íon pueda promover vítores injuriosos á los buenos europeos, Ramos Ar-spe, D. Ramón Rayón, D. Juan Bautista Lobo y D. Joasi com o ofensivos al soberano Congreso ; ni promover pj»eos sin pre sef M &lt;ría Couto. vio c…</t>
  </si>
  <si>
    <t>…freció pata las urgencias del Estado, le dispen D. Manuel Cataban, D Manuel Josef Calzado, D. Manuel Cruzado, saron rl tiempo de servicio con Real despacho que le falt-.ba para po D. Jos tí Castro , D. Francisco Capdevila, D. Euscbio Fslcbanez, Don der obtener la gracia de hábito en la orden de Santiago, bajo el con Francisco Antonio Este vez, D. Andrés Fulgencio Blanco, D. Josef cepto de que pusiese en tesorería general lo* citados too® real…</t>
  </si>
  <si>
    <t>…¿10 del mismo m*s , 7 firmada por J. G., denunciado por injurioso lo* respectivos documentos de donde dimanan sus créditos fi los síndi por el procurador D. Ramón Sans á nombre de D. Jos;f Mas 7 Pa- cos D. Juan de Dios Landabusun 7 D. Josef González Bulnes, para ges, a'calde primero constitucional de dicha villa , han declarado uná que esto» puedan formar y presenten en junta que ha de celebrarse fi nimemente haber lugar á la formación do cau…</t>
  </si>
  <si>
    <t>…rre del Fresno , I). Cis.miro Martin, 1). Lorenzo Calvo de Ro Vuelve á repetirse qua el egército ruso del Oeste se conservará en zas, D. Gregorio Mrndivil , D. Antonio Puigblanch, D. Jos:f de sus posiciones; y abara se obsarva que están muy reconcentrados ios San Millan y D. Ramón LI rd. cuarteles generales de invierno del egército del Sur; y todas las tropas Habida la conferencia se declaró por unanimidad haber lugar á la se hallan repartida…</t>
  </si>
  <si>
    <t>…elipe Martínez de Aragón , por 00 votos de 131 de total. drid. Tampoco había apariencia de que se d »o i.'ra -i torcris-».™ Para la de Ve lartolid proponía la comisión á lo» Síes. D. Jos;f Aquí s: contradicen ei Mvxit^r y el D:\iri-. de Us Ditate. : n a, rsto Puente Herrero , D. Andrés García del Corral y D. Josef Fernandez va haciéndose frecuente , y ya no se extraña. Un ptriod sta cr„e que no Paul; y fue electo por unanimidad el Sr. Puente…</t>
  </si>
  <si>
    <t>…de esta ciudad, una comisión de liquidación compuesta de los quienes á tu vez tienen igual derecho á exigir de vosotros ambas virtu Srss. D. Josef Ignacio Alemán, alcalde primero; D. Jos;f Anton o iísrdes, tan recomendadas an al art. 6.° de nuestra ley fundamsntal.” tran y D. Guillermo Olí ver, regidores; O. Bruno Habata, contador, Hallándola ya dispuestas loa pólizas dtl seguro, la dirección haca D. Juan Casas , síndico, y de los ciudadanos…</t>
  </si>
  <si>
    <t>…cuando no los r.clamasen tos de su natura eza. A .a misma i: manco pasar una exposición de D. Pedro t-aneda y troduciría disórden; mas la drmrza o.gna det mayor e.ogio de la piste D. Jos f Marta N., pidiendo se llevas: á efecto una proposición que de Oviedo y Zapadores que sostenían as piezas trustu» sus esperanzas. hicieron lo. nres. i’.orez Estrada, Soiana y Olivar en la legúóatura de La izquierda ii^u.6 cnvUv.enao o&gt;, y apo ¡arod - -a b**c…</t>
  </si>
  <si>
    <t>…; han declarado na haltr lugar á la formación de causa cado una carta de París, en la que - ae dice que corría muy valida en por siete votos; lubi-ndo opinado que sí dos, que son D. Jos*f An esta capital la voz de que el Gobierno francés había remitido ya varias tonio Balceils y D. Antonio Dionisio Terret, Barcelona a o de Nopropuestas al Gabinete espabol pata acabar de entenderse y consolidar viemb-e de 182a. Pedro Mane lia, Josef Francisco…</t>
  </si>
  <si>
    <t>Jos, Ana Burqaíeta y</t>
  </si>
  <si>
    <t>Ana Burqaíeta y Jos</t>
  </si>
  <si>
    <t>…la tropa y se d sp-n a lo r ccsai.o para ia sa.ida , se nos sol , y drspvc, 4- un exacto reconocimiento, y ríe no haber hallad &gt; í pre.-ntaron de rodillas mi mí. .z ru-ulre viuda Doña Ana Burqaíeta y Jos facciosos, mi d.tigi i este pueblo * fin de dar algún d.sean,o á I» Doña Nicolás* Garbas o, sol ra, hermana del voluntario herido, á petropa, qn : con el mayor ar íor haba sufrido um marcha pesadísima. ri.r nu.stra rendic.on d orden de los car.bes: nos inform…</t>
  </si>
  <si>
    <t>Jos, Francisco</t>
  </si>
  <si>
    <t>Francisco Jos</t>
  </si>
  <si>
    <t>…s A ;a de Instrucción pública una exposición de D. Ramón Pedrosa, horas que prevenia el regí rnient a , d jo : Las Cortes se han enterado por en cabdad de a hacea testamentario de D. Francisco Jos;f de Corra, lo» Sres. secretarios del "d. .pacho d •! estado en que se encuentra la Na minifestando qu; este en su ú&gt;t ma vo'untad había mandado se estable ción , cuyos informes tn.lr: presentes la comisión para proponer á las ciese á su costa una e«;u m si;…</t>
  </si>
  <si>
    <t>Jos-f</t>
  </si>
  <si>
    <t>…adetes D. Josef Morales Reyes , D. Frane'sco Pau dii 18 salió López Salios de Aoiz con su tropa para el Roncal en dos la Moyano y otros dos, como también el practicante de cirugía D. Jos-f direcciones. Godoy te portaron con tal denuído, que se atraían la atención de lo Málaga 27 Je Junta. dos , y supieron tener tantos ému'os que los im'txran , cuantos eran los Ds Melilla comunican noticias relativas i un escarmiento que se he individuos que ibs…</t>
  </si>
  <si>
    <t>Josaf</t>
  </si>
  <si>
    <t>…i San Pablo , cap tan D. Antonio Carrillo , con azúcar , ca con vuestra sangre quitren comprar las preeminencias y goces indebi fé , cacao y tabaco. Bombarda, española Dos Marías, capitán D. Josaf dos que antes poseían , y de que vosotros mismos os quejabais justamen .Ramos , con ub ico, café y azúcar. Bombarda española Carmen (a) te. Abandonad 4 esa horda de criminales egoístas; pemiad.osde una la Esperanza, capitán D. Antonio Villar, con lastre. Berg…</t>
  </si>
  <si>
    <t>JosaQ</t>
  </si>
  <si>
    <t>…todo* ? Guerra &lt; D. Joaef Basilio*), Alcaraz, Amati, Navarrete, Gateo, Na A lat Corte» te ha comunicado d decreto da la «operación da loa varro (D. Felipe), Ynste, Priego, Romero (D. JosaQ, Diez Mom miníanos; y loa Sres. diputado* que lo hayan oído no habrán podido ia, Fernandez, Muñoz Arroyo, Solana, Guerra, Lasanta, Ocho*, mano» de formar el concepto debido: tolo la prudencia e* la que ha Cosío, Golfin, Paul, Vadillo, Calatrava, Lallave (D. V…</t>
  </si>
  <si>
    <t>Joscf</t>
  </si>
  <si>
    <t>…comisión As Merienda en de perecer que e* oyese 4 la rnmisiun ios batallona ligers pan yu do ntftieaea ssoarebo ea as haberte. de Visita del Crédito público sobre te instencii de D. Joscf bapieem, Aprobado. vecino dbLebrija, quejándose deque no te le admitían en pago de bieLa misma , ea rota de la casaba remitida por at Sk.'sdfctario da ato nedoaela ctaitaíxeriificacioaa de' juma que m 1* habua despe la Guerra sobre el modo cos yM s be de vaif…</t>
  </si>
  <si>
    <t>…que absolvieron dicho artículo: D Casimiro Martin; D. Se Ley'en que. se habilita á los regulares secularizados para adquiría bastian Andrés; D. Andrés Alcon; D. Pedro de Matute, y D. Joscf bienes.de cualquiera clase y por cua'quiertítuio. (Gaceta del sy. ) Pió Santos. D claracion de las Cortes sobre los oficios de subalternos de los tri áre*, que lo declararon injurioso: D. Valentín Recio, D. Josef bunales. ( Gaceta del 2j. j Radon, 1&gt;. Andrés…</t>
  </si>
  <si>
    <t>Josef</t>
  </si>
  <si>
    <t>…icado qu: inserten en ellosi falta de autor dcc. Scc. bierno ó encargado* por su oficio para comprar , vender ó adminis Siguen los votos particulares de los Srcs. duque de Frías y D. Josef trar algunos efectos por cuenta del Gobierno mismo ó de algún esta Joaquín Ortiz. blecimiento público, cometan cualquiera de los fraudes expresados en Ac-rca del derecho de petición el consejo propone varias medidas: el artículo precedente, ó incurran en ei d…</t>
  </si>
  <si>
    <t>…na, Quintana, Argíiello, Milla, Freire, Dávda, Qmroga, caprichos se moderan á proporción de las cotias facultades; y con un Lallave ( D. Pablo ), Moreno, Cortazar, Murfi, Guerra ( D. Josef mediano bienestar logra el hombre de bien la felicidad, y sabe disfru Francisco), Alcaraz, Amati, Navarrete, Pareja, Palarca, Gaseo, tarla. El poderoso la ve apenas á una inmensa distancia, y la deja des Yuste, D sprat, Navarro (D. Felipe), Priego, Romero (D.…</t>
  </si>
  <si>
    <t>…ana, Arguello, Milla, Freite, López Constante , Quiroga, propiedad distribuidas entre un gran número de individuos de la sacie, Moreno, Lallave (O. Pablo), Amati, Alcaráz, Guerra (D. Josef dad , consideraría la prosperidad general como un medio de consol id», Francisco), Pareja, Gaseo, Navarro (D. Felipe), Desprat, Y usté, Pa tu propia felicidad. Saben ademas que le libertad de dividir sus bienes la rea , Priego, Romero ( D. josef), Diez Morale…</t>
  </si>
  <si>
    <t>…preguntado todo el mundo,curl es st objeto de 400 reses, iá carneros y otras especies, quedando siempre de g:fe de esta doctrina, que envuelta desde luego en densas tinieblas osa D. Josef La mar, y en este estado quedaba todo cuando salieron dichos repentinamente salir á luz! ¡Qué escondido pensamiento oculta! pasageros. Benavides subsistía en las costas de Arauco, y desespera «Qué designios di be poner en ciaro! Porque esta no es seguramente do…</t>
  </si>
  <si>
    <t>…nares, Crespo Centolla , Cepera, Ezpeleta, Alaniz, Pala- El Sr. secretario García Page dijo que iba á leer un escrito firma rea , Banqueó, Piérola, López (D. Patricio), Rodríguez (D. Josef), do por algunos Sres. diputados, y que dudaba si era adición ó proposi Subrié, Arnedo, Solano*, O-Gavan , Osorio, Golfin, Feñafiel, Ar- ción: lo leyó, y decía asi: gaiz, Puigblancb, y los Sres. secretarios Tapia y Zorraquin. » Pedimos á las Cortes que declar…</t>
  </si>
  <si>
    <t>…a sus pata da dicha propoaicion, firmada por lo* Sret. Dias tul Moral, Friego, ^.hKhi entrelazada tm&gt;| con otra no podan examinarse bien la Diaz Moralet, 0-0*1 i, Detprat, Romero (D. Josef), Peres Cotia, una sin la otros, y se hadarían inconvenientes grava si ae sanciona NtrtW» (D. Felipe),Becerra, Mullos, Añoro, Golfin, Solanot,Yut* ban una titula y otra no. te,Laibve(D. Vicente), Olirer,Quintana,Fernandas,Gateo,Codo, El Sr. González Allende a…</t>
  </si>
  <si>
    <t>…s , y prevenían las ór dia 7 todas las tierras, enseres, prado», censos y otros efectos dimi. denes del extinguido consejo de Cartilla al intendente á quien V. S- ha tirios por el D. Josef para 't’a=° de sos acre d-r^» existentes en la* sustituido en la dirección del ramo de propio*, para obligar al cumpli villas p lugares de Alcolea, Cincovilla», L.bodcra, Mn.li, Alpemiento de sus "■*"'&lt;«p de lo* deberes 4 que están sujetos los cuerpos dreches…</t>
  </si>
  <si>
    <t>…a plaza por ia orden terminante que no» d ó su go de la ley caerán sobre estos enemigos del humano reposo ; y mientras bernador, á consecuencia de habernos reclamado el de Almería D. Josef que con todas las veras de amor que o* profeso asi os lo persuado y María Alós: en estas circunstancias el ir. Sk.ee, viendo nuestro riesgo, suplico, apreciad tomo es debido el sabio Código de nuestra libertad, nes ofreció uua casa en donde podíamos estar ocu…</t>
  </si>
  <si>
    <t>…e por diferentes maneras se incurre en aquel delito. Qu-en tuviese noticia del paradero ó pueblo de la naturaleza de Después de haber leído dicha ley, continuó el orador: Este hom D. Josef de la Cruz Gómez, capitán que fue del batallón de tiradores bre escribió un papel, que confiesa el fiscal que publicado pudiera ha- de Cuenca, y que en primeros de 1811 se pasó al egército francés, ó b rsido dañoso; luego este es un traidor; y asi, como compr…</t>
  </si>
  <si>
    <t>…s ción hacia de un alcance D. Francisco López ha'.azar. de mucha mayor importancia, son capaces de turbar ia tranquilidad y Se mando pasar á la comisión de Guerra una instancia de D. Josef marcha majestuosa del Congreso en el desempeño de su augusta re Perez, maestro polvorista mas antiguo de la fabrica de Murcia, pi presentación. diendo se declare el retiro que deben gozar aquellos empleados. El Sr. Meca: Yo be ti atado de presentar al Congres…</t>
  </si>
  <si>
    <t>…er; pero que habiendo un nú solicitar dicha vacante dirigirán sus memoriales al secretario de su mero excesivo de cesantes cuyos sueldos ascienden á 18 millones, debe ayuntamiento D. Josef de la Villa Gandarilias en el tiempo que media rían escogerse cesantes adictos al sistema. de todo el presente mes de Marzo, pues que en el de Abril próximo El Sr. Sánchez apoyó ¡as proporciones, y manifestó que el uiiauu&gt; deberá proveerse dicha p'aza. Sr. Ca…</t>
  </si>
  <si>
    <t>…de ios amantes de la Cons Francfort ¡6 de Febrero. titución y del orden. Nuestro Diario ha publicado noticias de bmirna, sacadas de los nú n Milicianos: teneis en vuestro teniente coronel D. Josef El: a* un meros del Espectador oriental de los días n y 19 de Diciembre, alu gefe que os sabrá conducir por la senda de la gloria que hcbris em diendo que n las autoridades locales de Smirna juzgaban peligroso aquel prendido. Continuad, ciudadanos, adquiriendo n…</t>
  </si>
  <si>
    <t>…adrid al brigadier D. Josef Martínez de San Mar vincias. tin , que lo es actualmente de la misma: para la de Barcelona al cor A la comisión de Guerra se pasó un» representación de D. Josef nel D. Vicente Sancho : para interino de la de la Coru'.a al t^n.er.te Manuel Jorges .solicitando se le concediese la jubilación. c ror.el D. Antonio Loriga, que actualmente lo es mter.no de ía ds A la de llicienda una instancia de Doña María Machurra, pidien…</t>
  </si>
  <si>
    <t>…iciones se ordena que por cuanto puede haber algún llones de contribución que se proponen, tienen que contribuir , como acreedor desconocido que se halle ignorante de la muerte de D. Josef ha dicho el Sr. Canga , á otros gastos, los cuales se pueden calcular en Eaprielia, se anuncie esta en la gacela con el fia de que llegue a su no 600 m.li nes, resultando la suma de iroo millones, que repartidos ticia , para que en el término de 30 dias acuda…</t>
  </si>
  <si>
    <t>…reyendo que era de &gt;a contra el actual sistema de gobierno, dijo que debia absolver y absoldeber unir sus rotos á los de Cádiz, Sevilla y otra» •'artes trataron de vía al referido D. Josef de la criminalidad contra él producida, sin queque fuese removido el Gobierno; y pura que esto se hiciese cou orden en ningún tiempo pueda perjudicar á su conducta y opinión le formay tranquilidad ae convinieron con las autoridades, y en ei mismo cor ción de…</t>
  </si>
  <si>
    <t>…dt lía. varias fragatas inglesas con muchos pasageros, y queda alistándose la El 6 de Julio último fue evacuada esta capital por el Excmo. Señor nombrada Americana Carabana. virey D. Josef de la Serna, quien dejando los castillos del Callao guar Asegúrate como positiva la entrada de la divisiob de tropas nacio necidos con mas de a9 hombres, pasó i posesionarse, coma lo verifi nales al mando del coronel González en la capital de la intendencia c…</t>
  </si>
  <si>
    <t>…q-j* se bado. cump'te&gt;u lo dispuesto en ci dterito &lt;ie Jumo, c,taco ar.ttríortiier.te. La comisión de Lea'slacion presentó dos dict irrenes, uno sobre la A pro hado. exposición de D. Josef blola, opinando que podía el Gobierno repo 4 ' La comisión es da parecer que se debe ap-obar la suspensión da nerlo en su destino como á propietario sin necesidad de nueva propues liquidación s de var os jures ep ieadas r;c:;orrr,u ti al f-taro, se-un ta, v e…</t>
  </si>
  <si>
    <t>…Honorato Piera, abogado; D. Joaquín Ibarra, subinspec de cgército de dicha plaza, estableciéndose en ella un pagador , con tor de artillería; D. Facundo Alarcor, coronel retirado; D. Josef forme al plan administrativo de hacienda militar con uno ó dos ofi Enguídanos; D. Vicente Marzo , abogado; D. Anastasio Naiis, ofi ciales de guerra si se estima suficiente.” cial de anillen* , y D. Pedro Calvo , después de haber examinado el La primera propos…</t>
  </si>
  <si>
    <t>…eclararon absuelto dicho impreso: D. Francisco Javier te para el cumplimiento dd art. &gt;84 y siguiente* del reglamento, los de Olea y Cárnico, D. Francisco Salvi, D. Antonio Cenia, D. Josef cuales te leyeroá; y « acordó proceder después d nombramiento de loa Marañes, D. Ramón Diu de Ortega, D. Felipe Fernandez Aria*, sedos Sres. diputado* que en ello* te citan. dar marques de ja Torro, D. Juan María Fcnct y D. Joan Bautista Se leyó d dictamen de…</t>
  </si>
  <si>
    <t>…Demetrio Rodríguez , D. Antonio Alcázar, D. Pedro Alvar» r , se pu -&gt;len dar de ba)a en sus respectivos cuerpos , y de consi Delgado, D. Andrés Alcon, D. Francisco de la Carrera, D. Josef guiente tienen que proveerse rstos destinos. R ve* Queraltó. De .q-ji rtsuua que el egército sufre un gravámen, y que los esta Reunido el jurado y habida la conferencia se declaró por 1 dos n»-yoi«s están compuestos de oficiales de artillería é ingenieros. da…</t>
  </si>
  <si>
    <t>…ispondréis se imprima y circule. :r Está rubricado de la i razón de ai rs. sin franquear, p - ís-.t:’stre, y 31 franca di porte, S áeal mano.sEn Aranjuez á 30 de Matzo de i8»i.= A D. Josef en las librerías de Cruz y M %¿r, y en las principales librerías d« María Moscoso de Altamira. las capitales de provincia ¿el reino , en dond; se encurntran colecciones Circular del ministerio de la Gobernación dt la Península. de los cuatro tomos publicados…</t>
  </si>
  <si>
    <t>…l mayorazgo del ha comunicado la Real orden tigniente: Montijo por 17,590 mrs, situados en alcabalas de Badajoz ; se suplica » Excmo. Sr.: He dado cuenta al Rey de la instancia de D. Josef é la persona en cuyo poder se hallen se sirva entregarlo» en la plazue Domingo Mendez, cabo de la i.1 compañía de infantería del resguardo la de Santa Ana, casa chica «U! conde del Montijo, cuarto bajo, y se militar de Extremadura, D. Juan Josef Navarro, D. P…</t>
  </si>
  <si>
    <t>…ntes para impedir su cuno, se da ote aviso coa el fin de Como el Ateneo etpañol llevaba (y lleva) en tu fundación las mi ue el Migeto en cuyo poder te hallen te sirva dirigirlas á D. Josef ras mas puras y benéficas , dejó la puerta abierta pera que espontánea ? orea, calle de S. Onofte, núm. 23, cuarto a.0, quien dará el corres mente se suscribieran cuantos desearan pertenecer á él, previos siem pondiente hslfargo. pre algunos informes sobre la…</t>
  </si>
  <si>
    <t>…de las vicarías de Coin y Antequera, formación de causa. en la provincia de Malaga , que comunico 4 V. a. con esta Lena ; y Señores que declararon hab-.-r lugar: D. Matías Vdasco, D. Josef que se reduce 4 que se tengan las fincas en cuestión en subasta abo rta y Codina, D. Josci Vecino, D. Vicente Llop.s y el marques de Fuente perpetua hasta su venta final ; avisando con oportunidad al (gobier el Sol. no si llegase el caso de reunirse en gran n…</t>
  </si>
  <si>
    <t>…tiago Delgado, D. Manuel Gallego, D. Isidro Merino, Don tengamos para esto en un principio mal aplicado y equivocado. Las Cor Cárlos Romeral, D. Juau Labio Pascual, D Lino Campos, D. Josef tes , atendiendo á la utilidad pública, que es el único objeto del legis María Puente y D. Francisco Barra. Los tais primeros declararon inju lador, deben cortar con mano fuerte los abusos que hasta aqui ha ha rioso dicho impreso. bido , haciendo de este modo…</t>
  </si>
  <si>
    <t>…e la presentarse tampoco nuevas ventajas. Aprobado. diputación provincial, previeron con anticipación los males que iban La comisión Eclesiástica, informando sobre ia solicitud de D. Josef á suceder en aquella ciudad ; ;p:ro se sabe si se le ocultaba ó no al Villareal, presbítero de la diócesis &lt;le Calahorra, para que no se suspen gefe político el remedio d: aqu líos males! ¡Si se saben las razones qne da la colación de un beneficio en que ha s…</t>
  </si>
  <si>
    <t>…crito inserto en el Diario Gaditano de 1 y de S.ti.mbre del do en fin de .................................................... 1,492 año próximo anterior bajo del nombre del Sr. ex-diputado D. Josef De ensros Je recaudación de los derechos de Moreno de Guerra, denunciado en Cádiz ante aquel alcalde constitu 97,6jl» 4 cional con fecha 8 de Noviembre último por D. Juan Gonza'cz de Rivas , cónsul de España en G braltar , y en su nombre y representa Pasado por…</t>
  </si>
  <si>
    <t>…n el dictamen de la comitkm de Casos de respon neral de la Nación, siempre que semejantes reuniones patrióticas esten sabilidad sobre la conducta del gefe político de esta capital D. Josef bien dirigidas. Pero contrayéndome á la cuestión diré que es de ab Martínez de S. Martin, i consecuencia de la queja de D. Juan Manuel soluta necesidad para formar juicio exacto de la justicia ó criminalidad S. Román , D. Mariano Oller y otros varios ciudadan…</t>
  </si>
  <si>
    <t>…la Cruz y PrínClp6. o .H*t**4*«.«* .•.*«••• -*•*..• •« 4,000 Total. •4...0»0&gt;0.0.4*44«0 3*49* f335» Im| Por réditos de un censo perteneciente al ma GASTOS MUNICIPALES. yorazgo de D. Josef fmnzalez de la Madrid por un año cumplido en 23 de Diciembre Limpiezas de dia y noche. de 1821......................... ......................... 2,100 Al colegio de nióai de la Paz por alquilaría Por los hechos en estas y compra de cebad, de la casa incorpor…</t>
  </si>
  <si>
    <t>…naba que debía acciirrse a su solicitud. Aprobado. tpiaud.-n la institución tutelar de las juntas de provincia ( dipulaco- La misma opinaba que debía accedióse á lo que so.icitaba D. Josef jies provinciales), y la propuesta de que sean públicos los debate* ju Diez , vecino de la Havana. Aprobado. diciales. Nuestro ilustrado Gobierno, queriendo hacer el bun sin os La misma, en v.sta de la exposición de D. Josef y Doña Isabel tentación , desecha…</t>
  </si>
  <si>
    <t>…dose reunido el jurado, compuesto de losSeet. D. Cayetano Ro Se venden ios dos primeros cantos, y el tercero intercalar (qo* a mero, D. Marcos Izquierdo , D. Mamerto de Landaburu, D. Josef de •1 original del autor ) «n la librería de Cruz. han M.llan, D. Jo,ef Gómez Albacete, D. Julián de Fuent.s, Dea ANUNCIOS. Francisco Martínez Marina, D. Gonzalo Cárdenas y D. Matías Pini- Por providencia del Sr. D. Angel Fernandez de los Ríos , juez le. 11a,…</t>
  </si>
  <si>
    <t>…especial de iguaies c rcunstarc-as sición de D. Alonso Ziyas para que se le permitiese emancipar i su fi encargado de la extir.c.on de la deu '» , de la mco:poracion de ¡os bie jo D. Josef, opinaba que podía accederse á esta gracia en los término* nes ci its gnados a! efecto , y de su tnagenacion. Se establece ademas una propia: stos por el Gob erno. Aprobado. junta de Gobierno, compuesta d: sirte indis- dúos y dos suplentes, que La misma comis…</t>
  </si>
  <si>
    <t>…o* Doral, D. Josef Fernandez Guerra y D- Jotef Fustes. do aseguras- que si no hub&gt;era sido por la oscuridad de is noche , hu Sres. que d-clararon no haber lugar: D. Manuel Pareja, D. Josef bieran'quedado lodos prisioneros, sin qus de nuestra parte hubiese la dcSandorat y D Josef Lop¡z de Artibe. menor pérdida. Habiéndose dado sentencia por el Sr D. Rtmon da Areos, mr‘«* ARTICULO DE OFICIO. trsdo honorario de I* audiencia territorial de Coti a I…</t>
  </si>
  <si>
    <t>…oluta de emp eo y sueldo sargento segundo de la misma; D. Marcelino de Goicoechea, volunta podrá el empleado reclamarla en justicia; pero los tribunales en este rio de infantería; D. Josef de la Tapia, voluntario de Midrid, residen caso limitarán su juicio á declarar sí hubo ó no culpabilidad en el re te en Tordesillas; Pedro Reguera; J&gt;. Juan de los Ríos, milicianos; clamante, y si es ó no acreedor á continuar en el servicio. Ciando e a D. Man…</t>
  </si>
  <si>
    <t>…o el juramento con arreglo i la ley, declararon no hace la Hacienda pública basta el precio £ que la vende en tus alfolie*, haber lugar é la formación de causa D. Josef Nosteuch , D. Josef podrán y deberán los pueblos pagarle en crédito* liquidados ó vale* Rea Porree, D. Martuel O'ozaga y D. Miguel Moreno García; habiendo les por todo su valor, en el caso de que los débitos sean posteriores al votado por la afirmar vi D. Josef Anima, D. Félix A…</t>
  </si>
  <si>
    <t>…rioso 4 dicho D. Diego de Lerma; se reunió el jurado, ocupan n y subsistencia á un crecido número de familias, en las cua compuesto de los señores siguientes: D. Gonzalo Cárdenas, D. Josef les se construye toda e*p*cie de tonelería con la misma y mayor per Radon, D. Santiago Delgado, D. Miguel Ripa, D. Juan Antonio fección que m el extrangero ■ y en cuanto 4 la prohibición del retorno Lop z, D. Joaquín Huerta Cerillos, D. Josef Gómez Albacete ,…</t>
  </si>
  <si>
    <t>…os predios rústicos r urbanos que poseía el clero, adjudicandoCuba , fijándolo en la cantidad de i83 pesos fuertes. Aprobado. La segunda de Hacienda en el expediente promovido por D. Josef el sobrante al Crédito público, previnieron ya que podría tropezara* con la cuestión de tí con el medio diezmo y primicia habria ó no loTalares, vecino de Murcia, reclamando 200 y tantos mil rs. que ade bastante para la dotación del culto y del clero; y por e…</t>
  </si>
  <si>
    <t>…o la votación, nominal la siguiente; Sres. que declararon Benedicto, abogado , vecino de la expresada ciudad, plazuela del To no haber lugar: D. Francisco de Paula Castro y Gómez, D. Josef ro , núm. 3, é presentar toa documentos que justifiquen dicho parentes Morales d.- los Rio*, D. Pablo Mateu, D- Antonio Castillejos, Don co en el termino preciso de 60 dias; en el concepto de que pasados Manuel Moreno de Mora, D. josef María Retortillo. Sres.…</t>
  </si>
  <si>
    <t>…ertos que sé cíanos, D. Juan Manuel Ranedo y Rosas, muerto. D. Lúeas Martin; hallaron en las cálle* de la Amargura y Boteros fueron 9 granaderos; herido. D. Valentín.Moinos, idem. D. Josef .Vas; ídem. ÍX Vicente un tambor, 5'cazadores y un corneta; los heridos fueron bastantes;': Argiiello, idem. D. Juan Escorial; ídem. D josef Miguel, de Góicopero no puedo detallar su número por ahora por haber tenido que con chea, idem. D. Angel.¿erez, idem.…</t>
  </si>
  <si>
    <t>…en diferentes compradores las fincas subasta ANUNCIOS. das en un expediente, sat síaga cada uno la prorata que respectivamen Librería de escribanos, abogados y jueces, que compuso D. Josef te le corresponda de las cantidades que señala la escala; de manera que Febrero, escribano Real y del colegio de la corte , reformada de nue entre todos pavuen por derechos procesales la m stni cantidad que pa vo cn su lenguage, estilo, método jr doctrinas, i…</t>
  </si>
  <si>
    <t>…orcionar sin zoa, D. Lorenzo Calvo de Rozas, conde de FlcnJ-bónca, D. Juan abandonar aqusóa instrucción de primera utilidad, qus debiera mas Isidoro Perez , D. Zoilo Gómez Cascio, D. Josef fe-n Motan , D..n bien iiatuarse la instrucción necesaria. (Jir contiuuará.j Andrés M ya Luzunaga , L). Antcnio Puibianch , ID. Jostí Demetrio laiBCNAl BS. Rodríguez. Habida ia conferencia resultó por unamiuidad habír lugar Fot providencia del Sr. D. Angel Fe…</t>
  </si>
  <si>
    <t>…sistencia huyeron vergonzosamente por bar ayuntamiento y la columna de tropa que salió de Zaragoza al mando rancos y montañas escabrosísimas; y viendo y a infructuoso el perse del capitán D. Josef de la Concha. Un eclesiástico pronunció un dis guirlos mas, me llamaron la atención unos tiros que oí hacia el con curso enérgico, exhortando á la paz, á la obediencia á las leyes y au vento, en el que te abrigaban algunos facciosos, los que huyeron pre torid…</t>
  </si>
  <si>
    <t>…a inviolabilidad del Rey constitucional, Zaragoza *7 de Julio. cayendo la aspada da la ley sobro todos loe qua pretendan privar al ediEl comandante de la columna destacada á Blesa D. Josef de 1t Con ficío social da estos sólidos cimientos, sin lo* cuales seria consiguienta cha da parte al Sr. comandante general de este distrito de haber sido *1 desplomarse. Lugo su ayuntamiento constitucional 14 de Julio da aprehendido Baltasar Artigas, altas e…</t>
  </si>
  <si>
    <t>…se y por cua'quiertítuio. (Gaceta del sy. ) Pió Santos. D claracion de las Cortes sobre los oficios de subalternos de los tri áre*, que lo declararon injurioso: D. Valentín Recio, D. Josef bunales. ( Gaceta del 2j. j Radon, 1&gt;. Andrés Moya Luzuriaga, D. Martin Miguel Goicochca, Resolución de las Cortes autorizando al Gobierno hasta la próxima D. Angel Bonalto, L&gt;. Higinio Antonio Lorente, y D. Manuel Este legislatura para que pueda dispensar á…</t>
  </si>
  <si>
    <t>…a con {Gaceta del ai.) sistido únicamente en so heridos, entre los que se cuentan el gefe del Resolución de las Cortes sobre el sueldo que deben gozar tos priestado mayor teniente coronel D. Josef de le Gándara, y el ayudante aeros tenientes de guardias que pasen i comandanta primeros de la de Gurrea , subteniente de Hostalrich D. Clemente Saatocildet,y cua milicia activa. {Gaceta del as.) tro caballos, incluso el del teniente de Lusitania D. Manuel Mo…</t>
  </si>
  <si>
    <t>…et encargo de secretario de Esta de la imprenta Nacional. do y del Despacho de Hacienda , he v.-mdo en adnvtirle la renuncia Retratos de la col.ccion de varones ilustre» española: D. Josef que hace de aquel destino, y en mimbrar para su desempeño á D. An Mohíno, conde de Fiondablanca, y D. Pedro Rodríguez Campómetonio Martínez en cal idad ds tal secretario de Estado y del Despaho de nea Se hallarán en la calcografié de la imprenta Nacional é 8…</t>
  </si>
  <si>
    <t>…acio Marti, D. Francisco Antonio Larraza, D. Francisco Hidalgo, Asiorga al capitán D. Manuel Arguello, segundo ayudante del re D. Martin Fernandez Elias, O. Manuel Moreno de Mora, D. Josef gimiento infantería de Galicia, con dio rs. María Viilaranda, D. Gerónimo Martínez Enrile y D. Juan Bautista Alcalá al capitán D. Hermenegildo Alcarfz, segundo ayudante su- Elejaburu, declaró por unanimidad haber lugar á la formación de cauta p-rnumerario del…</t>
  </si>
  <si>
    <t>…el dia de ayer. do que el capitán D. Josef María Gatell, adicto al estado mayor, se pu Números. Premios. Administradme!. siese á la cabeza de ellos con los oficiales de dicha arma D. Josef 21901...... 10000 ps. fs............. En Madrid. Quintero y D. Ramón Ortíz, siguiendo las compañías de Zaragoza 7 24286.......... 4000..................... Idem. el resto de la división. Al punto de amanecer llegó la caballería á las 10450...... 1000.........…</t>
  </si>
  <si>
    <t>…s rr-sp-ctiras ;í los colegio' milita miento d- Torios*. res r-.Mbleeidos en las provine as de Andamela, Galicia y Valencia Srrs. que a mpusuron el jurado: 1). Josef de Calderón, D. Josef 1.206,991 rs. y 10 mrs. Ort-ga (.acedo, D. Jo'ef Mm- , J). Guillermo O.¡ver, D. Pedro Fun i'cinnes. Rainbad, I&gt;. Francisco Ignacio Pelleja, !&gt;. Ios-f Franc seo Hijar, Para atender 4 los gaito* de tundiciones, maestranzas y parques da D. 1 -liu Rinz de Fortín:…</t>
  </si>
  <si>
    <t>…audiencia de Valencia. D. Francisco Gutiérrez Sosa á la y seguras con que deberán formalizarse las liquidaciones, compren de Valladolid. D. Pedro de la Puerta á la de Extremadura. D. Josef diendo en sus artículos todas las providencias que parecieren masé pro Cartagena á la de Sevilla. D. Fernando Josef de Toledo á la de Arapósito para el objeto. on. D. Josef Ayuso y Navarro á la de Granada. D. Josef lañe y 4.0 » Que se fije un plazo itnproroga…</t>
  </si>
  <si>
    <t>…motivo de las próximas elecciones de gefes y oíc ilts di li vió S. M. mandarme previniese al gobernador gefe político de Veramilicia nacional ha publicado su comandante accidental D. Josef &amp;*• cruz, como ya lo he verificado, que de aquí adelante no se admita mir.z d; Arellano la siguiente proclama: ningún buque español en aquel puerto; que suspenda toda extracción » Milicianos; A vosotros los hijos predilectos de la fuerte Iberia, de moneda , y…</t>
  </si>
  <si>
    <t>…. » Cub cito y fuera de peiigro Becas- que con 300 hombres de mi batallón y 20 caballos de Sagunto, al qu-, hice una marcha rápida sobre Roda, y disd: este pueblo patrio mando del capitán D. Josef de la Vega, llegué i A yerbe por medio ta á Benabarre con el objeto de sorprender la gavtllj qui infestaba este de dos marcha» forzadas , y allí se me reunió el comandante de z\stúp.i, ; lo que logré á las cinco de ayer tarde felizmente noticioso de rias D. L…</t>
  </si>
  <si>
    <t>…teniente coron 1, el teniente D. F. Tarazona ó Díaz, afectos á la buena causa, y entre ellos es uno el mencionado secretario D. Francisco Moso, oficial de la curia eclesiástica, y D. Josef bolera, del ayuntamiento, autor de los himnos de libertad, libertad sacrosan- presbítero, capellán di las comendadoras de Santígo en esta corte; ta: Avanzad, avanzad compañero!, y otros que dan un claro testimo comprendidos todos en las causas seguidas en dic…</t>
  </si>
  <si>
    <t>…s compañías de cazadores de ¡os regimientos de D. Manuel Sarratea, D. Pedro Josef Agrelo, D. Manuel V. Pagóla, Jaén , Ord.nes militares, voluntarios de Castilla , la segunda compa D. Josef ¿ares, D. Manuel Rodríguez y D. Juan Balagué. ñía de pontoneros, y los granaderos de Ordenes Militares y Castilla : y Se está imprimiendo el Estatuto provisional constitucional del Entre- para reconocer la sierra, y atacar 4 los facciosos que se aseguraba .tí…</t>
  </si>
  <si>
    <t>…a Justina Caro García, soltera, también su tia, cienc:a de cutar de esta corte el dia s.° de Octubre pióxisno á las 11 vecina de esta corte, D. Francisco Javier Caro , presbítero, D. Josef, de su mafiana con una oración inaugural facultativa, que leerá el doc Doña Josefa y Doña Joaquina Caro Gutiérrez, todos cuatro herma tor D. Bonifacio Gutiérrez, catedrático de la misma, ha acordado la nos , vec nos los tres primeros de Valdemoro, y la última…</t>
  </si>
  <si>
    <t>…ro , D. Francisco Capdevila, D. Euscbio Fslcbanez, Don der obtener la gracia de hábito en la orden de Santiago, bajo el con Francisco Antonio Este vez, D. Andrés Fulgencio Blanco, D. Josef cepto de que pusiese en tesorería general lo* citados too® reales. Y no Gitpcrt, D. Pío Guas, D. Manuel Heredia , D. Felipe Goyos, Don hab endose personado el interesado con el fin de hacer la entrega, ni Juan Manuel Lnrr, D. Josef Sucarana, D. Josef Morales,…</t>
  </si>
  <si>
    <t>…de heridos. La nuestra consiste en un muerto y 21 jurisconsu tos mas instruidos, asi nacionales como extrangeros; final heridos , juntamente con el caballo de mi ayudante de campo D. Josef mente nada s; ha omitido para asegurar el acierto. Verdad es que las Perez de Guzman el Bueno, que también fue herido en la bizarra Cortes portuguesas tenían á la vista la Constitución de España ; pe carga que queda expuesta , y de cuyas resultas murió. to ha…</t>
  </si>
  <si>
    <t>…o montado, daberá clasificárseles por aquel. El Rey , á propuesta del consejo d; Estado , se ha servido nom 10. Los empleados que antes hubiesen servido en el egército debe brar á D. Josef de la Fuente Herrero pata la judicatura de primera rán presentar para el abono del tiempo que hayan permanecido en él instancia del partido da Segovia, vacante por fallecimiento de D- Ra tu licencia original. fael Garrido. Si los tales servicio* ó parte de el…</t>
  </si>
  <si>
    <t>…no, ceitifi o que hasta hov por ’a no del año de siíiyche á la hora en que me he r-.tirado dt Ja i¿,csia ds Sto. D iminja, no Alcaldes. D. Pío Molina , D M:gu»! Gsrc'a ’a Madrid , D. Josef ha enviado todavía la berma. bra. R i na su juramento. Lino Campos, D. Francisco Jivisr Olavarna, 1). F.-ao-aco Cr: po Te En testimonio de lo cual extendí la presente de ir.i letra y con mi tigno, que va sellada con el sello de mis armas en L»b,/a á 3 de Di j…</t>
  </si>
  <si>
    <t>Josef, Antonio</t>
  </si>
  <si>
    <t>Antonio Josef</t>
  </si>
  <si>
    <t>…Sres. que compusieran el jurado: D. Francisco de Sales Arni, D. An i favor de D. Antonio de Rojas, marques de Poza, conde de Cabra,tonio de Torres Pardo, D. Josef López de Arriba, D. Antonio Josef á 1.“ de Marzo de 1637__Otro de un juro de ioo9 mrs. en varios pue González «le Aguilera, D. Lorenzo Ruano, D. Josef María Jiménez, blo* de las metindades de Burtba, Logroño y otroe á favor «le DonD. Luis de Casamayor, D. Josef del Castillo, D. Cristóbal Jose…</t>
  </si>
  <si>
    <t>…e este último pueblo D. Santiago Muguruza que se les agregasen 10 que lleguemos á vernos sin representación nacional ; y no se c.ga que de tos voluntarios de esta provincia con el sargento Antonio Josef de aprob ndose mi proposición se concede un privilegio particular ó una Zumeta , salieron al romper el día 31 para dicha expedición. A las dos ley de excepción en favor de los diputados, porque la Cor.stituc on horas llegaron sin ningún encuentro á la calle d…</t>
  </si>
  <si>
    <t>Josef, Cristóbal</t>
  </si>
  <si>
    <t>Cristóbal Josef</t>
  </si>
  <si>
    <t>…pue González «le Aguilera, D. Lorenzo Ruano, D. Josef María Jiménez, blo* de las metindades de Burtba, Logroño y otroe á favor «le DonD. Luis de Casamayor, D. Josef del Castillo, D. Cristóbal Josef dt Sancho Velasco, i 15 de Abril de 1468.Vrbina, D. Pedro Ramón de Jerez, D. Manuel Jiménez Pérez j Don Se desea saber el pandero de Doña Agueda de la Malla, natural de PoUcarpo Santisteban Morales. la villa de Bilbao, que hace años pasó á esta corte. Quien t…</t>
  </si>
  <si>
    <t>Josef, D</t>
  </si>
  <si>
    <t>D Josef</t>
  </si>
  <si>
    <t>…aron enteradas de en oficio del Sr. secretario de ia introducido moneda defectuosa , y esto debía dar lugar á que los tene Gobernación de la Península, al que acompefiaba otro del Sr. D Josef dores sufriesen la pérdida de que te trata ; peto este argumento hubiera Moreno Guerra , que dirigía 4 la secretaría de Cortes desde Cádiz, y sido muy bueno emplearlo cuando se trató de resellar dicha moneda; manifestaba que le era imposible presentarse en el…</t>
  </si>
  <si>
    <t>Josef, Isidoro</t>
  </si>
  <si>
    <t>Isidoro Josef</t>
  </si>
  <si>
    <t>…ayuntamiento 1 lot sUgetOs que quieran pretender presentaran sus S. Oil, ha correspondido i mi tnin diacion al concepto que disfruta memoriales al secretario dé dicho ayuntamiento D. Isidoro Josef de entre tus conciudadanos. Lo* coronales L&gt;. Luis &lt;1*1 Corral y D. Anto Magaa hasta el dia 15 4* Agosto próximo. EN LA IMPRENTA NACION Aí.</t>
  </si>
  <si>
    <t>Josef, Jjan</t>
  </si>
  <si>
    <t>Jjan Josef</t>
  </si>
  <si>
    <t>…erde lo que dao indicado. El br. presidente nombró para la comisión de U?tramar á los seño Se nombraron á los Sres. Bartolomé, B.ltran de Lis , Canga, Va des res Alava y Sánchez ( D. Jjan Josef), y para la de Ouerra al señor *XD- Cayetano) y duque del Parque para la comisión qu« citaba ía propo Herrera Justamente. sición aprobada anteriormente, ¡a cual se retiro i desempeñar su encargó Las Cortes oyeron con satisfacción la manifestación que las haci…</t>
  </si>
  <si>
    <t>Josef, Juan</t>
  </si>
  <si>
    <t>Juan Josef</t>
  </si>
  <si>
    <t>…exposición dei ayuntamiento consti las fábricas nacionales de sal Manuel B*querin.aComo comandante de tucional de JumiUa. la caballería nacional Agustín Tomas Lozano.ssFl teniente coronel Juan Josef de ios Cobos.-=Como teniente de la milicia local » Ereme. Sr..- Induro á V. E. la adjunta rcprcacntacion, en la que Antonio Gómez , espitan, sindico del ayuntamiento.* van expresado* los sentimiento* de ios que kan querido acompasarme v ratificar con sus firm…</t>
  </si>
  <si>
    <t>…ra , Luque, Arnedo , Llórente , Latre, Zulueta, Salvato, Rui* el baluarte inexpugnable de fes iibeitades públicas y dt fe gloría y se-&gt; de la Vega , Rio , Trujillo, Meca, Sánchez (D. Juan Josef) , Brida, guridad del trono; loa malvados, en costo número, aislados en sí ‘mis Quitó», Surra, López y Gal ¡ano. mo*, y reducidos 4 la nulidad 4 que fes rondana so pMfsaár spnA las ii salieron las diputsciones nombradss para acompañar 4 rancia y sus detestabl…</t>
  </si>
  <si>
    <t>…o se leyó el oficio pasado por la secre Se nombró para la comisión segunda de Hacienda á los Sres. Sán taría de las Cortesen 14 del actual al ministerio de la Guerra, en que chez (D. Juan Josef ) , Mura, Busutil, Torner, Zulueta, Rollo , Ai se pedían los auto»originales seguidos y finalizido. contra Serrano, Cerear y Toro. Para la especial encargada de arreglar la etiqueta de pala futi y Chinchilla, para que la comisión de eximen deCisos de respon c…</t>
  </si>
  <si>
    <t>…de causa de la Nación, cupoenla suerte del primer extracto de la de este Espafia. Podemos contar con que irin progresando, é no ser que se die á Dolía María del Castillo, hija de D. Juan Josef, ayudante que suscite alguna mala inteligencia entre los do* poderes de ese Gobierno. Ele de la plata da Málaga, muerto ea el campo del honor. ' Valen dichas obligaciones sobre ¿jf.* CORTES. Nada hay aun de cierto acerca de le guerra entre Rusia y Turquía. Co…</t>
  </si>
  <si>
    <t>…n. El mayor entusiasmo anima á la milicia zcs diputados que se hallaron presantes. permanente y 4 la local. Sabemos de positivo que muchos individuos Quedó elegido et Sr. Sánchez (D. Juan Josef) para vice-presidentt de los que componen este última se han ofrecido á ir voluntariamente por 74 votos, habiendo obtenido 6'é ei Sr. Vrlasco, uno el íir Ruiz en persecución de los facciosos, al paso que las tropas del ejército se de la Vega, otro &lt;1 Sr. Abrc…</t>
  </si>
  <si>
    <t>…. Juan Ignacio Deux , para que en el término de 30 dias se días primeros de Julio próximo publicará otros tres resúmenes iguales presenten en dicho juzgado, y por la escribanía de D. Juan Josef que comprendan hasta el 30de Junio, en qu: concluye el término nn- Mauleon y Vela, á deducir su derecho en razón á la demanda que en prorogable que está señalado: 3.* todas las oficinas de las provincias virtud de las nuevas instituciones ha puesto Doña Felip…</t>
  </si>
  <si>
    <t>Josef, Pedro</t>
  </si>
  <si>
    <t>Pedro Josef</t>
  </si>
  <si>
    <t>…edores, de su secularización. señalado por el juzgado de primera instancia del Sr. D. Ramón de La misma comisión , habiendo examinado la exposición de D. Pa Argos, y escribanía de D. Pedro Josef de lbib- , para el dia 3 de Abril blo María Camacho , en la que manifestaba que la practica de llevar al próximo, te ha suspendido, y s- vuelve i señalar panel 15 del mismo cuello los primeros peraoaages da los pueblos la llave del sagrario en á las 1» de su…</t>
  </si>
  <si>
    <t>Josef-Fernandez</t>
  </si>
  <si>
    <t>…ndo si es yosibi* que debe darse á los facciosos que se aptehendieren. una ganancia en razón de ias anticipaciones K» recetario que tas CoiEI Sr. Baiges presentó una exposición de D. Josef-Fernandez, y tea tengan presente que ei tamo de la guena absorve tres yo-na» y- (es adjunto un tgemplar de una obra que ha publicado, be mando pasar á de los fondos destinado* a ia adm.nislra.ion pud.i.a, ; tu si que .os la biblioteca. caminos se hallan desatendidos: e…</t>
  </si>
  <si>
    <t>Josef-Martí</t>
  </si>
  <si>
    <t>…ibuyeron al lucimiento «le la fiesta los ciudadanas -D. Francisco llevar consigoilp'supresión de equell* voz, «lijo refiriéndose i iodo lo Valles, D. Simón Fetiu y el eclesiástico D. Josef-Martí, escolapio se qtie acababa de mamfcstao: - ~ - cularizado, lo* primeros pronunciando arengas patrióticas en la plaza, su las palabras mágicas ya toda han perdido Sefiores , &lt;* CrMur, «tal atote fuerza el sentido el Írármenteel segundoáloseligiendomiliciana,el…</t>
  </si>
  <si>
    <t>Josefa</t>
  </si>
  <si>
    <t>…uxilios 4 los necesitados. tubre de io 19 , dejando ocho hijos llamados D. Lorenzo, D. BernarDe Real orden lo comunico á V. S. , á fin de que disponga su mas d‘no , ya presbítero. Doña Josefa, Doña Petronila, Doña Vicenta, pronto y puntual cumplimiento. Madrid 16 de Aímó de 1022. Doña Ana María, Doña Remigia y Doña Ines de Huerta y Frias. Dirección ¿eneral de aduanas y resguardos. Cuyo emplazamiento y citación et para que dentro de 15 días pe Hall…</t>
  </si>
  <si>
    <t>…que se iba á principiar el monu pasar á la misma comisión. mento que se ha de erigir, consagrado i la memoria de las victimas La comisión de Hacienda, en vista de la solicitud de Doña Josefa dei Dos de Mayo. Las Cortes qu-daron enteradas. Baquero, vecina de begovia, pa-a que se conceda una pensión a la h ja he ley.» una adición det Sr. Munarrz á las propcs'ciones presenta de un o6o»l de artillería que manís en el hospital de Valencia después das…</t>
  </si>
  <si>
    <t>…l dia s.° de Octubre pióxisno á las 11 vecina de esta corte, D. Francisco Javier Caro , presbítero, D. Josef, de su mafiana con una oración inaugural facultativa, que leerá el doc Doña Josefa y Doña Joaquina Caro Gutiérrez, todos cuatro herma tor D. Bonifacio Gutiérrez, catedrático de la misma, ha acordado la nos , vec nos los tres primeros de Valdemoro, y la última de esta mi*, {'unta de catedráticos, se manifieste al público para el conocimiento de ma corte, D. Agustín, Doña…</t>
  </si>
  <si>
    <t>Josefa, Mar.a</t>
  </si>
  <si>
    <t>Mar.a Josefa</t>
  </si>
  <si>
    <t>…rs. La representación de I). Lucas Navarro 1536 rs. y 8 mrs. La da El Diario de Francfort es general en todo el Norte entre los ale D. Juan Antonio Méndez 2 206 rs. y 5 mrs. La de Doña Mar.a Josefa manes que saben francés, y el Corresponsal de Hamburgo es el mas Valiente 1874 rs. y 5 mrs. La de D. Fernando Rty Villar de Franco común en los cafés y entre el pueblo de lot diferentes Estados alemanes- y Sto. Domingo 1719 rs. Los interesados en las dependen…</t>
  </si>
  <si>
    <t>Josefa, María</t>
  </si>
  <si>
    <t>María Josefa</t>
  </si>
  <si>
    <t>…nada per A la comisión de Guerra ae mandó pasar el expediente promovi judicaría á la deliberación de las Cortes sobre la nueva planta que se do en la secretaría del mismo ramo por Doña María Josefa 1 river, viu presentase, antes bien podría ser Util; y en su comprobación hizo ai- da de D. Josef Cabrera,comandante que fue del batallan de León, uno gnnas reflexiones sobre el art. 5.° del dictamen, y en apoyo de lo que de los complicados en la causa del ge…</t>
  </si>
  <si>
    <t>JosefAn</t>
  </si>
  <si>
    <t>…ones por les Se leyó y aprobó el acta de la antetor. . . , respectivos partidos." Se mandó pisat á ia comis on de I&gt; punciones 1 Las Cortes recibieron con agrado una ex osicion de D. JosefAn|*fs, acompañando un egemplar de su obra int.tu ada : I.ih^s .te la prc v .reíales. E: Sr. Canea levó el dictamen de la cnm¡s:on de Hacienda ae rea I ¿misó n de ánimos y suma escasez, de dinero que hay en Fsrana y me~ de lo» pre'Upu.»to&gt; de lo» m.D.stcnos de l…</t>
  </si>
  <si>
    <t>JosefTintofero, Bernardo</t>
  </si>
  <si>
    <t>Bernardo JosefTintofero</t>
  </si>
  <si>
    <t>…u'los á la derecha): e^a sangre caerá sobre los que quieren la contra- Aprobado. revolución. ( Muchas toces á la derecha: no sino sobre los que quie Otro acerca de la solicitud de D. Bernardo JosefTintofero, tenien ren empezar de nuevo la revolución): esa sangre caerá sobre los que te de infantería, para que se le aumente el sueldo: la comisión , al pa me interrumpen porque no los señale; en fin, valiéndome de la ex- so que reconocía los méritos de este interesa…</t>
  </si>
  <si>
    <t>Joseí</t>
  </si>
  <si>
    <t>…ciones En la M. H. villa y corta de Madrid, reunidos en jurado de califi sediciosas, la autoridad, ya tea el gefe político, ya el alcalde, ya un cación ioi ''íes. D. Andrea Alean, D. Joseí l’io hartos, D. M.t.url regidor con orden expresa de alguno de ellos, podrí suspender la se García d«i Barrio, D Miguel Hipa, D. Va'-ent.n O.tigo.a, D. l»i.lo sión , pera cuyo intento hará leer tres veces en voz alta esta ley , re ro de Hoyos, D. Francisco Co…</t>
  </si>
  <si>
    <t>Josel</t>
  </si>
  <si>
    <t>…o Alvaiez y D. Dom ngo saer Moa. jo. Habida la conferencia resu.tó kater lujar a la formación Je causa por DIXUCCION CBNBXAt SI LOTERIAS NACIONALES. seis votos, habiendo disentido D. Josel de la Ve¿a, D. l^as.m.ro oera— Noticia de los pueblos donde han cabido los premios mayores de la diez y D. Domingo Saez Moni:jo. lotería moderna nacional en el sorteo del dia de ayer. Números. Premios. Administraciones. D. Josef de Posadas denunció en 14 de A…</t>
  </si>
  <si>
    <t>Josel, Juan</t>
  </si>
  <si>
    <t>Juan Josel</t>
  </si>
  <si>
    <t>…«lases y ’J rupi.o , Koset , Mcio , .Herrera , Bauza , Ftrrer i D. ' ruoDK ), R-sproducto» de las rentas del presupuesto anterior, respecto de lo que te diiguez Paterna , Sánchez (D. Juan Josel ) , Ap. .t., B.*.c , A.ca oe, tu cobrado: en la segunda y tercera se nos proponen bases prelimina Lamas, Cusas, Marti, Fernandez Cid, Rom, b.-ab.a, V. .atusa, cola res para mejorar el plan de Hacienda decretado en ia legislatura del res , Ruiz del Rao, Gonzál…</t>
  </si>
  <si>
    <t>Jossf</t>
  </si>
  <si>
    <t>…ue presenta*! su carta á las Misas herido muy gravemente.** Corte». Gerona 37 de Junio. En la d 1 19 daba parte de haber conced do el paye para loa cuerpos de El Sr. gefe político D. Jossf .Perol con fecha de ayer publicó d Rio-Janeiro á algunos soldados de la expedición que lo deseaban áte. «¡guíente manifiesto: El Sr. Guerreiro tomó la palabra , y pidió que no se hablase del Haiitantee de la provincia dé Gerona. En este momento recibo los con…</t>
  </si>
  <si>
    <t>…rovidencia del tribunal del consulado de Cádiz dictada* ea De la información que se hizo en dicho pueblo de Guadalupe re loa autos de concurso de acreedores de la testamentaría de D. Jossf mita: que el 18 del mismo m;s habían llegado dichos toldados 4 su Belmente y Ventura, y de la sociedad que giró bajo el título de Miguel monasterio, y no se presentaron 4 la justicia. Pieza de Herrera, fol. 168 Belmonte, Ventura hermanos y compañía, ae ha man…</t>
  </si>
  <si>
    <t>JostC</t>
  </si>
  <si>
    <t>…pesquisa contra los (arbo ción , procedente de Funchal, con 16 días de navegación. larios, semejante á la de Maguncia en Alemania. Otra ba'andra portuguesa S Antonio Vigilante, su capitán JostC » SS. MM. el Emperador y la Emperatriz de Austria saldrán para Antonio Chives , procedente de S. Miguel, con ia dias de navegación. su posesión de Perscmbcrg el día 8, y permanecerán allí algunas se Los capran-t de estos dos buques declararon que en las islas…</t>
  </si>
  <si>
    <t>Jostf</t>
  </si>
  <si>
    <t>…que la da teniente coronel D. Luis Baeigalupi el parte siguiente: continuar los ficciosos en un total espanto y consternación. n Excmo. Sr.: El comandante de la M. N. A. de Soria D. Jostf • Hoy te ha colocado la lápida da la Constitución con toda so María Araujo me dice con fecha de ayer lo que á la letra copio: lemnidad , asistiendo todas la* autoridades con su ayuntamiento pla • Viva la Constitución y lot valientes que componen la columna ñí…</t>
  </si>
  <si>
    <t>…* izc en. ca or avisos confidencial * que tuve del comandante de la» armas de Caspe y ardoroso, hambre, sed, y en fin todo gen ro de pr • ac on-s rn ’ m Alcañiz, como asimismo del capitán D. Jostf í*:nito Azcuénaga, tra bastado pira desalentarU'; tanta» son la, vutuí , tu in* , v pr teas taron d-poseaionarse y ocupar la mencionada villa. que adornan a ceda uno d- los individuos que concjrr e*on a¡ ..on.ba „ Con el objeto de impedir semejante operación…</t>
  </si>
  <si>
    <t>Jotcf</t>
  </si>
  <si>
    <t>…mitnlts. D. Bernardo Fernandez, D. Diego Llórente, D. Pa coronarán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 ) na , D. Juan Elias Montano , D. Fr…</t>
  </si>
  <si>
    <t>Jote</t>
  </si>
  <si>
    <t>…ntereses, su orgullo , vanidad y presunción , que A ¿a dividan de vanguardia por tu comándente gmeraf coronel di bien, la felicidad y la pac de sn desgraciada patria. Exterminemos D. Jote/ Joaqum Marquen y LKnalio. pms á estos monstruos , y cuente V. E. que un cuerpo que en la Pe n Soldados : Ya estáis en Cuernavaca ■ y la aproximación at enema- nínsula ha manifestado amor, fidelidad y lealtad é su Rey y á la Cons Elifamilia»zacioupertinaz ins…</t>
  </si>
  <si>
    <t>Jotef</t>
  </si>
  <si>
    <t>…acio de Salceda p Bedoya, presbítero, cura párroco conveniencia, aunque con notorio perjuicio de los intensados; muchos del concejo de Brjo, 4 nombre y virtud de poder especial de D. Jotef de los cuales, que serian mup útiles en el ejercicio de la facultad , se Manrique de Bedoya, vecino de la ciudad de León , solicitando la po retraen de estudiarla tolo porque después de concluida tu carrera se sesión de todos los bienes, derechos p acciones p…</t>
  </si>
  <si>
    <t>Jotefde</t>
  </si>
  <si>
    <t>…la de lá Gobernación D. Vicente Ceno Manuel , le de tinezc=Lvs. inferios eorr=»ponJen bien y oelmente con ,u» re»pect&lt;vos Guerra D. Francisco de Paula Escudero., y le de Hacienda D. Jotefde origíneles , que qb^o p^t ahoíS.cj: la secretar:» d^- ni cargo qu ma Im ¡z. Tendreúlo entendido , y dispondréis lo necesario 4 su cumplí» remito. Y para que conste cumpliendo con lo mandado por el litre. miento. =s Rubricad» de la Real mano. = En Palacio 4 8…</t>
  </si>
  <si>
    <t>Jove, Josef Ignacio García</t>
  </si>
  <si>
    <t>Josef Ignacio García Jove</t>
  </si>
  <si>
    <t>Las tropas de Colombia , a! mando di Bol irar, formaban un cuerpo rade S. M. Dr. y Miro. D. Josef Ignacio García Jove. Cirujano da df 58 hombres; Mourgeon tenia igual número de tropas, y el batallón cámara de S. M. Dr- D. Juan Nieto fiamaniego. Medico de la familia de Aragón y los pástenos hicieron prodigios de valor. La gac&gt; ta de imperial D. Josef María Varóla, con honores…</t>
  </si>
  <si>
    <t>Jovellano, Gaspar de</t>
  </si>
  <si>
    <t>Gaspar de Jovellano</t>
  </si>
  <si>
    <t>…tan de él; en la inteligencia qua oponen i la felicidad pública, escritas por ei conde &lt;1c Cabarrús al se V. b- deberá dar pan- puntualmente del estado que tiene este negocio, ñor D. Gaspar de Jovellano*: tercera edición. Se hallará en la librería y que V. N. será responsable de la actividad que debe emplear para su de Fez. exacto cumplimiento, que provengo á V. S» ¿ orden del Rey. Madrid A oía. Fn la gaceta de ayer, col. i.*, lío. 11, donde dice $1 wúor 10…</t>
  </si>
  <si>
    <t>Jovellanos</t>
  </si>
  <si>
    <t>…han hecho argumentos para mani Expuso en seguida que lo que había dicho el Sr. preopinante con res* festar que debe aprobarse este artículo , cuando en mi concepto no vie pacto al Sr. Jovellanos solo probaba las intrigas de palacio, porque se nen bien. Entre elloa ae ha citado la representación de los 69 ex-dipudaba oido generalmente á las peticiones; y se acordaba que cuando se lados del afio de 14, y asimismo un decreto de las Cortes extraodtnacasó…</t>
  </si>
  <si>
    <t>Jover</t>
  </si>
  <si>
    <t>…icia nac;onal pid municiones y refueraos, pues á ios facciosos de manente de Cortes, y cuya resolución espera cucontrar en las medi aquella parte se les han reunido M.jagalta , el cura Jover y otros; y en das que esta adoptar*. vista de esto han salido ya dos compañías de miqucietcs y municiones. » l a corporación que expone sentiría molestar ni distraer la aten Tarragona 10 Je Julio. ción de la permanente en ios momentos que la requiere 1a s tua…</t>
  </si>
  <si>
    <t>Jr</t>
  </si>
  <si>
    <t>…de. la junta no confirma con tu silencio tote la» expresiones que lo* pe Palacio ó de Enero de i8ta." riódicos han publicado como proferidas por d Sr. diputado Ocboa, se Oi'tecion general Jr imnttitas indirectos y efectot estatuad*». procura la publicación da asta anuncio pac medí* da le* - pe » Habiendo entendido por conducto da! intendenta da Valencia riódicos. EN LA IMPRENTA NACIONAL.</t>
  </si>
  <si>
    <t>JSuregui</t>
  </si>
  <si>
    <t>…cialmente del criminal favor que le.» prestaban las autorida apuntamientos mas próximos su confederación, entendiéndose desde des de lo* pueblos. A las dos de la tarde no tenia rl coronel JSuregui luego entre sí por medio da «omisionado», p acordarán para *1 di* 10 aviso alguno de la entrada de los faociosos ea Villireal á las siete da</t>
  </si>
  <si>
    <t>Ju</t>
  </si>
  <si>
    <t>…, y se dije de la Carraca D. Fernando Bustillo , por haber infringido la Consl.tu- se simplemente que el Gobierno llevase á efecto la expresada ley avia cion; y una exposición de D. Ju,n Buslamante , quejándose también se las sesiones de ló y 17 del corriente). La comisión opinaba que de de uno de los alcaldes consi.iuc onales de Ciudad-R al, por haber in bía aprobarse ia expresada adición. fringido el art. 287 de la Constitución. Asimismo…</t>
  </si>
  <si>
    <t>Ju'uan</t>
  </si>
  <si>
    <t>…en 19 dt Setiembre. D. Casimiro Sánchez , D. Joaquín de Odriraoia , L*. Angel V.igas, S. M. el Rey y SS. AA. continúan sin novedad en tu importante D. Clemente Máximo de la Torre, D. Ju'uan teme de .al..fatua, aalud. S. M. la Reina no ha tenido mejoría en su indisposición. D. Marcos Quirós, D. Segundo Alvaiez y D. Dom ngo saer Moa. jo. Habida la conferencia resu.tó kater lujar a la formación Je causa por DIXUCCION CBNBXAt SI LOTERIAS NACIONALES.…</t>
  </si>
  <si>
    <t>Ju.m</t>
  </si>
  <si>
    <t>…a alistada en dicha comarca y ia de Segorve hasta ti número da cuando extendió lo* de cite remo. Par lo mismo la secretaría es i de 400; y .il iusüníe destacó en su persecución al capitán D. Ju.m la que corresponde hacer la separación de que se trata. Mercader con 20 infantes del provincial de Ecija y 50 déla milicia na El Sr. Zulueta: Esta no ca una razón para el caso presente. La cional local voluntaria de beeorve y Candiel, y 1 a caballos , 4 de ia…</t>
  </si>
  <si>
    <t>Juaa</t>
  </si>
  <si>
    <t>…de intereses , sin reparar en medios ni Aprobado. sacrificios. Se nos había a.e/urado el permiso libre de bajar á esta el di La comisión de Comercio, en vista de la exposición de D. Juaa nero , con tal de que se afianzara acreditar que el retorno al interior Busiamar.tr, vecino de Cádiz, proponiendo un plan de seguros, opi seria invertido en efectos comprados en esta plaza, y aunque la liaba naba que estando extendido en términos vagos, no de…</t>
  </si>
  <si>
    <t>Juan</t>
  </si>
  <si>
    <t>…iguiente. La autoridad pública, ó alguno de sar dos solicitudes acerca de la admisión de capitalizaciones; una de sus ministros, ó el comandante de la fuerza armada que vaya en su D. Juan de la Vera, coronel de ingenieros , y otra de D. Josef Anto auxilio, se presentará á la vista de los sediciosos ó rebeldes con la me nio Barona y Vargas, vecino de Plascncia. nor distancia posible; enarbolará una bandera blanca, y hará dar tres Se concedió li…</t>
  </si>
  <si>
    <t>…igo , y por último un formidable egército Crédito público, sobre que se le permita al coronel retirado de ingenie(uso en las fronteras dispuesto á invadir el territorio turco. tos D. Juan de la Veta verificar la capitalización de rus sueldos. Tal es el espantoso cuadro que nos presenta ¿ fines del año a t y Asimismo se ¿probó el dictamen de la comisión de Gueira sobre principios del 22 ese poderoso imperio que fundó un tártaro aventure que se…</t>
  </si>
  <si>
    <t>…cia* que hcmo* recibido de Al«f* a» dan «*f ataña al cientes i los españoles emigrados de Montevideo D. Ramón Artiagu guna de qi« cese 1* guerra que noi haccn loa pcmas. Beitia, y D. Juan y D. Francisco de las Carreras, pagaran í n entrada El príncipe Ali-Carmachnh, hijo mayor del .Schab , excluido por los derechos correspondientes como si vinieran en bandera nacional." m padre de la sucesión al tsone, destinado i uno de eut hermano* me Alt. » Que se apruebe…</t>
  </si>
  <si>
    <t>…bregon, Aguirré, Fagoaga, Puchet, Picrola , López Cons da sobre el ciudadano humilde y laborioso; Heno de disgustos, no pue tante , Mepdez , Navarro (D. Andrés), Solanot , García (D. Juan de imaginar que el pobre labrador conozca la felicidad, ni que pueda justo), Úraga, Mora, Cristo, del Rio, Castoreña, Ciscar, Aparta tomar parte en la suerte de su patria; pero ¡cuánto se equivoca! Loe do, Michelena, Quintana, Argíiello, Milla, Freire, Dávda,…</t>
  </si>
  <si>
    <t>…n de la imprenta. Preceden varias notíc;as 1 &gt;t -varias p ira '1, aion de la que hasta ahora han tenido, pues que no le conocían sino por vidas de otros escritores españoles : por D. Juan \ntonio IMlicriutt los dibujos, da cuya exactitud les era permitido dudar. No tratamos de tomo en 4.0 Se hallará en la librería de Rana a 10 rs en pa-u. introducirnos en estas especulaciones sub unes; y cumpliendo Ja obli Memorias de B anca Capelo , gran di!…</t>
  </si>
  <si>
    <t>…enidas en los periódicos extranjeros que con sus hermanos ios de Portugal, de la conservación del orden, da la han llegado hoy. . . obediencia i la religión, á las Corte* y al Rey D. Juan vi. Los principales comerciantes alemanes especulan con las noticias de Las noticias de la Ha vana recibidas en Londres alcanzaban basta paz , al paso que varios periodistas alemanes se proponen el mismo ob— el 13 de Diciembre, y las «le Veracruz basta el 17…</t>
  </si>
  <si>
    <t>…publica lo siguiente: Josef de Martin y Andrade, se cita, llama y emplaza á todo* losquese til augusto Congreso nacional. crean con derecho i los bienes del msyorszgo fundado por D. Juan v El ayuntamiento constitucional de Barcelona, al recibir la funesta Sánchez del Pino, vecino que fue de la ciudad de la Corulla en 3 de noticia de haber sido atacada ia inviolabilidad de algunos diputados de Setiembre de 1734, que ha poseído D. Juan de Torre…</t>
  </si>
  <si>
    <t>…rivedites__La «le D. Diego Lorenzo Quiroga 70 rs. 7 14 mrs _La buenos amigos loa holandeses, que loe pobres establecimientos del 48 D. Jos.f Manuel de laa Llanas como heredero «le D. Juan «le las JCamstchatlu dependían da un imperio colosal 7 de una nación euro limas 1788 rs. 7 4 mrs., la de los hijos de D. Francisco Antonio pea. En haberse .pues negado 4 toda comunicación con una potencia {agüeros 1472 rs. 7 7 mr,—La de D. Nicolás de Casas 20…</t>
  </si>
  <si>
    <t>…icado cho Cabezas la yunla de muías con que labraba. aquel reverendo obispo Fr. Rafael Velez en 19 de Junio de 18a 1 , y A la misma se pasó un expediente instaurado á solicitud de D. Juan acompañaba un egemp'ar de dicha pastoral pata conocimiento de la Lorenzo Fernandez, vecino de Valdeconcna , contra el alcaide de Diputación permanente. aquel pueb'o, por haber infringido la Constitución en sus arts. a8y y El Sr. Infante manifestó que el gober…</t>
  </si>
  <si>
    <t>…iarcal para aplicar sus rentas al p*go de la deuda na „ Las transaciones de los díscolos no hacen mas que redoblar su aucional , que había sido erigida por la munificencia del Rey D. Juan v, dacia y arraigar el sobresalto en el coraron de lo» hombre» de bien. A»i y era incompatible con el actual estado de la nación; y que se asegurase pues las autoridades obrando enérgicamente, cual corre»pende en cir • S. para su propia tranquilidad y la de l…</t>
  </si>
  <si>
    <t>…de primera instancia , y prin justo me parece todavía el cargo de que no evacuó la cita que hizo el cipalmente de la inobservancia del art. 293 de la Constitución. Sin em testigo D. Juan , y seguramente que esto fue un descuido, y lo bargo no creo que estos defectos tengan tanta trascendencia como ma mismo me parteé con respecto i la pregunta que hizo á Velasco so nifiesta la comisión en su dictamen. bre qué personas concurrieron 6 concurren…</t>
  </si>
  <si>
    <t>…eino de Aragón, y en la villa de Brúñete, seis le sado 10 años, en los cuales se babian hecho grandes obras , era muy guas distante de esta corte, que antes correspondieron al Dr. D. Juan extrafio que no te hubiese todavía puesto una piedra para el monu Berbejal y Hernández, capellán de honor que fue de S. M. , y fiscal de mento que habia de trasmitir á la posteridad el grande patriotismo de cu Real capilla; y habiéndose instruido el competent…</t>
  </si>
  <si>
    <t>…na pea,aba asi swb.re ,u Asimismo recibieron con agrado dos cgemplares de ia historia de conducta como gefe político. las rentas eclesiásticas de España, presentadas por su autor D. Juan El Sr. AiiX dijo que ajnque extrañaba que la comisión hubiese rehu Sampcre. Uno de ellos se mandó pasar ¿ la biblioteca, y al otro a la sado entrar en el examen de ia conducta de Puente en Guacia, ape a comisión eclesiástica. ba no obstante ei aictam.a de esta , pu…</t>
  </si>
  <si>
    <t>…rioso á ia buena Opinión de los seño gata , muchos conocím entos en su facultad y acciones de guerra que res D. Felipe Montes y Rey, intendente de la provincia do Cuenca, y cuenta D. Juan ll.-via, ayudante de órdenes del comandante del apos D Folipe Sicilia, contador principal interino de la misma, por la pro tadero H- Puerto-Cabe.10 , que por estas circunstancias merece ser aten puesta que hicieron á la dirección genera, de llac.cuda pública…</t>
  </si>
  <si>
    <t>…nte desde las apoderados en el juzgado de primera instancia de Guadalajara, y por 10 de su mafiana hasta las 2 de la tarde á la contaduría de la direc conducto de la escribanía de D. Juan fianz Celada , dentro del preciso ción , establecida en el banco nacional de S. Carlos; y pera la continua término de dos años, contados desde el ao de Marzo de este afio; bajo ti ción de entregas diariamente se dará aviso en los periódicos. apercibimiento de…</t>
  </si>
  <si>
    <t>…conspiración contra el sistema constitucional for au mérito y utilidad , y á los que no tienen noticia de ella , bastará mada el 11 de Noviembre del afio último, en el juzgado de D. Juan decirles que la comisión de Instrucción pública del reino en su- infor Ordufiz y Angel, juez de primera instancia de Bilbao, recayó el 16 me del alio de 18 so la calificó de eminentemente luminosa y fecun la, de Enero último !a sentencia siguiente: y muy nece…</t>
  </si>
  <si>
    <t>…onciliación ante el Sr. alcalde constitucional de es ’* Las últimas cartas de Viena hablan de que la mayor parte de las ta villa y corte de Madrid D. Rodrigo de Aranda, en el cual D. Juan tropas del reino Lombardo-Véneto ran á formar un cuerpo de obser López Pinto, teniente coronel de artillería , y autor del referido artículo, vación en las fronteras de la Dalmicii turca.__Sé dice que lord Clan- ha declarado francamente estar coHvendio de que…</t>
  </si>
  <si>
    <t>…ado de primera instancia del Sr. D. Juan Gómez y Díaz, y es 43 rs. tienen que hacer frente á sus obligaciones con Un corta asigna* cribanía canutaría que despacha por habilitación D. Juan de la Peña cion, y no conviene estrecharles mas. Martínez. Consiguientemente é Instancia de los testamentarios de aque El Sr. Buey hizo algunas observaciones contra el dienmen de la lla, y en virtud de providencia del nominado señor juez , se vuelve á comisió…</t>
  </si>
  <si>
    <t>…unos facciosos que vagan por aquella provincia, y la pri lo actualmente establecido en órden á las viudedades, sino que lat Cor sión de cuatro de ellos; y por el parte del bizarro coronel D. Juan tes , consiguientes á lo resuelto en la anterior legislatura , deberán de Josef Cruchaga, comandante de las partidas destinadas á la persecución</t>
  </si>
  <si>
    <t>…uy sensible que en el régimen constitucional se engallase , como se trata fuesen esencialmente contrarios á la Contitucion, ciertamente se ha hecho en las épocas anteriores. Desde D. Juan al 11 hasta 1799, las Cortes harían mal en discutir un proyecto de ley, en el cual se dice que fue la época en que te impuso el último valimiento, te estuvo que todo sefior que presente buenos pergaminos sera amparado en su siempre engañando fi los poseedores…</t>
  </si>
  <si>
    <t>…oncedieron lo* permiso* que solicitaban D. Pedro González La comisión está muy satisfecha de ia conducta de los actuales se Várela, D. Josef Herrera, Di Basilio García Manriques y D. Juan cretarios del Despacho ; pero su objeto ha sido avilar para lo aucesivo Machado, electos jueces da primera instancia , para prestar el juramen todo abuso que pudiera cometerse, haciendo que todos los secretarios to que debían hacer ante las audiencias respect…</t>
  </si>
  <si>
    <t>…Bardo, D. Manuel Josef de Gallego, D. Valentín Rcc o, tumbrada , y habiendo hecho una elocución al pueblo, te dirigió A la D. Joaquín de Cevaüos, D. Domingo Fernandez de Anguio , D. Juan iglesia de S. Isidro, en donde se celebró la misa de Réquiem, con una Paz, D. Iliginio Antonio Lorente, el marques de Casano, el conde •locución adecuada á las circunstancias, pronunciada por uno de los de Florida-Blanca y D. Juan Antonio López. Sres. canónig…</t>
  </si>
  <si>
    <t>…uese solamente guardada por cuerpos de ii9 rs. hecho con este objetó. .. espadóles. Por estas y ot.as consideraciones apoyó «1 artículo, y en A la de Legislación una exposición de D. Juan y D. Francisco atención también á que ia medida que contenía no esa por desconfian Gonsaivez , vecinos de Santisiéban C J*£» )* para q&gt;*e se anule la cláu za que se tuviese de los apreciables militares de. quienes, hablaba, sula de un testamento de un tío suyo, en la cual d…</t>
  </si>
  <si>
    <t>…er sido destina los í él no gozaban vidual. Aprobado. sueldo, y que los cesantes que hubiesen sido destinados á dicho ramo La misma presentó su dictamen acerca de la exposición de D. Juan no gocen mayor sueldo que el que tenían antes de babdr o sido. Manuel Pereira, como marido de D iña María Ramona Abascal , h ja La comisión segunda de Hacienda presentó los siguientes dic del general D. Juan Fernando Abascal, pa-a que se ie ex'm ese dei pa tá…</t>
  </si>
  <si>
    <t>…que puedan ofrecerse. Los aspirantes á esta plaza dirigi ron al punto amb s yf.s p- liti.os, cada uno p- r su pjrte, las disposi rán sus memoriales al ay untamiento por mano de su secretario D. Juan ciones 111a, a.l.v.s para compnm r este movimiento antes que la sedi Francisco Alorcilio. ción tundiese entre los pueblos alucinados. A virtud de sus providen 1I¡ ■toria de li s templos de los paganos, de los judíos y de los crt^ cias, en qu: el gefe polu co…</t>
  </si>
  <si>
    <t>…o al conmutase el grado de bachiller en cánones en et de l.yn. canzase para cubrir el piesupu sto de gastos, propondrá á la diputa La misma comisión , en vista de la exposición de D. Juan y D. An ción los nuevos artotti o. que estimen conven.ent.-s para cubrirlos , ma tonio Mensa:vez, hermanos de D Martin, cinón go que fu: d ■ la ca nifestando el cálculo p.udencial de sus productos, ejecutándolo todo tedral de Jaén, sobre qu- las Cortesía sirviesen oc…</t>
  </si>
  <si>
    <t>…o Fernandez \ngu!o, D. Pedro Matute, D. Jos f Antonio Pondante D. Manuel Arengo, qu; iba á la vanguardia con 24 soldados del zoa , D. Josef María Puente, D. Marcos Antonio Menczo, D. Juan b¡: ilion d*«liarb.isiro , se encontró con los facciosos en Coll-sacreu Francisco Travesedo y D. Carlos González Llanos. sobre Sagit c.-, y los peisiguió h.sU la sierra de Vila lamiras: los faccio Habida ¡a conferencia, se declaró por unanimidad haber lugar á…</t>
  </si>
  <si>
    <t>…rjuicios militar, y debe ser juzgado por militares Aprobado. de tercero, y deshacer los inmensos daños causados ya 4 la Nación, La comisión de Premios, en vista de la solicitud de D. Juan Do dando asi una prueba de los deseos del Congreso , para dejar intactos la mingo de la Vega para que en atención á los servicios de su padre buena fe y decoro nacional. J). Domingo Antonio se declarase í este magistrado de los tribunales 3.0 Si el Gobierno no c…</t>
  </si>
  <si>
    <t>…arma se viado de Saxonie en Munich parece que ha pedido solemnemente á la gún su aplicación , servicios y antigüedad. Alt. g.° El armamento, mon princesa Isabel de Baviera para'el príncipe Juan de baxoma.__Tres agen turas y caballos de la brigada de carabineros quedarán á disposición del tes diplomáticos (no se sabe deque nación)se han presentado en Gine Gobierno para los usos que crea mas convenientes. Art. ¿.° Solo hasta bra, pdendo que se les ent…</t>
  </si>
  <si>
    <t>…racionales, tículo inserto en el núm. 145 del UnhtrtsU, y fechado en Lorca á 19 También hablaba el bruto: hechos extraños, de Mayo último, como injurioso á la persona d* su padre D. Juan ; f Que nos oculta el velo de los años. habiéndose reunido el jurado, compuesto de losSeet. D. Cayetano Ro Se venden ios dos primeros cantos, y el tercero intercalar (qo* a mero, D. Marcos Izquierdo , D. Mamerto de Landaburu, D. Josef de •1 original del autor…</t>
  </si>
  <si>
    <t>…ijo que era tama la latitud que por este artículo te acc:d -rse í ella. Aprobado. daba á las gracias concedidas por el decreto de 11 de Si tu-mbre, que Otro sobre la exposición de D. Juan de! Valle, natural de I'les- arria imposible real zarlas. Aunque no te comprenda tino a lottmiitacas, en solicitud de dispensa de edad pira administrar sus bienes. La r s, pasará acaso de 2o¿&gt; el número de personas que habrá que premiar, com.sion no hallaba r…</t>
  </si>
  <si>
    <t>…atribuir mas que a &gt;u impru Conslilu... n. '.paliado. dencia, atendida la pub icidad que se ha dado a las d.spo.icicne» loma La misma conos.on , informando sobre 1» exposición de D. Juan das por rl Gobierno impera! puia proteger ios dere.nos de la contpa- Coy , v.cino ce la lias ana , m solicitud de d spena de cri.d paa aj 61 rusa americana.*’ ar i .liar »u» bienes, cpmaba que d.b.a ..n.ederse diera c,&gt;pen»a. En vista de tan categórica declar…</t>
  </si>
  <si>
    <t>…etálico y 1 por too sobre el F1 Sr. Franzini dijo que siendo el día 13 de Mayo el del cumple- importe liquido de los arbitrios concedidos, y que se concedieren al ato» de S. M. el Sr. D. Juan vi, parecía justo que los portucue. s die Crédito público, se repartirá entre los vocales de la junta d rectiva, sen gracias á la Providencia por haberte» dado un Monarca tan virtuo los comisionados y tus dependientes por vía de premio, est mulo e in so, y i…</t>
  </si>
  <si>
    <t>…ente 1 diese á la solicitud de D. Antonio Oliver y Copons. Aprobado. » Se sabe por buen conducto que los turcos te quedan como antes La misma comisión opinaba se permitiese al Sr. diputado D. Juan en la Valaquia. Hay unos io9 de ellos en Bucharest, donde conti Rico capitalizar la pensión de go9 rs. que le concedieron las Costes núan habiendo provisiones de todas clases, y construyendo trincheras. por sus servicios y padecimientos por el actual sistema.…</t>
  </si>
  <si>
    <t>…r los papeles públicos, se les en mento de Ultramar. carga nuevamente lo verifiquen, adviniéndoles que este recuerdo será Habiendo expuesto á la junta nacional del Crédito público D. Juan el último. Estado de lasJincas vendidas £ créditos por tt establecimiento del Crédito público desde tas anunciadas últimamente tn este periódico hasta el día de la fecha. Provincias donde radican las Idem en último Totales. Jincas. Ramos de que proceden. Valo…</t>
  </si>
  <si>
    <t>…e 1488__Otro de un juro de 17,314 ron. sobre las alcalificación, calificaron con la fórmula da ahutlte el impreso titulado cabelas y tercies de varios pueblos de Buftbe á favor de D. Juan dePluton númtro ty, y en su consecuencia la ley absolvió It su autor Don Roja*, en 30 de Marzo'de 1533—Otro de un juro de 4114 mrs. sobreEustaquio Palero, y te mandé fuese puesto inmediatamente en libertad, las tercias de Alcali de Henares i favor de Doña Elv…</t>
  </si>
  <si>
    <t>…l empleo de capitanes gimnástico militar para la formación de un batallón de jóvenes presenta vivos, obtendrán el de comandantes de batallón cuando sean nombra do por el ciudadano D. Juan xMiguel Ruth, recomendado por la dipu do» capitanes, y segu ran despurs sus ascensos en el cuerpo, según está tación de Cata’una , y pasado á la comisión en virtud de proposición prevenido para los segundos trnient:*.” Aprobado. del Sr. Quintana; opinaba que…</t>
  </si>
  <si>
    <t>…able: los progresos que dicho ir. ju.z, y escribanía de D. Manuel Lop;z de Rivas, que des han hecho en 40 años de existencia , el aumento rápido de su pobla picha por habilitación D. Juan de la Peña Martínez. Pisado ei referi ción , su riqueza, su fuerza física y sus recursos; todo parece grande do término, parará todo perjuicio i los que no hayan acudido en tiem cuando se compara el corto periodo en que han adquirid.» este poder po. Dicha pro…</t>
  </si>
  <si>
    <t>…dades á razón de un 37 octavos por 100: D. Pedro An procuran darle mayor extensión; y asi intentan borrar de la culta Ale tonio del Sobria! ó su representación 19,561 rt. y 5 mrs. D. Juan de mania las ideas de admiración que hasta ahora tenían formadas de Es la« Llanas id. 6713 r». y 4 mrs. D. Félix Pont id. Ü723 rs. y 4 mara pilla, é imbuirla de otras enteramente contrarias, haciéndonos odioso* vedises. D. Joaquín Olivares id. 67*3 rt. y 4 mr…</t>
  </si>
  <si>
    <t>…ese su de igual clase e nde de Casi-narru á Va'.ncia, el mariscal de campo piedad hasta perdonarles ia vida; pero ingratos no han querido oír ni D. í'rar.c seo Langa á Uidajoz, ei brigadier D. Juan .Yin; hez Cone/oa acog rse i un indu to que ya no merecías; en cuyo concepto, y en el a ¡acedía ¡ igualmente que en cunformioid de lo resuelto por ias Coi tes d.- que la ley no puede quedar ya sin que descargue su fuerza sobre lo» han sido destinváns ■» cobra…</t>
  </si>
  <si>
    <t>ió-jí cuarta y quinta d:l mismo apoyaban tú izquierda en la derecha de loa idem. D. Eusebío Alvarez, idem. D. Simón Gircfa; ídem. D. Juan granaderos' del mismo, defendiendo el boquete de la calle de la Sal, y Antonio Maruri, idem. D. Josef Orejuela , idem. D Máximo B=n¡las dos entradas del cuartelillo i corto también lá de la calle de Bote sia., i.dem, paisano. D. Hermenegildo Romeral , idem. r…</t>
  </si>
  <si>
    <t>…ser empleado, y la otra mitad al cargo del comandante accidental La Grecia esta todavía oprimida t pero presenta actualmente un del batallón de 1» milicia D. Benito Marrasi, de su capitán D. Juan aspedículo inaudito en la historia del mundo, esto es, un pueblo que Baeza y del capitán de caballería D. N. Sierra, 4 los balcones de la está instruyéndose, engrandeciéndose y formándose en midió de las misma casa pura ofender desde ellos at enemigo, sí acas…</t>
  </si>
  <si>
    <t>i°99 del Príncipe D. Juan de la Cruz Gsnzalsz y D. Joiqu'n Pi'ar's , fue que solo la vida era la que juzgaba podia asagmarlea, asi como á la ron las únicas que tuvieron la satisfacen d: con&gt; -gu r o , cu jni« .¿te tropa , y no otra cosa, por no hallarme facultado para mas ni aun en úl…</t>
  </si>
  <si>
    <t>…tas avanzadas que tenia por ei lado-de las empalizadas de consumido casi todas las mun clones, y la poca esperanza de auxilio, la p azuda de Oriente te movieron 4 las órdenes del capitán D. Juan seguramente que la segunda jornada hubiera sido aun mas gloriosa. Priman contra las partidas que se destacaron por parte de palacio. Dis Todos los que cooperaron i la defensa merecen elogio particular dtc. persadas en gu-rrillas, llegaron hasta el portillo, y…</t>
  </si>
  <si>
    <t>…ompuesto de lo» señores siguientes: 1Je»ef Antonio Pon- lo» conocimientos ni-nos útiles que no se le podrían proporcionar sin zoa, D. Lorenzo Calvo de Rozas, conde de FlcnJ-bónca, D. Juan abandonar aqusóa instrucción de primera utilidad, qus debiera mas Isidoro Perez , D. Zoilo Gómez Cascio, D. Josef fe-n Motan , D..n bien iiatuarse la instrucción necesaria. (Jir contiuuará.j Andrés M ya Luzunaga , L). Antcnio Puibianch , ID. Jostí Demetrio la…</t>
  </si>
  <si>
    <t>…el 6. y guiente. :Di Florentjn Izquierdo, D. Norberto Flores Calderón, D- Za Decreto de S. M. nombrando á D. Juan Antonio Yandiola único carías Sagrcdo, D. Gregorio Sainz Hernani, D. Juan de iglesias, Don tesorero general, y encargando á D. Antonio Martínez la formación Luis Díaz Hoyuelo, D. Josef Juan de Isla, D. Juan Marroquin, y Don de la cuenta de la tesorería general en el año económico que ha finado. C irios García. Habida la conferencia…</t>
  </si>
  <si>
    <t>…artorell. Habiendo regresado á esta villa el referido Bray por nece- de los que incomodan los pueblos de aquellas inmediaciones ¡ les co aitar su tropa de descanso, dispuso que el coronel D. Juan de la gieron dos caballos, el uno robado en la noche anterior, con una cre Cuesta pasase con algunas tropas á reconocer el sitio de la acción, y cida cantidad i un patriota de Cursé, y te comieron el sancho que te atacase a los facciosos en el caso de encontr…</t>
  </si>
  <si>
    <t>…ionaría una revolución en la India. • gacion recayese en el Príncipe Real, eran las de que al feliecirn.er.to » De aquí á a'gunoe alio*, continúa, la Rusia sera dueña de Cons- del Sr. D. Juan vi (á quien diese Dios largos y felices dias de «--¡da) se tantinopla, de la mayor pane de 1a Turquía y de t &gt;da la Grecia ; y ca declarase ser el Brmil la residencia del trono; pero que él te ojpondrii to lo tengo yo por tan cierto como si realmente hubiese…</t>
  </si>
  <si>
    <t>…rra, D. D mingo Fernandas Angulo , marques de Cusano, aves domésticas é insectos útiles, con los que concluye su segunda D. I..&lt;renzo Calvo de Rozas , D. Benito Ortega Romanillos, D. Juan parte; y en seguida pasaá la tercera, en que trata el punto esencialísimo Cortes, D. Domingo Vil amil. Habida la coafarencia, resultó por seis del arbolado. El 8.° y último cuaderno está casi enteramente destinado á v°tos hafier lugar á ta formación de causa…</t>
  </si>
  <si>
    <t>…se reunió el jurado, compuesto de los Sres. siguientes: la primera educación, reglas práctico-morales-políticas jotra*indispen D. Francisco Travesado, D. Benito Ortega Romanillos, D. Juan La sables para cimentar y consolidat en la niñez lo* verdadero* conoci que , D. Antonio María Espejo, D. Josef Gómez Albacete, D. Gon mientos de la existencia civil 7 derecho* naturales del hombre social zalo Cárdenas, D. Joan Corté*, D. Mariano Zorraquin 7 Ó. J…</t>
  </si>
  <si>
    <t>…batallón, dad de su empresa. á cuyo nombre tiene el alto honor de ofrecerle sus respetos y conside Si la aparición de los facciosos no acarreara daños inmediatos , tal ración =rFl comandante Juan l’erez.=&amp;idu 13 de Agosto de 182a. vez pudiera tenerse por útil su osadía en quitarse la máscara y en pre Sr. comandante del segundo batallón de la Erirctsa. = Ccn la ma sentarse i descubierto, pues de este modo dan nuevo motivo á que el yor complacencia he v…</t>
  </si>
  <si>
    <t>…s Sr-s. siguientes: D. Juan Isidoro Perez, O. Juan Anto Gerónimo Bermudcz , rscribjno de d'cho ¡i'zc-sdo, leq.timar.'lo mis nio López, D. Josqf Luis de Amandi, D.Saturnino Lozano, D. Juan personas , é instruyendo sus solicitudes, aperuh ’os d.r que pasado di Cortes, conde de la Torre del Fresno, Ó. Lorenzo Calvo de Rozas, cho término les paiará periu cío , pues cbia exped ente para la poicsion D. hant sgo Delgado y D. Gonzalo de Cárdenas. y di…</t>
  </si>
  <si>
    <t>…tonio Ramón Careaga: para el d: S. Salvador de Lama D. Francisco Altes, el cual fue también comprendido entre los expulsos. á D. Andrés Fon tan y Rodríguez: para el de B emposta á D. Juan La correspondencia particular habla cambien de estos extraños su Taboada: para el de Riradavia á D. Jaccbo Mas Villafuerte; y para cesos ; pero en casos como esto» nunca se sabe por el pronto la verdad el ds Monforte á D. Josef María Suarez de Fuga. pura. Todos…</t>
  </si>
  <si>
    <t>…ruzadas la bandera de dichos Estados y la de las provincias pios odia de muerte la conducta misteriosa y Jos reservados manejos de del Rio de la Plata—El representante de aquellos coronel D. Juan la tiranía, y porque esta intimamente convencida de que con solo 1i. Foibes ha sido muy obsequiado. enunciaros el peligro queda este en gran parte desvanecido. Idem ¡8. • Constitución ó muerte jurasteis: Constitución ó muert- ha jura Ha llegado i esta ciudad…</t>
  </si>
  <si>
    <t>…o y posiciones de los facciosos. Observé que con fecha del 17 desde Veracruz, dice: » Acaba de llegar el teniente se hallaban apoderados del monasterio y alturas d: su frente como coronel D. Juan Da vis en la goleta imperial Iguala , armada con doce unos 700, y que tenian guerrillas parapetadas en el a’a de todo su cañones, habiendo traído á su bordo un cónsul mandado por el Go frente: dispuse luego el ataque por derecha, izquieida y centro , colo bierno…</t>
  </si>
  <si>
    <t>…milicia activa (Gaceta del i.°) parándole entero perjuicio. Real orden exonerando i D. Martin García y Loigorry del cargo de inspector de artillería, y nombrando para sucedería a D. Juan cAxiios en el dia jo de Setiembre de 18a a. Manuel Munarriz. ( Gaceta del 14.) TAii^f«.Mllini.................................... „ 57-J Decreto de las Cortes en que se fijan los sueldos de los capellanes Párit.................................................…</t>
  </si>
  <si>
    <t>…y de suma consecuencia. Hablando de una Re mayores aplausos á ¡a nación independiente, á nuestro Rey constitucio gencia, que diz que hay en Urgel, nos hace saber lo que sigue: nal D. Juan vi, y á la dinastía de la case de Braganza. Esta escena es del » Dicen que la Regencia de Urgel ha pub'icado una excomunión Lan número de aquellas que no pueden describirse, y que solamente se cono uda por el obispo de Tarragona contra todos tos españoles que…</t>
  </si>
  <si>
    <t>…auto difimtivo proveído en ia causa que se formó contra el mismo por tras (algo menos de 9008 rs. de vn.) para hacer el primer píeseme á su insultos escandalosos y denigrativos á D. Juan de la Fuente, y ver nuevo príncipe , que ya está en Silittria. sa en el dia sobre reclam icion de perjuicios; con apercibimiento de qu: __En un folleto que se ha publicado en París acerca de la guerra de pasado dicho término sin haberío verificado , le parará…</t>
  </si>
  <si>
    <t>…ento , jr « Viva la santa religión de nuestros padres. Viva la Nación por V. M. ha dado tantas pruebas y tan curas de su constante y sincera tuguesa libre é independiente. Viva el Sr. D. Juan v: , R y const.ruadhesión al sistema constitucional felizmente adoptado por la Nación, cional del reino unido de Portugal . Brasil y Algarb;*. V.vj ja d.nasque no hsy ningún país que no lo reconozca y lo publique; prue tía de la serenísima casa de Braganza."…</t>
  </si>
  <si>
    <t>…os esclavos que estuvo establecido bajo la razón fes, gobernadores y demas autoridades, asi civiles como militares y de Aguirre Aristegui y compañía , y resultando ser interesados D. Juan eclesiásticas, de cualquiera clase y dignidad, que guarden y hagau guar Josef Goicoa de Madrid , D. Jaime O-Dalí de Puerto-Rico , ia dar , cumplir y egccutar el presente decreto en tudas sus parus. Tcn- casa de Bengutr y compañía d» Sta. Cruz de América, D. E…</t>
  </si>
  <si>
    <t>…a quienes he dirigido este manifieste, las causas de la resolu bían consumado el asesinato ; y ti castigar&lt; como es debido .a Ind.feción final del pueblo de este reino. 5i «1 Rey D. Juan vi, mi augusto renda ó delato de uno» caseros que pudieron avisar de la p is.ot: de padre, gozase en el Brasil de su libertad y de su autoridad legitimas, Echevarría, y no lo hicieron á tit-rrpo. Aquel venerable patriota ha es indudable que accedería á los de…</t>
  </si>
  <si>
    <t>…. La burla que eí divan Para la de Stvilia se proponía á los Síes. D. Agustín E’aseo , Don ha estado haciendo de ia Rusia podrá ser e fun-rst: Paree- qu: ya Justo Ramcn de Plaza y D. Juan de la Ptffi», y fue electo D. Jo.cf Ito se trata de .vacua-'on dd Pumont- , y r-sp cto de Nsfo;-s hay ru Vidal Moreno por 64 voto» de 1t6. inóles extraños. Hib'ase de la abd-cacion del R r de X.poLs; pero l’ata ia de Galicia se proponía i los Sre». D. Francis…</t>
  </si>
  <si>
    <t>…se di __ rondo» publico» en Londres el día 13. D; rrsu tas d; L»b*rs-t sa suelva.” bido por extraordinarios que ac.bahan de ¡¡-car de i’.r.s que e Go Concluyó diciendo: &lt;1 Viva el Sr. D. Juan vi, la casa de Braganza, bierno irancrs había tesa nto aten-t»; a la d -c:,. -n d l.te utfra ;n ¡o la religión católica , apostólica , romana, y ia nación portuguesa.” El concerniente á España , c .n».ol.,:a,s. » snl'.rr.-n ha..'; a 1 » L ...te» Rey , levantá…</t>
  </si>
  <si>
    <t>…quien consta cuanto le debe la patria , conocerá drá menos de experimentar el mayor placer al considerar los aconteci la fuerza de esta indicación. El intendente de este eeército D. Juan mientos de Lisboa en el dia i.° del presente mes. Cualquiera que los Antonio Comat con sus dos ordenanzas de la caballería del Príncipe recapacite se ha de sentir precisamente inspirado del respeto mas pro muy desde los principios entró también á mi lado sabl…</t>
  </si>
  <si>
    <t>…de verificó su entrada en dicha ciudad de Tar Art. 8g. » Algunas horas antes que se verifique la salida de la guar ragona el brigadier de los egércitos nacionales coronel de Pavía D. Juan nición el oficial mas antiguo de los nombrados , que haya de encarante Aidama, nombrado para suceder al general Haro en la comandancia del mando de la artillería de la plaza , entrará eo ella con los demás militar de aquella provincia, el cual fue recibido co…</t>
  </si>
  <si>
    <t>…tución ; y el de loe felicidad constituyan el estado habitual y permanente del pueblo yorfi*Negocios del teino leyó las palabras siguientes, escrita» del propio puño gues.zzEl Rey D. Juan vi.” de S. M. . , El Sr. presidente dirigió á 1os Sres. secretario* del Despacho on m Siendo mañana el dia de la apertura de las Cortes , y teniendo yo largo y elocuente discurso , en el que hablando de los sentimientos pa el mayor dolor de verme privado de a…</t>
  </si>
  <si>
    <t>…uo de mi consejo de Estado y A cons.cuenca de orden t-rm-nante de! mismo gefe , en lo snc-civo se explicará todos los aoni.ugo» n todas lis izlesia» ia Con»t.!uc.on del d- S M. F. D. Juan vi, y mi ministro de los Negocios interiores política de ia Monarquía de.pu-s del -vangtHo os la m si mayor. y exteriores', queda encargado de hacer egecoiar este d-.creto; h«* que En Montbiancli te observan dspotc onc&gt; que drr.ntan una prora Je publique , y…</t>
  </si>
  <si>
    <t>…para su Solamente de las personas ¡ndisp-n»ab.;s serv.cio personal. todo, v.n:.ias, i&gt; v... i s ,'d'é i.aUj.-»-- de da .t causa do. ;n compr.rd Señores, confirma las virtudes del Sr. D. Juan vi , r la prudencia y fir este tsreer año e;o5,im -o , se sat viaran -&gt;or a oiga1 i i- - t 4 ■’ ir meza de sua mimstio- La ley quedó cum,&gt;u :a ».n tergiversación , co de mi cargo lo» hab.-r.-s qus actúa m.nt; dts! v.’.in ha' - ti s-u¿ r.-tc mo es preciso que…</t>
  </si>
  <si>
    <t>Juan, D</t>
  </si>
  <si>
    <t>D Juan</t>
  </si>
  <si>
    <t>…inciuir o proceso como una nueva y brillante prueba de la sabiduría y virtudes todo en estos únicamente. Al efecto se oficia lo ca..v.r.i¿c;e a So» rm- que adornan a U p-rtoni del Sr. D Juan vr, de su íntima y sincera unión con la nación, y de su a mor a la observancia de las leyes. La msterios de Guerra y Marina. 4." Lo» intendente» dalas provincias cuidarán de que en el cesa circunspección y energía con que se trató este negocio en las diferent…</t>
  </si>
  <si>
    <t>Juan, D-</t>
  </si>
  <si>
    <t>D- Juan</t>
  </si>
  <si>
    <t>…as ins gnias de los bata i iones de tro debita ponerse anualmente como extraordinaria á disposición del Rey pas ligeras sea extens vo á los d.mas del «¿resto, op eaba que debía el Sr. D- Juan vi , i fin de que pueda atender del modo que lo juzgue aprobarse , y qu; á mas de los grimpolones encarnados ya aprobados aa conveniente * este deber que exige ia dignidad de la Nación y del una el ¡.r.m.io on verde. Aprobado. También opinaba que la adición d…</t>
  </si>
  <si>
    <t>Juan, Francisco Lledó y</t>
  </si>
  <si>
    <t>Francisco Lledó y Juan</t>
  </si>
  <si>
    <t>…asta unirse parecerán á deducirle en el juzrado de primera instancia de Alicante, con el brigadier Pilares; encargándole muy particularmente que dijese por «1 oficio del escribano D. Francisco Lledó y Juan, dentro del tér á este gefe que evitase toda efusión de sangre, valiéndote para reducir mino de 40 dias, contados desde el 1 a de Junio del corriente afio, ins lo* de pañuelo* blancos y otras señales de paz. truyendo tus solicitudes y legitimando tus personas…</t>
  </si>
  <si>
    <t>Juan, O.</t>
  </si>
  <si>
    <t>O. Juan</t>
  </si>
  <si>
    <t>…d*st nados pj-a mente un acto de juntas ocultas y facciosas; y consideran Jo yo icual- atend r al aprrslo y armamento de buque», se habían destinado ayu rr.: :?te á S- M. el R?y y Sr. O. Juan vi , de cuyo nombre y autori nos ai pago de los sa a'tes de ios individuos que teniendo dest ro en dad pretenden servirse las Cortes^para sus siniestio» fines, como prisio los arsenales estaban encargados de ¡levar ia» cuentas de todo ¡o perte nero en aquel r…</t>
  </si>
  <si>
    <t>Juan, P-</t>
  </si>
  <si>
    <t>P- Juan</t>
  </si>
  <si>
    <t>…sist ma constitucional y contra los facciosos que tratan de atacarlo; f En todo Marzo se ha vendido en Kiachta, fortaleza fronteriza de después de haberle» enterado por medio del teniente P- Juan aoavedrs la China, valor de 981,68a rublo» de mercancía» rusas y extranjeras, de Jas ocurrencia* de Madrid con los batallona de guardias en el 7 dal cuya parte principal comiste' en peleterías, cueras y palios de Prusia. que rige, y del resultado de las opera…</t>
  </si>
  <si>
    <t>Juan, Pedro de</t>
  </si>
  <si>
    <t>Pedro de Juan</t>
  </si>
  <si>
    <t>…Málaga. Interventor D. Antonio Altamirano, oficial de la Al comandante general de ingenie contaduría de distribución. .... ros por un mes de gratificación de es Cádiz interventor D. Pedro de Juan , contador principal de están- critorio.................................................... 485.-10. cadts.R-d-jo:- Interventor D. Luis Sánchez Nielo, habilitado por laa ingenierosA variospor empleadosun mes de delhaber...........ramo de 3,164.-13. Cortes. A…</t>
  </si>
  <si>
    <t>Juana</t>
  </si>
  <si>
    <t>…e de 1612—Otro de 1 Pr-v&gt;ci«, i 'santo-Tal"* &gt;'»demás JÍ Santander.. ' ■ I m» queda tspre-: 147,008 mrs., situado sobre puertos secos de Castilla, en cabeza de mara 11 de Enero en Doña Juana de 30,719 Zúñiga, de t627_Otro ¡ provincias I i “bjdj*v»- . ca millones sobre en situado de Valladolid y su provincia, tercertuse■ distritouiau iig i* vedises, V.f la ca- -&gt; militar........... i beza de D. Juan Paez de Cepeda, en 30 de Diciembre de 1635—Otro…</t>
  </si>
  <si>
    <t>…la incomodidad de distribuirlos. Señoritas premiadas. te d ja de instar que tomemos todas las medidas de ataque y de defensa Conducta : Doña María Josefa Pciayo. Lectura : primero Doña Juana Du ran : segundo Doña Francisca Ulivarría, ambas de seis á siete años. K,tri (2) c¡4Yí no está alarmada por nuestra revolución, «cuándo lo es tura inglesa: primero Doña Teresa Uribarri: síiundo Doña Dolores tuvo: ¡y qué motivos tenia que ya no tiene? La revoluci…</t>
  </si>
  <si>
    <t>Juaqu</t>
  </si>
  <si>
    <t>…. Vicente Llopis , canónigo magistiai de la santa igusia de Va al mariscal de campo D. Josef Vellido, gobernador de la plaza de Lé lencia; D. Amonio (Jasanova y Ravana-s, abogado; D. Juaqu n Ro rida. Para la de Tarragona al mariscal de campo D. Miguel de Hato, maguera, id.; 1&gt;- Félix Mora, capitán de infantería, teniente del ex gobernador de la plaza de Tortora. presado regimiento; ui mar.scal de campo D. Joaquín Ibarra, sibm»Octavo distrito. P…</t>
  </si>
  <si>
    <t>JUEVES</t>
  </si>
  <si>
    <t>jjim. 89. &lt;7 cunto*. &gt; 4n GACETA DE M A D R I D. JUEVES 18 DE MARZO DE i8aa. NOTICIAS EXTKANGERAS. Camones de ayer noche tu sistema de economía .adoptado por el minis tnu. terio con arreglo i lo* deseos que bahian manifestado las do. Cámara* del Parlamento. La parte principal de su discurso hacia referencia al est…</t>
  </si>
  <si>
    <t>Núm. i6o. (y cauto*.) *3! S GACETA DE M A D R I D. JUEVES 5 DE SETIEMBRE DE 182a. NOTICIAS EXTRANGERAS. culos de la Constitución , y duró hasta las doce , porque i la una de bía empezar la extraordinaria, destinada á discutir el dictamen de ia co «USIA. misión Diplomática sobre los asuntos de Montevideo. Odesa as¡ d…</t>
  </si>
  <si>
    <t>Kúm. 569. ( 7 cuarto*. &gt; *V&amp;7 ' - - &amp; &gt;.&gt; * s '. GACETA DE M A D R 1 D. JUEVES 19 DE DICIEMBRE DE 182a. SM3 NOTICIAS EXTRANGBRAS. de la paz ó !i vusrra, sino loque tenemos anunciado , S saber, que habn -rundís iluctuacicnes en íes lonoos públicos, j que los accio nados íU vU.Tra aprovecharían la circunstancia de haber vue to MontBiorer,…</t>
  </si>
  <si>
    <t>Juez, Francisco de Paula</t>
  </si>
  <si>
    <t>Francisco de Paula Juez</t>
  </si>
  <si>
    <t>…dicho en el Congreso por algunos Sres. di La comisión de Casos de responsabilidad , en vista de la queja da putado* que las verdaderas economías consisten mas en la reforma da por D. Francisco de Paula Juez, vecino de Lucena, contra el regi del número de empleados que en la rebaja de sueldos; por lo mismo dor primero D. Juan Cavillo Vereda, y contra el alcalde de barrio yo no veo que haya necesidad de aumentar en las provincias emplea Juan Fernandez de la Cámara…</t>
  </si>
  <si>
    <t>Jui, O.</t>
  </si>
  <si>
    <t>O. Jui</t>
  </si>
  <si>
    <t>…s patrióticas; Ei Sr. Alonso: Ruego al Sr. secretario da la Guerra me diga si se I sm embargo de decitse que estos disturbios no tienen conexión ninguna ha mandado formar causa al brigadier O. Jui o Oren!. ton los sucesos politices de la Nación, yo Jos miro como los resulta El Sr. secrrfario «ie la Guerra: Hasta ahora no ha dado rr.ot vo dos de una maquinación oculta que nos está minando, y todos estos para e lo, al menos no ha llegado a rntic¡a de; G…</t>
  </si>
  <si>
    <t>Juicio</t>
  </si>
  <si>
    <t>…s. y de S. Fernando; á D. Eugenio Tapia, director de la imprenta Na Se vende en le librería «le Hurtado á a rs. cional , individuo de la academia Espafiola,y diputado en Corte»; á Don Juicio crítico de la marina militar de Espafia. Esta obrita, dispues Manuel López Opero, de la academia de S. Femando, y diputado en ta en cartas dirigidas de un amigo á otro, empezó á publicarse alguna» Cortes; á D. Francisco Antonio González, bibliotecario mayor d…</t>
  </si>
  <si>
    <t>Juicios, Apolinarío</t>
  </si>
  <si>
    <t>Apolinarío Juicios</t>
  </si>
  <si>
    <t>…sten comprendidos desde el *41 al a8o, am al voluntario de Madrid D. Joaquín Ezqucrra, hallado casualmente en óos inclusive. esta ciudad; al estudiante D. N. Perez de Laborda, y á D. Apolinarío Juicios de jurados. Bellido, hermano de otro voluntario, quienes concurrieron al princi En la M. H. villa y corte de Madrid, reunidos los jueces de hecho, piar la acción sin otro estímulo que el de su patriotismo, y armado* calificaron con la fórmula de absuelto el p…</t>
  </si>
  <si>
    <t>Julia</t>
  </si>
  <si>
    <t>…n que cometió del regimiento fijo de PuertoRico en Enero de 1804, y en haber mudado su nombre y apellida ea el Disertación sobre el poder que los Reyes españoles egercieron has de D. Julia* Martínez: que por las circunstancias expresadas quede sin ta el siglo duodécimo en la división de obispados y otros puntos cone efecto la Real «den de 8 de Junio de 1803, por la cual se le destinó xo* de disciplina eclesiástica, con un apéndice de escrituras…</t>
  </si>
  <si>
    <t>Julia, Jacinto</t>
  </si>
  <si>
    <t>Jacinto Julia</t>
  </si>
  <si>
    <t>…aspe fióle, ttt inaplicación. Aprobados ■- - ós..'».- de dictamen qur se pidiese informe á le diputación provincial dé Cale» La coraition da Prcaama , ea vista da la solicitud «la D. Jacinto Julia,.oyendo al intendente, áfia'dnqpelas Corta» pudiesen resolverlo Manrique peía que se la «comeadme al Gobierno 4 i»dequc. lo ta» coovenientr. Aprobado. ... . - , olease según es mérito» y paderimieuta* pos al sistema ¿Opinaba que La misma comisioo.eo Je iostan…</t>
  </si>
  <si>
    <t>Julián</t>
  </si>
  <si>
    <t>…sMoxó, D. Francisca Eatalelia y D Vicente Aden; v pera toada pociona que le hace nao de sus individua, y que ha concurrido 4 te- fiscalíadal propio tribunal AD. Angel Castellana y D. Julián deSojo. dos sas trabaja; y si toda asta ubteevtcioua kshubiera hecho pre En le misma forma ee be servido S. M. nombrar para la judicatura sentes el Sr. Merina á la comisión, tal vez esta se hubiera aprovecha de primera instancia del partido de Huesca, vtesóte…</t>
  </si>
  <si>
    <t>…López Campillo , teniente coronel del regimiento de Zamora. Tarragona.- para primer comandante i D. Esteban Andreu, coman Bujalance: para coronel al coronel electivo de infantería D. Julián dante del primer batallón del regimiento de infantería de Málaga. Romero, supernumerario de ia milicia activa, que ha mandado la ter Teruel (ligero): para primer comandante i D. Pedro Gom.z , co cera división di granaderos provinciales. _ mandante de batallón…</t>
  </si>
  <si>
    <t>…romoviendo las can el auto definitivo dado en ella fi a* de Oetubre próximo P°r ^ fuentes de la felicidad pública. En seguida te presentaron i ser exami juez letrado de esta corte D. Julián de ítojo , j administrando justicia nadas leí alumnat de las tres amigas gratuitas -de la sociedad , las que condenaron al presbíteroD. Mignel Herreruelo, canónigo magistral da manifestaron conocimientos extensos on aritmética, gramática castella la santa igl…</t>
  </si>
  <si>
    <t>…go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Sebastian de Andrés. último me dicen lo que sigue: Habida la conferencia se declaró por siete voto» no haber lugar 4 - Habiendo acudido 4 las Cortea varios…</t>
  </si>
  <si>
    <t>…de nueva/ instituciones te dijese el P. Andrio, el P. Orfila, carmelita , el P. Catate, franciscano, Don Á ia Constitución. Pablo Duran, juez de primera instancia de Granollers, y D. Julián El Sr. Flores Calderón hizo varias observaciones contra el ertículo, Pujol, abogado; y según *1 Diario de Barcelona se trataba de pri nder á las cuales contestó el Sr. Burtiaga. é algunos otros sugetos. El Sr. Valdés (D. Cayetano): Hace dos di** que estamos tratand…</t>
  </si>
  <si>
    <t>Jumó</t>
  </si>
  <si>
    <t>…n en vuiud de las disposiciones del Congreso. Aprobado. No podrá el poder judicial juzgar de si los decretos de 27 y 29 ds La misma presentó su dictamen acerca d-l oficio d.-l Sr. secretario Jumó están bien ó mal dados; pero las cosas que se ejecutaron en vir de Hacienda, en el cual manifestaba que se habían olv.dado incluir en tud de estas disposiciones de las Cortes, ¡dejaran de estar sujetas al po los presupuestos varias partidas destinadas para el…</t>
  </si>
  <si>
    <t>Junan</t>
  </si>
  <si>
    <t>…r. secretario de Estado y del D.spacho de la Guerra.” conseguido i costa de algunos heridos, entre ellos el comandante Don Luis Bacigalupi, el subteniente del batallón de Sigiúnza D. Junan » Comandancia general del 6.3 distrito müitar.ssExcmo. Sr.: Ayer Sanz, el ayudante de Astúr-a, D. Antonio Ven, gravemente contuso dije á V. E. que esperaba un día de gloría de resultas de los movi el capitán de Sigucnza D. Josef Fernandez , y en razón de la h…</t>
  </si>
  <si>
    <t>…bierno ingles debe estar convencido de que ro , L). Francisco Marí n:z Marina, D. Josef Demetrio Rodr g i-z, el noble lord no traerá poderes tan amplios como lo eran los que solía D. Junan d- Fuentes, D. Joaquín Huerta Ccvailos , D. Domingo Yidar el marques de Londonderri. Este m.nutro obraba bajo su responsa liamil y D. Valentín Ort.gosa. bilidad personal, y como gefe del departamento de ios N.gccios extran 1 lab-di ia conferencia , resultó po…</t>
  </si>
  <si>
    <t>Junta</t>
  </si>
  <si>
    <t>…tenga el mas puntual cumplimiento. Madrid Situación de la Hacienda pública de España en Marzo de i8aa, y 5 de Junio de 182a. medios de mejorarla, por D. Josef López Juana Pinilla, intendente Junta general directiva de casas de moneda. efectivo de provincia, y tesorero general honorario. Se hallará á 9 rs. en El sábado 15 del corriente se pagará en esta casa nacional de mo rústica en la librería de Ranz y en la de Quirós. neda de nueve á una de la tarde…</t>
  </si>
  <si>
    <t>Jus</t>
  </si>
  <si>
    <t>…n salir , como lo ver.ficó, cn unioo con o(rM tulo siguiente son extensivas 1 loa militares qu* urca» en Ultramar, partidas de distintos batallones y la del egéreito permanente dé D. Jus y por tanto op’artn estos ai retiro conforme al incido que disfruten to Carreras, todo* al mando del captan de cgetciio D. Isidro Coil. A cn ci distrito en que sirvan. la media bora de su salida supo por un miliciano, que llegó herido, Art 9.a » Si alguno da…</t>
  </si>
  <si>
    <t>Jus-Í</t>
  </si>
  <si>
    <t>…ades, propias de los tiempos de la esclavi fi los departamentos del cuerpo. A su virtud se r¿un ó el juiaco en el tud é ignorancia. dia 31 del mes anterior, compuesto de los Sres. D. Jus-Í ce a V ga, Madrid Juren 19 dt Setiembre. D. Casimiro Sánchez , D. Joaquín de Odriraoia , L*. Angel V.igas, S. M. el Rey y SS. AA. continúan sin novedad en tu importante D. Clemente Máximo de la Torre, D. Ju'uan teme de .al..fatua, aalud. S. M. la Reina no ha…</t>
  </si>
  <si>
    <t>Justa</t>
  </si>
  <si>
    <t>…de la trivialidad; y segundo el de dar armas i la crítica. Para esforzar el modo de pensar contrario se huye del raciocinio, F,1 Rey , con presencia de 1* exposición &lt;ju« ha hecho Doña Justa cotí el prc xto de desechar las teorías , y se ap.ta i ia experiencia, ci González, viuda del primer teniente del primer b.itó'.on del iJ rrgi- tando hechos, y d ciendo, por egetnpio, que en casi t .dos los tugare* mirnto de Reales gu.ird.as de infant-ría ID.…</t>
  </si>
  <si>
    <t>Justicia, Mariano Zotal de Gracia y</t>
  </si>
  <si>
    <t>Mariano Zotal de Gracia y Justicia</t>
  </si>
  <si>
    <t>…D i Miguel Ripa, D. Antonio Regas, D. Valentín Ortigosa , D. Domin El Sr. secretario del Despacho de la Gobernación de Ultramar dice go Fernandez Angulo, D. Manuel Fstéban Caíala, D. Mariano Zotal de Gracia y Justicia dada el Real «¡tío de AranjuCz con fecha de nquin , D. Pió Santos, D. Francisco Travesedo y D. Pedro Matute. ayer lo que sigue: llab'da la conferencia, declararon por unanimidad haber lugar i n El Rey (qne Dios guarde) sigue con notable mejoría. S. M. la la f…</t>
  </si>
  <si>
    <t>Justo</t>
  </si>
  <si>
    <t>…a» ó mano» ai dictamen del Congre prat, Píetela, García Sosa , Méndez, Navarro ( D. Andrea), Solano?, go: jy qué nao ae ha hacho de otto! Si el Congreao nacional había-do- García (D. Justo), Lallave (D. Pablo) , Uraga , Mora , Apartado, clarado que «¡ere individuos no tenían la fuerza moral, «seria por ven Micbdena , Dd Rio , Fagoaga, Castoreña , Varga, Palarea , Quin tura el modo de dártela reducirlo» «olamente á crea, como ai eato» bo tana, F…</t>
  </si>
  <si>
    <t>…orrecer el vicio y amar la virtud, escrita en fras es combinar siempre la suma de sus gastos con la de sus rentas ciertas, ees por Lombardo de Langres, traducida al castellano por D. Justo y economizar en cada año una parte del producto de estas. Pastor Perez. Esta obrita está llena de máximas de moral y política, A p-sar de tan prudente conducta sus grandes empeños durante la sembradas en anécdotas interesantes y propias para deleitar instruye…</t>
  </si>
  <si>
    <t>Jutny</t>
  </si>
  <si>
    <t>…iruntrntos de lo* S« msndó pasar á la cornisón de Guerra.enemigos del csuma , pues por taus d.ben tenerse á los alborotadore* La comisión de Pf m o, , en vista de la exposición de D. Jutny causadores de semejantes sucesos 1 y los cuales tal vez sin saberlo ni Manuel Petera, en la cual como manda de la sra. marquesa de la</t>
  </si>
  <si>
    <t>Júuregui</t>
  </si>
  <si>
    <t>…aun.mas, los respetable* prela dictamen que se habia mandado volver á la comisión, opinaba que dos que hOy día hay ea el Congreso, acabadas 1M Cortes podrían- set h exposición del brigadier Júuregui debía remitirse al Gobierno para loa expelidos de España por un ministro servil ó de ideas contrarias i las afectos' que haya lugar. suyas. Si te aprobase esta ley, se aprobaría una ley de excepción contra Se leyó el voto particular de los Sres. Ramonet y Gir…</t>
  </si>
  <si>
    <t>Jvuradha</t>
  </si>
  <si>
    <t>…bierno griego se compone de seis ecle»iá»tic ss y de seis secula c usas las tropas europea»--- Por un decreto de la Regencia, fecha del res: ha sido nombrado presidente de ella el príncipe Jvuradha, ex h&lt;jí4, se prohíbe todo ascenso, y aun soiicitir.o, a lo» que trabajaron por podar de Valaquia , y vice-presidente su yerno el m.ncionado príncipe la ind pendenca hasta el premune ami :rito de ltú:bide; pero se excep Miguel Suzzo. El s.-nado griego hab.a e…</t>
  </si>
  <si>
    <t>K, Josef</t>
  </si>
  <si>
    <t>Josef K</t>
  </si>
  <si>
    <t>…larar si habia ó no lugar á la íu.macón de causa, y saíieion los señora siguientes: Por carta del mismo general Latorre, escrita en. Coro en 14 de Ene D. Josef Demetrio Rodríguez, D. Josef K.iitr, D. Antonio Dias ro último, se sabe que dicho general, después de haber mandado salir del Moral, D.Carlos Romeral, D. Mamerto Landaburu , D. Francisco de Puerto Cabello varias expediciones contra loa disidentes de Coste- Martínez Marina, D. Simón Gonza’e,…</t>
  </si>
  <si>
    <t>…s de excusado de las vicarias de Coin y Sr. D. Juan Paz, Sr. D. Aniceto Ltzana, Sr. D. Benito Ortega Roma Antequera en 1814; y persuadido S. M. de que no hay otro medio de nillos, Sr. D. Josef K yser, Sr. le. Marcos Izquierdo, Sr. D. Josef hacer efectivos los descubiertos que tanto necesita la Hacienda pública María Pu nte, Sr. D. Isidro Merino, y Sr. D. Pedro Alvaro Delgado. para satisfacer sus ind.spensablcs obligaciones, se ha servido conformar Ha…</t>
  </si>
  <si>
    <t>K, Manuel</t>
  </si>
  <si>
    <t>Manuel K</t>
  </si>
  <si>
    <t>…d: muerte. Mvnge 160. D. E. E. 160. D. T. P. río. D. I. Y iííj. D. Paulino No se puede atribuir el modo injurioso con que nos trata sino i un Mart n z 100. D. Jos.f Rodríguez 100. D. Manuel K.os fio. Don enconado resentimi. r.to, á no ser que cuando escribió esta apología se J'ran.- seo M.rtin-z fio. D. Vanuel Gunzaúz 80 D. Vicente de Vera acordase de ia América, y de las mvect vas que habría leído en algu 80. D. Juan Pcdto Morales 80. D. Joscf San…</t>
  </si>
  <si>
    <t>Ka-</t>
  </si>
  <si>
    <t>…Aljunta compuesta de seis seglares y seis eclesiásticos, y ha sido nombrado varez, Adán, González Alonso y Ruiz de la Vega. presidente de esta junta y del Gobierno provisional el príncipe Ka- En seguida quedó elegido el hr. Santafe por 81 votos de 115 , re radscha, antiguo h ospodar de la Valaquia. Este, que para salvar la vida peliéndose los restantes entre los Sres. Gómez Becerra, Arellano, tuvo que abandonar su capital hace alguno* años, en el día…</t>
  </si>
  <si>
    <t>Kadovanni, Nicolás Angelí</t>
  </si>
  <si>
    <t>Nicolás Angelí Kadovanni</t>
  </si>
  <si>
    <t>…nte dijo que pasado mañana te con 30 mrs. , duda liquidada de libre disposición sin intereses, á fuv r d: tinúan» Ja discusión pendiente , y levantó la sesión 4 las tres y cuarto. D. Nicolás Angelí Kadovanni,capitán de fragata de la aimads nación .1. Quien supiere ,u paradero se servir! avisarle 4 dicho señor , que vive Primer distrito militar. (Madrid.) Sin novedad. calle de la Montfra , rúm. 12 , cuarto 2 0 Extracto de noticias extranjeras. Historia del Derecho…</t>
  </si>
  <si>
    <t>Kaicó</t>
  </si>
  <si>
    <t>…fuese nominal. privar í un ciudadano de un drrecho cuando la Ly no tune otro ob Habiéndose procedido á esta fue desaprobado el dictamen de !a co jeto que el bien general; según el Sr. Kaicó no se podría adoptar hasta misión por 67 votos contra 64. que cada ciudadano digese que estaba en el ca,o de hacer esta renuncia. Los Sres. que le aprobaron fueron Infantes, O!¡ver . Salva, Saenz Yo tengo el derecho de salir de mi casa ¿ las i i de la noche,…</t>
  </si>
  <si>
    <t>Kanler, Mariano</t>
  </si>
  <si>
    <t>Mariano Kanler</t>
  </si>
  <si>
    <t>…ocuran envene niente D. Felipe Caballero, id. D. Pedro Polero, id. D. Josef Marín. nar nuestra sociedad , los qu - han ocasionado tartos desastres en ais-u Del de Toledo. Teniente D. Mariano Kanler. nos di nu stros distritos, los qu: seme.anr:sá .as heñís llevan su rabia Nota. Todos los dichos K proponían ouua, cu tUpsla por Di/ona. carnicera hasta ios sepulcros . los que profesan el robo, la crueldad, el Del de Valencia. Teniente D. Juan Quesada, cadet…</t>
  </si>
  <si>
    <t>Karadscha</t>
  </si>
  <si>
    <t>…. Luego que se hizo la elección salió de Missolongi un buque ar Se eligió al Sr. Arguelles por 93 votos de 117, recayendo los res mado con dirección á Liorna, donde debe hallar al príncipe Karadscha tantes entre los Sres. Gómez Becerra, Villanueva, Marchámalo, Gon y á su yerno el príncipe Suzzo, antiguo hospodar de Moldavia, cuyo zález Alonso y Soria. regreso i la Motea de vuelta de Rusia se espera con la mayor impa Lo fue después el Sr. Florez Calderón,…</t>
  </si>
  <si>
    <t>Karros, Manuel</t>
  </si>
  <si>
    <t>Manuel Karros</t>
  </si>
  <si>
    <t>…ues •ría columna de m. mando se compone de ¡as partidas siguientes: ta «le toda la tropa de ini cuerpo; la de la izquierda al del teniente co Gerona, ai mando de: capitán graduado D. Manuel Karros, Fernan ronel D. J -aqu.n Vara de Key con los destacamentos de Valenca y do vii, al d-l teniente D Bario,orne Aparicio y dei suhren.e.-.te D An Extremadura, quedando la caballería con su comandante para acudir tonio Val sera; Aslúr a», al mando ce' t.ni.cte D…</t>
  </si>
  <si>
    <t>Kavax, Justo</t>
  </si>
  <si>
    <t>Justo Kavax</t>
  </si>
  <si>
    <t>…puesta de cinco individuos, que son D. Fiancis.o d.i K y, coronel de il ce tu stro vtf.iciz-', y ia md.cia nacutra! voluntaria de Guada 'aura la milicia vo untaría de esta ciudad, D. Justo Kavax , comandante de de ambas armas, inacopad» oc gozo, y cntusic-nada por vu »tro vaicr, uno de sus botal ones, D. Lur.nzn .pañol , abogado y cal.-úratico de t» tr bula su aúmirac or. y so r.-onoc.ot.e’. t •. Vue-tro noh'r » s; mConstitución, tr idor.s tos tres d…</t>
  </si>
  <si>
    <t>Ke, Antonio</t>
  </si>
  <si>
    <t>Antonio Ke</t>
  </si>
  <si>
    <t>…ro; D. Antón o Seoíne; D. Manujl Esteban Catal &gt; ; D. Cavtniro á 18 rs. El autor avisa i los libreros de las provincias que si gustan Martin; D. Mat as Casero , D. Ramón l.lord, y D. Antonio Ke^as. comprar ejemplares por mayor y venderlos de su cuenta, se les hará la Habida la conferencia, resultó por unanimidad haber lugar á la fornica rebata de a o por 100. ción de causa. aV/«.». En la gaceta del 14, col. j.1, lín. 47 y 48, donde dice » qoa ducado…</t>
  </si>
  <si>
    <t>Keene, Ricardo Rainal</t>
  </si>
  <si>
    <t>Ricardo Rainal Keene</t>
  </si>
  <si>
    <t>tonel D. Ricardo Rainal Keene para la devolución de Toa 13,309 psrtiéndose entre ellos, y obligándoseles 4 pegar na canoa anual de un peso» fuertes que perdió á causa de su prisión incomunicada á princi a por 190 sobre el valor que tengan.” Aprobado. pios del afio de 1820 , por motivos qu…</t>
  </si>
  <si>
    <t>Keent, Ricardo Re.r.iMo</t>
  </si>
  <si>
    <t>Ricardo Re.r.iMo Keent</t>
  </si>
  <si>
    <t>…» provincia», para que se les tenga en consideración lo» año» de yo motivo pedían se completase el número de oficiales que faltaban al servíc o. A ia d; Ultramar una exposición de D. Ricardo Re.r.iMo Keent, regimiento. A la de Premios se mandaron pasar dos exposiciones: una de la en li que reclamaba contra varios procedim entos aibitri- o» d i exviuda del teniente coronel D. Antonio Gómez, haciendo presentes los ntiCistro de la Gob rnacion de Ultramar D Ramón L…</t>
  </si>
  <si>
    <t>Keieer, Josef</t>
  </si>
  <si>
    <t>Josef Keieer</t>
  </si>
  <si>
    <t>…’.uaga, 4 fin de que concurran 4 la pre ca , D. Valentín Nicolás , D. Antonio Quiroga, D. Andrés Navarro sencia de S. S. en su audiencia en el preciso término de seis dias 4 eva y D. Josef Keieer. cuar cierta diligencia acordada 4 instancia del marido de la primera; con Reunido el jurado y habida le conferencia, se declaró por unanimi apercibimiento que de no hacerlo les parará el perjuicio que haya lugar. dad no haber lugar 4 la formación de causa. S…</t>
  </si>
  <si>
    <t>Keith, G.</t>
  </si>
  <si>
    <t>G. Keith</t>
  </si>
  <si>
    <t>…apital, no menos de r.che corrido acerca de su próxima reposición. que de día. Después de las satisfactorias expiraciones dadas per el __ge ha celebrado una junta presidida por el caballero G. Keith , pa behah de Persia al Gran Señor, habían perdido mucho crédito los ra tratar de la formación de una sociedad intitulada de Misioneros para rumores de guerra con los persas. Por otra parte se debe tener prcser.ií Lóndres y sus alrededores. En el discurso de…</t>
  </si>
  <si>
    <t>Kernando</t>
  </si>
  <si>
    <t>…as, de cuaquie a case y dignidad, que guarden y hagan guardar, El Rey ha expedido el decreto siguiente-. . . cumplir y egseutar el pres ote d er to en todas sus partes. Tendreisio D. Kernando vil por la gracia de Dio* y por la Constitución de entendido, y dispondréis 10 conveniente para su cumplimiento. sRu-la Monarquía española , Rey de las Espatos , a todos los que las pre bricado de la Real mano=En Aranjuez á 16 de Mayo de i8zz.es Asentes viere…</t>
  </si>
  <si>
    <t>Kibalta, Manuel</t>
  </si>
  <si>
    <t>Manuel Kibalta</t>
  </si>
  <si>
    <t>…dio y resentimiento se dirigirá contra el préstamos, libradas por la contaduría principal de Cataluña fi favor intrnd-nt- , sm mas motivo que el d- que la cantidad perdonada no de D. Manuel Kibalta, Ramón y Josef Nadal , Eulalia Jorriana y i-é tanta como el pueb o úabra ya quizas consentido. Por estas razone* Mari ano Puigpelat, reconocida! por el Crédito público balo los núme qui-re -i. M. que por ese min Meno s- inande observar exactamente el ros 33.5…</t>
  </si>
  <si>
    <t>Kindelan, Sebastian</t>
  </si>
  <si>
    <t>Sebastian Kindelan</t>
  </si>
  <si>
    <t>…eemi Idtm 19—En la orden de la plsza da á reconocer el Sr. Mahy por nente cual corresponde á la sublimidad y grandeza del objeto. Estad se capitán general interino de esta isla al brigadier D. Sebastian Kindelan, guros que mientras exista Espada por la Constitución , J mientra» noa subinspector general de las tropa», y gefe superior político de la provin gobierne el Rey por la Constitución, debe existir y reinar absoluta cia, con motivo de los males que impiden al re…</t>
  </si>
  <si>
    <t>Kivas, Juan González de</t>
  </si>
  <si>
    <t>Juan González de Kivas</t>
  </si>
  <si>
    <t>…o, Cortés, Betda, Soria, Garoz, bre último, bajo «leí nombre del Sr. ex-diputado D. Josef Moreno Gom z (D. Manuel), García, Valdés ( D. Dionisio), Sotos, To Guerra, denunciado por D. Juan González de Kivas, cónsul de Es mas, A varez Gutiérrez , Isturiz, Grases, Zulueta , Abren, Muro, paña en Gibraltar. Declararon por unanimidad abstulto á tu autor. Atienta, Cano, Guevara, Galiano, Alia , Surra,.Melendez, Santa- ANUNCIOS. te, NuVz(D. Toribio), Marau, Romero, Agu…</t>
  </si>
  <si>
    <t>Knttea</t>
  </si>
  <si>
    <t>…e de tfitetajaeobo Gd de Avalla/** d drl gtfa político qna a gabera ha «modo disteis» Ja patrie d d*a Mémrtm 14dt Nnüwhi. de gloríe qm ya estoy gortísde roo vosotros. El intrépido brigadier Knttea, tabea batid» d p Nsda me erradla coa taks prese atuairuio»; yímna n</t>
  </si>
  <si>
    <t>Kogniat</t>
  </si>
  <si>
    <t>…primera distribución de las tropas hecha muy aceleradamente no sión no le falta para concluirla definitivamente sino solo ios tres citado» podía menos de tener muchos defectos. El barón Kogniat ha indicado números.</t>
  </si>
  <si>
    <t>Koig</t>
  </si>
  <si>
    <t>…o. Domingo de la Calzada , y maestro de Se mandó pasar á la comisión de Diputaciones provinciales otra capilla de aquella catedral, pidiendo que el cabilda le pagase su sueldo del Sr. Koig, sobre franquicia del puerto de Mabon. en virtud de haber obtenido su p'aza por oposición, opinaba que cite Se mandó pasar á la comisión de Comercio otra del Sr. Cuevas, interesado debía entablar la demanda en el tribunal competente. para que se disminuyan lo…</t>
  </si>
  <si>
    <t>Konacro</t>
  </si>
  <si>
    <t>…uwcia de Madud y v. aii; v . .1 a*rc *•»:*_:. 4 ...» pero en este caso creo que debv» d.»íflii ir d; es;; traum eaio ta» mu enemigos del % «t-ma. geres de estos. Ki br. Utuiiz. Lí Sr. Konacro ha .a oóí-; &lt; n en -u r t Se declaró este asunto suficientem-nte discutido , y quedó aprobado ío punto de vota El N". prck p.: ' ' o. o v \ .: = r ... ^ 4 el artículo. Cireun&gt;iancia&gt; q».e s. brevm íjob i. u • N'ío.- t.,v .-r* . ¡i ; &lt; j* Se aprobaron igualmen…</t>
  </si>
  <si>
    <t>Konrhvla, Joaquín</t>
  </si>
  <si>
    <t>Joaquín Konrhvla</t>
  </si>
  <si>
    <t>…ara da habilitando interinamente para que se encargue del D-spicho de los R v, subteniente Joief Tr.wano , s.irs-rt v pr m.-:o F as .'u;:.-7, sar negocios de aquells secretaría á D. Joaquín Konrhvla. T n-ir-ísio en gento segundo Josef Crespo , cap un jo. 1 A aves, sarj*110 sfviirla tendido, y dispondréis lo necesario á su cumplimiento.=En palacio á 7 Maic-lioo Bravo, satg-.r.lr» s*. un. 1’c cual Pavón , subrenierte Vi de Julio de 1811.” cente Díaz linone…</t>
  </si>
  <si>
    <t>Kosacoiv</t>
  </si>
  <si>
    <t>…cedida por las Cortes, y que res El Austria ha contratado un nuevo empréstito de 35 malones de pecto de S. Sebastian sr había habí itado por ratón de la concurrencia florines__"II conde Kosacoiv , oficial del estado may .r d.l Empera que tiene de buqu s americam s, a causa del recargo impuesto por loa dor Alejandro, ha pasado por Vrena , dirigiéndose á toda priesa á Ña franceses á los bnqu-s de los Estados Unidos. póles , y encargado de una comisión…</t>
  </si>
  <si>
    <t>Koset</t>
  </si>
  <si>
    <t>…cesidad que sostienen ios que hasta cierto punto pueden tener las reflexione* que se hin hecho consulados. por algunos señores sobre la aplicación ds estos fondos, din embargo, El Sr. Koset: Varias han sido las objeciones que se han hecho al vo creo que estas atenciones no deben corresponder í los con,ulados dictamen de la comí,10.o. El Sr. Romero ha cierno qus r.iocuo d rebajo el sistema constitucional; y si ahora subsisten asi, deberán dejar d…</t>
  </si>
  <si>
    <t>Kotten</t>
  </si>
  <si>
    <t>…conaervar los mora __Hoy hemos recibido también periódicos de Barcelona, y alcanzan dores en el pu-blo agregado , sin comunicarlos i los del otro pueblo á hasu el 7 inclusive. Ei brigadier Kotten desde Bcrga con fecha del 18 que se agregue. participa haber ocupado aquel.a ciudad en la tarde de! mismo día, ha Deipues de una ligera discusión qflrdó aprobado, excepto la últi biendo huido vergonzosamente los 400 facciosos que había dentro á lat ma parte,…</t>
  </si>
  <si>
    <t>Kraaeuaurn</t>
  </si>
  <si>
    <t>…221 rs. y 7 mrs.—La de Fr. Juan «le hacían loe sedarte respondían con el grito: eh! eh! que según conjetu Ktsus María 76 rs—La del P- procurad r de Irlanda 440 rs. 7 10 mrs; ró el capitán Kraaeuaurn, quería decir: aquititoy, peto un vocabula j—la de D. Ignacio Buenvecino 575 rs. 7 6 mrs__ La «le los herederos rio japonés fnc indina 4 creer que aquella voz no era otra cosa que la it D. Antonio Lozano 63 rs. 7 9 mrs—La «le Dofia Bernarda de palabra W, tan…</t>
  </si>
  <si>
    <t>Krasenstern</t>
  </si>
  <si>
    <t>…—La de D. Juan de Soto y Aguila» 1Ó3 tes pertenecían 4 alguna tribu poco temible de u Siberia; pero 4 la lle ri»y 11 mri.__La de D. Martín Martínez da Pmillos 48 rs. 74 magada,del capitán Krasenstern con dos buques de guerra de bastante t¿7e&lt;iijra—La de D. Andrea Doval _,8&lt;» rt&lt;- 7 4 mrs__ La representa magnitud, sabían sin duda loa japoneses., ya porque lo habían leído ción de los heredero* de D. Valentín banchez Boado 149a rs. y 2 en alguna geografia eu…</t>
  </si>
  <si>
    <t>Krlcbs, Jnsff</t>
  </si>
  <si>
    <t>Jnsff Krlcbs</t>
  </si>
  <si>
    <t>…quistador francés, sino de a!- nandez ViHámil Fin-ron ixaminarlos en ari-métlca D. Ans.dmo Mr re gun otro cor.qu stador extranjero.” íos , I&gt;. Dominen Jiménez, D. Sibastian Irnri, D. Jnsff Krlcbs, Don No ve sih - si el gran du jue Constantino tendrá el mando de toda» Josrf Ntiñez, D Jnjqu n Ferrrr . D Juan Diez Valentín , D. Fer las fu-r/ .s &lt;|ii ■ hay en las provi .-..ias fronterizas de Turquía , por h.i!&gt;-r nando Koilr'gu-z ó : .av Ca-as, D. Joaquín…</t>
  </si>
  <si>
    <t>Kruse-</t>
  </si>
  <si>
    <t>…gar de lord Stewart) por la Gran-Bretafia, Mr. deCaraman por » La frecuencia de cieru especie de delitos, y les contravenciones la Francia, y el principe de Hatxfeld (en lugar d*V general Kruse- que diariamente cometen en esta grande y populosa ciudad algunos marek ) por la Prusia. Se aguarda de un dia á otro la llegada de lord hombres que excitan los desórdenes públicos para aprovecharse de Stewart á Viena- el duque de Wellington asistirá también ai…</t>
  </si>
  <si>
    <t>Krusenstcrn</t>
  </si>
  <si>
    <t>…vario* buques americano* han visi 55173 D«tíw ée- las n 10* qai han de pagar lo* tad© su isla, no te ha vuelto á oír hablar de él. ' cacao* tMÍdot de ( 1 infle* Silvia. (Garda El capitán Krusenstcrn , fastidiado con mucha razón de les espantodtl n-&gt; ras costumbre» de lo* nnkahiviano*, no podía ser ya un admirado* Decreto de las C ¡*las Canaria* , y provi- ciego de ningún pueblo agreste, y por consiguiente merece una gran dcnci** iaterinas pan i alrl z¿.)…</t>
  </si>
  <si>
    <t>Krusenstern</t>
  </si>
  <si>
    <t>…y de buenos medicamentos son en el día unos póncipios tan un: • público. versairr.ente admitidos, que no hacemos mención de ellos sino para ob Ei viage al rededor del mundo por el capitán Krusenstern debe servar cuanto incomoda á cierta clase de aficionados á las relación s de considerarse bajo dos puntos de vista diferentes, y que son uno y otro viagís tsie método de viajar. Estos aficionados creen que van á ver al igualmente honoríficos á este célebre m…</t>
  </si>
  <si>
    <t>Kscovedo</t>
  </si>
  <si>
    <t>…os que se ha.tan presentes , muy nacional por ¡os suceso» del 7 de Ju io , h-b codo ex,mir.ado"íj adi desfigurado y cubierto d. sudor, y al apearse delante del ayuntamien ción del Sr. Kscovedo al m.smo proyecto, se c.r.formaba con ei 1 , y to de Madrid recibió aplausos repetidos del pucbto y de la benemérita opiraba podía aprobarse. E&gt;ta adición era a siguirnts: - D bienio «:r milicia nac'onal. ■ 1 día r.u de Enero uno de los mas ont.b s en tus fal…</t>
  </si>
  <si>
    <t>Kstan</t>
  </si>
  <si>
    <t>…anuel), Jiménez, Santafe, Romero, Prmera parte : » Que se exija la responsabilidad al secretario de la Aguirre, Sangenis, Jaime, Soria, López Cuevas, A varez. Vega, Guerra que fue D. Kstan slao Sánchez Salvad ir.” Fue aprobada por Marau, Lilio, Serrano , Meca, Surra, Villavi-ja , Fuente del Rio, 69 votos contra g&gt;. Los "&gt;res. que la aprobaron fueron: Infante, Olí- Castejon, Adan, Calderón, Baño, Arellano, Alcántara, Becerra , Ovaver, Salva , Pr…</t>
  </si>
  <si>
    <t>Ku</t>
  </si>
  <si>
    <t>…lo adicional contra las personas que hayan rein que s- aprobase el dictamen de la comisión en esta parte. cidido , hablando siempre con ellas , y no con los pueblo*.- por lo de El Sr. Ku z de la Vega; La comisión se ha visto precisada á pro mas creo que los señoreé de la comisión deben retirar esta parte de su poner m-d das que ó nada signifiquen, por ser de aquellas que están ya dictamen. experimenta las, y cuyo resultado no ha correspondido…</t>
  </si>
  <si>
    <t>Kubiano, Andrés</t>
  </si>
  <si>
    <t>Andrés Kubiano</t>
  </si>
  <si>
    <t>…os. Del mismo modo pagará la, fiscal de la auditoría de guerra—D. Miguel de Castciis, magistrado V. á 1a tropa destinada a esta comrs.on el rancho de mañana, y un de la audiencia._D. Andrés Kubiano, secretario del g--fc po.itIco.__ par de alpargatas per p.aza. D. Pablo Miranda, brigadier y coronel del primer regimiento de .1;ti E.tas p uvidmc.a» me obliga á tomar el escandaloso proceder de lle ría._D. Mariano Granado», comandante del presid.o de la ciud…</t>
  </si>
  <si>
    <t>Kuiz</t>
  </si>
  <si>
    <t>…cas pa'abras á decir a frusto tal cosat se reproducía , sino solo una simple aclaración del citado artículo. y me opongo A ella, deteniendo al Congreso ea el examen de la condi El Sr. Kuiz de la Vega: Si el dictamen de la comisión tiene en su ción que se le pre ponía que igualmente era inadmisible, por cuarto favor no so'o el de lat mismas Cortes autoras del decreto de cuya inter proponía la derogación de las leyes de incorporación y reversión…</t>
  </si>
  <si>
    <t>…ieron las primeras el Gobierno h zo io qua miento de las disposiciones anteriores. debía hacer, y dirigió inmediatamente un :xpt;so á las autoridades do Hay un voto particular del Sr. Kuiz de la Vega. Valen.ia: se mandaron ordenes para que las tropas qu: iban á CitaiuSe p eguntó si se imprimiría el dictamen de la comisión; y al se fia se d tuviesen : se lomaron otras medidas; y útirn.m.nte se encar ñor Galiano se opuso á que se imptimiese, dici…</t>
  </si>
  <si>
    <t>…ba S. S, que hallándonos en las circunstancias mas ex ser reconvenido si obraba, y también si no obraba. traordinarias , debíamos salir de los medios comunes ,y que si podía pa El Sr. Kuiz de la Vega cijo que la basa que debía dirigir al Go recer injusto el tomar medidas enérgicas contra los obispos cuando es bierno era la conzemencia fubV.ca. tuviese consolidado el sistema, no lo era de ningún modo el lomarlas Habiéndote: declarado esta medida…</t>
  </si>
  <si>
    <t>…s, sino ticase por individuos del Congreso , y la comisión que se haga por las sobre el consejo de Estado. personas que nombre el Gobierno; jr esforzando por último las observa El Sr. Kuiz de la Vega: Al tomar la defensa d;t dictamen de la ciones del &gt;r. Viilaboa, concluyendo que según el espíritu de ia Cons comisión en el presente artículo, no entraré en el pormenor de todas titución y del reglamento no podían las Cortes ocuparse de este asunt…</t>
  </si>
  <si>
    <t>Kukht, Fernando</t>
  </si>
  <si>
    <t>Fernando Kukht</t>
  </si>
  <si>
    <t>I 1C9SP*r*e dada por el teniente corvnel D. Fernando Kukht, comandante de a M. K. V. y el escuadrón de caballería en el paseo del Salón, y haIm columna móvil dt ¡m provincia de Castellón, biendo teco&lt;rido las filas el ¡sr. gefe políitico , acompañado de lo* al m Ezcmo. Si.: Tengo la satisfacción de ntnifctur á V. E.…</t>
  </si>
  <si>
    <t>L'overa, Esteban</t>
  </si>
  <si>
    <t>Esteban L'overa</t>
  </si>
  <si>
    <t>…á I* junta expresada el ref.ri/io día. Zamora 15 de Mayo de i8»i.=Atjto- El gjf_- pol't co de Gerona comunica al Gobierno con fecha del uio Gómez de la Torre. ao !r que sime : El brigadier D. Esteban L'overa, comandante de las tropas desti nadas en esta provincia á la persecución de face.osos, con fecha de Juicio de jurados. ayer desde Be.aiú me dice lo que copio. Habiéndose denunciado al Sr. alcalde constitucional D. Rodrigo ” Sol c oso de que la nunurosa gavill…</t>
  </si>
  <si>
    <t>L, Do</t>
  </si>
  <si>
    <t>Do L</t>
  </si>
  <si>
    <t>…llenado de leña los patios de la nra , de la dei coman Lo que trasiado i V. S. pura su satisfacción y la de! pfib'ico. dante de caballería D- Joaquín Gucnduiain, v de. voluntario D. Do L&gt; os guarde á V. S. muchos años. Zaragoza 18 de Agosto de mingo Aguitre. Asimismo que el ayuntamiento pleno te estaba d »te 182 a.— Antonio Reman Zarco del Valle.u;señor gefe político de es niendo parí morir , y varios cañon eos Cur.f.sando á los reeider;» ; v…</t>
  </si>
  <si>
    <t>L, Jaime</t>
  </si>
  <si>
    <t>Jaime L</t>
  </si>
  <si>
    <t>…. Las costas del proceso se cargaron al denunciador. J). Bunifac o -Vmori'is y Orozco ; pura el d: Omafia , en la prov ncia ds Señores que compusieron el juradoi D. Juar de Valle; D. Jaime L on , í D. Jo.ef Suar z Cu-nilas , y para el de L unes, en la de Astu Bmaña; D. Ramón Díaz de Ortegaí D- Josef Mortero de Vizodit; rias, a D. Gonzalo Valdet Posada. D. Fe ix Illas; D. Francisco Soler; D. Ma.ln Coro mi ñas: D. Francis co Subirachs; D. Salvador…</t>
  </si>
  <si>
    <t>L, Jos.í</t>
  </si>
  <si>
    <t>Jos.í L</t>
  </si>
  <si>
    <t>…ltaneisco, Liend.ras , preterida por otra de restira de la -xprexda m). a , v de donde se erig.o un tablado, en que estaban las autoridades y curas pár igual número, a mando de su capitán D. Jos.í L s para que ios ataca rocos. \ la hora en qu; d.bian sacar ia suerte los encantarados ccmen- sen y aun los desalojasen de aqu.ola í im.Jib c a'tura , qu - flanquee por zi’on . o ís. gritos, pidiendo la traslación al teatro. En vano los re mi dcre.ha con otra a…</t>
  </si>
  <si>
    <t>L, Juan</t>
  </si>
  <si>
    <t>Juan L</t>
  </si>
  <si>
    <t>…intaniUa; en clase ele ción de cauta por cinco votos , habu ndo opinado que st cuatro , qu* interinos á D. Juan Tomas de Silva para la de moral y de derecho son D. Pascual Claris, D. Juan L!adó, D. Benito Plandolit y D. Ma natural, á Tomas Martínez Hortal para la de lógica y pramátea gene cario Riu. Barcelona 17 de Agosto de iSia.sJosef Angias.-li.— Maca ral , d-b endo encargarse ademas de la bibliot-ca/. á D Juan Ortiz rio Riu.eeRafa l María Co…</t>
  </si>
  <si>
    <t>L, Juan Antonio</t>
  </si>
  <si>
    <t>Juan Antonio L</t>
  </si>
  <si>
    <t>…fecto que sí debe La misma, habiendo examinado la soluitud de Jntn Martínez, ve- profesar á c-.le batallón han hecho una proposición, a ¿ir. de que Us cfiio de Almansa , contra el alcalde Juan Antonio L&gt;p:z, o ,r lub-rle Cutís se ocupen en dar otra prueba mas de afecto i -;;u tropa ‘-•.r.etenido preso cuatro día. sin recibirle declaración ; y a,un un &lt; contra el rnér.ta. Las Cortes han decretado que se nombre una comisión; ¡,.r&gt; juez de primera instancia de…</t>
  </si>
  <si>
    <t>L-nares, Josef</t>
  </si>
  <si>
    <t>Josef L-nares</t>
  </si>
  <si>
    <t>…, seis caballos con Sw. que declararon haber lugar: D. Francisco de Paule de Gar monturas (uno de ellos el que montaba si faccioso Ramb a), seis fusi man , el conde de la Purb'a , D. Josef L-nares , D. Manuel Mariano les, 34 escopetas, seis sib' s y todos los bagages con v,reres; púdico* Doral, D. Josef Fernandez Guerra y D- Jotef Fustes. do aseguras- que si no hub&gt;era sido por la oscuridad de is noche , hu Sres. que d-clararon no haber lugar: D. Manue…</t>
  </si>
  <si>
    <t>L-r</t>
  </si>
  <si>
    <t>…fronterizas de Turquía , por h.i!&gt;-r nando Koilr'gu-z ó : .av Ca-as, D. Joaquín Soinnza, D. Isidoro Sar sido r.i.nih 1 lo comandan! - g-n-n! de todas las tropo situadas en Li jas, D. L-r ro G--liza --z, D l&gt;:-ro -\ ’d- Ain-aga, P }t-murrio tuana. 01 3,&lt; luere , como es de ..r.siimr , lambí rr estaría hijo su, nr- B&lt;1 año, |». l.-n.i. I &gt; M I .-»•&lt;!» y D. (Vivió P-r rr Tapa. Fn a'zebra el rt n -s el e.-ct. t 1 d.-l Mediodía d . conde Wilt.viis…</t>
  </si>
  <si>
    <t>L-ulare</t>
  </si>
  <si>
    <t>…e 'as f br ,.as s; ! an mai.if sta o , n sub evac , n__Un pfai r.-un rse t-. *0 -¡ a-,, un meniui j. r.od Sti n. les pul) lea una prooanvi , tm f cha ni lugar, de |,.» pati Io E-‘ Sr. L-ulare . coi t -I 1 ij.ie s., ir.pr— era v-nti¡o n s Im r e roí da tas ita ,at,os , do.. .da . los .1 Ssrndi rtrs d- B uto y de ilasm, ir.v los pu h &lt;&gt;. . I uh-r 1 nía 1, que sc celebraba ayuntamiento pata ia t-ndolos T-mrrir c as a-ir.s pira xtermi-ar - ¡os • xtran…</t>
  </si>
  <si>
    <t>Lá, Juan</t>
  </si>
  <si>
    <t>Juan Lá</t>
  </si>
  <si>
    <t>…corre, con 1) Manuel López M1I0, presbítero que fue mau.f su- al Gobierno lo que quieren. Un escrito se lee ó no se lee; de la misma , y heredero fideicomisario del de igual ciase D. Juan Lá se hace caso de él , ó se tira debajo de la mesa. Bien sabrán esto lo* zaro Galan sobre validación de la disposición testamentaria de este , en otomanos, y por tanto tienen otro estilo mas enérgico , y tan bárba loa que por resultar ei fallecimiento de dicho…</t>
  </si>
  <si>
    <t>La-</t>
  </si>
  <si>
    <t>…o por 74 de 103, el Sr. García Domenech por 68 de algún ataque para usurpar terreno; y como el asunto de que se trataba 98 , &gt;r. Marau por 78 de 93 , el sr. Luque por 70 de 96, el Sr. La- estaba bien marcado en la Constitución, eran estos los motivos que le gssea por 69 de 97 , d Sr. Lilio por 69 de 96 , el Sr. Canga Argitelle* habían animado á él y á sus compañeros pira hacer esta proposición, por 73 de 94 , el Sr. Mur6 por 69 de 93, *1 Sr. G…</t>
  </si>
  <si>
    <t>…e; en su consecuencia se veía obligado i mani canías de Madrid se insulta á la Constitución, sin que se vean castigos: festar á las Cortes que ¿1 no presidió este consejo, sino el general La- permítaseme esta pequeña digresión como un efecto de mi buen zeio. pella , y solo interrino como defensor del que se suponía reo , y probó El tribunal de Guerra y Marina no siguió en la sustanciaron de que ao habia delincuente ni delito. Ademas dijo que este…</t>
  </si>
  <si>
    <t>La-, Josef Ignacio</t>
  </si>
  <si>
    <t>Josef Ignacio La-</t>
  </si>
  <si>
    <t>…salieron de Veracruz el 15, sin haber aun parecido el Hcr- no puede expresarse de otro modo la voluntad general , lo que si se ve e lites, que salió el mismo dia, en el que vienen D. Josef Ignacio La- rificaba en estas sin necesidad de compromisarios. torre con su familia y otros varios individuos de aquel comercio, i El Sr. Zulueta contestó que la experiencia había mostrado que no resultas de Jas desagradables noticias allí recibidas de Mégico, donde care…</t>
  </si>
  <si>
    <t>La-, Juan</t>
  </si>
  <si>
    <t>Juan La-</t>
  </si>
  <si>
    <t>…ordará , y concluye para nada , denunciado por rl doctor Nota. En la gaceta d«L 6 , col. 7.a, lín. 64,donde dice en la cual, D. Salvador Gota.be»; en cuya virtud 1* ley absolvió á D. Juan La- léase tn ¡o cual. EN LA IMPRENTA NACIONAL</t>
  </si>
  <si>
    <t>La-, Pedro Nolasco</t>
  </si>
  <si>
    <t>Pedro Nolasco La-</t>
  </si>
  <si>
    <t>…dictamenD. Cristo-con desa,l8aa.=shabiendoVicentedisentidoAleño,D. JoaquínAgustín Jaunwandieu,Busques. BarcelonaJaime 11Bosch,de JunioFé trajo D. Mariano Espafiol y de los Hoyos y D. Pedro Nolasco La- lix lilla, Felipe Bertrán y Ros, Josef F.oiats, Erasmo de Janer y de Gomosa, Joaquín Busquet», y Mariano Esteve y Montó. ANUNCIOS. El promotor fiscal del juzgado primero de primera instancia de Deseando loa albaceai 7 egecutores testamentarios del difunto Don…</t>
  </si>
  <si>
    <t>La-Madrid</t>
  </si>
  <si>
    <t>…uyo motivo opinó que sobre esto se debía man inmediatamente no lo recoja y proceda coaua el cu.pable , -uú.rio una dar volver i la comisión. multa de 30 á 600 dú os " Aprobado. El Sr. La-Madrid dijo que este asunto, considerado bajo cualquier El Sr. Calatrava ley ó las observa...mes que se hacian por el tribunal punto de vista, era interesante, de mucha trascend.ncia, y tan obvio de Ordenes, el Ateneo , D. Pedro Pacheco y la ua.rersidad de Za como s…</t>
  </si>
  <si>
    <t>La-Madrid, Tomas</t>
  </si>
  <si>
    <t>Tomas La-Madrid</t>
  </si>
  <si>
    <t>…s de los Sexta clase. Gramática y ortografía castellana, i cargo de dicho esp-culadorts exi,e que la guerra aparezca lejana, y de poca importan Garriga. Premio á Castro. Acetsit a D. Tomas La-Madrid cia las victorias .íe los griegos. Este es el origen de tantas noticias con Séptima ciase. Lengua fratutsa , á careo de D. Juan Ribera. Pufo re‘ac:on al ultimátum del Gabinete ruso; y aunque al día siguiente se mió i D. Francisco Ana. Accésit á D. Jacinto Mad…</t>
  </si>
  <si>
    <t>La-Torre, Eugenio de</t>
  </si>
  <si>
    <t>Eugenio de La-Torre</t>
  </si>
  <si>
    <t>…ones phitosophicae et mathcmaticae: dos nez de Enciso, D. Josef Fermín de Jáuregui , D. Joaquín Henriquez tomos 8 ° marquilla, á *8 rs. en papel y 38 en pasta.__Idem, de studiis y D. Eugenio de La-Torre , declararon haber lugar a formación dt philosophicis et mathzmatícis: un tomo 8.° marquilla, 9 1*. en papel cauta contra el autor de las páginas 167 y 168 dei número 11 del pe y a o en rústica. ( Se continuará, j riódico titulado el Martillo malagueño de 31…</t>
  </si>
  <si>
    <t>Lábaro, Josef</t>
  </si>
  <si>
    <t>Josef Lábaro</t>
  </si>
  <si>
    <t>…la Rema, y la d.-l comandante accidental del a.J batai on de Jíuregui al gefe político de ista provincia en carta patllcu.ar que coaOrdenes Militares, &lt;1 teniente coronel graduado D. Josef Lábaro, que tune los parralos siguientes: se compone de otros 140 hombres del citado batallón. » Sangüesa t8 de Julio de 1821. Ayer llegue á la villa de A.bar » hiendo vuestra dirección para Lada, según quedamos confo-m'i y hoy 1 esta duda-i sin que hubiese ocurr do…</t>
  </si>
  <si>
    <t>Labastida, Josef</t>
  </si>
  <si>
    <t>Josef Labastida</t>
  </si>
  <si>
    <t>…ar el mérito qus han contraído estos valientes, sin excluir al los coroneles D. Claudio Coig y Mace y O. Fernando fiada, que te ha subteniente del segundo regimiento de artillería D. Josef Labastida, llaban con los faccioso*. que con *o artilleros ocupaba la Casa-fuerte, y antes y después de ren Idem y. dirse dió las mayores pruebes de valor y constancia, sin que ninguno Deseando nuestro Exento, ayuntamiento Jtacrr una demostración de loa individuos del…</t>
  </si>
  <si>
    <t>Labastida, Manuel</t>
  </si>
  <si>
    <t>Manuel Labastida</t>
  </si>
  <si>
    <t>…toda costa, i cuya quín Cadena, I). HemeterioTtúrbide.D. JuanRubroy Mayora.D. Joa consecuencia marchaban todas las guarniciones; y la de Cartagena , que quín Sotomayoré Itúrbido, D. Manuel Labastida, D. Manuel Quíntanar, se resistía a salir porque no le pagaban,quedó reducida á 300 hombres. D. Juan Guerra Manzanares, D. Juan Amable y Guerra , D. Agustín Desde Po payan i Cartagena no se Encuentra un soldado, y el pueb'o Castillejo, D. Josef María Va'dobin…</t>
  </si>
  <si>
    <t>Labiano, Juana Francisca de</t>
  </si>
  <si>
    <t>Juana Francisca de Labiano</t>
  </si>
  <si>
    <t>…ntaron los facciosos en la ta causa de la Nación, cupo en la suerte del primer extracto de la barca de Caspe; después de algún tiroteo con una avanzada se retiraron, de este dia á Doña Juana Francisca de Labiano, hija de D. Fiancisco, y no se presentaron hasta el amanecer del dia siguiente: desde luego sargento mayor que fue de uno de lot batallones «le loe voluntarios de por la descubierta tuve noticia de la superioridad de sus fuerzas, que la Rioja, muerto en acció…</t>
  </si>
  <si>
    <t>Labodega</t>
  </si>
  <si>
    <t>…culo Decreto de S. M. nombrando para el Despacho de la secretaría de 26 del decreto .le 1 de Octuhrr d.- ilíio , dispondrá que en las capi la Gobernación de U'tramar, en lu-ar del Sr. Labodega, al Se. Dan tales de ptovincr* donde no hubiere edificio nacional destinado para el Diego denuncio. (Gaceta dti 23 de id.) FN LA IMPRENTA NACIONAL.</t>
  </si>
  <si>
    <t>Laborda</t>
  </si>
  <si>
    <t>…les soldado* c% segura la Art. 4.0 n Pi-S que los religioso» puedan secularizarse a título da victoria. los destinos de irstnucion, educación, caridad pública y capellanías, n F.l teniente Laborda ha salido con su partid* de caballería i unir pertenecientes á corporaciones en servic.o del Estado, cuando estos de» se i Toiosani, y ambos llegarán mañana á esta, tinos s&lt;-an vitalicios, y su» dotaciones iguales i&gt; mayores da las que h Yo aguardo »u venida…</t>
  </si>
  <si>
    <t>Laborda, Manuel</t>
  </si>
  <si>
    <t>Manuel Laborda</t>
  </si>
  <si>
    <t>…se hecho conocer Viiialbi, al del teniente D. Tomas Tarrago; la partida de c.ba i-r a de i ios ¡-usos que son irresistibles las armas que manejan la razcn y ia Viüaviciosa, al dei teniente D. Manuel Laborda, y del aüer-.z D. I ju-ticia, y que todos los esfuerzos son impotentes para contener sus pro d.fonso Marchante, el subteniente de G roña D. Francsco Frarco, gresos. La pérdida de los enemigos ha consistido en to muertos, no que desde Altanvz salió s o untai l…</t>
  </si>
  <si>
    <t>Laborda, Mariano Antonio</t>
  </si>
  <si>
    <t>Mariano Antonio Laborda</t>
  </si>
  <si>
    <t>…una-Fran-sco Benito , diputado secreta- Manuel Cantin , D Agustín Alcaide, D. Pedro Muniera, D. Joaquín z¡o.=Por tuno ■njn'imoi 1 lod.s o» tribunales, justicias, gefes, go Rentue, D. Mariano Antonio Laborda y D. Francisco Lansac, qun bernadores y demás autoridades, asi civiles como militares y eclesiás declararon por unanimidad de votos haber lugar á la formación de tica» , He cua qui-ra clase y dignidad, que guarden y hagan guardar, causa. cump ir y eyeeular el pr xrte decreto en to…</t>
  </si>
  <si>
    <t>Laborda, N. Perez de</t>
  </si>
  <si>
    <t>N. Perez de Laborda</t>
  </si>
  <si>
    <t>…o; spones, y cuyos números esten comprendidos desde el *41 al a8o, am al voluntario de Madrid D. Joaquín Ezqucrra, hallado casualmente en óos inclusive. esta ciudad; al estudiante D. N. Perez de Laborda, y á D. Apolinarío Juicios de jurados. Bellido, hermano de otro voluntario, quienes concurrieron al princi En la M. H. villa y corte de Madrid, reunidos los jueces de hecho, piar la acción sin otro estímulo que el de su patriotismo, y armado* calificaron con…</t>
  </si>
  <si>
    <t>Laborde</t>
  </si>
  <si>
    <t>…cargo del consmado de Veracruz de salvamento; y con este motivo varios individuos , sumamente agra y con calidad de reintegro ofreció el de Cádiz habilitar, no se ha veMdecidos al comandante Laborde por estas acciones tan distinguidas, di ficado, no es culpa del ministerio de Marina, que nunca tuvo tal en rigieron al ministerio de Marina una exposición, recomendando el mé cargo, y sí el consulado de Cádiz; el cual, después de haber entreteni rito contraí…</t>
  </si>
  <si>
    <t>Laborde, Angel</t>
  </si>
  <si>
    <t>Angel Laborde</t>
  </si>
  <si>
    <t>309</t>
  </si>
  <si>
    <t>…iese á dicho punto lo mas pronto posible á las órdenes del medios posibles i que se difundan y propaguen las luces ea una cien acreditado espitan de fragata, hoy capitán de navio, D. Angel Laborde, cia de tanta importancia y trascendencia , no alterará su precio; y se ha que estaba nombrado por Real orden de sg de Diciembre de 1819 llará , como los demas tomos de este tratado á 30 rs. en Madrid en las comandante del apostadero de Puerto-Cabello y de la…</t>
  </si>
  <si>
    <t>…lases determinadas de personas , cuyos delitos El comandante de la escuadrilla da Costa-firme, captan da navio hau de tener el mismo carecieren cualquier ceso y circunstancias. No D. Angel Laborde, ds parte desde Curazao con fecha de go da A zoc se me diga que el código de procedimientos facilitaré el medio de cas lo último de las operaciones ejecutadas por las fuerzas da tu tigar estos delitos, porque nunca pueda ser con la brevedad que hacién en el d…</t>
  </si>
  <si>
    <t>Laborie, Juan</t>
  </si>
  <si>
    <t>Juan Laborie</t>
  </si>
  <si>
    <t>…na gran cantidad de cenizas y pie iba 4 propagarse 4 los reinos extrangeros por la mediación y conoci dras , y 4 poco rato 4 vomitar lava candente. Esta erupción cubrió mientos de D. Juan Laborie , negociante francés , encargado de esta toda la circunfencia del cráter hasta la distancia de unas 10 tocsas, blecer depósitos para su venta, los enemigos de todo descubrimiento formando una corona de fuego. En los te días inmediatos fue mu nuevo, poseídos d…</t>
  </si>
  <si>
    <t>Labrada, Pedro</t>
  </si>
  <si>
    <t>Pedro Labrada</t>
  </si>
  <si>
    <t>…ngo Mendez, cabo de la i.1 compañía de infantería del resguardo la de Santa Ana, casa chica «U! conde del Montijo, cuarto bajo, y se militar de Extremadura, D. Juan Josef Navarro, D. Pedro Labrada agradecerá. y D. Antonio Perez, toldado* de la 3.' compañía de caballerrí* del Deseando la mayor comodidad y menos gastos de las que te intere mismo cuerpo, en solicitud de que se lea exima de pasar 4 Extremadura, sen en I* compra de ganado de cerda, bacuno,…</t>
  </si>
  <si>
    <t>Lacero, Juan</t>
  </si>
  <si>
    <t>Juan Lacero</t>
  </si>
  <si>
    <t>…espués de reducidas al nú cabeza de Rodrigo García Marcóte de 609 mrs.; y se suplica á quien mero de 16, y un deán en las mrtropolitanas, y 12 con su deán los tenga los presente á D. Juan Lacero , que vive en la calle de Horen las sufragáneas, deben entenderte también renunciado* por el mismo taleza , frente á la de S. Marcos, cata núm. 18, cuarto quien ma decreto psra la dotación del clero y del culto los frutos decimales de nifestará su agradecimie…</t>
  </si>
  <si>
    <t>Laci</t>
  </si>
  <si>
    <t>…to de decreto sobre le formación que en atención á haber sido comprendido aquel regimiento en I* caula de las ¡untas diocesanas, presenta.lo por los Sres. Buruaga, Scpücn» Do* del general Laci sé le denominase regimiento dt Laci, y se le permi tnenech, Infante , Rico, Vil ¡avieja, V¿ lasco y otros. tiese inscribir este nombre en sus insignias. Se nombró para la comisión de Corrección de estilo , en lugar del La comisión de Hacienda , en vísta de la…</t>
  </si>
  <si>
    <t>…gona, en la cual haciendo presente sus ser*icios, y haber sido una to de cacao pertenrc mf á D. Joaquín Vilialba.y que desembarcó es de ios complicados en Ja malograda empresa del general Laci. pedia Santander , opinaba que d.bia aprobarse dicha adición , y en su conse que en recompensa de los mismos se le declarase benemérito da 11 pa cuente d.spensarse a dicho Vilialba del pago del 4 por too. Apro tria, y se le recomendase ai Gobierno para que le…</t>
  </si>
  <si>
    <t>…ma aquellos religiosos, á fin de formar la expresaba plaza , que podrá servir no se les persigue, no se les castiga, separándose de los rquisitos que para perpetuar la memoria del general Laci, denominándola Plaza de se exigen para estas acusaciones: formalidades que protegen la inocen Laci, y levantando en ella el monumento que se ha acordado erigir cia, y que acaso es la miyor salvaguardia de la libertad. Por ventura i dicho general; opinabi que…</t>
  </si>
  <si>
    <t>Lacoste, Manuel</t>
  </si>
  <si>
    <t>Manuel Lacoste</t>
  </si>
  <si>
    <t>…auxilio de sus compañeros de armas los de Jerez, *6 caballos de vo gunos tiros:no dudé serian la caballería y subteniente Fidalgo, y apre luntario* nacionales, que mandados por su capitán D. Manuel Lacoste té el paso para ir en su auxilio. 1 on efecto , recibí aviso de que en es salieron en el momento de recibir yo el parte del sargento, pudiesen te pueblo había too facciosos con los cabecillas Aguilar y Tinoco, y dar con ellos. que habían roto el fuego. Inmedi…</t>
  </si>
  <si>
    <t>…vidas tan horrendo crimen. Tara las del Ferrol en el citado mes Czd'z 5 de Setiembre de i8ia.=eEscarío.” en seis libranzas............................. 900,000. _De Jerez escribe D. Manuel Lacoste, capitán de la M. N. de caba Para las d: la pagaduría del distrito llería, I.aber sido 4g los milicianos de dicha arma de aquella ciudad de Sevilla en los meses de Julio que se reunieron á la columna expedicionaria de Cádiz, y no $0, co y Agosto en dos libran…</t>
  </si>
  <si>
    <t>Lacy, Luis</t>
  </si>
  <si>
    <t>Luis Lacy</t>
  </si>
  <si>
    <t>…la librería de Gaspar, y en Cádiz en le conuYon. de Zaragoza ;í 7 rs. Se nombró para la comisión de Milicia nacional local á Jos señores Causa formada al héroe mártir de la patria D. Luis Lacy : documen González Aguirre y Meca. to importantísimo para conocer el precio de la libertad : proceso tanto óe leyó un oficio del Sr. ministro de la Gobernación de la Pe mas criminal contra algunas personas, cuanto que en él han demostra nínsula , en el que in…</t>
  </si>
  <si>
    <t>Ladrón, Santos</t>
  </si>
  <si>
    <t>Santos Ladrón</t>
  </si>
  <si>
    <t>…onta, la noticia de la existencu de los facciosos, ó de su des bienes. ¡Laudable deseo! Pero deberían reflexionar que en ninguna es- trucción ó fuga. Entre los prófugos se hallaba D. Santos Ladrón y al ' pecie de gobierno, mientras sean hombres b s gobernantes y goberna uno* de sus secuaces. Llegaron al pueblo mixto de los Alduides, hasta dos , pueden faltar males, ni dejar de cometerse faltas y errores.__El onde se internaron las tropas españolas , co…</t>
  </si>
  <si>
    <t>Lafayette</t>
  </si>
  <si>
    <t>…e pormenores muy interesantes acerca del coronel Eugee , conocido por toman la industria y el comercio de les americanos; y los hombres pre» al paso generoso que dió para sacar al general Lafayette de las cárcel** cup»do&gt;, como lo son comunmente los ingleses , que suponían en otro de Olmutz. E* bien sabido que después de habérsele malogrado esta no tiempo que fuera de tu país no había mas que malas costumbres , cor ble empresa, el mismo coronel Eugee fu…</t>
  </si>
  <si>
    <t>Lagarda, Gregorio</t>
  </si>
  <si>
    <t>Gregorio Lagarda</t>
  </si>
  <si>
    <t>…orenzo Calvo de Rozas y D. Juan Cortés. Jos vioos'&amp;c. Sin repetir los elogios que ya dimos i esta obra en su» pri meros cuadernos , elogios que deben comprender á todos los demás, Don Gregorio Lagarda , alférez del regimiento caballería de Cala— manifestaremos so-amente el vivo deseo de que se esparza por todos loa trava , á nombre del brigadier D. Juan Meláis , coronel del misino pueblos de la Península , y corta por todas las manos interesadas en la cu r…</t>
  </si>
  <si>
    <t>Lagarda, Josef</t>
  </si>
  <si>
    <t>Josef Lagarda</t>
  </si>
  <si>
    <t>…l cementerio y llanuras intermedias entra este y ia rao de Misericordia é inmediaciones del arrabal. En su consecuen Cuerpos. Clases. Números. P&gt;i ioneros. Heridos. Muertos cia el brigadier D. Josef Lagarda , comandante de las armas, dis Astúrias...... Subteniente ...............................................*......................... puso sa'ir algunas guerrillas de infantería y el corto número de ca Idem........... Soldados.... .......4......................…</t>
  </si>
  <si>
    <t>Lagasca</t>
  </si>
  <si>
    <t>…e ademas se habían conveniente en acudir 4 este fondo común cuando tuviesen necesidad procurado hacer otros establecimientos en las provincias. de él para atender ¿ sus gastos. El Sr. Lagasca opinó que no debía suprimirte la cantidad destinada El secretsrio de la Gobernación de la Península dijo que hasta aho para la publicación de obras literarias , porque costaban muchísimo ra era desconocido para el Gobierno este fondo llamado imprevisto, y los…</t>
  </si>
  <si>
    <t>…allamos de hacer grandes gastos, es preciso aprobar el parece* 3 de Marzo último, la una sobre la abolición del derecho de registro,I de la comisión. y la otra sobrepatentes. I EI Sr. Lagasca deshizo una equivocación que dijo había padecido el El Sr. Adan contestó que la comisión se había hecho cargo de di-1 Sr. Canga. chas proposiciones, y asimismo de otras reclamaciones sobre lo mismo, I El Sr. Galiano hizo varias observaciones, apoyando la opin…</t>
  </si>
  <si>
    <t>…es muy diferenre, pues no se previene en bir pasen y pasten en ellos los ganados qu: lian de trashumar. el que han aprobado las Cortes sobre v.sita de tribunales ; r por tanto El Sr. Lagasca hizo pres-nte que debiéndose considerar como pro creo que no hay necesidad de que se de una nueva ley sobre el parti piedad particular los terrenos baldíos una vez repartidos , los ganaderos cular , ni de que las Cortes hagan este nombramiento , sino ia mesa.…</t>
  </si>
  <si>
    <t>…podia aprobarse dicha enagenacion. Aprobado. que por su naturaleza no deben pasar á empresas paiticuiarea.” Otro tobre la solicitud de D. Jaime Sastre, escribano de la isla de El Sr. Lagasca se opuso á este articulo, 7 después de una corta dis Menorca, pidiendo se le habilitase para egercer la profesión de abogado ensión con lo* fires. Isturiz, Marau 7 Salva, te div.dió el artículo en en los negocios en que no interviniese como escribano. La comi…</t>
  </si>
  <si>
    <t>…ra el Gobierno cree que ias Co. tes deben aprobar ei artículo que se dis al extrabgero en los términos acordados por el decreto de las Coi tes d« cute. 9 de Noviembre de 1810.” El Sr. Lagasca manifestó lo dificil que seria evitar el contrabando Et Sr. Infante: En este artícu'o se dice que la venta de si1 es se ha de este género, produciendo por consiguiente esta r-.nta m icho menos ga exclusivamente 4 la Hacienda púb'ica, et decir , que á los pose…</t>
  </si>
  <si>
    <t>…presentada á laa d 'c rsion. huiré los pr.sigiuros es uno al criado cid alcalde de Cás Sü.smas por el sret; tarín de de ram ■ ” enme. be ley ó por priui.ra vez una proposición del Sr. Lagasca, reducí-</t>
  </si>
  <si>
    <t>…calidad de de pósitos para emplearlos en el armamento de la milicia nacional lo egido.” Aprobado. cal, ó para reparación de caminos, puentes, cementerios ó de cualesquie Otra d.-l Sr. Lagasca al art j."i »Qie despíes da servicio militar ra otra obra de utilidad pública, io expondrá á la diputación provincial, se añida celantes y empleados de la Hacienda militar que le hallen en la qu: te baila autorizada para disponer lo conveniente.” Aprobado. ig…</t>
  </si>
  <si>
    <t>…tar ni destruir parte alguna de él mandante de artillería, y lo mismo respecto del cuerpo d; ir.rcn.cros. ó de su aparejo, en cuyo caso será castigado con arreglo i las ordénan El Sr. Lagasca pidió que manifestase la comisión cu-íes h.bizu os generales de la armada nacional, y si de algún daño de esta ú otra de ser las funciones de estos directores de hospitales, y si human de eipeoie causado á bordo por alguno de los individuos de trasporte exi t…</t>
  </si>
  <si>
    <t>Lagasca, Mariano</t>
  </si>
  <si>
    <t>Mariano Lagasca</t>
  </si>
  <si>
    <t>…stada, nio Gutiérrez, profesor de fiaica en los estudios d¡e S. Isidro, é indi valorado todo en 36,398 rs. en venta, y 1300 rs. en renta; te ha pro viduo «le la academia Médica; á D. Mariano Lagasca, profesor de bo cedido á nueva tasación da lo restante, que se reduce á una (anega de tánica á individuo de U misma; i D. Antonio Sendaiio Aries, profe tierra «le riego, á tres cuartillas de secano y á dos fanegis, en las que se sor de agricultura, é individu…</t>
  </si>
  <si>
    <t>Lagasea</t>
  </si>
  <si>
    <t>…na asociación de propietarios y co merciante* las propongan. celona se luga extensiva á la ciudad de Palma en Mallorca por la mis ma causa.” ( Admitidas 4 discusión , manifestó el Sr. Lagasea las razones que hnSe mandó pasar i la misma comisión la siguiente adición de los b a para que se tomasen las medidas que se proponían. Sres. Ol i ver y Mutfi: » Pedimos I las Cortes que dispensen á la ciu El Sr. Valdés ( D Cayetano ) pidió la palabra para opo…</t>
  </si>
  <si>
    <t>…ís para el erario , era necesario entrase en la tc‘orrr;a a. ucóa parte que »e enemigo. les rebajase , como sucedía con i*s qu* ¿nhi.ban »u ido» por e¡!a. Hmmburgo is de Abril. El Sr. Lagasea manifestó que nr.t-» de c.»:u'-»c -.te presupuesto de liemos recibido la siguiente carta, escrita el 16 de Marzo en la* bían haberse discutido ios de ios diferí* ’is r»;no» le él , como erar, el fronteras meridionales de Rusia. de salud pública, el de instruc…</t>
  </si>
  <si>
    <t>Lagatca</t>
  </si>
  <si>
    <t>…lo tanto El Sr. Sepilen como individuo de la comisión, dijo, que entre apruebo el parecer de la comisión. las muchas razones que había esta tenido para proponer rebajas de esta El Sr. Lagatca: No hubiera tomado la palabra*! no estuviera per clase , podía citarse solo una que merecía muchísima consider xión; suadido de que la inversión de la pequeña suma que pide el Gobierno cual era el abandono de la Marina; pues por falta de 75$ is. no habían par…</t>
  </si>
  <si>
    <t>Lago, Antonio de</t>
  </si>
  <si>
    <t>Antonio de Lago</t>
  </si>
  <si>
    <t>…de Perez, D. Alejandro del Bureo, D. Pedro D¡az , D. Josel Fermín Gil, fórmulas y ceremonias en que ninguna parte tienen los súbditos! ¡O D. D:e¿o del Rio, D. V.cente García Di z, D. Antonio de Lago, son lot de los Gobiernos representativos, en que todos lot ciudadano* D. l ab ,an de Mora y Santiago Sal. se presentan libre y personalmente á hacer al juramento) ; En cuál de Pueblos que igualmente sirvieron con stts earruages. estos juramentos habrá mas pr…</t>
  </si>
  <si>
    <t>Lagrava</t>
  </si>
  <si>
    <t>…diencia de Sevilla y el Ateneo caperatifica su nombramiento. fio! habían informado acerca de este artículo. ” En la rada de Limasoll, que está en la costa meridional de Chipre, El Sr. Lagrava dijo que la pena impuesta en d artículo debía, solo se presentó i primeros de Octubre un buque hidríota, armado en corso, imponerse á las que vendiesen ó distrib yeten la* libros prohtbidoepor que desembarcó alguna tropa, y saqueó muchos lugarcillos i vista d…</t>
  </si>
  <si>
    <t>…apellidaren gentes, ó empuñaren ó hicieren armas, ó d.e, los casos expresados en los artículos 277 y 283.” levantaren voz sediciosa contra alguna persona púb’ica o particular, El Sr. Lagrava pidió que se rebajase el número de los individuos podrán ser arrestados en el acto, y sufrirán la pena de estarlo por uno que son necesarios para constituir motín; y después de una corta dis- , ó quince dias; sin perjuicio de cualquier otra pena que merezcan…</t>
  </si>
  <si>
    <t>Lagrava, Caferino</t>
  </si>
  <si>
    <t>Caferino Lagrava</t>
  </si>
  <si>
    <t>…idad En la ciudad de Huesca, reunidos en jurado de acusación los seño que el infinito número de las extranjeras divirtiesen ai propio tiem res D. Mariano Altaoja , D. Jotef Lloro, D. Caferino Lagrava, Don po qu* instruyesen á la juventud, haciéndola ver lo* peligros á qssa es Mariano Nassrre, D. Joaquín Jaques, D. Nicitio Manuel Villanueva, tá expuesta y el modo de avilarlo* , dió á lúa esta obra. Cada lectura D. Pascual Ciprés, D. Juan Gómez de Aiba y D.…</t>
  </si>
  <si>
    <t>Lagssca</t>
  </si>
  <si>
    <t>…a ponan á la par de tu mas civilizadea: que tam ’micntot podían contar con rentas de bestante consideración. poco ignoraba que en los convento* suprimidos había mucha* preciosi El Sr. Lagssca hizo varias observaciones sobre la necesidad de aten dades ; pero creía que no eran tantas como se suponía, especialmente si der é los establecimientos de bea&lt;ficencia y al ramo de sanidad*e trataba de aquellos cuadros originales que son da inestimable valor.…</t>
  </si>
  <si>
    <t>…sul Se leyeron y mandaron pasar á Ja comisión tres adiciones: una dd tor dal Crédito público, á D. Raimundo Orrisn, intendente de egér- Sr- Ojero; otra del Sr. Ferrer , y otra del Sr. Lagssca. cito y director de rentas, y i D. Ramón Bango, antiguo oficial mayor Se leyeron y hallaron conformes varia* minutas de decreto, y te de la consolidación de este ramos y habiéndose procedido á la votación levantó la sesión á la una y media. tuvo el primero 84…</t>
  </si>
  <si>
    <t>Lagu</t>
  </si>
  <si>
    <t>…común de diezmos, aunque hasta ahora hayan sido pagados por infoTn en lu prúxinn 1-gislatura •» A pu hado. los pirrocos.” Aprobado. Habiendo vuelto al Congreso ia diputación , el Sr. Lagu na , c Tro Ait. 9.’ &gt;» Los beneficios, préstamos ú otros cualesquiera oficios presidente deeiia, dijo que S. M. ¡a h.,b!a recibido con su n*iu:*i .ru eclesiásticos cuya dotación consistía en diezmos percibirán una quinta do, qu ■ hats.a puesto en sus manos ei…</t>
  </si>
  <si>
    <t>Lagunilla, Santiago</t>
  </si>
  <si>
    <t>Santiago Lagunilla</t>
  </si>
  <si>
    <t>…zas considerables , y á cuyo aumen to debi.in contribuir las provincias inmediatas; de manera qu: cen aviso. este yolpe, caucado por ur.a verdadera sorp-esa i las cuatro de la Ur- D. Santiago Lagunilla alcalde constitucional de la villa de Becerril d-, se han trastornado los vastos plines del que se hacia llamar co- de Campos, nos suplica pubíiqurmnt la muerte de Doña Mari* Ana inanriant- yeneral d-1 .pncto r- il stj. Rubio Trovani , vecina que lúe de dicha…</t>
  </si>
  <si>
    <t>Lailave, Fsiipejy</t>
  </si>
  <si>
    <t>Fsiipejy Lailave</t>
  </si>
  <si>
    <t>…ienda, á loa Se leyó un voto particular délos Sres. Gaseo, Patarra, A laman, empleados en la casa de moneda 7 á otros varios particulares; 7 en vis Mcndez, Muñoz, Priego, Navarro (D. Fsiipejy Lailave (D. Pablo),</t>
  </si>
  <si>
    <t>Lainádfid, Miguel Garqía de</t>
  </si>
  <si>
    <t>Miguel Garqía de Lainádfid</t>
  </si>
  <si>
    <t>…ano: opúsculo traducida libr menf del francés, é ilustrado con notas por el ciudadano y doc El Sr. secretario del Despacho de la Gobernación de Ultramar dice tor .o ambos der-chos D. Miguel Garqía de Lainádfid: un tomo al de Gracia y Justicia desde el Real sitio de Aranjucz con esta fecha 8 “ n rústica á ó rs. Se hallara en 'a librería de Rodri.u z. lo que si*u- : N ta. En la gaceta de ayer . ait'Culo de anuncios, lía*. 1.*, dotvk »&gt; Ei R-y(Q. D. G.), aunque contin…</t>
  </si>
  <si>
    <t>Lallave</t>
  </si>
  <si>
    <t>…vo justo para ules acrimina desde el primer momento de su levantamiento, i pesar de que siempre ciones. ha sido desechada por el Gobierno español, no obstante las vemajaa que ' £1 Sr. Lallave (0. Pablo): Sefior, se ha dicho ya cuanto se debía de siempre ha traído á este cuando sus agentes la han admitido. Bien co cir, y tal vez un poco mas; diré sin embargo dos palabras. Ante todas ncedo es el efecto que produjo la conferencia del anterior obispo…</t>
  </si>
  <si>
    <t>…proposiciones «orno con anarquía en América, sino un Gobierno de hecho; pero debía tener trarias i los poderes. presente que anarquía no quería decir que no hubiese Gobierno al Ei Sr. Lallave ( D. Pablo) dijo que el Sr. D. Marcial López se ha guno , tino que ceda i g dias te mudase el Gobierno. bía exaltado demasiado en su discurso, y que todas las razones que ha Que en cuanto á lo que había dicho S. S. de los comisionados que te bía alegado no te…</t>
  </si>
  <si>
    <t>Lalorre, Marrano</t>
  </si>
  <si>
    <t>Marrano Lalorre</t>
  </si>
  <si>
    <t>….a errt-ia p rnon «de su r t v.»muertos v prisión ros, pu s yo c'u parí : d 1 e n 1 ría , i,-&gt; ... ir ba. lena, qu cantío n ru.-'tro roi i ;í t 3 Je lapr.mera. v 1 r. - ,i.,a les D. Marrano Lalorre, D. Jusef Marqu.s, y i,', jo.i ierren, a i as alcauiyo h-sta ge de ia s.gu; d- , Lab do.es cogido 30 «.é. \«s , s.a</t>
  </si>
  <si>
    <t>Laltave</t>
  </si>
  <si>
    <t>…que la enseñanza de la fisica experimental, y la continuará todos los lunes deben hacer lo mismo las Cortes. y viérnct á la misma hora él tocio D. Saturnino Montojo. Las perso El Sr. Laltave (D. Pablo) hizo varias reflexiones para demostrar que nas qua quieran asistir á sus lecciones acudirán á la secretaría del mis no debían lat Cortes aprobar tas medidas de que se trataba , pues que no mo establecimiento, calle 4» Atocha, frente á la de Relator…</t>
  </si>
  <si>
    <t>Lama, Hita</t>
  </si>
  <si>
    <t>Hita Lama</t>
  </si>
  <si>
    <t>…as honorarias , cond&lt;-sa de la Cortina, marques; de Aguayo, Doña mucho, vno que no pueden reparar la pérdida. Pero los pormenores se María Olabarrieta y N grete, condesa d- Rgia , Doña Hita Lama de han sabido por la goleta Menorca, que salió de Chaires el 15 de Mayo, Dommgu-z, marquesa de Rincón-Gallardo, Doña Igoacia Rojo da y llegó a la Jamaica el 3 de Junio, pues por la v.a de Panamá se tenian Cacho, Doña Josefa de Gregorio de Torres, Doña Luisa V…</t>
  </si>
  <si>
    <t>Lamas</t>
  </si>
  <si>
    <t>…la libertad individual, sin ad Se nombró para la comisión de Milicias nacionales al Sr. Escovedo vertí que esta es solo para el ciudadano que cumple con la ley , y no ea lugar del Sr. Lamas; para la de Política al Sr. Neira; para ¡a d- li para el que la infringe abiertamente, y que de ningún modo puede con bertad de imprenta al ir. Sai vi, p.ra la de Peso* y medidas á los seño cederse al qu- so¡o se sirve de ella para privar de la misma á sus co…</t>
  </si>
  <si>
    <t>Lambe, Lorenzo</t>
  </si>
  <si>
    <t>Lorenzo Lambe</t>
  </si>
  <si>
    <t>…as anteriores. Los argumentos de estas últimas esD. Joaquín Manrique y Manrique, D&gt; Francisco Martínez Marina, tan sacados del viejo y del nuevo Testamento, y fueron hechas en épo D. Lorenzo Lambe*, D. Bernardo Asenjo, D. Francisco López de cas posteriores, es decir, eu ¡os primeros siglos del cristianismo. En fin, Olavarrieta, D. Isidoro de Hoyo» y D. Joaquín Huerta y Cevallos, algunos residuos menos considerables, unidos á los que hemos citado, calif…</t>
  </si>
  <si>
    <t>Lambes, Lorenzo</t>
  </si>
  <si>
    <t>Lorenzo Lambes</t>
  </si>
  <si>
    <t>…éndole que su primero y último remate se ha de ce miro Marín, D. Antonio Sandalio de Arias, D. Antonio Regas, lebrar el dia 5 del próximo nv» de Set embre de 11 á 12 de su mañana. D. Lorenzo Lambes y D. Manuel Estaban Caíala. Los testamentarios de D. Josef María de Galdot, vecino y agen te de negocios que fue en esta corte, se hal'an con algunos recibos de En la página 7a del libro que se ll-va en Barcelona con el título intereses de vales y de otros créditos que diferentes suget…</t>
  </si>
  <si>
    <t>Lamia, Antonio de Ganjeaga y D- Diego</t>
  </si>
  <si>
    <t>Antonio de Ganjeaga y D- Diego Lamia</t>
  </si>
  <si>
    <t>…fo por la de Ñapóles, y el duque de We- d. i. ¡Latina , D. M guel J.s.f de Borda, D. Miguel Josef Viiiacuellington por la de Inglaterra. Creen algunos que el vizconde de Mcnt- va, D. Antonio de Ganjeaga y D- Diego Lamia , cal Jicarón por mormey regresara a Paria , y otros que irá á Verona. uuaoni.iüad con la nota de tibe.o infamatorio en trrcrr jrd.ro el papel La comitiva de los Soberanos se compone de poca gente, siendo el mas tilu ado el Patriota del Pirineo de. jueves i 1…</t>
  </si>
  <si>
    <t>Lanas, Pvdro</t>
  </si>
  <si>
    <t>Pvdro Lanas</t>
  </si>
  <si>
    <t>…ta acción ¿¡r-r esa Ma p detnas finca oportunos. Madrid *8 de Mapo de 1S11. aaistxlo el capitán del regimiento de León D. Juan Antonio Zurdea , y los subalternos «leí mismo cuerpo D. Pvdro Lanas y D. Arromo ■_ ar &gt;1 En virtud de los informe* que han dado al Rep el gefe político naco, y que la milicia vo untan* de Puigcrrda y o rnas pueble» «¡e ia j diputación de la provincia de Burgos p comandante general del Cerdaña, y algunos paisanos montados del pueblo de Da…</t>
  </si>
  <si>
    <t>Lancha</t>
  </si>
  <si>
    <t>…eno no la permití'* obrar , manifestó la del resguardo militar y 30 caballos con dirección á Ubrique; que el mayor serenidad, entrando en el pueblo detras de las dos primeras guer comandante Lancha con too nacional» de infantería de Málaga y otros rillas con mucho deseo de hacer uso de los sables. A la entrada cogió 100 del cgército permanente llegaría á Igualeja, mientras que otra fuer un faccioso, que sin duda se habia extraviado, con las armas en la…</t>
  </si>
  <si>
    <t>Landaburu, Luis</t>
  </si>
  <si>
    <t>Luis Landaburu</t>
  </si>
  <si>
    <t>…e la suoosicion , sifiMitS de los cenuprendidrí en os a:ti. ejg, gg4 y. ggg,.cafriri dos años mas dv la respe-tira p.rr »n ebo» »e quedase sobre la meta. Se leyó una exposición de D. Luis Landaburu y D. Ramón Oro- señala Si no lo fuese, será castigado del mismo modo que el que «e res , en que manifestaban que aprovechándose de la oportunidad de ha finja funcionario público, cor ándelo at art. 449berse autorizado á las Cortes extraordinarias para reprimir ios abusos de…</t>
  </si>
  <si>
    <t>Landaburu, Mamerto</t>
  </si>
  <si>
    <t>Mamerto Landaburu</t>
  </si>
  <si>
    <t>…. Coro en 14 de Ene D. Josef Demetrio Rodríguez, D. Josef K.iitr, D. Antonio Dias ro último, se sabe que dicho general, después de haber mandado salir del Moral, D.Carlos Romeral, D. Mamerto Landaburu , D. Francisco de Puerto Cabello varias expediciones contra loa disidentes de Coste- Martínez Marina, D. Simón Gonza’e, Vusté, D. Andrés Alcon y firme sinqse hubiesen surtido ningún buen efecto, ae embarcó en di D. Valentín Recio. Pero habiendo man festado el…</t>
  </si>
  <si>
    <t>…s presentarán en clase de fian- vesedo, D. Juan Paz, D. Santiago Delgado, D. Carlos Romeral , Don za un mes de existencias en tos almacenes de los artículos de que Andrés Navarro, D. Mamerto Landaburu, D. Isidro Merino y Don conste el suministro, Jos cuales deberán tener constantemente de re Francisco López Olabarrieta. Y habida la conferencia, se decaro por puesto ; y á mayor abundamiento se reputara también por fianza el re ocho votos » no haber lugar á…</t>
  </si>
  <si>
    <t>…ierno drbfh la guardia Real, olvidándose de sus deberes; cometieron el . trox aten contarse, ademas de las loe,les, las de comunicar a la, pr^i inclastl rila tado de asesinar á su teniente D. Mamerto Landaburu dentro del mis do de lo, acont cimientos, y dar ordenes á io, pucb -» inmediatos pa mo paiac o del Rey. Un crimen de esta naturaliza no podía menos de ra que estuviesen prontos a co-lr bu r al ¡o.ro del objeto qn • se o ».aindignar á todos, tanto mas cuanto s…</t>
  </si>
  <si>
    <t>Landaburu, Mamerto de</t>
  </si>
  <si>
    <t>Mamerto de Landaburu</t>
  </si>
  <si>
    <t>…velo de los años. habiéndose reunido el jurado, compuesto de losSeet. D. Cayetano Ro Se venden ios dos primeros cantos, y el tercero intercalar (qo* a mero, D. Marcos Izquierdo , D. Mamerto de Landaburu, D. Josef de •1 original del autor ) «n la librería de Cruz. han M.llan, D. Jo,ef Gómez Albacete, D. Julián de Fuent.s, Dea ANUNCIOS. Francisco Martínez Marina, D. Gonzalo Cárdenas y D. Matías Pini- Por providencia del Sr. D. Angel Fernandez de los Ríos , jue…</t>
  </si>
  <si>
    <t>Landabusun, Juan de Dios</t>
  </si>
  <si>
    <t>Juan de Dios Landabusun</t>
  </si>
  <si>
    <t>…irmada por J. G., denunciado por injurioso lo* respectivos documentos de donde dimanan sus créditos fi los síndi por el procurador D. Ramón Sans á nombre de D. Jos;f Mas 7 Pa- cos D. Juan de Dios Landabusun 7 D. Josef González Bulnes, para ges, a'calde primero constitucional de dicha villa , han declarado uná que esto» puedan formar y presenten en junta que ha de celebrarse fi nimemente haber lugar á la formación do causa. Barcelona a 1 de Se principios da Dicie…</t>
  </si>
  <si>
    <t>Landmburu, Mamerto</t>
  </si>
  <si>
    <t>Mamerto Landmburu</t>
  </si>
  <si>
    <t>…iñeiro ea ción de causa al autor del referido artículo , y tocó la tuerte 4 los seño tiempo de la dominación francesa entre otros [tápeles el privilegio da res D. Ignacio Pajares, D. Mamerto Landmburu, D. Joaquín Huerta Ce- un juro en alcabalaf de Midrid de 16,130 mrs. en cabras de Melchor val ios, i). Marcos Izquierdo, D. Jostf Antonio Ponzoa, D. Martin Za- Cakeron.—Otro en alcabala! d: Olmedo de 31,616 mrs. en cabaas del randia , D. Rafael Costa , D. And…</t>
  </si>
  <si>
    <t>Lando, Mamerto</t>
  </si>
  <si>
    <t>Mamerto Lando</t>
  </si>
  <si>
    <t>…larando que la tranquilidad delat provincias. ( Gaceta det 3».) este procedimiento no d.bia perjudicarle en su reputación, condenan 1 Resolución de S. M- concediendo á la viuda de D. Mamerto Lando al mismo tiempo en las costas á la compañía de Cárdenas. daburu el sueldo que gozaba este. (Gaceta del 21. j Sres. que absolvieron dicho artículo: D Casimiro Martin; D. Se Ley'en que. se habilita á los regulares secularizados para adquiría bastian Andrés; D.…</t>
  </si>
  <si>
    <t>Lanuza, Angela</t>
  </si>
  <si>
    <t>Angela Lanuza</t>
  </si>
  <si>
    <t>…Saavedra manifestó que hallándose casada esa in erario público. Aprobado. teresada , y no habiendo presentado poder de su marido pan esta soli La misma tomis.on en la instancia de Doña Angela Lanuza, viu citud , creía qoe se debía declarar no haba lugar i deliberar sobre «lia. da de un oficial del egército, pidiendo lo m uño que ir anterior, era de Y asi se acordó. parecer que no se debía conceder dicha penson. Aprobado. Lo mismo se declaró, ragua propon…</t>
  </si>
  <si>
    <t>Lanz, Martinena de</t>
  </si>
  <si>
    <t>Martinena de Lanz</t>
  </si>
  <si>
    <t>…ñoles constitucionales andaría aun lleco de oprobio vima pueblo al sargento 1.® de facciosos Fr. Lacunza, dueño de la casa gando por las calles de Londres y de otras capitales. de D. Martinena de Lanz , y herido i otro que pudo fugarse con sus La Cotidiana, que seguramente no/jU'cre bien á los españoles , d e: compañeros, sin que en la milicia haya habido la menor novedad." que debe mirarse con desprecio loque se lee en otro periódico de que ¡1 Nono distri…</t>
  </si>
  <si>
    <t>Lanza, Pió</t>
  </si>
  <si>
    <t>Pió Lanza</t>
  </si>
  <si>
    <t>…ontrarios á lo resuello por las Cortes en la parte 3.a dente de León, D. Manuel Díaz Moreno , secretario de los cinco gre «leí ait. a.° del proyecto sobre la guardia Real. mios, y D. Pió Lanza, intendente de egéteito propuestos para este dea Las Cortes recibieron con agrado, y mandaron pasar 4 las comisio tino; y quedó elegido el primeio por 109 votoa , teniendo g el segun nes de División de territorio y Marina una exposición de D. Feliz do y otros…</t>
  </si>
  <si>
    <t>Lapis</t>
  </si>
  <si>
    <t>…durez que se hubieran de viagero de cosas que puedan distraerle , y particularmente en no ha seado sabsr. cerle preguntas que acaso serian indiscretas. » Podrá ser , nos decían El caballero Lapis , cuyo nombre se halla en tantas y tan excelen algunas veces muchos de ellos, que los motivos secretos de vuestro tes obras de geograáa-matcmáticj, ha enriquecido e»te tomo con un paso por el Kurdistan no sean buenos; pero no queremos saberlos; sois mapa supe…</t>
  </si>
  <si>
    <t>Lapnerta</t>
  </si>
  <si>
    <t>…ienen. Asi creo que debe aprobarse la medida que tensiva esta medida respecto de las catedrales. ac discute. El Sr. Arguelles pidió que te hiciese extensiva también 4 las misio El Sr. Lapnerta: Señor, se han venido expresiones que me parece nes que se predican en las plizas. ton bastante perjudiciales: se ba dicho que el confesonario es un ve El Sr. Adán pidió que igualmente se hiciese extensiva 4 los sermo hículo de malas doctrinas: yo interpelo á…</t>
  </si>
  <si>
    <t>Lapqerta</t>
  </si>
  <si>
    <t>…ón de cursos, sin qué baja precedido estudio con maes dictamen. tro aprobado, según el tenor de los arts. 6.° y 7.0 del reglamento ge- También le parece contrario ó antiliberal al Sr. Lapqerta el que se aera! da instrucción pública, no se admitirán tino mediando justa cau conceda cata date de dispensas por un cierto estipendio; pero la comi sa pan la dispensa, como v. gr. los particulares méritos‘de ia perso sión exige esta cora contribución en vir…</t>
  </si>
  <si>
    <t>LapuciU, Maitin de</t>
  </si>
  <si>
    <t>Maitin de LapuciU</t>
  </si>
  <si>
    <t>…«» no se ha did&gt;* la certere * de-tro del vido por Doña María Agustina de Céspedes t vecina de Kci|a , viud. de termino de rvho otas .como previene el art. u o 40 del -ap &gt;• de la D. Maitin de LapuciU, sobre que se mandase al poseedor del mayoraz ley de y de O-lubr* de 181» ; este es un hecho centesado por la m:»-</t>
  </si>
  <si>
    <t>Lapucrta</t>
  </si>
  <si>
    <t>…apiobando el Ninguna visita mas plausibte al parecer que la que estaba dirigida dictamen de la comisión. antiguamente á ver si se había observado la ley respecto de los intere El Sr. Lapucrta se opuso i él diciendo que consideraba el dictamen ses de una porción de particular-:*. Hablo de la v sita de la amorti de la comisión poco arreglado a ¡ust.cia , porque ro se debía pasar á un zación eclesiástica en las provincias, que f ie mandada en el afi…</t>
  </si>
  <si>
    <t>…ose hecho postura cuando se pusieron eclesiástica no podrían ofrecer mayor garantía que las de los párrocos. en pública subasta , no cía regular que se vendiesen muchos li tes. El Sr. Lapucrta se opuso al dictamen de la comisión, manifestando Puesto á discusión el dictamen de la mayoría, preguntó el señor entre otras cosas que se hacía sin raaon una especie de despojo á los or Arguelles si se hsbia cump'ido con lo prevenido en la orden de las dinar…</t>
  </si>
  <si>
    <t>Lapueita</t>
  </si>
  <si>
    <t>…s basta el teniao mas conocimiento del mundo para poder optar é’los curatos. principio de la siguiente'!' pero no creo quesea una ob|cctoq de mu Pero yo puedo muy bien asegurar al Sr. Lapueita que un p-icomas cha.tuerza para variar ri artículo , porque comunmente sucede que las de mundo saben los secularizados que los seminaristas; y yo extraño órdenes as muchas ocasiones están detenida» un año. Así pues creo mucho que se haya considerado i los pri…</t>
  </si>
  <si>
    <t>Lapuerla</t>
  </si>
  <si>
    <t>…mas que tina vez, y que en cuanto á ia festividad I creta que el dictamen ofreciese dificultades en lo que proponía con res del Corpus nunca podia presumirse lo que había dicho el Sr. Lapuerla, pecto i las fiestas, y que asi creía que los señores que habían pedido ia porque no se les daban les facultades tan amplias como suponía su se palabra para impugnarlo seria para hacerlo sobre la parte relativa i loa ñoría. j animales dañinos. Los individuos…</t>
  </si>
  <si>
    <t>Lapuerta</t>
  </si>
  <si>
    <t>…ierno puede ver elegido diputado a Cortes por la provin guida se verificó asi. cia en donde egerce sn cargo. ¿Y qué objeto se propuso la Constitución Después de haberse opuesto el Sr. Lapuerta al dictamen de la co entonces! Alejar de las juntas populares, donde el pueblo soberano misión , manifestando que no se habia contestado á los argumentos que egerce la única vez en dos años todo el lleno de su soberanía, laa mas se habían hecho por los Sres.…</t>
  </si>
  <si>
    <t>…proposiciones para, que so le concedieserees eMot particulares , opinó que debía aprobarse la propasación. la impresión exclusiva del diario de Us Cortes; con cuyo motivo hizo El Sr. Lapuerta dijo que no era esta la ocasión oportuna para tratar d Sr.Prat U siguiente proposición , relativa á que , estando encargado de este negocio, porque el Gobierno tenia ya us ochar leyes; y cuando por cj art. 93 del reglamento á la comisión del Gobierno interior…</t>
  </si>
  <si>
    <t>…Esta ( á mi entender ) se reduce posterior á su elección, y anterior á la aprobación de sus poderes. solo á llevar á efecto el decreto de tas Cortes extraordinarias , y cuando El Sr. Lapuerta dijo que le parecía que ¡a Diputación permanente llegue este caso, las Cortes tienen un tribunal i donde debe pasar indu habia dicho lo bastante para que no se pudiesen aprobar los poderes «M dablemente este asunto. Yo respeto la resolución de las Cortes extr…</t>
  </si>
  <si>
    <t>…método moderno, ha resultado un entoipecimiento que no se gocio , y que se sirvan seíalar el tiempo dentro del cual deba rendir ha podido evitar. la cuenta el tesorero general. El Sr. Lapuerta se opuso al dictamen de la comisión , y manifestó El Sr. tianga dijo que la proposición que sobre este particular ha que para que los Sres. diputados pudiesen votar con acierto , debería ba hecho el Sr Ojero haba quedado aprobada , y que a la comisión no qued…</t>
  </si>
  <si>
    <t>…una taberna en un pueblo de Aragón: otro sobre la lo hiciere asi será tratado como enemigo del sistema. dotación de la escuela d. primeras letras de Vinaroz: otro sobre el pre El Sr. Lapuerta manifestó que e! dictamen de la comisión estaba supuesto de gastos que ha hecho el ayuntamiento constitucional de Cá* fundado en principios justos y de mucha utilidad, pero que no en to d z: otro sobre la dotación de la escuela de primeras letras de Alma- das…</t>
  </si>
  <si>
    <t>…ntura por 1U1 M examine de cánones ó de teología; puede solo hacerlo de moral. El apreciables virtudes del heroísmo. Vais á recibir asimismo la divisa que Sr. cura que ha dicho el Sr. Lapuerta reside de canónigo en Ib ira hoy reina: no es una águila voraz; es el magestuoso león, que impooe no está excluido por la comisión de ser examinador sinodal , no como noblemente. La distinción que habéis merecido os da el mejor testimo canónigo, sino, como cu…</t>
  </si>
  <si>
    <t>…las facultades que las leyes conceden El Sr. Salvá: Esto es un testimonio, y nots causa, sino un sumario. i los alcaldes. Cuando estos forman sumarios de esta naturaleza lo ha El Sr. Lapuerta dijo que era menester tener un convencimiento ía. cen á falta de los jueces de primera instancia, que no los hay en todos timo de la verdad del hecho que se discutía para declarar haber lupt los pueblos, y sí tolo en las cabezas de partido; pero en Valencia,…</t>
  </si>
  <si>
    <t>…e avocar la causa pendiente, y porque ademas no se habia hecho la denuncia del modo que prescribían las leyes. El Sr. secrstario del Despacho de Marina, coa fecha de ayer, dice El Sr. Lapuerta: Es preciso distinguir ó hacer una diferencia de loa desde el Real sitio de Arsnjuez lo siguiente : errores 7 los delitos; y al paso que creo debe castigarse i un funciona m Siguen sin novedad eo su imponente salud SS. MM- y AA* rio público ú á otro cualquier…</t>
  </si>
  <si>
    <t>…ios Despacho dijo que mediante á haber empezado ya a ri.Huir en la Pe- cargos de la judicatura. n.txuU empleados de todas clases de la America , era menester destinar Ha dicho el Sr. Lapuerta que te estrecha demasiado el círculo d-niiü folíelo para atender a su subsistencia. Scbre estes supuestos la comi tro del cual s: quieren comprender las facultades ció Gobierno : per. - o sión creyó deber proponer al Congreso que se diese la preferencia i los…</t>
  </si>
  <si>
    <t>…bar el artículo que ae de que el licitador ó licitidores que quieran enterarse de las condicio» discute. nes de la enunciada contrata, con el objeto de hacer mejora en aqu.-il* El Sr. Lapuerta te opuso al dictamen de la comisión, y manifestó ó en los precios, pueden acudir á la secretaría del Sr. intendente de esta entre otras cosas que para fijar la congrua de los curas párrocos se de provincia, donde existe un cgemplar autorizado, dejando en la p…</t>
  </si>
  <si>
    <t>…te nombre me h nra, me liena el El Sr. Adan expuso , que ia comisión no ignoraba lo que había alma , y me recuerda las obligaciones en que ¿1 me constituye. Si, ame manifestado el Sr. Lapuerta; pero que S. S. tampoco ignoraba que lo* ricano; pero americano que ama á tu país, que lo adora, que quiera párroco* estaban en la mayor miseria, no siendo justo hacer en este verlo lejos de las desgracias que lo allij-n; que conoce los lazos que lo estado un…</t>
  </si>
  <si>
    <t>…la discusión de este dictamen se ha hablado bastante acerca de U Se ha cedido también la parte que percibían la» partícipes lega»; 7 cantidad á que ascendía el medio diezmo, y el Sr. Lapuerta refutó los después de todas estas rebajas ¡se quiere que el medio diezmo no set datos que mi amigo el Sr. Canga presentó dias pasados acerca de U can suficiente para atender al clero? Culi sea la causa por que con el media tidad a que ascendía antes el diezmo…</t>
  </si>
  <si>
    <t>…tulta que debe estar en su arbitrio el esco tanto promover al ptefeitciato á los ya ordenado* m tatrij." ger los sugetos que sean mas idóneos para desempefiar la cura de almas: El Sr. Lapuerta se opuso á la aprobación de este artículo , «.ystft,7 como para conoce* esta idoneidad y aptitud es indispensable exami tando que no se podía defraudar i los ordinarios la facultad que tenían nar sos cualidades morales , su sabiduría y suficiencia , de aquí p…</t>
  </si>
  <si>
    <t>…el teatro principal; he habido en uno y otro el Asimismo opinaba que no eran admisibles las demás adiciooes. mayor orden, y no se ha notado el mas ligero «ceso ni escándalo. Du El Sr. Lapuerta te opuso al articulo nuevamente presentado por la rante la cuaresma te han dado algunas funciones en el teatro del Balón comisión, manifestando que en el estado de pobreza en que se bailan por una compafiía de volatines; tu concurrencia ha sido escasa, asi co…</t>
  </si>
  <si>
    <t>…e te aplicará al porque haya en la comisión de Legislación (acunas sobre dispensa de fumín da la instrucción pública. Para fijarla se establecerá una tsca- cunos, como ha dicho el Sr. Lapuerta: yo convengo co qne es de abso ]l( m ja que lea '•tUitt 1 aumentarán en razón directa de las utilidades luta necesidad la primera enseñanza; pena no estoy de acuerdo con el que podrá reportar el intentado , y en inversa de las que podrán natiW Sr. Lapuerta en…</t>
  </si>
  <si>
    <t>…s de las palabras dentro del térmi Se mandaron pasar i la comisión de Instrucción pública una adi no de 6 meses se añadiese en ¡a materia 6curso en que ha sido reprobad". ción del Sr. Lapuerta , y otra del Sr. Lodares á una de las bases ya Un Sr. diputado, individuo de la comisión, dijo que la base estaba aprobadas del dictamen sobre dispensas de cursos y grados académicos. bien clara, y que por lo mismo no había necesidad de ninguna adición. Conti…</t>
  </si>
  <si>
    <t>…n alata. men y si abono da las cuota» presentas en el decreto sobre d.spunas Stiwn 4*1 jó. de curtos. Aprobado. Se leyó y aprobó al acto de la anterior. Otro sobre una adición del Sr. Lapuerta para que 4 los estudiantes El Sr. Salvé dijo que ayer habiaa aprobado las Cortas un dictamen pobres que soliciten las dispensas dé cunos no se les exija las cui.u* de la comisión secunda de Hacienda relativo ¿ una aolicitud de Don tofislade», y para que artas…</t>
  </si>
  <si>
    <t>…inaba que asi ¿jo los siguienj s hasta el 3 * inclusive, para presentarlos reformados. dia mandarse. A l. 38. » Acerca del repartimiento y recaudación de las contri A petición del Sr. Lapuerta se suspendió la discusión de este dic buciones que correspondan á Cada pueblo, bien sean nacionales, ó bien tamen, hasta que se resolviese lo conveniente acerca de la p Oposición provinciales, observará el ayuntamiento lo que se previene en la Coas*del Sr. Sa…</t>
  </si>
  <si>
    <t>…nomueva la empresa Suspendido por los inconveniente* y perjuicios que en el dú podía tenorque ha intentado de aclimatar en la Península le cochinilla, era de pe su ejecución; y el Sr. Lapuerta se opuso igualmente i este inadida, parecer que las Cortes deben acceder i cata solicitud, acordando; recíandote que con ella se echaba por tierra el único recurso que que 1.° Que i la sociedad ecooónka de Amigos del país de Cédiz se le daba pan completar en…</t>
  </si>
  <si>
    <t>…or ambición, por codicia, ó por cualquiera otra causa faltan á sus nes contra el sistema constitucional. deberes; y esta generalidad no solo dará lugar a aquellos, tino que los El Sr. Lapuerta: En la teoría parecerá fácil la cgecucion de este ar provocara. tículo; pero en la práctica acarreará muchos males. En Aragón s - hi He dicho que convengo en que se allane la casa de! individuo que ela un proceso de inventarío, para el cual era preciso allana…</t>
  </si>
  <si>
    <t>…ncubierto considero vasallo suyo... (El Sr. presidente llamó al orden al orador recon las ideas da religión. petidas veces.) Estoy en el orden (continuó). Uno de los argumentos El Sr. Lapuerta: Bien sabido es que las Cortes extraordinarias no que se han expuesto para apoyar el dictamen se ha fundado en que los pueden entrar en la discusión de otros asuntos que aquellos para que obispos son vasallos del Papa: si esto se dice únicamente porque la pi.…</t>
  </si>
  <si>
    <t>…Prrpitrayéndome solo á contestar á ios argumentos que ha presentado «.I se» fian. Aunque esta noticia no es hasta ahora mis qu- una probab '.idad, Sor Prado, que ha reproducido el Sr. Lapuerta, y en que ha coincidido esperamos que no tardará en ser un hecho cierto. \Viase el articulo de el Sr. Casas. El primer Sr. diputado ha dicho que consideraba innecesa oficio.) fie dice tamb.en haberse comenzado el sitio de Urgei; y que el ria esta resolución d…</t>
  </si>
  <si>
    <t>Lapuerta, Jaime</t>
  </si>
  <si>
    <t>Jaime Lapuerta</t>
  </si>
  <si>
    <t>…ultad alguna, se empe los poderes del br. diputado suplente. Quedó aprobado el dictamen de zaron á leer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t>
  </si>
  <si>
    <t>Lapuertadtjo</t>
  </si>
  <si>
    <t>…ese permiso I Se procedió á la discusión del dictamen de la comisión de Diputa* de hacer repartos vecinales. I lionas provinciales sobre el reglamento de propios formado por el El Sr. Lapuertadtjo que el 19 de Marzo en algunas provincias era dia I lyuntamieiito constitucional de Alcalá de los Gañiles, provincia de de trabajo; y quesi se aprobase el dictamen de la comisión, acaso lo ha I Cádiz. O'éj-it la míen del dia l.° Je Atril, en la ¿aceta Je! a.)…</t>
  </si>
  <si>
    <t>Lapuertz</t>
  </si>
  <si>
    <t>…das fue de opinión Se leyó la lista de los Srrs. diputados que posteriormente se habían que debían aprobarse. presentada i la diputación oermanent:; y mm smo la de los expedien El Sr. Lapuertz apoyó el dictamen de la com'sion: y reproducien tes que esta había pasado í la comisión de Poderes. do las razones que había manifestado *1 §r. Adan , opinó que d.b a La comisión encargada de exam nar los poderes de los c'rc-i indi aprobarse. viduos que compo…</t>
  </si>
  <si>
    <t>Lapurata</t>
  </si>
  <si>
    <t>…Cortes deben desechar la ptoposicion del Sr. Val 00 de ít.) dés , y piar i discutir el dictamen de la comisión Ley de las mismaa sobre #1 descubrimiento y explotación de minas. El Sr. Lapurata: La comisión de la» Cortes no tiene suficientes fa (Gaceta del 20 de id.) cultades para pedir una cauta que el Gobierno no cree todavía finaliza Decreto délas Cortes declarándo día de luto nacional el 10 de da. En ella no te han seguido aun todos los trámites…</t>
  </si>
  <si>
    <t>Lara, Isidro de</t>
  </si>
  <si>
    <t>Isidro de Lara</t>
  </si>
  <si>
    <t>…n las rebajas anteriores á la adoptada por las Cortes; cia activa de Soria. opinando la com sk»n que no había necesidad de esta aclaración, por Infiesto ; para primer comandarte i D. Isidro de Lara, comandan cuanto estos sueldos nunca han sufrido r.baja. te de infantería, y sargento mayor del batallón de ia milicia activa Igualmente se aprobó el dictamen de la comisión de Visita del de Jaén. Crédito p.' b ico sobre la solicitud de D. Francisco Kodriguz…</t>
  </si>
  <si>
    <t>Lara, Juan Josef de</t>
  </si>
  <si>
    <t>Juan Josef de Lara</t>
  </si>
  <si>
    <t>…otas D. Vicente y D. Manuel Beluan de Lis se ha Ea el juzgado de primera instancia de Toledo, y por el oficio da bía tranquilizado todo, y que en unión de otro* ciudadanos armados D. Juan Josef de Lara, escribano del número, se siguen aut-r de tes ocupaban con inteligencia y aelo loa puestee avanzados de la izquierda tamentaría y ocurrencia de acreedores á los bienes qu: dejó por su fa llecimiento Doña Leonor María de Meca, vecina que fue de dicha ciu de la…</t>
  </si>
  <si>
    <t>Lara, Juana Manrique de</t>
  </si>
  <si>
    <t>Juana Manrique de Lara</t>
  </si>
  <si>
    <t>…idad.Dó ao de .\bril de 1655 : otro en el tercero y cuarto uno por roo de Má ciles a mis anticipados avisos , permanecisteis tranquilos en vuestras cr laga de 2.2503 mrs. en la de Doña Juana Manrique de Lara, su fecha ias , abr st■-;&gt; sus puertas al egército constitucional , le franqueasteis 27 de Noviembre de 1599: otro en los naipes de Castilla de 750® vn siró, auxil os , y él lo respetó todo como sabéis. Algún exceso par mrs. tu dos privilegios, uno de 574,653…</t>
  </si>
  <si>
    <t>Lara, Martin de Pineda y</t>
  </si>
  <si>
    <t>Martin de Pineda y Lara</t>
  </si>
  <si>
    <t>…la patria. imprenta de ia de Octubre de 18*0; y en su consecuencia mandamos La Nación española puede y debe esperarlo todo de la sabiduría, ue se lleve 4 debido efecto. Los Sres. D. Martin de Pineda y Lara y prudencia, zelo y patriotismo de sus nuevos diputados, que no se olvi ). Josef Moreno Ramírez ,* ministros togados honorarios y de darán del juramento samo que han hecho de guardar la Constitución. I primera instancia de ata capital. En Madrid 4 tqdeFbrerod…</t>
  </si>
  <si>
    <t>…o en que abundan. Díjuse primero que ia muerte del lord Londonderri nada in TXISONA1.B1. fluiría en los negocios políticos, y no ocultaban sin embargo los rece Por providencia del Sr. D. Martin de Pineda y Lara, ministro to los que les causaba esta inesperada y fatal muerte. En Octubre te opi gado honorario de ia audiencia territorial de esta provincia, juez de naba de otro modo, pues decían que la muerte de aquel personage pro primera instancia de esta M. H. villa…</t>
  </si>
  <si>
    <t>…egún música del batallón de voluntarios. Ei paseo de ia entrada de la ciudad su estado. y sus calles se llenaron del inmenso gentío de los vecinos de esta y pa Por providencia del Sr. D. Martin de Pineda y Lara , juez de pri triotas, que emigrados de las poblaciones invadidas por los enemigos mera instancia de esta M. H. villa de Madrid, se c.ta, llama y em de nuestras libertades patrias, buscaron un asilo en este baluarte de ellas. plaza á D. Juan García halas , co…</t>
  </si>
  <si>
    <t>…enería en hacer fuego, .4 fin de evitar juzgado , y les parará el perjuicio que haya lugar. hasta el mas mínimo pret xto de desavenencia* con alia*, liando asi Por providencia del Sr. D. Martin de Pineda y Lara, juez de qu- los facciosos se prevalían de le ventaja pare resistir maa qua lo hu primera instancia de esta heróica villa «la Madrid, w cita, lla bieran h cho en otra posición. ma y emplaza 4 D. Joeef Mingo Otalora , natural de la villa de Po» La llamada rege…</t>
  </si>
  <si>
    <t>…, Sr. secretario del del trbunal , y la scnt-ncia que en su ausencia y rebeldía te diere la Despacho de la Guerra." parara igual pejuicio que ti se presentara. Por providencia del Sr. D. Martin de Pineda y Lara, ¡u:z de pri El común dante general del primer distrito en a 8 de Diciembre da mera instancia en esta M. U. villa de Madrid , se cita , llama y em parte a, Excmo. Sr. ministro de la Guerra de haber sido denotada la plaza á todas y cualesquiera personas que se…</t>
  </si>
  <si>
    <t>Laranta</t>
  </si>
  <si>
    <t>…jetar al Gobierno , á las Corta* y a las autoridades-si esta* cor tenían. poraciones pudieran pedir para todos ao general. H nut visto también Respecto del art- a.* ha padecido el Sr. Laranta una equivocación los excesos que se han camet.do por estos cuerpos en otras partes de cuando ha dicho que se halla ya prevenido en el código;' porque aun Europa. En Francia uña corporación'da París llego á dptainar a la con que muchos de estos- artículos se e…</t>
  </si>
  <si>
    <t>Larr-átegui, Josef</t>
  </si>
  <si>
    <t>Josef Larr-átegui</t>
  </si>
  <si>
    <t>…números 77 y 78, en concepto de subversión y sedicioso. Güicmacion dé la Península. Ea su vista te reunió el jurada , compuesto de :os i res itwifM-s: D. Dominio Fernandez Angu’o, D. Josef Larr-átegui, D. Pedro Ma Decreto de lar Corter en que se comprenden cinco de la* medí" tute, D. Andrea Alton, D- Joaquín Ro-z , D. G-spar Aaul.era, Don das aprobadas por las misma* para ocurrir al estado actual de la Na Isidoro de Moyos, D. Josef Anton o Ponzoa y D. Srnt…</t>
  </si>
  <si>
    <t>Larraga</t>
  </si>
  <si>
    <t>…, y 10 en rústica,-en las contra el autor del impreso titulado Núm. 3.a Plática con hurtaret de librería* de Sanz , de Antoran y en la imprenta de Dávila. También jermon del mismo cura Larraga, dada á luz por el l)r. D. V. de A.-, se completará á los que las han comprado por tomos ó nóvala* sueltas, pero advirtieion que la denuncia cr* informal, y que fallaba la licen y no tienen la colección entera. cia expresa del ordinario, no obstante tratara*…</t>
  </si>
  <si>
    <t>Larraita, Re</t>
  </si>
  <si>
    <t>Re Larraita</t>
  </si>
  <si>
    <t>…D. Matías Sanmartín, D. Juan Bautista Antoni, D. Joaquín La comisión Eclesiástica, en vista de la exposición de Fr. Basilio Romaguera, D. Pedro Cordobés, D. Pedro Pascual Liob-t, D. Re Larraita, carmelita descalzo en Vizcaya , quejándose de no habérsele non Gascón y D. Vicente ¿.lopis, canónigo, después de haber exami despachado sa secularización por el obispo a quien corresponde, opina nado el impreso y la denuncia , declararon por unanimidad de vo…</t>
  </si>
  <si>
    <t>Larraza, Francisco Antonio</t>
  </si>
  <si>
    <t>Francisco Antonio Larraza</t>
  </si>
  <si>
    <t>…lorez Calderón, primer ayudante vocado y reunido el jurado, compuesto de los sefiores D. Francisco Ig del batallón de la milicia activa de Búrgoa, con 670 rs. al mea. nacio Marti, D. Francisco Antonio Larraza, D. Francisco Hidalgo, Asiorga al capitán D. Manuel Arguello, segundo ayudante del re D. Martin Fernandez Elias, O. Manuel Moreno de Mora, D. Josef gimiento infantería de Galicia, con dio rs. María Viilaranda, D. Gerónimo Martínez Enrile y D. Juan Bautista Al…</t>
  </si>
  <si>
    <t>Larrc, Manuel</t>
  </si>
  <si>
    <t>Manuel Larrc</t>
  </si>
  <si>
    <t>…na guaira muy nctiva i las turcos de Epito; y h« co D. Miguel López Baños, D. Demetrio Q-Duly, D. Carlos Espinosa y el gido muchos convoyes de municiones destinados para la Mores. brigadier D. Manuel Larrc, resolviendo ¡a dona de si debería ser con ar Por alguno» buques que hoy han llegado de Corfú te ba rábido, reglo al reglamento de t8tt y 1815, dijo que el Gobierno consultó á aunque no con1 seguridad, que las fortalezas de Modoo, Coron y Napoii la a .ambla d…</t>
  </si>
  <si>
    <t>Larrc.legui, Josef</t>
  </si>
  <si>
    <t>Josef Larrc.legui</t>
  </si>
  <si>
    <t>…nsiva de Sres. qua lo creyeron sed cioso: D. Josef Demetrio Rodrigues, una Real orden sobre pagos As medias anatas. ( Gaceta del xa. ) D. Bernardo Asen jo, D. Jotef María Pucnt* y D. Josef Larrc.legui* EN LA IMPRENTA NACIONAL.</t>
  </si>
  <si>
    <t>Larrcatcgui, Josef</t>
  </si>
  <si>
    <t>Josef Larrcatcgui</t>
  </si>
  <si>
    <t>…1 de Diciembre último sin coa puesto de lo» señóte» siguientes. D. Manuel Estiban Catai, D. Ra tas , declarándose que la formación de esta causa no debe perjudicar fila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t>
  </si>
  <si>
    <t>Larrea, Rafael</t>
  </si>
  <si>
    <t>Rafael Larrea</t>
  </si>
  <si>
    <t>…, y en donde traté da dar algún descanso á V. S. que á las once de la noche del 28 de Agosto último el cabo ti.i tropa, que se hallaba en extremo fatigada y falta de alimento. Loa D. Rafael Larrea con siete soldados del cu-rpo de mi mando atacó á anémicos, después de hab.-rse d.sp, rsado tn diferentes direcciones , Tan la b. ycneta entre ,\»o y Salvatierra á 50 facciosos , á los que dispersó perdido sobre 30 muertos en el c»mpn , y ss les han cogido ad…</t>
  </si>
  <si>
    <t>Larreategui, Josef</t>
  </si>
  <si>
    <t>Josef Larreategui</t>
  </si>
  <si>
    <t>…ue, disfrutando una él jurado compuesto de losindivlduos siguientes! D. Isidro Merino, Do* pensión regular, no querían sujetarse á un trabajo considerable como Josef María Pueble, D. Josef Larreategui, D. Gregorio Mendivil, Doa «t el de que se trataba. Por estas razones fue de opinión qué no debía Josef Radon, D. Francisco López Olavarrieta, D. Antonio María Es •probarse el dictamen de la comisión en su totalidad. - pejo, D. Matías Pínula, D. Tomas Marta Z…</t>
  </si>
  <si>
    <t>Larrínaga, Francisco Antonio</t>
  </si>
  <si>
    <t>Francisco Antonio Larrínaga</t>
  </si>
  <si>
    <t>…o que en atención á tener noticia de barcaciones que había apresado, que son el quechemarin Sta. Ana, ca que el comisionado det Crédito público de Búrgos estrechaba á ios cu pitán D. Francisco Antonio Larrínaga,de Saioupara el Norte, el lugre na y beneficiados á que diesen razón de los predios rúst eos y urbanr.s, Victoria, capitán D. Justo Vilíavaso , y el bergantín Carmen, cap tan se declarase que dichos predios no debían aplicarse á la indemnización D- Manuel Rod…</t>
  </si>
  <si>
    <t>Larroque, Fcnpe</t>
  </si>
  <si>
    <t>Fcnpe Larroque</t>
  </si>
  <si>
    <t>…mera rio del merario del regimiento infantería do Navarra, id. tegimi-Mo infantería de la Princesa, id. Baeza a D. Ramón Capoileja, espitan de infantería y de&lt; bita1 lo» Toledo á D. Fcnpe Larroque, mayor comandante snperaumerarío de la milicia activa ele Oviedo; con loe 450 rs. al mea que disfruta de infam ría y sarst-nto mayor de la milicia activa drCuidad-Rea), &lt;d. en provincia. Tolosa i D- Francisco Arias Mercado, comandanta del primer ba Cádiz á D.…</t>
  </si>
  <si>
    <t>Larténdo, Pió</t>
  </si>
  <si>
    <t>Pió Larténdo</t>
  </si>
  <si>
    <t>…te, D. Pa coronarán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 ) na , D. Juan Elias Montano , D. Francisco Andrade, D. Manuel Gar articulo de oficio. cía…</t>
  </si>
  <si>
    <t>Lartolomé</t>
  </si>
  <si>
    <t>…•mpla/.aseii i lo» propietarias por mu.rte de estos, claro era Santiago de Rotalde. qu; no podía venticari! esto er» el calo presente. be mandó pasar á la comisión una adición de] Sr. Lartolomé al ar Ii¡ ir. T&lt; mas; he quiera dar una grande importancia á esa circuns tículo i.u del dictamen -probado respecto de los tesoreros de provincia, tancia de que se ha hecho mérito. ; Y no será ¡a misma imposibilidad relativa á que la» Corta» declaren que la ex…</t>
  </si>
  <si>
    <t>Lasa, Manuel</t>
  </si>
  <si>
    <t>Manuel Lasa</t>
  </si>
  <si>
    <t>…s que produce la discordia; hemos visto por desgra La comisión de Poderes, habiendo exam nado Tos presentados por na empañarse acuella unión que reanimó los corazones de todos los D. Manuel Lasa la, diputado electo por la provincia de Aragón, opi aro::; tes d: la C &gt;nstituc*on en los primeros períodos de nuestra regene naba que debían aprobarse por estar conformes á la Constitución. ra; on política , y que horrorizó á.ios defensores de la titania. Co…</t>
  </si>
  <si>
    <t>Lasada</t>
  </si>
  <si>
    <t>…o. ción del médico, acompañando las recetas que hubiese dado. 1.“ Que Las Cortes acordaron dicha próroga. no están destinadosotros fondos ó concordias para estos gastos que lot El Sr. Lasada dijo que el Sr. Martínez de la Rota habia tratado de de p-nas de Cámara, calificando este aserto con su informe los ayunta inculpará la comisión ; y por esto no podía menos de contestar á S. S. mientos; y 3-°Con certificación del alcaide en que exprese el núm…</t>
  </si>
  <si>
    <t>Lasala</t>
  </si>
  <si>
    <t>…al Sr. Isturiz. En primer es adoptarte. crutinio tuvo j8 votos el Sr. Valdés (D. Dionisio), 63 el Sr. Surra, Los Sres. Casas y Lodaret presentaban voto particular sobre esta a el Sr. Lasala, y uno cada uno de loa Sres. Ruiz de la Vega, Oliver adición , opinando en él que debía admitirte, y en su consecuencia y Scptien. Total 126. No habiendo reunido ninguno de dichos Sres. la redactarse el art. 1." en estos términos: ■ Todos los terrenos de bald…</t>
  </si>
  <si>
    <t>Lasala, Manuel</t>
  </si>
  <si>
    <t>Manuel Lasala</t>
  </si>
  <si>
    <t>…entrada y salida de los frutos y Leída y aprobada el acta de la anterior, entró á jurar y tomó asien géneros no se debían cobrar otros derechos que los prescritos en el ana to el Sr. D. Manuel Lasala, diputado por la provincia de Aragón. ce! general, y que en lo tocante á los derechos de consulados pasase La comisión de Guerra, en vista del expediente promovido por los este expediente á la comisión de Aranceles para que diese su dictamen. oficiales del cu…</t>
  </si>
  <si>
    <t>…terribles palabras: » Vengo corriendo D. Mariano Gudal, D. Celso Píanzon, D. Juan Bucle, D. Pascual del continente á deciros que el fanatismo y la intolerancia vuelven á Pratosi, D. Manuel Lasala, D- Miguel Gavara y D. Dionisio Ma recobrar alli su imperio: mirad lo que vais á hacer; admitiendo 4 loa rín, que lo hicieron en los expresados días. Luego que el alumno católicos os exponéis i introducir en vuestro seco unos enemigos de concluía su discurso,…</t>
  </si>
  <si>
    <t>Lasan</t>
  </si>
  <si>
    <t>…o que ha tenido la comisión para proponer este artículo de esta clase que pasen á la milicia activa serán considerados para su as (y con esto contesto también i lo que ha dicho el Sr. Lasan ta) es censo i capitanes como los ayudantes actuales de milicias; por manera que hay un porción de hechos ocurridos en Cádiz j en otras partes que abonándoseles el tiempo que hayan servido en el egército en lai que han precisado al Gobierno á consultar al con…</t>
  </si>
  <si>
    <t>Lasanta</t>
  </si>
  <si>
    <t>…nducta relajada, y por desatender las obligaciones marídales culpr á las Coi tes de modo alguno; y que en cuanto í la pragunta del ha causado el extravió de su consorte.” Otra del Sr. Lasanta al artícu Sr. Quiroaa podía decir que se habían enviado comisionado* á las pro lo Ó85, que decía asi: » Pido á las Cortes que si el marido fuese convine as disidentes, menos á laNueva-España, por estar en aquella oca vencruo en juicio de consentir el adulteri…</t>
  </si>
  <si>
    <t>…, &gt;785 y *79» ; *e advierte á la persona .&gt; perso labras , y solo se añadían las de anagramas ó alegorías. nas en cuyo poder se hallen con cualquier motivo los presenten en ia F.l Sr. Lasanta dijo que después de la palabra particulares quisiera oficina general de renovación y expedición de documentos del Cted ;j que se añadiese ultrajando su conducta privada , por usarse de le mis público i la posiMe brevedad, donde se instruirá al tenedor o tened…</t>
  </si>
  <si>
    <t>…a denuncia en el juicio de cali faliblemente, sino que seguirá el j.ncio hasta «acarlo de los y ficación.” llevarlo á esa comisioo osuda, de ruido que los que hada a o:a se han El Sr. Lasanta se opuso á este articulo , manifestando que en su podido salvar de la bueni fe de los síndicos de los ayuntamiento* y d* concepto no había motivo para variar io prevenido en la ley de a 2 de la sinceridad de los fiscales nombrados, ro podrir iogratic en i o*…</t>
  </si>
  <si>
    <t>…rovincias que hubiesen permanecido adic derecho de petición. ( Víate tn la gaceta Je 3 del corriente.) tas i la metrópoli, ó hiciesen esfuerzos contra los disidentes, v que las El Sr. Lasanta expuso que todo lo que se trataba en este proyecto de Cortes declaren que las provincias de Ultramar que se han declarado ley estaba ya acordado por las Cortes en el código penal, y lo que no por la independencia no deban tener diputados en las Cortes de Es e…</t>
  </si>
  <si>
    <t>…Encargado de España Continuó la discusión del articulo 8.° del proyecto de ley sebre el como si fuera un súbdito español. No sabemos qué recibimiento ten- derecho de petición. El Sr. Lasanta impugnó el artículo, opinando q;.: no habían abusa «fcia; «■»— es de presumir que no haya sido el mejor. Salió de España sin pasaporte; pero no faltó un pueblo en que supo adquirírselo, sin que do las autoridades del derecho de petición, y per c en,¡guíente q…</t>
  </si>
  <si>
    <t>Lasante</t>
  </si>
  <si>
    <t>…ata haca un trabajo tan contra la Diputación permanente causaría un dado tan grande y de tan importante. ta consecuencia como el que atentase ¿ trastonar y destruir la Constitu El Sr. Lasante opinó que en la articula en que hubiera que haca ción del Estado! Estoy muy distante de pensarlo, y mucho menos de alguna variación se podrían hacer por fot Sres. de la comisión, sin aprobar lo que algunos políticos han dicho en.descrédito de la Diputa perjui…</t>
  </si>
  <si>
    <t>…que fueron hl ór. Romero ALpuente se opuso ai provecto en &gt;» totalidad, y Cspultados por un coronel ingles. fue impugnando cada articulo separadaia nt: «cespito de. 1. d.jo que El Sr. Lasante ha impugnado el art. 4.* sin leer la última parte que el adjetivo inJMJuM «pie en él se poma era una desventaja positiva pa dice: s Los cinco primeros que suscribieren quedan responsables ade ra usar de este d.recho «le petición; tanto mas, cuanto la misma Co…</t>
  </si>
  <si>
    <t>…s de la mayor deben exponer cuanto conduzca .al bien de la Nación. urgencia.se active enérgicamente la recaudación de las contribuciones Por loque hace al art. toba manifestado el Sr. Lasante lo conve decretadas por las Cortes para el afin,económico.pfCMMc, como que niente; pero sin embargo debo manifestar lo que sucede muchas veces. depende de la puntualidad con que esta se ejecute la «fe la asistencia de Es verdad que ha habido muchos alborotos…</t>
  </si>
  <si>
    <t>Lasaras</t>
  </si>
  <si>
    <t>…que db: mear en Clarisa y Superior, cuatro lanrba» con un callón cada una, y do» bote* los paragrs donde estos ángeles de la soledad ae eeuren para cantar as armados, al mando del teniente Lasaras. alabanzas de Dios.” Según el Eco áel Mediodía te ha tomado esta __(Iu carta escrita en Sto. Tomas el 11 da Octubre dice lo siguiente: providencia con motivo da los muchos curiosos que acudían á dicha «Se he descubierto en Puerto-Rico une conspiración, que te…</t>
  </si>
  <si>
    <t>Lasen</t>
  </si>
  <si>
    <t>…ofi Callao con j9 hombres ¿ vista de S. Martin, quien se contentó con ciales del regimiento provincial de Alcázar de S. Juan , en que mani mirarlos sin estorbarles la entrada. El general Lasen» estaba en las fiestan su amor á la Constitución. cercanías de Lima con fuerzas muy respetables. S. Martin había salido Se recibió con agrado una exposición de D. Josef Fivaller, ce de Lima con el objeto de atacar á La*crna, y se aguardaban la* noticias diend…</t>
  </si>
  <si>
    <t>Láser</t>
  </si>
  <si>
    <t>…; pero que entendiese que su ánimo no El estado del Perú no es ta! como lo !¡i preser.iaJo el Sr. Sánchez: había sido hablar cont.a 5 S. ; que el Sr. Cuadra había estado , n el el general Láser na se halla en el Cuz.o, y ha declarado cap.tal á la que ministerio por muy poco tiempo, y esto sin dues había sido una des-</t>
  </si>
  <si>
    <t>Laserna</t>
  </si>
  <si>
    <t>…a por la vía de Panamá, como lo acreditó su pasaporte, fechado-en Lima próspera y. bstUatue. Xa nueva ley ha afianza«fc&gt; los intereses dd trono, en el citado dia, y firmado por el general Laserna, el que había vuelto pero nu lo* da lo» bombees «le Quienes hablo. De consiguiente esta in á entrar en dicha capital después «Te haber derrotarlo completamente á vocan lnirprtnctpios.de amafio ¿porque invocando el dogma de la legi San Martin. La precipitada-s…</t>
  </si>
  <si>
    <t>…ropa escogida, ocupaba las provincias internas de Guancaveli- doro Negrit, Antliemío Gazis, arquimandrita; Gregorio Constantas, ca, Tarma , Guamangi y Cuzco , adonde se dirigía el general Laserna, Juan Lagothetes, Latnpros, bijo de Nacos; Dionisio Petracio , ^písiquedan :o man liando en Jauja el mayor general Catitersc. Todo el egér- don Patonsas, Jorge Paillas, Jorge Aenian, Jorge Hetiopulo, Anas ciio le bm Martin no pasaba de hombres de mala tropa,…</t>
  </si>
  <si>
    <t>Laserne, Josef de</t>
  </si>
  <si>
    <t>Josef de Laserne</t>
  </si>
  <si>
    <t>…. ANUNCIOS. El Rey se ha servido conceder la gran cruz de la Real orden ame D. Antonio Franseri, director del monta pío «la médicos y boti ricana de Isabel la Católica al teniente general D. Josef de Laserne, carios «le esta corte, hace saber qua siendo pasado al término da ua capitán general y pí político superior del Perú, y ai coronel de in mes, que se señaló para qua las viuda* y h&amp;crfano* da lea facultativo* fantería msrques de Vallehombroso; y Is de comenda…</t>
  </si>
  <si>
    <t>Lastarria</t>
  </si>
  <si>
    <t>…de campo I&gt; Manuel Velsn». Se leyó y aprobó el acta de la anterior, y te mandó agravar á ella el Y el tercero estaba reducido á noticiar que el -r. D Jcuqu-n AIvoto particular del Sr. Lastarria , contrario á la aprobación dd articulo bistur, nombrado gefe político de Sevilla , había partido de Ordiba el ajo del código penal. 10 del corriente para encargaría de este destino, á consecuencia de ua Continuó la discusión de dicho código. oficio que le ha…</t>
  </si>
  <si>
    <t>Lata, Martin de Pineda y</t>
  </si>
  <si>
    <t>Martin de Pineda y Lata</t>
  </si>
  <si>
    <t>…del pueblo, TZIBOMALES. dieron motivo á que se tomasen providencias que no á todos parecie ron regulares. Se deseaba generalmente hacer salir de Barcelona á va Por providencia de D. Martin de Pineda y Lata, ministro to rios individuos; pero no se esperaba que se confundiera entre ellos á gado honorario de la audiencia territorial de esta provincia , y juez algunos que gozaban de una buena reputación, como parece que ha su de primera instancia de esta M. H. vill…</t>
  </si>
  <si>
    <t>…ectivo con el cómtamr pues al que no lo hiciere le parará el perjuicio que haya lugar. del alcalde del barrio y visto bueno del regidor del cuartel, tin que se Por providencia del Sr. D. Martin de Pineda y Lata, juez de pri les exijan derecho* por dichas certificaciones, según está mandado por mer* instancia da esta heróica villa de Madrid, te cita, llama y em Real orden de so de Enero de 1779. Lo que te hace saber é los inte plaza á D. Jotef Mingo Otalora, natural…</t>
  </si>
  <si>
    <t>Lateras</t>
  </si>
  <si>
    <t>…esto al dictamen de ia comisión, y con como Is única labia para salvarse del terr-ble naufragio que amenezs. cluyó diciendo que debe suspenderse U resolución de «te asunto, por El Sr. Lateras estará ya muy próximo al Cuzco, que ha declarado que en ello no se agravia la dignidad nacional, y *e evita el lomar me capital dtl Perú, quedando en Jauja Cantase son el egercilo.__P*r*ct</t>
  </si>
  <si>
    <t>Laterna</t>
  </si>
  <si>
    <t>…nfiarlo la 1 xpr . n camino dei ('.uzeo, y qu- s-- creía que el protector . ab-a&gt;Recibido pro de tus sentimiento., como á aiitoud.id tutelar de ru .tras lih Mr!.--, posiciones del general Laterna relativas á la evacuación del Petú, ci para asegurarle da su» votos , de lea del pueblo á quien repr... nía ,; u;</t>
  </si>
  <si>
    <t>Latios, Pablo</t>
  </si>
  <si>
    <t>Pablo Latios</t>
  </si>
  <si>
    <t>…pu s si aquellos derra D. Jos f Comitre a.400 rs. D. Manuel Caballero 1300. D. Manuel maron en blandís la sangre agsna, estos vertieron en París la suya pro A'carar, menor, 1110. D. Pablo Latios 10. D. Joscf Martínez de pia con un furor sm cgempío. Hu-lado 430. I). Martin Latios 100. D. Alvaro Sai.clicz aoo. Seño En una pa'.ab a tuda la historia de España se le olvidó de repente al res H-rnandez fí rmanos 200. D. Joscf Monroy 160. D. Ignacio escritor…</t>
  </si>
  <si>
    <t>Lator</t>
  </si>
  <si>
    <t>…a a los M. R A. arzobispos y obispos de riscal Aiin r&gt;ch , y que en consecuencia algunos emigrados de Caracas . España.” se est iran preparando para reer sar á aquella capital. El general Lator. Quedó aprobada la siguiente de los Sres. Bauza, Lagasca, Rubinit, re li .bu salido de Puerto-Cab lio para la provincia de Coro , en donde Flores Calderón , Soto y Pedralvez. s hallaba al frente de 3O hombres, y estaba en comunicación con •&gt; Hallándose las pi…</t>
  </si>
  <si>
    <t>Latorre</t>
  </si>
  <si>
    <t>…con&gt;.derarlos acreedores á la remuneración de este importante servicio.** clarar si habia ó no lugar á la íu.macón de causa, y saíieion los señora siguientes: Por carta del mismo general Latorre, escrita en. Coro en 14 de Ene D. Josef Demetrio Rodríguez, D. Josef K.iitr, D. Antonio Dias ro último, se sabe que dicho general, después de haber mandado salir del Moral, D.Carlos Romeral, D. Mamerto Landaburu , D. Francisco de Puerto Cabello varias expedic…</t>
  </si>
  <si>
    <t>…del Zamora............ *4*.385.............. 101,1 •fio de 9/ , podían las Cortes mandar que se hiciese el sorteo con arre Zaragoza.......... 3*5.***-.......... **3.6 glo £ él. El Sr. Latorre opinó que en caso de haber algún perjuicio ó desigual 11.248,016 7983 dad , se podría subsanar en otro repartimiento. 3.* La diputación provincial repartirá d cupo asignado £ cada pro El Sr. Salvé contestó que ninguna duda podían tener las diputadovincia entr…</t>
  </si>
  <si>
    <t>Latorre, Miguít de</t>
  </si>
  <si>
    <t>Miguít de Latorre</t>
  </si>
  <si>
    <t>…ficado; conferencias verbales que he tenido con el Sr. general en ge fe del egército pero como sea pasado dicho término sin haber comparecido, se fia expedicionario de Costs-firme D. Miguít de Latorre, bajo cuyos prin preceptuado en auto de 6 del corriente te vuelva á anunciar en dichos cipios se han establecido los precedentes artículos , quedo convenido en periódicos por seis dias mas, contados deide el en que se publique,pa ellos, y conforme en cuanto c…</t>
  </si>
  <si>
    <t>Latorte</t>
  </si>
  <si>
    <t>…a de acuerdo sobre las futuras operacio Idem ai dt Enero. Con respecto 4 Costa-firme corre lo siguiente: nes de la campaña, ti gefe del estado mayor el general Diebinch , que » El general Latorte se dirigió por mar de Puerto-Cabello i Coro; y des fue llamado últimamente á Petersburgo, ha vuelto desde aquella capt- embarcando á sotavento reforzó 500 hombres que llevaba, surtiendo .tal i Besarabia con instrucciones recibidas directamente del Emperador.…</t>
  </si>
  <si>
    <t>Latre, Manuel</t>
  </si>
  <si>
    <t>Manuel Latre</t>
  </si>
  <si>
    <t>…h» dado licencia alguna absoluta ni temporal; pero sin embargo lo diferenciase de sus compañeros. se csti esperando una orden del dia que contenga algunas disposiciones g.° Que al brigadier D. Manuel Latre le corresponde U que por el relativa» á esto. Reina la misma incertidumbre en lo respectivo al nú art *3 se designa i los gefes de cuerpos, autorizando también al Go mero de conscriptos de este afio, y generalmente sobre si habré quin bierno pan que le conced…</t>
  </si>
  <si>
    <t>LaUave</t>
  </si>
  <si>
    <t>…exigir la responsabilidad ¿ algunas personas, ya lo harían, y pafieros nuestros , y en haber coatribu ¡do con tu zelo é ilustración í Verían si el matrimonio de que ha hablado el Sr. LaUave es legítimo todos nuestros trabajos, toa diputados qne fueron elegidos por las pro ó no. vincias cuando estas pudieran hacer una elección libre, y tm poderes Se declaró en seguida suficientemente discutido este asunto, j asi fueron aprobado* por las Cortes; p…</t>
  </si>
  <si>
    <t>Laureano</t>
  </si>
  <si>
    <t>…a , D. Juan Domingo Iza, D. Antero Basaguren, D. Manuel Dtl homicidio, envenenamiento, castración y aborto, y dt ¡ot qtu ptetnCasero y D. Josef Ramón Castillo; y los reglamentados D. Laureano dian para matar~ Eguilior , D. Ramón Eguillor y D. Francisco Eguillor. Art. 605. » Los que maten á otra persona voluntariamente con Madrid Sábado a6 dt Entro. premeditación y con intención de matarla , no siendo por orden de au toridad legítima, sufrirán la p…</t>
  </si>
  <si>
    <t>Lauriston</t>
  </si>
  <si>
    <t>…o ye la inspec ción de la artillería de tas p.aras del departamento de lot Pirineos Canción patriótica puesta en música nueva para guitarra elogiando oriental's. Aseguraban que el general Lauriston , á quien designan co el valor y bizaría con que pelearon y salieron victoriosos lo* milicianos mo comandante en gefe del cordon sanitario, se preparaba 4 salir para y demas guarnición de Madrid el y de Julio de 182a. Se hallará gra su destino. bada 4 a ra. e…</t>
  </si>
  <si>
    <t>Lavandera, Mateo Pablo Diaz de</t>
  </si>
  <si>
    <t>Mateo Pablo Diaz de Lavandera</t>
  </si>
  <si>
    <t>…o que le ha Rey D. Felipe v de la clase de extraordinario, señalado con el núme ce de los mas sanos. Se admiten memoriales hasta el último dia del ro 838, perteneciente entonces á D. Mateo Pablo Diaz de Lavandera y próximo Abril, y se dirigirán á D. Josef Gregorio de Castro, secreta Doña Manuela Petronila de Urtusaustegui, marqueses que fueron de rio de su ayuntamiento constitucional. Torrenueva, y en el dia á sus herederos-, y tiendo preciso acreditar la Se halla vac…</t>
  </si>
  <si>
    <t>Lavid, Francisco</t>
  </si>
  <si>
    <t>Francisco Lavid</t>
  </si>
  <si>
    <t>…a ley 20 del mismo libro, La comisión segunda de Hacienda, en vista de la solicitud de Don se oponía á la aprobación de este dictamen mientras no se hiciesen al Pedro Ruiz Sainz 7 D. Francisco Lavid, síndicos del concurso de aeree- gunas excepciones. dotes de-D. Juan Lobato, pidiendo que para satisfacer á los mismos se El Sr. Velatco dijo que los párroco* no podían dejar de ser dignos permiticM Ja rifa en la lotería aaoderna de varias fincas de la misma…</t>
  </si>
  <si>
    <t>Lazcano, Josef María</t>
  </si>
  <si>
    <t>Josef María Lazcano</t>
  </si>
  <si>
    <t>…ptovincia de Car pu-rs.. los alaridos y bramidos de las fieras en la abominable me tagena. moria del alto de 14, lo* patíbulos de Nápoles, una noche eterna da Pamplona interventor D. Josef María Lazcano, cap tan ret'rado y horror y de esclavitud para la España : la Espada h.róica en todos oficial de aquella contaduría, herido en persecución de ios fatcicso*. tiempos, y siempre desgraciada por el despotismo que la hizo el juguete Orense administrador D. Josef…</t>
  </si>
  <si>
    <t>Lbdares</t>
  </si>
  <si>
    <t>…revenido por las leyes f reglamentos sanitarios, Art. ti* n El reemplazó ddl egército permanente será anual.” cuidando de que se formen laa juntas de sanidad según lo que se es El Sr. Lbdares se opuso á esté articuló, manífestaüdóque por la fa tablezca en ellos.” cultad décima do las Cortes sa'estableciá que estas decretasen anualmci*El Sr. Olívet observó que no estando los reglamento» de que habla te al egército que debía existir •'podiendo llega…</t>
  </si>
  <si>
    <t>Lcll, Carlos</t>
  </si>
  <si>
    <t>Carlos Lcll</t>
  </si>
  <si>
    <t>…ia, gobierno y cumplimiento, y el de ¡os de del batallón ligero voluntarios de Barcelona , con 610 rs. mas empleados de esa provincia , previniéndole que me avise el reci Játiva á D. Carlos Lcll, segundo ayudante supernumerario del re bo. Dios guarde i V. S. muchos años. Madrid 9 de Agosto de i8aa.= gimiento infantería del Príncipe, con 610 rs. Mariano Kgea. Laredo al capitán D. Miguel Miranda, segundo ayudante supernu merario del regimiento infanter…</t>
  </si>
  <si>
    <t>Lcoca, Joscf Joaquín</t>
  </si>
  <si>
    <t>Joscf Joaquín Lcoca</t>
  </si>
  <si>
    <t>…el de Ñapóles y el de En la ciudad de Pamp.uua, reunido» los Sres. jueces de hecho Don Cerdefia. Los ministros aeran el príncipe de Mettermch , presidente Pedro Javier de Astram, D. Joscf Joaquín Lcoca, D. Manuel B r.10 nato, y Mr. Oentz, secretario del Congreso, por parte del A nutra; fcch vrna, D. rrancisco Javier Aoiz de Zura, D. Juan de Irazoz, el conde de Neseirode por la de Rusia; el conde de Brrnstorff por la D. Juan Domingo Zuvin y ALua, D. Lu s Gai…</t>
  </si>
  <si>
    <t>Lctisuadt, Benito</t>
  </si>
  <si>
    <t>Benito Lctisuadt</t>
  </si>
  <si>
    <t>…iendo gran parte de su vecindario mero de doo hombres habían entrado en la selva, envié tropas al man con lat gavillas de facciosos, motivo por el que en el último de ellos do del coronel D. Benito Lctisuadt pera que los atacase por el frente retiraron ayer sus ganado* en el momento que tupieron el tránsito de mientras que un destacamento del de Barcelona les cogía la retaguar mi tropa, sin haber visto nn solo hombre en ¿I. dia; pero esta combinación se deshizo á…</t>
  </si>
  <si>
    <t>Le</t>
  </si>
  <si>
    <t>…o también á sí mismo, y ha sella lado sus modoro, y les informó de la reclamación que había mandado hacer. El propios límites. Expliqúense pues sin rodeos, cuando se supone que el Sr. Le serna quedaba en Jauja con g9 hombres, y el Sr. Ramírez en poder que ha dado la Carta es superior á ella, ¿ se quiere por ventura Arequipa con otros SÍinsinuar que puede destruirla, oque la puede suprimir por una declara ción Real! En este caso nada hay ciert…</t>
  </si>
  <si>
    <t>…zs Florencia Ptrt- y Cumula. ramo que nace y depende de la prosperidad de ellas. ANUNCIOS. Si el estado en que se halla esta América no es bastante i dar 4 co Por providencia del Sr. Le. D. Salvador Guerrero, juez letrado dt nocer que tu comercio debe ser pasivo ínterin que no tenga produccio primera instancia de la villa y partido de Navaicarnero, dada en el dia nes tan cómodas y abundantes que puedan competir en otros mercados, 8 del corri…</t>
  </si>
  <si>
    <t>Le, Aniceto</t>
  </si>
  <si>
    <t>Aniceto Le</t>
  </si>
  <si>
    <t>…te- y de los oficiales el subten.ente D. Jcaqu.n Barrida, y e d- .a misma nientr D. Joaquín Moreno, se pusieron lodos en precipitada y vergon ciase D Ignac.o Tast-iy, y el lamente D. Aniceto Le: ms , -»-romeo zosa fuga, retirándose en peiorone* por distintos caminos, que p rsi- funcionas de ayudante de ¡a columna; una part.dadc ir. i,c&lt;-ros volun gui-.-ren con ardor nuestras guerrillas. Las ventajas de esta jornada han tarios d; Alcafiiz, a! d:i sar…</t>
  </si>
  <si>
    <t>Le, Nicolás Ga</t>
  </si>
  <si>
    <t>Nicolás Ga Le</t>
  </si>
  <si>
    <t>…nte discutido» quedó aprobado el te decidió que no fuese nominal la votación del dictamen de la comi diciamtn da la comisión. sión especial encirgida del examen de la solicitud de D. Nicolás Ga Le comiiicn especial encargada de informar sottra las medidas pro rrí i y sobre la adición de los Sres. Oliver, Ru i de la Vega y otros; y puestas por el Gobierno para la seguridad del Estadio, habiendo cami el de los Sres. Grases, Ruiz de la Vega, Isturiz , Sal…</t>
  </si>
  <si>
    <t>Leandro</t>
  </si>
  <si>
    <t>…reconocer los presentados por los sello- provincia de Mallorca, vacante por muerte da D. Esteban Briones, á res diputados para las próximas Cortes , había advertido lo siguiente: D. Leandro de la Barcena. i.° que en varias provincias por equivocación se empezaban lias elec ciones el síbado que precedía al domingo se Halado: j* que los secre Debiéndose proveer el destino que te halla vacante de médico del tarios y escrutadores en algunas parte* h…</t>
  </si>
  <si>
    <t>…laudio Boutelou, D. Josef Nostench , D. Mariano Joaquin di Varaivedc y su Península. En seguida dirigió su marche sobre Coro, Cosío, D. Pedro Fuenmayorj D. Francisco Javier Perez, D. Leandro en donde se le reunieron 400 bombees da fiaguerrillas, 4 quienes ar Pallares, D. Josef Anima, D. Vicente Martines Gómez , D. Anto mó con los fusiles que 4 prevención sacó da Puerto-Cabello, con loe nio María Guillen, D. Antonio de Quesada , D. Josef Diez de U…</t>
  </si>
  <si>
    <t>Lebrón, Josef María</t>
  </si>
  <si>
    <t>Josef María Lebrón</t>
  </si>
  <si>
    <t>…a. Marta de Ortigueira á Deuda con interes....................................................... 794. D. Nico'as de Barto’omé Alvarez y Pardo; para el de Puente de Ume i ANUNCIOS.D. Josef María Lebrón; para el de Santiago de Sisamo á D. Manuel Josef Silva y Cedrón-, para el de Vimiaazo á D. Manuel Bermudez Pi- En la villa de Pozuelo de Alarcon, conocida vulgarmente por Po m nt-li pura -I de Nova á D. Francisco Rodríguez Caballero; para el zuelo de Aravaca,…</t>
  </si>
  <si>
    <t>Leca, Josef</t>
  </si>
  <si>
    <t>Josef Leca</t>
  </si>
  <si>
    <t>…sea posible una, exacta pro A la comisión donde estaban los antecedentes se mandó pasar una porción entre el presupuesto de gastos y el de ingresos. Luego que se de exposición de D. Josef Leca meta. crete este plan, se tratará de ta redacción de un proyecto de Constitu A la de Negocios eclesiásticos una exposición de D. Josef María ción , tanto para las provincias en particular como para la totalidad del Valle, párroco castrense, y actualmente cape…</t>
  </si>
  <si>
    <t>Lecumberri, Juan</t>
  </si>
  <si>
    <t>Juan Lecumberri</t>
  </si>
  <si>
    <t>…esoreros. D; Real orden jo co migo hacia las once de la mañana, habiendo repasado ci tbro, lleván mún co a V. S. para su inteligencia y efectos oportunos.” dose a* alcalde prlm-ro D. Juan Lecumberri, en cuya r:litada se les Y lo patticipjmos á V. S. para los prop os fines, reiterándole cuan picó la retaguardia h uta el onvar. to le -ncaigarnos en nuestra orden d: 14 del corriente, a', comm ear e n E* resu tado de la acción no puede puntualizarse con resp…</t>
  </si>
  <si>
    <t>Lede, Miguel Antonio</t>
  </si>
  <si>
    <t>Miguel Antonio Lede</t>
  </si>
  <si>
    <t>…ista, y asi debió haberlo propuesto el fiscal en su escrito deldo en este asunto i excitación y por requerimiento del gefe político, foi. 93. Y no puede omitirse que presentándose D. Miguel Antonio Lede cuya orden procedió la aprehensión y arresto de D. Miguel Anto garía en el grado, pidiendo los autos para mejorar la apelación, se lenio Legarra. En la formación de esta causa hubo también alguna morosidad, aun concedieron pot término de seis dias. Si en ia s…</t>
  </si>
  <si>
    <t>Ledesma</t>
  </si>
  <si>
    <t>…emente en ellos la sentencia, y se egecotará en la cabeza del par £1 7,'9 7 8.° como están en el impreso. tida respectivo.” El art. 36, pirrafo *.° diré , en virtud de edición del Sr. Ledesma, El art. 100, en virtud de adición del Sr. Salvador, dirá: » En las pe lo siguiente : » i.° Si por la retractación legal.... ó de la certeza de U sa* que tengan tiempo determinado se empezara a 'contar este desde gravedad que se le hubiere dado en el juicio,…</t>
  </si>
  <si>
    <t>…s. gue.: de l.cdesma , que dió lugar i la formación de este reglamento. Se leyeron las siguientes •.liciones d-í Sr. VaMt.- D. Carmn - \ El '■r. Gonza ez Alonso : Es verdad que el Sr. Ledesma hizo una pro las cuales se mandaron pasar a U c &gt;:n de ti l .a •• P n &lt; ., posición; pero esta contenía dos puntos , á saber, que se resolviera si el Corte- que respecto haber declarado 1 los capellanes de recm ~t -» i- rproyecto de reglamento de policía habí…</t>
  </si>
  <si>
    <t>Legar, Miguel Antonio</t>
  </si>
  <si>
    <t>Miguel Antonio Legar</t>
  </si>
  <si>
    <t>…mo el ju:z de primera instancia, admitiendo los autos en grado ¿1 las ñicc.ons de Navarra, é inverificable el intento que se han propues apelación acerca del recurso propuesto por D. Miguel Antonio Legar to os 'acetosos , ó qut cuando le aquejaban las incomodidades y pri- ra para la declaración del indulto; y aun teniendo lugar la alzada , obró vacop-s d - aquella vda tras! uníante y llena de zozobras, se resolviese contra ella en los trámites de la sustancia…</t>
  </si>
  <si>
    <t>Legarra, M-guei</t>
  </si>
  <si>
    <t>M-guei Legarra</t>
  </si>
  <si>
    <t>…idado alternativamente á na» qu; sean apreh-ndr'as por ella huyendo d.spue» da haber e.irdo .01 comer mientras ha permanecido en nuestra ciudad , y parece que ie han los facciosos D. M-guei Legarra rs c.u.stai.l; que despuvs de hjb r es tratado con mucho miramiento: finalmenie cuando pasó por aquí el tado con la cuadr-l.a de Balda no se test ruso a &gt;u losar e &gt;..b .&lt; «ua conde Pozzo di Borgo tuvo con él una conferencia. las tropas andaban ;n persecución…</t>
  </si>
  <si>
    <t>Legarra, Miguel</t>
  </si>
  <si>
    <t>Miguel Legarra</t>
  </si>
  <si>
    <t>…es para su co pedia noticias que podrían conducir al buen éxito de las op.-raciones nocimiento y efectos convenientes en negocio tan importante, no de de la cuadrilla. Quinto; que D. Miguel Legarra no intentó siquiera jaron ninguna impresión en este buen abad. Pasados pocos días se vuel just.ficar en el plenario sus sentimientos y conducta patriótica , ó á lo ve á presentar Balda en la cate de aquel con 40 hombres de partida, menos pacifica en el tiempo…</t>
  </si>
  <si>
    <t>…argo y descargo, que pueden for cularidades que dejo apuntadas: y no puedo atinar cómo habiendo si marse en contra ó en favor de D. Miguel Antonio Legarra, habra ne do aprehendido D. Miguel Legarra en el santuario de S. Miguel da cesidad de hacer algunas otras rell x.ones cuando se trate de la justicia Excelsis, donde declaró que había estado con la partida de Balda, legal con que fue sentenciada esta causa. Y por ahora paso á manifestar compuesta enton…</t>
  </si>
  <si>
    <t>…cuyo motivo se ha señalado que nrd na la m-ncionada ley de 17 de Abril de 1811 , introdujo so para su secundo remate el 18 del corriente de doce á una de su mañana licitud rl reo D. Miguel Legarra para que se le declarase comprendi en la posada del Sr. D. Angel Fernandez de los Ríos, juez de prime do en el indulto que concedía el art. 1 .* del decreto de las Cortes de ra instancia , sita en la calle y casa del Sacramento , cuarto J. ’, por la *8 de Ene…</t>
  </si>
  <si>
    <t>…os reparable que la tala que conoció de este ne gocio en dos ocasiones hubiese estimado la solicitud de indulto que El Diaria Constitucional da Barcelona publica las siguientes no D. Miguel Legarra interpuso ante el juez de primera instanc.a , y cuya ticias : denegación te confirmó por aquella como queda expuesto. D go que n El cabecilla Romanillos con los ladrones y fatuos que componen aeriamenos reparable, porque, hablando con sinceridad , este punto…</t>
  </si>
  <si>
    <t>Legarra, Miguel Antonio</t>
  </si>
  <si>
    <t>Miguel Antonio Legarra</t>
  </si>
  <si>
    <t>…bajando i tierra; y auxilia sobre conspiración seguida en el juzgado de primera instancia de Pam do al efecto de su tripulación y de otra marinería , cargó primeramen plona contra D. Miguel Antonio Legarra, abad del lugar de Goldate el cañón de bronce que Alegre se había llevado de la barra del Ebro, raz T fenecida en la audiencia territorial de Navarra, lo que se me disponiendo á continuación se aprestasen todo* los barcos que se ha comunicaba , remitiéndome l…</t>
  </si>
  <si>
    <t>lo» circos y descargos que resultan de los autos para acusar 6 defender le ni supo de sus andanzas, siéndole forzoso i Legarra andar fugitivo, á D. Miguel Antonio Legarra en el crimen de conspiración contra el discurriendo por montes y despoblados , porque reconociendo su error, Gobierno constitucional. Pero no puedo abstenerme de presentar una temía que le prendiesen; pero siendo su ánimo presentarse á las autori ligera reseñ…</t>
  </si>
  <si>
    <t>…n la visita de una causa sobre hereditario que la misma Constitución establece. Este es el cuerpo do conspiración , formada en el juzgado de Pamplona &amp;c. delito de que fue acusado D. Miguel Antonio Legarra por haberse asociado á aquella cuadrilla, y por lo mismo de ser reo cómplice en De estas observaciones puede inferirse muy bien que aun siendo la .conspiración. Y aun fuera conveniente que se hiciese constar si ciertas todas las particularidades que manifestó…</t>
  </si>
  <si>
    <t>…familia humana, para poder darse maria, fijándose hipotéticamente en el supuesto de que siendo facc.oso, en vez de muerte un abrazo fraternal. ó habiéndose reunido á los facciosos D. Miguel Antonio Legarra , no •&gt; Se asegura también que los que componían el cordon en la parte había cumplido con las condiciones que exigía el art. 1.0 del c tado de Puigcerdi se retiraron antes que aquellos-, pera no hubo abrazos decreto, para que pudiese alcanzarle el favor d:t a…</t>
  </si>
  <si>
    <t>…oja misma ley. do, y tuviera buena voluntad de hacerlo Lo que se presenta mas ve Resumiendo pu’s mis notas y observaciones en los puntos princi rosímil y mora ¡mente cierto es que D. Miguel Antonio Legarra, ó pales que pueden llamar la atención d i Gobierno de S. M., entiendo: por n-cedad ó por ínteres, ó quizá por capricho, se unió delib-rada- 1 Que el juez de primera instancia de Pamplona que conoció de es mente con los facciosos para obrar con ellos, contand…</t>
  </si>
  <si>
    <t>Legarra, Miguel Antonio de</t>
  </si>
  <si>
    <t>Miguel Antonio de Legarra</t>
  </si>
  <si>
    <t>…ana quijotesca. autos. j.° Que dicho juez contravino á ley exprsa , determinando D spu -s de pulverizadas las excepciones propuestas por Legarra , que previamente la pretensión de D. Miguel Antonio de Legarra sobre que se cor.cr tan á circunstancias que acompañaron i la acción criminosa, se le declarase comprendido en «1 indulto decretado por las (.orles en es nut I hacer reflexiones sobre Jos demas artículos del interrogatorio, a8 de Enero de este año, porque deb…</t>
  </si>
  <si>
    <t>Legaspi, Esteban de</t>
  </si>
  <si>
    <t>Esteban de Legaspi</t>
  </si>
  <si>
    <t>…eo la expresada Mí. ic es a a D. De m turo Continúan lar exposiciones á la Diputación permanente de Cortee. Hurtado de Sanacho , medio racionero en la m.sma; y pata esta rauita á D. Esteban de Legaspi. Excmo. Sr. presidente y vocales de la Diputación permanente de Cortes: CREDITO PUBLICO. » El ayuntamiento constitucional de esta villa de Peñaranda de Bra Comisión especial de administración , recaudación y pato etc la ei'u ia. camente, comprendida en la pro…</t>
  </si>
  <si>
    <t>Leguie, Fermín</t>
  </si>
  <si>
    <t>Fermín Leguie</t>
  </si>
  <si>
    <t>…por lat venas de estos campe.roes, gloria y honor de la nación; tolo ha sido herido el caballo El Rey se ha servido nombrar comandante militar interino de la del «miente de Bailen D. Fermín Leguie. provincia de Murcia mi brigadier 1&gt;. Juan Espino, coronel del regi • La p ¡mera providencia que he tomada detpaee de la acción , ha miento de caballería dal Rey, 1.® da linca. sido poner en libertad á ti individuo* qua aa hallaban ea la cárcel p rr decidido*…</t>
  </si>
  <si>
    <t>Leída</t>
  </si>
  <si>
    <t>…UBI. SESo* VAIOBS (don CAYETANO). bado. La misma comisión , habiendo examinado la exposición de D- íiSe ¡ion Jtl iy. rnon Suariz , ex-menge profeso de la orden de V (i rúnitno , y capitán Leída y aprobada el acta da la anterior , se mandó agregar i ella el del egércilo expedicionario de Ultramar , relativa i que las Corte* dede-</t>
  </si>
  <si>
    <t>Leída, Juan María Pardos</t>
  </si>
  <si>
    <t>Juan María Pardos Leída</t>
  </si>
  <si>
    <t>…á la votación levantó la sesión á la una y media. tuvo el primero 84 votos, el segundo 8, y el tercero 34, quedando Setion ordinaria del sí Je Junio. de consiguiente elegido dicho D. Juan María Pardos Leída y aprobada el acta de la anterior, se mandaron agregar 4 ella Siguió la votación para elegir un administrador para loa bienea, ar los votos particulares de los Sres. Prado , Falcó , Eulate , Lodares, bitrios y pago de intereses , entre D. Joaquín Suarez de Vi…</t>
  </si>
  <si>
    <t>Leidan, Joeef</t>
  </si>
  <si>
    <t>Joeef Leidan</t>
  </si>
  <si>
    <t>…privilegiados que los demas partici La comisión de Infracciones, informando «obre la queja dada por pe» legos? Enuen, entren los comendadores también en la dase de es al ciudadano D. Joeef Leidan, vecino de Murcia, residente en esta tos; y noque siendo legos, quieran gozar del privilegio de eclesiásticos. corte , apoderado del vizconde da Huerta, contra d segundo juez de Por estas consideraciones opmo que no debe aprobarse el dictamen de primera, inst…</t>
  </si>
  <si>
    <t>Leit, Juan de Torres y</t>
  </si>
  <si>
    <t>Juan de Torres y Leit</t>
  </si>
  <si>
    <t>…nesta Sánchez del Pino, vecino que fue de la ciudad de la Corulla en 3 de noticia de haber sido atacada ia inviolabilidad de algunos diputados de Setiembre de 1734, que ha poseído D. Juan de Torres y Leit, para la Nación espafiola, se han presentado a su imaginación los enemigo* que dentro del término de tres meses acudan por síó por medio de pro de la libertad de Europa, celebrando una victoria en esta acción liber curador con poder bastante á deducir la acci…</t>
  </si>
  <si>
    <t>Lema, Juan Perec da</t>
  </si>
  <si>
    <t>Juan Perec da Lema</t>
  </si>
  <si>
    <t>…gtnu» asayere, c. ella Gerona á D. Raimundo de Unzaga, mayor comándeme supernu que siguen : merario del regimiento infantería Infante D. Carlos, id. Chinchilla al coronel graduado D. Juan Perec da Lema, coman Guadalajara á D. Josef Risetl, espitan de infantería graduado da dante de infantería. teniente coronel y del batallón de la milicia activa de Ciudad-Real, Tuy al coronel graduado D. Josef Llórente, comandanta de in con los 410 rs. ai mes que goza ea pr…</t>
  </si>
  <si>
    <t>Lena, Ramón de</t>
  </si>
  <si>
    <t>Ramón de Lena</t>
  </si>
  <si>
    <t>…una á esta solicitud en atención á las actuales circunstancias. exposición anterior , dirigida al Congreso nacional por el mismo ayun Otro relativo á la exposición de la viuda de D. Ramón de Lena, tamiento en 5 del actual, se referían los excesos cometidos ya en aque regidor que fue de la ciudad de Barcelona, para que se le continúe pa lla época por los soldados del segundo regimiento de artillería. Que gando una pensión que le fue concedida por los m…</t>
  </si>
  <si>
    <t>León</t>
  </si>
  <si>
    <t>…nada, que no ba costado i la Nación mas que las poner de su derecho y justóla en los autos de abintrstato dentro del h^r.dasque han recibido el capitán de milicia aeliva da Laredo D. León precito y perentorio término de nueve dias, que por tercero y ultimo de ia Bellota, el cazador ds la primara de Mallorca Manuel Fernandez sa les prefija y añal» en el expresado juzgado interino y escribanía del y el guia Juan Sió, es el fruto, cor.t nu&amp;cion y…</t>
  </si>
  <si>
    <t>León, Josef Obrera Ponce de</t>
  </si>
  <si>
    <t>Josef Obrera Ponce de León</t>
  </si>
  <si>
    <t>…o de un mes: y que las de mayor término Al mayorazgo que fundó D. Bartolomé Cabrera y Corveta, que hoy hubiesen de concederse con informe de los prelados locales por los dio posee D. Josef Obrera Ponce de León , vecino de las Cabezas, provin cesanos. En la de ao de Setiembre se mandó que la reunión de indivi cia de Cádiz, pertenece un juro en cabeza de dicho fundador de 1 .S;¡9 duos en los conventos subsistentes se entienda dentro del claustro, re-' mrs. de princip…</t>
  </si>
  <si>
    <t>León, Manuel I de</t>
  </si>
  <si>
    <t>Manuel I de León</t>
  </si>
  <si>
    <t>…ional de Zaragoza, el de la villa del Carpía, en I producto algunas obras indispensables: otra de la diputación provincial la provincia de Córdoba, uno de los párrocos de la misma D. Manuel I de León, para-que - se le tpruebe un impuesto de 5 por too con desti Sánchez Pcrez por sí y por el partido de Molina de Aiagon, y varita I no al pago de las dietas de los diputados de aquella provincia : otra individuos del regimiento de caballería de España, felicit…</t>
  </si>
  <si>
    <t>Leopoldo</t>
  </si>
  <si>
    <t>…V. E. por acuerdo de las m.smis, para que poniéndolo en copríncipe Ruffo que se encargue del ministerio de Estado ¡peso se ha ne gado á ello. También se ha hablado de declarar al príncipe Leopoldo nocimiento de S. M., se sirva dar las órdenes convenientes al efecto.” lugnr t.niente gneral con la cláusula de alttr ego ; pero en todos estos De orden del R-y lo traslado á V* para su inteligencia, y á fin irorioi entos bay pocas esperanzas para el partidoc…</t>
  </si>
  <si>
    <t>Leque, Fr.ncisco</t>
  </si>
  <si>
    <t>Fr.ncisco Leque</t>
  </si>
  <si>
    <t>…reúne el brigadier de los egércitos nacionales y director subiosdo por la ley de ty de Diciembre drl afio pn-xuno pasado, á fin de sector del cuerpo de ingenieros en Nueva-Espafia D. Fr.ncisco Leque remitidos al Gobierno por medio de las diputaciones provinciales sa maur , te ha servido conferirle el gobierno militar de la plaza de Vepudiesen adoptar con el debido conocimiento las reformas que se esti racruz , vacante por aalida del teniente general D. J…</t>
  </si>
  <si>
    <t>Lera, Martin da Pineda y</t>
  </si>
  <si>
    <t>Martin da Pineda y Lera</t>
  </si>
  <si>
    <t>…jaron á los facciosos i la bayoneta , protegidos de la caballería y TBIBI’NAIBS. oficiales dichos , que se mantuvieron sin perder un palmo ds terreno, En virtud de providencia del Sr. D. Martin da Pineda y Lera, mi aunque sin poder conchrir ds arrojar 1 aquellos de sus puestos, para lo nistro togado honorario déla audiencia territorial de Castilla la Nueva, que hubiera sido preciso traspasar lo* límites del territorio. Igual suerte y juez de primera instancia en est…</t>
  </si>
  <si>
    <t>Lérida</t>
  </si>
  <si>
    <t>…MARTES aS DE JÜNIO DE i8aa. NOTICIAS DI ESPAÑA. conservación del país comprendido en loa poeblot contribuyente», tía desatender cualquiera otro en que puedan ser ¿ules i la causa general Lérida 16 de Junio. de la provincia. El documento que aquí se ha publicado con el objeta de restablecer 8-° •» Siendo loa curas párrocos loe que tienen la posición mas ven la tranquilidad pública es como sigue: tajosa para destruir las ideas erróneas que te han intr…</t>
  </si>
  <si>
    <t>Lerma, Diego de</t>
  </si>
  <si>
    <t>Diego de Lerma</t>
  </si>
  <si>
    <t>…pueblos interiores el Telégrafo ,núm. 30 ,que empieza Jumilla a de Junio , como calum qu: los pioduc n, abundan las fábricas de pipas y toneles, que dan nioso é injurioso 4 dicho D. Diego de Lerma; se reunió el jurado, ocupan n y subsistencia á un crecido número de familias, en las cua compuesto de los señores siguientes: D. Gonzalo Cárdenas, D. Josef les se construye toda e*p*cie de tonelería con la misma y mayor per Radon, D. Santiago Delgado, D. Mig…</t>
  </si>
  <si>
    <t>Lerocei, Antonio Miguel</t>
  </si>
  <si>
    <t>Antonio Miguel Lerocei</t>
  </si>
  <si>
    <t>…ión con aquel deco que han impedido el cumplimiento del decreto sobre el repartimiento ro posible. Yo ruego á ia» Cortes que .a pencan el ju.c.o svbie la con d- baldíos: y otra de D. Antonio Miguel Lerocei, haciendo presente ia ducta de estas autoridades por solo la rp.ivin del far. pr.opinante; por necesidad de que se establezca una teneduría de libro» en las diputa ahora se presenta todo lo contrario del modo en que lo ve S. S. se ciones provinciales. pr sent…</t>
  </si>
  <si>
    <t>Lerrer</t>
  </si>
  <si>
    <t>…p ilaba urbanos. que debía accederse á dicha solicitud, y que se llamase al' sup.cnte. La comisión de Visita de! Créd;to púb'ico, en v¡»ta de la »¿ c:^n Aprobado. propuesta por el Sr. Lerrer al d -temen de la moma v»b-r la ip»r*» 1 a Otro sobre la instancia de D. Pedro Nicolás Astrasi, secretario del d- los ere titos contra el Estado pertcnec c r.t-'s 2 Saneo nac-ona ce -an ayuntamiento de Santiago, solicitando queco nene on a su» méritos Carlos…</t>
  </si>
  <si>
    <t>Les, Rome</t>
  </si>
  <si>
    <t>Rome Les</t>
  </si>
  <si>
    <t>…números desde el 501 al 547, ne derecho individual de representar á las Cortes &amp;c.; ¡ por qué se pone ambos inclusive. ese adjetivo mdñíiumt, que tanto ha llamado la atención del Sr. Rome Les dueños de los bultos presentados con sello acudirán el lunes ro Aipuente! Es muy fácil explicarlo, ▼ mas en la actualidad. Nadie 11 del corriente de 9 á 1 a la casa Nac.onal de moneda para hacer el re puede estar ignorante de esa multitud de representaciones…</t>
  </si>
  <si>
    <t>Les, Santiago Vicente</t>
  </si>
  <si>
    <t>Santiago Vicente Les</t>
  </si>
  <si>
    <t>…rres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 caballeros Pages, al catecú Habida la conferencia, declararon haber lugar í la formación de meno Majomet Ambar, adulto, de edad de…</t>
  </si>
  <si>
    <t>Lescura, Atanació</t>
  </si>
  <si>
    <t>Atanació Lescura</t>
  </si>
  <si>
    <t>…bjeto le calificación «le la otra parte de dicho periódico, atendiendo SS. SS. á de la segunda proposición con que concluye aquel, y cuando llegue el que no te ha oido ni citado i D. Atanació Lescura por no detener la caso de discutirle, entraré, ai el Congreso tuviese ábien oírme, en tu causa respecto «leí D. Benigno Morairs, se reserve acordar la corres examen detenido de la* reversiones é incorporaciones. Enare tanto ea pondiente providencia en su razó…</t>
  </si>
  <si>
    <t>Lessenne, Gerónima</t>
  </si>
  <si>
    <t>Gerónima Lessenne</t>
  </si>
  <si>
    <t>…no es tan pacífico como debía ser es Cayetana Martínez. Historia sagrada: Doña Manuela de Alday. Mú poique Ies extrangeros han hecho y están haciendo cuanto es posi sica: primero Doña Gerónima Lessenne: segundo Doña Teresa Uri ble p'M turbar t u stra tranquilidad interior, con el fin de hacer te.rible barri y Doña Benita Ochoa. Baile* primero Doña Manuela de Al y (dú o el s stema constitucional ; es porque han atizado con su oro, day: segundo Doña Carmen Cr…</t>
  </si>
  <si>
    <t>Lesundi, Benito</t>
  </si>
  <si>
    <t>Benito Lesundi</t>
  </si>
  <si>
    <t>…yo muertos : la tropa turo dos muertos El Sr. presidente suspendió la discusión de este asunto. y vanos heridos. Se mandó pasar á la comisión Eclesiástica una ad.cion de! señor El coronel D. Benito Lesundi, destacado en Poblet pan recoger las González Alonso para que los eclesiásticos que hayan sido p rrocos, y alhajas y efectos que hay en aquel monasterio, mientras que se verifi tengan cumplidos 40 años, no estén obligados á ia residencia de lo* caba la Operac…</t>
  </si>
  <si>
    <t>Letanía</t>
  </si>
  <si>
    <t>…e con nuestro arribo. Un considera Después de haher satisfecho el Sr. Gareli i algunas dudas propues ble número de personas á caballo se incorporaron con la comitiva, y tas por el Sr. Letanía. te aprobó el artículo. la milicia nscronal de caballera , los coches y carruajes de todas cía Art. 3.a *&gt; Son incitadores á la desobediencia en segundo grado lo* les se encontraban i derecha i izquierda del camino, y tan largo u.nescritos que la provoquen co…</t>
  </si>
  <si>
    <t>Letra</t>
  </si>
  <si>
    <t>…Velaaco y Lapoeru. Inscripciones coa intereses»^..........784 4 79. En la segunda votación ao hubo elección por tener j8 votos el Sé- ANUNCIOS. Sor J'tnenez, 43 el Sr. Abre,-ó el'Sr. Letra, 3 el Sr. Boey, g el Sa- Plan general de hacienda, presentado i las Cortes ordinaria] de 1811 Sor Marchámalo, a los Sees. Lapuerta y Cuadra, y nao lo* Sra*. Ría. porD. Francisco Gallardo Fernandez. En el estado de abatimiento en go, Argfíelles y Ligase» , sie…</t>
  </si>
  <si>
    <t>Letra, Manuel de</t>
  </si>
  <si>
    <t>Manuel de Letra</t>
  </si>
  <si>
    <t>…nor de edad pera D. Antonio Rcmon Zarco del Valle, en atención á haber sido elec que se deje robar ú buya con el solicitador, aunque nada da esto se lie* tos diputados á Cortes el brigadier D. Manuel de Letra y el teniente fue á verificar, sufrirá un arresto de quince dias á tres meses, y se le general D. Miguel de Alava, que desempeñaban dictas comandancias podrá ademas obligar á petición del marido, padre ó encargado de la generales también interinamente. person…</t>
  </si>
  <si>
    <t>Letre</t>
  </si>
  <si>
    <t>…da. Para vice-piesidcntc fue elegido el Sr. Domenech por 63 votos de — La dipnradon provincial de Barcelona intenta formar un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Tesorería general d…</t>
  </si>
  <si>
    <t>Lets, Antonio Romero de</t>
  </si>
  <si>
    <t>Antonio Romero de Lets</t>
  </si>
  <si>
    <t>…Jul'o de issi. tida de Jaén de 54 hombres, y otra de Valencey de 33 , en umon con A las ■ ■ de la roche. — G»s¡ar de Jiuregui. = br. comandante general los del comandante de Jaén D. Antonio Romero de Lets , cu&gt; a fuerza de ia provincia de ramplona.’" se compone de 140 hombres del batallón de HistalricK y 16 de caba Oopta del precedente parte se ha remitido por el m’smo coronel llería de la Rema, y la d.-l comandante accidental del a.J batai on de Jíuregui al g…</t>
  </si>
  <si>
    <t>Ley'en, Se</t>
  </si>
  <si>
    <t>Se Ley'en</t>
  </si>
  <si>
    <t>…Mamerto Lando al mismo tiempo en las costas á la compañía de Cárdenas. daburu el sueldo que gozaba este. (Gaceta del 21. j Sres. que absolvieron dicho artículo: D Casimiro Martin; D. Se Ley'en que. se habilita á los regulares secularizados para adquiría bastian Andrés; D. Andrés Alcon; D. Pedro de Matute, y D. Joscf bienes.de cualquiera clase y por cua'quiertítuio. (Gaceta del sy. ) Pió Santos. D claracion de las Cortes sobre los oficios de subalte…</t>
  </si>
  <si>
    <t>Leyzaota, Pedro de Landszuri y</t>
  </si>
  <si>
    <t>Pedro de Landszuri y Leyzaota</t>
  </si>
  <si>
    <t>…donde lo realizó el it que gundos dos ts. del propio género de lana, los que en parte pertenen va expresado. Y estando dispuesto salga de los citados puertos el día actualmente á D. Pedro de Landszuri y Leyzaota , vecino de tierra de i 5 del próximo Diciembre un buque correo de la armada con la cor Iciar, juritdicion de la villa de Deva, provincia de San Sebastian , y respondencia para Ultramar, se avisa al público para su noticia. anteriormente se conoció con el nom…</t>
  </si>
  <si>
    <t>Li</t>
  </si>
  <si>
    <t>…eñar sus funcio Cort-s estar cumplido io que habían mandado las mismas. nes , s no que se haya llegado hasta el extremo de acusar á un secreta Se l.yó la s guíente proposic;on del Sr. Li»: - Pido qu* las Cortes rio del l&gt;-spacho de estar complicado en un plan. Si los diputados son exijan la responsab lidad al br. ministro de la Guerra por hab-r sido el inriol. bles por su, opiniones, no lo son por sus calumn.as, v el secre autor de las última…</t>
  </si>
  <si>
    <t>…da reforma , cuando á lo menos en tiempo de lord Cast- — liace dos días que los periódicos alemanes guardan silencio so lereazh no existia semejante limos, porque por una pait- el lord Li bre las ocurrencias de 'a Grecia, lo que parece acreditar las noticias verpool tenia en favor desús ideas á muchos min st-os , y p .r ot a el venidas directamente á Francia y á Italia por el Mediterráneo. Si se ha lord Castlereagh, arrastrando tras sí a! duqu…</t>
  </si>
  <si>
    <t>Li, Beltran de</t>
  </si>
  <si>
    <t>Beltran de Li</t>
  </si>
  <si>
    <t>…de Madrid, podían discutir la ordenanza militar separadamente, y este ha sido el y este es muy moderno.' «le no guardar relación alguna de ninguna especie entre *1 lo* títulos El Sr. Beltran de Li*: Tengo entendido que se había extraviado de las ordenanza». Por egcmplo, las obligaciones de cada uno de lo* in un expediente relativo á exigirán Ja responsabilidad al gafe político da dividuos que componen el ejército nada tienen que ver con el código Madri…</t>
  </si>
  <si>
    <t>LI, Ramón</t>
  </si>
  <si>
    <t>Ramón LI</t>
  </si>
  <si>
    <t>…ito ruso del Oeste se conservará en zas, D. Gregorio Mrndivil , D. Antonio Puigblanch, D. Jos:f de sus posiciones; y abara se obsarva que están muy reconcentrados ios San Millan y D. Ramón LI rd. cuarteles generales de invierno del egército del Sur; y todas las tropas Habida la conferencia se declaró por unanimidad haber lugar á la se hallan repartidas de tal modo, qua en muy poco tiempo podrán Jormacion dt causa. reunirse si las circunstancias lo…</t>
  </si>
  <si>
    <t>Lia, Beitran de</t>
  </si>
  <si>
    <t>Beitran de Lia</t>
  </si>
  <si>
    <t>…go se uesinaba á los labrador», porque en rio á la resolución tomada por ha Corta nruando lo que aolicitaba el tonces valdrían menos sns frutos, y se paralizaba el comercio de los Sr. Beitran de Lia. •utrnot con perjuicio de la dase agrícola. El del Sr. Oiiver, contrario á la resolución de bs Cortet sobre U El Sr. Roset dijo que era necesario aprobar los depósitos de granos, proposición de los Sr». Canga y Adan , relativa al empréstito. porque en Cataluñ…</t>
  </si>
  <si>
    <t>Lia, Beltran de</t>
  </si>
  <si>
    <t>Beltran de Lia</t>
  </si>
  <si>
    <t>…enia sefialado i quién corres Discutido el punto suficientemente, no hubo lugar 4 votar sobre la pondían las informacionea sumarias sobre cualquier materia, y que los petición del Sr. Beltran de Lia. Sre*. diputados estaban sujetos á la lejr lo mismo que otro cualquiera. Continuó la discusión del empréstito. El Sr. Canga dijo que en asuntos que pesaban dentro de las Cortes El Sr. Ferrar (D. Joaquín) dijo: Vuelvo 4 tomar la palabra sobre ao debían entende…</t>
  </si>
  <si>
    <t>Lia, Vicente Bertrán de</t>
  </si>
  <si>
    <t>Vicente Bertrán de Lia</t>
  </si>
  <si>
    <t>…omitentes , y están obligado* El Sr. D. Joaquin de la Torre y Bossuet, fiscal de imprenta, de * egercerlos , no como á ellos les parezca, sino * gusto de ia Nación." sunció al br. alcalde D. Vicente Bertrán de Lia un folleto titulado La autora añade la nota siguiente: n Asi et que puede acontecer que Segunda conversación i diálogo de rus atravesador y un pastelero , en un diputado se encuentre en una especie de lucha entre su propio con concepto de subversivo. vencimie…</t>
  </si>
  <si>
    <t>Liado, Joaquín Gómez</t>
  </si>
  <si>
    <t>Joaquín Gómez Liado</t>
  </si>
  <si>
    <t>…litares se presenten en ellos á la mayoe dores de aduanas que se proponen en el decreto de ay de Junio de idas. brevedad. (Gaceta del 23. ) (Gaceta del 3.) Real orden mandando que D. Joaquín Gómez Liado, nombrado Ley en que te hace extensivo á la América meridional el decreto intendente general militar, ejerza desde luego las funcionas de su em de 8 de Junio de 18a 1 sobre minería. (Gaceta del í ) pleo. (Gaceta del 23. ) Circular del ministerio para llevar á…</t>
  </si>
  <si>
    <t>Lianas</t>
  </si>
  <si>
    <t>…dio 1 ano . de V mavicoc » n. P„ K.tov ioiilm nte reconocido a los s rv.cios que ha piestldo -I •iticjio a ¡a coni s &lt;de un c.-tnbit* a» s'bre ei --ne- br:eadi-r Vuo, el «ett.enie coronel Lianas. g-te d- u rhna mavor de Art 2.- -'ne actual coríTcta la Lis on , y deina.otica.-s de i» 5):o, guarde a V 'v.jm-hj d-ílto cay» de cmsízi-io, &gt;' b en «t. un naviftig o .» en ot: ma ano». Alcaiiíz U de D.cembredr .8aa.= E. barca de Orondelet.- nvn nt: ni« .[ir…</t>
  </si>
  <si>
    <t>Lido, Antonio Castellano y Ca</t>
  </si>
  <si>
    <t>Antonio Castellano y Ca Lido</t>
  </si>
  <si>
    <t>…; Tomas B'Ujr Salelles, para la del dePefiíscola, en la provincia de opinaba que se declarase no haber lugar á deliberar sobre ellas. A pro- Vah ncia, vacante por fallecimiento de D. Antonio Castellano y Ca Lido. bréis no , á D. Josef Antonio Duran, y para la del de Mahon , en la La comisión de Poderes, al reconocer los presentados por los sello- provincia de Mallorca, vacante por muerte da D. Esteban Briones, á res diputados para las próximas Cortes , había advertid…</t>
  </si>
  <si>
    <t>Lie</t>
  </si>
  <si>
    <t>…ión pública, y hacer mucho daño. Por ANUNCIOS.estas razones creo que no se puede aprobar el artículo sino en los tértninos que be indicado. Por providencia de 18 del corriente del Sr. Lie. D. Salvador Guer El ¿r. Martínez de la Rosa: No encuentro la dificultad que mani rero , ju-*z letrado de primera instancia de la v»lla de Naralcarnero ffiesta el Sr. Sancho de que la autoridad tenga que conceder permiso á su partido, refrendada por el escrib…</t>
  </si>
  <si>
    <t>…e despacho de esta miento de que pasado sin haberlo verificado , les parará el perjuicio que negocio. haya lugar. ' ’ Se levantó la sesión á las tres y cuarto. Por providencia del Sr. Lie. D. Salvador Guerrero , juez de prime ARTICULO DE OFICIO. ra instancia di la villa s partido de Navalcarnero, refrendada de tu es cribano Andrés Rubio Carrillo, se cita, llama y emplaza í las personas El Sr. secretario del Despacho de Marina con fecha de ayer…</t>
  </si>
  <si>
    <t>Líe</t>
  </si>
  <si>
    <t>…a, TxiaüNAias.bajo 'a vigilancia de 'as autoridades civiles , y cu tuda» .as costas. Debo hacer a’to aquí ar.tes de pu.r i ,'a determmac on de la audiencia. Ei Por providencia del Sr. Líe. D. Salvador Guerrero, juez de prime indudable q '« este juez conceptuó dci.i.cu nte á L garra- El dentó no ra instancia de la villa de Návalcarnero y su partido , dada en 20 del podía s r ot-o que el de que fue acusado, y sobre cuya perpetración corrí, nte,…</t>
  </si>
  <si>
    <t>Lifiaa, Pascual de</t>
  </si>
  <si>
    <t>Pascual de Lifiaa</t>
  </si>
  <si>
    <t>…onja lo mucho que confia en ten á cualquiera oficial del ejército de operaciones del mm4' del Ex la vigilancia y firmeza con que nuestro Gobierno protege los intereses celentísimo Sr. D. Pascual de Lifiaa, y reiteren en el acto el juramento del comercio. Aunque aqui se sabia la despedida del cónsul, y se igno que la dicha Constitución prescribe. México 8 de Marzo de 2821.=: raban las circunstancias posteriores, cuya noticia ha calmado hasta el Del Vcnadito. ma…</t>
  </si>
  <si>
    <t>Lifian, Pascual de</t>
  </si>
  <si>
    <t>Pascual de Lifian</t>
  </si>
  <si>
    <t>…n las ¡deas del coronel D. Agustín dd Excmo. Sr.sjoaef Joaquín Márquez y Donalic.=Ex^mo. Se. general Itúrbide, y las maquinaciones de sus infames secuaces, i quienes arras en gefe D. Pascual de Lifian.” tran mas sus propios intereses, su orgullo , vanidad y presunción , que A ¿a dividan de vanguardia por tu comándente gmeraf coronel di bien, la felicidad y la pac de sn desgraciada patria. Exterminemos D. Jote/ Joaqum Marquen y LKnalio. pms á estos monstruo…</t>
  </si>
  <si>
    <t>Lifinn, Pascual de</t>
  </si>
  <si>
    <t>Pascual de Lifinn</t>
  </si>
  <si>
    <t>…del tgéretto del Sur D. Pascual Dios guarde á V. E. meche.» años. Méxco Marzo io de i8at fi las de Uñan dirigido al Excmo. Sr. virey. seis de la taidrsDel Venad1to.3sEx1.n10. hr. D. Pascual de Lifinn.” » Excmo. Sr.: Ac topa Mo originales para el superior conocimiento non. 6.° de V. E. al oficio de 9 del corriente en Cuernavaca del V. comandan A la proclama del Excmo. Sr. virey, el cuerpo nacional de inge te general de le división de vanguardia de este eje…</t>
  </si>
  <si>
    <t>Liflan, Pascual de</t>
  </si>
  <si>
    <t>Pascual de Liflan</t>
  </si>
  <si>
    <t>…do por V. E. con el mando de la división de vanguardia del egér- oficio de vd. de hoy con lo* ejemplares de ¡a proclama que me inclu cito del Sur, que esté á las órdenes del Exmo. Sr. D. Pascual de Liflan, ye , tan militar como enérgica , tan leal como patriótica , y tan cató tengo el honor de poner en manos de V. E. los egemplares adjuntos de lica como sabia. Por tal producción doy á vd. las d.b.das gracias ea la proclama con que tus individuo* te complacen c…</t>
  </si>
  <si>
    <t>Ligardc, Gregorio</t>
  </si>
  <si>
    <t>Gregorio Ligardc</t>
  </si>
  <si>
    <t>…a. Querrá.” Cuarta id. Bolleros , vizcochetos f bufioleros. Juicio de jurador. Quinta id. Menuderos y tiipicallerot. Sexta id. Curredores y corredoras ambulantes de manufacturas y Don Gregorio Ligardc, en nombre del coronel y oficiales del regi comestibles. miento de Calsttdvi, denunció al Sr. alcalde constitucional D. Ra Cuyas especies se distribuirán en lu cinco clara de repartimiento món Cascllss dos párrafos inserto* en los núes*. 179 y 180 del DrVs» q…</t>
  </si>
  <si>
    <t>Ligier-Btiair</t>
  </si>
  <si>
    <t>…dene y vizconde Vasserot. La segunda, con su cuartel genere! ea ley civil establece varias formalidades para efectuar los testamentos, Toiosa, estera al mando del teniente general conde Ligier-Btiair, quien ly c:&gt;n que objeto&gt; con el de que se sepa la última voluntad del que mandará todo» los regimientos de inDntería y caballería que se haiian ba testado, ten.endose presente al mismo tiempo que no puede ya de- en los departamentos cel Arriege , Ajo Gerona…</t>
  </si>
  <si>
    <t>Líi, Beltran de</t>
  </si>
  <si>
    <t>Beltran de Líi</t>
  </si>
  <si>
    <t>•Se j que si el Sr. Beltran de Líi trataba de hacer una justificación era ne- su acusación. Concluyó diciendo que 00 tenia empello en que se acce ceiario que acudiese i las autoridades establecidas. diese ó do 4 su petición; pero que insistía en que se le dijera adúnde El Sr. Beltran de Lis di…</t>
  </si>
  <si>
    <t>Líiiver</t>
  </si>
  <si>
    <t>…s . .. - .-.a d.as, os porque ha considerado que un tiempo menor podría no ser el tribuna, to.r.prur.te A-. ¡i.e, ¿ u; . . - t . u . d.,; i r-.e. bastante en algunos casos , y el Sr. Líiiver ha demostrado ya que seria E. Sr. ^Wi.iort- álr epur..'. ■. ti.* ,u ■&gt; tari - o ¡ : c a s; re— muy ndíeuio el conceder todas las facultades que se quisiesen i los gefe» *¡on que si se deja como ,.t», pueC- ds: iu, ar a gr^n 1-.. ir. -■ • t:s. políticos para 1…</t>
  </si>
  <si>
    <t>Lijares</t>
  </si>
  <si>
    <t>…* demas que fc-b aa merecido este bo.-.-.r, magistratura. opinaba, teniendo presente el art. t." del decreto de las Cortes de jj A la comisión Eclesiástica se pasó una adición del Sr. Lijares al de b.t embre de 18:0, que siendo notoria el patriotismo de D. Jnadictamen de la misma sobre el modo de distribuir las cxiitcn^.a. del qu.n Vidal podía accederse á dicha preposición. medio diezmo. E; Sr. Arguelles manifestó que era necesario proceder ccn mu…</t>
  </si>
  <si>
    <t>Lijer-Belair</t>
  </si>
  <si>
    <t>…da á un español una pen de de Anticfaamp, tendrá su cuartel general en Biyona; la división sión por sus méritos, debe saber que esta la disfruU íntegra. dal centro , del mando del conde Lijer-Belair, en Tolosa , y el conde El Sr. Melcndez se opuso al artículo; y entre otras cosas dijo que Curial, que mandará la división de los Pirineos orientiles , residirá lo que en él se establecía no debería en su concepto hacerse extensivo en Perpifian. i ios militar…</t>
  </si>
  <si>
    <t>Lilio</t>
  </si>
  <si>
    <t>…de que se trataba 98 , &gt;r. Marau por 78 de 93 , el sr. Luque por 70 de 96, el Sr. La- estaba bien marcado en la Constitución, eran estos los motivos que le gssea por 69 de 97 , d Sr. Lilio por 69 de 96 , el Sr. Canga Argitelle* habían animado á él y á sus compañeros pira hacer esta proposición, por 73 de 94 , el Sr. Mur6 por 69 de 93, *1 Sr. Garoz por 74 da 97, prescindiendo de las personas, porque solo atendían á las cosas. y el Sr. Fernandez…</t>
  </si>
  <si>
    <t>…, se colocarán dos tinas en el alcázar para lavatorios; corta , en que hubiese facilidad de adquirir agua dulce. y cuando esto no pueda proporcionarse se echarán cubos de agua El Sr. Lilio: La comisión dice que te lave la ropa cada ocho días, sobre el cuerpo para lograr el mismo resultado , sirviendo de regla ge y en esto no debe haber inconveniente. Yo he visto que al embarcarse neral que el mayor aseo es el mejor preservativo contra las enfer…</t>
  </si>
  <si>
    <t>Lilio-</t>
  </si>
  <si>
    <t>…as taquígrafo* de loa periódicos qua Se mandó pasar á la comisión respectiva la siguiente proposición asisten á las galerías, sin duda por el mal sitio en que están colocados, del Sr. Lilio-, •&gt; Habiendo en muchos pueblos, militares acreedores á los y no siendo posible á lo* Sres. diputados ocuparse en desvanecer los er terrenos baldíos , y careciendo de este premio por no haberlos en loa rores que tanto pueden perjudicar á su opinión, han declar…</t>
  </si>
  <si>
    <t>Lillo</t>
  </si>
  <si>
    <t>…e for también las de reversión en virtud del derecho de retroventa. mó *n la ú'tima legislatura ordinaria.” Art. 10. « En el caso de que los tribunales declaren que ha lugar Y del Sr. Lillo: - Siendo del mayor Ínteres en e¡ feliz sistema que nos 4 la reversión por el derecho _de retroventa , si los pueblos ó los parti rige que se cumplan d.bufamente los decretos ce as c ortes, 1 muy culares que usufructúan las fincas satisfacen el capital de la…</t>
  </si>
  <si>
    <t>…ia nacional pruebas tan constantes y po‘:t v.s de su a:h-sn n zl los castillos de primer orden. Aprobado. sistema constitucional , y no habiendo por ningún me tivo dismerccjd^, El Sr. Lillo leyó el dictamen de la comisión de Guerra sobre or antes bien hé.hose a-raedora al título de valuarte de ¡as l.bntr.'e- pi ganización del estado mayor , y se mandó imprimir. arías, y merecido esta gloria bajo la dependencia del poder rg.--ut.i--&gt;, Se dió cuen…</t>
  </si>
  <si>
    <t>…cito -I mavor córnero de mozos posible. ción; este defecto es físico, por consiguiente el artículo está bien. El S-. A'bear repuso que el Sr. preopinante confund a el servicio Ei Sr. Lillo: El primer argunvnto del Sr. S:oane está contestado: de mar c:n e’ de tierra, y que S. S- nunca obligan* i un marinero á voy á contestar á la segunda obic-cion qu * ha recaído sobre la palabra que tomase e&gt; fusil. remanente. La razón que ha tenido laco:n s on…</t>
  </si>
  <si>
    <t>…rra el general en gefe ó ei que mande cualesquiera o6me este artículo, y que seria conveniente te va:.ase. ro de tropas dará por sí y por ei conducto ordinario de su respectivo El Sr. Lillo dijo que la comisión sustituía á esta* palabra* laa da gefe de estado mayor instrucciones por escrito ó de palabra , según juz emplearán tu talor. gue mas conveniente, i los generales de las divisiones ó gefes de co ¿&gt;e aprobó el artículo coa esta variación.…</t>
  </si>
  <si>
    <t>Lillo, Manuel Ventura Gómez y D- Pedro</t>
  </si>
  <si>
    <t>Manuel Ventura Gómez y D- Pedro Lillo</t>
  </si>
  <si>
    <t>…rtes. Hay ademas otra razón que demuestra esto mis debían aprobarse loa poderes de este individuo. Aprobado. mo. Los gentileshombre, de Cámara mas antiguos que están en eger Jaén. D. Manuel Ventura Gómez y D- Pedro Lillo. Se aproba cicio tienen íQ rs. de sueldo: A cierto que haj' seis mas modernos que ron los poderes de estos Sres. como opinaba la comisión. yo qut disfrutan este sueldo, luego claro es que no estoy consecrado León. D. Nicolás Gómez Viltaboa, D. Pedro Prado y D…</t>
  </si>
  <si>
    <t>Lillo, Pablo</t>
  </si>
  <si>
    <t>Pablo Lillo</t>
  </si>
  <si>
    <t>…En seguida se declaró este asunto por suficientemente discutido, jr lies, por la di Asturias; D. Josef Canga Argüsiics, por ia misma; y quedó aprobado el dictamen de la comisión. D. Pablo Lillo, por la de Jaén. j." El ;r. D. Pablo Santaíe, diputado .Se nombró á los Sres. Nuñez, Ruiz de la Vega, Becerra, Meló y por la provincia de Aragoo, ejercerá en di.ho tribunal ¡a» funciones de González ( D. Diego) para ia comisión especial que ha de examinar fla…</t>
  </si>
  <si>
    <t>Lillo-</t>
  </si>
  <si>
    <t>…á me El Sr. Olinr.-O no debe admitirse esta excepción, ó debe admitir dida española para evitar toda duda. se otra que considero mas justa y mas filantrópica , y que --staba ya El Sr. Lillo- La comisión cree que no debe alterarse este párrafo, expresada en las ordenanzas anteriores, cual ct la de que el padre de porque hasta ahora se ba entendido la talla medida con pies franceses, muchos h jot os paita con el Estado. lo mas que podría hacerse era e…</t>
  </si>
  <si>
    <t>Limi, Ramón</t>
  </si>
  <si>
    <t>Ramón Limi</t>
  </si>
  <si>
    <t>…jo de Estado de ij del corrien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 Faicon , Don vacante por muerte de D. Manuel Ros de Mcdrano. Domingo Cortés, D. Fernando Saravia , D. Francisco Henrique…</t>
  </si>
  <si>
    <t>Liñan, Tomas</t>
  </si>
  <si>
    <t>Tomas Liñan</t>
  </si>
  <si>
    <t>…'o de ciudadano ro «st- aviso en la gaceta de esta corte , comparezcan por sí ó por m-dio ds mano, qne en todas parles adonde llegaban se deseaba con ansia el ad apoderado ant- el Sr. D. Tomas Liñan, juez de primerr instancia de quirirle; y esta fue la causa principal de su g’oo'a y de los progresos la ciudad de Valencia , y escribanía de D. Julián Girboncll , á pedir extraordinarios de sus armas. fijos de quedar d bilitados por la multi lo que eslinvn e…</t>
  </si>
  <si>
    <t>Linares</t>
  </si>
  <si>
    <t>…este ramo, la cual no estaba comprendida en art. so del decreto de 9 «le Noviembre de 1810.” este articulo. Se leyó la minuta «le decreto sobre la aclaración del art. 71 del d^ El Sr. Linares manifestó qne debiendo haber en lo sucesivo emplea creto orgánico del egércíto. dos públicos nombrados por los gefes políticos, según lo aprobado por El Sr. presidente dijo que mañana se discutiría el dictapm «le la las Corte*, y asimismo otros nombrado* por…</t>
  </si>
  <si>
    <t>…ada naval-. Por estas razones dijo que se podrían aña tiene á bien , tas puede leer el Sr. secretario. dir en el artículo las siguientes palabras lot tajos txertsados en la ley El Sr. Linares leyó tas observaciones, que en substancia decían: orgánica dt la armada. En seguida leyó algunas observaciones que se La comisión , respetando las resoluciones dei cuerpo legislativo y ios hacían por la audiencia de Sevilla y el tribunal de Ordenes. decretos…</t>
  </si>
  <si>
    <t>…título." a/ Que al segundo y tercer párrafo del artículo $y se «i'adas Jas Después de este artículo seguirá el 8 j 7 demas por su orden. El art. 97 dirá, en virtud de adición del Sr. Linares : •, Si d reo ó palabras subrayadas siguientes: s hi después de la fuga cometieren otro rao*..., hasta donde alcance en el orden siguiente : i.° Para el resarci delito fuv no ira cato de reinci.imcia, y a fot rite señalada pena miento é indemnización de perju…</t>
  </si>
  <si>
    <t>Linares, Fermín Gil de</t>
  </si>
  <si>
    <t>Fermín Gil de Linares</t>
  </si>
  <si>
    <t>…e declararan vacantes sus plazas. Jesús de Madrid, de $6,835 mrs__ Otro sobre alcabalas de Soria 4 p iegos 37, en cabeza del capitán Alonso Medran», en 97,160 mi. Por promoción de D. Fermín Gil de Linares 4 la plaza de regente Otro sobre millones d; Soria 4 pliegos 4, en cabeza del colegio de San de la audi ncia de Galicia , ha quedado vacante una de las de fiscal de Ignacio de Soria , de 46,143 mrs----' &gt;tros cuatro sobre millones de Z«Ja de Aragón. Los letra…</t>
  </si>
  <si>
    <t>…contribu de Valencia. D. Cristóbal María Falcon á la de V*lenc:a. ciones y rentas generales del Estado hasta fin del afio de 1819 , se les Regentes. El de la audiencia da Galicia D. Fermín Gil de Linares á admitirán solo á los primeros contribuyentes , documentos de suminis igual plaza de la audiencia de Astúrias , y al regenta de esta D. Fran tro) y demás de que trata la orden de a/ de Octubre de 1810 , y en cisco Vena y Cornejo á la de Galicia. •u defecto d…</t>
  </si>
  <si>
    <t>Linares, Gil de</t>
  </si>
  <si>
    <t>Gil de Linares</t>
  </si>
  <si>
    <t>…lare en los casos respectivos, las siguientes: cuniarias , las cuales se impondrán también al mismo tiempo. 1 .* n La corta edad del delincuente y su falta de talento ó instruc El Sr. Gil de Linares: He pedido la palabra para hacer una obser ción. vación sobre la redacción de este artículo, pues me parece que podrá 1* » La indigencia, el amor, la amistad, la gratitud, la ligereza» ponerse en términos mis correctos. A mi modo de pensar la idea prin «1 arr…</t>
  </si>
  <si>
    <t>…pítulo de ias contradicción** palabras 6 del f ey añádase 4 nomi rados por estos empleadas.*’ del espíritu humano. . Asimismo se mandó pasar á la comisión la siguiente adición del Sr. Gil de Linares al art. 138: „ Que se tengan por funcionarios pú CORTES EXTRAORDINARIAS DEL AÑO DE 1812. blicos los dependientes de Jos gvfes polít.cos y de la Hacienda pública nombrados por los mismos ó por ia, diputaciones y ayuntamiento*.1' ntBSISKMCIA OBI SlSoi Mt. CAPIT…</t>
  </si>
  <si>
    <t>…l dictamen de la comisión , otros lo han El Sr. presidente nombró pan la comisión de Corante ion de esti impugnado directamente: vamos á estos, y después diré dos palabra* á lo al Sr. Gil de Linares en lugar del $r. Zorraquin, y para U del Có lo* primeros. digo p:nal al Sr. Rey. Siguió impugnando á los Sres Gol fin , I.oprz ( D. Marcial ), Ca Para la discusión de ma&amp;aiia señaló el Sr. presidente ios díctamepero, Torre Marín y Dolares , procurando vindica…</t>
  </si>
  <si>
    <t>Linares, Salvador</t>
  </si>
  <si>
    <t>Salvador Linares</t>
  </si>
  <si>
    <t>…A la de Hacienda una instancia de Doña Manuela Aivarez, so- cisco Javier Abadía, que lo es de la misma : para interine de ¡a de ; licitando una pensión. Toledo al coronel graduado D. Salvador Linares: para ia de J. n i A la del Créd’to público una exposición de la junta nacional da D. Manuel Vadilio, que la es de la miarua : para la de Avila a D-a | este ramo , consultando varias dudas ocurridas con respecto á los que M anuel Dejuan, que lo e. de la misma…</t>
  </si>
  <si>
    <t>Liob</t>
  </si>
  <si>
    <t>…ic-n , g-aard.ii'j pan si so quiera defenderse. lo todo lo robado. Le acusan asimi»ino de hab.r qu.r.do v.ndcilcs al El cura de Verges con 30 mozos de su feligresía, y ha»ta e¡ nú brigadier Liob ra ú peso Curo por cabra,." mero de too que ha reunido de ot-os pu-bo» c.icunv cnos, sa::-i á Entre lis causas que ccr.i; buirán n uc o á que los cub'ci’Iss rayan campa ha hace tres dia», y ha marchado á reunirse con Misa». Est. ha quedándose abaador:* ;o&lt;,,…</t>
  </si>
  <si>
    <t>Liob-t, Pedro Pascual</t>
  </si>
  <si>
    <t>Pedro Pascual Liob-t</t>
  </si>
  <si>
    <t>…Cayetano Ansiut. Arólas, D. Matías Sanmartín, D. Juan Bautista Antoni, D. Joaquín La comisión Eclesiástica, en vista de la exposición de Fr. Basilio Romaguera, D. Pedro Cordobés, D. Pedro Pascual Liob-t, D. Re Larraita, carmelita descalzo en Vizcaya , quejándose de no habérsele non Gascón y D. Vicente ¿.lopis, canónigo, después de haber exami despachado sa secularización por el obispo a quien corresponde, opina nado el impreso y la denuncia , declararon por…</t>
  </si>
  <si>
    <t>Líos</t>
  </si>
  <si>
    <t>…Sr. pr-vdvnte Felipe de Alzu , D. Joaquin di MulgtEa, D. Manuel H dalgo y Ca de las Cortes, y contestó en estos términos. (Véate la 1 Caceta.") sino, D. Josef Ferrmn de Jáuregui , D. Líos d- Carretas y Ramón, H'b endo acabado de hablar el Sr. presidente, se f.vantó S. M., D Pablo Solana, D. Jo*;f García Mocj y Perez y D. ‘ asto de Utary salió del salón con el mismo orden que babia entrado; y a: llegar i ralde, declararon haber layar .1 formaci…</t>
  </si>
  <si>
    <t>Lioser, Joaquín</t>
  </si>
  <si>
    <t>Joaquín Lioser</t>
  </si>
  <si>
    <t>…go da la._L&gt;. Cirios Obasi, espitan de llares de rdem—D. Pedro Carr.ias, infames asesinos, y las extenderé hasta efectuar lo prevenido en el ar empleado del cabiido de Barcelona.—_D. Joaquín Lioser, emp.ea o tn ticulo y i' de mi circu.ar de 9 de Julio último, rn el caso de que vurlla secretaría del gefe político--- ID. Josef Jcrdar.a , capellán de artille va á acant.cer el » t atacado en esa *i..a y su termino un so.o se da ría—D. Manuel Blavia, id----£…</t>
  </si>
  <si>
    <t>Liovfirs</t>
  </si>
  <si>
    <t>…la ¿aceta del 28} no ha concurrido como éi pensaba 1.1 fuerte de las glorias adquiridas por ios héroes españoles , se aiis&gt;arón bj¡-j ias columna que salió de Gerona ai mando del brigadier Liovfirs; pero se banderas de la libertad constitucional, contribuyendo notablemente ai cree que poderosos motivos se lo hayan impedido , y de codos modos sosten del orden y de ías hyes. El ayuntamiento pues, en nombre de es creíble que en los puntos que ocupa haya po…</t>
  </si>
  <si>
    <t>Lira, Diego Rrai'W de</t>
  </si>
  <si>
    <t>Diego Rrai'W de Lira</t>
  </si>
  <si>
    <t>…: ue La comisión segunda ae Hacienda presentó los siguientes dic d.ron y ¡hado. támenes. Se i v i una pnpci-i: on de los 'r1,. Infame. I.1H0 , Grases. SeUno sobre la exposición de D. Diego Rrai'W de Lira, en que so giren t L-oreate v buque , en a cuii pe.:&gt; 1 n a las Cortes que de n., licitaba que en alune n &gt; sus sirri.ioi se declarase no oint.r.’e ; &lt; .1 ¡&gt;o p opio V aói tr-o» dJ 11 C il bl de l &gt;f i ' u-.a . - . ¡Js . 'r&lt;t* ‘ der ser empleado en ia Haciend…</t>
  </si>
  <si>
    <t>Lirana, Aniceto</t>
  </si>
  <si>
    <t>Aniceto Lirana</t>
  </si>
  <si>
    <t>…es. trados consistoriales y En su viita se reunió el jurado, compuesto de loe Sres. siguientes: escribanos.................... 20,793 D. Joscf Castels, D. Higinio Antonio Lorente, D. Aniceto Lirana, Contaduría general de D. Manuel Esteban Caíala , D. Gaspar Aguilera , D. Rafael Coala, Cuentas....................... 29,050 D. Andrés Orinaga, D. Jaime Ruiz Abreu y D. Lorenzo Lambes. 8i,4o£ Habida la conferencia, resultó por mayoría no haber lugar á laIdem…</t>
  </si>
  <si>
    <t>Lis, B-rtrsn de</t>
  </si>
  <si>
    <t>B-rtrsn de Lis</t>
  </si>
  <si>
    <t>…manente, y mas ade.ante la nací.nal, se indica segundad pública, palabras de que no usa la Constitución. ba que el egército p rruanente no era troja n clona!, .--demás d ¡o que El Sr. B-rtrsn de Lis: Sí, sehor, quiero se mude el nombre de respecto á ia obligación que se quería imponer a los vecinos de c&gt; pue policía , que me horroriza; ad mas de que el sentido que en la Consti blos de que prestasen el auxilio que les p di-sen ios encargado» d po tución s…</t>
  </si>
  <si>
    <t>Lis, Bcltrau de</t>
  </si>
  <si>
    <t>Bcltrau de Lis</t>
  </si>
  <si>
    <t>…maoifcttar mi opinión en esta parte, sin que me oponga en y al juez fiscal que intervinieron en esta causa. teramente al dictamen de la comisión, pues que estoy conforme con él El Sr. Bcltrau de Lis: No trato de responder i las objeciones que en algunos puntos. Desde luego diré que en mi concepto el proceso tu ha expuesto el Sr. Becerra para oponerse al dictamen de la comisión, vo un principio vicioso, y después de no haberse lavado esta mancha, porque o…</t>
  </si>
  <si>
    <t>Lis, Be'tran de</t>
  </si>
  <si>
    <t>Be'tran de Lis</t>
  </si>
  <si>
    <t>…r como mejor ra que por sí mismo cuide de que no se repitanüuevo» excesos, dis pueda los diseos de las Gorts. poniéndose asimismo que igualmente permanezca allí el s.cretano da El Sr. Be'tran de Lis pidió se leyesen desde luego lo* partes origi la Gobernación para igual efecto. F.n cuanto al otro punto, que es et nales que el Gobierno había recibido de les autoridades de Valencia. de las relaciones diplomáticas con Francia diré que es ciertamente des El…</t>
  </si>
  <si>
    <t>Lis, Be-tran de</t>
  </si>
  <si>
    <t>Be-tran de Lis</t>
  </si>
  <si>
    <t>…r mas tiempo, cuando el voso de los pueblos es tan biéndose preguntado ti se aprobaba la proposición, pidió un señor dipu unánime. tado que se dijese que era por unanimidad , y el Sr. Be-tran de Lis ta Los términos en que hemos de hablar é S. M. son objeto de una dis opuso, manifestando que él no la ha aprobado. Se declaró quedar apro cusión, en la que deben estar presentes los ministros Que haya mensa- bada. ge debemos votar desde luego: cujíes sean los…</t>
  </si>
  <si>
    <t>Lis, Beitran de</t>
  </si>
  <si>
    <t>Beitran de Lis</t>
  </si>
  <si>
    <t>…la p»rt: que el clero tiene en tas fac- de 8o9 qu* debían cobrar : lo »é , porque todo .1 mu .-o lo s,br. cionrs; lo qu: consiste en su indotacion , y en las juntas diocesanas: El Sr. Beitran de Lis: Con gusto aprobiré ia ».yu:i a parte d-1 ir. yo creo que rl Crédito público t'*n: noticias de las maquinaciones de tículo de que se trata ; pero jama» mereerrá mi ,*pik úa-ion i pr rj, 1catas junta* » que han sido c&lt; g das c.«n un fin bueno, y han proba porq…</t>
  </si>
  <si>
    <t>Lis, Beltran da</t>
  </si>
  <si>
    <t>Beltran da Lis</t>
  </si>
  <si>
    <t>…erencia privada hu ñaladamente el I31, 132 , 346, 347 y 3S5. biera podido manifestar un secretario del Despacho. La comiaion ha dicho ya sobre esto todo lo que había que decir, El Sr. Beltran da Lis dijo que no podía menos de manifestar la sor y cuan indecotoaas son i la Nación las estipulaciones contenidas en vi presa que le había causado el que el Sr. Arguelles hubiese impugnado rio* artículos del tratado, como son rl 6/, 1 y, iH , ia y ¡3. una proposi…</t>
  </si>
  <si>
    <t>Lis, Beltran de</t>
  </si>
  <si>
    <t>Beltran de Lis</t>
  </si>
  <si>
    <t>…o y tome asiento en el Congreso, tengo por infundada la cerra, Valdés y Escudero. segunda parte del dictamen de la comisión, y debo hacer presente al En la cuarta quedó elegido el Sr. Beltran de Lis por 64 votos Congreso que si los electores de partido de la provincia de Toledo hu de 90 : tuvieron 8 el Sr. Villaboa^, 3 el br. Marchámalo, y 2 cada uno biesen tenido ci menor iudis.ro US que el Sr. í scoveou oíuiick sus de los Sres. Becerra , Manso, Paterna…</t>
  </si>
  <si>
    <t>…da que tenga el Sr. presidente el menor irten-s »n po-tergir r»ta dis.urioñ á propuesta del con: jo de Estado. de tanta importancia. No conozco tampoco ti S-. s. Man 1, m tengo El Sr. Beltran de Lis leyó un discurso , en que decía entre otras mas noticias que las que de e&gt; bsn rindo los p.ufs p:.b. en- ; pero no cosas que aunque por algunos se consideraría coma intempestiva la quiero que el baluaite de la libertad s.'i h,.liad» , y deseo que se ab an pro…</t>
  </si>
  <si>
    <t>…anteriores se observará es rencias. trictamente hasta la instalación de las Co: les del afio próximo de 1813.** Se aprobó d dictamen de la comisión de Visita del Crédito públi El Sr. Beltran de Lis dijo que debía discutirse en el momento, co sobre que ta admitiese la adición hecha por los Sres. Moreno, Or atendido lo interesante del asunto. duña y Gómez ( D. Manuel) al párrafo 3.0 de su anterior dictamen, El ir. Romero contestó que á pesar de la urgenci…</t>
  </si>
  <si>
    <t>…resolvió que no provincial, y que probablemente hará en toda la España, no pueden por 82 votos contra 41. ja evitarte, y permanecerá indeleble, 4 petar de estas impotentes tra El Sr. Beltran de Lis dijo que porque este proyecto no hubiese sido mas. Miserable recurso es buscar una expresión ambigua o no ambi admitido á discusión, no por eso debían dejarse de tomar algunas me gua en el tal manifiesto: este será siempre un rayo para los malos que didas leg…</t>
  </si>
  <si>
    <t>…, bajo aquellas bases qu: ta per ben, la ventaja de desplegarse en Valencia un espíritu público tal co petúen. mo lo indica el mismo gefe político, el cual al mismo tiempo tema El Sr. Beltran de Lis: Conociendo la necesidad d: manifestar mi que pueda pasar mas adelante, porque se encuentra coa una muche Opinión sobre este asunto me resolví á pedir la palabra. El parte que dumbre de g nte armada , que no está arreglada ni clasificada como !• esl la milici…</t>
  </si>
  <si>
    <t>…el citado impreso no se verileará; y asi es que desde qua llagó la cabeza de Alt se apre era papel o6cia!. suró á formar un cuerpo de debite 6 furiosos, es decir, de guerreros El Sr. Beltran de Lis presentó una exposición de varios ciudadanos, mahometanos, determinados á sufrir voluntariamente la maerte en de pidiendo se les recomendase al Gobierno para que los emplee contra loe fensa del islamismo. Dichos debite marchan ordinariamente en todos faccioso…</t>
  </si>
  <si>
    <t>…oncluyó diciendo que 00 tenia empello en que se acce ceiario que acudiese i las autoridades establecidas. diese ó do 4 su petición; pero que insistía en que se le dijera adúnde El Sr. Beltran de Lis dijo que le era indiferente obtener la justifi había de acudir para justificar un hecho , cuya prueba le convenía. cación de un modo ó de otro; pero que deseaba que el Sr. preopinante A petición del Sr. Castejon ra leyeron los arts. 1, a y g de la ley le dije…</t>
  </si>
  <si>
    <t>Lis, Beltran do</t>
  </si>
  <si>
    <t>Beltran do Lis</t>
  </si>
  <si>
    <t>…e asegura que no tenia facultades documento* en que Tundean proposición; y que por consiguiente la pira hacerlo.; Y contra una prueba como esta se hablirá todavía de 'petición del Sr. Beltran do Lis no ara conforme 4 este artículo, pues las facultades que le dió esa orden de 29 ds Junio, orden que conte no presentando ningún documento , quería buscarlo* en las declaracio nía puntos que exigían no une ley sino muchas leyes para la forma nes de los individ…</t>
  </si>
  <si>
    <t>Lis, Beltran'de</t>
  </si>
  <si>
    <t>Beltran'de Lis</t>
  </si>
  <si>
    <t>…as facultad que la relati de algunas otra* reflexione*, concluyó diciendo qua debía accedería 4 va al cumplimiento del decreto de a y de Junio: que el de 29 es una lo que pedía el Sr. Beltran'de Lis. orden , y aunque fuera decreto tiendo contradictorio es ilegal , porqus El Se. Marfi ae «puso 4 esta petición, manifestando que el arttofo las Cortes no pudieron darle: tenemos que el i&gt;r. Vallejo mismo no se .138 del reglamento previene que el diputado míe…</t>
  </si>
  <si>
    <t>Lis, Beltrjn de</t>
  </si>
  <si>
    <t>Beltrjn de Lis</t>
  </si>
  <si>
    <t>…d: los que han pa-«do a a ; jel tender no es conveniente se lean algunos de ios partes ordinales. terr torro. !si el asilo coneed do por *1 G &gt;b: rno tranc-s %-■ Iirpiu.* -oloo El Sr. Beltrjn de Lis ¡ns.siió en qje se leyesen todos; y el señor á proteger la vida aquriios su;et"', qu‘ po su; iterrrjdos o r r presiden t; dijo que el Gobierno duna cuenta en púbiico, y leer .a lo que do que huir de la Nicion , entonre» r.ala hih a que rec'amar e .000 jnrease…</t>
  </si>
  <si>
    <t>Lis, Belttan de</t>
  </si>
  <si>
    <t>Belttan de Lis</t>
  </si>
  <si>
    <t>…habie tos correspondientes, y los demas documentos que existían en la secre retirado-, pero sí recogido para hacer algunas rectificaciones. taría de su cargo sobre este asunto. El Sr. Belttan de Lis pidió al Sr. presidente que hiciese respetar los F.l Sr. OUver pidió que se fijase por medio de una proposición U derechos que le daba el reglamento. cuestión de ti había de discutirse ó no en este momento el dictamen Se leyó el referido dictamen, en que la c…</t>
  </si>
  <si>
    <t>Lis, Berrán de</t>
  </si>
  <si>
    <t>Berrán de Lis</t>
  </si>
  <si>
    <t>…según lo que pre Egército da operaciones d«I 7." distrito militar__ *» Excmo. Sr.: Hoy viene ei reglamento. á las 11 del dia emprendí mi movimiento desde Balaguer con la colum El Sr. Berrán de Lis: El Sr. presidente ha podido votar, porque na de Gurrea, é hice seguirle á las demas tropas de la primera división entró antes de rectificarse la votación. y sección de Barcena, haciendo que aquella se situase esta tarde en AgráEn s -uuida el Sr. secretario a…</t>
  </si>
  <si>
    <t>Lis, Bertrán de</t>
  </si>
  <si>
    <t>Bertrán de Lis</t>
  </si>
  <si>
    <t>…rdaría una ¿poca muy ominosa, lo que no sucederá con el d« liéndose de la poca claridad del artículo. policía- El Sr. Meló: No creo que haya motivo para creer que la cerró,i-rs El Sr. Bertrán de Lis: Yo he estado muy lejos de inculpar al Go puede ni siquiera haber dudado de que el egército permin.nt: es tropa bierno cuando he impugnado una palabra que creo no se deb: adeptar, nacional; y á ningún individuo de la comisión puede pisar,ríe por ¡a y solo he…</t>
  </si>
  <si>
    <t>…erando, primero, las razones que pueden El Sr. Becerra pidió que se leyese el art. 336 de la misma. alegarse para que se apru- !&gt;: el artículo , segundo I» calidad de este , y F.I Sr. Bertrán de Lis preguntó) si la comisión adoptaba la modifi tercero lo qu: ofrece la experiencia respecto de la impunidad qu: cación pres ntada por el Sr. Navarro Tejeiro. hasta ahora han tenido los conspiradores centra el sistema. Por el arEl Sr. ídliver contestó que la com…</t>
  </si>
  <si>
    <t>…e ia miñan» de este día he llegado i esta ciudad con posición con documentos, debía seguir la causa su curso. la división , y continúo la marcha en dirección á Monzon, debiendo El Sr. Bertrán de Lis dijo que el Sr. Garelly se reía atacado en svt pernoctar esta noche en Alcalá del Obispo: según las últimas noticias, derechos, y qu: debía acudir á ¡as Cortes, y no a otra parte; y que si parece que los facciosos se han retirado á Graus en vista del movi las…</t>
  </si>
  <si>
    <t>…Gobierno las siguiente* Declarado el punto suficientemente discutido, se votó el artículo adiciones : en estos términos: » Todos los no comprendidos en Jos articules ante Una del Sr. Bertrán de Lis al art. 5." del proyecto sobre el cas cedentes ser n destinados al egército en los puntes que sefiale el Go tigo de los facciosos aprehendidos, que d.c.a: » l*ido a ... Cortes que bierno y quedó aprobado. los facciosos comprendidos en este articulo puedan ser…</t>
  </si>
  <si>
    <t>…omures oprim dos curran á la» armas, v vind qu a discutido, quedo aprobado. lo, uitra|es que han »u rido por espacio de tsruns s:g . s. 1 al v z , se En seguida tomó la paiabra el Sr. Bertrán de Lis, y dijo : ñor , se me cnt cara de que es impo'it.co cuanto acabo de decir , v que No pudiendo sufrir por mas tiempo, ni como espaüoi, ni como 1111 discurso no encue ve otro ob¡el 1 que el vago deseo de dec.amsr. representante de la Nación los insultos que con…</t>
  </si>
  <si>
    <t>….as puertas i en un término perentorio, intimada 4 tres españoles liberales; dos de casa del gobernador, y se 10 &gt;1'. 4 a - .c\:r iie .a p .r escrito y cerrada ellos, el hijo del Sr. Bertrán de Lis y el Sr. Corradi. para que la cntregu n a su com .n Lm r , qu n a Comunicará únicaS ¿un cartas de Sto Tomas de 11 de Octubre el sobornador holan m. nte hasta el sar£ento mcus.ve , y de los cabos solo á aquellos qu« dés de Curazao ha descubierto y desbaratado…</t>
  </si>
  <si>
    <t>Lis, Brltran de</t>
  </si>
  <si>
    <t>Brltran de Lis</t>
  </si>
  <si>
    <t>…y de opinión que no haya guar y haberes que á los demás.” Se mandó pasar á la comisión. dia Real exterior; y solamente interior para cumplimiento del art. ao Se leyó un oficio del Sr. Brltran de Lis, al que acompañaba va de la ley orgánica. Que el monarca de Espada tenga una guardia Real rios documentos en que fundaba la proposición que en una de las se para el servicio interior de palacio es una cosa muy conforme oon la siones anteriores habia hecho i l…</t>
  </si>
  <si>
    <t>Lis, Celtran de</t>
  </si>
  <si>
    <t>Celtran de Lis</t>
  </si>
  <si>
    <t>…endo ei resto en fa pues da hacer un detenido examen de aquella causa, decía la comis.oc: cer de la Nación. ,, Por todo lo cual opina por unanimidad de votq» que siendo la» Cor El Sr. Celtran de Lis dijo: Dos cosas me hacen tomar la palabra tes servidas, podrán declarar , conforme á 1a ley de 24 de Marzo de en este asunto, la primera para excitar i las Cortes .r fin de q.i • lo 1 &gt;- 1813 , que ha luzar á la fot ¡nación de causa a! auditor de guerra inte…</t>
  </si>
  <si>
    <t>Lis, Vicente Bcltran de</t>
  </si>
  <si>
    <t>Vicente Bcltran de Lis</t>
  </si>
  <si>
    <t>…s &amp;c.” Sesión ordinaria del te. El Sr. Seoane apoyó lo manifestado anteriormente por el Sr. Pe Se leyó y aprobó el acta de la anterior. dralvez. Se dió cuenta de una exposición de D. Vicente Bcltran de Lis, en El Sr. Garoz se opuso á que se hiciesen pagar tantas cuotas cuantos que manifestaba que penetrado de la necesidad de fomentar la marina eran los cursos que se dispensaban, y suplicó á los señores de la comi nacional, y convencido de que para ello se neces…</t>
  </si>
  <si>
    <t>…e las proposiciones que últimamente había hecho á Jm Cortes viesen que en nada te oponía i la Constitución. El Sr. Gsliano expuso que era indispensable que los pueblos paga Coites D. Vicente Bcltran de Lis, y lo mucho que convendría que es te interesado las explicase, solicitaba que se le autorizase para pedir á sen las contribuciones, para atender con su producto á las cargas del dicho D. Vicrnte las explicaciones convenientes para verificar su pen Estado; que…</t>
  </si>
  <si>
    <t>Lis, Vicente Beílran de</t>
  </si>
  <si>
    <t>Vicente Beílran de Lis</t>
  </si>
  <si>
    <t>…e para la legislatura ordinaria. y de las obras. Los Sres. Zulueta, Surra e Isturiz opinaron que la exposición de Art. 5 0 » A este efecto lo* comandantes de los cuerpos irán á ca D. Vicente Beílran de Lis debía pasar a Gobierno para que la infor sa del gobernador de la p ara . } ccn pres-rc a de &gt;a fu.-rra y » t.K-ia mase, y se resolviese con urgencia el pian a que hacia referencia; sien actual de cada cuerpo, el tervwiu se atregua de modo que «1 lat»6a se do…</t>
  </si>
  <si>
    <t>Lis, Vicente Beitran de</t>
  </si>
  <si>
    <t>Vicente Beitran de Lis</t>
  </si>
  <si>
    <t>…viesen presente que esto seria dar un golpe mor creto de 9 de Octubre de 181 a. tal á dichas provincia» , que generalmente no tenían otros arbitrios para Se leyó una exposición de D. Vicente Beitran de Lis, en I» que hacer su felicidad que la cosecha del trigo. bacía vanas proposiciones sobre 1c mas breve y pronta construcción y Declarado el punto suficientemente disentido, quedó aprobado el vo reparación de buques de la armada naciona'; continuación de la* obr…</t>
  </si>
  <si>
    <t>…do que los sorteos para este ser La comisión primera de Hacienda, en vista déla proposiciones pre vicio se hagan antes que loe que deben hacerse para el reemplazo del sentadas per D. Vicente Beitran de Lis , opinaba que se remitiesen al agército.” Gcb:erno con urgencia , previniéndole que infórmese á la mayor bre La comiaion segunda de Hacienda presentó los siguientes dic vedad. Aprobado. támenes. La comisión de Marina, habiendo examinado las representaciones U…</t>
  </si>
  <si>
    <t>Lis, Vicente Beltran de</t>
  </si>
  <si>
    <t>Vicente Beltran de Lis</t>
  </si>
  <si>
    <t>…e corresponde i la asignación de Marina.” Aprobado. La misma presentó su dictamen sobre las proposiciones hechas por Art. 4•&gt; Que para evitar entorpecimientos y dudas pasen los ca D. Vicente Beltran de Lis para encargarse de Jas obras de Canaics del pitán-* de pu-rto con arreglo i lo dispuesto en la Real orden de a do icino, siendo de parecer que debía pasar al Gobierno con urgencia pa Mayo de 1 ju las correspondientes nóminas individuales.” Aprobado. ta que pu…</t>
  </si>
  <si>
    <t>…formación de causa. Rubricado de la Real mano.=:Fn Palacio á tó de Setiembre de 1822.S A D. Miguel López de Paños. El Sr. fiacal de imprenta denunció al Sr. alca'de constitucional Don Vicente Beltran de Lis, en concepto de subversiva y sediciosa, la pri El Gobierno ha r.'c¡l»*/,o los partes siguientes: mera representación hecha i S. M. por el duque del Infantado, impresa El marisca' de cam-s D. Francisco M.lans desde Pineda en 15 del en esta corte. actual me dic…</t>
  </si>
  <si>
    <t>…tos.) • 8dj GACETA DE MADRID. DOMINGO 8 DE DICIEMBRE DE i8a». NOTICIAS DE ESPAÑA. Se aprobó la siguiente proposición del Sr. Zulueta : » Pido que pase al Gobierno ia exposición de D. Vicente Beltran de Lis para los efec Zaragoza g de Diciembre. tos convenientes, consiguiente á lo resuelto en 11 de Jumo per ias Dicen que el regimiento de Astúria* acometió en Aliaga i lo» Cae* Cortes ordinarias, y que el Gobierno informe lo que le parezca opor citaos; peto esto»…</t>
  </si>
  <si>
    <t>…pal de Madrid; lugar. una partida de patriotas compuesta en mucha parte de extrangeros , que El Sr. Adan: El Sr.Galíano dice que hallándote el comandante ge • mandaba el ciudadano D. Vicente Beltran de Lis; estando todos en el neral con causa pendiente , no le cree digno del honor que se trata de mismo caso, seria muy justo que las Cortea hiciesen también extensi dispensar en «ste artículo á los milicianos , gefe* de la guarnición, di vos i ellos sus sentimient…</t>
  </si>
  <si>
    <t>Lis, Vicente Bertrán de</t>
  </si>
  <si>
    <t>Vicente Bertrán de Lis</t>
  </si>
  <si>
    <t>…mrs. por anticipación...............—.—... &gt;(Ms«ia*iMtMiaa*«iit»M *°*545»592” 9 Giro nacional, anticipación con calidad de reintegro.i/a«Ma»*e&lt; om••••»#•«•••••«• *«*m. B*44*736~3° D. Vicente Bertrán de Lis en créditos por cuenta de so contrata de i.° de Setiem bre de 1820............................................................... .....................................................- 3.296,872-22 Depósitos. 4,000 librado sobre las tesorerías de Hacienda púb…</t>
  </si>
  <si>
    <t>…en favor de F.l Sr. fiscal de imprenta D. Joaquín de la Torre y Bossuet denun la España, y un p rrafo de Berlin del 4 de Setiembre, que dice asi: ció al Sr. alcalde constitucional D. Vicente Bertrán de Lis , á excita • Se asegura que los Gabinetes de Viena y de Londres están unánimes ción del Gobierno, el folleto titulado Tuti li-mondi, en concepto de en que las grandes potencias no deben tomar parte activa en los nego subversivo y excitador á la desobediencia-…</t>
  </si>
  <si>
    <t>…4 destruir 4 alterar la Constitución política de la El Exento. Sr. D. Evaristo San Miguel denunció al Sr. alcalde Monarquía española, 4 el Gobierno monárquico moderado hereditario D. Vicente Bertrán de Lis el pasage de los números 24 y 15 de la que la misma Constitución establece ,44 que se confundan en una per Tercerola , que comienza en la pág. 30 hasta el fin de dicho número, sona 4 cuerpo las potestades legislativa, egecutiva y judicial, 4 4 que como injuri…</t>
  </si>
  <si>
    <t>Lis-, Vicente Bertrán de</t>
  </si>
  <si>
    <t>Vicente Bertrán de Lis-</t>
  </si>
  <si>
    <t>…clase de auxiliares, se terior de derecho» municipales de esta villa, denunció al Sr. alcalde gún la a ta ó baja de los enfermos, percibiendo i razón de 200 rs. al constitucional D. Vicente Bertrán de Lis-! artículo inserro en el Uni mes por el preciso é indispe nsable tiempo que se los ocupe. Madrid 26 versal núm. 159, que empieza: »D. Josef Selles” y se firma con las de J unió de 182 i.rcA. varo Gómez, presidente, s Josef Melchbi Fiat, iniciales h. P. diputad…</t>
  </si>
  <si>
    <t>Lista, Alberto</t>
  </si>
  <si>
    <t>Alberto Lista</t>
  </si>
  <si>
    <t>…aunque se apruebe la primera parte fiola; á D. Juan Nicasio Gallego, individuo de la academia de ban del artículo a.°, me opongo absolutamente i Ja segunda , porque me Fernando; ¿ D. Alberto Lista y á D- Mariano Rodríguez de Ledes— parece que seria contrario al mismo objeto , que es el de la imparcia na, individuo de la sociedad filarmónica de Lónd.es. T&lt;mdr:i*lo lidad , haciéndose ver al mismo tiempo que en esta medida no han entendido y dispondréis l…</t>
  </si>
  <si>
    <t>…dirigidas á ¡a Diputación permanente de de sefioritas, establecido en la plazuela de Sta. Birfaara de esta corte, Corta. . x que ha presidido su director de estudios et presbítero D. Alberto Lista, n La diputación provincial da Almería, obligada por la Constitu han sido muy satisfactorios para la* directora* y para lo* interesados ción i franquear loa camino* de la abundanciai J á nivelar los gravá en los progresos de las alumnas , las cuales han merec…</t>
  </si>
  <si>
    <t>Litio</t>
  </si>
  <si>
    <t>…te posición dirigida á las Cortes por varios oficiales del extinguido bata resante á todas las clases de ciudadanos, y en especial á los militares, llón de Cataluña , pronunció el Sr. Litio un discurso, en el que después pueda adquirirse con poco coste, se ha hecho la edición mas económica dé referir los importantes servicios que este batallón había hecho es que ha sido posible. defensa del sistema constitucional , y las pruibas de patriotismo q…</t>
  </si>
  <si>
    <t>…000 rs. vn. . En esta cantidad sitan in Se abrió i las 9 ; y leifa el acu de la anterior, quedó «p-oStda. cluidos los intereses de ¡os empréstitos contraíalas p r el Austria en Ei Sr. Litio dijo qu: en el extracto de la última usiet extraordi 1-95 y 179T, intereses que ha pacato la G an 11;. lata, i pesar de ia naria, algunos periódicos habían faJ.t.iio var.es equivocaciones al otvigac'on txpresa que el Ausina hiz&gt; de parar rli.ir&gt;*am'nle lo» di…</t>
  </si>
  <si>
    <t>…gún mo conveniente había creído necesario la comisión presentar un artículo tivo habría para ello. adicional. El Sr. Romero dijo que teniendo los sacristanes que atender al des El Sr. Litio recordó una adición que tenia hecha para que no que empeño de su* obligaciones, ya hubiese uno ó mas templos en cada den sin premio lo» militares que residan en lo* pueblo* donde no ***- pueblo, y siendo ea su concepto incompatibles aquellas con el servicio y…</t>
  </si>
  <si>
    <t>…ecución de los facciosos. Las Cor señala.” Aprobado. tes lo oyeron con agrado, y mandaron pasarla al Gobierno. Art. a.3 » Los recibo* de alquileres de casas se eztenderán preci El Sr. Litio presentó otra exposición de D. Maximiliano Nevárse samente en papel sellado , y uno por cada pago con la proporción si te, ¿ que acompañaba una gramática castellano-latina. Las Cortes la guiente: Desde 1000 reales abajo en sello 4Desde tooi hasta aooo recibie…</t>
  </si>
  <si>
    <t>Liverpool</t>
  </si>
  <si>
    <t>…eroe espa plan del Gobierno , relativo 1! cambio de lo» ciédiu» ai 5 por roo. ñol D. Rafael del Riego dió el primer grito de libertad en las Cuberas, El 3 y del pasado presentó el lord Liverpool en la Cámara de los ha pasado hoy por esta capital. Uua diputación, compuesta de un indi Pares un resumen del estado de la Inglaterra. Su discurso proporcionó viduo de cada ciase de todos los cuerpos d= la guarnición ha recibido i un conocimiento mas exacto d…</t>
  </si>
  <si>
    <t>…s : nación pos.tiva, de lo cual podréis convenceros por el discurso último Voy á tratar, safares, de ana materia muy dificil y delicada , y que pronunció en la Ornara de I s Pares lord Liverpool. en la que tal rea me estarán aguardando ios diversos partidos y cierta n Cunfe&gt;emos, señores, que sena una política muy singular la que especie de curiosidad i pero «1 medio mas sencillo para salir de los ca se aprovechase de un trata-.o para t do lo que con…</t>
  </si>
  <si>
    <t>…el lor, tanto por la pérdida de este individuo, como por el modo inespe aer.sible corazón de V E- ; pero constituido en la p.au&gt;:b¡; nus en de rado con que ha acabada su vids. El lord Liverpool y el lord Wans.t*rt tr tjutirie su constante «rat-tud por ei .«.currdo con que en lar acura han dado pruebas bien manifiestas de lo sensible que les ha sido este das y delicadas circunsti.-icas supo cc-nib'irar y eg-cut*r un p.an tan trágico suceso: el primer…</t>
  </si>
  <si>
    <t>…cual se le mental: su ennv. rsacien era enteramente inoportuna y mal seguida. Esda el nombre de capltm. No hay mas gefs ni ofic.ales que estos capi crib.ú e. R y inmediatamente a lord Liverpool, comunicándole su» re tanes, y ios cuerpos qu: mandan son las únicas divisiones de la fu-rza zólos , y in..rg*ndoie que hiciese observar los pasos del marques, armada. A.lguoos de ellos han Legado i juntar de íoo á id hombres, cu dando sin embargo de que este…</t>
  </si>
  <si>
    <t>…imam.-nte ia ».S as d snos fon--» cu»raba mudanza de ministerio, y ya se indicaba como sigue: t'nidas en el bando de 8 de Agosto de este a: o de k s xr ». a a ;t» v be retirara el lord Liverpool y le reemplazara el marques de \Ve- tierno, avuntamienro , acerca de los espa: o'e» que lleguen a :» cu-t-, llesley; y á este en su Oobicrno de Irlanda le sucederá el marques de procedent.s de esta pro» r.» a, o de ciwlqu - a oii.i de ¡a M-r.arcti a. Conifvti…</t>
  </si>
  <si>
    <t>…. un anuncio misterioso de la suerte que les está reservada! ¿Jifuru Ids LCndres ¡f de Setiembre. dos notas .pie puíticamos en la gaceta del /;.) . tord Erskine acaba de dirig r á lord Liverpool una carta mny ehérica en favor de los gri-gos. b. S., después de hablar con la nsas-or re— AlSMAUfA. emene.s contra las air... .dades cornudas de 18 meses é *sta pa-io JVuremberg 31 dt Agosto. con los griegos en e. O i nu- , y contra la indiferencia que han m…</t>
  </si>
  <si>
    <t>…, que debieran ; y cuando por difunto marqu.-s de Londonderry; y en este negocio ha tenido mucho el contrario ayudan los individuo, por su parte con lo que respectiva que hacer el lord Liverpool. Inmediatamente se despachó un correo á mente está á tu alcance, nada queda sin cgecucion por dificil que Mr. Canning que te hallaba fuera de Lóndres. Se trataba de saber quién pareces. reemplazaría ahora en el gobierno de ia India i Mr. Canning , y de signab…</t>
  </si>
  <si>
    <t>…s, ahora se opondrá formalmente a cita Este par odista a,egari en turas, no son mas que batallones que estaban separados de sus cuerpos, fin que ó Mr. Canning seguirá ios pasos de lord Liverpool, qn-n á y que en virtud de la nueva organización van á reunirse. Puede afir fuerza de amenazar con su dimisión ha ob'igado en cierto moto ai máis; que estos batallones se dirigen hacia el este, y no hácia el me Rey á ced-r de su odio, y asi el ministerio unid…</t>
  </si>
  <si>
    <t>…alteración : pero «amb;en hay mu conspiración , j ^.rntaaa en 1. -azgaJo Je f \¡' ;r- '.u pv. chos que no olvidan que Mr. Cannlng ha entrado en -I ministerio por los esfuerzos de lord Liverpool : y las op níones d* este no . stan ente Noticioso el gefe político de la provincia de que la mancionads ramente en armonía con las de la santa al anza , á la qu* echó en cara partida de Balda se hallaba en la Basil ca de i. Miguel de Ercelsó, en el congreso…</t>
  </si>
  <si>
    <t>Liverpool, Lor</t>
  </si>
  <si>
    <t>Lor Liverpool</t>
  </si>
  <si>
    <t>…de íijio, y el cons.jo juzga que debe suprímate , y se remitir á la Camura una copia di la correspondencia del Gobierno sera ahcrio de 1.597,115.” de Irlanda con el ministerio, hl ministro Lor Liverpool contesto que se Como no se ve ota partida en los presupuestes anteriores , la co juina enviado á lrlanla el dinero suficiente para comprar víveres, y ase misión opina que estas p;osiones dcb.n estar inc.uida» en l.s pensiones, gurar la nueva cosecha de patata…</t>
  </si>
  <si>
    <t>Lizana, Aniceto</t>
  </si>
  <si>
    <t>Aniceto Lizana</t>
  </si>
  <si>
    <t>…ntes: ro en comunicación con Puerto-Caballo, cuya pisa ae halle coa mucha D. Casimiro Martin, D. Josef Antonio Ponzoa, D. Josef Bardo, escássz de víveres.** Marques de Torrenueva, D. Aniceto Lizana, D. Andrea Alcon, Dos —•&gt; El marques de Casa-León , gafe político de la provincia de Vene Santiago Delgado, D. Pedro Alvaro Delgado, D. Josef Rives Qüszuela , desde Puerto-Cabello con fecha de 18 de Febrero dtoe que iba 4 anito. salir de aquella plaza una div…</t>
  </si>
  <si>
    <t>…rifmte á las órdenes del primer ayudanta D. Angel Romero, y a su de Portugal desde su principio hasu el fin, presentando un cuadro bas cab-za manió se pusiera su ayudante de campo D. Aniceto Lizana, ct tante regular de todo lo que han hecho los legisladores portugueses en cual debía marchar despreciando’ los fuegos hasta situarse sobre el flanco beneficio de su patria Es preciso confesar que el Congreso nacional dd enem go; y la otra compuesta de igual…</t>
  </si>
  <si>
    <t>Ll-ra, Josef</t>
  </si>
  <si>
    <t>Josef Ll-ra</t>
  </si>
  <si>
    <t>…OMINGO 3 DE NOVIEMBRE DE i8*a. -------------------- 1 ----------------- ———' (ARTICULO DE OFICIO. F.l Gobierno hit recibido los fortes ti¿mentes '■ órdenes del alférez de Farnesio D. Josef Ll-ra lo* ataqué de Ume-y Egéreito de operaciones del tépiímo distrito militar. = Excmo. ie* al sable, al propio tiempo que dicho capitán Fonseca hizo otro tan liar¡ » Por mi parte de ayer 4 la* n y media de la mañana dije i to con e! resto, y los que se escapaban…</t>
  </si>
  <si>
    <t>Llacayo, Juan</t>
  </si>
  <si>
    <t>Juan Llacayo</t>
  </si>
  <si>
    <t>…que te resien nes respectivas los Opúsculos sohe lajilosofia médica , piste t?c., pre te en multiplicar las víctimas, que indudablementii resultarán si no lo sentados por su autor D. Juan Llacayo; una taqtiigraíia latina , y otra aceptáis, me inclina á exhortaros bajo ia garantía que si dentro del pre para el buen desempeño de la facultad de medicina; las cuales se ofre ciso término de 48 horas después de publicado este bando deponía cía á enseñar gra…</t>
  </si>
  <si>
    <t>Lladó, Juan</t>
  </si>
  <si>
    <t>Juan Lladó</t>
  </si>
  <si>
    <t>…ta 1. lo» pre causa, habiendo opinado que sí D. Magín Coraminas, D. Isidro Ga tendientes presentarán sus memoriales en el término lie 15 días, con llarda, D. Francisco Sobirachs 7 D. Juan Lladó. Barcelona 28 de Se tados desde esta publicación. ... tiembre de i8n.=Macario Riu.rrPablo María Vcrdalei.=Francisco Baraja constitucional, política 7 militar, siguiendo el orden de los Subirachs.=Francisco Malas de Maresma.=M. Piandolit.=Franci(co cuatro palo…</t>
  </si>
  <si>
    <t>Llamas, Antonio</t>
  </si>
  <si>
    <t>Antonio Llamas</t>
  </si>
  <si>
    <t>…querido algunos sn'sera- fiías dr Murcia, que i la» órdenes de sus bizarros capitanes T&gt;. M ca l bles alterar el orden público , según indican los periódicos de Cádiz; de Cueva» y D. Antonio Llamas fueron á reforzar aquel punto : du pero todo su triunfo te redujo á derribir a!¿una lápida , pues el res rante él, el capitán Cuevas, que por su mayor graduación lo mrrñrba, guardo militar apagó al instante e! fuego que algunos ilusos pretendían y ya trató de…</t>
  </si>
  <si>
    <t>Llano</t>
  </si>
  <si>
    <t>…ieron tres buques y una goleta para la Havana con 400 hombres de situación política, en presentarnos a la faz de, mu neo cerco d.v i^..c» Extremadura, capitu ados en Pueb'a , y el Sr. Llano va con ellos. Pa por la anarquía; y para sus atroce, m.ra, v, j. 0, ...... v tee; que dicha corbeta Alaría Isabel conduce la correspondencia de ia augurios, sin que dos aho» de profecía, desment-ca, ha van sido c.rl-s, goíeta correo G.j/v.i, la que aun no han…</t>
  </si>
  <si>
    <t>Llano, Fernando Mcndez Queipo de</t>
  </si>
  <si>
    <t>Fernando Mcndez Queipo de Llano</t>
  </si>
  <si>
    <t>…2 21,393 3» 54&gt;.655 3° 1.678,738 cabeza «le D- Payo Montenegro. El que supiere de su paradero se ser Salinas...................... *.087,778 31 7^8,664 25 289,114 7 virá acudir á D. Fernando Mcndez Queipo de Llano, apoderado da Recaudado quo vive en la casa núms. a y 3 de la calle del Nuncio, quien S. K., por dé } *44.098 7 .......................................... *44.098 7 bitos desales.......... su hallazgo. dará correspondiente Salitre , azufre y } 13.95° «65 a 13…</t>
  </si>
  <si>
    <t>Llano, Jotef de</t>
  </si>
  <si>
    <t>Jotef de Llano</t>
  </si>
  <si>
    <t>…ado ó supiere su paradero, te sirva avisar ó entregarla en traordinarias , 4 lo cual contestó el Sr. presidente qne había poco» ne h Cava-Baja, núm. ai, cuarto principal, casa «le D. Jotef de Llano y gocio* tobr: la mera, pero que desde el lunes próximo principiarían Barón, donde te «larán mas sefias y una gratificación. Advirtiendo que dichas ti'siones. se tiene ya dado el correspondiente aviso para retención en el dicho Las Cortes oyeron con satisfacc…</t>
  </si>
  <si>
    <t>Llano, Pedro de</t>
  </si>
  <si>
    <t>Pedro de Llano</t>
  </si>
  <si>
    <t>…an motivos para En la balija que salió el a3 de Agosto para Galicia D lorenzo invitaros á la vigilancia , y á que no os dejéis sorprender, pues de ellos Garcías hacia una remesa á D. Pedro de Llano, de la Coruúa, de 20 será entonces la victoria, y pereceremos bajo su» sacrilegos planes. vales de á rtoo p-sos, de la creación de i.v de Setiembre de idiy, en ” Vuestros compañeros de armas de la ciudad de Oarmona , poseí dosados á favor de aquel por los Sre…</t>
  </si>
  <si>
    <t>…y salud pública— 13,169-17 tada en Villalpando, D. Lorenzo Garcías remitía bajo pliego certificado Gastos imprevistos.................................. 10,693- 6 4 la dirección de D. Pedro de Llano de la Coruña nueve documentos de crédito sin interes, expedidos en 16 de Setiembre último por la di 355,600-17 rección del Crédito público á favor de D. Agustín Fernandez de Igle Por remesas hechas á los pagadores de sias; y habiendo llegado el pliego á su de…</t>
  </si>
  <si>
    <t>Llanos, Carlos González</t>
  </si>
  <si>
    <t>Carlos González Llanos</t>
  </si>
  <si>
    <t>…ia con 24 soldados del zoa , D. Josef María Puente, D. Marcos Antonio Menczo, D. Juan b¡: ilion d*«liarb.isiro , se encontró con los facciosos en Coll-sacreu Francisco Travesedo y D. Carlos González Llanos. sobre Sagit c.-, y los peisiguió h.sU la sierra de Vila lamiras: los faccio Habida ¡a conferencia, se declaró por unanimidad haber lugar á la sos , i¡u: eran en r.úin.ro de 600 á t oo hombres , léci.ron una Vigoro formación de causa. sa resistencia sobce las…</t>
  </si>
  <si>
    <t>…justicia. (Garda del p.j Sres. que declararon absuclto dicho escrito : D. Francisco Travesa Decreto de las Cortes sobre derechos que te hsn de exigir por do , D. Valentín Nicolás, D. Carlos González Llanos, D- Juan Fer los Krales títu'os, presentaciones eclesiásticas y otros despachos que se nandez Casariego, D. Josef Rivcs Queraltó, D.liiginio Antonio Lló expidan por la secretaría de Estado. (. Gaceta del Jl.j rente , D. Francisco Martínez Marina y D. Francisc…</t>
  </si>
  <si>
    <t>…ación los habiendo disentido los Srss. D. Josef Luis Amandt, D. Francisco Bar oficiales supernumerarios que los que obtienen plaza efectiva, cuando ra. «I conde de Floridablanca y D. Carlos González Llanos. EN LA IMPRENTA NACIONAL</t>
  </si>
  <si>
    <t>Llanos, Cárlos González</t>
  </si>
  <si>
    <t>Cárlos González Llanos</t>
  </si>
  <si>
    <t>…Felipe Vi *1 egárcito español estaba en Pisco, y que á esta fecha puede haber en» cente Manzsneque, quien i la menor insinuación del digno coman irado en Lima. dante de Bujalance D. Cárlos González Llanos se prestó gustoso y lle México Agosto 31- Ayer dirigió el Congreso una exposición al no de patriotismo á disponer un entierro correspondiente i la alta dase Emperador, manifestando haber atropellado la ley en la prisión de sus de un defensor de la patria. En…</t>
  </si>
  <si>
    <t>Llanos, Cirios González</t>
  </si>
  <si>
    <t>Cirios González Llanos</t>
  </si>
  <si>
    <t>…hora no ae ha po que debía ver dicho escrito, compuesto de los Sres. siguientes: D. Ig¡. dido consegu r; y por lo mismo las f ortes deben ocuparse en examinar hio Antonio Lorcnte, D. Cirios González Llanos, D. Rafael Costa, detenidamente el proyecto de decreto que acaban de oir. D. Juan Cortés, D. Pedro Rodríguez de Toro, D. Josef Radon , Dos A h unos tabica escritores han dicho que el considerable número de Josef Demetrio Rodríguez, D. Juan Isidro Perez y D. A…</t>
  </si>
  <si>
    <t>Llanos, Gabriel González</t>
  </si>
  <si>
    <t>Gabriel González Llanos</t>
  </si>
  <si>
    <t>…és Rodrigo, teniente del regimiento in Feiro' al espitan D. Fermín Roldan, teniente del regimiento in- fantería de la Reina , con 570 rs. hnt-ría de Zamora , con 570 rs. Trujilloá D. Gabriel González Llanos, teniente ds infantería y Fifueus a 1). Pedro Tn-scrra, teniente del regimiento infantería del batallón de la milicia activa de Laredo, con 450 rs. Imperial Aieiandro, con 570 rs. To'osa á D Isidro de Urqu za , teniente del regimiento infantería Gerona al t *…</t>
  </si>
  <si>
    <t>Llanos, Juan Bautista</t>
  </si>
  <si>
    <t>Juan Bautista Llanos</t>
  </si>
  <si>
    <t>…ia y efectos tica , D. Juan Francisco Vidot, D. Antonio Cortés y Coll, D. Luis corr spondicntes á su puntual cumplimiento. Madrid u de Diciembre del Gargollo, D. Antonio Canadell, D. Juan Bautista Llanos, Dode 18a a. Juan Francisco Espelosin, j D. Miguel García (Miz , calificaron por unanimidad con la fórmula de obsusito el artículo Plata sU ¡a Consti tución , inserto en el Diario Gaditano de a de Setiembre último , de En atención al mérito y servicios del ma…</t>
  </si>
  <si>
    <t>Llanos, N.</t>
  </si>
  <si>
    <t>N. Llanos</t>
  </si>
  <si>
    <t>…el cabecilla Santocil- no Oliveras, librero; D. Mateo Sampons, abogado; D. Baltasar García, des, titulado comandante de los voluntarios realistas de Alava, j otros CX-cartujo , y D. N. Llanos, rector del colegio de dominicos. var*os ' íectoi. Igualmente salió herido un oficial por el cabo de Lusi- Madrid Domingo r¿ de Setiembre.Unia Pedro Sánchez , sin que pudiera recogerse poique se arrojó en un despeñad' ro. S. M. el Rey y SS. AA. continúan sin…</t>
  </si>
  <si>
    <t>Lleno, Francisco de</t>
  </si>
  <si>
    <t>Francisco de Lleno</t>
  </si>
  <si>
    <t>…ón permanente en su sesión Compusieron el jurado los Sres. D. Estébao Echeniqne» D. Valen de go del mismo pan las actuales Coartes ordinarias. tín Torrecilla, D. Raimundo Provedo, D. Francisco de Lleno, Don El Sr. Argíielle* manifestó que no pod an las Cortes acceder á esta Anastasio Nava*,IX Andrés Gafo, D. Miguel Sánchez, D. Octavio exposición, por cuanto el asunto 4 que se refería era un testimonio da Pastor, presbítero, D. Joaquín de Iberas, D. Josef Ma…</t>
  </si>
  <si>
    <t>Llinas, Juan Antonio</t>
  </si>
  <si>
    <t>Juan Antonio Llinas</t>
  </si>
  <si>
    <t>…a facultad 9/ de las Cortes por la én aquella capital, con motivo de la renuncia del teniente coronel del creación de un subsecretario y cuatro gefes de sección por el gravé mismo D. Juan Antonio Llinas; y pidiendo que las C-rtes dcciarasrit men que resulta contra el erario, aunque con pretexto de interinidad; el método que debía seguirse en 1a» renuncias de ios cmp.cos de .1 m.y opina que en cuanto á este extremo debe pasar este expediente á la licia nacion…</t>
  </si>
  <si>
    <t>Llivia, Josef María Fernandez de Cór</t>
  </si>
  <si>
    <t>Josef María Fernandez de Cór Llivia</t>
  </si>
  <si>
    <t>…alojé igualmente con los cuerpos de Tarragona , Barcelona y la caba ya lugar. llería ."obligándolos i abandonar el suelo español. Entonces, dejando en En virtud de providencia de! Sr. D. Josef María Fernandez de Cór Llivia á los dot cuerpos enunciados de infauturía, regresé á esta villa doba , caballero pensionado da la Kesl y distinguida orden Española da muy carca d» anochecer. Carlos m , asasor general de la junta directiva del almirantazgo, y ase » Las tr.-a columnas enemig…</t>
  </si>
  <si>
    <t>Lló, Juan Antonio</t>
  </si>
  <si>
    <t>Juan Antonio Lló</t>
  </si>
  <si>
    <t>…s puestos se vende el Panario antillorentino , ó Reflexiones ó no lugar i la formación de cauta i los autores de los impresos acusa contra la Constitución religiosa, publicada por D. Juan Antonio Lló dos por abusos de libertad de imprenta , s: lee lo siguiente : rente, i ia rs., y las demas obras del autor á precios muy equitativos. « Los infrascritos juec't de hecho, habiendo examinado la cláusula Se bailará en las librerías de Brun y Antoran y en la de…</t>
  </si>
  <si>
    <t>Llobcra</t>
  </si>
  <si>
    <t>…reto. Tendreislo entendido El gefe político de Gerona da parte en 3r de Mapo próximo ante para su cumplimiento, y dispondréis se imprima , publique y circule.3 rior del oficio del brigadier Llobcra desde JPuigcerdé í 18 del mismo, Está rubricado de la Real mano^Ea Aranjuez á ag de Mayo de idas. que es como signe: =A D. Luis Balanaat. » Despees de sais dias da continuas p penosas marchas conseguí al Circular dtl mimittrrio de la Gotemacñm dt la Península…</t>
  </si>
  <si>
    <t>Llobera</t>
  </si>
  <si>
    <t>…que ticipaba la completa derrota de la facción del cabecilla Misa* en la casa oyendo al Gobierno vea si pueden aplicarse todas aquellas rentas al Cré llamada Muga de Dalt, por el brigadier Llobera; y otro del gefe po dito público, sin faltar á la parte esencial del culto. Aprobado. lítico de Barcelona, manifestando el júbilo que ha reinado en aquella La comisión de Instrucción pública, habiendo examinado la obra capital por la denota referida. Las Cort…</t>
  </si>
  <si>
    <t>…rota da los facciosos que ocupaban á Olot de resultai de la acción que Pero sea lo que fuere serrea de esta explicación , lo cl-rto es que ia tuvieron coa las tropas que manda el brigadier Llobera.” sala criminal de la audiencia territorial de Navarra con unes m unos -»" En una carta que nos dirige desde Sab.id.-lT con fecha de ayer un ministros declaró primeramente á D Miguel An . r. .» Lecirrr n.i com oficial del 4.° batallón de la milicia nacional v…</t>
  </si>
  <si>
    <t>Llobera, Esteban</t>
  </si>
  <si>
    <t>Esteban Llobera</t>
  </si>
  <si>
    <t>…en cualquiera parte que se hallen, riente, de la completa derrota de la laccion del cabecilla Misas por el pertenecen el Estado: en el 2.0 se recopilan las órdenes expedidas para brigadier D. Esteban Llobera, quien con la valiente columna de su el mejor gobierno y administración de las minas: en el 3.'' se da noti mando, compuesta de tropa permanente y milicias nacionales, persiguió cia de las antiguas minas de España; y en el 4.0, después de manifestar tenazment…</t>
  </si>
  <si>
    <t>…abandonada la instrucción pública en el Nuestro gefe superior político ha publicado la siguiente proclama: miimo, se dote al maestro de primeras letras con 60 fanegas de trigo El brigadier D. Esteban Llobera, con fecha dal ati último, en ofi entre lamo se buscan otros arb trios. La comisión opinaba que debía cio que recibo en este instante me dice lo que eopio: » Comandancia accederse á dicha solicitud eu los términos que lo proponía la diputa de la* tropas desti…</t>
  </si>
  <si>
    <t>Llombart, Joaquín</t>
  </si>
  <si>
    <t>Joaquín Llombart</t>
  </si>
  <si>
    <t>…on absnelto dicho impreso los tres. D. Andrés Gafo, Don Circular expedid* por el mmieterio de Gracia y Justicia á lodos loe dio cesanos. Valentín de Torrecilla, D. Joaquín lbaira, D. Joaquín Llombart, D. Josef Vecino, D. Félix Mora, cl marques del R o Florido, Don El Sr. secretario de Estado con fecha 7 del corriente tac dice lo Antonio Casanovas , D. Octavio Pastor, presbítero, D. Pedro Cotdoque sigue: bés y D. Mariano González. » En consecuencia del ofi…</t>
  </si>
  <si>
    <t>Llop.s, Vicente</t>
  </si>
  <si>
    <t>Vicente Llop.s</t>
  </si>
  <si>
    <t>…n esta Lena ; y Señores que declararon hab-.-r lugar: D. Matías Vdasco, D. Josef que se reduce 4 que se tengan las fincas en cuestión en subasta abo rta y Codina, D. Josci Vecino, D. Vicente Llop.s y el marques de Fuente perpetua hasta su venta final ; avisando con oportunidad al (gobier el Sol. no si llegase el caso de reunirse en gran número, para acordar las Señores que declararon no haber lugar: D. Pedro Calvo, D. Sebas providencias que se estimen c…</t>
  </si>
  <si>
    <t>Llopis, Vicente</t>
  </si>
  <si>
    <t>Vicente Llopis</t>
  </si>
  <si>
    <t>…ona al marical de campo D. Manuel Pueyo, niente coronel del regimiento de Zamora; D. Vicente Marzo, aboga gobernador de la plaza de S- Fernando de Figueras. Para la de Lérida, do; D. Vicente Llopis , canónigo magistiai de la santa igusia de Va al mariscal de campo D. Josef Vellido, gobernador de la plaza de Lé lencia; D. Amonio (Jasanova y Ravana-s, abogado; D. Juaqu n Ro rida. Para la de Tarragona al mariscal de campo D. Miguel de Hato, maguera, id.; 1…</t>
  </si>
  <si>
    <t>…sta riqueza asciende por el censo gistral, declararon D. Raimundo Poveda, D. Honorato Pirra, D. Jo del año 99 á 5143 millones; y deduciendo la mitad, que debe rebajar sef Codina y D. Vicente Llopis haber lugar á la formación de causa se por 10 menos que valen en este año los productos respecto del 99, contra el autor del impreso firmado por los electos de los cuatro cuar quedará reducida la riqueza á 1571 millones; deduciendo las tres quin teles, en rep…</t>
  </si>
  <si>
    <t>Llor, Ramón</t>
  </si>
  <si>
    <t>Ramón Llor</t>
  </si>
  <si>
    <t>…mrs., situados en el partido de Sigüenza , fecha en Raíz Abreu , D. Valentín de Nicolás, D. Antonio Díaz del Moral y Madrid á 15 de Junio de 1614; se suplica á la persona en cuyo D. Ramón Llor. poder se hallen, se sirva entregarlos á D. Joaquín de Arteaga,que vive Habida la conferencia y procediéndose á la votación, los Sres. Don calle Ancha de S. Bernardo , casa núm. 4, cuarto principal, junto al Joaquín Huerta C-vallos, O. Bernardo Asenjo , D. An…</t>
  </si>
  <si>
    <t>Llorante</t>
  </si>
  <si>
    <t>…omisión hacia una rebaja arbitraria sin decir cuestan a estos las contribuciones. conque datos la verificaba. Declarado ei punto suficientemente discutido , se desaprobó ei &lt;¡ cEl Sr. Llorante manifestó que los do* reales asignados sobre cada temen de la comisión, y se mando volver á la misma. fanega de sal para el equipo de la milicia activa , no se habían cobrado Se mandó insertar en el acta el voto de lo* Sres Corté» v R?v desda al año de so, eo…</t>
  </si>
  <si>
    <t>Llorante, Juan Antonio</t>
  </si>
  <si>
    <t>Juan Antonio Llorante</t>
  </si>
  <si>
    <t>…las Cortes resolvieron que no, y te declaró por Apología católica dai proyecto de Constitución raligioa» , cacti» por de primera lectura la del Sr. Cuadra. un americano: su autor D. Juan Antonio Llorante , doctor en cáno Se nombró pera la como ion especia! de Milicias á los Sres. Valdés nes íce. Se puede considerar o» obra como un tratado «le diferente* (D. Dionisio), Zuiueta, Taboada y Serrano. punto* de historia y disciplina eclesiástica: do» tomo* en 8.° S…</t>
  </si>
  <si>
    <t>Llord, Ramón</t>
  </si>
  <si>
    <t>Ramón Llord</t>
  </si>
  <si>
    <t>…e los zaga, D. Joaquín Huerta Cevallos , D. C ayetano Romero, D. Antonio responsables sus dietas; en la inteligencia deque se impondrá ¡í los in Regas, D. Felipe López Valdemoiot, D. Ramón Llord, D. Antonio tendentes la mas estrecha responsabilidad si se descuidase por su parle María Espejo, y D. Lino Campos. el cumplimiento de este último punto. Lo que de Real orden comuni Habida ia conferencia, declararon por unanimidad »ao haber lugar co á V. S. p…</t>
  </si>
  <si>
    <t>…ot últimos casos se en el jurado, compuesto de los Sres. siguientes: D. Nicolás Alonso, Don cabezarán y concluirán conforme á lo que queda indicado para la pri Antonio Puigblanch, D. Ramón Llord, D. Andrés Alcon, D. An mera. drés Moya Luzura.a, D. Domingo Fernandez Angulo, D. Francisco Dirección general de impuesto/ indirectoi y efecto/ estancado/. de la Carrera, D. Gonzalo C rdvnas y D P dio Matute. Habida la Estado que demuestra los valores, gastos…</t>
  </si>
  <si>
    <t>…e las iglesias y los parroquiales en donde se alargan las parti quín Manrique; D. Mariano Zorraquin, D. Nicolás Alonso, D. An das de casados , nacidos y finados. tonio Puigblancb, D. Ramón Llord y D. Francisco Martínez Marina. Art. 15. « Los fondos de las fábricas de las iglesias costearán sus Habida la conferencia, se declaró por unanimidad n« haber lugar 4 libros y los parroquiales , y en donde aquellas carecieren de fondos loa la formación de causa. EN LA IMPRENTA NACIONAL.</t>
  </si>
  <si>
    <t>…e se pagará en tr.a Sr-s. que compusieron el jurado: D. Francisco de la Carrera, Don plazos; á saber: i.° en el acto del remate: i.° en &gt;4 de Diciembre, y Andrés Martínez Orinaga, D. Ramón Llord, D. J aqum Lumbre 3.“ en 30 de Abril del año de 1813. Se hace saber al público pata su ras, D. Sebastian Andrés, D. Matías Casero ,D. Juan Paz, D. Casi inteligencia, adviniéndole que su primero y último remate se ha de ce miro Marín, D. Antonio Sandalio de Ar…</t>
  </si>
  <si>
    <t>Llórente</t>
  </si>
  <si>
    <t>…unos suoctos de uno los Sres. Rodríguez Saravia, Alvarez y González. Total 87. la representación nacional: lit pues el diclam.n de Ja cenns-on estaba En la novena quedó elegido el Sr. Llórente por 68 votos , tenien bien puesto. do 7 el Sr. Villaboa, 4 el Sr. Manso , 1 cada uno de los Sres. Blake El sr. Alix : El dictamen de la comisión contiene des partes: en la )’ Taboada, uno el Sr. Rodrigo y otro el Sr. Marchámalo. Tota! 85. primera dice que los…</t>
  </si>
  <si>
    <t>…mayor en Valencia cuando man de aquellos de una naturaleza que el decoro qae debo á las Cortes no daba el general Elio, y del otro no se sabia su origen. me permite manifestar. El Sr. Llórente dijo que los patriotas se hallaban perseguidos en El Sr. Saavedra: Como al asesinato del marques de Torrrblanca todas partes; que en Orense era notable que todas las autoridades ci han precedido ot os dos de patriotas decididos, y como no hay con viles v mili…</t>
  </si>
  <si>
    <t>…u Las Cortes por tu decreto de 19 de Jnnio de 1821 mandaron que él Gobierno nombrase una persona facultativa que pasando al A. 'Ar dicadas hasta aquí á las universidades. Otra del Sr. Llórente, para que con la posible brevedad se tome en den visitase lamina en todas sus partes, remediase prcv ¡siena’ mee te consideración el a'reg o de la Hacienda militar. todos los abmoa, propusiera las reformas, y presentara i las Cort.-s Isa Otra de los señores R…</t>
  </si>
  <si>
    <t>…ruz de Tenerife.** minuta del código penal, la cual habiéndose suspendido á las once y Se ley-ron los arts 1* y gñ de dicho d-creto. media, levantó el Sr. presidente la sesión. El Sr. Llórente manifestó que en atención á las circutitancias de Víyo , y á estar habilitad* pan el comercio extranjero, d.bia incluír Se han recibido periódicos «xtrangeros, y lo único interesante que sele en el articulo. publican es que en una carta de Petersburgo del 7 d…</t>
  </si>
  <si>
    <t>Sp* da una proposición del Sr. Llórente, reUtirt á qn» las Cortes se sirvan bía habido muchos abusos en esta parte, porque había pueblos que su arreglar el sistema de la Hacienda militar con la brevedad posible, te* ponían hab r suministrado mas de lo que valían. metido presentes ios antecedentes d…</t>
  </si>
  <si>
    <t>…o El Sr. presidente dijo que iba á darse principio á la discusión del tivo para variar su anterior dictamen. dictamen de la comisión primera de Hacienda sobre el plan de contri El Sr. Llórente hizo varias observaciones contra este dictamen, y buciones para el próximo año económico, presentado por el G -b erno. presentó una exposición d«l ayuntamiento de Vigo, manifestando las Algunos Sres. diputados pidieron se suspendiese la disonó¿¿ venta las de…</t>
  </si>
  <si>
    <t>…edad para ser milicianos, habrá agregado 4 los 90 de Valencey 7 so voluntarios de esta ciudad pero robustos y entusiasmados, pidieron y consiguieron que se les ar mandados por el capitán Llórente. mase y distribuyete en las filas ae los milicianos. Allí no se teme la __» En ests momento entra la partida de nuestro* 40 voluntario* con atroz amenaza del traidor Eguía, quien ha mandado te reúnan las par los de Motrico, por ser 7a inútil guardar el punto…</t>
  </si>
  <si>
    <t>Llórente, Bemto</t>
  </si>
  <si>
    <t>Bemto Llórente</t>
  </si>
  <si>
    <t>…las mas pervertot que ha mar , con ta firme resolución de usp.dirle* la entrada 1 toda costa El bía en ella, y forzado* cuatro i acogerte al indulto. La de Cuevilias, per espitan D. Bemto Llórente, comandante del destacamento de Valencey seguida por la tropa y milicia loca de Miranda de Ebro, te ha ocultado situado en Azpeitia, fa tode aviso* en aquel pu.blo cangrenado .conti en lo* monte* Obacene*, que dividen aquella provincia de la de Burgo*. guo al…</t>
  </si>
  <si>
    <t>Llórente, Diego</t>
  </si>
  <si>
    <t>Diego Llórente</t>
  </si>
  <si>
    <t>…del sisteme y ei desengaño de los mas extraño* llan y D. Félix Cetndla*. ilusos. Este pueblo será vuestro apoyo en toras ocasion e. Los s-gio* Subímitnlts. D. Bernardo Fernandez, D. Diego Llórente, D. Pa coronarán el heroísmo de los valientes con el recuerdo mas dulce v blo Riera, D. Josef Cuervo A rango, D. Fmaciaco Macíac, D. Jotcf admirable. Morale*, D. Pedro Badiere, D. Pió Larténdo, D. Pedro Po illtru, «Coruña, su ayuntamiento constitucional id de…</t>
  </si>
  <si>
    <t>Llórente, Josef</t>
  </si>
  <si>
    <t>Josef Llórente</t>
  </si>
  <si>
    <t>…Guadalajara á D. Josef Risetl, espitan de infantería graduado da dante de infantería. teniente coronel y del batallón de la milicia activa de Ciudad-Real, Tuy al coronel graduado D. Josef Llórente, comandanta de in con los 410 rs. ai mes que goza ea provincia. fantería. Cuadis á D. Silvano Lopes , mayor comandante supura un»'rano Ciudad-Rodrigo á D Forer o Godos, comandante de icfanter a. del batallón infantería ligrra de Gerona, con el sueldo que disi…</t>
  </si>
  <si>
    <t>Llórente, Juan Antonio</t>
  </si>
  <si>
    <t>Juan Antonio Llórente</t>
  </si>
  <si>
    <t>…n bítero. Se hallará eo la librería de Antoran__ Aforismos políticos , es clusive. critos en una de las lenguas del norte de la Europa por un filósofo, y traducidos al español por D. Juan Antonio Llórente. Se hallará en la En una cansa sobre conspiración contra el sistema constitucional, librería de Antoran. sentenciada en el juzgado de primera instancia de Bilbao, se ha condena Un profesor recien llegado á esta corte, que ha enseñado en la pro do i Josef Ramó…</t>
  </si>
  <si>
    <t>…ier, coronel de Pava Don la división de obispados y otros puntos contenciosos de disciplina ecle Agustín de Llano, sobre el abono d una pensión que le concedió siástica : su autor D. Juan Antonio Llórente : un tomo en 4. Se ha .ael Rey en 1815, opinaba que esta clase de pensiones no deben sató'a- rán en la librería de Cifuentcs. EN LA IMPRENTA NACIONAL.</t>
  </si>
  <si>
    <t>Llórente, Manuel</t>
  </si>
  <si>
    <t>Manuel Llórente</t>
  </si>
  <si>
    <t>…s»,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 Aprobados los poderes de estos Srcs. como proponía la co consejo de Estado, se ha dignado nombrar para una de las judicaturas misión. de…</t>
  </si>
  <si>
    <t>Llorert-, Juan Amonio</t>
  </si>
  <si>
    <t>Juan Amonio Llorert-</t>
  </si>
  <si>
    <t>…ión parece haber te largos siglos, hasta que s- ha publicado en este año dado informes muy importantes sobre ias calidades moraies del egército Observaciones sobre la respuesta de D. Juan Amonio Llorert- á la español d.l mando del general Mina. »&gt; El entusiasmo, dice, que ma- censura que por orden del tribunal eclrsi stico de Barcelona se di.i &lt;1 - ia n fiestsn los militares españoles solamente puede compararse con el de obia intitulada Proyecto de uoa Consti…</t>
  </si>
  <si>
    <t>Lloret, Francisco Antonio</t>
  </si>
  <si>
    <t>Francisco Antonio Lloret</t>
  </si>
  <si>
    <t>…nfante D. Cártoa; sin suelda por Monterey á D. Juan Manue. González Araujo, teniente coronel no disfrutarlo. graduado y segundo ayu'ante mayor del segundo regimiento de ¡a Alcor á D. Francisco Antonio Lloret, comandante supernumera guard a Real de infantería, con el sueldo qu- d.sfruta. rio de infantería del regimiento de León; con el aneldo que disfruta. Medina del Campo &gt; D. Josef Atiste , cap tan graduado de tenien Almería á D Nicolás .Sánchez y Chavea, comand…</t>
  </si>
  <si>
    <t>Lloro, Jotef</t>
  </si>
  <si>
    <t>Jotef Lloro</t>
  </si>
  <si>
    <t>…moral y mas utilidad En la ciudad de Huesca, reunidos en jurado de acusación los seño que el infinito número de las extranjeras divirtiesen ai propio tiem res D. Mariano Altaoja , D. Jotef Lloro, D. Caferino Lagrava, Don po qu* instruyesen á la juventud, haciéndola ver lo* peligros á qssa es Mariano Nassrre, D. Joaquín Jaques, D. Nicitio Manuel Villanueva, tá expuesta y el modo de avilarlo* , dió á lúa esta obra. Cada lectura D. Pascual Ciprés, D. Ju…</t>
  </si>
  <si>
    <t>Llovera</t>
  </si>
  <si>
    <t>…importante, sino dos cosas notablcs/Una la destruccicn separado de Valencia, «nos encontraríamos hoy con la noticia de estas de los facciosos de la parte de Barga, batidos por el brigadier Llovera; desagradables ocurrencias? ¡Nos encontraríamos con el sentimiento de y la otra que en la parte de Tarragona estaba el espíritu público bas saber que han perecido cu este suceso algunos españoles 1 1Y no es une tante alterado con motivo de haberse dicho se tr…</t>
  </si>
  <si>
    <t>…Seu de Urgel , dirigido ve , y ei sistema de contemporizar es acaso mas favorable á los turcos por el alcalde constitucional y el comandante Convs, resulta que el que á los rusos. brigadier Llovera atacó en Puigccrdá á los facciosos, mandados por BePor otra parte los alemanas han publicado ya una especie de plan sieis, * quienes batió é hizo entrar en Francia por las Qu.nquctas y Lüde campaña para la conquista de Constantinopia ; y á pesar del buen via,…</t>
  </si>
  <si>
    <t>…culpa se presentan tan extensas en pers Por disposición del Sr. gefe político de la provincia de Gerona , el pectiva , que no seria posible remediarlas después de haberse empezado brigadier Llovera iba en persecución de los lacc osos de la gavilla de ; á desenvolver en toda su extensión. Malavilla, los cuales habían entrado en Puigcerdá. Las p queñss co Ademas ¿qué partido era el que defendían los facciosos! No cier lumnas que se han destinado á Sta. Co…</t>
  </si>
  <si>
    <t>…e distribución de las yecto et destruirla, que por eso ha reducido los diezmos , disminuido tropas leales: ios conventos, y extinguido los monasterios, j Pero qué tienen que va El brigadier Llovera, comandante militar de la provincia de Ge Ies diezmos, frailes y monget con la religión! ¡ No iiorcció esta por espa rona , tiene en Castellón de Ampuriaa unos aoo hombres del regi cio de muchos siglos sin ninguna de aquellas instituciones! ¡Por ventura mient…</t>
  </si>
  <si>
    <t>Llovera, Esteban</t>
  </si>
  <si>
    <t>Esteban Llovera</t>
  </si>
  <si>
    <t>…diente 4 d chas so ha desempeñado durante su larga carrera; y ha conferido S. M los mis licitudes y recaerá en su rebeldía la providencia que se juzgue en justicia. mos empleos al brigadier D. Esteban Llovera, en consideración i sus Los que se crean con derecho legítimo 4 la herencia del Sr. Don distinguidos méritos y servicios, y 4 los que ha contraído ¿'tintamente Cirios Gómez Caballero, de origen español, y comerciante que fue en la destrucción de la gavilla de…</t>
  </si>
  <si>
    <t>Lñan</t>
  </si>
  <si>
    <t>…tucio mente del embarque de las tropas europeas, á cuyo efecto h» pasado el nal, á la Nación y al augusto Congreso, eran el objeto que presentaba Sr. Ricaíuerte i la Havana , y el general Lñan está con la primer divi á ¡a vista este venturoso dia: se sirvió un magnífico refresco, y vimos sión en Oajaca , debiendo en breve seguirle 11 de! bizarro Cruz y demás." (no sin admiración) al mismo ayuntamiento servirle á los valientes mi B.'.’-rtl v.t i9 de…</t>
  </si>
  <si>
    <t>Lni, Ramón</t>
  </si>
  <si>
    <t>Ramón Lni</t>
  </si>
  <si>
    <t>…pal esté grava to con el tribunal de la sentencia que había recudo en la causa seguida en el ínteres de tantos partícipes de sus ingresos , como son los establecimien mismo contra D. Ramón Lni* da Escovedo: leyóse igualmente dicha tos de beneficencia, los propietarios del edificio , de sus localidades y de certificación, en la que te copiaba la sentencia, reducida á que te sus enseres y utensilios, será la ruina de cualquiera que se haga cargo de s…</t>
  </si>
  <si>
    <t>LnJlwo, Joscf</t>
  </si>
  <si>
    <t>Joscf LnJlwo</t>
  </si>
  <si>
    <t>…la Doña Ma pacho de la Guerra.” ría Francisca Pereira , que casó en la Mtmbrilla, provincia da la Mancha, con Doña Eugenia García Nufisr, y alió da laCoruña an el Por promoción de D. Joscf LnJlwo i gtf» político de la provin nfio ds 1811 con dirección áGranarla, tuviste le bondad da noticiar cia d- Cácarr* ha quedado vacante la judicatura de primrra instancia lo al curs párroco del mismo pueblo da la MembrilU; y no babiéndou .d*l. partido d« Alcántara…</t>
  </si>
  <si>
    <t>Ló</t>
  </si>
  <si>
    <t>…a que desde el princip'o de su institución dió pruebas de Tres del Sr. Herrera Bustamante: una sobre que no se concedan poco amor al sistema. Cuando los ere esos de Salvatierra el general Ló ascensos de brigadieres y oficiales generales, é excepción de los que sean pez Baños llamó en su auxilio á dicha milicia y á la de la ley; esta sa de escala en los cuerpos facultativos, en atención al excesivo y despro prestó inmediatamente á los deseos dd ge…</t>
  </si>
  <si>
    <t>Lo</t>
  </si>
  <si>
    <t>…as, del ju am.nto que se prestaba en ellas, «g«cura para qua circulase esta noticia; y en su virtud fueron presos 4 las cion del plan y fuga de los conjurad, s D. Antonio Sánchez, D. Lo cinco y media de la mañana del dia i.° de Febrero. Pieza de Herrera, renzo Gómez y cuos. ( Se continuará.') folio 1 0 y siguientes. Que el Abuelo se retiró al Bodonal con inimo de reunir mu gente, TXIXUNALBfc ac comprueba por la declaración de Manuel Navas, e…</t>
  </si>
  <si>
    <t>…n las brigada* de artillería de Mallorca ,Ceuta y Cananas, que se conceder los que hasta el dia 1: hubieren solicitado.” componen cada una de dos compañías, y su plana mayor de un teniente Lo tras'ado á V. de K.ei¡ orden para &gt;u ia:eüe*ncia y demás coronel del cuerpo, y un ayudante mayor de la clase de teniente ,; quié efectos correspondientes. Paacio 18 de Noviembre de 182a. nes constituirán la junta para las m¡smat notas! Solución. Previniéndo £…</t>
  </si>
  <si>
    <t>…siguientes: » entre F.l 'r. Viióní z; En mi opinión debería decirse que el agraviado todos sus individuos.” acu la ai ayuntunT. U para vir si «1 agravio que se la hace procede El Sr. Lo ¡iris: Le comisión ha puesto esta palabra pira demostrar de una e.uiivocacion involuntaria ó err-r de cá culo, en cuyo caso po que se trata de aqu.'Hot individuos que tienen voto en el ayunta drá co rrgir.e, y cuando no se baga asi, pueda acud.r con su queja…</t>
  </si>
  <si>
    <t>Lo, Joa</t>
  </si>
  <si>
    <t>Joa Lo</t>
  </si>
  <si>
    <t>…o jatees de hecho de Zaragoza D. Josef Broto , D. Ramón Mateo, Don en éi pata que sean juz.-a los con arreglo á la misma ley.” Antonio López, D. Agustín Alcaide , D. Manuel antin, D. Joa Lo cpcan .0 • V. d; orí n d.l R:y para inteligencia, cumpli quín banchez del Cacho , D. Joaquín de Abad y D. Mariano Catalan. miento y gobierno d; es: tribunal. Aran.uz ió de Mayo de 1022. Habiendo calificado los jueces de hecho con la nota de injurioso en D. Vi…</t>
  </si>
  <si>
    <t>Ló, Juan</t>
  </si>
  <si>
    <t>Juan Ló</t>
  </si>
  <si>
    <t>…..... opinaba que podía aprobarse dicha cesión. Aprobado. tio para sacar algún resultado se verá obligado, ó á ponerse en paran La comisión de Premios, en vista de la solicitud de D. Juan Ló gón con los demas periódicos de la capital ,ó á renunciar la empresa. pez Ochoa, secretario que fue del gobierno superior político de Madrid, Se ve desde luego que el Diario de Cortes necesita mas tiempo pa para que se le declarase en clase de cesante, y el s…</t>
  </si>
  <si>
    <t>Ló, Matías</t>
  </si>
  <si>
    <t>Matías Ló</t>
  </si>
  <si>
    <t>…as palabras pudo parten sospechoso baila al fin, de procuraré guiarme por los principios de la mas rigorosa justicia, y no nunciado el día 10 del actual por el fiscal de imprentas D. Matías Ló riendo mas que un ciudadano particular, esiojr intimamente convenci pez «le Frías, la ley abssielve á D. Benigno Morales, responsable de di do de que loa antea llamados aefiorea son ciudadano* espafioles, y me cha parte del impreso; y á su. consecuencia mando…</t>
  </si>
  <si>
    <t>Lo, Rodrigo</t>
  </si>
  <si>
    <t>Rodrigo Lo</t>
  </si>
  <si>
    <t>…á V. S. para su inteligencia , y a fin de qué lo circule á quien cor 4 la formación de causa.” responda para su cumplimiento.” Habiéndose denunciado ai Sr. alcalde constitucional D. Rodrigo Lo participo 4 V. S. a! fin expresado; sirviéndose avisarme de su Aranda por D. Andrés Gutiérrez, como poderhabiente de varios indi recibo. Madrid a2 de Abrit de 182a. viduos del consulado de Santander y varios comerciantes de la misma Dirección ¡entra! Je Hacie…</t>
  </si>
  <si>
    <t>Lo.fuente, Pedro</t>
  </si>
  <si>
    <t>Pedro Lo.fuente</t>
  </si>
  <si>
    <t>…ianda de la Cerda en 14 de Abril de 1 |yo—Otro de un juroguiente»'. D. Cayetano Romero i D. Bernardo Asenjo; O. Josef María de 160,714 mri. sobra laa alcabala» de Ecija á favor da D. Pedro Lo.fuente; D. Pedro Metate; D. lino Campos; D. Antonio Sandalio de pez Portocarrero, á 13 de Marzo «la 1J64.—.Otro da un juro de &gt;6) Arias» D. Francisco Lopes de OlararrieU; X&gt;. Metiee Cuero y Don maravedises sobre las alcabala» de Cuenca, a favor de Doña Teresa Car Fr…</t>
  </si>
  <si>
    <t>Loaces</t>
  </si>
  <si>
    <t>…sus glorias, el sím con un cuerpo de tropa: , y los ánimos aparecían bastante divididos__ bolo de nuestra felicidad patria, la hermosa Lápida, en que brillan las Ha baiado aquí el Sr. Loaces cen un batallón escaso v tres morteros . ce n dulces y encantadoras voces de Constitución...... ánimo, según parece , de atacar el castillo de S. Juan de lílua : y dicen Todo fue júb.lo en aquel dia: repetidas descargas de fusilería, vi cuenta enn algunas fue…</t>
  </si>
  <si>
    <t>Loaches, Jacinto Gaona y</t>
  </si>
  <si>
    <t>Jacinto Gaona y Loaches</t>
  </si>
  <si>
    <t>…íos, magistra Se preguntó ti se prorogaria por una hora mas la sesión, y se acor do honorario de la audiencia de Castilla la Vieja, y esct.batiíá dei núdó por la negativa. mero de D. Jacinto Gaona y Loaches , se ha denunciado como mostren Se leyó un oficio del -Gobierno, participando á lat Corte* qne ca por no tener duefio conocidb una casa sita 'en esta corte , calle de Is S. M- el Rey continuaba mas aliviado, y qu: S. M. la Reina y Selló Palma Alta , sefialada…</t>
  </si>
  <si>
    <t>Lobato</t>
  </si>
  <si>
    <t>Se concedió «I permiso que solicitaba el Sr. D. Joaquín Medina, El Sr. Sancho manifestó que las proposiciones del Sr. Lobato no diputado por Nueve*Galicia, para parar á otro clima mas cálido con podían admitirte á discusión , porque eran contrarias i la Constitución motivo de ui achaque*. misma, y en muy extrafio que S. S. empezase su discurso diciendo que Después de una ligera dis…</t>
  </si>
  <si>
    <t>…el decreto de las Cortes, por el que se mandaban apli dicho ya lo bastante Bien conozco que esta dase del Estado tiene dere car al Crédito público los bienes raíces del clero: el Sr. Lobato ha ha cho á que ae la dé tina subsistencia proporcionada á las circunstancias blado de una orden , por la cual S. M. recomendaba mucho á las jun de la Nación, lo mismo que tiene este mismo detecho cualquiera otro tas diocesanas y al Crédito público que se ins…</t>
  </si>
  <si>
    <t>…zas y medias anatas. Continuó ia discusión del código penal. Dua'rúente se les pasó una exposición del cónsul de España en Ge Se mandaron fqsar a la comisión dos proposiciones del Sr. Lobato, nova sobre Ja dificultad de adquirir noticias exactas del comercio de una sobre Ja primera parte del art. 1 gy, y otra sobre la segunda ; y aquel país con España. una proposición dei Sr. Bcrnabcu sobre que se establezcan penas para Se acordó pasar al Gobiern…</t>
  </si>
  <si>
    <t>…había advertido esta detención la habría en los demas en los cua pósito que el que proponía la comisión. les se babia llevado 4 efecto el decreto de las Cortes. Por último opi El Sr. Lobato se opuso al dictamen de esta , opinando que no de naba que se debía desaprobar el dictamen de la comisión , 7 mandarse bían deducirse del medio diezmo (que se había aplicado exclusiva que mediante haberse faltado á la ley citada, sufran la pena correspon ment…</t>
  </si>
  <si>
    <t>Lobato, Juan</t>
  </si>
  <si>
    <t>Juan Lobato</t>
  </si>
  <si>
    <t>…tud de Don se oponía á la aprobación de este dictamen mientras no se hiciesen al Pedro Ruiz Sainz 7 D. Francisco Lavid, síndicos del concurso de aeree- gunas excepciones. dotes de-D. Juan Lobato, pidiendo que para satisfacer á los mismos se El Sr. Velatco dijo que los párroco* no podían dejar de ser dignos permiticM Ja rifa en la lotería aaoderna de varias fincas de la misma tes- ■ de la confianza de todos los ciudadanos para conceder las licencias,…</t>
  </si>
  <si>
    <t>Lobo, Gerónimo</t>
  </si>
  <si>
    <t>Gerónimo Lobo</t>
  </si>
  <si>
    <t>…sobre ¡1 invasión hostil que cor,ira aqut.li verificaren .os cos mos en la tmiiugada del día 7, cuya ctusa deberá seguirse con la ma At Midiendo i la imposibilidad en que se halla D. Gerónimo Lobo, yor cel-.ridai y dando parte diario de su estado y ade.actos. según ha manif.stado, de encargarse del D spscho de la secretaria de la Guerra, que tuve i bien confiarle por tni decreto de ayer, he venido En una exposición firmada por e! ciudadano teniente Joa…</t>
  </si>
  <si>
    <t>Lobo, Juan Bautista</t>
  </si>
  <si>
    <t>Juan Bautista Lobo</t>
  </si>
  <si>
    <t>…nguna persona ni D. Manuel Rincón , D. Jos f Domingo Rus , el cancnno D. M.guel corpora :íon pueda promover vítores injuriosos á los buenos europeos, Ramos Ar-spe, D. Ramón Rayón, D. Juan Bautista Lobo y D. Joasi com o ofensivos al soberano Congreso ; ni promover pj»eos sin pre sef M &lt;ría Couto. vio cor ocimi nto y permiso del gefe superior pol lico y capitán gene Idem. Grandes fi^ta», grandes promisas; pero tamb en grande* ral D. I .uis Quintanar__ Kste bando es un g…</t>
  </si>
  <si>
    <t>Locches, Jacinto Gaona y</t>
  </si>
  <si>
    <t>Jacinto Gaona y Locches</t>
  </si>
  <si>
    <t>…t. 11, que decía asi: los Ríos, juez en primera instancia de ata M. H. villa, refrendada de Art. 11. «Ningún secretario del Despacho ni otra autoridad dará su escribano del número D. Jacinto Gaona y Locches, se ha mandado curso á las representaciones ó peticiones que se les dirigiereu contra lo anunciar al público; en ia inteligencia de que el día 16 del corriente, prevenido en esta ley, pena de perdimiento de empico.*’ y hora de las 12, en la sala de ayuntamien…</t>
  </si>
  <si>
    <t>Lodaies</t>
  </si>
  <si>
    <t>…. ldc:n de 4O y uno mas a SO: 100. Idem de 4^ tratará ademas á los individuos de ayuntamiento como maivetsadotes rs abato ro pagaran rada. de los fondos de la Nación.” Aprobado. H Sr. Lodaies hallo desproporcionada esta tarifa, pues 'o m;smo Art. iz. » Los ayuntamiento* tendrán contra los contribuyentes la tenia qu- pagarse por un sueldo de 6u¿J reales que por otro de 3 O por misma acción de apremio que los intendentes tengan contra aquellos.” lo…</t>
  </si>
  <si>
    <t>Lodarca</t>
  </si>
  <si>
    <t>…apa fióles lean y ae geros. instruyan , entonces vendrán muy bien las reflexiones del Sr. Arguelles. a.* Los cambiantes A banqueros. Después de hab:r hecho varias observaciones el Sr. Lodarca costra j* Los capitalistas, sean'ó no comerciantes, que por sí A por me el dictamen de la comisión, se desaprobó la 5.* especie, y se mandó dio de otras personas emplean sus capitales en objeto de comercio por volver á la misma. mayor , ó en cualquiera indust…</t>
  </si>
  <si>
    <t>Lodarcs</t>
  </si>
  <si>
    <t>…ioe esp e al de Códigos proponga las adiciones y variaciones que se discute. crea conven entes. El sr. marques de la Merced dijo que las proposiciones de que habí* Propos:cion del Sr. Lodarcs sobre el mismo asunto: •* Estando dis hecho mérito el Sr. preopinante no habían pasado a la comisión con el cutido y aprobado por las Coi Os extraordinarias el d digo criminal, objeto que se habia dicho , pues que esta comisión se denominaba en p do que inmed…</t>
  </si>
  <si>
    <t>…so á este artículo, opinando que debían admitir á deliberar sobre su solicitud. Aprobado. se los exámenes privados. he mando quedar sobre la mesa un dictamen de la comisión del El Sr. Lodarcs contestó que la comisión hahia creído que los exá Crédito público acerca de la exposición del administrador y juntas dio menes públicos eran ios únicos reguladores de los conocimientos de loe cesanas de Toledo, León y otras sobre la percepción del medio diezm…</t>
  </si>
  <si>
    <t>Lodare</t>
  </si>
  <si>
    <t>…á una tercera par* pantó tan poco i los facciosos, que en número de ó mas nos tenían te de los individuos. rodeados: ahora se han marchado en varias cuadrillas y en dispersión, El Sr. Lodare» contestó que no siendo diarias las reuniones de los irnos i Olot y otros á la Selva, y Mosen Antón hácia Arbucias: aun nyuntamientos, podían acudir la mayor parte de su. individuos aunque que la voz era valida de que no saUria ninguno de ellos, porque había…</t>
  </si>
  <si>
    <t>Lodarei</t>
  </si>
  <si>
    <t>…el Gobierno. No se aprobó la segunda parte, que trataba del modo con posiblé igualdad , suprimiéndose la igualdad absoluta de valor. que debían satisfacerte dichos 10 millones. El Sr. Lodarei contestó que la comisión proponía Ja igualdad de Se continuó la discusión del dictamen de la comisión especial en valor como una especie de base, y la única que habia encontrado para cargada de informar sobre el extravío de la minuta del código penal. evitar…</t>
  </si>
  <si>
    <t>Lodares</t>
  </si>
  <si>
    <t>…e se exijan en razón proporcional de recreo del Key, con presencia del decreto de a 3 de Marzo de 1814.” las fincas que cada uno disfrute, ó de los pastos que aproveche, ó que Del Sr. Lodares: " Atendiendo á las dificultades que en las ú¡:¡esten impuestas sobre determinadas finess , se reputan afectas i casas ó mas elecciones de parroquia y partido se han suscitado sobre la apt.tud tierras y provenientes de dominio directo. para votar y ser electo…</t>
  </si>
  <si>
    <t>…a obligación y posibilidad que concurren en el Gobierno padrán acordarlo las Cortes si lo tuviesen á bien. ra !a formación de sus cuentas, pues se estableció la ¡unta de minis. El Sr. Lodares pidió que la comisión señalase un término fijo, y no tros y otras disposiciones para la recepción y distribución de caudales le dejara al arbitrio del Gobierno, para que las Cortes pudiesen tger- por los respectivos ministerios; cuyas disposiciones son muy fa…</t>
  </si>
  <si>
    <t>…otos particulares del Sr. marques de la Merced , contrario á no ha reconozcan los servicios de un hombre que sirve ó u par': 30 .. os berse admitido á discusión la proposición del Sr. Lodares; y del Sr. Sal ha, y q,.e se ha distinguido por su patriotismo en .1 gueir. Je .a i..de va, contrario £ la resolución de las Cortes, por la cual se mandó se pendencia , y por su adhesión a ia causa ie ¡a liberta.', insta mas hiciesen nuevas elecciones en la p…</t>
  </si>
  <si>
    <t>…e este mismo asunto , leída en la sesión del 14 dei corriente. El 20 del corriente pagará la casa nacional de moneda de diez á dos A la de Diputaciones provinciales se pasó la del Sr. Lodares, rela de la mañana á los sugetos que hayan presentado medios luises al rese tiva i ia planta de las secretar as de dichas diputaciones; y á la de Agri llo, y tengan los números desde el 1071 al 1132 , ambos inclusive. cultura otras dos de dicho Sr. Lodares, s…</t>
  </si>
  <si>
    <t>…tamen de la misma sobre la dotación de los párrocas; y á la de Diputaciones pro dido desde el restablecimiento de la Constitución hibil tar do. ó tres vinciales tres adiciones del Sr. Lodares al dictamen de ia misma comi nai i.s; y mucho mas cuando á poco tiempo tomo un préstamo de 200 sión aprobado ayer, sobre la reunión de jurisdicción en los pu.blos que mil.ones , que se empezaron á percibir inmed atumenie. Creo pees qae ésten contiguos, y redu…</t>
  </si>
  <si>
    <t>…para las de diputados. Leída y aprobada el neta de la anterior, ae mandó agregar á ella d La comisión entro después á referir las ocurrencias que hubo a Ceuta, voto particular del Sr. Lodares, contrario á la desaprobación del dicta y que motivaron la resolución que tomaron aquellas autoridades de hacer men de la comisión acarca de ios podares presentados por los Sres. di salir de la plaza al R. obispo y otros tros eclesiásticos, y sobre las finale…</t>
  </si>
  <si>
    <t>…ta artículo, reservándome para después el hablar acerca de las cantidades ría no es desproporcionada. que se señalen en la tabla de sueldos ,y rebajas que presenta la comisión, El Sr. Lodares manifestó que en el dia para que un capital produ por parecerme que ninguno debe exceder de 6a9 rs. líquidos, no con jese qo9 rs. era preciso que fuese aquel de cuatro millones; y que ea ni objeto de que se fije un máximum, sino con ei de que la rebaja sa est…</t>
  </si>
  <si>
    <t>…probó el acta de la anterior. nes imag'nariat. Se mandó pasar 4 la comisión do Hacienda la siguiente adición del El Sr. Gano fue de paiacer que con los 8o9 rt. había lo suficiente Sr. Lodares al art. iodql proyecto sebte arreglo délo tesorería. para los gastos de oficina. » Pido á las Cortes se declare que los individuos destinados 4 Jas Se tuvo el asunto por discutido, y quedó aprobada la rebaja que pro pagadurías ó intervenciones de las secretar…</t>
  </si>
  <si>
    <t>…yó la resolución A las Cortes cora apunto á las mismas por conducto del Sr. secretario de Gracia y Just icia. nicada al Gobierno sobre que la causa del Sr. Galiano estaba cu el El Sr. Lodares pidió que se leyese la consulta del supremo tr.bu- mismo caso que la Ai Sr. Escovedo. nal de Justicin.de que se hacia mérito en al último oficio da su El Sr. Ruiz A la Vega dijo que sentía tener que hablar corare la decano. tala A un tribunal que era el mejor…</t>
  </si>
  <si>
    <t>…el térmi Se mandaron pasar i la comisión de Instrucción pública una adi no de 6 meses se añadiese en ¡a materia 6curso en que ha sido reprobad". ción del Sr. Lapuerta , y otra del Sr. Lodares á una de las bases ya Un Sr. diputado, individuo de la comisión, dijo que la base estaba aprobadas del dictamen sobre dispensas de cursos y grados académicos. bien clara, y que por lo mismo no había necesidad de ninguna adición. Continuó la discusión de la ba…</t>
  </si>
  <si>
    <t>…o, opinaba que el Gobierno debía cuidar de La comisión de Hacienda, habiendo visto la adición propuesta por la aplicación de lo* fondo* destinado, para caminos y canales, srgun el Sr. Lodares al párrafo del presupuesto de la Gobernaciou de la estimase convenient-; pero qu: atendiendo á la importancia del canal Península, pira que en virtud ¿e estar prevenido por decreto de las de l'rge] podían las Cortes recomendarle esta obra. Cortes de «Si 1 que…</t>
  </si>
  <si>
    <t>…ra establecer por med o de la junta nacoa-1, to de sueldos de osantes de Gracia y Justicia. i cuyo establecimiento autorizó el Congreso para hacer toda, las refor Otras cuatro det Sr. Lodares: tá primera para que los labradores mas y adoptar todas la» innovaciones que proponga el visitador para queden en 1-bertad de vender sus frutos por mayor o menor, según lea bien de aquel establecimiento, asi en la parte directiva como en La ad corvvng*, con t…</t>
  </si>
  <si>
    <t>…a alguna el dicta La comisión de Visita del Crédito público en el expediente formada men de la comisión. con motivo da la» contestaciones qua se suscitaron entre los apoderados El Sr. Lodares hizo varias reflexione» para demostrar que la recatadel Erna Sr. Cardenal arzobispo de Toledo y el secretario del Sr. In dación del medio diezmo debía estar 4 cargo de los administradores de fante D. Cirio» sobra la recaudación dal medio diezmo, procedente la…</t>
  </si>
  <si>
    <t>…egército. Después de haber hecho algunas observaciones el Sr. Pedralvez con El Sr; Romero impugnó al artículo, manifestando que tiendo el tra este articulo , á las que contestó el Sr. Lodares, se declaró este asun reemplazo del egército una carga dolorosa para los pueblos, no conve to suficientemente discutido, y quedó aprobado el artículo. nía que estos la tuviesen siempre presente. Art. 8.a »Cuidarán los ayuntamientos, por medio de providen El S…</t>
  </si>
  <si>
    <t>…diputaciones provinciales para el repartimiento de ios quintos que les Vigo................. 317.848.............. *S*.6 cupiesen. Vitoria....... .... 77.46s.............. 54.9 El Sr. Lodares fue de opinión que no habiendo otro censo que el del Zamora............ *4*.385.............. 101,1 •fio de 9/ , podían las Cortes mandar que se hiciese el sorteo con arre Zaragoza.......... 3*5.***-.......... **3.6 glo £ él. El Sr. Latorre opinó que en caso…</t>
  </si>
  <si>
    <t>…Junio último son dos cosas enteramente diferentes entre tí, y to franco el de Mahon. A la de Comercio. expresó al mismo tiempo las razones en que lo fumiaba. Yo be busca Otra del Sr. Lodares sobre los bienes de las capellanías de sangra. do en el acta del dia 18 esa segunda oiden que se citas la be buscado A la comisión donde están lo» antecedentes. también en el diario, y en ninguna parte la be visto, y ni aun siquiera Otra de los Sres. Silva y…</t>
  </si>
  <si>
    <t>…ncomisión no encontraba dificultad en que se hiciese esta expresión, aun cíales. Se aprobó este dictamen. que este era un punto que ya estaba resuelto. Aprobado. Proposiciones del Sr. Lodares sobre aclaración de cicrtoa puntos de Otra del Sr. Rodríguez Paterna: » Para aclarar las dudas que pue la ordenanza de reemplazos. dan ofrecerse en el reemplazo del egército pido: i.° Que te conside i. a Que en los pueblos de mucho vecindario se prorogue por…</t>
  </si>
  <si>
    <t>…eglar el sistema de la Hacienda militar con la brevedad posible, te* ponían hab r suministrado mas de lo que valían. metido presentes ios antecedentes de la pasada legislatura. El Sr. Lodares repuso que en efecto era muy frecuente el haber i&gt;e hizo la primera lectura de las preposiciones siguientes. suministrado los pueblos mas de lo que valían; y para esto apelaba á Una del Sr. Gil Orduña, relativa a que se sirran las Cortes decre cuantos hubiese…</t>
  </si>
  <si>
    <t>…dríguez Paterna dijo que también debían excluirse de la ai gran priorato de S. Juan, y sobre las proposiciones hechas por el milicia los que fuesen deudores á los fondos públicos. Sr. Lodares. El Sr. Aguirre expuso que este artículo descansaba sobre todo lo Se procedió ¿ la discusión del dictamen de la comisión especial en dispuesto en la Constitución y en las leyes sobre la materia. cargada de proponer las reglas convenientes para el repartimient…</t>
  </si>
  <si>
    <t>…, á causa de que no atenderían al culi va medio* posibles. de tus suertes los que no las hubiesen pedido. El Sr. Pedral vez manifestó que en su concepto solo debia quedar el ar El Sr. Lodares contestó que pera adjudicar las suertes en necesario tículo reducido á decir podrían adm tirse como voluntarios los dispensa que los interesados las solicitasen ante el ayuntamiento. dos que lo *&lt; liciten: que por lo demás no creia que debia aprobarse el Desp…</t>
  </si>
  <si>
    <t>….: en la pri los arquitectos , escultores &amp;c. qu: habían quedado exceptuados por armera too , y en la segunda 1 ao. lícu.o expreso en el año anterior para fomentar estas artes. El Sr. Lodares manifestó que en caso de que se dudase si un veci El Sr. Lodares manifestó el gran contraste que ofrecía el ver en una no debía pagar en una clase ó en otra, quién era el que lo habia de de misma ciase ai diamantista con el tejero, siendo tan diferentes sus u…</t>
  </si>
  <si>
    <t>…oda la fuerza de esta clase decretada 4 las observaciones que se han hechp en esta discusión lo rectifique. por las Cortas estará empleada en los caminos. Todas estas considera El Sr. Lodares: Después de lo que se ha manifestado acerca de este ciones me mueven á desaprobar este proyecto en su totalidad, y á su proyecto por los Sres. que me han precedido , poco reata que decir, ni plicar á las Cortes resuelvan que vuelva i la comisión para que lo r…</t>
  </si>
  <si>
    <t>…lar a,'nd &gt;, se insertase íntegra en el diario , y tuar á todos los empleados en ramos útiles , ó á ninguno. pasase 1 a common &gt;-sp-cial encargada del examen de la memoria del TE1 Sr. Lodares: El Sr. preopinante ha manifestado que muchas Gobierno. Asi se acordó. tierras por el sitio en que se hallan exigen un cultivo particular; pero Se mandaron pasar a la comisión de Guerra varias adiciones á loa la ley sabiamente tiene acordado lo necesario sobr…</t>
  </si>
  <si>
    <t>…solución ds algunas dudas pro que resuelva lo conveniente. puestas por el Gobierno : entre ellas se halla la de quién debía conce El Sr. Romero .- A la contestación que ha dado el Sr. Lodares á la der moratorias. Las razones del señor preopinante vendrían bien en ca objeción propuesta por el Sr. Buey, afiadiré que los juicios gubernati so que se tratase de si debe ó no haber moratorias; pero no siendo este vos tienen en sus resoluciones una marcha…</t>
  </si>
  <si>
    <t>Lodaret</t>
  </si>
  <si>
    <t>…n propiedad i independencia, y informe é la junta nacional de dicho ramo. Aprobado. principalmente aseguraba el inapreciable tesoro de la santa religión da Se leyó una adición del Sr. Lodaret al art. i.# del dictamen de 1* Jesucristo. comisión de Visita, relativa á que no sean propuestos para visitadores Se ha celebrado en esta villa otra igual función en memoria del dia 9 lo* magistrados cesantes, ni los corregidores y alcaldes mayores que des de…</t>
  </si>
  <si>
    <t>…en contenta to «le Cartagena para que se les proporcionasen medios'de ascender en su ciones 7 rencillas. carrera, 7 se lea aumentase el sueldo; en la que opinaba que en cuanto El Sr. Lodaret hizo varias observaciones sobre la necesidad de ezai la primera parte debia pasar al Gobierne, 7 en cuanto á la segunda minar detenidamente la adición del Sr. Adinero, para no perjudicar á que no podía accedcrse á ella por la escasez del erario. Aprobado. los…</t>
  </si>
  <si>
    <t>…to que las observaciones y dudas de diferentes nes les pareciese para poner en egecucion lo que acordasen. diputación s provinciales dirigidas á las Cortes y al Gobierno hab an El Sr. Lodaret manifestó que había cierta clase de cosas que podían promovido el proyecto que se discutía, tratándose en el únicain-nte de encargarse i otras personas que no fuesen ios alcaldes, como por rgerneat’sfacer á aquellas, y de hacer agunas variaciones, ampi¡heteio…</t>
  </si>
  <si>
    <t>…esta milicia: redacción de un proyecto de decreto que comprendiese todos estos s.° Los que tengan impedimento físico para hacer el servicios puntos. 3.0 Los ordenado* m sacris. El Sr. Lodaret dijo que el encargo de la comisión era solo de pte- 3.a Los militares en actual servicio. sentar medidas para llevar á efecto el decreto de las Cortes sobre esto 4.0 Los gefes políticos, asunto, no pudiendo de modo alguno presentarlas con respecto i aque j."…</t>
  </si>
  <si>
    <t>…se otra instancia después de la resolución de la afio , para el pago de deudas á favor de los propios y arbitrios , pósi diputación. tos y otros fondos comunes de los pueblos.” El Sr. Lodaret: El Sr. Buey ha impugnado el artículo, fundado en El Sr. Romero: Solo impugno est: artículo por la razón de qu: que no está acorde con la ley fundamental, porque no se deja una ter concede í las diputaciones provinciales una facultad privativa d: Jas cera ins…</t>
  </si>
  <si>
    <t>Lodarvs</t>
  </si>
  <si>
    <t>…s de este artículo, después de lo cual hizo Después de haber hecho algunas observaciones sobre este artículo presente que no se privaba i toa ayuntamientos de la facultad de re el Sr. Lodarvs, se declaró el purto suficientemente discutido; y habién mover sus secretarios, sino que se las ponía una trabe justa para qus no dose volado por partes, quedó aprobada la primera hasta donde dice lo hiciesen por un capricho ó por una personalidad. Hizo prcae…</t>
  </si>
  <si>
    <t>Lodircs</t>
  </si>
  <si>
    <t>…ntribución de ayo millones de reales, distribuidos en ses de los contiibuyentrs con el servicio público. el modo siguiente: ico millones sobre la riqueza territorial y la pecua El Sr. Lodircs observó que la cantidad de 1 50 millones cargados ria: 100 millones sobre los consumos: 20 millones totee el valor de di contribución directa sobre la riqueza territorial y pecuaria era muy excesiva, f que por lo tanto no solo atacaba la propiedad , sino que…</t>
  </si>
  <si>
    <t>Lodstcs</t>
  </si>
  <si>
    <t>…ducados que disfrutaba. Igualmente se nombró pare la comisión de Diputaciones provincia La comisión de Hacienda, informando sobre una instancia del les en lugar del Sr. Galiano al Sr. Lodstcs, y para la especial encarga ayuntamiento de Gandía, en que pedia se cximie»- á aquella ci udad da de la exposición de varios oficiales del egercito de Galicia en lugar de i pago dei 19Í por too que le cargaba la contaduría de Propio» en un del Sr. Valdés (D.…</t>
  </si>
  <si>
    <t>Loecbes, Jacinto Gtona y</t>
  </si>
  <si>
    <t>Jacinto Gtona y Loecbes</t>
  </si>
  <si>
    <t>…Quien qui municipales.” siere enterarse por menor de d ehas fincas p bienes acuda á la escriba Y io traslado á V. S. da orden de S. M-, 4 fin de que consiguiente nía del número de D. Jacinto Gtona y Loecbes, en donde se msniá esta Real resolución, p 4 la anterior de 9 de Febrero del año último, fnstarán las diligencias oportunas en que constan por menor ; en fe in *e proceda con rigor contra loa alcalde* que en el corriente mes no pre teligencia de que dicho señ…</t>
  </si>
  <si>
    <t>Loeches, Jacinto Gaona y</t>
  </si>
  <si>
    <t>Jacinto Gaona y Loeches</t>
  </si>
  <si>
    <t>…do mera instancia «le esta M. H. villa, por su providencia de este día, re rs su cumplimiento, y dispondréis se imprima, publique y circule, zs frendada de su escribano dei número D. Jacinto Gaona y Loeches, ha ubricado de la Real nunoaEo Palacio á 16 de Enero de i8ia.sA mandado se lleve á efecto en todas sus partes el decreto de dicho se Don Luis Sorel*. ñor intendente, debiéndose contar el término para cada una de dichas Circular del minii Itrio de Hacienda. t…</t>
  </si>
  <si>
    <t>…anca, D. Pedro Matute, D. Josef Antonio diencia de Castilla la Vieja, y escribanía del número de esta M. H. Ponzoa , D. Josef Radon, D- Andrés Moya Lnzuriaga, D. Bernardo villa de D. Jacinto Gaona y Loeches, se vende en pública subasta una A sen jo, D. Miguel Ripa, conde de la Torre del Fresno. casa sita en esta población, calle de la Palma Alta, señalada con el nú Reunido el jurado, y habida la confereocia, se declaró por unanimi mero a8 de la manz. 453 , la cu…</t>
  </si>
  <si>
    <t>…el mismo nombre. Ríos , juez de primera instancia de esta villa, por el conducto de la es Se aprobó el dictamen de la comisión de Hacienda , relativ.o ¿ que cribanía del número de D. Jacinto Gaona y Loeches, á deducir dicha pueda ser colocado D. Mariano Torres v Solanot, á pesar de no dis derecho hasta el 3 de Junio próximo ■. bajo apercibimiento de que pasa frutar sueldo ni pensión por el erario público. do sin haberlo hecho se declarará vacante y aplicará al C…</t>
  </si>
  <si>
    <t>…a do honorario de la audiencia de Castilla la Vieja, y juez letrado en pri mar. (Gaceta de! 29 de id.) mera instancia de esta M. H. villa , refrendada por su escribano del nú mero D. Jacinto Gaona y Loeches, se ha mandado citar y emplazar por Sentencia de la tala de primera instancia dtl tribunal dt Cortes. tercera y última vez, como por medio de este aviso se cita, llama y em V sta en el tribunal de Cortes y sala de primera instancia con loa plaza i lot parient…</t>
  </si>
  <si>
    <t>…ó haber lugar 4 la formación de trado de primera instancia de esta Ad. il. villa, y escríbame del nú causa por siete votos, habiendo votado no haber lugar el Sr. D. Marco* mero de D. Jacinto Gaona y Loeches, se ha seúaiado para el remáis Izquierdo y el Sr. D. josef San Millan. de una casa, sita en esta corte ea la calle del Ave M-ru, núm. 5, manz. 34, el día ir del corriente y hora de las 11 de su mañana ta VARIEDADES. la posada del Citado Sr. Ríos , que ta tien…</t>
  </si>
  <si>
    <t>…mos, ciato et que se les da un po tancia y de la Hacienda púb*ica en esta capital, y escribanía del ñáme der para que usen de ella, á fin de refrenar loa abusos de alguno de lo de D. Jacinto Gaona y Loeches, se vende en púb subasta una los tres poderes dd Estado; esto pues et contrario a la ley fundamen caá, tita en esta corte, calle de la Palma a ta, seña a-Ja con el núme tal , ademas de que se paraliza la acción de ios gefes políticos; y por ro 6 de la manz. $…</t>
  </si>
  <si>
    <t>…la Gobernación de la Península. tancia y de la Hacienda pública de esta capital, y escribanía del nú Para fijar la cantidad diaria con que se ha de socorrer á los reos po mero de D. Jacinto Gaona y Loeches , se vende en pública subasta una bres de las cárceles, 7 evitar en lo sucesivo contestaciones semejantes á cata, sita en esta corte, calle de la Palma Baja, señalada con el núme las que con este motivo han ocurrido, se ha servido S. M. resolver que ro 6 de l…</t>
  </si>
  <si>
    <t>Loechet, Jacinto Gaona y</t>
  </si>
  <si>
    <t>Jacinto Gaona y Loechet</t>
  </si>
  <si>
    <t>…a con el instancia y de la hacienda pública de esta capital, refrendada por el es núm. 3241, su valor 23,274; todas endosadas a favor de dicho Sr. Marti cribano del número de ella D. Jacinto Gaona y Loechet, se ha señala nengo y sin ínteres. Y habiendo recibido la noticia , según certificación do para al dia 15 d*l corriente, á las xa de su mañana, en su posada, del administrador general de correos , de que el de ene día se había co que la tiene an la calle y ca…</t>
  </si>
  <si>
    <t>Loechtrs, Jacinto Gaona y</t>
  </si>
  <si>
    <t>Jacinto Gaona y Loechtrs</t>
  </si>
  <si>
    <t>…= En palacio á apde Junio de 181a. = A D. Felipe da Sierra y primera instancia d« esta villa y de la Hacienda nacional de la misma, Pambley. refrendada de su escribano del número D. Jacinto Gaona y Loechtrs, »e ha mandado sacar á pública subasta por término de 30 días , conta Don Femando vupor la gracia de Dios y por la Constitución déla dos desde 15 del corriente, un solar, sito en esta corte en la calle de Monarquía española, Rey de las Espafias, á todos los q…</t>
  </si>
  <si>
    <t>Loigorry, Martin García y</t>
  </si>
  <si>
    <t>Martin García y Loigorry</t>
  </si>
  <si>
    <t>…ci cibimiento que de no verificarlo dentro de él se declarará por desierta,miento general de la milicia activa (Gaceta del i.°) parándole entero perjuicio. Real orden exonerando i D. Martin García y Loigorry del cargo de inspector de artillería, y nombrando para sucedería a D. Juan cAxiios en el dia jo de Setiembre de 18a a. Manuel Munarriz. ( Gaceta del 14.) TAii^f«.Mllini.................................... „ 57-J Decreto de las Cortes en que se fijan los sueld…</t>
  </si>
  <si>
    <t>Loiiete, Roberto</t>
  </si>
  <si>
    <t>Roberto Loiiete</t>
  </si>
  <si>
    <t>…general de Gastilla la Nueva. (Garda dtl as-) Paula Chiocchiní en Cádiz é 31 de Diciembre de 1810: á ¡os señores Decreto de las Cortes haciendo extensivo A los militares de Ultra D. Roberto Loiiete é hijo por dos ídem, según el que está í su favor mar d decreto de y de Noviembre de itao. (G«tt* dtl a/.) en Cádiz á ay de Abril de 1814 por J. D. Hocknell: A. D. E. E. Amozoila por uno en ídem á 5 de Enero de 1813, por P. P. Debol, VARIEDADES. hermano* jr c…</t>
  </si>
  <si>
    <t>…ntes: á los Sres. D. Fe derico Gerónimo Berechan 1 o vates de 130 pesos, según endoso da VARIEDADES. D. Francisco Paula Chiocchini, en Cádiz é 31 de Diciembre de 1810: á los Sres. D. Roberto Loiiete i hijo, por dos ídem , según el que está Constitución dt las úlas Jónicas» i tu favor en Cádiz á 27 de Abril de 18(4 por J. D. HockOcll: á Doa El estado de los negocios políticos en el oriente de Europa fija en E. E. Amososla, por uno en ídem, á 3 de Enero de…</t>
  </si>
  <si>
    <t>LoJarcs</t>
  </si>
  <si>
    <t>…os regidores citando se tratase de las S. M. el Rey y SS. AA. siguen ain novedad en tu importante providencias de que hablar este artículo. talud. S. M. la Reina está aliviada. El Sr. LoJarcs: Aunque la observación del Sr. preopinante pare*, CORTES EXTRAORDINARIAS. ca oportuna, si se atiende aisladamente al artículo tn cuestión , pier de toda su fuerza si se atiende á lo que se propone en el art. 176 de PRESIDENCIA DHL SxftoK OUVER. esu instrucció…</t>
  </si>
  <si>
    <t>Lombart, Joaquín</t>
  </si>
  <si>
    <t>Joaquín Lombart</t>
  </si>
  <si>
    <t>…a su pro D. Joaquín Saez Quinlanilla y D. Gabriel Montaner; D. Francisco visión, se anuncia al público para’que loa empleados ea activo servicio Calvo y Marco, D. Facundo Alarcon, D. Joaquín Lombart y D. Pe 6 cesantes que aspiran á ella, y reúnan las circunstancias prevalidas «a dro Pascual Carbonell lo declararon subversivo en primer grada, y Don los decretos de les Cortes y órdenes de S. M., presenten les instancias Pedro Pascual Llobet lo calificó do subversi…</t>
  </si>
  <si>
    <t>Lomelin, Francisco</t>
  </si>
  <si>
    <t>Francisco Lomelin</t>
  </si>
  <si>
    <t>…, en cabeza de Dofia Gerónima de Tobar y Metía: otro de 141,134 id. sobre alcabalas de Hue Estado de los valores, gastos y líquido de las rentas estancadas en el le , en cabeza de D. Francisco Lomelin : otro de 48,334 id. sobre diez mes de Mayo último. mos de la mar de Castilla, en cabeza de D. Vicente de Moles: otro de Ramos. Valores. Gastos. Líquido. 30,683 id. sobre el servicio de millones de Salamanca, en cabeza de Don Juan Alvarrz: otro de 88,400 id.…</t>
  </si>
  <si>
    <t>Lona</t>
  </si>
  <si>
    <t>…mera D. Josef J&lt;.-au!«.s, J - 18 soldados de infantería del regimien lón a un cabecilla de S. Andrés. El comandante l’.r.garron salió al to del Infante D. Antonio, á las órdanesde D. Lona i no Corrales, d# encu. otro con su tropa para envolver á los facciosos ; pero su precipita ló volunt.rio» de llltsci* á las d* D Mar año Sejornal, y de ey aoda fuga no le permitió alcanzarlos. lutitjno» de Toledo al mando del teniente D. Mariano Casafia. Tur…</t>
  </si>
  <si>
    <t>Lond-nd.-ny</t>
  </si>
  <si>
    <t>…c* su* patr.i t eos fran nuevos retardos tod&gt;* los negocios políticos de Europa con motivo ser.timur.los, y continúe V. E. con el t.-son y zelo qu. so t . ne sus de la mu rte del lord Lond-nd.-ny. espi nuas , delicadas y gravis mas atenciones. Se d jo ti 'tnpo hí que e! Gran Sultán había amenazado á los genf- •• El Todopoderoso ilumine , sostenga y cons'rve á V. E., como ’o zaros sediciosos con su rrso'uc un de abandonar á Con.ti: ' ip.a , ¿ ir necesi…</t>
  </si>
  <si>
    <t>Londoisderry</t>
  </si>
  <si>
    <t>…as como la de Scio. No obstante cuando se traen á la TtlXQl'JA. memoria las últimas disensiones del Parlamento ingles sobre este asun Smírna jo de Junto. to , y las aserciones del lord Londoisderry sobre la ninguna convenien Van llegando continuamente á esta ciudad desde lo interior al ru cia de intervenir en la administración de la justicia en Turquía , deba aos voluntarios, sobre Jos cuales, como que nada tienen que perder, creerse que esU noticia no…</t>
  </si>
  <si>
    <t>Londondcrry</t>
  </si>
  <si>
    <t>…atua sin alma y sin movimiento.”’ •ita ciudad, y continuarán su viage para Verona, adonde concurrirá Entre los pasageros de este buque se halla un diputado á las Cortes ge también lord Londondcrry (1) por parte de la Inglaterra. Se habla de es nerales por la provine'* de Rio Negro.«—Balandra portuguesa Concep tablecer &lt;n Italia una comisión central de pesquisa contra los (arbo ción , procedente de Funchal, con 16 días de navegación. larios, semejante á…</t>
  </si>
  <si>
    <t>…rlton-Hous;; y sideramos su entrada en e; Gabinete como ventajosa en este punto. S. M. ha entregado i Mr. Canrvng loa aellos de secretario de Estado No creemos que consienta, como lord Londondcrry, en hacerse jr del ministerio de Negocios extrangeroa. Ahora se trata de su suce el instrumento del príncipe de Mctternich, pues teniendo como tiene sor en el gobierno general de la India: se dice que este .mp!» le de una penetración superior, no se dejará ll…</t>
  </si>
  <si>
    <t>Londonderri</t>
  </si>
  <si>
    <t>…mundo político, y que da margen á que los perio tafurinación de causadistas de todos los países llenen sus columnas en el sentido en que abundan. Díjuse primero que ia muerte del lord Londonderri nada in TXISONA1.B1. fluiría en los negocios políticos, y no ocultaban sin embargo los rece Por providencia del Sr. D. Martin de Pineda y Lara, ministro to los que les causaba esta inesperada y fatal muerte. En Octubre te opi gado honorario de ia audiencia te…</t>
  </si>
  <si>
    <t>…»-:uac on de Fsp.'a, y se verá que todos han intist ‘o s 'hre los argumentos expuesto» en la famosa c rcudos su. hala tent s -sErn mis ó m-no* aco.iumbiai^s » ia ri, , p.r—lar del lord Londonderri, r dudándose lo» principales á que liad ndo,e que lian tenido pr.-c s on de har ría. has ¿u n.. a, son, » n ...cp. .a,la Francia por su proximidad á la España mas expuesta al contagio de la, mejores tiopas iigeras (o II .mense irregulares) que hay en Europa:l…</t>
  </si>
  <si>
    <t>Londonderry</t>
  </si>
  <si>
    <t>…uida el orador que era preciso distinguir en los tiempo* b.’.l, y quedó aprobada por 142 votos contra 25. anteriores algunas cosas principales, como el^podet'üe derecho del Rqy El lord Londonderry hubiera deseado que el bilí pasase por todos antes de la Carta, y procuró d. mostrar , fundándose en ellas, que las mo los trámites en aquella sesión , para que se le pudiese enviar a la Cáma dificaciones propuestas eran no solamente inútiles, sino pei.ud'cC…</t>
  </si>
  <si>
    <t>…ombrado Par de creyéndose contramaicharan por Canastillo, adonde pensaba seguirlos Francia : que en este año influye la política en los cerebios de un mo el general.” do fun:sto : lord Londonderry se degolló , y hablan de otro diplomáti co que no tiene muy sana la cabeza en cate momento .* que d:td: t.° de TRIBUNAtKS. Enero hablará clarito el Monitor; que la Cotidiana saldrá comedida; Los señores de la sala primera crim ¡nal de la audiencia terrítoría…</t>
  </si>
  <si>
    <t>Longa</t>
  </si>
  <si>
    <t>…s con sinies lló en Orozco y te di,ó traslucir en tugurios olios puntos , prutrov da tros desunios ha publicado hoy el Diario Je los debates, órgano del por los partidario» del e*-general Longa , »e ha desecho em r?rr,er,tí á jStcsidenis del consejo de los ministro* Mr. de Vállele, el articulo hvor de m.didas fuerte» y activa* contra las persona» sospéchelas de *igui-nte: complicidad en ella. Toda» ó casi todos tos jovenes extraídos de loa »&gt; ¡Todav…</t>
  </si>
  <si>
    <t>Loodonderry</t>
  </si>
  <si>
    <t>…a; y por falla de artesanos se han E¡ Times dice que circuían do» especi-t diferentes acerca de U muer visto precisad &lt;s ¿ continuar sus ureas sin ninguna de las comodidades te de lord Loodonderry *. i.‘ *&gt; Que tuvo un grande a.urcado con el necesarias. Todo lo han destruido los turcos; y ha sido indispensable Rey ei viern-s por la mañana en su aud encía de despedida* 1/ Que crearlo y arreglarlo todo. su ti abajo excesivo durante la s.sion del Parlamen…</t>
  </si>
  <si>
    <t>Lop</t>
  </si>
  <si>
    <t>…nisterio da nerales. Aprobado. Gracia y Justicia. La com s-on de Instrucción pública en vísta de la proposición del I.a comisión de Hacienda ha examinado el presupuesto de los gas Sr. Lop z del Baño, solicitando la conservación del colegio de la Purí tos del ministerio de Gracia y Just cía pata el año económico de 181 a sima Concepción en la vida de Cabra, y de la solicitud de dicho cole á 1823 , y en su vista ¡ xpnne al Congreso: gio, qu - ac…</t>
  </si>
  <si>
    <t>Lop, Manuel</t>
  </si>
  <si>
    <t>Manuel Lop</t>
  </si>
  <si>
    <t>…otro* «cernió en el anterior Octubre. La testamentaría pende en el juzgado de muchos respectos es sin duda gloriosa y admirable: los progresos que dicho ir. ju.z, y escribanía de D. Manuel Lop;z de Rivas, que des han hecho en 40 años de existencia , el aumento rápido de su pobla picha por habilitación D. Juan de la Peña Martínez. Pisado ei referi ción , su riqueza, su fuerza física y sus recursos; todo parece grande do término, parará todo perjuici…</t>
  </si>
  <si>
    <t>Lop-z, Juan</t>
  </si>
  <si>
    <t>Juan Lop-z</t>
  </si>
  <si>
    <t>…odrían Véndese á 6 rs. en el Despacho de la imprenta Nacional. vencer tan terribles dificultades, y conseguirían el logro de tamaña em Mapa de los reinos de España y Portugal, por D. Juan Lop-z: es presa ; pero siempre quedaba expuesto á los insultos de la mas débil un pliego de marca imperial, con la nueva división del territorio espa nación que ejerciese algún poder marítimo, si no teníamos una escua ñol en doce distritos militares, según los lími…</t>
  </si>
  <si>
    <t>Lope</t>
  </si>
  <si>
    <t>…s, que el regimiento niilíciancs voluntar,es. de Lusitania pasase i aquella ciudad, y asimismo que pasas# tambiea d Ei &gt;r. hepUcn apoyó la proposición, manifestando los tria» acon general Lope* Batios, de cuya prudencia y sabiduría confiaba que tomo tecimientos que por toda España se habían notado, principalmente des na las providencias oportunas pean qu* no se repitiesen s.-mejantes dea- de ei dia l ° de Noviembre del año pasado, lo cual icd caba…</t>
  </si>
  <si>
    <t>…ral , en cia, v tolos se ofrecieron i ello con el mayor gusto y entusiasmo. que s- propondrá levantar 200 hombres para conservar sus libe:lides, Posteriormente hemos sabido que el general Lope* Baños se halla bi nes y propiedades. ¡Ojalá que todos conocieran tata bien sus in ba el 9. en Vitoria, y. qué el coronel Asura, después de hab r vuelto tereses! g Tolos*, rec bió or in suya para pasar i incorporarse en dicha c u- Zaragoza 4 Je Julio. dad; si…</t>
  </si>
  <si>
    <t>…da Cidiz, reunidos en jurado de caliCcacion loa Sellosecciones cada tres rimes , autorizada por los respectóos intendentes y res D. Segismundo Moret, D. Francisco Servando Mufíoz, D. Lope ministros de la hacienda militar. Manuel de Luengas, D. Francisco Hidalgo , D. Juan Martínez de Ga* De Real orden lo comunico á V. para su inteligencia y efectos tica , D. Juan Francisco Vidot, D. Antonio Cortés y Coll, D. Luis corr spondicntes á su puntual c…</t>
  </si>
  <si>
    <t>Lope, Jim</t>
  </si>
  <si>
    <t>Jim Lope</t>
  </si>
  <si>
    <t>…de los billetes que (Id. del 39.) hayan presentado medios luiset pan su resello desde el número 40* al • HAC1KVDA. 443, ambos inclusive. Resolución d*«5. M. tabre la iusiaucs» da D. Jim Lope* y bnmti es SOS , de Burgos. (Gaceta del dia I.' ) . Los duefios de los baltos presentado* con sello acudirán mañana a -. Decreto de las Cortes derogando el artículo a» del de ap del corriente de 9 á a á la casa nacional de moneda pan hacer el re de Junio últ…</t>
  </si>
  <si>
    <t>Lope, P-dto Mi'da</t>
  </si>
  <si>
    <t>P-dto Mi'da Lope</t>
  </si>
  <si>
    <t>…y medie. cular, iguiles con poca dif-r-ncia en valor. La cooliaiod opinaba que SttioH «rfisarM ir/jsó ilfps. debia acceden: i dicha permuta. Aprobado. Otro sobre la exposición de D. P-dto Mi'da Lope*, mélico de Se leyó y aprobó el acta de la nnterior. Mulé, pera que te permita i aquel asuotami-n o le ettagenaCion de una A la comisión de Guerra se mandaron pesar varias ediciones hechas cata para pagar los &lt;a'arios qu? ce le adeudan. La comí.ion «apiñaba á…</t>
  </si>
  <si>
    <t>Lope, Ramón</t>
  </si>
  <si>
    <t>Ramón Lope</t>
  </si>
  <si>
    <t>…oGuerra é interino de Hacienda , había tenido á bien nombrar interi siciones ant. rieres de la» Cortes, hizo su soicitud para la capitaliza namente para el desempeño dei primero á D. Ramón Lope* Pelegrint ción de su pens-on i favor de ur.a tercera persona que le ase -uro un para el segundo á D. Vécente Cano Manuel: pata él teicero á D. Plan tanto diario. Si las Corte» ahora determinan qu- cesen estas cap raLzacheo de Paula Escudero, y para el cuarto…</t>
  </si>
  <si>
    <t>…de t 2 de Octubre de a8aa. Se vende á doce cuartos en él » Estando el R'-y persuadido de los señalados méritos y servicios despacho de la Imprenta nacional. del mariscal de campo D. Ramón Lope, director subinspector del Mota. En la gaceta del 17, col. t.a, lina. 50 y 51, donde dice de cuerpo de ingenieros, y de su adhesión al aistema constitucional, se ha estila distrito, debe decir del Estado. EN LA IMPRENTA NACIONAL.</t>
  </si>
  <si>
    <t>…valores y gastos de la* aduanas de la Península ea Guerra. el mes de Setiembre de i8aa. Rs. de vellón. Real decreto nombrando inspector general de ingenieros al mariscal de campo D. Ramón Lope. (Gaceta del ao.) Productos por mercaderías extnngeras introduci das en la Península.................................... .............. 3.345,736.. 1 ANUNCIOS. Productos por mercaderías nacionales exportadas Continúa el eatálogo de esta imprenta Nacional__Jan…</t>
  </si>
  <si>
    <t>Loper</t>
  </si>
  <si>
    <t>…a consulta que le había sido El Sr. Vitorica dijo que al Sr. Rovira no había satisfecho 4 las remitida por el Gobierno acerca de ia inteligencia del art. tji del de objeciones del Sr. Loper, relativa» ¿ que k trataba de destruir unos ar creto orgánico del egército, opinaba que estaban comprendidos en ¿1 bitrio» sin haber oído al Gobierno. Que no había duda que por regia •oí oficiales de la armada y los empleados en el cuerpo político de la gener…</t>
  </si>
  <si>
    <t>Lopes</t>
  </si>
  <si>
    <t>…l momento en que poeda hacerse respetar. formarse da nuevo para que las Cortes pudieran resolver io conveniente. Por lo que hace 4 la tercera debo decir qne no es mts que una «sEl Sr. Lopes manifestó que en su concepto era muy sencilla la pecie de recomendación que se hace ai Gobierno sobre una cota que no cuestión de que se trataba, porque esto te reducía 4 adoptar una roadi- menos interesa 4 la Península que 4 toda la Nación en general. Rf»pec…</t>
  </si>
  <si>
    <t>…o para satisfacer i todó i petición de la comisión. Asimismo quedó retirada la cuarta por los lo que ce ha dicho contra él en este particular. mismos individuos de la comisión. El Sr. Lopes (D. Marcial): Hay cosas que antes de hablarse puede» Se levó el dictamen de Já comisión especial acerca de la representa omitirse} pero que propuestas una vez es preciso hablar sobre ellas para ción hecha por varios comerciantes de Cádiz sobré la medioa que s…</t>
  </si>
  <si>
    <t>Lopes, Josef Lores y IX Bernabé</t>
  </si>
  <si>
    <t>Josef Lores y IX Bernabé Lopes</t>
  </si>
  <si>
    <t>…dicha compafiia.” La comisión primera Eclesiistict, informando sobre la exposición Art. a.® » Que habiendo concedido el Gobierno por Real orden dede los presbíteros secularizados D. Josef Lores y IX Bernabé Lopes gt de Julio de 1798, ratificada en 18 de Abril de 1816, la facultad daBustamente, los cuales bacian presentes sus servicios desde el afio de introducir la compafiia 40 millones de rs. en géneros asiáticos , com 1808, en que obtuvieron de le junta central plaz…</t>
  </si>
  <si>
    <t>Lopes, Silvano</t>
  </si>
  <si>
    <t>Silvano Lopes</t>
  </si>
  <si>
    <t>…el y del batallón de la milicia activa de Ciudad-Real, Tuy al coronel graduado D. Josef Llórente, comandanta de in con los 410 rs. ai mes que goza ea provincia. fantería. Cuadis á D. Silvano Lopes , mayor comandante supura un»'rano Ciudad-Rodrigo á D Forer o Godos, comandante de icfanter a. del batallón infantería ligrra de Gerona, con el sueldo que disiruta. Rorda á D. Tomas Ramírez, comandarte de ir.fantet a. Huelva á D. Pedro Doa, espitan de infante…</t>
  </si>
  <si>
    <t>López</t>
  </si>
  <si>
    <t>…e del camino es mo en tiempo de Carlos ur; pero las Cortes han reformado esta parte de carretera &lt;3cc. Ademas de esta circunstancia reúne Vitoria la venta de la administración. El Sr. López (D. Marcial) quiere desconocer co ja de recibir el correo de la corte con poca tardanza , pues solo en 40 sas qu; yo no le puedi decir; y aunque me importa bien poco qu; se horas va desde Madrid á aquella ciudad; por consiguiente cualquiera les señale á lo* g…</t>
  </si>
  <si>
    <t>…comisión especial sobre tener cata franca en sus capitales, y si esto lo habia tenido presente la la moneda francesa acerca de la proposición del Sr. López Constante. comisión. El Sr. López (D. Marcial) tomó la palabra, como individuo de la El Sr. Villa dijo que esta no habia hecho cuenta de semejante cosa. comisión , j dijo que en la sesión de ajer algunos de los Sres. preopi El Sr. Yandíola dijo que esto ya estaba prevenido en el decreto so na…</t>
  </si>
  <si>
    <t>…se afiada „que el Gobierno, en virtud de las faculta cualquiera obra pública con arreglo á la Constitución. da que le fueron concedida por las Corta en el alio litio, dispondrá SI Sr. López (D. Marcial), despo« de haber pedido que se leyese que en las capitales de provincia donde no hubiere edificio nacional des la orden del Gobierno que habiadado motivo 4 esta resolución, y ha tinado pan la administración política, ae facilité el comspohdientc…</t>
  </si>
  <si>
    <t>…o clero y atención del culto; y que respecto ds lo que decia el artículo de nes acerca de este artículo. que esta junta debia cuidar que no se rebajasen fraudulentamente los va El Sr. López (D. Marcial) preguntó que si en el caso de volver lores del medio diezmo, se debían mudar estas expresiones, porque las voluntariamente al seno de la Iglesia el que hubiese apostatado de la consideraba en algún modo injuriosas al clero. religión se le devolve…</t>
  </si>
  <si>
    <t>…bley, considerando como justa la observación del pre en otras el sobrante de las que se presenten en pago.” Sr. Sancho, dijo que la comisión sustituía á la palabra laical la da El Sr. López (D- Marcial): Habrá diócesis en que con motivo pasivo. de poderte aplicar á la indemnización de los partícipes legos pocas fin Quedó aprobado el artículo con la variación referida. cas ó ninguna no baja subastas; y me parece que estas certificaciones Art. ti.…</t>
  </si>
  <si>
    <t>…rse sufrir n la pena de suspensión de empleo y sueldo por uno á tres las prerogatívas de los embajadores en el código penal. años.” El Sr Calatrava indicó que no era el objeto del Sr. López el que El Sr. Sánchez Salvador manifestó que podia ocurrir el caso en que había indicado el Si- preopinante, y que creyendo justa su observación un coronel, que tan bien es funcionara público, estuviese, v. gr., coa podía admitirse su adición si las Cortes no…</t>
  </si>
  <si>
    <t>…decretada efectos pertenecientes al Estado óal comían de alguna provinc a ó pue de los expresados cuerpos. blo , serán castigados en los casos respectivos con el máximum de las El Sr. López (D. Marcial) se opuso á este dictamen; y después de penas prescritas en el cap. 9 t.t. 3. de la J.‘ parte; las cuales se po una corta discusión se declaró no haber lugar á votar, y se mandó vol drán aumentar hasta una 3.' parte mas de dicho Aprobado. ver á la…</t>
  </si>
  <si>
    <t>…ación del culto 7 clero, ni 4 satisfacer las cargas del subsidio, pen reciba en la casa de moneda como pasta. siones 7 demas del clero, mucho menos podía bastar para estos obje El Sr. López (D. Marcial ) dijo : Me alegro que el reto del señor tos y el de las universidades, hospitales &amp;c. González Allende ponga á la comisión en el caso de hablar de esta Kl Sr. Carrasco sostuvo el dictamen de la comisión, manifestando particular ; porque en materi…</t>
  </si>
  <si>
    <t>…buen Gobierno en España, entonces la ta propone es lo mas acertado, y lo que las Coi tes deben adoptar. medida propuesta servirá de algo; pero si no lo hay, no servirá de nada. El Sr. López (D. Marcial): Voy i hablar en este asunto con la La resolución que hoy se presenta á las Cortes, á mi modo de entender, desconfianza propia de un europeo, que no teniendo muchos motivos de no alcanza á tos nobles fines que ia comisión propone. El expedienta c…</t>
  </si>
  <si>
    <t>…e debia el auxilio que redamaren , serán depuestos de sus empleos . previa for suprimirse este artículo. mación de causa con arreglo á lo dispuesto en el art. 71 del decreto de El Sr. López (D. Marcial): Me excitan infinito los desórdenes que las Cortes de 9 de Junio de 1811.” ae han verificado hace pocos dias en Sevilla, de los cuales estoy entera Quedó aprobado este artículo. do con motivo de haber tenido la comisión de examinar aquellos acon…</t>
  </si>
  <si>
    <t>…parada. Este gefe, acompasado del señor alcalde go con arreglo á las penas aprobadas en dicho código. primero jr de los oficiales de la brigada de artilleros voluntarios, recor El Sr. López (D. Marcial) se opuso á este dictamen, manifestando rió la línea , y presenció en seguida el manejo de armas, que ejecuta que se privaría á la Nación de los beneficios del código ti se aprobaba ron los batallones con bastante destreza é igualdad: formaron des…</t>
  </si>
  <si>
    <t>…o el dictamen de la co- tear la libertad, por ia cual tanto declaman. . Y en estas circunstancia* miaion. podrá esta madre, que tanto quiere á su hija, dctarla abandonada? ¡ No El Sr. López (D- Marcial): No puedo aprobar el dictamen que se deberá adoptar todos los remed.es que crea convenientes pata salvar .a! presenta, porque preveo los efectos que indican tres señores en su voto Se quiere que se envien comisionados, y que tácitamente se aprue…</t>
  </si>
  <si>
    <t>…comisión, quista á Velazquez de León. que era fe primera parte del que ahora proponía. Manifestó en seguida El Sr. ministro de fe Gobernación de Ultramar dijo que hasta aho que el Sr. López se habia salido de fe cuestión, y habia dicho entre ra no habia podida examinar los últimos documentos que se le habían otras cosas que se iba á dar grande importancia al dictamen de la co pedido, y que aunque algunos eran reservadas, no tenia inconveniente m…</t>
  </si>
  <si>
    <t>…siempre hará noble alarde, la siguiente demostración de militares. Deberán sin embargo pagar los impuesto* municipales como particular aprecio con que la ha distinguido el ilustre general López propietarios de casas. Safios. n &gt;.e concede el privilegio de franquicia para adquirir bienes raicea — El sefior comandante general de las provincias Vascongadas con fe á todo comerciante ruto ó extranjero que no esté naturalizado; pero cha de 17 del corrient…</t>
  </si>
  <si>
    <t>…. que me han precedido , poco reata que decir, ni plicar á las Cortes resuelvan que vuelva i la comisión para que lo re- yo podré añadir en su defensa mas de lo que ha expuesto el Sr. López dacr : y presente de nuevo con arreglo 4 las observaciones que se han del Baño. hec'10. Se ha dicho que es inútil, porque no contiene los artículos que de El Sr. López del Bailo: De las reflexiones que se han hecho sobre be contener; pero es preciso se tengan…</t>
  </si>
  <si>
    <t>…e en las demás casas pú ción de esta especie, es cierto que no debería existir aquí; la razones blicas. porque se están estableciendo leyes secundarias, ó lo que es lo mismo, y El Sr. López d.-I Baño dijo que la comisión retiraba este articulo, y porque las leyes fundamentales no pueden trasladarse al código donde el Sr. Argii.jles manifestó que lo apoyaba. . : , hay leyes secundarias. Dícese que es inútil el artículo; yo no lo creo El Sr. Ferre…</t>
  </si>
  <si>
    <t>López, Antonio</t>
  </si>
  <si>
    <t>Antonio López</t>
  </si>
  <si>
    <t>…y de daban á los diputados de aquella provincia hasta el año 14 ascendía á las tinieblas, d.sean a.dientemente que se propague la ilustración, y que *89 rs. i y una exposición de D. Antonio López de la Torre, vecino los ciudadanos tengan un claro y exacto conocimiento no solamente de de Toro, acompañando dos obras que ha publicado á fin de remediar aus derechos, sino también de sus debere», para que al mismo tiempo que los atrasos que sufre la Haciend…</t>
  </si>
  <si>
    <t>…de 1822. concebida en estos términos: ...... . , . » Juan de Lanuza, Diego de Heredia, Juan de Luna, defensores de Ministerio de Hacienda militar. n las libertades da Aragón. _ , D. Antonio López, intendente graduado de ejército, condecorado 7. » .. Asimismo se erigirá 4 esto* tres héroes en Zaragoza y en el con la insignia mi'itar de la hatada de Tamamca, nvn;;f&gt; prr.cpal de lugar donde fueron decapitado» un monumento á expensas de la Na Hacienda mil…</t>
  </si>
  <si>
    <t>…tes á su cuo-pl.mieDto. Madrid 11 de Jun o d. 1022. » SS. MM. y A A. continúan sin novedad en su importante sa'ud, y la Scrmu. bra. Infanta Doña María Francisca sigue con aiivio.” D. Antonio López, intendente graduado de ezérc:r-&gt;, c&lt; ndtcoeado con .a insignia militar de la bal-lia de Tintine», m n.itio yr n. pal El Rey ha expedido los decretos siguientes: ¿i Hic tr.Ja militar de la p aza de Madud ccc. Don Fernando vu por la gracia de Dios y por la Con…</t>
  </si>
  <si>
    <t>López, Bautista</t>
  </si>
  <si>
    <t>Bautista López</t>
  </si>
  <si>
    <t>…y de consiguiente todo lo qus modo de cobrar su viudedad. Aprobado. ae oponga al logro de estos objetos traerá funestas consecuencias. La Eclesiástica, en vista de la solicitud de D. Bautista López, dona El Sr. Salvá: En contestación á lo que ha dicho el Sr. preopinante do del ex-monasterio de S. Miguel de los Reyes de Valencia, para que me parece conveniente observar que la comisión no propone que ha ae le conceda una pensión de 300 ducados , lo mismo…</t>
  </si>
  <si>
    <t>López, Bernardino</t>
  </si>
  <si>
    <t>Bernardino López</t>
  </si>
  <si>
    <t>…o el que no piensa co los mencionado* Vázquez, Rodríguez Romero, Casal, D. Batasar mo eilos aun en cosas muy subalternas. Estas denominaciones suponen Cerezo, D. Bernardo de Soto, D. Bernardino López, D. Vicente Cha partidos que r.alm-nte no existen, pues todos vamos á un mismo fin, los, D. Josef Toribio Rodríguez y D. Josef Pereira. En comosgrafia los que es ia libertad de la patria, y la consolidación del sistema consti dichos Vázquez, Soto,Chalus, D. F…</t>
  </si>
  <si>
    <t>López, Cirios Aguado</t>
  </si>
  <si>
    <t>Cirios Aguado López</t>
  </si>
  <si>
    <t>Zafegoza al capitán D. Eugenio Salvado*, ecgundo ayudante del gimiento infantería de León, con 570 rs. regimiento infantería de la Reina , con í;o r». Laredo al capitán D. Cirios Aguado López, teniente del regi Stgundot ayudante*. miento infantería de Soria, con 570 rs. Alicante al capitán graduado D. Ramón de Zamora, teniente dei. Mérida i D. Francisco Javier Pardillo, teniente supernumerario regimiento infantería de la Reina, con 570 rs. al mea.…</t>
  </si>
  <si>
    <t>López, Diego María</t>
  </si>
  <si>
    <t>Diego María López</t>
  </si>
  <si>
    <t>…5 ra. en papel y 6 Juan Nepomuceno González , D. Lorenzo del Castillo, D. Tomit de en rústica—Ernesti, metaphisica et lógica, 8."marquilla, á 9 rs. en la Fuente, D. Pabío Solana, D. Diego María López, D. Juan Jimé rústica.—Eximeni, instituciones phitosophicae et mathcmaticae: dos nez de Enciso, D. Josef Fermín de Jáuregui , D. Joaquín Henriquez tomos 8 ° marquilla, á *8 rs. en papel y 38 en pasta.__Idem, de studiis y D. Eugenio de La-Torre , declararon ha…</t>
  </si>
  <si>
    <t>López, Domingo</t>
  </si>
  <si>
    <t>Domingo López</t>
  </si>
  <si>
    <t>…Cor rias dudas ocurridas con motivo del repartimiento de la contribución tes', declarando día de luto nacional el so de Marzo de todos los años. territorial y de consumos: otra de D. Domingo López, manifestando Quedó aprobado. que era insoportable el derecho de registro, y pidiendo se revocase di La comisión de Guerra presentó su dictamen acerca de la imprecha ley: otra de Doña María N., viuda de O. Josef Alcaraz, pidien aion del proyecto de ley sobre…</t>
  </si>
  <si>
    <t>López, Eulogio</t>
  </si>
  <si>
    <t>Eulogio López</t>
  </si>
  <si>
    <t>…do y exactitud. láminas: D. Francisco Araujo, D. Manuel Mosquera, D. Manuel ,,Toda la sala estaba sembrada, como ordinariamente sucede, de obras Ca nbos y Senes, D. Manuel García, D. Eulogio López, D. Cirios de escultura: el planisferio ocupaba la parte del techo que a¡ entrar se Esteves, D. Josef Moreno Montea, D. Josef Armada», D. Diego encuentra á la mano izquierda, y á la derecha había ct¡os adorno, de Mosquera, D. Domingo Sancha , D. Félix de la R…</t>
  </si>
  <si>
    <t>López, Fermín Sauz</t>
  </si>
  <si>
    <t>Fermín Sauz López</t>
  </si>
  <si>
    <t>…spensión de las liquidaciones pendientes, se cia. D. Gonzalo de H -r-Hia á Sevilla. gún se previene en la orden de las Cortes, basta que se den para su De ¡a audiencia de Navarra. D. Fermín Sauz López á la de Ara egecucion reglas ciertas y rigorosas, que eviten los graves daños y per gón. D. Felipe Ba&gt;absr á la de Valladolid. juicios hasta aqui experimentados. Dt ia audiencia de Sevilla. D. Teot mo Escudero á la de Extrema 3." » Que i fin de conseguirlo el…</t>
  </si>
  <si>
    <t>López, Francisco</t>
  </si>
  <si>
    <t>Francisco López</t>
  </si>
  <si>
    <t>…que se sepa que no so Las Cortes oyeron con agrado el donativo que en favor de la Na lamente unos motivos tan fútiles como los de ayer, pero ni aun otros ción hacia de un alcance D. Francisco López ha'.azar. de mucha mayor importancia, son capaces de turbar ia tranquilidad y Se mando pasar á la comisión de Guerra una instancia de D. Josef marcha majestuosa del Congreso en el desempeño de su augusta re Perez, maestro polvorista mas antiguo de la fabrica…</t>
  </si>
  <si>
    <t>…es , justicias , gefr», gober misal, resultó haber lugar á b bnMdta da cama me lm ocho votos nadores y demás autoridades, asi civiles, como militare» y eclesiásticas, siguientes.- D. Francisco López ds Obrera irte, D. Benito Ortega Ro de cualquiera clase y dignidad, que guarden y lúa guardar, cumplir manillo», D. Juan Fernandez Casariego, D. Andrea Ateos, D-Martin y ejecutar*! presente decreto en todas sus partes. Tendíeislo entendido Miguel de Goicmcbm,…</t>
  </si>
  <si>
    <t>…últimas esD. Joaquín Manrique y Manrique, D&gt; Francisco Martínez Marina, tan sacados del viejo y del nuevo Testamento, y fueron hechas en épo D. Lorenzo Lambe*, D. Bernardo Asenjo, D. Francisco López de cas posteriores, es decir, eu ¡os primeros siglos del cristianismo. En fin, Olavarrieta, D. Isidoro de Hoyo» y D. Joaquín Huerta y Cevallos, algunos residuos menos considerables, unidos á los que hemos citado, calificaron con la fórmula de absuelto el artí…</t>
  </si>
  <si>
    <t>…o Sres. que declararon abtuelto dicho escrito: D. Miguel Ripa, Don indique á su final por una llamada que los intereses han de satisfacer Lorenzo Lambe* , D- Simón Gonzalaz Yutte, D. Francisco López da te por determinadas casas de París y Lóndres; bien entendido que por Olabarricta, D. Francisco Maitmez Marina y el conde de Floridaesta deferencia no contrae obligación sucesiva de valerse de las mismas bianca. casas jara .practicar esta operación, y que l…</t>
  </si>
  <si>
    <t>López, Gregorio</t>
  </si>
  <si>
    <t>Gregorio López</t>
  </si>
  <si>
    <t>…Gobierno quisicae emplear A la comisión del Crédito público una solicitud de D. Cipriano á un individuo que hubiese contraído un mérito particular, y no pu Alvarer, Dw JotefNovoa, D. Gregorio López y otros oficiales del re diese hacerlo por hallarse sin disfrutar sueldo. gimiento de León, para que se decíate si ciertas cantidades que se les El Sr. Canga manifestó no había necesidad de cata excepción, par deben se les han de satisfacer &amp; no por el Crédit…</t>
  </si>
  <si>
    <t>López, Jatn Antonio</t>
  </si>
  <si>
    <t>Jatn Antonio López</t>
  </si>
  <si>
    <t>…odos los tribunales, justicias, gafes, gober D. Joaquín Lumbreras, D. Julián de Fuentes, D- Valentín Recio, nadores y demts autoridades, asi civiles como militares y eclesiásticas D. Jatn Antonio López, D. Matías Casero, D. Josef Casulla , Don de cualqu'.-n ciase y dignidad, que guarden y hagan guardar, cumpór Gregorio Mndivil y D. Simón González Yu.te; y habida la confe y evci'Ur ei presente d er to en todas sus partes. Tendrcóta entendido rencia que previ…</t>
  </si>
  <si>
    <t>López, Joaquín</t>
  </si>
  <si>
    <t>Joaquín López</t>
  </si>
  <si>
    <t>…aría Martin, teniente del regimiento infan fantería de Vitoria , con 570 rs. tería de Ja n , con 570 rs. Toro i D. Josef Salgado, teniente del regimiento infantería volun Huesca a D. Joaquín López, teniente del regimiento infantería de tarios de Castilla, con gro rs. Ata on, con 570 rs. Vich A D. Ramón CasiH-ball, teniente supernumerario del regi Injusto al espitan D. Josef María Rubio, teniente del regimienta miento infantería de Fernando vu, con 570…</t>
  </si>
  <si>
    <t>López, Joséf</t>
  </si>
  <si>
    <t>Joséf López</t>
  </si>
  <si>
    <t>…como Delue fice.-, y cu las observaciones confiscase» Mmbica orden de 14'de Agosto último para la/esoíucion conveniente la ins al texto del Génesis. tancia que habían presentado. D. Joséf López y hermanos, vecinos de • Estas conjeturas mas 6 mena* absurda* llaman le atención di La Súrgo*, solicitando que se Ln. espidiese duplicado de una certificación astrónomos, que en esta materia son jtraces mucho mas competentes de crédito de 18,07» n. y la mrs-…</t>
  </si>
  <si>
    <t>López, Josef María</t>
  </si>
  <si>
    <t>Josef María López</t>
  </si>
  <si>
    <t>…Julio de iSm.’’ s o, herido, D. Ramón líarro y A xoyocontuso- D. Vicente Pérez, El alcalde, regidores v procurador síndico general de) ayuntamien 11X111. IX Jossf bolahude, ídem. D. Josef María López, id. D. Ventu to constitucional del mismo lugar de Vicilvaíó han' publicarlo utí cer ra Garcero , ídem. D Marcelino Lúrtjide, herido. IX Ramón Calieja, tificado acerca de lá buena conducta que esta trepaba óbiervatió«luían ídem. D. Antonio Ensebio Uernaosilla…</t>
  </si>
  <si>
    <t>López, Josei</t>
  </si>
  <si>
    <t>Josei López</t>
  </si>
  <si>
    <t>…: Atío Je ¡822. Las Coi-tes al general Riego para que lo use Ju me en que se premiase á todos los que hubies n contribuido ai r.sttra,¡te su v¡Ja¡ advirtiendo que la había grabado D. Josei López, quien blecimlcnto de ia Constitución, no creia que el mérito de los militares no hr.bia querido admitir estipendio alguno. Aprobado. que la hubiesen proclamado en algunas provincias después de haberla ¿i El Sr. Valdés ( D. Cayetano) presentó una exposición d…</t>
  </si>
  <si>
    <t>López, JosifSanz y</t>
  </si>
  <si>
    <t>JosifSanz y López</t>
  </si>
  <si>
    <t>…os viendo todos los dias. ¡ Por qué ta el número de las que debe tener Ja audiencia territorial de Valen hemos de echar le culpa á quien no la tiene! Antes de anoche hallán cia, á D. JosifSanz y López y D. Félix Alonso y Calzas para las pri dome yo en la puerta del Sol poco después de haber anochecido , oi los meras , y á D. Jacobo Vilanova y D. Pedro Jacobo Pizairo para ia* escándalos que estaban pesando con los ciegos; y esto se hace en la cor segundas. te i la faz del Congreso na…</t>
  </si>
  <si>
    <t>López, Juan</t>
  </si>
  <si>
    <t>Juan López</t>
  </si>
  <si>
    <t>…ansversal el nidos , propuestos por tu maestro como los mas sobresalientes, que fue planisferio estaba comprendido entre dos anchas fajas de líneas á la gre ron D. Lorenzo Pombo , D. Juan López, D. Josef Rodríguez y Don ca, emblema muy común en los monumentos egipcios. (Jz oju.'-uu.o j.) Félix Martin, i quienes se las adjudicó el premio da 110 rs. vn. VARIEDADES. ANUNCIOS. " Fn el Memorial Unhertal, periódico de París, y su número corres En 23 de Ju…</t>
  </si>
  <si>
    <t>…ación presentaba dos aspectos la si Dona María Vallejo, vecina de S. Fernando, solicitando ¡o momo; otra tuación política déla especie humana, y se ofrecían á nuestra vista dea de D. Juan López, que solicita dispensa de edad ^ri'a administrar sus caminos diferentes. Por todas partes se prometían Constituciones, y en bienes; otra del tribunal supremo de Justicia, rrcérdando m.a consulta muchas se ha cumplido esta promesa. La Francia debia ponerse ai…</t>
  </si>
  <si>
    <t>López, Juan Antonio</t>
  </si>
  <si>
    <t>Juan Antonio López</t>
  </si>
  <si>
    <t>…cimiento de es tes: D. Joaquín Huerta Cevallo» , D. Ignacio Pajares ,D. Josef Gómez ta clase, y que tarto redunda en beneficio de ellos mismos y del pú Albacete, D. Antonio Regai, D. Juan Antonio López, D. Jos-f Bar blico. Asi es que desde su fundación lleva ya empleadas Jas siguientes do , D. Josef Radon» D. Isidoro de Hoyos y D. Antonio Díaz del sumas : en pago de cata , muebles, libros, papeles y demas objetos pro Moral. pios de su instituto 121,540 rs.:…</t>
  </si>
  <si>
    <t>…a misa de Réquiem, con una Paz, D. Iliginio Antonio Lorente, el marques de Casano, el conde •locución adecuada á las circunstancias, pronunciada por uno de los de Florida-Blanca y D. Juan Antonio López. Sres. canónigos de aquel cabildo: después formaron las tropas en co D. Isidro Merino lo calificó de injurioso en segundo grado. lumna , y en este mismo orden siguieron la carrera que las estaba señalada, desfilando por delante de ta iglesia, y rompiendo desp…</t>
  </si>
  <si>
    <t>…sentista por la dicioso, se reunió el jurado compuesto de los Sres. siguientes: D. San tesorería de ejército el importe de lo que en aquellos haya suministra tiago Vicente de Les; D. Juan Antonio López; D. Juan Cortés; Don do , y asi sucesivamente. Josef Gómez Albacete; D. Miguel Ripa; X). Jaime Ruiz Abreu ; bon 6.4 Para evitat las quejas que suelen producirse sobre la mala, cali Pió Santos; D. N enias Alonso y D. Joaquín Huerta Ccvallos. Habda dad de los a…</t>
  </si>
  <si>
    <t>…n 18ca'umnioso, se reunió el jurado, compuesto de los Sres. siguientes: Don de Octubre da 1606__.Otro de un juro de 30,05 a mrs. sobre las alca-Valentín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Espejo; D. Pedro Matute y D…</t>
  </si>
  <si>
    <t>…dad de Sigüenza 1 otra de 2750 rs. de capital , número quín Manrique y Manrique. 3658, á favor de D. Miguel Mufioz; otra de 577 rs. y 17 mri. por Lo declararon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t>
  </si>
  <si>
    <t>López, Luis</t>
  </si>
  <si>
    <t>Luis López</t>
  </si>
  <si>
    <t>…r directa y estando ir.cluss en ta fu.rza de Co.ta Gran ta segunda compañía de la que publican algunos periodistas añaden varias particularidades, re Murcia , mandada por su d:gno capitán D. Luis López, que b&amp;Va se feridas según el modo que cada uno tiene de ver ¡as cosas. guido y so-t-nido et ataque , ocupando luego la referida altura de Costa Es muy notable y lisonjero saber que en el instante en que se di G'an , m er.tras que la» citadas compañías de Osa…</t>
  </si>
  <si>
    <t>López, Manuel</t>
  </si>
  <si>
    <t>Manuel López</t>
  </si>
  <si>
    <t>…is compañero* han dicho qu: en el momento de la causa, opinaba que debía aprobarse. Aprobado. que ei ministerio de Hacienda no pudiese proporcionar la* cantidades D. Pedro Alcana, D. Manuel López , D. Kamon García jr Don que se necesitaban para ia* grandes atenciones del día, seria preciso Manuel Bravo, exponiendo que habían dispertado una partida de la* ocurrir á lat c. orles para que tratasen de aumentar lo* presupuesto*. dronet junto á Arenas, pedí…</t>
  </si>
  <si>
    <t>López, Marcial</t>
  </si>
  <si>
    <t>Marcial López</t>
  </si>
  <si>
    <t>…gen retirme luego, porque no tenia prderes pata hacerlas, y si no, que los tes, fe España sabría muy bien lo que debía hacer; y contestando el mis enseñase. mo Sr. preopinante al Sr. D. Marcial López habia dicho que no habia Las Cortes acordaron que se retirasen estas proposiciones «orno con anarquía en América, sino un Gobierno de hecho; pero debía tener trarias i los poderes. presente que anarquía no quería decir que no hubiese Gobierno al Ei Sr. Lallav…</t>
  </si>
  <si>
    <t>López, Miguel</t>
  </si>
  <si>
    <t>Miguel López</t>
  </si>
  <si>
    <t>…la den, y de la rehabilitación de los mismos después de cumplir sus cruz deS. Fernando á los generales D. Antonio Quiroga , D. Rafael del comunas. Riego , D. Felipe Arco Agüero , D. Miguel López llanos , D. Deme Art. 147. «Por medio del arrepentimiento y de la enmienda el trio O-Daly, D. Carlos Espinosa y D. Manuel Latre. condenado á trabajos perpetuos podra , después de estar en el.o, 10 La comisión encargada de proponer las medulas necesarias para…</t>
  </si>
  <si>
    <t>López, Miguel del Pino y</t>
  </si>
  <si>
    <t>Miguel del Pino y López</t>
  </si>
  <si>
    <t>…mos por D. Antonio Josef Huiz de Pa lez, D. Manuel de la Puente y Aranguren, D. V¡cante Sánchez Car- drón. Se hallará en la librería de Miyar, y en Cádiz en la de Zaragoza quero , D. Miguel del Pino y López han declarado no haber lugar 4 la 4 t a cuartos. formación de cansa, votando solamente por el sí D. Joeef María Ro Modo de extinguir la deuda pública, eximiendo á la Nscion de to tor 1 ii lo- da clase de contribuciones por espacio de 10 seos, por D. Juan Alvs…</t>
  </si>
  <si>
    <t>López, Pablo</t>
  </si>
  <si>
    <t>Pablo López</t>
  </si>
  <si>
    <t>…en su tonio Muñiz, para que se Je conceda una pensión: la comisión (-pisa mano la disposición de la fuerza. ba que no debía accederse á ella. Aprobado. Otro sobre la solicitud de D. Pablo López, conocido por el Cojo __De Francfort con fecha de 14 de Marzo escriben á París lo siguien de Málaga , quejándose de que el administrador de aquella aduana na te: Ün correo de comercio, recibido hoy por una de las primeras ca quiere darle posesión de su destin…</t>
  </si>
  <si>
    <t>López, Pedro Francisco</t>
  </si>
  <si>
    <t>Pedro Francisco López</t>
  </si>
  <si>
    <t>…ona; con el sueldo qat Navia i D. Leonardo Bonet, capitán del regimiento inLatería do disfruta. Toledo, id. Avila i D. Josef Antonio Portal y Mayoral, capean primer ayu O . sedo á D. Pedro Francisco López , espitan graduado de t.miento dante del regimiento de Málaga; con el sueldo que goza. coronel del revuniento «1 zapadores, id. Aslorga a D. Remigio Abad , teniente coronel graduado y capi O una I). M.autI Ber,jum -, a, mayor comandante supernumera tán d-l re…</t>
  </si>
  <si>
    <t>López, Ramón</t>
  </si>
  <si>
    <t>Ramón López</t>
  </si>
  <si>
    <t>…dispondréis lo necesario á su cumpl• miento.rs Rubricado de la basta i cómo podremos resolver esta cuestión! Lo cierto es que los que Real mano.sEn Palacio á 9 de Enero de s8u.=A D. Ramón López dicen que no basta ton los interesados, las juntas diocesanas, los ca Pelcgrin. bildos y todos lo» eclesiásticos que han hecho representaciones al Go Circular del ministerio de la Guerra. ’ bierno y i las Cortes; ¡ y quién son los que dicen que basta! La Na E…</t>
  </si>
  <si>
    <t>1?!ít Toledo que destacó el general con el comandante Gurrea (instruido sargento Ramón López , á lot toldados Ignacio , Benito , Bartolomé, ya de sus plañís) pata que mandase el ataque de ia cordillera que se iba Ramón Fetter , Francisco Pineda, Tomas Soler, Mariano Portugués, formalizando. Manuel Sánchez, Josef Rincón, cabo i.° Josef Infranson y al…</t>
  </si>
  <si>
    <t>López, Tomas</t>
  </si>
  <si>
    <t>Tomas López</t>
  </si>
  <si>
    <t>…uedo dr|ar de recomen féreces D. Antonio Raes y D. Bartolomé Salvador , que le iban á dar el mérito que han contraído mis ayudantes, los porta-insignias de loa alcances. Lusitania D. Tomas López y D. Antonio Ratz, y ei teniente del regi » Entre loe prisioneros se cuentan D. Juan Santa Marfa , llamado miento de Sagunto D. Josef Paramo, quienes después de hacer todos espitan de granaderos y comandante de la infantería; Domingo Brion- los reconocimientos y ordenes que le…</t>
  </si>
  <si>
    <t>López, Vicente</t>
  </si>
  <si>
    <t>Vicente López</t>
  </si>
  <si>
    <t>…e dispersen ó caigan en nues los siguientes: L&gt;. A'fonio Al nreno Guerra, JX Ramón Cerut;, D -n tra» nunoi-DiOi guarde á V. E. muchos afkrs. Escorial a 19 de Jubo Francisco Calis, D. Vicente López, el brigadier l&gt;. N. Zaidivar, Don de t8aa.=hxcmo. Sr —Fr nc.sco Plasencia.=£xcmo Sr. comandante Luis Rute, i&gt;. N. Morguecho, D. N. Civil, D. N. Ceruti, y el ma general dei primer d struo.” rino IX N. G -mend.'a. Bando, n A pesar de os continuos actos de bond…</t>
  </si>
  <si>
    <t>López, Victoriano de U Puente</t>
  </si>
  <si>
    <t>Victoriano de U Puente López</t>
  </si>
  <si>
    <t>…rror á diferentes pue Señores que compusi-ron el jurado D. Juan Basas, D. Pedro Turblos. El 5 de Setiembre repitió en Alepo y: acabó de destruir los po rientes, D. Juan Domínguez, D. Victoriano de U Puente López, cos edificios que aun quedaban. Mas de ao9 personas fueron víctimas D. Paulino Alegría de Quilchano, D. Francisco Saleta , D Manuel de ota catástrofe , que en algún modo ha alcanzado mas ó menos á las de Oiavarría , D. Antonio Celestino Alvarez, D. Msr.uel d…</t>
  </si>
  <si>
    <t>Loprz</t>
  </si>
  <si>
    <t>…e em Art. 371. n Los ministros de justicia ó cualesquiera funcionarios pleo y sueldo por uno i tres años.” públicos que sin autorización legítima entraren dte mana armada en ter - Sr. Loprz hizo algunás observaciones reducidas á que se añadie- ritorio extranjero , aunque sea con el fin de prender ó perseguir á al aen Jas palabras j&gt;ener ¡tímente reconocido!, después de extranjero!. gún malhechor súbdito de España que se haya refugiado en aquel p…</t>
  </si>
  <si>
    <t>Lopsz</t>
  </si>
  <si>
    <t>…misión no haya porque Pancorvo es un punto tan despreciable , que toda su guarnición adoptado su proposición. se reduce ú cuatro hombres y un cabo. Ademas respecto de la mas ex El Sr. Lopsz (D. Marcial) deshizo algunas equivocaciones que dijo pedita comunicación que se dice habrí en el distrito estando la capital haber padecido el Sr. preopinante, manifestando que no habia tratada t-n Vitoria, debo manifestar que las tropas no se gobiernan con c…</t>
  </si>
  <si>
    <t>LoptzIbiaa, Cristóbal Briz y</t>
  </si>
  <si>
    <t>Cristóbal Briz y LoptzIbiaa</t>
  </si>
  <si>
    <t>Huetci.............................. *«9,150 la Sierra en la de Sevilla i D. Cristóbal Briz y LoptzIbiaa................................. I-t.6jO *»* Jaca.................................. 38,1; 6 EJ Rey, i propuesta del consejo de Estado, se ha servido nombrar Jaén.................................. 533*13&lt;* para jueces letrados de partido, en esta forma; para e…</t>
  </si>
  <si>
    <t>Loque, Juan Maitinez</t>
  </si>
  <si>
    <t>Juan Maitinez Loque</t>
  </si>
  <si>
    <t>…e es grande para los poderoso». Para la de Ovi-'do se proponían 3 los Sres. D. Eduardo Jaime, Se procura difundir la voz de qu- se trata de devolver i ios caba D Joaquín Cubi ¡o y D. Juan Maitinez Loque; y fue ele-u el señor lleros de MaJta su isla : esta idea pudi rj 1 ,_-r ---e-r qu: !o&gt; m r.istros Jaime por 6g votos di ijb. dei Ci ngreso no euardvi entre si ia mu; ir armonía. En Londres ss Para la d - Aragón sr proponían :os Sr-s. D. Ruperto C“-ezi, ^ot»…</t>
  </si>
  <si>
    <t>Loraaizo</t>
  </si>
  <si>
    <t>…ce: * La obediencia día sus inter-se*; y por fillimo que si las Cortes diesen ahora el ejem es debida á las autoridadesdebe ser; » La obediencia es debida é le plo de indemaizv al D. Loraaizo, toda» aquellos é quienes saliesen ley, y la misma y el respeto é lee autoridades.” EN LA IMPRENTA NACIONAL.</t>
  </si>
  <si>
    <t>Loredo, Antonio</t>
  </si>
  <si>
    <t>Antonio Loredo</t>
  </si>
  <si>
    <t>…de loa «•rao por el presente se hace, i todos los acree«loTes á lo* bienes que japoneses por un salvage bien poco digno de ser admitido en una corte dados por el fallecimiento «le D. Antonio Loredo, vecino que fue «le tan culta como la de Jedo. «uta propia villa, para que en el término de 30 días, que al efecto se les se* Los chinos, que de un siglo 4 esta parte habita visto 4 los rusos ■alan, contados desde el en que se publique en la gaceta, comparezc…</t>
  </si>
  <si>
    <t>Loreme, Higinio Antonio</t>
  </si>
  <si>
    <t>Higinio Antonio Loreme</t>
  </si>
  <si>
    <t>…Me acuerdo de una cir X&gt;. Josef Gómez Albacete, D. Marcos Amonio Menezo , D. Antonio cunstancia relativa á un tal Baldwin, diputado distinguido del Con Puigblanc, D. Miguel Ripa , D. Higinio Antonio Loreme, D. Va greso por la parte occidental da la Pensilvsnia , el cual voló en cierta lentín Recio, D. Joaquin Vaga y Quintana, D. Santiago Vicente ocasión de un modo contrario á las instrucciones que se le habían dado. Leo y D. Antonio Regas. Luego que regresó á t…</t>
  </si>
  <si>
    <t>Loren</t>
  </si>
  <si>
    <t>…aza á D. Juan García Salas, comisario de guerra ho dencias , y tal vez de no tener todo el reparo que sé hubiera tenido en norario , D. Antonio Sánchez, pintor de Cámara de S. M., D. Loren circunstancias menos apuradas. » Algunas personas respetables y libe zo Gómez, administrador de Ja Moncloa , Doña María Gcronims rales, dice una carta, fueron presas porque se presentaron falsos dela Carbonell, americana , viuda, D. Luis Chaves , guardaropa d…</t>
  </si>
  <si>
    <t>Lorenro</t>
  </si>
  <si>
    <t>…librería de El Rey, i consulta del consejo de Estado de sj , sr y *9 de Ma Calleja, y en las provincias en los puntos en que se han suscrito, y yo últ'tnó, aé ha servido nombrar é D. Lorenro de la Cuesta y Torre ademas en Toledo en la librería de Hernández el tomo 9." está en para una plaza de magistrado de la audiencia territorial de Castilla la prensa, y se entregará al tiempo ofrecido: continúa abierta la suscrip Nueva: á D. Fernando da la Tor…</t>
  </si>
  <si>
    <t>Lorente, Higinio Antonio</t>
  </si>
  <si>
    <t>Higinio Antonio Lorente</t>
  </si>
  <si>
    <t>…l retorno Lop z, D. Joaquín Huerta Cerillos, D. Josef Gómez Albacete , Don de la nao onal que hubiese salido con caldos para el extrangero, no han Francisco López de Olabarrieta , D. Higinio Antonio Lorente. tenido á bien acceder á ella, en consideración á que en el decreto de las Habida la conferencia resultó por unanimidad haber lugar á la for Cortes de 18 de Diciembre de 18si se prescriben reglas bastante estric mación de causa. tas para evitar todo fraude qu…</t>
  </si>
  <si>
    <t>…Secretaría, archivo, le siones. trados consistoriales y En su viita se reunió el jurado, compuesto de loe Sres. siguientes: escribanos.................... 20,793 D. Joscf Castels, D. Higinio Antonio Lorente, D. Aniceto Lirana, Contaduría general de D. Manuel Esteban Caíala , D. Gaspar Aguilera , D. Rafael Coala, Cuentas....................... 29,050 D. Andrés Orinaga, D. Jaime Ruiz Abreu y D. Lorenzo Lambes. 8i,4o£ Habida la conferencia, resultó por mayoría no h…</t>
  </si>
  <si>
    <t>…s si póles se halla enfermo de peligro. Ya se habia hablado de dificultades guientes : para ir al Congreso; y tal vaz las pesadumbres habrán ocasionado sus D Luís de Mata Araujo , D. Higinio Antonio Lorente, conde de males. la Torre del Fresno , I). Cis.miro Martin, 1). Lorenzo Calvo de Ro Vuelve á repetirse qua el egército ruso del Oeste se conservará en zas, D. Gregorio Mrndivil , D. Antonio Puigblanch, D. Jos:f de sus posiciones; y abara se obsarva que están…</t>
  </si>
  <si>
    <t>Lorente, Iliginio Antonio</t>
  </si>
  <si>
    <t>Iliginio Antonio Lorente</t>
  </si>
  <si>
    <t>…una elocución al pueblo, te dirigió A la D. Joaquín de Cevaüos, D. Domingo Fernandez de Anguio , D. Juan iglesia de S. Isidro, en donde se celebró la misa de Réquiem, con una Paz, D. Iliginio Antonio Lorente, el marques de Casano, el conde •locución adecuada á las circunstancias, pronunciada por uno de los de Florida-Blanca y D. Juan Antonio López. Sres. canónigos de aquel cabildo: después formaron las tropas en co D. Isidro Merino lo calificó de injurioso en seg…</t>
  </si>
  <si>
    <t>Lorenzo</t>
  </si>
  <si>
    <t>…ares, como se proponía. fue aprobado el dictamen de ia comisión. Taro. La comisión opinaba debían aprobarse los poderes de D. EzeAsimismo fueron aprobados los poderes de los Sres. D. Lorenzo quicl Diez. Aprobado. Villanueva, D. Ramón Adan y D Josef Canga Argiieiies, dipu Sevilla. D. Cayetano Valdés, D. Juan Josef Sánchez , D. Antonio tados por las provincias de Valencia , Cataluña y Asturias. González Aguirre ,D. Joaquín de Puente y Ríos. La comi…</t>
  </si>
  <si>
    <t>…se mero de la villa de Ocaña , y murió en clin abintcstato el 14 de Oc alien en disposición de prestar sus auxilios 4 los necesitados. tubre de io 19 , dejando ocho hijos llamados D. Lorenzo, D. BernarDe Real orden lo comunico á V. S. , á fin de que disponga su mas d‘no , ya presbítero. Doña Josefa, Doña Petronila, Doña Vicenta, pronto y puntual cumplimiento. Madrid 16 de Aímó de 1022. Doña Ana María, Doña Remigia y Doña Ines de Huerta y Frias. D…</t>
  </si>
  <si>
    <t>…ue experimentaré los privilegios, y cuyo cato no pudo preverte el verificarte la caso tra la lux en un corto y determinado tiempo , como en lo ’ paeagero qué ta , se le alejase al D. Lorenzo reducido á la miseria. será el eclipse, cuyas circunstancias se batán saber igualmente en ludia. El Sr. Ruis de la Vega contestó que eran tan evidentes la* razonen ANUNCIOS.que había tenido la comisioa primen de Legislación para que no se ne» cediese é la sol…</t>
  </si>
  <si>
    <t>…bida la conferencia, resultó por mayoría no haber lugar á laIdem de intervención... 5&gt;,i'94 y DonDepositaría..................... . 9,880 formación de causa, disintiendo los Sres. D. Lorenzo 1hr» Geipar Aguilera.Porteros maceros...—••• 11,358 Agente de Madrid......... 733 ANUNCIO. Pazos por diferentes ramos, a saber: Habiéndose extraviado por el correo á último* de Setiembre del ubilados y viudas, inclusos los de abastos.... 12,056 ufio próximo p…</t>
  </si>
  <si>
    <t>…lararon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Sebastian Andrés. Burriezo; otra de 16,316 rs. y 23 mrs. por réditos, núm. 4467, 4 fa vor de D. Santos Zorra; otra de 31,185 rs. de capital, número…</t>
  </si>
  <si>
    <t>…ia de que Leven mi firma, Ls í.rten s tíe i b anras sobre t-sor r’i genrra1 , y su resultado. los demas qu ■ vuestros ant-cesori* hayan acostumbrado poner siempre •» He mandado al coronel Lorenzo que persiga al enemigo en la firma entera. Tendréis o et tend.do , y lo comunicareis á quien corres dirección del Pedregal, p r cuyo camino corre aquel en la mas ver ponda . arKsií rub Lado d- la R al m.no.^En Palacio á 19 de Ago* gonzosa fuga. to de i8ca. =…</t>
  </si>
  <si>
    <t>…os por el mismo buque (excepto loa y 10 heridos, y zoo hombres de tropa entre muertos y heridos__El introducidos por tránsito ó reextraccion) no se cobrará ningún derecho teniente coronel Lorenzo perseguiría hasta Carora los tristes restos de extraordinario; y si los artículos extraídos fueren inferióte* en valor á los rebeldes.” los introducidos, se cobrarán los derechos extraordinarios solamente » El ti entró aquí de arribada el bergantín ingles Céf…</t>
  </si>
  <si>
    <t>…lla daré á V. ei detall de nied a de la noche llegó un paisano d: Puertu-beirano buscando un lo ocurrido. cirujano para atender a la curación de un espitan (que por las señas » Al comandante Lorenzo he encargado el perseguimiento de los erro sea rl tan bizarro como desgraciado segundo ayudante de estado enemigos , que marchan vergonzosamente por el Pedregal. Lo que co mayor D. F. R.), que estaba herido de bala pasado por el vientre; y munico á V. para su…</t>
  </si>
  <si>
    <t>…ó la prisión de D. Antonio Sánchez, su criada Teresa* 1822 , concurran á acreditar su filiación y derechos tn dicho juzgado; Gabriel Manzanares y D. Josef Castelar, y omitió la de D. Lorenzo con apercibimiento de que pasados dichos dos años sin haberlo verifi Gómez , administrador del Pardo y la Monoica , D. Juan García Sa cado , se procederá tn rebeldía á declarar á la citada Doña Isabel las , Chaves eh guardaropa del R*y y el oficial de Almagro…</t>
  </si>
  <si>
    <t>…armas en L»b,/a á 3 de Di jada, el duque di Abranles, Regidores. D. Joaquín Velasco, D. TWniH no G &gt;riza'-z d- 1? Pi ciembre de 1822 afio».__(L. S.) Manuel Cípiiano da Cosía. fia, D. Lorenzo i mtnet, D. o Juar-st , D Pab o Mari n Cu Decreto t.° po, D. Gregorio Entrambasaguas, D. Antonio Mir a P-rtz , D. Joa Habiendo la Reina por su espontánea y libre declaración, hecha y quín R oliz y Mont- ro, D. J oaqu n Ruiz , D. Fiancisco la Caliera, firmada…</t>
  </si>
  <si>
    <t>Lorenzo, Andrea y Luía</t>
  </si>
  <si>
    <t>Andrea y Luía Lorenzo</t>
  </si>
  <si>
    <t>…e: no ; á saber : uno de 112,800 mrs. de renta , situados sobre el 6 por roo » Excmo. Sr.: El Rey se ba servido mandar que D. Joaquín Gó del almojarifazgo de Tenerife en nombre de D. Andrea y Luía Lorenzo, mez Liaúo, nombrado intendente general militar por resolución de 4 con fecha de 27 de Setiembre de 1613__ Otro de 6860 mrs. de renta, de Julio del afío último á consecuencia del decreto de las Cortes de situados en el mismo 6 por 100 , en cabeza de Gaspar Ca…</t>
  </si>
  <si>
    <t>Lorenzo, Andrés</t>
  </si>
  <si>
    <t>Andrés Lorenzo</t>
  </si>
  <si>
    <t>…l ministerio de Hacienda. en la expresada renta. Y otro despachado en 31 de Diciembre de 1624, Los Sres. diputados secretarios dt las Cortes me dicen en 4 del ac á favor de Luis y D. Andrés Lorenzo de t ay,008 mrs., situados en el tual lo siguiente: almojarifazgo de Canarias. El que supiere de su paradero se servirá » Las Corles, con el fin de facilitar la egecucion de lo acordado por acudir á D. Manuel Antonio de Corral, apoderado de D. Pedro Ma las mi…</t>
  </si>
  <si>
    <t>Lorenzo, Pedro</t>
  </si>
  <si>
    <t>Pedro Lorenzo</t>
  </si>
  <si>
    <t>…n orgánica do, y que absolutamente no pu Herrera, nombrado juez interino de primera instancia de Ciudaddiese extraerse nada de loa almacén»; pero ahora era todo lo contra Rodrigo; D. Pedro Lorenzo, nombrado juez interino de primera ins rio^ era menester que Catalufia sufriese la escasez de granos, supuesto tancia de la ciudad de Murcia, y D. N. Díaz Gane!, juez d: primera que 1» demas provincias de España «tabra obligad» i ganar los géneros instancia d…</t>
  </si>
  <si>
    <t>Loriaga, Ignacio</t>
  </si>
  <si>
    <t>Ignacio Loriaga</t>
  </si>
  <si>
    <t>…s espectadoras se al general que-pende de la resolución de las Cortes. Aprobado. de excesos tan horrendos. Por todos estos acontecimientos no cabe duda Otro sobre la exposición de D. Ignacio Loriaga, vecino de Bilbao, en que no se han tomado las providenciasconvcnicntca para evitar esto* •n solicitud de que se le permita hactr una tifa de varias alhajas; te males, pues de las exposiciones de que se hace mención resultan falta* comisión opinaba que no deb…</t>
  </si>
  <si>
    <t>Loriares</t>
  </si>
  <si>
    <t>…los graves daños y per Otra del Sr. Murfi sobre que se admitan como créditos de suminis juicio* basta aquí experimentados.” tros otros varios liquidados en ios años anteriores. El Sr. Loriares: Desde el afio de 1819 se principiaron á comunicar Otra del Sr. Cano p.ra que no se apremie á los pueblos por los á los pueblos las órdenes mas terminantes para que liquidasen sus sumi atrasos desde 814 á 819 hasta que se haya verificado la liquidación. nistr…</t>
  </si>
  <si>
    <t>Loriga, Antonio</t>
  </si>
  <si>
    <t>Antonio Loriga</t>
  </si>
  <si>
    <t>…a se pasó un» representación de D. Josef nel D. Vicente Sancho : para interino de la de la Coru'.a al t^n.er.te Manuel Jorges .solicitando se le concediese la jubilación. c ror.el D. Antonio Loriga, que actualmente lo es mter.no de ía ds A la de llicienda una instancia de Doña María Machurra, pidiendo Galicia: para la de Valencia al brigadier D. Francisco Plasencia, que una pensión- lo e, interino de la misma: para la de Cádiz al coronel D. Joaquín Es A…</t>
  </si>
  <si>
    <t>…opinaba qna debía admitirse en pago de contribuciones de los pueblos el valor de Censúa 16 dt Noviembre. los caballos de que'se hubiese hecho requisición, á fin de que tus duen El Sr. D. Antonio Loriga, gefe político de la provincia de la fio&gt; pudiesen ser reintegrados, teniéndote cato presente ¿ acordar al CoruBa, agradecido i loa noble* aentimientoa patriótico* que animan presupuesto de la Guerra, y llev.ndose razón exacta del valor de loe á s. B. el mari…</t>
  </si>
  <si>
    <t>Losada, Joaquín</t>
  </si>
  <si>
    <t>Joaquín Losada</t>
  </si>
  <si>
    <t>…s cabezas completas , adjudicándole un estuche completo de ins- hay dos láminas , Tina concluida y otra bosquejada : ¡os que t n.nn trumentos matemáticos artísticos; para el 3.a i D. Joaquín Losada, por proporción de consultar estos preciosos materiales nos entenderán con la petfeccion con que presentó acabadas las imágenes de una mano y an facilidad, y nuestros esfuerzos serian vanos con respecro a los demás. tebrazo humanos, entregándole otro estuche…</t>
  </si>
  <si>
    <t>Losada, Ma</t>
  </si>
  <si>
    <t>Ma Losada</t>
  </si>
  <si>
    <t>…ca, teniente coronel mayor del regimiento de Valencia. Villafranca: para coronel al coronel vivo de infantería D. Benito Ellin (ligero): para coronel al coronel vivo de infantería D. Ma Losada, supernumerario del regimiento de Málaga. nuel Fernandez Rema, comandante del batallón ligero de S. Marcial. Vitoria (ligero) : para primer comandante al coronel graduado Don Fígueras: para primer comandante al teniente coronel D. Luis de Joaquín Urreiztieta,…</t>
  </si>
  <si>
    <t>Losada, Manuel Espada y</t>
  </si>
  <si>
    <t>Manuel Espada y Losada</t>
  </si>
  <si>
    <t>…sándose en uno de los lados del pedestal que él ra el de Badea á D. Manuel Salgado: para el de Guinzo de Cim:a á fue el primero de su arma que se pronunció por la Constitución.” _ D. Manuel Espada y Losada: para el de Monterey á D. Francisco AlLo qu: traslado á V. E. de orden de S. M. para su inteligencia y varez: para el de Viana del Bollo á D. Juan Balifía: para el del Barco la del referido cuerpo en el ínterin que te construye y remite el león de Valdeorras…</t>
  </si>
  <si>
    <t>Losada, N.</t>
  </si>
  <si>
    <t>N. Losada</t>
  </si>
  <si>
    <t>…n los facciosas, que eran en bas fueron D. Fruncí co Riba s, empleado en la intendencia de esta pro tante número, y se han hecho fuertes 4 la otra parte del rio Es preciso vincia, D. N. Losada, médico, y D. Aniceto Alfonso, oficial de la que !a espada de la justicia descargue de una vrz sus go'pes so^re estos secretaria del gobierno político de L on. El patriota D. N. MisiMas perversos ciudadanos, que haciendo la guerra á su misma patria, y hizo pr…</t>
  </si>
  <si>
    <t>Losada, Ra-.noa</t>
  </si>
  <si>
    <t>Ra-.noa Losada</t>
  </si>
  <si>
    <t>…se á D. P.dro Boa doS¡ do que se establezca una intendencia en Panamá. [ A la de Hacienda una solicitud de Doña María Concepción Puen- que lo es de la de Zimora: para la de Vuo al brigadier D. Ra-.noa Losada: para la de Badajoz á D. Luis Castillo Barrantes, que io t&gt; de 1 te, relativa á una pensión. la de Extremadura: para la de Lugo al teniente coronel D. Ana l del I A la de Premios una exposición de Doña Sebastiana Aguijar, soli- Arenal: pata la de Ciudad-Real…</t>
  </si>
  <si>
    <t>Lowe</t>
  </si>
  <si>
    <t>…solamente beldes , y habiéndose puesto detras de una cerca le hizo fuego, y quedó destruirá las conjeturas de lo pasado, sino que también definirá Jos muerto en el mismo sitio el ministro Lowe. principios que han de arreglar lo venidero-, pero se abstiene por ahora de decir cosa alguna sobre el carácter del tal documento___Una carta fKAXCIA. de Munich del 18 de Enero que refiere que el día 1 0 habían pasado los rusos el Pruth , cerca de Girschaeni…</t>
  </si>
  <si>
    <t>Loygorri, Martin García y</t>
  </si>
  <si>
    <t>Martin García y Loygorri</t>
  </si>
  <si>
    <t>…e! ministerio de Ja Guerra. nuestra Constitución política, y tres legislaturas han pasado en qun c. n.tant -mente se han ocupado los representantes de la Nación en dic Al teniente general D. Martin García y Loygorri digo con esta tar I yes sabias y justas para consolidar el sistema, y hacer participan fecha lo siguiente.tes á l ii piaiblos de las ventajas que nos ofrece el pacto sagrado de la» Ei Rey »: ha servido exon-rar i V. E. dei cargo de inspector ge lib-nade» patr…</t>
  </si>
  <si>
    <t>Lozano</t>
  </si>
  <si>
    <t>…vesedo, D. Antonio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 caballeros Pages, al catecú Habida la conferencia, declararon haber lugar í la formac…</t>
  </si>
  <si>
    <t>Lozano, Agustín</t>
  </si>
  <si>
    <t>Agustín Lozano</t>
  </si>
  <si>
    <t>…del general Mina que de lo que se sueñe ia de Noviembre de 1812. M Urge!. E¡ 28 de Octubre salió de Tarragona el g-neral Manso, y se no- Por renuncia que ha hecho de su judicatura D. Agustín Lozano, tiban allí preparativos para una próxima expedición; p-ro se ignora trasladado desde la del partido de Huesca á la de Jijona, ha quedado ba absolutamente su objeto. De esta esencialísima é indispensable vacante esta última , y te admiten memoriales de preten…</t>
  </si>
  <si>
    <t>Lozano, Antonio</t>
  </si>
  <si>
    <t>Antonio Lozano</t>
  </si>
  <si>
    <t>…a decir: aquititoy, peto un vocabula j—la de D. Ignacio Buenvecino 575 rs. 7 6 mrs__ La «le los herederos rio japonés fnc indina 4 creer que aquella voz no era otra cosa que la it D. Antonio Lozano 63 rs. 7 9 mrs—La «le Dofia Bernarda de palabra W, tan dulce 7 grata cn todas las lenguas 4 loa oídos do los pila 60 rs. 7 9 mrs—La de Doña María Montero ó sus herederos 231 grandes. (aale* 7 4 mrs__La de D. Gregorio Bermudez Pimental 760 rs. 7 6 Estas litera…</t>
  </si>
  <si>
    <t>Lozano, Jos-f</t>
  </si>
  <si>
    <t>Jos-f Lozano</t>
  </si>
  <si>
    <t>…ogati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renta en su presidente , vice-presidente…</t>
  </si>
  <si>
    <t>Lozano, Rafael</t>
  </si>
  <si>
    <t>Rafael Lozano</t>
  </si>
  <si>
    <t>…lcalde constitucional interino de Val encía D. Pedro Birreda Centelles por D. Mariano González, Resolución d: la* Cortes declarando qne sobo dabe considerarse pa D Antonio Nieto y D. Rafael Lozano, oficiales del regimiento de Za pel oficíatele lasdñcnoones di Cortes eiDiatiode las asmas. (Gottla mora , en representación de este , por injurioso y calumnioso el impreso ¿¡ti a ¿t ¡¿.y titulado: » Dialogo, el constitucional y el seivil que empieza: » Vi De…</t>
  </si>
  <si>
    <t>Lozano, Saturnino</t>
  </si>
  <si>
    <t>Saturnino Lozano</t>
  </si>
  <si>
    <t>…os que tal vez no esperaban. Eró cio anterior._El viernes 4 de Octubre abrirá su cátedra de elementos les se marchó de Cervera pretextando ir a poner sitio á Cardona. Ro de griego D. Saturnino Lozano. Los dias de lección serán los lunes, manillos abandonó el convento de S. Ramón, y parece que Romagote miércoles y viernes de cada semana á las seis de la tarde. El mismo se dirige hicia Urge). profesor continuará ademas con el curso que comenzó el año pasado…</t>
  </si>
  <si>
    <t>Lozano, Tomas</t>
  </si>
  <si>
    <t>Tomas Lozano</t>
  </si>
  <si>
    <t>…ud Apro suponía acometida nuestra Constitución política, llegaría al extremo su bado. justo furor; también me persuadí que unido tan estrechamente en cí Otro sobre la solicitud de D. Tomas Lozano, vecino de Consue vicos sentimientos dicho cuerpo con los habitantes de esa plaza y su gra, y capellán de la memoria de misas de ia capilla de S. Joscf de la patriótica milicia local, desearían todos tomar igual parte en la defensa niisma, para que el Crédito…</t>
  </si>
  <si>
    <t>Lrstarria, Miguel</t>
  </si>
  <si>
    <t>Miguel Lrstarria</t>
  </si>
  <si>
    <t>…mes debía cobrarte un tercio de la contribución dase.” No te admitió i discusión. respectiva a&gt; año económico corriente. Observó también que las mui. Se leyó una exposición del ex-diputado D. Miguel Lrstarria, ha tas que se establecían en el artículo eran en su concepto un medio ciendo varias observaciones sobre la ptoposicion (Sel Sr. Sánchez, rela tiva á los diputados americanos que dtbian componer la Diputación muy justo para conseguir el objeto, pues muchas ve…</t>
  </si>
  <si>
    <t>Ltci</t>
  </si>
  <si>
    <t>…esta solicitad. Ayioéslo. . tremar. Se dió cuenta de una exposición de varios oficiales comprendidos Se mandó parar i le misma «oaiiion Kcteiiiuicr la liguieaK adi en la causa dei general Ltci, en la que hacían presente qne coa motición de loa Sres. Sepilen y Ordu&amp;a: » Pedimoa i lea Cortea que desde vo de cumplirse hoy los cinco afio* en que habían sido sumida* en I9*ahora te prohíba i loa ayuntamientos toda contribución en tut respec tóos pudrios…</t>
  </si>
  <si>
    <t>Ltoa, Josef</t>
  </si>
  <si>
    <t>Josef Ltoa</t>
  </si>
  <si>
    <t>…misión cree hallarse en oposición esta solicitud La comisión prime» de Legislación, en vista de la solicitud da con el art. 172 de la Constitución y con el citado decreto de 19 d* D. Josef Ltoa, presbítero, vecino de Córdoba, quejándose del juez da Cclubre de 1820; opinando que en lo sucesivo deben pagar a ia in primera instancia de aquella capital por no haberle dado posesión da troducción lo» derechos de aranceles y densas á que están sujetos los…</t>
  </si>
  <si>
    <t>Ltrr</t>
  </si>
  <si>
    <t>…o caso: el G »b -rno separa del man lo militar de Galicia á Es- r:gui es inocente y lo dunos que s: hz dicho, podra verse ta el tribu poz y Mina, y manda qu - se entregue de éi el brigadier Ltrr; nt or nal comp tente , y p.r&lt; sab r o es m;n st:r formar causa. denes llegan ; una parte del pueblo se conmu-v, y se obliga al g fe po Ei Sr Gaseo, o. spu s ds hab.r lontestado á varios argumentos per* lítico á qu- suspenda la eg-cucion de la orden; -f»ct.v«…</t>
  </si>
  <si>
    <t>Lturiz</t>
  </si>
  <si>
    <t>…isión reba Hay infinitos in dividuos qu ■ mant-enen sus familias con este cén — jaban el precio propuesio. ro de industr a , y aunque podían rstar poderosos*, no es a- , po-qua El Sr. Lturiz contestó que por tu parte estaba pronto i modificar hasta ahora han vendido á la Hacienda pública sus sa'es , v esta no ¡. , ha lo , y que si los demas Sr.s. de la comitiva no se convenían en dio, retribuido con !st cantidades ‘ .t:pu adas; de manera qu- aa:i…</t>
  </si>
  <si>
    <t>Ltzana, Aniceto</t>
  </si>
  <si>
    <t>Aniceto Ltzana</t>
  </si>
  <si>
    <t>…e un alcance que resultó compu&gt;to de los individuos siguientes: Sr. Conde de Floridablanca, 4 O. Nicolás Guerrero por frutos de excusado de las vicarias de Coin y Sr. D. Juan Paz, Sr. D. Aniceto Ltzana, Sr. D. Benito Ortega Roma Antequera en 1814; y persuadido S. M. de que no hay otro medio de nillos, Sr. D. Josef K yser, Sr. le. Marcos Izquierdo, Sr. D. Josef hacer efectivos los descubiertos que tanto necesita la Hacienda pública María Pu nte, Sr. D. Isidr…</t>
  </si>
  <si>
    <t>Lu</t>
  </si>
  <si>
    <t>…Gobernó de que SS. MM. y A A. continuaban sin noredad en su im nifestado el Sr. Salva , que no nos debemos atener precisamente é esto, portante salud, y que la Serma. Sra. Infanta Doña Lu ta Car-ota tam pues que no se logrará ei objeto; pero yo creo que el elevar un men- poco había tenido novedad después de su feliz alumbramiento. sage al Rey es de la mayor utilidad, porque en él se expresa cual es la Se mandó quedar sobre la meta el dictamen…</t>
  </si>
  <si>
    <t>…dia, y de Sigiieoza y too hombres de Alcazsr, la del centro ó reserva, cencon las mismas armas de ella se defendió contra los que venían ñ to ducid.i por el gefe de la plana mayor D. Lu&gt;s de las Llanas, constan marlas, acompañado siempre del soldado de voluntarios de I-.spaéa do et rusto de Alcázar , de un piqu te de sargentos de infantería al car A ú-ii-o Jimia 17, que acreditó en este dia el valer y arrojo de un hom go del subí mente de Ba…</t>
  </si>
  <si>
    <t>…ia r.ct cía Gainza, brigadier D. Donvngo Malo e llúbd, id. D. Josef Antón o (que liama absurdi), n qu se fecaqa: u » «ust iacr, ,.asa nr. por Echevarri, id. D. Rafa-I Ramiro, id. D. Lu s Cortázar, id. I). Gi- el Med ouia d a Francia para r forzar el llamado co’d &gt;1 . .m r.ir.’u; briel Arm’jo, id. D. Agustín Buslil-os , id. D- Jo, f Mar a Ccrvai.t s. atribuye estos absu-do» á ios esprcu a luirs de b- 1 tr» . ; F.-ta c. L'mosn ro mayor de S.…</t>
  </si>
  <si>
    <t>…rte del A nutra; fcch vrna, D. rrancisco Javier Aoiz de Zura, D. Juan de Irazoz, el conde de Neseirode por la de Rusia; el conde de Brrnstorff por la D. Juan Domingo Zuvin y ALua, D. Lu s Gaicia, E&gt;. Josef Mana de Prusia; el príncipe Ruifo por la de Ñapóles, y el duque de We- d. i. ¡Latina , D. M guel J.s.f de Borda, D. Miguel Josef Viiiacuellington por la de Inglaterra. Creen algunos que el vizconde de Mcnt- va, D. Antonio de Ganjeaga y D-…</t>
  </si>
  <si>
    <t>Lu, Ignacio María Ruiz de</t>
  </si>
  <si>
    <t>Ignacio María Ruiz de Lu</t>
  </si>
  <si>
    <t>766</t>
  </si>
  <si>
    <t>…dirigidos todos á fomentar los progresos de las ciencias y la felici temporales y en materias políticas, cuando se trata de seducir á los pue- dad de sus semejantes. La memoria de D. Ignacio María Ruiz de Lu bl os, y de seducirlos bajo pretexto de religión , entiendo que no debe zuriaga es digna de un elogio histórico, que dé á conocer su talento, mos callar,y que es obligación nuestra persuadir con toda eficacia á laboriosidad y virtudes á las generaciones futur…</t>
  </si>
  <si>
    <t>Lu, Miguel Díaz de</t>
  </si>
  <si>
    <t>Miguel Díaz de Lu</t>
  </si>
  <si>
    <t>…dmirable. Morale*, D. Pedro Badiere, D. Pió Larténdo, D. Pedro Po illtru, «Coruña, su ayuntamiento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milicia nocional de Madrid. El E…</t>
  </si>
  <si>
    <t>Lu.s</t>
  </si>
  <si>
    <t>…D Benito Suarez Campa , para el delnfiesio; i D. J -,;f Ló • U Ves» Cocán», El Sr. Martel reprodujo alguna» razones de las que habia manifes pez Pooce, para el de Campo de Ciso; i D. Lu.s d rara el de la Pola da Lena ; i D. Febx Fernandez Tel’ez . psra el dstado en su anterior discurso. -. á Don El Sr. conde de Tareno dijo que habia sido uno de los que habían Teberga; i D. Sebaitian Rodríguez Alvarez, para d de Giado contribuido á que se pusie…</t>
  </si>
  <si>
    <t>Luaces, Nicolás</t>
  </si>
  <si>
    <t>Nicolás Luaces</t>
  </si>
  <si>
    <t>…eses, y siempre participan del triunfo ric S. Martin de Latiu á D. Josef Soto Ace-rcdo; para la de Celanova á de la causa victoriosa. Estos hombres perniciosos en todos tiempos jr D. Nicolás Luaces; pata la de Castro de Caidelas á D. Josef González países, disfrazan su perversidad con el velo de una moderación y pru Varela; para ia de Caiballino i D. Josef Fcrmoso ,y pata la de Madencia pérfida; pero es muy fácil conocerlos, por ser tan visible la ser a…</t>
  </si>
  <si>
    <t>Luanco, Jatn</t>
  </si>
  <si>
    <t>Jatn Luanco</t>
  </si>
  <si>
    <t>tebao Birbet, D. Fernando Cerezo, D. Jatn Luanco y D. Feliz Ar- Uno de los medios mas necesario* pan conseguir la concoidia , y rieta. En trigonometría piaña ios referido! Diez Valentín, Scmoza, para poder scarzar la felicidad porque suspiramos, es el olvido de Bolafto, Sagastizabal, D. Josef Vazquaz, D. Joatf Rodríguez Rome…</t>
  </si>
  <si>
    <t>Luarte, Antonio López</t>
  </si>
  <si>
    <t>Antonio López Luarte</t>
  </si>
  <si>
    <t>…por no haberlo permitido lo crí Tercera. D. Julián Gil, herido; D. Atañasíó González, ideal. tico de las circunstancias: la de cazadores estuvo escoltando y soste Quinta. Sargento D. Antonio López Luarte; herido: niendo las dos piezas de artillería que defendían ««te punto : el tercer Total 19 heridos jjj contusos. batallón estuvo de reserva en el cunte! &gt; cubriendo las guardias del hos Segundo batallón. pital y de los cuarteles de S. Juan de Dios y Sta. Isab…</t>
  </si>
  <si>
    <t>Lucas</t>
  </si>
  <si>
    <t>…r Galicia, en que manifestaba concurriría al Con Aprobado. greso en el momento que se le presentase proporción para hacer su La comisión Eclesiástica, en viste de la exposición de D. Lucas viage. Caro y D. Manuel Caianova, capellanes del regimiento de Ceuta, para El Sr. presidente anunció que mañana se discutirían dos dictímroes que te les abonasen sus haberes con respecto al aumento decretado por de la comisión de Casos de responsabilidad sobr…</t>
  </si>
  <si>
    <t>Lucas, Manuel</t>
  </si>
  <si>
    <t>Manuel Lucas</t>
  </si>
  <si>
    <t>…el importante encargo que las mis ñale una pensión en premie de sus servicios. mas le han sometido; á este efecto ha conferenciado con los secretarios A la misma una instancia de D. Manuel Lucas, vigía del castillo del Despacho para saber alguna noticia con respecto á los grupos de del Morro , en la íiavana, en solicitud de que se,le aumente el sueldo. gente que se dice estaban reunidos en la puerta de Toledo; ha dado la A Ja de Marina una soli-ilud…</t>
  </si>
  <si>
    <t>Lucent, Amonio</t>
  </si>
  <si>
    <t>Amonio Lucent</t>
  </si>
  <si>
    <t>…os de jueces I.irados ó dez, D. Claudio Boutelou , D. Josef Anitua, D. Manuel del Casti de primen instancia se cobrará un a por 160 sobre el valor i- los llo, 1). Andrés de Monti, D. Amonio Lucent, D. Joaquín Medina, Xq9 rt. que se regulan por sueldos y emolumentos. Por los de magiar D. Pedro Urda y D. Manuel de Jesús Carmona. Los seis primeros de irados de las audiencias se exigirá el 4 por too de la diferencia de clararon abtutlto dicho impreso, y lo…</t>
  </si>
  <si>
    <t>Lucia</t>
  </si>
  <si>
    <t>…la sesión i lis tres y media. Los seculares partícipes de diezmos de la diócesis de Toledo, convo ARTICULO DE OFICIO. cados e¡ dia r.Jdel corriente por el Sr. comisionado especial D. Lucia no Casas, han nombrado por individuos de la juma, en cumplimiento El Sr. secretario del Despacho de Gracia y Justicia con fecha de dei decreto de las Cortes de 29 de Enero del present-’ año , al Esc tno. se eyer dice desde el Real sitio de Aranjurz lo siguien…</t>
  </si>
  <si>
    <t>Ludziewich</t>
  </si>
  <si>
    <t>…Bcsarabia : el general y respeto 4 las Cortes, y confianza en el Gobierno. en gefe ha dispuesto que se adelante el cuerpo del egército mandado por Madrid Miércoles 1 ¿ dt Mayo.el general Ludziewich, que debía entrar 4 mediados de Abril en la Bo— «arabia; j en pos de ¿1 irá la división del general Roth. CORTES. raotATvaaA. rXKSIDBNCIA DU SlRot AI AVA. íSndrts jo dt Abrü. Sttitm extraordinaria dtl di» 14 dt Mayo. Ha vuelto á tratarse en el Parlamento de l…</t>
  </si>
  <si>
    <t>Luego</t>
  </si>
  <si>
    <t>…ie todos los espectadores. Juicio de jurado. El Rey leyó el discurso siguiente. (Véaje la Caceta extraordinaria de hoy.) En la ciudad de Málaga, reunido* los Sres. jueces de hecho Don Luego que S M. concluyó su discurso se levantó el Sr. pr-vdvnte Felipe de Alzu , D. Joaquin di MulgtEa, D. Manuel H dalgo y Ca de las Cortes, y contestó en estos términos. (Véate la 1 Caceta.") sino, D. Josef Ferrmn de Jáuregui , D. Líos d- Carretas y Ramón, H'b en…</t>
  </si>
  <si>
    <t>Luí</t>
  </si>
  <si>
    <t>…e la de Gr nada: para la de Santander D-n Blanco, pidiendo una pensión. Antonio Fícrez Estrada , que lo es de la misma : para ia de T^ruenna á D. Juan Valle: para la de Córdoba al brigadier D. Luí» del Ac.j.iu, A la de Ultramar una representaron de D. N. Cabarcas, solicitanque lo es de la misma: para la de Orense á D. P.dro Boa doS¡ do que se establezca una intendencia en Panamá. [ A la de Hacienda una solicitud de Doña María Concepción Puen- que lo es…</t>
  </si>
  <si>
    <t>…icio del Sr. secretario de la Guerra, en que que dice asi: „ Debe exigirse la responsabilidad al gefe político de la participaba á las Corte* que á consecuencia de la solicitud de D. Luí* provincia de Murcia D. Francisco Javier Abadía;” quedó aprobada Fernandez de Castro , comandante del batallón segundo de Asturias, por 86 votos contra 33. que se pasó al Gobierno, acompasando las de otros varios individuos Sres. que la aprobaron: Salvl, Saav…</t>
  </si>
  <si>
    <t>…e aquel día conocimiento á sable hacerlo de los 13 miliciano* de caballetía de esta capital, que al V. E. de las ocurrencias sobrevenidas en él y en la noche anterior; mando de tu capitán D. Luí* Francisco «le Luis se haa hecho dignos pero creyendo no deber ocultarlas, lo hago en el de hoy, acompasán modelos de imitación por su valor y decidido patriotismo, como tam dole copia del parte que en consecuencia he pasado al Sr. comandan bién de D. Euscbio…</t>
  </si>
  <si>
    <t>…le América ¡ue han entrado en este puerto en el y como me hai'aba yo herido de un bayonetazo , r:c*vó el mando en mes de Julio frúx.m\,pasa,io. el dist.neuido y bizarro comandara* D. Luí» Fernandez de Caitio, quien cont:nu-, dictando fat mas oportunas providencias para terminar De Puerto Ri.o—28 sacos cacao—15 batriles café__ De VeraUn jornada. erut—182 zurrones y sobornales añil__‘io tercios azu.ar._4 soborna v Todo» han sido hijos dignos de…</t>
  </si>
  <si>
    <t>…andante general del testo dittnto. res , tentó en el trono al Sultán reinante, y procuró conservar las ex celentes reformas de Seliu nt; pero acosado por los genízaros rebelde», i Don Luí; de Frídrich, espitan de los ejército» nacionales, alférez do y viéndote sitiado por ello», *e voló juntamente con su palacio. la cuarta compañía del batallón provisional del segundo regimiento da La existencia misma de estos caracteres extraordinarios prueba…</t>
  </si>
  <si>
    <t>…n exacta del valor de loe á s. B. el mariscal de campo , general del egército del Millo , el Ex cabal 101 que ae descuente de lat contribuciones de los pueblos para co celentísimo Sr. D. Luí» do Regó, le escribió manifestándole cuan nocimiento de las Cortes. Aprobado. grata jr satisfactoria había sido á lo* habitante* de esta provincia la ge La misma comisión, en visti de la exposición remitida por el ayun neróla oferta con que S- M. F. se decidí…</t>
  </si>
  <si>
    <t>Luí, D-</t>
  </si>
  <si>
    <t>D- Luí</t>
  </si>
  <si>
    <t>…to d: hidrografía en Madrid: D. Antonio el tercer distrito. rerrer, teniente retirado del egército: D. Francisco Roix, abogado, Cuarto distrito. ex-auditor de Marina. Suplente: el Sr. D- Luí» Balanzat, brigadier da Falencia, Búrgoa, Santander, Soria, Segóvía. Su capital Búrgos. lo» egército» nacionales. Aprobado. Quinto distrito. CORTES EXTRAORDINARIAS DEL AUO DE 18a». Pamplona, Logrofio, S. .Sebastian, Vitoria y Bilbao. Su capital Pam plona ó Vi…</t>
  </si>
  <si>
    <t>Luí, Ramón</t>
  </si>
  <si>
    <t>Ramón Luí</t>
  </si>
  <si>
    <t>…el partido de la Se leyó el dictamen de la comisión de Poderes, la cual en vir oposición que se haya atrevido á impugnarla, á excepción de Mr. Broug- tud de los presentados por el Sr. D. Ramón Luí» Escovedo, diputa harn , el cual pronunció un largo discurso sin que en él destruyera los do electo por la provincia de Toledo, y de la nota inserta en el libra profundos y sólidos razonamientos contenidos en aquella obra maestra, de registro al tiempo de su…</t>
  </si>
  <si>
    <t>Luía</t>
  </si>
  <si>
    <t>…teniente del regimiento in Salas A D. Antonio García, teniente de infantería y del regimien fantería de Aragón, con 570 re. to provincial de Oviedo, con 450 rs. al mee.' Bilbao A D. Luía de la Torre y García, teniente eupemumenrio Oreóte A D. Andrés Antonio Rapoteitaa, teniente dei regimiento del regimiento infantería de Espafia , con 570 rs. infantería de Guadalajara, con 570 rs. Burgos A D. Francisco Pablo Rica, teniente de infantería y del…</t>
  </si>
  <si>
    <t>Luii, Alejandro</t>
  </si>
  <si>
    <t>Alejandro Luii</t>
  </si>
  <si>
    <t>…. te ociosa en la provincia de Andalucía, y fomentar cn ella la agricul 3-' Las reglas pare la persecución del contrabando y la formación tura y las artes , escrita en francés por D. Alejandro Luii de la Chevarda los expedientes de presas , serán las «afieladas en la instrucción de diere, premiada por la diputación provincial de Cádiz en 5 de Julio guarda-cosías de 21 de Jubo de 1802 y declaraciones posteriores. de 1821 , traducida al castellano y publi…</t>
  </si>
  <si>
    <t>Luis</t>
  </si>
  <si>
    <t>…te coronel mayor del regimiento de Aragón. Infante D. Antonio. Guadix: para primer comandante al comandante de infantería, gra Zaragoza: para primer comandante al coronel graduado D. Luis duado de coronel, D. Brnarlino Asen jo, sargento mayor del batallón del Corral, comandante de escuadrón del regimiento de caballería li de la milicia activa de Guad x. gero de la Reioa. Guadalajara: para primar comandante al coronel graduado D. Al Los gefes d…</t>
  </si>
  <si>
    <t>…supernumerario de infantería; para el mismo destino La de cigarros mixtos de la Havana 7 Virginia 3a. La de cigarros de del de Africa vacante por retiro de D. Francisco Garbayo, i D. Luis hoja de Virginia 14. Bacincour, coronel vivo y teniente coronel mayor del de Burgos; para Se suspendió esta discusión, y se mandaran pasar á la comisión igual empleo del de Granada, vacante por remoción al de Córdoba del varias adiciones i los artículos apiob…</t>
  </si>
  <si>
    <t>…acompañándole el expediente parí su int l g.ccta y pacho de G.aeia y Justicia los decretos siguientes: efectos oportunos. » Atendiendo á las n*p.*t das instancias que me ha hecho D. Luis » De Real orden lo traslado á V. S. para su inteligencia y ef. ctoa Balannt para qu: 1: exonere de! careo de mi secretario de Hitado y cqnsiguier.t.'s, con devolución de ios antecedentes que rem.t.o a cate del Despacho de la Guerra , he venido en a.ced-r i su…</t>
  </si>
  <si>
    <t>…que tuvieron la suerte de dirigir ei ataque de Bo do en Cinco Villas, y cubr;r las avenidas de Jaca. El comandante de lea, los intrépidos ten ent s coroneles D. Pab o Bacigalupi , D. Luis aquel cuerpo marchaba ya con este fin desde Sos, cuando los en lingos Fernandez de Castro y D. Luis de las L'ana,. D os guarde á V- E. practicaban su movimiento sobre Jaci, y ganando momentos entro en muchos años Cuartel general de Zaragoza 4 de S.liembrs de…</t>
  </si>
  <si>
    <t>…achos da L’.dron, y otra poicion de papeles interesantes careí.—&gt;5 t.rcícs y un saco cebad i la—ta tablones c dro__:7 c.'.nes d&gt; ,,u • se ha hecho cargo el ge fe de la plana mayor D. Luis de las copal._5 colmillos de marfi'._g4o eueres—145 sobornal », a curLanas. ron;s y un tírc o grana—8 d chos granula—Un barrí! miel de cafas. ” I ’tjarm?nt; fj»ron puestos en libertad varios soldados de volun __a boe.n's y un garrafón id. de abija»—900 quinta…</t>
  </si>
  <si>
    <t>…no cha por el pueblo de la Naxa , Cartuja de las Fuenres, debiendo hacer eos detendríamos en aconsejarle que fuese i producirla en el mismísi alto en la aldea de Masa; el teniente coronel D. Luis de las Llanas, mo centro de la derecha de las Cámaras de París, donde seria bien re gefe de la plana mayor, con la infantería de m. columna para Paliacibido. ruelos, recorriendo la sierra por la izquierda, debiendo ir 1 parar al Vamos ahora á examinar bien si…</t>
  </si>
  <si>
    <t>…ado en quien emplear su esfuerzo y valor. armas. » [entretanto la infauteiía, conducida por el gefe de la plana mayor ro. Toda la tropa formará en batalla, según se hizo el Dos de D. Luis de las Llanas , redob.aba el paso, y sin dctemrse en la barca, Mayo. vadea el rio el batallón de Hostalrich, al mando del teniente coronel 11. Si tuviese efecto el anuncio del Sr. gefe político, se leerá en se D. Josef Mesías; el agua llega á los pechos de lo…</t>
  </si>
  <si>
    <t>…de la sala segunda criminal de esta audiencia de y consumaron de este modo la desolación de una provincia que parecía Castilla la Nueva, fecha ■ 1 del corriente, se manda citar á D. Luis un düatado y ameno jardin , en donde los labradores gozaban de bas Mesa, vecino de esta corte, cuyo paradero se iguora, para que en el tantes posibles; porque, excepto ia dias al año en que trabajaban para término de ocho dias, contados desde el en que ae anu…</t>
  </si>
  <si>
    <t>…patriota oficial de artillería D. Josef Torres , co Velasco el mando que el Gobierno ha fiado á sus luces y patriotismo, misionado por el Gobierno, hibia verificado la prisión de D. Luis 7 paño para mi nuero destino da ministro plenipotenciario de Lóndres. Herrera, gravísimamente índ.ciado en los ú11 mos acontecimientos da » Allí, donde quiera que la incierta suerte me llevare, vivirá eter aquella isla , y las del ex-mqu sidor Lloaer y guardi…</t>
  </si>
  <si>
    <t>…de Luengas, D. Francisco Hidalgo , D. Juan Martínez de Ga* De Real orden lo comunico á V. para su inteligencia y efectos tica , D. Juan Francisco Vidot, D. Antonio Cortés y Coll, D. Luis corr spondicntes á su puntual cumplimiento. Madrid u de Diciembre del Gargollo, D. Antonio Canadell, D. Juan Bautista Llanos, Dode 18a a. Juan Francisco Espelosin, j D. Miguel García (Miz , calificaron por unanimidad con la fórmula de obsusito el artículo Pla…</t>
  </si>
  <si>
    <t>Luis, Carlos</t>
  </si>
  <si>
    <t>Carlos Luis</t>
  </si>
  <si>
    <t>…an una di 1.6509. Gastos de la cámara de la Serma. Sra. Dolía Luisa, su espo ferencia de 7699. Unidas ambas partidas arrojan la suma de 1.989,900. sa 6oo9. Consignación del Sermo. Sr. D. Carlos Luis, hijo de S. M. La gloria de esta rebaja no es toda de la comisión, pues el ministe la Reina de Lucís, 7]9. Total 45.111,000 rs. rio ha cooperado por su parte reduciéndola á 1.0489 rs.; mas como las . La comisión nada tiene que exponer sobre el importe de esta…</t>
  </si>
  <si>
    <t>…no cruzada política-religiosa contra ia Península española , y quiere que se pudo evitar. Dicho Observador se halla mas mal que nunca con lo» ponga á la cabeza de ella al Infante D. Carlos Luis, pnnc.pe de Lúea. griegos, porque dice que estos son encarnizados peiseguidor-s de lo» Las pa abras del Rey de Francia respecto de las disposiciones del corgriegos de la Iglesia latina ; é inspirado de espíritu proíét.co, añade que don sanitario, han sido tan…</t>
  </si>
  <si>
    <t>…tará , 7 i.6gc9.Gastos de la Cámara de la Serma. Sra. Doña Luisa, su esposa, parte del batallón de Africa, destacando guerrillas por la izquierda, que 600O.Consignación d i Sermo. Sr. D. Carlos Luis, hijo deS. M. la du persiguieron con algún fruto á los fugitivos. Logrando completamente quesa de Lúea, 723. Total 45.212&amp;. el objeto envié orden al gefe del estado mayor Saravia para que se reti J’resufueita de Cortee. rase la división á descansar á este pun…</t>
  </si>
  <si>
    <t>Luis, Carlos María</t>
  </si>
  <si>
    <t>Carlos María Luis</t>
  </si>
  <si>
    <t>…de Asia....... 45,833-11 3.5*2,029-26 Sermo. Infante D. Francisco de Paula........................... *37,500 . Serma. Infanta Doña Luisa Carlota.......... 50,000 ISermo. Infante D. Carlos María Luis.» , .•»••«»•• 6,000 (Giro nacional i*»*****a*******o»***»»*****aaaaa*«i &gt;——**— 3 .177,162-25 I Reintegro de libranzas anuladas por falta de pago. 337,680 Idem ae anticipación hecha por los directores de 500,000 la empresa del empréstito nacional........ 3.5 5…</t>
  </si>
  <si>
    <t>Luis, Josef</t>
  </si>
  <si>
    <t>Josef Luis</t>
  </si>
  <si>
    <t>…cion déla deuda de 1a aoirmisiraconD. Luis Godos, capitán de artillería , para que se concediese á su hijo de los atb.tr os señalados, encare rdo.e esta a un comisionado especial, D. Josef Luis el grado de cadete de esta arma por cuenta de la Na que deberá ser acreedor drí h-tado por una suma que no haje de dos ción , opinaba que deb a accrdt-rse á esta so icitud. Aprobado. millones, y no haya entendido en ia adm.mstracion r recaudación en La comisi…</t>
  </si>
  <si>
    <t>Luis, Jotef</t>
  </si>
  <si>
    <t>Jotef Luis</t>
  </si>
  <si>
    <t>…brado milagros. \ Lo que creación de Mayo, renovados con los correspondientes recibos de intepuede solo el variar una denominación! Hay periódico ultra casi con reses en cabeza de D. Jotef Luis de fiidaurreta, del comercio de la vertido ; ó i lo menos que después de haber estado excitando i las po expresada ciudad, cuyos números, cantidad», números de los recibos tencias extrangeras á intervenir en nuestro* negocios domésticos, al y su valor ton los…</t>
  </si>
  <si>
    <t>Luis, Juan</t>
  </si>
  <si>
    <t>Juan Luis</t>
  </si>
  <si>
    <t>…* co ; Fr. Ramón Chorroco, conventual del mismo; el presbítero Don de tus individuos, como de sus empleados y dependientes. Finando Aibisu , vicario de monjas del de S. Bartolomé; D. Juan Luis 10. Item de la cantidad repartida al obispado ó territorio de la ¡un» de Aguirrezabal, oficial de correos ; D. Manuel de Irazusla, factor de ta por razón del subsidio de go millones, y en partida t.parada de la provisiones; D. Sebastian Ignacio de Alzate, esc…</t>
  </si>
  <si>
    <t>Luisa</t>
  </si>
  <si>
    <t>…de Cepeda, en 30 de Diciembre de 1635—Otro Palencia. }• rs id. 14 id. 44 id. de io9 mra. sobre la renta de la alcabala de paja , lefia, fruta y made ra de Valladolid, en cabeza de Doña Luisa de La Aya, en Madrid á 31 de Julio de 1561__Otro de 4$o9 mrs., situado sobre la de segun Y estando sefialado para el segundo remate el d¡« 25 del corriente dos dos reales de plata en cada arroba de lana que se saca de estos mes de Junio i la hora de lat diez de la mafi…</t>
  </si>
  <si>
    <t>…su esposa, 6oo3. Consignación del Sermo. Sr. Infante D. Francisco de Zaragoza , las de emigrados italianos 7 voluntarios de Matará , 7 i.6gc9.Gastos de la Cámara de la Serma. Sra. Doña Luisa, su esposa, parte del batallón de Africa, destacando guerrillas por la izquierda, que 600O.Consignación d i Sermo. Sr. D. Carlos Luis, hijo deS. M. la du persiguieron con algún fruto á los fugitivos. Logrando completamente quesa de Lúea, 723. Total 45.212&amp;. e…</t>
  </si>
  <si>
    <t>Luisa, Mana</t>
  </si>
  <si>
    <t>Mana Luisa</t>
  </si>
  <si>
    <t>…comisión de Hacienda presentó su dictamen acerca de la repre Londres..................................................................... 37 -í sentación hecha por ia berma, ora. Doña Mana Luisa, Infanta de Espa Paris................................................................................ ló. 4. ña, y duquesa de Lúea, sobie que se la satisfaga la deuda á que es Cádiz.........._..................................................................…</t>
  </si>
  <si>
    <t>LuisOiiag</t>
  </si>
  <si>
    <t>…se en gran número, para acordar las Señores que declararon no haber lugar: D. Pedro Calvo, D. Sebas providencias que se estimen convenientes. Al mismo tiempo, y para tian liadles, D. LuisOiiag y D. Miguel Sanchis. dar á la recaudación de los impuestos el impulso debido , ha tenido ¿ Hab'éndose denunciado a! Sr. a&lt;caide constitucional de esta corta bien S. M. ademas mandar que se lleve á cabo con exactitud lo dis D. Rodrigo A randa por D. Pablo Infante en nombre del ay…</t>
  </si>
  <si>
    <t>Lumbreras, Joaquín</t>
  </si>
  <si>
    <t>Joaquín Lumbreras</t>
  </si>
  <si>
    <t>…l Pico y Menga , en la provincia de Avila. ugi, D. Francisco Barra, 1). Gonzalo Cárdenas , el marques de TorA la comisión de Guerra dos del Sr. Herrera Buslamente; la una reuueva, D. Joaquín Lumbreras , D. Francisco López Oiavarricta f sobre que no se concedan ascensos de brigadieres y oficiales generales, D. Valentín Recio. 4 excepción de los que sean de escala en los cuerpos iacultativos t y la Reunido ct jutaido se declaró por unanimidad o babee lugar &amp;…</t>
  </si>
  <si>
    <t>…ya todas sus municio. nandez Casariego, D. Antonio R ‘g*¿ , p. Miguel Polz, D. Josrf Ma n-s : de-piies de concluida esta acción, que duró mas de tres horas, lla ría de Larnategui, D. Joaquín Lumbreras. O. Juan Pablo Pascual, mó purticuU’m nte mi atención la nenes dad de recoger nuestros D. Pedro Alvaro y Delgado y D. Manuel Esteban Candi. heridos , y habiéndolo verificado dispuse r-gresar con ellos h este pun Habida la conferencia declararon por unanimidad…</t>
  </si>
  <si>
    <t>…ocedente de Francia que tea aprehen mismo casó que i sus compafietos coopositores en el aAo de 19; 7 pa dido en España por cualquier punto de las fronteras de Aragón y Na ra que á D. Joaquín Lumbreras se le considere como propietario en la varra será inmediatamente arrestado 7 tratado como sospechoso.” Apro la cátedra de disciplina eclesiástica que está desempeñando en los es bado. tudio* de San Isidro de esta corte. Art. 4° «Tampoco será admitido por el p…</t>
  </si>
  <si>
    <t>…rio, ss Angel de haavedra, diputado secretario. Reunido el jurado, compuesto de los Sr-s. D. Valentín de Nicolar, Por unto mandamos a todos los tribunales, justicias, gafes, gober D. Joaquín Lumbreras, D. Julián de Fuentes, D- Valentín Recio, nadores y demts autoridades, asi civiles como militares y eclesiásticas D. Jatn Antonio López, D. Matías Casero, D. Josef Casulla , Don de cualqu'.-n ciase y dignidad, que guarden y hagan guardar, cumpór Gregorio Mndi…</t>
  </si>
  <si>
    <t>…os Sres. jueces de con 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Mes de Setiembre de iSea. lificaron con ln fórmula de absuelto la carta contenida en el D…</t>
  </si>
  <si>
    <t>…M-ndivt!, D. Juan Cortes, D. Juan Isidoro Perez, Don traidor, y condenada a muerte. A vista de estas leyes solo resta, meditando mucho la referida cau Juan Paz, D. Valentín Recio, D. Joaquín Lumbreras y D. Francis sa, averiguar: primero, si el delito que se persigue y se ha juzgado co de Ja Carrera. ya, es directo y da hecho i trastornar, y lo demat que refiera el articu Habida la conferencia que previene la ley, declararon por unani lo 1.0: segundo, si está probada co…</t>
  </si>
  <si>
    <t>Lumirei</t>
  </si>
  <si>
    <t>…c»c , y &gt;;r.a e: tcn.es preci los gefes actuales, no hay motivo pata ocuparnos en si son dignos ó so conceó.-i’e» nuil era. a. 00 de esta distinc on los g&gt;-fcs de que se hab a. El Sr. Lumirei»': Ciro que el Sr Mtju bs J cb.o cuinto hji qua Se declaró hallarse este articulo suficicntsmsnte discutido, y que ds.ir sobre .a cu ,t un , pa»; o ,e tr.m &gt; o de coi » ere c. ¿ ...,m adó aprobado. to d»l pr mrr cuerpo de c..‘i. tu -a u&gt; o- de .* . ó.-:;j . .…</t>
  </si>
  <si>
    <t>Luna, Marcelino de</t>
  </si>
  <si>
    <t>Marcelino de Luna</t>
  </si>
  <si>
    <t>…acra con sus camara heridos. Mi pérdida consistió en un granadero extraviado, otro cu- lu das los que desde por la mañana habían permanecido en Castelló, 7 to , asi como el cadete D. Marcelino de Luna; no pudiendo menos de todos junto* efectuaron un movimiento de flanco sobre Fortiá, que in recomendar 4 V- para que lo haga 4 la superioridad , tanto i este dicaba su retirada ; mas observado por el coronel Fons, tomó con su co como 4 lo» de su misma clase D…</t>
  </si>
  <si>
    <t>LUNES</t>
  </si>
  <si>
    <t>Núm. 15*. (7 CUtTtOS.) 807 GACETA DE MADRI D. LUNES 27 DE MAYO DE i8aa. *-Q NOTICIAS DE ESPAÑA. pues de haberla cumplido. Este principio et tan fundadamente social, quesin él ao podría subsistir ninguna Torosa de Gobierne. Sevilla ir de Mayo. Entre los errore» político* no es el menor el despreciar 4 su rinl,…</t>
  </si>
  <si>
    <t>Wúm. 338. (7 cuartos.) 165,3 GACETA DE M A D R i D. LUNES 18 DE NOVIEMBRE DE 18a». NOTICIAS BXT&amp;ANGBRAS. NOTICIAS DE ESPAÑA. rOtTWAL 2.tragaz* 13 dt -V.r.rr-.írr. Rio-Jantiro /o de Agosto. Nuestros periódicos publican lo que sirue Manifiesto del Príncipe del Brasil, dirigido a todos los Gobiernos y •* Hablantes de l…</t>
  </si>
  <si>
    <t>Núm. fs*. &lt;7 ) *771 GACETA DE M A D R 1 D. LUNES a DE DICIEMBRE D&amp; *«*a. NOTICIAS IXTU&amp;NGIllAi go al 14 i m’dia noche. Por cl'a sabemos que las divisiones se prepa raban i continuar sus mov mi-rotos al día' siguiente, dejando cr. Ti. rop ALSUAKIA. otia co’umna de 6 so horn o s al mando dtfl n-jero comandant…</t>
  </si>
  <si>
    <t>LUnos, Antonio de</t>
  </si>
  <si>
    <t>Antonio de LUnos</t>
  </si>
  <si>
    <t>…que la hizo el juguete Orense administrador D. Josef Prieto , contador de estancadas de y el pingüe patrimonio de lo* estrangeros. ¡Insensatos! Entronizada Valladoiid. Interventor D. Antonio de LUnos, escribano cesa-te de y desenfrenada la tiranía, ¡qué familia española dejaría de padecer y rentas de Gljon. perderse en acciones y reacciones, y en la voracidad de tantos malva Vigo admoistndor D. Josef García Fernandez , adm'n'sf radar del dos , que si pudi…</t>
  </si>
  <si>
    <t>Luque</t>
  </si>
  <si>
    <t>…votos, t nirn !o 5 ei Sr. scptien , 4 el Sr. Valdés (O. D.onisio), 3 los lados á cada miliciano se les concediese el prest de soldado y aloja Sres. Ruiz de la V ga y Fa cón , a el Sr. Luque, y uno lo* Sres. More miento correspondiente, cargándose este gasto al fondo del imprevisto no Gom z (D. Manu..), Piat, Lapuerta, Marchámalo , Alava , A¡- general. Aprobado. llon , Saavedra, B.Certa , Sedeño y Grases: total 114. Se leyó la siguiente proposici…</t>
  </si>
  <si>
    <t>Luque, Juan</t>
  </si>
  <si>
    <t>Juan Luque</t>
  </si>
  <si>
    <t>…onstitucionaI de Cádiz. conde de Torre del Fresno , D. Celestino Olozaga , D. Bernardo Por acuerdo del Excmo. ayuntamiento incluyo á V. S. copia del Asenjo, D. Juan Pablo Pascual, D. Juan Luque y D. Julián de oficio que le pasó el Sr. gefe superior político en t$ del que acaba, Fuentes. y de la contestación que se le da con esta fecha, y la alocución que Habida la conferencia resultó por unsnimidad haber lugar á la for dirige esta corporación i la milicia nacio…</t>
  </si>
  <si>
    <t>Luque, Nicolás Cano de</t>
  </si>
  <si>
    <t>Nicolás Cano de Luque</t>
  </si>
  <si>
    <t>…dor. 11499..... 1000................... .. En Madrid. Habiéndose denunciado ti Sr. alcalde constitucional D. Rodrigo 8898..... 1000.......................... En Madrid. Aranda por D. Nicolás Cano de Luque, i nombre p con poder de va pi8i.... 1000.......................... En Rein. rios ciudadanos, un articulo inserto en el Imparcial, núm. 115, que *653-... 1000.......................... En Cádiz. principia Coraría 3 de Abril. Ha llenado, p termina corar que nc…</t>
  </si>
  <si>
    <t>…itas y encarceladas, cuyo solo ctimen es Calvo de Rozas, D. S’mon González Yuste, D. Eranc seo Martí zto c: ; f rmarse con la c.pínion momjntin.nmcnte triunfante, y ea nez Marina, D. Nicolás Cano de Luque, O. Josef Castcl, L&gt;. Antonio una palabra reponer en la clase de estado civilizado y floreciente esa R: gas y L&gt;. Juan Fernandez Casariego. naci-n generosa, que desde los muros de Céd:z resistió tan gloriosa Habida la conferencia , declararon &gt;10 haber hipar…</t>
  </si>
  <si>
    <t>Luque, Pedro López de</t>
  </si>
  <si>
    <t>Pedro López de Luque</t>
  </si>
  <si>
    <t>…ninguno en palacio , luego no hay duda que Granada. D. Francisco de Paula Soria , D. Pedro Alvarez Gutiér puedo ser d putado de Corles. La misma lista de que ha hecho mérito rez, D. Pedro López de Luque y D. Antonio Segura. La comisión el Sr. preopinante me servirá para demostrar lo contrario que ha creído después de haber examinado lo* poderes de estos Sres. opinaba que de S. S. Fstas listas se reparten por el sumiller de Corps; y la de este año bían aprobarse. dice: Lista d;…</t>
  </si>
  <si>
    <t>Lur.nzn</t>
  </si>
  <si>
    <t>…ria de Guada 'aura la milicia vo untaría de esta ciudad, D. Justo Kavax , comandante de de ambas armas, inacopad» oc gozo, y cntusic-nada por vu »tro vaicr, uno de sus botal ones, D. Lur.nzn .pañol , abogado y cal.-úratico de t» tr bula su aúmirac or. y so r.-onoc.ot.e’. t •. Vue-tro noh'r » s; mConstitución, tr idor.s tos tres drl a» unlarisi.nlo constitucninal d; ia jire von-rab e ipmp o n.lt.nii ti e ■- »mo tn nu stros p.eho», v ; .s propia ci…</t>
  </si>
  <si>
    <t>Lushington</t>
  </si>
  <si>
    <t>…cer el Sr. Borges Carneiro á los El marques de Londonderry manifestó no tenia noticia alguna de brasileños, porque nunca pierde ocasión de vilipendiarlos, llamándo —fc—Ko i peo el doctor Lushington no solo le d&gt;jo cuál era el nom los ingratos y perjuros. Después fue recorriendo y rebatiendo su discur bre del barco, tino que también ofreció franquearle copia del auto so, y concluyó apoyando el dictamen de la comisión. condenando á dicho buque. Otros vari…</t>
  </si>
  <si>
    <t>Lusuriap, Ignacio Ruis</t>
  </si>
  <si>
    <t>Ignacio Ruis Lusuriap</t>
  </si>
  <si>
    <t>…edente del suprimido conven S. Fernando: i D. Juan López Pefislver, académico honorario de le to de S. Agustín de la misma, cuya subasta te anunció en la gaceta «le S. Fernando; á D. Ignacio Ruis Lusuriap, secretario de le acade del día 19 de Setiembre último bajo la relación núm. 31/, con U ca mia Médica; á D. Domingo García Fernandez, químico; á D. Anto bida de 8 fanegas, varios árboles frutales y una casa en mal estada, nio Gutiérrez, profesor de fiaica en…</t>
  </si>
  <si>
    <t>Luthington</t>
  </si>
  <si>
    <t>…gar im deu dijo tiempo hí que continuarían en tut poticioueti y nada te sabe de da* de le difunta reine. ai existen, ti te retiran, ti toman nuevos acantonamientos , ó se repar El doctor Luthington trató de probar qro les rtnridedre concedida* tirá n en diferentes provincias. De la guardia imperial se ba dicho que á la Aeiu para ras gasto* y pare mantener el rtf4rxitnr de su casa ha ha vuelto 4 la capital. De Vanovia avisan que el gran duque Cons bían s…</t>
  </si>
  <si>
    <t>Lutzovr</t>
  </si>
  <si>
    <t>…s teatro de los desórdenes mas horrorosos. Se ra se fiaI para vengar de un modo terrible la suerte de sus infelices her gún se afirma por cartas auténticas , lord Stratigford y el conde Lutzovr, manos de religión, que tan oprimidos se hallan; pero la vista perspi internuncio de Austria, hablaron al reis-efifsndi para determinarle á caz del Emperador ve con anticipación la carnicería horrorosa que aceptar el ultimátum de la Rusia. En seguida fueron a…</t>
  </si>
  <si>
    <t>Lutzow</t>
  </si>
  <si>
    <t>…que pasa guerra entre la Rusia y la Puerta nuestra corte observar! la mas ri ban en aquel momento. Costó lo que no es decible el tranquilizarlos; gorosa neutralidad. Díccse que el conde Lutzow ha recibido orden de fueron arrestado* algunos, y hubo muertos y heridos. dar nuevos pasos para que te conserve la paz. Desde el 15 del cozriente en que llegó el correo ordinario de Cons- TXAMCI A. tantinopia coa noticias detalladas de la legación austríaca e…</t>
  </si>
  <si>
    <t>Lutzow, Rodulfo de</t>
  </si>
  <si>
    <t>Rodulfo de Lutzow</t>
  </si>
  <si>
    <t>…ue ja segunda parte oes d.ctsnur. ue El Emperador ha admitido al fin la súplica , tantas veces reiterada, la cems.on era puramente política, por lo que se reservaba el • ¡a ar del conde Rodulfo de Lutzow, su internuncio en Constantinopla , de de elia; p ro luz s a.gun.i. reflexión, 3 sobre este asunto re»pjcu de i orque en consideración é su quebrantada salud !e exnn.re de acuella em tugal y España, y c^ncluvó diciendo: » tsta antigua am. a t.u.siM, bajada, q…</t>
  </si>
  <si>
    <t>Luzcnaga, Andrés de Moya</t>
  </si>
  <si>
    <t>Andrés de Moya Luzcnaga</t>
  </si>
  <si>
    <t>…a suspensión de derechos ci Se mandó pasar á las comisiones de Hacienda y División territorial viles, ó á la privación ó suspensión de Ciras funciones públicas.” una exposición de D. Andrés de Moya Luzcnaga . director del fomen Aprobado. to general del reino , sobre la permanencia de este departamento , acom Art. 146. « Pero en cuanto á las penas corporales ó infamatorias, ó pañada del reglamento del mismo. Habiéndose preguntado, á petición á cualesquiera otras…</t>
  </si>
  <si>
    <t>Luzunaga, Andrés de Moja y</t>
  </si>
  <si>
    <t>Andrés de Moja y Luzunaga</t>
  </si>
  <si>
    <t>…mpo de darles sepuaura se colocan sus ca En la M. H. villa y corte de Madrid , reunidos ios ¡utfc -sde h.-.boñaveres en dos ca|as, tina de madera, forrada de terciopelo carmesí, y D. Andrés de Moja y Luzunaga, D. Asiles.o htpi &gt; D. Mac .si U olía de plomo.</t>
  </si>
  <si>
    <t>Luzunaga, Andrés Moya</t>
  </si>
  <si>
    <t>Andrés Moya Luzunaga</t>
  </si>
  <si>
    <t>…y en la* universidades. guientes : El Sr. presidente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anteriormente para que las autoridades políticas D. Francisco Travesedo. bajo su…</t>
  </si>
  <si>
    <t>Luzuriaga, Andrés Moya y</t>
  </si>
  <si>
    <t>Andrés Moya y Luzuriaga</t>
  </si>
  <si>
    <t>…e la regencia de Urgel.” Otroa periodista» dicen que se retiran al mingo Fernandez Angulo, D. Josof Luis de Aniandi, D. Joaquín de interior varios regimientos. la Vega y Quintana, D. Andrés Moya y Luzuriaga, D. Valentín de Austria. Muchas eran las conjeturas que se hacían en Viena sobre Nicolás, D. Pedro de Matute y D. Juan Manuel de Arejula. los puntos que han de discutirse en el Congreso, objeto que llama la Habida la conferencia resultó por unanimidad no habe…</t>
  </si>
  <si>
    <t>Luzuriaga, Ignacio María Ruiz de</t>
  </si>
  <si>
    <t>Ignacio María Ruiz de Luzuriaga</t>
  </si>
  <si>
    <t>…ríe ia gran familia española. En el di» 22 de Abril ¿Jtimo falleció en esta capital i los 58 alias •• U na porción de hombres con las armas en la mano se han decla de edad el br. D. Ignacio María Ruiz de Luzuriaga, natural de Villarado enemigos de la Constitución que la Nación proclamó simultánea ró, provincia de Vizcaya, doctor en medicina por la universidad da mente en el año de 1810, y que el Rey mismo aprobó y roboró con Edimburgo; individuo de las sociedades Reale…</t>
  </si>
  <si>
    <t>LX.í</t>
  </si>
  <si>
    <t>…yuntamiento y el cura de Sama ús, .pór.i*¿*e* igual número de hombres y caballos de los mas ágiles de mi columna, contra ve nido ambos i los arts. 3.'’ y j.-! del bando dei bremo. Sr. LX.í: al mando del coronel comandante de guardias españolas, haga una rá Francisco jispoz y Mina, fechado v:n sw; cvsarul g.^.t U dcl.qíia.fu»</t>
  </si>
  <si>
    <t>Lxmadrid, Miguel García de</t>
  </si>
  <si>
    <t>Miguel García de Lxmadrid</t>
  </si>
  <si>
    <t>…de Gijon en la dría privar de *a mérito i alguno por un olvido involuntario, el pz- provincia de Oviedo; triotítrno, la adhesión 4.1a Constitución y al «lo é ínteres por la El Dr. D. Miguel García de Lxmadrid, catedrático que fue de cauta pública se ha manifestado en todos los punto» de la provincia Constitución en los estudios de S. Isidro, presentó unos apuntes ó anafue tengo el honor de mandar de un modo tan enérgico, que no puedo litis de la Constitución. Las…</t>
  </si>
  <si>
    <t>LXoms.o</t>
  </si>
  <si>
    <t>…ta ahota ao elecciones, especialmente en lo» p u - b - os p quei.os ; a lo cual cont-»tajo I'I rrsu tarlo una d.p ti entre os dos pam-tos; qur U empresa de ron los Orea. Va i de» (D. LXoms.o), Loiar.-s y Becerra que c' moti una guerra civi , autiqu* fun-sta y ao a-ora para «l país m sino , no vo por que la comisión, había preferido fuese cata eiecc'oo públka i era destruiría a otra Nación ; que aunque tota» as potencias »* .nleresasen porque no h…</t>
  </si>
  <si>
    <t>M, Ana María Iracia de</t>
  </si>
  <si>
    <t>Ana María Iracia de M</t>
  </si>
  <si>
    <t>…uas al sur de Camarera mayor de S. M. la Emperatriz coDd-sa de S. Pedro del Ala Santa Fe) había sab do que el y de Abril hubo una acción, en que pe mo. Dama primera y guarda mayor Doña Ana María Iracia de M.er. recí; ron el g.-neral Mourgeon y sus mejoies trocas, peto que no envia Damas, Doña Ana Ozta de Cervantes , marquesa de Salvatierra, Doña ba el detalle por no haberle rec.b.do. Teresa Medina de Sotariba, marquesa de Cadena, id a de Vivanco , Luego se conoci…</t>
  </si>
  <si>
    <t>M, Antonio</t>
  </si>
  <si>
    <t>Antonio M</t>
  </si>
  <si>
    <t>…la conceda una pensión. Gros, capitán retirado; D. josef Rubio Sisón , individuo de la junta Las Cortes oyeron con agrado la manifestación que hacia de sus sen municipal de Fraga; D. Antonio M ilán de Fabara, D. Manuel Cor timientos patrióticos el Sr. D. Miguel López Baños. tés , D. Juan J.ssef Perez, D. Pedro Antonio Barena, gefe militar del A la comisión de Marina se pasó una consulta del Gobierno acer cordon; I). Josef S. Juan , I?. Amonio boro,…</t>
  </si>
  <si>
    <t>M, Argue S.</t>
  </si>
  <si>
    <t>Argue S. M</t>
  </si>
  <si>
    <t>…e haber hablado en contra del dictamen el Sr. secre leer la minuta del código penal que se h* de remitir a la sanción de tario del Despacho de Hacienda en la sesión de ayer , y el Sr. Argue S. M ; COn lo cutí levantó la sesión púbaca a Us do» y cuarto para lles ca la de hoy , y por lo uusmo que las Cortes no debían interrumpir continuar Us Cortas en aecteta. la discusión. DIKBCCtOtt GBWEBAl DB LOTEtTAS NACIOTfALES. Fi Sr. presidente dijo que las Cort…</t>
  </si>
  <si>
    <t>M, D Agustín</t>
  </si>
  <si>
    <t>D Agustín M</t>
  </si>
  <si>
    <t>…ranchos, habi-ndo ayudado mucho á esta op.encion !a m ¡icia volun y como no desconozco la urgencia de lo que V. E. se sirve preve: irme taria de San Pedor, al mando de su vabevr; teniente D Agustín M«» en su oficio de ayer, apuro vi sufrimiento y valor de esta tropa , y ma sana , que flanqueé la columna por tu izquirrda sobre !a ac-.qu a. ñana salgo para Cardona con las seis compañías de Canarias y una de n A piso que por la izquierda se tom.btn estas alt…</t>
  </si>
  <si>
    <t>M, Doia.oto</t>
  </si>
  <si>
    <t>Doia.oto M</t>
  </si>
  <si>
    <t>…las observaciones de dicho tribunal sobre el proyecto del codigo de pro Mariano (.'astillo, D. Fiincisco R-onoa r luengo. 1&gt;. &gt;.¡ 13-0 cedimiento» crttu.nales. D- Anton.o Co.omar, D. Doia.oto M;».cu:r, D ii.c..co</t>
  </si>
  <si>
    <t>M, E.</t>
  </si>
  <si>
    <t>E. M</t>
  </si>
  <si>
    <t>…lcanzarse, ni saberse si lo fueron llo, v se extravió en el campo de batalla. Maeila 26 de Agosto de soldados ó paisanos del país. Dios guarde á V. E. mucho* afios. Bem1822.=E1 G- D. E. M.=Miguel Gal van. bibre 14 de Agosto de iSnsBl coronel primer comandante Joaef Proclama. »¡ Viva la Constitución! Soldado* de todos los cuer Feijoo.=Sr. comandante general del tercer distrito militar.” pos: habéis dado en la ¡ornada de ayer un día de gloria á l…</t>
  </si>
  <si>
    <t>M, Fernando</t>
  </si>
  <si>
    <t>Fernando M</t>
  </si>
  <si>
    <t>…avedises, situado sobre salinas de Galicia en cabeza de D. Francis vil , se han segu.do autos por apelación entre Pedro Moreno, vecino co Gallo.—Otro de 139,137 mrs , en cabera de D. Fernando M lian dé la villa de Su. María de los L anos, y los estrados del tribunal, za , situado sobre diezmos de la mar. I.a periona que supiese de su pa por a no comparecencia de D. Mariano Vázquez , cura párroco de la rlero tendrá la bondad de avisarlo en casa de di…</t>
  </si>
  <si>
    <t>M, Frailan</t>
  </si>
  <si>
    <t>Frailan M</t>
  </si>
  <si>
    <t>…e correspondido por et pronto de la misma neral Empecina Ja.s¡P\»t» mayor. manera, ha sido después sofocado por una brillante carga de la infan El espitan de caballería de Aimansa D. Frailan M ijon, que en el tería á la bayoneta y de la bizarra caballería de Villaviclosa, que con dia de ayer 4a1 ó con una columna en dirección á la sierra de Alcu- sable en mano ha penetrado por un terreno dificil, cubierto de un es bierre, desde Lanaja, dice ai Sr.…</t>
  </si>
  <si>
    <t>M, Francisco</t>
  </si>
  <si>
    <t>Francisco M</t>
  </si>
  <si>
    <t>…epto de subversiva y sediciosa, la pri El Gobierno ha r.'c¡l»*/,o los partes siguientes: mera representación hecha i S. M. por el duque del Infantado, impresa El marisca' de cam-s D. Francisco M.lans desde Pineda en 15 del en esta corte. actual me dice lo siguiente: En su vista te reunió el jurado, compuesto de los Sres. siguientes: » Exento. Sr.: Con ia satisfacción que me permite el dolor de ver D. Manuel González del Campo; D Marías Casero; D. Anto…</t>
  </si>
  <si>
    <t>…za. El Sr. d.putadc que ha usado rio de la Diputación permanente, en que venia el expediente promo de la palabra ha manifestado tos deseo* de activir el reemplazo de esta vido por D. Francisco M a ganóos, y los poderes otorgados i dicho se- milicia, y en esto debo decirle que en la m-yor psrt* de las provincia* fior por la provincia de Montevideo y banda oriental dei Rio de la Pia •atan y*cumplidcs sus deseos, s&lt; no en su tora 1dad, a !o m¿nos en la…</t>
  </si>
  <si>
    <t>M, I-'rancisco Calillo</t>
  </si>
  <si>
    <t>I-'rancisco Calillo M</t>
  </si>
  <si>
    <t>…asegurando el ras , se;un ia i.y de 9 de Octubte de 181 a, á D. Vicente Alonso Anreposo de los bu no». Extremadura, Sevilla, Cádiz, Aiagcn, provin drad -, D. ant ato de los Rio» y D. I-'rancisco Calillo M randa para cias Vascongadas, Corulla &amp;c. kan sabido ya parte de los sucesos de l.s n a. i lraiu-as, y ú D. Juan N primic-no Fcrnand.z S- Aligue! y la capí»'; pero hasta el momento en que esto escrib mas igni ramos é D. Joseí Rodri, u z Busto pira las fiscal?»…</t>
  </si>
  <si>
    <t>M, J. M. P.</t>
  </si>
  <si>
    <t>J. M. P. M</t>
  </si>
  <si>
    <t>…nto se adquirirán los principios necesarios ARTICULO DE OFICIO. para entender la Constitución política: obra puesta en fif* bravea y «encías con un manifiesto á los espallóles por D. J. M. P. M. para El Sr. secretario del Despacho de Marina, con fecha «le ayer, dice ilustración de la juventud espafiohs de uno y otro sexo, y de toda das*desde el R*al sitio de Aranjuez lr&gt; que sigue: de personas , que aunque ancianas por su edad, daban considerarse jó…</t>
  </si>
  <si>
    <t>M, Jiuzrgui</t>
  </si>
  <si>
    <t>Jiuzrgui M</t>
  </si>
  <si>
    <t>…a* que los persiguen te conducen con las virtudes milita misma secretaría» res propias de hombres libres, y la milicia nacional local de esta ciu La columna de nuestro infatigable coronel Jiuzrgui M ha aumen dad se ha comportado con un denuedo, valor y entusiasmo dignos de tado en estos últimos dias con mas de 70 voluntarios guipuacoanoe ella misma , y de soldados que pelean por le libertad de tu país contra de los que ae han prestado al llamamiento de l…</t>
  </si>
  <si>
    <t>M, Joaquín</t>
  </si>
  <si>
    <t>Joaquín M</t>
  </si>
  <si>
    <t>…la de Ch.n-hilia .• D Ma Cotíes en secreta. nuel González Allende: para la de Cuenca á D Cao runo le.:.: indo, ARTICULO DE OFICIO. que lo e&gt; de la misma : para la deGuadaia; ira a D. Joaquín M n: -s 'ro, que lo es de la misma; L's cuales se trasladaran u ,us resp etivo' d.st,El Sr. secretario del Despacho de Marina, con fecha de ayer , dica IHJS si no se hallasen en ellos en el preciso termino que se le, biara tu desde el Real sitio de Aranjuez lo…</t>
  </si>
  <si>
    <t>Gaceta de Madrid n.º 208 (extraordinaria)</t>
  </si>
  <si>
    <t>…DE OFICIO. El comandante de la división del bajo Aragón, refiriéndose i visto, que podrí ser muy bien hayan tenido mas. Lo que part'c'po i parte del de la coiunina expedicionaria D. Joaquín M randa, cap tan V. para su inteligencia y gobierno. Do. guarde a V. mj.hos de' regimiento de Extremadura, me dirige con la debida satisfacción y afi os. Beceite 12 de Ju'io de 1822 á las seis de la mafiana.=Fr»n. seo elogio el sigui-nte de D. Francisco Pifie!r…</t>
  </si>
  <si>
    <t>M, Josef</t>
  </si>
  <si>
    <t>Josef M</t>
  </si>
  <si>
    <t>…le poseía en *1 nué’ González Santos , D. Mauricio González , D. Juan Gerena, Don año de 1693 U. Baltasar H nriqu-z de Cabrera, y que el de marque* Jct'f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t>
  </si>
  <si>
    <t>M, Josef María Caldas y</t>
  </si>
  <si>
    <t>Josef María Caldas y M</t>
  </si>
  <si>
    <t>…ozar de los menciona Pedro J &gt;s.f Avella, vicario general y gobernador de la diócesis de Bar dos sueldos. Palacio 33 de Juiio de i8za. celona. En su consecuencia la ley absolvió i D. Josef María Caldas y M ¡un responsable de dicho impreso, habiéndesele alzado la caución, Fl Rey, á propuesta d-I cons jo de Estado, se ha servido nombrar y d chrado que dicho procedimiento no debía perjudicarle en su butna para ja ces i. Irados de partido enasta forma : para ,1 de…</t>
  </si>
  <si>
    <t>M, Juan</t>
  </si>
  <si>
    <t>Juan M</t>
  </si>
  <si>
    <t>…so , que lo ;* por ia p-ov ncia de Extrema Huí , D. Ct tón mo ViI’jiti'' , D J , f Rano n Mi o, D. Manuel dura , a D. Mar ano Momo, por :a de Cuenca . i D. Martin Serrano, Agreda, D. Juan M chau. , D J -,-f Ani 10 i az- , ID J&gt;»s*f María por la de Valencia, y a D. Pedro Juan de Zuiueta , que io es por la Icaza, I&gt;. Juan Baut sta Lob 1 , D. Ant n &lt;-G uai" , D. M gu-l Or de Cádiz. la , D. Josef Mana Ztrd-n la, t n-ni c rom D. G br 1 Manu I de hurb…</t>
  </si>
  <si>
    <t>M, Marcos</t>
  </si>
  <si>
    <t>Marcos M</t>
  </si>
  <si>
    <t>…sin coa puesto de lo» señóte» siguientes. D. Manuel Estiban Catai, D. Ra tas , declarándose que la formación de esta causa no debe perjudicar fila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 Tomas Marta…</t>
  </si>
  <si>
    <t>M, Matías</t>
  </si>
  <si>
    <t>Matías M</t>
  </si>
  <si>
    <t>…tamiento de Mon Se puso á discusión el dictamen de la comisioo de Casos de respon te Agudo, provincia de Murcia, opinando se autorizase á aquella di sabilidad en la queja dada por D. Matías M lendez sobre it&gt;fracc &lt;&gt;nea putación provincial para que resolviese acerca de ello lo que estimase que suponía com tidas por ia saia tercc.a dei tribunal supremo de Jus mas conveniente. Aprobado. ticia, d clarando no haber tuzar al recurso de nulidad que dich…</t>
  </si>
  <si>
    <t>…rt - tan sana* y r etns pr.ncip:os._ A V. S. sup-icin se sirva ¿ «po razona haberse metido de montón á tiro corto de metralla por todo el ner que inm d atam nt; se forme sumario j D. Matías M».anvt , co a.tededor de st; c.sti lo; pero cr o que se h.bián bien escaim-niado, mandante díi expresado batal 01, para que si es cu'paio sufra a ocr.a y que ia I -cclon qu - se les ha dado servirá para m ad Unte no volver d • que 5 ’cu.i ¡as I y » fue»; co -d…</t>
  </si>
  <si>
    <t>M, Miguel</t>
  </si>
  <si>
    <t>Miguel M</t>
  </si>
  <si>
    <t>…stencia , asesinaron algunos paisanos :ndífensos, saquearon una la corta lurrza de seis hombres que tenia el primero, la dió el quién multitud de casas, y redujeron4cenizas las de D. Miguel M is de Xe- vive, y la mando h.icrr alto : los enemigos intimidados, que creyeron .xas y de D. Esteban Estorch, regidores, y las que ocupaban D. Ra seraneado» por un número considerable, retrocedieron en desorden, món Maciá y Bagó y D. Gerónimo Avellana, habien…</t>
  </si>
  <si>
    <t>M, Oli- S.</t>
  </si>
  <si>
    <t>Oli- S. M</t>
  </si>
  <si>
    <t>…ciales forme á la comisión Eclesiástica. Aprobado. que influían en las desgracias de aquel pais; y propuso se entrevase í La misma comisión , informando sobre varia* adicione* del Sr. Oli- S. M. una exposición de la Cámara, indicando ei deseo de que el Go vei al presupuesto de gasto* del ministerio de ia Gobernación de la bierno de S. M. presentara cuanto antes una propuesta fundada sobre Península, era de parecer en cuanto á la primera, relativa á q…</t>
  </si>
  <si>
    <t>M, Pedro</t>
  </si>
  <si>
    <t>Pedro M</t>
  </si>
  <si>
    <t>…os se *o,tm sn yr slstian el fuego, cubiertos por lo* olivares, Madrid Sábado 14 ir Dttitmbrr. mermas que una fuerte columna &gt;e oír g a a cnvoiver nuestra .zquierda; el acreditado brigadier D. Pedro M.od z «G V. o e n el In-ait- S. V. el R -r r St 4 V "guío sin novedad en tn impertíate D Antonio, un «rozo de Ov.edo, &lt;«* rum. u. de G-ron, y parte dd •alud. S. M. 1» K=ma está aliviada. la c bailaría de ViUaviciosa, se adelanto a contenerlos; este ataque lu« C…</t>
  </si>
  <si>
    <t>M, Pedro Manuel</t>
  </si>
  <si>
    <t>Pedro Manuel M</t>
  </si>
  <si>
    <t>…da 18 a a. sEI interventor Manuel López Hernández. Por dimisión de D. Mariano Domingo ha quedado vacante la ¡udicitura de primera instancia del partido de Carpe. Se admiten m&lt;n ci Don Pedro Manuel M«rt inez, condecorado con la estrella del riales con sus respectivos extractos di méritos por térm no de 50 d g&gt;. Norte , comisario ordenador de los egérc to» nacionales , y grfe de la Hacienda militar del pr m. r distrito. El almirante del departamento de Car…</t>
  </si>
  <si>
    <t>M, Resolución de S.</t>
  </si>
  <si>
    <t>Resolución de S. M</t>
  </si>
  <si>
    <t>…to San Decreto de las Cortes sobre reducir los baldíos á propiedad particu Miguel. (Gaceta del 7 ) lar. (Gaceta del 8.") Decreto de S. M. nombrando ministro de Gracia p Justicie á Don Resolución de S. M. aprobando la compafiía de zapadores de mili Felipe Benicio Navarro. (Gaceta del 7.) cias establecida en Granada &amp;c. ( Gaceta del 20.) Decreto de S. M. nombrando ministro de la Gobernación de Ul Circular del ministerio sobre el modo de publicar la lepe*. ( Ga…</t>
  </si>
  <si>
    <t>M, S.</t>
  </si>
  <si>
    <t>S. M</t>
  </si>
  <si>
    <t>…parte de haberla pesado.iospecciunará la limpieza, aseo y buen estado de toda* las prendas Madrid Junes 10 de Octubre. de vestuario, armamento y correage, haciendo responsable al sargento S. M. el Rey y SS. A A. continúes sin novedad en n importante de las faltas que sean efecto del descuido de este , y de que no le haya Miad. S. M. U Reine continúa aliviada. dado parte. Art. B.° » Vigilará que la cuadra esté barrida y en el mayor cata CORTES EXTRAO…</t>
  </si>
  <si>
    <t>M, San</t>
  </si>
  <si>
    <t>San M</t>
  </si>
  <si>
    <t>…fie vende en la, lit/r.rus de Ortega, dan/ , .Matute, Josef Antonio Pjya.lc , D. Doitl-ng» oarachaga y D. Antonio O.azarra, declararon por ocho votos contra uno, que lo fue ei de D. San M.yar y Laguna. EN LA IMPRENTA NACIONAL.</t>
  </si>
  <si>
    <t>M, Santiago</t>
  </si>
  <si>
    <t>Santiago M</t>
  </si>
  <si>
    <t>…rdinario para 1811 fttan fijados Decima clase. Mu.Ua de violin, i cargo de D. Manuel Ocon. Item en 34.875,051 florines, ademas de un crédito de un millón para gas de Jlauta, al de D. Santiago M.-ndizabai. Premio á D. Pedro Aita. tos imprevistos. Accésit ; D. Jacinta Madrid. El tribunal de Arel tñonts ha sentenciado hoy la causa que se yió Undécima ciase. Baile, á cargo de D. Juan González. Premio á el viernrs y el sébado último, declarando que un fru…</t>
  </si>
  <si>
    <t>M, Sebastian</t>
  </si>
  <si>
    <t>Sebastian M</t>
  </si>
  <si>
    <t>…á loa dereto* tición que habia hecho, relativa á ana pensión que disfruta. Aprobado. que rigen en la materia le dé el curso correspondiente. Aprobado. La misma en la solicitud de D. Sebastian M reda de Salcedo, era La comisión de Diputaciones provinciales en vista de la exposición de dictamen que te remitiese al Gobietao para la determinación con del ayuntamiento de Santander, relativa i c ertis contestación.s qu; tie veniente. Aprobado. ne coa lamc…</t>
  </si>
  <si>
    <t>M-.riu</t>
  </si>
  <si>
    <t>la columna del mando del coronel M-.riu , y qua ya hacia 7a hora* mentará su número, reduciendo su cabida, con ul que fi lo menea sea* que citaba sitiada por la división del infama Komagosa. suficientes para aur.iai: dos p'nonas. Art. 3.9 £&gt; v&lt;didat en estos tér n El valor inaudito de estos benemér…</t>
  </si>
  <si>
    <t>M-deira</t>
  </si>
  <si>
    <t>…;» que tengo el honor de m 1.-d ícont ’ntos por no poder alimentarse mas que de carne salada. mandar , pues que r. 1 pudieron emplear suac . ilta’o zelo , denuedo y Ei ,'ob'rnador Sr. M-deira cons avaha en aquel castillo cantidades con valor , por no haber esperado ios c.bardes ei ataque que deb an sufrir sideráis! es que pensaba cr.vi r a P0rtug.1t en la primera ocasión, y es el dua después de hibrr introducido -I convoy-, teniendo el sentimi-rpe…</t>
  </si>
  <si>
    <t>M-lendez</t>
  </si>
  <si>
    <t>…an s de los enemigos Se mandó pasar á la comisión de Visita dei e,retino público ía si del sistema constitucional. Yo no puedo rv;i»o» de pedir como una me guiente proposición del Sr. M-lendez: .. Pido se pregunte al Gobierno dida precisa de que esta milicia sea desarmada , sin perjuicio de qu: se en qué estado se halla la visita que decretaron las Cortesa las usinas de llame al Gobierno á informarnos sobre aquellos acontecimientos. Debo Almadén en…</t>
  </si>
  <si>
    <t>M-lendz</t>
  </si>
  <si>
    <t>…itud de un pirroco hacia uno de sus feligreses, por ponsable á pagar la partr del subsid.o que le tocare.” beneficios que le deba, lu pone en el caso de que no cumpla con su de El Sr. M-lendz manifestó no había necesidad de que se añadiese ber. Asi pues creo que son de ningún valor las raz unes que ha manifesta esta cláusula al artículo de que se trataba, pus&gt; que en los demas artí do el Sr. Buey para que las Cortes desaprueben el artí.ulo que se…</t>
  </si>
  <si>
    <t>M-ndivt, Gregorio</t>
  </si>
  <si>
    <t>Gregorio M-ndivt</t>
  </si>
  <si>
    <t>…su vista se reunió el jurado compuesto se radiquen en otras corporaciones 4 individuos , será perseguida como de los señores siguientes; el marques de Cusino, D. Ignacio Pajares, D. Gregorio M-ndivt!, D. Juan Cortes, D. Juan Isidoro Perez, Don traidor, y condenada a muerte. A vista de estas leyes solo resta, meditando mucho la referida cau Juan Paz, D. Valentín Recio, D. Joaquín Lumbreras y D. Francis sa, averiguar: primero, si el delito que se persigue…</t>
  </si>
  <si>
    <t>M-rt.-ez</t>
  </si>
  <si>
    <t>…e extrañar del reino ácc. Éste art.cuio no hace justicia; pero si se da esta facultad, de que trata el art.330 det código, mas que declarar lo que hoy se está haciendo; pero si el Sr. M-rt.-ez de á un ministro, entonces faltan hasta estas miserables reglas. Ademas, de la Rosa quiete impugnarla, sea enhorabuena; p rotio er. les iernvr.es este modo no tiene absolutamente responsabilidad ninguna el ministe que lo ha hecho, y S. S. conoce bien á los in…</t>
  </si>
  <si>
    <t>Ma</t>
  </si>
  <si>
    <t>…n del Real decreto de 26 de Mayo de 1810 se al art 370, que decía: Pido que en dicho artículo se añada lo siguien ha servido el Rey habilitar la firma del oficial segundo segundo D. Ma te: • Esta última pena te aplicará i los mismos ti equivocaren ia medi nuel Cortés, que ejerce las funciones de oficial mayor de esta secretaría cina de la receta, tea en la sustancia A tea en la dosis , siempre que de del Despacho, para las r-soluciones en q…</t>
  </si>
  <si>
    <t>…esde d día 23 de dicho Abril. Se aerifico pues la noticia de haber aceptado la Puerta el ultimátum ruso. Luego que se este remate i pesar de haber protestado Urrutia, r cayendo en D. Ma supo la falsedad de este rumor inmediatamente bajaron los fondo* nuel Diez. Las comisiones en vista de estos antecedentes , y de la apro au-.triaco*, y probablemente irán bajando mas. bación del segundo remate por el asesor , el jaez y *• junte det CtM to púb…</t>
  </si>
  <si>
    <t>…teniendo de manifiesto las obras que después ' berroqueña de las montañas del Egipto superior, cuyas canteras han su de rigorosa censura merecieron ser premiadas: el Sr. director D. Ma ministrado materiales para la construcción de todos los monumentos exis nuel Floree leyó un elegante discurso , en el que probó la utilidad do tentes desde Denderah hasta Phitoe. Se ha juzgado que esta piedra es las sociedades económicas, la obligación que to…</t>
  </si>
  <si>
    <t>…no haberse retirado cuando se lo mandó el alcalde currir en las penis mas severas, emparentar por medio del matrimonio, sustituto del barrio de Mercenarias Descalzas del Barquillo D. Ma m tener parte en un mismo banquete, ni habitar bajo un m.stno techa nuel Bilm, estando rondando la citada noche de 5 de May &gt;, y por do , y en muchos casos ni aun siquiera estar.en presencia unos de otro*. el insulto que hicieron en unión del difunto Montaña…</t>
  </si>
  <si>
    <t>…último artículo comunicado en el nútn. 83 dd nueve dias que duró el sitio hicieran varias salidss, y en todas ellas loa periódico titulados/ Defensor dt la patria, denunciado por D. Ma arrolló con bastante pérdida, baste que al fin rindieron las armas por nuel! de Lousa, escribano civil y criminal del juzgado de primera ins capitulación 8*4 hombres con aa picas de artillería , y muchos afectos tancia de Sevilla, la ley condenó 4 Hermenegild…</t>
  </si>
  <si>
    <t>…o de Is chado por la contaduría mayor. Aprobado. cadetes, d« caballería, opinaba, confoXtaásldat* coa al! dktamc* de la La con»it¡radc&lt;Qi&gt;tacrcio , fcdpelr» yisao la exposición de D. Ma&gt; junta de inspectores, que Mía verileaos por escalafón general, sin per tro Estaai, comisionado de la Sea de Urge! ea Cataluña , y D. Fran juicio de retirar &lt;M servicio ¿ los qué se coc «aderasen inútilca por su cisco Fornurs, apoderados da ay pueblos de le C…</t>
  </si>
  <si>
    <t>…ncia general da secreta. Castilla la Nueva, hoy primer distrito, los autos de testamentaría y jui ARTICULO DH OFICIO. cio universal de acreedores del comisario ordenador honorario D. Ma nuel de. Moreda, del comercio que fue de esta corte en la puerta del El Sr. secreurio del Despacho de la Guerra con fecha de ayer di Sol, á instancia de los síndicos, y en virtud del proveído en 17 del ce desde el Real sitio de Aranjuez lo que sigue: corrient…</t>
  </si>
  <si>
    <t>…nte al Gobierno para que lo informase. Aprobado. ternos y cuatro externos; y la de afectos externos para los del tercero y La misma opinaba que no podía acceden* á la solicitud de D. Ma cuarto, que son 31 internos y seis externos; restando para completar nuel Díaz. Aprobado. los estudios del actual afio escolástico, que concluirá en Setiembre, lea Se mandó quedar sobre la mesa un dictamen de la comisión de Ha clases de aforismos de Hipócrate…</t>
  </si>
  <si>
    <t>…, y de lo que V. E- manifiesta en tu ofic o misiro de arrogancia, accediendo á lo menos á la evacuación de la Moldavia d: 10 del corriente; se han serrido las Cortes declarar, que Doña Ma y la Valaquia. Entre tanto, y no teniendo esperanzas de que ceda el di ría Josefa Piles debe gozar el sur ido de su difunto marido, el benemérito van , el Austria hace muchos preparativos de guerra, que algunos creen diputado D. Isidoro Antí Ion, desde el dia…</t>
  </si>
  <si>
    <t>…sula. mandó pasar esta parte i 1a comisión respectiva. El Sr.. Canga dijo que en el expediente no constaba la legitimidsd La de Poderes presentó su dietsmen sobre los de los Sres. D. Ma de estas pensiones, y que dudándose del derecho que tuviesen ios intere teo del Monte y D. Mariano Moreno , electos nuevamente diputados sados á ellas, se debía también dudar en pagarlas. por la provincia de Cuenca; y hallándolos conforme, a lo prevenido hl S…</t>
  </si>
  <si>
    <t>…grado el folleto titulado Nudo Constitucional, torización para proceder á un asunto tan interesante fue causa (lo que denunciado en 1 s de Abril último por el fiscal de imprentas D. Ma el brigadier Manso retardase esta operación basta que el Exorno. Sr. co tías López de Frías; la ley condena á D. Miguel Javier Calvo COnejo, mandante general del distrito lo autorizase correspondientemente; pero responsable de dicho folleto, á la pena de dos…</t>
  </si>
  <si>
    <t>…en vista de la exposición de D. Francisco Fernandez de la Gobernación de la Península en 1814, y en el qu- con este mo Gómez, vecino de Oviedo, para que se trasladase á su hermano D. Ma tivo recomendaba el Gobierno los servíaos de cst: interesado, y la* nuel ia pensión de 69 rs. que se le había concedido por sus servicios, persecuciones que había sufrido. opinaba qu- no d.bia accederse á esta solicitud. Aprobado. Se dió cuenta de dos exposic…</t>
  </si>
  <si>
    <t>…llenado, p termina corar que nc flirtea; se reunió el jurado, compuesto de los señores siguientes: Don ARTICULO DE OFICIO. Aniceto ¿¡zana, D. Carlos Romeral, D. Mariano Zorraquin, D. Ma El Sr. Metalario del Despacho de la Gobernación de Ultramar con merto Landaburu, D. Joaquín Huerta Orvallos, D. Isidoro de Hoyos, beba de «ver dice desde el Real *¡tio de Araajuez lo que sigue: D. Antonio Díaz del Moral, D. Francisco Travetedo y D. Domingo » SS. MU…</t>
  </si>
  <si>
    <t>…e lo* matrimonio*. al Rey 7 i las Cortes. Primera lectura. Dicha comisión, informando sobre ana proposición del Sr. Buey, . La misma comiatou opinaba , en vista de la solicitud de D. Ma relativa al derecho que tienen loe párroco* en la celebración de los su» nuel María Reinal, vecino de Valencia, que este interesado podia usar ir momos, manifestaba que era llegado el caso de qne se observaren de su derecho ante loe tribunales competentes, no…</t>
  </si>
  <si>
    <t>…se ven atacados y rotos los vínculos mas sagrados ANUNCIO. con un desenfreno y una licencia tan imperdonables, seria un crimen Diccionario universal etpafiol-latino, compuesto por D. Ma que el cuarto departamento del cuerpo nac:onal de artillería perma nuel de Valbuena; un tomo en folio de i8tl pliegos, A sea 1130 pá neciese en la apatía, y no manifestase 4 la Diputación permanente d* ginas de impresión , igual en letra y papel al del diccio…</t>
  </si>
  <si>
    <t>…o tan la propuesta hecha por el Congreso constituyente. importante. Vosotros no os detuvisteis en abandonar vuestros bogares, D. Pedro Calestino Negrete. D. Josef Mariano Almansa. D. Ma preferisteis el procomunal i vuestras caras esposas y tiernos hijos; opu nuel Velazquez de León. D. Manuel de la Bircena. D. Nicoias Bravo. sisteis á guerreros infames vuestros pechos de bronce, y loa aterrasteis D. Pedro del Paso y Troncoso. D. Vicente Simón…</t>
  </si>
  <si>
    <t>…n di las comendadoras de Santígo en esta corte; ta: Avanzad, avanzad compañero!, y otros que dan un claro testimo comprendidos todos en las causas seguidas en dicho juzgado contra D. Ma nio de su adhesión al Gobierno constitucional; pero se conoció luego nuel Hernández ( alias ci abuelo) , D. Josef Mingo Otalora, D. Ma el error, y volvió Altes á su casa. También habían ya sido puestos en nuel Ceca', capitán retirado de artillería, con grado…</t>
  </si>
  <si>
    <t>…D. Pío Guas, D. Manuel Heredia , D. Felipe Goyos, Don hab endose personado el interesado con el fin de hacer la entrega, ni Juan Manuel Lnrr, D. Josef Sucarana, D. Josef Morales, D. Ma hecho otra gestión, é ignorándose su residencia, se le avisa por medio nuel Melero , D. Josef Perez, D. Antonio Pereira, D. Antonio Por de ote periódico con el mismo objeto, en el concepto de que por la ta, D. Vicente Ramón, D. Manuel Ron, D- Francisco Rollo,…</t>
  </si>
  <si>
    <t>…tino ó existencia «le D. Isidro Mendoza , natural de Icntitimo Sr.zrFraneisco Bsppz y Mina-asf Xcmo. Sr. secretario del Des Salamanca , y vecino de Madrid , hijo de D. Ramón y «la Doña Ma pacho de la Guerra.” ría Francisca Pereira , que casó en la Mtmbrilla, provincia da la Mancha, con Doña Eugenia García Nufisr, y alió da laCoruña an el Por promoción de D. Joscf LnJlwo i gtf» político de la provin nfio ds 1811 con dirección áGranarla, tuviste…</t>
  </si>
  <si>
    <t>…e constitucional de esta muy heróica villa Don rectas y puras , amantes del bien general, y dispuestos á promoverlo Miguel Maj -ra se !&gt;a celebrado un juicio de conciliación entre D. Ma con todas sus fuerzas. Cuando el patriotismo se halla unido en las al nuel Díaz Moreno y D. Felipe Denné, hijo , por hab.-r anunciado este mas con ciertas prendas felices y calidades sobresalientes, resulta el último en un catálogo de l.broa españoles , y ven…</t>
  </si>
  <si>
    <t>Ma'o, Domingo</t>
  </si>
  <si>
    <t>Domingo Ma'o</t>
  </si>
  <si>
    <t>…di la patria: estadio, Guerr ro , el Sr. Hua-te, padre di la F.mp ratriz, A'mtnsa , Aicme pueblo s, de que el que os dió la libertad conservará vu-slro* derechos, na (D. Mariano), D. Domingo Ma'o é ltú bide , Cavaleri, el mar y estid'o de que si tengo disposición para premiar a1 bueno , la teneo ques de Aicinena, y D. Juan O Donoj . (considerado como vivo par* lamhir n para, sofocando mis sentimientos , ext-rmínar al malvado, ha perp-tuar su buena m m…</t>
  </si>
  <si>
    <t>Ma, Andrés</t>
  </si>
  <si>
    <t>Andrés Ma</t>
  </si>
  <si>
    <t>…o too, firmado por » un buen español ,” y denunciado como injuabogado de Albalá de Pardines; para las de Cata uña i D. Vicenta del Hierro, abogado de Madrid; para las de Cáceles a D. Andrés Ma rioso al batallón de la M. N. V. de dicLa plaza. ría Alférez, de Aodojar; á D. Bartolomé Martínez para ias de Cana En la misma ciudad de Cádiz, reunidos en jurado de acusación loerias , y para las de Mallorca i D. Leandro Rubín de Ceb»; asign.it- Sres. D. Fra…</t>
  </si>
  <si>
    <t>Ma, Antonia</t>
  </si>
  <si>
    <t>Antonia Ma</t>
  </si>
  <si>
    <t>…141 rs. y 1 maravedí, D. Juan dé Seto id. 1678 rs. y 12 mrs. Don Corresponsal de Hamburgo en alemán, son los instrumentos de este Francisco Antonio Figueroa id. 1568 rs. y 11 mrs. Doña Antonia Ma partido anti-espaftol, para que circulen por la Alemania todas las pa ría Otero id. liso rs. y 12 mrs. Las Sras. Sopranis id. inors. y 1* trañas, todas las calumnias , lodos lot absurdos que te forjan en París. mrs. La representación de I). Lucas Navarro 1536…</t>
  </si>
  <si>
    <t>Ma, Antonio</t>
  </si>
  <si>
    <t>Antonio Ma</t>
  </si>
  <si>
    <t>…mi nto infam ría de Vitoria, id. regimiento infant-ria Infante D. Amonio; con el sueldo que disfruta. Tala vera á D. Víctor Cordero , espitan graduado de teniente coro Calatayud a D. Antonio Ma;az, temante coronel graduado y ea- nel dei regimiento coraceros de la Reina , id. ¡tan primer ayudante supernumerario del regimiento úKanteria del Toro a D. Leopoldo de Gregorio, espitan del reg imentó caba 5 'ríncipe, id. llería de Numancia, id. Castellón á…</t>
  </si>
  <si>
    <t>Ma, Dionisio</t>
  </si>
  <si>
    <t>Dionisio Ma</t>
  </si>
  <si>
    <t>…o D. Mariano Gudal, D. Celso Píanzon, D. Juan Bucle, D. Pascual del continente á deciros que el fanatismo y la intolerancia vuelven á Pratosi, D. Manuel Lasala, D- Miguel Gavara y D. Dionisio Ma recobrar alli su imperio: mirad lo que vais á hacer; admitiendo 4 loa rín, que lo hicieron en los expresados días. Luego que el alumno católicos os exponéis i introducir en vuestro seco unos enemigos de concluía su discurso, otro le ponía dificultades; lo que…</t>
  </si>
  <si>
    <t>Ma, Josef</t>
  </si>
  <si>
    <t>Josef Ma</t>
  </si>
  <si>
    <t>…D» Gabriel Rodríguez, D. Francisco 7 la harina de i so rs. el quintal. Montoro,D. Vicente Martina Gómez, D. Antonio María Cuatre El Sr. Munarrii presentó á las Cortes á nombre de D. Josef Ma ras , D. Juan Josef de Cores y D. Francisco de Paula Díaz, jaeces de ría Zuaznabw el tonto *.“ del Ensaco histórico-crítieo sobre la legis hecho, con la fórmula de mbttulto el núm. 99 del periódico titulado lación de Navarra. Las Cortes lo recibieron con agra…</t>
  </si>
  <si>
    <t>…obles y los retiros de los militares reformados , y ANUNCIOS. aun trató de reformar los demás. Felipe v impuso un a ó un 3 y hasta En virtud de providencia de ia del corriente del Sr. D. Josef Ma un 10 por too sobre los sueldos, inclusos los de los conseferos. Fernan ría Fernandez de Córdoba se ha mandado sacar á púbíica subasta por ter do vi impuso un 10 por 100 sobre el sueldo de los consejeros: Cir mino de 30 días, contados desde 15 del corriente,…</t>
  </si>
  <si>
    <t>…iciembre de este afio se elegirán los Juicios dt jurado/. alcaldes, regidores y síndico que corresponda; y en t.° «le Entro de Reunidos en le ciudad de Sevilla los jueces de hecho D. Josef Ma 1823 cesarán los ttei alcaldes y dos síndicos actuales, y lambí» lo* ría Tige, D. Josef Mafia Domínguez, D. Leandro Pallares, D. Diego regidores que hayan servido dos afios. Para saber los regidores que de Ovando, D Francisco de Paula Méndez, D. Ciríaco Clave…</t>
  </si>
  <si>
    <t>…, para que al Rey en 14 de Abril de 1814. Las Cortes quedaron enteradas. presentase los medios de hacer efectivos los premios. Las mismas oyeron con satisfacción la exposición de D. Josef Ma El fir. Zulueta manifestó que habiéndose tratado de llevar á efecto ría Díaz , oficial de ia contaduría de ternas de Mrlaga, en que cedia en el repartimiento de los baldíos, según prevenía el decreto de 11 de favor de la Nación li y.a paite de su sueldo, s.11 pe…</t>
  </si>
  <si>
    <t>Ma, Josrf</t>
  </si>
  <si>
    <t>Josrf Ma</t>
  </si>
  <si>
    <t>…iguientes: D. Manuel García del Barrio, D. Juan Fer taba extraordinariamente fatigada, y había acaba lo ya todas sus municio. nandez Casariego, D. Antonio R ‘g*¿ , p. Miguel Polz, D. Josrf Ma n-s : de-piies de concluida esta acción, que duró mas de tres horas, lla ría de Larnategui, D. Joaquín Lumbreras. O. Juan Pablo Pascual, mó purticuU’m nte mi atención la nenes dad de recoger nuestros D. Pedro Alvaro y Delgado y D. Manuel Esteban Candi. herido…</t>
  </si>
  <si>
    <t>Ma, Juan</t>
  </si>
  <si>
    <t>Juan Ma</t>
  </si>
  <si>
    <t>…alizadas en toda tu latitud la que os hi del corriente me dicen'lo siguiente: _ ce en mis anuncios de 24 y 30 del ñus anterior. n Las Cortes,enteradas del espediente promovido por D. Juan Ma ” El facineroso Misas y su gavilla, que tanto ha perturbado la tran ría Vico y d mas individuos que en los seis primeros meses decano quilidad pública de esta benemérita provincia, á cuyo frente tengo el de 1814 compusieron el ayuntamiento d; ta villa de Huel…</t>
  </si>
  <si>
    <t>Ma, Pedro</t>
  </si>
  <si>
    <t>Pedro Ma</t>
  </si>
  <si>
    <t>…azgo de Canarias. El que supiere de su paradero se servirá » Las Corles, con el fin de facilitar la egecucion de lo acordado por acudir á D. Manuel Antonio de Corral, apoderado de D. Pedro Ma las mismas para la liquidación de créditos, han tenido á bien resolver ría de Ponte, conde del Palmar, poseedor del referido mayorazgo. se adopten las disposiciones siguientes: 1/ dentro de los ocho dias del Dicho apoderado viv* en esta corte , calle de Fuenc…</t>
  </si>
  <si>
    <t>Ma, Santiago</t>
  </si>
  <si>
    <t>Santiago Ma</t>
  </si>
  <si>
    <t>…es D. Tomas Josef Gómez, D. Juan Moral, Dr. D. Lorenzo Rua ciudad seguido de las tres divisiones, y rodeado de un pueblo, en cu no , D. Pedro Ramón de Jerez, D. Josef Villa verde, D. Santiago Ma yo semblante se Lia aquel contento, que solo puede inspirar al habitan rín, D. Manuel Pareja , D. Cayetano García y D. Francisco de Gra te honrado la satisfacción de ver en sus legítimos defensores los hijos nada , declararon por unanimidad haber lugar á la f…</t>
  </si>
  <si>
    <t>Ma-</t>
  </si>
  <si>
    <t>…Sr. Serrano uno, el Sr. Tejeiro nno, el Sr. Ro aolucion. Lo que servirá de gobierno á los militares que soliciten em mero tres, el Sr. Butafia uno , el Sr. Flores Calderón uno, el Sr. Ma- pleos dependientes de la tesorería general; en la inteligencia de que en rau uno, y el Sr. Diez do*. Total rao voto*. No habiendo reunido nin cumplimiento de le expresada Real orden no puede hacerse mérito al gún Sr. diputado suficiente número de votos, se pr…</t>
  </si>
  <si>
    <t>Ma.at, Juan</t>
  </si>
  <si>
    <t>Juan Ma.at</t>
  </si>
  <si>
    <t>…. &gt;79, y particular del núm. 180, denunciados á nombre de Setiembre, celebrado con asistencia del interventor, con arreglo al del coronel del regimiento de caballería de Calatrava D. Juan Ma.at&gt;, ait. i.9, cap. 7.° de la instrucción general de9 de Junio último. bajo el concepto de injuriosos á su opinión: en cuya consecuencia la Ingresos. Ri. vn. ley absolvió á D. Francisco Cándido Martínez, responsable de los re feridos impresos, é quien se mandó p…</t>
  </si>
  <si>
    <t>Mac</t>
  </si>
  <si>
    <t>…H. villa y corte de Madrid , reunidos ios ¡utfc -sde h.-.boñaveres en dos ca|as, tina de madera, forrada de terciopelo carmesí, y D. Andrés de Moja y Luzunaga, D. Asiles.o htpi &gt; D. Mac .si U olía de plomo.</t>
  </si>
  <si>
    <t>Macario</t>
  </si>
  <si>
    <t>…estas cartas se trata del ultimátum de yor u¿or á todo griego. Acaba de hacer arrestar en la isla de Cdalonia la Kuóa, lo que acabamos de saber en este instante nos da una exac aá arzobispo Macario, muy adicto á la causa de tus hermanea. ta i.ira le las disposiciones de la Pueru. Vemos muy próximo el mo mento de la cti»is. roBTtrcAt. Petersburgo 39 dt Noviembre. De algún tiempo .1 esta parte ios egército» rusos han tomado im Lisboa g dt Diciembre. actit…</t>
  </si>
  <si>
    <t>Macedo, Antonio Carlos Riveiro de Añorada</t>
  </si>
  <si>
    <t>Antonio Carlos Riveiro de Añorada Macedo</t>
  </si>
  <si>
    <t>…fuesen á la secretaría i proce El Sr. Ferreir* Borges pronunció un largo discurso, quejándose da der infame'. El espitan miiiuo entró personalmente en la gabarra la carta del Sr. diputado Antonio Carlos Riveiro de Añorada Macedo francesa la Activa en el momento que llegó al puerto; pero su co é Silva á los editores del diario del Gobierno, é inserte en este; y pi mandante le despidió agriamente. dió que el Congreso decidiere lo que debería hacerse en casos semejan » El Gobierno tomó…</t>
  </si>
  <si>
    <t>Machado, Serpa</t>
  </si>
  <si>
    <t>Serpa Machado</t>
  </si>
  <si>
    <t>…abían de delegarse al poder ege una vana quimera: aunque no haya en el dia atentados en nuestra mis cutivo. ma provincia, no debemos olvidar lo que Sí debe á nuestros hermanos, El Sr. Serpa Machado manifestó que no examinaría cada uno de ni descansar tan tranquilos, que si intentara sorprendernos esa turba de los artículos del proyecto en particular, pues sus observaciones se ex esclavos estúpidos y malignos, nos encontrase desprevenidos. En ocasio tend…</t>
  </si>
  <si>
    <t>…l artículo con la las cercanías de Naousta. Orgulloso de esta carnicería, trataba de abrir citada adición. se paso atravesando las montañas y los desfiladeros para unirse en Pa El Sr. Serpa Machado dijo que no se conformaba con la doctrina tria con el egército de Joutiouf; y el a6 de Abril penetró hasta Agrá- del artículo en cuestión , no por su naturaleza, porque esta la apoyaba, fa. Stergiot, que mandaba en aquel punto , se aprovechó de la confian asi…</t>
  </si>
  <si>
    <t>Machín, Antonio</t>
  </si>
  <si>
    <t>Antonio Machín</t>
  </si>
  <si>
    <t>…la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
  </si>
  <si>
    <t>Machurra, María</t>
  </si>
  <si>
    <t>María Machurra</t>
  </si>
  <si>
    <t>…ru'.a al t^n.er.te Manuel Jorges .solicitando se le concediese la jubilación. c ror.el D. Antonio Loriga, que actualmente lo es mter.no de ía ds A la de llicienda una instancia de Doña María Machurra, pidiendo Galicia: para la de Valencia al brigadier D. Francisco Plasencia, que una pensión- lo e, interino de la misma: para la de Cádiz al coronel D. Joaquín Es A l.i de Comercio un informe del Gobierno sobre habilitación de cario , que lo es de ia misma: p…</t>
  </si>
  <si>
    <t>Macíac, Fmaciaco</t>
  </si>
  <si>
    <t>Fmaciaco Macíac</t>
  </si>
  <si>
    <t>…n e. Los s-gio* Subímitnlts. D. Bernardo Fernandez, D. Diego Llórente, D. Pa coronarán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 ) na , D. Juan Elias Monta…</t>
  </si>
  <si>
    <t>Macrath</t>
  </si>
  <si>
    <t>…apitán de dicho cuerpo pob'ación el comar.dartte de las compañías de voluntaros d.l p u ' D. Julián Rubio , de la primera compañía de vo úntanos del part.do D. Juan Catrera», y el coronel Macrath con una eompa-í» ríe -u con 40 plazas , mandada por su capitán D. Juan Bautista Roca, de la cuerpo , la p.eza de art Fur a y el rtsto de la caballería , quedo en .1 milicia voiuntana de S. Pedor con 45 hoonbr.s, á las ordene* de su po»c.on lla nada del Puntar…</t>
  </si>
  <si>
    <t>Madeiracontinua</t>
  </si>
  <si>
    <t>…ostumbre ó por oficio la fortuna futura, n g&gt;ndolc la licencia que le pedia. se esmeraban en ello con ánimo de d sacrcditornos. No han c. se En la s-gunda carta manif staba que e* brigadier Madeiracontinua do empero &gt;n sus embust a y pirañas; peo istia las venden como ba tiranizando a BaS a-, puro que el Pnncípe había destinado ya tropas mercancías fabricada* en P;ipiran, en Pau , en Te a» &amp;c. M ramos d aqu I punto para eb! garle por la fueiza. «ala conducta cu…</t>
  </si>
  <si>
    <t>Madelra</t>
  </si>
  <si>
    <t>…am-nto del t! ir; ]•!■; que trae estas noticias parece qu» habían s:do atacados los regimiento de Murcia, que en la tu-le de! aC sa ió de la plaza a prote f.'i:..i &gt; avanzados de! Sr. Madelra, y que Bahía estaba en la mayor ger ru-stra entrada , en la muerte ti ! valiente y patriota cap.tan aracu !'¡ó'. n__lii Principe Recente hsb.a salido dei Janeiro para S. Pa duado, teniente de dicho cuerpo , D. Riir.rn eVUquer, quz te sacrTfi.ó hua ap ic ei.ar…</t>
  </si>
  <si>
    <t>Madrazo, Josef</t>
  </si>
  <si>
    <t>Josef Madrazo</t>
  </si>
  <si>
    <t>…con imparcialidad los vario» cuerpos academia de la Historia y de 5. Fernando; á D. Manuel González Nar- ó establecimientos que componen la armada naval de Espafia, propo ganet; á D. Josef Madrazo, de la academia de S. Fernando; á D. Sil niendo las reformas que la experiencia y la ilustración de nuestros tiem vestre Perez, de la misma, y á D. Josef Alvarez de la misma. Tcn- pos hacen necesarias, para que la Nación saque de su marina todas laa drsislo e…</t>
  </si>
  <si>
    <t>Madrid, Antonio Díaz del Moral y</t>
  </si>
  <si>
    <t>Antonio Díaz del Moral y Madrid</t>
  </si>
  <si>
    <t>…n. al millar, to, D. Martin Z»randia,D. Francisco López Olavarrieta, D. Jaime renta 33,660 mrs., situados en el partido de Sigüenza , fecha en Raíz Abreu , D. Valentín de Nicolás, D. Antonio Díaz del Moral y Madrid á 15 de Junio de 1614; se suplica á la persona en cuyo D. Ramón Llor. poder se hallen, se sirva entregarlos á D. Joaquín de Arteaga,que vive Habida la conferencia y procediéndose á la votación, los Sres. Don calle Ancha de S. Bernardo , casa núm. 4, cuarto pr…</t>
  </si>
  <si>
    <t>Madrid, Florenti</t>
  </si>
  <si>
    <t>Florenti Madrid</t>
  </si>
  <si>
    <t>…la Phna administrador D. Roque Arta .-jo, cap uta los facinerosos y salteadores! Empero ¡desarmar la milicia nacional da retirado agregado i la teaorería de Valencia. Interventor D. Florenti Madrid, la de España 1 ¡ Apagar ó debilitar el fuego sagrado de la Na no Montoya , fiel contador de las salinas de Bel.nchcn. ción l ¡Es posible! ¡Cómo posible! ni aun concebirlo. ... en los decre Lugo administrador D. Gerónimo Ccuder, que lo es de Ciudadtos inmutab…</t>
  </si>
  <si>
    <t>Madrid, Jacinta</t>
  </si>
  <si>
    <t>Jacinta Madrid</t>
  </si>
  <si>
    <t>…. Manuel Ocon. Item en 34.875,051 florines, ademas de un crédito de un millón para gas de Jlauta, al de D. Santiago M.-ndizabai. Premio á D. Pedro Aita. tos imprevistos. Accésit ; D. Jacinta Madrid. El tribunal de Arel tñonts ha sentenciado hoy la causa que se yió Undécima ciase. Baile, á cargo de D. Juan González. Premio á el viernrs y el sébado último, declarando que un frunces no naturaliza D. Lcoucm Fernandez. Accésit a D. Francisco Ar.scun. do, cua…</t>
  </si>
  <si>
    <t>Madrid, Jacinto</t>
  </si>
  <si>
    <t>Jacinto Madrid</t>
  </si>
  <si>
    <t>…ticias con Séptima ciase. Lengua fratutsa , á careo de D. Juan Ribera. Pufo re‘ac:on al ultimátum del Gabinete ruso; y aunque al día siguiente se mió i D. Francisco Ana. Accésit á D. Jacinto Madrid y » D. JomX vee que son falsas, se repiten sin embargo de allí á dos días. Villa roe!. Octava clase. Lengua ¡atina, á cargo del mismo. Premio á Don VAISISSAJOS. J.nan Madrid. Accésit a Castro. Novena clase. Dibujo, i cargo de D. Castor Velazquez. Premio í.r H…</t>
  </si>
  <si>
    <t>Madrid, Jo</t>
  </si>
  <si>
    <t>Jo Madrid</t>
  </si>
  <si>
    <t>…ecto, el articulo inserto en el diario 20-C00j&lt; OO de la referida ciudad del domingo a de Junio último bajo el título de El navaltt M A. P.; se reunieron los Sres. jueces de hecho D. Jo Madrid«9de.Tan'ode i8:3 — Alviro Gómez, preid-nte.rcjosefMel- sef Félix Ezcurra, D. Hipólito Gregorio, 1&gt;. Joaquín de Pueyo, Don evnr Prut, dputado Sícnuna-Fran-sco Benito , diputado secreta- Manuel Cantin , D Agustín Alcaide, D. Pedro Muniera, D. Joaquín z¡o.=Por t…</t>
  </si>
  <si>
    <t>Madrid, La</t>
  </si>
  <si>
    <t>La Madrid</t>
  </si>
  <si>
    <t>…igación de dar fianza de buena blico , ó un eclesiástico secular ó regular en el egercicio de su mi conducta.** Aprobado. nisterio. Se mandaron pasar i la comisión una adición del Sr. La Madrid al ,,Iguales pena* sufrirá respectivamente el que publicare ó propagare' art. ayo:.otra de los Sres. Alaman y Lallave (D. Pablo) al artícu falsas noticias ó vaticinios , sabiendo su falsedad , y con el objeto de lo &gt;/á; j dos del Sr. Martínez de la Rosa al 28…</t>
  </si>
  <si>
    <t>Madrid, Tomas Sánchez de</t>
  </si>
  <si>
    <t>Tomas Sánchez de Madrid</t>
  </si>
  <si>
    <t>…n la verificación de sus planes, Se cita á todas las personas que se hallen con derecho á la testamen V. E. conocerá ti puede cuadrarla el concepto de reo de conspiración taría de D. Tomas Sánchez de Madrid, marques que fue de Casa-Madirecta y de hecho contra la Constitución, siendo uno de los que com drid, que falleció en Cádiz en el afio de 1780, para que por sí ó por ponían ia fuerza numérica que obraba contra ella. apoderado con poder bastante , acreditando…</t>
  </si>
  <si>
    <t>Maeda, Félix</t>
  </si>
  <si>
    <t>Félix Maeda</t>
  </si>
  <si>
    <t>…ral; y componía, y qué sueldos gozaban. la tercera si se hallaba en el mismo caso á causa de la imposibilidad da A la miama comisión se pasó un estado de la tesorería general, pre D. Félix Maeda; opinaba que debia exonerarse á los referidos sujetos sentado por el tesorero jubilado D. Domingo de Torres. del encargo de diputados de provincia, en atención 4 tas razones que Las Cortea oyeron con agrado una exposición de un gran número alegaban , y que se…</t>
  </si>
  <si>
    <t>Maesa</t>
  </si>
  <si>
    <t>…ncillas aclamaciones de viva la Constitución , vivan .o, ne da, el restablecimiento del crédito públicoLel comercio, la marina , la gros (asi nos llamaban lo, facciosos) y viva el general Maesa. Sí pue agricultura , la industria , la instrucción pública y la filantiopia han de ir con toda seguridad á Tairugona. Tares son ios efectos que s 'o un recibido el impulso 4* la sabiduría y zeto patrio que caracteriza y dis hombre ba acarreado á esta desgrac…</t>
  </si>
  <si>
    <t>Magaa, Anto</t>
  </si>
  <si>
    <t>Anto Magaa</t>
  </si>
  <si>
    <t>…pondido i mi tnin diacion al concepto que disfruta memoriales al secretario dé dicho ayuntamiento D. Isidoro Josef de entre tus conciudadanos. Lo* coronales L&gt;. Luis &lt;1*1 Corral y D. Anto Magaa hasta el dia 15 4* Agosto próximo. EN LA IMPRENTA NACION Aí.</t>
  </si>
  <si>
    <t>Magalhaes, Pinto</t>
  </si>
  <si>
    <t>Pinto Magalhaes</t>
  </si>
  <si>
    <t>…oldados de &gt;u vasto imperio , donde hasta jurados, se oía un gran murmullo en las galenas - con cuto m.-i vo el en las mas remotas y miserables caballa» se oye declamar contra los Sr. Pinto Magalhaes se levantó , y d.|0 que desde que se habí* empezado horrores cometidos por los musulmanes; pero es regular que con el po la discusión estaba decidido á votar que hubiese |urado* en las caus. * der de que se halla revestido el Emperador , y el amor que le prof…</t>
  </si>
  <si>
    <t>Magariflos, Francisco</t>
  </si>
  <si>
    <t>Francisco Magariflos</t>
  </si>
  <si>
    <t>…numeración bían podido fugar del poder de los disidentes habían hecho en el Rio- de las páginas se halla equivocada, de modo que desde la 190 salto á la Janeiro, recayendo esta en D. Francisco Magariflos ,te abstenía de dar a &gt; 1; pero la de los pliegos está exacta, y la obra completa; lo cual se su dictamen por ser un caso particular. avisa i los compradores para que no les quede escrúpulo alguno sobte Ei Sr. presidente di;o que mafuna á las diez te celebrar…</t>
  </si>
  <si>
    <t>Magariños, Josef Santiago y Francisco</t>
  </si>
  <si>
    <t>Josef Santiago y Francisco Magariños</t>
  </si>
  <si>
    <t>…so. Se declaró que esta era la primera lectura. la Diputación permanente. Se mandó pasar á la comisión de Poderes una exposición de Dota A la comisión de Poderes te pasaron los de D. Josef Santiago y Francisco Magariños , en la que hacía varias observaciones para que ea Muro , electo diputado por la provincia de Galicia. su vista se decidiese si debian representar en estas Cortes los individuo* A la de Hacienda una exposición de D. Nicasio María Ambroz, de Montevideo y su ca…</t>
  </si>
  <si>
    <t>Magrath, Vicente</t>
  </si>
  <si>
    <t>Vicente Magrath</t>
  </si>
  <si>
    <t>…s Sol de V..i , v br: ■ , columna,compuesta de 1 50 hombres del reg.nn.nio de Murcia , al man acompdfiido de parte de ta caballería, á unes joo que ba j- -o h- 1 ro do del coron 1 D. Vicente Magrath , comandante de uno de sus bata do al llano, s eu endo'.os hasta la Sa'.j de San l'on; , d,stir.tr noa llones , de ia» compañías de carabineros, tiradores y cuarta de Cana en donde la grande acequia ímp d ó obrar cuanto qn.-ria á la c.r’oa li rias, su fuerza…</t>
  </si>
  <si>
    <t>Mahy</t>
  </si>
  <si>
    <t>…el Sr. Palacio, el vista Mora y el comandante del puerto Ruiz. otra , ha ocupado en la ley fundamental del Estado un lugar preemi Idtm 19—En la orden de la plsza da á reconocer el Sr. Mahy por nente cual corresponde á la sublimidad y grandeza del objeto. Estad se capitán general interino de esta isla al brigadier D. Sebastian Kindelan, guros que mientras exista Espada por la Constitución , J mientra» noa subinspector general de las tropa», y ge…</t>
  </si>
  <si>
    <t>Mahy, Filib-rto</t>
  </si>
  <si>
    <t>Filib-rto Mahy</t>
  </si>
  <si>
    <t>…/do* sargentos y un cabo del regimiento de litar. (Véase la gaceta extraordinaria del día ai.) Extrema lura, que te hallaban destinado* á i r pasados por lat arma*. Excmo. Sr.: El brigadier D. Filib-rto Mahy, comandante de la » Ayer dispuse que $0 hombres de Bailen y 10 caballo* saliesen al columna volante del tercero y cuarto distrito militar, me dice desde Si- alcance de loa fugitivos, informándote de su dirección, y á nadie ha gii.nza con fecha de a a del actú…</t>
  </si>
  <si>
    <t>Mahy, Filibsrto</t>
  </si>
  <si>
    <t>Filibsrto Mahy</t>
  </si>
  <si>
    <t>…hoy te publican las no bierno de la Morea se va consolidando cada dta mas, y el bloqueo de ticias siguientes : las costas turcas ha sido reconocido y proclamado por el Gobierno El brigadier D. Filibsrto Mahy desde Sigíienza, y con fecha de 24 ingles de Corfú. Los griegos han apresado y conducido i Misolongi del actual , me dice lo siguiente: tres barcos turcos y una corbeta que iban cargados de despojos de la » Después de la salida del general Empecinado, i quien…</t>
  </si>
  <si>
    <t>Mahy, Nicolás</t>
  </si>
  <si>
    <t>Nicolás Mahy</t>
  </si>
  <si>
    <t>…habia tenido presente este de á las «lecciones de la Havana en virtud del ilegal llamamiento del creto , sin embargo de que consideraba que no estaban en el mismo ca gefe poiít co D. Nicolás Mahy. Pero esta y otras reclamaciones debes lo los comisionado» del Crédito público que lo» que había citado el se- aparecer del acta, sin la cual no podemos caminar ni resolver con fior preopinante. Añadió que no habia podido dejar de ver con lástima acierto en e…</t>
  </si>
  <si>
    <t>Maití</t>
  </si>
  <si>
    <t>…según otros sin aduar fi,r. Habiéndose preguntado si este asunto estaba suficientemente discu Parece igualmente que los facciosos reunidos en Oiot y sn otros vane» tido, p.dió el Sr. Maití que se leyes* el art. sol del reglamento, que puntos dei Ampurdan se han ret irado también i Ja montaña con el trata del orden que se ha de observar en las discusiones; y el Sr. pre objeto de cubr e a la Seo de Urgtl. CasulfoUit ba sido abandonado i sidente h…</t>
  </si>
  <si>
    <t>Maitines, Juan Diego</t>
  </si>
  <si>
    <t>Juan Diego Maitines</t>
  </si>
  <si>
    <t>…de 70 Oviedo, para que al término de ocho días comparezca en la escriba coraceros muertos á cuchilladas y unos 500 entre muertos y heridos d« nía de Cámara del crimen del cargo de D. Juan Diego Maitines , en la infantería. Ademas añaden que los facciosos á pelotones regresaban misma audiencia, á efecto de hacerle saber una providencia acordada a sus bogares rompiendo antes los fusiles y arrojando las municiones y por el propio tribunal en las causas seguidas…</t>
  </si>
  <si>
    <t>Maitland</t>
  </si>
  <si>
    <t>…L-yert tener la ley marcial, jr no sa ha encontrado otro mejor. Lo que hay acaba de publicarse el núm. i.° del Correo mercantil de Cad e, en que todavía de mas extrafio es que el general Maitland detuviese, como lo se insertan varias reflexiones estadístico-mercantiles, recordando el pa hizo, la goleta parlamentaria enviada por el navarco griego (coman sado esplendor de Cádiz &amp;c. dante de la escuadra) , para dar explicaciones al gobierno jónico, vio B…</t>
  </si>
  <si>
    <t>Majóse, Vicente</t>
  </si>
  <si>
    <t>Vicente Majóse</t>
  </si>
  <si>
    <t>…ue hay en ét varones eminentemente ilustres por sus vir llo» punto*. tudes religiosas; pero los mismos españoles observan con sumo dis El Sr. gefe político ha recibido un parte de D. Vicente Majóse, co gusto que una parte del clero se resiste a explicar la Constitución , semandante de la columna volante de Martorell, fecho en aquel punto g-n esta mandado; que lejos de rebatir ias sugestiones de ios hipó hoy 20 á lat tres y media de la tarde , que dice a…</t>
  </si>
  <si>
    <t>Mal, Antonio Mateo</t>
  </si>
  <si>
    <t>Antonio Mateo Mal</t>
  </si>
  <si>
    <t>…an renitentes en hacer mas á los moros. aquel vuge; quedando de este modo expuesta la plaza á carecer de *ub- Puerto Real 34 Je Junio. eistencia. Ei gobernador interino de Melilla D. Antonio Mateo Mal partida, Hallándose destacado en esta villa un piquete de !cs bataüon-s da tan zeloso por los ¡ntefses de la Nación en conservar el depósito que Ma'lorca y la Princesa, al mando del teniente D. Antonio R-h-ra, se te ha encargado, como deseoso del bien de tolo…</t>
  </si>
  <si>
    <t>Mala</t>
  </si>
  <si>
    <t>…s pueble» para la elección de ayuntamientos; en cuyo caso no los considero yo con la imparcialidad que corresponde para este asun JCota. En la atsion de Cortes del 14 pidió el Sr. diputado Mala</t>
  </si>
  <si>
    <t>Malagamba, Santiago</t>
  </si>
  <si>
    <t>Santiago Malagamba</t>
  </si>
  <si>
    <t>…ries no puede hacer usa cstiofas 20 y 21 ; di los d:t oligárquico en la del to; del aristocrático de ellos. en 'a 3 5 : del mixto en la 11 de las consecuencias de las coronas elec D. Santiago Malagamba por medio de D- Isidoro Imbretch , dd tivas en la - 7, de las hereditarias en las gt , 8f , 81 y 83 ; del abuso comercio que fue de Cádiz , remitió hácia el afio de 1793 á D. Joa d-. los m n itros en la 40 y 41; de los inconvenientes de ios congresos quín Dar…</t>
  </si>
  <si>
    <t>Málavila</t>
  </si>
  <si>
    <t>…neiro el día 9 da dos y prisioneros de mat de 200 hombrea, entre ello* Be*iere*,que fue Marzo; pero que no la. había permit.do desembarcar por la* razón-» que el parlamentario; el capitán Málavila, cabecilla,también es muerto, y exponía; y concluía pidiendo i S- M. que presenta*! su carta á las Misas herido muy gravemente.** Corte». Gerona 37 de Junio. En la d 1 19 daba parte de haber conced do el paye para loa cuerpos de El Sr. gefe político D. Jossf…</t>
  </si>
  <si>
    <t>Maldonado</t>
  </si>
  <si>
    <t>…ior 643,930 rs. y 1 mrs. be halla vacante la plaza de maestro d* primeras letras de la villa Productos por el derecho de navegación ó anclage y toneladas del Prado, fundada por el coronel Maldonado, cuya dotación es de 9 &gt;9,984 rs. y 1 maravedí. reales diarios, pagados por la fundación de tres en tres mts:s; y ade Productos totales. Rs. vn. 6.140,831 rs. y 11 mrs. mas real y medio de los fondo*de propios, con otro medio real de au Sueldos y gastos dcadm…</t>
  </si>
  <si>
    <t>Malespína</t>
  </si>
  <si>
    <t>…Eu ignorar tu existencia, puesto que el mismo Martínez las había visitado ropa decaes -del i.° de Marzo de 1821,ó de alguno de los puerto» el año anterior. La relación que hizo el capitán Malespína dtrsn viage de lo» Estados-Unidos después del ide Julio del mismo año, no demuestra que los españoles estaban muy bien enterados de la existencia puede alegar legitima ignorancia de estas nueras disposiciones. de las colonias rutas; y en esta misma relación s…</t>
  </si>
  <si>
    <t>Mallagaray, Apoita</t>
  </si>
  <si>
    <t>Apoita Mallagaray</t>
  </si>
  <si>
    <t>…a, Henriquez, Villasobra varios expedientes de asunto» particulares que se le* habían pasado. boa, Marchámalo, Cid, Villanueva, Jiménez y Minso. Id&lt;m del xjr. En seguida lo fue el Sr. Apoita Mallagaray por 85 votos de 108, Se dió cuenta da un oficio del ministro de Relaciones exteriores, con repartiéndose los restante* entre los Sres. Gómez Becerra, Isturiz , Mar que remitía la nota que había pasado al Gobierno el encargado de Ne chámalo, Cid , Gómez (,D. F…</t>
  </si>
  <si>
    <t>Malo</t>
  </si>
  <si>
    <t>…, plrr. 4° de la orde tario, del Despicho cuando las Cortes decreten haber lugar á la for nanza m.litar. mación de causa , y la cuarta la de conocer de las causa» criminales da El Sr. Malo: Los argumentos del Sr. Olirer, que ha apoyado el se los secretarios del Despacho. ñor Adíen, se dirigen á demostrar la poca justicia con que las Corles He aquí como haciendo aplicación i la práctica están remedados resolvieron lo respectivo i este mismo asun…</t>
  </si>
  <si>
    <t>Malo, Donvngo</t>
  </si>
  <si>
    <t>Donvngo Malo</t>
  </si>
  <si>
    <t>…aconsejando, qu: sr tnojificjue ia ques de Salvati rra; ayudantes de S. M. teniente gen-ral D. Gi» no Const tucion. La *íac ta de F.itadn d. B r n se burla d- ia r.ct cía Gainza, brigadier D. Donvngo Malo e llúbd, id. D. Josef Antón o (que liama absurdi), n qu se fecaqa: u » «ust iacr, ,.asa nr. por Echevarri, id. D. Rafa-I Ramiro, id. D. Lu s Cortázar, id. I). Gi- el Med ouia d a Francia para r forzar el llamado co’d &gt;1 . .m r.ir.’u; briel Arm’jo, id. D. Agus…</t>
  </si>
  <si>
    <t>Malo, Manuel López</t>
  </si>
  <si>
    <t>Manuel López Malo</t>
  </si>
  <si>
    <t>…acerles la citac.ou y emplazamiento ; y bailándose pendientes de distancia de Jassy: de los dos incendios últimos habían quedado libres un traslado conferido á dichos herederos de D. Manuel López Malo, unas li) casas, han hecho su petición incendiándolas todas, excepto ha acordado el referido superior tribunal se les vuelva á llamar , como 80 y la fachada principal del palacio. No ha sido el descuido ni la ca se hace por este periódico, para que dentro del…</t>
  </si>
  <si>
    <t>Mama, FrtnctVo Mirtinz</t>
  </si>
  <si>
    <t>FrtnctVo Mirtinz Mama</t>
  </si>
  <si>
    <t>…maciones, y aun las acusacio pu entes : D. J uef Antonio Ponzoa, D Juan F tnand-z Casariegos nes mas enérgicas y mas probadas, y nada las hacs impresión. La li JO. Manuel Gallego, D. FrtnctVo Mirtinz Mama, D. Manuel Car bertad y ei Ven del Estado existen pues en manos del Congreso, por nicero, conde de Torr- ei F sno . I) Ju»n Vlmu-iil Aréju’a , Don que la Constitución lo ha revestido de mucho poder, y le ha confiado Gonzalo Cárdenas y marqu s d* 'uano: v h.b…</t>
  </si>
  <si>
    <t>Mamerto</t>
  </si>
  <si>
    <t>…do elevar á proceso el sumario que se formaba ac-rc* rece debe r-.cr.m ndarse al Gobierno por su valor y heroísmo. Los fac de la mu r«o vlo'enta dada ai primer t mente de guardias D. Mamerto ciosos tuvicion la perdida de dos hombres; estos me comea por haberío* Landaburu por consecuencia del resultado de aquel. EN la imprenta nacional.</t>
  </si>
  <si>
    <t>Mamo</t>
  </si>
  <si>
    <t>…a dicho que consideraba innecesa oficio.) fie dice tamb.en haberse comenzado el sitio de Urgei; y que el ria esta resolución de la* Cortea, porque en disposiciones anteriores está brigadier Mamo se dirigía hacia Mequmenza. ya determinado lo que debe hacerse: que no debia ser objeto de ocupa —En artículo de París dejamos referido lo que dicen algunos periódicos ción de las Cotíes, por cuanto no había venido por el conducto del Go de aquella capital so…</t>
  </si>
  <si>
    <t>Man</t>
  </si>
  <si>
    <t>…á la persona ú personas que tuvieren noticia del pa tender S. M., con el mayor sentimiento y sorpresa, que la impaciencia radero de los privilegie, expresados s: »!r»a avisarlo á D. Man:.el oe en unos, y la ignorancia y la seducción en otros les ha sugerido la idea Andrés ,apoderado del interesado, que vive calle de Panaderos, á ia de equivocada de huir de estos conductos legítimos y desinteresados , y la Hoitaleza, casa núm. 14, cuarto 2."…</t>
  </si>
  <si>
    <t>…r del perdón que estuvieron solicitando con ahin necesita mas defensores que los que establece el Gobierno; este vosotros co los padres, parientes y amigos de los ilusos, y que el brigadier Man* lo elegís f es equitativo, es justo, y se desvele por vuestro bien. No se so no pudo conceder hasta ser autorizado por el comandante general oiga mas voz que Constitución y leyes; yo procuraré sosteneros uno del distrito. En prueba de sn arrepentimiento entr…</t>
  </si>
  <si>
    <t>Man.j</t>
  </si>
  <si>
    <t>…pni&gt;w.pa , ;oc ’« un v:r» di.'.-s de t ircira rnseñanzi en todos ios puntos que se de- üo* 2 2 4 y 2 3 í . s man -n el articulo 40 del reglamento genera', de instrucción púb ica, D. Man.j .. C ca, pr »o por ia m «ma causa que C »rvo y Kavarre) que por !o mismo en virtud de lo dispuesto en el articulo 122 del t¿*, decían» q j- el ju am.nto »e reduc a i ^uaiuar - ¿ .o ) cb de: r a ia 1-'en.do r-g amento deben sugrim'rsj los estudios d: tercera e…</t>
  </si>
  <si>
    <t>Mana</t>
  </si>
  <si>
    <t>…oo Gobierno di que S&gt;. MM. y AA continuaban sin n '.-.rij; en .u n* rs., ven población d. tn nos de acO arras 500. Segúnca id id.: en portante salud , y que la Semta. Sra. Infanta Doña Mana r r* c :c. se la primara población Ó40, en la secunda 400. Tercera id. id.: 480 en guía en el mismo estado de mejoría. la primera y 300 -n &gt;a s-vund*. Cuarta ij. id.: 310 en la prun.ra J Se I vó un oácio del Sr. secretario de Gracia y Jj t'óa, ene' vius aoo n…</t>
  </si>
  <si>
    <t>Mana, Antonio</t>
  </si>
  <si>
    <t>Antonio Mana</t>
  </si>
  <si>
    <t>…ar los títulos corres Otra. En la gaceta de ayer , col. 3 ‘, I r. , eonde dice D. An pondientes dentro del términa&lt;lb 15 dias, según está mandado pos tonio María del Valle , léase D. Antonio Mana llaf.ex. EN LA IMPRENTA NACIONAL.</t>
  </si>
  <si>
    <t>Manad</t>
  </si>
  <si>
    <t>…A pre Leída p eprobadi el acta de le anterior, ee mandó «regar á vención i te primare novedad , p recibir pnniaelmaai» tea Ardea»». ella el roto particular de lo» Sre*. González (D. Manad &gt; p Raíz del Art. ta. - Lo» oficíale» A la guardia A pravmcian murta, Rio, contrario A la aprobación dal dictamen de la» oombtone» Ecle ■¡entra» na m icpana A ln itere , subordinado» 4 Im gefe» A au» regi siásticas p de Política, «obra la ptopoaiciondd Sr. Ca…</t>
  </si>
  <si>
    <t>Manan</t>
  </si>
  <si>
    <t>…do semestre á los tenedores ce la dirección de electos estáncanos (Gaceta aei 18.) las carpetas que acreditan la entrega en su contaduría de leí re bos .i Reai orden autorizando a D. Manan» hgra , ministro interino de cupon s, y cuyos números estén comprendidos desde el 161 al 180, am Hacienda, pata que u*« de media kima. ( Gaceta del ai.) bos inclusive. EN LA IMPRENTA NACIONAL.</t>
  </si>
  <si>
    <t>Mancebo, Antonio</t>
  </si>
  <si>
    <t>Antonio Mancebo</t>
  </si>
  <si>
    <t>…o abanguientes, que vinieron en convoy de ia co&lt;b:ta de guerra María Isabel. don ir vuestros hogares 4 la solicitud de la clemencia' y del perdón que Fragata española ConiLiur/.s, capitán D. Antonio Mancebo, con la madre patria nunca negó 4 sus b jos extraviados : tiempo es ya , se carga de azúcar y café. Fragata española Union , capitán D. Juan Orbe, gún tnos, que conozcáis vuestro engaño y la perfidia de los que os con con azúcar, añil y 6o9 p.sos fuertes. Fra…</t>
  </si>
  <si>
    <t>Mancha</t>
  </si>
  <si>
    <t>…odía seguirle por el camino recto de la retirada, i Caseras, en cu viado los siguientes privilegios de juros: mrs. 304,600, alcabalas de yo punto be dejado la columna del teniente coronel Mancha, y yo con Carmona, en cabeza de Ambrosio Gentile: 33,373, de Almagro, en zoo hombrea da Extremadura, la caballería y la plana mayor m* he cabeza de Juan Gerónimo Gentile: 190,671 , de Soria , en cabeza de adelantado hasta aquí, llegando i la* 10 de la noche._…</t>
  </si>
  <si>
    <t>Mancha, D- Francisco</t>
  </si>
  <si>
    <t>D- Francisco Mancha</t>
  </si>
  <si>
    <t>…lles con vistosas co'gadu'is, hubo por la ñocha iluminación, j al día ron al fuego estos patriotas, ni la energía y entusiasmo con que mi siguiente se cantó el Te Dcum. segundo el comandante D- Francisco Mancha, puesto al frente de los Entre tamo que este pubo hacia estas patrióticas demostraciones, te mas avánzalos, les dió egemplo. También rompieron el fuego desde el reunía una gavilla de facciosos en Orihuda, los cuales habiéndose di pilinque situado al fin de la…</t>
  </si>
  <si>
    <t>Mancha, Francisco</t>
  </si>
  <si>
    <t>Francisco Mancha</t>
  </si>
  <si>
    <t>…on á las diligencias que ejecutó dirigidas á salvar la vida al general sia con la conveniente honorífica distinción los restos de los tres her I) F rancsco Milans del Bosch , y al coronel D. Francisco Mancha manos castellanos que se han extraído de sus sepulcros, asi como tam comprendidos en la causa de Lacy, de resultas de lo cual tuvo que ca bién los de los aragoneses, si fuese posible encontrarlos, hasu que eripsulase , se le concediese la condecoración que el…</t>
  </si>
  <si>
    <t>…sideraciones posibles para el pago del crédi Se acordó que pasase á la comisión de Guerra nna exposición dél to que con rama justicia redamaba. comandante del regimiento de Murcia D. Francisco Mancha* pidi ndo Se leyó por primera vez un proyecto de decreto sobre le formación que en atención á haber sido comprendido aquel regimiento en I* caula de las ¡untas diocesanas, presenta.lo por los Sres. Buruaga, Scpücn» Do* del general Laci sé le denominase regimi…</t>
  </si>
  <si>
    <t>Mancheta, Juan Lorenzo</t>
  </si>
  <si>
    <t>Juan Lorenzo Mancheta</t>
  </si>
  <si>
    <t>…junta á fin de que informase. Aprobado. dad te amortizará en acciones de its que á la Nación pertenecen en La comisión dt Diputaciones provinciales , en vista de la exposi ción de D. Juan Lorenzo Mancheta, vecino de un pueblo de la pro dicha compañía. La comisión no se detiene en dar.su dictamen sobre los 175 far vincia de Burgos, para que se permita al ayuntamiento del mismo dos de nankines de que trata la comisión anterior de Comercio, por pueblo rnagenar un…</t>
  </si>
  <si>
    <t>Mandoza, Isidro</t>
  </si>
  <si>
    <t>Isidro Mandoza</t>
  </si>
  <si>
    <t>…raba, se repite cata anuncio por la refe tespectivos sxtractos de tnóritus por ei término de go días. rida Doña Eugenia García; añadiéndote para mayor conocimiento que la edad d*l D. Isidro Mandoza en el expresado año de 11 era de aj, A prnpua-.ta d-1 consejo de Estado sa ha servido S. M. nombrar estetura dot varas, delgado «le cuerpo , pelo negro, color trigueño y para la p rtt d iurt letrado del part.do da Plasencia i Don Fran cerrado da barba; rogand…</t>
  </si>
  <si>
    <t>Manee</t>
  </si>
  <si>
    <t>…in), G-trmendía, Riego , Septicn, Bufaría, Montesinos , Arias, comandante de la columna móvil de la Mancha, con fecha $ del actual Neira, Reillo , Casas , Ruiz del Rio , González (D. Manee), Man desde la Porzuña me dice lo que sigue: Excmo. Sr.: A poco reto de mj eo, Cortés, Santafé , Gómez (D. Manuel), Aivarez Gutierres , N., salida del Corral de Calatrava en busca de la (acción del Locho tuvt Tomas, Cuevas, López Cuevas, Vareta, Salvé, Isinri…</t>
  </si>
  <si>
    <t>Maneja, Francisca</t>
  </si>
  <si>
    <t>Francisca Maneja</t>
  </si>
  <si>
    <t>…que tocios ios días del año sean de trato jo, bre dicha solicitud- Aprobado. excepto los domingos y el día del Señor, y que ios de la Virgen y La misma en vista da la instancia de Doña Francisca Maneja, v'uotros santos se trasladan a los domingos. da de D- Antonio Cbst, cirujano mayor de egérc to, qu i nd -** del Otra de los Sres. 'aavedra , Melrndez, Arallano y Galiano, relati Gobierno porque no la hab a concedido el goce de so '" u J.-dar*, v ,uva á que t…</t>
  </si>
  <si>
    <t>Manent, Juan</t>
  </si>
  <si>
    <t>Juan Manent</t>
  </si>
  <si>
    <t>…espués de roto el fuego: 4 su sa Francisco García Hidalgo, subteniente de la de £uja:anc-, con un sol lida tuvo un caballo herido, que ha sido recuperado; pero esta aun no dado, y D. Juan Manent, subteniente de infantería de Mal.orea, con 3 se me ha incorporado. Como a las dos horas de fuego me pasaren un toldados del mismo. parlamento por medio de un vecino del pueblo , firmado por un tal Idem i4Francisco Coll, que se titula comandante: en él decía…</t>
  </si>
  <si>
    <t>Mangau, Pedro</t>
  </si>
  <si>
    <t>Pedro Mangau</t>
  </si>
  <si>
    <t>…ue no hagan servicio.** Aprobado. La comisión de Instrucción pública, en v.st* del expediente pro Art. 14Ó. «El miliciano de cuaquier grado que te inutilizare en movido por el Dr. D. Pedro Mangau, lector del colegio de Irlandeses acto del servicio disfrutará de una pensión vitalicia proporcionada á tu de Salamanca, sobre el pago de 17Q ra. anuales que por tesorería gene dase , si no tuviese bienes propios suficientes para su subsistencia y la dt ral e…</t>
  </si>
  <si>
    <t>Manía, Sebastian</t>
  </si>
  <si>
    <t>Sebastian Manía</t>
  </si>
  <si>
    <t>…ar.d t Aij.nr.a , qu- fue electo en is ses-r.n de *&gt; e-; r n»iu&gt; t oci'.s cor, que se lrs ha de pagar - Creo pues que estamos en el b'éndos.- pruccij.do a la vot.c.on sa. ó electo D. Sebastian Manía di ca.„ d. conceder ni Gobierno lo que pide. Campo por 1 oy votos de t 11 de total. 1 ! ir. Gómez Becerra : El Gobierno ha pedido una cantidad para Para a de Válet e a se proponía 1 loa Sres. D. P.-dro Pusi-r’a , Don el an-.iüii uto de la tuerza nrval que cre…</t>
  </si>
  <si>
    <t>Manió</t>
  </si>
  <si>
    <t>…abian abandonado el dia anterior *, y con este motivo paró á S. Hila* al presbítero D. Pablo Fernandez de Castro, uno de los 69 ex-diputario para combinar un plan de ataque con el brigadier Manió y el co dos á la» ordinarias de 1814 que firmaron el manifiesto ó representa mandante Pínganos. ción al Rey con fecha de 1 a de Abril de aquel afio, en el atrio del Mataré. Idem. Una compañía de la milicia voluntaria de Arela edificio que ha pertenecido antes…</t>
  </si>
  <si>
    <t>Mannel</t>
  </si>
  <si>
    <t>…ie de despojo á los or Arguelles si se hsbia cump'ido con lo prevenido en la orden de las dinarios. Cortes de i* de Mayo de 1813; y habiendo contestado algunos seño El Sr. Gómez ( D. Mannel) dijo que entendiéndose pos ordinario* res diputados que si , quedó aprobado el dictamen. - no tolo lo* obispo* sino en cierto modo los p 11 roeos por su institución, El 'r. presidente dijo 41- se procedía a la discusión del dictamen era claro que estos estab…</t>
  </si>
  <si>
    <t>ManneljCan, D-</t>
  </si>
  <si>
    <t>D- ManneljCan</t>
  </si>
  <si>
    <t>…usa* tal ves de Marforell, Manrcsa y Barcelona , que al mando del espitan Josef estas, palabras^ péio cuando se ha detcorrulo ya une-parte del velo es pre Moya, de MarrorcK, y dal teniente D- ManneljCan4e Aner, del ha* ciso. que. se rasgue,, pues seria un absurdo quererle Otnrret nuevamente, y tallón de Manresa, acudieron á mantener el orden y aumentar el brillo asi es preciso bsnt otros pnntade apoyo. El derecho divino y tu omni de la fiesta, ni los ciudada…</t>
  </si>
  <si>
    <t>Mano, Rufo Mi</t>
  </si>
  <si>
    <t>Rufo Mi Mano</t>
  </si>
  <si>
    <t>…tarros ingleses, de ca pernumerario del reg miento infantería de Navarra , con 670 rs. bida de cuartillo y medio cuartillo. Los da fuera harán sus pedidos al Calahorra al cap tan D. Rufo Mi Mano , segundo ayudante del ba mismo D. Manuel del Castillo. tallón lie ro de Rarbastro , con 600 rs. La Union : gran vui pata forte-piano, por el ciudadano C. P. So Fivueras al capitán f&gt;. Josef C.rr-ra, segundo ayudante del regi hallará de venta en el eslabiecim…</t>
  </si>
  <si>
    <t>Manrcta, Vi De</t>
  </si>
  <si>
    <t>Vi De Manrcta</t>
  </si>
  <si>
    <t>…onfirmó el nombramiento del l.mo. Sr. D. Juan García Benito, sores de ia fe, y defienden tus intereses particulares” actual obispo de Tuy, para la mitra de Santiago , y el del ¿t. D. Vi De Manrcta avisan lo siguiente : - Los de Murcia al regreso de una cente Ramos y García, vicario general de la dióces.s de tíuadix , para expedición que han hecho á Moya han traído á un facción vivo para la de Segorve. También se ha ocupado S. S. en la beatificación del…</t>
  </si>
  <si>
    <t>Manrique, Antonio</t>
  </si>
  <si>
    <t>Antonio Manrique</t>
  </si>
  <si>
    <t>…0. cabeza de D. Bartolomé García de la Calzada—ti. Millones de Gra 6000. nada, en tres juros 965,613 maravedises: uno de 66,700: otro de 126,11 a ; y otro de 77&gt;i7&gt;9t en cab:zi de D. Antonio Manrique ds Madrid 3 de Diciembre de 1811.sCoronel presidente, Francisco Guzman y D. Alonso Perez. —'Ir. Media anata de mercedes, juro Fernandez Golfín. reservado de 583,544 mrs., en cabeza del citado D. Alonso Perez___ Juicio de Jurado. *3. Servicio ordinario de Córd…</t>
  </si>
  <si>
    <t>Manrique, Jacinto</t>
  </si>
  <si>
    <t>Jacinto Manrique</t>
  </si>
  <si>
    <t>…en en este tiempo podía armarse, vestirse, esta solicitud. Aprobado. enarbolarse &amp;c., también se necesitaría tr uchísimo tiempo para aco La de Premios, en vista de la solicitud de D. Jacinto Manrique, piar antes todos los efectos; por todo lo cual creía no debía hacerse gefe político interino que fue de ia provincia de ¡salamanca, para que una rebaja tan considerable respecto de las cantidades que habían de en atención i sus padecimientos y servicios se l…</t>
  </si>
  <si>
    <t>Manrique, Joaquín</t>
  </si>
  <si>
    <t>Joaquín Manrique</t>
  </si>
  <si>
    <t>…os se forman del estado Gaspar Aguilera , D. Juan Cortés, D. Francisco de la Carrera , Don de la Península , lo cierto es que nuestro crédito se aumenta. Las ins Sebastian Andrés, D. Joaquín Manrique y D. Joaquín Lumbreras. cripciones de i8ao estaban el 13 i 6-J; y las de 1811 á 6$. (En 27 Habida la conferencia declaró por unanimidad no haber lugar í la de Agosto estaban las primeras á 65!, y las segunda* á 64$.) formación de causa. SUPLEMENTO</t>
  </si>
  <si>
    <t>Manrique, Joaquín Manrique y</t>
  </si>
  <si>
    <t>Joaquín Manrique y Manrique</t>
  </si>
  <si>
    <t>…permanece en este hospital tratado tino Olozaga, D. Casimiro Martin y D. Santiago Delgado. Fue de con una humanidad de que es indigno. Dios guarde á &amp;c. Tudela y Opinión contraria D. Joaquín Manrique y Manrique. Agosto 11 de t8aa.=sEl capitán comandante Manuel Martínez de Morentin.=M. I. Sr. gefe superior político de esta provincia.” Fn la muy heróíca villa y corte de Madrid , rmnidos los jueces de P. D. También concurrió á la defensa armado de su fusil el pa hecho,…</t>
  </si>
  <si>
    <t>…dera para establecer un En su vista se reunió el jurado compuesto de los Sres. siguientes: puente en el Boucau. También se habla de enviar un agente secreta D. Martin de Zarandia, D. Joaquín Manrique y Manrique, D. Do cerca de la regencia de Urgel.” Otroa periodista» dicen que se retiran al mingo Fernandez Angulo, D. Josof Luis de Aniandi, D. Joaquín de interior varios regimientos. la Vega y Quintana, D. Andrés Moya y Luzuriaga, D. Valentín de Austria. Muchas eran l…</t>
  </si>
  <si>
    <t>Manrique, Juana</t>
  </si>
  <si>
    <t>Juana Manrique</t>
  </si>
  <si>
    <t>…sabéis. Algún exceso par mrs. tu dos privilegios, uno de 574,653 , y el otro de 175,347 enca cial que haya podido ocurrir , debe atribuirse mas bien á los impru- beza de la dicha Doña Juana Manrique, sus fechas 5 de Febrero y it d-ntfs que abandonaron sus hogares, y á que e soldado que pelea por de Agosto ds 1600: otro en el tercer medio por loo de Córdoba da ei sosiego y f licidad de sus compatriotas , y que de consiguiente de 801,6,4 mrs. rrt la de D.…</t>
  </si>
  <si>
    <t>Manrique, Luis Fernandez</t>
  </si>
  <si>
    <t>Luis Fernandez Manrique</t>
  </si>
  <si>
    <t>…sa Carrillo, en Madrid i 14 de Mayo d» &lt;510__Otro de un juro de 937,500 mrs. sobre las salinas da Poza i Habiéndose denunciado al Sr. alcalde constitucional de esta M. IL favor de D. Luis Fernandez Manrique, á ag de Diciembre de 1578— villa D. Cayetano Rubio por D. Gaspar Soiiverts el papel titulado: Otro de un juro de 337,847 mrs. sobre la renta de naipes de Toledo, Otvrrmtiat que ha haii.ia aytr tu la Moncha &lt;¡re., como injurioso y despachad» á favor de D. Góm…</t>
  </si>
  <si>
    <t>Manrique, Tomas María</t>
  </si>
  <si>
    <t>Tomas María Manrique</t>
  </si>
  <si>
    <t>…tro i.° de Junio de 1821. togado, juez de primera instancia de esta II. V. , dada ante el eicr.bi 14. Pero ti los servicios indicados en la regla 13 los hubiese pres no del número D. Tomas María Manrique, ss cita, llama y emplaza tado alguno, que ante» de contraerlos haya sido empleado con Real por término de 15 dias como último y perentorio que se les concede, á nombramiento, y los justificase con documentos competentes, se le ad D. Domingo Garrido y D. Seba…</t>
  </si>
  <si>
    <t>Manso</t>
  </si>
  <si>
    <t>…robada el acta de las elec niendo 5 el Sr. duque del Parque , 4 cada uno de los Sres. Villaboa y ciones de la provincia de Toledo, y los poderes del Sr. Escovedo a;re Valdés, a el Sr. Manso, y uno los Síes. Blake, Buey, Becerra , Cano, glados i la Constitución ; en este estado . en virtud de la nota de la Ladrón de Guevara , Prado y Marchámalo. Diputación permanente, habia distinguida la legitimidad de los pode En la séptima votación salió elect…</t>
  </si>
  <si>
    <t>…r. Salva pidió que se leyera la consulta del tribunal supremo de por la negativa. Justicia ; y asi se verificó. El Sr. Soria: Se trata de que el tribunal supremo de Justicia n* El Sr. Manso: Sin duda que el Congreso se ha penetrado de la gran ha dado cumplimiento á las órdenes de las Cortes sobre que remitiese de importancia de este asunto, el cual llamó la atención del supremo al tribunal especial de las mismas la causa pendiente contra el Sr.…</t>
  </si>
  <si>
    <t>…pueden el orden y la libertad. los montes de Montenegre y alrededores de la villa de $. Celoni, que » Despreciad, sencillos ciudadanos, esos genios hipócritas; esos ma ocupaba el brigadier Manso. La persecución activa del comandante ñosos seductores, que esparciendo falsas doctrinas os conducen i vuestra Arango infundió tal desatiento en ¡os miserables seducidos por él ca ruina y disolución. Manteneos tranquilos en al seno de vuestras fami becilla An…</t>
  </si>
  <si>
    <t>…rieron 4 uno, que dicen ser el mismo habla Ja duda novena, no delpea caducar, y proceda el reconoci Piandolit. miento del cspiul y réditos. I4 No debía amortizarse las memorias El brigadier Manso comunica que el coronel Colubi, después de afectas 4 capítulos y corporaciones existente* que no gozan diezmo, da haber dispers'do la gavilla de Navarro Cruz entre Vatmafía y Orut- que habla La junu nacional del Crédito público en su décima dude, viíla, se di…</t>
  </si>
  <si>
    <t>…ha En la marta pu di) electo el Sr. Romero por 98 rotos, teniendo yan liquidada los suministros hechos par los pueblos en tiempo de la 8 el rT. Afsnzo , 4 el 'r. Bustamante, 3 el Sr. Manso, 2 cada- uno de guerra de la Independencia no te les apremie por lai contribuciones los Sr s Nu'rr (ir. lo rls O } y Sedeño, uno cada uno de los sefioree que adeudaren hasta el año de 819 inclusive; opinaba que debía pasar B c-rra, M.i-ciuim!», Velasco, Muro,…</t>
  </si>
  <si>
    <t>…por el Rey, y mandado promulgar en 9 de Julio de 182a. y sabemos que en Montb-anch s&lt;* ie esp.-ra con ansia. Véndese en el despacho de la imprenta Nacional, y en las adminisiraEi brigadier Manso , precedido de una faina bien adquirida en la ciones principales dr correos de Soria, Corulla, Oviedo, Valencia, Bar yu-Tia de la indep-nd-ncia, recorrerá la provincia ofr-ciendo perdón, celona , Senda, Granada, Valladolid , Zaragoza, Badajoz, Lean, paz v ven…</t>
  </si>
  <si>
    <t>…esta paite, y presenta en el día un aspecto bastante favorable , i diré que las Cortes se han atenido para el cálculo de lo* productos de lo menos en la parte que ha recorrido el brigadier Manso; mas no sé si las rentas á ios datos que les ha presentado el Gobierno en los años an esto basta para que se cobren las rentas y contribuciones en el modo que teriores, y no es culpa da ellas el que las rentas no hayan producido, lo han expuesto los Sres. pre…</t>
  </si>
  <si>
    <t>…n y miseria. •» De esta ciudad ha salido hoy una partida para reanimar en al Tarragona xy de Noviembre. gunos pueblos el espíritu público , recoger: los. facciosos que quedaron El general Manso salió ayer de .YL.nrbanch cen dirección a! prio disperso* en algunos , y aprehender á süi encubridores. rato, habiendo dejado de guarnición en aquel punto al comandante Vi-' „ No ofreciendo el fuerte de la Merced las mayores garantías de. las con dos compañía…</t>
  </si>
  <si>
    <t>Manso, Feliz María</t>
  </si>
  <si>
    <t>Feliz María Manso</t>
  </si>
  <si>
    <t>…robado el dictamen de zaron á leer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putados. to* Sres. diputados. Aprobado. Valladolid. Sr.…</t>
  </si>
  <si>
    <t>Manso, Jos-f</t>
  </si>
  <si>
    <t>Jos-f Manso</t>
  </si>
  <si>
    <t>…i situarse en Tafalia. El resulta tiroteo ha durado tres hora», habiendo dincuo el fu-ar. oe la arr.i.rdo fue haberles muerto sobre 40 , y herídoles 60, sin que por nuestra ría el brigadier D. Jos-f Manso, que cabalmente se hallaba en esta por parte hubiese habido mas que 18 heridos levemente, entre estos cinco casual dad y de transito para esa c unad; y viendo que se hab a retar o: cíales. Fue tal el terror que les entró á ios facciosos que no pararon dado al…</t>
  </si>
  <si>
    <t>Manso, Josef</t>
  </si>
  <si>
    <t>Josef Manso</t>
  </si>
  <si>
    <t>…era instancia de esta dicha villa,dijo: cado i V. S. en uno de mis oficios, solicitaron con ahinco, tanto del Que habiéndose observado en este juicio todos los trámites prescritos brigadier D. Josef Manso como de mí, la concesión de un indulto en por la ley, y calificado los jueces de hecho con la nota de subvenía que se les perdonase para dejar seguidamente las armas; la falta de au vo y sedicioso en tercer grado el folleto titulado Nudo Constitucional, toriz…</t>
  </si>
  <si>
    <t>…da por ahora la provisión del tículo is de ¡a ley de 17 de Abril de 1821. nuevo obispado de S. Cristóbal de la Laguna hasta el arreglo general También se leyó el oficio con que el brigadier D. Josef Manso, que del clero , opinaba que debía aprobarse. Aprobado. habia recibido la representación de Coll, la r.mitia ai gcfc político «le La comisión da Visita del Crédito público, en vista del expediente Barcelona. relativo á una consulta del Sr. secretario de Hacie…</t>
  </si>
  <si>
    <t>…rcarse para Portugal en pertenecer á dicha división , y la izquierda de Llobregat. Se reconoc rá derechura, en el término de un mes de habérsele intimado el presente igualmente al brigadier D. Josef Manso por general de la tercera for-na decreto; y en el caso, no esperado, de no obedecer esta resolución , se ja con Us tropas que existen en la actual provincia de Tairag-n.i- La procederá con arreglo á lo que previene la Constitución, relativamente cuarta la lor…</t>
  </si>
  <si>
    <t>…sucesivamente nacional voluntaria de todas armas y por los patriotas, dirigiendo los mucha caballería y mas artillería de campaña y de sitio , en términos fuegos de artillería el brigadier D. Josef Manso, que por cuasilidad se de no caber ya en aquella plaza ni la gente ni lo* depósitos de muhallaba de tránsito en esta villa , y también el convento de capuchinos ilíones y víveres. que igualmente estaba defendido por la valiente pattida que se halla des- » F.s…</t>
  </si>
  <si>
    <t>Manu</t>
  </si>
  <si>
    <t>…, Escudero, Prado, Eulate, Munarriz, Nuñz, Pacheco, aquel ¡u ar no d-b.a darse lugar ¿consideraciones particulares, votó el A unió, -aavedra , Galiano, M :lendez , Diez , Goal 1 ( D. Manu:l), ir. Riego contra el dictamen. Buey, Lapuerta, Jiménez, Santafe , Lagasca, López Cuevas, Saoge-</t>
  </si>
  <si>
    <t>…e el prest de soldado y aloja Sres. Ruiz de la V ga y Fa cón , a el Sr. Luque, y uno lo* Sres. More miento correspondiente, cargándose este gasto al fondo del imprevisto no Gom z (D. Manu..), Piat, Lapuerta, Marchámalo , Alava , A¡- general. Aprobado. llon , Saavedra, B.Certa , Sedeño y Grases: total 114. Se leyó la siguiente proposición del Sr. Isturia , que te declaró com Vara prim.r sup ente salió electo el Sr. Soria por 84 votos, tenien pr…</t>
  </si>
  <si>
    <t>…las Dijfoticiunti tronutoriai. fia .as. Por tanto creo que no hay inconveniente en aprobar el dictamen. Quedaron aprobados sin discusión los artículos siguientes: El Sr. Gf,m z ( D. Manu 1) : El cero no debe ser ambicioso ni as Art. 186. - Se proroga por uu año ei term no decretado en 4 da pirar á grandes bu-nrs; prio tampoco debe estar reducido é suma esca Mayo de 1821 , para que los ayuntamientos puedan autor.ztr e* pasa sez ; ; y qué m dio…</t>
  </si>
  <si>
    <t>…e dos meses que señala aqu üa á tr.s pretjes, qu* estaban por e' s st ma, arrebataban a 'a mure d.l comind-jr.ts pasado el cual y no cumplí ndo, se tendrán dichos d st:not mdcfr.t'D. Manu ’ Morentrn . y á la h-uriana :e! vo.untar o D. Riruon G r- blem-ht: por vacantes: que se encargue í los intcnd ntes qu- bajo la barO, y robaban la» casas : p ro oportunamente se pre. uto en la&gt; a.tu- mas estre.hi responsabilidad dup.iqcrn su vigilancia sobre…</t>
  </si>
  <si>
    <t>…r. que e! per odi-ta u fr.» Echagu.bei , Fr. K»m.-i C r o. , e presbítero D. Forando Aibisu, es mas flanco d cc. rdo muera la l • qel español que e- D. Juan Luis de A- u i-i/.iu , D. Manu ' de Ira-usta , D. Martin lando -;v t ¡a Cmstltu. ' 1 '? c1" 1 al mismo t-etvp» el puñal hasta ti 1 n espaúola, v p-rMn uel il Ira /os v 1 &gt;. N' v o M.-ndiburii saliesen c\.'Uls«&gt;* del quinto coraz n. F.l ei.’írj no qui-re 'a l*-rtud de 1 Vzc : : :-r - . . v…</t>
  </si>
  <si>
    <t>Manu-I</t>
  </si>
  <si>
    <t>…oberbia ciudad adornada de puertas y arcos triunfa justicia. les como lo* de Tito, de Séptimo Severo y de Constantino, donde te Por edicto de 8 de Agosto de este corriente afio de D. Manu-I ven algunos bajos relieves que se quitaron del de Traj.no, los cuales com Franco , juez letrado de primera instancia de la ciudad de Valencia , se parados con los que posteriormente se pusieron en los parajes que ocu cita y emplaza á los que se crean con dere…</t>
  </si>
  <si>
    <t>Manu-l</t>
  </si>
  <si>
    <t>…a dicho que con los alcances que tiene por 66 votos de o a. e; ministerio di Marina por los presupuestos de los años anteriores, Para -a de Cacere* los Sres. D Manuel López Varo , D. Manu-l v i)i- a-.cier.den * "3 millones, puede pagar los haberes personales María Alférez y L&gt;. Manuel Miranda, y fue eletto ei Sr. A ítr z por á !o. contratólas Scc. ; y de esto se halla persuadido el Sr. secretario de ga votos d- 99. site runo. Esto es pues lo que…</t>
  </si>
  <si>
    <t>Manu-O</t>
  </si>
  <si>
    <t>…del art.cu B ,rb‘,ne.! :\u na esto dar en tierra co* lo mismo qu: se pr-trodé lo 87 que de! 1,0. co n ivar mta.to: La Con,tituc on stn el K v Femar.- - vi: qu.daría El *&gt;r. Gom z (D. Manu-O: D-sde luego convendría en qu* se v oaia; y lo, espi .0.:' e,t«mo» muy r-sue'.t-'s ' tenerla tan -r.traprobise el aitículo, si ndo el Gobierno el que hub ese de r &gt;0 ver so pra como el i» es, hasta que per C ,ev v ji dehdo t mpo ,e hagan bre este asunto, pnrq…</t>
  </si>
  <si>
    <t>Manual</t>
  </si>
  <si>
    <t>…c Art. aag. «Habrá un gefe político en toda* las provincias en qus poco* dias, podrá hacerlo." baya d puracion provincial; y med ante a estar ya lucha la división Lo* Sres. Gómez (D. Manual) 7 Aiilon opinaron que no d b.'a provisional del territorio español, no podn haber gefe po ¡tico subal aprobarte el artículo , porque de lo contrario ai un gefe pont eo in-.e terno en ninguna parte, sin que lo acuerden las Cortes a ptopu-sta del indolente ó a…</t>
  </si>
  <si>
    <t>Manuc</t>
  </si>
  <si>
    <t>…lo contrario. Esta no goza de las garantías que conce íu.:.; uno el delator y otro el aprehensor. de la Const tucion á los ciudadanos, pues que no sabe qué prcvid.-ni- Sr. Gómez ( D. Manuc ) : Cuando la comisión propuso que C:as toma el g;fe político. ; Y el usar de esta mcdidi conua un espa r.:ev-n los jueces los que ejecutasen la prisión , se impugnó su medida ñol a quien acaso no te ie puede considerar como ce as i.radar , no per esta causa…</t>
  </si>
  <si>
    <t>Manue</t>
  </si>
  <si>
    <t>…n cieita cantidad por ella. Va lads&gt; id s D Josef Fuente Herrero, d‘ M.idr d . par» a, d- y..,_ nadas D. Juan Afon», Morusa, de a Mora d. • r s ARTICULO DE OFICIO. Us de Sev ¡ia * D. Manue lnn; ia.r More-o-, ¡ a i i, y, » Circulares del m‘nTa:ri:) de ia Ct r' ’; i '¡ le .'i T1'■ 1 . ’ i. D l'ranc.sco 0«m ao, abogas4,, •’ • T p -a ... . • Siendo de la mayor urgencia «i qu: s: t!:ve a deludo cic.n ti Eduardo Tailds , de Fuente de Hume . para ¡a.…</t>
  </si>
  <si>
    <t>Manue, Juan</t>
  </si>
  <si>
    <t>Juan Manue</t>
  </si>
  <si>
    <t>…graduado conde de Cesa-Rojas, espí provine aies, con tos 450 n. a mes que disfruta en prov.ncia. an agregado ni regimiento infantería Infante D. Cártoa; sin suelda por Monterey á D. Juan Manue. González Araujo, teniente coronel no disfrutarlo. graduado y segundo ayu'ante mayor del segundo regimiento de ¡a Alcor á D. Francisco Antonio Lloret, comandante supernumera guard a Real de infantería, con el sueldo qu- d.sfruta. rio de infantería del regimie…</t>
  </si>
  <si>
    <t>Manuei</t>
  </si>
  <si>
    <t>…n loa informes y documentos originales.” vincia.'’ Aprobado. . Se suspendió esta discusión, y se mandaron pasar é la comisión do* Se leyó el a !. 99. adicione*, una del Sr. Gómez (D. Manuei) al art. 96 , que decía a, : Ait. 99. » En las obras nacionales, que por su extensión ó impor ” Imponiéndose multas proporcionadas á los ayuntamientos que no re tan: a , y por internar al raí no en general, esten inmediatamente á mitan las listas con la puntu…</t>
  </si>
  <si>
    <t>Manuel</t>
  </si>
  <si>
    <t>…ron con agrado, y mandaron'pasar á la biblioteca, 6 creto de la* Cort-s por solo no recargar al Crédito púb .co en 4 ete ú ejemplares del cit cómo político presentado por su autor D. Manuel ocho mi dones, que seria á lo mas á lo que podrían ascender lo» capita Lop.z Cepero. Se mandó hacer mención en ci acta. les de que se trataba , lo» cuales se d. b¡an pagar por I» tesorería. A-s-mas, La» U&gt;rtji quedaron enteradas de dos oficios del Sr. secreta…</t>
  </si>
  <si>
    <t>…se separaban de la mayoría de la comisión, y opinaban que debía Art. *39. • Igual pena rufrirá el que 4 sabiendas derr haré, rom declararse haber luear á la formación de causa ál brigadier D. Manuel piere, mutilare ó destruyere alguno de les objetos destinado» al culta Francisco de J»uregu¡, quien en su misma exposición concluye supli públ ico.* cando que su conducta sea examinada ante un tribuna!. El Sr. PüigWinch dijo que no sabia que tuviese nada de m…</t>
  </si>
  <si>
    <t>…e: El Gobierno ha recibido hoy de oficio le noticia de haber entrega » Esta táctica, usada ya hace mucho tiempo por un puñado de homdo el mando militar de la provincia de Cádiz el brigadier D. Manuel » brea sin virtudes , sin honor y llenos de ambición , no me era descoFrancisco de Jíuregui al de igual clase D. Jacinto Romarate el dia 10 » nocida; pero he procurado llevarlos por el bien con el objeto de sadel actual, con arreglo á la Real orden de ra de D…</t>
  </si>
  <si>
    <t>…cop a, cabeza completa; adjudicándole otro estuche de cuarto orden con doe y ahora veremos si se egecutó con cuidado y exactitud. láminas: D. Francisco Araujo, D. Manuel Mosquera, D. Manuel ,,Toda la sala estaba sembrada, como ordinariamente sucede, de obras Ca nbos y Senes, D. Manuel García, D. Eulogio López, D. Cirios de escultura: el planisferio ocupaba la parte del techo que a¡ entrar se Esteves, D. Josef Moreno Montea, D. Josef Armada», D.…</t>
  </si>
  <si>
    <t>…z, vecinos de dicho lugar, D- Vicente Ruiz Carabantes, y por su cera clase los de S. Miguel de la Palma y Arrecife de Lanzarote, y da fallecimiento su viuda, que lo es de Soria, y D. Manuel y D. Antonio cuma clase eí puerto de Cabra en Fuerte-Ventura, el de S. Sebastian del Cura, que asimismo lo son de Dueñas, pidiendo la preferencia en la posesión y propiedad del citado vínculo, para que dentro del en ia Gomera, y el del Golfo en la isla de Hierro. Att. 6.°…</t>
  </si>
  <si>
    <t>…idad. Sus obeliscos son aun en al - tu averiguación, se cita, llama y emplaza al referido conde y sa her día, tanto por tu hermosura, como por tu elevación, el principal orna mano D. Manuel, para que en el término de do» meses, contados des to de Roma, pues los romanos con todo su poder creyeron hacer bas ale este anuncio, se presenten por sí ó por medio de procurador coa po tante por su grandeza trasladando á su patria lo» monumentos egip der b…</t>
  </si>
  <si>
    <t>…a producido inmediatamente reli secreutio de Gracia y Justicia: á D. Luía de Balanza! secretario de aquella indignación santa que se apódete del corazón el ver profanada Guerra: á D. Manuel de la Bodega secretario de la Gobernación da lamagestad y soberanía del pueblo , y el vivísimo dmeo de que V-M. Ultramar; y á D. Francisco Rotúrate secretario de Marina. Las Coi* aplique el cauterio legal 4 anas heridas, que si no'se curan prontamem tes queda…</t>
  </si>
  <si>
    <t>…argo cuando han faltado los propietarios , como se verificó con Don genis, Galiano, Gómez Becerra, Lamas y Méndez , Abr-u , Adane Juan Muñoz Aianiz, que entró por fallecimiento de D. Manuel ~anro y Seoane. chez Toscano, y D. Juan Otoño, que entró por ia muerte de D. Jos.f Eclesiástica. Sres. Mclendez, Fernand-z, ArgiieiK ?. Sedeño, Gó Rodríguez de Casal; y finalmente en ia Diputación permanente por fa mez (D. Manuel), Maní, Nufiez (D. Toribio),…</t>
  </si>
  <si>
    <t>…r.ta de qu • s; tra Gracia y Justicia, en el que decía que atendiendo ei Rey i que la en taba seria parte acusadora ó parte defensora del tribunal de Guerra y fermedad que padecía D. Manuel de la Bodega le había impedido pres Marina. tar el juramento de estilo, y tomar posesión de su destino de ministro H Sr........ dijo que aquí no habia mas datos que el informe d.’ la de la Gobernación de Ultramar, y respecto i que esta detención po comisión;…</t>
  </si>
  <si>
    <t>…que se discutían estas adiciones, y que es Taboada , Garoz, Marchámalo, Ladrón de Guevara, Cano, Gonzaicz peraba que loa $res- diputados se ceñirían al asunto en cuestión , pues (D. Manuel), Vargas y Jaime. observaría con rigor el reglamento, llamando al orden al que se des El Sr. presidente dijo que mañana por la noche habria sesión públi viase del asunto. ca para continuar la elección que quedaba pendientey levantó la de Durante esta discusió…</t>
  </si>
  <si>
    <t>…habia recaído siquiera Scsé , Pacheco , Silva, González Alonso, Alix, Galiano , Saavedra, un auto contra él i su provincia le otorgó los poderes, y en el acto de Melendez , Gómez (D. Manuel), Sotos, Jiménez, Lagasca, Romero, presentarlos se te dice que está suspenso de los derechos de ciudadano, González Aguirre, Soria, Sangenis, Lillo, Marau, Serrano, Beitraa es decir, que no lo estaba en el día de su nombramiento, y por lo de Lis, Gisbert, Fal…</t>
  </si>
  <si>
    <t>…poyo la proposición que se ha presentado. Cuevas, Vega , Surra, Jaimes, Alcántara, Becerra, Cano y Alvarez El Sr. secretario de Gracia-y Justicia : La Constitución autoriza á las (D. Manuel). Cortes para usar de su derecho remitiendo á la sanción Resi por prime Resultando que aprobaban la proposición 76, y 54 que la desapro ra , segunda y tercera vez un proyecto de ley; respecto de esto arda baban , quedó aprobado. tiene que ver el proyecto que…</t>
  </si>
  <si>
    <t>…presente que estos sucesos son muy González Prieto. parecidos i los que precedieron ¿ la destrucción del régimen constitucio Se dió cuenta de una exposición del mariscal de campo D. Manuel nal en el afio 14; y ademas, que no solo en Madrid sino que en las Velasco, en la que hacia presente que habiendo declarado las Cortes provincias hay un plan combinado para promover igual catástrofe. Es extraordinarias la formación de causa contra ¿I, habian…</t>
  </si>
  <si>
    <t>…fe» de todos los ramo* en la* provincia» Abfcu Nufiez, Silva, Goozalez Alonso, Alia , baavedra , González darán parte bajo Ja ota* estrecha responsabilidad de lo* empleados subal (D. Manuel ), Gal ¡ano , Jiménez, marque* de ia Merced, Lagasca, ternos suyos que se les presenten dentro del término señalado en el ara Romero, González, Aguirre, Soria, Libo, Serrano, Melendez « título tercero, y de los que no lo hayan verificado contra lo que en él r…</t>
  </si>
  <si>
    <t>…a, participando á las Prevcsa. Cortes que S. M. había tomado en considerac on la renuncia que habia Segun otras cartas de Semlin, lejos de ser cierta la noticia acerca de hecho el Sr. D. Manuel de la Bodega del ministerio de la Gobernación Alí, este ha derrotado á Churschid, poniéndole en una situación muy de Ultramar; y atendiendo á la enlernaedad que padece, hab a tenido apurada. i bien relevarle de dicho encargo , y nombrar en su lugar á D. Diego…</t>
  </si>
  <si>
    <t>…erarán comprendidos pera todo lo relativo 4 tesinos, Silva, González Alonso, Alix, Galiano, Saaredra, Gómez sus marchas, uso de agua* y puto* 4 lo prevenido por la* Corroa en la* (D. Manuel), Melcndez , Jaimes, Santafe , Romero, González tres primero* artículo* de le ley de 2$ d* Setiembre da i8ao, sánete* Aguirre, Soria, Sangenit, López Cuevas, Lagatca, Lillo, Marau, nada en 14 de Octubre siguiente. Art. a.° No te enteadrián por pas Serrano, So…</t>
  </si>
  <si>
    <t>…bernador de la plaza de Zamora D- Juan Martínez el Empe algunos estuvic* n beneficiando minas en terreno de dominio particu cinado, al coronel comandante de ingenieros de la misma D. Manuel lar ó de algún pueblo, continuarán sus trabajos, pagando ei terreno y de Tena , al teniente del regimiento de infantería de Vitoria O. Má los daños y p rjuiciot que causaren; y lo mismo har-n los aduno vira ximo Keinoso, al asesor D. Bernardo Peinador, y al j…</t>
  </si>
  <si>
    <t>…as veces , hasta que nos tuviésemos que arre co, Silva, González Alonso, Ai.x, Gatuno, Sauveor*, G‘tr.cz glar á la cantidad iijt que ia Nación pudiese satisfacer. Por consiguien ( D. Manuel), Latee, Opio, Jiménez, Jaimes, Santa Fe, La.,..ca, te eco que no se puede pasar por otro punto que el que he insinuado; Remero, González Aguirre , Soria , Su rigen.» , López Coevas, Maiau, y apareciendo que ninguno de los Sres. preopinantes ha atacado el dic…</t>
  </si>
  <si>
    <t>…nuye los contribuyentes y produc Zulueta, Nufiez, Pacheco, Silva, Alonso, Alix, Galiano, Saavedra, tores , y aumenta los qne consumen sus fondos y sos frutos? &lt; El preci González (D. Manuel), Jiménez, Lagasca, Romero, Aguirre, Soria, so ramo de contribuciones, y aun la violencia de los impuestos cubri Ullo, Sanano, Meca , Villaviejá. rán no ya el déficit de la Hacienda pública, tira el todo de su hsbct Loe Sres. qne no la aprobaron fueron los si…</t>
  </si>
  <si>
    <t>…res de los Sres. Lodares, Nulíez (D. Joaquín), Ruii vincia , pues en las primeras á falta del gefe político debía presidir el del Rio, Ladran de Guevara, Sánchez Casas, González ( D. Manuel ), alcalde primero de U cabeza del partido según el art. 6/ de la Consti Albezr , Cueras r Villaboa, contrarios é la resolución de las Cortes , por tución ; p en cuanto á las segundas nada prevenía el art. 8t en el caso la cual se aprobó la medida sexta del d…</t>
  </si>
  <si>
    <t>…pararse ana provin co, Marau , Nufiez, Silva, González Alonso , Alia , Alcalá Grl in-, cia particular de Espafia con todo el reino. Por otra parte el Sr. secre Saavedra, González (D. Manuel), Jiménez, Lagasca, Romero, Lii .0, tario no ha cumplido con lo que previene la Constitución, puesto que González Aguirre, Soria , Serrano , Meca , VilFavíeja, Rio , Sequ-rr, desde i.° de Marzo no se han presentado todos los datos necesarios Adan, López del B…</t>
  </si>
  <si>
    <t>…a, se acordó que no. Se leyó integra esta exposición, la que declararon las Cortes ha Se aprobó une proposición de los Sres. Vdasco, Flores Calderón y ber oido con agrado. Gómez ( D. Manuel) , dirigida i que se pidiese al Gobierno noticia de El Sr. Alava dijo; Debo llamar la atención de tes Cortes acerca de las providencias dadas por las autoridades de Burgos para exterminar la los desgraciados sucesos de Pamplona. No quiero hablar de las notici…</t>
  </si>
  <si>
    <t>…aes En Aran jura é 14 da ligencias practicadas para su averiguación; ae cita, llama y emplaza 4 Marzo de 1811. = A D. Josef Marta Motcoso da Altamisa.” referido conde y tu hermano D. Manuel, para que en el término ds dos meses te presenten por si ó por medio de procurador coa poder Cireulares Jet ministerio Je la Gíkemaeio* Je la Peníntula. bastante á usar del derecho que crean asistirle* en los referidos autos n Consiguiente al art. s.° da la o…</t>
  </si>
  <si>
    <t>…lviera al Gobierno el expediente para que lo los votos particulares de los Sres. Ruiz del R:o, Lodares, Taboada, mandase instruir. Quedó aprobado. marques de la Merced, González ( D. Manuel ), Sararí*, Bauza , Ló Otro sobre el expediente promovido acetca de le reparación del pez y Trujillo, contrarios á la resolución de las Cortes, por la cual se puente de S. Vicente de la Ba&lt;quera: la comisión en vista de las ob mandó exigir la responsabilidad…</t>
  </si>
  <si>
    <t>…aró no haber lugar i votar la proposición que se discutió Tesados , los atienda según sus méritos. Aprobado. ayer de los Sres. Canga, Septum y Orduña. (Jiro sobre la exposición de D. Manuel 15. ítran de Lis para que La, Cortes oyeron con agrado una rxpssicion de los individuos del de los caudales que se le adeudan por la Nación se apliquen abuno» ai i.° batallón de Cataluña, felicitando á las Cortes por su instalación. socorro de las viudas y hu…</t>
  </si>
  <si>
    <t>…cordar el art. 126 Casas, Marti, Sarabia , Rom , Pedral vez , Merced, Lodaret, Ruiz del de la (..onstituciop , en que se dice que será responsable el secretario del Rio, Gonza'ez (D. Manuel), Manso , Benito , sotos, Paterna, Tomas, Despacho que firme una orden contraria á las leyes, sin que le sirva de Quiñones , Marchamólo, Cano, Guevara, Prado, Escudero, Eulate, escusa el haberlo mandado el Rey. Ya se ha manifestado que la orden Munarriz, Alon…</t>
  </si>
  <si>
    <t>…como comprendida en el art. soo del regla gar m tu formackn de cauiu. mento , y se la mandó pasar á la comisión de Hacienda. Se concedió dispensa de edad para manejar tus bienes á D. Manuel En la ciudad de Valencia, habiendo sido denunciado ante el señor Diez Abreser, subteniente del regimiento de Valencia. alcalde segundo constitucional D. Manuel Franco por Sebastian Cruz, Se concedió cairta de ciudadano á los individuos siguientes, según vecino d…</t>
  </si>
  <si>
    <t>…tía título firmado por el Vigilante constitucional po unanimidad el dictamen de la comisión de Guerra para qne el himno zo , denunciado por el fiscal de censan; la ley absolvió á D. Manuel que entonaba la columna del egército dd general Ruego tuero declara Canaleta responsable da dicho impreso-, y en su consecuencia el sellar do marcha nacional y de ordenanza. juez de prime» instancia D. Josef Victoriano Gisbsrt mandó qa* Se leyó Un oficio dd S…</t>
  </si>
  <si>
    <t>…úm. 11, cuarto principal, en que recibirá merced. Martin Fernandez Elias , D. Jotcf Marta Villaranda, D. Juan Gonzá Dictamen sobre los diezmos por D. Antonio Josef Huiz de Pa lez, D. Manuel de la Puente y Aranguren, D. V¡cante Sánchez Car- drón. Se hallará en la librería de Miyar, y en Cádiz en la de Zaragoza quero , D. Miguel del Pino y López han declarado no haber lugar 4 la 4 t a cuartos. formación de cansa, votando solamente por el sí D. Joe…</t>
  </si>
  <si>
    <t>…d¿be tenerse presen Casas, Martí, Cid, Rom, Sarabi», Villaboa, Pedral vez, Merced, te que respecto del medio diezmo que se ha cobrado se ha repartido y« Lodares, Manso, González ( D. Manuel), Del Rio , Benito , Pater como está mandado, excepto ea aquellas provincias en que por el poca na, Sotos, Tomas, Quillones, Atienzi, Marchámalo, Castro, La valor que han tenido los frutos , no se ha verificado todavía- Adema* drón , Prado , Escudero, Munarri…</t>
  </si>
  <si>
    <t>…cnriquez, Benito, Martí, Casas, Fernandez Cid, Rom.Sara- tre el alcalde constitucional de un lugar de Andalucía y un pastor de via, Villaboa, Podralvez, Merced, Lodarcs, González (D. Manuel), lucre muy claras , en concepto de incitador i la desobediencia, se re Rui* «leí Rio, Manso, Sotos, Rodrigue* Paterna , Tomas, Quiñones, unió el jurado, compuesto de los Sres. siguientes: D. Matías Pinills, López Cuevas, Atienza , Marchámalo, Cano, Ladrón, P…</t>
  </si>
  <si>
    <t>…en el Diario Gaditano de 27 de Setiem sutil ,Tejeiro, Busafta, Silva, Afonzo, Cortés, Betda, Soria, Garoz, bre último, bajo «leí nombre del Sr. ex-diputado D. Josef Moreno Gom z (D. Manuel), García, Valdés ( D. Dionisio), Sotos, To Guerra, denunciado por D. Juan González de Kivas, cónsul de Es mas, A varez Gutiérrez , Isturiz, Grases, Zulueta , Abren, Muro, paña en Gibraltar. Declararon por unanimidad abstulto á tu autor. Atienta, Cano, Guevara…</t>
  </si>
  <si>
    <t>…tro modo en vez de lograrse eco en cuanto á las demas equivocaciones que pudiese hab.t habido, que nunca serian de la comisión. nomías se aumentarían muchos gastos. El Sr. Gómez ( D. Manuel 5 dijo que le parecía pequeña la reba El ¡&gt;t. Olives dijo que el párrafo que se discutía tenia dos partes: ja que proponía la comisión , porque serian muy pocos loa monumen eu cuanto á la primera creyó que serie mas conveniente aguardar la re tos de artes que…</t>
  </si>
  <si>
    <t>…n orden las galerías. Cid , Rom , Pedralvez, Merced, Hu í del Rio , González , Manto, Restablecido el orden dijo el Sr. Valdés: En el expediente no se Soria, García, Garoz, Gómez (D. Manuel) , Sotos, Paterna , A va encuentran los datos suficientes para exigir la responsabilidad al gefe rea Gutiérrez, Tomas, Quiñones, Cuevas, Isturiz , Grases, Zu.u-ta, político; convengo en que los hechos horroroso* de Lorca piden un Muro, Marau, Atienza, Marchám…</t>
  </si>
  <si>
    <t>y\6 Rio, González (D. Manuel) , Manso , Sotos , Paterna , Tomas , Qui beneficios que podrá producir este sistema. llones , Marchámalo, Cano, Guevara , Prado, Escudero , Eulate, Mu- Ei Sr. secretario de Hacienda: Habiéndome prevenido el Sr. Canga narria , Buey, A’.vare* (D. Manuel), Latre…</t>
  </si>
  <si>
    <t>…éndose extraviado au privilegio, se suplica á la persona •* Sin embargo de estas reiteradas resoluciones de S. M., la inobser que lo tenga lo entregue al interesado, ó en Madrid é D. Manuel de vancia ha llegado basta el punto de llamar la atención de Iss Cortes, Corral, agente de negocios , calle del Olivo Alto , núm. t.°, cuarto las cuales han acordado se excite con urgencia el zelo del Gobierno, z.a, mediante 4 que á nadie puede aprovecharle s…</t>
  </si>
  <si>
    <t>…te las encomiendas del gran priorato de S. Juan, como proponin la co de las eutumiendai dd gran priorato da S. Juan, que posee el referi misión ; 4 les que contestó el Sr. Gómez ( D. Manuel) apoyando la do Sr. Infante en dicho arzobispado, opinaba que la» Corte» podían opinión que había expuesto el Sr. Velasco. servirte declarar fu la expresad» recaudación corresponde 4 los admi El Sr. Casas manifestó que en tode la Nación no había otro* curse n…</t>
  </si>
  <si>
    <t>…lorca, 4que se había aprobado 4 lo» Sres. Baiges, Canga, Surra, Soria y Ro D Ignacio María Higueras y i D. Diego Osa y Ocho»; y para las dosmero. fisca tas de la misma audiencia 4 D. Manuel de la Plaza y Farias y 4 El Sr. presidente señaló pera la discusión de 'mañana al presu D. Miguel Fluxá.puesto del ministerip de Marina, y levantó la sesión 4 las cuatro. Junta general directiva de earat de moneda. _ Hay rasgos de patriotismo y desinterés , q…</t>
  </si>
  <si>
    <t>…Sr. Beltran de Lis dijo que debía discutirse en el momento, co sobre que ta admitiese la adición hecha por los Sres. Moreno, Or atendido lo interesante del asunto. duña y Gómez ( D. Manuel) al párrafo 3.0 de su anterior dictamen, El ir. Romero contestó que á pesar de la urgencia la comisión no añadiéndote por consiguiente la cláusula de - con arreglo i los decreto* quena que se traspasasen los trámites señalados para la fotmacion de de las Cort…</t>
  </si>
  <si>
    <t>…da la Nación española, y he da hablar lo que tas, Cid, Roa, Sarabia , Villaboa, Merced, Pedral vez , González creo que ca la verdad, y nada me infunde miedo, ni aun el morir. Me ( D. Manuel) , Manso , Rio, Soria, Garoz . Paterna , Gómez ( Don lisonjeo de ser el mea liberal, y lo juro: ai algún dia viniese el despo Manuel), Sotos, Gutiérrez, Tomas, Qu:ñones, Cuevas, Ferrer tismo sobre mi patria, desde ahora para entonces me declaro su mas (D. Ant…</t>
  </si>
  <si>
    <t>…bierno. riquez , Bel da , Martí, Cortés, Casas, Fernandez Cid , Rom , Sarabia, Art. as. "Las funciones del consejo du;arán soto un año.” (Ji Villaboa, Pedralvez, Merced, González (D. Manuel) , Ruiz del Kio, continuará.') Manso, Garoz, Gómez ( D. Manuel), Paterna , Sotos, Tomas, Qui ARTICULO DE OFICIO. llones, Cuevas, Ferrer (£&gt;■ Antonio), Ladrón de Guevara , Marchá El Sr. secretario del Despacho de la Gobernación de Ultramar dica malo, Cano, Pra…</t>
  </si>
  <si>
    <t>…ue Uó descubierto m juego eo qu« no perdía jr podía ganar. no estuviesen en la capital de provincia. El Sr. Argüelka dijo que habiendo resuelto la» Cortea que la ex- El Sr. Gome* (D. Manuel) manifestó que atendida la importancia ídoa no pesa** 4 la comisión que había entendido en los negocios da este asunto para el atreglo de la dotación dd clero, podia discutiría Catatada, en de lanosa consecuencia que pasase al Gobierno, ade* en esta misma ses…</t>
  </si>
  <si>
    <t>…¡teto* comprendido jatees de hecho de Zaragoza D. Josef Broto , D. Ramón Mateo, Don en éi pata que sean juz.-a los con arreglo á la misma ley.” Antonio López, D. Agustín Alcaide , D. Manuel antin, D. Joa Lo cpcan .0 • V. d; orí n d.l R:y para inteligencia, cumpli quín banchez del Cacho , D. Joaquín de Abad y D. Mariano Catalan. miento y gobierno d; es: tribunal. Aran.uz ió de Mayo de 1022. Habiendo calificado los jueces de hecho con la nota de i…</t>
  </si>
  <si>
    <t>…uzgo preciso que se lleve y opinó por lo mismo que debía aprobarse el di?utn?n &lt;31 ¡a comisión. á efecto lo acordado, á saber, qu: se propongan medidas oportunas, lo El Sr. Gómez (D. Manuel) d jo qu? las dipuUc.cinrs pr^.s .ocíale* cual no se ha verificado todavía ; y en este sentido creo que la p-oposi podían entender en la bu?na recaudación dei m.-d.o diezmo. ción debe aprobarse para que el asunto vualva a la comisión nomlvad». El Sr. Velasco…</t>
  </si>
  <si>
    <t>…as jun el voto particular det Sr. Septien , v quedó aprobado el art. i supri tas diocesanas autoridades populares que merecían la confianza , y de miendo á petición del Sr. Gómez (D. Manuel) el art. 16 que se cita bian tener un ínteres en la buena recaudación del medio diezmo: por ba en d.cho articulo. todo lo cual creía no debía habfcr inconveniente en ia aprobación de Se suspendió esta discusión , y se dió cuenta de una con;uha del este artícu…</t>
  </si>
  <si>
    <t>…unstancies prevenidas- Art. 8.° Se autoriza á las diputacio nes provinciales para que por los medios justos, equitativos y pru Reunidos en la ciudad de Sevilla los jueces de hecho D. Manuel dentes que les dicte su ze!o, arreglen las diferencias y reclamaciones de Cosío , D. Antonio Mira'les, D. Joaquín Benjumea, D. Félix Al- da lo» pu b!os que se hayan de reunir acerca de los derechos y obli bao, D. Francisco García Otero, D. Diego Fernandez Muf…</t>
  </si>
  <si>
    <t>…do. Quedó aprobado el dictamen de la quinta está ya resuelta. Ja comisión. El Sr. Lodares como autor de las proposiciones: Si no hubiera toca Otra de los Sres. del Rio y González (D. Manuel): » Resuelto ya do de cerca los esfuerzos de la cabilosidad cuando se trata en los pue pot la*Cortes que las diputaciones provinciales repartan el cupo de la blos del reemplazo, nada diría á este propósito; pero yo mismo he vis provincia para el reemplazo del…</t>
  </si>
  <si>
    <t>…ro, requ sito el gefe político , luego no ha dado motivo para que se le exi Busafia, Silva , Ibarra , Lis , Reilto , V aldés ( D. Dionisio ) , Garoz, ja la responsabilidad. Gómez (D. Manuel), Al varea Gutiérrez, Isturiz, Grases, Zulueta, Los tres artículos primeros de la lejr de 11 de Setiembre versan so Mura, Marau , Arellano , Galiauo, Alíx , Abreu , OI ¡ver , Jímenez, bre la diferencia que hajr de preso á arrestado: la comisión no ha hecho Ai…</t>
  </si>
  <si>
    <t>…duos del egército permanente y La comisión primera Eclesiástica, en vista de las adiciones del se da la milicia nacional local, pidiendo i las Cortes tomen medidas enér ñor Gómez (D. Manuel), hechas al detamen de la misma sobre re gicas contra los enemigos del sistema constitucional. forma de las juntas diocesanas, reducidas á que se nombren sup' ntes A la comisión de Guerra se mandó pasar la siguiente proposición en dichas juntas de las clases…</t>
  </si>
  <si>
    <t>…va de hipoteca al pago de la deuda nacional, y con preferencia á los caciones en el dictamen. créditos que tengan contra la Nación los vecinos de los pueblos á que El Sr. Gome* ( D. Manuel), después de hacer varias observacio correspondan los terrenos; y debiéndote dar entre estos créditos el pri nes canónicas sobre la justicia y necesidad de llevar á efecto las leyes mer lugar á aquellos que procedan de suministros hechos en la guerra eclesiás…</t>
  </si>
  <si>
    <t>…amiento» no po jian juzgar de la vo Se mandó pasar á la comisión la siguiente adición al art. 4° d -1 luntad «le un individuo que se ob wii para cumplir la nueva ob'.icaSr. Gómez (D. Manuel): » Como as muy probable que en alguno» pue cion qu* él mismo se imponía sin desatender la suya, pues si.mpre blos no haya suficientes terrenos baldíos y realengos para repartir por te ha dicho que mas hace el que quiere que no el que puede. ciones que puedan…</t>
  </si>
  <si>
    <t>…da por la» Corte». á loa eclesiásticos. Por estas razone* creo que laa Cortes no pueden Del Sr. Muro sebre lo mismo. npaobar la medida de que se trata. De los Sres. Diez, Alvarez (D. Manuel), Lodsre», González, El Sr. Gil de la Cuadra: Procuraré contestar á las observaciones que Apoitia y Ruíz del Rio, contrarío 4 la extensión que se había dado al ae han hecho por los secretarios del Despacho. La comisión, al propo ner que informen las diputacio…</t>
  </si>
  <si>
    <t>…bieron con agrado 1a cesión que hacia de tus haberes 18 años, ó padres del mi iciano de cualquier grado que fa l.ciece en ac hasta el año 14 el teniente del regimiento da la Reina D. Manuel to de servicio contra enemigos de cualquiera especie, ó de resulta* de Rcdrigu z Losada. él." Apiobado. La comisión de Hacienda era de dictamen que debía pasar al Go Art. 148. » Si el motivo que diese ocasión i lo que te previene en bierno ei proy eto de regl…</t>
  </si>
  <si>
    <t>…s. El interes de los vendedores ó de los Rom, Sarabía, Vdlaboa , Pedral ver, Ruiz del Rio, Manso, Gom.z qu• quieran dedicarse á este tráfico seiá, si se quiere, el que esté en ab (D. Manuel) , Valúe»(D. Dionisio), Garoz , Paterna, Tomas, Cue soluta libertad la venta de este género ; porque, por grande que sea la vas , Ferrer (D. Antonio), Cano, Guevara , Marchámalo , Prado, Es contribución que haya de sustituirse á esta renta no equivaldrá á la…</t>
  </si>
  <si>
    <t>contrario 4 lo icndado f bre el cficio de! G' tierno acerca de la gair* decía: * Quedando suspenso el art. 4.° del decreto de 31 de Marzo de día Rea : otro de loa res. Gcmez (D. Manuel) y Ruiz del Rio , con ■ 821 opinaba que debía aprcbaise. trario á io remetió tobre baldíos; y otro de loa miamos refieres, contra La couns on Eclesiástica, en visca de la exposición de les benefi rio á lo resuelto sobre el Crédito público. ciados de la Kiva,e…</t>
  </si>
  <si>
    <t>…timo dijo que habiendo cal Busaña, Montesinos , Silva, Neira, lbarra , Lia , Villanucva, García, culado el Gobierno que el clero podia pagar 20 m liones, la comisión Muro, Gómez ( D. Manuel ), Garoz, Alvarcz Gutiérrez, Cuevas, no podia disminuir esta suma en los términos propuestos por el Sr. pro I.turiz , Grases , Zulueta , Valdés ( D. Dionisio), Aguirre, Marau, opinante sin recargarlos en laa demas contribuciones que gravitan so Atirnzs, Salva…</t>
  </si>
  <si>
    <t>…astejon por la de Madrid; D. Bartolomé García Romero por el empréstito rxtrangero; y qae esta noche te discutirían los asunto* la de Sevilla; D. Francisco Benito por la de Toledo; D. Manuel l i* abalado* para la sesión extraordinaria anterior, y si hubiese tiempo el fez C-lderon por la de Burgos, y D. Tor.bio Nufiez por la de Sai-&gt;dxtsm-n sobre el empréstito nacional; can lo que te levantó la sesión manca; y para suplentes á los Sres. D- Francis…</t>
  </si>
  <si>
    <t>…s rÚSIDXHCIA mi SliÑOR CON 82 BEC8ZXA. es , Ferrrr ( D. Joaquín ), Isturiz y Zulueta , Somoza, Pedral vez y Lo Sfíivn ordinaria del 24. cares, González (D. Manuel CasildoJ, Gómez (D. Manuel), y Ruiz Se leyó y aprobé el acta di la anterior, mandándote agregar á ella del Rio y Gisbcrt. fot votos particulares de los Sres. López de! Bilis y González Alonso, Art. s.° » El uso del papel sellado se sujetará i todo* lo* casos y contrarios á lo acordado…</t>
  </si>
  <si>
    <t>…larar sí hubo ó no culpabilidad en el re te en Tordesillas; Pedro Reguera; J&gt;. Juan de los Ríos, milicianos; clamante, y si es ó no acreedor á continuar en el servicio. Ciando e a D. Manuel de la Fuente, so dado distinguido de la milicia activa, j declaración fuere favorable al empleado, se le tendrá por absoelto, y .1 Antonio Reguero, paisano del vecindario. Gobierno quedará en la libertad justa de emplearle en el mismo desti no que obtenía, ó…</t>
  </si>
  <si>
    <t>…encargada de presentar su dic tobre los títulos te admitan las certificaciones de juros. tamen sobre las proposiciones del fir. Sánchez, leídas en el dia 8 de Otra del Sr. Gómez ( D. Manuel) para que las diputaciones pro Marzo, y asimismo el informe del consejo de Estado tobre el mismo vinciales por resultas de la visita que deben hacer del estado de la Ha •tumo. cienda en los pueblos informen al Gobierno circunstanciadamente 'El Sr. Galiano dij…</t>
  </si>
  <si>
    <t>…nez , Nuñez Romero, Pacheco, Serrano, Sedefis , Liilo, partido de a base de qu. deberá llevarse á efecto el decreto de las Cor- Velasco, Meca, Calderón , Aguirrc, Melendcz, Gómez (D. Manuel) t". acerca de ia&gt; fincas que hm de entrar en e Créd to público para y Sr. presidente. ara-irt z-cíoti de la d uda. Ha dicho el Sr. preopinante que se presenta Señores que desaprobaron la proposición : Benito , Valdé* (D. Ca ran mas o menos inconvenientes de…</t>
  </si>
  <si>
    <t>…o estimen nece dias antes de remitirlas á dicha aprobación.” Aprobado. sario. Aprobado. Art. 4.a » Cuando acudan los ayuntamientos á ias diputaciones pro Sobre otra del Sr. Gómez (D. Manuel) al artículo 4.°, relativa á vinciales solicitando permiso para disponer de arbitrios nuevos, ó por no que en donde no haya suficientes baldíos y realengos para her suertes haberlos ó por hallarte en necesidad de adoptarlos para obras de públi de á cinco pers…</t>
  </si>
  <si>
    <t>…os señalados , y dijo qua que saliesen tres lanchas tripuladas de soldados y milicianos á las orde mañana deberían asistir lo». Sres. diputados á ias ocho y media en traga nes del brigadier D. Manuel ü it de la Herrera , que 1; ofreció volun de ceremonia, con lo cual lerantó la sesión pública á ias cuatro y me tan ámente á dirigir esta expedición. Batimos esperando et resultado. dia para continuar las Cortes en secreta. , Como se cortó a tiempo ei plan de…</t>
  </si>
  <si>
    <t>…En su vista se reunió el jurado , compuesto dj los señor s siguientes:tículo 2 r. Los ayuntamientos tendrán contra los contribuyentes la mis D. Santiago Dr vado, D. Andr.t A-con , D. Manuel hst.ban Cama acción de apremio que los intendentes usaren contra ellos. Art. 2 2. tata , D. Andrés Navarro , D. Simón González Yu-t , D. Isidoro deEl Gobierno fijará los plazos en los que los ayuntamientos hayan de Ho&gt;os, D. Ánton o banda 10 de Anas, D. Anton…</t>
  </si>
  <si>
    <t>…» hiendo vuestra dirección para Lada, según quedamos confo-m'i y hoy 1 esta duda-i sin que hubiese ocurr do noved d alguna. con el comandante de la columna del cantón de banetiesa D. Manuel ** Toda» las partida» r unidas de ios rebeldes siguen ia dirección del Gurrea para atacar todas las salidas al cabecilla Juan.lo, quien , se va'le de Ronca . Por noticias que se han adqu-rido en esta se »»h ' gún todas las noticias , se hallaba en -ste último…</t>
  </si>
  <si>
    <t>…en aquel y íes lirirrr.trs d as hasta el 7 ba po al divan. El sacrificio de conservar la paz por parte de la Rusia era jo las órdenes del benemérito coronel del Infante D. Carlos, D. Manuel fa situación en que se halla aería uno de aquellos fenómenos tan extra O-Doile, comandanta de Isa fuerzas destinadas á aquel punto. ordinarios , que comparadas todas las circunstancias, tal vez no se » El escuadrón permaneció formado en dicho d:a 7 por crden…</t>
  </si>
  <si>
    <t>…a de esto, FRANCIA. señores; el ministro se ha lamentado de un sueco que ha desconcerta París 27 de Julio. do los planes de los guardias rebeldes, y ha concluido arunc.acdo que El diputado Manuel en un diuuno pronunciado en la miofl del la Francia te armaría, en caso necesario, por la inviolabilidad de los 34 dijo entre otras cosas lo que sigue: Reyes. (A la derecha: sí, sí, no hay duoa en ello.) » No pretendo adelantar el juicio «obre cosa alguna; pi…</t>
  </si>
  <si>
    <t>…oda exactitud los acontecimientos de Juiio y 4 muerte. el efecto quo por toda la Penín.ula han producido, haciéndoles conocer __El subteniente de la segunda compañía del resguardo D. Manuel el abismo á que los conducen sus seductores con raleces promesas, que Alegre (alias el Cantarero ) dió parte a! comandante general del res nuu.a podrán cumpl res, con esperanzas vanas, que jamas se realizaran,guardo desde la villa de B-navarre cen fecha del r…</t>
  </si>
  <si>
    <t>…España; pero en esto no fueron de Lista que te cita. peor condición los -sp.ñoi. s que los franceses , pu s si aquellos derra D. Jos f Comitre a.400 rs. D. Manuel Caballero 1300. D. Manuel maron en blandís la sangre agsna, estos vertieron en París la suya pro A'carar, menor, 1110. D. Pablo Latios 10. D. Joscf Martínez de pia con un furor sm cgempío. Hu-lado 430. I). Martin Latios 100. D. Alvaro Sai.clicz aoo. Seño En una pa'.ab a tuda la histor…</t>
  </si>
  <si>
    <t>…veitieron le inocente sangre de D. Joscf Montalbo y Se han publicado en esta capital las noticias siguiente*: D. Josef Gil; murieron , sí, murieron; p;ro serán eternos en la memo D. Manuel «le Lancha, teniente coronel «le los egércitoe nacioaa» ria de lot buenos , y tus manes, que nos piden la venganza , nos ense lea, y comandante de la columna que salió de esta ciiKlad cu persecu can el camino de la gloria. Apenas supe este atentado vo'é á est…</t>
  </si>
  <si>
    <t>…onar vuestros bogares, D. Pedro Calestino Negrete. D. Josef Mariano Almansa. D. Ma preferisteis el procomunal i vuestras caras esposas y tiernos hijos; opu nuel Velazquez de León. D. Manuel de la Bircena. D. Nicoias Bravo. sisteis á guerreros infames vuestros pechos de bronce, y loa aterrasteis D. Pedro del Paso y Troncoso. D. Vicente Simón González de Cosío. con vuestra decisión, valor y denuedo. Jamas olvidéis esta memora D. Florencio Castillo…</t>
  </si>
  <si>
    <t>…: cond-de la T&lt; rr Cosío , marqu ,d l !u;p.i , c n.lt d;Ciia- D. Diego González Alonso , que lo ;* por ia p-ov ncia de Extrema Huí , D. Ct tón mo ViI’jiti'' , D J , f Rano n Mi o, D. Manuel dura , a D. Mar ano Momo, por :a de Cuenca . i D. Martin Serrano, Agreda, D. Juan M chau. , D J -,-f Ani 10 i az- , ID J&gt;»s*f María por la de Valencia, y a D. Pedro Juan de Zuiueta , que io es por la Icaza, I&gt;. Juan Baut sta Lob 1 , D. Ant n &lt;-G uai" , D. M g…</t>
  </si>
  <si>
    <t>…D- Pedro Ruíz, D. Jacinto Rofil, D. B rnardo Rodríguez, ahora quiénes ton los poseedores d 1 estos títu'os, sin embargo de las D. Pablo haracibsr, D. Manuel Silva, D. Josef Tutor, D. Manuel muchas diligencias que te han practicado al cf cto, te avisa al público Trtcaño, D. Josef Urreta y D. Francisco Uriel. por medio de este periódico, para que si aLuno tiene noticia de los re ANUNCIOS. feridos poseedores se sirva manifestarla en la misma direcc…</t>
  </si>
  <si>
    <t>…odiendo esto ocasionar naves males al Estado. pues de este modo se evitaría toda falsificación que pudiese haber. Se resolvió que el art. s.° volviese á la comisión. El Sr. Gómez (D. Manuel) contestó que el artículo debía quedar Art. $.° » Siendo un egercicio propio del ministerio de los cape tal como estaba, porque por el derecho canónico debían tener Jos pár llanes la asistencia y consuelo espiritual de los oficiales y soldados rocos castrense…</t>
  </si>
  <si>
    <t>…ara una mero de habitantes igual al de quintos que tenga que dar. estocada que le dió en la refriega de Ordofiez el valiente alferea UrranOtra de loa Sres.'Ruis del Rio, González (D. Manuel), Velasco, gui. El 30 de Setiembre pasaron por Alcantarilla aquel rafe de foragidos Sierra, Casas, Trapito y Días, relativas que el reemplazo del egército y sus cumpafieros los «ios Rendones de Jerez, padre é hijo, el primero se verifique del modo que tirara…</t>
  </si>
  <si>
    <t>…taba pendiente. con un caballo, el capitán de ia m I.c a activa de Burgos D- Casim.ro El Sr. Soares Franco presentó un proyecto de ley, relativo i la crea García de Vinuesa , y el teniente D. Manuel haivador, her dos con ua ción de una nueva orden para recompensar i los beneméritos de la pa toldado, y del regimiento de Extremadura el capitán D- Mi.u- Galtria. bau, gefs de la plana mayor de la columna , y el teniente D. W 1El proyecto constaba de 13 artíc…</t>
  </si>
  <si>
    <t>…ventajas, ti á que se refería el que ahora se discutía. déheri* adoptar para la ordenanza actual, El Sr. Adton se opuso *1 artículo , manifestando entre otras cosas El Sr. Gómez ( D. Manuel): Los artículos que actualmente se dis que en su concepto no estaba bien demarcado el modo de verificar las cuten remandaron volver é la comisión,'i.' para que se suprimiese propuestas. la voz de capellanes-. a.“ porque se hizo ver demostrativamente que era'…</t>
  </si>
  <si>
    <t>…un remedio para que á los curas separados de su ministerio trañados del reino” parroquial, en virtud de la medida décima del citado decreto, te Ies Otra de los Síes. Aüx, Gómez ( D. Manuel) y Muro , concebida saque de su domicilio: porque habiéndoseles recogido á algunos las en estos términos: » Pedimos que sean comprendidos en la medida 1.* licencias,exasperados é irritados con esta especie de humillación que los demas eclesiásticos separados…</t>
  </si>
  <si>
    <t>…e Lisboa , s n ser oídos todos los diputa Vitiaboa, Belda, laboad.i, Marchámalo, Apcit.a , Artas del Rio, dos del B aul , osaron despojarme, como es notorio; habiendo yo González (D. Manuel), Nuñez halcón. Maní y Cortes, contrario aceptado ad mas el títu o y cargo de defensor perpetuo de este reino, á la aprob-cion de 1a m-dida de as propuestas por ta comis on es que los m smns puiblos me concedieron tan generosa y lealmente, pecial encargada de…</t>
  </si>
  <si>
    <t>…inos, Silva, c.icn era la apatía, la indiferencia , y aun la criminalidad de algu Vninami, Nena, Bertrán &lt;1: Lis, Reillo , Garoz, Valdés (O. Dio nos avuntam lentos. nisio), Gómez (D. Manuel), Alvarez Gutiérrez, Sotos, Isturiz, D.'spu.sde esto, lejos de haber hechos en contrario se han presen Grases, Marau, Adan , Canga , Afunzo, Meca, Saavcdra, Alix, Ruis tado dalos coní nuos y eücaces que corroboran esta aserción; de modo d: la Vega, O.iver, At…</t>
  </si>
  <si>
    <t>…den contra ellos por no infrin los votos patt cu’ares de los Ores. A vear , B ida , Ruiz del Rio gir la ley fundamental: yo he visto en las provincias autoridades .ro y González ( D. Manuel ) , contrarios á ¡a aprobación de la medida sa» que han tratado de contraer las maquinacó nes de los ir» vacos, y 7.a de las propuestas por la comisión especial; y de los Sres. Escudero de obrar contra aquellos i quienes ¡a opm on p.blica desi.na .orno ta y A…</t>
  </si>
  <si>
    <t>…d.-searia que se señalase Domrn. Ji, Volateo, Sedeño, Escovedo, Villavieja, Fuente* del un tiempo dentro de la misma, es decir, que esta suspensión debería er Rio, Ovalle, Gómez (D. Manuel) y Sr. presidente. por la primera vez únicamente por tres ni .srs , pues en mi concepto Los Sres. que la desaprobaron fueron los siguientes t Surra , Vales suficiente término para conocer los efectos que puede producir. y pu- des (D. Cayetano), Arguelles, Cua…</t>
  </si>
  <si>
    <t>…e sean hallados ó apre Asimismo se mandaron pasar i la comisión de Guerra tres adicio hendidos por las justicias de los pueblos serán destinados por doble nes de los Sres. Gómez ( D. Manuel ) Gómez Becerra y Pcdralvcz, tiempo de empello en los términos que expresa el artícu'o 145 de Ja hechas al dictamen de la misma sobre el modo de verificar el reempla ordenanza de la milicia nacional local. Pero el que fuere aprehendido zo del egército. y pres…</t>
  </si>
  <si>
    <t>…armas en la mano; y que por tanto parecía cosa ridicula que te gas tamen. tase el tiempo en exceptuar á determinadas clases, debiendo desaparecer Sobre la adición del Sr. Gómez ( D. Manuel) al art. ■$ I ísde toda sombra de privilegio; y concluyó , diciendo que no se oponía á que se exceptuaran los que hubiesen pedido dispensa para casarse y no que las excepciones aprobada» hasta ahora se llevasen á efecto; pero de la hayan aun alcanzado , con t…</t>
  </si>
  <si>
    <t>…publicados en las gacetas de Ra, Montesinos , Silva, Viéntanos, Neira , Bertrán de Lis, Reilio, Octubre. Gobernación de la Península. Belmonte, V»ldés(D. Dionisio), Oaróz, Gómez (D. Manuel), Sotos, Alrarez Gutiérrez, Várela, Isturiz , Grases, Salrá, Marau, Circular del ministerio, en que se prescriben reglas para formar loa Alan, Abreu, Meca, Lillo, Alia, Saavedra, Galiano, Ruiz de libros de matrículas de los habitantes. (Gaceta del y.) la Vega…</t>
  </si>
  <si>
    <t>…que n je y reclama de Catones las c:t.tin as que d spararon uo tiro; y v »ro esto, ea el g' f; de la escuadra nacional I). Juan de Dios Top.tí, sobie que si sin on con el uniente D. Manuel de la Ca zada, d spuse d-sp!rgar laa sub»Jn.;n los ultraj-s que ri'C'bió su adquirida bu-i-a opinión y mereci guerrillas, dirigiénd.im; con el resto de la t*opa d r.ctam.nt al pue da» Condecorac vfl s cno las operaciones que se le arr.buy n ea a artí blo ; p…</t>
  </si>
  <si>
    <t>…enido la fortuna de llegar á tiempo de poder salvar ha hecho dal aprecio de todos, para que en propia mano se le entre al alcalde constitucional de este pueblo, y á loa ciudadanos D. Manuel gue ; y yo después de dar descanso 4 la tropa en esta, el día de mañana de la Fuente y D. Gerónimo Chico, que iban á ser fusilados por afec emprenderé mi marcha con dirección 4 Lerma , conduciendo los pri to* al sistema. Por Ultimo tengo la satisfacción de de…</t>
  </si>
  <si>
    <t>…ubre. » Soldados dal texto distrito militar: CompaSeros de armas: He En carta de Ibiza del 10 refiere un periodista de esta capital depositado en las hábiles maoos del distinguido general D. Manuel " que el benemérito patriota oficial de artillería D. Josef Torres , co Velasco el mando que el Gobierno ha fiado á sus luces y patriotismo, misionado por el Gobierno, hibia verificado la prisión de D. Luis 7 paño para mi nuero destino da ministro plenipotenc…</t>
  </si>
  <si>
    <t>…ción.” Firmaron res de las plazas st harán los honores de su grado. la proposic on , ad mas del Sr. Canga, los Sres. Aivarez Gutiérrez, Teniente general. Afo neo, Velasen , Gómez (D. Manuel), Prat , Moreno, Reto, So- Art. 14. u Al teniente general sin mando pondrán las tropas ar mnzi y Villanu’-va: y habiendo sido admitida á discusión , se acordó mas al hombro, y tocar in llamad). que pasase á las comisiones reunidas de Diplomacia y de Negocios…</t>
  </si>
  <si>
    <t>…eglo a las c&gt;b»ervac ones que se hicieron en la dis tninos en que debían extenderse los pasaportes. cusión del anterior, y por lo mismo me opongo á este dictamen. No El Sr. Gómez (D. Manuel) cor.t.xt o que constando e! articulo de te diga que corresponde ai Gobierno la iniciativa de las leyes sanita dos partes, la prim’ra qu: todo el mundo h.cíes: uso del pa,apor rias: estas leyes d ben hacerlas las C mes de modo que solo conten te, y la segunda…</t>
  </si>
  <si>
    <t>…t curativo. Director de hospitales , médico mayor, cirujano Se mandaron pasar é la comisión de Policía varias adiciones del mayor, boticario mayor, y veterinario mayor. Sr. Gómez (D. Manuel) sobre las cartas de seguridad, y ot-a del señor Ramo judicial. Auditor.” Melendez al art. sy de dicho reglamento , qus dteéa: &gt;■ Deseass de íes Sr. Saavedra: Ei epígrafe de este capítulo no me parece exacto, palabras modo de tí: ir conocí, le, añádase y crue…</t>
  </si>
  <si>
    <t>…s españoles au tica y de Política sobre la siguiente proposición de los Sres. Canga, tores de las obras que te proscriben, tal vez serán mirados como im Alvarez Gutiérrez , Gómez (D. Manuel), Prat, Vetasco, Villanueva, píos ti este breve se propaga y se derrama por el pueblo español, por Moreno, Somoza, Afonzo y Rico; «Pedimos i las Cortes se sitvan que no todos tienen la instrucción del Sr. Falcó. Los pueblos no ha prevenir al Gobierno proceda…</t>
  </si>
  <si>
    <t>…en voz alta esta ley , re ro de Hoyos, D. Francisco Colambo, L&gt;. Juan Antonio López, Den quiriendo á los concurrente» í retirarse, y de no hacerlo se valdrá de Celestino Oiozaga , D. Manuel E teban Cató.1, D. .-rbasti.n An J.es y la fuerza. Art. 4.a El hsb r sido suspendida una reunión no priva del D. Francisco de Travcsedo, calinca-on por ur^n in d.d con ia nota de derecho de volverse i juntar pasados tres días, renovando el aviso á injurioso en…</t>
  </si>
  <si>
    <t>…echa $ del actual Neira, Reillo , Casas , Ruiz del Rio , González (D. Manee), Man desde la Porzuña me dice lo que sigue: Excmo. Sr.: A poco reto de mj eo, Cortés, Santafé , Gómez (D. Manuel), Aivarez Gutierres , N., salida del Corral de Calatrava en busca de la (acción del Locho tuvt Tomas, Cuevas, López Cuevas, Vareta, Salvé, Isinriz, Marau, aviso de que el faccioso Zaidivar con too caballos babia llegado al cas Adán, Cano , Escudero, Ruiz de l…</t>
  </si>
  <si>
    <t>…visto en los consulados apropiarse tas facultades que ia to apoyo el dictamen de la comisión. Constitución da exclusivamente á los alcaldes constitucionales , es de El Sr. Gómez ( D. Manuel ): Ademas de las razonin«¡uE lian ex cir, la de juicios de conciliación; y en fin, he visto y tm5o noticias puesto los bies, preopinantes para sostener el dictamen d-r La comisión, de otros muchos egemplos d- -sta especie. Ademas de estos perjuicios encuentro…</t>
  </si>
  <si>
    <t>…necesaria para indemni ditnto._ Acaba de publicarse en Badajoz un discurso pronunciado p.r zar ¿t,m-ii.it mer.t- á los dueños de los caballos : debiendo aquella, ser el racionero D. Manuel de la R&gt;:ka el dia 5 de Noviembre en la aper reititr r«da* luego qu: ei Gobierno reciba lot auxilios pecun arios últ tura de la universidad ds provincia establecida en aquella capital. mam-cte decr lado». .Ai mismo fin se admitirá en pago 0 descuento de Us co…</t>
  </si>
  <si>
    <t>….r i esta la evidencia de ta criminalidad del secretario , al ponsables i estas autoridades. r ¡.du io seria que cate continuase. Ademas de esto podría suceder otra* Ei Sr. Gómez (D. Manuel) 1 No se puede prescindir de aprobar veces que aunque el ayuntamiento probase loa motivos que había para este articulo, porque de lo contrario r.-su.tara que nunca estarían bien que ss removiese al secretario, este continuaría solo porque tendría d«*&lt;-mpeñado…</t>
  </si>
  <si>
    <t>…méstica de aquella Estados, y particu de I» ptorinci» otras cuatro adición» de lo» Síes. Salrá, Séptico y larmente de modificar sa Constitución, que no deja de hacer sombra Gómez (D. Manuel.) 4 varia Gobisrnos. Pero inmediatamente se ha procurado calmar el Se mandó pasar á la comisión de Guerra una consulta del Sr. secre espíritu público, dandoá entender que el viage del Rey de Btviera tario de cate ramo sobre la concesión de licencias á los qua…</t>
  </si>
  <si>
    <t>…s secularizadas han recurrido al Rey, solici, Jo conveniente. _ . _ _ , tando unas licencia para testar de todo lo que disfrutan en propiedad, Después de haber hecho el Sr. Gómez (D. Manuel ) algunss ob y otras pidiendo habilitación para adquirir los bienes paternos que pu servaciones contra el artículo, á las que contestó el Sr. Valdéi (Don dieran corresponderles; y considerando S M. icdudable el que las mon Cayetano), se d-claró este asunto su…</t>
  </si>
  <si>
    <t>…s atenciones ordinarias no están cubiertas oon ei número de emplea Gobi.rno en est- asunta. dos prop j stos , de lo que resultará que estas quedarán siempre desaten* Ei Sr. Gómez 'D. Manuel): Las razones del Sr. I-turiz , Ir ios de didas. En las atenciones ordinarias están comprendida» la corresponden probar algo contra este artículo, prueban á su favor: Y i'. hi indicado cia d*l Gob ernó que diariamente están recibiendo las dipuuc ones; los la…</t>
  </si>
  <si>
    <t>…ue el Art. 113. » Fstando el gobierno político de la* provincias, **gun Sr. Valdés propone. el art. 324 de la Constitución , i cargo &lt;L1 gefe político nombrado por El Sr. Goin.z ( D. Manuel): Quisiera que la comisión me dijese si el Rey en cada una de ellas , reside en él la superior autoridad dentro ha de subsistir ó i.j el gefe político subalterno de Sierramorena. de la provincia para cuidar de la tranquilidad pública , del buen orden, E- Sr.…</t>
  </si>
  <si>
    <t>…dos los dichos K proponían ouua, cu tUpsla por Di/ona. carnicera hasta ios sepulcros . los que profesan el robo, la crueldad, el Del de Valencia. Teniente D. Juan Quesada, cadete, D. Manuel •aes'cito y el sacrilegio i nombre de Jciu.iisto, los que siembran y FernandfZ. (Por Jaca.) propagan por todos medios ia infame seducción, les que pred ean sus Del de Zamora. Teniente D. Sebastian Mora. ( Por Benatque.) pasiones en lugar del evangelio , los q…</t>
  </si>
  <si>
    <t>…pesos fuertes, 799y onzas La misma comisión Especial, en vista de la adición de los señorea de oto, catey y tabaco. Las circunstanciadas noticias de Ultramar que Melender y Gómez (D. Manuel) pata que el uso de la condecoración publica el Redactor general de Cádiz presagian una crisis en el llamado cívica concedida á los individuos del ayuntamiento y diputación pro imperio de Merca. Cádiz ve aumentarse el número de sus periódicos. vincial de Madr…</t>
  </si>
  <si>
    <t>Manuel, Cano</t>
  </si>
  <si>
    <t>Cano Manuel</t>
  </si>
  <si>
    <t>…an hecho observaciones acerca de esta Se mandó quedar sobre la mesa un dictamen de las comisiones de artículo. Comercio y Marina acerca de una solicitud de 57 individuos del co El Sr. Cano Manuel: Estoy conforme con la idea del artículo, y mercio de Cádiz. considerando que toda acción tiene dos tiempos, que son, primero : el No se admitió í discusión la siguiente proposición del Sr. Martel: procedimiento para ver la calidad de la acción y fijar su exi…</t>
  </si>
  <si>
    <t>…carácter tendría en una nación religiosa! El carác los argumentos hechos por el Sr. González Allende. ter del martirio; y lejos de conseguirse la idea de los señores que impug El;Sr. Cano Manuel: Las.controversias sobre opiniones producen nan este artículo, sucedería todo lo contrario j y por lo mismo ó habría algunas veces malos resultados; pero cuando esta opinión no es solo so que suprimir el art. i.a de la Constitución ,ó habría que tomar esta de…</t>
  </si>
  <si>
    <t>…acerse mención de los milicia Salud pública. nos en este caso, asi como no se había hecho en el de Salvatierra. La falta de lluvias y vendavales, qne otros años han abundado en El Sr. Cano Manuel contestó que los milicianos de Pamplona lo esta ¿poca de Diciembre, y de que se ha carecido con perjuicio de la eran de una capital y plaza de armas, y que alguno* de ello* se habían salud, ha sacudido de tal modo la atmosfera, que han desaparecido salido de…</t>
  </si>
  <si>
    <t>…anto les fue posible pa años de reclusión, y de cuatro á ocho de destierro en los mismos tér ra impedirlo. minos Art. 61 a. « Los que maten á un Hijo, nieto ó descendiente suyo Ei Sr. Cano Manuel: El artículo de que se trata es como una exci en línea recta, A i su hermano A hermana, A á su padrastro ó madras tación ;í los maridos para que cumplan con su deber, v en el hecho de tra , A á su suegro ó suegra, ó á su entenado ó entenada, ó a su yerno mira…</t>
  </si>
  <si>
    <t>…Sr. Castrillo al las siguientes en el acto. Asimismo á continuación de auxilias la pa párrafo segundo del art. 611: otra del Sr. Ce pero al art. 619: otra del labra personalmente. Sr. Cano Manuel al mismo: otra del Sr.Pefiafiel al 619: otra del señor Se leyó el artículo en estos términos, y quedó aprobado. Alvarez Sotomayor al 63$; y otra del Sr. Puigblanch al 638. Art. &lt;$33. » El que sin orden ó permiso de ia autoridad legítima Asimismo se mandó pasa…</t>
  </si>
  <si>
    <t>…u valor líqui las legislaturas anteriores el Sr. Romero Alpuente se opuso á que se do 68,901 rs., rematada en 2859. En su virtud se han señalado 30 dias, aprobasen los poderes del Sr. Cano Manuel por tener causa pendiente, que principiarán i contarte desde el primero siguiente 4 su anuncio eu la cual se le había formado en Cádiz por haber infringido la Constitu la gaceta de esta capital, para que dentro de los to primeros se pueda ción y la ley de lib…</t>
  </si>
  <si>
    <t>…del reino, y decía el papel, que se había repartido, que de acuerdo con virtuosos que han gritado contra el despotismo y gimen bajo el peso de el ministro de Gracia y Justicia el Sr. Cano Manuel se mandó for las c-denas, y al mismo tiempo vemos que se excitan desórdenes en mar consejo de guerra contra ei que lo publicó, y que fue presidido Navarra, que se repiten sucesos desagradables, y que hasta en las cer por el duque del Parque; en su consecuenci…</t>
  </si>
  <si>
    <t>Manuel, Jos.f</t>
  </si>
  <si>
    <t>Jos.f Manuel</t>
  </si>
  <si>
    <t>…uropea, ó porque lo habían consultado con sus gurivedites__La «le D. Diego Lorenzo Quiroga 70 rs. 7 14 mrs _La buenos amigos loa holandeses, que loe pobres establecimientos del 48 D. Jos.f Manuel de laa Llanas como heredero «le D. Juan «le las JCamstchatlu dependían da un imperio colosal 7 de una nación euro limas 1788 rs. 7 4 mrs., la de los hijos de D. Francisco Antonio pea. En haberse .pues negado 4 toda comunicación con una potencia {agüeros 1472…</t>
  </si>
  <si>
    <t>Manuel, Josef</t>
  </si>
  <si>
    <t>Josef Manuel</t>
  </si>
  <si>
    <t>…D. Josef María Va'dobino*, D. Francisco Perez Pafacios. se resiste á marchar: las milicias guardan i Rio Acha y a fita. Marta, Supernumerarios D. Josef María Gamboa y fiando bal, D. Josef Manuel y todos los movimientos indican que ha sido completa la derrota. Frías, D. Antonio Va.dés, D Jo,;f Antonio Bernal y Perez. Uziere* Para ocultar al pueblo y i los Gobiernos extrangeros este descala D. Juan Datan , D- Bruno Fragoso, D Antonio Zarate, D. J.srf V…</t>
  </si>
  <si>
    <t>Manuel, Juan</t>
  </si>
  <si>
    <t>Juan Manuel</t>
  </si>
  <si>
    <t>…obre la conducta del gefe político de esta capital D. Josef bien dirigidas. Pero contrayéndome á la cuestión diré que es de ab Martínez de S. Martin, i consecuencia de la queja de D. Juan Manuel soluta necesidad para formar juicio exacto de la justicia ó criminalidad S. Román , D. Mariano Oller y otros varios ciudadanos por haber man de un hecho, examinar todas las circunstancias y pormenores que ha dado suspende* la reunión patriótica de la Fontana…</t>
  </si>
  <si>
    <t>…visitador de 1 audiencia de Ma Uid proponía la comisión una día 5 ( pues no las hay pnst r:orcs ) aúiUi n qur hasta aquí d a rada terna, compuesta de D. Felipe Martínez de Aragón, D. Juan Manuel había decido el congreso c-n respecto á la E.pa'a. Xo bao a - ir de Certzo y D. Diego Ilahmga; y habiéndose procedido á la votación, salió cretada d ciaracion a zuna , ni se había env ado ultimátum algu:.; a Ma electo D Felipe Martínez de Aragón , por 00 voto…</t>
  </si>
  <si>
    <t>Manuel, Juan Manuel Pió Arias y D</t>
  </si>
  <si>
    <t>Juan Manuel Pió Arias y D Manuel</t>
  </si>
  <si>
    <t>…tancia en el desempefio de su encargo, desde res presentados por D. Diego Parada y Hurte, D. Nicolás Escolar, luego se inclina á algún partido con preferencia áotro. Todos los hom D. Juan Manuel Pió Arias y D Manuel 'sierra; pero no asi cn’el ac bres tienen esta misma inclinación en semejantes ocasiones , y el gefe ta , en la que observaba que el repartimiento de electores no se hizo político de una provincia desea que taiga elector una persona con pre con arreglo al art…</t>
  </si>
  <si>
    <t>Manuel, Vécente Cano</t>
  </si>
  <si>
    <t>Vécente Cano Manuel</t>
  </si>
  <si>
    <t>…oicitud para la capitaliza namente para el desempeño dei primero á D. Ramón Lope* Pelegrint ción de su pens-on i favor de ur.a tercera persona que le ase -uro un para el segundo á D. Vécente Cano Manuel: pata él teicero á D. Plan tanto diario. Si las Corte» ahora determinan qu- cesen estas cap raLzacheo de Paula Escudero, y para el cuarto é 1&gt;. Jotcf lnu:: por el se Ciones entabladas con ar-terioriiiad a! decreto que ¡a. .mpend. , t-, su- gundo manifestaba q…</t>
  </si>
  <si>
    <t>Manuel, Vícente Cano</t>
  </si>
  <si>
    <t>Vícente Cano Manuel</t>
  </si>
  <si>
    <t>…ley, las cuales constarán de mayor número bricado de la Real mano. = En Palacio á 16 de Febrero de 18aa. = de min stros. Cuando estas audiencias declaren nulidad ó injusticia ex A D. Vícente Cano Manuel. tenderán luego su sentencia, y darán parte al supremo tribunal de Jus ticia para que este haga efectiva la responsabilidad de los jueces cuando Los duefios de vales de laa nueve dates de la Creación de Enero haya lugar á ella. En Africa y en la India se hará…</t>
  </si>
  <si>
    <t>ManueL, Vicente Cano</t>
  </si>
  <si>
    <t>Vicente Cano ManueL</t>
  </si>
  <si>
    <t>…la rebelión ú la perturbación de Está rubricado de la Real mano. = En Palacio á 16 de Febrero de la tranquilidad pública, aunque se disfracen can alegorías de personages 182 2.=A D. Vicente Cano ManueL” ó paites supuestos, 6 de tiempos pasados, ó de sueños ó ficciones , ó de otra manera semejante. Art. 30 Son incitadores á la desobediencia El Rey , 4 propuesta del consejo de Estado, se ha dignado nom en secundo grado, con arreglo al art. 14 de la ley de a a…</t>
  </si>
  <si>
    <t>Manuel, Vicente Cano</t>
  </si>
  <si>
    <t>Vicente Cano Manuel</t>
  </si>
  <si>
    <t>…rr,u ti al f-taro, se-un ta, v el otro sobre la consulta hecha por el fir. secretario de Gracia y tenia decretado la junta nrcioral del Cré ito póbl.co , rnter.-v ¿.uiosa Justicia D. Vicente Cano Manuel, proponiendo i'iM. dudas acerca de esto mientris las Cortes av.t-r.iar. providenc-.c, sr.bt; el evre.i cotí ous la inteligencia del decreto de 19 de O-lubre de idao con respecto al se c ta, y debe pasar,; a la m stna comisión para su examen. Apio conseyero de…</t>
  </si>
  <si>
    <t>Manuel, Vicente Ceno</t>
  </si>
  <si>
    <t>Vicente Ceno Manuel</t>
  </si>
  <si>
    <t>…D. Gre o» encarguéis interinamente de la primera , y que coa le misma calidad gario Pyqucróy Ó.ifü fl't*.—E* copia, de que certificoc=Kranc:sco Mardesempeñen la de lá Gobernación D. Vicente Ceno Manuel , le de tinezc=Lvs. inferios eorr=»ponJen bien y oelmente con ,u» re»pect&lt;vos Guerra D. Francisco de Paula Escudero., y le de Hacienda D. Jotefde origíneles , que qb^o p^t ahoíS.cj: la secretar:» d^- ni cargo qu ma Im ¡z. Tendreúlo entendido , y dispondréis l…</t>
  </si>
  <si>
    <t>Manuel, Vícente Orno</t>
  </si>
  <si>
    <t>Vícente Orno Manuel</t>
  </si>
  <si>
    <t>…na, lo* cuales quedaron tas Costes enteradas. alcaide constitucional segundo. El primero se reducía k participar á las Costes que S. M., ea aten ción á la indisposición que padece D. Vícente Orno Manuel, había con Madrid Sotado to de Entro. ferido interinamente la secretarla del Despacho de la Gobernación de • SS- MM. y AA. continúan sin novedad en su importante talud.” la Península é D. Francisco Javier Pinilla, oficial de la misma , y en la actualidad mayo…</t>
  </si>
  <si>
    <t>Manzanares</t>
  </si>
  <si>
    <t>…o distrito militar. (Va'encía.) Sin novedad. Lo* periódico* tos dependientes de depal lamentos, f.br.cas ú otros cstab ccrnu-ntcs publican un* excelente proclama del gefe político Sr. Manzanares, en que no haya corone!, ¡quién des-mpeáará ias func.ones de este? explicando á los valencianos varia* máximas y verdades muy saluda Solución. El subicspect r del departamento. bles, exhortándolos á la tranquilidad y * que no se dejen seducir por 18. Eti la c…</t>
  </si>
  <si>
    <t>Manzanares, Josef Díaz</t>
  </si>
  <si>
    <t>Josef Díaz Manzanares</t>
  </si>
  <si>
    <t>…orcs puedan acudir á recibir cada cuaderno. ría la-del código penal; y levantó la sesión. Nulidades de la ensefianza mutua por Laucaster, comparada con loa sistemas españoles, por D. Josef Díaz Manzanares, oficial de la secre ARTICULO DE OFICIO. taría de la dirección general de estudios. En este papel, que puede ir en carta, ademas de otras ideas útiles, se describe por grados el meCirculara dtl mmiiuriu oír la Cví."sc.'iss de la Pcxffsrttla. j*r «¡«tema de en…</t>
  </si>
  <si>
    <t>Manzanares, Juan Guerra</t>
  </si>
  <si>
    <t>Juan Guerra Manzanares</t>
  </si>
  <si>
    <t>…as guarniciones; y la de Cartagena , que quín Sotomayoré Itúrbido, D. Manuel Labastida, D. Manuel Quíntanar, se resistía a salir porque no le pagaban,quedó reducida á 300 hombres. D. Juan Guerra Manzanares, D. Juan Amable y Guerra , D. Agustín Desde Po payan i Cartagena no se Encuentra un soldado, y el pueb'o Castillejo, D. Josef María Va'dobino*, D. Francisco Perez Pafacios. se resiste á marchar: las milicias guardan i Rio Acha y a fita. Marta, Supernumerarios…</t>
  </si>
  <si>
    <t>Manzanares, Salvador</t>
  </si>
  <si>
    <t>Salvador Manzanares</t>
  </si>
  <si>
    <t>…eto sobre la formación á continuación de la celebrada curre parte» del Exento br. comandante «lo* ayuntamientos, y en seguida se leyó *1 art. i.ú del proyecto de general de una, y D. Salvador Manzanares de otra, obra un pag.-l de ócRto sobre la variación de la moneda , que decó: satisfacción publicado por este, que et como sigue: — Me ba sido muy Art. I.J Desde la publicación del presente decreto, el marco de oro sensible que el Exorno. Sr. opina general int…</t>
  </si>
  <si>
    <t>…¿mea respuesta, y con. mil.tares. ciuye quítate allá que me tiznas ; y vbta ¡a denuncia que del mismo han Se leyó el dictamen de la comisión de Legislación, la cual, ep vis hecho D. Salvador Manzanares y D. Antonio González, que se tdu. ta de la consulta del supremo tribunal de Justicia sobre si los delitos lan editores del Indicador catatan , declaran á unanimidad de votos cometidos-en Cádiz en tos días so y 11 de Marzo.por un id.viduo, á que no há lugar á la foimacion de causa…</t>
  </si>
  <si>
    <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 Irados de la audiencia de ANUNCIOS. Puno Peíncipe, n la i. a el. Cuba, - igua-rs plazas á las audiencias de…</t>
  </si>
  <si>
    <t>Manzano, Joan Ensebio</t>
  </si>
  <si>
    <t>Joan Ensebio Manzano</t>
  </si>
  <si>
    <t>…! regimiento Saiamancm á D. Jusn Antonio i'v -rtaa. tcrier.te coronel graduado caballería d* Barbón , id. y cap.t in pr mee a udant- ■_ resirriento infantería da Malaca, Badajoz a D. Joan Ensebio Manzano, comandante del segundo brgovia « D Dion o Cr&lt;i &lt;t B rnabé , captan del CuerpoÚt a-.tibatelion del regimiento ¡ofantoia de la Reina, id. liería, id. Barcelona á D. Pablo Vivcr, segundo comandante del batallón li Segorve i D. Franc seo de Oóa , mayor cotu.n su…</t>
  </si>
  <si>
    <t>Manzano, Josef Ruiz</t>
  </si>
  <si>
    <t>Josef Ruiz Manzano</t>
  </si>
  <si>
    <t>…RTICULO DE OFICIO. comprendida en la santa alianza, y si los demas Soberanos , en virtud del pacto que los ligaba, se consideraban obligados á cumplir ciertos Por fallecimiento de D. Josef Ruiz Manzano se halla vacante la deberes con la Puerta; v todavía , añadió iialeb ¡ no coexiste de hecho judicatura de primera instancia que servia en la ciudad de Córdoba, y el imperio otomano con los demas estados europeos! No podían menos se admiten memoriales por térm…</t>
  </si>
  <si>
    <t>Mar</t>
  </si>
  <si>
    <t>…ue satisficiese el pigods lanzas , que no pudo verificar carácter con que presentan los sucesos de Barcelona es el mismo con por no l-abérseie p.ieaite las prestaciones; y otra de D. Mar año GarCa que los presentarían todos los hombres imparciales, á los cua&gt;es yo 11 daCo solicitando se le di»p.-nse el pago de 60 rs. í que está conde apelo. nado por haber sando fiador del administrador de tabacos de Be monte. El Sr. presidente, después de hab…</t>
  </si>
  <si>
    <t>…I). Josef S. Juan , I?. Amonio boro, D. Andrés Vahe , pirca de la pena que deberá imponerse á los desertores de segunda vez del recode Mequinenza, J&gt;. Estiban Dovon, cx-capuchino, D. Mar ano servicio de la Armada. Pascual de Alcañlz, D. Miguel Juan Garc’a, D. Juan Bautista Gan A la de Marina una solicitud de Gabriel Barceló, pidiendo se le do, D. Joaquín Esteban, L&gt;. Ramón Toro y 1). Mariano Galindo, conceda una pensión por haberse inutilizad…</t>
  </si>
  <si>
    <t>…que enltara en el Congreso; pero en mi jo de Gu.rra. concepto Ja ley no lo permite ; y por lo ruismo se dabe aprobar el dic Otro de la misma para que se desestime la solicitud de Doña Mar tamen de la comisión. tina Zamora , qu: pedia una pension. El Sr. Meló: Creo que no tiene lugar la nueva elección pretendida Oiro de la misma sobre que se declare no haber lugar á deliberar por lo. Sres. de .'a comisión, porque esta no se puede verificar mien…</t>
  </si>
  <si>
    <t>…Cosío , marqu ,d l !u;p.i , c n.lt d;Ciia- D. Diego González Alonso , que lo ;* por ia p-ov ncia de Extrema Huí , D. Ct tón mo ViI’jiti'' , D J , f Rano n Mi o, D. Manuel dura , a D. Mar ano Momo, por :a de Cuenca . i D. Martin Serrano, Agreda, D. Juan M chau. , D J -,-f Ani 10 i az- , ID J&gt;»s*f María por la de Valencia, y a D. Pedro Juan de Zuiueta , que io es por la Icaza, I&gt;. Juan Baut sta Lob 1 , D. Ant n &lt;-G uai" , D. M gu-l Or de Cádiz.…</t>
  </si>
  <si>
    <t>Mar, Josef</t>
  </si>
  <si>
    <t>Josef Mar</t>
  </si>
  <si>
    <t>…sef Ojera. Fueron ap* aba ñor duque del Parque tenia o no el empico ue que se había hevh» dos loa poderes de estos individuos como se proponía por la comisión. mentó. Puerto-Rico. D. Josef Mar ai Quiñones, l'u ro.i aprobado» lo, po El Sr. Villanueva apoyó el d ctarrtr de la cm Ven, tr.anifesrtndo deres de este S(. diputado como Opinaba ia comisión. que esta solo debía exponer á Ja ¡unta ias taitas o cu..duce» ..uc tuv e-</t>
  </si>
  <si>
    <t>Mar, Josef Manuel</t>
  </si>
  <si>
    <t>Josef Manuel Mar</t>
  </si>
  <si>
    <t>…dt Nueva-Eiparía. vd. muchos años. Méjico Marzo 18 d: 1821 , á las once de la ma «Mexicanos: Cuando las provincias que componen esta preciosa ñana. = Del VenaJito. = 5r. teniente coronel D. Josef Manuel Mar parte de la Monarquía espillóla se congratulaban mutuamente al ver tínez.” (Jir continuará.') el restablecimiento de su quietud y tranquilidad, de que te vieron pri CORTES. vadas por mas de diex años; cuando con dulce emulación miraban to rxEstoxMctA Mt Sn. V…</t>
  </si>
  <si>
    <t>Mar, Josef Martínez de San</t>
  </si>
  <si>
    <t>Josef Martínez de San Mar</t>
  </si>
  <si>
    <t>…or la es el art. 11 de la Constitución , he venido en nombrar para gefe político pecial de las Cortes anteriores sobre el Gobierno político de las pro de la provincia de Madrid al brigadier D. Josef Martínez de San Mar vincias. tin , que lo es actualmente de la misma: para la de Barcelona al cor A la comisión de Guerra se pasó un» representación de D. Josef nel D. Vicente Sancho : para interino de la de la Coru'.a al t^n.er.te Manuel Jorges .solicitando se le concediese la…</t>
  </si>
  <si>
    <t>Mar, Jostf</t>
  </si>
  <si>
    <t>Jostf Mar</t>
  </si>
  <si>
    <t>…s ideas del Gabinete ausluaco. nes qu; dtb.ra regir en 1'ucric-Kico , y concluyo con Tara» posposi ciones, que se tuvieron per de prmiera .cauta. INGLATERRA. be corcedió permiso a D. Jostf Mar a L.hrorr, electo j ier de priLóndres 34 de Mayo. mria instancia, para que p. diese prestar ei jur-im.it-&gt; a:.:, ei ayunta El Gobierno ruso ha hecho la declaración siguiente : miento de Ja capnai del pan.do donde e.i.ba de»: nado. » La Rusia no t icne ninguna…</t>
  </si>
  <si>
    <t>Mar, Manuel</t>
  </si>
  <si>
    <t>Manuel Mar</t>
  </si>
  <si>
    <t>…rista, su techa a del c mente, causi. acompañando un ceriitieudo del esetab-mo público det colegies de esta Se preguntará ah r» ; si c.undo se p da '.a t sper-ab ':dad o uno corte D. Manuel Mar i Paz , quien da te de que d 1 expedirme forma que fue s.e'etarro por ,u. ooerac onei cama ia. , sr han í* oh. rvar las do por D Vicente Bertrán de Lis, alcalde constitu.ior.il de esta he- niisitm recia, qur ,. esiuve,- desemper »ndo e! ctr-, ~ '■ ,ter 2 La •…</t>
  </si>
  <si>
    <t>Mar, Pedro</t>
  </si>
  <si>
    <t>Pedro Mar</t>
  </si>
  <si>
    <t>…la que nada puede importar Unanos, y Alvarado continuaba en el mando del egerc to. Qu d ,ba en la aprobación de este artículo, porque sus fortificaciones son tal s que «t Janeiro D. Pedro Mar año Goyon-che d^spu.s de hab-r ?ufr do una en estado de defensa nada hay que demoler. Cuando estuve de gober rigorosa prisión, y quiúdoie todo cuarto tuvo , porque era herma -o del nador en ella no to o tenia cuas facultades sino muchas mas, pue&gt; que genera!:…</t>
  </si>
  <si>
    <t>Mar, S.</t>
  </si>
  <si>
    <t>S. Mar</t>
  </si>
  <si>
    <t>…que los periódicos ingleses citan cartas de América, en be dió cuenta de un oficio del Sr. secretario «leí Despacho «le Gra que se refiere haberse apoderado del Calleo de Lima el general S. Mar cia y Justicia , en el que participaba á las Cortes que S. M. se había tin ;y que en virtud de anterior convenio habia sido conducida la guar servido señalar la hora de la una de la mañana de hoy para recibir á la nición á Arequipa. Estos mismos periódicos, q…</t>
  </si>
  <si>
    <t>Mar, Sebastian</t>
  </si>
  <si>
    <t>Sebastian Mar</t>
  </si>
  <si>
    <t>fonsoi8i3 Fernandez Arjona; paralas da Navarra á D. Sebastian Mar tiago de la Azuela, haber lugar á formación ele causa contra el autor del artículo comunicado inserto en ei periódico titulado el Gorro, nútin Campos, de Madrid; par» !•» de Valencia á D. Pedro Fuster, mero too, firmado por » un buen español ,” y denunciado c…</t>
  </si>
  <si>
    <t>Mar-u</t>
  </si>
  <si>
    <t>…s i la Hacienda púb ica , v .in tigado ¿ lo )u,c«» de pr.m ra instancia H rr ra y vrws. ca1 irm nte deí ramo de ba as; s.; Ha strv.do miniar , pata ev tir ’i qu» La prueba -1e que D. Mar-u ll rnanlcz» -l a* el Abae o, come e-ti perdida se repita, que los inúndenles cuiden , lujo de su r spon.a- tió ei de iio d - conspiración vOM?* e. »‘ht'fra con&gt;rtuc «■•ns1 es «2 si bi liria.; , d« qu? los cau la es de todas ias rentas y ramos de la H ic -nda…</t>
  </si>
  <si>
    <t>Mar.so</t>
  </si>
  <si>
    <t>…mprenta el Sr. Arias; para la de Marina el Sr. Roig; para la de Mi debía calcularse la cuota en razón directa de a'nbis utilidad.s. licias el Sr. Belmont:, y para la de Policía el Sr. Mar.so. El Sr. Sotos contestó que podía haber profesiones que fuesen muy La comisión de Gu;rra , en vista de una consulta d.l Sr. secretario útiles al que las abrazase, y no lo fuesen tanto á la N í.iuu por el núme del Despacho de este ramo , acerca de varias duda»…</t>
  </si>
  <si>
    <t>Mar.uel</t>
  </si>
  <si>
    <t>…,160 rs ; lo que no es as., pust en el primer presu fia! de que dsndonot la piel se habían de llevar la carne: sabdo es lo pon sto estaba comprendida en aquella suma la pensión de D. Mar.uel que contestó un grande de Espafia á Cirios v el concederle este Toi García Herreros, que importaba 6o9 rs., y abo.-a se ha pasado 4 la neta son : » Guárdelo V. A. para los tudescos, que acá sin ¿I supimos echar núm. 10 de cesantes y jubilados; de donde result…</t>
  </si>
  <si>
    <t>Mar.ur</t>
  </si>
  <si>
    <t>…uSo en ad de Noviembre, mifi.ado la que habí» D. Antonio Aliyar y D. Rafael Costa. hecho solemne y forma-mente en 2a del pr pío mes; á sab r : que con Síndicos. D- Antonio M:gt* y D. Mar.ur! Guadros. pleno conocimiento de la ley y de su sanción hab.a tomado Ja pos,tira y firme determinación de nr&gt; jurar la Constitución política de ta mo ARTICULO DE OFICIO. narquía-, y habiendo espirado el término señalado por la ley sin qus Circu'ar d l &lt;ni'¡i.…</t>
  </si>
  <si>
    <t>Mara.i</t>
  </si>
  <si>
    <t>…el artfcnic a j- p:r&gt;ent» .u con uno militar, porque las presas se hacen siempre sobre el comercio. m sion. Hnhorabu-na qu e se decid* este punto de presas por s-pirado, y con El Sr. Mara.i: Me pa r«cc v|uf jx'vr !o .*r. í*! t**cmr* todas las formalidades prescrita» por la C institución y ct reg'am:nto, 33 »lc Síis?mbr-ds: añ &gt; de j » vr&gt; dsb*n %.-r &lt; ? ' &lt; - ' r.-' . • ^ i í. »para que resuelvan la» Cortts lo conveniente; pero no puedo rneno» d…</t>
  </si>
  <si>
    <t>Maran</t>
  </si>
  <si>
    <t>…el reglamen tres motivos; al primero por i ñopos tuno, al segunda por injusto, y el to que rija á la marina. terceto por alarmante. Por inoportuno, porque pueda haber una cosa El Sr. Maran se opuso á la aprobación de este artículo, por suponéis mas fuera de propósito que acordar una resolución ya terminantemente se en él la existencia de una guardia Real. dispuesta j observada? ¡ pues qué necesitan acato las Cortes que de esta El Sr. Infante co…</t>
  </si>
  <si>
    <t>Maran, Pedro</t>
  </si>
  <si>
    <t>Pedro Maran</t>
  </si>
  <si>
    <t>…fy f 14 1:..- I ■■) *49 GACETA DE MADRID. LUNES 3 DE JUNIO DE i3aa. NOTICIAS EXTRAMGE&amp;AS. La comisión d: Premios, en vista de las exposiciones de D. Jote Dn , D. .Minuil Batalle y D. Pedro Maran, solicitando se les habi AltMANIA» litase para p-rdi-r ootener empleo, opinaba que debía accederse á sus so Munich ( Batiera 9 de Mayo. licitudes. Aprobado. Nuestra Constitución va desenvolviéndose á pasos lento* , pero segu La de Legisiac.on, informando sobr…</t>
  </si>
  <si>
    <t>Marata, Antonio</t>
  </si>
  <si>
    <t>Antonio Marata</t>
  </si>
  <si>
    <t>…dos. »o acceder á esta instancia , y en seguida quedó aprobado ci d ctamen. El Sr. Infante contestó que la comisión no trataba mas que de ha Otro sobre el expediente promovido por D. Antonio Marata , ve cer que los pueblos entregasen completo su cupo, y que no protegiesen cino de un pneblo en la provincia de Aragón , sobre que te le concedan í los desertores; pero que después de entregad j este cupo no serian res á censo varias fincas perteneciente* í l…</t>
  </si>
  <si>
    <t>Marau</t>
  </si>
  <si>
    <t>…falta de no haberlos co El Sr. secretario de Gracia y Justicia: En la secretaría de mi cargo municado. no consta que se baya verificado prisión alguna de resultas de esta ocur El Sr. Marau: Son los de que parece que trata el gefe político de des rencia. hacer el segundo y tercer batallón de la milicia local de la capital. El Sr. secretario de la Gobernación : Las Cortes extraordinarias en El Sr. secretario: Hasta ahora no ha dicho nada el gefe…</t>
  </si>
  <si>
    <t>…e: d&gt;a , diré las not cías que tengo sobre fca ó testimonio de no haberse alterado la tranquilidad pública. el particular, v creo que merecere tanta opinión de hombre de verdad El Sr. Marau: Las circunstancias extraordinarias, que son efecto de como las autoridades cuyos parte, ha pres-'nuio el Gobierne;. Ei pue la impericia de los mandatarios y de los agentes del Gobierno, no blo de Valencia sabe el Sr. secretario de la Guerra que ha hec.o va p…</t>
  </si>
  <si>
    <t>…nes la ley no exceptúa, á hacer el servicio en la mi riamente. Asi que apruebo la medida de que te trata. licia nacional, debía procurarte que todo* llenasen asta obligación, y El Sr. Marau: El Sr. preopinante se ha referido en su discurso 4 la no crear una especie de privilegio á favor de lo* que no alistándose é cauta de Elfo. Fste individuo fue preso el 10 de Marzo cuando te pro la milicia voluntarla s* eximia a cierto modo de cite impórtate…</t>
  </si>
  <si>
    <t>…o exigirla desde luego i El Sr. secretario de Estado manifotó que lo mismo qué te propo quien hubiese lugar. nía en h indicación del Sr. Canga te babta pedido al Gobierno por h El Sr. Marau manifestó que la comisión proponía las bases que creía comisión encargada de informar á las Cortes sobre el Estado de 1* oportunas para que no se repitiesen los acontecimientos desagiadablea Nación. que se habían visto, y que una de ellas era el que se exigie…</t>
  </si>
  <si>
    <t>…* Francia en art.culo de Z hacía una encepe on de esta rey la, que »-mpte »-i.a duSa un pnviU'P'0 un pait *r de Marzo con referencia á cartas de Viena del n. dice. «Se a-aba de El Sr. Marau qiu ai lo* ir.*, prcop-¡unto eni-ra* recibir en aquella capital por un correo extraordinario de Coouanarro</t>
  </si>
  <si>
    <t>…nda de Duero para que te le per piedad exclusiva, entendiéndose siempre por el tiempo de la contrata. mitiese continuar en ciertos arbitrios , opinaba que con arreglo á los de* El Sr. Marau apoyó el artículo, manifestando que reconocida la ere tos vigentes la diputación provincial de Búrgos debía p?rm¡t r que con utilidad dei Diario de las Cortes para dar una idea a ia Nación de sus tinuasen dichos atbitrios, y que se pasase el expediente al Gob…</t>
  </si>
  <si>
    <t>…pediente qne entonce* se fijase un término medio: que asimismo debería fijarse el término en m formó. se habían de recusar los jurados, pues que si no se verificaba esto, succ. El Sr. Marau detpuet de hacer un parangón entre tos héroe» Por deria que el denunciado podría retardar por bastante tiempo los electos tier, Lwf y D Joaquín Vidal, y referir lat circunstancias de la he del juicio , recusando uno por uno lo» jurados;.y por último que en w…</t>
  </si>
  <si>
    <t>…dijo había padecido el cesidad de esta visita, porque dice que U Nación estí quejándose da Sr. preopinante. los tribunales; ¡pues cómo las Cu tes pueden dejar de aplicar las me El Sr. Marau: No puedo menos de sorprenderme al ver que se haya didas suficientes para ver si estas quejas son ó no fundadas! ¿Podrán dilatado tanto la discusión de un negocio, que ademas de llevar en sí oir las Cort s a sangre fría este clamor general, este clamor de que…</t>
  </si>
  <si>
    <t>…ue suspendiéndose toda declaración que solo debia imprimirsa el dictamen actual para mayor conocimiento. autorice la existencia de las gracias de supervivencia se pida al tribu El Sr. Marau contestó que no habia necesidad de imprimirle, por nal de órdenes una noticia de dichas gracias, para que con conocimien cuanto lot proyectos estaban ya impresos, y únicamente podría impri to de causa puedan las Corte* determinar sobre el asunto, opinaba que…</t>
  </si>
  <si>
    <t>…yo i:e tratado de rcfcr.rla comisión , atribuyendo á los secretarios del Despacho y al Gobierno me a él. el haber señalado el sueldo de n9 duros a cada uno de el os , y al mis El Sr. Marau hizo varias observaciones para manifestar que j !,&gt;» mo tiempo axceptuar estos subdos de la rebaja. El Gobierno remitió •gentes dip omáticos no se les debía de; ir el mismo sui.oo que ten an, este dictamen i las Cortes , y dijo que esta mecida deb a ser gener…</t>
  </si>
  <si>
    <t>…ro, S. Juan y S. Sebastian de Antequ ra, solicitando que ríos, que quedó pendiente en ia sesión de ayer. los b enes de estas no sean aplicados al pago de la deuda nac onal «opi El Sr. Marau , después d? a'gunas observaciones generales sobr- el naba que estaba en oposición con el art. 16 del decreto de las Cortea artículo, dijo que iba á manifestar su opinión concret. ndose a! dis de y de Novi mbre de t8zo, y por lo mismo no debía haber lug-r á c…</t>
  </si>
  <si>
    <t>…sin ptro delito que el de predicar en: lavor de la Cons bierno, porque podia ser causa de muchos males. titución ; pero repito que el espíritu público se baila muy extraviado. El Sr. Marau dijo que como el «probarse la permuta de estudios ó Por esto pido 1 las Cortes digan al Gobierno no permita que en cursos académicos dependía del juicio de los examinadores, era claro que tal situación se forme esa milicia que tantos perjuicios puede acarrear…</t>
  </si>
  <si>
    <t>…ondía titución da al Rey la facultad de indultar á ios delincuentes , y por tan este negocio propondría que pasase á otra. to soy de opinión que pase la-exposícion al Gobierno. El Sr. Marau, después de hacer una breve reseña de todos los trámi El Sr. Murfi: Otando se presenta á las Cortes un asunto de esta na tes que hsbia seguido este negocio, y de impugnar la razones en que se turaleza, que tanta conexión tiene con la tranquilidad de la provin…</t>
  </si>
  <si>
    <t>…especto á las demás atenciones dei fc.udo, se empleen con diligencia dijo que la proposición era inadmisible. en el apresto y mantenimiento de los buques capaces de ser mas prosEl Sr. Marau: Kl Sr. preopinante supone que la proposición del se* tímente destinados, sin perjuicio de llevar a cabo las determinaciones fior Alonso m nula, ineficaz y contradictoria; mas yo diré que no tie tomadas para la construcción y habilitación de otros.'’ El Sr. s…</t>
  </si>
  <si>
    <t>…s segundos , pues rito obraban en la comisión de Legislación , porque también pensaba debían quedar responsables de ellos por el m.smo tiempo , y en la mis ocuparse en lo mino. El Sr. Marau manifestó que era indiferente qua ma forma que la ley de reemplazos hace responsable al particular que propusiese el reglamento de que se trataba U com.s.on de Legislación ó ha puesto un sustituto por su persona. Se decidió que volviese el ar 1* de Diputacion…</t>
  </si>
  <si>
    <t>…á la i.Dnacon a! *-stado El Sr. Romero hizo varias observaciones contra el artículo, á las mayor del mDran, y lo hacia presente a las C-&gt;it;s pn-a ios Bnra coovecuales contesto el Sr. Marau. ■tem-.'s. Se acordó que pasase á la comisión de H.»c rdi. H Sr. Merced i No me parece que está en armonía este artículo con El Sr. Canga manifestó con este motivo , r-cesto de lo que habla la Constitución. El manejo y administración de los fondos públicos di…</t>
  </si>
  <si>
    <t>…r á ia esta medida. Por último la s.-gunda proposición es absolutamente in subsistencia &lt;!e este cuerpo. útil , pues si el Gobierno puede separar de los mandos á los individuos El Sr. Marau dijo que ya no te trataba de impugnar la proposición del egército permanente, como lo ha hecho muchas veces, también que se discutía antes ; pero que no podía dejar de hacerlo respecto de lo podrá hacer en la milicia activa. El orador concluyó , después de es…</t>
  </si>
  <si>
    <t>…dar se imprimiese dicha memoria para que las Corles pudiesen formar Nación , p.dia 4 las Cortes se les llamase para que cumpliesen con es un juicio sólido sobre ella. te cargo. El Sr. Marau apoyó se acordase la impresión con la mayor urgencia. El Sr. Canga fue ¿el jnismo parecer, añadiendo que debían leer las El Sr. Prat manifestó que lo que se había hecho en otras ocasiones memorias de sus respectivos ramos del mismo modo que se hace en loa era…</t>
  </si>
  <si>
    <t>…d á la hora señalada; formarán todos rueda, colocándo cuidara que marche con el mayor orden y silencio.” se en et orden de sus respectiva* compañías , dando la derecha á la mas El Sr. Marau: Es muy bueno que ia trupa marche con orden; pe preferente en clase ó en número , y descansando todos sobre las armas ro la voz silencio parece a!go otruno-s a ios pueblos libres que trer en escrib ran la orden con el gorro de cuartel ó morrión puesto. un car…</t>
  </si>
  <si>
    <t>…aun e.es C-&gt; debia consideraren grande los objetos reiativesá la seguridad,sin pres tes extraordinarias. cribir á los ayuntamientos las reglas gubernativas que han de adoptar, Ei Sr. Marau , abundando en las mismas idea- que ei Sr. Salvé, porque ellos deben quedar autorizados para formarlas sobre las bases man Testo que en efecto se debía nombrar la comisión de que ?r to,ta que se fijen; y asi soy de opinión que vuelva el proyecto á la comisión…</t>
  </si>
  <si>
    <t>…ierno para que disponga se arreglen los teatros dad particular. de manera que las representaciones dramáticas sean correspondientes á El Sr. A;ir; Reproduzco la misma objeción del Sr. Marau contra la Nación heroica en que se representan , para que oyendo si fuese el art. i.u En el decreto de las Cortes de 23 de Junio, y en la misma preciso i las diputaciones provinciales, establezca un teatro en las capi Constitución,se prescribe lo que en este…</t>
  </si>
  <si>
    <t>…tomar ias i El Sr. Isturiz: Mi objeto es que si acaso se reprueba este artículo, prov denc.as convenientes para los indicado, fines. no se repruebe el artículo constitucional. El Sr. Marau hizo varia, reflexione» para manifestar que ni» se ha | El Sr. Ferrer (D. Joaquín) pidió que se leyese el segundo caso del cia mér to de lo» procuradores de os ayuiunn.cotos para ia cooperación ! artículo 321 de la Constitución (se leyó y continuó): lie pedid…</t>
  </si>
  <si>
    <t>…sideración; pero el Gobernó nunca int st.ra ni sosten guardado muy bien de proponer un arreglo ger.rquico. drá que a los emancipados de ia patna por indignos hijos de ella , te E1 Sr. Marau: El Sr. Velasen me ha precedido en satisfacer al ae- les socorra con nada; antes bien quisiera encontrar un m.-i o eficaz para gor Falcó; pero sin embargo quiero añadir que te entiende también precaver que estos malos hijos de 'a patria pu.dan tener d.ncro en…</t>
  </si>
  <si>
    <t>…ndo sus doctrinas contrarias al sistema, s: dejan ha tenido otro medio mas que el de proponer &lt; sta mr.lda. los conventos, y asi yo de ningún modo puedo aprobar esta med.da , y El Sr. Marau: La m dida que se ha considéralo como arbitraria concluyo suplicando á la comisión tenga la bondad de retirar!*, y ad por el Sr. Benito es la mas sana, la mas justa y la mas U !, como lo mitir en su lugar mi voto patúular, reducido á que se extingan total ha…</t>
  </si>
  <si>
    <t>…la publicación en cada cap tal de provine.1 del d.cr.to de 18 ce Noviembre de t8zi, coi’f.rme’al articulo 3.° ¿el CORTES EXTRAORDINARIAS. mismo.” vkksidekcia dbl seSoe salvato. El Sr. Marau ; Me parece que la comisión debe retirar este artículo, porque le considero contrario .-. la población, le considero pit.r ct , y Sesión extraordinaria del día 25. tiene en mi concepto todos los vicios que puede tener una iev. En Se abrió la sesión á las siet…</t>
  </si>
  <si>
    <t>…que solo tuviese un par de muías, y que por lo miedo de que le toque la suerte de ser soldado , porque con g9 rs. po mismo podía aprobarse el dictamen. día. poner un sustituto. El Sr. Marau fue de parecer que t quedaban exceptuados los labra Declarado por suficientemente discutido el dictamen de la comi dores debían quedarlo los fabricantes y comerciantes, porque produ sión , quedó aprobado cían al Estado ¡guales ó mayores utilidades; y que igua…</t>
  </si>
  <si>
    <t>…tales que no se pueda prescindir de dar una ley tan odiosa , y españoles, contándole los seis años para los alumnos después que hiy.n contra la cual lucha la naturaleza misma. El Sr. Marau ha combatido ene saiido de las escuelas, y para los cadetes que actualmente existen desde artículo, porque ha creído oportuno impedir casarte á todo hombre de el día en que sean promovido* á oficiales; pero á fin de que conste la guerra; y seguramente en esta…</t>
  </si>
  <si>
    <t>…efecto la medida en sí no merece impugnación, porque no con- berá extenderse i todos los españoles. tirne otra cosa sino lo que la Constitución y las leyes tienen ya acordado. El Sr. Marau: El Sr. Arguelles ha manifestado tos abusos fi qus Ha propuesto el Sr. Romero una adición con al objeto de evitar cierto puede dar lugar este artículo por el modo en que está concebido; pero abuso Instante trascendental que puede cometerse en el reconocimient…</t>
  </si>
  <si>
    <t>…lla ley se suspende , lo fínico que deja de aprobarte. hacerse entonces es el requisito de la presentación. Y pregunte yo aho Declarado el punto suficientemente discutido, dijo el Sr. Marau ra , ; las formalidades prevenidas por la Contiuucii n rálauvas al arresto que la comisión convenía en sustituir al artículo en lugar de las pala de los delincuentes que pu d o suspenderse en virtud del art. 308 &gt;c bras * todos tos espartóles y personas resid…</t>
  </si>
  <si>
    <t>…on* conspiración , y que esté en todas partes. En este caso se establecerá una duccion de presidiarios. visita , y el gefe político examinará lat seis ú ocho primeras casa*; si Ei Sr. Marau impugnó el attfculo, diciendo entre otras cotas que allí no encuentra ci origen de la compiracion, pasará á otra*, y asi suel argumento que se hacia sobre la imposibilidad de estar conclui ceiivamente hasta que se acabe de practicar la visita domiciliaria gen…</t>
  </si>
  <si>
    <t>…lo, pues su empeño ponen so'o para el obl to que p'de el Gobierno, cata no tendrá mno o otro que el que se les atienda como corresponde. coov-niente en pasar por esta cantidad. Hl Sr. Marau: En mi Opinión debe señalarse une cantidad lija y de Quedó aprobada asra parte del dictamen.</t>
  </si>
  <si>
    <t>…er la marina con esta clase estubiese ya filiado, y prefiriese cumplir el tiempo de su empeño, se re de gente. bajará al pueblo un hombre del cupo que le corresponda en el reem £1 Sr. Marau: La comisión los destina solo á la tropa de marina. plazo inmediato; y cuando el aprebensor sea alguno i quien baya ca El Sr. Septien: Creo que no debe señalarse el término de cuatro- bido la suerte de soldado , quedará este libre conforme al sentido lite año…</t>
  </si>
  <si>
    <t>…ende 4 todos los españoles; ;y ests disposición y la ner 4 un ciudadano detenido por espacio de 30 días, y por consiguien que ant's he mencionado pueden ser objeto de una ley ! El Sr. Marau te debe consideran: como ley la que contenga «ta disposición, que ex ha manifestado que el artículo que trata sobre el allanamiento de tas tiende el término de la detención mucho mas allá de lo que previene casas pueda ser considerado como una ley, y por tant…</t>
  </si>
  <si>
    <t>…ad de tales, y que por lo mismo el hablar contra esto reglamento, y que se l;a dicho artículo. ( Se leyó. &gt; era hablar contra lo determinado por las Cortes. Cuando í un secreta El Sr. Marau: El Sr. Galiano, manifestando las tazones que ha te rio del Despacho se le exige la responsabilidad (prosiguió) es por el uso nido la comisión , ha dicho que el establecimiento iEs esta contr.buc on que ha hecho de las facultades que tiene; y por tanto las Co…</t>
  </si>
  <si>
    <t>…no pueda verificarse, ae pondrá el mayor cuidado en separar los regimientos al amor á la Constitución &amp;c. lo mas que sea posible á los enfermo* de loa sanos, cualquiera que sea El Sr. Marau: Yo convengo en que leyéndose loa artículos de I* su indisposición. Constitución sin ninguna explicación, harán muy poca impresionen El ir. V.ndés ( D. Cayetano) se opuso á este artículo fundándote aquellos hombres cuyos talentos no esten cultivados; pero es…</t>
  </si>
  <si>
    <t>…a Nación compondrán de los cuerpos que determine el general en gefe, y esto* en estado de guerra , sino ai egército. ocuparán en las cuyas respectivas la antigüedad que tengan. El Sr. Marau consideró admisible en un todo este diettmen, por Art. 6.° ” La colocación de los regimientos en sus brigadas, de estar arreglado á la ley orgánica, pues previniéndose en el art. 41 de estas en sus divniur.es y de las divisiones en el egército no es invaria e…</t>
  </si>
  <si>
    <t>…. 10. 1. Si al oficial comandante pareciera preciso poner algu nes; por lo cual ha creido suficiente la asignación que prepone. na c-ntirela á pie tendrá arbitrio para hacetlo. El Sr. Marau : Dice el Sr. Prado que le parece muy corto el honora Art. rt. o Cada comandante de gran guardia dará en los puestos rio que se les señala á estos individuos; pero si se atienenJe á qua los dependientes de ella una contraseña reservada para entendería cuando…</t>
  </si>
  <si>
    <t>…os negre o? doméstico?, ccmo lo Igual resolución recayó sobre otra exposición que a! mismo obj to fuimos pocos años há en defensa de la independencia , de la Ccrst ili presentó el Sr. Marau , hecha por las compañías que han festinado en ción y del Rey, y que el yugo extranjero será siempre d.testado , y ja Valencia vatios oficiales del egército y emigrados itilianos. oe pro mas tolerado por español a guno , sea de la opinión qu- qu e-i. cedió i…</t>
  </si>
  <si>
    <t>…adición á fin de fijar por un tiempo determi Aprobado. nado la validación da lo* testamento* de que te trata. Art. 13. *» Las formalidades con que deban practicarse el inventa El Sr. Marau dijo que ai no te adóptate la idea del Sr. Garoz re rio , custodia y depósito ds los bienes del difunto, y lo que deba ha sultaría un perjuicio ¿.los militares en vez de resultarle* un privilegio cerse cuando hubiese dejado hijos menores de edad, son objeto d…</t>
  </si>
  <si>
    <t>Marau, Gregorio</t>
  </si>
  <si>
    <t>Gregorio Marau</t>
  </si>
  <si>
    <t>…a no hacerlo se entenderá con los estrados, y la pa comprenden. rará el perjuicio que haya lugar. Se aprobó el dictamen de la comisión de Hacienda acerca de la Por providencia del Sr. D. Gregorio Marau , juez de primera ins adición de los Sres. Vareta,Gener ySuarez al artículo del presupuesto tancia de Murcia , se cita , llama y emplaza i Doña Joaquina Ladrón de Marina , que decía: » Que se remitiesen á las cajas de la Havana lo de Guevara como inmediata su…</t>
  </si>
  <si>
    <t>Marau, Mei.hjr</t>
  </si>
  <si>
    <t>Mei.hjr Marau</t>
  </si>
  <si>
    <t>…ncia de Valencia; D. Francisco B a, Gar.z , por .a r&lt;_ laico. ; dades que por sí hubiere manejado. ¿Pueden darse unos deseos mas no D. Josef Batges y Oliva , por la de Cataluña; y D. Mei.hjr Marau, bles en este ciudadano? El no haber cumplido con la ley no ha estado por la de Valencia. 2.' La sala di segunda instancia iacomp mdran ios en su mano, y por lo mismo creo que las Cortes están en el caso de Sres. D. Ramón Salvato, diputado por la provincia de…</t>
  </si>
  <si>
    <t>Marau-</t>
  </si>
  <si>
    <t>…entos. sm gos en la diputación provincial. Concluyó pidiendo le reforma del Ei Sr. Mor:no . O los sccretmcs de ayuntamiento han de tener artículo en los términos propuestos por el Sr. Marau- tina dotación suficiente p.va poderse sostenar , ó es preciso que no se E1 Sr. Senane apoyó el articu o, manifestando que la obligación en ez-ja tal condxion , y qu; puedan tener otra* oeupac ones: como «yle qu- s; constituía á los ayuntamientos de tener que…</t>
  </si>
  <si>
    <t>Marau.-</t>
  </si>
  <si>
    <t>…de los comandantes generales, que los destinarán ¿ los cuerpos voca de su desengaño y convencimiento. militares establecidos en ellas; y no siendo útiles para lea armas les da El Sr. Marau.- El Sr. preopinante no halla proporcionada la pena rán otro destino en que puedan serlo.” que se impone á los que voluntariamente entran en la rebelión, y á El Sr. Saavedra: En los artículos de la ordenanza se dice que no los que lo hacen seducidos; pero la comisión…</t>
  </si>
  <si>
    <t>Marceli, Pedro</t>
  </si>
  <si>
    <t>Pedro Marceli</t>
  </si>
  <si>
    <t>…de crédito contra el Estado de 377,700 rs. y si mrs. vn., con ob igan , según deben y esperamos, 4 que tomen empeño en darlea caza el número 394, endosada por el mismo a favor de D. Pedro Marceli y barrerlos enteramente de los caminos , lugares y caseríos extraviados no Blanco, vecino de esta corte, cuyo correo fue interceptado en el y de acceso escabroso. Las columnas de la brigada de la izquierda no ce camino. Si alguna persona supiese el paradero d…</t>
  </si>
  <si>
    <t>Marchámalo</t>
  </si>
  <si>
    <t>…eta de la Dipu En la primera votación salió electo el Sr. Alix por 71 votos , te tación permanente debia ó no ser admitido en el Congreso el Sr. Esconiendo 9 el Sr. Villaboa, 5 el Sr. Marchámalo, 3 el Sr. Benito, a el vedo, y á su parecer este asunto debia pasar á 1a comisión de Legis br. Gómez Becerra, y uno cada uno de los Sres. Muro, Cano, Buey, lación. Jaime y Lamas. Total 95. El Sr. Saenf de Buruaga dijo: Siento qua la comisión no haya to En la…</t>
  </si>
  <si>
    <t>…nveniente adición versaba «obre que las obras de canales y otras de esta naturale que pasase i la comisión. za no corriesen por cuenta del Crédito público, opinaba que debía pa El Sr. Marchámalo dijo qne no era necesario el examen de este ex sar á informe de dicha junta nacional.. Aprobado. pediente en atención á que no se podría decir mas en este negocio La misma , en vista de la proposición del Sr. Sánchez hecha en la que lo dicho en las Cortes ant…</t>
  </si>
  <si>
    <t>…lea son los sefioríos , con ¿v- misión. # pacnlidad en algunas provincias, como por egemp'o la de Avila. Ei Sr. secretado de Gracia y justicia rectificó varias equivocaciottei Kl Sr. Marchámalo h zo varias observaciones impugnando el dicta que d jo haber padecido el Sr. preopinante. men de la comisión , manifestando que entre las prestaciones sefioriate* El Sr. Fuentes del Rio leyó un discurso en que impugnaba el voto habia algunas que eran solo a'o…</t>
  </si>
  <si>
    <t>…rado, y mandaron pasar ¿ la comisión de Hacienda. fior Saavedra, sino exigirse la responsabilidad á dicha sais. La comisión de este ramo, en su informe acerca dei excediente so Ei Sr. Marchámalo dijo que únicamente tomaba la palabra pera ha bre las cumias de tesorería general que están pendientes en la contadu cer ver á las Cortes que este negocio no se hallaba en estado de poderse ría mayor , proponía un proyecto de decreto, dividido en 11 artículos…</t>
  </si>
  <si>
    <t>…sino mucho bien que et sumamente fácil averiguarlo. De aquí resulta qu: cuando mas A la Nación entera. tina tercera parte de loa juicios en que se trat: de le egresión de e.tos El Sr. Marchámalo fue de ptrecer que paca poderse verificar las in bienes de la Nación , ó sea de los que se originarán para quedarse ios corporaciones era menester dictar antes las regias convenientes, porque señorea en la posesión de tus derechos, serán cuando mas los que po…</t>
  </si>
  <si>
    <t>Marchámalo, Francisco</t>
  </si>
  <si>
    <t>Francisco Marchámalo</t>
  </si>
  <si>
    <t>…S. Femando, y i Dolía Ma Julio de 817, confin índole á Pefiiscola , en la que entendió como ría del Amparo Lozada, de la de S. Isidoro; y el ofrecido para el mas so juez el limo. Sr. D. Francisco Marchámalo: el Aragón falleció en Va bresal :ente en conocimientos de Constitución de los alumnos de la es lencia perseguido, é interesando i su viuda Dolía María Antonia Rodri cuela de S. Fernando te adjudicó por mitad á Francisco Salas y Anto gue un test manió de dich…</t>
  </si>
  <si>
    <t>Marchámalo, Francisco Mateo</t>
  </si>
  <si>
    <t>Francisco Mateo Marchámalo</t>
  </si>
  <si>
    <t>…os los poderes Yo no me hallo, como se puede probar, en esta segunda clase, por de este Sr. diputado- que cuando desempeñé este empleo lo dejé por ser espitan de Guar Guadaiajara. D. Francisco Mateo Marchámalo y D. Miguel de dias de Corps. fcn el día ni desempeño aquel empleo , si soy capi Atienza. Aprobados los poderes de estos Sres. diputados. tán de Guardias; por consiguiente no tengo impedimento para poder Guipúzcoa. D. Joaquín María Ferrer. La comisión opinaba que ser dip…</t>
  </si>
  <si>
    <t>Marchen, J.</t>
  </si>
  <si>
    <t>J. Marchen</t>
  </si>
  <si>
    <t>…perior al pro Cassnova , vecino de la misma ciudad de Ecija. ducto de aduanas y aun el de administración en las últ&gt;mas provincias; El Hipócrita: comedia de Moliere, traducida por D. J. Marchen*. de que se infiere que se pagó de los productos de contribuciones directas Se rende en la librería de Hurtado á 6 r». EN LA IMPRENTA NACIONAL.</t>
  </si>
  <si>
    <t>Marcial</t>
  </si>
  <si>
    <t>…manifestando lo mismo. Se leyó la sigui-nt* proposición de los Sres. Zapata, Navarro (Don Se mandó tener presente en la discusión sobre señalamiento de lí Felipe), Oliver, López (D. Marcial), Azaola, Murfi, Mediano, mites £ las nuevas provincias las dos exposiciones siguientes. La prime Sánchez Salvador, Ramonet, Ramírez i'id y otros: - En atención á ra de un pueblo situado actualmente en la de Va'.ladolid , para que no que la nueva división del…</t>
  </si>
  <si>
    <t>…o es mo en tiempo de Carlos ur; pero las Cortes han reformado esta parte de carretera &lt;3cc. Ademas de esta circunstancia reúne Vitoria la venta de la administración. El Sr. López (D. Marcial) quiere desconocer co ja de recibir el correo de la corte con poca tardanza , pues solo en 40 sas qu; yo no le puedi decir; y aunque me importa bien poco qu; se horas va desde Madrid á aquella ciudad; por consiguiente cualquiera les señale á lo* generales So,…</t>
  </si>
  <si>
    <t>…a por el Sr. Azaola en la sesión 'de ao de Noviembre acer muy probable que haya alguna exageración en todo lo que se cuenta, ca de Jos distritos militares, y sobre ladelSr. López (D. Marcial), pi pero tambirn hay algo de verdad. diendo que se reduzca á rs. el sueldo de los comandantes de loe Los p-didos de armas constantemente reiterado» indicarían la pro distritos. ximidad de mayores males, si no fuera cierto que el Gobierno tomará Habiéndose de…</t>
  </si>
  <si>
    <t>…pecial sobre tener cata franca en sus capitales, y si esto lo habia tenido presente la la moneda francesa acerca de la proposición del Sr. López Constante. comisión. El Sr. López (D. Marcial) tomó la palabra, como individuo de la El Sr. Villa dijo que esta no habia hecho cuenta de semejante cosa. comisión , j dijo que en la sesión de ajer algunos de los Sres. preopi El Sr. Yandíola dijo que esto ya estaba prevenido en el decreto so nantes se habi…</t>
  </si>
  <si>
    <t>…que el Gobierno, en virtud de las faculta cualquiera obra pública con arreglo á la Constitución. da que le fueron concedida por las Corta en el alio litio, dispondrá SI Sr. López (D. Marcial), despo« de haber pedido que se leyese que en las capitales de provincia donde no hubiere edificio nacional des la orden del Gobierno que habiadado motivo 4 esta resolución, y ha tinado pan la administración política, ae facilité el comspohdientc al biéndole…</t>
  </si>
  <si>
    <t>…tención del culto; y que respecto ds lo que decia el artículo de nes acerca de este artículo. que esta junta debia cuidar que no se rebajasen fraudulentamente los va El Sr. López (D. Marcial) preguntó que si en el caso de volver lores del medio diezmo, se debían mudar estas expresiones, porque las voluntariamente al seno de la Iglesia el que hubiese apostatado de la consideraba en algún modo injuriosas al clero. religión se le devolverían todos s…</t>
  </si>
  <si>
    <t>…a, para que la im a al Z33: el Sr. Ramonet al &gt;35: el Sr. Puigblanch al mismo; y los presión sea elegante y correcta , nada ha omitido la imprenta Nacional, Sres. Cepero y López ( D. Marcial) al 236; que se mandaron pasar á en cuyo despacho se vende este primer tomo á 17 rs. en rústica y 20 en la comiaion. pasta. La misma presentó su dictamen acerca de las adiciones que se hi Cartilla agraria, por D. Josef Espinosa de los Monteros, coronel cieron…</t>
  </si>
  <si>
    <t>…fectos pertenecientes al Estado óal comían de alguna provinc a ó pue de los expresados cuerpos. blo , serán castigados en los casos respectivos con el máximum de las El Sr. López (D. Marcial) se opuso á este dictamen; y después de penas prescritas en el cap. 9 t.t. 3. de la J.‘ parte; las cuales se po una corta discusión se declaró no haber lugar á votar, y se mandó vol drán aumentar hasta una 3.' parte mas de dicho Aprobado. ver á la comisión. A…</t>
  </si>
  <si>
    <t>…ulto 7 clero, ni 4 satisfacer las cargas del subsidio, pen reciba en la casa de moneda como pasta. siones 7 demas del clero, mucho menos podía bastar para estos obje El Sr. López (D. Marcial ) dijo : Me alegro que el reto del señor tos y el de las universidades, hospitales &amp;c. González Allende ponga á la comisión en el caso de hablar de esta Kl Sr. Carrasco sostuvo el dictamen de la comisión, manifestando particular ; porque en materias de esta e…</t>
  </si>
  <si>
    <t>…no en España, entonces la ta propone es lo mas acertado, y lo que las Coi tes deben adoptar. medida propuesta servirá de algo; pero si no lo hay, no servirá de nada. El Sr. López (D. Marcial): Voy i hablar en este asunto con la La resolución que hoy se presenta á las Cortes, á mi modo de entender, desconfianza propia de un europeo, que no teniendo muchos motivos de no alcanza á tos nobles fines que ia comisión propone. El expedienta conocer los n…</t>
  </si>
  <si>
    <t>…spués diré dos palabra* á lo al Sr. Gil de Linares en lugar del $r. Zorraquin, y para U del Có lo* primeros. digo p:nal al Sr. Rey. Siguió impugnando á los Sres Gol fin , I.oprz ( D. Marcial ), Ca Para la discusión de ma&amp;aiia señaló el Sr. presidente ios díctamepero, Torre Marín y Dolares , procurando vindicar la mrmoria del ge ñ » que habían quedado sobre la mesa y el código penal; y n lernn* neral O-Dunojú, ijur. á juicio del opinante nabía pre…</t>
  </si>
  <si>
    <t>…concepto que daba merecer al Congreso Migud, Ezpdeta, Arrieta, Casaseca, Moya, Gareli/Vecino, Motda la Nación! No recordaré i las Cotias lo que precisamente saben ya. coao, Lopes (D. Marcial) , Queipo, Cuesta, Martínez (D. Javier), No diré el efecto que ha debido causar d nombramiento da algunos da Maniau , Gisbert, Manescan, Liñan, Villa, Azaola, Lorenzana, Pelos elegidos en d animo da todos, los española qne se interesan en d ñafipl, Lamadrid ,…</t>
  </si>
  <si>
    <t>…presas de comeicio 6 Cuesta, Casaseca, Mina, Castañedo, Navas, bubrié. Vecino, Mos- de giro; si necesita ilnero, es preciso que enagene sus bienes. En el pue coso, Gareli, López ( D. Marcial ) , Queipo , Ruiz Padrón , Zubia, blo en donde están situados sus terrenos se hallan tal vez muchos ciu Rodríguez, Mascareñas, Mamau, Linan , Manescau , Villa , Azaola, dadanos que1 á fuerza de trabajo, de industr.a, de infinitas privaciones, Pcñafirl, Lorenz…</t>
  </si>
  <si>
    <t>…auxilio que redamaren , serán depuestos de sus empleos . previa for suprimirse este artículo. mación de causa con arreglo á lo dispuesto en el art. 71 del decreto de El Sr. López (D. Marcial): Me excitan infinito los desórdenes que las Cortes de 9 de Junio de 1811.” ae han verificado hace pocos dias en Sevilla, de los cuales estoy entera Quedó aprobado este artículo. do con motivo de haber tenido la comisión de examinar aquellos acon Se prorogó e…</t>
  </si>
  <si>
    <t>…e gefe, acompasado del señor alcalde go con arreglo á las penas aprobadas en dicho código. primero jr de los oficiales de la brigada de artilleros voluntarios, recor El Sr. López (D. Marcial) se opuso á este dictamen, manifestando rió la línea , y presenció en seguida el manejo de armas, que ejecuta que se privaría á la Nación de los beneficios del código ti se aprobaba ron los batallones con bastante destreza é igualdad: formaron después el que…</t>
  </si>
  <si>
    <t>…ros, aun Se leyó la siguiente de loa Sres- Ramonee, Ramírez Cid, Quinta que la escrita no hayan sido denunciada, ó fuñen declarados na , S. Miguel ,Mufioz Torrero , Villa, Lopes ( D. Marcial), Me- obtttelUu. drano, Losada, Cuesta , Zubia, Vecino, Navas, Látame, Lasante, n L* felta ó faltedad de cualquiera de dicha requisita se castigaré Gil dé Linaras, Castañedo, Pefiafiel , Cepero , conde de Tonco, Sán lo misino que si fuere total. chez Salvador…</t>
  </si>
  <si>
    <t>…sfacer i todó i petición de la comisión. Asimismo quedó retirada la cuarta por los lo que ce ha dicho contra él en este particular. mismos individuos de la comisión. El Sr. Lopes (D. Marcial): Hay cosas que antes de hablarse puede» Se levó el dictamen de Já comisión especial acerca de la representa omitirse} pero que propuestas una vez es preciso hablar sobre ellas para ción hecha por varios comerciantes de Cádiz sobré la medioa que sa que tengan…</t>
  </si>
  <si>
    <t>…n manifestarse recibir á S. M. el Rey á los Sres. Castnllo, Lázaio, Torreas, Silves, nenio* países extrangeros aconsejan una previsión extraordinaria; y Remirez Cid, Villa, López (D. Marcial), Mora , Serrallach . Calde n en «re «■«'.•«to ses pirre; su}- de dc-tii •aña ucuiralidad armad* ae rón , uoromiMS, Murh , Mamau, Linares, Montenegro, Uraga , Cor n Ja Alemania.” tes, Rey, Solanot, Osorio , Cepcro, Pierola, LagTava, Traver , La- Esto da á con…</t>
  </si>
  <si>
    <t>…había nombrado una comisión, compuesta de los señores plente , pudiendo asegurar al Congreso que ni á este ni a&lt; propi- tario D Jo. f de Esp ga y (ladea , D. Juan Alvatez Guerra , D. Marcial los conozco; y que no tengo otro ínteres sino el de que la provincia de A. tomo Lop-z, D. Diego Muñoz Torrvro y D. Angel Vallcjo, pa Sevilla se halle legalnvnt- representada. ra que forir.se un proy cto de le y para que en lo sucesivo se evitasen El Sr. Moren…</t>
  </si>
  <si>
    <t>Marco</t>
  </si>
  <si>
    <t>…conferencia, y resultó haber lugar 4 la formación de trado de primera instancia de esta Ad. il. villa, y escríbame del nú causa por siete votos, habiendo votado no haber lugar el Sr. D. Marco* mero de D. Jacinto Gaona y Loeches, se ha seúaiado para el remáis Izquierdo y el Sr. D. josef San Millan. de una casa, sita en esta corte ea la calle del Ave M-ru, núm. 5, manz. 34, el día ir del corriente y hora de las 11 de su mañana ta VARIEDADES. la posa…</t>
  </si>
  <si>
    <t>Marco, Juan Francisco</t>
  </si>
  <si>
    <t>Juan Francisco Marco</t>
  </si>
  <si>
    <t>…e el con una elegante descripción en italiano de dichas honras lumbres , y centro en las inmediaciones del pueblo, y nos dejan entrar libremente la oración latina que pronunció el Sr. D. Juan Francisco Marco, tra en la llanura con la idea de cortar la retirada en caso de ser vencidos*, ducida al italiano. Estos dos escritos, que forman un gran cuaderno en pero los insensatos no contaban con el valor y pericia militar de folio de papel de marca imperial, están mag…</t>
  </si>
  <si>
    <t>Marco, Manual</t>
  </si>
  <si>
    <t>Manual Marco</t>
  </si>
  <si>
    <t>…Sin embargo del poco crédito Reunidos en la ciudad de Valencia loa Sres. juwe* de hecho Don que nos merecen algunas noticias transpirenaicas, hay otras en que se Salvador hanjuan, D. Manual Marco, presbítero, D. Pedro Pascual halla algo de verdad y bástame exageración; pero no cabe duda en Carbonell, D. Joaquín f:;ri, D. Sebastian Bal!las , D. Remigio Cruz, qua el resultado de ellas es que el partido ultra francés, qu* tanta pre- D. Joaquín Satz de Qu…</t>
  </si>
  <si>
    <t>Marcó, Manuel</t>
  </si>
  <si>
    <t>Manuel Marcó</t>
  </si>
  <si>
    <t>…res turcos y griegos estu ría y caballería, al mando d.l coronel D. Quntin Velas o, y otra sa vieron todo el día en una continua escaran uta- dirige hicia Loa're á las órd.nes del coronel D. Manuel Marcó del •&gt; El día 1 g los seis buques ingleses ocultaron su pabellón; lo mis Pont. R1 general Perene, que había sal do de Jaca , s: hallará esta no mo Miced-r s&gt;n duda con otros muchos buques de le misma nacicn che dos ó tres horas de Aycrbe con la dirección opor…</t>
  </si>
  <si>
    <t>Marcos</t>
  </si>
  <si>
    <t>…liberación se declaró por unanimidad ser subvert’vo, y La autoridad de un pueblo libre siempre debe caminar por la senda seno en tercer grado, por los Sres'. conde de Totrefresno, D. Marcos de la franqueza : fiel observadora da las leyes, nada debe ocultar á los Meneo, D. Zoilo Goinez Casero, D. Antonio Scoane, D. Isidro pacíficos ciudadanos para restituir la tranquilidad y dulce calma i sus* Merino, D. Amonio Díaz del Moral, D. Josef Kives Quer…</t>
  </si>
  <si>
    <t>Marcos, Dionisio</t>
  </si>
  <si>
    <t>Dionisio Marcos</t>
  </si>
  <si>
    <t>…todos los oGciales su llería D- Migu'1 Armendariz, y los subtenientes de cscop.trr s Don periores del egército en cuerna se 1c mande del servicio; sabr.i las leyes Josef Sánchez y D. Dionisio Marcos; recomendando á los soldados de penales , y las obligaciones de los sargentos (en lo que le comp-te) de Santiago Manuel Sánchez y Josef Sagú ir re , y muy particularmente al que trata ¿1 cap. 4.'’ de este título, como también la de sus inferiores valiente alf…</t>
  </si>
  <si>
    <t>Márcos, Ramón</t>
  </si>
  <si>
    <t>Ramón Márcos</t>
  </si>
  <si>
    <t>…y la correspondencia de Irlanda continúan hablando 1 a comisión segunda de Hacienda , en vista de la exposición da de la suscripción que se abre en muchas poblaciones grandes y pe D. Ramón Márcos, pidiendo se le habilite para obtener un destines quehas para socorrer á los infelices aldeanos de aquel reino. Es tan con era de Opinión que podía accederá á su solicitud. Aprobedo. siderable el número de los menesterosos, que algunos lo tienen por exa La co…</t>
  </si>
  <si>
    <t>Maresch, Ramón</t>
  </si>
  <si>
    <t>Ramón Maresch</t>
  </si>
  <si>
    <t>…de A’a- Francisco Nogues, d-clararon que no ha lugar á la formación de causa va , presiden te.=Angel Ssavcdra , diputado aecretario-sFranciaco Be por loa votos de D. Jaime Bosch, D. Ramón Maresch, D. Sera fin Banito , diputado- secretario.” - cígalupi y D. Miguel Piando!it; y habiendo votado que ha lugar Don Por unto ttubdamos i todos los tribunales, justicias, gefes, go Magín Coraminas, D. Joaquín Vifials, D. Isidro Gallarda, D. Fran bernadores y dem…</t>
  </si>
  <si>
    <t>Marfa, Juan Santa</t>
  </si>
  <si>
    <t>Juan Santa Marfa</t>
  </si>
  <si>
    <t>…mérito que han contraído mis ayudantes, los porta-insignias de loa alcances. Lusitania D. Tomas López y D. Antonio Ratz, y ei teniente del regi » Entre loe prisioneros se cuentan D. Juan Santa Marfa , llamado miento de Sagunto D. Josef Paramo, quienes después de hacer todos espitan de granaderos y comandante de la infantería; Domingo Brion- los reconocimientos y ordenes que les he encargado se han batido é la gos, de la de cazadores} Lorenzo Aldea, «arge…</t>
  </si>
  <si>
    <t>Margiochi</t>
  </si>
  <si>
    <t>…guerra han ■ caído en poder de la Rusia, te valiesen del votación para diputados á Cortes debía ser secreta. mismo &gt;t-neuage&gt; Jims* ha procurado la Sublime Puerta separar 4 un El Sr. Margiochi habló m favor de la» votaciones públicas; y el rolo súbdito de las potencias vecinas de sus obligaciones como súbdito Sr. Soares de A revedo dijo: El asunto de que te trata et una cnestíon de aquellas, cuando &lt;n todos t 'topes ya ,n paz, ya en guerra ae ha de…</t>
  </si>
  <si>
    <t>…presidente 7 ric*-prc*idente t habiendo salido electos los sefio- limite a', Rey esta facultad de indultar: 11 estuviese y.i v g-nte el co res Josef Joaquin Ferreira do Monra 7 el Sr. Margiochi; y después da dito p mal seria otra cosa, porque en ¿1 los indultos no se extiend-n á i1,h&gt;, asistido á la función da iglesia, 7 hacho el juramento correspon los que atento cootra el sistema y otros deliro*. Resulta de lo d/rh « diente , quedaron instaladas l…</t>
  </si>
  <si>
    <t>Margrave</t>
  </si>
  <si>
    <t>…entaría de D. Antonio Mosquera Villamarin a8t rs. 77 mrs. volteretas. Seria ciertamente una cosa graciosa 7 divertida el ver 4 un £n providencia de 31 de Enero último, dada por el Sr. D. Margrave holandés hacer tan repetidos movimientos. El capitán Knuent- Miz) de Pineda y Lira, magistrado honorario de la audiencia territotern no consintió ni aun cn hacer la cortesía 4 la japonesa, es decir, i Mial de Castilla ia Nueva, 7 juez de primera instancia en…</t>
  </si>
  <si>
    <t>Mari</t>
  </si>
  <si>
    <t>…tiago Lagunilla alcalde constitucional de la villa de Becerril d-, se han trastornado los vastos plines del que se hacia llamar co- de Campos, nos suplica pubíiqurmnt la muerte de Doña Mari* Ana inanriant- yeneral d-1 .pncto r- il stj. Rubio Trovani , vecina que lúe de dicha villa, y t-gunda mujer de - 1.a p ovincia d: Guadal,jara qu-da enteramente libre, y las limí D. Manuel Inog do , a bn de que ae presenten loe que ae crean rrtitrofes tranqui…</t>
  </si>
  <si>
    <t>Mari, Cesar</t>
  </si>
  <si>
    <t>Cesar Mari</t>
  </si>
  <si>
    <t>…to, lugar-teniente en Sicilia, ha sido reemplazado por el prínci unión , la concordia y tolerancia respecto de los extravíos yd.b.lidades pe de Campofranco; y el mariscal de campo D. Cesar Mari reemplaza de los hombres. Un sacerdote intolerante y cruel no puede ser ministro al teniente general Nunciante en el destino de comandante general de de un Dios lleno de paciencia y bondad. Un sacerdote que sacrifica hom las armas en Sicilia, el cual ha sido…</t>
  </si>
  <si>
    <t>Mari, Joaquín</t>
  </si>
  <si>
    <t>Joaquín Mari</t>
  </si>
  <si>
    <t>…que sin el estado de su salud no le había permitido ponerse en camino duda alguna se calmó por las esperanzas que se fundaron &lt;0 las actua A la misma comisión se pasó un oficio de D. Joaquín Mari* Rui les Cortes , infaliblemente volvería a renacer con mas fuerza si no se do , electo diputado por Galicia, acompañando los poderes, y mani investigaba la causa para cortar el mal de raíz ; y por lo mismo debía festando no haberse podido poner en camino por…</t>
  </si>
  <si>
    <t>María</t>
  </si>
  <si>
    <t>…ruto de una Valdés, Bustos , Montesinos y G-sh rt. 'rebc.ion espantosa salida del averno púa afligir á los miserables mortales. La comisión de Premios, en vista de la solicitud de Doña María de n F,c l oa sera elegir en esta alternativa , y tanto mas en un tiem los Dolores Conde , viuda de D. Francisco Vaca, secretario que fue de po en el que sois parte integrante de una Nación grande y generosa, la capitanía geni ral de Aragón , para que s; le d…</t>
  </si>
  <si>
    <t>…AA. continúan sin novedad en su importante salud, las circunstanc-as, y para evitar ei que la p-ov.ncia de Cuenca queda como igualmente los Sres. Infantes y la Serma. Sra. Infanta Doña María sin repres'iitacion en esta legislatura, se deje al arbiii-oy prudencia del Francisca. La Infarta Doña Luisa Carlota tampoco ha tenido novedad gefe político el fijar el termino que &gt;eeun las d stencia» sea necesario después de su feliz alumbramiento.*’ pira l…</t>
  </si>
  <si>
    <t>…es, que no tardarán en venir á las manos , y cuya ne Aprobado. cedad es no menos conspicua que su ambición á la baraja, que les La comisión de Premios, en vista de la solicitud de Doña María consume la mas preciosa parte del tiempo. de la Paz, viuda del capitán D. Manuel Alonso, mamf.stando Jos Veracruz Marzo 12. Negrete ha bajado í México con 700 caballos; mér.tos y servicios de c:tj, y ¡os que contrajo la interesada en t empo y Cruz, con quien…</t>
  </si>
  <si>
    <t>…Recorrió la historia del Rio de la Plata , é hizo Ulere en de todos los _Las cartas de Venecia refieren que el capitan-baji hace grandes pre tratados que hab.a habido hasta el de Doña María r, por el cual quedó parativos á fin de efectuar un desembarco en Hidia, con el obj to de la España en posesión de Montevideo ; y concluyó diciendo que apro destruir los almacenes y las escuadrillas de aquella isla. S n embargo, baba en parte el dictamen de l…</t>
  </si>
  <si>
    <t>…M. y \\. continúan sin novedad en su importante salud, gados por tercios del fondo de propios y arbitrios, y ademas a rs. por encontrándose también mejorada la berma. Sra. Infanta Doña María visita de los vecinos del pueblo y arrabales, exceptuados los pobres Francisca.” de solemnidad. Visitará también los pueblos de la comarca. En dicha villa hay un convento de agustinos, al qoe asistirá por el precio en que El Rey ha expedido el decreto siguien…</t>
  </si>
  <si>
    <t>…s árboles y hacerlos car - S&gt;. MM. y AA. continúan s n novedad en su importante salud; bón , á causa de que careciendo de caminos no pueden trasportar las y la herma. Sra. Infanta Doña María f rancisca sigue con alivio.** maderas á los departamentos de marina para emplearlas en la construc ción de buques. Esto ocasionará indispensablemente la ruina y decaden F.l Rey ha expedido los decretos s:guientesr cia de los montes con perju ció considerable…</t>
  </si>
  <si>
    <t>Maria</t>
  </si>
  <si>
    <t>…M. admitiendo la dimisión del ministerio de Hacien pazo de sueldos p pensiones. Para que los interesado* pues no vean in da á D. .Antonio Maitinez, p encargándolo interinamente á D. Maria fructuosas estas gestiones, que provoca la necesidad, cree hacerles un no Egea. (Gaceta del uiy obsequio, publicando por medio de los periódicos que tales reclama Circular del ministerio encargando á los intendentes la actividad en ciones deben dirigirse al p…</t>
  </si>
  <si>
    <t>…: D. Francisco Querol, escribano; D. Vicente y Don te han visto, 4 prisioneros, y a de ellos heridos, 14 fusiles y esc.ipe Tomas Piñols; D. Diego Ifiero, administrador de correos; D. Maria tas , una caja de guerra, un caballo que montaba el cabecilla Santocil- no Oliveras, librero; D. Mateo Sampons, abogado; D. Baltasar García, des, titulado comandante de los voluntarios realistas de Alava, j otros CX-cartujo , y D. N. Llanos, rector del colegi…</t>
  </si>
  <si>
    <t>…, eres perdi líente, pues habiendo los suyos hecho prisionero á D. Pedro de do ; pero mueres en el campo del honor, y tu vafor será el asunto eter Guzman , traspasado de heridas , Doña María , que desde los adar no di los elogios y di los cánticos de las Espartanas.” ¡ Cuántos ras ves del alcázar había estado viendo el combate, le hizo llevar á gos dignos de eterna memoria no se podrían citar en elogio de aque su presencia, y mandó que se las cur…</t>
  </si>
  <si>
    <t>…a, aunque en el primer caso se r.quie Corte* pasar á la comisión un memorial de la esposa del Sr. Garelly, re que las Cortes declare:’, p.-sv.im.-cte hab'r lugar a .a lermi. en de Doña María de la Asunc "n Tea de Arista, su techa a del c mente, causi. acompañando un ceriitieudo del esetab-mo público det colegies de esta Se preguntará ah r» ; si c.undo se p da '.a t sper-ab ':dad o uno corte D. Manuel Mar i Paz , quien da te de que d 1 expedirme f…</t>
  </si>
  <si>
    <t>]8i4 SocirJad dr ttjttras mutuo/ dt inttndioj dt tatas tn Madrid. de ijoD , en cabeza de la misma Doña María , situado en alcabalas de Aproas til flato benéfico dt la libertad extendió sus alas sobre Toledo; otro de 349,600 , en cab;za de D. Diego Fernandez T.noco, nosotros aparecieron an e&gt;u capital la gran empresa de seguros gene situado eu papel ttLado de Córdoba…</t>
  </si>
  <si>
    <t>…nglesa: primero Doña Teresa Uribarri: síiundo Doña Dolores tuvo: ¡y qué motivos tenia que ya no tiene? La revolución española Pareja. Id. española Doña Carmen Crespo. Aritmética'. Doña María znanif- tó desde luego un carácter de moderación y de paz qus no ha Josefa Pdayo. Gramática castellana: primero Doña Bruta O:hoa: segun desmentido nunca; y si después ba toinado una actitud severa, ha sido do Doña Manuela da Alday. Dibujo: Doña Carmen Moreno.…</t>
  </si>
  <si>
    <t>María, Ana</t>
  </si>
  <si>
    <t>Ana María</t>
  </si>
  <si>
    <t>…dadas. «fe Quijada , Doña María Josefa Velasen, viuda de D. Pedro Celestino ARTICULO DE OFICIO. González de Salazsr, curado a de sus cinco hijos , D Nicolás , Doña María Antonia, Doña Ana María, D. Francisco «fe Paula y Cofia El Sr. secretario del Despacho de la Gobernación «le Ultramar con Mu ía Josefa de Salazar, Doña Tomasa Quqada , y por su muerte su fecha de ayer dice «lesde el Real sitio de Aranjuez lo que sigue: hijo D. Bernardino Espinaca, D…</t>
  </si>
  <si>
    <t>María, Antonio</t>
  </si>
  <si>
    <t>Antonio María</t>
  </si>
  <si>
    <t>…dos los que se consideren con «ferccho 4 los bienes de los mayorazgos El Sr. Romero manifestó que para cotejar una copia con su origi titulados de Quijada , que últimamente poseyó D. Antonio María de nal no se necesitaba ningún decreto de las Cortes. Quijada, que se denunciaron en el tribunal extinguido de mostrencos be preguntó si se declararla la sesión permanente, y se resolvió •n 10 de Marzo de 1794, y sí opusieron 4 dicha denuncia pretendien que n…</t>
  </si>
  <si>
    <t>María, Carlos</t>
  </si>
  <si>
    <t>Carlos María</t>
  </si>
  <si>
    <t>…como con arr.g'o a e! as. los de h. M la duqu-sa Je Lúea debían pagarse lo mismo que los de El Sr. í.-vr.«r o Trar dió cuenta de la representac or. qu- Lab-a ci los 'res. Infantes D. Carlos María y D. Francisco de Pau'a, abonán tado de ¡a d pj-tc on prcvinci il de C¡ta'.uúa , en que ped . se a’enc.edose por el Crédito público con artegio i los decretos videntes de las Si con p-efer.-r. a a lo» s-ig.tos empl-.aios en su ».creta: » por la» ra Cortes. Aprobado. zone, que expon:…</t>
  </si>
  <si>
    <t>María, Domingo</t>
  </si>
  <si>
    <t>Domingo María</t>
  </si>
  <si>
    <t>…e no contentándose con abu ciudadano que ha promovido esta digna empresa. Es nuestro síndico sar dei don inapreciable del pensamiento que había recibido de su .Cria constitucional D. Domingo María y ¡la, quien se ha encargado d» dor , abusase también del don de trasmitir este mismo pensamiento; una cátedra , y ha excitado á otras personas ilustradas á que hiciesen 4 dijo que si la libertad ilimitada de la imprenta fuese necesaria para su cgemplo este s…</t>
  </si>
  <si>
    <t>María, Joaquín</t>
  </si>
  <si>
    <t>Joaquín María</t>
  </si>
  <si>
    <t>…rinamente , opinaba que ca Se leyó la lista de los expedientes. taba comprendido el espíritu de esta proposición en las bases que pre Las Cortes quedaron enteradas de un oficio de D. Joaquín María sentó al Congreso la misma comisión para el arreglo de la Hacienda. Patiño , diputado por Galicia, en que manifestaba concurriría al Con Aprobado. greso en el momento que se le presentase proporción para hacer su La comisión Eclesiástica, en viste de la expos…</t>
  </si>
  <si>
    <t>María, Joscl</t>
  </si>
  <si>
    <t>Joscl María</t>
  </si>
  <si>
    <t>…nse Valparaíso el 10 de Octubre, y trae de pasageros á los señores general bar la mas importante y difícil de todas las ciencias. Ricafort, D. Antonio Caspe y el coronel de Burgos D. Joscl María En seguida definió la libertad, y dijo que hasta en las repúblicas ha Besa; y todos dan las noticias siguientes: bía tenido sus límites. Que después de infinitos bandos ds o. Martin, pidiendo varias mon Mr. Eticnne tomó después la palabra, f habló en los término…</t>
  </si>
  <si>
    <t>Maria, Josef</t>
  </si>
  <si>
    <t>Josef Maria</t>
  </si>
  <si>
    <t>…so de los caballeros seminaristas del seminario de nobles de valor de su primitivo costo; siendo otro obstáculo que ni allí existe Madrid y demas casas de educación del reino, por D. Josef Maria dique en disposición de esta obra , ni hay maderas acopiadas para ella, no Vallejo; tercera ediccion , corregida y considerablemente aumenta ni por último se encuentra la maestranza asistida como es menester pa da : tomo primero, parte primera, que contiene l…</t>
  </si>
  <si>
    <t>María, Josef</t>
  </si>
  <si>
    <t>Josef María</t>
  </si>
  <si>
    <t>…ingresos. Luego que se de exposición de D. Josef Leca meta. crete este plan, se tratará de ta redacción de un proyecto de Constitu A la de Negocios eclesiásticos una exposición de D. Josef María ción , tanto para las provincias en particular como para la totalidad del Valle, párroco castrense, y actualmente capellán de la ciudad de San reino; y esta Constitución tan prometida y esperada deberá estar en Sebastian, pidiendo que los párrocos castrenses…</t>
  </si>
  <si>
    <t>…teniéndose por de proporcionado valor los indicantes que prospecto de dicha obra con la anticlpicion necesaria para que llegase á hay en el proceso para confinar como se confina á D. Josef María de la noticia ds los profesores de las provincias, se halla abierra la suscrip Orbe, marques de Valdespina, por un alio á la ciudad de Búrgos, en ción hasta el ao del corriente. donde se presentará diariamente á la primera autoridad gubernativa, de Egcrcicio…</t>
  </si>
  <si>
    <t>…is lo necesario para tu cumplimiento.=F.sti rubricado de la d si s matares , y a los inspectores generales de las d.ferretes armas Real mano.sEn Annjuez á *6 de Abril de 1812.:= A D. Josef María d . ft-rcito la Real orden que V. E. se sirve comunicarme en 10 del Moscoso de Altamisa.” coir - ie, relativa á &lt;os alojamientos de lo* militares, añadiendo que el que prescribe la Real orden de 8 de Noviembre de 1787 , á que de n Habiendo tomado en considera…</t>
  </si>
  <si>
    <t>…on por la afirmativa fueron D. Francisco Escudero I,asi , D. Fran mezcla, bien cocido y sazonado: de forma que la fanega castellana no cisco Carranza, D. Bernardo de la Peña Díaz, D. Josef María de exceda en su producto de 64 raciones, ni baje de tío. Ansa, D. Josef Antonio Puyade, D- Vicente Sánchez Cirquero , Don a.* Este suministro deberá principiar en i.t de Setiembre pró Francisco Puyol y D. Josef María Retortillo; habiendo votado en ximo, y con…</t>
  </si>
  <si>
    <t>…o conveniente para su cumpliimento.euEstá rubricado de la Ri-al to , dados á censo, y en un cortijo en el campillo de Mormolence, dd m mo. = Hn Aranjuez á 14 de jumo de 182 2. = A D. Josef María término y jurisdicción de dicha ciudad de Huesear. Mostoso de Altamira. Junta general directiva de casas de monedes. Les Cortes por resolución de 6 del corriente se han servido de No habiéndose presentado aun á recoger el importe de tus billetes clarar benemé…</t>
  </si>
  <si>
    <t>…rta que desde Bianes me han dirigido el teniente coronel coman lo en el estado de agitación y efervescencia en que estaban los ánimos dante de aquel punto D. Josef Cienfuegos y el coronel D. Josef María de los señores diputados ; y asi solo propon-a que se mandasen pasar á Col ubi, comandante de la sección que en la madrugada del 24 del ac una comisión para que i la mayor brevedad diese su dictamen , exami tual salió de esta plaza en persecución de las gavil…</t>
  </si>
  <si>
    <t>…e acaba de regresar dicho cu f rancisco Cemprodon, de la misión, subprior, con un individuo de ca! n:: ha man .testado que desde una sola ventana t.raron un uro en dicho convento.—D. Josef María iantoolJs , teñirme genera1 —O ,n la taius de ayer á ios que fueron atacados por los bandidos; sale una Francesco Col leí, rector de Sarria—_D. Jos-f Miril PonsicS, hacenda fu.izi con ei objeto de averiguar de qué Cesa era, y conseguido d-»do.__D. Buenaventur…</t>
  </si>
  <si>
    <t>María, Jotef</t>
  </si>
  <si>
    <t>Jotef María</t>
  </si>
  <si>
    <t>…tez Peres , Amada (D. Pascual), Riesgo y Gar cía (D. Francisco ) . _ , : se o» 6 1 Dt Publicación de leyes. Lombardo, coato aecretot'O, Bicerra, _______ rfneo Echen ¡que. Jimence (D. Jotef María). Alcocer (D Santago), Vi- de sjcríficsrme en’Sbraqufe di la pama me obl.^n ¿ aceptar un dcstillanueva, Garza y Figweroa. _ , .___ le,©, de vosotroa, paia d cud me considoo muy mauficraw». pao js Dt peteimes. Lombardo, tomo secretarle, Callejo, Rodrigues,</t>
  </si>
  <si>
    <t>María, Juan</t>
  </si>
  <si>
    <t>Juan María</t>
  </si>
  <si>
    <t>…el dia , Scfior , he tenido deseo de go por su avanzada edad. que las Cortes tomasen esta medida , para que no te viesen en la terri A la de Libertad de Imprenta una exposición de D. Juan María ble situación de que hubiese alguna vez otro secretario del Despacho, Barrio , haciendo presentes varias dudas sobre la calificación de los im que quizá por imprudencia ó quizá con razón dijese lo mismo. Por presos. otra parte el Sr. Gatuno ha dicho que venim…</t>
  </si>
  <si>
    <t>…ncede por la Consti Húmeros. Premios. Administraciones. tución, se han servido nombrar inó linamente, con arreglo i !o dis puesto en el art. 3.3 del decreto de 23 del corriente, i D. Juan María dios...... 10000 ps. fs. En S. Fernando. Pardo Quirora para la comisión especial de ia incorporación y venta da 13881....... 4000........... En Logroño. bienes nacionales: á D. Joaquín huarez dei Villar para la administra 781...... 1000............ Fn Madrid.…</t>
  </si>
  <si>
    <t>María, Julián</t>
  </si>
  <si>
    <t>Julián María</t>
  </si>
  <si>
    <t>…io que solicitaba en atención á las razones que exponía. Aprobado. Esta mañana hemos sabido que el conductor de la Mala , que salió Otro sobre el recurso dirigido a las Cortes por D. Julián María moche de esta ciudad para la corte, ha sid , robado al llegar al puente Martínez , solicitando dispensa de edad para administrar su» bicars. &lt;j, 1, Muela por tres hombres , que le quitaron á él y al postillón 13 Ei Gobierno la apoyaba , y La comisicn era de d…</t>
  </si>
  <si>
    <t>María, Manuel</t>
  </si>
  <si>
    <t>Manuel María</t>
  </si>
  <si>
    <t>….m-me , forme el reglamento general, que debe ccntener Jas reglas nos des os di los que hoy se han lisonjeado con noticias de mayor para su gobierno, y quedaroo elegidos ios Sres. D. Manuel María de entidad. Goiri , D. Timoteo Rodríguez Carrillo , D. Joscf Pió Santos, Don _No hay género de atllficio, por pérfido que sea, que no empleen en Josef Garay, D. Francisco López de Olavarrieta, D. Francisco Iz daño de la patria Jo* que se han declarado sus ene…</t>
  </si>
  <si>
    <t>María-Pruna, Josef</t>
  </si>
  <si>
    <t>Josef María-Pruna</t>
  </si>
  <si>
    <t>…iento infantería voluntarios de Castilla, con $70 rs. gimiemo ¡nfapterfa de Extremadura , coa 570 ra. ' Alcali A D. Manuel de Biesa, teniente del regimiento infantería Monterrey á D. Josef María-Pruna, teniente del regimiento in—• de la Corona, con 570 rs. Cantería de Galicia, con 570 rs. AlcaSu al capitán D. Joaquín Schcídizagel, teniente del regi Mallorca al capitán D. Pedro Mariano Fabregnes, teniente de inmiento suizo núm 4.a, con 570 rs. fanteiía y ay…</t>
  </si>
  <si>
    <t>Maríadrán, Guies</t>
  </si>
  <si>
    <t>Guies Maríadrán</t>
  </si>
  <si>
    <t>…lla i 14 de Marzo del año próximo pa ado por ei juez inte-de los cuales se llamará de reclusión y el otro de corrección. 4. ’ Po » riño de ia villa y partido de Alcázar de S. Juan D. Guies Maríadrán ser aplicados á estos objetos los edificios pertenecientes á la Na «Serrano, y administrando justicia absolvieron de u instancia á l’cdroción , solicitándolos del modo prevenido en las circulares de 6 de Ju » Suarez, y encargaron al mencionado juez que en lo…</t>
  </si>
  <si>
    <t>Mariano</t>
  </si>
  <si>
    <t>…dadanos D. Mariano Pastaras, presbítero, y vocal de la junta A la de Hacienda una exposición de Doña Josefa Posé, en solicitud superior de sanidad de Aragón; D. Agustín de Quinto, D. Mariano de que se la conceda una pensión. Gros, capitán retirado; D. josef Rubio Sisón , individuo de la junta Las Cortes oyeron con agrado la manifestación que hacia de sus sen municipal de Fraga; D. Antonio M ilán de Fabara, D. Manuel Cor timientos patrióticos el S…</t>
  </si>
  <si>
    <t>…era de dictamen que se remírese a! Gobierno. Aprobado. Alcalá de los Gazulet para la administiacion de sus propios , el cual se La comáion de Agrcu tura acerca de la soi citud de D. Mariano halla informado favorablemente por la diputación provincial de Cídir Castillo, vecino de un pueb'o de Aragón, sobre aprovechara ento de ' y por el Gobierno, opinaba que debía aprobarse , y 1 amaba la atención baldíos , op naba que este expediente debía pasar…</t>
  </si>
  <si>
    <t>…la dos de la de Mallorca á D. Juan de Dios de Aguilar, D. Juan Manuel Torre y D. Pedro de la Torre y Garces, de 4^6,400 mrs__ Otros dos de Junco, D. Francisco Calvet y Rubalcaba, D. Mariano de la Bode sobre millones de Toledo á pliegos 338, en cabeza de Manuel Ortiz y ga y M-sodío, D. Guillermo Moragues y D. Juin Antonio Delgado. ViJIisante, Dula Josefa María Lop.z y D. Francisco de Medina, su Se previene que los agraciados acudan i sacar sus tí…</t>
  </si>
  <si>
    <t>…jo que no habia una razón para que se dotase á estos La comisión de Hacienda presentó los siguientes dictámenes. músicos, y no á los &lt;ic las catedrales. Uno sobre la exposición de D. Mariano l’asati para que no le obsta bl ir. Ferrer (D Joaquín ) dijo que la comisión retiraba parte de el no gozar sueldo para ser colocado. La common , teni. ndo s la vota este dictamen que trataba de músicos y mies tros de baile hasta que los servicios de este inte…</t>
  </si>
  <si>
    <t>…tín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Espejo; D. Pedro Matute y D. Casi ques de Leganes, á 4 de Diciembre de 1655.—Otro de un juro dt miro Martin. 79,800 mrs. sobre las alcabalas de vario* pueblos del ob…</t>
  </si>
  <si>
    <t>…e; i cuya continuación ponemos ti. Dt empleos. Mari», Lopes Constante, Bastamente CD. Cir ,Mpdjea la lista de lqe diputados que componen las comisiones nom ios ), Omites, Herrera (D. Mariano). bradas por el misino Congreso. 1 a. De colonias. Muzquiz, Gomes Farsa, Arrape, Mugu’ro, Bu, Proclamo. » La Regencia suprema del imperio, por un iicto de ex- Bustamtnte ( D. Cirio*), Cumplido, Septien , Gutierres de Lara. tremanrMOcia, ptomulgó en la capítol…</t>
  </si>
  <si>
    <t>…esultó adjudicado el primero á D. Manuel María Melga Se hace saber á los Sres. partícipes legos de diezmos qne el día 1) res, el segundo 4 D. Juan Bautista del Rio, y el tercero á D. Mariano del corriente me* de Julio se instaló en la ciudad de Vitoria la junta Gudal, á quienes se entregaron ios egemplares de ia obra del Tracy de partícipes que d:be entender en la liquidación y capitalización de que había regalado al electo el Sr. comandante gene…</t>
  </si>
  <si>
    <t>…prosp-ridad di la patria: estadio, Guerr ro , el Sr. Hua-te, padre di la F.mp ratriz, A'mtnsa , Aicme pueblo s, de que el que os dió la libertad conservará vu-slro* derechos, na (D. Mariano), D. Domingo Ma'o é ltú bide , Cavaleri, el mar y estid'o de que si tengo disposición para premiar a1 bueno , la teneo ques de Aicinena, y D. Juan O Donoj . (considerado como vivo par* lamhir n para, sofocando mis sentimientos , ext-rmínar al malvado, ha perp…</t>
  </si>
  <si>
    <t>…llones de rs, vn. efectivos en njetál.co en inscripciones al 5 por 100 a f,vor del ministerio de Marina. Comandancia general del sexto distrito militar. »Et 13 supe al Ei br.zrno. Sr. D. Mariano fcgea, secretario irterino de Estado y mediodía en Zaragoza que los facciosos, que obtuvieron e¡ id las ven del Despacho de Hacienda, á quien S. M. ha autorizado expresamente tajas que su número y el nial espíritu del país le proporcionaron en Be- para la n-g…</t>
  </si>
  <si>
    <t>Mariano, Josef</t>
  </si>
  <si>
    <t>Josef Mariano</t>
  </si>
  <si>
    <t>…Joan Antomo) y Campero. ,4. Policía. Presidente, Mudos, Pas, conde de P.-fiasco, Fores que y circule, y que con este acto cesan las fuñe iones con las que la CD. Manuel), Araada (.D. Josef Mariano), Porras , Mier, Vilagó Regencia fue investida ..... » Dido en Mex.co á ti de Mayo de i8zs, aB© segundo de la indp- mez y Lauuz*. Extracto dt una tarta particular di Pamplona dtl 57. pendeticia.—Firmado =Franciseo García, pceaidentosFranciaco Mana Lotnbardo.s…</t>
  </si>
  <si>
    <t>Mariano, Manuel</t>
  </si>
  <si>
    <t>Manuel Mariano</t>
  </si>
  <si>
    <t>…Sw. que declararon haber lugar: D. Francisco de Paule de Gar monturas (uno de ellos el que montaba si faccioso Ramb a), seis fusi man , el conde de la Purb'a , D. Josef L-nares , D. Manuel Mariano les, 34 escopetas, seis sib' s y todos los bagages con v,reres; púdico* Doral, D. Josef Fernandez Guerra y D- Jotef Fustes. do aseguras- que si no hub&gt;era sido por la oscuridad de is noche , hu Sres. que d-clararon no haber lugar: D. Manuel Pareja, D. Josef b…</t>
  </si>
  <si>
    <t>Mariel</t>
  </si>
  <si>
    <t>…El Sr. Priego opinó que en lugar de decir impreso que te reimprimís aean malos. Asique, yo solo deseo que el Gobierno tenga aquellas le debía decir recrito que te reimprima; y el Sr. Mariel contestó que esta yes necesarias para cumplir con las obligaciones que le impone la mis ba bien puesto. ma Constitución. El Sr. Cortés preguntó si en este artículo estaba comprendido el El Sr. Romero Alpuente: Cree la comisión que al Gobierno ro caso de que s…</t>
  </si>
  <si>
    <t>Marín</t>
  </si>
  <si>
    <t>…a de la ley de in tonio Oscoz. fracciona de Constitución 4 lo que era une resolución de la Cortes. Hallándote vacune la administración principal de lotería nacionaEs verdad que el Sr. Marín» pareció no conformarse con ata base; kt en la ciudad de Barcelona, se admiten memoriales pata alto en la pao no habiendo hecho resistencia para que se mudase, creí que no in- dirección general da arte ramo por el término de un mes. aistie en su opinión: por…</t>
  </si>
  <si>
    <t>…eto sobre indemnización de los partícipes de diezmos legos. Art. 547. •» La que ignorando Mi circunstancia contrajere si ma Las comisiones opinaban que en virtud de ia adición del Sr. Marín trimonio de buena fe, pero de nunsra que su ignorancia procediese de Tauste al art. i.° podía añadirse en artículo separado: » Por ahora, y negligencia culpable en enterarse debidamente del verdadero estado de mientras se dispone lo conveniente para la dotaci…</t>
  </si>
  <si>
    <t>Marín, Josef</t>
  </si>
  <si>
    <t>Josef Marín</t>
  </si>
  <si>
    <t>…D.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milicia nocional de Madrid. El Excmo. Sr. secretario de Estado y del Despacho de Hacienda A lo* héroes de Madrid el ayuntamiento constitucional da la Corulla: co…</t>
  </si>
  <si>
    <t>…D. Juan Bautista Zara'.a, teniente D Antonio Corrióla, subte píos que blasfeman el nombre cr Dos, son ios que procuran envene niente D. Felipe Caballero, id. D. Pedro Polero, id. D. Josef Marín. nar nuestra sociedad , los qu - han ocasionado tartos desastres en ais-u Del de Toledo. Teniente D. Mariano Kanler. nos di nu stros distritos, los qu: seme.anr:sá .as heñís llevan su rabia Nota. Todos los dichos K proponían ouua, cu tUpsla por Di/ona. carnic…</t>
  </si>
  <si>
    <t>Marín, Manuel Diez</t>
  </si>
  <si>
    <t>Manuel Diez Marín</t>
  </si>
  <si>
    <t>…si formará una columna en masa como el Aib.-rt, y el destacamento de Logroño al mando del teniente coronel Dos de Mayo, y desfi'arsn toda» las tropas por el sa.on , caricia de han D. Manuel Diez Marín, son destinados por el gefe de la plana mayor Gerónimo, puerta del Sol, calles de las ...airelas y Atocha a la plaza á atacar al olivar , en el que mataron muchos facciosos, y cogieron para repetir los mismos vivas de la mañana. algunos prisioneros.=E1 result…</t>
  </si>
  <si>
    <t>Marin, Torre</t>
  </si>
  <si>
    <t>Torre Marin</t>
  </si>
  <si>
    <t>…ima ó ilegítimatnante la hija está ya casada, y no puede disol cion este dictamen con el otro , dado á consecuencia de fe solicitud dd ver su matrimonio: que lo que había dicho el Sr. Torre Marin era re comercio de Cádiz; porque (i mas de no haber sido ambos en un mis produciendo lo mismo que habia ya manifestado, añadiendo solamente mo dia) no podia resolverse lo que se pedia; decía el comercio de Cá lo del tratado de Utrech, que no tenia ninguna con…</t>
  </si>
  <si>
    <t>Marina</t>
  </si>
  <si>
    <t>…como traidor, y condenaba á El Sr. Calatrava manifestó que este artículo estaba copiado i la le muerte.” tra de la ley orgánica del egército, y que en cuanto i la armada naval, El Sr. Marina: Me ha parecido conveniente hacer varias observa no se habia propuesto nada en razón de que no estaba resuelta la ley ciones sobre algunos artículos de este capítulo , y si el br. picardeóte lo orgánica de la armada naval-. Por estas razones dijo que se podrí…</t>
  </si>
  <si>
    <t>…me* i su opimon, partió del principio de «¡mtion política dt la monarquía tspmñola *t traidor , y eufrird la pt~ que ata estiban aprobada por las Corta y sancionada por ei Rey. El Sr. Marina dijo que las observaciones que acababan de leerse seJM dé WMfftéo El are. (9j corresponde al 18 de to ley sobre infraccioaa de Cons dirigian únicamente á manifestar su opinión, que por lo demás atabe titución , y por éi se reputa por traidor, j se impone peoa…</t>
  </si>
  <si>
    <t>…lguno de los actos que se prohíben por las restricciones a.*, destruir. 3- * 41, 5-% ó/ 7/ y 8.‘ del art. 171 de la Constitución, ó para em Vean aqui las Cortes (continuó) como el Sr. Marina padeció el otro plear Jas milicias nacionales fuera de la* provincias respectivas sin mar dia una equivocación en decir que algunas de las corporaciones infor gamiento de las Cortes.” Aprobado. mantes decían que no se debia imponer igual pena al que tratase d…</t>
  </si>
  <si>
    <t>…‘i este artículo una idea contradictoria , creo que las Cortes no deben conoce la posesión. Pero es preci o tener presente lo que es propie aprobarle. dad: v como d jo muy bien el Sr. Marina, e»ta no es un «bieto h-:».'. El Sr. Falcó hizo algunas aclaraciones sobre el discurso que habia sino el derecho que compite a uno para disfrutar un* eos* v dispo pronunciado en una sesión anterior. ner de ella i su arbitrio. Siendo pues un derecho . claro es…</t>
  </si>
  <si>
    <t>…s de ta época de la discusión memorable de dicha darte toda la extensión imaginable i la libertad de hablar y a la de cs- ley, se observa que aun los que la impugnaron, incluso el Sr. Marina, cr'bir, haciéndolas tan ilimitadas como lo es la de pensar: entonce* to entendieron que la suspensión era temporal y de corta duración ; pero dos conocerían tus verdaderos derechos, y respetarían lo*ágenos, no «te no indefinida. Esto lo comprueba mas ls impo…</t>
  </si>
  <si>
    <t>Marina, Francisco</t>
  </si>
  <si>
    <t>Francisco Marina</t>
  </si>
  <si>
    <t>…hocan ts. Sres. que votaron en contrario: D. Juan Pablo Pascual, D. Fran Aunque los turcos y los persas creen igualmente en Ja predestinación, cisco Barra, D. Valentín de Nicolás, D. Francisco Marina, D. Anto los segundos no siguen etis doctrina tan ciegamente como los primeros, nio PuigblancJi y D. Josef Radon. los cuales son por consecuencia apático* é indolentes. Los persas nopuc'iendo persuadirte que sea imposible evitar la adversidad, hacen cuanto es…</t>
  </si>
  <si>
    <t>Marina, Francisco Maitmez</t>
  </si>
  <si>
    <t>Francisco Maitmez Marina</t>
  </si>
  <si>
    <t>…e los intereses han de satisfacer Lorenzo Lambe* , D- Simón Gonzalaz Yutte, D. Francisco López da te por determinadas casas de París y Lóndres; bien entendido que por Olabarricta, D. Francisco Maitmez Marina y el conde de Floridaesta deferencia no contrae obligación sucesiva de valerse de las mismas bianca. casas jara .practicar esta operación, y que libremente puede elegir á Sres. que fueron de opinión contraria: D. MitíasCitero, D. Joaquín •Hat ¿MÍt otras «pie…</t>
  </si>
  <si>
    <t>Marina, Francisco Martínez</t>
  </si>
  <si>
    <t>Francisco Martínez Marina</t>
  </si>
  <si>
    <t>…á la Real orden de 7 de Octubre, honorario de ístado, y académico honorario de la academia de la His circulada ts 11; todo lo que publicará V. S. por edictos y en los pe toria; á D. Francisco Martínez Marina, individuo da la misma, y di riódicos de esa provincia. putado en Cortes; i D- Francisco Martínez de la Rosa, individuo da la Al mismo tiempo procurará V. S- ver si pueden verificarse com academia Espafiola, y diputado en Corte»; á D. Diego Clemencia, in pras…</t>
  </si>
  <si>
    <t>…entaciones eclesiásticas y otros despachos que se nandez Casariego, D. Josef Rivcs Queraltó, D.liiginio Antonio Lló expidan por la secretaría de Estado. (. Gaceta del Jl.j rente , D. Francisco Martínez Marina y D. Francisco Javier Barra. Circular de la dirección de contribuciones directas, comprensiva de Sres. qua lo creyeron sed cioso: D. Josef Demetrio Rodrigues, una Real orden sobre pagos As medias anatas. ( Gaceta del xa. ) D. Bernardo Asen jo, D. Jotef María Pucnt* y D. Josef Larr…</t>
  </si>
  <si>
    <t>…ados, se vieron sobre 16 en el Sres. que lo declararon absuelto: D. Juan Pablo Pascual, D. Joa camino real, entre ellos un oficial de caballería, y se asegura se quín Ruiz Llord , D. Francisco Martínez Marina, D. Bernardo Alon hallarán ocultos bastantes cadáveres; les matamos tres caballos, y les so , D. Antonio del Afcazar, D. Antonio Díaz del Moral, D. Celes hicimos un herido prisionero, que permanece en este hospital tratado tino Olozaga, D. Casimiro Martin y D…</t>
  </si>
  <si>
    <t>Marina, Joaquina Ladrón de</t>
  </si>
  <si>
    <t>Joaquina Ladrón de Marina</t>
  </si>
  <si>
    <t>…or providencia del Sr. D. Gregorio Marau , juez de primera ins adición de los Sres. Vareta,Gener ySuarez al artículo del presupuesto tancia de Murcia , se cita , llama y emplaza i Doña Joaquina Ladrón de Marina , que decía: » Que se remitiesen á las cajas de la Havana lo de Guevara como inmediata sucesora del vínculo que posee su herma que faltase para completar las cantidades asignadas si sus fondos no no D- Juan Carlos Ladrón de Guevara, y fundo Doña Catalina de a…</t>
  </si>
  <si>
    <t>Marina, Secretario de</t>
  </si>
  <si>
    <t>Secretario de Marina</t>
  </si>
  <si>
    <t>…el Go- El Sr. Buey fue de opimon que todo el cap. 29 volviese á ¡a co b.erno o contra sus subalternos. rnil.on para que le rectificase , y que una de las cosas que en ei hab a E&gt; Sr. Secretario de Marina contestó que en la memoria misma se q. ie arreg'ar era el sustituir i la palabra capellán la de pdtroco, pues exponían las cantidades recibidas, que no habían s&gt;Jo mas que la mitad denominándose de aquei modo el sacerdote que solo d.c.a m si, 00 de las señala…</t>
  </si>
  <si>
    <t>Marina, Teresa Car Francisco Martínez</t>
  </si>
  <si>
    <t>Teresa Car Francisco Martínez Marina</t>
  </si>
  <si>
    <t>…Portocarrero, á 13 de Marzo «la 1J64.—.Otro da un juro de &gt;6) Arias» D. Francisco Lopes de OlararrieU; X&gt;. Metiee Cuero y Don maravedises sobre las alcabala» de Cuenca, a favor de Doña Teresa Car Francisco Martínez Marina. rillo «fe Mendoza, en Búrgos á g de Abril de 1508.__.Otro de un juro Habida ta conferencia, resultó por unanimidad m kahtr lujar i de 5c9 mrs. sobre al aervicio y montazgo del ganado da 'Castilla la la formatiun dt tatuó. Vieja á favor de Doña Teresa Carrill…</t>
  </si>
  <si>
    <t>Mario, Torre</t>
  </si>
  <si>
    <t>Torre Mario</t>
  </si>
  <si>
    <t>…ue las proferia y el que las oía, siendo asi que lat muhabía en poner consentimiento en vez de aprobackn. las no podían hacer aprecio de ellas, y que el carretero las decía sin £1 Sr. Torre Mario fue de opinión que los libros debían estar suje mala intención , dedujo que no debían verdaderamente castigarse. Ade tos en cuanto á su prohibición á las mismas reglas que los damas efec mas hizo varias observaciones respecto del caso en que uno se viese acot…</t>
  </si>
  <si>
    <t>Mariscal, Josef Luis</t>
  </si>
  <si>
    <t>Josef Luis Mariscal</t>
  </si>
  <si>
    <t>…s. otro." Nota. En la gaceta del 13 de Junio, col. 6.‘,par. b.°, dond.* di £&gt;- Real ord-n lo traslado á V. para su inteligencia y demas efec ce D. Josef Luis Martinea , debe decir D. Josef Luis Mariscal y tos. Palacio 1 5 de Jumo de i8sa. Villegas. EN LA IMPRENTA NACIONAL.</t>
  </si>
  <si>
    <t>Marochetti</t>
  </si>
  <si>
    <t>…iembre de rifar. Modo dt curar la hidrofobia (la rabia) en Ukran'a. Art. i.'’ » Estos billetes, formados en papel elegido al intento esta *&gt; Hallándose en Ukraniael año de 1813 el Sr. Marochetti, ciruja rán dispuestos en medio pliego , de ancho menor que el común , im no de un hopital de Moscow, se le suplicó asistiese i ij persona, qte presos y firmados de estampilla por el tesorero general D. Antonio habian sido mordidas por un perro rabio,o. Mient…</t>
  </si>
  <si>
    <t>Marqu, Josef Joaquín</t>
  </si>
  <si>
    <t>Josef Joaquín Marqu</t>
  </si>
  <si>
    <t>…de 1811.» trumao 10. ■* A nombre de todos los individuos de este cuerpo, y por hallan* Oficio que ha dirigido al Exento. Sr. virey el teniente coronel y coman su gefe nato el ir. coronel D. Josef Joaquín Marqu z y Donallo al dante accidental del regimiento infantería del Infante D. Carlos frente de la división de vanguardia destinada contra los partidarios del D. Josef Manuel Martínez. caudillo, el teniente coronel del mismo, Josef Manuel Martínez.” » Excuso. Sr.:…</t>
  </si>
  <si>
    <t>Marqu.s, Jusef</t>
  </si>
  <si>
    <t>Jusef Marqu.s</t>
  </si>
  <si>
    <t>…de su r t v.»muertos v prisión ros, pu s yo c'u parí : d 1 e n 1 ría , i,-&gt; ... ir ba. lena, qu cantío n ru.-'tro roi i ;í t 3 Je lapr.mera. v 1 r. - ,i.,a les D. Marrano Lalorre, D. Jusef Marqu.s, y i,', jo.i ierren, a i as alcauiyo h-sta ge de ia s.gu; d- , Lab do.es cogido 30 «.é. \«s , s.a</t>
  </si>
  <si>
    <t>Marquero, Agustín</t>
  </si>
  <si>
    <t>Agustín Marquero</t>
  </si>
  <si>
    <t>…l'o, B-ltran de Galarizo , vocal de la diputación provincial de Salamanca, D- Manuel Lis, Arellano, Ojeio, Llórente, Serrano, Muro, Meca y b u t de la Quintero, vocal de la misma, D. Agustín Marquero, vocal de la da Vega, contrario» i la aprobación déla proposición de los Sres. Infant’, Burgos, D. Felipe O.ono, de la de Vigo; y de las consultas de las di Calderón, Soria, Romero y Prat para que el Gobierno pueda poner putaciones provinciales de la Coruña,…</t>
  </si>
  <si>
    <t>Marques, Gerónimo Casimiro</t>
  </si>
  <si>
    <t>Gerónimo Casimiro Marques</t>
  </si>
  <si>
    <t>…bado. biduría de su Monarca. La comisión primera de Legislación opinaba que podia concederse Es infundado cuanto ae dice en alguno» periódicos alemanes / fran carta de ciudadano á D. Gerónimo Casimiro Marques y á D. Pablo ceses acerca de una opinión pública y de un mooimimto nacional que obli Priscini, y carta de naturaleza á D. Miguel Sclilc, según lo solicitaban garán al Gobierno á tomar tal ó cual determinación. Lo diseminado que diches intensados. Aprobado. te…</t>
  </si>
  <si>
    <t>Márquez, Josef</t>
  </si>
  <si>
    <t>Josef Márquez</t>
  </si>
  <si>
    <t>…tra sef CaamaSo, D. Mate© Vnlaeco , D. AgutíaMuio 4c la* Hcra*, Don amble fidelidad nacional; pero no os entr-gueit a las delicias deCapua: Celedonio de Salazar , D. Josef Blanco, D. Josef Márquez , I). D -go coged primero el fruto de vuestros trabajos, aprovechad la cosecha , y ¿j Rute, D. Francisco María Cte*po, O. Fermín Alcega , D. Antonio no omitáis medio m fatiga para consumar ‘a grande obra de la Nación Carriola, D. Cristóbal Tille: , D. Pedro d…</t>
  </si>
  <si>
    <t>Márquez, Josef Joaquín</t>
  </si>
  <si>
    <t>Josef Joaquín Márquez</t>
  </si>
  <si>
    <t>…lo, el teniente coronel del mismo, Josef Manuel Martínez.” » Excuso. Sr.: Como teniente coronel y comandante accidental de Cot.tntackn de .u Extienda. este cuerpo, por hallarte su coronel D. Josef Joaquín Márquez comi » Viva el regimiento dai Inf.nte D. Cirios. Acabo de recibir d sionado por V. E. con el mando de la división de vanguardia del egér- oficio de vd. de hoy con lo* ejemplares de ¡a proclama que me inclu cito del Sur, que esté á las órdenes del Exmo. Sr. D.…</t>
  </si>
  <si>
    <t>Márquez, Joseí Joaquín</t>
  </si>
  <si>
    <t>Joseí Joaquín Márquez</t>
  </si>
  <si>
    <t>…Exce V. E. r.úm. ao de las di z de la mafiana, con las tres proclamas que lentísimo Sr.=B. L. M. de V. E. , el brigadier coronel del regimiento m; mc uye, y le ha remitido el Sr. coronel D. Joseí Joaquín Márquez, infantería fijo da Puebla = Francisco Javier de Gabriel.” comandarte de la vanguardia del egército del mando de V. E., las que *u«r. 5.® haré publicar para satisfacción de este v cindario. Oficio del Excmo. Sr. general tn gefe del tgéretto del Sur D. Pascual…</t>
  </si>
  <si>
    <t>Márquez, Pedio Pab'o</t>
  </si>
  <si>
    <t>Pedio Pab'o Márquez</t>
  </si>
  <si>
    <t>…ración en .u alta clase a fa dió principió el 5 dt Noviembre último , te hallaban dispuestos para vor ds los seis pares católicos que estaban excluidos por ciusa de su re disertar D. Pedio Pab'o Márquez, D. Manuel Maríe Melgares, Don ligión. Eí triunfo de la justicia, de la razón y de la humanidad iba i Benito Serrano, D. Juan Biutista del Rio , D. Francisco Javier Jimé completarte......La Cámara Alta había oido ya sin oposic on su prime nez de Bagues, D. An…</t>
  </si>
  <si>
    <t>Marr, Manuel</t>
  </si>
  <si>
    <t>Manuel Marr</t>
  </si>
  <si>
    <t>…ses prelimina Lamas, Cusas, Marti, Fernandez Cid, Rom, b.-ab.a, V. .atusa, cola res para mejorar el plan de Hacienda decretado en ia legislatura del res , Ruiz del Rao, González ( D. Manuel Marr».- , &gt;&lt;.t.«s, y)11 -ú•&gt;lio de : i , y ciertas medidas económicas que ccn este objeto podrían nes , Atierra, Marchama d , Guevara, Pruno , fc-.u era , fu te, adaptar.e. I.as Cortes anteriores decretaron un presupuesto que las fuer Munarnz , marques de ia \ieue…</t>
  </si>
  <si>
    <t>Marra, Juan</t>
  </si>
  <si>
    <t>Juan Marra</t>
  </si>
  <si>
    <t>…esponde, porque tu morosidad re tías* las opei aciones de la cata. El Rey ha expedido el decreto siguiente; ANUNCIOS» D. Hernando vu por la gracia de Dios y por la Constitución de Don Juan Marra* pone.al pfiblieo en su casa, calle de Carreras, le Monarquía española , Rey de las España* , a todos los que la* pre ■úm 38, cuarto a.9, frente lacas* de correos, un gabinete ó colección sentes vieren y entendieren , s.bed: Que las Corta* han decretado lo de…</t>
  </si>
  <si>
    <t>Marrasi, Benito</t>
  </si>
  <si>
    <t>Benito Marrasi</t>
  </si>
  <si>
    <t>…gos y los bárbaros. para ser empleado, y la otra mitad al cargo del comandante accidental La Grecia esta todavía oprimida t pero presenta actualmente un del batallón de 1» milicia D. Benito Marrasi, de su capitán D. Juan aspedículo inaudito en la historia del mundo, esto es, un pueblo que Baeza y del capitán de caballería D. N. Sierra, 4 los balcones de la está instruyéndose, engrandeciéndose y formándose en midió de las misma casa pura ofender desde el…</t>
  </si>
  <si>
    <t>Marrncz</t>
  </si>
  <si>
    <t>…r la libertad de los diputados en la discusión di unas tan viva la Constitución. leyes, cuvo objeto es cortar unos abusos que todo el mundo quiere re Yo uno m s deseos con los del Sr. Marrncz d* 1* Rosa, aunque mediar: yo siempre he votado y votare según mi conciencia, y para no tengo las virtudes de S S. para esperar qu: ,-to desde m- lee*’o ., qce manifestar que no quiero esta aura popular tan miserable,que desprecie: vencan a asesinarme: av;r m…</t>
  </si>
  <si>
    <t>Marrón, Josef</t>
  </si>
  <si>
    <t>Josef Marrón</t>
  </si>
  <si>
    <t>…la de Alicante al solicitud de ura pensión. coronel D. Francisco González Golfin : para la de Málaga al brig .dier Se acordó que se imprimiese la copia remitida por el ministerio D. Josef Marrón , que lo es de la misma : para la de Oviedo á D. Ma de Hiiienda del reparto de li contribución territorial de i 20 millones. nuel María Acevedo, que lo es de la de Asturias: para 1» de Búrgss A la de Hacienda se mandó p isar una expos.cion .del director del a…</t>
  </si>
  <si>
    <t>Marrón, Vicente</t>
  </si>
  <si>
    <t>Vicente Marrón</t>
  </si>
  <si>
    <t>…d- esta ciudad, del vier lación al seminario conciliar de Coria» los de las obras pías de D. Pe nes 9 *1*1 actual al fol. *3 , denunciado por injuriólo por D. Francisco dro Roco r D. Vicente Marrón, los cedidos por el duque de Abran Artis, capitán retirado y sargento mayor del primer regimiento de la les , y las demás cantidades qu: forman las bases de dotación de dicha, milicia nacional voluntaria de esta ciudad, han declarado mvát»'mí universidad en a…</t>
  </si>
  <si>
    <t>…los valiente* correspondía en la pingüe memoria de dicho D. Pedro Rcco, su t&lt;o. que dieron los primeros el grito de la libertad en la Isla de León Igual cesión hizo de ia otra de D. Vicente Marrón , de que era com aumente, si es posible, el fuego que arde en nuestros pechos por con patrono, prestándose muy gustoso á ello el cura de Santa M iría Doa servar nuestra libertad preciosa. Simón Llanos Granado. Y por último el duqüe de Abrante», cuyos n Nada t…</t>
  </si>
  <si>
    <t>Marroquin, Juan</t>
  </si>
  <si>
    <t>Juan Marroquin</t>
  </si>
  <si>
    <t>…ico carías Sagrcdo, D. Gregorio Sainz Hernani, D. Juan de iglesias, Don tesorero general, y encargando á D. Antonio Martínez la formación Luis Díaz Hoyuelo, D. Josef Juan de Isla, D. Juan Marroquin, y Don de la cuenta de la tesorería general en el año económico que ha finado. C irios García. Habida la conferencia, resultó por unanimidad haber (Gaceta del 6. y tugar d la formación de cauta. Decreto de las Cortes sobre las oficinas i cuyo cargo deberá est…</t>
  </si>
  <si>
    <t>Mart, Juan</t>
  </si>
  <si>
    <t>Juan Mart</t>
  </si>
  <si>
    <t>…de sus fueros. *8501 ****** 4000...................... En Farcelont. 13* * Gobierno á nombre de las Cortes manifestará al general agoog...... laso...................... En Madrid. D. Juan Mart n el Empecinado, al coronel comandante de irgenieros 1 regimiento 14487...... loco...................... En Cádiz. de la plaza de Zamora D. Manuel de Tena, ai teniente d 28181..... 1000...................... Er. Ocaúa. de infantería de Vitoria D. Máximo Remot…</t>
  </si>
  <si>
    <t>Marta, Ana</t>
  </si>
  <si>
    <t>Ana Marta</t>
  </si>
  <si>
    <t>…pcebios, que ¡ i- satisfaré ei asemira. ...J en cabeza de Bartolomé Velezquee de la Canal—Otro de 68,311 mrs., f i Cualquiera* situado rn el 10 por too de las tanas, en cabeza de Doña Ana Marta l que sea la tropa 1 Del cuar* . t.gMii. I eaisteuta col y de D. Gerónimo de Morales, en 15 de Octubre de 1614----Otro de tu ídem. &lt; ,1er*°I los, {«'*“. V «» '9*1 164,06a mrs., situado sobre las yerbas de CaUtravs, en cabeza de Do puntosd* * &gt; a« id. lía Juan…</t>
  </si>
  <si>
    <t>Marte</t>
  </si>
  <si>
    <t>…artículos de este dictamen, y cree que de que les pertenecía. be declaran* haber lugar á votar en su totalidad. Lascomisionct en vista de todo lo ocurrido presentan algunos de El Sr. Marte!: Sin entrar en los discurso* de lo* Sre*. Lobato y lea artículos de su anterior informe, con la diferencia de que en lugar .Torres, diré que la cuestión sf va extraviando de tu verdadero punto de de un «omisionado del Crédito público, que debia haber en cade…</t>
  </si>
  <si>
    <t>…zación de una parte de loa capitales, sea grande ó pequeña! Es claro que sí, j por lo mismo que El Rey ae ba servido expedir el decreto siguiente: dan deshechos los argumente» del Sr. Marte! , porque laa comisiones lo Hallándose indispuesto mi secretario de E,udo y del Despacho de que han hecho ea presentar loa medios de hacer esta indemnización , y Marina D. Francisco de Paula Escudero, á quien por mi decreto da quieren que te haga hasta donde…</t>
  </si>
  <si>
    <t>Marte, Joaquín</t>
  </si>
  <si>
    <t>Joaquín Marte</t>
  </si>
  <si>
    <t>…os En el segundó 2 muertos, 12 heridos y 3 contuso*.. oficiales de la guardia Rid de infantería D. Felipe Bros; O. Ramón En el tercero j muerto, 10 heridos y 5 contusas. Fábregas, D. Joaquín Marte!, D. F. Garoz el» el segundo batallón; y Total, 3 muertos, 41 heridos y if.contusos. D. F. Carreño, D. Luis Zafortesa y D. Manuel Lace Le, que se hallaban Madrid 10 de Julio de 1812—_És copia__ El comandante acci en el tercero , los que también se portaron co…</t>
  </si>
  <si>
    <t>Martel</t>
  </si>
  <si>
    <t>…conforme con la idea del artículo, y mercio de Cádiz. considerando que toda acción tiene dos tiempos, que son, primero : el No se admitió í discusión la siguiente proposición del Sr. Martel: procedimiento para ver la calidad de la acción y fijar su existencia, y » Pido qu ; pase el proyecto que se discute á la comisión de Divi segando: fijar la complicidad que tenga cualquier ciudadano en esta ac sión del territorio para que en la demarcación ha…</t>
  </si>
  <si>
    <t>…ostaban menos todo» los demas ramos precisos á i» subsis diezmo'ó por medio de la tesorería; y yo preferiría que lo fu ase por tencia. Respecto de los gastos que habia indicado el Sr. Martel, contes esta; pero que lo tea por una cosa incierta digo que no es conforme con tó que estos no se pagaban de la tesorería general tino de los fondos del le religión ni con la justicia. Crédito público, y que por tomismo no tenia fuerza alguna este argu Ha di…</t>
  </si>
  <si>
    <t>…entorpecer la he citado, los cuales tienen tanto derecho i esto como los particulares. justa indemnización de que ae trata, y que Unto reclaman un sinnú El Sr. Sierra Pambley: El Sr. Martel ba seguido el mismo camino mero de familias que están sumidas en la miseria por haberles privado que algunos Sres. que han hablado contra el dictamen de la comisión; de hecho de lo que las pertenecía. Repito pues que no debemos entrar r todos sus argumentos K…</t>
  </si>
  <si>
    <t>…sa; á D. Gonzalo Vsldés Posada . pira ei da sión , que dijo debía hacerse momentáneamente. Llanet; i D Benito Suarez Campa , para el delnfiesio; i D. J -,;f Ló • U Ves» Cocán», El Sr. Martel reprodujo alguna» razones de las que habia manifes pez Pooce, para el de Campo de Ciso; i D. Lu.s d rara el de la Pola da Lena ; i D. Febx Fernandez Tel’ez . psra el dstado en su anterior discurso. -. á Don El Sr. conde de Tareno dijo que habia sido uno de lo…</t>
  </si>
  <si>
    <t>…s y Art. 236. « El español que apostatare de la religión católica apos derechos en que se les indemnice.” tólica romana perderá todos ¡os empleos, sueldos y honores que tuviera El Sr. Martel manifestó que debia hacerse una adición respecto da en el reino, y será considerado como no español; pero quedará exento este artículo, para significar que los bienes de que se trataba habían de de toda pena si volviera voluntariamente al seno de ia Iglesia.”…</t>
  </si>
  <si>
    <t>…do» sacrificados los papeles públicos. No contenta esta llamada junta diocesana (con en Armenia Stc. &amp;c. tinuó ) con desobedecer les órdenes del Rey , quiere insultar al diputa El Sr. Martel dijo que él artículo decía lo que debí* decir, porque do Ocho*, y en é¡ al Congreso nacional; y si quiere saber lo que yo culto religioso no podía confundirse con el supersticioso. dije en dicha sesión , no tiene mas que comprar el diario de Cortes Ei ir. Cal…</t>
  </si>
  <si>
    <t>…es con suma prontitud, de forma que en aquella villa ve perjuicio del Estado 7 funestas consecuencias. se tuvieron antes que en ninguna otra los utensilios necesarios pan hacer El Sr. Martel manifestó que el medio propuerto por la comisión la operación del resello. Pero entonces ocurrieron ios acontecimientos era el único que podía adoptarse en el caso presente, atendidas las cir que todos saben , 7 el* intendente rió que en el hecho de reunir un…</t>
  </si>
  <si>
    <t>…el código da do Código no podia dudarse sacrificaría gustoso su vida, si fuese necesa procedimientos. rio, por conservarlo ileso; y concluyó dando los vivas acostumbrados i la El Sr. Martel apoyó las observaciones del Sr. López , añadiendo que Uachtn, á la Constitución y al Rey constitucional, que fueron contes en la discusión de la totalidad del código la misma comisión había di tados con alborozo por ta milicia y por el numeroso concurso que p…</t>
  </si>
  <si>
    <t>MARTES</t>
  </si>
  <si>
    <t>Svs .2 2. (7 coa***.) , G A C E T A D E MADRI D. MARTES aa PE ENERO PE 183a.. NOTICIAS IXTRAMOERAS. do mantener tus relaciones coa loa «ele* de la* tribus de la AJbeA superior, y que no loa ha incomodado; pero ca la ocasión presenta «mí muy cas*prometida su autoridad, y esto es sin duda lo que le lia inducido á to…</t>
  </si>
  <si>
    <t>Martes</t>
  </si>
  <si>
    <t>Núm- 108. (7 cuartos.) 5 7* GACETA DE M A D R I D. Martes 16 de abril de 1822. noticias extranjeras. Él párrafo 9 ° que decía: «Hacer lo mismo con los arbitrios qué por falta de rentas de los concejos se adoptasen en sus distritos; lo que roiLTccAt. no podrá verificarse sin aprobación de las Cortes, del m imo modo q…</t>
  </si>
  <si>
    <t>Nfim a8o. (y cuartos.) *393 GACETA DE MADRI D. MARTES 24 DE SETIEMBRE DE 1822. aO ««&gt; C &lt;* NOTICIAS EXTRANGERAS. d; v r recorrer sus filas por el héroe de las Cabezas, por el g*n»ral V¡l.ccampa y otras autor.dadss. El rir.etai Riego are' zó u.-sj: un bal PORTUGAL. cón , y rrcorrier.do las diferent-s c:a«-s pe cm…</t>
  </si>
  <si>
    <t>Martes, Madrid</t>
  </si>
  <si>
    <t>Madrid Martes</t>
  </si>
  <si>
    <t>…emorias que podiau servir mucho por la propagación de las luces. para llevar á cabo el arreglo general que se deseaba. Se mandó pasar ¿ la comisión Eclesiástica una exposición del señor Madrid Martes £ de Marzo. ministro de Gracia y Justicia, haciendo presentes varias dudas que ha „ SS. MM. y A A. continúan sin novedad en sis importante salud.” bían ocurrido en los egercicios literario* para la provisión de prebendas y cur-tos. CORTES. ^ Se mandó pasar á…</t>
  </si>
  <si>
    <t>Martí</t>
  </si>
  <si>
    <t>…í t.° los regulares que profesaron antes de ia publicación de la ley de culo se entendía con todos los pueblos ó no. i$ de Octubre de i8ao , si examinados ad curam emimarum fue El Sr. Martí dijo que solo se trataba de la supresión da párroco* ren aprobados: a.* los que en el dia de la expedición del presente de donde hubiese muchos, como por egcmplo en Cuenca , cayo vecin creto hayan obtenido la presentación y colación canónica de algún dario se…</t>
  </si>
  <si>
    <t>Marti</t>
  </si>
  <si>
    <t>…ado de las circunstancia»; de los inte paiabra, d be pieven r todo lo que puede peijud -at á los hombet. Erro no basta asegurar solo ai nd r dúo en su persona, s no qu# resados Ki Sr. Marti dijo que los cuerpos m.litares eran ambulantes, y por también l.ay que asegurarle en sus bienes, de lo que K trata en este relo mismo cr. ia que no podrían uitormar muy bien , ni tampoco po giam.nto muv sup-.fi-.cimente. drían tener noticia de las perdonas u.…</t>
  </si>
  <si>
    <t>…a-t.* de la» armas de Zaragoza.” que se supriman todos los corve: tos eu les lúzate» que no pisen de 1 unt :j. 450 vecinos. ,r i :,i distrito Kiii-tai- __Comandancia jrrner.»’. El Sr. Martí h’zo pr*;ente que esta medida pod'a ser muy per’udin S r«n l i» noti^i .» que ac b ; r c b t »,» e -emie-.u qu; perseguía, cial , y que no debía apr. ha:».', en at.pc on i qu: iru.h.o* rs.: t r-s, y roe ai.i-,n .he entra-on , :i Lumb r, s- div.dieron ayer en…</t>
  </si>
  <si>
    <t>…de usurpaciones i unas medidas benéficas y sa puedo menos de desaprobarlo. ludables , y dictadas por él mismo- El Sr. Infante: La comisión ha creído adaptable la adición del se El Sr. Martí: Yo no he dicho que estas fuesen usurpaciones; he ñar Sancho, persuadida de que en nada se opone al espíritu del código dicho que hemos visto que en escritos públicos se nos lú tratado de penal, aunque parezca que se opone á la letra. La comisión ha pro usurp…</t>
  </si>
  <si>
    <t>…avor de Doña Isabel Martínez, señalada con el instancia y de la hacienda pública de esta capital, refrendada por el es núm. 3241, su valor 23,274; todas endosadas a favor de dicho Sr. Marti cribano del número de ella D. Jacinto Gaona y Loechet, se ha señala nengo y sin ínteres. Y habiendo recibido la noticia , según certificación do para al dia 15 d*l corriente, á las xa de su mañana, en su posada, del administrador general de correos , de que e…</t>
  </si>
  <si>
    <t>…detención al parage Laida y aprobada el acta de le anterior, «a mandó agregar £ ella el que se determíne, enviando á la plaza conquistada lo que sea necesario voto perticuler del Sr. Marti, contrario á lo acordado por lu Cortes en ceso de que se haya de conservar ó poner en estado de defensa, lo acerca de la duda tercera de las propuestas por la diputación provincial cual sabrá el comandante de artillería del general para poder dar sus pro de O…</t>
  </si>
  <si>
    <t>Marti, Antonio de</t>
  </si>
  <si>
    <t>Antonio de Marti</t>
  </si>
  <si>
    <t>…tancias dictan, y de suyo exige el guez de la Vega, D. Vicente Tejeiro, D Josef de Torres , D. Al estado en que he encontrado este pais.=EI tiempo es frió; pero despe berto Arnet, D. Antonio de Marti, D. Ramón Feliu , D. Francisco jado y hermoso, sin embargo de ¡o adelantado de la estacion.=Dios María Guell y D. Josef Busqu.ts, declararon por unanimidad haber guarde i V. E. muchos años. Cuartel general de Tremp i a de No lugar á formación de causa contra…</t>
  </si>
  <si>
    <t>Martí, Estéfano</t>
  </si>
  <si>
    <t>Estéfano Martí</t>
  </si>
  <si>
    <t>…quivocación en el extracto de la sesión , pues suponen que ha Estos breves han excitado en otros tiempos el fanatismo del pueblo sido elegido visitador de la audiencia de Canarias D. Estéfano Martí francés, resultando ser mirados como enemigo* de la religión aquellos nez de Bonilla , siendo asi que lo ha sido D. Bartolomé Martínez. que estaban dispuestos á hacer todos ios sacrificios para sostenerla, y lo Se procedió á la discusión del dictamen de laa c…</t>
  </si>
  <si>
    <t>Marti, Fermín María</t>
  </si>
  <si>
    <t>Fermín María Marti</t>
  </si>
  <si>
    <t>aunque sí sí infringió y faltó í lat leyes que de ¿1 emanan, y lat cua ciones de D. B.'t nardo Valles y D. Fermín María Marti (tez debían pa te! «crin satisfechas por lot trámites que ellas mismas tienen estableci sar á la junta nacional de dicho establecimiento , para que en su vista dos, para lo cual se forman con actividad los sumarios correspondien determinase lo que juzgase mas…</t>
  </si>
  <si>
    <t>Martí, Francisco</t>
  </si>
  <si>
    <t>Francisco Martí</t>
  </si>
  <si>
    <t>…bado. Stsii n ordinaria del t£. La comisión de Hacienda opinaba que debía pasar á la de Casos da Se leyó y aprobó el acta de la anterior. responsalidad ei expediente promovido por D. Francisco Martí , del co Se man d i pasar á la comisión de Hacienda un oficio del Sr. secre mercio de Barcelona, contrae! consulado de aquellaciucad. Aprobido. tario de la Guerra, acompañando la planta de la secretaría de su cargo. La misma opinaba que debía pasar al Gobiern…</t>
  </si>
  <si>
    <t>Martí, Francisco de Paula</t>
  </si>
  <si>
    <t>Francisco de Paula Martí</t>
  </si>
  <si>
    <t>…que quedarán sin curso alguno esté puesto por el Gobierno al cargo del profesor inventor de este mé las que carecieren de tan indispensable* requisitos. Lo que traslado i V. todo D. Francisco de Paula Martí, curo establecimiento está situado de Real orden para su int-l-g-ncia, puntual cumplimiento y compe en la calle del Turco, en la casa que fuá almacén de cristales. Los qua tente notoriedad. Madrid a2 de Agosto de 1822. quieran aprender como discípulos es indi…</t>
  </si>
  <si>
    <t>Martí, Hemeterio</t>
  </si>
  <si>
    <t>Hemeterio Martí</t>
  </si>
  <si>
    <t>…; y mi creo obligado por la ley mis yes Oliva, D. Josef Melchor Ptat, D. Mariano Rubinat, D. Ramón ma i reclamarlo asi, pues si ahora se admitiese un empleado de palacio, Busaña y D. Hemeterio Martí. Fueron aprobados los poderes de estos en las Cortes siguientes habría dos, luego seis, y en fin podría haber señores diputados como proponía la comisión. muchos diputados que lo fuesen. Córdoba. D. Angel Saavedra Ramiriz de Baquedano, D. Josef Me- El Sr. duq…</t>
  </si>
  <si>
    <t>Martí, Josef</t>
  </si>
  <si>
    <t>Josef Martí</t>
  </si>
  <si>
    <t>…ra. Aprobado. de algún modo el deseo de este Sr. diputado. Aprobado. Se leyeron dos ofi-’os del Sr. s-’cretar'o de Gracia y Justicia , maLa comis'on , en vista de la exposición de D. Josef Martí, coro n’feslan la en el prun ro que convencido S. M. de ¡as ventajas que ofre nel graduado de infantería y primer teniente de la guardia Real , nom ce el nu;’vo c 'digo penal, no se habla detenido en darle la sanción, sin brado para comandante de la milicia a…</t>
  </si>
  <si>
    <t>…ar cen con fecha de 29 de Junio anterior lo que sigue: » Excmo. Sr.: La* ga al Gobierno que coopere eficazmente para que ss satisfagan en todo Cortes, en vista de una instancia de D. Josef Martí, coronel gradua el mes de Julio próximo el 1 por 100 en metálico de intereses que las do de infantería, y primer teniente de la guardia Real, solicitando sa Cortes asignaron por el artículo 6.“ del decreto de 19 de Junio de le declare el sueldo de teniente co…</t>
  </si>
  <si>
    <t>Martí, Josrf</t>
  </si>
  <si>
    <t>Josrf Martí</t>
  </si>
  <si>
    <t>…s no se dan por acabados. En Constantmopla, y iarriga, D. Francisco Ignacio Pelleja, D. Joscf Antonio Bertrán, aun en el mismo divan , continúa reinando ia mayor desconfianza bree D. Josrf Martí, D. Joseí Pujol y D. Alberto Arnet, declararon por la corte de Rusia: á cada momento se están manifestando reacios, y difi- unanimidad haber lugar á la formación dt causa contra el autor de un cilmente podrán disiparlos los ministros mediadores. Repiten que e…</t>
  </si>
  <si>
    <t>Martí, Pedro</t>
  </si>
  <si>
    <t>Pedro Martí</t>
  </si>
  <si>
    <t>…para el juzgado de primera instancia de la ciudad de Coria y su partido, Don Fernando vn por la gracia de Dios y por la Constitu Vacante por dimisión de D. Félix Erizo y Morales á D. Pedro Martí ción de la Monarquía española, Rey de las Espafias, i todos los que nez de Velasco: para el de Plasencia, vacante por promoción de Don fas presentes vieren y entendieren, sabed: Que las Cortes han decre Santiago Amatriain i una de las fiscalías de la audienci…</t>
  </si>
  <si>
    <t>Martiaez, Julián</t>
  </si>
  <si>
    <t>Julián Martiaez</t>
  </si>
  <si>
    <t>…zbia sido condenado, dirigiéndose á Costa- Descuentos de letras...............-.................................... 6 por 100. firme, y estableciéndose en Guiris bijo el nombre de D. Julián Martiaez, en donde p-rmaneció, hasta que subléva las aquellas provincias, é txiivMAias. inflamado del mas puro amor á la-madre patria, contrajo los mas distin Por providencia del Sr. D. Angel Fernandez de los Ríos , minis guidos y arriesgados servicio* gratuitos, como…</t>
  </si>
  <si>
    <t>Martim, Vicente Ramos y</t>
  </si>
  <si>
    <t>Vicente Ramos y Martim</t>
  </si>
  <si>
    <t>…sustanciar el asumo, y les parará todo perjuicio lo dito por los haberes que dejó 4 su fallecimiento su nieto el meritorio que se determinase. del cuerpo del ministerio de Marina D. Vicente Ramos y Martim z; Los suscritoics á la obra intitulada Tratados de legislación civil y y S. M. a! aceptar la cesión de este individuo se ha servido mandar que penal del jurisconsulto ingles Jeremías Bentham, traducida al csst. se baga público en la gaceta este acto patrióti…</t>
  </si>
  <si>
    <t>Martin</t>
  </si>
  <si>
    <t>…; i D. Felipe Bauzá, director del depósito hidrográfico, y aca Habiéndose declarado pertenecer á D. Tomas del Valle parte da démico supernumerario de la academia de la Historia; á D. Martin las tierras que comprendía la huerta existente en el término de la ciu Fernandez Navarrete, de le ecademie Espafiola, 7 secretario «le la de dad de Málaga al sitio de la Calera, procedente del suprimido conven S. Fernando: i D. Juan López Pefislver, académico…</t>
  </si>
  <si>
    <t>…e te han manifestado; y ciertamente no tienen otro medio. tratara S. S. dé persuadir á las Cortes que las leyes de que ae trataba Ayer se repitió por el Sr. Crós, y se leyó por el Sr. Martin» de eran una consecuencia te lo que había indicado la comisión espacial le Rota , una parte del dictamen de la comisión que entendió en loa encargada te informar da los sucesos de Cádiz y Sevilla, no era asi. lo negocios desagradables da Cádia y Sevilla. Este…</t>
  </si>
  <si>
    <t>…u virtud se reunió el jurado, compuesto de los señores siguientes: De Real orden lo traslado á V. para su inteligencia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Sebastian de…</t>
  </si>
  <si>
    <t>…opas v el pu b‘o cote; eren y nes lleras de nobleza , lea tad y amor a S. M. C., recibidas . ycr por res.eta on a mm.-nsa -1 .tinca que m daba enfe uv.a cu tria r .l boea ce b. vi Sr. Martin, z de la Rosa, no cumplirían sin embargo insubor Imada y responsable ante ¡a lf d- sus n-av os , y ia aj.u-.ta con el mas sagrado de su&gt; deberes sino repitiesen en este m. ni.uto en Persona de; Key, decl-nda sagrada ¿ inviolable por a ey fu-c.ir. r.nombre de…</t>
  </si>
  <si>
    <t>…a firma dice: nUn portugués verdadero liberal;'* y reunido do nombrar para los batallones de nueva creación y para los ac el jurado, compuesto de los Srcs. D. Juan J. del Cubillo, D. Martin huales. Josef de Cantío, D. Josef M. Rerortillo, D Jcsquin de Trueba, Don Primeros exudantes. Juan Martínez Gatica, D. Cirios Carrera, D. Domingo Ranee!, Den Alicante al capitán graduado D. Antonio Melero, segundo ayu Luís Crosa y D. Matías Olave, declaró no…</t>
  </si>
  <si>
    <t>…oficial de correos ; D. Manuel de Irazusla, factor de ta por razón del subsidio de go millones, y en partida t.parada de la provisiones; D. Sebastian Ignacio de Alzate, escribano; D. Martin que efectivamente haya satisfecho por su cuenta. Miguel Iraizos j Nicolás Mendiburu , residente* en aquella ciudad. Ig 11. Item de las pensiones con que esten gravadas la dignidad epis noramos las cau.as que han motivado estas prisiones; j por consiguien copa…</t>
  </si>
  <si>
    <t>…r.» Echagu.bei , Fr. K»m.-i C r o. , e presbítero D. Forando Aibisu, es mas flanco d cc. rdo muera la l • qel español que e- D. Juan Luis de A- u i-i/.iu , D. Manu ' de Ira-usta , D. Martin lando -;v t ¡a Cmstltu. ' 1 '? c1" 1 al mismo t-etvp» el puñal hasta ti 1 n espaúola, v p-rMn uel il Ira /os v 1 &gt;. N' v o M.-ndiburii saliesen c\.'Uls«&gt;* del quinto coraz n. F.l ei.’írj no qui-re 'a l*-rtud de 1 Vzc : : :-r - . . v u &gt; • 1 , irrpie distrito,…</t>
  </si>
  <si>
    <t>…e las viudas y huérfanos de los facultativos de ambas dates qu* se considerasen con derecho al espesa Juicio de jurados. do establecimiento, te presentasen al secretario del mismo D. Martin En la ciudad da Logroño, reunidos en jurado da acu «ación los to* Carnicera con loa documentos que lo acreditasen; te ha acordado vol Sores D. Juan Manuel Santiago, D. Agustín Tricio, D. Ventura Cha ver á citar y emplazar é loa que aun no te hayan presentado, pa…</t>
  </si>
  <si>
    <t>Martin, Antonio</t>
  </si>
  <si>
    <t>Antonio Martin</t>
  </si>
  <si>
    <t>…eneral ra el dia t.° del próximo Seti-mbre , y las utsa» para igual día de ¡oa con una fuerza respetable los sigue por la espalda, y ei brillante regi meses sucesivos, en poder de D. Antonio Martin , depositario nombra miento de voluntarios de Castilla debe entrar mañana en esta capital, do por 'os repr-»-n*antes de los pueblo» , que vive en esta capital cali* i Y qué importa el que nos viésemos solos! Zaragozanos, ; ro sois vo de las Botizas llondi, ,…</t>
  </si>
  <si>
    <t>Martin, Cas-miro</t>
  </si>
  <si>
    <t>Cas-miro Martin</t>
  </si>
  <si>
    <t>…; de loa emigrado* refugiado* en D. Antonio Gamonal, D. Francisco de la Carrera , D. Benito Orteea el Rosellon i las órdeaea del conde de Calderón 4tc." Como el conde Romanillos, D. Cas-miro Martin, D. Antonio Regés, D. Antonio «le Calderón te halla en Valencia, sin haber pensado ni pensar en PuigbUnch, D. Francisco López Otavarrieta, D. Pedro Matute 7 Don contarse entre los refugiado* á Francia que vuelven sus arma* contra Juan Paz. la patria, creemos…</t>
  </si>
  <si>
    <t>Martin, Casimiro</t>
  </si>
  <si>
    <t>Casimiro Martin</t>
  </si>
  <si>
    <t>…le costa , con el objeto de poner la provincia de Co debían ver dicho escrito, y salieron los Sres. siguientes: ro en comunicación con Puerto-Caballo, cuya pisa ae halle coa mucha D. Casimiro Martin, D. Josef Antonio Ponzoa, D. Josef Bardo, escássz de víveres.** Marques de Torrenueva, D. Aniceto Lizana, D. Andrea Alcon, Dos —•&gt; El marques de Casa-León , gafe político de la provincia de Vene Santiago Delgado, D. Pedro Alvaro Delgado, D. Josef Rives Qüszue…</t>
  </si>
  <si>
    <t>…y 17 mri. por Lo declararon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Sebastian Andrés. Burriezo; otra de 16,316 rs. y 23 mrs. por réditos, núm. 4467, 4 fa vor de D. Santos Zorra; otra de 31,185 rs. de ca…</t>
  </si>
  <si>
    <t>…es matamos tres caballos, y les so , D. Antonio del Afcazar, D. Antonio Díaz del Moral, D. Celes hicimos un herido prisionero, que permanece en este hospital tratado tino Olozaga, D. Casimiro Martin y D. Santiago Delgado. Fue de con una humanidad de que es indigno. Dios guarde á &amp;c. Tudela y Opinión contraria D. Joaquín Manrique y Manrique. Agosto 11 de t8aa.=sEl capitán comandante Manuel Martínez de Morentin.=M. I. Sr. gefe superior político de esta provincia.” Fn la muy her…</t>
  </si>
  <si>
    <t>Martin, Josef</t>
  </si>
  <si>
    <t>Josef Martin</t>
  </si>
  <si>
    <t>…ulio de 1812—_És copia__ El comandante acci en el tercero , los que también se portaron con el mayor valor. Fue dental__Josef Luis dé Amandi. también herido el ex-guardia de corps D. Josef Martin ;z Mugica, y' presente en la acción ei de igual clase D. F. Alcázar _ Después de lo Los oficiaies del segundo batallón del primer regimiento Je la guardia que se halla expresado, y como á las cinco de la mañana, se presentó' real han dirigido á S. Ai. ¡a expo…</t>
  </si>
  <si>
    <t>Martin, Josef Martínez de S.</t>
  </si>
  <si>
    <t>Josef Martínez de S. Martin</t>
  </si>
  <si>
    <t>…izase al Gob ernó á fin de que pudiera responsabilidad sobre la queja dada contra el gefe político de Madrid separar del mando de la milicia activa á los gefes que no fuesen á pro D. Josef Martínez de S. Martin por D. Juan Antonio Gippint, duefio pósito pera ello por falta de aptitud ó de adhesión al sistema. del café de la Fontana de Oro, por haberle puesto incomunicado en la En seguida te acordó pasase el oficio del Gobierno coa urgencia á cárcel de Villa el d a 1…</t>
  </si>
  <si>
    <t>Martin, Josef Martínez S.</t>
  </si>
  <si>
    <t>Josef Martínez S. Martin</t>
  </si>
  <si>
    <t>…Pedro Pascasio Fernandez sanJino y canales. 1 otros ciudadanos residentes en esta corte, quejándose del gefe político ' El Sr. Rico expuso varías razones en apoyo del dictamen. E D. Josef Martínez S. Martin por haberles negado permiso para hablar El Sr. Argiielles dijo que tratándose de una obra sumamente rece- I en la Fontana, y pidiendo se le exigiese la responsabilidad por haber saria para toda la costa de Cantabria, era precito mirarla, no bajo el as- I infr…</t>
  </si>
  <si>
    <t>Martin, Juan S.</t>
  </si>
  <si>
    <t>Juan S. Martin</t>
  </si>
  <si>
    <t>…i la comisión de Ultramar la* al juez fiscal que formó la causa D. Melchor Castaños, al auditor da proposiciones del Sr. Sánchez, relativas á la pacificación de las provin guerra D. Juan S. Martin, y al consejo de oficiales generales, incluso cias de Ultramar. el marques de Casa Sarria. A I* de Guerra se pasó la de los Sres. Riego é Infantes , para que Se mandó que este dictamen quedase sobre la mesa. no te permita el pase á milicias é mas oficiales de…</t>
  </si>
  <si>
    <t>Martin, Juan San</t>
  </si>
  <si>
    <t>Juan San Martin</t>
  </si>
  <si>
    <t>…te general habia sido en esta Cuarta parte. » Que igual responsabilidad se exija al asesor audi causa te,t;go y ju-z á un mismo tiempo contra lo prevenido en las le- tor de Guerra D. Juan San Martin.” Aprobada por 108 votos con y s, y que ademis había detenido arbitrariamente y sin los requisitos ne tra 13. cesarios á los cudadano» acusados. Respecto del consejo de oficiales ge Los Sres. que aprobaron fueron: Infante, Oliver , Salva , Prat, nerales repro…</t>
  </si>
  <si>
    <t>Martin, Lúeas</t>
  </si>
  <si>
    <t>Lúeas Martin</t>
  </si>
  <si>
    <t>…Granaderos. Sargento segundo D.'Minúél Palafox, contuso. Milifur:a, dirigiéndose en desórden á lapuerta del Sol. Los muertos que sé cíanos, D. Juan Manuel Ranedo y Rosas, muerto. D. Lúeas Martin; hallaron en las cálle* de la Amargura y Boteros fueron 9 granaderos; herido. D. Valentín.Moinos, idem. D. Josef .Vas; ídem. ÍX Vicente un tambor, 5'cazadores y un corneta; los heridos fueron bastantes;': Argiiello, idem. D. Juan Escorial; ídem. D josef Migue…</t>
  </si>
  <si>
    <t>Martin, Manu-I</t>
  </si>
  <si>
    <t>Manu-I Martin</t>
  </si>
  <si>
    <t>…ive* que lo imp dan, carra s»is tiradores, que con intento de cortarios destacó el cap tan Ru los batallones de un regimiento ó los cuerpos de una división r&gt; egér ite at mando de D. Manu-I Martin. Los bandidos huveton cada cual to se reunirán para formar la pirada en el punto que el gefe principal por distinto lado; dej ndo en el campo dos c»cop*.t-t» y un sombrero. señale. Si esta partida de infantería tuvi-ae a.gunts» caballos para auxiliar.a en Art…</t>
  </si>
  <si>
    <t>Martin, Manuel</t>
  </si>
  <si>
    <t>Manuel Martin</t>
  </si>
  <si>
    <t>…n con respecta i nues ponsoriode S. Antonio, con otras oraciones y devociones, recopilado tros vecinos se locan también con las demás naciones europeas, y no de varios autores por D. Manuel Martin, adornado con 28 estampas podrán jamas allanarse mientras que el aumento de la población no sea finas, en un tomo en 8.° con letra g:ucsa, eu lab.cíe á 40 rs., en puta tal que fomente la agricultura, reanime la industria, y vivifique todos fina á ao rs., en p…</t>
  </si>
  <si>
    <t>Martin, Pedro María</t>
  </si>
  <si>
    <t>Pedro María Martin</t>
  </si>
  <si>
    <t>…licia activa de Badajoz , con 450 rs. al m.-s. llón de la milicia act va de Murcia , con 4go rs. al mes. Tuy i D Antonio Fernandez Careaba , teniente del regimiento in llu- - vi A D. Pedro María Martin, teniente del regimiento infan fantería de Vitoria , con 570 rs. tería de Ja n , con 570 rs. Toro i D. Josef Salgado, teniente del regimiento infantería volun Huesca a D. Joaquín López, teniente del regimiento infantería de tarios de Castilla, con gro rs. Ata…</t>
  </si>
  <si>
    <t>Martin, S.</t>
  </si>
  <si>
    <t>S. Martin</t>
  </si>
  <si>
    <t>…otomana. favottble» respecto de nu -st a i tuacion interior; pero las desavenencias Concuerdan todas las noticias en que no hay apariencias de que loe entre el lord Cochrane 7 ci general S. Martin parece que han degene turcos piensen con seriedad en la completa evacuación de los princi rado llegando á form.r pulidos en todo este t-rr torio. Nuestro supre pados , pu s aunque es cierto que tos aiiiticos 7 los stpotoschanes, mo d rector O-H ggms hace cuan…</t>
  </si>
  <si>
    <t>Martin, San</t>
  </si>
  <si>
    <t>San Martin</t>
  </si>
  <si>
    <t>…n considerar como gobiernos de hecho en correr á Lima, con cuyo refuerzo no habría seguramente entrado alli el Ultramar; y la otra que se reciban y se oigan á los comisionados que general San Martin. envíen los mismos. Se dice que esta medida et inútil porque ya se ha Se suspendió esta discusión. tomado en otro tiempo; yo digo que la que se propone ahora no se ha El Sr. Sancho pidió que siempre que se continuase fuese con •sis. tomado nunca, porque los c…</t>
  </si>
  <si>
    <t>Martin, Santos San</t>
  </si>
  <si>
    <t>Santos San Martin</t>
  </si>
  <si>
    <t>…batallón de la mucia activa de Cuenca, con 450 rs. al mes. regimiento infantería de Málaga, con 570 rs. Calahorra i D. Rafael Melchor Alvarez, teniente del batallón del Segovia á D. Santos San Martin, t niente supernumerario del re depósito de infantería , con 570 rs. al mes. gimiento infant ría de Zamora, con 570 rs. C udad-Rodngo al cap.tan D. Ramón Alvarez Arias, teniente de Sevilla al capian D. Rafael de la Vega Campuzano, teniente agre infantería jr…</t>
  </si>
  <si>
    <t>Mártinea</t>
  </si>
  <si>
    <t>…no de resolver útilmente sobre las de Estado y del Despachó," Pero teniendo presente lo que manifestó leyes represivas que se les proponen. ¡Qué e* esto sino decir que las ayer el Sr. Mártinea de la Róse,_debo:dccráque este nombramiento y Cortes no creen este momento oportuno pararaaolver sobre los asuntos separación debe ser con arreglo á 1» leyes , ¡yqia mo puede ser nom de que serrata! Este es el aspecto verdadero bajo el cual hemos de con brado…</t>
  </si>
  <si>
    <t>Martinea, Josef Luis</t>
  </si>
  <si>
    <t>Josef Luis Martinea</t>
  </si>
  <si>
    <t>…en la librería de Hurtado á H cuartos. otro." Nota. En la gaceta del 13 de Junio, col. 6.‘,par. b.°, dond.* di £&gt;- Real ord-n lo traslado á V. para su inteligencia y demas efec ce D. Josef Luis Martinea , debe decir D. Josef Luis Mariscal y tos. Palacio 1 5 de Jumo de i8sa. Villegas. EN LA IMPRENTA NACIONAL.</t>
  </si>
  <si>
    <t>Martinef, Juan</t>
  </si>
  <si>
    <t>Juan Martinef</t>
  </si>
  <si>
    <t>…que no debemos pasar de ella. Mambrilla, provincia de Búrgos , en el año de 810, fueron sacados La época del censo á que me he referido era una de las mas feli por disposición de D. Juan Martinef , y conducidos al reino de Valen ces de España, y había un comercio con América de mucha conside cia , en donde se les hizo prisioneros de guerra. Ai tiempo de la ren ración Se empicaban igo9 toneladas de embarcación para América, dición de aquella plaza, cua…</t>
  </si>
  <si>
    <t>Martinengo</t>
  </si>
  <si>
    <t>…ostrenca por no tener corte en la calle de la Montera, núm. 18, cuarto 3.°, y en la de Poudueño 1-iMtimo conocido: tiene *544 pies superficiales; se ha tasado fenada del Vierzo al Sr. Martinengo; adviniendo que eitiu tomadas en aa^üors., y tiene de cargas 13,9x6 rs. y 16 mrs., que lo importan todas tas medidas convenientes al intento, y aunque se presen;:n no ten los capitales di aposento y farol; cuyo remate ae hade vetificar pagando drán ningún val…</t>
  </si>
  <si>
    <t>Martines</t>
  </si>
  <si>
    <t>…r. Ezpeleta en una sesión anterior habia quedado smpenso en la sesión de ayer. (Fíj« la gattía anterior.') que desde el alio 95 no s: han aum miado estos su:Idos ; pero esto no El Sr. Martines de la Rosa dijo que no se proponía manifestar las probará otra cosa sino que el aumento que se les hizo entonces era tan razones en que se apoyaba este artículo, porque eran bastante conocida* grande , que después no se ha podida hacer otro: asi pues creo qne…</t>
  </si>
  <si>
    <t>…dicados á vivir de las arterv te ion dei orden pútlico en ¡o interior érc., lo cual no ha tenido pre »tes mxinicas, no tienen ninguna idea de las letras , é ignoran por assente el Sr. Martines de la Rosa. Acuérdete el Congreso del pronósti » u causa los elementos de la religión.” co que hago, y es que la desaprobación de este artículo pueda tal vez Mr. Estanislao Girardin opone á los enemigos de la enseñanza mu comprometer algún día la seguridad de…</t>
  </si>
  <si>
    <t>Martines, Gil</t>
  </si>
  <si>
    <t>Gil Martines</t>
  </si>
  <si>
    <t>…los que fir Valencia, te cita y emplaza á los que ae crean con derecho á suceder en man , están prontos á sostener á costa de tus vidas la Constitución qua el vínculo fundado por D. Gil Martines de la Raga, canónigo que fue han jurado, y la sagrada Persona de V. M., á quien dirigen esta res de Segorve, con escritura ante Francisco Polo, escribano de la misma, petuosa exposición , sin otro objeto que el de hacer públicos i V. M- en 18 de Noviembre de…</t>
  </si>
  <si>
    <t>Martines, Pedro Manuel</t>
  </si>
  <si>
    <t>Pedro Manuel Martines</t>
  </si>
  <si>
    <t>…administrativo de este primer «tisui- » Al saber la inicua trama que ha estallado en la corte, los ciudada nos que suscriben del regimiento infantería de Zaragoza no han podi to, D. Pedro Manuel Martines, á quien he delegado ai efecto, y seña lado para el primer remate el dia &gt;¡ de Setiembre próximo, para el do menos de elevar su voz al trono constitucional por la exposición de que acompañan copia: á la Diputación nada tienen que hacer pre segundo el 5 «fe Oc…</t>
  </si>
  <si>
    <t>Martínez</t>
  </si>
  <si>
    <t>…a copia de la que dirigie otros años de ij á 10 por día. ron varios ciudadanos del ayuntamiento de aquella plaza. Párenles y »tultos. Catedral, párvulos 4, adultos 3—Sti. Marta El Sr. Martínez de la Rosa se opuso á !a proposición , conviniendo del Mar, párvulos 4, adultos 3—Ntra. Sra. del Pino, párvulos 7, efl que el asunto de Cádiz y Sevilla estaba sometido á la deliberación adultos ■« . s. Jaime , párvulos ninguno, adultos t._S. Miguel, pár de la…</t>
  </si>
  <si>
    <t>…d. ¡Qué mas? Sabios gafes que nos guian por las delicadas comparar los catálogos de esta con et artículo. senda* del honor, y por fin 10 millones de almas que o* gritan viva la El Sr. Martínez de la Rosa te opuso á que en el artículo se expre Conttítuehn. Constitución pura, y sola la Constitución. Grito inmor sase que la prohibición debía ser con aprobación da las Cortes, pues en tal penetra el corazón de todos los milicianos de la patria , asi com…</t>
  </si>
  <si>
    <t>…l.ncucntcs, bablim.ni^ llevar a efecto el levantamiento. ó arrancar estos á la fuerza de m mns de la justicia" ” Segundo : los que para la r. bebón hayan sublevado algún cuerpo El Sr. Martínez de ta Rosa opinó que debia d.ir».- a'zuna mas ex de trt^pu^ (cuadrilla de gentes armadas , ó alguna tripulación de bu- tensión á este artículo, y comprenderse en él un ca.o rr.uv principal, Sue * ó algún puch o ó distrito , «&gt; hayan sobornado, seducido ú obli…</t>
  </si>
  <si>
    <t>…publicare ó propagare' art. ayo:.otra de los Sres. Alaman y Lallave (D. Pablo) al artícu falsas noticias ó vaticinios , sabiendo su falsedad , y con el objeto de lo &gt;/á; j dos del Sr. Martínez de la Rosa al 285. excitar un motín ó asonada, ó de espantar, alarmar ó seducir al pue blo.” Aprobado. CAPITCIO III. Art. 315. «Se observará también respecto de estos delitos lo dis puesto en el art. 289.” Aprobado. De ¡os mctintj 6 tumultos -, asonadas ú otr…</t>
  </si>
  <si>
    <t>…ten 6 impiden la rgtcueion de las leyes, tutos de justicia, una facultad que reconocen las mismas Cortes. 6providencias de la autoridad pública, í provocan á desobedecerlas i y El Sr. Martínez de la Rota: Siento mucho no convenir con loa sede los que impugnan las legítimas facultades del Gobierno. flores de la comisión en este artículo, p el Congreso pesará la fuerza de mis razones. Es una de las cuestiones mas grave» que pueden presen Art. 333. »…</t>
  </si>
  <si>
    <t>…el ministerio tienen el camino abierto para exigiile la responsabilidad. una espada de das filo* pata que pueda traspasar con ella el pecho de un Por lo demas estamos conformes el Sr. Martínez de la R~sa v ro. eclesiástico virtuoso. Por otra parte la Constitución en el art. 148 dice Dijo que no le habían hecho fuerza alguna .as razones que manifesté que en los negocios comunes, civiles y criminales no habrá mas que un al principio, y yo digo que no…</t>
  </si>
  <si>
    <t>…gal, y la privación de un destino tere pena ti te quiere, pero la ley consiguientes.” Y de la misma lo comunico á V. para su ¡ateliftacia y efectos no la reconoce por tal. Dice el Sr. Martínez de la Rota; al que te le extraña del reino te le privt de tus derechos y goces; y yo digo: a| que oportunos. Madrid 11 de Enero de i8aa. el Rey priva de un destino le priva de tus honores, goces y pteiogauvaa. Trnlimas un caso bastante conocido. £1 Rey usó de…</t>
  </si>
  <si>
    <t>…opinante en las ohjeciona color. Se han hecho varias prisiones, y se seguís tomando providencias que be hecho contra el artículo reproduce le* razona manifestadas por vigorosa* el Sr. Martínez «le la Rosa; y se ha equivocado cuando ha dicho que la comisión trate de establecer una ley de excepción; pero al fin se ha CORTES EXTRAORDINARIAS DEL AÜO DE »*»», convencido «le que lo que la comisión propone no es otra cosa sino el que se conserve una regal…</t>
  </si>
  <si>
    <t>…mpañando las recetas que hubiese dado. 1.“ Que Las Cortes acordaron dicha próroga. no están destinadosotros fondos ó concordias para estos gastos que lot El Sr. Lasada dijo que el Sr. Martínez de la Rota habia tratado de de p-nas de Cámara, calificando este aserto con su informe los ayunta inculpará la comisión ; y por esto no podía menos de contestar á S. S. mientos; y 3-°Con certificación del alcaide en que exprese el número que la comisión no ha…</t>
  </si>
  <si>
    <t>…rse una adición respecto de este ar veinte dias, sin perjuicio de que ademas se le obligue á obedecer ó á tículo. pagar al que por él hubiese hecho aquel s- rvicio.” . probado. El Sr. Martínez de la Rosa; En suprimiéndose la palabra papeles, Se mandó pasar a la comisión la siguiente proposición del Sr. A'a- creo que queda el artículo como corresponde. Se trata de un caso qoe tnan: » Exprésese en un artículo adiciona! al cap. 5/ del tft. 7. que en e…</t>
  </si>
  <si>
    <t>…l Sr. Gaseo sostuvo que la junta del Crédito público tenia el de-' persona comprad».’1 recho de aprobar las ventas de sus fincas; pero esto era cuando no ha Art. 185- (Adición del Sr. Martínez de í» Rosa.) »Intercale» eu bla nada de contencioso en el dictamen , pues en este caso correspondía lugar del segundo caso el siguiente-. Segundo: » Resistir la cgscucion el examen del litigio á los tribunales ordinarios, para que decidiesen de alguna ley ó p…</t>
  </si>
  <si>
    <t>…ría dejarse á la deliberación de la El Sé. Calatrava dijo Creo que el Congreso me hará justicia ¡ y con Cortes. vendrá en que mucho anta que el Sr. Cuate he clamado yo aquí con El Sr. Martínez de la Rosa pidió que se sirviese decir ja secretaría' tra lot abusos de la libertad de la imprenta, y por lo mismo S. S. con si constaba un egemplar semejante, de haberse interrumpido una dis vendrá en que nuestro zelo a el mismo, y tolo estamos discordes eo…</t>
  </si>
  <si>
    <t>…er la fuerza moral? Es imposible, porque los abusos de la libertad no deje este asunto para otra ocasión. son medios para que la ranga, anta al contrario; y quiero probarlo sin El Sr. Martínez de la Rosa dijo: Cuando he votado que no se ad valerme de simples teoría, y apelando á una experiencia lastimosa, ha mitiese i discusión la proposición del Sr. Calatrava, lo be hecho por blo del primer ministerio después de atableado el sistema consti’uque he…</t>
  </si>
  <si>
    <t>…men, el telo indiscreto de tad 14 dai Rey, consignada en la ley fundamental, de la cual se habió los que lat apetecen sin tesa, y la perversidad de los genios inquietos, valido el Sr. Martínez de la-Rota para impugnarla; antes al contraria, que socolor de optimismo las entorpecen y desacreditan. Verdad es que porque se veía por-dicha fecuhad-que un proyecto de ley propuesto por no han aparecido hasta ahora entra nosotros obstáculos insuperables-, e…</t>
  </si>
  <si>
    <t>Martinez</t>
  </si>
  <si>
    <t>…uerza armada. diputado tan benemérito como el Sr. conde de Toreno?.... Sí, ¡« digo, El Sr. Ramonet dijo que en esta discusión solo recordaría dos prin y lo 111'smo con respecto al Sr. Martinez de la Rosa; el conocimien cipios que eran bastante conocidos, porque eran muy antiguos , y se ha to que tango de sus virtudes me hacen hablar asi, y para esto no es ne- bía experimentado su certeza en todas las revoluc.ones, de los cuales el ,ir.o recurrir á…</t>
  </si>
  <si>
    <t>…despotismo, manteniendo siempre aquella dignidad y entereza que solo concedió la apelación sino á favor del reo, y de ninguna manera i cabe en pechos como los de sus señorías. El Sr. Martinez de la Rosa los demas. desprecia la popularidad: ¡estos son sentimientos dignos de un diputa Por otra parte, se quiere que los jurados sean nombrados por otra do! El Sr. Toreno ha manifestado una noble entereza, y ha dado una corporación que la que basta ahora…</t>
  </si>
  <si>
    <t>…e del caso en que exci- Por promoción de D Josef de Vera y Panroja al juzgado de pri tasen indirectamente. mera instancia del partido de l’lascncia, en Extremadura , ha quedado El Sr. Martínez de la Rosa expuso que podría decirse con ampo V4i*«uie el de O'.o.t, en CitM'iñs- Lo, letrados que se consideran con al art. 14 de la ley Je xa Je Octubre de JÜJ9, y asi se aprobó el ar las circunstancias que pera la obtención de las judicaturas prescriben la…</t>
  </si>
  <si>
    <t>…o que no se debía aprobar el ar Del Sr. Alvarez Guerra; » Que los actos de las autoridades cuando ticulo. ss manifiesten por medio de la prensa ao quéden sujetos á las leyes so El Sr. Martínez de la Rosa dijo que la cuestión debía presentarse por bre imprenta, sino á la responsabilidad de sus respectivos destinos." un estilo dif rente, cual era la de que se debían dar todas lis garantías Délos Sres. Sancho y Traver: •» Que en Madrid , Valencia, Bar…</t>
  </si>
  <si>
    <t>…ia pade con la exactitud que exige imperiosamente la. importancia de los obje cido el Sr. Romero Aipuente. tos del servicio á que k hallan consignados sus productos. Cuan urgen El Sr. Martínez de la Rosa: Ante todas cosas debo manifestar que el te é indispensable sea la cooperación de ese ministerio 7 de las autori Sr. Torran he probado sin mas que con un artículo de la Constitución dades que de él dependen, para lamejor y mas pronta recaudación da…</t>
  </si>
  <si>
    <t>…o, autoridad ó corporación, deseaba saber si esta tenia fisouitad ó era podía omitirse el que se discute. de su atribucioncl pedir al Rey, coínolo hizo el afio de ao, que vinie El Sr. Martínez de la Rosa : El art. 9.0 de que se trata está tan cla se del Escorial á Madrid. Por lo mismo fue de parecer que-deben* ro, que sí se analizara quedarla reducido á un axioma. En ¿I se habla de aclararse este artículo. las autoridades legalmente constituidas, y…</t>
  </si>
  <si>
    <t>…res. diputados para celebrar la tercera junta preparatoria pasado actual egercicio; para lo cual se puede leer por el Sr. secretario dicha mañana á las diez de ia misma. lista. El Sr. Martínez de la Rosa expuso que en efecto estaba en la clase Debiendo salir del puerto de Cádiz en primeros de Marzo próximo de los gentileshombres que por tener otros destinos no estaban en un buque correo con la correspondencia para Ultramar , se avisa al pú egercici…</t>
  </si>
  <si>
    <t>…ia del dsa »g de Febrero de 18a». d claró el Congreso que en el Brasil debía tener efecto la responsabili dad de los jueces que allí prevaricasen. Leída el acta de la anterior, el Sr. Martínez de la Rota leyó lo* ar Con lo que se levantó la sesión. tículos 117, 118,119 y 130 de la Const tucion, y lo* sa, i¿, 14, *5 , 26, *7 y 28 del reglamento interior de las Cortes. NOTICIAS DE ESPAÑA. En seguida juraron todo* lo* bees, diputado* qae se hallaron p…</t>
  </si>
  <si>
    <t>tria en grado heróicoy eminente, te Ies abonase como de campaña el aun hay nví: el Sr. Martínez de la Rosa , que ocupa hoy dignísimatiempo que estuvieran expalriados de ia Península por razón de la ma mente el ministerio de Estado, se opuso á que se practicasen visitas parlograda empresa de aquel general, y sí les abonasen asimismo los suel -t.cuiares,…</t>
  </si>
  <si>
    <t>…an acaso inf'iBtrbs Por últmo ei Sr. Acgtiellet reprodujo al argumento hecho en la le* leyes; pero esta infracción no podía producir reglas generala Toda gitíaturs anterior por el Sr. Martínez de la Rosa, i saber, que esta donación en que se comprenden las aguas, monta , campo*, mugere», cuestión versaba entre ios señores y la Nación , y no entre aquellos y hombres y dama* de un pueblo choca á la naturaleza misma , y d go los pu. b os. En el examen…</t>
  </si>
  <si>
    <t>…i das por la Nación , y lidiándose con la tesorería totalmente exhausta, mi parecer demostrado que el Gob.erno estaba autorizado para hacer el según le insinuó un diz e) tesorero general Martínez , pidiendo que le empréstito del modo mas ventajoso , no sé yo cómo se pueda conce proporcionara fondos con la brevedad posible, no podía menos de ce bir la idea de declarar la nulidad del contrato.... En mi Opinión esto es lebrar este contrato; y mucho mas c…</t>
  </si>
  <si>
    <t>…ce su familia , como por peligros que amenazan á sus augustas c.b.z ¡s, t- m.-rario arrojo. En m-dio de esta crisis , y de ,a irr :i..rt q..-r u&gt; se dirigen nuevamente á S. E. el Sr. Martínez de la Rosa para repetir, producir en Jos en mos ur a agres on de esta c a.e , s- : j v . e . con toda la solemnidad que exigen tan grandes integres, as declara guiar espect su'.n d* conservar la tropa y la mi icia a mas ¡ r-n n-clción* s verbales que tuv.er.m…</t>
  </si>
  <si>
    <t>…..................... 60,944- cargado de Negocios de Austria tiene el honor de comunicar s. uej s Suttunder........ 180,216...................... 85,340. dos ordenanzas 4 S. E. el caballero Martínez de i* Rusa, »-c ut de San Sebastian.. *»°»°7S..................... 5*»IÍ5- Estado de S. M. C., cumpliendo de este modo con Jas ordenes que ha Sevilla............ S65.585 .................... *73»,,í&gt;- recibido d- su corte , ia que ha dispuesto que ningún p.rn…</t>
  </si>
  <si>
    <t>Martínez, Andrés</t>
  </si>
  <si>
    <t>Andrés Martínez</t>
  </si>
  <si>
    <t>…o 9. recibimos de Inglaterra y de Holanda están llenas de pormenores rela tivos al casamiento proyectado del Rey de Inglaterra con nuestra prin Oficio dd teniente coronel graduado D. Andrés Martínez , dirigido al cesa Ca-ulina. Nada sabemos de positivo ; pero lo cierto es que va i £.r&lt; mo. Sr. lirey. volver Mr. Forster, enviado de Inglatetra cerca de esta cottc, que esta &gt;' Excmo. Sr.: Aunque cuuumpLmos que el cuerpo todo de que de&gt;</t>
  </si>
  <si>
    <t>Martínez, Antonio</t>
  </si>
  <si>
    <t>Antonio Martínez</t>
  </si>
  <si>
    <t>…último acordaron laa Cor tados. Asi se verificó. tes, i propuesta del Gobierno, que el tesorero general de la Nación As tib ias. D. Diego de la Vega, D. Agustín Arguelles. La comi D. Antonio Martínez continuara en el ejercicio de sus funciones por sión opinaba que debían aprobarte estos poderes, devolviéndolos para todo el tiempo en que su compafiero D. Juan Antonio Yandiola se ha que se legilicen como corresponde. Aprobado». llase inhabilitado, como dipu…</t>
  </si>
  <si>
    <t>…voto particular d.l Sr. Romero. go no puedo menos de decir que en el expediente obra una contestación El Sr. Ruiz tic la Vega: Forcee imposible que pu.da haber dudjs del tesorero general D. Antonio Martínez á algunos tesoreros que se respecto de un asunto tan claro como eJ actual. La muert- del Sr Caiquejaban de la suspensión que sufrían , en la que les manifiesta que en la maño se verificó tres dias antes de la elección ; y en e^te caso ¡yudo ha tesorería gener…</t>
  </si>
  <si>
    <t>…es Calderón, D- Za Decreto de S. M. nombrando á D. Juan Antonio Yandiola único carías Sagrcdo, D. Gregorio Sainz Hernani, D. Juan de iglesias, Don tesorero general, y encargando á D. Antonio Martínez la formación Luis Díaz Hoyuelo, D. Josef Juan de Isla, D. Juan Marroquin, y Don de la cuenta de la tesorería general en el año económico que ha finado. C irios García. Habida la conferencia, resultó por unanimidad haber (Gaceta del 6. y tugar d la formación d…</t>
  </si>
  <si>
    <t>…de la Guerra me dice que d Rey ARTICULO DE OFICIO. le háb:a dirigido coa esta fecha el Real decreto siguiente: El Rey ha expedido el decreto siguiente: - Habiéndome hecho presente D. Antonio Martínez qne sus conti Don Fernando vu por la gracia de Dios y por la Constitución de la nuas y habituales indis posiciones no le permiten desempeñar el encar Monarquía española, Rey (fe las España:, á todos los que las presen go de secretario del Despacho de Hacienda…</t>
  </si>
  <si>
    <t>Martínez, Antonio Benito y</t>
  </si>
  <si>
    <t>Antonio Benito y Martínez</t>
  </si>
  <si>
    <t>…i¿s- (/coarto».) 879 GACETA DE MADRID. SABADO 8 DE JUNIO DE i8aa. La comisión de Hacienda, informando sobre las solicitudes da NOTICIAS EXTIL A NG ERAS. D. Sebastian triarte y de D. Antonio Benito y Martínez, para que puedan ser empleados sin que obate el no gozar sueldo ni haber sobre avara. el erario, opinaba que en atención á los méritos de cada nao de loe Odesa aS dt Abril. interesados podía accederse á sus solicitudes Aprobado. Ha/ todavía aquí alguno» «ugat…</t>
  </si>
  <si>
    <t>Martínez, Bartolomé</t>
  </si>
  <si>
    <t>Bartolomé Martínez</t>
  </si>
  <si>
    <t>…do elegido visitador de la audiencia de Canarias D. Estéfano Martí francés, resultando ser mirados como enemigo* de la religión aquellos nez de Bonilla , siendo asi que lo ha sido D. Bartolomé Martínez. que estaban dispuestos á hacer todos ios sacrificios para sostenerla, y lo Se procedió á la discusión del dictamen de laa comisiones Eclesiás mismo puede suceder en España. Sí, señor, los respetables españoles au tica y de Política sobre la siguiente proposi…</t>
  </si>
  <si>
    <t>…es; para las de Cata uña i D. Vicenta del Hierro, abogado de Madrid; para las de Cáceles a D. Andrés Ma rioso al batallón de la M. N. V. de dicLa plaza. ría Alférez, de Aodojar; á D. Bartolomé Martínez para ias de Cana En la misma ciudad de Cádiz, reunidos en jurado de acusación loerias , y para las de Mallorca i D. Leandro Rubín de Ceb»; asign.it- Sres. D. Francisco Roble» y Benitez, D. Bernardo de la Pefia Diaz,dotes á cada uno de los expresados visitador…</t>
  </si>
  <si>
    <t>Martínez, El</t>
  </si>
  <si>
    <t>El Martínez</t>
  </si>
  <si>
    <t>…o presuntivo de la corona. bando conmoción r.-bclion, popular; ••Cuarto: liga, sedición ó y saber reo.” al dido lo baga Jas leyes, *0-0 de contra contra la egecucion ó el Gobierno Sr. El Martínez de la Rosa: Me parece que los señores de la colm confederación aron no tendrán inconveniente en que se quite la parte de! articulo que provocación á desobedecerlas; resistencia ó desacato á Jas autoridades dice que se deba sentar en el libro los nombres de lo…</t>
  </si>
  <si>
    <t>Martínez, Francisco</t>
  </si>
  <si>
    <t>Francisco Martínez</t>
  </si>
  <si>
    <t>…rior. vincia de soria, p diendo se les concediese la comunidad de pastos qu Las Cortes quedaron enteradas de do» oficio»; uno de D. Josef Mi inte* gozaban. guel Ramírez, y otro de D. Francisco Martínez de la Rosa, man lici A la de L-gislacion dos consultas del tribunal supremo de Justicia, tan.lo su agradecimiento por la declaración que han hecho las Cortes la primera relativa al decreto de 11 de Ociubre de 1810, y 11 s eo-ida con respecto i los individuos…</t>
  </si>
  <si>
    <t>…gunas chispas de fermentación y cierto Habiéndose servido el Rey condescender con las repetidla instan tendencia revolucionario, te ve esto exclusivamente y en contraposi cias del Sr. D. Francisco Martínez de la Rosa para que le exonerase ción con la tranquilidad de la generalidad del país en el populacho del cargo de su secretario de Estado y del Despacho; y habiendo este de lu grandes ciudades , y entre los jornaleros de las fábrica*, que no dirigido á S. M.…</t>
  </si>
  <si>
    <t>…te hazaña, infinitamente » Hallándose vacante el destino de secretario del Despacho de Es superior á cuantas nos hicieron famosos en la memorable guerra de la tado por renuncia da D. Francisco Martínez de la Rosa, he ver.ido en independencia, llena de noble orgullo y de una santa emulación i lodo* nombrar para él á D. Evaristo S. Miguel. Tendteislo entendido ¿cc.” los que visten el uniforme de milicianos. Lo» tres batallones y lae compañías de caballería y…</t>
  </si>
  <si>
    <t>Martínez, Francisco Cándido</t>
  </si>
  <si>
    <t>Francisco Cándido Martínez</t>
  </si>
  <si>
    <t>…uan Ma.at&gt;, ait. i.9, cap. 7.° de la instrucción general de9 de Junio último. bajo el concepto de injuriosos á su opinión: en cuya consecuencia la Ingresos. Ri. vn. ley absolvió á D. Francisco Cándido Martínez, responsable de los re feridos impresos, é quien se mandó poner inmediatamente en libertad Existencia que resultó en el arqueo de gi de Agosto y alzarle la fianza, y ta declaró que este procedimiento no debía cau próximo pasado. sarle perjuicio en su reputaci…</t>
  </si>
  <si>
    <t>Martínez, Isabel</t>
  </si>
  <si>
    <t>Isabel Martínez</t>
  </si>
  <si>
    <t>…, magis rs. 5 mis. y núm. 1076, su vaor 1.11,353 rs. 20 mrs.; y otra id. proce trado honorario de la audiencia da Castilla la Viaja, juez de primera dente de vitalicio en favor de Doña Isabel Martínez, señalada con el instancia y de la hacienda pública de esta capital, refrendada por el es núm. 3241, su valor 23,274; todas endosadas a favor de dicho Sr. Marti cribano del número de ella D. Jacinto Gaona y Loechet, se ha señala nengo y sin ínteres. Y habiend…</t>
  </si>
  <si>
    <t>Martínez, Joscf</t>
  </si>
  <si>
    <t>Joscf Martínez</t>
  </si>
  <si>
    <t>…a comisión, manifestando los La comisión de Casos de responsabilidad, en vista del expediento perjuicios de estas cuestaciones y tu inutilidad, cuando por el arreglo promovido por D. Joscf Martínez, vecino de esta corte , para que te exi del clero y competente dotación de la» iglesias para los gastos del culto giese la responsabilidad á D. Juan Diaz, juez de primera instancia de la hayan provisto las Corte* á este objeto tan importante. .misma, opinaba…</t>
  </si>
  <si>
    <t>…rra D. Jos f Comitre a.400 rs. D. Manuel Caballero 1300. D. Manuel maron en blandís la sangre agsna, estos vertieron en París la suya pro A'carar, menor, 1110. D. Pablo Latios 10. D. Joscf Martínez de pia con un furor sm cgempío. Hu-lado 430. I). Martin Latios 100. D. Alvaro Sai.clicz aoo. Seño En una pa'.ab a tuda la historia de España se le olvidó de repente al res H-rnandez fí rmanos 200. D. Joscf Monroy 160. D. Ignacio escritor d: ita. Et na , cuand…</t>
  </si>
  <si>
    <t>…iones. en 15 del mes próximo pasado que, según aviso del consignatario del Ignoramos con que fuerzas han contado los facciosos pata hacer bergantín particular Familia de Calvo, su capitán D. Joscf Martínez -otra entrada en Aragón; pero según las posiciones en que unos y otros de la Peña, se detenia la salida de este buque para el puerto de Ma K hallaban , es verosímil que haya pronto una acción. nila hasta el 15 del mes de Octubre actual. La correspondencia que…</t>
  </si>
  <si>
    <t>Martínez, Josef</t>
  </si>
  <si>
    <t>Josef Martínez</t>
  </si>
  <si>
    <t>…gérci; &gt;. una proclama impresa con motivo de retirarse á sus casas los milicianos A la comisión de Hacienda una exposición de Dolía Bernarda Lide dicho regimiento. ®*res» viuda de D. Josef Martínez, teniente retirado en Cartagena, so El Sr. Perea de Meca: La comisión especial que se han servido nom licitando una pensión. brar las Cortes para tomar conocimiento de todas las ocurrencias de A ¡a misma una solicitud de D. Baltasar Errao sobre que se le se a…</t>
  </si>
  <si>
    <t>…oncedida por el Rey todos los primer descubrimiento , ni tampoco el de la primera Ocupación. años. Luego que se supo lo decretado por S. M. , se notó una atii», ion Ademas, cuando D. Josef Martínez fue enviado por el G-bineta genere! entre los presos, que son en número de uno» 1 80, y todos toma de Madrid para formar un establecimiento en la isla de Vancnuver , y ron parte tí» la insurrección. F.n un mamerto se vieron destrozado» lo* arrojar de allí á l…</t>
  </si>
  <si>
    <t>…en Agosto A 1» y me Juicio/ de jurados. dio mrs......................................... io..-. Importantes 69 raciones de paja, su* El Excmo. Sr. gefe político de esta provincia D. Josef Martínez de ministrada» en Octubre A jo mrs. 60..... S. Martin, y en su nombre D. Josef García de Tobar, denunció al se Cor *» 44*.• I- alcalde constitucional D. Ramón Casillas un párrafo del Diario Nuevo de Madrid, núm. 195, en concepto de injurioso. En su vista se r…</t>
  </si>
  <si>
    <t>…una moderación y pru Varela; para ia de Caiballino i D. Josef Fcrmoso ,y pata la de Madencia pérfida; pero es muy fácil conocerlos, por ser tan visible la ser al ccda de Limia fi D. Josef Martínez. característica que los distingue; á saber: que medran en todos los goHernos, ó á lo menos que nunca pierden. El Gobierno ha recibido el parte siguiente. Hay otra clase de egoístas menos diestra, y ea la apariencia mas ••Comandancia general del 7° distrito mi…</t>
  </si>
  <si>
    <t>Martínez, Josef Luis</t>
  </si>
  <si>
    <t>Josef Luis Martínez</t>
  </si>
  <si>
    <t>…, y por lo mismo opinaba que La comisión pr m-ra Ec esiástica presentó su dictamen acerca de la la junta nacional de dicho estab'ecimibnto podía proceder á dicha sepa solicitud d- D. Josef Luis Martínez, presbítero y molge secu anzido ración, sin perjuicio de que después se llevase á efecto lo acordado por del orden de 1. Bernardo , en que manifestaba los servicios que había las Cortes sobre división de terrenos de propios y baldíos; y que en hecho al egérci…</t>
  </si>
  <si>
    <t>Martínez, Josef Manuel</t>
  </si>
  <si>
    <t>Josef Manuel Martínez</t>
  </si>
  <si>
    <t>…nel D. Josef Joaquín Marqu z y Donallo al dante accidental del regimiento infantería del Infante D. Carlos frente de la división de vanguardia destinada contra los partidarios del D. Josef Manuel Martínez. caudillo, el teniente coronel del mismo, Josef Manuel Martínez.” » Excuso. Sr.: Como teniente coronel y comandante accidental de Cot.tntackn de .u Extienda. este cuerpo, por hallarte su coronel D. Josef Joaquín Márquez comi » Viva el regimiento dai Inf.nte D…</t>
  </si>
  <si>
    <t>Martínez, Juan</t>
  </si>
  <si>
    <t>Juan Martínez</t>
  </si>
  <si>
    <t>…la sabia Constitución politice de la Monarquía española: y en La comisión Eclesiástica presentó su dictamen acerca de la adición ella pronunció nn elocuente discurso al presbítero D. Juan Martínez, del Sr. Soto* al dictamen aprobado sobre la suspensión de conceder ór probando con razones sólidas, deducidas de las actas de la* antigua* Cor denes mayores: la comisión la hallaba fundada, y era de parecer que en tes y de laa leyes patrias, que nada contien…</t>
  </si>
  <si>
    <t>…tares. la junta que celebró el ayuntamiento constitucional de Cartagena con En cae concepto creo que le* Cortes deben determinar que se proceda los xeladotes de mar por el síndico D. Juan Martínez , opinaba que la* desde luego é la discusión de que se trata, seguras de que la comisión Cortes podrían declarar: de Guana no ceta dia y noche de trabajar en este negocio, é fin da i.° «Que para ser elegidos celadores de mar era necesario tener presentar todo…</t>
  </si>
  <si>
    <t>…nta de la secretaría de su cargo. La misma opinaba que debía pasar al Gobierno para que infor Se mando pasar al Gobierno una exposición del ayuntamiento de mase, una exposición de D. Juan Martínez para que se le permitan in Valis, provine a de Tarragona, recordando otra que tenia hecha ante troducir vanos artículos no prevenidos en el arancel, y se le señalen los riormente sobre el establecimiento de un juez de primera instancia en derechos que deben p…</t>
  </si>
  <si>
    <t>Martínez, Juan Antonio Calvo</t>
  </si>
  <si>
    <t>Juan Antonio Calvo Martínez</t>
  </si>
  <si>
    <t>…que *e unan los d ar o» de Corte» be mandó pasar a la com «ion de Caso, de responsabilidad una ex que contienen la d-scunon de esta m»t*r-s , como tsmh ■ u ios partes posición de D. Juan Antonio Calvo Martínez, natural de Valladoltd, del Gobierno dando cuenta de los acontec miento» ocurridos ú tuna pidiendo se tomasen en consideración unas represcutacaone* de su irftffr mente m aquella cudzd " padre, juez que ha sida de aquella audiencia. SI Sr. hurta d.ju que las…</t>
  </si>
  <si>
    <t>Martínez, Juan Diego</t>
  </si>
  <si>
    <t>Juan Diego Martínez</t>
  </si>
  <si>
    <t>…nos, expresando para su mayor seguridad el importe mino de ocho días comparezca en la escribanía «le cámara del crimen, de las mismas contribuciones , rentas y ramos. del cargo de D. Juan Diego Martínez , en la misma audiencia , á efecto Este señalamiento será examinado y aprobado por el tesorero gene de hacerla saber el auto definitivo, proveído por el juez de primera ral , provio info me del contador general de Valores. instancia del partido de Belmonte en…</t>
  </si>
  <si>
    <t>…fecto el término de 6 años. el término de ocho días comparezca en la escribanía de Cámara del cri Declarado el punto suficientemente discutido , quedó aprobada le men del cargo de D. Juan Diego Martínez en la misma audiencia, á primera parte del dictamen de la cotniaion que llega hasta ¡a palabra efecto de hacerla saber el traslado que se la ha conferido de lo pedido añadiéndose. por el Sr. fiscal en la causa que se la formó en el juzgado de primera Se mandó…</t>
  </si>
  <si>
    <t>Martínez, Juan Josef</t>
  </si>
  <si>
    <t>Juan Josef Martínez</t>
  </si>
  <si>
    <t>…Infante pidió que el articulo volviese á la comisión, y asi La comisión de Guerra, informando sobre la instancia de Doña se acordó. Bernarda Linares , viuda del teniente retirado D. Juan Josef Martínez, El Sr. presidente suspendió esta discusión para continuar la lectura pira que se le señale una pensión , atendiendo á los méritos de dicho su del código sanitario; y hab■ endose leído una de las partes de que se marido , opinaba que esta interesada no tenia…</t>
  </si>
  <si>
    <t>Martínez, Lucas</t>
  </si>
  <si>
    <t>Lucas Martínez</t>
  </si>
  <si>
    <t>…falso de que los Y D. Vicente CoiUntes, al de A randa D. Francisco Fernandrz Caricesantes de que se trata están inclusos en el decreto de las Cortes que hatiós , a*, de Villarcayo D. Lucas Martínez j y i los de Poza D. Hilase ha citado. Esto no es asi, porque la comisión dice desde luego que non Cuntieras y D. Ignacio Narbona, quienes fueron voluntariamente estos empleados se consideren como cesantes, sin expiesar que ésten in con la columna, siendo de…</t>
  </si>
  <si>
    <t>Martínez, Manuel</t>
  </si>
  <si>
    <t>Manuel Martínez</t>
  </si>
  <si>
    <t>…erse á esta so y podia pasarse al Gobierno, para que teniendo presentes los méritos licitud. de estos interesados los atendiese en sus solicitudes. Otro relativo á la solicitud de D. Manuel Martínez , vecino y apo De la de Agricultura: uno relativo á las representaciones del ayun derado de un pueblo de ¡a provincia de V¿lenc a, solicitando se per tamiento constitucional de la Corufia y varios ciudadanos de aquella mitiese á dicho ayuntamiento hacer un re…</t>
  </si>
  <si>
    <t>Martínez, Miguel</t>
  </si>
  <si>
    <t>Miguel Martínez</t>
  </si>
  <si>
    <t>…edad ti feliz proyecto de reunir Nicolás Lorenzo de Silveira, marques de la Vega , se servirán envegar sus fuerzas y sus voluntades i las dt qtros propietarios, tan deseosos los á D. Miguel Martínez , que vive en el portal de Manguiteros. como ellos dt alejar el peligro de su ruina, y establecer el salvamento Quien tuviese en su poder ó tupiese del paradero de tras privile de sus mas caras fortunas: el resultado respondió perfectamente á las gios de juro…</t>
  </si>
  <si>
    <t>Martínez, N.</t>
  </si>
  <si>
    <t>N. Martínez</t>
  </si>
  <si>
    <t>…9 de Noviembre para la presentación de créditos A la da Crédito público ana exposición de D. Eduardo Aragón y contra *1 Estado, era de paraca que te cumpliese lo acordado por Jna D. N. Martínez para que ae les perdonase cierta cantidad que debían ¿ Corta, y que achirándose ate expediente te pasase el aviso oportu dicho establecimiento. no al establecimiento del Crédito público. A la de Legislación una consulta de la audiencia territorial de Na El Sr…</t>
  </si>
  <si>
    <t>Martínez, Pascual García</t>
  </si>
  <si>
    <t>Pascual García Martínez</t>
  </si>
  <si>
    <t>…ndar la comunique á V. para su inteligencia y ber lugar á deliberar. Aprobado. efecto* correspondiente* á su cumplimiento, sefialando dos meses de tér La misma en el expediente de D. Pascual García Martínez, pi mino á D. Domingo de Torres. Dios guarde 4 V. mucho* a fie*. Ma diendo dispensa de edad para administrar sus bienes, opinaba que no drid a8 de Marro de i8aa. había lugar i esta sobe lud por los motivos que aparecen del expedien ANUNCIOS. te. Aprobado Ad.c…</t>
  </si>
  <si>
    <t>Martinez, Pedro Manuel</t>
  </si>
  <si>
    <t>Pedro Manuel Martinez</t>
  </si>
  <si>
    <t>Gaceta de Madrid n.º 286</t>
  </si>
  <si>
    <t>…ida de la indignación de los pueblos. (1J Si ae realizasen los tristes presa ..os del E-srectaJar , y con ver güenza de la humanidad »f d-ja»- degoiiar a los griegos del Pvtrpone- Don Pedro Manuel Martinez, condecorado con 1* est-ella del Nor ao como á los de Chio, la Franc a podr a hacer un servicio importan te, comisario ord-naJor de los egercito» na-., nales, y tefe de la Ha tísimo , ofreciendo á los restos de la nacon griega un asilo en i.ór- cienda militar…</t>
  </si>
  <si>
    <t>Martínez, Pedro Rodríguez Campómetonio</t>
  </si>
  <si>
    <t>Pedro Rodríguez Campómetonio Martínez</t>
  </si>
  <si>
    <t>…irle la renuncia Retratos de la col.ccion de varones ilustre» española: D. Josef que hace de aquel destino, y en mimbrar para su desempeño á D. An Mohíno, conde de Fiondablanca, y D. Pedro Rodríguez Campómetonio Martínez en cal idad ds tal secretario de Estado y del Despaho de nea Se hallarán en la calcografié de la imprenta Nacional é 8 rs. ca Hacienda. Tcndreisto eound.de &amp;c.” da uno. EN LA IMPRENTA NACIONAL.</t>
  </si>
  <si>
    <t>Martínez, Santos</t>
  </si>
  <si>
    <t>Santos Martínez</t>
  </si>
  <si>
    <t>…- Juan Palarea estuvo i mi lado toda la noche, jr Cazadores. Corneta/D- Tomas Vicente, herido. después de 'haberme ayudado con sus conocimientos para ia distribu Segunda. Criado , D. Santos Martínez , herido. ción- y preparativos del pian de defensa se encontró en toda la acción; Tercera. Cazador , D. Vicente de S. Peiayo, herido.' Total i y mostró el valor que tan públicamente tiene acreditado, recorriendo muerto, 10 heridos y 5 contusos. al principio d…</t>
  </si>
  <si>
    <t>Martnez</t>
  </si>
  <si>
    <t>…acerca de tt Iguales penas sufrirá el que voluntariamente abandonare dichas la libertad de imprenta. defensas ó causas , ó por falta de zelo y diligencia regular perjudicare á E. Sr. Martnez de la Rosa dijo que deberían asimismo suspenderse los interesados en ellas ” Aprobado. hasta el art- 397 inclusive con el mismo motivo Art. 388. » Los que incurrieren en cualquiera de los casos del ar En seguida se declaró que quedaban suspendidos dichos artí…</t>
  </si>
  <si>
    <t>Marty, Birnardino</t>
  </si>
  <si>
    <t>Birnardino Marty</t>
  </si>
  <si>
    <t>…eron de esta ciudad y de otros La de Diputaci se» provinciales opinaba se debía acceder i la ins pueblos , especialmente del valle de Fst. libar, y también han salido la tancia de D. Birnardino Marty, para que de lo» fondos públicos se la gur.es de Cas.da, Gal 1 píenzo y otros inmediatos: lodos ellos van sin diesen la» can idade» necesaria» para mantener la partida qne había for armas , y sin mas defensa que un palo en la mano. mado con el ob|eto de perse…</t>
  </si>
  <si>
    <t>Marzo, Den</t>
  </si>
  <si>
    <t>Den Marzo</t>
  </si>
  <si>
    <t>…empieza: Copia del artículo sobre motines y asonaisi caudales públicos en las festividades del Corpus y nacional de 19 de y acaba aquella nacían rival, denunciado por el teniente coronel Den Marzo deben limitarse al impone de la cera. Juan Antonio de Llinas, declaran que no há lugar á la formación be La comsiou de Comercio, en vista de la exposición del consulado causa por ocho votos contra uno, siendo este último D. Juan Francisco de Cádiz acerca de l…</t>
  </si>
  <si>
    <t>Marzo, Salvador</t>
  </si>
  <si>
    <t>Salvador Marzo</t>
  </si>
  <si>
    <t>…de compradores ,-se ha servido declarar como general la reso lución adoptada en particular respecto á la consulta que en 10 de Denunciada arte el Sr. a!ca!de interino de Valencia D. Salvador Marzo próximo pasado me remitió V. ¡&gt; s .bre 1a adjudicación a favor Escrig la Reyment.uiun ai ¡ity ¡ns-iita en el Diario patriótico de Vade la Hacienda pública de varias lincas hipotecadas para garantir el pa leu.¡a de 1 dei corriente, se reunió el jurado , y decl…</t>
  </si>
  <si>
    <t>Marzo, Vicente</t>
  </si>
  <si>
    <t>Vicente Marzo</t>
  </si>
  <si>
    <t>…séptimo Sres. jueces de hecho D- Mariano González, capitán graduado de te distrito. Para la de Gerona al marical de campo D. Manuel Pueyo, niente coronel del regimiento de Zamora; D. Vicente Marzo, aboga gobernador de la plaza de S- Fernando de Figueras. Para la de Lérida, do; D. Vicente Llopis , canónigo magistiai de la santa igusia de Va al mariscal de campo D. Josef Vellido, gobernador de la plaza de Lé lencia; D. Amonio (Jasanova y Ravana-s, abogad…</t>
  </si>
  <si>
    <t>…eciéndose en ella un pagador , con tor de artillería; D. Facundo Alarcor, coronel retirado; D. Josef forme al plan administrativo de hacienda militar con uno ó dos ofi Enguídanos; D. Vicente Marzo , abogado; D. Anastasio Naiis, ofi ciales de guerra si se estima suficiente.” cial de anillen* , y D. Pedro Calvo , después de haber examinado el La primera proposición se consideró como de las que deben sufrir impreso y la denuncia , declararon por unanimida…</t>
  </si>
  <si>
    <t>Mas, Josef</t>
  </si>
  <si>
    <t>Josef Mas</t>
  </si>
  <si>
    <t>…de los putb os que ¡as emprendan.’* correspondencia particular, y firmado por J. G. (denunciado como Ir comunico á V. S. de Reai orden f para que paiticipándolo á esa injurioso á D. Josef Mas y l’ages , primer alcalde constitucional de le diputación provincial disponga su cumplimiento; en el concepto de vula de Villafranca del Panadés. qu: S. M. quiere que á los ayuntamientos se les prefije un breve térmi TRIBUNALES. no p ra promover las obras, y…</t>
  </si>
  <si>
    <t>Masan, Matías</t>
  </si>
  <si>
    <t>Matías Masan</t>
  </si>
  <si>
    <t>…c.r una par D. Joaquín Carnudo , ídem__ ID. JoseT Antonio San* , ídem , y su hijo, te de ios perju.cios ocasionados Gerona 3 do Setiembre de i8i2.=Joex-guardia de la Real Persona__D. Matías Masan:!, comandante d.l sef Pero'. 5.0 batallón de milicias—D. J»-f On ¿a , gefe de escuela di pr m-.r —E.-criben d: Retís el día 4 lo que sigue: regimiento de artillería.__Conde de F.-no lar. _D Jc»:f Mar.ano, Eí a- del pasado salió de esta para Falset una columna…</t>
  </si>
  <si>
    <t>Masanet, Ignacio Lres</t>
  </si>
  <si>
    <t>Ignacio Lres Masanet</t>
  </si>
  <si>
    <t>…iales del regimiento de León, sobre que te les atoaren lo* ba que devengaron durante la prisión , que sufrieron con motivo do La comisión de Hacienda , en vista de la solicitud de D. Ignacio Lres Masanet , vecino y del comercio de Barcelona, decía qu; no podía dar la causa del general Portier , era da parecer que las Cartas podían acce tu dictamen sin tab-r el día en que este tugeto habia despachado el tri der á esta solicitud en los términos que se pide, com…</t>
  </si>
  <si>
    <t>Masant, Agustín</t>
  </si>
  <si>
    <t>Agustín Masant</t>
  </si>
  <si>
    <t>…cuerpo , la p.eza de art Fur a y el rtsto de la caballería , quedo en .1 milicia voiuntana de S. Pedor con 45 hoonbr.s, á las ordene* de su po»c.on lla nada del Puntarró. t-niente D. Agustín Masant, de cuatro individuos de la ronda , al ■■ Ei r sullado de esta acción fue librar del furor del rrtortvgo. que cargo drl t-niente de Murcia D. Agustín Perera , encargado de la di ya hab a empezado i manifestarse , i ¡a ben;mer.-ia villa de beló rt , que recció…</t>
  </si>
  <si>
    <t>Masca, Agustín</t>
  </si>
  <si>
    <t>Agustín Masca</t>
  </si>
  <si>
    <t>…;o3 otomanos; y toda la Mesopota Dios con ¡o de todos, denunciado por los ciudadanos D. Nicolás de mia y la Armenia estaban ya ocupadas por aquellos: 113® persas Santiago Rotalds, D. Agustín Masca teñas y D. Miguel María de Vemarchaban á la Anatolia, y Jas provincias turcas del Asia, en que hay lasco; en cuya consecuencia la ley condenó á D. Tomas García Mo. muchos cristianos , están en plena insurrección. Ya empezaba á mani rante, presbítero beneficia…</t>
  </si>
  <si>
    <t>Mascareñas, Saitolomé</t>
  </si>
  <si>
    <t>Saitolomé Mascareñas</t>
  </si>
  <si>
    <t>…on la condición de que tario de la Gobernación de la Península , en «1 que irfermardo sobre el ayuntamiento pr-s-ni - á la diputación provincial cuenta de. produc la exposición de D. Saitolomé Mascareñas, parada al Gobierno de ce to de la rifa. Aprobado. den de las Cortes, manifestando que el conseto de Estado era de dicta La misma, en v.sta d- la exposición de D. Pedro G raud para men que el Gobierno no se hallaba con facultades pi i co ocarie en que se le p…</t>
  </si>
  <si>
    <t>Mascarillas, Bartolomé</t>
  </si>
  <si>
    <t>Bartolomé Mascarillas</t>
  </si>
  <si>
    <t>…n favor de dichos indivi r noticiosas de que V. $. va marchando hácia Navarra con este obje duos , opinaba que debía pasar al Gobierno. Aprobado. Se dió cuenta de una solicitud de D. Bartolomé Mascarillas, di to, se han reunido con previa licencia del gefe político, y han deter putado que fue en las anteriores Cortes por las provincias de Cumana y minado unánimemente ofrecer á V. S. sus servicios para tan digna Nueva Barcelona, haciendo presentes los sacrifici…</t>
  </si>
  <si>
    <t>Mascaró, Ramón</t>
  </si>
  <si>
    <t>Ramón Mascaró</t>
  </si>
  <si>
    <t>…os nacionales, mandados Ca'atayud obrarán donde sea mas conveniente para frustrar sus inicuos por el teniente de la de Villafranca D. Salvador Valles , y el de la de planes. Rivas D. Ramón Mascaró , que con el mayor denuedo coadyuvaron Idem íj. al feliz resultado. Les hemos aprehendido dos facciosos, dos muías de la El brigadier barón de Carondelet con 50 caballos de su cuerpo diligencia nacional de U.:us, una yegua , un burro y muchas atinas, y de vol…</t>
  </si>
  <si>
    <t>Masearchas, Bartolomé González</t>
  </si>
  <si>
    <t>Bartolomé González Masearchas</t>
  </si>
  <si>
    <t>…civiles co vido S. M. nombrar paca la dignidad de deán de la Sta. iglesia cate mo militares y eclesiásticas, de cualquiera clase y dignidad , que guar dral metropolitana de Cuba á D. Bartolomé González Masearchas , di den y hagan guardar, cumplir y egecutar el presente decreto en todas putado que ha sido de Coites. aus partes. Tendreislo entendido para su cumplimiento, y dispondréis TRIBUNATFS. •e imprima, publique y circule.=Está rubricado de la Real manóos Por el ju…</t>
  </si>
  <si>
    <t>Masía, Gerónimo</t>
  </si>
  <si>
    <t>Gerónimo Masía</t>
  </si>
  <si>
    <t>…on arreglo á ello aprobemos los presupuestos. No de hecho D. Pedro Calvo, del comercio, D. Pedro Pascual Carbome conformo con mis compañeros respecto de la riqueza que dicen nell, D. Gerónimo Masía, presbítero, D. Mariano Peset, oficial de la tiene España, porque esta debe considerarse como riqueza líquida, que secretaría del gobierno político, D- Raimundo Poveda, ofici l del re es la mas exacta. Es preciso rebajar tres quinta partes de las produccio gi…</t>
  </si>
  <si>
    <t>…Sres. D. Francisco »'r los qne hayan de impetrar bulas y gracias apostólicas. (Gottta átl Llano, del comercio; D. Josef Vecino, D. Vicente Azur, merques sjáe id.) de Rio-Flor do; D. Gerónimo Masía, presbítero; D. Vicente Iranzo, Circular del ministerio en que so inserta una contestación del hacendado; D. £ non Gascón, presbítero; D. Vicente Vergara y MesSr. nuncio de S. S. sóbrela secularización do una monja de Mallorca. tic y D. Valentín Torrecilla; d…</t>
  </si>
  <si>
    <t>Masieu, Felipe Masieu y</t>
  </si>
  <si>
    <t>Felipe Masieu y Masieu</t>
  </si>
  <si>
    <t>…la misma tía de orden de S. M. un proyecto de ley sobre recaudación y adminis i D. Francisco Mier y Teran , D. francisco Javier Otal y Palacin y tración de tas rentas del Estado. D. Felipe Masieu y Masieu. Después de leerse varios artículos de la Constitución y de una lige Se previene á los interesados que acudan á sacar los títulos corres ra discusión, se declaró ser primera lectura. pondientes dentro del término señalado por regla general; en la inte Las Cor…</t>
  </si>
  <si>
    <t>Mat</t>
  </si>
  <si>
    <t>…ibrerías de Paz y eu ladeQuiroga, demoro; D. Antón o Seoíne; D. Manujl Esteban Catal &gt; ; D. Cavtniro á 18 rs. El autor avisa i los libreros de las provincias que si gustan Martin; D. Mat as Casero , D. Ramón l.lord, y D. Antonio Ke^as. comprar ejemplares por mayor y venderlos de su cuenta, se les hará la Habida la conferencia, resultó por unanimidad haber lugar á la fornica rebata de a o por 100. ción de causa. aV/«.». En la gaceta del 14, co…</t>
  </si>
  <si>
    <t>…nia temnts habent, tí siete graduado y cadete del extinguido cuerpo de tuaidiat de Corps. sratiis transrunt vtuvtrfM jub calo. Tenyui destruendi rt tempms edi Baleares interventor D. Mat as García Par.ad.-io , ccntra.cr qoc ha ficando Las ittvdias precursoras de la ú'tima conspiración central han sido de contribuciones directas del partido de $ gev a caminado 1 amortiguar el espíritu público , y se ¡ia trabajado en hacer Valladoiid administra…</t>
  </si>
  <si>
    <t>Mata, Juao de</t>
  </si>
  <si>
    <t>Juao de Mata</t>
  </si>
  <si>
    <t>…or un nv&gt; ma* cor»c uvo dic tr.do que se citaba ya en el ca»o J.’i ati io” di -a Constitución , \ cederte a ella en atención á sus servicios. Aprobado. Otro sobre le exposición de D. Juao de Mata tchevarua , iníotmade que deb endose hacer ota prc |X&gt;».c ol cuando minui ocbo dut ante» dtf</t>
  </si>
  <si>
    <t>Matan</t>
  </si>
  <si>
    <t>…quilidad pública por la conducta de algunos individuos indignos da Se leyó el art toi del reglamento. pertenecer á esta clase. Y'o quisiera que se expresase ti esto nace de la El Sr. Matan: Permítaseme, Señor , contestar á las objeciones del falta de cumplimiento de la orden de 30 de Abril de dar , en cayo Sr. Falcó, pu s ha sentado que el mensage está sembrado de expresio caso seria este un cargo terrible contra el Gobierno; y si se veía que n…</t>
  </si>
  <si>
    <t>Matanza, Barbara de</t>
  </si>
  <si>
    <t>Barbara de Matanza</t>
  </si>
  <si>
    <t>…bre de 1810; zalo Valladares: otro de 15,049 id. sobre Ja renta de puertos secos de S. M. ha tenido á bien resolver que las descripciones, pianos y dibujo* Castilla , en cabeza de Doña Barbara de Matanza: otro de 21,853 id. que con arreglo al art. 3.0 de dicho decreto deben incluirse en el ex «obre alcabalas de Castrojcriz, en cabeza de Dona Magdalena Riafio: pedienta que s: forme al efecto vengan por duplicado. otro d* 44,500 id. sobre diezmos «le 1* mar de…</t>
  </si>
  <si>
    <t>Matanza, Fernando de</t>
  </si>
  <si>
    <t>Fernando de Matanza</t>
  </si>
  <si>
    <t>…iza. viados del archivo de la Sra. marquesa de Fumtep.'layo los pr vi'e.’ios ANl/NCIOS. de ¡uros siguientes----Uno de 137,143 mrs-, situado sobre alcabalas de Sevilla en cabeza de D. Fernando de Matanza.__Otro de 41,675 Fn esta audiencia territorial de Castilla la Nueva, sala primera ci maravedises, situado sobre salinas de Galicia en cabeza de D. Francis vil , se han segu.do autos por apelación entre Pedro Moreno, vecino co Gallo.—Otro de 139,137 mrs , en c…</t>
  </si>
  <si>
    <t>Mataolivas, Narciso</t>
  </si>
  <si>
    <t>Narciso Mataolivas</t>
  </si>
  <si>
    <t>…ncipio de una conspiración muy Pada, D. Marcelo Espinóla, D. León Menudo, D. Rafael Orfen , Don meditada, y empezada ya i poner en egecucion, precisamente en los Antonio Gustaman, D. Narciso Mataolivas , D. Sebastian Cortijo, dias que han dé preceder al sorteo para el reemplazo del egército en es IX Bartolomé Solano, D. Luis Bassecourt, D. Fernando Capuzco, Don ta capital: En estas circunstancias parece mas oportuno que el llamar á Pablo Orbinto, D. Francis…</t>
  </si>
  <si>
    <t>Matas, Francisco</t>
  </si>
  <si>
    <t>Francisco Matas</t>
  </si>
  <si>
    <t>…agregado de la Real comlugar i la formación dt causa por siete votos contra dos, que han si paftí, da guardias Alabarderos, que falleció repentinamente el dia 13 do D. Pedro Gil 7 D. Francisco Matas d: Mare.ma. Barcelona 9 de de Noviembre de 1820, fi fin de que comparezcan por medio de procu Setiembre de i8aa.sGines Quintans.sjuan Evaristo de Castellar.= rador con suficiente poder fi deducir su derecho dentro del preciso tér Francesco Matas de Maresma.aE…</t>
  </si>
  <si>
    <t>Matas, María Francisca</t>
  </si>
  <si>
    <t>María Francisca Matas</t>
  </si>
  <si>
    <t>…ión. La comisión de Hacienda informando sobre las solicitudes de Dolía Respecto de la tercera hizo el Sr. O! i ver varias reflexiones , manifes Antonia Calvo, Doña Teresa Coronel, Doña María Francisca Matas tando que no se oponía á que se diesen á los comisionados especiales y Dolía Isabel Ropero, viudas, solicitando te les concediesen pensio que emplease el Gobierno los sueldos correspondientes ¿ la calidad de nes en atención á los servicios de sus respectivos…</t>
  </si>
  <si>
    <t>Matau</t>
  </si>
  <si>
    <t>…reformat. Se declaró comprendida la proposickm en el art. too del regla puesto que en él se dice que no podrí ser allanada la casa de ningua mento, y admitida 4 discusión dijo el Sr. Matau: Esta discusión se «pañol sino en los casos que determine ta ley para el buen orden y se presenta abora bajo el verdadero puntó de vista, y paca resolver guridad del Estado. Esto se entiende para los casos ordinarios; prro la te necesita tener presente la dif…</t>
  </si>
  <si>
    <t>Mate</t>
  </si>
  <si>
    <t>…udes i incomparab'es glorias. Francisco Alomo, D. Cristóbal Navarro , D. Joaquín Somoza , D. Jo Vencisteis: llenasteis de asombro í todos los espectador:* por vu-stra sef CaamaSo, D. Mate© Vnlaeco , D. AgutíaMuio 4c la* Hcra*, Don amble fidelidad nacional; pero no os entr-gueit a las delicias deCapua: Celedonio de Salazar , D. Josef Blanco, D. Josef Márquez , I). D -go coged primero el fruto de vuestros trabajos, aprovechad la cosecha , y ¿j R…</t>
  </si>
  <si>
    <t>Matea</t>
  </si>
  <si>
    <t>…a; 7 los otro* mu pequefios do mostrado muy humano en esta ocasión. Thol opotan eos, Neochori, Vassilionico, Entras, S. Jorge 7 todo* los » Mi hermano Manoli * mi primo Pedro 7 el Sr. Matea fueren ar caseríos de sos inmediaciones. rojados en el mas oscuro calabozo en dasa de rehenes; mi fio Pan«* tos turcos no habían penetrado lodtrfi hasta la parta del Norta taleon está como rehen ea Constantinopla; la hermosa madama Pide la isla, porque los pa…</t>
  </si>
  <si>
    <t>Maten, Francisco</t>
  </si>
  <si>
    <t>Francisco Maten</t>
  </si>
  <si>
    <t>…alcance no me permite esta satisfacción , suplan la futo loa bqénos deseos que me animan á manifestar mi opinión ex una materia toa de Núm. g,® Representación del Sr. síndico i.® D. Francisco Maten. El licada con la sencillez y buena fe que me caracteriza t y asi digne que■Indico 1. De Francisco Matcu exhibió otra representación del tenor que Pu rto-R.co no debe ni puede por ningún motivo separarse de 1» lesigue: Exento.ayuntamiento: Jamas la libertad d…</t>
  </si>
  <si>
    <t>Maten, Josef</t>
  </si>
  <si>
    <t>Josef Maten</t>
  </si>
  <si>
    <t>…asunto 4 que se refería era un testimonio da Pastor, presbítero, D. Joaquín de Iberas, D. Josef Marín Coronado, la gratitud nacional; y que no siendo tampoco decoroso el decir que D. Josef Maten y D. Vicente Verga». ao había lugar i deliberar robre ella, era precito que las actuales Cor te* mostrasen su aprobación de lo hecho por las anteriores. Ea la ciudad de Barcelona, habiéndote observado los trámites pres El Sr. Istnrix dijo que d Sr. preopinante podía extender un…</t>
  </si>
  <si>
    <t>Mateo</t>
  </si>
  <si>
    <t>…cualesquiera personas que se creyesen con derecho á su facción del Locho en Bienvenida el 20, compuesta de yo caballos, ceder en la vincuaciou fundada en la villa de Briviesca por D. Mateo tiendo acuchillados, envueltos y dispersos en todas direcciones, de de la Puente y Cantabrana , racionero entero que fue de la iglesia co jando en el campo 50 hombres muertos, debiendo la vida los que se legial de Sta. María de dicha villa en 28 de Marzo de 1…</t>
  </si>
  <si>
    <t>Mateo, Bisit.o</t>
  </si>
  <si>
    <t>Bisit.o Mateo</t>
  </si>
  <si>
    <t>…&gt;. Jostí López, D- Josrí More! y D. Fr-ny ims* solemne- Concluida la misa, pronunció la oración fúnebre el csco di 'a:as Corral, cadetes de la guardia Rea., para que &gt;■ les p,oDr. D. Bisit.o Mateo , decano de la co.egial, el cual lleno tos deseos moviesi á subtenientes supernum-rat o», en at.nci, a a .0 que respec de todos lo» concurrentes, haciendo ver lo analoga que era la Const tu- tivamente alegaban; opinaba que ¡os Ínter, sedo» d¡o ¡r. i;t promovi…</t>
  </si>
  <si>
    <t>Mateo, Fernando</t>
  </si>
  <si>
    <t>Fernando Mateo</t>
  </si>
  <si>
    <t>…z alumbramiento.” te del primer batallón del regimiento de infantería del Prínc pe. Medina del Campo: para primer comandante al comandante de in Afmttlerio de It* Guerra. fantería D. Fernando Mateo, sargento mayor del batallón de la milicia Relación de los gefes que ha nombrado S. M. coroneles y prime activa de Segovia. ros comandantes de loa batallones de la milicia nacional activa que se M idrid : para coronel á D. Juan María Gómez, coronel del regi e…</t>
  </si>
  <si>
    <t>Mateo, Ramón</t>
  </si>
  <si>
    <t>Ramón Mateo</t>
  </si>
  <si>
    <t>…anidad no haber lugar á la formación de causa por los señorea cón t iticia de cuadrilla i:s nec cía en todos los su ¡teto* comprendido jatees de hecho de Zaragoza D. Josef Broto , D. Ramón Mateo, Don en éi pata que sean juz.-a los con arreglo á la misma ley.” Antonio López, D. Agustín Alcaide , D. Manuel antin, D. Joa Lo cpcan .0 • V. d; orí n d.l R:y para inteligencia, cumpli quín banchez del Cacho , D. Joaquín de Abad y D. Mariano Catalan. miento y…</t>
  </si>
  <si>
    <t>Mateos, Domingo</t>
  </si>
  <si>
    <t>Domingo Mateos</t>
  </si>
  <si>
    <t>…socios escribía tribuyéndose la mitad i la defensa de la escalera que da al callejón del •n el mes de Noviembre de 18x9, mucho tiempo antes que se empezase Infierno, al cargo d.-l coronel D. Domingo Mateos, que se presentó la guerra entre los griegos y los bárbaros. para ser empleado, y la otra mitad al cargo del comandante accidental La Grecia esta todavía oprimida t pero presenta actualmente un del batallón de 1» milicia D. Benito Marrasi, de su capitán D. Ju…</t>
  </si>
  <si>
    <t>Mateu, Pablo</t>
  </si>
  <si>
    <t>Pablo Mateu</t>
  </si>
  <si>
    <t>…ciudad, plazuela del To no haber lugar: D. Francisco de Paula Castro y Gómez, D. Josef ro , núm. 3, é presentar toa documentos que justifiquen dicho parentes Morales d.- los Rio*, D. Pablo Mateu, D- Antonio Castillejos, Don co en el termino preciso de 60 dias; en el concepto de que pasados Manuel Moreno de Mora, D. josef María Retortillo. Sres. que de procederán dichos albaceas i evacuar su encargo, y les parará todo pre clararon haber lugar: D. Mart…</t>
  </si>
  <si>
    <t>Matheu, D Pablo</t>
  </si>
  <si>
    <t>D Pablo Matheu</t>
  </si>
  <si>
    <t>…lítico , quien cada d a s: hace mas acreedor á nuestro aprecio por su del encuentroque é su inm diacjoc tuvo con los milicianos locar., solo frat rnal comportamiento, asi como el comandante D Pablo Matheu. ha podido adquirir la noticia de que con ao hombres i cabsilo n mó — Según han dicho mañana se dirige el referido Sr. gefe político con la dirección á Osuna; pero los inteligentes y prácticos en el terreno le la caballería á Alcalá; siendo de presumir que el…</t>
  </si>
  <si>
    <t>Matías</t>
  </si>
  <si>
    <t>…Sret. jueces de hecho que lo absolvieron: £&gt;. Lorenzo Lambes, qus se les manda creer. Por último, los primaros no pronuncian ja D. Josef Gómez Albacete, O. Cario* González Llano*, D. Matías ma» una palabra ofensiva á los cristianos, y los segundos afectan pro Casero, D. Mariano Zorraqnin y O. Juan Manuel de Aréjula. ferir contra ellos en sus discursos expresiones chocan ts. Sres. que votaron en contrario: D. Juan Pablo Pascual, D. Fran Aunque lo…</t>
  </si>
  <si>
    <t>Mattel</t>
  </si>
  <si>
    <t>…o varia* reflrxione* sobre esto concluyó ma El Sr. conde de Toreno hizo varias observaciones rebatiendo el dis nifestando qu¿ debía (probarse el dictamen de la comisión. curso del Sr. Mattel; y manifestó que las Cortes podían tratar de este El Sr. García Paga dijo: Cuando te trató en las Cort-t de la re asunto aunque no se les hubiese pasado por el Gobierno el plan ecle ducción del diezmo y la primicia (que lo aprobé yo ) previ todos los siástico…</t>
  </si>
  <si>
    <t>…lico para la distribución del producto bre la meta, y se señaló para mañana tu discusión. de estos bienes! be declaró estar conforme á lo acordado por las Cortes la minuta Dice el Sr. Mattel que ea insuficiente este medio, y lo supone mi de decreto sobre las capitalizaciones instauradas antes de la fecha del porque no se sabe á cuánto ascienden los capitales de los participes le decreto de las Cortes que trata de este asunto. gos; ni tampoco á cu…</t>
  </si>
  <si>
    <t>…y en seguida si la caricatura la in con toda propiedad, opinó que no podía declararse subversivo un he famaba. cho que no era tr.as que injurioso. Quedó aprobado este artículo. El Sr. Mattel dijo que lo que la comisión llamaba subversivo lo Se leyó la siguiente adición del Sr. Rey al art. 3.0, para que se habían ya aprobado las Cortes en el tít. I o, art. nó del código penal, añadiese'al fin d asociaciones reconocidas por las leyes. Se mandó pasa…</t>
  </si>
  <si>
    <t>…asunto hasta la discusión puesto de las provincias de Ciudad-Real , Cuenca . Gj’d: a&gt;ara , 1de dicho código drid y Toledo; su capital Madrid. D ur to 1.' . compuesto é- las pro El Sr. Mattel apoyó el artículo, y dijo que interesaba su resolucipn. vincias de Canias, Lugo, Orease, Vr¿o , Vi llat rauca; su capital Co</t>
  </si>
  <si>
    <t>Matul</t>
  </si>
  <si>
    <t>…rio. táneamente habían pedido esta unían. Lo in Mito s. v.jifc ... con a de i.» ¿res. Ru r de! Rio v Gonzalsz En tales circunstancias (exclamó el orado») ¿qué es lo que será con ( D. Matul. I ), I-Iattva a ,j.' mi va para el r ¡ :n er.to de urniritrario i los principios de justicia 1 ¡Una ocupación que estriba sobre buciones el misino censo que han a- iCado i-. c.otl.» s.rva de base pa los títulos mas legales y justos, ó entregar á la España la…</t>
  </si>
  <si>
    <t>Matute, Miguel</t>
  </si>
  <si>
    <t>Miguel Matute</t>
  </si>
  <si>
    <t>…a de los derechos y obli bao, D. Francisco García Otero, D. Diego Fernandez Mufioz, Don gaciones de sus respectivos vecinos at tiempo de su reunión. De acuer Josef Ruiz del Arco y D. Miguel Matute para declarar si habia lugar do de las Cortes lo comunicamos i V. E. para su inteligencia, y que ó no í la formación de causa contra ia persona responsable del núme su se sirva disponer cumplimiento." ro no del periódico titulado el Lhftnsor de la patria, den…</t>
  </si>
  <si>
    <t>Matute, Pedro</t>
  </si>
  <si>
    <t>Pedro Matute</t>
  </si>
  <si>
    <t>…blica del la formación de causa, y salieron los Sres. siguientes: EX Joaquín Ce- Sr. D. Angel Fernandez de los Ríos, magistrado honorario de la au valles ,conde de Florida-Blanca, D. Pedro Matute, D. Josef Antonio diencia de Castilla la Vieja, y escribanía del número de esta M. H. Ponzoa , D. Josef Radon, D- Andrés Moya Lnzuriaga, D. Bernardo villa de D. Jacinto Gaona y Loeches, se vende en pública subasta una A sen jo, D. Miguel Ripa, conde de la Tor…</t>
  </si>
  <si>
    <t>…go á mis órdenes , y siguientrs: D. Ts'dro Merino , D. Josef Dmetrío Rodríguez , D. Do sai de a.ju con este objeto c. ino á as once de la mañana. í-i coman mingo Fernandez \ngu!o, D. Pedro Matute, D. Jos f Antonio Pondante D. Manuel Arengo, qu; iba á la vanguardia con 24 soldados del zoa , D. Josef María Puente, D. Marcos Antonio Menczo, D. Juan b¡: ilion d*«liarb.isiro , se encontró con los facciosos en Coll-sacreu Francisco Travesedo y D. Carlos Gon…</t>
  </si>
  <si>
    <t>….................. aooo D. Marcos Izquierdo , D. Francisco Travesado, D. Antonio Dazdel Los honorarios deberán satisfacer lo mismo,, incluyéndose en el Moral, D. Josef Pió Santos, D. Pedro Matute, D. Miguel Hipa y pago de lo* grados anteriores, si no lo* hubiere satisfecho, por cgem- D B n.to Ortega Romanillo*. plo: Un juez de primera instancia á quien se conceden los honores da Hab da la conferencia resultó haber lugar á la formación de cama magistra…</t>
  </si>
  <si>
    <t>…tro de un jura denia Antonio Lorente; D. Domingo Fernandez Angulo; D. Mariano 441,534 mra. sobre el segundo 1 por 100 de Sevilla á favor dal marZorrequia; D. Antonio María Espejo; D. Pedro Matute y D. Casi ques de Leganes, á 4 de Diciembre de 1655.—Otro de un juro dt miro Martin. 79,800 mrs. sobre las alcabalas de vario* pueblos del obispado da As. Habida la conferencia, resultó por unanimidad isa haitr lugar á torga ¿ favor de Doña Teresa Quiñones, en 18 «le F…</t>
  </si>
  <si>
    <t>…el conde Romanillos, D. Cas-miro Martin, D. Antonio Regés, D. Antonio «le Calderón te halla en Valencia, sin haber pensado ni pensar en PuigbUnch, D. Francisco López Otavarrieta, D. Pedro Matute 7 Don contarse entre los refugiado* á Francia que vuelven sus arma* contra Juan Paz. la patria, creemos que Mr. Predi ha padecido equivocación en al título HUb'da la conferencia, radeclaró por uninimidad ae haier lugar á del sugéto. lu formacim J$ Muro, EN LA…</t>
  </si>
  <si>
    <t>Matute, Pedro de</t>
  </si>
  <si>
    <t>Pedro de Matute</t>
  </si>
  <si>
    <t>…aceta del 21. j Sres. que absolvieron dicho artículo: D Casimiro Martin; D. Se Ley'en que. se habilita á los regulares secularizados para adquiría bastian Andrés; D. Andrés Alcon; D. Pedro de Matute, y D. Joscf bienes.de cualquiera clase y por cua'quiertítuio. (Gaceta del sy. ) Pió Santos. D claracion de las Cortes sobre los oficios de subalternos de los tri áre*, que lo declararon injurioso: D. Valentín Recio, D. Josef bunales. ( Gaceta del 2j. j Radon,…</t>
  </si>
  <si>
    <t>…D. Joaquín de interior varios regimientos. la Vega y Quintana, D. Andrés Moya y Luzuriaga, D. Valentín de Austria. Muchas eran las conjeturas que se hacían en Viena sobre Nicolás, D. Pedro de Matute y D. Juan Manuel de Arejula. los puntos que han de discutirse en el Congreso, objeto que llama la Habida la conferencia resultó por unanimidad no haber lugar í atención de todo el mundo político, y que da margen á que los perio tafurinación de causadistas de todos los países llenen sus…</t>
  </si>
  <si>
    <t>Maty</t>
  </si>
  <si>
    <t>…pea» que infnraai Apraliquidando; establecerán la» Corte* para tu paga todo» lot «tedio* ac enaria», kn cuela te administrarán can taparacwn absoluta da la» do- ; b qmj* dada por D. Maty pifeHcn.* tfm Manradte contra U aurficati» de Oviedo p el tribaaal «upacuto da BISa.pattsdcuw levantó la teaiou pública, quedando al Cnngrato en Justicia, por no tubería admitido el tecuno de uolidad qoe interpmo sesión secreta. eo «aa caaia seguida en aquell…</t>
  </si>
  <si>
    <t>Mau</t>
  </si>
  <si>
    <t>…A atu-i. han tenido las consecuencias que esperaban.- los turcos han recobrado Lac-m s'iin t en - bien pr:» -nt:s ns part-s oScu'e» qae acre-.it.n e¡ .stalo la superioridad , y el príncipe Mau ocoidato ha sido batido en retira po-it co de la» provincia» d.-i bur del Brasil ; p-ro con;*ce latib-en -u* da, y ú¡t mámente se hallaba en Misselongo. tundo el Cong'eso a los ojo» del man i.» el |uez de e-ta tran c:j*t . c •s Las dos escuadras tutea y bitbe…</t>
  </si>
  <si>
    <t>Maura</t>
  </si>
  <si>
    <t>…conducta y voluntad de El Sr. Aguiar da Costa se opuso al dictamen en su totalidad , y apoaquel loe pueblos, y en el caso de estar descontentos , Portugal es de- ó las razones del Sr. Maura en cuanto 4 !a necesidad de coligarse «1 ansiado justo y generoso' para querer violar en los demás los derechos J ’ortugal coala Espafia, y de atender seriamente 4 las operaciones del de libertad de que es tan zeloso. cordon sanitario que ocupaba los Pirineos…</t>
  </si>
  <si>
    <t>Maureso, Vicente</t>
  </si>
  <si>
    <t>Vicente Maureso</t>
  </si>
  <si>
    <t>…lto el artículo comunicado inserto en el núm. 17 del periódico ti á que por una mera proposición que se discutia en media hoia se de tulado fiscal de los jueces, le ley absolvió á D. Vicente Maureso, rogas- una ley de las Cortes. responsable de dicho artículo, en cuya consecuencia se, mandó alzarla Despu •* de haber apoyado esta proposición el Sr. Romero, mani la fianza, declarando que esta procedimiento no le debía perjudicar ea festando que no tenia el…</t>
  </si>
  <si>
    <t>Mauri, Josef María Caldas y</t>
  </si>
  <si>
    <t>Josef María Caldas y Mauri</t>
  </si>
  <si>
    <t>…aración, te expresan, en jurado de calificación, absolvieron por unanimidad el asi pira llenar los Reales d (pechos de los que han s:do ascendidos, co impreso ó representación que D. Josef María Caldas y Mauri dirigió á mo para comunicar las correspondientes órdenes resp cto de los ge- las Cortes con fecha de 17 de Abril de este año, denunciado por Don fes qu- hay en los cu rpos ex stent.s, y d b;u gozar de los menciona Pedro J &gt;s.f Avella, vicario general y gobern…</t>
  </si>
  <si>
    <t>Mauria, Josef María Caldea y</t>
  </si>
  <si>
    <t>Josef María Caldea y Mauria</t>
  </si>
  <si>
    <t>…to público, en vista de la solicitud candalosos desórdenes de Setiembre último en aquella provincia; y otra de D. Rodrigo de A randa, para que se le admitiese la capital zacion de D. Josef María Caldea y Mauria, vecino de Barcelona, quejándose de una pensión que goza, y que solicitó cuatro días antes de publicarse del vicario general y proviso» D. Pedro Abella por haber infringido el decreto, opinaba que debía ser admitida dicha capitalización con una ley de la Noví…</t>
  </si>
  <si>
    <t>Maurifio, Ignacio</t>
  </si>
  <si>
    <t>Ignacio Maurifio</t>
  </si>
  <si>
    <t>…de que gnBi María Taboas 115 rs. 7 11 mrs—La «le Dofia Antonia Marta solvieran al Japón, en cuya resolución tuvo acaso mas parta al temor &lt;]•»» 7 Aparicio 112 rs. 7 7 mrs__La «le D. Ignacio Maurifio 1665 que lajosolencia. ® uniente Laxmann, que había ido anteriormeate l, 7 7 mrs__ La de D. Dionisio Rodríguez Taboas 119a rs. 7 4 mrs. de Kamstchatka, había obtenido un puntúo pera loa tusos de arribar al jXt de D. Pedro Lince de Bcrústegui 1476 rs. 7 4 mrs_…</t>
  </si>
  <si>
    <t>Maurocordato</t>
  </si>
  <si>
    <t>…y por parte en este negocio. turra al mismo tiempo al Peloponeso. En su consecuencia el gefe del El dia 17 del corriente dieron los griegos á esta plaza un ataque poder egecut vo, príncipe Maurocordato, había reunido en consejo general por m.:r y por tierra, que no tuvo ningún resultado notable. extnordinario i sus compañeros para tomar medidas enérgicas á fin de S: tiraron por una y otra parte mas de 40Q fusilazos; pero todos fuera evitar el peí gro que am…</t>
  </si>
  <si>
    <t>…a, que destruye los pocos marineros que quedan á la ha dirigido hácia Argos. Puerta. Se creía que esta escuadra llevaba á bordo muchas tropa* de des " El 31 de Julio se embarcó el príncipe Maurocordato en Misoembarco; peto se ha visto que ni aun tenia el número necesario de ma longi para la Morea , con el fin di tomar la dirección suprema de los rineros. asuntos militares. No se han recibido noticias ulteriores sobre este par Idem ig. ticular , ni se sabe d…</t>
  </si>
  <si>
    <t>…hando ya lechar su existencia. Un tribunal europeo que privira i los Burdett, á Íos Lansdown &amp;c. de manifestar en la tribuna sus opiniones! Por esta Churschid-bajá.49 suliotas. Al príncipe Maurocordato se le habían unido sobre parte se hace tanto mas increíble la autenticidad de este documento, Ha habido ya una acción muy viva, la cual no ha producido nía. cuanto verosímil por los deseos que algunos tendrán de coartar la liber gun resultado decisivo ni (tar…</t>
  </si>
  <si>
    <t>Mauromichale</t>
  </si>
  <si>
    <t>…tss tropas de Patrás Hidra 31 d$ Julio. 7 ú 89 hombres de la milicia voluntaria, ^9 maniotas á las órdenes Habrá unos seis dias qu * pesó por estas aguas con direccTon I Pa- de su comandante Mauromichale llegaron á Calatean: 7 corriendo á tomar las armas los demas peloponesios, pudieron bien pr- oto los ge tris la escuadra turca, compuesta de 68 velas, entre ellas cuatro na nerales Coiocotron 7 Mauromichale dirigirse ai frente de i6'3 hombres vios de línea 7…</t>
  </si>
  <si>
    <t>Máximo</t>
  </si>
  <si>
    <t>…tac dice lo Antonio Casanovas , D. Octavio Pastor, presbítero, D. Pedro Cotdoque sigue: bés y D. Mariano González. » En consecuencia del oficio de V. E. de ttf del próximo parado D. Máximo £as lo declaró injuriosa en primer grado. dirigí al Sr. nuncio de S. S. la nota respecto 4 las dificultades que se habían presentado para is secularización de una monja de Mallorca, su Habiéndose denunciado al Sr. D. Rodrigo Aranda, alcalde conitíponiéndose q…</t>
  </si>
  <si>
    <t>Máximo, Clemente</t>
  </si>
  <si>
    <t>Clemente Máximo</t>
  </si>
  <si>
    <t>…. D. Jus-Í ce a V ga, Madrid Juren 19 dt Setiembre. D. Casimiro Sánchez , D. Joaquín de Odriraoia , L*. Angel V.igas, S. M. el Rey y SS. AA. continúan sin novedad en tu importante D. Clemente Máximo de la Torre, D. Ju'uan teme de .al..fatua, aalud. S. M. la Reina no ha tenido mejoría en su indisposición. D. Marcos Quirós, D. Segundo Alvaiez y D. Dom ngo saer Moa. jo. Habida la conferencia resu.tó kater lujar a la formación Je causa por DIXUCCION CBNBXAt…</t>
  </si>
  <si>
    <t>Mayo, Dos de</t>
  </si>
  <si>
    <t>Dos de Mayo</t>
  </si>
  <si>
    <t>…á cargo de los subtenientes D. Josef Oriol y D. Ignacio 13. Concluido este acto, si formará una columna en masa como el Aib.-rt, y el destacamento de Logroño al mando del teniente coronel Dos de Mayo, y desfi'arsn toda» las tropas por el sa.on , caricia de han D. Manuel Diez Marín, son destinados por el gefe de la plana mayor Gerónimo, puerta del Sol, calles de las ...airelas y Atocha a la plaza á atacar al olivar , en el que mataron muchos facciosos, y c…</t>
  </si>
  <si>
    <t>Mayor</t>
  </si>
  <si>
    <t>…fados que adquieren mas influjo y mas poder en el Congreso. El píle coronel. lo conoce estos abusos , y declama contra ellos. Las gacetas y periódi Mallorca á D. Francisco Iraola, sargento Mayor graduado de te* rcos en toda la Union abundan de declamaciones vehementes sobre este Siente coronel. particular. Todos con el sueldo que disfrutan. Los demócratas y los federalistas hacen esta guerra de pluma en Juicio de jurado/t fixtremo ruidosa: cada parti…</t>
  </si>
  <si>
    <t>Mayora.D, JuanRubroy</t>
  </si>
  <si>
    <t>JuanRubroy Mayora.D</t>
  </si>
  <si>
    <t>…bargo pudo pasar dode Lavara, D Cosme Sánchez Aparicio, D. Pedro Otero,D. Joa un oficial á pedir un refuerzo de 4Z} hombres a toda costa, i cuya quín Cadena, I). HemeterioTtúrbide.D. JuanRubroy Mayora.D. Joa consecuencia marchaban todas las guarniciones; y la de Cartagena , que quín Sotomayoré Itúrbido, D. Manuel Labastida, D. Manuel Quíntanar, se resistía a salir porque no le pagaban,quedó reducida á 300 hombres. D. Juan Guerra Manzanares, D. Juan Amable y…</t>
  </si>
  <si>
    <t>Mayoral, Josef Antonio Portal y</t>
  </si>
  <si>
    <t>Josef Antonio Portal y Mayoral</t>
  </si>
  <si>
    <t>…ería de Zamora, ¿d. batallón del regimiento infantería de la Corona; con el sueldo qat Navia i D. Leonardo Bonet, capitán del regimiento inLatería do disfruta. Toledo, id. Avila i D. Josef Antonio Portal y Mayoral, capean primer ayu O . sedo á D. Pedro Francisco López , espitan graduado de t.miento dante del regimiento de Málaga; con el sueldo que goza. coronel del revuniento «1 zapadores, id. Aslorga a D. Remigio Abad , teniente coronel graduado y capi O una I). M.aut…</t>
  </si>
  <si>
    <t>Mazid, Spina y Monseñor</t>
  </si>
  <si>
    <t>Spina y Monseñor Mazid</t>
  </si>
  <si>
    <t>…as se habla de Congreso; pero suponen que frotii ri7-&gt; nren los caminos de Tánger y Tetuan. ae celebrará en Verona; ya designan los plenipotenciarios que enviará •1 Papa, y son el cardenal Spina y Monseñor Mazid, secreurio de S. S. (O También ha acordado ru stro ayuntamiento que por una co Los ultras de Francia continúan en tu enagenacion mental desde misión e su s-no se propongan medio», con cuyo producto, bajóla loa acontecimientos de Julio. La Caceta de Francia y»…</t>
  </si>
  <si>
    <t>Mbsistencia</t>
  </si>
  <si>
    <t>…F.n los dtts de besamanos ó gala concurrirá con todo* tiende el método, equ dad y economía con que d b- atenderse á la los &lt; fieiaies de su regimiento á cumplimentar *1 comandarte general Mbsistencia y entretenimiento del so dado, 'as reglas de poicu que del distrito , si estuviere cti el mismo pueblo, ó al gobernador o co dentro y fuera del cuart-1 debe obs rvar la tropa, su instrucción en mandante de armas, siendo oficia» g-neral, verificándolo en el pr…</t>
  </si>
  <si>
    <t>Mcdrano, Manuel Ros de</t>
  </si>
  <si>
    <t>Manuel Ros de Mcdrano</t>
  </si>
  <si>
    <t>…Limi» y Méndez, D. Josef Queipo, obispo electo de Mechoacan , para el obispado de Torios»,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 Aprobados los poderes de estos Srcs. como proponía la…</t>
  </si>
  <si>
    <t>Mcio</t>
  </si>
  <si>
    <t>…e el dic ^ue para defender al gefe político ha habido que atacar á la ley ; y tamen de la comisión, y exigirse la responsabilidad á este funcionario. a pesar de los argumentos del Sr. Mcio, el fondo del dictamen de la El Sr. Me'o continuó su discurso, diciendo: Me parece que contes comisión ba quedado intacto; asi pu.s yo me prometo hacer ver qu* tando á las principales bases del dictamen de la comisión habré con la ley de ai de Qctubre de 1820…</t>
  </si>
  <si>
    <t>Mclendez</t>
  </si>
  <si>
    <t>…i á esto debe agregarse el que resultará de la contribución de consumos, guiente que no es inadmisible. porque en los primeros meses fue imposible que se circulasen los de Lio- El Sr. Mclendez: No puede admitirse el dictamen de la camitica, tos de las Cortes , y no pudo esto verificarse hasta mucho después ; y el porque no ha presentado los medios dé cubrir el déficit que hay efecto que resultará también de la contribución de patentes, en la que en…</t>
  </si>
  <si>
    <t>MclulL</t>
  </si>
  <si>
    <t>…á este en su Oobicrno de Irlanda le sucederá el marques de procedent.s de esta pro» r.» a, o de ciwlqu - a oii.i de ¡a M-r.arcti a. Conifvtian. Permanecerán el lord canciller y el lord MclulL. Mr. I’fíl Art. y. Lo» brea, rccitl.'res comnrios de cuaitel m- pasa-en Va reitr.p aza al difunto marques de Londonderry, y a aquel le suc derá riamente para mi conocím ento un par:? con a noticia de tr&gt;» fo;a»reel lord Colchester. Se retirara Mr. Vansitart,…</t>
  </si>
  <si>
    <t>Mcnchaca</t>
  </si>
  <si>
    <t>…rde de hoy han sali«k&gt; por el mismo orden con que aquí se anotan dolet, para que se sirva V. E. elevarlo á noticia da S. M. los cinco números siguientes: 38, 63, 64, 61 y 76. w El brigadier Mcnchaca me remite el parte da la defensa del fuerte El premio de 2500 rs., concedido en todas las extracciones i lat de Cupe, cuyo extracto es como sigue: huérfanas de militares y patriotas que han muerto en «lefensa de la jus " A la* do* de la tarde del dia 3 se pre…</t>
  </si>
  <si>
    <t>Mcncia, Josef</t>
  </si>
  <si>
    <t>Josef Mcncia</t>
  </si>
  <si>
    <t>…bla de los dignos mi Juicio de juradas. nistros de tan indigno OUierno, tratando de los españoles , y usa de otras expresiones las mas denigrativas; pero también las mas dignas de D. Josef Mcncia, en nombre y á virtud de poder del licenciado los malvados defensores del despotismo. D. f rancisco de Cuenca , juez de primera instancia de Valdepeñas, de Las cartas de Bayona del día 3 hablaban todavía de preparativos: L&gt;. Manuel Mcj.a, y Angel González , a…</t>
  </si>
  <si>
    <t>Mcron, Manuel Martínez</t>
  </si>
  <si>
    <t>Manuel Martínez Mcron</t>
  </si>
  <si>
    <t>…comandante de 13 soldados. A las 8 emprendió su marcha esta, mandada por el bi una de las columnas contra los facciosos, desde Ubrique el y por la zarro subteniente de granaderos D. Manuel Martínez Mcron , á quien noche- comuniqué mis instrucciones, detallé el sitio y número de malvarlos, » Conforme á lo que decía á V. S. en oficio de ayer, á las dos de que se me habia comunicado eran 7. A las nueve y media se presentó la madrugada de hoy salí de Alcalá con l…</t>
  </si>
  <si>
    <t>Mctternich</t>
  </si>
  <si>
    <t>…mara de diputados Mr. de Luego que el día 10 llegó Mr. de TatschríT í Viena tuvo una con Sene rene le y s, segundo Mr. de Seuflert han hecho valer en sus discursos ferencia con el príncipe Mctternich, i inmediatamente después se ex de clausura. » Debemos esperar mucho del tiempo, dijo el primero; el pidió un correo al internuncio austríaco en Constantin-pla. Se decía que buen fruto se madura lentamente, y no hemos querido precipitar nada." el ruevo minist…</t>
  </si>
  <si>
    <t>Mdendez</t>
  </si>
  <si>
    <t>…tamiento auxi te su número no pasa de ¡0 hombres._Un periodista sale ahora di lios para hacerlas efectivas. ciendo y aun aseguran !o que el vtmins&gt; egército ruso que se suponía El Sr. Mdendez d;j) que no siendo este a por too que se prefijaba acampado en la Bessrab a, y que t n pronto iba atras como afinante, un sueldo ó gratificación, sino una indemnización de los gsstos qu: se extendiendo sus avanzadas hasta el Prnth &amp;c., no es mas que de 4o3 oc…</t>
  </si>
  <si>
    <t>Mdmouth</t>
  </si>
  <si>
    <t>…la Puerta en Esmirna des de la correspondencia que había mediado entre S- A. R-, el comandan de que ocurrieron lo» alborotos del me» de Noviembre ha restablecido te en gefe , lord vizconde Mdmouth, y el exponente sir Roberto Wilion. el buen orden en aquella ciudad. El lord Palmerston, ministro de la Guerra, impugnó los princi El Observador auitriaco trae alguna» noticias de lo» principados de pios manifestados por el preopinante, y sostuvo que este hab…</t>
  </si>
  <si>
    <t>Me</t>
  </si>
  <si>
    <t>…ue se quiere suponer en favor de la conducta de no tanto por un motivo de malicia, cuanto por no estar tan versado los magistrados! Se ha dicho que la visita no seria política: el Sr. Me como se cccesitabi para caminar por ci nuevo orden de cosas: mas de ló en la discusión sobre si los magistrados debían ser comprendidos ca cualquier modo que sea, porque un tribunal haya faltado á su deber el decreto de 13 de Marzo de este año, relativo á que…</t>
  </si>
  <si>
    <t>…lo desaprobaron fueron los siguientes: Cuadra, Ta que puede ser efecto de un hervor de las pasiones, no debe perturbar el beada y Lamas. progreso de esta discusión. Una vez que el Sr. Me!o ha sentido una li Se principió á leer el dictamen de la comisión de Visita del Crédi gera incomodidad, de la cual convalecerá muy pronto, manténgasele to público sobre el arreglo de este establecimiento, y te suspendió pa la palabra , y siga la discusión; p…</t>
  </si>
  <si>
    <t>…La com'aion hi reconocido ya como ju*ts la observa Art. 5.0 » Quedan sin embargo sujetas á la inspección de la poli ción hecha por el Sr. Romero acerca de la pa'abra nacional. El Sr. Me cía las casas pút&gt; ¡cas de fondas, mesones , posadas, figones, bodegonea, ló ha dicho que no tenia inconveniente en que te expresase milicia hosterías, tabernas, cafes, casas de bebidas , las de licores , las de jue nacional local, y tampoco me parece que sat…</t>
  </si>
  <si>
    <t>Me'endez</t>
  </si>
  <si>
    <t>…robarse como arregladí lio de este a:.o , es improrogablz; pues este término ha sido suficicmísi- simo. mo para la presentación y liquidación de todos ios créditos. Quisieta se El Sr. Me'endez observó que no se guardaba una proporción gra hiciese asi tanto mas cuanto que se ha dicho que la Nación no tenia dual en el descuento de los sueldos , resu'tando que se recargaba mas sne.íios para hacer frente á su deuda pública , dando á entender con ta á l…</t>
  </si>
  <si>
    <t>Me'o</t>
  </si>
  <si>
    <t>…co ha habido que atacar á la ley ; y tamen de la comisión, y exigirse la responsabilidad á este funcionario. a pesar de los argumentos del Sr. Mcio, el fondo del dictamen de la El Sr. Me'o continuó su discurso, diciendo: Me parece que contes comisión ba quedado intacto; asi pu.s yo me prometo hacer ver qu* tando á las principales bases del dictamen de la comisión habré con la ley de ai de Qctubre de 1820 manda solo una suspensión momen testado…</t>
  </si>
  <si>
    <t>Me, Mano-</t>
  </si>
  <si>
    <t>Mano- Me</t>
  </si>
  <si>
    <t>…de Iterar a esta ciudad a esta hora , que son las siete Se diferid r las libertadr* patrias sí ven privada* de a guu indiVidu*, cu la mafana , v e comandante d- la md-cn vo-uniana D. Mano- Me. yas fatigas se emp-eabau en b.mfivio de sus familias, en el cutí vo da rent n l a r-e b do d l C'ron.i D Antonio Tabuefica . comandanta los campos y otras labores necesarias para la subsistencia de aquejas, de ia co umni peiseguidora de facciosos de Navarra…</t>
  </si>
  <si>
    <t>Me-</t>
  </si>
  <si>
    <t>…rta Je a- dr O.tutreJ Nos» tra partida duodécima. ta de disminuir ias tropas austríacas que hay en N po.es. El general FriSe m*nd’&gt; pasar á la comisión di Htcienda una a-licon del Sr. Me- moni irá al y,or.greso. lend'i a .a partida prim-ra para qu- s- rectifique a cantidad de toj'i Estados roirue..;. Ademas del cardenal Spina y de Monseñor Máz reales que en ella se seña an , ' se d»c.are que los sue.dos de estos ce alo , también asistirán al C…</t>
  </si>
  <si>
    <t>Me-, Josef</t>
  </si>
  <si>
    <t>Josef Me-</t>
  </si>
  <si>
    <t>…uientes habría dos, luego seis, y en fin podría haber señores diputados como proponía la comisión. muchos diputados que lo fuesen. Córdoba. D. Angel Saavedra Ramiriz de Baquedano, D. Josef Me- El Sr. duque del Parque: El art. 95 de la Constitución dice: •» Los lcnJez Fernandez, D. Antonio Ramírez de Areílino y D. Agustín secretarios del Despacho, ios consejeros de Estado, y los que sirven em López del Baño. La comiaion opinaba que debían aprobarse los po…</t>
  </si>
  <si>
    <t>Meca</t>
  </si>
  <si>
    <t>…en el desempeño de su augusta re Perez, maestro polvorista mas antiguo de la fabrica de Murcia, pi presentación. diendo se declare el retiro que deben gozar aquellos empleados. El Sr. Meca: Yo be ti atado de presentar al Congreso las noticias A la comisión de Premios una exposición de D. Francisco deP¿ua que se han adquirido hasta ahora por ia comisión, ules cuales las he Pler, subteniente del batallón de Barcelona, exponiendo sus servicios pod…</t>
  </si>
  <si>
    <t>…salud.” S.” declararon comprendidas estas proposiciones en el art. too del reglamento, y se leyó la primera después de admitidas i discusión. Circular del mmietcrb de Hacienda. El Sr. Meca manifestó que los retiros que se habian concedido con En gt de Marzo próximo pasado me dicen los Sres. diputada* n&gt; los sueldos que acababa de indicar el Sr. Infante se habían dado con cretarios de las Cortea lo que sigue: arreglo i la ley orgánica del egérci…</t>
  </si>
  <si>
    <t>…consulta deseaba que las Cortes se sirviesen declarar lo con se señalaba , el cual le parecía excesivo. veniente respecto de cualquier caso que ocurriese de la misma naturaleza El Sr. Meca dijo que á la comisión le habia parecido que el térmi que el actual, y de modo que los tribunales pudiesen proceder en ellos, no que proponía era regular; pero que por su paite no tendría incon sin faltar á lo que previene el artículo 301 de la Constitución.…</t>
  </si>
  <si>
    <t>…74 votos Juicio de jurados. de 144 , habiendo tenido el Sr. Pcdralvez 69 , y el Sr. Merced uno ; y Habiéndose denunciado al Sr. alcalde D. Miguel de Náj ra un ar el seeundo fu- el Sr. Meca por 73 votos de 144, habiendo tenido el tículo inserto en el Zurriago número 40, como injurioso á los señorea Sr. Merced 70 votos, y el ir. Lapucrta uno. D. Juan Arguelles Valdés, D. Anadeto Fagoaga y D. Antonio Siles, Se leyó la siguiente proposición del Sr.…</t>
  </si>
  <si>
    <t>…Sao debía ser li quidada por la oficina de liquidación de Antalucia, la cual deberá pa NOTICIAS DE ESPAÑA. sar la nota al Crédito público. Aprobado. Madrid Miércoltt S dt Mayo. El Sr. Meca pidió la palabra, y dijo: Seño., al paso que toda la provincia de Murcia se ha inanifeitado siempre' convente en su adhe CORTES. sión al sistema constitucional’, y ha aparecido amam, de las nueva* rXKSIDBNClA DEL «Sot ALAVA. instituciones, no ha sucedido lo m…</t>
  </si>
  <si>
    <t>…. . Habiendo insinuado el Sr. presidente que este asunto quedaría so Se Lyó el art. a.°, y el $r. Valdés ( D Cayetano) manifestó que bre la mesa para discutirse pasado mallana, el Sr. Meca pidió que la siendo las Cortes las que d bian dar carta de ciudadano, ¡10 podía discusión se verificase al instante, en esta misma sesión, si asi parecía, fijar el término de castro, meses en atención á que en los interesados no &gt;rque estando clamando la sang…</t>
  </si>
  <si>
    <t>…curran en dichos regim cnto* , un que pleados.” El Sr. secretario del Despacho de la Guerra dijo que asi como la puedan ser empleados para mandar regimientos en la int'anuría.” Ei Sr. Meca observó que los sueldos de estos individuos deberáncomisión convenía en que los alabarderos fuesen sargentos , parecía •» pagad», mas bien que p &gt;r loa estados mayores de las plaza., pactambién regular 91a los oficiales tuviesen mayor graduación que los del I…</t>
  </si>
  <si>
    <t>Meca, Antonio Perez de</t>
  </si>
  <si>
    <t>Antonio Perez de Meca</t>
  </si>
  <si>
    <t>…he a noi dei tempi il bujo ceta. presente su calidad y circunstancia de tiempo. Canto del btuto las costumbres varias, Juicio di jurado. Trastornos , ira*, huestes de animales, El Sr. D. Antonio Perez de Meca, actual diputado á Cortea, de Y guerras como suyas sanguinarias, nunció al primer alcalde constitucional D. Rodrigo de Aranda un ar Drl tiempo en que como hoy los racionales, tículo inserto en el núm. 145 del UnhtrtsU, y fechado en Lorca á 19 También hablaba…</t>
  </si>
  <si>
    <t>Meca, Leonor María de</t>
  </si>
  <si>
    <t>Leonor María de Meca</t>
  </si>
  <si>
    <t>…ro, se siguen aut-r de tes ocupaban con inteligencia y aelo loa puestee avanzados de la izquierda tamentaría y ocurrencia de acreedores á los bienes qu: dejó por su fa llecimiento Doña Leonor María de Meca, vecina que fue de dicha ciu de la línea. ... ... » A las tres y media de la tarde, cuando conducía i un batallón de la dad, en lot que por providencia de »6 de Junio último se llama, cita benemérita milicia fi presenciar el desarma de lo* agresores, tupe que…</t>
  </si>
  <si>
    <t>Meca, Perea de</t>
  </si>
  <si>
    <t>Perea de Meca</t>
  </si>
  <si>
    <t>…sus casas los milicianos A la comisión de Hacienda una exposición de Dolía Bernarda Lide dicho regimiento. ®*res» viuda de D. Josef Martínez, teniente retirado en Cartagena, so El Sr. Perea de Meca: La comisión especial que se han servido nom licitando una pensión. brar las Cortes para tomar conocimiento de todas las ocurrencias de A ¡a misma una solicitud de D. Baltasar Errao sobre que se le se ayer se ha ocupado desde luego en el importante encargo qu…</t>
  </si>
  <si>
    <t>Meca, Petíz do</t>
  </si>
  <si>
    <t>Petíz do Meca</t>
  </si>
  <si>
    <t>…cha de estos señores hssta que te d.scotr ilícfiñ íSífiata, en que tan miento de 1« Constitución , si habiendo tenido les cualidades necesarias interesado está , principalmente el Sr. Petíz do Meca. para ser ciudadanos no lo solicitaron de hecho , bao probado no tener Se acordó por ¡as Cortes suspendiesen sti'mrrtí». una grande propensión al sistema que felizmente nos gobierne &gt; á pesar La comisión especial de Visita de tríb .nal-s. en r-stt de las adi…</t>
  </si>
  <si>
    <t>Mecuela, Rafael</t>
  </si>
  <si>
    <t>Rafael Mecuela</t>
  </si>
  <si>
    <t>…dichas secretarías, y concluyo man f-srsndo La misma, en vista de la solicitud de Doña María Somar, viuda de que el díctimen déla com.síon era contrario al decreto de las O.'tcs, D. Rafael Mecuela, preceptor que fue de gramática latina en Burgos, por el cual se suprimían las contadurías de propios; pues U preferencia para que se le concediese una pena on de too ducados anuales, opinaba que se daba á los empleados en ellas era solo con r-sprcto á ia sec…</t>
  </si>
  <si>
    <t>Med</t>
  </si>
  <si>
    <t>…c.ff.ndi , priva afaroles. Se ha verificado una mudanza en el .ministerio, nom do del Gran Señor , y el cual salvó su vida con la fu^a , sin que toda brando yira el de Hacienda al Sr. Med:ci; para el de Gracia y Justicia vía se sepan los ulteriores resudados de aquefns disiurbios: acusábanle al Sr. Tomas:; para el de Estado al comendador D. Alvaro Ruff -; pa de traidor por haber aconsejado las providencias pacíficas—be esperaba ra el del Inter…</t>
  </si>
  <si>
    <t>Medina, Antonio</t>
  </si>
  <si>
    <t>Antonio Medina</t>
  </si>
  <si>
    <t>…ón de la milicia activa de .Soria, con 450 r». al mes. batallón de la milicia activa de Oviedo , con 450 rs. BujaUnce A D. Francisco López Salazar, teniente del regimienta Osuna A D. Antonio Medina , teniente dei regimiento infantería do infantería de Ordenes militares, con 570 rs. k Corona , con 570 tt. Betanzoa A D. Josef Carrero , teniente del regimiento infantería de Piasencia al capitán D. Josef de Sandoval, teniente de infantería y León , con 570…</t>
  </si>
  <si>
    <t>Medina, Francisco de</t>
  </si>
  <si>
    <t>Francisco de Medina</t>
  </si>
  <si>
    <t>…de la Bode sobre millones de Toledo á pliegos 338, en cabeza de Manuel Ortiz y ga y M-sodío, D. Guillermo Moragues y D. Juin Antonio Delgado. ViJIisante, Dula Josefa María Lop.z y D. Francisco de Medina, su Se previene que los agraciados acudan i sacar sus títulos dentro del marido, de 53,491 mrs—-Otro sobre millones de León 4 pliegos 36, término de quince días, s’gun está mandado; en el concepto de que no en cabeza de la casa de aprobación del Noviciado de…</t>
  </si>
  <si>
    <t>Medina, Joaquín</t>
  </si>
  <si>
    <t>Joaquín Medina</t>
  </si>
  <si>
    <t>Se concedió «I permiso que solicitaba el Sr. D. Joaquín Medina, El Sr. Sancho manifestó que las proposiciones del Sr. Lobato no diputado por Nueve*Galicia, para parar á otro clima mas cálido con podían admitirte á discusión , porque eran contrarias i la Constitución motivo de ui achaque*. misma, y en muy extrafio que S.…</t>
  </si>
  <si>
    <t>…dos ó dez, D. Claudio Boutelou , D. Josef Anitua, D. Manuel del Casti de primen instancia se cobrará un a por 160 sobre el valor i- los llo, 1). Andrés de Monti, D. Amonio Lucent, D. Joaquín Medina, Xq9 rt. que se regulan por sueldos y emolumentos. Por los de magiar D. Pedro Urda y D. Manuel de Jesús Carmona. Los seis primeros de irados de las audiencias se exigirá el 4 por too de la diferencia de clararon abtutlto dicho impreso, y loaseis último* subve…</t>
  </si>
  <si>
    <t>Medina, Joaquín de</t>
  </si>
  <si>
    <t>Joaquín de Medina</t>
  </si>
  <si>
    <t>…da uno debía conte ñuño, teniendo indicios los electores de que era difunto. nerse en su órbita, porque saliéndose de ella rompía.el pacto funda Se dió cuenta de una exposición da D. Joaquín de Medina, dipu mental ; y en este caso no solo era triste la usurpación , sino triste el tado electo por la provincia de Yucatán , haciendo presente á Is Dipu cheque que debía resultar. tación permanente Ja necesidad de llevarse á efecto el decreto de las Bajo estos p…</t>
  </si>
  <si>
    <t>Medina, Manuel Biíios y</t>
  </si>
  <si>
    <t>Manuel Biíios y Medina</t>
  </si>
  <si>
    <t>…niwi de D. Manuel Joteí Medina, rey de armas establecido en esta corta, las penas prescritas contra este delito en el mismo capítulo 1. de dicho como tutor y curador de tu sobrino D. Manuel Biíios y Medina , re título , las cuales podn n aumentar hasta una tercera parte mas del ex mitió en el año de 1817 sus poderes á D. Miguel Bois de B-guer, cón sul de S. M. en Pflermo, para que tomase posesión de una renta de 50 presado uaaáwm.” Aprobado. Art. 381. « Los que…</t>
  </si>
  <si>
    <t>Medina, Manuel Joteí</t>
  </si>
  <si>
    <t>Manuel Joteí Medina</t>
  </si>
  <si>
    <t>…esde el 1 tos al 1 a 11, ambos inclusive. sv*nn» ó nociva para que con ella se haga daño á una persona , ó sa biendo que te destina a este fin, serán castigados con el Maziniwi de D. Manuel Joteí Medina, rey de armas establecido en esta corta, las penas prescritas contra este delito en el mismo capítulo 1. de dicho como tutor y curador de tu sobrino D. Manuel Biíios y Medina , re título , las cuales podn n aumentar hasta una tercera parte mas del ex mitió en…</t>
  </si>
  <si>
    <t>Medióla, Miguel de León y</t>
  </si>
  <si>
    <t>Miguel de León y Medióla</t>
  </si>
  <si>
    <t>…lúrias, ocur Sr. Pol de Quimbert, las personas siguientes -. D. Ignacio Pujol, vica rido en 10 de Setiembre de líiio, para que en el término de 30 d as, rio gen: ral ecl-siástico.—D. Miguel de León y Medióla, canónigo _ contados desda el d- su publicación, comparezcan por sí ó per medio El pabor le D. Manuel Izquierdo—O. Gabriel Esquella , noble hacen da apoderado en dicho juzgado de primera instanc.a, y porta escribanía dado —D. Bartolomé Saiort, presbítero----D…</t>
  </si>
  <si>
    <t>Medran, Alonso</t>
  </si>
  <si>
    <t>Alonso Medran</t>
  </si>
  <si>
    <t>…bación del Noviciado de la Compañía de verificándolo, se declararan vacantes sus plazas. Jesús de Madrid, de $6,835 mrs__ Otro sobre alcabalas de Soria 4 p iegos 37, en cabeza del capitán Alonso Medran», en 97,160 mi. Por promoción de D. Fermín Gil de Linares 4 la plaza de regente Otro sobre millones d; Soria 4 pliegos 4, en cabeza del colegio de San de la audi ncia de Galicia , ha quedado vacante una de las de fiscal de Ignacio de Soria , de 46,143 mrs----…</t>
  </si>
  <si>
    <t>Medrano, Antonio</t>
  </si>
  <si>
    <t>Antonio Medrano</t>
  </si>
  <si>
    <t>…zón y de la humanidad iba i Benito Serrano, D. Juan Biutista del Rio , D. Francisco Javier Jimé completarte......La Cámara Alta había oido ya sin oposic on su prime nez de Bagues, D. Antonio Medrano , D. Leoncio Val, D. Cayetano ra lectura , cuando llega lor j Colchester , el cual hablando con la ma Puch, D- Manuel Sierra, E&gt;. Luis Cántense, D. Antonio Cebollero, yor vehemencia le dirige estas terribles palabras: » Vengo corriendo D. Mariano Gudal, D. Ce…</t>
  </si>
  <si>
    <t>Medroes, Aires de</t>
  </si>
  <si>
    <t>Aires de Medroes</t>
  </si>
  <si>
    <t>…brd.-cia , las despreciaba y ponía en ridículo, fundando su discurso en las noticias que habia de aquél país. » Excmo. Sr.: La diputación provincial de Má'tg», al reunir;? para El Sr. Aires de Medroes pronunció un discurso, en el que mani continuar tus sesiones, ha visto con el mas profundo dolor el esuil’do festó que era inotil el proyecio,.y que no debía'tratarse de él hasta que sedicioso que en varios puntos del reino han producido las tramas y 1» provi…</t>
  </si>
  <si>
    <t>Megalhaet, Pinto de</t>
  </si>
  <si>
    <t>Pinto de Megalhaet</t>
  </si>
  <si>
    <t>…o io tenia pedido la audiencia motivo á escenas muy fuertes: el lado izquierdo quería que la vota de Galicia. ción da un párrafo fuese nominal, y no lo pudo conseguir, de cuyas El Sr. Pinto de Megalhaet se opuso enérgicamente , manifestando resaltas hubo ea la Cámara un grandísimo alboroto. que ao estaban obligados á entregar esto* hombres al Gobierno espa Varios diputados de aquef lado exclamaron : esto es una cota irri ñol ; que todo individuo tiene derech…</t>
  </si>
  <si>
    <t>Megía, Félix</t>
  </si>
  <si>
    <t>Félix Megía</t>
  </si>
  <si>
    <t>…de los Fernandez Vallejo y D. Josef Joaquín Sagarzurieta, procuradores estados no es obra de poco tiempo, y mucho mas cuando hay tanto dicos de asta M. H. villa; la ley condena i D. Félix Megía , editor «fe que corregir , y tanto que reedificar. aquel periódico, responsable de dicho artículo, á la pena de doy atfcu Las Cortes españolas marcharán masestuosamente por medio de es de prisión, y á la privación de su empleo y honores si los tuviere, en to…</t>
  </si>
  <si>
    <t>Megin</t>
  </si>
  <si>
    <t>…drá desplegar todavía una fuerza fisica respetable ti se sabe sacar par dad esta medida sin que hubiese discusión, pues solo mi digno com tido de los medios que tiene. patriota el Sr. Megin habló pan apoyar la propuesta: asi pues estando Le comisión Conviejse fue* en la adición propuesta por el Sr. Palaesta medida autorizada por nuestras antiguas leyes y por el egemp'.o de rea , tanto mas, Cuanto que en ese llamado tratado de Córdoba se puso las…</t>
  </si>
  <si>
    <t>Meiendez</t>
  </si>
  <si>
    <t>…alabra corresponda las siguientes: Arreglándose según los datos es* ciones de que hubiesen de menester. tadtst co .rué kaya. Se acordó que e tc artículo volviese á la comisión. Ei Sr. Meiendez propuso qué se quitase del artículo la palabra reArt. 55. «*Cada miliciano tendrá constantemente diez cartucho* cargo, pues que en su concepto no era necesaria. embalados, reponiéndoseles los consumos por los ayuntamientos con Declarado el punto suficientemen…</t>
  </si>
  <si>
    <t>Meieniiez</t>
  </si>
  <si>
    <t>…00 ducados. Pata la mayor posibilidad de es- dichas fincas; peto en ot as todavía no se ha ver fundo esto. propuesta se ha tenido presente que en las diócesis donde las existen El Sr. Meieniiez apoyó el dictamen de ia ccmii’on , manifestando cia no alcanzasen á cubrir estas asignaciones se podría rebajar del subsi que era indispensable que los curas pareceos estuviesen atendidos como dia Ja cantidad correspondiente. correspondía , y que la disposici…</t>
  </si>
  <si>
    <t>Meinard</t>
  </si>
  <si>
    <t>…umanidad se verificarán quizas mas pronto da lo qua se ts- el navio Juan Barí 7 loe bergantines el Simo y el Genio, que están «parejeado en Brea» -- aunda este segunde diviwofc el barón Meinard de gEtfffrfLoe , disfrazados de griegos 7 turcos, han celebrado le Fargue, capitán de navio. Todoe cstoe"baqaes navegarán á lo largo can música* 7 hinyirt- el cumpleehos ílet Dr. Littman, actual rector de Ias cosos de Italia 7 de Barbaria, 7 i finés de Sctmmb…</t>
  </si>
  <si>
    <t>Mejía, Antonio</t>
  </si>
  <si>
    <t>Antonio Mejía</t>
  </si>
  <si>
    <t>…iduos de cabildos en las tío suyo, el cual murió en la Habana hace dosafios. juntas d.oci saris , siempre resu tari que hay mayor número de curas En 18 de Diciembre último dirigió D. Antonio Mejía, agente de p.iirocos, con arreg'o a decreto de a9 de Junio que dictaron laa Cor negocios en esta corte, una carta 4 D- Antonio Chaubet, del comercio te» ante?.ores con ob,i to de fi.vor.xer á usti benemérita clase. de Sevilla, en la que le incluía dos certifi…</t>
  </si>
  <si>
    <t>Mela, N</t>
  </si>
  <si>
    <t>N Mela</t>
  </si>
  <si>
    <t>…instruyese- todos los ayuntamientos de la Península que se hallen en el misn o El de :a misma, re.ativo á la solicitud de D. Benito Chaves , D. N. caso que el de Segovia.” Cosío y D. N Mela, individuos de la diputación provincial de Sala El Sr. Saetrz de Btíruaga pidió que en atención á Jas últimas ocur manca , para que en arene on i la enfermedad que padecen, se les exo rencias de Onhuela , en donde se habían mofjio públicamente de Ja nere de a…</t>
  </si>
  <si>
    <t>Mela, Rosalía</t>
  </si>
  <si>
    <t>Rosalía Mela</t>
  </si>
  <si>
    <t>…á sablazos sobre la gente que iba detrás de la retreta , ha tos interesados. biendo tomado también parte en este exceso los a:t»ileros que escolta Otro relativo á la solicitud de Doña Rosalía Mela , viuda del te ban la retreta, sin duda por estar da acuerdo con sus compañeros , y T</t>
  </si>
  <si>
    <t>Meláis, Juan</t>
  </si>
  <si>
    <t>Juan Meláis</t>
  </si>
  <si>
    <t>…er á todos los demás, Don Gregorio Lagarda , alférez del regimiento caballería de Cala— manifestaremos so-amente el vivo deseo de que se esparza por todos loa trava , á nombre del brigadier D. Juan Meláis , coronel del misino pueblos de la Península , y corta por todas las manos interesadas en la cu rpo, dnuncó al Sr. alcalde D. Roirigo A randa dos aniculos m- -perfeccon de la agricultura y ganadería, para que con su lectura se s rtus • i. os núms. 179 y lé’o…</t>
  </si>
  <si>
    <t>Melc</t>
  </si>
  <si>
    <t>repartimiento, por lo coi! no habí* n «I reparto. Primer* especie: relojero!, plateros, diamantistas, lapidario* , abri El Sr. Melc dc; hizo varias obs’rvacion-s, á las qu; contesté el llantadores, esmaltistas, y demás artífices que trabajan en piedras o me Sr. Surra; y habiéndose d-córa do el punto suficientemente d-sculid-^ tale* finos, con tienda ó sin ella, con tal que no vendan mas q…</t>
  </si>
  <si>
    <t>Melcndes</t>
  </si>
  <si>
    <t>…suficientes datos para saber ti ton ciertas ¡a» cela dt 4 del corriente.") reclamaciones contra las juntas diocesanas; pero tí conoce que son jus Leído que fue dicho dictamen, el Sr. Melcndes manifestó que le tas hasta cierto punto, pues sabe muy bien que varias juntas de esta comisión en este no hacia otra cosa que proponer medidas provisiona clase tienen existencias que no han repartido todavía; y en este caso la les , para que los curas p&lt;rrwco…</t>
  </si>
  <si>
    <t>Melcndez</t>
  </si>
  <si>
    <t>…abia, sino que ascen sión no queremos que se fomente la instrucción , y que somos, digá dían á unos 6 9 rs. moslo asi, unos caribes: no , señor : sentimos amargamente yernos en El Sr. Melcndez opinó que no debía dejane expuestos fi la miseria la necesidad de posponer una porción de objetos de cuya utilidad esta á los beneméritos profesores que habían prestado infinitos servicios en el mos íntimamente convencidos: desearíamos dotarlos con prodigalid…</t>
  </si>
  <si>
    <t>Melcndrz</t>
  </si>
  <si>
    <t>…onían : que algunos Sres. gefes políticos estas razones se opuso al artículo. hab an mandato anteriormente con este mismo objeto que se reuniesen D.ipues de haber ina intestado el Sr. Melcndrz que este ni era anti- los pucb os en concejo; pero que lejos de producir el buen resu tado pontr.o ni anti-canónico por l*s disposiciones que en él se contenían, que se espraba, ao había sido asi, por loque no habí» querido la quedó aprobado , habiéndole tamb…</t>
  </si>
  <si>
    <t>Melé, Francisco</t>
  </si>
  <si>
    <t>Francisco Melé</t>
  </si>
  <si>
    <t>…7 de conocida utilidad. nzsiDXKcrA mi ttSot aiava. Se aprobó dicho dictamen en todos tus artículos. La comisión primera de Legislación, en vista da la solicitad da Setion dtl 24. D. Francisco Melé*, vecino de Fiacno-Raao , que pedia carta de ciuda Leída 7 aprobada el acta de la anterior, ae mandó agregar á ella el dano , opinaba que debía accedcne i clin. Aprobado. voto particular de loi Sres. Taboada, lCl-ia, Gom-z y Villaboa , con Se leyó y mandó que…</t>
  </si>
  <si>
    <t>Melend'z</t>
  </si>
  <si>
    <t>…ujetas á las leyes v¡- que se celebró en el jardín botánico de Madrid en 35 de Agosto de ger.li s este año. El aprecio que mereció est: tratadito al benemérito catedráti Ot: 1 del Sr. Melend'z al art: 4 ', relativa á que se dé cuenta á la* co de agricu'tura D. Antonio Sandalio de Arias, y a la comisión de Cortes m tisualm inte del resiftadode astas medidas. censura que le examinó con ias demas obra* que aspiraban á los premias, Otra del Sr. Mutmr 1…</t>
  </si>
  <si>
    <t>Melendcz</t>
  </si>
  <si>
    <t>…y asi que caudación y distribución del medio dieamo; por todo lo cual creía ao debía aprobarse el dictamen. que eran insuficientes las razones que se habian dado para qua no se El Sr. Melendcz contestó que el mismo Gobierno hable anunciado aprobase el dictamen. 4 las Cortes que el arreglo del clero era una de las cosas en que estas El Sr. Isturiz, apoyindose en lo que había manifestado un indivi debian ocuparte: que era bien sabido que el mismo Gob…</t>
  </si>
  <si>
    <t>…ca, y sistema d: amort'zacion ; p ro esr* s stema no es mas sju ■ ahorrar tos in •1 derecho de tercero " tereses V cap ta! que d bian d.-slinirw a1 imple reembolso , v pagarlos Ei Sr. Melendcz cpiníi que con efs-to este asunto d-! :a pasar al juntos otra v z,v &gt;.S. no ha t-n.do presente que con el anterior sis Gcb'erno. tema de amortización s« daba mas desahogo i la tesorería , la cual ao El br. Romero consideró este asunto bs-j tres puntos de »!»;…</t>
  </si>
  <si>
    <t>…l para la m.licia local, había procurado reunir bajo unos cuan con esta adición, y quedó aprobada. tos artículos aqu.i os delitos ó faltas que los milicianos debían cuidar Otra dd Sr. Melendcz para que en el art. 7? te suprimiese la de evitar prir.upiim-rt-*, clasificándolos por el orden que se hizo en la cláusula de igualdad con respecto ai cupo territorial; y para que en el or-1-nano qu- se formó pira los voluntarios de Cádiz durante el sitio art…</t>
  </si>
  <si>
    <t>Melendez</t>
  </si>
  <si>
    <t>…o=M*riano Villa. = mientras los curas estaban pereciendo; ademas que si los músicos eran VaiUibia 4 de Abiil de a Saz. bu-nos, en cualquier parte ganarían para su subsistencia. El Sr. Melendez dijo que en la actualidad se consideraban coma Madrid Miércoles 10 dt Atril' verdaderos ministros del culto todos los que servían en ¡as caled.*íes, CORTES. y por lo mismo debía atenderse á los músicos de las mismas en propor ción á Tos demas ministros. r*BS!…</t>
  </si>
  <si>
    <t>…de uit artículo, en que sin tocarse hará grande oposición, sin embargo de que contaba con estos ingresos. á los repartimientos ya cgecutados, solo se dispone que se haga el de El Sr. Melendez manifestó qne si algunas juntas diocesanas no habian las existencias que actualmente hubiere recaudadas. pagado la parte correspondiente del subsidio, habría sido porque no h*. El Sr. Seoana: He tonudo la palabra solo para decir que el artículo bian podido ,…</t>
  </si>
  <si>
    <t>…eral. Ya he dicho dias paaadoa que esta era una cuestión estola y píe de a*tar qne perciban los párroco». delicada; pero al fin cuando se entra en ella es imposible dejar de ha El Sr. Melendez manifestó que por este dictamen no se trataba da cer algunas reflexiones. Ahora se ve, que set por demasiada buena fe, derogar lo que csuba mandado por el decreto de iy de Junio ú timo, í bien sea por otras causas, y sin que trate de agraviar á la» ¡untas dio…</t>
  </si>
  <si>
    <t>…lo* estos derechos. Por estas razones opinó no debia liberar sobre ella. aprobarse el dictamen que se discutía. El Sr. Salvl dijo que estaba conforme con lo que babia manifesta El Sr. Melendez apoyó el dictamen, manifestando qne la comisión do el Sr. Buey, y que por lo mismo te sorprendía la diversidad da opi no habia podido menos de proponer que subsistieran la* juntas dioce niones que habia en la materia, pues que según la rg.* facultad que la sa…</t>
  </si>
  <si>
    <t>…nde no tienen sus El Sr. Valdés se opuso i este artículo, manifestando que estaba muy beneficios.*’ bien fuesen admitidos en la milicia desde la edad de 18 años; pero que Otra del Sr. Melendez: » Pido i las Cortes que en el art. i.° se afia no debía obligárseles á servir hasta los 20 ; y que sí habiendo cumpli da la pa'abra cón- -uos , y que s- exceptúen de la residencia los capella do lo* 45 años de tu edad quisiesen continuar en el servicio por t…</t>
  </si>
  <si>
    <t>…podían suplir ves observaciones, á que contestaron los Sres. raavedra y Zulueta; en en lo posible á estos. cuyo estado se tuvo ei asunto por suficientemente discutido , y quedó El Sr. Melendez fue de opinión que debía procurarse i lo menos ei aprobado el art. 35, añadiéndose - su fiial ■ » Si no reuniesen La dos tes guardar proporción en los repartos de los pueblos , porqu* de este modo teras partes de los votos de los electores. se hacían mas llev…</t>
  </si>
  <si>
    <t>Melendéz</t>
  </si>
  <si>
    <t>…a y frutos que conducen los expresados buques; por lo cual el adoptar la forma de elecciones que proponía. Gobierno de esta tshr no permite su salida hasta que se aliste el con El Sr. Melendéz se opuso al se rení» de elecciones propuesto por la voy que para Cádiz debe dar la corbeta Alaría 1sutil.” comisión, por la razón de que solo d be u&gt;arse de compromiso; ios cuan do no puede haber elección directa, porque era claro que aquella forma Madrid Lun…</t>
  </si>
  <si>
    <t>…sujetarse-i lo* egercicio* qu* se previenen en la mia Forma m qtu tt lr« dt arreglar las antigüedades. ña orden.” Art. t.s » Las antigüedades de todo* los individuos que gotas El Sr. Melendez se opa» i esta artículo , porque lo* párroco* cas empleo en el egército constarán deade la fecha de sus últimos despa trenses en el hecho de acr admitido* por oposición quedaban consti chos ó nombramiento*. Y en caso que sean de una misma, se dará In tuidos e…</t>
  </si>
  <si>
    <t>…e estos gozaban de Se cree que cada una de «tas tres divisiones se compondrá de 1 o? unos sueldos de mucha consideración. hombres. El Sr. Qaliano, contestando á la observación del Sr. Melendez, dijo __ En una caria de Bayona se dice: » Los refugiados españoles que que no era suficiente la razón que S. S. había expuesto para que se pri se hallan en gran número en esta ciudad están temiendo recibir or vase á los retirados de parte de sus sueldos, por…</t>
  </si>
  <si>
    <t>…o son de este Se declaró en seguida el asunto suficientemente discutido , y quedó lugar, y se sirvan solo impugnarlo directamente. aprobado el art. 1que presentaba la comisión. El Sr. Melendez ; El á t enlo que se discute, después de suprimir Se dió cuenta de haber nombrado el Sr. presidente para componer |a comisión la palabra indirectamente sustituyendo las de fautores, la comisión especial que ha de informar sobre la exposición de Don auxiliador…</t>
  </si>
  <si>
    <t>…Navidad. so. Se mandó pasar á la comisión que se nombró ayer. Se mandó pasar á la comisión especial nombrada para, el examen INCIATBIZA. de la memoria del Gobierno una adición del Sr. Melendez zl art. t.° Lándrct 15 de Octubre. de su dictamen, que se aprobó ayer, relativa á que al deten.da no esté Mocho han extra fiado varios políticos el lenguage que usa el Cou» en la carecí pública. tirr en el párrafo siguiente: » La reunión del Congreso, dice, p…</t>
  </si>
  <si>
    <t>…que las Cortes lo habian Duodécima. Para continuar las obras de los canales que se crean mas decretado asi. ¿tiles se concedieron tres millones en el presupuesto ordinario. Aho El Sr. Melendez expuso que los canales y caminos ademas de ser ra pide el Gobierno otros cuatro, y la comisión se halla en el mismo unas obras de pública utilidad eran el m?jor medio de proporcionar caso de considerar que la posibilidad no corresponde á los deseos. Con su su…</t>
  </si>
  <si>
    <t>…prueba lo factible qu* sa de la insurieccion de algunas provincias, ó por otras varias causas. es el que se realice el cálculo de la comisión. En cuanta á lo que ha manifestado el Sr. Melendez diré que mien Dice el Sr. secretario del Despacho con respecto al tercer punto, tras que las Cortes no aprueben ó desaprueben el dictamen de la co que el menos valor que probablemente tendrán las rentas decretadas misión , esta no podrá proponer á las Cortes…</t>
  </si>
  <si>
    <t>…s á propósito por tus conocimien ta cuenta v"razón pira los correspondientes abonos.” Aprobado. tos y calidades.” Alt. 60. •, En todos c.tos puntos cumplirá el ayuntamiento con El Sr. Melendez: Yo quisiera que tos Sres. de la comisión expresaescrupulosidad las ó den-* que reciba de la diputación provincial, ó ara terminantemente en este artículo que los ayuntamientos no quinan del ge fe político cuando aqu l'a no estuviere reun.da.” obligados i hac…</t>
  </si>
  <si>
    <t>…res: juzguen pues las Cortes corno cultad de hac-r una tercera instancia , que podría ser á las Cortes. ce aumentaran estas dificultades si se les da á los deudores la facultad El Sr. Melendez: Aunque estoy conforme con el artículo , desea de sacar moratorias. Asi pues yo me opongo i este artículo por los ría sin embargo se dijese que las dudas de hecho que ocurriesen sobre perjuicios que ocasionaría. los ramos de que en él se trata, se resuelvan p…</t>
  </si>
  <si>
    <t>Melendez, Gómez</t>
  </si>
  <si>
    <t>Gómez Melendez</t>
  </si>
  <si>
    <t>…tarlo» que no puede discutirse un proyecto de materias tan heterogéneas mientras aprobar dicho dictamen. no se divida en otros diferentes, según los puntos que abraza; esto es, El Sr. Gómez Melendez manifestó que no debía aprobarse ei dic mientras no se divida en' tres el proyecto que se discute: i.*' proyecto tamen de la comisión, pues de lo contrario habría un motivo para que de fiestas; i.° proyecto de matar lobos , y 3.0 proyecto sobre presu se multi…</t>
  </si>
  <si>
    <t>Melendrz</t>
  </si>
  <si>
    <t>…están haciendo servicios im Punto 5.' £ Véase la faceta de ayer. j portantes; asi que, el artículo debe aprobarse. Después de una ligera discusión quedó aprobada esta paite del El Sr. Melendrz: Aplicar á las armas á estos hombres que han sido dictamen. seducidos, como conviene en ello la comisión, seria lo mismo que Punto 6.a (.Véase la misma paetta. ) Aprobado. imponer una nueva contribución á uno que hubiese sido robado; y asá Punto 7. (1 case la…</t>
  </si>
  <si>
    <t>Melenpueblo, Andrés</t>
  </si>
  <si>
    <t>Andrés Melenpueblo</t>
  </si>
  <si>
    <t>…a santa iglesia de Sevilla, acudirán á la escribanía de Cá brillantes el interior de la» familias, la vida social, el carácter del mara del tribunal supremo de Justicia á cargo de D. Andrés Melenpueblo, aun en las clases mas bajas; el estado de la instrucción publica, dez á enterarse de un negocio que les interesa. al de la religión y el de la tolerancia religiosa; la industria , al comer JA* *• 7*° número del 7.® trimestre (tft de la colección) de cio , la…</t>
  </si>
  <si>
    <t>Melerdez</t>
  </si>
  <si>
    <t>…discute, y en caso de proponerse alguna med.da debe ser para lo bien cuan embarazosa es esta operación. sucesivo. Hay diócesis en que habiendo asignado á lo* curas párrocos 600 El Sr. Melerdez: Es preciso que el Congreso tenga presente que es ducados y 400 á los vicarios, han faltado yod rs. para pagar estas do tamos ya en ¡a mitad del año deipues del de 21 , y por cnr’óguier-.te ¡a taciones: tal ha sucedido en Ciudad-Rodrigo. Digo esto para que se…</t>
  </si>
  <si>
    <t>Melero, Antonio</t>
  </si>
  <si>
    <t>Antonio Melero</t>
  </si>
  <si>
    <t>…Josef de Cantío, D. Josef M. Rerortillo, D Jcsquin de Trueba, Don Primeros exudantes. Juan Martínez Gatica, D. Cirios Carrera, D. Domingo Ranee!, Den Alicante al capitán graduado D. Antonio Melero, segundo ayu Luís Crosa y D. Matías Olave, declaró no haber lugar á la formación dante del regimiento infantería de León, con 670 rs. de sueldo que de causa por ocho votos contra uno, que io fue el L&gt;. Domingo Ran disfruta. ee! , que estuvo pos la afirmativa.…</t>
  </si>
  <si>
    <t>Melgarejo</t>
  </si>
  <si>
    <t>…elto deshacerse la provincia, solo hay que admirar el infatigable zelo y actividad, con de todos los visires poderosos de su imperio. _ Se habla de encuentros que asi el expresado capitán Melgarejo como los valerosos Romero entre turcos y rusos, y dicen de Constantinopla con fecha de 11 de y Blasi del primero de Cataluña, y el teniente del mismo .regimiento Abril que el 5 habia dado la vela el capitan-bajá. Su escuadra se compo Francés, con el subtenien…</t>
  </si>
  <si>
    <t>Melgarejo, Rafael</t>
  </si>
  <si>
    <t>Rafael Melgarejo</t>
  </si>
  <si>
    <t>…ta de algunos expedientes, y te levantó la sesión. do efte acto religioso, salió el ayuntamiento precedido de la música Idem del 7. marcial, y acompañado del capitán de artillería D. Rafael Melgarejo, En esta sesión se discutió el dictamen de la comisión da Hacienda, los vicario* y otros eclniásticos, el piquete de la milicia y el pueblo, en que proponía un empréstito y lo* medios que creía mas eficaces para dirigiéndose á la plaza de la Constitución , do…</t>
  </si>
  <si>
    <t>Melgares, Manuel María</t>
  </si>
  <si>
    <t>Manuel María Melgares</t>
  </si>
  <si>
    <t>…operacioa tan interesante í prat'tud por las honras y distinciones que se le habían dispensado, todos ellos, se servirán presentar ante ella por si, ó por medio de apo dispuso que D. Manuel María Melgares, 4 quien sus condiscípulos ha derado para el día sg de Agosto próximo, é recibir las instrucciones bían designado para que 4 su nombre diese las gracias al cuerpo pa conducente* á fin de practicar esta operación. triótico , lo verificase, como lo cgecutó, en…</t>
  </si>
  <si>
    <t>Melgares, Manuel Maríe</t>
  </si>
  <si>
    <t>Manuel Maríe Melgares</t>
  </si>
  <si>
    <t>…a fa dió principió el 5 dt Noviembre último , te hallaban dispuestos para vor ds los seis pares católicos que estaban excluidos por ciusa de su re disertar D. Pedio Pab'o Márquez, D. Manuel Maríe Melgares, Don ligión. Eí triunfo de la justicia, de la razón y de la humanidad iba i Benito Serrano, D. Juan Biutista del Rio , D. Francisco Javier Jimé completarte......La Cámara Alta había oido ya sin oposic on su prime nez de Bagues, D. Antonio Medrano , D. Leoncio…</t>
  </si>
  <si>
    <t>Mella, Rosa</t>
  </si>
  <si>
    <t>Rosa Mella</t>
  </si>
  <si>
    <t>…ro ó sus herederos 231 grandes. (aale* 7 4 mrs__La de D. Gregorio Bermudez Pimental 760 rs. 7 6 Estas literas ceremonias provinciales desaparecen 4 la viso de le Maravedises—La de Doña Rosa Mella de loa Ríos 1212 rs. 7 so maetiqueta déla corte, descrita por los holandeses,.quienes experimenta tavediscs__La de Dofia María Zuarez Analta 180 rs. 7 8 mrs—La de ron le muy divertida que es. Primeramente los hacían echar boca Kernanciez 7 López 314 rs. y 9 m…</t>
  </si>
  <si>
    <t>Melleville</t>
  </si>
  <si>
    <t>…mbre de 1810, Ei Rey de Inglatarra ha convalecido de una ¡nd:sposicion que por los devengados hasta fin de Junio anterior; y que desde i.° de Ju tuvo por eapacio de unos dias.__AI lord Melleville le ofrecían el go lio siguiente están comprendidos en la tar fa genera: an. ia al decreto bierno de la India: se ignora ti lo aceptará._Se ha reelegido para lord de las Cortes de a ó del propio Junio, en que se ord-na qu: los em corregidor de Lóndre* al alder…</t>
  </si>
  <si>
    <t>Meló</t>
  </si>
  <si>
    <t>…tx* , y asi lo decre lo segundo porque ninguna responsabilidad puede ser extensiva á loa taren las Cortes. diputados de Cortes en razón á que solo los constituye la legitimidad El Sr. Meló manifestó que el decreto que había cirado el Sr. pre de los poderes. opinante. no estaba vigente , como podía verse de la contestación que El Sr. Munarriz dijo: El egercicio de las poderes te suspende cuan dió la Diputación permanente de las últimas Cortes á…</t>
  </si>
  <si>
    <t>…o lo permite ; y por lo ruismo se dabe aprobar el dic Otro de la misma para que se desestime la solicitud de Doña Mar tamen de la comisión. tina Zamora , qu: pedia una pension. El Sr. Meló: Creo que no tiene lugar la nueva elección pretendida Oiro de la misma sobre que se declare no haber lugar á deliberar por lo. Sres. de .'a comisión, porque esta no se puede verificar mien- sobre ia solic.tud del maestro armero del regimiento de Fernando vti…</t>
  </si>
  <si>
    <t>…moscas, pero que se rompen pot los dó luego que el ayuntamiento le dijo que el asunto era contencioso. moscones. Por tanto opino que no se debe aprobar el dictamen de la comisión Sr. Meló: Habiendo oido á los Sres Falcó y Valdés es casi inútil actual , y sí el de la comisión de las Cortes anteriores. que yo use de la palabra. Sin embarco d.ré que se nota un singula El Sr. Alix: El Sr. preopinante para sacar á salvo al gefe político rísimo cont…</t>
  </si>
  <si>
    <t>…niente retirarlo. 1624..... 120$.................. ..... En Madrid. El Sr. Villanueva: Luego que h: visto el dictamen analizado por *S»59...... 4o9....................... Idem. el Sr. Meló , me he convencido de que el defecto que pudiese haber en 8895..... 409....................... Idem. estos procedimientos de ningún diodo podía resultar de este expedien *«&gt;473..... ao9.................. .... Idem. te. Esta razón me ha determinadb'á proceder…</t>
  </si>
  <si>
    <t>…. En las provincias donde aun no se han puesto los jurado de calificación con arreglo á la ley existente. censores reales no se permite introducir , leer ni vender impreso algu El Sr. Meló: Me parece muy ocioso tratar de persuadir á las Cor no de ninguna especie. Hasta los mapas de geografía para ci uso de los tes de las grandes ventajas que presenta la libertad de imprenta, pues viageros se hallan comprendidos en esta probibiccion. Sin embargo…</t>
  </si>
  <si>
    <t>…isioo no hay dificultad en esta parto; pero la» que ha hecho el sefior la comisión convino con «ata enmienda. Ferrer, auuqii» justas para otros casos, ao deben impedir clque se Ei Sr. Meló pidió que donde dice fritura 6 segunda w* se dijese adopte el dictamen de la comisión, pues como yo ya be dicho, siempre primera y irtunda vez , en cuya enmienda convino la comisión. queda persona responsable, y no se puede evitar el que se suponga au Discuti…</t>
  </si>
  <si>
    <t>…de im rarse los dafios que haya causado el impreso, ó pueda causar asan des prenta aclaraba mas este punto ; y leído que fue este artículo , man Tes pués de muerto su autor. tó el Sr. Meló que no tenia na-ds que decar, por lo cual se declaró el El Sr. Meló: Este artículo me parece poco justo, porque no hallo asunto discutido, y se aprobó la solución de que se trataba. yo mes raisa para que lo» heredero» del autor que he fallecido tenasn Ls ccms…</t>
  </si>
  <si>
    <t>…en vista de loa presentados por D. Antonio Tarifa, y sin embargo no son provincias; en fin, los argumentos dd del Valle Castillo, diputado electo por la provincia de Puerto-Prínci Sr. Meló son todos negativos, y nada valen cuando hay uno positivo. pe, y el acta de su elección, fue de parecer que la elección se bebía he Pero prescindiendo de esto, la principal dificultad está en ti se ha ¡acho conforme á lo que prevenia la Constitución, y que po…</t>
  </si>
  <si>
    <t>…M de las Cortes , segun en el mis en este caso no se puede deducir la cons-cuencia que ha pretendido sa mo te previene. Y por último propon ia la comisión que para la entra car el Sr. Meló. Abora se dice que el Gobierno proceda á proveer la* da á los juzgados de primera instancia no obste la falta de goce de suel plazas en aquellos sugetos que gocen sueldo, haber ó pensión por el do , siempre que coneutra la calidad de adhesión i U iodepenletic…</t>
  </si>
  <si>
    <t>…enia toda la so que te inscribiesen los nombres de las 17 victimas, lo que pereció que lemnidad que en de desear. causaría mucha deformidad en la lápida. Después do haber hecho el Sr. Meló algunas brevet observación^ A petición del Sr. Becerra se leyó el decreto de 1$ de Setiembre de á las que contestó el Sr. Galiano , se declaró este asunto suficiente 1810. mente discutido , y quedó aprobado el dictamen de la comisión , va El Sr. Inftnte pidió…</t>
  </si>
  <si>
    <t>…ue fue porque no tuvieron tiempo, porque bien conocidas son las cirse fai proftsot m»tu dt Marzo dt liso. grandes y ixtiaordinatias reformas que en otros ramos hicieron hasta . El Sr. Meló: Ounoaco las grandísima* utilidades qua ha «le reportar arrancar los abusos de raíz. el dictamen de la comisión , á que ha dado origen la proposición del se- Esta consideración me ha inducido i persuadirme que aquella co Sor Gil Ordufia- Sin embargo tengo que…</t>
  </si>
  <si>
    <t>…le del corazón humano puede tal vez de las Cortes , creo que estas se hallan en el caso de aprobar el art. 1 haber algún carácter de maledicencia y algún síntoma de una especie El Sr. Meló hizo varias observaciones acerca de la palabra general de furor por zaherirá los demas; pero Sefior, vindíquémotle en esta deque se usaba en el artículo, y asimismo sobre la clasificación de parte , y confesemos que aunque haya algunos hombres que teniendo el…</t>
  </si>
  <si>
    <t>…gó á los gefes políticos que diesen patte del estado en que se uno en el distrito de cada audiencia.” hallaba el finiquito general-de los fiando* municipales de sus respectivas El Sr. Meló : Por este artículo parece que se trata de hacer una vi provincias, y procediesen con rigor contra los alcaldes y ayuntamientos sita general en todos los tribunales, y la comisión ha convenido ya que dentro del mismo mes no presentasen las cuentas de propios…</t>
  </si>
  <si>
    <t>…en el terrítorío de la audiencia que hayan de vi sección de la secretaría de aduanas, Juan Pedro de Barrencche.^ Francisco de Neshira. sitar.” Se leyó la siguiente proposición del Sr. Meló, que fue retirada por EMPRESTITO NACIONAL. su autor: •» Pido que las Cortes declaren terminantemente que los iuecea y magistrados no están comprendidos en el decreto de de Marzo los interesados en él, cuyos resguardos interinos tengan los núme ros desde el 17…</t>
  </si>
  <si>
    <t>…habido otra ocur pero no podrá verificarlo ni aun dentro del término de 15 días, por rencia. (h continuará.) los muchos papeles que tiene que examinar , como ya lo ha indicado el Sr. Meló. Yo tuve el honor de decir á las Cortes que en mi dictamen Madrid Sábado ay dt Abril- particular no se necesitaba un examen tan prolijo como el que hace la comisión; esta es opinión mis, y nada mas; pero sin embargo diré qus CORTES. no se puede señalar términ…</t>
  </si>
  <si>
    <t>…tos que á las once de ayer, á dos legua, d= Ay amonte, lo llamó el bergantin const racionales. insurgente , y le echó á bordo los a 3 pasageros pertenecientes i tres em Y otra dei Sr. Meló, pidiendo que en atención á tener noticia de barcaciones que había apresado, que son el quechemarin Sta. Ana, ca que el comisionado det Crédito público de Búrgos estrechaba á ios cu pitán D. Francisco Antonio Larrínaga,de Saioupara el Norte, el lugre na y ben…</t>
  </si>
  <si>
    <t>…gunda y al fiscal de Gracia y Justicia contrayéndose á este obj.to, y tratando única que propuso la consulta. mente de ilustrar á las Cortes , no aventuraría un hecho ni una ex El Sr. Meló, después de manifestar que la conducta del Sr. Galiano presión que pudiese comprometer su decoro. Si las Corles quieren en la anulación de las elecciones de ayuntamiento de Lucena era muy saber esta misma mañana cuál es el verdadero estado de este negocio, ra…</t>
  </si>
  <si>
    <t>…modo de entender , ha confundido lo que es popular. 3 ° Subre asesinatos, robos y salteamiento en caminos.” una visita con un proceso, y ha dicho S. S. que d.biamos despreciar El Sr. Meló dijo que según lo acordado por las Cortes en la discu e,tas causas. A la verdad yo encuentro una gran diferencia en despre sión de los primeros artículos de este dictamen , la visita no debía ser ciar las causas, y que los delitos queden impunes. Aquí no se t…</t>
  </si>
  <si>
    <t>…sito al interesado; pero concedida 7 verifi votar sobre la totalidad del proyecto. cado el examen, si *1 interesado saliese reprobado perderá por primera Se leyó el art. i.°, 7 el Sr. Meló dijo: No sé qué motivo* haya te vez la mitad del depósito, y el todo al segundo examen, que podrá re nido la comisión púa no proponer ea este artículo , que cuando un jo petir dentro de aeis mese*. ven por tu aplicación , por su talrnto ó por una buena direcc…</t>
  </si>
  <si>
    <t>…ad lasprovincialpob acionesde deBúrgos,'la Huelgasobrey lael necesidadHospital dedel reaairRey. á uqaelta jr de la naturaleza, cuanto porqué eairiva en ta voluntad y en la elec El Sr. Meló manifestó qu; era muy importante se diese ■ ción de la nación. Este Gobierno se compone del cornejo egecotivo f don tobre este asuato , por lo cual p día. a las Cortas lo i del poder legislativo, siendo independiente de ambos el podar judicial*. anr con urgen…</t>
  </si>
  <si>
    <t>…rias observaciones en apoyo del dictamen, y con voto» contra ó-*. cluyó diciendo que las Cnit.s debían aprobarle. Lo» Sr.». que le aprobaron fueron Salrf, Sa.;v.&gt;dra , ón-n , TuEl Sr. Meló: lie pedido la palabra no para apoyar el voto particu marejo, Dom.-i: ch , Luqui, iórra , Ru 1 de ia Vera , M rcr . ’!»lar del Sr. Alcalde, cuyas razone* no *e han desvanecido , ni t-iupoco r.ntefRoj», Baruaga, Ció O d uña , léico, Canga, S-ptcn, i para repro…</t>
  </si>
  <si>
    <t>…io de loa males que se nnn txp.r-m . run irn^an oidoTon .grados y que pasarse 4 l» com.siou pr.mera de Ha- do por el modo con que se quiere llevar s electo el decreto r finjo.” El Sr. Meló expuso la» varias razones y motivos qUe t n a pír» hiCieBS*'dió cuenta de una exposición del moro Capul Muza, cidetede cer esta proposición; y se tuvo por primera lectura la que %c helua hecho. 3 *• j d&lt;* Outs* v&gt;!ic»i*n&lt;4o ei pde La segunda comisión de Hacie…</t>
  </si>
  <si>
    <t>…asunto que la putarlos , hecha con objeto de que se inscribiese en el salón de Cotíes está encomendado. el 1 onibre del ilustre patriota Acevedo , opinaba que atendiendo á los El Sr. Meló: Estoy muy conforme en que se apruebe la proposición mé tos de este heroico individúo , como á las circunstancias que en él del Sr. Surra, porque estoy muy interesado en qua se atienda con bre se reunieron de ser el principal caudillo en la insurrección patri…</t>
  </si>
  <si>
    <t>…eral, para que, si no ex mente tenga pedida la palabra, sin perjuicio deque después conti clusivamente, á lo menos con la posible preferencia, se ocupe de ellos núe su discurso el Sr. Meló. el Congreso, y se logren todas las ventajas que él mismo se ba pro El Sr. Fs'có: Estoy muy lejos de reprobar absolutamente las so puesto al votar el mes de próroga.” ciedades patrióticas, donde se ilustran los ciudadanos, y se discuten Después de una ligera…</t>
  </si>
  <si>
    <t>…e político ha co y terminante, y que de consiguiente ha sido infringid*. De los seño metido un acto contrario á la letra de la ley , y por consiguiente es res preopinantes solo el Sr. Meló ha impugnado el dictamen de la responsable: todos los argumentos que se han hecho á su favor podrán comisión, pues los demas no han hecho otra cosa que atacar á la servirle en su defensa judicial; pero de ningún modo demostrarán que ley de sociedades, lo que…</t>
  </si>
  <si>
    <t>…sobre 1 a mesa. Sesión ordinaria del 33. Se leyeron por segunda vez, y mandaron pisar á la tim.uon de Se leyó y aprobó el acta de la anterior. Legislación , unas proposiciono del Sr. Meló , relativas a la sucesión de Lr comisión de Diputaciones provinciales presentó lot siguientes lo» b'cnes de capellanías de sangre, muertos los actuales po^eedo e» dictámenes. Asimismo se leyó por segunda vez, y se mando pa^ir a la corriUno sobre la exposición…</t>
  </si>
  <si>
    <t>…a exposición del ayun acalorando los ánimos, sembrando sospechas, y conduciéndonos apre tamiento de Lores. suradamente 4 la situación en que no» encontramos. Mas 00 es del caso El Sr. Meló manifestó que las Cortea debían mandar leer la ex hacer ahora la historia de nuestros desastra pasados: sí solo manifestar posición de que se trataba con los documentos que la acompañaban, y los que al presente nos amenazan, su* mas inmediata causas, y ios da…</t>
  </si>
  <si>
    <t>…an mas las del plan de contribuciones, teiat.voá la tenta de tabacos. facultades concedidas por el anteiior , sin considerar las dificultades y Se dió cuenta de una exposición del Sr. Meló, er- la que manifes entorpecimientos que se oponían á la ccbrarza de las contribuciones: taba que pertenecía á la comisión encargada de examinar el estado polí que en algunas partes se habían cometido tropelías con los ayunta tico del reino , á la cual no hab…</t>
  </si>
  <si>
    <t>…erse el legislador en un reglamento de po El í¡r. Isturiz formaba también voto particular sobre el mismo ar licía. tículo, proponiendo la extinción total de monges 7 regulares. El Sr. Meló: El Sr. preopinante que ha impugnado el epígrafe no Igualmente leyó el Sr. Gal ¡ano el proyecto sobre sociedades patrió se ha hecho cargo de que á la comisión solo tocaba el prescribir ciertas ticas , cuyas disposiciones se reducían á lo siguiente: reglas par…</t>
  </si>
  <si>
    <t>…ar un artículo de ia ind,cades fines. En este supo si, se podría sup- :n r uno de lo» dos arConstitución. tícu.os , pu s que son lo mismo , con la d.Ur:r.cia de las paí-bra» en El Sr. Meló: Si en este artículo se hubiese puesto á la letra un ar que están er pr.s .dos. tículo de ia Constitución, no hay duda que en este caso no se po isl Sr. M.loi El artículo 2.0 es una consecuencia de! 1porque dría votar; pero aquí lo qne se ha hecho es ampliar…</t>
  </si>
  <si>
    <t>…tenia toda la tenian la vara que llamaban de justicia, y cualquiera que la viese sabia que era necesaria. que el individuo que la llevaba pertenecía i la justicia; y aunque po El Sr. Meló 1 La observación qua ha hecho el Sr. Romera por mi día suceder que alguno la usase sin facultad para elio, estaba por el parte la encuentro muy juiciosa, y creo que la comisión debe adoptar mismo hecho sujeto á las penas de usurpación de autoridad. la. En cua…</t>
  </si>
  <si>
    <t>…ividad y energía que en grande ha tomado el nuevo m'.n -.ter.c es primirse la segunda parte del artículo. imitada por las autoridades principales y demás subalternas de la; pro El Sr. Meló: La comisión está muy distante de creer que el comer vincias en sus respectivas at ibuciones, no tardar! mucho tiempo rn jr beber en la habitación del dueño desuna casa pública sea un delito, verse nuestra libertad sin enemigas que la combatan abicitam r.ie,…</t>
  </si>
  <si>
    <t>…o en este artículo, procurando evitar en lo te ; pero i pesar de esto no se le puede conceder el perdón. posible los abusos , y con esta intención ha admitido en parte la pro • hl Sr. Meló: Si el artículo que se discute se limitase á decir: » No puesta del Sr. Aiüon. No se diga que no se d:b:n conceder perdo podrán las diputaciones provinciales conceder perdón de las deudas en nes; estos ton muy necesarios, pues á nadie pueden ocuirerse Jas des…</t>
  </si>
  <si>
    <t>…as publ cas de i» orcVibcia , y promover, ha. en s: hagan por las secretarías de la» diputación» provinciales. dolo presente ai Gobierno, la construcción de otras nuevas, y muy El Sr. Meló: Este resúm a no es ni pu-de srr otra cosa mas que aeña’a jam nte ias de camine- v canales de navegación y de r¿eg..." una cu-nta general, y por lo mismo no creo qu: puedao llenarse los Ei Sr. Isturiz : Yo no ter.cré inconveniente en aprobar este ait.culo de,…</t>
  </si>
  <si>
    <t>…Sr. López del Bailo.que el reglamento de policía era bas cumplimiento, ó de advertirse otros defectos. tante para llenar esta cíate de servicio público; pero la fuerza que este El Sr. Meló: Yo quisiera que las diputaciones provinciales pasasen decreta no está formada; cuando te haya de crear coincidirá mucho en el expediente con la falta que resultase cometida por los ayuntamientos, su creación con la que se propone en este dictamen ; pero las…</t>
  </si>
  <si>
    <t>Meló, Lucas Oca y</t>
  </si>
  <si>
    <t>Lucas Oca y Meló</t>
  </si>
  <si>
    <t>…a este servicio; pero aun cuando esto aprobarse lo* poderes de este Sr. diputado. Aprobado. se verifique no por eso deja de ser gentilhombre. Este es verdadera Burgos v Santander. D. Lucas Oca y Meló, D. Manuel Flores Cal mente un destino, puesto que se pretende , se renuncia, y puede ser ju derón, D: Manuel Herrera Bustamante, D. Antonio Martínez de Ve- bilado el que lo disfruta. Fuera de esto todos en palacio han visto que lasco, D. Elias Alvarez y D. T…</t>
  </si>
  <si>
    <t>MelóMe</t>
  </si>
  <si>
    <t>…io. a’.z'.d ;s hacrr os sumar: es, porque co resp'tarlos y obedecerlos, como autoridad legítimamente constituida.” mo no en todos 'r&gt;¡ y.1 Líos !:.y -s preciso r.c prrd-r un mo El Sr. MelóMe partee que no esta este artícuio en armonía con lo mento en sem j.n’rs ce .stores. ■» -n etc'ar, o , en mi opin.on d.brria que se dispone en el código p'r.ai respecto de los que no presten au redactarse el artícuio en estos térruir. : « En ros pueblos donde n…</t>
  </si>
  <si>
    <t>Melvilk</t>
  </si>
  <si>
    <t>…o de hombres como d: dinero, para hacer la muerte del marques de Loodonderri te volvieron á Lóndrea Mr. ” frente á las urgentes necesidades del hm/h», y desembarazar cuanto Peel y lord Melvilk. Se aseguraba que el duque de Wellmgtoa iría * antes la Nación de las bandas de faccioso* que infestan sus prov.uá Viene, jr Mr. Bathurst reemplazaba interinamente al difunto mar »cia$ fronterizas. 1.J Arreglar negocios sumamente interesantes con alque, en su…</t>
  </si>
  <si>
    <t>Melville</t>
  </si>
  <si>
    <t>…que Mr. Canning que te hallaba fuera de Lóndres. Se trataba de saber quién pareces. reemplazaría ahora en el gobierno de ia India i Mr. Canning , y de signaban para me deslino al lord Melville , y en el ministerio de esta El dia 16 del corriente salió del puerto de la Corufía la goleta cor entrar» el lord Coichester. reo nombrada Cralga , con la correspondencia pública y de oficio para Se habla de cgéicito» en Alemania, en la Bohemia y en la Prutía…</t>
  </si>
  <si>
    <t>Men</t>
  </si>
  <si>
    <t>…ía que habiéndose encontrado entre estos un retrato dt cusación motivada pudiera admitirse en cualquier jurado, ya fuese de S. M. el Rey, otro del Sr. Infante D. Cirios y otro del cardenal Men acusación , ya de calificación , porque todo lo que sea favorable á la li doza, no parecía decente que se vendiesen con los demas enseres, lo bertad de estos juicios es conforme á la ley de as de Octubre. cual hacia presente á las Cortes para que se sirviesen…</t>
  </si>
  <si>
    <t>Mena, Ramón</t>
  </si>
  <si>
    <t>Ramón Mena</t>
  </si>
  <si>
    <t>…tuales instituciones, be mandó pasar á la comisión de Hacienda. pago podían hacer en papel de crédito con ínteres, según el decreto de A la misma pasó una solicitud de la viuda de D. Ramón Mena, las Cortes Je 9 de N..vimbre de 1810, cuidó particularmente de ofi regidor que fue de Barcelona , sobre q ir se la continuase pagando la ciar á los comprendidos en dicha lista; pero el ignorarse la residencia pensión que la habia concedido la d.putac.on prov…</t>
  </si>
  <si>
    <t>Mena, Ventura</t>
  </si>
  <si>
    <t>Ventura Mena</t>
  </si>
  <si>
    <t>…rden al comandante coronel retirado__D. Josef Tab-rrní, teniente coronel del primer re- laili, y aun que me av.»a»e para (tasar yo personalmente á presenciar imiento de artillería—D. Ventura Mena, mayor de la plaza.__D .n la ly ueon, osmo en este momento que acaba de regresar dicho cu f rancisco Cemprodon, de la misión, subprior, con un individuo de ca! n:: ha man .testado que desde una sola ventana t.raron un uro en dicho convento.—D. Josef María ian…</t>
  </si>
  <si>
    <t>Menchaca, Francisco</t>
  </si>
  <si>
    <t>Francisco Menchaca</t>
  </si>
  <si>
    <t>…ifunta muger y madre respectiva como camarista que fue del Infante D. Pedro. El comisionado principal del Crédito público en esta provincia, lue Se dió cuenta de una exposición de D. Francisco Menchaca, co go que recib.ó la lista formada por la contaduría general de Valotes, mandante de batallón, sobie que se le indemnizase de las pérdidas que demostrando las casas de grandes y títulos que se hallaban en descubier habia sufrido con motivo de hahé.seis forma…</t>
  </si>
  <si>
    <t>Menchaca, Martin González de</t>
  </si>
  <si>
    <t>Martin González de Menchaca</t>
  </si>
  <si>
    <t>…comunicado órdenes muy impor A la comisión de Visita del Crédito público se pasó una exposición tante» acerca da la declaración de guerra de la Rusia á la Turquía que del teniente general D. Martin González de Menchaca, en la que ma por momentos u esperaba, y que el Gobierno trataba de enviar una nifestaba que debiéndosele haber entregado por la capitalización que hitescuadra al Mediterráneo. _El dia t subieron considerablemente los bia verificado 14 anualidades, solo se le…</t>
  </si>
  <si>
    <t>Menczo, Marcos Antonio</t>
  </si>
  <si>
    <t>Marcos Antonio Menczo</t>
  </si>
  <si>
    <t>…la mañana. í-i coman mingo Fernandez \ngu!o, D. Pedro Matute, D. Jos f Antonio Pondante D. Manuel Arengo, qu; iba á la vanguardia con 24 soldados del zoa , D. Josef María Puente, D. Marcos Antonio Menczo, D. Juan b¡: ilion d*«liarb.isiro , se encontró con los facciosos en Coll-sacreu Francisco Travesedo y D. Carlos González Llanos. sobre Sagit c.-, y los peisiguió h.sU la sierra de Vila lamiras: los faccio Habida ¡a conferencia, se declaró por unanimidad habe…</t>
  </si>
  <si>
    <t>Méndez, Juan Antonio</t>
  </si>
  <si>
    <t>Juan Antonio Méndez</t>
  </si>
  <si>
    <t>…s , lodos lot absurdos que te forjan en París. mrs. La representación de I). Lucas Navarro 1536 rs. y 8 mrs. La da El Diario de Francfort es general en todo el Norte entre los ale D. Juan Antonio Méndez 2 206 rs. y 5 mrs. La de Doña Mar.a Josefa manes que saben francés, y el Corresponsal de Hamburgo es el mas Valiente 1874 rs. y 5 mrs. La de D. Fernando Rty Villar de Franco común en los cafés y entre el pueblo de lot diferentes Estados alemanes- y Sto. Domin…</t>
  </si>
  <si>
    <t>Mendicta, Mariano de</t>
  </si>
  <si>
    <t>Mariano de Mendicta</t>
  </si>
  <si>
    <t>…la ¿dea que se de nos y compañía, por otro en idem, á 23 de Agosto de idem por Pe be formar de las palabras senado y cuerpo legislativo en aquel Gobierno- dro Armengoli y Pujol: i D. Mariano de Mendicta, en Bilbao á 26 La Constitución del mes de Mayo de id 17 reconoce tres autorida de Noviembre de 1813 por D. Juan de Andraca por uno de 300 pe des : el comisario superior, el senado y la asamblea legislativa. sos: á los Sres. Pinos y compañía , en Barcelona á…</t>
  </si>
  <si>
    <t>Mendicta, Ventura de Cerragería y</t>
  </si>
  <si>
    <t>Ventura de Cerragería y Mendicta</t>
  </si>
  <si>
    <t>…guel María de Velasco y Hacienda. L&gt;. Agustín Mascareñas denunciaron al Sr. alcalde i.° constitucional de Resolución do las Cortes ad.cionando el art. a.® dvl decreto sobre Eúrgos D. Ventura de Cerragería y Mendicta en concepto de subversi .explotación de minas. (Gaceta del g ) vo é injurioso el papel impreso titulado Cada quien con ¡o tuyo y D cr.-to de la* Cortes encargando exclusivamente al secretario de Dior con io de todos. la Gob:roacion de la Península la formació…</t>
  </si>
  <si>
    <t>Mendieta, Mariano de</t>
  </si>
  <si>
    <t>Mariano de Mendieta</t>
  </si>
  <si>
    <t>…compañía muchas descripciones interesantes. Dr otro en ídem a ij de Agosto de ídem, por Pedro Armengoli y L« nukahi víanos, en quienes ee nota la hermosura mas varonil j ? ujol: i D. Mariano de Mendieta en Bilbao á 26 de Noviembre «la ana robustez extraordinaria , gustan mucho de ademarte con un dibujo i8ig, por D. Juan de Andrace por uno de goo pesos: á lot señores muy complicado que le* cubre enteramente el cuerpo, y que representa Piros y compañía en Barc…</t>
  </si>
  <si>
    <t>Mendiondo, Francisco</t>
  </si>
  <si>
    <t>Francisco Mendiondo</t>
  </si>
  <si>
    <t>…isminuido mis ma y emplaza á cuantos pretendan tener derecho i los bienes da la he satisfacciones, aunque con el consuelo de no haberme quedado nada que rencia yacente del difunto D. Francisco Mendiondo , presbítero y ra hacer para economizar la sangre. Loa miembros del ayuntamiento de cionero que fue de ia Sta. iglesia catedral de dicha eiudad de Tortosa, etta heróica villa han desplegado en esta ocasión una actividad, sufi para que dentro del preciso y per…</t>
  </si>
  <si>
    <t>Mendiondo, Joaquín Sanz de</t>
  </si>
  <si>
    <t>Joaquín Sanz de Mendiondo</t>
  </si>
  <si>
    <t>…uando se le falta á la D. Pedro Gurrea, y del cap.tan de cgerctio y de la milicia voíunt.r.a justicia, se expresa a,i : •* De la obligación indispensable que ia natura» de Tafalla D. Joaquín Sanz de Mendiondo , que viene voluntar,o, aban iezi impone á 11» naciones para que no sufran la injusticia de las demas, donando su ca»a é intereses, como &lt;eua!mente D. Miguel Torres Scr-suiu para cualquier Estado el derecho de no consentir se le prive da ianot, capitán retira…</t>
  </si>
  <si>
    <t>Mendivii, Gregorio Sor Ojera</t>
  </si>
  <si>
    <t>Gregorio Sor Ojera Mendivii</t>
  </si>
  <si>
    <t>…nes que con nombre de fiestas hay en la* universidades. guientes : El Sr. presidente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anteriormente para que las autoridades políticas D. Fra…</t>
  </si>
  <si>
    <t>Mendivil</t>
  </si>
  <si>
    <t>…tándonos. ¡ Pero no hay pam ha conseguido 4 expensas de un* levísima herida de lanza que recib o *1 qué admirarnos »■ consideramos el furor frenético que perturba el jui intrépido capitán Mendivil, la injerte del Cjbaüo de D. Florencio Pu cio de los ult'.u 1 Ls gloria y prosperidad que promete 4 la Nación es che, cadete del Príncipe, y haber »a!ido h:rido el d: D. Juan Fernan pañola tu fttema liberal son paracllotstn tormento mas cruel que el dez de Ba…</t>
  </si>
  <si>
    <t>Mendivil, Atanasio</t>
  </si>
  <si>
    <t>Atanasio Mendivil</t>
  </si>
  <si>
    <t>…an minos de la infantería qu* mandé seguí' y 4a caballos del Príncipe é Infantr, al conocer su importancia 1 y yo sabia muy de positivo que llamaban hí- mando d.'l bizarro cap.tan D. Atanasio Mendivil, ad-mas de mis ayu ciaé' 4 Mos-n Antón y d onas cab ell as con el objeto de defenderlo dantes con algunos oficiales de la p ana mayor; y aprovechando la co hasta el úit mo extremo. Por otra parte la fortaleza de Urgrl por la na modidad del terreno, me hallé c…</t>
  </si>
  <si>
    <t>Mendivil, Gregorio</t>
  </si>
  <si>
    <t>Gregorio Mendivil</t>
  </si>
  <si>
    <t>…jurado compuesto de losindivlduos siguientes! D. Isidro Merino, Do* pensión regular, no querían sujetarse á un trabajo considerable como Josef María Pueble, D. Josef Larreategui, D. Gregorio Mendivil, Doa «t el de que se trataba. Por estas razones fue de opinión qué no debía Josef Radon, D. Francisco López Olavarrieta, D. Antonio María Es •probarse el dictamen de la comisión en su totalidad. - pejo, D. Matías Pínula, D. Tomas Marta Zanon-, y habida la con…</t>
  </si>
  <si>
    <t>Mendivil, Gregorio Migusl de</t>
  </si>
  <si>
    <t>Gregorio Migusl de Mendivil</t>
  </si>
  <si>
    <t>….....-..................... í&gt;8o A su consecuencia se reunió e! jurado, compuesto de lo* Sres. si Ascenso i magistrado del tribunal supremo......................... 2400 guientes: D. Gregorio Migusl de Mendivil, D. Josef Rivcs Queraltó, Ascenso á presidente de él........................................................ aooo D. Marcos Izquierdo , D. Francisco Travesado, D. Antonio Dazdel Los honorarios deberán satisfacer lo mismo,, incluyéndose en el Moral, D. Josef P…</t>
  </si>
  <si>
    <t>Mendivil, Pablo</t>
  </si>
  <si>
    <t>Pablo Mendivil</t>
  </si>
  <si>
    <t>…esentó tos siguientes dic de Ultramar de todo otro pago nacional.” Aprobado. támenes : Art. 17. » En las diferencia* de cantidad y calidad de las mercade Uno sobre la solicitud de D. Pablo Mendivil para que se le habili ría* que resulten al tiempo del reconocimiento de salida para el extrante á fin de que pueda egercer la abogacía. La comisión opinaba que po gero ó Ultramar, se ampliará el artículo a a del reglamento de depósi día accederse á ella. Apro…</t>
  </si>
  <si>
    <t>Mendízabsl, Gabriel de</t>
  </si>
  <si>
    <t>Gabriel de Mendízabsl</t>
  </si>
  <si>
    <t>…mplona , S. Sebastian, Murcia J Jas provincias de Patencia, Búrgos ,Santander, Soria y Scgovia, al te Cádiz, con arreglo al citado decreto: pero tendrán su residencia ea 1¿ niente general D. Gabriel de Mendízabsl , que desempeña actualmente respectivas capitales de las provincias donde se hallen las demas autori. en propiedad la comandancia general de Navarra. dades centrales de ellas , á no ser que circunstancias forzosas de guem, Comandancias subalternas de provinci…</t>
  </si>
  <si>
    <t>Mendo, Diego</t>
  </si>
  <si>
    <t>Diego Mendo</t>
  </si>
  <si>
    <t>…neficiosa á sus conciudadanos. inmediato í Tamarite, enrió contra el'os 80 hombres d* inf*nrría f Madrid Justes 2:j de Junio» 10 caballos i las órdenes del cap tan d- Fair madura D. Diego Mendo21. ^ aunque aqu-llos , en ri-nnero de da Hombrjs, ocupaban una po CORTES. sición ventajosa, fu-ron acom-t'dos inmediatamente, y completamente tKBSIDUCIA t&gt;XL S*SoX COBEZ 1EC1U1. derrotados , resu'tando de la accor. 11 prisioneros . entr* ellos el cabe cilla q…</t>
  </si>
  <si>
    <t>Mendoza, Anas Gonzalo de</t>
  </si>
  <si>
    <t>Anas Gonzalo de Mendoza</t>
  </si>
  <si>
    <t>…re que se cobró de ellos, ó se le d¡ó d:l Excmo. Sr. duque del Inf.ntado, denunció al Sr. alcalde &lt;on»tiu-otro de&gt;tmo cualquiera que sea, ó que el ayuntamiento ó sus indivi cionai D. Anas Gonzalo de Mendoza , en concepto de calumnioso Aduos ¡o retuvieron mas de ocho dias sin entregario en las arcas pub'i- injur oso, un articulo inserto en el núm. 450 del Espectadorcas, se les tratará como malversadores de los fondos de la Nación. Ar En su vista se reunió el jura…</t>
  </si>
  <si>
    <t>Mendoza, Arias González de</t>
  </si>
  <si>
    <t>Arias González de Mendoza</t>
  </si>
  <si>
    <t>…Carrillo por 61 de 114. 4.a D. Joaquín Fondevila por 58 de x 11. Habiéndose denunciado a! Sr. alcalde constitucional de esta muy héf.“ D. Joaquín Baeza por 63 de 10a. róica villa D. Arias González de Mendoza por el Sr. fiscal de impren 6° O. Martin Navas por 58 de 99. ta el impreso titulado -. 'Nudo constitucional sacado por D. M. X. t\ C., 7.° D. Evaristo S. Miguel por 47 de 91. administrador de todas rentas del partido de Trujillo, provincia de Ex Se levantó la…</t>
  </si>
  <si>
    <t>Mendoza, Arias Gonzalo de</t>
  </si>
  <si>
    <t>Arias Gonzalo de Mendoza</t>
  </si>
  <si>
    <t>…esaprobaron: Oliver, Salvá, Prat, Saavedra, Muro, Habiéndose denunciado al Sr. alcalde constitucional de esta villa Buruaga, Domenech , Luquc , Somoza, Llórente, Rojo , Ruiz de la D. Arias Gonzalo de Mendoza por D. Matías Martínez Rivabelloso, Vega, Riego, Rico, Canga, Septien, Ferrer (D. Joaquín), Parque, en nombre de D. Lesmet Bravo y de D. Joscf García Atocha, vecinos Rubinat, Ibarra , Reillo , Te jeito, Velasco, Ordufia, Busaña, Gar de Tiujillo, el folleto ti…</t>
  </si>
  <si>
    <t>…ete al Gobierno ,” denunciado como injurioso. Para cumplir con lo pactado en juicio de conciliación cefebr.v'o Sres. que compusieron el jurado: D. Pedro Andrés. D. Antonio anta el Sr. D. Arias Gonzalo de Mendoza, alcalde constitucional de Co’omar. D. Pedro de la Cantolla. D. Francisco Javier Hernández. esta villa, se vende una cata de recreo y jardín perteneciente a&gt; i-vc - D. Bartolomé Espinosa. D- Domingo Menguar. D. Joscf Arroyo. Dan Jentismo Sr. duque de Medínace…</t>
  </si>
  <si>
    <t>…............... 827.848. 874 112,876 rs. Lis personas que quieran hacer postura acud r .n ante el Vitoria................................... 77,465. 206 Sr. alcalde constitucional D. Arias Gonzalo de Mendoza; en inteli Zamora................................... 141,385. 379 gencia de que el remate se celebrará el día 31 del prt.eut: á ias 11 de 'Zaragoza................................. 315,111- 840 la mañana en la audiencia de S. S., plaza de la Constitución. Las…</t>
  </si>
  <si>
    <t>…Pumente por las tropas austríacas, La señora condesa da Cartagena denunció al Sr. alcalde constitu que se retirarán al háilanesado ; pero en cuanto al reino de Ñipóles, ni cional D. Arias Gonzalo de Mendoza varia* expresiones estancadas está resuelta, ni tampoco para resolverse, pues aun insisten en qua el en la Tercerola números 24 y 25 como injuriosas el honor de su espo carbontrhmo se ha arraigado demasiado en aquel reino. En artículo da so el teniente genera…</t>
  </si>
  <si>
    <t>Mendoza, Diego</t>
  </si>
  <si>
    <t>Diego Mendoza</t>
  </si>
  <si>
    <t>…revió á dar un grita subversivo; inmediata Alcampa! ( Aragón") 6 Je Junio. mente hubiera experimentado fe pena correspondiente á no haberse va Nuestras trapas al mando del espitan D. Diego Mendoza batieron lido de la fuga. Aquel pueblo pide armas, pues tacto las autoridades ayer en las alturas de Segona i los facciosos de Tamarite , que serian como los vecinas están muy resueltos i sostener á todo trance el orden anos 60, de los cuates han muerto 10, y…</t>
  </si>
  <si>
    <t>Mendoza, Iñigo de</t>
  </si>
  <si>
    <t>Iñigo de Mendoza</t>
  </si>
  <si>
    <t>…o Mendoza, de n9 mrs., tu fecha 18 de Setiembre de 1509: otro al* por las providencias de tino vigilancia que dejo establecidas en unión cabalas de Sevilla, en cabeza del referido D. Iñigo de Mendoza, da con la columna de Cuenca, que combinó conmigo sus operaciones, 349 mrs., de igual fecha que el anterior .- otro servicio ordinario y y ha dejado partidas en los pueblos que pudieran ofrecer algún cui- extraordinario de Guadalajara , en cabeza de D. Fernan…</t>
  </si>
  <si>
    <t>Mendoza, Isidro</t>
  </si>
  <si>
    <t>Isidro Mendoza</t>
  </si>
  <si>
    <t>…muchos En la gaceta de Madrid de 10 «la Julio da i8iy ae anunció que el afio*. Cuartel general de Puigcerdá 30 de Noviembre de i8sa s=Exce- qua tupiera el destino ó existencia «le D. Isidro Mendoza , natural de Icntitimo Sr.zrFraneisco Bsppz y Mina-asf Xcmo. Sr. secretario del Des Salamanca , y vecino de Madrid , hijo de D. Ramón y «la Doña Ma pacho de la Guerra.” ría Francisca Pereira , que casó en la Mtmbrilla, provincia da la Mancha, con Doña Eugenia…</t>
  </si>
  <si>
    <t>Mendoza, Josef</t>
  </si>
  <si>
    <t>Josef Mendoza</t>
  </si>
  <si>
    <t>…ablecimiento de dichas escuelas , dunda otras semillas , y se daclaró conforme con lo resuelto por las Cortes. deba hab*rla&gt;, ¿ la dotación de ios maestros y á su elección y remo* D. Josef Mendoza, vecino de Málaga, presentó i las &gt; ores dos Cion." Aprobado. Cgemptares de las observaciones que había hecho sobre la «nf itneaad El vr. Becerra propuso qne se pusiese en este articulo derpues da que hubo en aquella ciudad et otoño pasado. Xas Cortes tos rec…</t>
  </si>
  <si>
    <t>…xcitación del gefe superior político; gar , presentada al gefe superior político de la provincia por el médi en cuya virtud la ley absolvió á D. Luis de Rute , capitán del regi co D. Josef Mendoza, individuo de la diputación provincial de le mis miento de la O rona, responsable de dicho impreso; y se mandó fue ma, y vocal de la junta superior de Sanidad. Se hallará ea la librería se puesto rom-d atamente en librtad, sin que este procedimiento pu de Hur…</t>
  </si>
  <si>
    <t>Mendoza, Miguel Gayoso de</t>
  </si>
  <si>
    <t>Miguel Gayoso de Mendoza</t>
  </si>
  <si>
    <t>…jí, en el obispado de de Infracciones de la anterior legislatura, la cual era de parecer que el Córdoba, en virtud de lo acordado en la sesión de ayer; y opinaba que gefe político D. Miguel Gayoso de Mendoza no habia infringido el esta exposición debía pasar si Gobierno para que dispusiese que estos attículo de la Constitución, y que no había motivo alguno pata exigir párrocos fuesen socorridos con la mayor posible brevedad en el ínterin la la responsabilidad. qu…</t>
  </si>
  <si>
    <t>Mendrz, Josef</t>
  </si>
  <si>
    <t>Josef Mendrz</t>
  </si>
  <si>
    <t>…ra á la ti opa. Esto h&gt;zo que el La segunda de Hacienda opinaba que las Cortes podían acceder á la ayuntamiento publicase un bando desmintiendo aqu lias proclamas. Lo solicitud de D. Josef Mendrz, sobre que se le habilitase para obtener mismo verificó el 5&gt;r. gefe político. Se ha sabido lu go que con la mis destino en la Hacienda púb.ica. Aprobado. ma profusión y malicia se han dirigido los indicado, pipeus subversi- La de Diputaciones provincia!.s, i…</t>
  </si>
  <si>
    <t>Menezo, Marcos</t>
  </si>
  <si>
    <t>Marcos Menezo</t>
  </si>
  <si>
    <t>…te-: lj. Z i- o Gorri'z Casero, D. vodres Meya I.uzunaga , cúr.de de En el a.macen de la calledd Turco se hallan de veníalas pí-rasnue I or .1.1, anca , f». Fanci. o ti a Carrera, D. Marcos Menezo, Don vas siguientes.:dúo del primer acto del Otelo dt- Rossim , cantado ¡ &lt; r las 1’. ’io Ai&gt;ar- i).-l rio, D. Cayetano Romero, D. Isidora de H&lt;&gt;&gt;oa Sras. aa a y Lledi : obertura de la Figlia deltaria del nía.si'o l ame y IX ri ie Jos f Gallego. IlaUt .a la c…</t>
  </si>
  <si>
    <t>…entes: de 11 individuos de las Cortes en 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t>
  </si>
  <si>
    <t>Menezo, Marcos Amonio</t>
  </si>
  <si>
    <t>Marcos Amonio Menezo</t>
  </si>
  <si>
    <t>…, y que en este con En su vista se reunió el jurado compuesto de los Sres. siguientes: flicto obedezca al impulso de su conciencia. Me acuerdo de una cir X&gt;. Josef Gómez Albacete, D. Marcos Amonio Menezo , D. Antonio cunstancia relativa á un tal Baldwin, diputado distinguido del Con Puigblanc, D. Miguel Ripa , D. Higinio Antonio Loreme, D. Va greso por la parte occidental da la Pensilvsnia , el cual voló en cierta lentín Recio, D. Joaquin Vaga y Quintana, D.…</t>
  </si>
  <si>
    <t>Menezo, Marcos Antonio</t>
  </si>
  <si>
    <t>Marcos Antonio Menezo</t>
  </si>
  <si>
    <t>…a formación de causa, y salieron los Sres. si nes que con nombre de fiestas hay en la* universidades. guientes : El Sr. presidente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t>
  </si>
  <si>
    <t>Menorca, Miguel</t>
  </si>
  <si>
    <t>Miguel Menorca</t>
  </si>
  <si>
    <t>…o debía concedérsele lo que solicitaba. Aprobado. subalterno, en atención á las particulares circunstancias de la isla de La comisión i.1 Eclesiástica, en vista de la solicitad de D. Miguel Menorca. Díaz Agudo, vecino de Sto. Domingo de la Calzada , y maestro de Se mandó pasar á la comisión de Diputaciones provinciales otra capilla de aquella catedral, pidiendo que el cabilda le pagase su sueldo del Sr. Koig, sobre franquicia del puerto de Mabon. en vir…</t>
  </si>
  <si>
    <t>Menudo, León</t>
  </si>
  <si>
    <t>León Menudo</t>
  </si>
  <si>
    <t>…al Rey absoluto, y lot cuales opinaba podían concederse cartas de ciudadano á D. Ramón que esto no podía menos de ser principio de una conspiración muy Pada, D. Marcelo Espinóla, D. León Menudo, D. Rafael Orfen , Don meditada, y empezada ya i poner en egecucion, precisamente en los Antonio Gustaman, D. Narciso Mataolivas , D. Sebastian Cortijo, dias que han dé preceder al sorteo para el reemplazo del egército en es IX Bartolomé Solano, D. Luis Basse…</t>
  </si>
  <si>
    <t>Merced</t>
  </si>
  <si>
    <t>…ientes. Madrid 28 de Abril de i8*a. Aran juez , y salieron electos , primero el Sr. Villavieja, por 74 votos Juicio de jurados. de 144 , habiendo tenido el Sr. Pcdralvez 69 , y el Sr. Merced uno ; y Habiéndose denunciado al Sr. alcalde D. Miguel de Náj ra un ar el seeundo fu- el Sr. Meca por 73 votos de 144, habiendo tenido el tículo inserto en el Zurriago número 40, como injurioso á los señorea Sr. Merced 70 votos, y el ir. Lapucrta uno. D. Juan…</t>
  </si>
  <si>
    <t>…el artículo, á las mayor del mDran, y lo hacia presente a las C-&gt;it;s pn-a ios Bnra coovecuales contesto el Sr. Marau. ■tem-.'s. Se acordó que pasase á la comisión de H.»c rdi. H Sr. Merced i No me parece que está en armonía este artículo con El Sr. Canga manifestó con este motivo , r-cesto de lo que habla la Constitución. El manejo y administración de los fondos públicos dicho el Sr. Cano , que S. S. podía vet ¡1» d ft 1. t-d s qu: i ca'*» paso…</t>
  </si>
  <si>
    <t>…Las noticias extranjeras que se han recibido hoy nos hacen saber t.m ‘-nto. s manai.’s ordmar o» ” Aprobado. la continuación de desórdfno* en Irlanda, loa preparativos de guer Ei Sr. Merced dijo que era preciso que los ayuntamientos procedie ra en Austria , las activas disposiciones de la Rusia con el mismo ob sen m conocimiento de causa pata decir si habían de tener una ó dos jeto, la inc.rtidumbre d.‘ la Prusia sobre el partido que ha de tomar…</t>
  </si>
  <si>
    <t>…tro modo vencer les difi en su consecuencia se leyó el art. 1 •“» y quedó aprobado. cultades. Se leyó el art. a.® El Sr. Romero dijo que en el repartimiento te habia gravado ex El Sr. Merced se opuso £ ¿I diciendo que el censo de que se había traordinariamente i la provincia de Sevilla, considerándola para esta valido la comisión no era exacto, y que habiéndote dado £ la provin repartimiento de una población muy superior £ la que te le considerab…</t>
  </si>
  <si>
    <t>…or conveniente para la mas pronta egecucion de lo man Establecimientos y oficinas en lat provincias. dado." Intendentes, cuya autoridad será independiente de cualquiera otra da El Sr. Merced se opuso i este artículo, manifestando ser imposible 1* provine,a. y superior en ella para todo lo relativo á la administración, poderse cumplir lo que en él se previene; pu s había muchos pueblos cobranza y resguardo de las rentas del erario, siendo el gefe…</t>
  </si>
  <si>
    <t>Merina</t>
  </si>
  <si>
    <t>…D. Angel Castellana y D. Julián deSojo. dos sas trabaja; y si toda asta ubteevtcioua kshubiera hecho pre En le misma forma ee be servido S. M. nombrar para la judicatura sentes el Sr. Merina á la comisión, tal vez esta se hubiera aprovecha de primera instancia del partido de Huesca, vtesóte por promoción do y propuesto los articula cu otra términa. Le comisión debió sa de D. J -sef Moreno Remira» 4 una de tos de Madrid, A D.Jomf An crifica su opi…</t>
  </si>
  <si>
    <t>Merino</t>
  </si>
  <si>
    <t>…a cabeza de sus valientes, en unión dos que nosotros, y 4 favor de un bosque espeso , en que se refugiaron. conmigo, ha hecho todo lo que deja inferirse del resultado de «su ac £1 cura Merino ba estado para caer en nuestras manos; pero se salvó ción gloriosa por la&gt; mucha, circunstancias que envuelve contigo la por su buen caballo, descargando un trabucazo 4 quema roma í los al destrucción de la indicada facción. Tampoco puedo dr|ar de recomen fér…</t>
  </si>
  <si>
    <t>…pero la fuerza no cons del actual, en que la noticia que ¡as cuadrillas de facciosos capita tituye la unión. Con la fuerza y la violencia puede un gobierno violento neadas por el cura Merino, Cuerdlas V otras se han replegado al otre y tiránico amontonar un egírcito de centenares de miles de combatien lado de la Lefia de Orduáa, huyendo de las valientes Hopa» nacional» tes , y b'asonar d-tener una fuerza irresistible por el número de gent« reunid…</t>
  </si>
  <si>
    <t>…• , .1 t ^ A este mismo t empo se ha pr.-aeatado en la ciudad de Ordufia, Ir.», csian d: un ^unior n.ji b-. cis &gt; , v un se, . i. • n ^ ■ no confinante coa la misma provincia, ei cura Merino, que coa su gente reparan en auuoc ar que el cterc to ce ia fe »e ha apudrr.c. d.- . .,; ,co-</t>
  </si>
  <si>
    <t>…de lascarla! de pago.que Cuarto distrito militar. ( Búrgos. )_EI dia &lt;5 Cu‘villas el viejo, su* diere la misma depositaría, y de ios libramientos que se expidan con dos hijos y el cura Merino entraron en Keinosa, y saquearon el pueblo. tra ella. Los voluntarios nacionales y unos pocos de Valladohd se hicieron Art. toó. » Estos libramientos han de ser acordados por las dipu fuertes en una casa; y á pesar de que los facciosos eran unos 500, no tacio…</t>
  </si>
  <si>
    <t>Merino, Isidro</t>
  </si>
  <si>
    <t>Isidro Merino</t>
  </si>
  <si>
    <t>…con las que han batido en distintas ocasiones 4 los enemigos: tanto lieron los Sres. siguientes: que con la división que debe salir de Puerto-Cabello no extrañará con D. Juan Paz, D. Isidro Merino, D. Felipe López Valdemoro», sigan la destruccien de los enemigo*, lo que seria fácil lograr con muy D. Joaquin Huerta Cevallos, D. Antonio María Espejo, D. Valentín cortos auxilios, á causa de que todos los pueblos están animados contra de Nicolás, D. Juan F…</t>
  </si>
  <si>
    <t>…lería é inge- debían ver dicho papel, salieron los Sres. siguientest ni '-os ti nen una puerta ab.erta para hacer generales en el número que D Joscf Lsrreategui, D. Ventura Rubio, D. Isidro Merino,Do» s- quiera. La razón es porque en optando á las plaza» que tienen este ca- Josef Demetrio Rodríguez , D. Antonio Alcázar, D. Pedro Alvar» r , se pu -&gt;len dar de ba)a en sus respectivos cuerpos , y de consi Delgado, D. Andrés Alcon, D. Francisco de la Carre…</t>
  </si>
  <si>
    <t>…l nfim. 38 del Zurriago como subversivo y sedicioso, se reunió «edia generalmente con los secularizados, y porque, disfrutando una él jurado compuesto de losindivlduos siguientes! D. Isidro Merino, Do* pensión regular, no querían sujetarse á un trabajo considerable como Josef María Pueble, D. Josef Larreategui, D. Gregorio Mendivil, Doa «t el de que se trataba. Por estas razones fue de opinión qué no debía Josef Radon, D. Francisco López Olavarrieta, D…</t>
  </si>
  <si>
    <t>…ibe está autoriza Oriniga, D. Lino Campos, D. Carlos Romeral, D. Josef Demetrio do 4 expedir los rescript a de secularización pora las monjas basta todo Rodríguez, D. Josef Radon, D. Isidro Merino. cl mes de Junio, y por tanto no puede haber rehusado recibir ninguna Habida la conferencia se declaró por unanimidad no haber lugar A de las instancias que con este motivo le hubieren llegado de Mallorca. la formación «le causa. Lo que deReal orden traslado…</t>
  </si>
  <si>
    <t>…que no hay otro medio de nillos, Sr. D. Josef K yser, Sr. le. Marcos Izquierdo, Sr. D. Josef hacer efectivos los descubiertos que tanto necesita la Hacienda pública María Pu nte, Sr. D. Isidro Merino, y Sr. D. Pedro Alvaro Delgado. para satisfacer sus ind.spensablcs obligaciones, se ha servido conformar Habida la conferencia, declararon por unanimidad no haber lugar 4 se con lo que V. S. propone , mandándome ademas prevenir, tanto á la formación de causa.…</t>
  </si>
  <si>
    <t>…•locución adecuada á las circunstancias, pronunciada por uno de los de Florida-Blanca y D. Juan Antonio López. Sres. canónigos de aquel cabildo: después formaron las tropas en co D. Isidro Merino lo calificó de injurioso en segundo grado. lumna , y en este mismo orden siguieron la carrera que las estaba señalada, desfilando por delante de ta iglesia, y rompiendo después la ANUNCIOS. formación, retirándose los cuerpos á susreip-ctivos cuarteles. La ait…</t>
  </si>
  <si>
    <t>…bemos quín Huerta Cevallos, D. Andrés Navarro, D. Francisco Trarcsedo, procurar hacer conocer al pueblo las ventajas del sistema. No nos de D. Santiago Delgado, D. Manuel Gallego, D. Isidro Merino, Don tengamos para esto en un principio mal aplicado y equivocado. Las Cor Cárlos Romeral, D. Juau Labio Pascual, D Lino Campos, D. Josef tes , atendiendo á la utilidad pública, que es el único objeto del legis María Puente y D. Francisco Barra. Los tais prim…</t>
  </si>
  <si>
    <t>…ila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 Tomas Marta Zanon. Habida la conferencia de . celándose la escritura de fianza que tiene dada. Asi por este su Real clararon por unanimidad no haber lugar i la…</t>
  </si>
  <si>
    <t>…de fian- vesedo, D. Juan Paz, D. Santiago Delgado, D. Carlos Romeral , Don za un mes de existencias en tos almacenes de los artículos de que Andrés Navarro, D. Mamerto Landaburu, D. Isidro Merino y Don conste el suministro, Jos cuales deberán tener constantemente de re Francisco López Olabarrieta. Y habida la conferencia, se decaro por puesto ; y á mayor abundamiento se reputara también por fianza el re ocho votos » no haber lugar á la formación de causa.”…</t>
  </si>
  <si>
    <t>…su vista te reunió el jurado, compuesto de los Sres. siguientes: trangeros.” Los d mas periodistas tampoco dudaban el 13 de este nom- D. Juan Isidoro Perez , D. Isidoro de Hoyos, D. Isidro Merino, Don brami-nto. Sea la que quiera la id-a que algunos se forman del estado Gaspar Aguilera , D. Juan Cortés, D. Francisco de la Carrera , Don de la Península , lo cierto es que nuestro crédito se aumenta. Las ins Sebastian Andrés, D. Joaquín Manrique y D. Joa…</t>
  </si>
  <si>
    <t>Merino, Manuel</t>
  </si>
  <si>
    <t>Manuel Merino</t>
  </si>
  <si>
    <t>…e en lo sucesivo , y dentro de dos meses En su vista se teunió el jurado, compuesto de los Sres. siguientes: de la publicación de este decr to por lo devengado á la fecha de su ex D. Manuel Merino, D. Miguel Ripa, D. Zoilo Gómez Casero , Den pedición. Los diplomas recogidos se pasarán al consejo de Estado par» Valentín de Nicolás, D. Josef San Millan, D. Antonio Regás, Don que los cancele. Art. 9.0 El Gobierno bajo estas bases dictará las reglas Isidor…</t>
  </si>
  <si>
    <t>Merino, Ts'dro</t>
  </si>
  <si>
    <t>Ts'dro Merino</t>
  </si>
  <si>
    <t>…acticar un reconocimiento subversivo y s-rlicioso, se reunió» el jurado , compuesto de los señores »&lt;&gt;;: e. mis.no punto con ia poca fu.rza que tengo á mis órdenes , y siguientrs: D. Ts'dro Merino , D. Josef Dmetrío Rodríguez , D. Do sai de a.ju con este objeto c. ino á as once de la mañana. í-i coman mingo Fernandez \ngu!o, D. Pedro Matute, D. Jos f Antonio Pondante D. Manuel Arengo, qu; iba á la vanguardia con 24 soldados del zoa , D. Josef María Pue…</t>
  </si>
  <si>
    <t>Mériria, Félix González</t>
  </si>
  <si>
    <t>Félix González Mériria</t>
  </si>
  <si>
    <t>…bidas certificaciones de su edad, títulos, erario» y nu-i.in , á ia se reti adelantarán estos negocios cuando los Soberanos pasen por Saltzburría de dicho ayuntamiento al carpo de D. Félix González Mériria , en l go, y mientras permanezcan en Tcgernsee__ 3." Los ne.’ociosde H&gt;&gt;a. términod: 20 día», contados desde el aó d: O-tubre deiíiii. lia. Se creee que la Francia volverá á toin.r en estis negociación 1 la Se halla vacante la plaza de boticoio único de la vi…</t>
  </si>
  <si>
    <t>Merita</t>
  </si>
  <si>
    <t>…diese!) otros princi de 800 hombres que había partido desde Valls. A la hora indicada se pios. El preopinante no se ha atrevido á tanto, y se ha guardado bien halló la columna del coronel Merita en la Cruz del Aquilo, distante ti de decir que no debemos totrometerno* en les cosas de España; lejos ro y medio de cañón de dicha villa , desde cuyo punto, observando si de eso he dicho que allí ha habido una rebelión y no as; revolución. tuados 800 faccios…</t>
  </si>
  <si>
    <t>Merita, Juan</t>
  </si>
  <si>
    <t>Juan Merita</t>
  </si>
  <si>
    <t>…onal y ronda volante de dicho pueblo , y formando ur.a columna de buen éxito (rita i la izquierda); asi et que solo por !■ necesidad de 800 hombres, al mando del coronel de marina D. Juan Merita , salie combinar bien los medios con la santa alianza, es por lo que disculpa ron en la mañana del atf con dirección á iquilla heroica silla. A isa al ministerio de que haye suspendido hasta ahora etu excepción. ( Mo dos horas da marcha recibió un aviso del C…</t>
  </si>
  <si>
    <t>Mermo, Manuel</t>
  </si>
  <si>
    <t>Manuel Mermo</t>
  </si>
  <si>
    <t>…larización hecha A do , compuesto de lossrfiores siguientes: D. Tomas María Z&gt;non, Don un* monja de Mallorca por falta de facaltade*. Sin duda qne debe ha Joaquín Huerta Cerillos, D. Manuel Mermo, D. And re. Martínez ber una equivocación acerca da esto , pues el qne escribe está autoriza Oriniga, D. Lino Campos, D. Carlos Romeral, D. Josef Demetrio do 4 expedir los rescript a de secularización pora las monjas basta todo Rodríguez, D. Josef Radon, D. I…</t>
  </si>
  <si>
    <t>…la madruga mona'; D. Benito Ortega Romanillos; D. Gonzalo de Cárdenas; Don da de este dia he sorprendido tin completamente é 300 facciosos que Juan Paz; D. Juan Manuel de Aréjula; D. Manuel Mermo, y Don ae hallaban en este pu.blo, qu- de ellos solo viv-n 47 prisioneros, y Marcos Menezo. como unos 20 qu: tengo cnceirados en la torre da la iglesia: todos loa Habida la c nt -rencia , declaró no haber lugar á la formación de demas absolutamente han sido m…</t>
  </si>
  <si>
    <t>Meruéndano-, Juan</t>
  </si>
  <si>
    <t>Juan Meruéndano-</t>
  </si>
  <si>
    <t>…artería rona á D. Vicente García Díaz: para el del Ferrol 4 D. Manuel Anto y refinada maldad de los muchos picaros de que abunda la sociedad, tra nio Saavedra: para el de Orense á D. Juan Meruéndano-. para el de ducida de la quinta edición del francés a\ castellano, aumentada por Mondoñedo 4 D- Henrique Posada: para al de Lugo 4 D- Bartolomé el autor y adicionaba por el traductor D. A. Z. G. Los suscriptos» García Terrón: para el de Betanzos 4 D. Pedro Go…</t>
  </si>
  <si>
    <t>Mes, Va</t>
  </si>
  <si>
    <t>Va Mes</t>
  </si>
  <si>
    <t>…a salida de los operarios , materiales y otros medios propios para obrar con aibilrariedad en este punto. los trabajos drfensivos, y los ganados y cometí.bles. Es claro que nin El Sr. Va Mes ( D. Cayetano ): Si alguna falta tiene este artículo es gún vecino de la plaza que tenga este &amp; otro modo da vivir distinto se el que fije una distancia Un limitada: y yo pregunto al Sr. preopinan querría quedar en Ja plaza á sufrir Jos horrores de un sitio,…</t>
  </si>
  <si>
    <t>Mesías, Josef</t>
  </si>
  <si>
    <t>Josef Mesías</t>
  </si>
  <si>
    <t>…aso, y sin dctemrse en la barca, Mayo. vadea el rio el batallón de Hostalrich, al mando del teniente coronel 11. Si tuviese efecto el anuncio del Sr. gefe político, se leerá en se D. Josef Mesías; el agua llega á los pechos de los soldados; las cartu guida la orden del Gobierno en orden de puiada. cheras se ponen encima de la cabeza para no inutilizar las municiones, ii. Durante la comida tocaran las banda» militares,alternando en y se cont.r.úa la ma…</t>
  </si>
  <si>
    <t>MesSr, Vicente Vergara y</t>
  </si>
  <si>
    <t>Vicente Vergara y MesSr</t>
  </si>
  <si>
    <t>…sjáe id.) de Rio-Flor do; D. Gerónimo Masía, presbítero; D. Vicente Iranzo, Circular del ministerio en que so inserta una contestación del hacendado; D. £ non Gascón, presbítero; D. Vicente Vergara y MesSr. nuncio de S. S. sóbrela secularización do una monja de Mallorca. tic y D. Valentín Torrecilla; después de haber examinado el impreso ( Gaceta átl zp át id.) y la denuncia, declararon por unanimidad de rotos haber lugar á In Circular del ministerio sobre la p…</t>
  </si>
  <si>
    <t>Mestre, Agustín Josef</t>
  </si>
  <si>
    <t>Agustín Josef Mestre</t>
  </si>
  <si>
    <t>…se publicó un extracto de cíe-ta Quedó esta proposición para segunda lectura, y se levantó la sesión. representación que se dice hecha á S. M. por les Sres. D. .gustir. r ru to» y D. Agustín Josef Mestre, cirujano y boticario mayor, e indivi NOTICIAS DE ESPAÑA. duos del tribunal del proto-medicto. Con este motivo se nos nan re mitido las observaciones siguientes: * Madrid S.tbado ag de Febrero. » En la citada ¿aceta, á la página 141, se dice que los expresado…</t>
  </si>
  <si>
    <t>Metate, Pedro</t>
  </si>
  <si>
    <t>Pedro Metate</t>
  </si>
  <si>
    <t>…14 de Abril de 1 |yo—Otro de un juroguiente»'. D. Cayetano Romero i D. Bernardo Asenjo; O. Josef María de 160,714 mri. sobra laa alcabala» de Ecija á favor da D. Pedro Lo.fuente; D. Pedro Metate; D. lino Campos; D. Antonio Sandalio de pez Portocarrero, á 13 de Marzo «la 1J64.—.Otro da un juro de &gt;6) Arias» D. Francisco Lopes de OlararrieU; X&gt;. Metiee Cuero y Don maravedises sobre las alcabala» de Cuenca, a favor de Doña Teresa Car Francisco Martínez…</t>
  </si>
  <si>
    <t>Metendez</t>
  </si>
  <si>
    <t>…* administradores natos del pro Sobre instrucción pública. ducto del medio diezmo en sus parroquias.” ídem jj. Entre las embarcaciones que entraron aper en esta bahía lle Otra del Sr. Metendez haciendo una aclaración al decreto de 23 gó un falucho de Ayamonte en lastrr con 23 pasageros- Dice su patrón de Marzo de 18a■ , que trata de la formación de los ayuntamientos que á las once de ayer, á dos legua, d= Ay amonte, lo llamó el bergantin const raci…</t>
  </si>
  <si>
    <t>…o respectivo 4 la egecucion .de los planos que en Tngialerra se ha Gobierno alguna cantidad pan los planos. bían abierto canales magníficos, sin que el Gobierno hubifse enviado El Sr. Metendez dijo que el Gobierno con solo excitar el ínteres 4 ellos ni un ingeniero, pues todos se habían hecho á costa-de particu individual Uevaria al cabo su empresa sin necesidad de hacer gastos, lares con grandes utilidades departe de estos. puesto que los empresar…</t>
  </si>
  <si>
    <t>…sino de legalizar ó revalidar ios hechos opinaba que no podía hacerse novedad alguna en lo dispuesto ya por privadamente, ó los seguidos al mismo t empo. las Cortes. Aprobado. El Sr. Metendez observó que le parecía contradicorio el que se die Fueron nombrados para la comisión Eclesiástica los Sres. Lapuerta se por base para la graduación de la cuota la mayor utilidad del indivi y Alonso; para ia de Comarco el Sr. Soberon; para la segunda de Ha duo…</t>
  </si>
  <si>
    <t>Meto</t>
  </si>
  <si>
    <t>…ra el que se exigiese la respon El Sr. Cuadra dijo que ya babia recibido esta el informe conesjvinsabilidad á quien correspondiese. diente á la secretaría de Gracia p Justicia. El Sr. Meto fue de opinión que no debía aprobarse cata base, por En seguida te mandó pasar á la comisión h proposición del ufcc que si se trataba de exigir la responsabilidad á algunas personas, era pre Canga después de haber sido admitida á discusión. ciso que se determ…</t>
  </si>
  <si>
    <t>…nder el inmediatamente, Cuando acaso te qne se proponía no te habia de hacer en todos los tribunales. llegara á lo último «le la legislatura! Por texto* estas raaonet pidió que El Sr. Meto, al oir que en el segundo artículo te propon:« que hu las Corte*'mandasen venir el origina), y entonces te podrá deliberar lo biera un visitador para-cada audiencia, se sorprendió, y dijo francamen conveniente sobre la proposición del Sr. Becerra. te que ó no…</t>
  </si>
  <si>
    <t>…asunto por suficseatraretiM disentido, y quedó aprobado diversidad de naciones: t.° Contentar 4 los polaco*, quien*» siempre «I dictamen de la comisioa, habiendo retirado ente* el Sr. Meto ta mirarán su existencia en cuerpo de nación como la primea* legitimidad adición de qne en el mismo a* bacía mérito. del mundo: j* Satisfacer i los italiano*, lo* cuates, amigue segura Se leyeóo do* oficio* del Gobierno coa (beba de ayer y da boy, mente no te…</t>
  </si>
  <si>
    <t>…nuestras desavenencias, y con rida proposición , y por lo tanto que no debía aprobarse. impostura y calumnias trata de desacreditar nuestra tanta revolución. A petición del mismo Sr. Meto ae principió i leer la exposición n La Nación española, Señor, cree combatida su libertad al notar de dicho ayuntamiento; y habiéndose suscitado una discusión sobre si k lentitud con que se procede contra los que la atacan frente 4 frente, continuaría su lect…</t>
  </si>
  <si>
    <t>Metternich</t>
  </si>
  <si>
    <t>…an ciertos periodistas. Decíase en un estado muy embarazoso; y parece que no bastan todo el talento que Mr. Ternaux, diputado de la Cámara, había hecho dim;s¿on de y sagacidad del príncipe Metternich para sacar de apuros al Gobierno.” tu destino de coronel de la tercera legión de la guardia nacional; y Mr. lin una carta de Viena de fecha de 25 de Febrero se dice lo si Salieron, del de coronel de otra legión del mismo cuerpo. Se han he guiente : cho varias…</t>
  </si>
  <si>
    <t>…do quien le conteste. Ni en in tar el uio de la libertad de imprenta , es decir , para reprimirla bien. el tixto ni en la iradueion se trata de otra cosa qua da aclarar ó h.ucr El príncipe Metternich , según dicen , aseguró , antes de su salida para ver ciertos errores en que ha incurrido Voltaire hablando dolos judos, Verona , que tenia certeza de qus se aprobarían lodos sus pros ectos.” y de varios hechos de la escritura qua conviene advertir para no eq…</t>
  </si>
  <si>
    <t>…dirigieron divan , y entre tanto , hallándose con pocas fuerzas, se ha retirado á al Rey con fecha 1 a de Abril del mismo afio, hallándose S. M. en Macedonia. _ El 10 le llegó al príncipe Metternich un correo de Vie- Valencia. na, que dicen traía la noticia de haber el divan desechado con la mayor Vista. Fallamos: Que debemos confirmar y confirmamos con cos altanería la propuesta del nuevo ministro austríaco de que enviase la tas la sentencia pronunciada…</t>
  </si>
  <si>
    <t>Metz.'uér, Tomas</t>
  </si>
  <si>
    <t>Tomas Metz.'uér</t>
  </si>
  <si>
    <t>…a d: F'iancia por el abata dar.!: gmeral.y del z:lo de los oficiales y soldados i las órdenes del te- Ballet, cura pirroco de Gd , 5 pudicador d. b. M. Cristiar.iVma , lr^ í: :.tr coronel D. Tomas Metz.'uér, se logró batir á los facciosos com ducida en castellano por el m nio que ha ira incido las instiuccionet ge pleta y sin.u tin am .nte en la tar *e del 14 entre el puente de Mouren- nerales en forma de catecismo vxc riel P. l iar-cisco Amado Povgett lin y Cel…</t>
  </si>
  <si>
    <t>Mezquina, Camilo</t>
  </si>
  <si>
    <t>Camilo Mezquina</t>
  </si>
  <si>
    <t>…uctora, cuyo objeto ea deslumbrar con lisonjeras y ve Alca zar de S. Juan i D. Narciso Muñiz, id. nas apariencias al pueblo, intrigar en las elecciones, y ganarse siempre Orense á D. Camilo Mezquina, sargento atjrM graduado de tea un partido preponderante en el cuerpo legislativo. No tiene medios efi Siente coronel. caces para conseguirlo tino los de la corrupción en las elecciones, y los Laredo i D. Josef de U Tone Ttaaierra, sargento mayor. de brindar…</t>
  </si>
  <si>
    <t>Mi</t>
  </si>
  <si>
    <t>…ticular. Confino el error insigne que cometo) mi Saxonia. provincia en designarme por representante de la Nacon, porque no La comisión de Poderes, en virtud de ios presentados por D. Mi me reconozco con las calidades necesarias para correspond r a su con guel Busutil, diputado electo por la provincia de M daga , opinaba fianza; pero en recompensa de este distinguido favor, que me confunde, que debían aprobarse por estar arreglados á la Const…</t>
  </si>
  <si>
    <t>…n un cónyuge bel Lometa que solicitaba u a pensión. auscnig* S- Vwi.á-a el smtrimonio un* Kf*r»r d ipu s d- hihjr fallecido Otro de ia m.sma sobre que se desestime la solicitud de Doña Mi ;hay matrimonio en este caso? iludas Us condolencias que se caela Ortega , pidiendo una pensión. derivan del acto del matrimonio verileado subsisten en algún país: Na Otro de ia misma sobre que se declare no haber lugar á del berar síñor , porque todas depend…</t>
  </si>
  <si>
    <t>…ia , en el que diente sobre préstamos de consulados. contestando é otro que se le dirigió por los secretarios de las Cortes El doctor en ambos derechos de la universidad de Alcalá D. Mi decía qu? en el expediente relativo á &gt;a expedición de las bulas de los guel García de Lamadtid presentó un tratado cronológico del derecho Sres. D Joscf de Espiga , electo arzobispo de Sev.li*, y D. Diego Mu civil, romano 7 canónico español , pidiendo á las…</t>
  </si>
  <si>
    <t>…os que se crean con derecho á los bienes quedado* los Estados-Unidos siguen en paz con toda* las naciones, ó si aconte por fallecimiento de Doña María Pereda, viuda jr heredera de D. Mi cimientos desgraciados no turban en su pais el orden actual de las cosas. guel Azpiroz, vecinos qüe fueron de eda corte, y por el de este que La perspectiva que presentan los Estados-Un idos bajo este y otro* «cernió en el anterior Octubre. La testamentaría p…</t>
  </si>
  <si>
    <t>…a citada testamentaía tío mis cítales ni llamarle*. rompió el fuego, y posesionándome de la casa del Crédito público, lle Los que se crean con derecho fi los bienes concursados de D. Mi gué al arco de palacio, á tiempo que el regimiento del Infante venia fi guel Mercier acudirán á formalizarlo al tribunal del consulado de co ocupar la plaza de este por la calla de laa Caballeriza*. En esta escara mercio de Cádiz, prevenidos de que de no hace…</t>
  </si>
  <si>
    <t>…l Alonso Diez, D. Salvador Bros, D. Hilario Brihuega, cargada de la recaudación de lanza* y media anata, que el título de Cas D. Antonio Bravo, D. Antonio Cumbres, D. Juan Galvan, D. Mi tilla con la denominación de mirquet de Villabragima le poseía en *1 nué’ González Santos , D. Mauricio González , D. Juan Gerena, Don año de 1693 U. Baltasar H nriqu-z de Cabrera, y que el de marque* Jct'f Yela , D Antonio Moln r, D. Josef M.ndez, D. Jos.f M…</t>
  </si>
  <si>
    <t>Mi, Andrés</t>
  </si>
  <si>
    <t>Andrés Mi</t>
  </si>
  <si>
    <t>…r en caso necesario el que se dea ór solicitud. Aprobado. denes. En las circunstancias en que nos hatlimot hav tanta mas nece La comisión Eclesiástica, en rista de la solicitud de D. Andrés Mi sidad de fijar el número de eclesnsticos, cuanto que en el d.a es exce guel de Osuna sobre que se le ponga en posesión de una pr.benda á dente- para el servicio de la Iglesia, si no en todas ¡as diócesis , a lo que tiene derecho , opinaba que debía estarse á…</t>
  </si>
  <si>
    <t>Mi, Joaquín</t>
  </si>
  <si>
    <t>Joaquín Mi</t>
  </si>
  <si>
    <t>…n toen las co»pepresumiesen tener derecho á dichas capellanías. Aprobado. l.t,on.i que hasta ñora han e-sammido ex.-ed ents. \ p-var de todo La misma , en vista de la instancia de D. Joaquín Mi reí, rnooge de me creo ob'malo á dec r trarc.iro r.te o qu » me efr c- sobe esta Poblet, sobre que se le concediese la pensión di 300 ducados por ha asunto. I.a cmiison ei tiend q r no hay itvlivo justo p.rt ex .r a berse ordenado in jacrit, aunque después de…</t>
  </si>
  <si>
    <t>Mi, Josef</t>
  </si>
  <si>
    <t>Josef Mi</t>
  </si>
  <si>
    <t>…azan, en la pro Se leyó v aprobó el acta de ía anterior. vincia de soria, p diendo se les concediese la comunidad de pastos qu Las Cortes quedaron enteradas de do» oficio»; uno de D. Josef Mi inte* gozaban. guel Ramírez, y otro de D. Francisco Martínez de la Rosa, man lici A la de L-gislacion dos consultas del tribunal supremo de Justicia, tan.lo su agradecimiento por la declaración que han hecho las Cortes la primera relativa al decreto de 11 de…</t>
  </si>
  <si>
    <t>Mi.ana</t>
  </si>
  <si>
    <t>…as siete de la ni á 100. Regresan á los pueblos desde Navarra los mozos que fueron mañana, y tengo U sat.»f.&lt;ccon de decir á V. E. que be recib ió un tacados por fuerza. parte dei general Mi.ana a Ja una de la mañana , en qu- me pzrtic pa __El 34 el general Espinosa dió una buena lección i los faccciosos que Mosen Antón , en núm-ro de 1500 horr o*rs, iba a atacar esta vi entre Aibar y bada en las inmediaciones de Sangüesa. Las fuerzas nacio lla al am…</t>
  </si>
  <si>
    <t>Mica</t>
  </si>
  <si>
    <t>…br.» , y i.a depos.tam a. 1 un c nsiceratve .orv.sy ha ma'c' a o en Brnabarre , que vs donde se hallan los facciosos: ¡d.sgnciido» de dio* „ sega é» a Agrama:,t a reunirse con el general Mica, cuyos p-. v:.ios s no. sp ran, y que d.a tm hermoso ten-iremos! y si no aguardan lo* » »e i.noran." buscaremos aun cuando se oculten en el centro de ia tierra. •&gt; :&gt;.&gt;v muy amarte de la exactitud, y oficialmente tengo prometido al G b:erno usar a ta cuanto h…</t>
  </si>
  <si>
    <t>Michelcna, Pedro</t>
  </si>
  <si>
    <t>Pedro Michelcna</t>
  </si>
  <si>
    <t>…nes por Barcelona , y inmediaciones de Sevilla, presentado por D. Lorenzo Benan. en breve se vió la Rambla trasformada en un campamento, es decir, A la de Guerra una exposición de D. Pedro Michelcna, sargento que la tranquilidad de Barcelona ha sido atacada por sus mismas auto mayor agregado á la capitanía general de Castilla la Nuera, manifes ridades , que solo trataban de dar importancia á un hecho que en sí no tando no haber tenido efecto la recomenda…</t>
  </si>
  <si>
    <t>Midan, Juan Antonio</t>
  </si>
  <si>
    <t>Juan Antonio Midan</t>
  </si>
  <si>
    <t>…ct.ivud , se emp'nza á los que se crean Con presencia de la denuncia hecha per D. Vicente Romero, t con derecho á los biems d-.l legado p o qu-' íutidó para ayudar .1 la nombre de D. Juan Antonio Midan, comandante de la milicia nacio colocacoo de casam ento de tus d u.lrs y parum-s e! c'cri^o P dio nal volunnria de Ale.zar de S. Juan, da un artículo inserto en el Te Sánchez i a4 de Abril de Itfzz en vil a d.-C.t na, como icu.Inser légrafo, núrp- 46, que emp…</t>
  </si>
  <si>
    <t>Mier</t>
  </si>
  <si>
    <t>…s principios gubernativos tenian en la política del mundo civili V. S. parte detallado desde Granoliers. zado, exigen que ia historia deje consignado este hecho con Ja veraci » El coronel Mier ha quedado en S. Feliu con las compañías de Za dad y exactitud posibles. Hasta ahora puede decirse que los periodis ragoza para marchar i Vich , unido á la sección que ha venido de tas ingleses no hacen mas que divagar sobre este punto t y aunque allá, volvie…</t>
  </si>
  <si>
    <t>Mier, Josef de</t>
  </si>
  <si>
    <t>Josef de Mier</t>
  </si>
  <si>
    <t>…lladolid. juicios hasta aqui experimentados. Dt ia audiencia de Sevilla. D. Teot mo Escudero á la de Extrema 3." » Que i fin de conseguirlo el Gobierno i la mayor brevedad y dura. D. Josef de Mier a la de Granada. D. Pedro Simó á la de Ca con presencia de los reglamentos, órdenes é instrucciones vigentes, narias. proponga á las Cortes un proyecto comprensivo de las reglas sencilla* De la audiencia de Valencia. D. Francisco Gutiérrez Sosa á la y seguras…</t>
  </si>
  <si>
    <t>MIERCOLES</t>
  </si>
  <si>
    <t>Núm- 124. (&gt; cunto».) u$| GACETA DE M A D R 1 D. MIERCOLES 3i DE JULIO DE 1811. noticias extrangeras. y se me presentaron en actitud de ha car una rigurosa resistencia, coro nando las alturas intnedratas, que presentaban una formidable posición. AUSTRIA. Nuestros valientes treparon con el mayor entusiasmo , y á su as…</t>
  </si>
  <si>
    <t>Núm. 3 17. ( 7 cnartc*.) t59t GACETA DE M A D R I D. MIERCOLES 3o DE OCTUBRE DE i8»a. NOTICIAS DE ESPAÑA. procedentes de la guarnición de Mequ:n*nza se han extendido hacia Se na. He dado orden para que ¡a fu rza del Infante D. Antonio , que lle Zar.troza 22 de O:titbrt. gó i Hujsca el 17, co ra t Monzan , y para que los…</t>
  </si>
  <si>
    <t>Miércoles, Josef Joa Madrid</t>
  </si>
  <si>
    <t>Josef Joa Madrid Miércoles</t>
  </si>
  <si>
    <t>…etroceder por hallar las avenidas ocupadas por el enemigo. suramos,” y concluye: » Aranjuez 31 de Mayo de 1821 /'denunciado como injurioso * en cuya consecuencia la ley absolvió á D. Josef Joa Madrid Miércoles 4 dt Setiembre. quín Fernandez, responsable de dicho impreso , y se mandó por fa au S. M. el Rey y SS. AA. continúan sin novedad en su importante toridad se le alzase la fianza que tenia dada, declarando al mismo tiem salud. S- M. la Reina nota algún alivio.…</t>
  </si>
  <si>
    <t>Migad</t>
  </si>
  <si>
    <t>…lación al hab-r que disfrutan; y un informe remitida brada, que tiene mucho í que atender, sinoá otra especial que solamen por el ministerio de la Guerra acerca de la solicitud de D. Migad te se ocupe d- e , pon.éndosc en contacto con el Gobierno. Tole, á fin de qu: se le exima del sorteo para el reemplazo del egerciwUn 'sr. diputado d jo que todo indicaba que había una conspiración A la de Legislación una exposición de un sargento mayor que íu…</t>
  </si>
  <si>
    <t>Migu.l, Evaristo S.</t>
  </si>
  <si>
    <t>Evaristo S. Migu.l</t>
  </si>
  <si>
    <t>…. 1." Art. 5.“ Estas teuniones na sión de los números 24 y 25 de la 1 eneróla, d.r.u:.ciado por el i xcepodran celebrarte desde media noche hasta una hora después de ama lentísimo Sr. D. Evaristo S. Migu.l; en cuya cor.s.cuencia )a ley con necer , y en cato de bailara* reunidas á dichas horas sa disolverán, ó denó á D. Antonio Solana, responsab.e de d cho impreso, a la pena de no hacerlo serio consideradas en estado de desobediencia á la ley. de tres m.ses de p…</t>
  </si>
  <si>
    <t>Migue</t>
  </si>
  <si>
    <t>…rba por so d.a, mas ( o 10 lio ne este aro ( Ion 174) revocó la del juez.de.primera instancia , y Iga), dudando s Seria necesario expedir exhoitoaotra p.rte para a Je- absolví., á D. Migue. Antonio Legarra, presbítero , abad del lugar de claiacion de D. Félix Sarasa, conipr nd.do en ia lista de t.siieo» que G-.ularaz, preso en las cárceles nacionales de Pampón*, de la acusa presentirá el promotor 6&gt;cal, esta cuda podna ii.b.ra siempie , como ci…</t>
  </si>
  <si>
    <t>…e che, le lúe preciso drr descanso á aquellos valientes. Recomienda pjrapoderaba, como lo hizo, de Asarta. La segunda columna los desalojaba t afírmente 4 los m i i.n s nacionales D. Migue* d- P choren» , Don del bosque; pero habiendo cargado mas fuerzas por mi izquierda , em Francisco Berrendo y D. T. i/tacn, que fueron ios primeros en perse peñaron el ataque las milicias hasta el extremo de colocarse a tiro de guir y atacar i los facciosos y…</t>
  </si>
  <si>
    <t>Miguel</t>
  </si>
  <si>
    <t>…no estuvie Morales , López Constante, Vadillo, Palarea , Navarro (D. Andrés), sen autorizados para desechar las proposiciones que les hiciesen contra Puigblancb, Desprat, Ramírez (D. Miguel), García Sosa, Gutiérrez rias á la libertad (en su persona y bienes) de los españoles americanos Acuña, Ciscar, Florez Estrada, Navarro (D. Felipe), Golfin, Gaseo, y europeos que hubiesen permanecido adictos á la metrópoli, y quisie Romero (D. Josef), Muftoz…</t>
  </si>
  <si>
    <t>…io de toda esta forzosa obscuridad se Manuel de Figueiredo. = Buenos-Aire» ai de Agosto de 1821. = Al re todavía que la Puerta cede poco; la Rusia exige mucho, 7 las otrai Exento. Sr. D. Miguel potencias trabajan en vano para impedir el rompimiento que nuevas cir cunstancies están provocando cada dia mas 7 mas. Ahora se sabe que naxcu. los persas han ganado una victoria contra los turcos, 7 que el bajá que mandaba las tropas de estos, al verlas venc…</t>
  </si>
  <si>
    <t>…to campo de reflexiones á todas aquellas personas que creen no procedente de Sto. Domingo, en 63 dias. Conduce 54 pasageros, que haber nada indiferente en política. El ex-hospodar príncipe Miguel son oficiales y empleados que estaban en la parte española de la isla de Suzzo tuvo orden de salir dll territorio ruso , adonde se había acogido. Sto. Domingo, en donde se había proclamado la independencia. * Es bien sabido que la Puerta ha hecho grande* esfu…</t>
  </si>
  <si>
    <t>…sempeña interinamente la comandancia general del Cam concordia y reconciliación general entre todos los españoles , condensapo de G&gt;braItar. Para Ja de Málaga al mariscal de campo D. Miguel do á perpetuo olvido los nombres de serviles y liberales, y todos los Tacón , gobernador de la plaza de Málaga. demas que contribuyen á fomentar tan escandalosa división. Vendes# Décimo distrito Para comandante general de él, que se compone do á 8 rs. en la l…</t>
  </si>
  <si>
    <t>…abra á los ciudadanos, les dice entre otras cosas , que estando en su te del 1pidiendo que se ex¡gie=e la respon,ah¡¿.dad al gefe poiíti.o casa en la noche del 17 entraron en ella D. Miguel y D. Matías Espi y al comandante general de la provincia por la, ocurrencias del 7 r nosa, y le refirieron lo que estaba pasando , y que la gente corría por 8 de Enere ú timo Se me contestó que no hab a noticia de eiia , v a! las calles, pidiendo varios ciudadanos que les abr…</t>
  </si>
  <si>
    <t>…cción general de aduanas y resguardos. ron aisucito dicho impreso fueron D. Matías de Velasco, D. Maria Hallándote vacante la plaza de contador déla aduana de Ceuta, pro no Prtet, D. Miguel sanchez , marques de Riofiorido, D. Luis Oliag, vincia de Cádiz, dotada con 6600 rs. anuales, y siendo precisa su pro D. Joaquín Saez Quinlanilla y D. Gabriel Montaner; D. Francisco visión, se anuncia al público para’que loa empleados ea activo servicio Calvo…</t>
  </si>
  <si>
    <t>…oran, O. Martin Jo.-{ d- C-rocio, D Santiago de la Azuela, Don no con comentarios por D. Ramón Salas, ciudadano español y doc N colu lário, !&gt;. Francisco de P-.u a Castro y Gómez, D. Miguel tor de Salamanca, adudirin á recoger el 5.a y último tomo i la libre *•-1 P no y l./.p-* , O. Juan F-ancisco Vidot, D. .'ógismundo Moret, ría de Sojo , donde han suscrito; y en ,1a misma se hallará venal to T&gt;. F ranc.wo Midaigo, i). Juan Bautista de hiejabur…</t>
  </si>
  <si>
    <t>…s ó los moderno;! ¿Sos aquellos de lo* certificaciones. Gobiernos absolutos en que solo la fuerza hace la ley; en que rl jura La diputación de los cinco Gremio* mayores de Madrid. D. Miguel mento se da por supuesto, y no se hace, ó si te verifica, es por medio de Perez, D. Alejandro del Bureo, D. Pedro D¡az , D. Josel Fermín Gil, fórmulas y ceremonias en que ninguna parte tienen los súbditos! ¡O D. D:e¿o del Rio, D. V.cente García Di z, D. Anton…</t>
  </si>
  <si>
    <t>…idas pruebas que de amor al sistema tiene dadas. Villapersona del faccioso Pablo Rions, natural de Lérida , secretario del ca franca 30 de Junio de 1811. = Pedro Josef Casasola. = Sr. D. Miguel becilla Misas, cogido en acción de guerra. deHaro. Idem 7. Por noticias recibidas del pueblo de Molas se sabe que los murrtos Ayer á las 9 de la noche entró en esta el brigadier D. Antonio fueron mas de 28, y que el cabecilla muerto por Pesino cía un gsfede R…</t>
  </si>
  <si>
    <t>…nas altas se cita al cuerpo diplomático, formado en el día gefe de la columna, y el segundo del mayor encargado de su detall. por D. Tomis Godoy y Cruz , representante de Mendoza, D. Miguel El coronel D. Antonio Ordofiez con las tropas de su mando, que se Zafiartu, plenipotenciario de Chile, D. Juan M. Foibes, agente de hallan en Gausin y Casares, deben reunirse i la mencionada columna, los Estados-Unidos, D. Juan García del Rio y D. Diego Paroissi…</t>
  </si>
  <si>
    <t>…a los cazadores del provincial de bigtienza, como igual con la columna votante al mando de D. Josef Benito Azcuénaga, acabo mente el particu ar mérito que ha contraído el patriota D. Miguel de de batir, destruir y arrollar á tos facciosos en número de 1100, *1 Totrea.ríDios ruarde á V. S. muchos afios.=Lanaja y Agosto 23 de mando de los cabecillas Rambla y Chambo. La acción ha sido g!nr„.,a 181a á las diez y media de la noche.srFrollan Mojon.=ér…</t>
  </si>
  <si>
    <t>…vean holladas las lepes por los magistra (Gaceta del 7.) dos p jueces puede el tribunal supremo de Justicia proceder de oficio Decreto de S. M. concediendo el uro de media firma á D. Miguel contra los infractores. (Gaceta del t.*’) López de Bailo*. (Gaceta del zo.) Decreto de las Cortes sobre la distribución del medio diezmo p pri Resolución de S. M. contratando á la duda de ti deberán ser nom micia. ( Gaceta del a.) brados vocales d¡ los consej…</t>
  </si>
  <si>
    <t>…moa D-tpur* manifestaba que la separación del Brasil era inevitable, y en lo* últimos p-riód'cot de Paria alguna mas circunspección cuan pedí* á S. M. qu- diese licencia a Infante D. Miguel para ir al Bra- do se trata de la España. Las calumnias, los denuestos, las continuas s 1, pu i se proponía casar! •. con su luja Doña María de Gloria, y re provocaciones, los absurdos, los disparates, ¡as tont tías, toeo ha cora ndaba i S. M. que como padre…</t>
  </si>
  <si>
    <t>…, los cuales indican de un modo nada equívoco Se acordó que pasase á la comisión de Poderes una expos;cion da que S. M. trata de asegurar nuestras I b -nades, nuestra Constitución D. Miguel La,tama, en la que manifestaba que en atención a la me y ru stra absoluta independencia en uto de sus sagrados derechos; ra dida que las Cortes extraordinarias de 1821 acordaron resp-cto de los zones toda, que obligan i la gran Nación, de que somos representan d…</t>
  </si>
  <si>
    <t>…ma y contemporáneo le llevaría siempre en su compafiía. da por solo él con dictado de secretario convence que las ideas d,- este Estos antecedente*, que eran muy sobrados para que D. Miguel abad eran enteramente conformes con las de Bilda , manifiesta que Antonio Legarra se precaviese contra las asechanzas de Balda, y que tenia ánimo decidido de continuar en la conspiración, apoyado en la á ser cierto el patriotismo y amor á la Constitución que…</t>
  </si>
  <si>
    <t>…la causa siguiese el cu:so señalado en la ley de 17 tes' ¿os presentados hablan solo de conversaciones que oyeron á Legarra de Abril de 1811 ; y debiendo pedir en el segundo que á D. Miguel tr uchos m ses antes , y el hecho principal que debiera probarse para Antonio Legarra se le aplicase la pena legal correspondiente al delito, este *freto se qu dó en un a'to silencio. ¡Por qué no justificó Legaría si se convenció de que estaba probado y justi…</t>
  </si>
  <si>
    <t>…gnna entre Isidro y Juan. Primera conversación , denunciado por el guridad ; pero siempre insistiremos en que no debemos tener otra con Sr. alcaide cor.tütucional de Turra.or,a y D. Miguel de llaro , maris fianza que la que estriba en nuestra vigilancia, en nuestra actitud for cal de campo de los rgércitos nacionales, y comandan!* militar de la midable contra toda clase de enemigo*, en nuestra firme resolución de provincia de Tarragona. defende…</t>
  </si>
  <si>
    <t>…Bastan , escriben lo que sigue con fecha del 13. exhalan su ira contra la Inglaterra, porque no quiere condtscend. r con En la noche del 11 salió el capitán retirado de artillería D. Miguel su manía fanática destruyendo la paz en Europa, como sucedería .1 Jcsef Gastón con la milicia voluntaria de su mando i dar un paseo aprobase una intervención armada en España para restablecer en ella '» militar, y hoy ha vuelto después de haber atacado i los…</t>
  </si>
  <si>
    <t>Miguel, Camilo</t>
  </si>
  <si>
    <t>Camilo Miguel</t>
  </si>
  <si>
    <t>…fe- Jaime Sola , D.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 Hilario Brihuega, cargada de la recaudación de lanza* y media anata, que el título de Cas D. Antonio Bravo, D. Antonio Cumbres…</t>
  </si>
  <si>
    <t>Miguel, Evaristo S.</t>
  </si>
  <si>
    <t>Evaristo S. Miguel</t>
  </si>
  <si>
    <t>…róica villa D. Arias González de Mendoza por el Sr. fiscal de impren 6° O. Martin Navas por 58 de 99. ta el impreso titulado -. 'Nudo constitucional sacado por D. M. X. t\ C., 7.° D. Evaristo S. Miguel por 47 de 91. administrador de todas rentas del partido de Trujillo, provincia de Ex Se levantó la sesión á las cinco. trañadura , como subversivo y sedicioso en la mayor parte, de sus pióARTICULO DE OFICIO. posiciones, se reunió el jurado compuesto de los Sr…</t>
  </si>
  <si>
    <t>…emorable guerra de la tado por renuncia da D. Francisco Martínez de la Rosa, he ver.ido en independencia, llena de noble orgullo y de una santa emulación i lodo* nombrar para él á D. Evaristo S. Miguel. Tendteislo entendido ¿cc.” los que visten el uniforme de milicianos. Lo» tres batallones y lae compañías de caballería y artillería que componen la milicia volunta' n lidiándose vacante el destino de secretario de Estado y d-l Des ría de Valencia, al paso qu…</t>
  </si>
  <si>
    <t>Miguel, Evaristo San</t>
  </si>
  <si>
    <t>Evaristo San Miguel</t>
  </si>
  <si>
    <t>…de la milicia nacional, dos escuadrones de caballería y el batallón de sulmanes. Dicen que Rusia ni la rehusará ni la com enzará, porque obli oficiales i las órdenes del valiente coronel D. Evaristo San Miguel; y gada á hac-ria , cuenta con el auxilio de otra grande potencia. til Em habiendo alcanzado á los fugitivos junto á las ventas de Alcotcon, los perador había estado en Wilna con sus augustos hermanos los grandes derrotaron y dispersaron completamente Es gran…</t>
  </si>
  <si>
    <t>…como los que quedaParte dado al excelentísimo Se. comandante general de este primer dis ron con las que permanecieron en la plazuela 4 las inmediatas órdenes trito militar por el coronel D. Evaristo San Miguel sobre ¡as ocur de V. E., nada me han dejado que des ar: todos sin excepción han cumrencias del 7. piido como militares de una Nación IIb-e: valientes en el ataquety ge » Exorno. Sr.. El cuerpo de caballeros oficiales 7 demas beneméri neroso» con los vencidos.…</t>
  </si>
  <si>
    <t>…rsona de Juicio de jurados. cualquiera clase y condición que sea que conspirase directamente y de hecho á trastornar 4 destruir 4 alterar la Constitución política de la El Exento. Sr. D. Evaristo San Miguel denunció al Sr. alcalde Monarquía española, 4 el Gobierno monárquico moderado hereditario D. Vicente Bertrán de Lis el pasage de los números 24 y 15 de la que la misma Constitución establece ,44 que se confundan en una per Tercerola , que comienza en la pág.…</t>
  </si>
  <si>
    <t>Miguel, Francisco</t>
  </si>
  <si>
    <t>Francisco Miguel</t>
  </si>
  <si>
    <t>…e fondos públicos «le su ver«ladero objeto, si den* á ella. Aprobarlo. no aun otro mayor , y es el qu* la mayor parto «le los que costean lea La misma, en vista de la solicitud de D. Francisco Miguel de la gasto* que en día* se hacen son pebres, que caeán ganar «I cielo gasttnCaballería, vecino de Rueda , sobu que se le permitiese vender unas do en un dia al producto del trabajo de muchas semanas, y arruinando fincas vinculadas que poscia en la ciudad de…</t>
  </si>
  <si>
    <t>Miguel, Iofante D</t>
  </si>
  <si>
    <t>Iofante D Miguel</t>
  </si>
  <si>
    <t>…los que nos presenta la historia, á la qua llamó maestra de la vida y astro luminoso para las discusiones polí Lútea 16 dt Julio. ticas; pero opinó que podía delegarse el poder al Sr. Iofante D Miguel, Sesión dt Cortes del g. adviniendo que no rra de parecer de que en lo sucesivo se siguiese en Habiendo sido desechados los t ■ artículos primeros adicionales i viando al pr mer Infiute,sino únicamente en el día por no haber otro. la Constitución para el Bras…</t>
  </si>
  <si>
    <t>Miguel, Josef</t>
  </si>
  <si>
    <t>Josef Miguel</t>
  </si>
  <si>
    <t>…Rodríguez de Casal; y finalmente en ia Diputación permanente por fa mez (D. Manuel), Maní, Nufiez (D. Toribio), Vs.ai.u, Gil, Or- llecimiento de D- Josef Gutiérrez de Teran entró D. Josef Miguel dufia y Silva. Ramírez. También manifestaba la Diputación sus procedimientos en el Guerra. Sres. Craces, López, Luque, Btak, Liiio, Seguera y Lló asunto de la convocación de Cortes extraordinarias &amp;c.; y finalmente rente. acompañaba otra exposición con caráct…</t>
  </si>
  <si>
    <t>Miguel, Juan Antonio</t>
  </si>
  <si>
    <t>Juan Antonio Miguel</t>
  </si>
  <si>
    <t>…solicitud de D. N. Heredia, por ella promueva en el acto una riña ó pelea de que resulte la muerta relativa al despacho de una partida de azúcar, y una exposición de del ofensor. D. Juan Antonio Miguel, fabricante de tapicerías , vecino de Valen - Segundo: por ti- peligro ó ultraje ó deshonra grave qae funda cia , pidiendo se le permitiese la introducción de una partida de carto damente tema el homicida en el acto mismo del homicidio contra ai nes y papel q…</t>
  </si>
  <si>
    <t>…las Se aprobó el dictamen de las comisiones de Hacienda y Comercio, Cortes. Ki hecho es indudable, cualquiera que sea su causa. Las Corres las cuales, en vista de la solicitud de D. Juan Antonio Miguel, ador carecen de motivo para dudar de las buenas intenciono de los minis nista de Cámara, sobre la introducción de varios cajones da cartones y tros , y conocen que no todos tienen igual parte en las quejas; pero á papeles estampados, opinaban que las Cortes…</t>
  </si>
  <si>
    <t>Miguel, S.</t>
  </si>
  <si>
    <t>S. Miguel</t>
  </si>
  <si>
    <t>…alguna , escribiendo que en lugar de propios, y por consiguiente faltando el trabajo á dichas-diputaciones. de la cantidad de tantos reales, equivocada, debe ser la de tantos. SI Sr. S. Miguel dijo que las reflexiones del Sr. Salvador eran muy Art. 7." » Gomo pudiera suceder que el billete de una cantidad con buenas, pero no del caso, porque era menester tener presente que en siderable te presente muchas veces, de modo que no sea suficiente el las…</t>
  </si>
  <si>
    <t>…no era muy i propósito el que se esta conforme á lo resuelto por las Cortes.. bleciesen las penas en el reglamento interior de Cortes , pues los delin Se leyó uní proposición del Sr. S. Miguel relativa á que el Gobier cuentes no habian de ser juzgados por el tribunal de estas, sino por no designase en cada capital de provincia un edificio proporcionado tribunales ordinarios, y que dé este modo se abriría la puerta á la arbi para establecer allí las…</t>
  </si>
  <si>
    <t>…ó hierro, será ia pena de Art. 390. (Devuelto ¿ la comisión , y reformado con presencia de dos i ocho años , sin perjuicio en ambos casos de cualquiera otra en que una adición del Sr. S. Miguel.) - Los que construyan, vendan, intro incurra por la violencia que cometiere. Los funcionarios públicos &amp;c.” duzcan ó suministren de cualquier modo cuños , troqueles ú otros ins Art. 316. Párrafo 1." (adición de la comisión.) » Y en que cua trumentos que excl…</t>
  </si>
  <si>
    <t>…m- contestase ti se la tras y media. discute el párrafo del prólogo del dictamen que trata de que se envíen algunos artículos del código á la sanción Real. ARTICULO DE OFICIO. El Sr. S. Miguel dijo que la comisión no había variado sn dictamen, y de consiguiente insistía en el mismo. El teniente general marques de Campoverde con (echa de 31 dd El Sr. presidente dijo que habiéndose concluido el código penal le mes anterior desde Carmona dice al Sr. m…</t>
  </si>
  <si>
    <t>…y sus de inviolabilidad del Rey, por el cual era acreedor á todos los respe tituir pinturas &lt;t dibujos. tos debidos á su alta dignidad , de lo que todos estaban persuadidos, y El Sr. S. Miguel, corno de la comisión, dijo que podría decirse: pin por lo mismo no debía ser objeto de dudas-, pero la discusión se redu turas y ¿rabada 1 que te conocen con el nombre de caricaturas. cía á un círculo mas estrecho , cual era la opinión que habían mani El Sr.…</t>
  </si>
  <si>
    <t>habí* castillo 6 fortaleza en donde tenían su domicilio, y ademas po El Sr. S. Miguel dijo: Sin que trate de sostener el dictamen de I» día llegar el caso de ser ilusorio el castigo. comisión, debo manifestar las razones que esta ha tenido para proponer El Sr. Sancho opinó que la pena debía ser general, como estaba el artículo que se discute.…</t>
  </si>
  <si>
    <t>…ción , y en ti primer caso de ninguna manera la iey de 17 de Abril. Por otra Real orden , resolviendo las dudas del puedo convenir con el dictamen de la comisión. Aun dire mas: no Sr. S. Miguel, se dice que la causa en que estaba entend.endo podía creo que sea del caso este d.ctamen, porque D Nicolás Garelly se dividirse en dos extremo,, sin perjuicio de que se formasen ias piezas se qu*Í* de que siendo ex-secretario, se ba dado un auto de pris.on c…</t>
  </si>
  <si>
    <t>Miguel, San</t>
  </si>
  <si>
    <t>San Miguel</t>
  </si>
  <si>
    <t>…r. Calatrava contestó que la comisión no hablaba en el artículo largo el término que proponía la comisión. sino de ios reos , y que en cnanto al Rey la Constitución misma le da El Sr. San Miguel opinó que debían quitarse las pslabras S para dtba ias facultades a que se refería el mismo articulo. Quedó aprobado. snms lar ¡os resarcimientos i indemnizaciones , porque esto era puramen Art. líg. » S. M. concede siempre los indultos paitxularcs, oyen- te…</t>
  </si>
  <si>
    <t>…ía obligárseles 1 servir en CORTES EXTRAORDINARIAS DEL AÑO DE 18ai. la milicia permanente pan que expiasen de este modo el abandono de sus banl. ras. raaatnmnciA bu anfión xnv. El Sr. San Miguel contestó que en impracticable lo propuesto por el Sr. preopinante , pues no podía parecer en ninguna manera conve Sesión del íj de Enero. niente el que se volviesen les armas de la patria á los que habian abu Se leyó y aprobó el acta de la anterior. sado de «…</t>
  </si>
  <si>
    <t>…s de los tribunales, y asimismo acerca de que era Gobierno para denunciar los escritos de que se trata. tina monstruosidad obligar á uno á seguir un juicio sobre un papel que 0 El Sr. San Miguel manifestó que la comisión convenia en que el en su conciencia no era malo: altadlo con este motivo que no creía artículo se extendiese en estos términos. muy convenirme ía palabra responsabilidad, manifestando que los fran Se preguntó si volvesia á la comisió…</t>
  </si>
  <si>
    <t>…mos reunidos con dos ó-tres mil I Es claro que la segunda, sefiaiadas por la Constitución ó por las leyes.” y por lo mismo no se puede decir que por este artículo se quieren im El Sr. San Miguel manifestó que la comisión bibia convenido es pedir las referidas exposiciones. Recorramos la historia, y veamos loe que se pusiese después de la palabra Autoridad la de temo tal. sucesos tristes que acontecieron en la revolución francesa. Generalmen El Sr. Pr…</t>
  </si>
  <si>
    <t>…l será doble en Ultramar. También den ponerse de acuerdo para tomar cada una la providencia conveniente. admitía 1a comisión la «leí Sr. Alvares Guerra, la cual te podría expre El Sr. San Miguel ¡ La discusión parece que estriba sobre la inteli sar en la forma siguiente: los escritos oficiales dt tac autoridades públi gencia de la palabra acordar-, pero verdaderamente esta palabra no sig cas no quedan sujetos i las leyes que tratan dt los abusos dt l…</t>
  </si>
  <si>
    <t>…comisiones de Milicia local y Guerra se pasó otra consulta en ella. del Gobierno sobre las dudas ocurridas en la formación de la milicia Se leyó en seguida el voto particular del Sr. San Miguel, indivi nacional local de la Corulla, 7 de un escuadrón de artillería de la duo de dicha comisión, que disentía del dictamen de la mayor a en misma. cuanto í lo que se refería al fiscal logado. A la comisión de Guerra se mandó pasar un oficio del Sr. secreta…</t>
  </si>
  <si>
    <t>…est ha a. 1 se jpi.su: o a , i re- El Sr. secretario Salva aíviit o que h..b.a vir. vot, parí .a.ai J-’ serme su» facultades: posteriormente á csro, hab.eiul . .noi.trdo el ¡nodo Sr. San Miguel , en el cual rt;cer.ti.t de la n;;u ; .a h lo c¡ o r ; :.;o *1 de poder volver i Valencia con el fin de ver si poJ,.a.n.&gt;s 1 ,tjí&gt; c r el fiscal togado, opinando qu. no deb 4 cxicusc.e ¡a r.»foa»-L i.c.ao ' itecua constitucional, y no tea leudo medios pira hi…</t>
  </si>
  <si>
    <t>Miguel, Santot San</t>
  </si>
  <si>
    <t>Santot San Miguel</t>
  </si>
  <si>
    <t>…irma, y de hab r dictado cuanto va eserito. = Bujnavmiuia Torner, Mier. presbítero, confesor del reo.—\gustin Itourj , presbtero, cape' ir. auCuria del parte que te cita tn el del Sr. Santot San Miguel, coro- iiliante.=EI comandante del p quete de granaderos Francisco Raúl!. ntl del regimiento de Aragón. El infrascrito capellán del primer batallón de indicias vo unuria* Regimiento infantería de León. » A las siete y media de la ma de Burc-lona, y encargado…</t>
  </si>
  <si>
    <t>Miians</t>
  </si>
  <si>
    <t>…e los facciosos de S. Feliu de Codinas se hallaban en Cal- y solo se les pudo coger tres prisioneros. des con bastante fuerza , y el cabecilla Mitas 4 tu frente, sin saber el -—El general Miians ha exigido al ayuntamiento de Malgrat la multa rumbo que tomarían. A las seis de la tarde se ha sabido que te bailas deS9 rs. porque no dió parte de la entrada de los facciosos en dicha lot facciosos en Scnmanat y Castellar , y se teme que vuelvan segunde pue…</t>
  </si>
  <si>
    <t>…ios, y de asegu del 94), se han rendido después de haber echado por ura v i. una abajo rar el buen éx:to de vuestros esfuerzos. No ha debido perder de vista á su cabecilla Ñas: el general Miians ha mandado a cabucear A &lt;&gt;tros la diputación en tus deliberaciones sobre un importante n-goc.o Ta dos de los cabecillas: los d mas, en número de 25 hoy, y 43 ayer, triste y dolorosa circunstancia de hallarse estas provincias declaradas «rs han llegado presos…</t>
  </si>
  <si>
    <t>Miiimo</t>
  </si>
  <si>
    <t>…i: lo qua dice este artículo es que en las cienda. Aprobado. provincias qnc no elijan sino un diputado haya de haber á lo menos La comisión de Premio*, en viste de le solicitad dt D. Miiimo cinco electoras; y asi en su segunda parte Jiabla del modo de distri Elias, vecino 7 del comercio de Cádiz, opinaba que debía pasar al Go buir este número entre los partidos en qne esté dividida ó se divi bierno, porque no correspondía á las Cortes. Aprobado.…</t>
  </si>
  <si>
    <t>Milán</t>
  </si>
  <si>
    <t>…en el 7.0 distrito militar. &gt;17 muertos, una infinidad de heridos y muchos fusiles. El 16 entró v Siendo posible que la temeridad y otadla de los facciosos les hicie-' en esta el general Milán* coa su división , y en la mañana del 17 ata te formar, bajo el pretexto de sostener la sagrad* religión que tus im caron las tropas á ia bayoneta la gavilla de Misas , que se había para puras boca* profanan, el quimérico proyecto de atacar esta ciudad con pe…</t>
  </si>
  <si>
    <t>…s es gustoso, y hoy alcanzan hasta el mismo día con noticias hasta el 20, y no bamorirán en estas calles, sí es por sus dilatadas familias, á quienes tam b an aun de la acción del general Milán* en S. Feliu de Cojines, que bién tsp ran se les atenderá como prófugas después de mil calamidades. ayer instilamos en la gaceta. « Dios guarde á V. S. muchos años. 1'udt.la y Agosto al, hoia de Los per,lidíeos de iiarcelons no contienen noticias interesantes…</t>
  </si>
  <si>
    <t>…francés. mandante general del 7.' distrito tenga i bien dar las órdenes conve „Si me es posible pasaré hoy mismo por Azcoitia i Elgoibar, con nientes á efecto de qur ya sea por el general Milán*, ó con otra fu rza forme m; tenia prevenido el coronel D. Gaspar de Jáuregui, donde de la mas disponible , se auxilie esta plaza por todos loa medios practi espero las órdenes de V. S. cables. D.os guarde á V. b. muchos años. Gerona ;■ de Setiembre de « Dios…</t>
  </si>
  <si>
    <t>Milans</t>
  </si>
  <si>
    <t>…atacarnos. A Ayorb: está en B.salú recorriendo aquellas cercanías. fin de hacer mi» vigoiosa resistencia, y superando obstáculos, se consi _Segun una carta de Mataró, f.cha i8&gt;el general Milans prendió en guió poner en estado de servicio otro cañón de á ocho taladrado por la Arbucias á los'pedrés, hermanos y varios parientes de Mosen Antón, culata, de cuyo p-culiar manejo se encargaron los oficiales mismos, intimando i cite infame que los mandará fu…</t>
  </si>
  <si>
    <t>n;¡ &lt;’o;e ene viví en las días de los milici.inosy en tolos los grupos de loa por último todo él. El general Milans siguió con la tropa que llevaba patriotas. Tal es el ardor de esta brillante juventud , que si encuentra 4 el alcance d: los rebeldes, corriéndolo» hasta Jaa inmediaciones de la tos facciosos, nos atrevemos 4 asegurar que la vi tor a coronar ¿sus es Roca, don…</t>
  </si>
  <si>
    <t>…. ;Y qué obstáculos dejará de superar el que colo la compañía de Cantabria. cado á la cab;za de tan distinguidos patriotas cuenta siempre con su __División de la segunda línea-del general Milans. Por no perder cooperación y con sus luces, y qu: admitiré reconocido sus adverten momento de dar á V. S. conocimiento de la victoria de ayer, le indi cias y consejos , para no aventurar el acierto en el desempeño de sui qué solamente desde Breda qu; ha’iia d…</t>
  </si>
  <si>
    <t>…ue en el Ayer *6 á la noche llegó á GranoUcrs parta de un batallón de campo han quedado , presumiendo que los heridos sean muchos, por Córdoba, que viene de Vich á reunirse con el general Milans, trayen la intrepidez con que les cargó y io* acuchilló nuestra caballería, per do presos al canónigo Corroas da aquella iglesia, y al archivero de la siguiendo sus restos hasta la distancia «la «fes leguas por Bustilio , ca misma D. Pedro Palau, con otros 1…</t>
  </si>
  <si>
    <t>…no deba gido á dos horas de esta ciudad al comandante del srgundo bata, on de quedar impune sera jante infamia, se ha dispuesto que imnediatameata milicias Claret, y la marcha del general Milans sobre Mitiró, desampa saiga una co.umua de tiopa, que después de derrotar los bárbaros y rando la villa de Granollers que ocupaba para huir el cucipo a un gran cobardes que ésten con las armas en las manos, ex ja de esa corpora número de facciosos que querían…</t>
  </si>
  <si>
    <t>…s pasados llegó aquí de los capuchinos, y atacíndoles á la bayoneta fueron desalojados; y una numerosa partida de excelentes caballos para la remonta de la ar como la división del general Milans bajaba por la espalda, huyeron tillería, y de los mejores que laNormandía pudiera presentar. Pero lle precipitadamente y fueron perseguidos per la montaña, hasta que fati gado el caso del reconocimiento, el comisario dióporinhabiles la mayor gada la tropa reg…</t>
  </si>
  <si>
    <t>…el Sr. Zoiraquin ba conseguido una bul ante co.=Excmo. Sr. secretorio de Estado y del Despacho de ia Guerra.” ventaja sobre la gavilla da Rom,mena en Pont, y da por cierto que el general Milans habia entrado en Olot. Partes que se citan en el anterior. Gobierno superior político de la provine;» de Terue! csSeccion di ARTICULO DE OFICIO. gobernó poltico.s- Por ia adjunta copia d .i parí: qu: me ha r.nciEl Rey ha expedido el decreto siguiente: d.i el…</t>
  </si>
  <si>
    <t>…reglam;nto. je ha hecho mientras quede tt!?n f«r hacer." (Kejrz arriba Barcelona.) El Sr. Ferrer ( D. Joaquín]) dijo que el vasto pian del proyecto que Esperaban cía Barcelona a, general Milans,que desde Vicb llevaba se había leído requería mucha meditación, y que la comisión de Ha ciertos 'presos, bien resucito á que si á su columna se le disparaba un cienda sola no se creía con los conocimientos necesarios para desempí- solo tiro , el segundo seri…</t>
  </si>
  <si>
    <t>…e recibimos por los periódicos de este distrito, y hoy deja da la guardia y S. Cilios y cuatro compafiías de preferencia da gransmos arriba publicado lo mas esencial del parte del general Milans so daro» y cazadoras , pues *1 resto de la división espadóla no entró en ac bre una acción , ya anteriormente anunciada, pero no circunstanciada. ción. El agército leal sa hallaba á lat puertas da Lima , dominando «1 Tos negocios de Cataluña van tomando tal a…</t>
  </si>
  <si>
    <t>Milans, Francisco</t>
  </si>
  <si>
    <t>Francisco Milans</t>
  </si>
  <si>
    <t>…e Vich. Bell solí tres milicianos que habían sido prisioneros en la Pobla de Resguardo militar. Barbará , los cuales con unos too mas que hao ido á Figueras, se Excmo. Sr.: Al Sr. general D. Francisco Milans con fecha 8 del habían escapado después de haber muerto un centinela, y an medio de actual digo lo qne sigue: una alarma que tuvieron sus conductores. » Sabedor de que los facciosos habian dispuesto establecer nueva A la» 8 y media se nos ha presentado la div…</t>
  </si>
  <si>
    <t>…stra, y ea la apariencia mas ••Comandancia general del 7° distrito militar. = Excmo. Sr.: El bulliciosa que la anterior, en la cual están comprendidos los que no mariscal de campo D. Francisco Milans, comandan;: general de la tienen la suficiente habilidad para encubrir artificiosamente sus pasiones segunda división del egército de este distrito, m: dice d !e el pueblo j modificarlas según las circunstancias. La erudición , según ellos, las de Molió con f…</t>
  </si>
  <si>
    <t>Milans, Ó. Francisco</t>
  </si>
  <si>
    <t>Ó. Francisco Milans</t>
  </si>
  <si>
    <t>…on la mayor impavidez 7denuedo, decididos á matar los raciones de paja y cebada bajo la multa de ¿o libras. malvados que hubieran osado hacerles resistencia, sintiendo no haber El general Ó. Francisco Milans ha impuesto ia contribución de •prehendido igualmente ai cabecilla Tabaco, que huyó del pueblo á a9 rs. vn. al pueblo de Ereda, por no haber dado parte de ia existen todo galope asi que vió de cerca el peligro. Dicho alcalde al refe cia de los faccios s en él…</t>
  </si>
  <si>
    <t>Milant, Francisco de</t>
  </si>
  <si>
    <t>Francisco de Milant</t>
  </si>
  <si>
    <t>1560 St deducen concluye de tus operaciones, firmado por el general D. Francisco de Milant, han declarado á unanimidad de votos que ha lugar á la forPor remesado en libranzas fi las provincial de le . existencia de fin de Agosto................................... 3.563,398 mación dt tausa. Barcelona a de Octubre de i8aa.siRaaioa Maresch 7 Ros. = Do…</t>
  </si>
  <si>
    <t>Milco</t>
  </si>
  <si>
    <t>…litar i sos órdenes, estando en sus fa to mayor del batal.on de !• indicia activa de Badajoz , id. cultades el nombrar sin sujeción i escala i los cuerpos é individuos de Játiva a D. Milco .\ctbi, teniente coronel graduado y sezundo ellos que musan las circunstancias necesaria» para no aventurar la teniente del segundo regimiento de la guardia Real ds infantería', id. operaciones , «natía que deben tener pare poder cubrir acuelle respon Lérida…</t>
  </si>
  <si>
    <t>Milla</t>
  </si>
  <si>
    <t>…e España y cualquie se podia cometer este delito, habría motivo para imponer al que lo co ra otra potencia.” metiese hasta la pena de muerte-, y que por lo mismo se debía en su El Sr. Milla dijo que en la violación que se hacia en un armisticio concepto aumentar la pena que se establecía. «a preciso considerar si era cometida por un paisano ó por un militar; El Sr. Calatrava manifestó que se podría hacer una adición r sprcy qilí en ¡os dos casos…</t>
  </si>
  <si>
    <t>Millan, Josef San</t>
  </si>
  <si>
    <t>Josef San Millan</t>
  </si>
  <si>
    <t>…engado á la fecha de su ex D. Manuel Merino, D. Miguel Ripa, D. Zoilo Gómez Casero , Den pedición. Los diplomas recogidos se pasarán al consejo de Estado par» Valentín de Nicolás, D. Josef San Millan, D. Antonio Regás, Don que los cancele. Art. 9.0 El Gobierno bajo estas bases dictará las reglas Isidoro de Hoyos, D. Manuel Gallego y D. Domingo Villamil. conveniente para la exacción, señalando las épocas en que deban ha Habida la conferencia, resultó por u…</t>
  </si>
  <si>
    <t>Millant, Francisco</t>
  </si>
  <si>
    <t>Francisco Millant</t>
  </si>
  <si>
    <t>…nto que otoñó en *109—D. Cárlo» Hetria 7 compafiía de Lóndrca 4941—Ponrtalos 7In nueva ciudad da Segovia i 18 de Diciembre de 1814, 7 bajo el cual compafiía de Neuchatell (34 7 18—D. Francisco Millant 7 compefalleció, instituyó heredera 4 au madre 7 4 su hermana, 7en sa defecto tía de Barcelona 13 y 14—JD. Diego Sette Lnstene de Málaga 81 7 18.é los hijos da esta. —D. Esteban Drovilet 7 compafiía de Madrid 1617 7 18—D. Joaef ANUNCIOS. Vilart de Cidiz *3 7…</t>
  </si>
  <si>
    <t>Miloradovitsch</t>
  </si>
  <si>
    <t>…Turquía fo:m;n una íntima alianza para independiente , y no uno de ¡es cuerpos de la frontera de Tuiquía. El son teñir en sus iímit.s á la primrra potencia, y¡e por su naturaleza general Miloradovitsch continúa en el gobierno de Pctersburgo , y no va haciendo progresos. Si en algún tiempo atacase a 1* Turquía ó al Aus la salido para el egércíto, como se había asegurado anteriormente por tria, es probable que la Francia y la Inglaterra un:ri?.n sus esfuerzos…</t>
  </si>
  <si>
    <t>Milosch</t>
  </si>
  <si>
    <t>…á la na ción turca de los territorios que ocupa siglos ha: que no obstante hay S. Petenkurgo *9 dt Mayo. varias ciudades en el interior del Asia, en las que turcos y griegos vi F1 príncipe Milosch, gefe actual de lo» servios, ¡untó á lo» ancia ven aun en la mayor armonía; y cita como cgemplo i las ciudad"» de no» del pueblo en la capital * J le» hizo prestar juramento de no rio- Ailasheher, ó Filadelfia, ¿ KouUvcb y áKiisarich; pero que los turco lar e…</t>
  </si>
  <si>
    <t>Milotsch</t>
  </si>
  <si>
    <t>…monedas. Al en su mentira; í aqu-1 nunca, p rque sabe marejars: como lo* anti guos oráculos: quien miente por costumbre, qu..n por divertir,; , y instante protestó contra todo el príncipe Milotsch, en nombre de loa quien en fin por propagar noticias funestas, é ■ ru triid,r con e'.las a ios diputados de la Servía. Ei descontento era grande con este motivo, pusilánimes, á los creados, i los incautos , y de &lt;-»te mi je p-rj-ad car no solo en aquel país ,…</t>
  </si>
  <si>
    <t>Milravila, Lorenzo</t>
  </si>
  <si>
    <t>Lorenzo Milravila</t>
  </si>
  <si>
    <t>…unidos con los de compañía , por otro de idem en ídem, a 28 de Diciembre de idem por los griegos. Por lo tanto presentaremos aquí un bosquejo de la Consti- Domingo Perez é hijo: i D. Lorenzo Milravila, por otro en idem,í tucion libre que en 1817 dieron los ingleses á sus protegidos de la repú 11 de ídem idem por Francisco Aspes é hijo: á los Sres. Buch, herma blica septinsular. De este modo podrá conocerse mejor la ¿dea que se de nos y compañía, por otro e…</t>
  </si>
  <si>
    <t>Milravilm, Lorenzo</t>
  </si>
  <si>
    <t>Lorenzo Milravilm</t>
  </si>
  <si>
    <t>…e pintar y el filósofo estudia otro de ídem en ídem á 28 de Diciembre «le ídem, por Domingo Pera con afrcion ; pero que no siempre se concillan con el buen orden social. é hijo: i D. Lorenzo Milravilm por otro en ídem ¿ ti de ídem ídem, Estas extrafieras de costumbre* ofrecen á nuestro viagero metería para por Francisco A ¡ge» é hijo: á lo* Sres. Buch hermano* y compañía muchas descripciones interesantes. Dr otro en ídem a ij de Agosto de ídem, por Pedro A…</t>
  </si>
  <si>
    <t>Milzns</t>
  </si>
  <si>
    <t>…jan distritos mas pobres de ellas, sin poder hacerlo en objeto de ningu al indulto. na otra clase por ningún motivo ni pretexto. Quiere S. M. que en estas En un parte del valiente general Milzns y del comandante del obras se ocupen todos los brazos posibles sin aparatos de ingenieros ni resguardo militar D. Pedro Pingarron, que con fecha del to desde Vich facultativos que consuman con sus dotaciones gran parte de estos fondos, comunican al Sr. gefe p…</t>
  </si>
  <si>
    <t>Mimudanza</t>
  </si>
  <si>
    <t>…ecibimos de la Polonia antigua ton demostra nocido. tivas en este punto. Los judíos están persuadidos de que te prepara una Después de una lana discusión se aprobó nao adición del Sr. Mimudanza importante con respecto á su existencia , y están pronto* i re tanda sobre que en la ewcciou de diputados á Cortes 00 pudiesen votar cibirla.” loa que en el afio de 1830 cumplieren 05 afios, y no supieren leer y MANCIA. escribir. Otros Sres. diputados hiciero…</t>
  </si>
  <si>
    <t>Mina</t>
  </si>
  <si>
    <t>…anifestando que habia obtenido el grado de capitán en ción ; rn cuya virtud no podía menos de apoyar la idea del Sr.Castejon, virtud de los méritos que contrajo en la división del general Mina ea y de exc iar á las Cortes á fin de que tomasen eficaces providencias pa tiempo de la guerra contra los franceses, el cual no se le había confir ra reanmar el espíritu público, pata inspirar confianza á los patriotas, mado á consecuencia de una orden del añ…</t>
  </si>
  <si>
    <t>…Gobierno espafiol te mezcle en las ne te robre los sucesos de Galicia, de cuyas resultas fueron aeparado» el gocios de cualquier especie de aquellos paites, hssta que espirado el general Mina y D. Josct Puente.” término, y con presencie de las garantías que ofrece tu situación , pue Se aprobo la siguiente propusieran del Sr. Murfi: •» En *9 de Junio da entrarse de lleno en la discusión principal, 7 acordar las medidas Altimo las Cortes decretaron 10 conveniente sob…</t>
  </si>
  <si>
    <t>…el aña ij una muía que tenía ocupada el fraile Don cipios generales v y por tanto este tiene ¿ mi calendar un defacto , y ce Francisco Fon seca, capitán que fue de la división del general Mina, por que está demasiado especificado. En la parte relativa á la influencia que cuyo motivo sufrió cinco años de prisión ; opinaba que pasase al Go tienen los extranjeros en nuestras convulsionas, panto sobre d que bierno para que lo informase, devolviéndolo d…</t>
  </si>
  <si>
    <t>…drspu.sá las C &gt;rtcs , relativa al pa¿o d - ia cao- ú otros cié i tos; opinaba que debía dirigirse esta solicitud á la junta LdtJ de i toü rimporta d.- los suministros que hizo ai general Mina nac onal de d ebo establecimiento, suspendiéndose entre tanto loa en tiemp . de la guerra de la ind p.ndrnca La comisión opinaba que •premot. Aprobadodeb a satisfacerse dicha cantidad s gun el modo que prescrib.a en tres La comisión de Crédito público, inform…</t>
  </si>
  <si>
    <t>…e partido se juntaron ayer, y » León han sido pagados dos asesinos con so9 rt. cada uno para quitar resolvieron crear y mantener i su costa un cuerpo de 150 hombres es »ia vida al general Mina: con efecto lo pusieron una noche en práccogidos para que persigan sin descanso á los malvados perturbadores del *» tica, y esperando al general en el portal de su casa- habitación, dió sosiego común. La junta teüaló i los capitanes de este cuerpo 30 r$. n la…</t>
  </si>
  <si>
    <t>…l.dad os concede &lt;-1 Ry constitucional, p drccrci» un cru-l supli piros á los desiertos de Sinameri.” cio: un número considerable de tropas inundadas por el va i-nt«' y acreditado general Mina viene i esta provincia, ad.-iras dr las que ye Ktnsa. catín en ctia, para destruiros ent rámente, y hac r vosotros una completo carnicería : arrepentios pues mientra* pod. is hacerlo : no creáis listo* 8 Je Agosto. á vuestros cab.cillss que se titulan capitan…</t>
  </si>
  <si>
    <t>…4. Que el te«:-ero acaba de hacer un sugeto fidedigno que lo presenció todo.” general siga entregando, como ha debido hacerlo hasta .-qui , 'as . en Se esperaba con mucha ansia al general Mina y un refuerzo de tropas, tidades correspondientes al presupuesto de Corte», mientras im esté completamente establecido el sistema que se previene en el yr.cz.'. me (O No habrá quien no sepa que el marques de Mataílorida es el artículo. Comunicárnoslo á V. E.…</t>
  </si>
  <si>
    <t>…inmediato. valor y las virtudes de ios hombres libres. ¡ Miserables! Ei golpe terri NOTICIAS DE ESPAÑA. ble os amenaza. El heroico egército de Cataluña, dirigido per el intré pido general Mina, y reforzado con loa beneméritos cuerpos que ya es Matará a9 de Agosto. tán en marcha, va a caer sobre vosotros con la velocidad del raya. Hoy te ha publicado en esta el bando siguiente: Fuertes columnas, mandadas por los valient-t Milán», Terrinos, Llo „ Ciu…</t>
  </si>
  <si>
    <t>…spíritu público de aquella cap tal no puede m ¡orarse ya mas; y sola en los gastos yel vigor en la recaudación yadm-.n stracion de la» renta;mente se esperaba el moromto de qu: el general Mina llegara y se vie de la nación tienen una influencia tan notcr.a como decisiva.ra en circunstancias de poder mostrar i las dos faldas dei P r.n o lo El orden público sin alteraciones ni a ternat va* et umb,-n unaque pueden hombres libres que dea-nd.-n una buen…</t>
  </si>
  <si>
    <t>….............................. 78,000. en Barcelona el com andante general de aquel distrito marqurs de Cas- Para las de la fabrica de la Cavada t.lldoruus, y el día 7 llegaría el general Mina a Lérida, para donde en el presente Agosto, y en una salió de Zaragoza el dia 4. No dudarnos que estos g'fes t mar n las libranza........................................... 30,000. J pro*.dwiCia» mas enérgicas pan ac-bar cuanto arto con las freces gavillas qu…</t>
  </si>
  <si>
    <t>…veces sus clamo tasar Auger y D. Ramón Ferrer, y trea cazadores contusos. res. Este cuerpo político no puede por mas tiempo sufrir en silencio es __Se nos acaba de asegurar que el general Mina se halla en Lérida, y tos males; vista la invitación del Sr. gefe político superior, no ha podi que ha empezado á tomar providencias de rigor. Deseemos se verifique do menos de tomar una parte activa, en que se verifique con toda pre esta llegada, que ansiamo…</t>
  </si>
  <si>
    <t>…los recursos que la fuente drl Neptuno turma la a:buicda del Fiado. Allí habr., ban s tien.-n, no menos que del número de tropas y de medios de que el mis- para tomar asiento. m.s general Mina puede di*por.cr. Todos estos requisitos y otros varios 6-' Corüsrme fuere entrando ¡a tropa en el Prado se d&gt;; cada parecen indispensables antes de presentar una acción. La confianza que cu-'rp® al lugar que le este srña'ado , y colocarla» la» a:rt- .. i : me…</t>
  </si>
  <si>
    <t>…inentes malee que amenazan al tes de que se valen ios facciosos y sus protectores. Este mismo secreto Brasil y el Portugal, y dará á la Monarquía luso-brasilica grandeza só que el general Mina está observando desde su llegaca i Cataluña , y el lida r felicidad duradera. Su fecha es en Bahía á i.° de Mayo de 1812. retardo en comenzar las operaciones, es para nosotros un anun.io fai on Pasando á la segunda parte, no puede la comisión dejar d: mani ra…</t>
  </si>
  <si>
    <t>…s impávidamente a* En nuestros periódicos te publican lat siguiente* noticia*: arrojaron fi la bayoneta sobie los perversos, haciéndoles reinar , hasta Sabemos oficialmente que el general Mina llegó á Cerrera el 14 al que alcanzados estos por la caballería que á galope Torrijos amanecer, sin haber encontrado un faccioso en el camino. Pensó scr- hacia aquel punto sufrieron una carga en que perecieron muchos, prender a los sitiadores de la universida…</t>
  </si>
  <si>
    <t>…s publican leta de entrada acudirán á dicho establecimiento de una i dos del dia, sus nombres. y de seis á ocho de la noche_Desde el dia 1 de Octubre continúa Don Ignoramos que el general Mina haya hecho todavía movimiento al Pedro María Delgado su segundo curso de matemáticas. Los Sres. que guno capaz de llamar la atención; pero escriben de Cataluña que los tuviesen los conocimientos de aritmética y geometría , y quisieren in facciosos se han alar…</t>
  </si>
  <si>
    <t>…destacamento de Gerona á las órde titución , al Rey constitucional, i los defensores de la patria y á nues nes del subt ni -nte D. Josef Vidal , y al amanecer rompieron el fue tro general Mina. Su proclama se leyó delante de la lápida, y el va go mis guerrillas con el grueso de las suyas que se hallaban al frente liente comandante de la M. N. de esta villa D. Antonio Ferrer y del pueblo. Al arrojo de mi columna no tardaron los enemigos en Pons dió…</t>
  </si>
  <si>
    <t>…licadas. Réstanos decir aquí la mas interesante, á nuestro parecer, y e 1 que nada se ha particulares, y por último derribaron la lápida 1 bla todavía del plan qu* haya formado el general Mina , ni de opera Y lo copio i V. S- sin pérdida de tiempo para loa efectos que estime ciones verificadas por él. Sabemos, sí, que van llegando tropas i Cal», convenietftesi en el concepto de que la interceptación de los pliego* luda; que se eaperab* abundancia d…</t>
  </si>
  <si>
    <t>….oprovinciales de Avila y Salamanca , y la columna de voiunttt.o» gui- vim: nto del general Mtiars. pjzc .ar.os sosten.dos por esta provincia: cuerpos todos que rivalizan en __ El general Mina ha dirigido al editor del Indicador cata'a'i la s,valor y en entusiasmo. gu:cnt. certa. Zaragoza gyo de Setiembre. br. rd.lor del Indicador cata’an. Escriben de Earba.tro á ,8 ¡o que s'gu-i A1l.v Sr. mío: ayer tarde llego i mis tnanos el perit'sdicn de V. ,,K…</t>
  </si>
  <si>
    <t>…és de haber hefbo una descarga, huyó de la correspondencia particular. al favor de la obscuridad de la noche , sin duda á dar aviso á los sitia En este correo se h bia ya algo del general Mina; pero no de mo dores. Desde luego principié ¿ poner en uso todos los preparativos de vimientos en grande. » Tenemos al héroe Mina en Ca’af (dice un pe ataque, avanzando guerrillas de infantería y caballería que descubriesen riodista refiriéndose ú cartas de M…</t>
  </si>
  <si>
    <t>…de ocho que se han hallado siempre en situación de protegerse en caso necesario. leguas del punto en qu: se halle su compañía remitirán sus votos por Espero con ansia noticias del general Mina. escrito para la propuesta. « Oios guarde á V. S. muchos años. Cuartel general de Tolba 2 de Art. 13. n Todas las vacantes que ocurran de las tres clases referi Octubre de 1822. = Antonio Remen Zarco del Va!le. = Sr. brigadier das se proveerán por elección el…</t>
  </si>
  <si>
    <t>…ettta.la Nación en el dia son suficientes para destruir las radores, y de dar á los ciudadanos ia seguridad correspondiente a que facciones ó no lo son. Si el Gobierno dice que el general Mina se en todos tienen derecho. Las compañías que se han organizado ya de micuentra con los-medios necesarios para que desaparezca Ja facción de queletes , cazadores d: montaña y otras no alcanzan i cubrir estas Cataluña, indudablemente que el Gobierno no tiene n…</t>
  </si>
  <si>
    <t>…gefes po.iticov tra taiior, pues la provincia de Catalufia necesitaba mucha mas fuerza que taba de llevar á efecto la organización de lo&gt; batallón:* y compañías do la que tenia el general Mina , é saber , lo menos g¿9 hombros ; por to cazadores de montaña , fuerzas capaces de imponer por tu masa y va ot do lo cual creía que no era suficiente la quinta que pedia el Gobierno, £ todos los enemigos de la patria , y que en caso de una invasión ex y que…</t>
  </si>
  <si>
    <t>…a é toe Sres. Domenecb, Canga, litará, Afonzo, Olivar, renglón por renglón rá toda la Península é isla adyacentes. Galtono» Velasco, Mana y Ruiz de la Vip. Aun no habia entrado el general Mina en Catalufia, y ya le había Se acordó se insertase en el acta el voto particular del Sr. Gonzá derrotará el mismo Diario: no se atreve á matarle mucha gente; pero lez , contrario 1 la aprobación de varios añículos de las ordenanzas sí á cogerle 800 prisionero…</t>
  </si>
  <si>
    <t>…con sinceridad , este punto ofre su gavilla está estrechamente bloqueada en Castcllfollit por las tropas cía mas lato campo para d&gt;vagarse en raciocinios diversos sobre el va del general Mina; y hay quien asegura que este general ha dado ya el lor que podía darse al memorial dirigido por Legarra al gefe politco ataque, y que ha destruido completamente á aquel ladrón que se titulaba de Pamplona, para tener las veces de la presentación voluntaria ú…</t>
  </si>
  <si>
    <t>…cor __Ceivcra ja no existe, si se ha de creer á un periodista ultra de la respondientes al mismo afio: la darán igualmente de tu dstribucion y otra parte de los Pirineos. Batió el general Mina (no es poco confesar; entrega á los partícipes, con expresión individual j clasificada de esto*. pero confesión muy necesaria para mentir luego á man salva) com Pues aunque la comisión encuentra recomendable el zelo de un gran pletamente .al egército de la fe…</t>
  </si>
  <si>
    <t>…les no se hará hay nada de lo dicho acerca de la toma de Tarragona , del bloqueo de novedad alguna hasta nueva orden), quedan sujetos á todas las prece Lérida ni de la derrota del general Mina el 22 de Setiembre por el ba dentes reglas por ahora y hasta la aprobación de las Cortes , en obse rón de Eróles, ni.... en fin, canta la palinodia, y tiene la frescura de quio de l.i debida igualdad y para resguardo de los caudales públicos. desmentirse sin…</t>
  </si>
  <si>
    <t>…Muchas han sido las veces que los periódicos ultras de Francia han mos de modo alguno batir en brecha el fuerte principal. Hemos hecho publicado varias acciones de guerra entre el general Mina y el barón edclantar los miqueletfs de Camprubí (los Cerdanes), cuya bizarría de Eróles; por supuesto en aquellos periódicos siempre salía derrotado DO nos deja nada que desear.” el primero &gt; y los constitucionales tenían mucha pérdida. No se habían Id. del 3…</t>
  </si>
  <si>
    <t>…udes todas de los guerreros de una Nación libre. cesidades de la tropa, y la diputación provincial, ansiosa de dar al » En continuo movimiento , sufriendo privaciones, arrostrando general Mina y á sus valientes tropas una prueba inequívoca del entu peligros, brillando siempre en vuestros ojos el vivo fuego por la liber siasmo 7 gratitud con que admiran las victorias que empiezao ya i co tad que arde en vuestros pechos, habéis sido el terror de vues…</t>
  </si>
  <si>
    <t>…los, pecto á los inconvenientes que resultarían de que un gefe político tuvie sino ampliarse i otras personas m is), desde luego ere ria yo que se aca se el capricho de prender al general Mina, yo respondo que no sé quien baban las garantías que establece la Constitución. Si llegára el caso de es el gefe político que va i prender á este general ni á otro; y por que algunra Sres. diputados fuesen presos mediante la facultad de los lo misino no puede…</t>
  </si>
  <si>
    <t>…ó el dictamen de la comisión especial encargada de examinar municiones, que les hacen una falta nctabie. las medidas propuestas por el Gobierno sobre ia adición al art. 6° de » El general Mina previo sus intención?» 7 planes, 7salió de sa cuar su dictamen del Sr. NuAei (D. Tor.bio); y habiendo pedido vario» se tel general de la Cataf á las 3 de la mañana del 26 con la fuerza como ñores la palabra, y pasado el tiempo presento por el reglan» :nto par…</t>
  </si>
  <si>
    <t>…urrnqu n , quien ha dirigido rn el sitio de Cistillfollit los trabajos de gran alteración en el papel*moneda, porque al paso que se disminui ios zapador, s y la batería grande. El general Mina lleva consigo como rían las fincas y rentas del Crédito público, pesarían sobre él mayores unos 5O hombres escasos, y gran parte de la caballería. obligaciones. I.a primera divisir n, que mandaba el Sr. Torri|Os , salió también El Sr. Canga expuso que era púb…</t>
  </si>
  <si>
    <t>…Coroneles. atendida la reunión de varias circunstancias , parece probable que cu» Art. 20. » A todo coronel comandante de una plaia ó cuartel, ó llegue á verificarse luego que el general Mina tenga por conveniente di de un cuerpo , se le dará una guardia de un cabo y cuatro hombres. rigirse hicia aquel punto. Tenientes coroneles. La toma de Castellfollit fue una lección útilísima dada á los fac Art. 21. » A todo teniente coronel comandante de un b…</t>
  </si>
  <si>
    <t>…á 71. Como el Gobierno en sus providencias guarda el ma ballos. yor sigilo , no nos atrevemos á señalar la causa que ha motivado esta. A las 11 de la misma rompió su movimiento el general Mina. Diremes sí que el haber conducido preso desde Ibza al guarnían ex (Aqu. refiere el pruebista alguna, circunstancia» del parte qu; se pupulsado eit el 6 del último orii.iiibr-, y el arresto y la expui,.t&gt;n de l.l.ca ahay. eu articulo de oficio ) ; y concluye…</t>
  </si>
  <si>
    <t>…ue en rarezas y los absurdos fie este reglamento, cuya egecucion dependerá otro caso podría experimentar la resolución de sus solicitudes. Madrid ñas b'-n de las disposiciones del general Mina que de lo que se sueñe ia de Noviembre de 1812. M Urge!. E¡ 28 de Octubre salió de Tarragona el g-neral Manso, y se no- Por renuncia que ha hecho de su judicatura D. Agustín Lozano, tiban allí preparativos para una próxima expedición; p-ro se ignora trasladad…</t>
  </si>
  <si>
    <t>…y objeto del viage, mirados da las operaciones militare* an aquel país y da la pacificación para conceder nuevo pasaporte con la drbida seguridad. da los pueblos. Ya dicen qua *1 general Mina a* hallaba i hora y me Después de una ligera discusión, re acordó que volviese este artícu dia da la Sao da Urgel, y se creía que no encontraría resistencia. Ojalo i 1a comisión, y también *1 14 por la relación que tenía con él. lá qu* asi suceda : la justa c…</t>
  </si>
  <si>
    <t>…creí- tanto sar el invierno, pues no cabe duda que á esta* horas ya habrán aban- menos justo , cuanto quedas bajas que aquella clase ocasionase podían don-do su corte , porque el general Mina se dirigía áella, y no había llenarte dignamente por cabos , con lo que te lograba también un nue fu reas que s* lo estorb-sen, y que un cerdafiés te había presentado á vo estímulo en los militares. dicho general con una compañía de gente muy esforzada que ha…</t>
  </si>
  <si>
    <t>…encargado del Crédito público en esta divi,10a se apoderó de U habéis procurado mantener la integridad del Reino-Unido, y estrechar llave; y este convento, en virtud dal bando del general Mina y por los lazos fraternales que nos unen con los portugueses det Brasil, de «I art. 4.0 del mismo , deba suprimirse. berán C asi lo espero) las provincias disidentes el recobro de su tran Bate clona ib de Acsfemirr, quilidad , y de los bienes que solo pueden…</t>
  </si>
  <si>
    <t>…con la materia de esta gemía bajo el yugo de los facciosos, pues apenas se presentaron que »e trata! ¡es lo mismo que alboroten g ó 4 individuos que el que las ttopas dei valiente general Mina , se manifestó abiertamente el ani te rebelen batallones enteros ! Yo creo que seria mucho mejor poner en mo de aquellos buenos catatanes, los cuaies dieron muestras de que ejecución el cap. a.° del título preliminar del código, porque contiene amiban it Cons…</t>
  </si>
  <si>
    <t>…l de mi Opinión tes de la lib.rtad , sino también la de lo* facciosos, por medio de una han dado razones que yo adoptaría, me han movido é tomar la capitulación. Supongamos que el general Mina cuando te hallaba so palabra para hacer á las Cortes algunas observaciones. No me lisonjeo lí:: Eaíaguer se hubiese visto imposibilitado de pasar adelante por el de poder afiadir alguna luz en esta materia , y solo voy i hablar, porque obstáculo de no poder r…</t>
  </si>
  <si>
    <t>…naturaleza se debe decidir después lo conveniente, to Relación del litio jt toma de CatteltfollU. mando en consideración todas las circunstancias que pueden haber con Habiendo el general Mina dejado cubierto el punto de Calaf, salió currido. ¡Pero seria conveniente señalar un camino por donde se elu de aquel pueblo en la madrugada del 17 de Octubre con el resto de diera el cumplimiento da la ley &gt; No, aafiores, no apoyemos en este las tiopas que a…</t>
  </si>
  <si>
    <t>…or el gefe de ¡a administración militar una según ¡a. cu constancias d'i modo mas htróco. noticia mensual de los fondo* distribuidos y existmte» en la caja mi __Por ios paites del general Mina publicados en el número anterior sa litar, y una nota nominal de los pago* que te hagan á los oficiales que ve que las Hopas constitucionales no fca.lan con qu en pelear por aque no dependan del distrito. llos puntos , pues los facciosos huyen en todas direcc…</t>
  </si>
  <si>
    <t>…eas depravadas no irriten fi lo* buenos y leales brasile Cernerá 3¿ de Noviembre.ro, basta el punto de encender una guerra civil, U cual trato de evi Acaba de llegar un propio del general Mina con la noticia de quetar con todo ahinco. Deseando por otra parte unir , como lo hago, la dar enteramente em.unvalados los fuertes de la Seo y estar ¡as avanzademencia con la justicia y con la salvación pública , ley suprema de das á medio tiro de fusil del c…</t>
  </si>
  <si>
    <t>…tic» da 1» pro. Ibterca!ación» «u otro* fraude*. También a* to liaran la&gt; foja».” vinei» litorales. furia una breve discusión, u votó por parla cata artículo, j que _Parece que el general Mina ao encuentra ya facciosa, aunque la dó aprobado «p »totalidad. ve de lejos, pues «al a el miedo que esta tienen 4 ta nombra que hu Art. ¿g.oAMde cargo da los secretario» da ajuntamiento la cus yen si Mitvtrle. Asi » que han ido retrocediendo hasta fas fronter…</t>
  </si>
  <si>
    <t>…e re drsle Be’Iver de. 28 de Noviembre v*mo* confirmada la idea que desde forzarse en los seis u'..irnos mes.'»............................. j* 462,32* un pr.nc pio f irmamot de-i general Mina, á saber, que la reserva seria Para artillar 14 plazas frent r.zas, poner al pie de una de las m ximas principales de todas sus operaciones, aunque pa guerra lot escuadrones de artillería , equ'par un deciese a' o la curiosidad de los que quieren saber las co…</t>
  </si>
  <si>
    <t>…al enemigo un mom mo de furia ha llegado i lo sumo al saber la cordura 7 circunspección con que descanto, 7 me prometo de los valientes que tengo la gloria de man ha procedido el general Mina; pues ellos hubieran querido que este dar , 7 cuyo entusiasmo cada dia mas admiro, que concluirán muy guerrero, sin reparar en nada, hubiese violado el territorio francés, pronto con esta ficción, 7 en seguida volverá en la desgraciada pro para fundar sobre e…</t>
  </si>
  <si>
    <t>…rias. K» indecible a.4 Que la construcción da dichos 38 vestuarios ha de hacerse en el entusiasmo que han ¡efundido en todas las provincias de Cataluña Barcelona. las ventajas del general Mina: en todos los pueblos han resonado los 3. ' Que ban de ser entregados indispensablemente i la junta subal mas sinceros vivas; en algunos se han hecho regocijos públicos , y to terna establecida en aquella capital antes del dia 15 de Enero próz mo; do era entu…</t>
  </si>
  <si>
    <t>…publicado en este año dado informes muy importantes sobre ias calidades moraies del egército Observaciones sobre la respuesta de D. Juan Amonio Llorert- á la español d.l mando del general Mina. »&gt; El entusiasmo, dice, que ma- censura que por orden del tribunal eclrsi stico de Barcelona se di.i &lt;1 - ia n fiestsn los militares españoles solamente puede compararse con el de obia intitulada Proyecto de uoa Constitución religiosa écc.iSc.., por los &lt;vc:…</t>
  </si>
  <si>
    <t>…rij que tuvo tarto ca impond-rabies que á su consecuencia ha de padecer sndefectiblenunt# llar y tanta reserva. Esperamos que nuestro general To r ) s sea aa mismas huellas que el general Mina, y qu. no gaste po.rora tu u.m- el género humano. v*A*eiA. po en pcqurñecesv Parir i£ Je Diciembre. be sab.- que el 12 entró el genera! Torrijos en San. Cresa , yO-Dor.rlI el Una prueba de la opinión que seguía el ministerio respecto de loí 13 en Lumb er; per…</t>
  </si>
  <si>
    <t>Mina, Francisco Espoz y</t>
  </si>
  <si>
    <t>Francisco Espoz y Mina</t>
  </si>
  <si>
    <t>…n varios excesos. á la vista del nuevo diario de Madrid del sábado 15 del corriente, Vúh. Idem. En la noche del dia de ajet se mandó salir una com acordó en sesión de hoy pasar al Sr. D. Francisco Espoz y Mina, ma pañía completa del resguardo militar para hacer un reconocimiento riscal de campo de loa egércitos nacionales, el oficio que sigue: con motivo de haber avisado al comandante Pingarron que los facciosos » Habiendo llegado é manos de este ayuntamiento el nu…</t>
  </si>
  <si>
    <t>…l cual le contes al Exento. Sr. comandante general del egércilo de operaciones de este tó lo dejaba á tu discreción y conocimiento, haciéndole presente lo séptimo distrito militar D. Francisco Espoz y Mina. sentible que a.ría el sacrificio estéril de mucho* valieotes , y que la* » Excmo. Sr.: La diputación provincial de Barcelona, fiel intérpre- circunstancias le hacían conocer se comprometía el valor del toldarlo sin te de la voiuntad de sus -lea et comitentes…</t>
  </si>
  <si>
    <t>…, se encuentran hoy los regimientos de cierna al egército de operaciones, con el señor general en gefe de ¿I línea 7.°, 18,31 y 39, el 6“ ligero, el ».° de artillería de á pie, el D. Francisco Espoz y Mina , cuyo cuartel general está actualmente en j.J á caballo, cazadores de la Sarthe,*5.° escuadrón del tren , y dos compañía* de zapadores y pontooeros, total to9 hombres, que devoran El ayudante general segundo gefe d« la plana mayor = Fernando el pais. Se nos…</t>
  </si>
  <si>
    <t>…n modo tal, que seria imposible justi El Sr. general en gefe del egercito de operaciones de este distrito ficar una intervención de parte de aquellos. Parecía natural que su largo D. Francisco Espoz y Mina me d.ce desde su cuartel general de artículo concluyese en favor de la independencia de España; pero usan Guisona con fecha de iS J¿1 corriente mes lo s guíente: do aquel periódico de ciertas sutilezas, vuelve á encontrar los derechos « Paso á manos de V. E.…</t>
  </si>
  <si>
    <t>Mineo</t>
  </si>
  <si>
    <t>…No cier lumnas que se han destinado á Sta. Coioma de Earnés , Blane», ArSu tamente el de las Cortes, pues declamaban en público y en secreto con- cias y Tordera, á las órdenes del brigadier Mineo, obrarán contra los ; ira ellas y contra el sistema constitucional. Tampoco el del Rey, que facciosos mientras llegan tas tropas que se han destacado pac las ratas es el mismo que el de las Cortes, principalmente desde que ratificó an- de Olot y el Vallé*. '…</t>
  </si>
  <si>
    <t>Minnelli, Pedro</t>
  </si>
  <si>
    <t>Pedro Minnelli</t>
  </si>
  <si>
    <t>…d una exposición de la diputación soldados del tren de la artillería napofitar.a. Les condenados á muerte provincial de Murcia , manife tindo que D. Salvador Martínez Mufioz, son: D. Pedro Minnelli , D. .lose! l.overde . Natal Scid-ta. TA. l-hier»»- 12HO J » ene a ..... y vo» _ s » y COTld’JCidc* 2 ! J ventura Catabro, Josef Candía, F). Josef Lavilia, Antonio Pitaggio, ber tomado partí en 1 s sucesos de 29 de Enero úit.mo; indicaba que San ador Martines…</t>
  </si>
  <si>
    <t>Mino, Santiago</t>
  </si>
  <si>
    <t>Santiago Mino</t>
  </si>
  <si>
    <t>…e después de haber examinado los de D. Laureano Antonio Escapu- v Las Cortes conocen que aun no es tiempo de que el estado interior 111( diputado electo por Extremadura , y los de D. Santiago Mino, de la Nación presente adelantamientos notables ; creen sin embargo que por Galicia, opinaba debian aprobarse por estar arreglados á la Cons habría algunos á haberse cumplido los decretos benéficos de las ante titución. riores legislaturas-, y por lo mismo se…</t>
  </si>
  <si>
    <t>Mins</t>
  </si>
  <si>
    <t>…a nay, encargado de Negocios de Francia, á Mr. de Ferronais, enviado cienda y Visita del Crédito público sobre los medios de llevar á efecto extraordinario de Francia tnJLusia, al Sr. Mins, de la legación de el decreto de las Cortes de ay de Junio de 1821, relativo á la distri Austria, y á Mr. de Vieila; y ha dado la cruz pequeña á los capitanes bución del medio diezmo é indemnización de los partícipes legos, y franceses Drovault, Ducrt de Vill…</t>
  </si>
  <si>
    <t>Minué</t>
  </si>
  <si>
    <t>…nistrador que fue en rar dicha inscripción quisiere restituirla, puede hacerlo por el corre» elia &gt;le ramos decimales antes de la dominación francesa, y D- Juan bajo cubierta para D. Minué! Blanco, su dueño legítimo, fi fa men Palacio, y D. Benigno Montero , comisionados por la junta superior da cionada villa de Sahagun; en la inteligencia de que %e ha dado conoci la misma provincia para recaudar caudales y efcdtos de subsistencia en miento de…</t>
  </si>
  <si>
    <t>Mir, Antonio</t>
  </si>
  <si>
    <t>Antonio Mir</t>
  </si>
  <si>
    <t>…G &gt;riza'-z d- 1? Pi ciembre de 1822 afio».__(L. S.) Manuel Cípiiano da Cosía. fia, D. Lorenzo i mtnet, D. o Juar-st , D Pab o Mari n Cu Decreto t.° po, D. Gregorio Entrambasaguas, D. Antonio Mir a P-rtz , D. Joa Habiendo la Reina por su espontánea y libre declaración, hecha y quín R oliz y Mont- ro, D. J oaqu n Ruiz , D. Fiancisco la Caliera, firmada de propio puSo en ad de Noviembre, mifi.ado la que habí» D. Antonio Aliyar y D. Rafael Costa. hecho s…</t>
  </si>
  <si>
    <t>Mir, Josef</t>
  </si>
  <si>
    <t>Josef Mir</t>
  </si>
  <si>
    <t>…fuese indiferente á ¡a Euro los atentados que com-ten aquellos seres inmora es. pa Esta clase de políticos, cuyo corazón parece mas bi-n de piedra — El d.a 7 cntr.i en Ccrvera el brigadier D. Josef Mir a de Ts-r &gt;o* que de otra cota , tienen en muv poco el aprecio del mundo civiliza ( IVi/r .a gaceta del sy , arti.ulo de Ltr-Ja.') después d' haber batidj do. Una caria particular de Sin Pclersburqo hace el elogio del miste en Tora a ios facciosos, capitanead…</t>
  </si>
  <si>
    <t>Mir, Manuel</t>
  </si>
  <si>
    <t>Manuel Mir</t>
  </si>
  <si>
    <t>…bra escrita en 1 ral tan* por el P. Siman Utíneti.de li compa oír* &lt;n Cincmnato: e ta última ciuJad, situada en la orilla del Oh.o, ñía ds Jesús, y traducida ai español por ei D-. D. Manuel Mir ano de es la mas populosa y floreciente de la América occidental: en ella su Iturnaga y Auaga. Se hal ará en la librería d- Paz. cuentan 200 fanvlas católicas. Suscripción a la obra intitu'ada: Kl m uto* de econnrtva pr&gt;'ít:*a •• Los habitantes v v.n con pobr…</t>
  </si>
  <si>
    <t>Mir, Pedro</t>
  </si>
  <si>
    <t>Pedro Mir</t>
  </si>
  <si>
    <t>…esentación nacio columna compuesta dennos igo hombrea y 31 caballos i las órde nal , todos los poderes y todas las pr^rogativas estuviesen concentradas nes del capitán de Mallorca D. Pedro Mir, con dirección á la villa en las manos de la clase privilegiada, el Diario de los debates se decla de Cazaíla de la Sierra, donde ha permanecido una gavilla de ao fac raría partidario de la revolución española, porque habria producido es ciosos, capitaneados…</t>
  </si>
  <si>
    <t>Mira</t>
  </si>
  <si>
    <t>…político que cumplirse con su obligación, y tuviese sos en el desempello de sus obligaciones, y no hacer lo mismo respecto pechas fundidas contra un general, debería hav.rln; y el general Mira, de otras personas, cuya conservación interesa de la misma manera para y los demás generales del egército no podrían menos de darse por ar ei mantenimiento de las instituciones establecidas; pero yo no entraré restados , pu:s aunqu- revesad ’i de i;: autorida…</t>
  </si>
  <si>
    <t>…uesto dicho.................................. 43,133 rante á hacr prme'itos, y á perturbar el orden polít eo de otras nacio Para las p-ntiune* de las viudas y huérfanos det nes El general Mira tiene toda la prudencia necesaria para no traspa monte p o del ministerio emitidas es el presu sar ios límites de su gloriosa comisión, qus es destruir á ios enemigos puesto o dinario......................................................... a 772,398 de su pa…</t>
  </si>
  <si>
    <t>…g*-nerucon tra parte al heroico ejército francés y a su genetrsa nación ; de suerte política, y después de deducir la necesidad en que se vcia de sacudir el que según dice nuestro general Mira fue el 29 del pasado uno de loa yugo, continúa de este modo: días de mas sati»fac..on que hi t-:mdo _n su v-da . el criminal Eróles n Pero la Constitución de las Cortes , nos dicen , peca por sus ba por no pasar por la nn.ma befa que sus colaboradores se desc…</t>
  </si>
  <si>
    <t>Mira'les, Antonio</t>
  </si>
  <si>
    <t>Antonio Mira'les</t>
  </si>
  <si>
    <t>…s medios justos, equitativos y pru Reunidos en la ciudad de Sevilla los jueces de hecho D. Manuel dentes que les dicte su ze!o, arreglen las diferencias y reclamaciones de Cosío , D. Antonio Mira'les, D. Joaquín Benjumea, D. Félix Al- da lo» pu b!os que se hayan de reunir acerca de los derechos y obli bao, D. Francisco García Otero, D. Diego Fernandez Mufioz, Don gaciones de sus respectivos vecinos at tiempo de su reunión. De acuer Josef Ruiz del Arco y D…</t>
  </si>
  <si>
    <t>Mirabal, Josef Alejo</t>
  </si>
  <si>
    <t>Josef Alejo Mirabal</t>
  </si>
  <si>
    <t>…odio, oficial segundo de la tesorería de S. M-; el P. Fr. Pedro Tepensar de ciertas potencias. Corrían en Viena algunas voces nada gratas Hez, agonizante en ei convento de Alcalá; D. Josef Alejo Mirabal, para la Gran Bretafia, y que ai llegan fi confirmarse, podrían ocasio ( el Moreno) teniente coronel; el teniente D. F. Tarazona, ó Díaz, nar disensiones harto serias. L&gt;. F 1 ancisco Moso , oficial de la curia eclesiástica; y D. Josef Solera, presbítero, cap…</t>
  </si>
  <si>
    <t>Mirabel, Josef Alejo</t>
  </si>
  <si>
    <t>Josef Alejo Mirabel</t>
  </si>
  <si>
    <t>…el alcalde segundo se creía que dio, oficial segundo de la tesorería de a. M. : ei P. Fr. Pedro Tellez, por todo este mes estatúan uniformados. agonizante en el convento de Alcali D. Josef Alejo Mirabel (el Él brigadier Nebot con unos 130 hombres continuaba en Tor- Moreno), teniente coronel: el temerte D. i'. Tafazona ó Díaz, D. Fran tosa' había salido días antes en busca de cuatro correos atrasados que cisco Moso , oficial de la curia eclesiástica y L&gt;. Jos…</t>
  </si>
  <si>
    <t>Mirallaa, Manuel</t>
  </si>
  <si>
    <t>Manuel Mirallaa</t>
  </si>
  <si>
    <t>…t$ rs. y a mis. La de tusas deOoa- miento de infantería de Galicia, vacante por fallecimiento del brigadier temala 64 rs. La de tusas fabricadas en la Península 36. La de cigarros D. Manuel Mirallaa, que lo obtenía, al de la misma clase D. Antonio havanos 60. La de cigarros de hoja havana labrados en la Península 34$. Roten, coronel supernumerario de infantería; para el mismo destino La de cigarros mixtos de la Havana 7 Virginia 3a. La de cigarros de del…</t>
  </si>
  <si>
    <t>Miran</t>
  </si>
  <si>
    <t>…usa pública. (Jna guerra civil , política y religiosa, que debemos decljrcilc proscripto para siempre. por incidencia hacia disputar el trono á dos familias, asolaba aquel país El Sr. Miran , dcsnn.s de haber leído varios.artículos de la Cons cuando se adoptó la suspensión de dicha ley. Las circunstancias en que titución , manifestó que el lenguage en que estaba extendido el artículo nos hallamos son desgraciadamente muy an.logas; y si los autor…</t>
  </si>
  <si>
    <t>Miran, Fernando</t>
  </si>
  <si>
    <t>Fernando Miran</t>
  </si>
  <si>
    <t>…ra división para la Seo de Urge!, dejando en la Cerda fia 500 hombrea D. Josef Torres, que murió con la espada en la mano durante rl ata del batallón de Laredo, i las órdenes del coronel D. Fernando Miran que, falleciendo también una muger, y quedando heridos algunos da. El 6 se colocó con la división en el lugar de Alia é media hora de milicianos. la ciudad de la Seo; el 7 el general casi tolo, y seguido de unos pocos Posteriormente el mismo Sr. gefe acaba de…</t>
  </si>
  <si>
    <t>Miranda</t>
  </si>
  <si>
    <t>…s (aligas. La vindicta pública, el bien de la Nación son los que nos violable para todos loa extnngooa, «ea cual fuere tu delito han movido 4 dirigirnos é ese augusto Congreso. El Sr. Miranda fue de distinta opinión, y votó qne *e entregasen loa »Cuantío nuestra voz llegúe á él, fe# diputado* qua han recibido presos el Qebiaruo «apallol, como te había pedido. lot ultraje*' habrán ya vuelto I la dase «fe simples ciudadano*. No ha Se declaró el aton…</t>
  </si>
  <si>
    <t>…ficar su plan tan pronto por haber hallado en Samos una porque saliese la división de aquella prov.ncia. vigorosa resistencia, y tal vez se frustrarán su» esperanzas, porque ad El Sr. Miranda contradijo al preopinante, sosteniendo que solo vertidos ya los griegos reúnen sus escuadrillas para hacerle frente. era prepio de tiranos y usurpadores c! invad.r el territorio limítro Se sabe haberse desechado definitivamente por la corte de Rusia fe con el…</t>
  </si>
  <si>
    <t>…era muy dife He oido á algunos opinar que la Espafia deberla intervenir en este rente del que se publicaba. asunto, y pregunto «qué tiene la Espafia con Montevideo 1 Abandonan El Sr. Miranda dijo: Principiaré por donde acaba el Sr. preopinan do esta colonia por espacio de tantos año* , en lugar da protegerla, ha te. S. S., haciendo un paralelo entre lo importante que es la ocupación Altado i las esenciales condiciones del pacto social. Montevideo…</t>
  </si>
  <si>
    <t>…detalles de esta escaramuza por no haberlos extendido toda Dspues se leyó y mandó pasar con urgencia 4 la comisión de Cons vía el comandante Gurrea. titución una prop' sicton d i Sr. Miranda , pidiendo que s« declarase re - El día 6 fueron batido» en Oliete por la columna del mando del belde al Gobierno de Rio-Janeiro, y traidores á todos loa que le obe teniente coronel D. Jostf Segaría , &lt;1 Gitano, Le. a y d inas facciosos deciesen ; y te levant…</t>
  </si>
  <si>
    <t>…pudiera el dógusto de no haber vengado la muerte de su digno compañrfq__ jurarse el d.a 1. de Octubre. A' lo hago saber al público para su inteligencia. Cid.z 13 de áctlcmore lil Sr. Miranda propuso .111: se llamase 4 todos los señores diputa de 1822.= Escario. dos qu: vstuvijs.n d slrut na &gt; licencia, a fia de que sa presentasen para __Ha entrado en este puerto del de Veracruz y la Ilavana en a6 dós el acto de firmar la O..nst tuc en. la fragata…</t>
  </si>
  <si>
    <t>…Península le han dado 4 conocer exac » La comisión de Constitución , habiendo examinado la indicación tamente el país y sus babitinte». Mr. de Tattischeflf, actualmente mi del Sr. diputado Miranda, opina que el decreto de convocación da (for nistro plenipotenciario de Rusia en Viena, conoce también la Espada tes constituyentes en ei Brasil, promulgado por el Príncipe Real un g perfectamente. Es bien sabido que residió en la corte de Madrid antea da Jum…</t>
  </si>
  <si>
    <t>…irnprd r la n&gt;c puse en marcha, y llegué á las dos y media de la madrugada adon persecución de estos rebeldes, y si el país que ellos nos dejaban nos pu de se hallaba el expresado coronel Miranda, comandante de las colum diera proporcionar algún recurso de subsistencia; por cuya razón me ví nas que estaban a las ordenes di Gurrea y Montenegro. Al amanecer precisado á regresar á este punto. dei 2Ó dispuse se diera aguardiente á la ttopa, y en seguida t…</t>
  </si>
  <si>
    <t>Miranda, Fenx</t>
  </si>
  <si>
    <t>Fenx Miranda</t>
  </si>
  <si>
    <t>…así como el de B &gt;rnos, se reanime algún tanto con de esta sierra; y qu.- por si asi te verifica ha dispuesto que al capitán da la presencia de los valientes ¡nilicianos. la Reina D. Fenx Miranda con el desta amento de su cuerpo, pase fi Chillan* 34 de Agosto. Alcalá de losGazules; el da S. Marcial D. Félix Suasuabal con el suyo Vada hemos omitido por festejar en cuanto hemos podido á la y el de la Princesa queden en Algar, ocupando uno y otro los pun…</t>
  </si>
  <si>
    <t>Miranda, Fermín</t>
  </si>
  <si>
    <t>Fermín Miranda</t>
  </si>
  <si>
    <t>…ón estuvo de reserva en el cunte! &gt; cubriendo las guardias del hos Segundo batallón. pital y de los cuarteles de S. Juan de Dios y Sta. Isabel, exceptuando Granaderos. Milicianos, D. Fermín Miranda; muerto. D. Juan la primera de fusileros, qué reforzó fiíja sexta del segundo en el mu Capdevila, ídem. D. Fer.mín Fernández, herido. D. Anastasio Aiduseo militar. - . ' , do, id em. D. Poiicarpo Fernandez, idem., D. Francisco López Novi ». A las ttefde la ma…</t>
  </si>
  <si>
    <t>Miranda, Fernando</t>
  </si>
  <si>
    <t>Fernando Miranda</t>
  </si>
  <si>
    <t>…r 28 de Noviembre de 1822 = bria , reforzándole posteriormente con Jaén. Dos distintas coturnos* i Excmo. Sr.=Franc:sco Espoz y Mina.^Excmo. Sr. secretario del Des las órdenes del coronel D. Fernando Miranda , segundo gefe de la pla pacho de la Guerra.” na mayor , y del teniente coronel D. Josef Bermudez, compuestas de los cuerpos de Mallorca , Zapadores, Tarragona, Orense y Laredo de »Egército de opetacioncs det 7.0 distrito. Excmo. Sr.: Saliendo bían atacar otr…</t>
  </si>
  <si>
    <t>Miranda, Francisco</t>
  </si>
  <si>
    <t>Francisco Miranda</t>
  </si>
  <si>
    <t>…uí arro raciones sucesivas i la toma de Castellfollit , i las nueve de la noche jarlos de sus ventajosas posiciones , batirlos por todas partes , dispersar del S5 tuve noticia del coronel D. Francisco Miranda y comandante los en todas direcciones, é infundirles un terror y un espanto de que D. Manuel Ciurrea, que se hallaban en este punto, de que el barón no volverán tan en breve, contribuyendo muy poderosamente á esta de Eruics con las fuerzas que había podido re…</t>
  </si>
  <si>
    <t>Miranda, Joaquín de</t>
  </si>
  <si>
    <t>Joaquín de Miranda</t>
  </si>
  <si>
    <t>…. retirándose «n el mayor desorden hacia Lanssa, capital de la __El comandante dd bajo Aragón con fecha de ayer me traslada el provincia.” moTICIAS dE ESPASA. siguiente parte dei capitán D. Joaquín de Miranda , comandante de la columna expedición .na del mismo. Zaragoza 25 de Julio. „ Ya manifesté a V. S. en mi ant-riar oficio como los facciosos en número de 300, cap ¡aneldos por l eí p: Hierro, se bailaban situados en En nuestro periódico se publica el siguiente…</t>
  </si>
  <si>
    <t>Miranda, Josef Matía</t>
  </si>
  <si>
    <t>Josef Matía Miranda</t>
  </si>
  <si>
    <t>…sente se han introducido del extrangero, como lo fia del regimiento infantería de Jaén , con 670 rs. acreditado el consumo que se hace de él en esta capital, como también Cádiz al capitán D. Josef Matía Miranda, segundo ayudante su por lo mas ventajoso en el precio, comparando iguales cantidadesd uno pernumerario del batallón ligero de Canarias , con 000 rs. y otro. Los comerciantes de dentro y fuera de esta corte que quieran Calatayud al capitán D. Pedro Hernández,…</t>
  </si>
  <si>
    <t>Miranda, Mateo</t>
  </si>
  <si>
    <t>Mateo Miranda</t>
  </si>
  <si>
    <t>…as del tos correspondientes, relativos á los procedimientos del juez de primen denunciado acerca del punto sobre que estriba el juicio: cuarto en perte instancia de aquella ciudad D. Mateo Miranda en la formación de ios necer á alguna corporación de las que fueren el denunciador ó denuncia batallones 2.0 y 3." de la milicia nacional local , habia oficiado lo do. Se harán estas recusaciones ante el alcalde de la cabeza del partido correspondiente á dich…</t>
  </si>
  <si>
    <t>Miranda, Miguel</t>
  </si>
  <si>
    <t>Miguel Miranda</t>
  </si>
  <si>
    <t>…cll, segundo ayudante supernumerario del re bo. Dios guarde i V. S. muchos años. Madrid 9 de Agosto de i8aa.= gimiento infantería del Príncipe, con 610 rs. Mariano Kgea. Laredo al capitán D. Miguel Miranda, segundo ayudante supernu merario del regimiento infantería de Jaén, con 61a rs. Secretaría Je Hacienda. _Departamento de Ultramar. Lérida al espitan D. Bonifacio Bueno , segundo ayudante del ba Hallándose vacante la plaza de tesorero administrador de las caj…</t>
  </si>
  <si>
    <t>Miranda, Pablo</t>
  </si>
  <si>
    <t>Pablo Miranda</t>
  </si>
  <si>
    <t>…iis, magistrado V. á 1a tropa destinada a esta comrs.on el rancho de mañana, y un de la audiencia._D. Andrés Kubiano, secretario del g--fc po.itIco.__ par de alpargatas per p.aza. D. Pablo Miranda, brigadier y coronel del primer regimiento de .1;ti E.tas p uvidmc.a» me obliga á tomar el escandaloso proceder de lle ría._D. Mariano Granado», comandante del presid.o de la ciudade- esa juslic.a J p biaciun, foc . de ia rebeicn de la beiva y abrigo da la._L…</t>
  </si>
  <si>
    <t>Miranda, Ramón MuSiz</t>
  </si>
  <si>
    <t>Ramón MuSiz Miranda</t>
  </si>
  <si>
    <t>…de la misma D. Juan Cabello Barrada, por La comisión de Legislación, en vista del expediente promovido haber altanado su casa; en el cual Is comisión, en vísta de hallarse (ra por D. Ramón MuSiz Miranda , vecino del concejo de Oviedo , en tificado este hecho, opinaba debía exigirse la responsabilidad a los ex Astúrias , en que con motivo de haberse mandado abrir por rl corne presados alcalde y regidor. Se mandó que este Aclamen quedase robra jo de Castilla u…</t>
  </si>
  <si>
    <t>Miranda, Vicente Olmedillo y</t>
  </si>
  <si>
    <t>Vicente Olmedillo y Miranda</t>
  </si>
  <si>
    <t>…OS. tinuando él al dia siguiente ,cargándolos en tedas direcciones , con»taa • dolé ser considerable lat bajas que sufren, porque so les escapan en estas Habiéndosele extraviado á D. Vicente Olmedillo y Miranda, veci dispersiones, llevando consigo el miedo y el tenor;y últimamente ma no de Valiadolid, los privilegios de los ¡uros siguientes: uno d: 308 nifiesta acababa de tener aviso de que la columna que mandó a Oiot dis maravedises, librado en cabeza del Lie. Dieg…</t>
  </si>
  <si>
    <t>Mírcolet, Lo Madrid</t>
  </si>
  <si>
    <t>Lo Madrid Mírcolet</t>
  </si>
  <si>
    <t>…la que petmilan las circunstancia* en iacon1811.= b.l conde de Almodovar. tribuc on territorial ai tiempo de decretarla. La comisi on de Hacienda, en vista de una proposición del Sr. Lo Madrid Mírcolet 39 de Mayo. riares para que no gocen mas suelda que el de su anterior destino lot CORTES. empleados en las pagadurías é intervenciones en lat secretarías del Des pacho, opinaba que pasase al Gobierno, para que la tuviese prescute BXBSIDBMCtA 0BL slfiot ALAVA.…</t>
  </si>
  <si>
    <t>Miro, Josef</t>
  </si>
  <si>
    <t>Josef Miro</t>
  </si>
  <si>
    <t>…e g de tos por la ley, y calificado loa Sres. D. Fernando de Zurita, D. Josef Aborto de i8ao, facultando á la diputación provincial para que ha Fetez de León, D. Rodrigo Sanjnrjo, D. Josef Miro, D. Miguel Mo bilite cata introducción cuando el trigo excediere de 8o r*. la fancga( reno , D. Alfonso Carrera, D» Gabriel Rodríguez, D. Francisco 7 la harina de i so rs. el quintal. Montoro,D. Vicente Martina Gómez, D. Antonio María Cuatre El Sr. Munarrii p…</t>
  </si>
  <si>
    <t>Mirru</t>
  </si>
  <si>
    <t>…i las Cortes no deben á sus asesore., se conocerá claram inte que tas interinidades de que sí resolverlas. tratu se d ben desempeñar por letrados nombrados al efecto en los mis El Sr. Mirru: Ha asegurado el Sr. preopinante que es pernicioso mos terrn nos qu. propone la mayoría d: la comisión. el resolver estas dudas; mas yo creo al contrario, que cuanto mas se Ei Sr. Somoza sostuvo que el art. 19 de la 1 y de 9 de Octubre de aclaren las leyes ma…</t>
  </si>
  <si>
    <t>Mirt-nrg</t>
  </si>
  <si>
    <t>…o dei reino , y para que de este ntoau se aieje de e.ios el con los puede haber muy bueno* que sean víctimas de su furor. Esta es una cepto odiosísimo que ha querido imponerles el Sr. Mirt-nrg de la Ro ley general, que tiene todo el carácter de perpetuidad, y en este mismo sa. Si hubiera aigun m n.situ que abusare de esta facultad, las Corte* hecho, y aprobándose el artículo, vamos i dejar en manos del ministerio tienen el camino abierto para exigi…</t>
  </si>
  <si>
    <t>Mirtínez, Josef</t>
  </si>
  <si>
    <t>Josef Mirtínez</t>
  </si>
  <si>
    <t>…i ningún con los dictámenes fiscales de que hacia mérito, opinaba que el e-fo cohecho; y yo retorciendo el argumento del Sr. Romero, digo que el político de la provine.a de Madrid D. Josef Mirtínez de bao Martin mismo cohecho podrá temerse respecto de un alcalde , pues yo veo dos hab a infringido el art. 187 de la O'tis: tucion y ia ley de 11 de Se personas, y ti el argumento tiene lugar respecto de una, también le tiembre de 1820 , y debia hacérsele ef…</t>
  </si>
  <si>
    <t>Miryboroug</t>
  </si>
  <si>
    <t>…ternich, pues teniendo como tiene sor en el gobierno general de la India: se dice que este .mp!» le de una penetración superior, no se dejará llevar de los sofismas de los ale sea lord Miryboroug , y que ha dado todos los pa,os convenientes para manes. Tampoco es verosímil que el liberalismo de Mr. Canning le conseguirlo desde el momento que el ascenso de Mr. &lt;_ aoning ai m¡- induzca jamas i obrar contra sus mismos intereses, sino que conside sisurio…</t>
  </si>
  <si>
    <t>Mirza</t>
  </si>
  <si>
    <t>…: bajá 4s;|udafl, que.trátaba de socorrerla. -Había mnchusofíciatésíraaT.de la tabif CoiuttWcwd quenpsrige.yá hacer que se observen, las.. ceses en e! égército persa quemanda el. príncipe Mirza. __ El conde leyes; advierto. ¿ este: pueblo , á. quien amo sobremanera . que na oiga ; VVittge'nstein, llaniadoá Pétérsburgo , ha. vuelto á. su^caartil. zenelas voces ¿cestos sus znemigos, sino que escuchen Jas mías: que uo rai de Tulcyn----be había publicad…</t>
  </si>
  <si>
    <t>MisiMas, N.</t>
  </si>
  <si>
    <t>N. MisiMas</t>
  </si>
  <si>
    <t>…Losada, médico, y D. Aniceto Alfonso, oficial de la que !a espada de la justicia descargue de una vrz sus go'pes so^re estos secretaria del gobierno político de L on. El patriota D. N. MisiMas perversos ciudadanos, que haciendo la guerra á su misma patria, y hizo pr-sionno al teniente de las guardias enemigas D. Luis Mon, encendiendo el fuego de la d.scordia , cometen el mas grave de todos- quien intentó en vano sobornarle con ¡a oferta de unas cua…</t>
  </si>
  <si>
    <t>Mita</t>
  </si>
  <si>
    <t>…ho ni de los diputados á Cortes. político por su capricho procediera al arresto de este general. Yo apre El Sr. Isturiz pidió que se leyese la segunda parte del dictamen de cio al general Mita y á todos los demas que afora mandan nuestra la comi.ion, y después de leida continuó el Sr. Romero: Divo que la egército, y no los creo capaces de hacer ninguna resistencia á las leyes, excepción de los secretarios del Despacho es inútil, y en cuanto á lo y…</t>
  </si>
  <si>
    <t>Mitchcl</t>
  </si>
  <si>
    <t>…i Fue porque entonces Dublin. En ellos se decía haberse verificado un tiroteo entre las tro no habia libertad de imprenta, 7 el púb.ico no llegaba á tener noti pas mandadas por el coronel Mitchcl j un destacamento de rebeldes cia de aquellos excesos hasta mucho tiempo después de haberse come (white-boys) , que habían salido de las cercanías de Dwunwsy para tido ; fue porque la opinión pública no podía tener reacción alguna so juntarse con el cuerpo pr…</t>
  </si>
  <si>
    <t>MitíasCitero</t>
  </si>
  <si>
    <t>…rencia no contrae obligación sucesiva de valerse de las mismas bianca. casas jara .practicar esta operación, y que libremente puede elegir á Sres. que fueron de opinión contraria: D. MitíasCitero, D. Joaquín •Hat ¿MÍt otras «pie crea convenientes para el efecto. Manrique , D. Gonzalo Cárdenas, D. Nicolás Alonso , D. Andrés Art. 8.a » Cuidará el Gobierno de dar á sus encargados en Madrid, Alcoa y D. saturnino Lozano. Lóndres y París las órdenes necesar…</t>
  </si>
  <si>
    <t>Miuns</t>
  </si>
  <si>
    <t>…putados ai Cingreso de Córdoba, expresando no ser tiempo de reunirse cuyo extracto presentamos aquí. mediante á haber hecho la* Cortes nacionales su última preposición á Parte del general Miuns desde Breda con fecha del 5 á las ocho las A meneas de que serian parte integrante de la Monarqu'a espi de la mañana. nóla, formando un Gobierno con nn Infante á la cabeza para de .bera» He atacado i los enemigos en las callea d: este pueblo al amane cion de…</t>
  </si>
  <si>
    <t>Miz, Knuent-</t>
  </si>
  <si>
    <t>Knuent- Miz</t>
  </si>
  <si>
    <t>…teretas. Seria ciertamente una cosa graciosa 7 divertida el ver 4 un £n providencia de 31 de Enero último, dada por el Sr. D. Margrave holandés hacer tan repetidos movimientos. El capitán Knuent- Miz) de Pineda y Lira, magistrado honorario de la audiencia territotern no consintió ni aun cn hacer la cortesía 4 la japonesa, es decir, i Mial de Castilla ia Nueva, 7 juez de primera instancia en esta M. H. doblarse de una manera que formase un ángulo recto ent…</t>
  </si>
  <si>
    <t>MLde, Josef Alejo</t>
  </si>
  <si>
    <t>Josef Alejo MLde</t>
  </si>
  <si>
    <t>…Podio, oficial segundo de la tesorería de i&gt;. M, el P. Fr. Pe animados de alguna enemistad.” Sigue citando los nombres de algunos dro Tellez, agonizante en et convento de Alca'á, D. Josef Alejo MLde estos sugetos, confundidos entre tos tenidos generalmente por des ralbat (el Moreno) , teniente coron 1, el teniente D. F. Tarazona ó Díaz, afectos á la buena causa, y entre ellos es uno el mencionado secretario D. Francisco Moso, oficial de la curia eclesiás…</t>
  </si>
  <si>
    <t>Mler.dcz</t>
  </si>
  <si>
    <t>…a de las primeras funciones del cu.ipo legislativo. La comisión debe en toda U Nicion , seiun el modelo que circulará el Gobierno. confesar á lo minos que ba variado de opimon. El Sr. Mler.dcz inanif.stó qu: aquí solo debía ponerse una has-, u.Asi que , yo creo que la comisión debe presentir un proyecto de le jando al arbitrio del Grbi rno el dar un redámenlo pata fijar los t:ryes samtaiias con arreglo a las c&gt;b»ervac ones que se hicieron en la dis…</t>
  </si>
  <si>
    <t>Mm-, Jo'ef</t>
  </si>
  <si>
    <t>Jo'ef Mm-</t>
  </si>
  <si>
    <t>…Torios*. res r-.Mbleeidos en las provine as de Andamela, Galicia y Valencia Srrs. que a mpusuron el jurado: 1). Josef de Calderón, D. Josef 1.206,991 rs. y 10 mrs. Ort-ga (.acedo, D. Jo'ef Mm- , J). Guillermo O.¡ver, D. Pedro Fun i'cinnes. Rainbad, I&gt;. Francisco Ignacio Pelleja, !&gt;. Ios-f Franc seo Hijar, Para atender 4 los gaito* de tundiciones, maestranzas y parques da D. 1 -liu Rinz de Fortín: y D. Ramón Fel-u. Iodos, á excepción d«l artillería…</t>
  </si>
  <si>
    <t>Mmi</t>
  </si>
  <si>
    <t>…intereses desde ei ci. d. &gt;c. j&lt;o». principal, y á favor dd somatan obligase á una retirada ; y asi me di- Att. 4J «Se abonará á &gt;a .asa cur.tratinte una cem s en de 4 per zijo al general Mmi para que con arreglo á lo d apuesto por el Gobier loo sobre 308 miLones y 8 cO rs. vn., importe efectivo d Ls r-rus, no forme la combinación a que esta, tropas pu. Jan concurrir con fru cuya comisión asciende por corsecuerc a 3 8 millones Itc-J ¡i vn. to. = !…</t>
  </si>
  <si>
    <t>Mmttand</t>
  </si>
  <si>
    <t>…ia residencia de nuestro _Escriben de Trieste lo siguiente: Ha llegado un buque que trae de amado hijo el Principe de Orange, á nuestro palacio en ¡a misma ciu Corfú pliegos para lord Mmttand , y p.ir e- raumo conducto '.tnv» re dad, i los edificios devorados por el incendio de 29 de IJ ci mbre de cibido cartas del comercio de ias mas J. n cas coa f cha d- ; d Ju x8zo, á la construcción de algunos caminos reaUs, at gran canal del nio, que traen ia…</t>
  </si>
  <si>
    <t>Mnclin</t>
  </si>
  <si>
    <t>…, j sí solamente contestar 4 algunas objeciones que se habían debe aprobarse el dictsmrn de la comisión. iMcho. Manifestó en seguida qne los Sres. Castró lo , • Moreno y Torres El Sr. Mnclin: El Gobierno propuso en su dictamen que tos co habtan ptsmsdidn bajo conceptos equivocados acerca de la ant*íg&lt;iedad, mandantes generales tuviesen pe'j rs.; pero la comisión no tuvo á bien conveniencia* y justicia que obraban en favor de los asilos, y opinó a…</t>
  </si>
  <si>
    <t>Mnl, Miguel</t>
  </si>
  <si>
    <t>Miguel Mnl</t>
  </si>
  <si>
    <t>…e le ha Ramos, D. Mariano Moreno. D. Aranasio Cuadros, D. Buenaven ba torced do a introduce.on cu ndo . ra encarnado de Negocios de tura Basas, D. Gaspar Delvado, D. Jactfco huno, D. Miguel Mnl“ius,a,se quejó el hr. Oifers de que se hiciese pública la suspensión de querra, D. Juan Bsutisu ¿abala, D. banuago Aiificz, D. Joscf Moa-</t>
  </si>
  <si>
    <t>Mnnsrriz</t>
  </si>
  <si>
    <t>…ane! destino mencionado en dicho decreto, con vív res y c.quireemplazo dsl sgéreilo los legos secularizados. pagea ntcetario* para un viage ordinario. Palacio de Queluz 1 de Di El Sr. Mnnsrriz presentó una adición al art. 4* dal proyecto de de ciembre de i8az.s:Igmcio da Costa Quinte lie. creto sobre los acontecimientos del 7 da Julio da 1822 , reducida á qua Nota con la l. tra C. ee especificase el peso y valor ds la medalla concedida por al mismo…</t>
  </si>
  <si>
    <t>Mnrm, Torre</t>
  </si>
  <si>
    <t>Torre Mnrm</t>
  </si>
  <si>
    <t>…ne los esclavo* tienen un tacto muy exquisi mota. En la gaceta de igde Febrero, sesión de Corles, col. to para recibir la libertad. Un. 53, donde dice ti Se. Golfín dijo, léate ti Sr. Torre Mnrm dijo trc. EN LA IMPRENTA NACIONAL.</t>
  </si>
  <si>
    <t>Mnro</t>
  </si>
  <si>
    <t>…onales es imponderable, y no habrá difi no» baldíos. cultad que no allane. Su ardimiento patriótico es el terror de los rebel Se leyó y quedó aprobada la siguiente proposición del Sr. Mnro: des ; pero la espada vengadora de la justicia es menester que los aterre n Pido á las Cortes se diga al Gobierno que inmediatamente lleve i de otia manera, y que descargue sus golpes sobre los malvados que se efecto el artículo 3.° del decreto de las mismas…</t>
  </si>
  <si>
    <t>Mo</t>
  </si>
  <si>
    <t>…lida é loa que estaban fondeados en aquel puerto, do, no quedan sujetas á las leyes militares. En los países extrangeros en ceso de que siendo la suerte «le la guerra favorable al general Mo sucede lo mismo, esto es, que los delitos contra el Estado son castiga rales, te viesen ios enemigos en la necesidad «la evacuarlo, asi como á dos con arreglo á las leyes militares. Las Cortes no perderán de vista la capital. El 19 cazaron nuestros buques á «…</t>
  </si>
  <si>
    <t>…interesados las solicitudes que les hubiesen en que sale , cuyo papel circulará por las demas justicias, quedándose dirigido y remitido por el correo sin franquear los portes. El Sr. Mo estas con copia, en la que constará el nomb.e del veredero, y constan reno sostuvo el artículo; y después de una corta discusión se voió por do en el original la hora en que lo recibieron y despacharon hasta qua paites, quedando aprobado hasta las palabsas se…</t>
  </si>
  <si>
    <t>Mo, Fernando de</t>
  </si>
  <si>
    <t>Fernando de Mo</t>
  </si>
  <si>
    <t>…rmar causa , que suba á esta tribuna, y que lo pida : yo le Aprobado. desafio. (Voz a la derecha■ no sois hombres de tanta importancia.) Otro, en que con motivo de la solicitud de D. Fernando de Mo En fin se restableció el silencio, y pudo conseguir él orador que le ya sobre aumento de sueldo, opinaba que las urgencias del erario na oyesen. y permitían hacer extensiva esta gracia á todos los que la solicitaban. Después de haber explicado algunos pa;aj;s de…</t>
  </si>
  <si>
    <t>Mo, Joaquín</t>
  </si>
  <si>
    <t>Joaquín Mo</t>
  </si>
  <si>
    <t>…o suspenso de dicho La comisión de Legislación presentó los siguientes díctírn’n-s. destino, por habérsele seguido causa por ei genera! Qu-sada. Ea comi Uno sobre la exposición de D. Joaquín Mo,qujrt y F ."j.r-i ¡cer sión opinaba que no pudiéndose hacer una excepción al decreto de 9 de ca de la venta de las tierras de un convento de Murcia. La o:n . o Noviembre, pasase este expediente al Crédito público. Aprobado. opinaba que no podía resolverse est…</t>
  </si>
  <si>
    <t>Mo, Manuel Martínez de</t>
  </si>
  <si>
    <t>Manuel Martínez de Mo</t>
  </si>
  <si>
    <t>…en la gaceta. « Dios guarde á V. S. muchos años. 1'udt.la y Agosto al, hoia de Los per,lidíeos de iiarcelons no contienen noticias interesantes; pa las 10 de la noche =E1 capitán comandante Manuel Martínez de Mo ro hemos recib-do impreso el siguiente parte: ren!.n.zcSl alférez comandante Joaquín Guindulain.rc.Vl. I. ¡. gtfe su perior pul. tico de la provincia de Zaragoza.’’ Egérc.'lo del séptimo distrito militar. Cereña 14 de Agesto. En la mañana de este día he recib…</t>
  </si>
  <si>
    <t>Mo, Miguel</t>
  </si>
  <si>
    <t>Miguel Mo</t>
  </si>
  <si>
    <t>…la ley, y calificado loa Sres. D. Fernando de Zurita, D. Josef Aborto de i8ao, facultando á la diputación provincial para que ha Fetez de León, D. Rodrigo Sanjnrjo, D. Josef Miro, D. Miguel Mo bilite cata introducción cuando el trigo excediere de 8o r*. la fancga( reno , D. Alfonso Carrera, D» Gabriel Rodríguez, D. Francisco 7 la harina de i so rs. el quintal. Montoro,D. Vicente Martina Gómez, D. Antonio María Cuatre El Sr. Munarrii presentó á las…</t>
  </si>
  <si>
    <t>Mo, Pablo</t>
  </si>
  <si>
    <t>Pablo Mo</t>
  </si>
  <si>
    <t>…ro de la comisión de Infracciones acerca de la queja dada por los acreedores del Estado hayan de cambiar sus créditos por fincas D. Antonio Noguera, comandante de batallón, contra D. Pablo Mo mediante las subastas*, bajo el supuesto de que la Nación suspenderá rillo , gefe del egército expedicionario de Costa-firme y el Sr. secreta el reconocías iento de los créditos que poseyeren los que, pasado el rio de la Guerra del año so, por no haber dado c…</t>
  </si>
  <si>
    <t>Mo, Tomas García</t>
  </si>
  <si>
    <t>Tomas García Mo</t>
  </si>
  <si>
    <t>…Santiago Rotalds, D. Agustín Masca teñas y D. Miguel María de Vemarchaban á la Anatolia, y Jas provincias turcas del Asia, en que hay lasco; en cuya consecuencia la ley condenó á D. Tomas García Mo. muchos cristianos , están en plena insurrección. Ya empezaba á mani rante, presbítero beneficiado del lugar de San Quirce de Rio Pisuer,*» festarse en Constantinopla el descontento: en la noche del 18 al 19 de responsable de dicho impreso i la pena de seis m…</t>
  </si>
  <si>
    <t>Moa, Francisco</t>
  </si>
  <si>
    <t>Francisco Moa</t>
  </si>
  <si>
    <t>la Monarquía espalóla, llar de la» Espato, á Sodo*lo» que las presen» amribanfa canutarla que despacha por habilitación D. Francisco Moa» tas rieren jr entendieran, sabed: Que las Cortas extraordinarias bando» toya , sita en el piso bajo de la audiencia territorial; con prevención «retado lo siguiente: que al que no concurra le parará el perjuicio que haya lugar. n Las Cortes extraordinarias,…</t>
  </si>
  <si>
    <t>Moa-, Joscf</t>
  </si>
  <si>
    <t>Joscf Moa-</t>
  </si>
  <si>
    <t>…asas, D. Gaspar Delvado, D. Jactfco huno, D. Miguel Mnl“ius,a,se quejó el hr. Oifers de que se hiciese pública la suspensión de querra, D. Juan Bsutisu ¿abala, D. banuago Aiificz, D. Joscf Moa-</t>
  </si>
  <si>
    <t>Moatmgon, Josef</t>
  </si>
  <si>
    <t>Josef Moatmgon</t>
  </si>
  <si>
    <t>…mas puro exci cinco certificaciones de crédito, expedidas en Sevilla por la contaduría taron á conocidos y amigos á que concurriesen á sus benéficas miras. de egército en favor de D. Josef Moatmgon, de aquella vecindad, coa De este modo lograron formar un establecimiento, cuyas ventajas y los números y valores siguientes: 1630 de 150,900 rs. va., 1631 de utilidades pudieran ser mucho mayores, ti el Gobierno se dignara (co 80,800 de id., 163 de ti 89 de…</t>
  </si>
  <si>
    <t>Mocrcy, Faustino Rodrigu.z</t>
  </si>
  <si>
    <t>Faustino Rodrigu.z Mocrcy</t>
  </si>
  <si>
    <t>…y a presen dras de lengua grieta a car. o de I). Saturnino Lozano, y de derecho tarse á cara descubierta en defensa de los griegos. Pero nada di-be pa publico constitucional al de D. Faustino Rodrigu.z Mocrcy, el sabaa» recemos extraño por extraordinario que sea cuanto suceda: la publica ay de junio á .as seis de la tarde. hace callar i todos los sentimientos de humanidad &amp;c—No se sabr si ARTICULO DK OFICIO. el Emperador Alejandro ha vuelto ya, de su correría á io…</t>
  </si>
  <si>
    <t>Moctmorency</t>
  </si>
  <si>
    <t>…tiente enrre otra» notic.s iz» s guiectes. que se estableció una intimidad muy grande entre el hmpe. j-ror de como generalmente se esperaba, !• InrVtrrra ha permanecido Rusia y el ministro Moctmorency. El principal agente de esta mudan neutral en ¡a, dclibera.iijnes dV congreso reiativas a E-pxúa , a1 gando za y elVrsonage mas activo del Congreso era el conde l’ozro di Bor- su Constitución, que le p'oh be acceder á las m*d' íes g-n.ra'-s con KO que hizo lo…</t>
  </si>
  <si>
    <t>Modo</t>
  </si>
  <si>
    <t>…ropuestos.” p-i.n r ir, av i ¡antes han de proponerse capitanes, y tenientes para se cAi-miro vr.gún IOs .11 UI: int- s. Ari. 44. .. Las propu-stas de lo» empleos dt subtenientes, teniente Modo de hacer las propuesta’ de! cuerpo de artillería. y ca 'it.ui corres, ondieni s á la elección , as: como las de 'os prim-ros Art. 55. n Las propuestas de les gefes de los escuadrone» de artille y s e un dos ayudan!-s, se harán ptvc sámente en los cinco primer…</t>
  </si>
  <si>
    <t>Modo, Joeef María Ro</t>
  </si>
  <si>
    <t>Joeef María Ro Modo</t>
  </si>
  <si>
    <t>…librería de Miyar, y en Cádiz en la de Zaragoza quero , D. Miguel del Pino y López han declarado no haber lugar 4 la 4 t a cuartos. formación de cansa, votando solamente por el sí D. Joeef María Ro Modo de extinguir la deuda pública, eximiendo á la Nscion de to tor 1 ii lo- da clase de contribuciones por espacio de 10 seos, por D. Juan Alvs__En 1 a del corriente acudió D. Maleo Mondejar, vteino-dt teta cor rez Guerra: quinta edición. Se hallará en la librerí…</t>
  </si>
  <si>
    <t>Mogollón, Francisco</t>
  </si>
  <si>
    <t>Francisco Mogollón</t>
  </si>
  <si>
    <t>…bastante para mevebir y disipar cata criáis, ni pera impedir Ponufedn i- D. Ramón María Herrero, id. sus ominosas resultas. El poder egecbtivo está mal combinado con el Trujillo i D. Francisco Mogollón, id. legislativo y el judicial: carece de las facultades mis indispensables pa Málaga.*! coronel D. Joaquín Santistehaa , id. ta hacer observar las leyes, y mantener el buen orden en el país, y no SigíLnza i D. Joan Manuel Iglesias, id. existe y domina tino p…</t>
  </si>
  <si>
    <t>MoHabiéndose, Tomas</t>
  </si>
  <si>
    <t>Tomas MoHabiéndose</t>
  </si>
  <si>
    <t>…en contra del art. 34 fue des primer batallón de voluntarios nacionales al mando del teniente de la echado por votos contra $5* misma D. Josef Alonso del Ribero y del subteniente D. Tomas MoHabiéndose leído el art. 35 , se discutió largamente, y se decidió que relió , custodiando la I4pida que «te ayuntamiento constitucional re soto fuesen nulos los votos para diputados i Cortes que se diesen en galaba 4 aquel pueblo por insinuación del Sr. gefe político.…</t>
  </si>
  <si>
    <t>Mohíno, An</t>
  </si>
  <si>
    <t>An Mohíno</t>
  </si>
  <si>
    <t>…spacho de Hacienda , he v.-mdo en adnvtirle la renuncia Retratos de la col.ccion de varones ilustre» española: D. Josef que hace de aquel destino, y en mimbrar para su desempeño á D. An Mohíno, conde de Fiondablanca, y D. Pedro Rodríguez Campómetonio Martínez en cal idad ds tal secretario de Estado y del Despaho de nea Se hallarán en la calcografié de la imprenta Nacional é 8 rs. ca Hacienda. Tcndreisto eound.de &amp;c.” da uno. EN LA IMPRENTA NACIONAL…</t>
  </si>
  <si>
    <t>Moil, Jaime</t>
  </si>
  <si>
    <t>Jaime Moil</t>
  </si>
  <si>
    <t>…el regi hallará de venta en el eslabiecimieuto de grabado y estampado de ¡a ca miento infant ria d‘l Príncip", con 670 rs. lle del Turco y en la librería de íanz i z rs. Gerona al capitán D. Jaime Moil, segundo ayudante del regi Plan de una gtamát ca general, ó principios generales que deben miento infant-ría de Murcia, con rs. saber los que se dedican á esta ciencia : su autor D. Diego Coacta : cons Guadañara al capitán D. Manuel de Molina, primer ayudan t…</t>
  </si>
  <si>
    <t>Mojan, Frailan</t>
  </si>
  <si>
    <t>Frailan Mojan</t>
  </si>
  <si>
    <t>…on su paradero.=Entonces dispuse que una columna compuesta de 40 ignorar quien fuese el enrm.go y cuilts su» fuerzas: p ro s:n .mbir.-o infantes y 50 caballo» al mando del espitan D. Frailan Mojan recor qued &gt; resuelta una sainia tan pronto como »- aproximas-n 1*0 p:c¡rí ,.t los pueblos de Alcubierre y Polifiino , con el fin de reconocer la vinciaies de Soria, que debían I egir segur, su itir. rmo.e »ubt-n:cnts diT-cha de mis operfie.onrs. Gon el resto…</t>
  </si>
  <si>
    <t>Mojon, Frailan</t>
  </si>
  <si>
    <t>Frailan Mojon</t>
  </si>
  <si>
    <t>…de que el cabecilla Zaldivar se dirigía hacia este punto, y a las ren.—17. Alcabalas de Almufiecar, Motril y Salobreña, en la provin ti de la misma me ofició el espitan de Almanta D. Frailan Mojon, cia de Granada, juro 474,398 mrt., en cabeza del relacionado D. Al que sabi'n'to que aquel faccioso marchaba por la inmediación de esta fonso Perez de Guzman, patriarca de la* India* y limosnero mayor cuitad á pasar el Guadiana sobre el camino de Porzufia, t…</t>
  </si>
  <si>
    <t>Mojon, Froilan</t>
  </si>
  <si>
    <t>Froilan Mojon</t>
  </si>
  <si>
    <t>…a, VilUnuva , Te El Gobierno ha recibido ios partee siguientes. je iro , Sierra, Bslmonte, Baixzs, Moreno, Prat, Ferrer (O. Jti- » Excmo. Sr. : El capitán de caballeiía de Almanta D. Froilan Mojon, quin), G-trmendía, Riego , Septicn, Bufaría, Montesinos , Arias, comandante de la columna móvil de la Mancha, con fecha $ del actual Neira, Reillo , Casas , Ruiz del Rio , González (D. Manee), Man desde la Porzuña me dice lo que sigue: Excmo. Sr.: A poco ret…</t>
  </si>
  <si>
    <t>Mojon, Frolian</t>
  </si>
  <si>
    <t>Frolian Mojon</t>
  </si>
  <si>
    <t>…es: nos informaron hallarte Guaneo en este momento me dispon a pira marchar , acabo (le rec b r sentenciadas á ser pasadas por las armas con tojas las restante» madres, de d", 1-o D. Frolian Mojon desde Lau*f* ei pirte que dice asi. ( IV.»« esposas é h'jos de los vo'untaros, y á ser quemadas las casas, para ¡o se la g.nrta dtl sábado dt Agcstj.} que hab an ya llenado de leña los patios de la nra , de la dei coman Lo que trasiado i V. S. pura su satisfa…</t>
  </si>
  <si>
    <t>Mol, Antonio</t>
  </si>
  <si>
    <t>Antonio Mol</t>
  </si>
  <si>
    <t>….—luán Po!o =Antonió Caracueí.= Jorge Gircía.sjosrf Rey.sJosef Alba.slgnacio Vicente AsensisDr. Francisco S. Juan.sGerónimo Feirer.crjosef SorUao.sJosef Jou. 3 D.Joaef Abclan.sDr. D. Antonio Mol¡na-=D. Juan Domenech, exa Ramón Sala.=Manuei Dura-sFrancisco Catalán Josef Vilar.sVicenminador del protomedicato de Valencia.sPascual Vicente, maestro de te Domenec =Fernando Pascual =Ar.tonio Ruiz =Antonio Maain.=c farmacia.sSilvestre Ramírez de Arellano, al…</t>
  </si>
  <si>
    <t>Mole</t>
  </si>
  <si>
    <t>…te á aquel puerto por de depósito de primera clase. Decazes, para el de Guerra al conde Daru, y para el de Justicia al A la comisión de Caminos y Canales una exposición de D. Anto conde Mole. nio Valle, espitan de cuerpos francos en Cataluña, acompañando el De Odesa con fecha 9 de Febrero se sabe haber declarado el divan plan de una carretera que termina en el lugar de Pons en dicha pro* á las potencias mediadoras » que la Puerta no enriará de ni…</t>
  </si>
  <si>
    <t>Moles, Vicente de</t>
  </si>
  <si>
    <t>Vicente de Moles</t>
  </si>
  <si>
    <t>…gastos y líquido de las rentas estancadas en el le , en cabeza de D. Francisco Lomelin : otro de 48,334 id. sobre diez mes de Mayo último. mos de la mar de Castilla, en cabeza de D. Vicente de Moles: otro de Ramos. Valores. Gastos. Líquido. 30,683 id. sobre el servicio de millones de Salamanca, en cabeza de Don Juan Alvarrz: otro de 88,400 id. sobre la renta general de tabaco, rn Tabacos.................. 3- 2 21,393 3» 54&gt;.655 3° 1.678,738 cabeza «le D-…</t>
  </si>
  <si>
    <t>Molina, Josef Pió de</t>
  </si>
  <si>
    <t>Josef Pió de Molina</t>
  </si>
  <si>
    <t>…el verdaderamente no tenia aquellos conocimientos que me figuraba po mas antiguo del cabildo de esta capital. seer. A estos que han aprendido en las universidades les sucederá lo Sr. D. Josef Pió de Molina, contador de la junta, visitador de la misino, y si yo me conocí y no tuve atrevimiento á pretender una hospitalidad pública, é individuo de la comisión de presupuestos. judicatura, tampoco lo tendrán ellos. Sin embargo de esto hay muchos Sr. D. Josef Rodrígu…</t>
  </si>
  <si>
    <t>Molina, Manuel de</t>
  </si>
  <si>
    <t>Manuel de Molina</t>
  </si>
  <si>
    <t>…una gtamát ca general, ó principios generales que deben miento infant-ría de Murcia, con rs. saber los que se dedican á esta ciencia : su autor D. Diego Coacta : cons Guadañara al capitán D. Manuel de Molina, primer ayudan ta de un pliego, y se vende á a rs. «n la librería de Romeral. EN LA IMPRENTA NACIONAL.</t>
  </si>
  <si>
    <t>Molina, Pío</t>
  </si>
  <si>
    <t>Pío Molina</t>
  </si>
  <si>
    <t>…i. si ......a Estado de los Negoc&gt;os del reino, ceitifi o que hasta hov por ’a no del año de siíiyche á la hora en que me he r-.tirado dt Ja i¿,csia ds Sto. D iminja, no Alcaldes. D. Pío Molina , D M:gu»! Gsrc'a ’a Madrid , D. Josef ha enviado todavía la berma. bra. R i na su juramento. Lino Campos, D. Francisco Jivisr Olavarna, 1). F.-ao-aco Cr: po Te En testimonio de lo cual extendí la presente de ir.i letra y con mi tigno, que va sellada con el s…</t>
  </si>
  <si>
    <t>Molinero, Josef</t>
  </si>
  <si>
    <t>Josef Molinero</t>
  </si>
  <si>
    <t>…uego mis avanzadas, y replegándose á este punto: los enemigos si Cazadores. D. Claudio Estéban, herido. guieron su marcha'en dos columnas, atacándome, la una de cazadores Primera. D. Josef Molinero, herido. D. Juan Velasco, contuso. por la calle dé ¿oteros, y la otra de granaderos por la de la Amargura, Segunda. D. Estéban Abascal, herido. extendiéndose par su izquierda al callejón del Infierno; por cuyos tres” Tercera. D.Juan Cruz de Aldama , herido. p…</t>
  </si>
  <si>
    <t>Molinet, Antonio</t>
  </si>
  <si>
    <t>Antonio Molinet</t>
  </si>
  <si>
    <t>134* Capaps crn tfjo Infantes y 30 cabillo* ocupaba lo» pueble* de Hij-ir do del cadete D. Antonio Molinet. El resultado ha sido apoderarnos y Aleo: si, y de que su intención era aproximarse a Catanda para ir.» de todas las armas, qua son 101 de fuego, de 14 caballos ensillados, 4 tU!r:.¿ionit.s¡.podil a Alufiia./.tu pan do, determiné qu: ia colum sabl.s, una caja…</t>
  </si>
  <si>
    <t>Molino, Juan</t>
  </si>
  <si>
    <t>Juan Molino</t>
  </si>
  <si>
    <t>…el gen ral Quiroga. que obstase el decreto de 13 de Marzo último. Aprobado. La com.slon de Hacienda, informando sobre la adición del Sr. Fer La misma , en vista de ia solic tud de D. Juan Molino, vecino de rer al dictamen de la misma comisión ya aprobado sobre el cargamen Tarragona, en la cual haciendo presente sus ser*icios, y haber sido una to de cacao pertenrc mf á D. Joaquín Vilialba.y que desembarcó es de ios complicados en Ja malograda empresa…</t>
  </si>
  <si>
    <t>Molino, Mariano</t>
  </si>
  <si>
    <t>Mariano Molino</t>
  </si>
  <si>
    <t>…en Blestinglon , conda certificaciones de crédito contra la Hacienda pública. do de Wicklou, se han cometido horrares y crueldades. En el conda Se dió cuenta de una exposición de D. Mariano Molino , ayudante do de Limerick ha sido saqueada y quemada parte de una iglesia; y mayor del regimiento de caballería de Santiago, cediendo en favor del también han sido saqueadas y destruidas lu casas de los Sres. 'Maunsell, erario sus alcances hasta el dia, conta…</t>
  </si>
  <si>
    <t>Momia, Gumersindo Fernandez</t>
  </si>
  <si>
    <t>Gumersindo Fernandez Momia</t>
  </si>
  <si>
    <t>…Cristna,’' y concluye: » El patriota ze omo tiempo catedráticos en propiedad, según propone la dirección , á *0 de la salud pública:” denunciado por injurie.m por el secretario di D. Gumersindo Fernandez Momia para la cátedra de fisica, y para la la ¡unta supcr.or de sanidad, han declarado no haber lugar Ala forma de botánica y agricultura i D. Josef Alonso QuintaniUa; en clase ele ción de cauta por cinco votos , habu ndo opinado que st cuatro , qu* interinos á D.…</t>
  </si>
  <si>
    <t>Momo, González</t>
  </si>
  <si>
    <t>González Momo</t>
  </si>
  <si>
    <t>…lia depositado tu confianza; pero siendo indudab'e que ■probarse. muchas de ellas son las que han dado lugar al mal en ios mismos pue El ¿ir. Arguelles: He sido interp^ado por el Sr. González Momo, blos, creo se esti en el caso de ad «ptir todas aquellas medidas que sean puesto que bi h cho mención d: h.-cios ocurridos durante mi admi capaces de remediarlo, y compitió con la Constituc-on; pero me pa nistración , y debo contestar y manifestar mi opción…</t>
  </si>
  <si>
    <t>Mon, Luis</t>
  </si>
  <si>
    <t>Luis Mon</t>
  </si>
  <si>
    <t>…aria del gobierno político de L on. El patriota D. N. MisiMas perversos ciudadanos, que haciendo la guerra á su misma patria, y hizo pr-sionno al teniente de las guardias enemigas D. Luis Mon, encendiendo el fuego de la d.scordia , cometen el mas grave de todos- quien intentó en vano sobornarle con ¡a oferta de unas cuantas onzas los crímenes contra Dios y c ntra los hombres. de cío-, y el llamado D. N. Estrella cogió asimismo al teniente coro nel…</t>
  </si>
  <si>
    <t>Mon-, Juan Alfonso</t>
  </si>
  <si>
    <t>Juan Alfonso Mon-</t>
  </si>
  <si>
    <t>…er grandes ni muchos ios resu.lados de! congreso; y lo» ulti votos. mátum turcos dan m-stívo para muchas r fi.-x enes. Parece qu: ei prin Para la de Gramd* »e proponía á lo» Sres. D. Juan Alfonso Mon- cipa! objeto del cor.grso »on los negocies de Turquía, y ia Rusa toya , D. Josef García y Gómez y D. Juan de la Torre y Bo-u.t; jr vuc.ve i promover con ca or e.te punto, cuyo result.do podrá s-r muy fue electo el Sr. Montoya por 71 veto» d« * . 8. d.lerente…</t>
  </si>
  <si>
    <t>Monarquía</t>
  </si>
  <si>
    <t>…e y condición que sea que conspirase directamente y de hecho á trastornar 4 destruir 4 alterar la Constitución política de la El Exento. Sr. D. Evaristo San Miguel denunció al Sr. alcalde Monarquía española, 4 el Gobierno monárquico moderado hereditario D. Vicente Bertrán de Lis el pasage de los números 24 y 15 de la que la misma Constitución establece ,44 que se confundan en una per Tercerola , que comienza en la pág. 30 hasta el fin de dicho número, s…</t>
  </si>
  <si>
    <t>…ey ha expedido el decreto siguiente: 45 votos contra 43. Don Fernando vu por la gracia de Dios y por la Constitución de la Se suspendió esta discusión, y se leyó un oficio del Sr. secretario Monarquía española , Rey de ¡as Españas ,a todos los que las presentes de la Gobernación de la Península , al que acompañaba un proyecto de vieren y entendieren, sabed; Quedas Cortes han decretado y Nos san decreto, relativo al modo de expresar las Cortes los sentimien…</t>
  </si>
  <si>
    <t>Monarquía, Cues</t>
  </si>
  <si>
    <t>Cues Monarquía</t>
  </si>
  <si>
    <t>…orque consideraba que era muy á propósito lo fuesen Don Fernando vn por;a gracia de Dios y por ¡a Conít'fuc’on &lt;íe la por los ayuntamientos constitucionales; á lo cual contestó el Sr. Cues Monarquía espaúo a, Rey de 'as España*, j to os ios quf !a cres.r.ts ta que la comisión entendía mejorar con esto la ley de :: de Octubre. vieren y ent.-nj' r. n, siSjd; Qjí iss vlort s V:n lícr-.-t’j ■&gt; lo s.eu.-nEl Sr. Romero Alpoente dijo que con la adición que habí…</t>
  </si>
  <si>
    <t>Monas, Mariano de</t>
  </si>
  <si>
    <t>Mariano de Monas</t>
  </si>
  <si>
    <t>…que se hace saber al público, á fin de qua asi tes cisco Izquierdo. acreedores y deudores, como cuantos tengan ó puedan tener derecho ó Continúa abierta la suscripción en cata de D. Mariano de Monas interés en dicha liquidación y extinción, acudan y representen al ayun terio y Zulueta, tesorero de la sociedad, calle del Príncipe, núm. 8, tamiento cuanto tengan por conveniente en el preciso término de un cunto bajo ; y el reglamento de venta en iat librer…</t>
  </si>
  <si>
    <t>Monasterio, Bartolomé</t>
  </si>
  <si>
    <t>Bartolomé Monasterio</t>
  </si>
  <si>
    <t>…262,300 jora respecto i los sueldos que disfruten, y los de las vacantes que ha mrs., y de ellos se mudaron á las alcabalas de Málaga 130,138: Don yan de ocupar.” Fabián Ramírez y D. Bartolomé Monasterio por otro de 19 de Setiem De Real orden lo traslado i V. á fin de que lo haga publicar y bre de 1663,739 mrs. situados en el derecho del 10 por too de lanas, circular en el distrito de su mando pera noticia de los pretendientes á y pertenecen al patronato y ca…</t>
  </si>
  <si>
    <t>Mondejar, Maleo</t>
  </si>
  <si>
    <t>Maleo Mondejar</t>
  </si>
  <si>
    <t>…ía Ro Modo de extinguir la deuda pública, eximiendo á la Nscion de to tor 1 ii lo- da clase de contribuciones por espacio de 10 seos, por D. Juan Alvs__En 1 a del corriente acudió D. Maleo Mondejar, vteino-dt teta cor rez Guerra: quinta edición. Se hallará en la librería de Miyar, y ea te, al Sr. alcalde constitucional D. Rodrigo Atanda, dtnunciando en Cádiz aa la de Zaragoza , i i» n. EN LA IMPRENTA NACIONAL.</t>
  </si>
  <si>
    <t>Moni, Domingo Saez</t>
  </si>
  <si>
    <t>Domingo Saez Moni</t>
  </si>
  <si>
    <t>…ION CBNBXAt SI LOTERIAS NACIONALES. seis votos, habiendo disentido D. Josel de la Ve¿a, D. l^as.m.ro oera— Noticia de los pueblos donde han cabido los premios mayores de la diez y D. Domingo Saez Moni:jo. lotería moderna nacional en el sorteo del dia de ayer. Números. Premios. Administraciones. D. Josef de Posadas denunció en 14 de Agosto pasado un articu'o comunicado, inserto en el número 657 del Diario iaa.iitano de 24 dn 1842....... IOOOO En Sevilla. Ju…</t>
  </si>
  <si>
    <t>Monles, Francisco de</t>
  </si>
  <si>
    <t>Francisco de Monles</t>
  </si>
  <si>
    <t>…dia a8 de Octubre de 1821 falleció en esta corte i la edad da 6fdos interinos antes j después de tomar posesión do Iñ destinos que sa años,y 5s y 9 meses de servicios, el Exento. Sr. D. Francisco de Monles confieran. (Gaceta ¿el 6 de id.) talvo y Ambulody, natural de la ciudad de la Havana, caballero de In Circular del ministerio declarando que los cesantes y jubilados de orden de Santiago, gran cruz de las de S. Hermenegildo é Isabel la Ca Hacienda pueden resi…</t>
  </si>
  <si>
    <t>Monlugar, Ataeasio Céspedes y</t>
  </si>
  <si>
    <t>Ataeasio Céspedes y Monlugar</t>
  </si>
  <si>
    <t>…so Gallego; y en procederá á lo que baya lugar. Madrid 7 de D ciembrt de 182a. cuanto á la hecha por D. Eduardo Pastor ae declaró también haber Lecturas útiles y entretenidas, por D. Ataeasio Céspedes y Monlugar por los acia primero* tnprascriptoa, y no haber lugar por loa tras ray. Habiéndose propuesto el autor hacer ver que no faltaban an Es último*. paña talentos que coordinasen y arreglasen novelas ó historietas da pertorage* de la propia Nación, que con mejor mo…</t>
  </si>
  <si>
    <t>Monreal, Domngo</t>
  </si>
  <si>
    <t>Domngo Monreal</t>
  </si>
  <si>
    <t>…sto, n D; resultas de haber entrado las trepas -a lar el comandante de caballería D. Jósef Echenique, Ramón Peña, Cardona se han dispersado enteramente muchos de ios somaten s: de D. Domngo Monreal, Alejo Soler, Bonifacio Monzon, Manuel Re modo que por todos estos alrededores pasan continuamente parí dis .,.ie batían y Antonio Trigo, que han sido los aprehensores de loa cuatro se dirigen á sus hogares, habiéndose presentado tr=s v.cino, dei pu-.b u facc…</t>
  </si>
  <si>
    <t>Monroy, Faustino Rodríguez</t>
  </si>
  <si>
    <t>Faustino Rodríguez Monroy</t>
  </si>
  <si>
    <t>…, conocida vulgarmente por Po m nt-li pura -I de Nova á D. Francisco Rodríguez Caballero; para el zuelo de Aravaca, distante legua y media de esta corte , se halla va d- l adrón 4 D. Faustino Rodríguez Monroy; para el de Cambados á cante ei partido de médico con fija residencia: su dotación es la de 20 D. Fiancisco Javier Sarrapio; para el de Pontevedra á D- Josef Paz y reales diarios, cobrados por la justicia, y casa para su habitación: su Rodríguez , y para el d…</t>
  </si>
  <si>
    <t>Monroy, Joscf</t>
  </si>
  <si>
    <t>Joscf Monroy</t>
  </si>
  <si>
    <t>…or sm cgempío. Hu-lado 430. I). Martin Latios 100. D. Alvaro Sai.clicz aoo. Seño En una pa'.ab a tuda la historia de España se le olvidó de repente al res H-rnandez fí rmanos 200. D. Joscf Monroy 160. D. Ignacio escritor d: ita. Et na , cuando quiso hab ar de la resistencia tenaz que Martin z 160. D. Juan Pirer 160. D. Ramón Ca vo 16 &gt;. D. Zacarías hici r n los españoles á su dominación , que sentían á par d: muerte. Mvnge 160. D. E. E. 160. D. T. P.…</t>
  </si>
  <si>
    <t>Monroy, Juan García</t>
  </si>
  <si>
    <t>Juan García Monroy</t>
  </si>
  <si>
    <t>…sea la ocupación del juez, se sirva entregarlas en Granad* a', mismo D. Juan Pascual Baqu-ro, ú otro que impida el proseguir rápidamente en el proceso. ó en esta corte al rrfendo D. Juan García Monroy, que vive en la Después de puesta la causa en estado de plenario , ninguna dilación calle de Hurtal-za, núm 35 déla manz. 316; en al conceptd de qua ha pad -t-i^o, si se exceptúa el que pudo haberse acortado algún tanto se pasó aviso á la tesorería gen ral pa…</t>
  </si>
  <si>
    <t>Monslus, Cristóbal</t>
  </si>
  <si>
    <t>Cristóbal Monslus</t>
  </si>
  <si>
    <t>…Borrás, y la corta partida de caballería , como asimismo el de esta provincia del teniente del regimiento de infantería de Málaga valor del subteniente del regimiento de Asturias D. Cristóbal Monslus, D. L borio Igea', comandante de una partida volante. el que se adelsntó de la guerrilla , y con su carabina dió muerte ¿ un &lt;1 Habiendo emprendido esta mañana la marcha con dirección á faccioso; como igualmente el sargento primero retirado D. Demetrio Tirig…</t>
  </si>
  <si>
    <t>Monta</t>
  </si>
  <si>
    <t>…as limí porque la una era consecuencia de la otra, y por ato me propuse no trofes. En este caso podrán contratar le Francia y la Inglaterra una hablar sobre d asunto; pero como el Sr. Monta ha pedido en su dis alianza sólida, á fin de evitar la egecnción de este vasto proyecto ; pero curso que los Sres. brasiUúo* declaren terminantememe por qué quie si mía n¡ podran cTttnrlo 9 porgue el Auitrin jr 1* Hum* w hilUrin ren que la delegación del pode…</t>
  </si>
  <si>
    <t>Montaner, Salvador</t>
  </si>
  <si>
    <t>Salvador Montaner</t>
  </si>
  <si>
    <t>…s acérrimos de la libertad. En estas la izquierda, Gastañandin si pie de! pueblo, el subteniente de la Rei circunstancias, y después de haber asegurado los reos en calabozos se na D. Salvador Montaner por u derecha, y yo con la restante fuerza parados, traté de lomar Irs pumos de la barca de Florida y puente de por el centro, poniéndolos ai momento en desordenada fuga , dispersán Carlu,a por si lograba aprehender á los fugitivos; no teniendo poco que dose…</t>
  </si>
  <si>
    <t>Montano, Juan Elias</t>
  </si>
  <si>
    <t>Juan Elias Montano</t>
  </si>
  <si>
    <t>…ndo, D. Pedro Po illtru, «Coruña, su ayuntamiento constitucional id de Julio de 1821." D. S-rapio Andreu , D. Sebastian Bote!le* , D. Miguel Díaz de Lu ( Siguen las firmas. ) na , D. Juan Elias Montano , D. Francisco Andrade, D. Manuel Gar articulo de oficio. cía y D. Josef Marín. Dirección gcarral de tftcíoi estancados, fincar trc. Continúan las felicitaciones dirigidas i la milicia nocional de Madrid. El Excmo. Sr. secretario de Estado y del Despacho de H…</t>
  </si>
  <si>
    <t>Montanos</t>
  </si>
  <si>
    <t>…Art. ao. » La fabricación y expendicion del papel sellado pertene por too, ni del go m bandera extranjera.” ce exclusivamente á la Nación, y no podrá hacerse sino de cuerna de El Sr. Montanos se ot&gt;uso á este artículo ; y op¡SK&gt; na» en caso de ella por los encargados que el Gobierno nombre al ef cto. Los que sin adoptarse debería pievenirse que lo ccnt-niao -n ei era exi -•.■ro ¿ !a» esta autorización lo fabtiqu.lt ó expendan incurren en la nuama…</t>
  </si>
  <si>
    <t>Monte</t>
  </si>
  <si>
    <t>…o solo , que » Sexto distrito m¡l¡tar.__Comandanc¡a general._Excmo. Sr. El condujeron preso__También publican ios periódicos las listas de los movimiento hecho por la división del brigadier Monte» para proteger electores nombrados por las patroquias para la renovación del ayunta la entrada del convoy en Lérida, y la reconcentración de aU.unas fuer miento. zas del bajo Aragón i esta para atender i los facciosos de Navarra, que habian penetrado por las…</t>
  </si>
  <si>
    <t>Monte-Blanco</t>
  </si>
  <si>
    <t>…n a conocido alguno. A 1a oonet. fragata Laura te trasbordaron mas, y entre ellos el inqu sidor v tri Yo me admiro cómo la comisión ha podido desentenderse de un no y Ortegon , el conde Monte-Blanco con sus dos hijos, Salamanca ton caso de este naturaleza; y por lo mismo esta ordenanza parece hecha su familia, D. Juan Amonio Jmeno.el P. balas, prov neul de San solo para una nación mediterránea qUa no tenga plaza alguna maríti Juan de Dios, Jimen»z el con…</t>
  </si>
  <si>
    <t>Montea</t>
  </si>
  <si>
    <t>…dcrá persos de eila caen por aquella parte , pues se hallaba en el mismo dia que las han renunciado, y desde aquella época se considerarán como entre F.scatron y Alcafnz ; y si el brigadier Montea, después «le habar vacantes ; y es la voluntad de S- M. que únicamente queden excep protegido el convoy, ha recaído sobre Fraga, según mis últimas ins tuados de esta providencia los que por suspensión ó formac.on de causa trucciones , pueden aun esperarse muy…</t>
  </si>
  <si>
    <t>Montea, Josef Moreno</t>
  </si>
  <si>
    <t>Josef Moreno Montea</t>
  </si>
  <si>
    <t>…mo ordinariamente sucede, de obras Ca nbos y Senes, D. Manuel García, D. Eulogio López, D. Cirios de escultura: el planisferio ocupaba la parte del techo que a¡ entrar se Esteves, D. Josef Moreno Montea, D. Josef Armada», D. Diego encuentra á la mano izquierda, y á la derecha había ct¡os adorno, de Mosquera, D. Domingo Sancha , D. Félix de la Riba , D. Jacobo So* menos importancia. El centro lo ocupaba una fi.ura de muger, 1 Ir bregra , D. Ramón Capóles, D.…</t>
  </si>
  <si>
    <t>Montealegrc, Josef Joaquin de</t>
  </si>
  <si>
    <t>Josef Joaquin de Montealegrc</t>
  </si>
  <si>
    <t>…ón de la Península ha resuelto ción del extinguido consejo de Castilla de los bienes que dejó el Ex 5. M. en 29 del corriente que para proporcionar á los habitantes de celentísimo Sr. D. Josef Joaquin de Montealegrc, duque de este título, las provincias de la antigui Cataluña y Aragón todas las ventajas qua te cita, llama y emplaza por tercera y última vez y término de 8 días, deben resultarles de las obras públicas principiadas á egecutar en ellas, contados desde el en…</t>
  </si>
  <si>
    <t>Montealegre, Josef Joaquín de</t>
  </si>
  <si>
    <t>Josef Joaquín de Montealegre</t>
  </si>
  <si>
    <t>…os._£L senado egerce el aprobación del extinguido consejo Real de Castilla de los bienes que poder egecutivo; y sus acuerdos tienen fuerza de ley en el intervalo de dejó el Fxcmo. Sr. D. Josef Joaquín de Montealegre, duque de este las sesiones. Sus vocales deciden sobre lo que propone la asamblea le título , se cita, llama y emplaza por segunda vez y término de 13 dias, gislativa ó el comisario superior ; pero no pueden hacer por sí mismos contados desde el en que se anu…</t>
  </si>
  <si>
    <t>Monteiro, Javier</t>
  </si>
  <si>
    <t>Javier Monteiro</t>
  </si>
  <si>
    <t>^ .. . y «1 Sr. Javier Monteiro pidió que so «e decidiere cota algosa hasta guardado por destacamento* de infantería, y se espera en KisÁekow el pu te (subiese aprobado ú te; de responsabilidades. cuartel general del general Wittgenstein que estaba en Tulccin. Antee Por último te resolvió q…</t>
  </si>
  <si>
    <t>…to mas bien buscar un punto de apoyo para robarnos nues de nuevo si habia ó no lugar á la formación de causa. tro régimen constitucional, en cuyo designio se está trabajando de El Sr. Javier Monteiro, después de manifestar la importancia del dos años á esta parte I Para conseguir este triunfo impío , que asi me asunto que se discutía, demostró Jos efectos que podían pausar seis ú atrevo á llamarle, ;no se toma por auxiliar esa sociedad, en otro tiem ocho…</t>
  </si>
  <si>
    <t>…Por fortuna la sensatez y la prudencia residen en este tos necesarios en un asunto tan trascendental. pueblo, que 00 deja fascinarse, y ra irrita cuando las culpables voces do El Sr. Javier Monteiro y otros se opusieron a que se suspendiese la insubordinación y desobediencia pretenden cohonestarse con ei inocen discusión para otra sesión, por estar sefialado el asunto para esta ; pero te desahogo de un permitido cariño á determinada persona. habiendo hab…</t>
  </si>
  <si>
    <t>Monteiro, Xavier</t>
  </si>
  <si>
    <t>Xavier Monteiro</t>
  </si>
  <si>
    <t>…el destino de este pueblo infeliz no tardará que hasta que presentase su dictamen nada podía deliberarse. á dar. El escogido del cielo aparecerá en la escena rodeado de toda su El Sr. Xavier Monteiro apoyó la proposición del Sr. Fcrreira Borgloria y asistido de la gracia divina , en la cual ponemos enteramente gís con varias razones, mam testando que era imn, opio de U dignidad ilustras esperanzas, confiado que tendían fin nuestros males.” del Congreso el…</t>
  </si>
  <si>
    <t>Montenegro</t>
  </si>
  <si>
    <t>…, num. ;ai. en el be visto con sorpresa el si.jier.ta tres hrmosas d v&gt;s on s; ia pritn.ra esta á las órdenes de Gurrra , la párrafo. secunda á las de Asura, y a trrc.ra á las del coronel Montenegro: to •» El general Torrijos llegó i Cervrra. que reforzó con 1. c homdas comoonen m.t» de infantes y 430 cabido»; vamos á saiir hacia s* br.» , y i.a depos.tam a. 1 un c nsiceratve .orv.sy ha ma'c' a o en Brnabarre , que vs donde se hallan los facciosos: ¡d.sg…</t>
  </si>
  <si>
    <t>Montenegro, Benito Casal</t>
  </si>
  <si>
    <t>Benito Casal Montenegro</t>
  </si>
  <si>
    <t>…s se había quitado la artillería, j Castro 1748 rs—La de D. Alejandro Rodríguez Várele 379 rs. 7 ó metidos deatm.delta, recinto hacho da tablas, 7 custodiado* por una i mrs__La de D. Benito Casal Montenegro 558 rs. 7 6 mrs__ La dé guardia jnponesa, loa'ratos no pudieron hacer nuevas observaciones so pi herederos de D. Vicente Ribera 894 rs. 7 2 mrs.__La de los herebra las coatumbrrá de este pueblo singular. No obstante presenciaron Jarea de I). Manuel Sánchez Cu…</t>
  </si>
  <si>
    <t>Montenegro, Carlos</t>
  </si>
  <si>
    <t>Carlos Montenegro</t>
  </si>
  <si>
    <t>…y comisionado del Crédito público han de tener voz deliberativa Francisco Cortázar. = Juan Isla.” en todas las resoluciones , ó solo la iniciativa ¿ intervención en las que Not i. D. Carlos Montenegro no 6rmó por hallarse ausente como conceptúen forzosas para los respectivos objetos de su asistencia. Ente destinado en la plaza de Ciudad-Rodrigo. rado S. M. de todo, se ha servido resolver, conforme al parecer del consejo de Estado , que por ahora, y sin per…</t>
  </si>
  <si>
    <t>Montenegro, Francisco</t>
  </si>
  <si>
    <t>Francisco Montenegro</t>
  </si>
  <si>
    <t>…de Noviembre Sres. que formaran el jurado: D. Miguel Tortosa, D. Josef Villaver- de la era 141 a', año 1374._-.Otro de un juro de 39 tan. aobte el porde, D. Josef Mariano Pulido, D. Francisco Montenegro, D. Mariano tazgo de Pancocvo i favor de Juan Mattinez de Rojas, á 5 de SetiemRniz de Navamuel, D. Josef Fernandez Guerra, D. Josef Díaz de Ri« bre de la era 1414» año 1376—«Otro «le la confirmación de un juro de baa, D. Josef Fuster y D. Pedro Manuel Velluti…</t>
  </si>
  <si>
    <t>Montero</t>
  </si>
  <si>
    <t>…uno» ao hombres, a la cual hizo correr era guerrilla d- \» va'icrite» del conocer á los pocos habitantes que no abandonaron sus casas cuánto i.° de vo.untarios , destacada per el coronel Montero i le» rao muerto puede la disciplina de los toldados de la Constitución: vidas, propie dos hombres; y como ¡a noche sí íprcx -n.í,no fueposib’-e oerseza rlos dades , lodo fue resfriado, y las casas cons.ivadas y libres del incen mas. Las tropas observan uva d…</t>
  </si>
  <si>
    <t>Montero, Benigno</t>
  </si>
  <si>
    <t>Benigno Montero</t>
  </si>
  <si>
    <t>…uirla, puede hacerlo por el corre» elia &gt;le ramos decimales antes de la dominación francesa, y D- Juan bajo cubierta para D. Minué! Blanco, su dueño legítimo, fi fa men Palacio, y D. Benigno Montero , comisionados por la junta superior da cionada villa de Sahagun; en la inteligencia de que %e ha dado conoci la misma provincia para recaudar caudales y efcdtos de subsistencia en miento de io expresado a las oficinas dai Crédito público para su re Ja guerra…</t>
  </si>
  <si>
    <t>Montero, Josef Domingo</t>
  </si>
  <si>
    <t>Josef Domingo Montero</t>
  </si>
  <si>
    <t>…a policía y gobierno formarán y harán seis de Marzo de 1799 ante el escribano Real y del colegio de e,ta observar las diputaciones una instrucción provisional, que comprenda corte D. Josef Domingo Montero , para que en el término de 15 día ,sucintamente las disposiciones mas necesarias y conformes al objeto contados desde la publicación de este edicto , comparezca por sí o p;i -de la ley, de cuya instrucción se remitirá una copia á esta secretaría sona autoriz…</t>
  </si>
  <si>
    <t>Montero, Josei</t>
  </si>
  <si>
    <t>Josei Montero</t>
  </si>
  <si>
    <t>…piraba al partido numeroso El segundo batallón de ia milicia nacional voluntaria, al mando del de hombre» de valimiento, que miraban une guerra perrinas con acreditado patriota el coronel D. Josei Montero, ha vuelto á esta capi loo el único medio de lograr una paz honro» y sólida. En su con tal después de haber recorrido los pueblos de Picra , Collbató, Olesa y secuencia reunió Mr. fpcnccr Percevat 4 los aiumeos de la escuela de otros, y ahuyentado los faccios…</t>
  </si>
  <si>
    <t>Montero, María</t>
  </si>
  <si>
    <t>María Montero</t>
  </si>
  <si>
    <t>…no era otra cosa que la it D. Antonio Lozano 63 rs. 7 9 mrs—La «le Dofia Bernarda de palabra W, tan dulce 7 grata cn todas las lenguas 4 loa oídos do los pila 60 rs. 7 9 mrs—La de Doña María Montero ó sus herederos 231 grandes. (aale* 7 4 mrs__La de D. Gregorio Bermudez Pimental 760 rs. 7 6 Estas literas ceremonias provinciales desaparecen 4 la viso de le Maravedises—La de Doña Rosa Mella de loa Ríos 1212 rs. 7 so maetiqueta déla corte, descrita por los…</t>
  </si>
  <si>
    <t>Montes, Juan Gil</t>
  </si>
  <si>
    <t>Juan Gil Montes</t>
  </si>
  <si>
    <t>…ciones que pone á su tira i que se le perdonen 16416 rs. que debe á la Hacienda pública co cargo el artículo ia, y de lo*objeto» que designa el 40, sino en re mo fiador que fue de D. Juan Gil Montes , administrados de tabacos unir 4 le mayor brevedad todo* los dato» sobro beneficencia de su res de Bclmotiic: otro aobre que recaiga la misma resolución é la exposi pectivo distrito, que pesarán con las observaciones que crean útiles 4 ción de un vecino de V…</t>
  </si>
  <si>
    <t>Montes, Rafael Diez</t>
  </si>
  <si>
    <t>Rafael Diez Montes</t>
  </si>
  <si>
    <t>…me dia 29 con un destacamento del primer batallón de Cantabria, manda participa desde el pueblo de Sallent, inmediato á Man risa, su trasla do por el espitan graduado de teniente coronel D. Rafael Diez Montes, ción á aquel punto deade Cardona, en consideración al aviso que ae le con alguno* miliciana* de aquella ciudad, cuya total fuerza no llega dió de que ea Mantesa iba también á estallar la rebelión ¡ pero que ba á 60 hombre*, ae batieron todo d dia con mas de…</t>
  </si>
  <si>
    <t>Montesdcoca, Francisco</t>
  </si>
  <si>
    <t>Francisco Montesdcoca</t>
  </si>
  <si>
    <t>…ieron prodigios de valor. La gac&gt; ta de imperial D. Josef María Varóla, con honores da cámara. Cirujano de jamaica del 4 de Junio dice que cada uno conservó sus posiciones; pe id. D. Francisco Montesdcoca , con id. Caba.lerr* pages deS. M. el Em ro las cartas particulares del id refieren que Bolívar fue derrotado, cor- perador ; D. Luis Ca macho, D. Ignacio Lorenzo Torre Cosío, D. Eduarlindóte la comunicación con Sta. Fe, aunque sin embargo pudo pasar dode Lav…</t>
  </si>
  <si>
    <t>Montesino</t>
  </si>
  <si>
    <t>…motivo alguno para tes la oyeron en efecto con particular agrado. que adopten un encargo, que tal vez no podrían desempeñar por sus mu Se leyó por primera vez una proposición del Sr. Montesino*, para chas atenciones! Asi qua en mi opinión creo que no puede producir que en atención ¿ lo* repetidos alentados y conspiraciones que se están esta medida el buen resultado qua la comisión se ha propuesto; y por poniendo por obra contra el sistema actual de…</t>
  </si>
  <si>
    <t>…dmitir el pro ■ conviene que su objeto será r.i. . .ir , pera ru se sabe ora &gt; r; .n q. e yeclo en su totalidad. manera. España , Grecia, l uiqu a e iu..a son ios r.o: pr ic p&gt; Ei Sr. Montesino,: Con motivo de impugnar el proyecto que s* Respecto de la pr-mera había opiniones; pero conv.r-.er c 1 . o discute sé ha susc ta lo la cuest on de si efe-ct-vim :-t - « x si n ■&gt; no en te en que no se m zclarán directam r.te en naeitros nc«. v ■ • • - : nfer…</t>
  </si>
  <si>
    <t>Montesinos</t>
  </si>
  <si>
    <t>…después del debido tiempo. Del mismo laa razonas que llevo e*puestas, deb: aprobarte el mensage tal cual está. modo nada arraiga mas la libertad que la justicia. Tampoco me con El Sr. Montesinos : La» circunstancias en que nos hallamos exiges formo con que se diga que se praetdi con lentitud contra los que ata que procedamos con la mayor franquée* «n -negocio da tanta entidad: can frente é Trente-ia libertad. Yo taobe Trato i ninguno de estos que me…</t>
  </si>
  <si>
    <t>…és oe otras varias observacio Ainta. nes coocluyó que debía aprobarse el mensage. En ¡a dt Caite. Ceuta, Puerto Real y Sanlúcar de Barrameda. El Se. Soria: Señor, quisiera como el Sr. Montesinos que ha En la dt Eatremadura. Fksencia. blásemos á S. M. el lenguage de k verdad, y que presentásemos los En la at Guadalajara. Molina: este se ha recibido boy por su males tal cual son en ti, y lo mismo lo* remedios. Es preciso d tallar plemento. estos males,…</t>
  </si>
  <si>
    <t>…éstamos que hayan he Cortes, y que respecto á la segunda podría declararse ser de primera lec cho, admitiéndoseles como si fuesen de créditos con intetes.” tura. Asi se acordó. El Sr. Montesinos observó que este artículo quedaba casi lo misma A la comisión de Visita de) Crédito público se pesó una exposi que se hallaba antes, y aun ofrecía mayores dificultades y perjuicios á ción de los facultativos de las minas y fábricas de plomo, dirigida por los…</t>
  </si>
  <si>
    <t>…a diputación provincial , se remitirán al artículo too inmediatamente despees del attículo p8 que se discute. Gobierno para que las haga reconocer y glosar por la contaduría ma Ei Sr. Montesinos: Esta* palabras velar y promover de que se usa yor ds cuentas, y las pase á las Cortes para su aprobación. en el articulo, por mas que se diga no expresan con toda claridad ia Art. 110. »,Ai mismo tiempo que se remitan las cuentas al Go obiigrcion en que está…</t>
  </si>
  <si>
    <t>…ir, y digo lo mismo respecto de la clasi Se aprobó, suprimiéndsse las palabtas el president* , el Intendente, 4 ficación que se hace de lo* cirujanos. propuesta de la comisión. Ei Sr. Montesinos: El servicio del cgército, principalmente en la Art. 149. » Cuando la diputación tenga que comunicar órdenes ó parte d» m-d ciña, no ha tenido hasta aquí regularidad ninguna , pues disposiciones generales, las dirigirá impresas ó manuscritas á los alcal qu: n…</t>
  </si>
  <si>
    <t>Montilla</t>
  </si>
  <si>
    <t>…en la sesión de ayer, i la proposición del se cion en las posesiones de cacao y café. En Cartagena ha habido des ñor Varela sobre los obispos extrañados del reino. contentos : su gobernador Montilla se batió con el zambo Padilla, f Se mandó pasar i la comisión de Hacienda una adición de los se al grito de viva Padilla , muera Montilla, hizo huir á este. Los ha ñores Muro , Septien y Canga al art. 29 del dictamen de ia misma, también habido en Guiria y Ba…</t>
  </si>
  <si>
    <t>Montmoiency</t>
  </si>
  <si>
    <t>…iguen la* firmas.) ta tomará una parte activa en las deliberaciones del nuevo Congreso, al Continúan ¡as felicitaciones dirig-Jas S la mil:Ja nací- 11/ de Ma.lriJ. que asistirá el vizconde Montmoiency, y que los nege-io* de iz Pe nínsula ocuparán las primera sesiones; pero que aun no se sabe el pa- El batallón de la milicia nac-onal voluntaria de Algeciras ai coro tecer de la Ru«ia sobre este particular , el cutí debe influir mu»ho tu nel de la de Madrid :…</t>
  </si>
  <si>
    <t>Montmorency</t>
  </si>
  <si>
    <t>…á creer que el periodista ingles ha llevado ia mira de poner en que llaman de los Extrangeros. Unos 15 dias después consiguió el ridículo á nuestro Gobierno y á su comisionado el Sr. Montmorency. principa Maurocotdato hacerles obedecer: los dirigió hicia Patrás, y No hay duda que estamos viendo cosas que nos admiran, y que solo asi que llegó á sus cercanías los hizo pasar por mar á Messolunghi, en palpándolas acabamos de convencernos bien de que exis…</t>
  </si>
  <si>
    <t>Montojo, Saturnino</t>
  </si>
  <si>
    <t>Saturnino Montojo</t>
  </si>
  <si>
    <t>…, y por lo misino la apruebo y creo que la enseñanza de la fisica experimental, y la continuará todos los lunes deben hacer lo mismo las Cortes. y viérnct á la misma hora él tocio D. Saturnino Montojo. Las perso El Sr. Laltave (D. Pablo) hizo varias reflexiones para demostrar que nas qua quieran asistir á sus lecciones acudirán á la secretaría del mis no debían lat Cortes aprobar tas medidas de que se trataba , pues que no mo establecimiento, calle 4» Atoc…</t>
  </si>
  <si>
    <t>…al ene El domingo 3 de Noviembre á las siete de la noche se abre la cá migo del pueblo y sus inmediaciones, y á pesar del calor y prontitud tedra de física experimental á cargo ds D. Saturnino Montojo. Serán de ios leales, no pudieron apoderarte del cafion por tu velocidad en re dias de lección los miércoles y domingos de cada semana á la misma tirarlo. La tenacidad que manifestaron los vándalos en sostener el pue hora. Los señores que quieran obtener pape…</t>
  </si>
  <si>
    <t>Montoliu, Plácido de</t>
  </si>
  <si>
    <t>Plácido de Montoliu</t>
  </si>
  <si>
    <t>…tran y D. Guillermo Olí ver, regidores; O. Bruno Habata, contador, Hallándola ya dispuestas loa pólizas dtl seguro, la dirección haca D. Juan Casas , síndico, y de los ciudadanos D. Plácido de Montoliu, aaber i los individuos ya inseritoey á los demás que gusten incorpo y D. Josaf Francisco Ixart y Pi, encargándola: 1 .J Que reúna todas las rarse en ella: noticias posibles de la deuda antigua anterior al lustablrcimiroto del 1* Qua la dirección se sitia.por…</t>
  </si>
  <si>
    <t>Montoya</t>
  </si>
  <si>
    <t>…negocies de Turquía, y ia Rusa toya , D. Josef García y Gómez y D. Juan de la Torre y Bo-u.t; jr vuc.ve i promover con ca or e.te punto, cuyo result.do podrá s-r muy fue electo el Sr. Montoya por 71 veto» d« * . 8. d.lerente d: lo que hasta ahora hemos emulo. La burla que eí divan Para la de Stvilia se proponía á los Síes. D. Agustín E’aseo , Don ha estado haciendo de ia Rusia podrá ser e fun-rst: Paree- qu: ya Justo Ramcn de Plaza y D. Juan de la…</t>
  </si>
  <si>
    <t>Montoya, Juan de</t>
  </si>
  <si>
    <t>Juan de Montoya</t>
  </si>
  <si>
    <t>…no ha La misma Comisión, habiendo examinado las reflexiones que sobre dado desde entonces noticia de su existencia: la persona que supiere de et ministerio parroquial habí a hecho D. Juan de Montoya, cura pár él tendrá la bondad de avisarlo á tu muger María Borbea, qne vive ca roco de H__.en'la provincia de Cuenca, opinaba que debían tenerle lle del Sombrerete, núm. 6 , cuarto bajo , la que lo agradecerá por im presentes para cuando se verificase el arre…</t>
  </si>
  <si>
    <t>Montoya, Mariano</t>
  </si>
  <si>
    <t>Mariano Montoya</t>
  </si>
  <si>
    <t>…y se con por su situación. A las inmediatas órdenes del señor director general tinúa la fortificación interior y exterior; pero no tememos por ahora quedaron el coronel del cuerpo D. Mariano Montoya y el capitán Don ninguna invasión: una partida de zoo á 300 detensores de la fé, que Joaquín Villava (con quienes se presentó &amp; E. diariamente en el cuar entraron en Castellfollit el lunes, supieron que otra partida , com tel di S. Gil, y asim-sir-.o en la ma…</t>
  </si>
  <si>
    <t>Monunaron, Agustín</t>
  </si>
  <si>
    <t>Agustín Monunaron</t>
  </si>
  <si>
    <t>…del eonstjo de Estado. París 331 rs. 7 16 mrt___A Revenas de id. 671 7 0._.Doern*r 7 ' Por dimisión que ha hacho D. Joaquín de la Cárcel del juzgado da compafiía de Paria 1613 7 4—D. Agustín Monunaron de id. 8018 7 primera instancia del partido de Pcfiíscola ha quedado vacante su pla *4—.La sociedad de Longhupe de id. *101 y 14-__La de Studen de za , y »e admiten memoriales de pretendiente*, acompasado de un id. 1403 7 *4.__Detebegoycn da id. 1080__ Legran…</t>
  </si>
  <si>
    <t>Moore</t>
  </si>
  <si>
    <t>…llegado entre las unciones » SS. MM. y AA continúan sin novedad en su importante salud.” del mundo.” _ Ea Lóndres se decía que en c iso de guerra entre la Rusia jr Ja Tur quía ei almirante Moore tomaría la escuadra turca para ponerla bajo 1* Se han recibido periódicos extranjeros, de cuyas noticias haced Li protección británica, como lo estuvieron la danesa y la ruta que se ha beral Ouiyiízr.ano el extracto siguiente: llaba en Lisboa en 1818. n El dí…</t>
  </si>
  <si>
    <t>Mooseo, Francisco</t>
  </si>
  <si>
    <t>Francisco Mooseo</t>
  </si>
  <si>
    <t>…al Gobierno, como de su orden lo ege- do de S. Pedro de Outes á D. Francisco Térro Cabeiro: para el de V¡cutanaos, disponga que el comandante general del segundo distrito en go á D. Francisco Mooseo: parael de Puente Areas á D. Luis Bermutregue el león de insignia A dicho regimiento de Pontevedra en nom dez de Castro: para el de la Cañiza á D. Felipe Sánchez Quiñones: pa bre de las Cortes, expresándose en uno de los lados del pedestal que él ra el de Bad…</t>
  </si>
  <si>
    <t>Mor</t>
  </si>
  <si>
    <t>…oviese al secretario, este continuaría solo porque tendría d«*&lt;-mpeñados los negocios de lo» ayuntamientos. sm gos en la diputación provincial. Concluyó pidiendo le reforma del Ei Sr. Mor:no . O los sccretmcs de ayuntamiento han de tener artículo en los términos propuestos por el Sr. Marau- tina dotación suficiente p.va poderse sostenar , ó es preciso que no se E1 Sr. Senane apoyó el articu o, manifestando que la obligación en ez-ja tal condxi…</t>
  </si>
  <si>
    <t>Mora, Félix</t>
  </si>
  <si>
    <t>Félix Mora</t>
  </si>
  <si>
    <t>…Andrés Gafo, Don Circular expedid* por el mmieterio de Gracia y Justicia á lodos loe dio cesanos. Valentín de Torrecilla, D. Joaquín lbaira, D. Joaquín Llombart, D. Josef Vecino, D. Félix Mora, cl marques del R o Florido, Don El Sr. secretario de Estado con fecha 7 del corriente tac dice lo Antonio Casanovas , D. Octavio Pastor, presbítero, D. Pedro Cotdoque sigue: bés y D. Mariano González. » En consecuencia del oficio de V. E. de ttf del próximo…</t>
  </si>
  <si>
    <t>Mora, Francisco</t>
  </si>
  <si>
    <t>Francisco Mora</t>
  </si>
  <si>
    <t>…do el júbilo que ha reinado en aquella La comisión de Instrucción pública, habiendo examinado la obra capital por la denota referida. Las Cortea quedaron enteradas. presentada por D. Francisco Mora, maestro de primera educación de Entraron 4 jurar y tomaron asiento los Sres. Belmonte, Moreno y Barcelona, opinaba que debía pasar á la dirección general de estudios. Arias, diputados por la provincia de Cuenca. Aprobado. Se dió cuenta de una consulta del se…</t>
  </si>
  <si>
    <t>Mora, Francisco Sánchez</t>
  </si>
  <si>
    <t>Francisco Sánchez Mora</t>
  </si>
  <si>
    <t>…l dictamen de La de varios ciudadanos de S. Fernando , felicitando i las (..oríes por la del mismo ramo de las anteriores Cortes sobre la reducción de algu su instalación; y la de D. Francisco Sánchez Mora, teniente de infan nas plazas rn los estudios de S. Isidro, opinaba que debía aprobarse esta tería , y comandante da la milicia nacional de Navaimorat de Pusa, ce reforma. Aprobado. diendo un alcance contra el regimiento provincial de Soria, que im La de Guer…</t>
  </si>
  <si>
    <t>Mora, Manuel Moreno de</t>
  </si>
  <si>
    <t>Manuel Moreno de Mora</t>
  </si>
  <si>
    <t>…ga, D. Amonio Caaadell, Donviage para desempeñar sus funciones , que d berán pagarse por loque falta del presente año económico del fondo del imprevisto general. Francisco Pujol y D. Manuel Moreno de Mora, declararon por unanim.dad haber lugar á la formación de causa contra el autor del perióLo comunicamos i V. E. de orden de las Cottes para su inteligencia,? que se sirva ponerlo en noticia de los interesados para los efectos dico titulado el Garrule, núin. i.…</t>
  </si>
  <si>
    <t>Mora, Sebastian</t>
  </si>
  <si>
    <t>Sebastian Mora</t>
  </si>
  <si>
    <t>…'cito y el sacrilegio i nombre de Jciu.iisto, los que siembran y FernandfZ. (Por Jaca.) propagan por todos medios ia infame seducción, les que pred ean sus Del de Zamora. Teniente D. Sebastian Mora. ( Por Benatque.) pasiones en lugar del evangelio , los que suplantan :a religión y aluci Nota. El comandante de estado mayor D. Antonio Comas, subte nan á la muchedumbre ignorante para conducirla á los extravíos y a la niente de Murcia D. Josef Beimon, capit…</t>
  </si>
  <si>
    <t>Moragues, Guillermo</t>
  </si>
  <si>
    <t>Guillermo Moragues</t>
  </si>
  <si>
    <t>…rces, de 4^6,400 mrs__ Otros dos de Junco, D. Francisco Calvet y Rubalcaba, D. Mariano de la Bode sobre millones de Toledo á pliegos 338, en cabeza de Manuel Ortiz y ga y M-sodío, D. Guillermo Moragues y D. Juin Antonio Delgado. ViJIisante, Dula Josefa María Lop.z y D. Francisco de Medina, su Se previene que los agraciados acudan i sacar sus títulos dentro del marido, de 53,491 mrs—-Otro sobre millones de León 4 pliegos 36, término de quince días, s’gun está mandado; en el concepto…</t>
  </si>
  <si>
    <t>Morairs, Benigno</t>
  </si>
  <si>
    <t>Benigno Morairs</t>
  </si>
  <si>
    <t>…, y cuando llegue el que no te ha oido ni citado i D. Atanació Lescura por no detener la caso de discutirle, entraré, ai el Congreso tuviese ábien oírme, en tu causa respecto «leí D. Benigno Morairs, se reserve acordar la corres examen detenido de la* reversiones é incorporaciones. Enare tanto ea pondiente providencia en su razón.- Asi-lo dijo y firmó S. S., de que preciso qne el Sr. preopinante no desconocen el origen de esas leyes, i yo doy fe.=Joaquin…</t>
  </si>
  <si>
    <t>Moral, Amonio D-az del</t>
  </si>
  <si>
    <t>Amonio D-az del Moral</t>
  </si>
  <si>
    <t>…a la administra 781...... 1000............ Fn Madrid. ción de los bienes y arbitrios de! establee miento y pago de intereses; bcji:........ jooo.................. En Zaragoza. y á D. Amonio D-az del Moral para gefe de la liquidación de la d.ua 194.;...... 1000............. Fn Málaga. d« píihlic». Madrid a7 dejur.iv de 1822 = A varo Gómez , presidena 1986...... 1000............. En Barcelona. te.ssjoscf Melchor Prat, diputado secretario. = Francisco Benito, di…</t>
  </si>
  <si>
    <t>Moral, Amonio Díaz del</t>
  </si>
  <si>
    <t>Amonio Díaz del Moral</t>
  </si>
  <si>
    <t>…da las leyes, nada debe ocultar á los Meneo, D. Zoilo Goinez Casero, D. Antonio Scoane, D. Isidro pacíficos ciudadanos para restituir la tranquilidad y dulce calma i sus* Merino, D. Amonio Díaz del Moral, D. Josef Kives Queraltó, Don hogares: os hize en mi último anuncio del 1 una promesa, y voy á Juan Luque , D. liarlos González Llanos y D. Josef Demetrio Rodrí cumplirla. Para haceros partícipes del término final del cabecilla Mo guez; y rn s gundo por los S…</t>
  </si>
  <si>
    <t>Moral, Antonio Díaz del</t>
  </si>
  <si>
    <t>Antonio Díaz del Moral</t>
  </si>
  <si>
    <t>…putado* que en ello* te citan. dar marques de ja Torro, D. Juan María Fcnct y D. Joan Bautista Se leyó d dictamen de la comisión de Premio* para que te conti Dotan*. núe pagando 4 D. Antonio Díaz del Moral, ex-diputado de la* Cor Sefiom qne disintieron: D. Pablo Marró Vetdalet, D. Pedro Gil tes dehMdloa 1813, 1814, i8»o y 1811 la pensión de 1 $9 rs. que y D. Joaquín Busquéis. I* aefiató I* junta de Granada durante la guerra de la independencia cANirot en el dU…</t>
  </si>
  <si>
    <t>…io del Despacho de la Gobernación de Ultramar con merto Landaburu, D. Joaquín Huerta Orvallos, D. Isidoro de Hoyos, beba de «ver dice desde el Real *¡tio de Araajuez lo que sigue: D. Antonio Díaz del Moral, D. Francisco Travetedo y D. Domingo » SS. MU. p AA. continúan sin novedad en su importante salad.** Villamil. Habida la conferencia, resultó por unanimidad haber lugar á la El Rey ha expedido lo* decretos siguientes: formación de causa. Don Fernando vit por…</t>
  </si>
  <si>
    <t>…se asegura se quín Ruiz Llord , D. Francisco Martínez Marina, D. Bernardo Alon hallarán ocultos bastantes cadáveres; les matamos tres caballos, y les so , D. Antonio del Afcazar, D. Antonio Díaz del Moral, D. Celes hicimos un herido prisionero, que permanece en este hospital tratado tino Olozaga, D. Casimiro Martin y D. Santiago Delgado. Fue de con una humanidad de que es indigno. Dios guarde á &amp;c. Tudela y Opinión contraria D. Joaquín Manrique y Manrique. Ago…</t>
  </si>
  <si>
    <t>Moral, Antonio Diez del</t>
  </si>
  <si>
    <t>Antonio Diez del Moral</t>
  </si>
  <si>
    <t>…a deuda pública; vincia de Santander. para cuyo destino estaban propuestos D. Antonio Eiola, intendente de La comisión de Premios declaró comprendidos en el decreto de 5 cgército, D. Antonio Diez del Moral, ex-diputado i Cortes por la de Abril último sobre pago de sueldos á D. Manuel Velasco, lamenprovincia de Granada, y D. Raimundo Queraltó, int ndente de la te agregado at regimiento de Fernando vu, D. Josef Castañedo y otroi provincia de Aragón; y tuvo el pri…</t>
  </si>
  <si>
    <t>Moral, Diaz del</t>
  </si>
  <si>
    <t>Diaz del Moral</t>
  </si>
  <si>
    <t>…tanto mandamos á Habiéndose puesto á votación el artículo que habia pedido el Se todos los tribunales, justicias, gefes, gobernadores y demas autoridades,ñor Calairava, propuso el Sr. Diaz del Moral que se votase por partes} y habiendo sido la primera: &gt;• Nadie sin licencia de la autoridad iceal asi civila como militares y eclesiásticas, de cualquiera clase y digni *&gt; podrá egerccr ti oficio de pregonar por Us calles libros ó pápela,” no dad, que guarden…</t>
  </si>
  <si>
    <t>Moral, Díaz del</t>
  </si>
  <si>
    <t>Díaz del Moral</t>
  </si>
  <si>
    <t>…criben de las orillas da! Mein lo siguiente: En segundo escrutinio obtuvo 70 votos el Sr. Giraido y otro* 70 Las últimas noticias de Pctcrsburgo que publica el diario aleman de el Sr. Díaz del Moral; y habiéndose procedido al tercer eso minio, que Francfort con la fecha de so de Diciembre son muy poco lisonjera. dó elegido el Sr Giraldo por 77 votos, habiendo obtenido 76 el sefioc Los pliegas que los embajadores de las potencias extrangeras resi Díaz del…</t>
  </si>
  <si>
    <t>…o at regimiento de Fernando vu, D. Josef Castañedo y otroi provincia de Aragón; y tuvo el primero 9 rotos, 69 el segundo, y 47 oficiales. Aprobado. el tercero, quedando elegido el Sr. Diaz del Moral. La comisión de Agricultura , en vista de una exposición de virios La comisión de Ultramar, en vista de la adición del Sr. Galiano labradores de la provincia de Córdoba para que no te les exija detecho al informe de la misma sobre la memoria del Sr. secretari…</t>
  </si>
  <si>
    <t>Moral, Domingo</t>
  </si>
  <si>
    <t>Domingo Moral</t>
  </si>
  <si>
    <t>…e ayer 16 haber sido ptno Idem xi. en aquel puib'o ei cabecilla de une «le le* partidas de la tierra, el pres Ayumtamisnto. En oficio de hoy nos dice el Sr. comandante gene bítero D. Domingo Moral te , teniente ciara «le Algatocm, capellán del ral de esto provincia lo que sigue : * El brigadier D. Toma* Retortiegército de 1* fe, y el que llevaba la bandera blanca con la cruz roja lio , comandante de armas de Aigcciras , con fecha id de este mei mo en e…</t>
  </si>
  <si>
    <t>Moral, Josef</t>
  </si>
  <si>
    <t>Josef Moral</t>
  </si>
  <si>
    <t>…que podía accederse é lo que pedia el inte siguientes: resado. Aprobado. Uno sobre la queja presentada por el subteniente del regimiento de La misma, en vista de la exposición dj D. Josef Moral y otros ofi Málaga D. Antonio María Oliveras contra el anterior ministro de la ciales de los regimientos de infantería de la Reina, León, Gerona y ca Guerra por no haber confirmado el grado de teniente que le concedió ballería de la Reina, haciendo presente l…</t>
  </si>
  <si>
    <t>Moral, Juan</t>
  </si>
  <si>
    <t>Juan Moral</t>
  </si>
  <si>
    <t>…as tropas después de En la ciudad de Granada , reunidos en jurado de acusación los se la acción de Orcan.a Hoy á las to de la mañana he entrado en esta ñores D. Tomas Josef Gómez, D. Juan Moral, Dr. D. Lorenzo Rua ciudad seguido de las tres divisiones, y rodeado de un pueblo, en cu no , D. Pedro Ramón de Jerez, D. Josef Villa verde, D. Santiago Ma yo semblante se Lia aquel contento, que solo puede inspirar al habitan rín, D. Manuel Pareja , D. Cayet…</t>
  </si>
  <si>
    <t>Moraleda, Valdotnero</t>
  </si>
  <si>
    <t>Valdotnero Moraleda</t>
  </si>
  <si>
    <t>…8.) ANUNCIOS. Decreto de la» O erritorio de la Penínsu- Por el juzgado de primera instancia «leí Sr. D. Ramón da Argot, la é iala* adyacente* « da dtl y) y escribanía cartulina de D. Valdotnero Moraleda, se han promovido Decreto de S. M. is cuerpo* se hagan con auto* á pedimento de D. Tome* de Velatco como heredero de DoBa arreglo i lot «fio* ecc María Marta Ruiz, sobre redamación de ag vales Reales: ig d* 150 Decreto de la* O &gt;en la causa de lo* reo* peso*,…</t>
  </si>
  <si>
    <t>Moraleja, Diego</t>
  </si>
  <si>
    <t>Diego Moraleja</t>
  </si>
  <si>
    <t>…ección gen/ral de contribuciones dv ectar. Atoca , D. Antonio Cacío , D. Antonio Hidalgo, D. Juan Josef Ló Resulta en la dirección general de contribuciones directas que las pez , D. Diego Moraleja , D. Antonio María Quintana, D. Antonio Cortes por decreto de 9 de Mayo de 1811 , en consideración á los ser- Méndez, D. Francisco Oliveras, D. Francisco de Piego y Collantet, vic os personales y pecuniarios de D. Agustín Ramón Valdés , conde D. Gabriel Rodrí…</t>
  </si>
  <si>
    <t>Moraleja, Pedro Antonio</t>
  </si>
  <si>
    <t>Pedro Antonio Moraleja</t>
  </si>
  <si>
    <t>…nca han ex gidp y ex gen las circunstancias. En su consecuencia, y En Valencia. considerando r* M. que esta iunesta fa.ta de ingresos no reconoce otro La de Ayon por traslación de D. Pedro Antonio Moraleja á la origen que el mas ó menos zelo , diligencia y vigilancia de lus respec de Valdepeñas. tivos intendentes, &gt;c ha servido declarar, persuadido de que es llegado En Navarra. el caso de realizar la pena con que se conminó á estos en la circular La de Santistc…</t>
  </si>
  <si>
    <t>Morales</t>
  </si>
  <si>
    <t>…on mas que suficientes para des dole á estés dos hermanos, que defienden con entusiasmo la causa de truir el imperio otomano en la situación en que hoy se halla. Lo que España. El general Morales pasó á Curazao 4 recibir de nuestros emi mas asombra á los políticos mas finos es la apatía de la Inglaterra.” grados es-aquella isla 509 duros que habían ofrecido para el pago de Parece que los persas se han apoderado por asalto de la ciudad de nuestras trop…</t>
  </si>
  <si>
    <t>…o de Lávela, quedando entre otro» muerto un coronel que lo halla el cuartel general de la guardia imperial, y anunciaron que no mandaba, varios heridos , y algunos prisioneros. El brigadier Morales .tardaría en llegar al ejército su augusto hermano el Emperador Ale debia salir de Puerto-Cabello al primer aviso. _Se ha dicho luego que Latorre, llegando i reunir unos 3Ó hombres, habla avanzado hasta Bar- jandro. . , Les diferentes divisiones de la guardia…</t>
  </si>
  <si>
    <t>…es el presente convenio, y te oficio la derrota de los rebeldes de Costa-firme en Davajuro el y de Ju canutarán las ratificaciones dentro del término de un año (contado nio por el general Morales , quedando en nuestro poder el coronel Pidesde hoy ), ó antes si ser pudiere; pero la egecucion de dicho conve ñango con siete oficiales mas, y no bajando sus muertos, heridos y nio principiará en ambos paises el día i»a de Octubre próximo, y se prisioneros d…</t>
  </si>
  <si>
    <t>…uerer , á favor de Agosto, dice haber llegado i hto. Tomas una balandra inglesa con los que procuran fomentar la contrarevoiucion. Este lenguage -os en cartas y noticias de que el Sr. Morales se hallaba sobre S. Carlos (é teramente diplomático. El diarista manifiesta que hace '&amp;lgaa aprecio cuatro ¡ornadas de Caracas), de cuyas resultas habían echado bando de los autores de la Constitución de Cidiz; pero le parece que esta para estar sobre las arm…</t>
  </si>
  <si>
    <t>…a ser con la brevedad que hacién en el discurso de aquel me* en la forma «¡guiante : dolo por el código militar. Los que sienten armados contra le Cons El f del mismo, tratando el general Morales «le llamar la atención titución ¡no serán acreedores en todo tiempo é que se les castigue mi del enemigo hácia la parte del E., dió la vela al citado comandante con litarmente! ¡ Puede haber un delito mas atroz que este! Y los mili la fragata Ligera y bergant…</t>
  </si>
  <si>
    <t>Morales, Benigno</t>
  </si>
  <si>
    <t>Benigno Morales</t>
  </si>
  <si>
    <t>…a, y no nunciado el día 10 del actual por el fiscal de imprentas D. Matías Ló riendo mas que un ciudadano particular, esiojr intimamente convenci pez «le Frías, la ley abssielve á D. Benigno Morales, responsable de di do de que loa antea llamados aefiorea son ciudadano* espafioles, y me cha parte del impreso; y á su. consecuencia mando que tea peesto in neen que ae le* trate coa la misma justicia que 4 todo*. mediatamente en libertad, sin que este proced…</t>
  </si>
  <si>
    <t>Morales, Félix Erizo y</t>
  </si>
  <si>
    <t>Félix Erizo y Morales</t>
  </si>
  <si>
    <t>…o los decretos siguientes: para el juzgado de primera instancia de la ciudad de Coria y su partido, Don Fernando vn por la gracia de Dios y por la Constitu Vacante por dimisión de D. Félix Erizo y Morales á D. Pedro Martí ción de la Monarquía española, Rey de las Espafias, i todos los que nez de Velasco: para el de Plasencia, vacante por promoción de Don fas presentes vieren y entendieren, sabed: Que las Cortes han decre Santiago Amatriain i una de las fiscalí…</t>
  </si>
  <si>
    <t>Morales, Francisco Díaz</t>
  </si>
  <si>
    <t>Francisco Díaz Morales</t>
  </si>
  <si>
    <t>…que debia mandarse asi. Aprobado. re acordó que cesasen los diputados suplentes. Las Cortes lo operan con Se aprobó otro de la misma comisión, relativo á una exposición da «grado. D. Francisco Díaz Morales para que se le permitiese capitalizar el suel Asimismo se d¡&amp; cuenta de una exposición del ayuntamiento cons- do que goza por su retiro. La comisión, en atención á los hechos he— titucional de Barcelona, enviando una historia impresa de las ocur róicos de est…</t>
  </si>
  <si>
    <t>Morales, Gerónimo de</t>
  </si>
  <si>
    <t>Gerónimo de Morales</t>
  </si>
  <si>
    <t>…e de la Canal—Otro de 68,311 mrs., f i Cualquiera* situado rn el 10 por too de las tanas, en cabeza de Doña Ana Marta l que sea la tropa 1 Del cuar* . t.gMii. I eaisteuta col y de D. Gerónimo de Morales, en 15 de Octubre de 1614----Otro de tu ídem. &lt; ,1er*°I los, {«'*“. V «» '9*1 164,06a mrs., situado sobre las yerbas de CaUtravs, en cabeza de Do puntosd* * &gt; a« id. lía Juana María de Alderete, en &gt;3 de Diciembre de 1612—Otro de 1 Pr-v&gt;ci«, i 'santo-Tal"* &gt;'…</t>
  </si>
  <si>
    <t>Morales, Josef</t>
  </si>
  <si>
    <t>Josef Morales</t>
  </si>
  <si>
    <t>…les. Y no Gitpcrt, D. Pío Guas, D. Manuel Heredia , D. Felipe Goyos, Don hab endose personado el interesado con el fin de hacer la entrega, ni Juan Manuel Lnrr, D. Josef Sucarana, D. Josef Morales, D. Ma hecho otra gestión, é ignorándose su residencia, se le avisa por medio nuel Melero , D. Josef Perez, D. Antonio Pereira, D. Antonio Por de ote periódico con el mismo objeto, en el concepto de que por la ta, D. Vicente Ramón, D. Manuel Ron, D- Francisco…</t>
  </si>
  <si>
    <t>Morales, Josef Rebollo y</t>
  </si>
  <si>
    <t>Josef Rebollo y Morales</t>
  </si>
  <si>
    <t>…diente Salitre , azufre y } 13.95° «65 a 13.784 3* Curso completo elemental de matemáticas puras, compuesto en pólvora................... francés por S. F. Lacroix , traducido por D. Josef Rebollo y Morales 1 de el el 1 0 el tomos en tratado aritmética el i.0 contiene 4°: Total 3.-167,111 1 1.341,185 23 &gt;5.735 &gt;* cuatro 1 el puras ¡ y la geometría de matemáticas curso completo 3.® la el 4.0 Nota. Del líquido de la renta del tabaco de 1.678,738 rs. deben trigonom…</t>
  </si>
  <si>
    <t>Morales, Juan Pcdto</t>
  </si>
  <si>
    <t>Juan Pcdto Morales</t>
  </si>
  <si>
    <t>…ser que cuando escribió esta apología se J'ran.- seo M.rtin-z fio. D. Vanuel Gunzaúz 80 D. Vicente de Vera acordase de ia América, y de las mvect vas que habría leído en algu 80. D. Juan Pcdto Morales 80. D. Joscf Santacana 80. Total io0 rs. nos autores poco ve rae s conira sus d scubridores y conquistadores, en quienes no suponen mas cualidades que la de una vil i insaciable codi VARIEDADES. cia; error vulgarísimo que no merece refutarse, porque los españ…</t>
  </si>
  <si>
    <t>Morales.es, Francisco Tomas</t>
  </si>
  <si>
    <t>Francisco Tomas Morales.es</t>
  </si>
  <si>
    <t>…rcito expedicionario de Costa„ Decora dicho alcalde que ayer como i las cinco de la tarde, yen firme. do la columna de Ordofiez con dirección á Prados del Rey, en la de Oficio del general D. Francisco Tomas Morales.es » Ayer emprendí hesa de la Mata tuvo aviso por un paisano de que había visto á los fo mi marcha al amanecer desde Jurutiva en requerimiento de los enemi rajidos en el camino de los Playcios: que se dirigió al momento Or- gos, quienes según me informé se halla…</t>
  </si>
  <si>
    <t>Moran, Manuel</t>
  </si>
  <si>
    <t>Manuel Moran</t>
  </si>
  <si>
    <t>…Francisco Brotons , teniente dei regimiento Jr n á D Lorenzo Caballero, teniente del regimiento infantería infantería de la Rema , con 570 rs. de Búr/os, con 570 rs. Vallado!id al capitán D. Manuel Moran , teniente del regimiento Játiva al cap tan graduado D. Luis Ocheu, teniente del regimien infanrería de León, con 570 rs. to :nfantrría de .Soria , con 5^0 rs. Villafranca á D. Antonio Do 1 », teniente del regimiento de z.'-piLeón i D. Ramón Candía, teniente…</t>
  </si>
  <si>
    <t>Moran, Melchor</t>
  </si>
  <si>
    <t>Melchor Moran</t>
  </si>
  <si>
    <t>…Luis Septien , di comisión. putado por la provincia de Cataluña, D. Pablo de Santafé, primer su El Sr. Somoza dijo que todos los artículos de la Constitución no plente de Aragón,y D. Melchor Moran ,primer suplente de Valencia, tendían á otra cosa sino al acicito, y asi es que hablando de las juntas cuyos poderes habían pasado í la comisión. parroquiales decia que los compromisarios debían retirarse á un lugar se Continuó1 la discusión de los dictámenes…</t>
  </si>
  <si>
    <t>Morapertenencia, Valdomcro</t>
  </si>
  <si>
    <t>Valdomcro Morapertenencia</t>
  </si>
  <si>
    <t>…ue se siguen en el juzgado de primera instancia del SeGot religiosamente á sus duefios respectivos, es decir, á los oficiales de cuya D. Ramón de Argos, y escribanía cartularia de D. Valdomcro Morapertenencia sean. 15. Se entenderá fiel y exactamente en su literal sentido leda , á pedimento de D. Tomas de Velasco, sobre reclamación de 2* cada uno de los artículos y palabras contenidas en la presente capitula vales Reales : 13 de 150 pesos; 4 de 600 ,y 6 de 300; po…</t>
  </si>
  <si>
    <t>Morct, Baltasar</t>
  </si>
  <si>
    <t>Baltasar Morct</t>
  </si>
  <si>
    <t>…quella capi En la ciudad de Tarragona, reunidos los Sres. jueces de hecho Doa tal , aunque todavía sostienen que irá al Congreso de Veror.a. Los nego Ramón Frliu, D. Joscf Terrea, D. Baltasar Morct, D. Josrf Vidal y cios entre rusos y turcos no se dan por acabados. En Constantmopla, y iarriga, D. Francisco Ignacio Pelleja, D. Joscf Antonio Bertrán, aun en el mismo divan , continúa reinando ia mayor desconfianza bree D. Josrf Martí, D. Joseí Pujol y D. A…</t>
  </si>
  <si>
    <t>More, Josef</t>
  </si>
  <si>
    <t>Josef More</t>
  </si>
  <si>
    <t>…entos que convenga extender. La del pérfido de Chinchilla por traslación de D. Benito Romero Circular del ministerio de Hacienda. i la que quedó vacante en Madrid por promoción de D. Josef More . Ei Key he visto con desagrado la escasa recaudación de laa con- no Remirez. tribuc ones y rentas públcas verificada en el último mes de Agos En Cal eta. to, no obstante la actividad y energía con que ha debido promoverse, La de S. Pedro de Outes por traslac…</t>
  </si>
  <si>
    <t>Moreda, Francisco</t>
  </si>
  <si>
    <t>Francisco Moreda</t>
  </si>
  <si>
    <t>…decreto ya citado.^ Comandancias subalternas ds provincia correspondientes al segundo Decimotercio distrito. Para comandante general de él al mariscal distrito. Para la de Lugo al brigadier D. Francisco Moreda, actual ge le de campo D. Juan Ordovás, que desempeña en propiedad la coman político de Aragón. Para la de Orense al mariscal de campo D. An dancia general de Canarias. tonio Kosclló, actual gobernador de la plaza de Pamplona. Para la Comandancias subalternas…</t>
  </si>
  <si>
    <t>…Crédito pú clase de ciudadano*, pidiendo se formase causa al gefe político que fue blico , siendo de dictameo que debía pasar á la de Hacienda. Aprobado. de la provincia de Aragón D. Francisco Moreda , como autor de los es La comisión de Visita del Crédito público, en vista de la solicitud candalosos desórdenes de Setiembre último en aquella provincia; y otra de D. Rodrigo de A randa, para que se le admitiese la capital zacion de D. Josef María Caldea y M…</t>
  </si>
  <si>
    <t>…blecimientos en contrario. Tampoco la ten ayuntamiento de Viilároya contra el gefe político que fue de Aragón drán á pagar cosa alguna en lo sucesivo por razón de fadiga ó derecho D. Francisco Moreda, pidiendo se le exigiese la responsabilidad por de tanteo.” Aprobado. haber infringido el art. 320 de la Constitución , y se mandasen devol Art. 8.a » Lo que queda prevenido no se entiende con respecto i ver unas multas que exigió 4 dicho ayuntamiento, opinab…</t>
  </si>
  <si>
    <t>…os servicio,, y itenmendar los interesados ai Go ballería de la Constitución , pidiendo se formase causa al ex-gefe polí bierno para que los recompensase. Aprobado. tico de Aragón D. Francisco Moreda, como autor de los desordenes La comisión de Diputaciones provinciales presentó los siguientes de aquella provincia en el mes de Setiembre últim . La comisión opi dictámenes. naba que en atención á que no comprobaban los expbnenie, este hecho, Uno sobre la ex…</t>
  </si>
  <si>
    <t>Morejoo, Hernández</t>
  </si>
  <si>
    <t>Hernández Morejoo</t>
  </si>
  <si>
    <t>…eración. ¡Pero nues bibliografia médica naciond, en el que te da noticia dd ensayo de ideo tras lamentables disensiones habrán de ser eternas! ¡Nos estará cerrado logía clínica dd Sr. Hernández Morejoo. para siempre el camino para volver al orden y á la tranquilidad: No Prospecto de un diario nuevo bajo el título del Indicador catalán lo quiera Dios; pero nosotros solo conocemos un medio para ello; y político, mercantil y literario. Se suscribe en todas las…</t>
  </si>
  <si>
    <t>Morelet, Pedro</t>
  </si>
  <si>
    <t>Pedro Morelet</t>
  </si>
  <si>
    <t>…mos que haya llegado hoy extraordinario alguno del conti Aprobado. nente ; pero se dice en el comercio que después de haber desechado el La misma, en vista de la representación de D. Pedro Morelet, espi ultimátum de la Rusia ha hecho el divan otra propuesta, en cuya dis tan del regimiento de Castilla, natural de Francia, para que te la con cusión se empleaban los agentes diplomáticos cerca de le Fuera, y que cediese carta de ciudadano , opinaba que pod…</t>
  </si>
  <si>
    <t>Moren, Juan</t>
  </si>
  <si>
    <t>Juan Moren</t>
  </si>
  <si>
    <t>…de muy cerca. En la parte inferior del Ha entrado en este puerto, procedente de Sevilla, la polacra Concuerpo tiene seis aletas; una en Ja espalda, dos en el vientre, dos eepcion, capitán Juan Moren , de Blanes y Torrerieja , con ciscaras en el pecho y en el extremo de la cola. para tintes y sal, con destino á Vigo y el Carril. Este buque fue apre » Las aletas del pecho son bastante grandes; están colocadas horizon sado el 4 del coi ríen te á las 6 de la…</t>
  </si>
  <si>
    <t>Moreno</t>
  </si>
  <si>
    <t>…consideraciones que se crean d« la comí-don de Guerra que habían quedado sobre a mesa . el de las convenientes. comisiones de Comercio y Monedé sobre proposiciones de varios co El Sr. Moreno hizo varias observaciones contra este artículo, y ma merciantes de Cádiz, y en seguida el código penal; y te levantó la ac nifestó que no debía aprobarse. ción 4 laa tres y cuarto. El Sr. Adaman i Estaba muy lejos de pensar en entrar en esta disen sión ; pera…</t>
  </si>
  <si>
    <t>…o que habia ocasionado el hallazgo de un árbol jeto por otro mas á la vigilancia especial de las autoridades. cronológico que encontró Napoleón en Egipto, hasta que el abate Ce El Sr. Moreno se opuso á que la autoridad civil calificase los he sar descubrió el verdadero origen del mismo, y que nada tente que chos que cita el artículo. ver con ii historia de Mo.ses. El Sr. Gisbert dijo que no era la autoridad civil sino la eclesiásti El Sr. Arnera…</t>
  </si>
  <si>
    <t>…ilidad cienda el Sr. Alvarez (D. El.as); para la de Agricultura el Sr. Sierra; de la Nación; pues en su dictamen la mayor utilidad para el indivi para la de Instrucción pública el Sr. Moreno; para la de Libertad de duo suponía también mayor utilidad parala Nación , y de consiguiente imprenta el Sr. Arias; para la de Marina el Sr. Roig; para la de Mi debía calcularse la cuota en razón directa de a'nbis utilidad.s. licias el Sr. Belmont:, y para la…</t>
  </si>
  <si>
    <t>…e A. tomo Lop-z, D. Diego Muñoz Torrvro y D. Angel Vallcjo, pa Sevilla se halle legalnvnt- representada. ra que forir.se un proy cto de le y para que en lo sucesivo se evitasen El Sr. Moreno : I.a razón que me mueve i adherir al dictamen de las con p t ruias Acompañaba el dctam.n de dicha comisión, y el la mayoría de la comisión, es que en el art. 85 de la Constitución se proy-ct» de cy que presentaba el G bierno, el cu 1 se leyó, y se dice que j…</t>
  </si>
  <si>
    <t>….,r ti !I1|I a.,, i: \.,; s creo- . »,;.í,i ^' ína..*:)i v ,.:iimm cjytf crido fi uní i-c &lt;»..¡i:. .ar. b n peí d aos-.rc la* torta» a t,o jf. A :ór '¡I ,-j r c. s» aun reduce 1.a Sr. Moreno á que, s-gunda obs-rvacion del cu in sebr.- Ei Sr iu/ear Fai... : Para patfcu ti ar¡r f - : « aur haya presuponer do ia t n.co del Sr. Aiüon rtt.d.ncia o..;-, as r: ..*'.abr o A que ante 'a todas qu: cí-.lv.o .r&gt; v¿rin»&lt;rstf S.v¿ 1¿ se d be cor.siOerar como p…</t>
  </si>
  <si>
    <t>…sentación de documentos de crédito» nacionales hasta cia que había querido hacer valer el Sr. preopinante. jo de Junio , que es el término sc&amp;alado, te amplié este con respecta El Sr. Moreno: Creo que es mucho mejor el que no hsya leyes, 4 dicta» islas; era de parecer que tiendo justa ana proposición, pueden que no que habiéndolas se dejen sin cumplir cuando las Cortes pasa las Cortes servirte ampliar por cuatro mases mas el referido plaza das de…</t>
  </si>
  <si>
    <t>…e no está de mas el que CORTES. se ponga en este proyecto el artículo de que te trata, como una de las principales obligaciones de los ayuntamientos. n«IDtRCM DEl smfton AlATA. El Sr. Moreno manifestó que en su concepto no d-bía ser esta dis Sesión extraordinaria del a a. posición privativa de los ayuntamientos , sino que debían teñir en clin Se abrió i las nueve menos cuarto, y leída al acta de la anterior intervención otras personas , principal…</t>
  </si>
  <si>
    <t>…ercita permanente t ademas de que si se hacia aprobarse el artículo. ¡nal rebaja i los milicianos voluntarios locales, el servicio del ejército Después de varias observaciones del Sr. Moreno quedó aprobado.' 5uraria pocó', y no se tendría i este tan bien dispuesto como los extraéis' Art. ia. » Si estos jóvenes por su. rudeza ó mala conducta incor geros en cato de una necesidad. regibles 1: hiciesen inútiles ó perjudiciales, podrán ser despedidos…</t>
  </si>
  <si>
    <t>…or estas razones roe opongo ai artícu’o. ba para remover, y para estos casos se quería que prestase su auxilio. El Sr. ViiCes ñD. Dionhio) manifestó que al paso que la comisión Ei Sr. Moreno manifestó que era mujr poco decoroso al mini terio no i n a n.n.ui: interesen que se aprobase ó no este artículo, debía de sacerdotal el que los individuos dedicados i egercerie se ocupasen en !a cir ■ e¡ pisticípa! obj.tn qu: habla tenido en extenderlo había…</t>
  </si>
  <si>
    <t>…uesta 2.189,990 rs. y 8 mis. vn., y no M dado d duo quedase confundido con los carceleros de la icquisicion. dudar que puede economiza!se una tercera parte de esta suma. Las co El Sr. Moreno suplicó á las Cortes le señalasen mas haber que d misiones de Querrá y Hacienda hicieron presente al secretario de Esta» que tema. do de este ramo la necesidad de arreglar este tiibural; y aunque se le Declarado el punto suficientemente discutido se votaron p…</t>
  </si>
  <si>
    <t>…mbién por esta dijo que esto era contrario á las leyes, y la diputación provincial pi razón se le incluyó. dió que se exigiese la responsabilidad al citado alcalde; y S. M. , i El Sr. Moreno manifestó que el párrafo citado estaba muy claro, quien se había dado parte de este desagradable suceso , liabia mandado y hacia distinción entre los mozos que salian de sus pueblos á trabajar que á fin de atajar los males de que se hallaba amenazada aquella…</t>
  </si>
  <si>
    <t>…cesor el Sr. Barata. I as Cortes tienen demasiada penetración, y por lo mismo no es mtn sur que yo me extienda en manifestar los males adoptar. Se mandó quedar sobre la asesa. El Sr. Moreno leyó una exposición tuya contra la permanencia que te podían seyuir. del tribunal especial de Ordenes y jurisdicción de estas en lo espiritual. Se sabe ( porque no se puede negar ) que la tesorería en catas últi Se mandó pasar á la comisión primera de Legisla…</t>
  </si>
  <si>
    <t>…quidados que tengan por suministros, y ea nes , al que km eclesiásticos cumpliesen con esta obligación. au defecto cualquiera otro crédito nacional legítimo con que se hallen.” El Sr. Moreno apoyó el dictamen de la convsion con varias doctri Se mandó volver á la comisión este artículo, y el Sr. presidenta nas canónicas, manifestando que por la esencia de los beneficies eclesiás suspendió la discusión de este asunto. ticos y por la* leyes positiva…</t>
  </si>
  <si>
    <t>…segunda Eclesiástica, en vista de una exposición de recho se necesite la intervención del ordinario.” ▼arios eclesiásticos de Plasencia, manifestando el estado á que se hallan El Sr. Moreno d jo qu; este dictamen era contrario á las leyes 16,17 reducidos lodos loa de aquella diócesis, 7 pidiendo se tuviese presente 7 18, lib. 9*, tít.. .. déla Novísima Recopilación, en que te encargaba para remediar la miseria en qne se hallan , opinaba que las…</t>
  </si>
  <si>
    <t>…comprendido* en la ley de 17 de Abril de i8n , y de sus facu tades rsp cto de ka obispos que no hubiesen adoptado preceder con arreglo á ella. medios para atacar la rrbei ion. El Sr. Moreno dijo que la voz de un pastor penetraba hasta te maa Asi pues (continuó el orador ) es necesario no olvidarse de que el intimo del corazón de sus ovejss, y por esto era necesario que habla Gob erno ha pasado una* indicaciones i los obispo* , i fin de que por s…</t>
  </si>
  <si>
    <t>…ivalente en estaban ya relevadas del pago de contribución , y que en el artículo se •rujo, too. Aprobado. trataba solo de las caballerías destinadas al tragino. Cuarta especie. El Sr. Moreno dijo que no guardaba proporción el haber asignada Mol'no de aceite, por cada v ga ó prensa 100 rs. por cada burro 14 rs., y tolo 3 por cada mu!a de cabaña. Quedó aprobada con una modificación drl Sr. Paterna para que no El Sr. Surra contestó que las cabañas d…</t>
  </si>
  <si>
    <t>…an diferentes sus uti cidir, ti te había de acudir i las diputaciones provine ales, y formarse lidad- s. un expediente para cada negocio particular , pues que si no se hacia es El Sr. Moreno opinó que se deberían también incluir entre loa ta aclaración, acaso no se cobraría la cuarta parte de la comribuc.on de perfumistas ios que venden aguas para feñ.r las canas. pitantes. Ei Sr. Surra contesto qu= respecto de ios arquitectos, escultores ¿CC. El…</t>
  </si>
  <si>
    <t>…no, 90 en la primera y Art. i.° » En todos los pueblos se formará una matrícula exacta 50 en la segunda. de los individuos de todas las artes, profesiones y oficios que adeuden El Sr. Moreno fue de parecer que deberian recargarse mas tanto las patentes.” Aprobado. casas de juego como los mesones, posadas y demas. Art. 2.a » Se formarán gremios de cada clase con el único objeto El Sr. Surra contestó que era preciso tener presente en cuanto á la de…</t>
  </si>
  <si>
    <t>…gnó el dictamen de la mayoría, decidiéndose de un Infante para cuidar su. bienes. por el voto de los Sres. Abreu y Zulueta, manifestando que en cate Después de haber contestado el Sr. Moreno á la observación del se desvanecían todos los argumentos que se habían hecho contra la Sr. preopinante, diciendo que un consejero de Estado debía dedicarse ex franquicia del puerto de Cádiz, puesto que no era un privilegio, por clusivamente á desempefiar su i…</t>
  </si>
  <si>
    <t>…nstitución en los días biere hecho disposición alguna, ni declarado herederos, se solicitará festivos. saber por los términos legales si los tiene, y ea caso de no encontrarse, El Sr. Moreno apoyó que predicasen los domingos y días festivos se dispondrá de él con intervención y conocimiento del coronel y te del mismo modo que se hacia tespecto del pueblo. niente coronel mayor á beneficio de su alma; prohibiendo á los cape El Sr. Infante dijo que…</t>
  </si>
  <si>
    <t>…a que el anterior ministerio bab a aplica que con su ilustración pudiese la comisión presentarle de nuevo. do a atenciones personales cantidades que debía haber aplicado á aten Ei Sr. Moreno apoyo las razones que habían indicado los señor?* ciones materiales. preopinantes en contra del articulo, y por lo que respecta á la obser Ei ir. secretario dijo que el Gobierno estaba pronto i dar las noti vación del Sr. Bu:y de que deben llamarse párrocos y…</t>
  </si>
  <si>
    <t>…ncepto podría omitirse ia segunda parte d.i artículo 12 y todo los cabos y sar-ento» de las compañías. el '3. Art. 7. » La junta examinará en seguida las fil¡acíon»s y hojas de El Sr. Moreno: A mí me parece que este artículo está perf-cta- servicio de los interesados; y teniendo prevnt s ¡os informes adquiri tn-nte redactado, porque un soldado , que es un c udadano irmiCu , y dos sobre su apt tu 1 , pasará á ca ificar el mérito de cada uno. en la…</t>
  </si>
  <si>
    <t>…ayoría güedad y sueldos , como se determina en el artículo anteiiot.0 Apro legal; por lo cual el arríenlo estaba en su opinión redactado como cor bado. respondía. CAPITULO Xlt. El Sr. Moreno dijo que no había elección alguna secreta en que se De leu propuestas dt los empleos Je sargentos primeros , subtenientes, pusiese en la cédula del pretidente la cláusula de ser aquel tu voto; pues tenientes y capitanes fue correspondan al turno ele rigurosa…</t>
  </si>
  <si>
    <t>…el modo de verificar las cuten remandaron volver é la comisión,'i.' para que se suprimiese propuestas. la voz de capellanes-. a.“ porque se hizo ver demostrativamente que era' El Sr. Moreno indicó que en el artículo se expresaba terminante indispensable que estos párrocos te sujetasen á todo* los actos litera mente que la propuesta fuese de aquellos individuos que tuviesen mas rios para ver ti tenian la idoneidad correspondiente; y 3.a para sufi…</t>
  </si>
  <si>
    <t>…ar ios reglamentos generales d: policía, ccniguisnU no se ha podido hacer mérito de ¿1 en este protecio. no solo para el ornato y salubridad, sino para afianzar el orden , para El Sr. Moreno: La Objeción que me ocurre en este artí.uio es mas la conservación de la seguridad individual, y para afianzar también la bien una sutileza que otra cosa. Dice el artículo: « La trepa perma propiedad particu'ar , tuvo por conveniente proponer á las Cortes que…</t>
  </si>
  <si>
    <t>…con las demas presentada* í las ridad que a ! s demás indiv.duos de ayurumúnto , al paso qur aquello* Cortes. pod an abusar del aux Lo de la fuerza armada que *e les coneedia. El Sr. Moreno: Es cierto que esta consulta ha pasado á las Cortes KI Sr. López del Bañi contestó que en el segundo ca»o d I art. 38c con motivo de haberse ido con los facciosos algunos mozos d* la pro de la Const.tucion se decía que era ob.lgacon de los a?untamientos el vi…</t>
  </si>
  <si>
    <t>…loi Jtjtarria.Ls. ¡A' será prudencia drjarles abundantes ricur.os bildos debe haber , y deben tener tanto. para que pu.dan maquinar st quieren i y nes si quieren , tico como sé El Sr. Moreno : Cuando se trate de este arreglo expondré franca que algunos maqu nan; Se) rs. se dan á a guno de estos prelados mente mi opin.on ; pero ahora m: parece que est* bien terminante es por rsta piedad mal correspondida. Acuérd n*e estos que i ios ce» rata medida…</t>
  </si>
  <si>
    <t>…rle á un error muy fatal, y para corroborar este argumento se Isturiz en lugar de la medida que te discute. ha hecho mérito d:l decreto de monacales, el cual se dice dió margen Ei Sr. Moreno , después de hacer algunas observaciones sobre el ori á muchos para difundir ideas contrallas al sistema constitucional, y gen de los cabildos, de las catedrales jr colegiatas , y para probar cuán que haciéndose esta medida extensiva á mayores objetos, los re…</t>
  </si>
  <si>
    <t>…usión, y es que se hacían respetar las leyes, y no se querían los abusos. ofensiva á los oidos constitucionales. Declarado el punto suficientemente discutido, quedó aprobado el El Sr. Moreno: Esta mañana te ha leído un voto particular del se artículo. ñor Prado, que dice asi: » Habiendo sido mi voto contrario 4 la apro Art. g.° ,,listas reuniones no podrán celebrarse desde media noche bación del dictamen de la comisión especial, por el cual ta de…</t>
  </si>
  <si>
    <t>…á causa de las disputas que ha- El Sr. Aiüon preguntó ti esta proposición hablaba de las excepcio b.a con la corte de Koma, quedase comprendido en el sorteo. nes ya aprobadas. El Sr. Moreno dijo que sin embargo de lo que expuso en Junio úl El Sr. Isturiz contestó que tolo hacia referencia i las adiciones de timo cuando se trataba del otro reemplazo , se le ofrecía decir que mu que no se había dado cuenta, en que se pedían nuevas excepciones. cho…</t>
  </si>
  <si>
    <t>…va de escarmiento 4 los demas sol den desgraciadamente en el pueblo. dados. El Sr. Canga : Estoy satisfecho. 61 Sr. Oliver: Nunca es una pen4 el que 4 un militar le juague esta El Sr. Moreno dijo que la disposición de que se trataba drbia ex ó la Otra jurisdicción, y por eso el código penal nd debe tratar de es tenderse hasta los lugares de 800 vecinos, porque limitándose sola to , y sí el de procedimientos; pero en el código penal se trata del d…</t>
  </si>
  <si>
    <t>…lante en .ugar de esta ?q-r. : a , de añadirse las siguientes: concedidos á los ciudadanos españoles. modo que el articulo d j:»e: n El distinto modo de egercer io» d:t-.cr.c t El Sr. Moreno dijo que la primera parte del articulo tenia toda la po.iticos y de disfrutar los civiles Scc.” claridad que era de desear ; y que en la segunda se expresaban las di D.-clarado el punto suficientemente discutido, quedó aprobado co ferencias que podía haber en…</t>
  </si>
  <si>
    <t>…a cruz de su espada. Los oficiales á quienes »■; con to el testador /•: inÜJum á cubrir el vacío de la l*y. fieran empleos políticos, como por ello» no pierden la consideración El Sr. Moreno: El artículo que s: ha leído tiene dos partes , y yo rnil u-, jurarán tumbeen sobre ia cruz de su espada ante !a persona 6 no puedo menos de impugnarle respecto de la segunda. En cuanto i la p-rsouas desteladas por 'as ley:» el empico que el R:y haya tenido i…</t>
  </si>
  <si>
    <t>…derse a la, perlinas y no á Nso olvidemos que desde el año 3 resolvió la Nación restablece- ai sus familias. Sr. D. Fernando v:i ca ei trono de *u$mayort&gt;; modo que o qu- r¡&lt;,§ El Sr. Moreno apoyó el artículo, manifestando qu; aun respecto ds recuerda e**ie d a o haberse cumplido lo que ia Nacun ..*b 1 rour-ro. la nobleza se verificaba qu; ‘a mugar de un nob&gt;e - crin de esta dis N.« cmíunriaxios esta época coa ia d¿; 4 de Mas o , tn ia yje sf d ó…</t>
  </si>
  <si>
    <t>…establecen los principios mismos so las facultades de lo* gefe*. Se mandó pasar á la comisión de Guerra. bre los cuales las Cortes van á sancionar las reformas sin intervención El Sr. Moreno advirtió que en los periódicos de hoy se advertía de las autoridades eclesiásticas! una equivocación en el extracto de la sesión , pues suponen que ha Estos breves han excitado en otros tiempos el fanatismo del pueblo sido elegido visitador de la audiencia de…</t>
  </si>
  <si>
    <t>…eberá justificar su conducta provincia, y en donde se cnarbolaron los escandalles llamados de la fe. ante un consejo de guerra de oficiales generales, para que recaigan en Ei fir. secretario Moreno manifestó que aunque estaba acorde con las él los premios ó castigos á que se haya hecho acreedor, con arreglo i ideas del Sr. Alonso creía deberse pasar la exposición á la comisión que ordenanza.” hab a entendido en este asunto, á causa de haber sido dirigid…</t>
  </si>
  <si>
    <t>…leyes. Esto previene, continuó, del principio dos los frailes ton maiot, los de aquel convento son buenos. qu 1 tienen adoptado , de que solo la buena fe ha de set la norma que El Sr. Moreno: Cuando se dió cuenta de la expiación de que han de seguir en la decisión de los pleitos comerciales , creyendo que ae. trata fui de parecer que pasase á la comisión , con ¡ njo dictamen este principio les autoriza para no arreglarse á las leyes. Yo podría ci…</t>
  </si>
  <si>
    <t>…spués da una brere discusión se aprobó este artículo ¡ suprimién del general Mina, del cual sin embargo se asegura ya que continúa dose las palabras sepan hacerlo, á propuesta del Sr. Moreno: con lo spbre Urgel, en donde han entrado ya algan» de sus tropas, y que cual ta suspendió esta discusión. tiene enteramente bloqueada ia castilla. Sa mandason pasar á la comisión de Comercio rarias adición» al Ha causado mucha sensación en Alemania el haba s…</t>
  </si>
  <si>
    <t>…e una escuela de equitación. La comisión opinaba debían comiende Rajo las reglas que acuerden los mismos ayuntamientos.” aprobarse los artículos siguientes: quedaron aprobados. El Sr. Moreno: Sin perjudicar á lo esencial de este articulo te pue 1.* 81 Gobierno puede aprobar los reglamentos que deben servir de suprimir la cláusula que dice »cor. especialidad los de las pcb'aclopara la prosperidad y régimen de la escue'a ele equitación. nei grandes…</t>
  </si>
  <si>
    <t>…decano—Antonio Gualdo , regidor. =Geri nimo Rie tre sí se dará cuenta al gefe político para que resuelva.” re , regidor.tzjottf Cobcró, regidor.^-Citlot Postila, tíndico procu El Sr. Moreno: En este artículo no te hace mención da los re rador.” gidores ni de ningún otro individuo del ayuntamiento. A mí me paMadrid Lunes ag de Diciembre. recia muy justo en atención al art. gal de la Constitución , que los al caldes tuviesen que contar con los reg…</t>
  </si>
  <si>
    <t>…to deba El Sr. Becerra manifestó que la comisión adoptaba la modificación •probarse. propuesta por ei Sr. Romero. Declarado el artículo bastantemente discutido, quedó aprobado. El Sr. Moreno: Yo encuentro una Inexactitud en la primera parra Art. a26. «Cada gefe político tendrá un secretario y un oficial de este artícu o. Se dice en ella que te obedezcan y respeten los gefe* mayor nombrado* por el Rey,con los sueldos se l ados en el decreto políti…</t>
  </si>
  <si>
    <t>…sto la comisión el presente aica ó moral no pueden ni deben continuar suviendo. j Y se podra to articulo. lerar que dista cn el servicio militar una persona que tenga'contra ,i El Sr. Moreno: T.ss Cortes hsn declarado ya que los capellanes da la opinión de todos tus compañero, , bien tea por su conducta relajad •, los regimientos , como snt*-s se llamaban, .can considerados como loa Ó por cierta ciase de fallí» que no »e j u--der: pr&lt; bar? demas…</t>
  </si>
  <si>
    <t>Moreno, Carmen</t>
  </si>
  <si>
    <t>Carmen Moreno</t>
  </si>
  <si>
    <t>…s no ha Josefa Pdayo. Gramática castellana: primero Doña Bruta O:hoa: segun desmentido nunca; y si después ba toinado una actitud severa, ha sido do Doña Manuela da Alday. Dibujo: Doña Carmen Moreno. Constitu para defenderse de una facción desnaturalizada, que ha atacado i la Na ción: piirmio Doña Concepción García: segundo Doña Rosalía Doción mi sus derechos mas sagrados. aeijo. Doctrina cristiana: primero Doña Juana Duran: segundo Doña (3) :-,¡ el esta…</t>
  </si>
  <si>
    <t>Moreno, Demetrio</t>
  </si>
  <si>
    <t>Demetrio Moreno</t>
  </si>
  <si>
    <t>…ta memora D. Florencio Castillo. D. Tomas Salgado. D. Nicolás O'aez. D. Rafael ble jornada que os inmortaliza, ni menos confiéis en la victoria. vs^—- u.i:...Zn n. Mariano Robles. D. Demetrio Moreno. » Milicianos: poderosos enemigos, asaz diestros en el arte de ta ma quinación é intriga existen por desgracia, aparecen para tentar nuestra COBIERNO. paciencia, y se presentan con descaro para hacernos la guerra bajo da ^Ayuntamiento. » De pocos dias á esta…</t>
  </si>
  <si>
    <t>Moreno, Francisco</t>
  </si>
  <si>
    <t>Francisco Moreno</t>
  </si>
  <si>
    <t>…obligaciones qué deberán observar los empleados en el regimiento infantería de la Reina, con 620 rs. ramo de la Hacienda militar desde el dia a.° de Julio de iSaa , y bu. Baeza á D. Francisco Moreno, segundo ayudante del regimiento ta tanto que las Cortes señalen el que deba seguirse en lo sucesivo. Vén infant-ría de Etpafia, con 620 rs. dese i 5 rs. en el despacho de la imprenta Nacional. Barcelona al capitán D. Josef Biosca, segundo ayudante supernu Co…</t>
  </si>
  <si>
    <t>Moreno, Francisco Abad y</t>
  </si>
  <si>
    <t>Francisco Abad y Moreno</t>
  </si>
  <si>
    <t>…ictamen Juan Martin (el Empecinado), los coroneles D. Juan Palarea (el Mé al derecho que convenga conceder á ios referidos aprehensores respec dico ) , gefe político de Madrid , y D. Francisco Abad y Moreno ( Cha to á los caballos, armas y otros efectos que se hallen en poder de los leco ), en medio pliego de marquilla,á 8 rs. cada uno iluminado y á malhechores. El consejo ha expuesto á S. M. entre otras cosas que no 4 en negro. También se halla el nuevo retrato…</t>
  </si>
  <si>
    <t>Moreno, Joaquín</t>
  </si>
  <si>
    <t>Joaquín Moreno</t>
  </si>
  <si>
    <t>…ai dei c-r»tan D- Frir.c-.svO -icé riba de Valencia y algunos del resguardo militar, al mando del te- y de los oficiales el subten.ente D. Jcaqu.n Barrida, y e d- .a misma nientr D. Joaquín Moreno, se pusieron lodos en precipitada y vergon ciase D Ignac.o Tast-iy, y el lamente D. Aniceto Le: ms , -»-romeo zosa fuga, retirándose en peiorone* por distintos caminos, que p rsi- funcionas de ayudante de ¡a columna; una part.dadc ir. i,c&lt;-ros volun gui-.-ren…</t>
  </si>
  <si>
    <t>Moreno, Joscf</t>
  </si>
  <si>
    <t>Joscf Moreno</t>
  </si>
  <si>
    <t>…ientras hacia los pr.paMartínez, el contador general de valores conde de lhangrande, y el de rativos necesarios se le presentó una diputación de muchos ancianos pi la distribución D. Joscf Moreno, expresan el número , la cantidad del diéndole tuviese á bien que el alivio de aquellos infelices m encardase aumento referido, la fecha del decreto de las Cortes para que se admi á un aldeano, que por espacio de muchos años había adquirido grande tan por tu…</t>
  </si>
  <si>
    <t>Moreno, Josef</t>
  </si>
  <si>
    <t>Josef Moreno</t>
  </si>
  <si>
    <t>…n el que con fecha de 1.1 del corriente participaba ha aunque creyese que no era de esta clise, por cuyas razones, y fundado ber expedido pasaporte con la fecha del dia anterior á D. Josef Moreno en que cualquier particular podía denunciar un escrito subversivo, fue Guerra para que pasase en posta » esta capital, habiendo manifestado de opinión que no debía aprobarse el artículo que te discutía. no haber podido hacerlo antes con motivo del estado de s…</t>
  </si>
  <si>
    <t>…ULO DE OFICIO. llón del regimiento de infantería de Zaragoza D. Leoncio Barcena. Bl Sr. secretario del Despacho de la Gobernación de Ultramar dice Motril: para primer comandante á D. Josef Moreno , comandanta con fecha de ayer desde el Real sitio de Aranjuez lo que sigue: del segundo batallón del regimiento de infantería de Toledo. n SS. MM. y Sres. Infantes gozan de perfecta salud , y las Sras. Ira- Metida: para primer comandante á D. Manuel Cabrera,…</t>
  </si>
  <si>
    <t>Moreno, Josef María</t>
  </si>
  <si>
    <t>Josef María Moreno</t>
  </si>
  <si>
    <t>…e caza puede servir la responsabilidad. dores de la milicia nacional de esta corte, firmada por el capitán de ella Por otra parte,; el gefe político é intendente podrán desempeñar D. Josef María Moreno, y otros varios oficiales y sargentos, en laque las funciones de vocales de las juntas diocesanas ’ Yo creo que no, pedían i Jas Cortes se les destinase á la persecución de los facciosos porque teniendo presente la multitud da asuntos y cargos que están en ex…</t>
  </si>
  <si>
    <t>Moreno, Jotef</t>
  </si>
  <si>
    <t>Jotef Moreno</t>
  </si>
  <si>
    <t>…aba £ la muerte la m-moria y la joras ó cualquiera de alia» dentro de los respectivos término», acudirá imagen d: los mayores, y aquellos numerosos hipogeos, asilo sagrado ante ei Sr. D. Jotef Moreno 7 Remires, ministro honorario de la au di las meditaciones de la sabiduría. La admiración le en» ge na á la vis diencia territorial, 7 juez de primara instancia da esta M. H. villa, por ta de sus majestuosos obeliscos, de loa soberbios monoiithos que ador la…</t>
  </si>
  <si>
    <t>Moreno, Manuel</t>
  </si>
  <si>
    <t>Manuel Moreno</t>
  </si>
  <si>
    <t>…bre la ría que da al mar, I los careos de alcaldes, regidores y síndicos. cuyo coste será de 36,340 rs. La diputación provincial de ia misir.i I A Ta de Hacienda una exposición de D. Manuel Moreno -haciendo proponía se estableciese allí un pontazgo, pagándose en él dos reala I algunas observaciones sobre las dotaciones de los juzgados de primera por cada carro, uno por cada caballería de tilla, seis cuartos por cada I instancia, y otra-de seis legos pr…</t>
  </si>
  <si>
    <t>Moreno, Manuel Díaz</t>
  </si>
  <si>
    <t>Manuel Díaz Moreno</t>
  </si>
  <si>
    <t>…, Eulate , Lodares, bitrios y pago de intereses , entre D. Joaquín Suarez de Villar, inten Viilaboa y Vega, contrarios á lo resuello por las Cortes en la parte 3.a dente de León, D. Manuel Díaz Moreno , secretario de los cinco gre «leí ait. a.° del proyecto sobre la guardia Real. mios, y D. Pió Lanza, intendente de egéteito propuestos para este dea Las Cortes recibieron con agrado, y mandaron pasar 4 las comisio tino; y quedó elegido el primeio por 109 vot…</t>
  </si>
  <si>
    <t>…s de la comisión de Visi za: obra escrita en francés por el barón de Holbach , y traducida al cas ta del Crédito público hasta el 6 d«l presente mes la presentación de tellano por D. Manuel Díaz Moreno: segunda edición, tres tomos en los privilegios de juros; se hace saber é los interesados que el archi 4 ", con una estampa fina al frente de la obra, Se vende en la librería de vo de la contaduría general de Distribución de la Hacienda nacional se la viuda d…</t>
  </si>
  <si>
    <t>…Pedro Ci- ARTICULO DE OFICIO. fuente» ; en cuya consecuencia mandó dicho Sr. alcalde que D. Felipe Circular del ministerio de la Gobernación de la Península* Denné hijo abonase fi D. Manuel Díaz Moreno el valor efectivo de 15 egemplares de la obra la Moral universal por vía de indemnización, El Sr. secretario de Estado y del Despacho de Hacienda en 18 dd Condenándole en la perdida de lo* aiete egemplares que te le ocuparon presente mes me diré lo nu: sigue:…</t>
  </si>
  <si>
    <t>Moreno, Manuela</t>
  </si>
  <si>
    <t>Manuela Moreno</t>
  </si>
  <si>
    <t>…icha denuncia pretendien que no. do derecho á los bienes comprendidos en ella los siguientes vecinos de El Sr. presidente dijo que mañana se continuaría esta discusión, y Madrid : Doña Manuela Moreno, viuda de dicho L&gt;. Antonio María se levantó la sesión á las cuatro dadas. «fe Quijada , Doña María Josefa Velasen, viuda de D. Pedro Celestino ARTICULO DE OFICIO. González de Salazsr, curado a de sus cinco hijos , D Nicolás , Doña María Antonia, Doña Ana Mar…</t>
  </si>
  <si>
    <t>Moreno, Mariano</t>
  </si>
  <si>
    <t>Mariano Moreno</t>
  </si>
  <si>
    <t>…no constaba la legitimidsd La de Poderes presentó su dietsmen sobre los de los Sres. D. Ma de estas pensiones, y que dudándose del derecho que tuviesen ios intere teo del Monte y D. Mariano Moreno , electos nuevamente diputados sados á ellas, se debía también dudar en pagarlas. por la provincia de Cuenca; y hallándolos conforme, a lo prevenido hl Sr. secretario de Hacienda : *E1 Gobierno cuenta con lo» presu fm la Constitución | opinaba d.-bian aprobar…</t>
  </si>
  <si>
    <t>…a irtro-ucir un » .b-os un pagar derechos según Capitanes. D. Luis Beaumout, D. Antonio IIíVÍ* , D. Joaquín costumbre: y cnnvi .n ¡a qu - s- • rxpiluí a: dj-se que se le ha Ramos, D. Mariano Moreno. D. Aranasio Cuadros, D. Buenaven ba torced do a introduce.on cu ndo . ra encarnado de Negocios de tura Basas, D. Gaspar Delvado, D. Jactfco huno, D. Miguel Mnl“ius,a,se quejó el hr. Oifers de que se hiciese pública la suspensión de querra, D. Juan Bsutisu ¿a…</t>
  </si>
  <si>
    <t>…las Cortes extraordinarias 4 la renovación de su Despacho de la Gobernación de la Península.” presidente, v¡ce-presidente y secretario mas antiguo, que lo era el seANUNCIOS. fior D. Mariano Moreno, han sido elegidos, para presidente el señor D. Juan O.iver y García, diputado por la provincia de Milaga; para Continúan los juro* de ayer. vice-prasideate el Sr- D. Pabio Saotafé, diputado por la provincia de i/* Ocho mil soldados de Sevilla, juro 1.299,680…</t>
  </si>
  <si>
    <t>Moreno-</t>
  </si>
  <si>
    <t>…ién impunemente esta misma libettad; y asi que debía ap;obar»e el das las órdenes, instrucciones, reglamentos y providencias generales del articulo. Gobierno en cualquier ramo. El Sr. Moreno-. Dos impugnaciones se pu-den hacer al art culo Art. 142. » Dispondrá también el gefe político que todas las dis que se discute: la primera contra su primera parte, sobre la cual n ha posiciones mencionadas en el auicu o anterior se publiquen en la ca dicho lo…</t>
  </si>
  <si>
    <t>Morenti, Josef Mana</t>
  </si>
  <si>
    <t>Josef Mana Morenti</t>
  </si>
  <si>
    <t>…di. de vuestra guardia, bien seguro de no haber atentado contra la Cons Primer batallón. titución ni las leyes; y antis por el conu-ano , persuadido d; haberla* Cazadoret. Capitán D. Josef Mana Morenti ; herido. Sargento pri observado exactamente, suplica á V. M. que se digne mandar se haga mero D, Angel Escamóla , contuso. Idem segundo D. León Antonio pública la conducta que ha cbse-vado, y el modo con que se ha con Elejad , herido. Cabo primero IX Francis…</t>
  </si>
  <si>
    <t>Morentin, Manuel Martínez de</t>
  </si>
  <si>
    <t>Manuel Martínez de Morentin</t>
  </si>
  <si>
    <t>…rtin y D. Santiago Delgado. Fue de con una humanidad de que es indigno. Dios guarde á &amp;c. Tudela y Opinión contraria D. Joaquín Manrique y Manrique. Agosto 11 de t8aa.=sEl capitán comandante Manuel Martínez de Morentin.=M. I. Sr. gefe superior político de esta provincia.” Fn la muy heróíca villa y corte de Madrid , rmnidos los jueces de P. D. También concurrió á la defensa armado de su fusil el pa hecho, calificaron con la formula de absuelto ei art'cu o inserto en el triot…</t>
  </si>
  <si>
    <t>Morer, Domingo</t>
  </si>
  <si>
    <t>Domingo Morer</t>
  </si>
  <si>
    <t>…os la duo. de le c ese prim.ra los que se presentaron á este servicio , «lin obligación qu: su ministerio les impone de ser los primeros en dar el dados pir su comandante interino D. Domingo Morer, después de fil cgemplo de obediencia á la ley y de respeto á las autoridades consti fa .r reconocido con el mayor cuidado todo su término , fue tai su en tuidas , y en propagar ¡3s ideas de paz y unión entre sus concudadatusiasmo y valor, que introduciéndose…</t>
  </si>
  <si>
    <t>Moret, Domingo</t>
  </si>
  <si>
    <t>Domingo Moret</t>
  </si>
  <si>
    <t>…l 13 de tobic el expediente remitido por la diputación provincial de Cádiz , relínea : Delaye , id.: Gameion , subteniente del rg de b.n.: Rand eus, lat ivo al plan presentado por D. Domingo Moret para la d seca.ion de la laguna de Fanda, en el término de Eéjar de la Frontera , en acuesargento primero de la cx-guardia imperial: Gaulois de Mantés, ayudan lla provincia; y en su vista opinaba, que este grande ptcyrcio, qua te del 3.a de linea. tarifas ven…</t>
  </si>
  <si>
    <t>Moret, Segismundo</t>
  </si>
  <si>
    <t>Segismundo Moret</t>
  </si>
  <si>
    <t>…mentada, qu: se formaré en las mismas En la ciudad da Cidiz, reunidos en jurado de caliCcacion loa Sellosecciones cada tres rimes , autorizada por los respectóos intendentes y res D. Segismundo Moret, D. Francisco Servando Mufíoz, D. Lope ministros de la hacienda militar. Manuel de Luengas, D. Francisco Hidalgo , D. Juan Martínez de Ga* De Real orden lo comunico á V. para su inteligencia y efectos tica , D. Juan Francisco Vidot, D. Antonio Cortés y Coll,…</t>
  </si>
  <si>
    <t>Morguen</t>
  </si>
  <si>
    <t>…80 en pasta: las adiciones distribuidas en dicha de mérito», por termino de 30 días. obra componen mas de tres tomos, con el retrato del autor dibujado del original por el célebre profesor Morguen y ^rábido por I&gt;. Manan» Se halla vacante la judicatura de primera instancia del partido de Trandi. Esta empresa se ha desempeñado ci.n todo acierto y exac Sigiienia , en la provincia de Guadalajara, por renuncia de D. Damian titud , y bajo todos aspectos s«…</t>
  </si>
  <si>
    <t>Moría, Jaoobo</t>
  </si>
  <si>
    <t>Jaoobo Moría</t>
  </si>
  <si>
    <t>…María Calrtrava, individuo del tribunal supremo de Justicia. bien nombrar esa comisión, y los individuos que la compongan se val Para la clase de ciencias fisicas y matemáticas i D. Jaoobo Moría de drán de todos los medios para ver cuáles son los candidatos sobre Parga, consejero honorario de Estado c individuo de la academia de quienes ha de recaer la propuesta; pero jamas deberán las Cortes au la Historia; á D. Juan Alvares Guerra, individuo de la…</t>
  </si>
  <si>
    <t>Morillo</t>
  </si>
  <si>
    <t>…culo inserto en el núme 17 de Enero en le jurisdicción de Carón por una columna que man ro da del Universal como injurioso 4 su persona. dó sobre ellos, 4 las órdenes del teniente coronel Morillo. Tone mar A su consecuencia se procedió al sorteo de lo* nueve juccts qw cha ocupando toda le costa , con el objeto de poner la provincia de Co debían ver dicho escrito, y salieron los Sres. siguientes: ro en comunicación con Puerto-Caballo, cuya pisa ae hall…</t>
  </si>
  <si>
    <t>Morillo, Pablo</t>
  </si>
  <si>
    <t>Pablo Morillo</t>
  </si>
  <si>
    <t>…el Piulan, al remitirnos el mos decir que todo el público notó la actividad, valor y ardimiento de número del periódico en que esto se refiere, nos ponen una nota ma los generales D. Pablo Morillo y D. Francisco Ballesteros y del bri nuscrita , que dice asi ¡ » he ha desmentido la noticia de la deserción gadier D. Juan Palarea. de los soldados de la Costa; pero Letra se halla en la sierra de la AiPuestos en fuga los asaltadores de le plaza, se dirigieron á Palacio á atijara. bus…</t>
  </si>
  <si>
    <t>…pues aun insisten en qua el en la Tercerola números 24 y 25 como injuriosas el honor de su espo carbontrhmo se ha arraigado demasiado en aquel reino. En artículo da so el teniente general D. Pablo Morillo. Bolonia de 8 de Octubre se publica como de oficio que el Rey de Ña En su virtud se reuuió el jurado, compuesto de los señores si póles se halla enfermo de peligro. Ya se habia hablado de dificultades guientes : para ir al Congreso; y tal vaz las pesadumbres…</t>
  </si>
  <si>
    <t>Moro-</t>
  </si>
  <si>
    <t>…Sotos uno, el Sr. Trjeiro uno', y el Sr. Znlneta uno. mo el Sr. secretario del Despacho de Hacienda, se ha servido el Rey F.n la primera votación para segundo secretario reunió el Sr. Moro- mandar que en lo sucesivo no se confiera destino alguno, ni aun en no 60 votos, el Sr. Zulueta 49, el Sr. Rico uno, el Sr. Belda uno, comisión, por ningún gelfi del ramo de Hacienda sin previa Real reel Sr. Sarabie uno, el Sr. Serrano uno, el Sr. Tejeiro nno,…</t>
  </si>
  <si>
    <t>Morque-, Pedro Nufiez</t>
  </si>
  <si>
    <t>Pedro Nufiez Morque-</t>
  </si>
  <si>
    <t>…la referida renta y cabeza: otro de 429, en alcabalas del principado origen, progresos y decadencia de las órdenes religiosas, traducidas de Aslúrias de Oviedo, en cabeza del Lx. D. Pedro Nufiez Morque- del francés por D.M. D. M/Se venden juntos á la rústica en la librería cho. otro de 413S), situado en el derecho deí primero, uno por 100 de de la viuda de Quiroga. P.o/ecto de ley orgánica de sanidad pública de la nueva alcabala de lo vendible de la ciudad d…</t>
  </si>
  <si>
    <t>Morreo</t>
  </si>
  <si>
    <t>…da p. r e! 'r Va íc. . y . n cria: to . 'a d 1 Sr. Al.'- -- - »_ f t lo momo no tema a quien convocar. v.-n.r que la c.':r. &gt;1. n I-.ib.i r-ch ' r'c ■ n-' le rué i.«:rS.¡ - - » El Sr. Morreo: lii pan iotisino ri.i Sr li.Marmnte, las circuns- «&gt; preven-d.» en e. d-r : que ¡a . : - s b : i- .v» c-r t-n 1 •. . tiu.uo de su muerte, v la situación tn que s_ halla su viuda me mti- dv 1 IV ; pe-o rr 1 qur r - ’-.b.a d nsda c, r :• : *. . pi r . u ni'.ii…</t>
  </si>
  <si>
    <t>Morrjon, Antonio Hernández</t>
  </si>
  <si>
    <t>Antonio Hernández Morrjon</t>
  </si>
  <si>
    <t>…cuarto: 5.a que en el nombra dirijan sus instancias al Gobierno por conducto del proto-médico d: los miento de diputados en unas provincias se habían regido por el censo egércitos D. Antonio Hernández Morrjon, qu: vive calle del Príncidel afio 1/97 , y en otras no : 6.a que algunos poderes habían venido , nnm. 1 y », cuarto segundo ; bien entendido que serán prcf.ridos •in legalizar: 7. que en alguna provincia el gefe político había sido G1 que caten disfrutando p…</t>
  </si>
  <si>
    <t>…, dirigirán sus so En tu consecuencia te procedió á dicha elección, y recayó en los licitudes á S. M. por conducto del proto-médico de los rgércitos na Sres. siguientes: cionales D. Antonio Hernández Morrjon , que vive calle dtl Principé, i.° D. Manuel Josef Quintana por 65 votos de x s 3. esquina ú la plazuela de Matute, núm. a; en la inteligencia de que se a.° D. Antonio Gutiérrez por 64 de 119. rán preferidos los que disfruten pensión del erario nqpional. j.“…</t>
  </si>
  <si>
    <t>Morro</t>
  </si>
  <si>
    <t>…para el cargo de qua fie seb: . u: aj roas de nuestras primrras comodidades tentino* otra, qu : pu .d n considerarse como fa.tic.as , de las cuales se desense trataba. . . , . E¡ Sr. Morro opinó que sena desconfiar de la rectitud de los ge- ticrid : ia com.s on en vste reg ani-cio. Las gent:s de los pueblos se re fes de los cu rpos el quitarles el d-r cho de que Iiataoa este articulo; únen ¡os días f.-st.vos pa:a d.stra.Ts: di -us pinosas fatig…</t>
  </si>
  <si>
    <t>MorsieJj, Valdomero</t>
  </si>
  <si>
    <t>Valdomero MorsieJj</t>
  </si>
  <si>
    <t>…isterio dt la Guerra. Por el juzgado de primera instancia del Sr. D. Ramón de Argos, y » El inspector general de infantería hizo presente al Rey las dudas escribanía cartularia de D. Valdomero MorsieJj , se siguen autos a pe que le ocurrían sobre el abono del doble tiempo de campada que debía dimento de D. Tomas de Velasco sobre reclamación de 23 vales rea hacerse en las solicitudes para retiro de los oficiales que habiendo sufri les. 13 de 150 pesos , 4 de…</t>
  </si>
  <si>
    <t>Mortero, Ramón Díaz de Ortegaí D- Josef</t>
  </si>
  <si>
    <t>Ramón Díaz de Ortegaí D- Josef Mortero</t>
  </si>
  <si>
    <t>…pura el d: Omafia , en la prov ncia ds Señores que compusieron el juradoi D. Juar de Valle; D. Jaime L on , í D. Jo.ef Suar z Cu-nilas , y para el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t>
  </si>
  <si>
    <t>Morton, Tomis</t>
  </si>
  <si>
    <t>Tomis Morton</t>
  </si>
  <si>
    <t>…s, y prínriitndo al sargento con otros vatios individuos. M. J. extracción de estos, si.n endose á tut u de cotu.sos sin reo, de toda c aBarry, á nombre do la casa de comercio dal caballero Tomis Morton se de m rcadunas.acDe Reai oioen io comunico á V. £. á ios efectos Jones , do Londres, ha negociado con los mejicanos un empréstito de oportunos.” un millón de putos (que algunos hacen subir i 10), cuyas bases se ig La traslado á V. S. para 'os mi.mos fines.…</t>
  </si>
  <si>
    <t>Mos, Josef</t>
  </si>
  <si>
    <t>Josef Mos</t>
  </si>
  <si>
    <t>…n » SS. M.M. y A A. siguen disfrutando de buena talud.* dido , y dispondréis lo necesario á su cumpiim ,-nto. K-te rubricado de la Real mano. En Aranjuez a to de Marzo de idae.cnA D. Josef Mos El Rey ha expedido los decretos siguientes: toso de Ailamira. Don Fernando vit p t la ¿racia de Dios y por la Constitución de Crrul.tr .1,1 m:&gt;r.!tir:o Jt • ! G:».— la monarquía española , Rey de ¡as España,, á todos los que i as presen Para poner en practica desde…</t>
  </si>
  <si>
    <t>Mosccso</t>
  </si>
  <si>
    <t>…porque distribuyen y gradúan lo que corresponde á cada individuo. Asi ber lugar i votar este artículo. pues aunque te aprobara lo que dice el vr. Fraile , era preciso que se di El Sr. Mosccso: La comisión en el primero que ha propuesto no ha jera qu én habia de hacer estas liquidaciones,y con qué finca* se les ha bla de otra cosa sino del modo de llevar á efecto lo dispuesto por las bía de indemnizar en el caso de que el clero te reservase las que…</t>
  </si>
  <si>
    <t>Moscoso</t>
  </si>
  <si>
    <t>…s de Cor Ultimamente voy á proponer lo que me parece propio á conciliar tes , al derecho civil &amp;c. fice. la dotación competente del clero y del culto con las necesidades del Es El Sr. Moscoso: Las observaciones que hasta ahora se han hecho sa tado ; á cuyo fin presento las siguientes proposiciones, que tomará ct reducen á que deberla tomarse en consideración el decreto de las Cor Congreso en consideración si las estima fundadas. tes de 29 de Junio…</t>
  </si>
  <si>
    <t>…o á decir que no " Los Sm. Lobato y Tortea deshicieron algunas equivocaciones qua se tiene este dato tan necesario. ¡Y por qué? porque no son sol a menta dijeron haber padecido el Sr. Moscoso. particulares á los que hay que indemnizar, sino á una multitud de cor K1 Sr. Banqueri: Habiendo oído qua el dictamen que se discute se poraciones , establecimientos literarios y de beneficencia. ¡Y estos tie reduce solo a la indemnización de los partícipes l…</t>
  </si>
  <si>
    <t>…ar en los termino* que debe tículo el que asistan tres individuo* del clero á las juntas de que se trata. estarlo í El clero de Etpafia va á quedar incóngruo absolutamente. ¡ Y El Sr. Moscoso manifestó que estas juntas no estaban autorizadas cus! será el resultado de esto, atendiendo á las circunstancias del día, para mas que para la indemnización de que se trataba; y que el sefior Circunstancias que no deben pirdeise ue vista! Por hacer un bien t…</t>
  </si>
  <si>
    <t>…ente al seno de la Iglesia el que hubiese apostatado de la consideraba en algún modo injuriosas al clero. religión se le devolverían todos sus honores y el empleo; á lo que con El Sr. Moscoso dijo que respecto de la primera parte podía hacer testó el Sr. Calatrava que los honores se le volvían , pero que en cuan el Sr. Martel una adición , la cual la tomaría en consideración la co to al empleo pendía absolutamente del Gobierno, respecto de lo cual…</t>
  </si>
  <si>
    <t>…dos con tratar de este asunto anunció que no faltarían algunas consultas sobr; él. las fincas del mismo. F.I intendente no tenia otro recurso mas que el de valerse de la tropa; El Sr. Moscoso manifestó que la comisión estaba plenamente con pero - qué había de hacer cuando hubo ocasión en que no podía dispo vencida de que el medio diezmo bien administrado era suficiente para ner sino de dos soldados , como consta del expediente 1 No se diga que dot…</t>
  </si>
  <si>
    <t>…163,517 rs., rematada en 8oo9. Otraen destino de que se trata, solo tiene los honores del mismo modo que el la calle de los Leona, núm. ■ 6, manz. j¡e, con 155 a pías de sitio , y Sr. Moscoso. Sin embargo, de que se aprueben los poderes del duque 49 rs. de la carga de alumbrado , su valor líquido 64,553 rs., remata del Parque, yo quisiera que tuviéramos algunas bases generales para da en 35*9; y otra en la calle de los Tres Peca, núm. ay, manz. 14…</t>
  </si>
  <si>
    <t>Moscoso, Josef María</t>
  </si>
  <si>
    <t>Josef María Moscoso</t>
  </si>
  <si>
    <t>…ede i8ai.” b o M.nacl.o , sargento primero D .mineo Amor, primer ayudante Manuel Molina, «argento primero V-ceote A os, teniente Juan Quen Atendiendo á las repetidas instancias de D. Josef María Moscoso sada , el segundo ayudante abanderado Vicente Morro, subteniente de Altamira para que le exonere del encargo de s-cr-t ir o de E.t -do y Domingo Acansí, sargento s-gundo Rvnuu do Gai.gnaxo, subtenien del Despacho de la Gobernación de la Península , h» r, nido…</t>
  </si>
  <si>
    <t>Moscova, Francisco</t>
  </si>
  <si>
    <t>Francisco Moscova</t>
  </si>
  <si>
    <t>…to que amanezca , y mucho mas con que iban los de igual c ase del mismo r-eimienlo D. Birto'ome na vala proximidad de los facciosos exteriores. Lo haré asi que raye el astro dor y D. Francisco Moscova , y la del Principe D. F.-mando Fosada, del día , y en segu da procuraré sacar todo el partido posible de este para que atacasen los punt.s avanzados del enemigo, v p-netras-n en favorable sue so , deponiendo , como puedo ya d sponn , de estas tro el pu.blo s…</t>
  </si>
  <si>
    <t>Mosmas, Josef María</t>
  </si>
  <si>
    <t>Josef María Mosmas</t>
  </si>
  <si>
    <t>…os de la Hacienda pública. J endreislo entendido , y dispondréis su lez , Manso, Ruiz del Rio , Benito, Sotos , Alvarez Gutiérrez , To cumplimiento. Palacio 5 de Marzo de 1813.= A D. Josef María Mosmas, Atienza , Marchámalo, Cano, Guevara , Prado, Escudero , En coso de Altamira.” late , Munarriz, Pacheco, Montesinos, Diez , Buey Latre , Lapuerta, Circular del ministerio di Hacienda. Santa Fe , Jaime, Sangenis , López Cuevas , Vega, Falcó, Alcántara, Los Sre…</t>
  </si>
  <si>
    <t>Moso, Francisco</t>
  </si>
  <si>
    <t>Francisco Moso</t>
  </si>
  <si>
    <t>…didos entre tos tenidos generalmente por des ralbat (el Moreno) , teniente coron 1, el teniente D. F. Tarazona ó Díaz, afectos á la buena causa, y entre ellos es uno el mencionado secretario D. Francisco Moso, oficial de la curia eclesiástica, y D. Josef bolera, del ayuntamiento, autor de los himnos de libertad, libertad sacrosan- presbítero, capellán di las comendadoras de Santígo en esta corte; ta: Avanzad, avanzad compañero!, y otros que dan un claro testimo co…</t>
  </si>
  <si>
    <t>Mosquera, Manuel</t>
  </si>
  <si>
    <t>Manuel Mosquera</t>
  </si>
  <si>
    <t>…studia. Se sacó una cop a, cabeza completa; adjudicándole otro estuche de cuarto orden con doe y ahora veremos si se egecutó con cuidado y exactitud. láminas: D. Francisco Araujo, D. Manuel Mosquera, D. Manuel ,,Toda la sala estaba sembrada, como ordinariamente sucede, de obras Ca nbos y Senes, D. Manuel García, D. Eulogio López, D. Cirios de escultura: el planisferio ocupaba la parte del techo que a¡ entrar se Esteves, D. Josef Moreno Montea, D. Josef A…</t>
  </si>
  <si>
    <t>Moszan, Josef María</t>
  </si>
  <si>
    <t>Josef María Moszan</t>
  </si>
  <si>
    <t>…á quien corresponda para su cumplimiento. =sSeñalado de la Real indispensablemente. Asi pues los trabajos de la marina, ó no se empie mano. = En Palacio á 3 de Marzo de i8az. = A D. Josef María Moszan ó deben concluirse; y por lo mismo, considerando muy oportuna coso de Altamisa.” la proposición , debe aprobarse. Hoy 7 del corriente se pagirá en la casa nacional de moneda de £1 Sr. Seoane manifestó que la misma razón que había para dar á diez é dos de la t…</t>
  </si>
  <si>
    <t>Motal, Díaz del</t>
  </si>
  <si>
    <t>Díaz del Motal</t>
  </si>
  <si>
    <t>…medio diezmo destinado á ia dotación del Habiéndose declarado este punto suficientemente discutido, pi culto y del clero: 5.0 Recoger del comisionado especial y entregar fi dió el Sr. Díaz del Motal que la votación fuese nominal; las Coi tes los partícipes seculares los títulos de adquisición y documentos ds que resolvieron que no, y en seguida fue aprobado por 6j rotos contra 38. trata el art. 7.0 del decreto de 29 de Junio, relativos fi los bienes y Ar…</t>
  </si>
  <si>
    <t>Motero, Manuel</t>
  </si>
  <si>
    <t>Manuel Motero</t>
  </si>
  <si>
    <t>…i comandanta primeros de la de Gurrea , subteniente de Hostalrich D. Clemente Saatocildet,y cua milicia activa. {Gaceta del as.) tro caballos, incluso el del teniente de Lusitania D. Manuel Motero. Decreto de lu Cortes sobre el establecimiento de escuela de ente» No puedo menos de elogiar la conducta y valor de esa valiente fianza mutua en la capitales de los distritos militara. {Gaceta dtl 34.) tropa y oficiales, cabiendo la mayor parte de.la (lorie á…</t>
  </si>
  <si>
    <t>Moüisedo, Josef</t>
  </si>
  <si>
    <t>Josef Moüisedo</t>
  </si>
  <si>
    <t>…denunciador. Estando ya señalado día para su remate, acudió este ex poniendo que cuando hizo la denuncia ignoraba el nombre del último poseedor, y había sabido últimamente ¡u fue D. Josef Moüisedo de misqia fcóre|arta su» poderes legalizados, con expresión individual de Bedoya , pidiendo , y se mandó que con suspensión del remate y con dichas cirfcunstancias :.fo* .poseedores de mayo azgos, patronatos y ca* el fin de evitar perjuicios y reciamiciones d…</t>
  </si>
  <si>
    <t>Moum</t>
  </si>
  <si>
    <t>…partes de los dipu atropellar las leyes positivas,/ mucho menos las leyes naturales. Loque tados del Brasil. en esta parte hemos ganado con el sistema constitucional es que ahoEl Sr. Moum se opuso 4 la proposición, manifestando que los pue ra la ley es la expresión de la voluntad del pueblo examinada madura blos de América cuando nombraron sus diputados les digeron: »ld i mente con relación al bien común en el Congreso nacional, y antes era la…</t>
  </si>
  <si>
    <t>Moun</t>
  </si>
  <si>
    <t>…ayuntamiento, que estaré al efecto en las casas ai tuviese un ministro como Pombal, le sobrarían recursos. consisto! iales, todas cuantas armas de fuego y blancas tengan en su El Sr. Moun dijo que era muy triste la posición en que se hallaba poder. el Congreso entie escoger medidas fueites ó suaves pira el Bra.il. Ma s.° Se exceptúen de este providencia todos los individuos que com nifestó que ti se adoptaban medidas fuertes, los presentes y f…</t>
  </si>
  <si>
    <t>Moura</t>
  </si>
  <si>
    <t>…imiento de él discutirlo con la re En seguida tomó la palabra Mr. Delalot 7 apoyó el artículo. flexión necesaria. Habló después Mr. Keratry, v empezó su discurso preguntando si El Sr. Moura, después de manifestar que habia resuelto no hablar en se había cometido nuevamente algún gran crimen contra la religión, esta discusión, pero que habiendo llegado á cierto punto no podía me al ver que el ministerio solicitaba nuevas penas aflictivas 7 pecuni…</t>
  </si>
  <si>
    <t>…z «le tn* taron los Sces. diputados, y en las galería hubo algún rumor.) Resta cuidarlos, no obstante que sus acreditadas tuca y patriotismo nó ucea blecido el orden, manifestó el Sr. Moura que todo diputado tenia une siten nuestra atímulo ni doctrine, no llevarán á mal qne de cuando en entera libertad para decir sos opiniones, y que debía continuar el ora cuaodo la recomendemos, no regla ni arbitrios «le verificar con feliz dor su discurso; y a…</t>
  </si>
  <si>
    <t>…-cho la elección púb: icamente , y da se resolvería hasta la vuelta de Mr. de TattitschcfF. nunca por escrutinio secreto, y dio vattas razones en apoyo de su opm on. imiATEira. Ei Sr. Moura rebatió las razones del preopinante, y dijo que el lelAndres y de Mayo. g'slador d.b a mirar á ios hombres como ellos eran en sí, y no como Lis noticia* de Irlanda san muy tristes. Los condados de Kerry, d bian ser, sm olvidar las circunstancias y las cosí ab…</t>
  </si>
  <si>
    <t>…la discusión pendiente del dictamen de la comisión es ten casi públicamente en vario» E.lado» vecinos ri menester , dij 1, que pecial sobre lo» asuetos poli, co» del Era»i , 7 el Sr. Moura dijo: Ss«so* agentes pernicioso* puedan ser atrojados de Iogiat-rra en el mo Kor presidente: Tnír 7 ¿n.y triste es la situación de un representante mento mismo' que el Gobierno d -»cubi» ei lino de sus maquinaciones. de la nación en ctrcunstanc a, uies como l…</t>
  </si>
  <si>
    <t>…porque era muy probable que este cuerpo íntermedio dad de comerciantes cristianos con surtidos de muchísimo valor* se opusiese con toda energía a lo* progresos del despotismo. Él Sr. Moura d jo que sus reflexiones no versarían sobre la pr'me IMGLATBXZA. ra parle del artículo, porque te hallaba persuadido de que todos con , Lóndrei 16 dt Julio. venían en. su idea, difiriendo únicamente en ti debían ser una ó do* En la obra del doctor OMdcara, in…</t>
  </si>
  <si>
    <t>…s trataron las potencias de fuerzas para hacerlas volver al orden, continúen guarneciendo una pro Europa. vincia extrafia, y dando medios á su rebelde gobierno para desenvolver Ei Sr. Moura expuso: El dictamen de la comisión Diplomática in las locas ideas que se ha atrevido 4 concebir. dica que su discusión tiene dos partes, pues la comisión opina sobre Varios de los Sres. preopinantes han insistido demasiado en que el dos cosas i t.* que debe a…</t>
  </si>
  <si>
    <t>Mourgeon</t>
  </si>
  <si>
    <t>…Rojo da y llegó a la Jamaica el 3 de Junio, pues por la v.a de Panamá se tenian Cacho, Doña Josefa de Gregorio de Torres, Doña Luisa Vicario de noticias en aquel pueblo de que el general Mourgeon vivia, de qile ha Morerfo. Camareras, Doña María Cervar tes , Doña Dolores Abarca, bía batido completamente á los colombianos, de que el batallón de Doña Manuela Cacho , D ña Antonia Bonilla y Val&lt; ro, Dora María Aragón y los pástenos habían rivalizado en val…</t>
  </si>
  <si>
    <t>Mourgeon, Cruz</t>
  </si>
  <si>
    <t>Cruz Mourgeon</t>
  </si>
  <si>
    <t>…absolutamente imposi. Curazao escribían que llegó á Jamaica una goleta inglesa de Portobelo, ble penetrar los misterios de la diplomacia del Diario de ios debates, avisando que el general Cruz Mourgeon batió y derrotó completamen pues aunque no habla de la especie de modificación que quisiera se hite en las cercanías de Popayan al egército de Bolívar, compuesto de ciese en la Constitución española, no es dificil adivinar que si se esta ¡9 hombres. bleciese…</t>
  </si>
  <si>
    <t>Moustier</t>
  </si>
  <si>
    <t>…de término y mo Belzunce que subirse el primero encima de una de ellas, y dirigirla comparación con otro* posteriores, la clase y el sueldo de mucho* em d tu triste destino, y el cónsul Moustier tuvo también que echar mauo pleados , cuya suerte ha variado , y otras noticias relativas á la adminis á un azadón, y empezar «1 primero i abrir la zanja común que había da tración de la Hacienda nacional, muy útiles no soto á lo* salpicados *0 aervir de sepu…</t>
  </si>
  <si>
    <t>Moxó, Salvador</t>
  </si>
  <si>
    <t>Salvador Moxó</t>
  </si>
  <si>
    <t>…lujo que rei ciado por el capitán de caballería D. Mateo Cuadrado , en virtud de naba en Roma; pero al misino tiempo bastarían por sí solos , atendido poder del mariscal de campo D. Salvador Moxó 5 en cuya virtud la ley su estilo y carácter, para persuadirnos que son obra de los griegos , si absolvió 4 D. León Ortega, responsable de dicho impreso , y el Sr. juez por otra parte no supiéramos que esta especie de trabajos se abandona de primera instancia…</t>
  </si>
  <si>
    <t>Moya, Agapito de</t>
  </si>
  <si>
    <t>Agapito de Moya</t>
  </si>
  <si>
    <t>…chos que mismo no debía haber lu¿ar á la formación de causa. Aprobado. adeudaba, se marchó á Poitugal á cargar este fruto; de lo que resultó La misma , en vista de la exposicón de D. Agapito de Moya , ve que la Nación no cobró estos derechas, y sufrió ud perjuicio en que m cino de los Hinojosos del Marquesado (t 11-nca), quejándose de Don •e hubiese extraído aquella porción de sal. Añadió por último , que lo Pedro Moraleja, juez de primera instancia de B…</t>
  </si>
  <si>
    <t>Mozo, Juan</t>
  </si>
  <si>
    <t>Juan Mozo</t>
  </si>
  <si>
    <t>…parte del premio con que se honre la me sión de Premios. Aprobado. moria de esto* héroes la circunstancia de que las Cortes dicten la ins La comisión de Guerra en ia instancia de D. Juan Mozo yotroe, cripción; y á fin de escusar un nuevo decreto cuando llegue la oca sargento primero y tolda doa del regimiento infantería de la Princesa, sión de levantarle 4 los tres héroes comuneros , se dispone desde ahora pidiendo se les remuneren los servicios q…</t>
  </si>
  <si>
    <t>Mqytel</t>
  </si>
  <si>
    <t>…este individuo pendía da dado por las Cortes por el decreto de 29 de Junio: que respecto de la la voluntad del Gobierno. segunda no creia que las expresiones fi que se referia el Sr. Mqytel in El Sr. Cepera indicó que diciéndose en el artículo ptro quedará juriasen al clero; siendo ademas la atributiva de que se trataba no solo ciento de toda pena &amp;e., y asimismo por lo que había dicho el Sr. Ca- favorable fi los partícipes legos , sino al clero…</t>
  </si>
  <si>
    <t>Mr</t>
  </si>
  <si>
    <t>…12,819 &gt; de los cuales nacicrpn muertos 445. El número de nacidos en El día 2 había salido del mismo puerto la gabarra Pantktre, al este año ha sido 27 menosque en 1820. mando del teniente Mr. Maquet, que conduce al Senegal al comandan Matrimonios en la ciudad y arrabales 2340 , esto es, 332 menos te de aquella colonia Mr. Roger. que en 1810. ALBMANIA. TORTVeAt. í.isboa 12 de Febrero. Augsburgo ( Baviera 12 de Febrero. Sesión de Cortes del 9. Por…</t>
  </si>
  <si>
    <t>…llA. -Ciudadanos: Sin otros deseos que los de servir 4 la patria tova Línirti 7 Ae Junio. el honor de encargarme del gobierno político de esta provine a en cir El di» 5 propaio el ministro Mr. Peel en 1» Cámara de lo; Comu cunstancias poco felices. Las gavillas de facciosos que levantaban en va nes la continuación del bilí tobre extrangeros por otros dos años. Entre rios puntos del séptimo distrito militar el fanatismo , la ignorancia varia; razon…</t>
  </si>
  <si>
    <t>…d¡- d'atam-nte i Ver al corregidor; pero como aun no hubiese regr sado de pl.m.tco, y habiendo estos ocupado el lugar que les estaba pr. parado, París, fueron á buscar á su primer teniente Mr. Barbier, el cual c-taba Mon,*ñor Zen, arzobispo de Calcedonia, y secretar.o de la santa con en .'a ca,a de ayuntamiento , adonde se trasladaron en segu da ; perc' al gregación de obispo, y regulare», celebró la misa mayor, que acompa entrar encontraron á los…</t>
  </si>
  <si>
    <t>…bre de 1812__ P. E. b__ Josef García Valladares, oficial tigos rigorosos impuestos por los tribunales—Escriben de Londres qu: primero. en aquel a capital se aseguraba que el nuevo ministro Mr. Canninr Granada. El general VílUcampa se hallaba el día n en Motril, propondría al abrirse el Parlamento la separación de la Irlanda d: la hab ctido logrado conciliar las desavenencias de aquella ciudad- Jos Inglaterra , y el establecimiento de un Par amento…</t>
  </si>
  <si>
    <t>…ad de propor miento para un gran personage ingles (ya hemos hablado otra vez del cionar i los que tienen en los países disidentes de América parte de rumor de que iria á Verona el ministro Mr. Canning ó S A. R. el su fortuna los medios de traerla á España para evitar que sea presa duque de York.). El Emperador de Austria, el Rey de Prusía y el de los disidentes de aquellos países. La comisión se ha propuesto evitar gran duque de Toscana llegaron e…</t>
  </si>
  <si>
    <t>…i- gó- os A-, España , a cual se publicaría muy er br-r-. El Día- - de Ui ladores de las audiencia» del reino; y hab erlo preguntado c! Sr. Abas D.í.itss , que se supone crino del ministro Mr. de Viüe:e (i-! parsi Jas Cortes deb rían ceñirse á los indivduos propuestos por ¡a comi t.clo de .a p-z), se explica ÍJ'/amente en un párrafo sobra «te cirticusión .contestó el Sr. presid nte con ia negativa. Jar , y a pr n tip o dice : » Nuestras cartas per…</t>
  </si>
  <si>
    <t>Mr, Ans.dmo</t>
  </si>
  <si>
    <t>Ans.dmo Mr</t>
  </si>
  <si>
    <t>…bjeto, que leyó el primVr maestro director D.Cayetano Fer de conten r los ataques , no ya de trn conquistador francés, sino de a!- nandez ViHámil Fin-ron ixaminarlos en ari-métlca D. Ans.dmo Mr re gun otro cor.qu stador extranjero.” íos , I&gt;. Dominen Jiménez, D. Sibastian Irnri, D. Jnsff Krlcbs, Don No ve sih - si el gran du jue Constantino tendrá el mando de toda» Josrf Ntiñez, D Jnjqu n Ferrrr . D Juan Diez Valentín , D. Fer las fu-r/ .s &lt;|ii ■ ha…</t>
  </si>
  <si>
    <t>Mraogfurd</t>
  </si>
  <si>
    <t>…. Fsot-su- n .ort-í esta r- v dul corrido, se verá en la prre s.00 P.e rend is. . cía tcsi.-» los stubajadeue» . peto lord itranc .rd la re.cr.e^ o p-: c,;a. Sesun cartas de Odesa lord Mraogfurd ba declarado á la Puerta</t>
  </si>
  <si>
    <t>Mrargford</t>
  </si>
  <si>
    <t>…cupaba van que todas las negociaciones y amenazas tíe 1..» uvu ador • c--&gt;t en atravesar el monte Olimpo, cuyas gargantas se hallaban defendidas nos; aunque ni puede ocu.Curse que lord Mrargford . ui rueva.i-.erte por cuerpos numerosos de montañeses, supo por una multitud de tár de una inlije cía sin Iitn.tcs , y d.rige todos lo, paso» de ij fu r: :. taros enviados al efecto de Sa'ónica, que ¡os griegos habían verificado » Las m.smls razones inducen…</t>
  </si>
  <si>
    <t>Mrndivil, Gregorio</t>
  </si>
  <si>
    <t>Gregorio Mrndivil</t>
  </si>
  <si>
    <t>…Higinio Antonio Lorente, conde de males. la Torre del Fresno , I). Cis.miro Martin, 1). Lorenzo Calvo de Ro Vuelve á repetirse qua el egército ruso del Oeste se conservará en zas, D. Gregorio Mrndivil , D. Antonio Puigblanch, D. Jos:f de sus posiciones; y abara se obsarva que están muy reconcentrados ios San Millan y D. Ramón LI rd. cuarteles generales de invierno del egército del Sur; y todas las tropas Habida la conferencia se declaró por unanimidad habe…</t>
  </si>
  <si>
    <t>Mrrtin-z, Manul</t>
  </si>
  <si>
    <t>Manul Mrrtin-z</t>
  </si>
  <si>
    <t>…e que ios iofi_.es , tanta de Arcllano se presertó 4 ¿I y le arengó en verso. Lo momo h20 el de las Pimpas como dr la cordi.len, se disponm á una ineur-icn ve teniente de la misma D. Manul Mrrtin-z. K1 general rozo mii de nera! en lt„ esmnos de esta provincia: se agrega que vanas hordas da mostraciones de cariño á estos jovenes tuc.c ríales, puliéndoles se reti Cito, salvajes se hal an ya sobre ia margen opuesta del Salado. Tene rasen, pu s no quería ca…</t>
  </si>
  <si>
    <t>MSIant</t>
  </si>
  <si>
    <t>…llos de la Constitución guarna- bren las pasiones mas criminales, especialmente Ta sobib.a y el do ce á Vich. minio absoluto que quieren tener sobre vosotros; hay también malva El general MSIant manda una columna da unos 1 too hombrea en dos y facinerosos que no tienen el menor reparo en tocar con sus ma cargada de perseguir á Mosen Antón, y de proteger á Vich, ai fuere nos sacrilegas y ensangrentadas el sacratísimo cuerpo de nuestro Señor atacado, c…</t>
  </si>
  <si>
    <t>Msr.uel</t>
  </si>
  <si>
    <t>…s D. Paulino Alegría de Quilchano, D. Francisco Saleta , D Manuel de ota catástrofe , que en algún modo ha alcanzado mas ó menos á las de Oiavarría , D. Antonio Celestino Alvarez, D. Msr.uel de la Puen ciudades de Antab, Antakáa, Gesses, Látale.a, Alejandreta , Tirsis, te López, D. Miguel de Espiga , D. Vicente Cantón SaiazaT y D. Ju Mir.'-v;, llama y Mems, como también á Damasco y á la isla de Chi lián Izquierdo. pre. En Mosul y Mardin hace tamb…</t>
  </si>
  <si>
    <t>Msrt, Francisco</t>
  </si>
  <si>
    <t>Francisco Msrt</t>
  </si>
  <si>
    <t>…partido decaído compuesto de los se Sores siguientes: D. Marcos Izquierdo, D. Anice boy daba m,hiu la ley 4 su sucesor, y esu es la historia en general to Lizana, D. Jotef Radon , D. Francisco Msrt&lt;nez Marina, D. Jode esas leyes. tef Reher, D. Lino Campos , D Jotef Larteategui, D. Antonio Ra Es pues preciso no desconocer esto, y tener presente las circunstancias gas y D. Antonio Puigblanch; habida la conferencia te declaró por del tiempo en que se dió l…</t>
  </si>
  <si>
    <t>Mtiars</t>
  </si>
  <si>
    <t>…e -Vim.j , V.toria y España, los Is'uta. Ei comandante de Córdoba con toda sa fuerza sigue el rr.oprovinciales de Avila y Salamanca , y la columna de voiunttt.o» gui- vim: nto del general Mtiars. pjzc .ar.os sosten.dos por esta provincia: cuerpos todos que rivalizan en __ El general Mina ha dirigido al editor del Indicador cata'a'i la s,valor y en entusiasmo. gu:cnt. certa. Zaragoza gyo de Setiembre. br. rd.lor del Indicador cata’an. Escriben de Earb…</t>
  </si>
  <si>
    <t>Mtlans, Francisco</t>
  </si>
  <si>
    <t>Francisco Mtlans</t>
  </si>
  <si>
    <t>…etiembre de 1821.—Se conocerá por derecho , y la obediencia voluntaria de cualquiera autoridad será cri general de la segunda división de este egcrcito al mariscal de campa minal. D. Francisco Mtlans. Esta división se compondrá por ahora de las tro Art. 4.0 « Habiendo cesado la delegación hecha al Príncipe Real, pas existentes en la actualidad en la provincia de Gerona , y en la nombrará el Rey inmediatamente la regencia que ha de egercer esta de parte de…</t>
  </si>
  <si>
    <t>Mtrtel</t>
  </si>
  <si>
    <t>…e les impide 4 los individuos de los ayuntamientos y demas cual opinaba no debia aprobarse el artículo. corporaciones que representen; lo que se quiere es que unos cuantos da * El Sr. Mtrtel dijo que en nada se coartaba el derecho de petición 4 ellos no tomen el nombre de:tal ayuntamiento, y den mas fuerza de Is los cuerpos legahnente constituidos, pues estos podían exponer lo que necesaria 4 estas peticiones. Hemos visto hasta qué punto han lleg…</t>
  </si>
  <si>
    <t>Mu</t>
  </si>
  <si>
    <t>…er ton arreglo á las circunstancias y aü sí encu ntti en d aposición ce hacer estos gastos exiraurumarios. á la utilidad de U patria, que debe set el obj.to de todos los bueno» El Sr. Mu:b apoyo la m Jija, nm:!cstanío qu: -ra abacl-it.in-rta necesario el que se prop •r..o:¡a»;n 10 u os aá Gobierno pera i.evar ade españoles. ... . _ Et Sr. Isturiz preguntó hasta que punto podía descansar el Go lante lo que ya hab un aprobado ias.Cortes. bierno…</t>
  </si>
  <si>
    <t>Mu, Diego</t>
  </si>
  <si>
    <t>Diego Mu</t>
  </si>
  <si>
    <t>…demia , en la clase de ciencias morales y politices, a Don elección de candidatos diese un informe con la mayor imparcialidad, Josef Espiga y Gadea, arzobispo electo de Sevilla; á D. Diego Mu esto no me. pondría á cubierto de que se me creyese desnudo de todas ñoz Torrero, obispo electo de Guadix; á D. Antonio de la Cuesta y ]as pasiones que tiene el hombre; por lo mismo yo me abstendría de Torre, individuo del tribunal especial de las Ordenes mil…</t>
  </si>
  <si>
    <t>…xpediente relativo á &gt;a expedición de las bulas de los guel García de Lamadtid presentó un tratado cronológico del derecho Sres. D Joscf de Espiga , electo arzobispo de Sev.li*, y D. Diego Mu civil, romano 7 canónico español , pidiendo á las Cortes que tenien ñoz Torrero , obispo dicto de Guadix , fue necesario pedir ciertas no do en consideración el mérito de esta obta elemental, sa dignen apro ticias al encargado de Negocios de S. M. en Roma; y…</t>
  </si>
  <si>
    <t>Muanel</t>
  </si>
  <si>
    <t>…ia, advertí que por &lt;1 alto de ¡a sierra y hacia mi &lt;L- rrg rr nto manter a de IL.reos , e, a í.'e T&gt;. r.'cha desa nd a una columna gruesa que amenazaba ihnquearme , mui- V tona a D. Muanel sArvai e, seg-iudo ay-dait: del fg ~..er.:o Iras que por la falda d* ia sierra «ia fíente ha.un un movimiento infact.r a da Mui-¡. , seo úao ts.</t>
  </si>
  <si>
    <t>Müant</t>
  </si>
  <si>
    <t>…de los trabajos, y otro en proporcionada disunc.a, nisterio que ejercer.. y se pr&lt; v;tid:án esca’as de compílente altura.** Aprobado. Decíase el tó d:: pasaia en Barcelona que el general Müant perse Art. 69. « La noche antes de. asalto te doblará la guardia de trin guía vivamente i a retreta de los facciosos fugitivos de Biar. s: que la chera , piocurando ocultar á ios enemigos esta primera disposición.” gavilla d. Ks nbia .3 había intérnalo en Ara…</t>
  </si>
  <si>
    <t>Mueaitetaria</t>
  </si>
  <si>
    <t>…n anoche en Pcnusa, y se creía qur entraría el nv.mo día en el comandante provisional de la compañía de milicia nacional volun ísibastro el grueso de los facciosos. La columna del coronel Mueaitetaria de la Mezquiu D. Antonio Rodríguez Carballal por el oficio qu« gui se hallaba en la misma noche en Antillon , e» decir, unidos coa ios demas, adonde se dirigió tamban atar el be. comandante general.dice .. asi: ... i.t.tft 36. » divinándonos Ayer como á cosa…</t>
  </si>
  <si>
    <t>Mufibz, Julián</t>
  </si>
  <si>
    <t>Julián Mufibz</t>
  </si>
  <si>
    <t>…* funcione* como público que se admitían proposiciones para hacerse cargo de la empresa, diputado, ni en su carrera como gefe político; mandándose por últi y solo se ha presentado D. Julián Mufibz, coa quien se ha ajustado que mo que se hiciese saber al público por medio de la imprenta. Las Cor ae .harán lo menos i so funciones de música y verso en todo el afio có tes quedaron enterada*. mico inmediato, distribuidas del modo que na parecido aaas conven…</t>
  </si>
  <si>
    <t>Mufioz, Diego Fernandez</t>
  </si>
  <si>
    <t>Diego Fernandez Mufioz</t>
  </si>
  <si>
    <t>…ios. Para saber los regidores que de Ovando, D Francisco de Paula Méndez, D. Ciríaco Clavero, D. Joa entre los otros deberán continuar con los nuevamente nombrados se quín Medina, D. Diego Fernandez Mufioz y D. Francisco Montoro pa hará un sorteo , sacando- por ¿1 tos tres que deben seguir de los cua tro ra declarar si había ó no lugar á la formación de cause contra la perso que se hallarán en iguales circunstancias. Art. í.° Las disposiciones na responsable del núm. 3. &lt;W impreso ti…</t>
  </si>
  <si>
    <t>Mufíoz, Francisco Servando</t>
  </si>
  <si>
    <t>Francisco Servando Mufíoz</t>
  </si>
  <si>
    <t>…ré en las mismas En la ciudad da Cidiz, reunidos en jurado de caliCcacion loa Sellosecciones cada tres rimes , autorizada por los respectóos intendentes y res D. Segismundo Moret, D. Francisco Servando Mufíoz, D. Lope ministros de la hacienda militar. Manuel de Luengas, D. Francisco Hidalgo , D. Juan Martínez de Ga* De Real orden lo comunico á V. para su inteligencia y efectos tica , D. Juan Francisco Vidot, D. Antonio Cortés y Coll, D. Luis corr spondicntes á su…</t>
  </si>
  <si>
    <t>Mufioz, Luis</t>
  </si>
  <si>
    <t>Luis Mufioz</t>
  </si>
  <si>
    <t>…a cortant-, s-b: que t do puso dicho s- ñor comandante que á las diez de la noche salieran 30 za lo debe k su patria, y está pronto ¿ mrr por e,ia, n io es io padores al mando del teniente D. Luis Mufioz, i cuyas órdenes mandé mismo por la defensa de la Comt tueíon. Si la fortuna le cb?¡-; rr&gt; este salir 13 nt l cunos voluntarios de infantería y 8 de caballería de esta instante sets millones de realís, el Gobirrno no tendría n-ers .-iad de ciu ud , á los cual…</t>
  </si>
  <si>
    <t>Mufioz, Miguel</t>
  </si>
  <si>
    <t>Miguel Mufioz</t>
  </si>
  <si>
    <t>…San to, D. Josef Gómez Albacete, D. Pedro Alvaro Delgado y D. Joa Mateo de la ciudad de Sigüenza 1 otra de 2750 rs. de capital , número quín Manrique y Manrique. 3658, á favor de D. Miguel Mufioz; otra de 577 rs. y 17 mri. por Lo declararon sedicioso lo* Sres. D. Juan Antonio López, D. Sa rédaos, núm. 4234,4 favor de D. Silvestre de Agustín Alvarsani; otra turnino Lozano, D. Joaquín Ruir, D. Casimiro Martin , D. Lorenzo de 64,83. rs. de capital, númer…</t>
  </si>
  <si>
    <t>Mufioz, Salvador Martínez</t>
  </si>
  <si>
    <t>Salvador Martínez Mufioz</t>
  </si>
  <si>
    <t>…os A 1a de Ca o&gt; de responsjb lidad una exposición de la diputación soldados del tren de la artillería napofitar.a. Les condenados á muerte provincial de Murcia , manife tindo que D. Salvador Martínez Mufioz, son: D. Pedro Minnelli , D. .lose! l.overde . Natal Scid-ta. TA. l-hier»»- 12HO J » ene a ..... y vo» _ s » y COTld’JCidc* 2 ! J ventura Catabro, Josef Candía, F). Josef Lavilia, Antonio Pitaggio, ber tomado partí en 1 s sucesos de 29 de Enero úit.mo; indica…</t>
  </si>
  <si>
    <t>Mugartegui</t>
  </si>
  <si>
    <t>…e E bar. Los fac Bilbao, en cuya persecución se ocupin tres columnas del reg mientode ciosos instruido» sm duda de su salida , atravesaron el cam.no real por Sevilla, al mando del coronel Mugartegui, teniente corones ¿alcedo j Ormsistegui, donde maltrataron y Levaron al a caldr, y entraion ca capitán Urbina. Azpeitia a las 8 de ia noche dci mismo dia 19; y volvieron á saur á ••Mientras, según dijimos en nuestro núm. iij, el comandante del las 10, Jlev nd…</t>
  </si>
  <si>
    <t>Muguiro, Juan</t>
  </si>
  <si>
    <t>Juan Muguiro</t>
  </si>
  <si>
    <t>…; se había J*~r‘tgailri su y obstinados; pero el vivo fuego que les hizo la compañía de granaderos él el mayor aparato guerrero; en el de ayer (¡dia aciago, aunque glo que mandaba D. Juan Muguiro, del comercio de esta corte, el denue rioso por sus resultados!), se vió, no ya el aparato, sino Ja acción do y la intrepidez imponderable *de los cazadores, y el acierto con que mas reñida, en la que triunfó el honor y,el patriotismo beróico de fue servida l…</t>
  </si>
  <si>
    <t>…r D. Juan Palarea sobre las ocurrencias del 7. go qut con la tercera compañía de granaderos, al cargo de su capitán n Excmo. Sr.: En cumplimiento de la orden d: V. F.. pongo en su D. Juan Muguiro, una mitad de cazadme* y (I-escuadrón del Prínci consideración que creyendo muy probable fuese atacada esta heróica vi pe atacase por la derecha, siguiendo ln calle de Afocha, plazuela drl lla por los batallones de puardiat tasurreecicnado* cu. se hallaban en…</t>
  </si>
  <si>
    <t>…Haesca, sin cobo Purga , D Manuel de Rivacoba y Gorvea y D. Mariano Goi duda con el objeto de impedir que lo» facciosos se dir -jan a Navarra, coechea, no habiéndose presentado el Sr. D. Juan Muguiro,que tiene como pudieran intentarlo.-Con efecto , se hallaba á ia mitad del cami hecha por doa veces su dimisión, y los ouos tres individuos por ha no entre estas dos ciudades. Los comandantes Gurrea y Asura estaban llarse ausentes y á largas distancias. Madri…</t>
  </si>
  <si>
    <t>Muguruza, Santiago</t>
  </si>
  <si>
    <t>Santiago Muguruza</t>
  </si>
  <si>
    <t>…permitirlo, bi los d puen Ktgoibar un refuerzo; y habiendo mandado el comandante de tados á Cortes quedan sujetos i la medida de que se trata , puede ser la de este último pueblo D. Santiago Muguruza que se les agregasen 10 que lleguemos á vernos sin representación nacional ; y no se c.ga que de tos voluntarios de esta provincia con el sargento Antonio Josef de aprob ndose mi proposición se concede un privilegio particular ó una Zumeta , salieron al rompe…</t>
  </si>
  <si>
    <t>Mui</t>
  </si>
  <si>
    <t>…ero, d.bia incluír Se han recibido periódicos «xtrangeros, y lo único interesante que sele en el articulo. publican es que en una carta de Petersburgo del 7 d. Mayo se dice qu* El Sr. Mui contestó que i la comisión no le habia parecido bás el día 3 habían salido 'as órdenes para qu: avanzasen tes vgercit- » ru tame claro er articulo, y por lo mismo haba creido suficiente que en sos.— En la república de Haití parece que se ha mandado á todo» iu…</t>
  </si>
  <si>
    <t>Muifi</t>
  </si>
  <si>
    <t>, 3S5 está en su lugar : y por lo mismo apoyaré que e! Sr. prfsidr-nt &gt; quede au Fd Sr. Muifi: Lo p.-.msto qus d.be hacerse es ver si e-.tv decreto ss torizado para que en e sos imprevistos en el reglamento pueda sacar á ha infnn qbío , y ti ripit.t que se cumpla es una amenaza verdadera las Cortes de cualquier apuro en que se encuentren. mente nciO'i…</t>
  </si>
  <si>
    <t>…enta de correos debía correr como todas las del te d bia resolverse según lo qu: sa acordare .n los respectivos presu Estado por el ministerio de Hacienda. puestos. Aprobado. ( El Sr. Muifi manifestó con varias reflexiones qus no debía haber La misma, en vista de una consu ta del Gobierno , relativa al pago inconveniente en acordar lo que proponía el señor secretario del Des de 30b pesos qu: reclamaba D. jua.i Gómez Albacete por lo que re pacho.…</t>
  </si>
  <si>
    <t>MulgtEa, Joaquin di</t>
  </si>
  <si>
    <t>Joaquin di MulgtEa</t>
  </si>
  <si>
    <t>…e la Caceta extraordinaria de hoy.) En la ciudad de Málaga, reunido* los Sres. jueces de hecho Don Luego que S M. concluyó su discurso se levantó el Sr. pr-vdvnte Felipe de Alzu , D. Joaquin di MulgtEa, D. Manuel H dalgo y Ca de las Cortes, y contestó en estos términos. (Véate la 1 Caceta.") sino, D. Josef Ferrmn de Jáuregui , D. Líos d- Carretas y Ramón, H'b endo acabado de hablar el Sr. presidente, se f.vantó S. M., D Pablo Solana, D. Jo*;f García Mocj y…</t>
  </si>
  <si>
    <t>Muller, Ciríaco</t>
  </si>
  <si>
    <t>Ciríaco Muller</t>
  </si>
  <si>
    <t>…M., presenten sus instancias al inten ton las once de la mañana , se me ha presentado el alférez de fragata dente de aquella provincia por conducto de sus respectivos gefes en el D. Ciríaco Muller, ayudante da la columna volante destinada i perse término de un mes que para este efecto te señala. guir la gavilla de facciosos mandada por Escandon , con la noticia de haber amo arrestado con dos hijos que estaban en su compañía , dos No habiéndote presenta…</t>
  </si>
  <si>
    <t>Muller, Josef Cruz</t>
  </si>
  <si>
    <t>Josef Cruz Muller</t>
  </si>
  <si>
    <t>Gaceta de Madrid n.º 146 (extraordinaria)</t>
  </si>
  <si>
    <t>Núm. 146. ( 3 cuarto».1) 77» GACETA. EXTRAORDINARIA DE MADRID DEL MIERCOLES 22 DE MAYO DE 182a. ARTICULO DE OFICIO. El gefe político de le provincia de Lérida D. Josef Cruz Muller ha menes, egecutadoe con el furor y barbarie con que lo han realizado dirigido al Gobierno con fecha i8 próximo pasado el parte que sigue: muchos pueblos, ya usando de las campanas para dar el loque alarman » El comandante general de esta provincia el marisca…</t>
  </si>
  <si>
    <t>Gaceta de Madrid n.º 149 (extraordinaria)</t>
  </si>
  <si>
    <t>…de la patria por su civismo y amor ai orden.” El gefe po'itico de Lérida dice en 19 del corriente lo que sigue: 1 El Sr. comandante general de esta provincia, continuando el parte D. Josef Cruz Muller, teniente coronel de los egércitos nacionales, de las operaciones militares, me dice desde Cervera con fecha de ayer y gefe superior político de la provincia de Lérida. lo que -igue : Uivisi' n de la provincia de Lérida. Desde Tarrega par » Hago saber á todos…</t>
  </si>
  <si>
    <t>…8-° •» Siendo loa curas párrocos loe que tienen la posición mas ven la tranquilidad pública es como sigue: tajosa para destruir las ideas erróneas que te han introducido , por su D. Josef Cruz Muller, teniente coronel de los egércitoa nacionales, conocida influencia, y por los medios positivos y religiosos que tienes y ge fe político superior de la provincia de Lérida. para conseguirlo, me prometo que loa pondrán todos en práctica, ha ■&gt; Para contribuir p…</t>
  </si>
  <si>
    <t>Mulloz, Francisco Javier</t>
  </si>
  <si>
    <t>Francisco Javier Mulloz</t>
  </si>
  <si>
    <t>…crueldad de tus parientes; esto» sobrevivien tario y coacuno de acreedores á los bienes que quedaron por muerte de do i sus familias, aquellos implorando en vano una mirada da com Don Francisco Javier Mulloz, presbítero, se llama á los que se crean pasión en m última agonía; y en fin todos llenando el aire de sur tris con derecho á ellos, debiendo presentarse en *1 término de 60 dias, te* lamentos y de su desesperación. Muchos se tiraban por la ventanas, contados…</t>
  </si>
  <si>
    <t>Multaren</t>
  </si>
  <si>
    <t>…ole de los Gobiernos que había entonces y e! actual. Yo no aseguró que la compañía introducía géneros en Inglaterra , en conse puedo m.nos de corvenir con lo que In maníf-stado el Sr. Multaren cuencia de lo cual el Gobierno español pasó una orden á la compañía respecto de los privilegios concedidos á .a» compsñias de comercio. En mandándole se abstuviese de introducir géneros en Inglaterra, y que hi los países que han sido y son los mas libres de E…</t>
  </si>
  <si>
    <t>Munairiz</t>
  </si>
  <si>
    <t>…en el cato de evitar la circula El Sr. Ojero: F.stoy muy conforme hasta cierto punto con las obser ción del papel-moneda con la compra de fincas nacionales, porque re vaciones del Sr. Munairiz ; pero también veo muy fundado el dictamen sulta «na amortización por este medio; pero debe adoptarse un medio de la comisión, por el objeto que en ti tiene. Parece muy justo y muy por el cual, sin que se crea que las Cortes se entrometen sobre el dere políti…</t>
  </si>
  <si>
    <t>Múñame</t>
  </si>
  <si>
    <t>…ara exceptuar de esta regla i los secreta Continuó la discusión sobre la rebaja d: sueldos de los empleados. rios del Despacho y i los empleados en el cuerpo diplomático en paí El Sr. Múñame: Ya se han expuasio las razones que ha habido para ses extrañaros, proponiendo el sueldo de iqo8 rs. cada año para fio proponer e. máximum, y que cuando se estableció anteriormente, aquellos." fue &gt;:n circunstancias tales que deb a producir mayores economías…</t>
  </si>
  <si>
    <t>…oponer una medida particular para cada pro Gobierno el oficio con I* exposición que babia remitido adjunta. vincia, pues en cada una habia diferente costumbre, y solo sí dictar El Sr. Múñame tomó la palabra, y dijo que la desgraciada muerta una providencia general, como lo habia hecho. del coronel D. Juan Josef Cruchaga, deque hablaban los periódico*, £ Él Sr. Gomes Becerra: Creo que la comisión Edesi4*tica debería manos de una partid* de 14 facc…</t>
  </si>
  <si>
    <t>Munar-</t>
  </si>
  <si>
    <t>…palabra acantonamiento se que debía aprobarse. Aprobado. han desvanecido algunas dudas que tema; sin embargo voy á presentar Se acordó que no pasara é la comisión una adición del Sr. Munar- todavía alguna observación. Los «pañoles (dice el artículo) que come riz al proyecto sobre sociedades, i fin de que estas publicasen por me tan delitos de sedición quedan sujetos al fuero militar. Parece que en dio de los periódico* , ó como lo hacia la de S.…</t>
  </si>
  <si>
    <t>Munariiz</t>
  </si>
  <si>
    <t>…to de su proposición no era mas que Se aprobaron sin discusión los artículos t.° y t.°; y leído el g.°, dijo el que los acreedores de estas compañías comprasen con sus créditos el Sr. Munariiz que no debía darse facultad á los accionistas de la com fincas en cantidades pequeñas, pues que de esto resultaban muchos be pañía de Filipinas para que sacasen estos créditos y ias acciones en ca neficios á la Nación, y que se debía prohibir que las corporac…</t>
  </si>
  <si>
    <t>Munarnz</t>
  </si>
  <si>
    <t>…ue nos hagamos carpo del poco t empoqu falta pira conc«u;r»e la le mento , por 64 v- tos contra 55. gislatura , y qu* si im» ve discuten esto» &lt;M fu dientes ahora , se quedaran El Sr. Munarnz hizo varias reflexiones para manifestar que ant es de asi hasta el año que viene. proceder las Cortes á la aprohaciun de la proposición que se discutía, El Sr. presidente manifestó que lie Cortes podrían resolver sobre deberá pasar esta .1 la cont nnn que ent…</t>
  </si>
  <si>
    <t>Munarrir</t>
  </si>
  <si>
    <t>…per dia se inscr biese su nombre en el salón de las sesiones. seguidos , siendo uno de ellos el vizcon íe de Huerta, que ha sacrificado Quedó aprobada la siguiente proposición del Sr. Munarrir : » Pido tus intereses por la causa de la liben id. Al nti»m &gt; tiempo se ha visto á las Cortes se sirvan resolver que la comisión especial propuesta por poner en lib rtaJ a muchos acusados jusiam ntc de compiladores con el Sr. d putado Ferrer sobre las moneda…</t>
  </si>
  <si>
    <t>Munarriz</t>
  </si>
  <si>
    <t>…constituye la legitimidad El Sr. Meló manifestó que el decreto que había cirado el Sr. pre de los poderes. opinante. no estaba vigente , como podía verse de la contestación que El Sr. Munarriz dijo: El egercicio de las poderes te suspende cuan dió la Diputación permanente de las últimas Cortes á un ohcio del se do se suspende el derecho de ciudadano, y si yo cometiese un delito ñor ministro de la Gobernación de la Península, la cual se mandó in fot…</t>
  </si>
  <si>
    <t>…- sus facultades; y aun he visto mas, qiie el Gobierno hadado que se me ha confiado, cuando en l.° de Marzo se dirigió ya una or •probación á este conocimiento. Fn el lenguage del Sr. Munarriz ad den relativa á esta materia , que Ijs Cortes si gustan podrán oir ; peta vierto que llama eternos á los principios de la obediencia: expresión los jueces mismos serian responsables ante la Ky si dejasen de se ut muy impropia, porque Ja obediencia es una co…</t>
  </si>
  <si>
    <t>…*&gt; No habiendo presentado las cuentas de los siásticas.” años 18 y 19 en los seis primeros meses del 20 el Sr. tesorero general, No se admitió á discusión la siguiente adición del Sr. Munarriz á pido á las Cortes que inmediatamente exijan del Gobierno tas causas las proposiciones aprobadas del Sr. Canga: &lt;&gt; lJido á las Cortes se sir por que no se han rendido dichas cuentas, y que las presente en el ter van acordar que no se admita á discusión ningu…</t>
  </si>
  <si>
    <t>…á otros empleados. En 21 de mento.” Pero su autor la retiró. Abril de aquel mismo año se acordó por una Real ord.n que se hicie No se admitió á discusión la siguiente adición del Sr. Munarriz se una visita en la tesorería general, ia cual intervino lodos los p&gt; á la proposición que sobre este asunto habían hecho varios Sras. dipu peles, y D. Domingo de Torres quedó despojado de el.os, y sin poder tados : n Para la mayor observancia del art. (29 de…</t>
  </si>
  <si>
    <t>…terio francies, y fte bajo pretexto de sanidad refriera apruebo, y creo que las Cortes «tea en el mismo caso. may i menudo la trapa de la frontera. Yo desearía, porque lo consi E. Sr. Munarriz man festó que el princ'pal foco de todos loa acon dero de absoluta necesidad , que la guarnición se quedase siempre en la tecimientos que se. ex per i mentaban no estaba ni en Pamplona m en cindadela; jr qu* en vista de la conducta que ba manifestado aquella…</t>
  </si>
  <si>
    <t>…án obligados i deposi Discutido el punto suficientemente, se aprobó el art. a.® con la aditar en la impienta’tus manuscritos, ó bastará que dejen un egemplar cipn propuesta por el Sr. Munarriz, manifestando la comisioo que lo firmado y rubricado por la persona responsable del escrito? Saludan. redactaría según ella. Deberán dejar un egemplar impreso firmado y rubricado. Duda tercera. ¡ Habrá lugar á recusar por parte de los denuncian El Sr. Munarri…</t>
  </si>
  <si>
    <t>…s opi La misma, en vista de la exposición de la diputación provincial de nó que debía aprobarse el dictamen. Córdoba acerca del modo de satisfacer las dietas de los diputado» á El Sr. Munarriz dijo que si los muscos habían adquirido aTgun de Lurtes por aquella provincia, y manifestando que el modo mas conve recho á ser socorridos y no lo estaban , debían pedir en justicia. niente de satisfacer por ahora dichas dirías era el exigirla» de los fon Se…</t>
  </si>
  <si>
    <t>…ser fabricantes ni im tierra de realengo en que había hecho aiguuot gastos, opinaba que con presores. arreglo á los decretos dados sobre el particular debía ser preferido en la El Sr. Munarriz dijo: Me parece que la comisión no ha empezado propiedad de las citadas ocho fanegas cuando se verificase el reparti por donde debía ; la empresa del Diario ea en el estado actual ruinosa miento de los terrenos expresados. Aprobado. para las Cortes, y de cons…</t>
  </si>
  <si>
    <t>…concediese su jubibeion con el sueldo que corresponda á sus d El -Sr. Vaidés ( D. Dionvio) apoyó el articulo. tinguidos méritos y servicios: con cuyo motivo, y el de ctros cxr El Sr. Munarriz manifestó entre otras cosas que la catedral de dientes en que varios empleados piden señalamiento de sueldo por d-sBarcelona era parroquia de todo el obispado, y por lo mismo acu t¡nos que han servido al tanto por ciento, proponía el Gobierno se dían á ella v…</t>
  </si>
  <si>
    <t>…abilidad que pesa sobre é¡. lie do cometer el poder judicial , y se vera de este rood ' que la facultad decimaquinta de las Cortes y el decreto de 24 de Marzo del año da dicho. hl Sr. Munarriz se opuso al articulo, manifestando que no se debia 13 están en su fuerza y v igor. aprobar por la latitud que en el pretendía darse a la (acuitad que retida El Sr- Munarriz ha dicho muy pocas cosas en azi coacepto qu*</t>
  </si>
  <si>
    <t>…Sr. Canga manifestó que había muchas comisiones en el día que festando que d-.bia desaprobarte el articulo. podían estar desempeñadas por un número mis corto de individuos que El Sr. Munarriz le apoyó , manifestando que los principal» argumen el que las constituía: que habla cesantes con 309 rs., que por solo :&gt; stas que contra él se hacían te fundaban en que la etcasez de numerario tir á una com sion disfrutaban el de 6o9 rs. Por último añadió qu…</t>
  </si>
  <si>
    <t>…Lancas- ministro en Roma , y que la misma' comisión se había convencido ter á leer, escribir y contar.” de esta necesidad; y establecida esta base no se necesitaba dar otra con El Sr. Munarriz manifestó que no debia decirse que se adoptase testación á las observaciones que acababan dé lucera;. precitamente el método de Lancaster, sino aquel que te creyese mas El Sr. González Alonso, en comprobación de lo que habia dicho conveniente, y que te establ…</t>
  </si>
  <si>
    <t>…los derechos y electos legales que tenga, Se mandó pasar £ la comisión á que correspondía una proposición mientias que reclamada por otro que se considere verdadero y legítimo del Sr. Munarriz, relativa á que se concediese un afio mas del tiempo ducfio, e¡ juez no reponga á este en la posesión. Si la Nación se cree que se proponia para que los particulares de América que tuviesen cré con derecho á que se le incorporen los señoríos territoriales y s…</t>
  </si>
  <si>
    <t>…día pagar blico, la cual, en vista da la exposición de Don francisco López de los , se manifestase en quiebra. Qmaña y otros «trios individuos soben la compra de bienes naciona El Sr. Munarriz observó que este establecimiento estaba liquidando les, manifestaba que para dar su dictamen necesitaba tener á ¡a vista sus cuentas. el expediente judicial y gubernativo instruido por la junta nacional El Sr. Isturiz repuso que supuesto esto, la comisión no…</t>
  </si>
  <si>
    <t>…e se previene en el artículo precedente, subrogándose el recono no temiera extraviarse de ia cuestión. cimiento del título á la aprobación de la cuenta que en él se previenen.” El Sr. Munarriz contestó que el Sr. Isturi.r llamaba equivocadamente Aprobado. privilegio á un permiso concedido á la compiñía de Filipinas para in be aprobó el dictamen de la comisión de Poderes acerca de los troducir 40 millones de reales en géneros asiáticos por la antic…</t>
  </si>
  <si>
    <t>…da lat actuales Cortes, habiendo • SS.1UL y AA. continúan sin novedad en tu importante salud.” examinado el expediente, te confounsba con este dictamen. Minittirio 4t Hatitnd*. El Sr. Munarriz dijo que ayer había manifestado ya que las conce siones de esta naturaleza no debían considerarle como privilegios, y tf De orden del Gobierno se avisa á los navegantes que estando ya como un permiso; y que una prueba de ello era la misma solicitud del coloca…</t>
  </si>
  <si>
    <t>…isión presentase el proyecto de decreto que proponía de* cánones y en los decretos de las Co: tes* bia verificar el Gt-bierno; á lo cual contestó el Sr. Valdés (D. Caye Y otra del Sr. Munarriz, relativa á que la comisión de Premios pre tano), manifestando que la comisión estaba demasiado recargada de sente en todo el mes de Marzo del año pinruno un proyecto en que asuntos, y que nadie mejor que el Gobierno podía hacer esto. circunstanciadamente se…</t>
  </si>
  <si>
    <t>…uiente su)ctos á las indcmnaaciones A la com’sion de Milicias nacionales se mandaron pasar una adi de que trataba el decreto de 2y de Junio; tu cuya vírtu.1, y sin n.-eesición del Sr. Munarriz al párrafo 8.° del art. 6/ del reglamento para dad de nueva declaratoria, podía mandarse al Gobierno se diese cum dichos cuerpos; y otra del Sr. Arias al art. 8.a del mismo. plimiento al estallo decreto, siu hacer excepciones que retardasen la La comisión de…</t>
  </si>
  <si>
    <t>…us caciques. : Dónde está pues esta tiranía y ambas partes. Por estas razones apoya ta medida que se discute. este exterminio: Sabido es que en el siglo xvr el Gobierno español El Sr. Munarriz manifestó deseaba saber cual fuese en esta parta mando á uno de los vireyes de Mítico cu.tirar moreras, y radicar la la opinión del Gobierno. cria de gusanos de seda. El Perú se cubrió de viñas y olivares, aunque El Sr. secretaiio de Estado: La cuestión de qu…</t>
  </si>
  <si>
    <t>…ey moro literatos ta to á ia obra original del célebre Blair, como al feliz y de Granada, con cuya asistencia estuvo un dia á punto de ser entrada bien desempeñado pensamiento del Sr. Munarriz, quien reduciéndola á la ciudad. Los cordobeses se defendieron heroicamente; pero tal vez se un volumen menor, sin separar de ella lo mas esencial ,1a ba puesto al hubieran rendido sin la circunstancia que refiere nuestro célebre alcance de las facultades de…</t>
  </si>
  <si>
    <t>…o, m perjudicial, y si se considera bajo el aguado es inútil, bierno, á que te referia el anterior oficio, había otros dos formados por por lo cual de ningún modo es adoptable. El Sr. Munarriz apoyó las rozones alegada en favor de la proposidiferentes comisiones, y deseaba saber si U discusión debía cefiirte so lamente al presentado por el Gobierno, ó estaba la comisión en líber* ción por al Sr. Jaima , a Hediendo que jama» 'había sido tu intención…</t>
  </si>
  <si>
    <t>…tras existan las circunstancias actuales, y no es-de esperar que el minis prometida. terio actual abuse de ellas. El Sr. Casas: En asunto tan importante hab’a resuelto no tomar El Sr. Munarriz : La Constitución , Señor , no seria tan digna del la palabra ; pero como la cu .si on es ya sobre que esta medida no está afecto de los buenos españoles ni tan idolatrada de mí , si no asegura reconocida en la Cornt tucion , ¡a he tomado cu contra. se de un…</t>
  </si>
  <si>
    <t>…osas qu. se necestan para la salud de la patria en ciai ni ¡iicfi.az , y de Coi si.u. r.t que e» adm s:bie. las crcur.stancias actuales; que esta morosidad produce males que ci El Sr. Munarriz: Esta m.d da creo qu; n &gt; pu-d; apnbirs-, pora tan al alcance de todo el mundo. &lt;)ue tal como esta la con. deio mgusts. t.. conundar.t: de una divi Es cierto que en las c udades en que abundan los principios de ci sión, á pesar de tu v e .me a, pu-d" s;r scpr…</t>
  </si>
  <si>
    <t>…ra se escudaba con los auxilios que en el segundo , y entonces no le tendrá cuenta su morosidad. Ha del cielo; pero esta se escuda con lo* auxilios de los enemigos de las dicho el Sr. Munarriz que no estando una provincia declarada en es libertades de los pueblos. Sefior, la santa alianza (ya lodija otro dia) tado de guerra , parecía violenta esta medida; y yo digo que el pue e* indispensable destruirla con otra santa alianza que ae diga: santa blo…</t>
  </si>
  <si>
    <t>…no era regular se Se preguntó si se admitía 4 discusión, y sa acordó que no. las hiciese velar hasta tan tarde. Se mandó pasar 4 la comisión una proposición de los Sres. Gener, El Sr. Munarriz dijo que no encontraba conveniente se autorizase Suarcz y Varéis, relativa á que las medidas que acababan da aprobar la reunión desde una hora después de amanecer hasta media noche, las Corles no te hiciesen extensivas 4 las islas de Cuba y Puerto-Rico, pues…</t>
  </si>
  <si>
    <t>…el detenido no haya de ron derrotados por la valiente milicia de dichos pueblos y los caza ser en la cárcel. dores voluntarios de Calatayud en las cercanías del convento de Sun El Sr. Munarriz pidió que se leyera el art. 188 del código penal, y Cristóbal de Alpartir, en la provincia de Calatayud. el Sr. Afonzo queae leyesen los attículos siguientes del mismo ca Las noticias de Cuspe con fecha del 14 se reducen á que no habis pítulo. novedad en toda…</t>
  </si>
  <si>
    <t>…uida de antemano en ellas, cuidará de que se hagan bajo gento , 7 alguno* capítulos de las leyes penales.” tu dirrccion en tiempo oportuno, con los ingredientes embarcados para El Sr. Munarriz: Estoy muy conforme con el objeto que se pro el efecto; 7 faltando estos por cualquier incidente, podrán ejecutarse pone este artículo; pero no puede fiarte á cualquiera la explicación las fumigaciones con un poco de pólvora humedecida , ó con agua de de los…</t>
  </si>
  <si>
    <t>…o público de «i fue y es que el gefe político y comandante general de que se trata no pue ron ó no cu padot. den asistir é asta acto solemne, porque median los impedimento* qua El Sr. Munarriz: Quisiera qu# •• redactase el artículo de otro ha manifestado. Creo que con esto quedará satisfecho el Sr. Adan. modo con 'as mismas palabras, diciéndose, » la diputación provincial! Antes de concluir no puedo menos de decir que ha oido con el ma •1 ayuntamie…</t>
  </si>
  <si>
    <t>Munarriz, Josef Luis</t>
  </si>
  <si>
    <t>Josef Luis Munarriz</t>
  </si>
  <si>
    <t>…s por su valor, por su Compendio de las lecciones sobre la retórica y bellas letras de Ha fortaleza , por el amor á la patria y por otras mil virtudes cívicas, y en go Blair , por D. Josef Luis Munarriz: segunda edición. Se hallará en este caso seria preciso dejar en olvido á algunas de las muchas qu: en la librería de Perez á so rs. en pasta. En la misma librería se halla los t lempos modernos, ya sea en España, ya en otros pais.s de Europa, rán de venta la…</t>
  </si>
  <si>
    <t>Munarriz, Josef Luis Ruiz</t>
  </si>
  <si>
    <t>Josef Luis Ruiz Munarriz</t>
  </si>
  <si>
    <t>…í; y con Navarra. La comisión , en vista del acta de esta provincia y de mucha mayor razón podían retirarse los electores de partido para con ios poderes presentados por los Sres. D. Josef Luis Ruiz Munarriz, ferenciar entre sf en virtud de las dudas que se opusieren á consecuen T). Fermín Alvarez de Enlate y D. Miguel Escudero, diputados por cia de la pregunta del presidente mandada por la misma Constitución, dicha proviucia, sin embargo de que ro constaba en el…</t>
  </si>
  <si>
    <t>Munarriz, Juan</t>
  </si>
  <si>
    <t>Juan Munarriz</t>
  </si>
  <si>
    <t>…sar este expediente á la licia nacional local, y que asimismo se exigiese la responsabilidad al comisión de casos de responsabilidad para que manifieste su parecer.** efe político D. Juan Munarriz y al gobernador de aquella p'.aza Don El Sr. secretario de la Guerra expuso que el Gobierno consideraba 5 oaquin Ruiz de Porras; al prime’ro por las prorid.ncias que había da li actual planta de la secretaría de su cargo como mas costosa y sujeta do, y al seg…</t>
  </si>
  <si>
    <t>Munarrz</t>
  </si>
  <si>
    <t>…vista de la solicitud de Doña Josefa dei Dos de Mayo. Las Cortes qu-daron enteradas. Baquero, vecina de begovia, pa-a que se conceda una pensión a la h ja he ley.» una adición det Sr. Munarrz á las propcs'ciones presenta de un o6o»l de artillería que manís en el hospital de Valencia después das por el hr. Canga para la erección de un monumento o panteón ra de muchos afios de servicio, opinaba que por la penuria del erario no cional, en la que desp…</t>
  </si>
  <si>
    <t>…s sean respe Cortes de lot motivos que haya tenido para ello.” tados y obed.cido» está usada en la instrucción de 1813. Dice el señor A consecuencia de una observación que hizo el Sr. Munarrz al Morroo que la obediencia corresponde á las leyes tegua la Constitu tiempo de votar se varió la clausula que dice : podrá el Gobierno reunir ción ; pero como lot mandato, de lot gefe* político* deben *er con ar temporalmente el mando político al militar &amp;c.…</t>
  </si>
  <si>
    <t>Muñatones, Casilda</t>
  </si>
  <si>
    <t>Casilda Muñatones</t>
  </si>
  <si>
    <t>…a Oñatc , que á continuación se expresan: uno situado en las alcabalas da pense la había precedido recorriendo vuestros pueblos para persuadi Granada de 130,310 tnrs. en cabeza de Doña Casilda Muñatones, su ros que ellas os venían á traer todas las calamidades de la guerra , los f; cha 15 de Enero de 1578: otro en ei primero medio por 100 de Ma resultados deben haberos demostrado que este es uno de los errores drid de 19,751 mrs. en la ds D. Iñigo Velez de G…</t>
  </si>
  <si>
    <t>Munich</t>
  </si>
  <si>
    <t>…ió la Hungría, adquirió á Id. al del Ferrol para la* anticipa Candía y Chipre; y aunque las victorias del príncipe Eugenio y del ciones de la goleta Galga............. *4.650 feld-mariscal Munich hicieron vacilar el edificio de la potencia oto Por continuación de la paga princi mana, lo dejaren sin embargo intacto; pero de 50 años á esta parte piada á librar en el mes anterior i va menguando la media luna: una nueva potencia la acomete con to los que…</t>
  </si>
  <si>
    <t>Muniera, Pedro</t>
  </si>
  <si>
    <t>Pedro Muniera</t>
  </si>
  <si>
    <t>…te.rcjosefMel- sef Félix Ezcurra, D. Hipólito Gregorio, 1&gt;. Joaquín de Pueyo, Don evnr Prut, dputado Sícnuna-Fran-sco Benito , diputado secreta- Manuel Cantin , D Agustín Alcaide, D. Pedro Muniera, D. Joaquín z¡o.=Por tuno ■njn'imoi 1 lod.s o» tribunales, justicias, gefes, go Rentue, D. Mariano Antonio Laborda y D. Francisco Lansac, qun bernadores y demás autoridades, asi civiles como militares y eclesiás declararon por unanimidad de votos haber lugar…</t>
  </si>
  <si>
    <t>Muñiz, Narciso</t>
  </si>
  <si>
    <t>Narciso Muñiz</t>
  </si>
  <si>
    <t>…tino por continuos esfuerzos y manejos de una políti Plateada i O. Claudio Viauesa, id. ca astuto y seductora, cuyo objeto ea deslumbrar con lisonjeras y ve Alca zar de S. Juan i D. Narciso Muñiz, id. nas apariencias al pueblo, intrigar en las elecciones, y ganarse siempre Orense á D. Camilo Mezquina, sargento atjrM graduado de tea un partido preponderante en el cuerpo legislativo. No tiene medios efi Siente coronel. caces para conseguirlo tino los de…</t>
  </si>
  <si>
    <t>Muñlz, Gerónimo</t>
  </si>
  <si>
    <t>Gerónimo Muñlz</t>
  </si>
  <si>
    <t>…ales diano». Se mente era menester consultar á un letrado. mandó quedase sobre la mesa. El Sr. Arguelles observó que si el comisionado especial habia de Otro sobre la solicitud de D. Gerónimo Muñlz, presbítero, en la ser el único responsable en la mataría, tendría buen cuidado de consul que manifestaba su adhesión al sist.-ma constitucional, y tu» iré'ito- y tar los puntos dudosos con quien mejor le pareciese, y no se le podía Servicios. La comisión era…</t>
  </si>
  <si>
    <t>Muñoz, Bartolomé</t>
  </si>
  <si>
    <t>Bartolomé Muñoz</t>
  </si>
  <si>
    <t>…formación de cauta p-rnumerario del regimiento de caballería de Borbon, con 820 rs. al ANUNCIOS. mes. Reglamento interino que el Rey se ha servido aprobar, en el cual Alcafiíz al capitán D. Bartolomé Muñoz, segundo ayudante del se prescriben las obligaciones qué deberán observar los empleados en el regimiento infantería de la Reina, con 620 rs. ramo de la Hacienda militar desde el dia a.° de Julio de iSaa , y bu. Baeza á D. Francisco Moreno, segundo ayudante de…</t>
  </si>
  <si>
    <t>Muñoz, Diego</t>
  </si>
  <si>
    <t>Diego Muñoz</t>
  </si>
  <si>
    <t>…cibido por extraordinario noticias de Lóndres del Juicio de jurados. 14. Los periódicos solo alcanzan hasta el 14, y no publican este nom D. Cristóbal de Ronda , como apoderado de D. Diego Muñoz y bramiento como positivo; pero nadie dudaba de él. El mismo Courier , Pereiro, vecino de Ciudad Real, denunció al Sr. alcalde constitucio á quien no gustará mucho este nombramiento, se ve precitado á decir; nal D- Miguel de Nájera un artículo inserto en el D…</t>
  </si>
  <si>
    <t>Muñoz, Ignacio</t>
  </si>
  <si>
    <t>Ignacio Muñoz</t>
  </si>
  <si>
    <t>…a necieron á mi» órdenes mientras duró -1 riesgo, 3^ como también lo menor desgracia. Los rebeldes se. llevaron presos los mas pudientes da estuvieron á las del general del cuerpo D. Ignacio Muñoz (que como la villa; y después de haberles exigido, según se dice, una fuerte con director del museo militar se halló constar temerte entre neutros) va tribución , lea pusieron en Lbertap, saqueando por último la casa del rios oficiales de ingenieros y de mari…</t>
  </si>
  <si>
    <t>Muñoz, Isabel</t>
  </si>
  <si>
    <t>Isabel Muñoz</t>
  </si>
  <si>
    <t>…o al sistema constitucional. co Manuel de Ortega, vecino que fue de dicha ciudad , del que hoy se £1 juez de primara instancia de Veldemoro D. Francisco Herrare reputa la referida Doña Isabel Muñoz última poseedora, peía que faltó al cumplimiento de sus obligaciones. dentro del término de dos años, coñudo* desde el 3 de Octubre de D.cr tó la prisión de D. Antonio Sánchez, su criada Teresa* 1822 , concurran á acreditar su filiación y derechos tn dicho ju…</t>
  </si>
  <si>
    <t>Muñoz, Joscf</t>
  </si>
  <si>
    <t>Joscf Muñoz</t>
  </si>
  <si>
    <t>…uestra felicidad , y el mas grande entusiasmo y decisión por sostener la diputación provincial de Salamanca sobre la qu ja dada por D. Fran esta y vengar tamaño atentado. El mismo D. Joscf Muñoz hizo poner cisco Hernández contra el alcalde de Viliarino D. Vicente Tapia por •n el sitio de la lápida el correspondiente letrero, mientras se coloca Jiaberic puesto preso con grillos, sin tomarle declaración alguna hasta interinamente una lápida de madera.…</t>
  </si>
  <si>
    <t>Muñoz, Josef</t>
  </si>
  <si>
    <t>Josef Muñoz</t>
  </si>
  <si>
    <t>…o ti de Junio. Beoabarre. Hacia tiempo que una gavilla de ladrones, capitaneada por un tal * Mortila 8 di Junio Charpas, tenia asolados los partidos de Ta’averj y Puente del Arzeb Don Josef Muñoz de la Torre , teniente coronel mayar del regi po, en cuyos fragosos montes se albergaba y guarecía , ¡ pesar de todas miento de Fernando vi;, y procedente del d'str to mil lar de Alca ¡as providencias de nuestro gefe político. Por fin el día g por ¡a ma ná ,…</t>
  </si>
  <si>
    <t>…neral su marcha, prolongándose do Angel Jiménez , que fue herido después de matar á dos facciosos. por la falda del cerro, y antes de llegar al paralelo de Biosca descu- Al capnan D. Josef Muñoz , fuertemente contuso , á las compañías dt br ó otras columnas enemigas , que protegidas pot loo caballos poco granaderos y cazadores al mando de sus capitanes D. Francisco Dalman mas ó menos, te esperaban en contacto con las otras de la montaña, ¿en y ü. Ant…</t>
  </si>
  <si>
    <t>Muñoz, Pedro</t>
  </si>
  <si>
    <t>Pedro Muñoz</t>
  </si>
  <si>
    <t>…gracia , ó porque los dueños de ios Qrien tuviese noticia del paradero de Doña Micaela N , viuda del •Mgenadoe hayan sucedido en ellos , 300 rs. 11. Por la carta l.mitada temente coronel D. Pedro Muñoz, sargento mayor que fue de Ja ciu pora obtener renta eclesiástica ]9 rs. xa. Por las legitimación * i hijos dad, ¡a de Pamplona , ó de sus hijos te servirá avisarlo al coronel Don •epáteos 400 rs. ij. Idem i bastardos zoo. 1 j. Idem por las omina Francisco de…</t>
  </si>
  <si>
    <t>Muñoz, Salvador Martínez</t>
  </si>
  <si>
    <t>Salvador Martínez Muñoz</t>
  </si>
  <si>
    <t>…decreto de las Cortea de 6 de No puesto preso, por medio de su comisionado D. Pedro Vivanco, al viembre de 1810 sobre que los nombramientos de empleados de Ha diputado provincial D. Salvador Martínez Muñoz; y en vista de todo cienda y demas civiles se extiendan en papel sellado, se amplía á lo* lo qu-* resultaba del expediente opinaba que hab a lugar á la formación eclesiásticos, de cualquiera date que sean ; pero para que con respecto 4 de causa contra los ref…</t>
  </si>
  <si>
    <t>Munz</t>
  </si>
  <si>
    <t>…iscusión del art. 1.° de los adicionales á la Consti cumbir á la tiran-a y despotismo ; en la inteligencia de que os dará el tución para el Brasil, y habiendo tomado la palabra el Sr. Munz La •gemp o vuestro comandante mi! tar.=Pablo de la PiF.a." vares, dijo qu- con declamaciones fuertes é injuriosas n*da se adelanta __(Juesada se ha metido otra vez en Aoiz, donde estaba el :i. H.ro ba , pues estas solo producían odio ó desprecio; y el d.-spreco…</t>
  </si>
  <si>
    <t>Mur</t>
  </si>
  <si>
    <t>…os los motivos que le gssea por 69 de 97 , d Sr. Lilio por 69 de 96 , el Sr. Canga Argitelle* habían animado á él y á sus compañeros pira hacer esta proposición, por 73 de 94 , el Sr. Mur6 por 69 de 93, *1 Sr. Garoz por 74 da 97, prescindiendo de las personas, porque solo atendían á las cosas. y el Sr. Fernandez Cid por a2 de 103. No se admitió á discusión por óo votos contra 58. En seguida se leyeron los artículos 54 y 5 5 del reglamento y el…</t>
  </si>
  <si>
    <t>iRot El Sr. Mur» dijo qiK la milicia loca! por tu reg’am^fitr t-rua dra* las plazas de ttreer ord‘n y de lo int ríor xelíante orden de, Go irlíaiados en qu: podía loxir ias armas, y ds con» gu.-.nte -.probaría bierno. " el artículo si-inpr - qu-.- ia comisión conviniese en c…</t>
  </si>
  <si>
    <t>Mura</t>
  </si>
  <si>
    <t>437</t>
  </si>
  <si>
    <t>…al ar ,,Séptima. Los cesanti s y jubilados que sirvieren en juntas ó desti tículo &gt;40 de la Constitución. nos pot cuin.sion, lo harán por el suelde, ó haber que les correspondí El Sr. Mura, cmío de ¡a comsion , dijo: Que al emper»-se 3 tratar conio cesantes. d:I im-p jrtantís ino negudo de la Hacienda no podía menos de ac záctava. Se suspenderá la concesión de jubilaciones y r. tiros hasta darse efe ¡as palabras que un cc-eb-e p:.b icista ingle…</t>
  </si>
  <si>
    <t>Murcia</t>
  </si>
  <si>
    <t>…0,495. 774 desde la publicación de este anuncio en la greta. Málaga................ ................... 290,314. 774 Se suplica á ia persona que tenga noticia del fallecimiento de Don Murcia.................................... 152,058. 672 - Mateo Lambía, gob.mador en 1 &gt; Zrnguangua, y del estado de su t ¡. Orense..................................... 300,870. 801 lamentaría, la comunique á D. Manuel Sancho, poital de manguite Oviedo..............…</t>
  </si>
  <si>
    <t>Murfi</t>
  </si>
  <si>
    <t>…, ni habia tampoco acaecido, y por lo mismo dijo que el dicta* puede ser un motivo para anular dichas elecciones. mea estaba bien fundado, y que lo apoyaba en todas sus partes. El Sr. Murfi: Creo que de no aprobarte el dictamen de ia comi El Sr. Buey dijo que el acta decía que hubo indicios de una con sión podría haber en lo tuccetivo inconvenientes de cosndmcaxi. El moción popular, y si acato no, i por qué debía decir lo contrario! En solo empi…</t>
  </si>
  <si>
    <t>…varse exactamente este orden.se y asimismo que esta desigualdad era la que reclamaba en su proposición. autorice al Sr. presidente para que señale que memoria habrá de leerse.” El Sr. Murfi reprodujo algunas observaciones de la» que anterior Se leyó la siguiente proposición de lt s Sres. Vega V Villanueva: mente habia expuesto. •&gt; Vista la notable desigualdad de medios con que hasta ahora ha sido El Sr. Pumarejo: A la marina se !a han pagado muy…</t>
  </si>
  <si>
    <t>…ellos paites, hssta que espirado el general Mina y D. Josct Puente.” término, y con presencie de las garantías que ofrece tu situación , pue Se aprobo la siguiente propusieran del Sr. Murfi: •» En *9 de Junio da entrarse de lleno en la discusión principal, 7 acordar las medidas Altimo las Cortes decretaron 10 conveniente sobre el establecimiento d* que permitan las circunstancias. correos tna&gt; itmnot para la correspondencia púb-ca ue la Pen n.ul…</t>
  </si>
  <si>
    <t>…ria que haya sido su con Se leyeron por primera vez varias proposiciones reducidas i lo si ducta por su patriotismo y discipline, que en llegando í día no te con guiente : una del Sr. Murfi sobre que se ponga un juzgado de primera vierta en enemigo de los paisanos. instancia en Santa Cruz de Tenerife, cuyos límites jurisdiccionales sean Alli se ha'Iaba de guarnición el regimiento de Barcelona, y al cabo los ijados por las diputaciones provincial…</t>
  </si>
  <si>
    <t>…antes de que saliese á luz. rectificar su dictamen. El Sr. Salvá dijo que quedaba satisfecho con esta respuesta. El Sr. Argíülles: A pesar de lo que se ha dicho me parece conve El Sr. Murfi dijo que no quedaba enteramente satisfecho con la niente que la comisión se siiva encargarse nuevamenta de resolver con respuesta del Sr. Galiano, pues podía haber casos en que un impresor mas amplitud la duda de que se trata. El Sr. Galiano ha explicado las…</t>
  </si>
  <si>
    <t>…e notaban con motivo de pagar las gratifi bía discutirse la primera, que es la que trata de las fiestas. caciones concedidas á los que matasen lobos ó zorras, debían tomarse en Ei Sr. Murfi dijo: L'bos y fiestas son dos cosas muy diferentes, y consideración, no teniendo las Cortes otro medio de evitarlo» que no puede discutirse un proyecto de materias tan heterogéneas mientras aprobar dicho dictamen. no se divida en otros diferentes, según los p…</t>
  </si>
  <si>
    <t>…que no se podía asentir Discutido el punto suficientemente se declaró no haber lugar fi ro á la proposición que hacia la comisión. tar sobre el dictamen por 47 votos contra 36. El Sr. Murfi dijo que las trabas que se imponían á los buques ex Un batallón de la M. N. V. de Granada, y la compafiía de la mis trangeros eran en cierto modo perjudiciales i la agricultura é industria, ma de Talayera de la Riina felicitaban i las Costes por su instala- p…</t>
  </si>
  <si>
    <t>…cos en Londres y en los Estados- que estos gastos se asignasen en una ú otra parte; peto que 00 podía Unidos , encontraba ser muy mezquinos los primeros. prescindirse de ellos. El Sr. Murfi fue de parecer que esta parte de i presupuesto volviese El Sr. Canga contestó que respecto de los regalos de costumbre al á la comisión , para que oyendo al Gobierno, puesto que r.o se habían celebrarse tratados, la comisión creía debían suprimirse á egempio…</t>
  </si>
  <si>
    <t>…sus funciones, por exigirlo asi nardo Asenjo y D. Matías Pinílta. Habida la conferencia , resultó por la economía.” unanimidad haber lugar á la formación de causa. A petición del Sr. Murfi se leyó el art. 184 del reglamento, y en seguida se opuso este Sr- diputado á la proposición, manifestando que ANUNCIOS. siendo el objeto de este nombramiento el que sirviesen de testigos en Segunda parte de la ojeada sobre la Hacienda pública de Espada, Ja p…</t>
  </si>
  <si>
    <t>…lo, por ser una cosa que no le La comisión de Visita del Crédito público, informando sobra la pro» correspondía examinar. Ultimamente añadió que loa decretos sobre re posición del Sr. Murfi pan que en atención 4 la distancia en que se ducción del diezmo y creación de junt-s diocesanas citaban expedidos hallan las- islas Canarias, y no poder por esta circunstancia vcri&amp;car su» con una misma fecha, y asi no tenia cabida la razón de preponderan hab…</t>
  </si>
  <si>
    <t>…smo por el lado de Macedoma, instancia y la capital del partido como antes estaba: y sobre una propo y una de su. divisiones ha tomado la ciudad de Veria, 1$ leguas dis sición del Sr. Murfi relativa á ía división de partidos de aqurll«s ivas. tante de aquí. Todos estos movimientos nos infunden sobresalto, por La comisión, después de exponer varias razone» en apyo á: :u eictu que timamos que los turcos hacan alguna matanza general. rnen , opinaba…</t>
  </si>
  <si>
    <t>…, y por tan este negocio propondría que pasase á otra. to soy de opinión que pase la-exposícion al Gobierno. El Sr. Marau, después de hacer una breve reseña de todos los trámi El Sr. Murfi: Otando se presenta á las Cortes un asunto de esta na tes que hsbia seguido este negocio, y de impugnar la razones en que se turaleza, que tanta conexión tiene con la tranquilidad de la provincia apoyaba la sala segunda del tribunal supremo de Justicia para r…</t>
  </si>
  <si>
    <t>…empréstito si se ha de desaprobar la ama'gaEn la elección de vice-presidente tuvo 69 votos el Sr. Atienza v, macion. Voy a presentar en pocas palabras una idea rápida de lo que •1 Sr. Murfi, y uno respectivamente los Sres. Infante, Soberon v Al este contrato , es decir , de sus consecuencias, prescindiendo por ahovarez Gutiérrez; y no habiendo reunido ninguno de dichos Sres'la mí ta de la parte legal, de que haré um breve reseña. Udmas uno del t…</t>
  </si>
  <si>
    <t>…ligad» i ganar los géneros instancia de Rivadeo , para que pudiesen prestar el juramento ante loe catalanes. r»pectrvos ayuntamientos constitucionales de las cabezas de partido El Sr. Murfi dijo qu: ti hsbia incouvenient» en admitir los granos adonde iban destinados. es los puertos de depósito de primera dase , los habría también y ma Se leyó por segunda vez, y se mandó pasar á la comisión primera yores con respecto i toda clase de géneros, part…</t>
  </si>
  <si>
    <t>…* según se previene en el decreto de las Cortes, hasta que se den para su la legislatura venidera. egecucion reglas ciertas y vigorosas, que eviten los graves daños y per Otra del Sr. Murfi sobre que se admitan como créditos de suminis juicio* basta aquí experimentados.” tros otros varios liquidados en ios años anteriores. El Sr. Loriares: Desde el afio de 1819 se principiaron á comunicar Otra del Sr. Cano p.ra que no se apremie á los pueblos po…</t>
  </si>
  <si>
    <t>9o6 Sa leyó igualmente el voto particular del Sr. Lopes Cuera*. Fl Sr. Murfi se opuso i las bates presentadas por la comisión en el El Sr. Callejón dijo que no podía conformarte con el dictamen de prr yecto , manifestando entre otras cosas que el establecimiento de una la comisión, porque ene asunto no correspondía á las Cortrs, pu&lt;s…</t>
  </si>
  <si>
    <t>…eguras que darán á la patria de su honradez. los demas que lo solicitasen y estuviesen en el mismo caro; y el del » Para datos una prueba evidente de ia religiosidad con que trato Sr. Murfi, «n el que disentía en la segunda parte del anterior. de cumplir mis ofrecimientos, y á fin de poner expedito el paso qué El Sr. Soberon, individuo de la comisión, leyii también ?u voto media del crimen á la virtud, graduando ct tiempo necesario según particu…</t>
  </si>
  <si>
    <t>…os contrabandistss venden mas caro;y es un ha vaba a los ptnicu ares de extraer so. p'odu.t ss coi» na ionalev cho: no pu-rlen darle al prcio que le da la Nación: lo venden mas E1 Sr. Murfi propuso que se expr-sa*.- que p-&gt;d an extraerse, con lo caro y d- peor calidad, ;’.Jue resulta de aquí? que el consumidor so cual convino el hr. Surra 1 n.unSr ■ d - ia cois «ion bre gravarse u.¡i u' a conlribucon que ha d- eravitsr sobre sus haberes, Se apro…</t>
  </si>
  <si>
    <t>…ina Algunos Sres diputados preguntaron si eat*bt ya concluida esta de recaudación mas inmediata al pueblo á leí quince días á mas tar discusión , o sí d„b a discutirse el voto del Sr. Murfi, á lo que se con dar del vencimiento dei tere o, se considerará retenida malic.osamenr-, testó por otros Sres. diputados que no habia necesi tad de discutir el y el alcalde y cobrador del pueblo incurrirán en la pena de que trata voto particular por cuanto re…</t>
  </si>
  <si>
    <t>…izados'pa como anoche te dijo , mas bien con el calor déla discusión queco» la reconocer la independencia. la exactitud del raciocinio, y ponerla bajo el píe que se halla la Pe El Sr. Murfi contestó que los comisionados iban autorizados para nínsula con el benéfico régimen constitucional, oico que este es el oir las proposiciones que sp les hiciesen, sin excluir las de independen motivo qut; ote ha pbigado á tomar la palabra ep apoyo.del dictame…</t>
  </si>
  <si>
    <t>…reemplazo , se le ofrecía decir que mu que no se había dado cuenta, en que se pedían nuevas excepciones. chos pedían la dispensa y luego no se casaban; que el pedir la ditpen- El Sr. Murfi se opuso é esta proposición, sosteniendo que siempre aa no debía eximir dei sorteo, y ti tocase al interesado la suerte de sol convendiia examinar las adicione* informadas por la comis.on. dado drb a atribuirlo é una deagracia. El Sr. Moreno lilao pr,*onto n…</t>
  </si>
  <si>
    <t>…entado por el Príncipe Rutfo—Se hablaba vagamente protección. Asi pues creo que las Corles deben aprobarlo. de un cuerpo austríaco de observación en Jas costas del Adriático, y Ei Sr. Murfi: Me pirec: que deberían expresarse en este artículo cuyo cuartel general estaría en Ancón». las clases de pruebas , ó sea los documentos , que deberán presentar loa El resultado de lo qu_- se sabe acerca del Congreso se reduce hasta dueños de las propiedades…</t>
  </si>
  <si>
    <t>…ión una adición del Sr. Aillon al artí delegará la parte de estas facultades que tenga por conveniente.” culo &lt;/. del cap. 12 aprobado en la sesión de ayer, para que después de El Sr. Murfi : Este artículo no puede aprobarse, porque son tale* las las palabras d sH leguas de ella te añadan las siguientes con fuerzas facultades que por él se dan á lo* gobernadores ó comandantes de izuales 6 mayares que las que guarnecen. las plazas por esta palabr…</t>
  </si>
  <si>
    <t>…esente, pu s ds este modo podrían instruirse mejor en los negocios político de las prov.nclas. . los modernos. La comisión presentó redactados da nuevo todos los arta, desde el El Sr. Murfi: La comisión con este artículo ha dejado al arbitrio • 3 al 47 iociusv.s, ¡os cua. s hab a retirado en la ó.tima legislatura de los ayuntamientos el nombrar estas secciones según lo crean mas ordinaria. Se mandaron quedar sobre la TOrsi. Conveniente en cierta…</t>
  </si>
  <si>
    <t>…o de las Cortes de de Junio anterior, por da indemnización en el inmediato, todo sin uit-rior recurso. el cual se reservan exclusivamente á los farro-u» .0* derecho* de estola, El Sr. Murfi se opuso i este articulo, manifestando que la rectifica ha de interpretarse de modo que por ei se ó* autor ce .&lt; percib r aun ción del repartimiento de contribuciones cuando no se hiciese coa aquella cuota que antes correspondía á ios ben.nc.ados que-¿liman c…</t>
  </si>
  <si>
    <t>…e Declarado c*t: punto por suficientemente discutido, quedó desapro mediar este mal. Asi que el articulo esta b sn redactado. bado el artículo, y se mandó volver á la comisión. El Sr. Murfi : Pido se lea el par. 4.- del an 335 da la Constitu Art. 93. - D.-spues de pasado el tiempo conveniente para que pue ción. (Se leyó.) Se ve por este arti«-u'.o , continuo el orader , que tienen dan venir las queja* ó t:cícriaciones de les pueblos , examinará…</t>
  </si>
  <si>
    <t>…nderán con la calidad de interinas y se procedió á la discusión de sus artículos. hasta que las apru b» la diputación, á la qu. para ello se dará cuenta Leído el art. t.°, dijo el Sr. Murfi que desearla que la comisión hu luego que se reúna.** biese hecho una excepción con respecto i las islas adyacente» , estable Art. 146. »&gt; Habrá un libro de actas, en que se extiendan las que ciendo en ellas un director general ó jefe superior de cirugía que…</t>
  </si>
  <si>
    <t>…aña, y no Han tenido una esperanza fundad* de poder subsistir con este ve es tal decreto, sino una orden. nero de trabajo; y si ahora no sí les neces t» , debe tener presentar! Fl Sr. Murfi: Yo en este asunto no veo mas sino una consulta he legis'ador el tiempo que han servido y demás circunstancias pa-a corcha por el Gobierno bajo un supueto falso , y sobre la que recayó una cederles algún sueldo, á fin de que puedan atender a sus nec.-s.ú: -.…</t>
  </si>
  <si>
    <t>Murfi, Josef</t>
  </si>
  <si>
    <t>Josef Murfi</t>
  </si>
  <si>
    <t>…s los el duque del Parque ha desempeñado este empleo: el año de 19 asistió poderes de estos señores. á la mesa del Rey cuando dió de comer á los pobres, ademas ha asisti Canarias. D. Josef Murfi. La comisión opinaba que debían apro do á las bodas y capitulaciones de ¡os Sres. Infantes; y por estas circuns barse lo» poderes de este Sr. diputado. Aprobado. tancias , á pesar de que es bien conocido el aprecio que el duque del Cataluña. D. Pedro Surra y…</t>
  </si>
  <si>
    <t>…o de empleados nece Los Sres. diputado* secretario* de las Cortes me dicen lo siguiente* sario para el desempeño de tus encargos ; y de los iodividuos restan * A propuesta del Sr. diputado D. Josef Murfi han tenido á bien las tes de aquellas oficinas generales ae destinaran los precisos i las paga Cortes resolver se amplíe el término señalado para la presentación de do durías é intervenciones de las secretarías del Despacho. cumentos de créditos nacionales ,q…</t>
  </si>
  <si>
    <t>…ncia de Extremadura: pira .ice-presi ! extrangero, sú-more ríe -«te residiere fuera de ta península. Madrid ia de Mayo de ; .1 = u 1 de Alava, p-esldenti.zz Vicente Salva,dente el Sr. D. Josef Murfi , que lo es por la de Cananas, y pira se- diputado sscrstanocx s ¿.-&gt; Saav.d a, dipútalo secretario.”«ctar o el Sr. D. Domingo María Ruiz de la Vega , diputado por la Por tamo in-u .i "&lt;»s todos los tr bunaíes, justicias, gefes, go de Granada.” bernadores y d…</t>
  </si>
  <si>
    <t>Murgon, Luis</t>
  </si>
  <si>
    <t>Luis Murgon</t>
  </si>
  <si>
    <t>…de Sta. Btrbara en esta corte, &lt;-n donde se les bertad tan titil *1 tráfico que se hace de buena fe con la protección que facilitará la entrada llevando una papeleta del referido D. Luis Murgon justamente reclaman nuestta agricultura é industria, con la conservación j Armada. y fomento de las rentas del Estado , y con las precauciones sanitarias. ANUNCIOS. An. it. — Hasta que se cumpla lo dispuesto en el anterior artícu Por prov d’ncia del Sr. D Jul…</t>
  </si>
  <si>
    <t>Murías, Francisco</t>
  </si>
  <si>
    <t>Francisco Murías</t>
  </si>
  <si>
    <t>…del co ocasionado en aquella capital. mandante general de Veracruz, recomendando á la viuda del capitán de Las sublevaciones de Irlanda continúan del modo mas escandaloso. fragata D. Francisco Murías para que se le conceda una pensión; un Hasta los mismos periódicos de Londres se cansan de repetir lo que los expediente promovido por el colector general de espolies y vacantes de Irlanda publican acerca del levantamiento de aquel país , y particu sobre las…</t>
  </si>
  <si>
    <t>Murli</t>
  </si>
  <si>
    <t>…de patrimonio, qué es lo mónte que», bebieran Se leyeron por segunda rn las siguientes proposiciones. dicho que se suspendiese el dar ordenes. ; Y que añade el p-erecto de Un* del Sr. Murli sobre la introducción de granos y harinas en las decreto que se discute 4 lo que ya llevo man.feséaeo, sino el prohi Islas Canarias; se mandó pasar á la comisión de Agr cultura. bir las órdenes aun á titulo de cura de atusas , cosa csisutoi p-¡ Otra de varios…</t>
  </si>
  <si>
    <t>Muro</t>
  </si>
  <si>
    <t>…rreglo del clero con preferencia á otros de menos urgencia. Desgraciadamente nadie lo desconoce, todos nos lamentamos de ello, Se leyó por primera vez la siguiente proposición del Sr. Muro: y deseamos que tengan un término; pero este término debe venir de ,,Queen lugar de reorganizar,cuando te considere oportuno, la milicia un sistema , y no de una proposición aislada. Hemos venido á este voluntaria de Pamplona, se incorporen en el batallón reg…</t>
  </si>
  <si>
    <t>…a imperial, y al Emperador se le espera para ta m ,ms ca á España, pues podría gravar mucho i estas mlunas. épi ca ai deha rrovir.c». D- Viena acriben que .a famii a nipcr.r. ha E Sr. Muro dijo que no era lo mismo trasladar pensiones de unas Var ado mrctiniitain»nie su resoiuc.on de pasar á Ital a este Veran e EL tesorerías á otras en la Península que de las Améncas á España. Carreo franca , fundándose en cartas autógrafas de des grardfcs bober…</t>
  </si>
  <si>
    <t>…voluntaria de la Comf.a , sobre los inconvenientes que ofrece ei referi comprendan en el presupuesto de la Nación, pues el art 101 déla do proy eto, la cual fue presentada por ei Sr. Muro. Constitución previene que para ia irid mnzacion de ios dipútanos , se A la m sma, otra exposición dd comandante de ia milicia de Mahon, les arista por sus respectivas provincias con las d: tas qu. les están con presentada por el Sr. Roig, sobre la falta de f…</t>
  </si>
  <si>
    <t>…Hacienda las siguien bado el articulo, añadiendo después de la palabra contribuciones las si te* adiciones. guientes: atrasada* , con arreglo á lo mandado por las Curtes. Una del Sr. Muro para que el proyecto de decreto encargado *1 Art. ” Subsistirá ia suspensión de las liquidaciones pendientes, Gobierno lo presante en los tg primeros dias del mes de Marzo d* según se previene en el decreto de las Cortes, hasta que se den para su la legislatu…</t>
  </si>
  <si>
    <t>…egercicio de lo* derecho* de ciudadano; entendiéndose pefiar el servicio sin deaaten«ier sus obligaciones.” por no propietario aquel vecino que aun teniendo tierra* no igualan El Sr. Muro se opuso á que se dijese en el artículo partU-.ilaren valor al que tiene una de la* suerte» que se han de repartir, ó te mtute aquilas qu sean de elección popular , porque parecía establecer niendo ganados no excedan en su valor al de la misma suerte. Si aun…</t>
  </si>
  <si>
    <t>…anifestando que encontraba varias difi El Sr. presidente manifestó que esto mismo se estaba ya practicando. cultades en la recaudación del medio diezmo, especialmente en el pue El Sr. Muro indicó que según el paso que llevaba la discusión del blo de Sta. Margarita, cuyos habitantes se negaban al referido pago proyecto de la milicia local no te aprobaría en esta legislatura, por lo con pretexto de que era del señorío del convento de Sta. María d…</t>
  </si>
  <si>
    <t>…ia para no hacer lo mismo con respecto trarío á la tarifa del derecho de patente* acordada por la» Corte». á loa eclesiásticos. Por estas razone* creo que laa Cortes no pueden Del Sr. Muro sebre lo mismo. npaobar la medida de que se trata. De los Sres. Diez, Alvarez (D. Manuel), Lodsre», González, El Sr. Gil de la Cuadra: Procuraré contestar á las observaciones que Apoitia y Ruíz del Rio, contrarío 4 la extensión que se había dado al ae han hec…</t>
  </si>
  <si>
    <t>…e mi Mu la quinta qu dó elegido el Sr. Benito por.84 votos , teniendo nisterio pertenecía la imprenta nacional; opinaba que tierdo una finca 7 '■r. Velasco, 6 el Sr. Serrano, 4 el Sr. Muro , 1 los Sres. Calde del Estado pertenecía al ministerio de Hacienda, al cual debia pasar rón , G. roz, Miran, Ruz de ia Vega y Saavedra, y uno los Sres. In inmediatamente, exigiéndose la responsabilidad al que lo entorpeciera. fante, Villanueva, Lturiz, Fuent…</t>
  </si>
  <si>
    <t>…ia mas ra conseguir estos dos objetos era el de que se bajase el precio todo lo pequeña parte. na. que fuese posible. Con este motivo no puedo meros de llamar !a arrc’on de lai El Sr. Muro fue de opinión que debería rebajarse el precio de ln Cortes hacia un pueb'o , que es ta eluda! de S. F mando. f .ta c u— sal que se proponía, con lo cual se conformó el Sr. Islunz como de la dad populosísima , y cuya memoria s?rí et rna en los fastos d. la h…</t>
  </si>
  <si>
    <t>…a comaiqn. Europa. Después de haber hecho el Sr. Roset varias refl-x iones contra el Si nos atenemos í los movimiento* de tropa* y otra* noticias de artxu'o, i las que contestó el Sr. Muro, se declaró este asunto suficien esta especie, no podemos menos de llenarnos de admiración, sin poder temente discut' *o, y que la v .tscion no fuese nominal, habiéndose en atinar «on qué obj to se hacen tales movimientos. De Nantes anuncian seguida d aprobad…</t>
  </si>
  <si>
    <t>…tribución obligar á los multa tículos del dictamen de la comisión de Hacienda sobre el pa el sellado; dos á que paguen la mulla que se les huya impuesto, procediendo en 7 otro del Sr. Muro, contr.no a la reso.ucion tomada Sobre la renta esto de oficio hasta conseguirlo, y mirándolo como una ob‘igaclon de aduanas. propia del juzgado, á quien incumbe la eg-’cu.icn de sus sentencias, y Las comisiones de Diputaciones provinciales y primera de Legis…</t>
  </si>
  <si>
    <t>…n pasase al tiles ínterin se logra una conciliación ó paz absoluta, negociando que Gobierno. Aprobado. se establezcan puertos neutrales en América , y una bandera también Otra del Sr. Muro para que las letras de cambio se impriman de neutral para solo peninsulares y disidentes, que recíprocamente sea res nn modo i propósito para el uso del comercio, poniéndose en cada una petada. el número y valor del sello del papel que corresponda. La comisió…</t>
  </si>
  <si>
    <t>…éndole notado bastante murmullo en las galerías mandóel se circunspección con que ha procedido el Gobierno *1 usar de la facul fior presidente leer el art. 75 del reglamento, j el Sr. Muro pidió que tad enunciada, y prueba cuán distante está de tratar de arrogarse facul • se leyese el 107 del mismo. tades que en boca de alguna* persona* ct una especie de arbitrariedad. El Sr. Galiano pidió que se leyesen los artículos del reglamento No lo es, s…</t>
  </si>
  <si>
    <t>…nguno de los expresa le entregará inmediatamente.” dos, asi los existentes como loa que en adelante se formaren.” El Sr. Sotos dijo que el párrafo t.° da este artículo podía va El Sr. Muro se opuso á la aprobaciou de este artículo mientras no riarse diciendo que el reo de diferentes delitos sujetos á la deserción se suprimiesen en él las palabras « guardia real.” fuese juzgado por ta autoridad militar, y ademas que la autoridad que El Sr. Infan…</t>
  </si>
  <si>
    <t>…e del Arzobispo, se manda citar y emplazar por edictos á dicho misma. &amp;c. Isidoro Jara , pata que dentro de nueve di« se presante en la cárcel da Se suspendió esta discusión, y el Sr. Muro leyó el dictamen de la referida cabeza de partido, de donda se fugó en la noche del 30 de la comisión encargada de examinar la memoria del Sr. secretario de Octubre último, á oir la sentencia que se ha dado en dicha causa; Marina, el cual s* mandó imprimir. a…</t>
  </si>
  <si>
    <t>…3,32a rs. y 11 ñus., y no en la cantidad que lo calcula la co mismo no puede aprobarte el dictamen. misión. El Sr. Surrá: Estas cuestiones ton tanto mas difíciles cuanto que gi El Sr. Muro ¡ Deseo saber la fecha del oficio del S«. intendente de ran sobre números , sobre cantidades, y algunas veces sobre cálculos. Tarragona que ha citado el Sr. secretario de Hacienda. El déficit se puede considerar resultante por lo que resta de atra El Sr. secr…</t>
  </si>
  <si>
    <t>Muro, Josef Santiago y</t>
  </si>
  <si>
    <t>Josef Santiago y Muro</t>
  </si>
  <si>
    <t>…M. nombrar al Exento. Sr. D. Manuel Abad y moza , D. Josef Pedraloez, D. Ramón Limi» y Méndez, D. Josef Queipo, obispo electo de Mechoacan , para el obispado de Torios»,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t>
  </si>
  <si>
    <t>Muros, Diego de</t>
  </si>
  <si>
    <t>Diego de Muros</t>
  </si>
  <si>
    <t>…haitr lugar á torga ¿ favor de Doña Teresa Quiñones, en 18 «le Febrero de 1465. la formación dt tauta. __Otro de un juro de t6o9 mrs. sobre varias alcabalas y alfolíes á fa vor de D. Diego de Muros, obispo de Tuy, y D- Lope de Mostoso, En ls ciudad de Granada reunidos los jueces de hecho, declararan vizconde de Ftnisterrz, en z a de Noviembre de 1474.__.Otro de un jupor unanimidad haber lugar i formación de causa contra el autor del to de igoS mrs. sobr…</t>
  </si>
  <si>
    <t>Musió, Peídro</t>
  </si>
  <si>
    <t>Peídro Musió</t>
  </si>
  <si>
    <t>…prescindir de lo que está mandado en la El Rey ha visto con satisfacción el generoso desprendimiento coa actualidad. Por consiguiente mientras las Cortes no revoquen estos de que D. Peídro Musió, coronel del regimiento de milicias de Lorca, ha cretos , creo que no pueden menos dé aprobar el dictamen de la co cedido á favor de la Hacienda nacional los sueldos y gratificaciones que misión. le correspondieron por el tiempo que estuvo empleado en ei cord…</t>
  </si>
  <si>
    <t>Muso</t>
  </si>
  <si>
    <t>…coronel D. Baltasar Pallete. que se tuvo aquí noticia de este atrntado salieron algunas tropas al man » En esta refriega no tuvimos ningún muerto, y sí tris heridos, qtro do d'-d coronel Muso, y se batieron con los facciosas, que eran en bas fueron D. Fruncí co Riba s, empleado en la intendencia de esta pro tante número, y se han hecho fuertes 4 la otra parte del rio Es preciso vincia, D. N. Losada, médico, y D. Aniceto Alfonso, oficial de la que…</t>
  </si>
  <si>
    <t>MuSor, Joscf</t>
  </si>
  <si>
    <t>Joscf MuSor</t>
  </si>
  <si>
    <t>…cometa el mayor de lo* crímenes. 1821 sobre correos marítimos. Motel!,t 9 de Junio. Se leyó por primera vez una proposición de lo* señores Sánchez y La primera diligencia que hizo D. Joscf MuSor de la Torre , te Muro, relativa á que se di s.-n por contrata la» provisiones parales niente coronel mayor del regimiento infantería de Fernando vit apenas hospitales militares. Aprobado. entró en esta villa (vente l.t Cincela del 14), fue reponer las autorid…</t>
  </si>
  <si>
    <t>Mutfi</t>
  </si>
  <si>
    <t>…que sufriesen un reamen prolijo de las Después de una ligera discusión se desaprobó este artículo. Cortes; pero qu: no asi con respecto á las ordenanzas, sobre io cual Adición del Sr. Mutfi : » Pido á las Cortes que respecto á las is bebía un expediente voluminoso, y el que examinado por los Sres. pre las Canarias no Se lleve é efecto el repartimiento de arbolados, sino opinantes convencería de que el Consejo de Estado no había procedido cuando…</t>
  </si>
  <si>
    <t>Mutmr</t>
  </si>
  <si>
    <t>…Antonio Sandalio de Arias, y a la comisión de Cortes m tisualm inte del resiftadode astas medidas. censura que le examinó con ias demas obra* que aspiraban á los premias, Otra del Sr. Mutmr 1 para que la d: irgac‘on de que habla el ar basta para recomendarle á los qu: gusten de las hermosa* flores, cuyo tículo se haga por escrito d. j Mninan.-io los caeos y las personas. cu tivo explica , pues fue considerado como superior á cuentos conoce Otta…</t>
  </si>
  <si>
    <t>Muturriz</t>
  </si>
  <si>
    <t>…o i percibir por el caso de aprobar los poder*» de que se traube. ti tiempo que atuvo injustamente sepatado. El br. salvé, después de haber rect.ficado algunas equivocaciones . El Sr. Muturriz se opuso al dictamen de la en misión, manifestando que dijo habían padecido los Sres- preopinantes, manifestó que los po que et Crédito público no era otra cosa que una empresa independiente deres iso podían i r*ir para venir en conocimiento de si las eleccio…</t>
  </si>
  <si>
    <t>N, Asenlo</t>
  </si>
  <si>
    <t>Asenlo N</t>
  </si>
  <si>
    <t>…de tierra en sus pueblos , no se decía si didos en la rebaja de sueldos. habia de ser en los de su naturaleza ó en lo» de su vecindad, de lo qu* Se dio cuenta de una exposición de D. Asenlo N.bot, manifes habí! res-litado el que unos prefiriesen el pueblo de su naturaleza al de tando que desearía empicarse en el exterminio de lo» iecc.c-sos. Las su vecindad , y otros por el contrario; y que para obviar estas y otrts Cotíes lo oyeron con particular…</t>
  </si>
  <si>
    <t>N, Diego</t>
  </si>
  <si>
    <t>Diego N</t>
  </si>
  <si>
    <t>…D. Joaquín ) , Cuevas é Ibarra. pués de haber concluido su encargo. Las Corte* quedaron cnteradai de una exposición del ayuntamiento A la de Instrucción pública una exposición de D. Diego N., ve constitucional de Murcia, felicitando á las mismas por la aprobación cino de Toledo, manifestando ta necesidad de que se declarase la ver de los arts. i.°, s.°, 5.0, 4. y 5.* sobre abolición de señoríos. dadera inteligencia de las palabras enseñanza priva…</t>
  </si>
  <si>
    <t>N, Esteban</t>
  </si>
  <si>
    <t>Esteban N</t>
  </si>
  <si>
    <t>…ia misma noche¿ que marchado con Balda en el ao de Diciembre. Cuarto; que la carta di Ba da le hizo instancias para que partiese con ellos, i lo que no quiso rigida por Legarra á D. Esteban N.(asi dice el sobre de ella), beneficia acceder, sin embargo de que le prometía felicidades , y que como amigo do de Echalar (folio 26 del proceso), escrita toda de su puño, y firma y contemporáneo le llevaría siempre en su compafiía. da por solo él con dictado…</t>
  </si>
  <si>
    <t>N, Ignacio</t>
  </si>
  <si>
    <t>Ignacio N</t>
  </si>
  <si>
    <t>…a, y que podían dispensarle su presentación hasta prin motivo reclamaba la observancia de dicho artículo. cipio» de Abril de este año. Aprobado. Se dió cuenta de una exposición de D. Ignacio N., en la que acom La misma comisión, en vista de los poderes presentados por Don pañaba 260 egemplares de la lev creen ca de sanidad propuesta por la Dievo Entrena , primer suplente por la provincia de Granada, obser comisión nombrada por el Gobierno, á fin de…</t>
  </si>
  <si>
    <t>N, J.</t>
  </si>
  <si>
    <t>J. N</t>
  </si>
  <si>
    <t>…ble de honor sumamente sencillo, en que se l-a por un Consrantinopla tres tártaros con la noticia de una nueva victoria conselado » 7 de Julio de 1812 y por el otro » las Cortes á D. J. N.” gu da por los persas; y el divan envió órdenes al bajá que manua tn los que deberán ser entregados i dichos individuos , entrando en el sa aquellos puntos para que ajustara una paz aunque fuese dusventijosa._ lón con Jas personas marcadas en el art. 3”, y so…</t>
  </si>
  <si>
    <t>N, J. G- M-</t>
  </si>
  <si>
    <t>J. G- M- N</t>
  </si>
  <si>
    <t>…erán empleos en comisión, ni se desempefiarán con El Experimentado cazador y perfecto tirador, compuesto por este titulo , debiendo ser todos efectivos, y supliéndose en las ausen D. J. G- M- N.: obra util.á todo aficionado al arte de cazar, en que se cias ó imposibilidad de los propietarios por los inmediatos ! quienes le descubren vario* secreto*, se indica el método que se debe observar ley autoriza para ejercer sus funciones, sin perjuicio de lo…</t>
  </si>
  <si>
    <t>N, Juan</t>
  </si>
  <si>
    <t>Juan N</t>
  </si>
  <si>
    <t>…z, Aiagcn, provin drad -, D. ant ato de los Rio» y D. I-'rancisco Calillo M randa para cias Vascongadas, Corulla &amp;c. kan sabido ya parte de los sucesos de l.s n a. i lraiu-as, y ú D. Juan N primic-no Fcrnand.z S- Aligue! y la capí»'; pero hasta el momento en que esto escrib mas igni ramos é D. Joseí Rodri, u z Busto pira las fiscal?»». que a guna de ellas se halle cnt rada del ma r .u iado de esta lamo be pr.v.ti.c que le s agia.i-.iios ó sus re…</t>
  </si>
  <si>
    <t>N, Manuel</t>
  </si>
  <si>
    <t>Manuel N</t>
  </si>
  <si>
    <t>…habéis pospuesto el amor de vuestras familias al amor da Kcretaría del D-spacho. la patria; v despreciando la dulce tranquilidad de la vida , salvasteis la Alicante administrador D. Manuel N eto y Castillo, oficial primero Nación. ¡Qué error tan miserable el de los conspiradores descubiertos, cuarto de la dirección general de Estancadas Interventor D. i ustaquio ocultos y disfrazados! Contaban con desarmaros, con venceros; y ¡d&gt; Polo Fernandez, a…</t>
  </si>
  <si>
    <t>N, María</t>
  </si>
  <si>
    <t>María N</t>
  </si>
  <si>
    <t>…, manifestando Quedó aprobado. que era insoportable el derecho de registro, y pidiendo se revocase di La comisión de Guerra presentó su dictamen acerca de la imprecha ley: otra de Doña María N., viuda de O. Josef Alcaraz, pidien aion del proyecto de ley sobre ordenanzas militares, en el cual mandesdo se llevase á efecto la capitalización de una renta vitalicia que poseía: taba que debía suspenderse la impresión del proyecto presentado por el dos de…</t>
  </si>
  <si>
    <t>N, Micaela</t>
  </si>
  <si>
    <t>Micaela N</t>
  </si>
  <si>
    <t>…scribanos Reales y numerar.os , procoia- d« Vil are jo de bal vane*. dore* 6 otros oficios , bien sea por gracia , ó porque los dueños de ios Qrien tuviese noticia del paradero de Doña Micaela N , viuda del •Mgenadoe hayan sucedido en ellos , 300 rs. 11. Por la carta l.mitada temente coronel D. Pedro Muñoz, sargento mayor que fue de Ja ciu pora obtener renta eclesiástica ]9 rs. xa. Por las legitimación * i hijos dad, ¡a de Pamplona , ó de sus hijos t…</t>
  </si>
  <si>
    <t>N, Pedro</t>
  </si>
  <si>
    <t>Pedro N</t>
  </si>
  <si>
    <t>…tranquilidad pública. Las Cortes la mandaron pasar al sente 4 la mayor brevedad el plan sobre los medios de habilitarla pronta Gobierno. mente. Se dió cuenta de otra solicitud de D. Pedro N., comandante del Madrid Sobada jo de Marta. resguardo de caballería de Mérida, felicitando é las Cortes por la hon rosa determinación en favor de los héroes Padilla, Maldonado 7 Bra Publicamos con la mayor satisfacción los siguientes documentos con vo, 7 ofrec…</t>
  </si>
  <si>
    <t>N, Ramón A'onso</t>
  </si>
  <si>
    <t>Ramón A'onso N</t>
  </si>
  <si>
    <t>…tor interino de que el famoso y terrible Dos de Mayo. indirecta-, de la misma provincia. * Madrileños: vuestro valor y virtud exceden i cuantas alabanzas Villafrtnca administrador D. Ramón A'onso N« riega , adminis puedan prodigarse: lo* mayores héroes del mundo no se adelantan i trador de Potes. Interventor D. Manuel Cortes , contralor cus ha si vosotros en sus vlor*as ni una sola línea. No ignorabais el gran peligro do de la Mancha. de la victoria No…</t>
  </si>
  <si>
    <t>Na</t>
  </si>
  <si>
    <t>…uando hubiese lugar pudiesen separarse como pro gona para la construcción del expresado puerto de Barcelona. En cuan ponía el Sr. Alaman, 4 fin de que se conservase la memoria del Sr. Na to al derecho de periage la comisión no decía que se quitase este dere varro. cho , y en cuanto 4 este punto se había entendido muy mal tu dicta El Sr. Puígblanch dijo que no sabia cómo habían de atar separados men : en suma, la comisión había resuelto acerca…</t>
  </si>
  <si>
    <t>…mismo harán los jue disposición se publicar! siempre en los pregones.” ces «je derecho en las causas exceptuadas áte." El art. 50 de las variaciones dirá, en virtud de adición del Sr. Na» El pártalo 3.°del art. toó añadido en las variaciones dirá á pro ver rete, lo siguiente :»H1 reo fugado en cualquiera'de los casos del ar puesta del Sr- Cano Manuel lo siguiente: •» Sin embargo si entre los reos tículo precedente que cometiere después de su…</t>
  </si>
  <si>
    <t>Na, Andrés</t>
  </si>
  <si>
    <t>Andrés Na</t>
  </si>
  <si>
    <t>…ces de hecho qu: calificaron d ebo impreso con la nota etilo en todos lo» pn.b ■.» de España, que los acreedores que no hubie d: injuriólo en rrimer grado: D. Maitin de Zarandi: , D. Andrés Na sen presentado á liqt.:dur tu&gt; creditos hasta 30 de Junio próximo pei- varro, D. Alalias Pini.ia , I). Pedro Rodríguez dr Toro, D. Domin derán todos los d recito» 1 la liquidación, y quedarán caducados de he go Fernand:z Angulo , marques de Torrenucva, D. Jua…</t>
  </si>
  <si>
    <t>Nación, Je la</t>
  </si>
  <si>
    <t>Je la Nación</t>
  </si>
  <si>
    <t>230</t>
  </si>
  <si>
    <t>230 TESOBSRTA GEWERAI. DI XA NACION. MES DE DICIEMBRE DE l82í. Arqueo de la caja Je la tesorería general Je la Nación en el presente mes, que comprende desde i.° hasta ¿/ inclusive del misneo se?un acta formalizada en este día por el tesorero general y contadores generales de Valores y Distribución, con arré alo al articuló 2 a del cap. i.° del decreto de las Cortes de / de…</t>
  </si>
  <si>
    <t>*04 ARTICULO DE OFICIO. TBS0KKRIA GKNBR.11 BE IA NACION. Caja principal. Tercer año económico. Mes dt Setiembre di i8ai. Ar.mto de Id caja dt la tesorería general Je la Nación, que comprende JetJe i.® hasta 30 inclusive del corriente mtt, según acta formalizada en este Jia por el tesorero general y contador general Je distribución, con arreglo al artículo l.‘\ capítulo 4.* dt la mstruccicm general de dicha te sorería , aprobada por…</t>
  </si>
  <si>
    <t>Nada, Garelly’</t>
  </si>
  <si>
    <t>Garelly’ Nada</t>
  </si>
  <si>
    <t>…nstrucción, y sin pasar rias de la Nación , por cuya razón han sido convocadas las Cortes, coa por los tramites debidos; y tantos los reparos que la detienen para emi la queja del Sr. Garelly’ Nada. tir su opinión en el caso particular y determinado é que se refiere el Se dirá en favor del fuero del Sr. Garelly que en la ley da 17 da Sr. Garelly. De consiguiente se limita á sujetar á la deliberación del Abril hay una excepción en favor de los obispos y…</t>
  </si>
  <si>
    <t>Nadéis, Pedro Gonzalea</t>
  </si>
  <si>
    <t>Pedro Gonzalea Nadéis</t>
  </si>
  <si>
    <t>…e no* faltaban para com primera instancia en esta camnl, dada á consecuencia de un despacho pletar en esta capital la universidad de. tersen entefianza. Mafia na da librado por el Sr. D. Pedro Gonzalea Nadéis, que lo es del partido de remos los pormenores. la ciudad de Bctanzos, refrendado del escribano de aquel número Don Nuestro diario constitucional publica lo siguiente: Josef de Martin y Andrade, se cita, llama y emplaza á todo* losquese til augusto Congreso n…</t>
  </si>
  <si>
    <t>Nadela, Pedro González</t>
  </si>
  <si>
    <t>Pedro González Nadela</t>
  </si>
  <si>
    <t>…umentada por Mondoñedo 4 D- Henrique Posada: para al de Lugo 4 D- Bartolomé el autor y adicionaba por el traductor D. A. Z. G. Los suscriptos» García Terrón: para el de Betanzos 4 D. Pedro González Nadela: para acudirán i recoger el tomo a.u 4 las librerías de la viuda de Quirogt el de Tuy 4 D. Josef Rivera y Gil: para el de Santiago 4 D. Bles Olo y de Sanz , donde se bailarán juegos completos en pasto y í la rústica. res; y para el de Sta. María de Sar 4 D. J…</t>
  </si>
  <si>
    <t>Nafarrondo, Fermín Uria</t>
  </si>
  <si>
    <t>Fermín Uria Nafarrondo</t>
  </si>
  <si>
    <t>…na exposición de D. Juan Perez, haciendo Las Cortes recibieron con agrado los zoo egemplares presentados por varias observaciones sebre el arreglo de milicias, y felicitando a las D. Fermín Uria Nafarrondo de una mem ¡ría publicada por el mismo Cortes por su instalación. en Marzo del alio pasado sobre el Crédito público. Se mandaron pasar á la comisión de Hacienda con igual declaración Se dió cuenta de una exposición de D. Joaquín Diez de Córdoba. unas observac…</t>
  </si>
  <si>
    <t>Nafartondo, Fermín María de Uria</t>
  </si>
  <si>
    <t>Fermín María de Uria Nafartondo</t>
  </si>
  <si>
    <t>…ad*» por el Crédito público. Católica io9 ts., grandes cruces da Carlos m é Isabel ia Católica :o9 Se mandó unir al expedienta de reforma del Crédito público una reales.” moría da D. Fermín María de Uria Nafartondo sobro dichos esta Del Sr. Sancho: » Que se sefiale una cuota de 6 á 89 rs. á los que blecimientos. pidan dispeas» «le las pruebes que se exigen para obtener las cruces de Se leyó d dictamen de le comisión sobro arreglo de casas de mo Carlos nt y las órdenes m…</t>
  </si>
  <si>
    <t>Ñafies</t>
  </si>
  <si>
    <t>…también debe considerarse como egército de operaciones el Se verificó la segunda lectura del proyecto adicional sobie delitos cuerpo de reserva. de conspiración, presentado por el Sr. Ñafies (D. Torito) , ei cus! ha También advierto la falta de la palabra general en los dos párrafos biéndose admitido á discusión, se mandó pasar a ia coiins.ua que ha en que dicen: •&gt; comandante de artillería,” ** comandante de ingenieros;” tendido en este asunto p…</t>
  </si>
  <si>
    <t>Naiis, Anastasio</t>
  </si>
  <si>
    <t>Anastasio Naiis</t>
  </si>
  <si>
    <t>…, con tor de artillería; D. Facundo Alarcor, coronel retirado; D. Josef forme al plan administrativo de hacienda militar con uno ó dos ofi Enguídanos; D. Vicente Marzo , abogado; D. Anastasio Naiis, ofi ciales de guerra si se estima suficiente.” cial de anillen* , y D. Pedro Calvo , después de haber examinado el La primera proposición se consideró como de las que deben sufrir impreso y la denuncia , declararon por unanimidad de votos haber lu tres lectu…</t>
  </si>
  <si>
    <t>Náj, Miguel de</t>
  </si>
  <si>
    <t>Miguel de Náj</t>
  </si>
  <si>
    <t>…y salieron electos , primero el Sr. Villavieja, por 74 votos Juicio de jurados. de 144 , habiendo tenido el Sr. Pcdralvez 69 , y el Sr. Merced uno ; y Habiéndose denunciado al Sr. alcalde D. Miguel de Náj ra un ar el seeundo fu- el Sr. Meca por 73 votos de 144, habiendo tenido el tículo inserto en el Zurriago número 40, como injurioso á los señorea Sr. Merced 70 votos, y el ir. Lapucrta uno. D. Juan Arguelles Valdés, D. Anadeto Fagoaga y D. Antonio Siles, Se l…</t>
  </si>
  <si>
    <t>Nájen, Miguel de</t>
  </si>
  <si>
    <t>Miguel de Nájen</t>
  </si>
  <si>
    <t>…eclamar. ftez Falcon , Ferrer ( D. Antonio) , Infante, Murfi, Bustos , Al va fea, Torre, Meló, Herrera, Bauzi, Roset, Roig, Trujillo, Beltfa, Habiéndose denunciarlo al Sr. alcaUle D. Miguel de Nájen por «1 Alava , Adinero , Sánchez , Blek, Torner, Cortés, Alcalde , Lamas, Señor fiscal de imprentad folleto titulado: Tercera parte del diálogo en Rey, Hcnriquez, Benito, Martí, Casas, Fernandez Cid, Rom.Sara- tre el alcalde constitucional de un lugar de Anda…</t>
  </si>
  <si>
    <t>…a, y se entregará al tiempo ofrecido: continúa abierta la suscrip Nueva: á D. Fernando da la Torre y Heraa, á D. Simón de la Piaaa ción en todos los puntos anuncisdos. y Prado y i D. Miguel de Nájen para plana de la misma en la ele Arbol eucarístico de la vida , et sagrado corazón de J.sus sacra Canarias: á D. Aútbnió Ramón Gallegos para la judicatura de prime mentado. Compendio de su cu lo púb'ico y de sus divinas rxcel. ncias: ra mitinea del partido de…</t>
  </si>
  <si>
    <t>…ento de estampad# de la calle del Turco, 7 cu la librería da Or lo* juzgados de primera instancia de esta mup hcróica villa , denunció tega , á 4 ts. ni Sr. nicalda eooatituckraal D. Miguel de Nájen, 4 virtud de excita- mova. Bu la gaceta del 5 de Agosto,en el párrafo de Varíedada, ci don de la autoridad, ei Mirto titulado-' Aftas. *.* dtl Baiquejo del tando otro de un periódico francés, publicado por Mr. Pradt, hablando fUm Jr cmtoiraciem dtl 7 de Julio…</t>
  </si>
  <si>
    <t>Nájera, Miguel de</t>
  </si>
  <si>
    <t>Miguel de Nájera</t>
  </si>
  <si>
    <t>…de la antigua Cataluña. del regimiento de infantería Infante D. Cilios, denunció al Sr. alcalde __La Constitución portuguesa, aprobada en la sesión de 14 de Setiem constitucional D. Miguel de Nájera un artículo comunicado, inserto bre, con algunas pequeñas variaciones, y una adición para el Brasil, en el Diario nuevo, núm. góx , en concepto de injurioso. firmada en la sesión del 13 , y presentada al Rey por una diputación En su vista se reunió el jurado…</t>
  </si>
  <si>
    <t>…El misma villa, y de los damas individuos que componen su ayuntamien cuartel general ha recibido orden de acelerar su marcha hacia esta to, denunció al Sr. alcaide constitucional D. Miguel de Nájera un ar ciudad. Han llegado ocho trasportes con bombas, cañones, balas tículo inserto en el número 240 del Diario Nuevo , como injurioso i que se trasportan al arsenal, y dicen que no será este el último convoy sus poderdantes. que venga. Hablase de comprar muc…</t>
  </si>
  <si>
    <t>Nápra, Miguel de</t>
  </si>
  <si>
    <t>Miguel de Nápra</t>
  </si>
  <si>
    <t>…caba » está muy conmovido.” de reunió el jurado de acusación con Mi &lt;L Febrero de idji , para que d.ntro d- ?o i m, cor.tv'j-. i:;cl ■ . | vocado por el Sr. alcalde constitucional D. Miguel de Nápra , y c m- de este anuncio , acudan .a deducirle por m r'-c el ■ !a r ha . 3 -h- D.jh pu-sto de los Sr-s. siguientes: D. Juan Isidoro Perez, O. Juan Anto Gerónimo Bermudcz , rscribjno de d'cho ¡i'zc-sdo, leq.timar.'lo mis nio López, D. Josqf Luis de Amandi, D.S…</t>
  </si>
  <si>
    <t>Nar-, Manuel González</t>
  </si>
  <si>
    <t>Manuel González Nar-</t>
  </si>
  <si>
    <t>…a* dro Moratín ¡i D. Juan Agustín Cean Bermudez, individuo «le la épocas; y finalmente se examinan con imparcialidad los vario» cuerpos academia de la Historia y de 5. Fernando; á D. Manuel González Nar- ó establecimientos que componen la armada naval de Espafia, propo ganet; á D. Josef Madrazo, de la academia de S. Fernando; á D. Sil niendo las reformas que la experiencia y la ilustración de nuestros tiem vestre Perez, de la misma, y á D. Josef Alvarez de la…</t>
  </si>
  <si>
    <t>Narbona, Ignacio</t>
  </si>
  <si>
    <t>Ignacio Narbona</t>
  </si>
  <si>
    <t>…creto de las Cortes que hatiós , a*, de Villarcayo D. Lucas Martínez j y i los de Poza D. Hilase ha citado. Esto no es asi, porque la comisión dice desde luego que non Cuntieras y D. Ignacio Narbona, quienes fueron voluntariamente estos empleados se consideren como cesantes, sin expiesar que ésten in con la columna, siendo de los primeros en loe riesgos y las fatigas. cluidos en d'cho decreto. El supuesto falso que se puede decir que exis También recomie…</t>
  </si>
  <si>
    <t>Narcisoda, Juan</t>
  </si>
  <si>
    <t>Juan Narcisoda</t>
  </si>
  <si>
    <t>…stantes. La función de Igl*»!a se ha hecho con solemni sus escuadras tendrán siempre en él un asilo seguro y un punto de sali dad , y la alocución que ha dirigido al pueblo el Dr. D. Juan Narcisoda que lea facilitará la dominación exclusiva de aquellos mares. INGLATERRA. de Torres ha producido el efecto que se podía esperar de la ilustración IjSnArn 31 de Mayo. del orador y del patriotismo d: los oyentes. En seguida hubo un es Dentro de poao conoceremos…</t>
  </si>
  <si>
    <t>Narva-z, Ramón</t>
  </si>
  <si>
    <t>Ramón Narva-z</t>
  </si>
  <si>
    <t>…ya operación fueron heridos algunos , y entre el'os D. Casimiro Cañedo, órdenes que le dió »quel , quLr. se diiouso í -.ilir con la derejs g ;;.e i ayudante decampo del general, y D. Ramón Narva-z c!e la p'.J-.a ma encontrar ¡Os cab;ci.la» que estibar, inme.ai.trs 1 r.ur-.t'z: poj.c:or..s. yor, este de fusil y aquel con una piedra de ¡as muchas que 1 s d; fe mo Fueron sorprendí toa en el &gt;, ■ loo a /uros o r; i .» úr. .0. que re», empeñados en la mas v…</t>
  </si>
  <si>
    <t>Natres, Pedro</t>
  </si>
  <si>
    <t>Pedro Natres</t>
  </si>
  <si>
    <t>…ión. , ligencia y satisfacción. Dioa -guarde i V. E. muchos años. Vich u En este momento acabamos de saber que ea el pueblo de Mura, a ae Dic^mbre d: i8&gt;i.sGxcibo. Sr.=El teniente coronel Pedro Natres horas de distancia de esta , se halla la columna que salió de esa al varro Pmgarron.sExcmo.br. comandante general del séptimo distrito.” mando de Butrón, y según noticias deberá bajar Costa muy en breve Idem ip. con la suya para obrar en combinación contra lo…</t>
  </si>
  <si>
    <t>Navairo, Juan</t>
  </si>
  <si>
    <t>Juan Navairo</t>
  </si>
  <si>
    <t>…en Amstetdaro créditos tero, pido mió io tierno: otra de D. Pedro Estraves , tutor de los ¡li austríacos anuí qu les correes oidmar o&gt; anuncias n la sub.da que dí jos niciu res de D. Juan Navairo, vecino que fue de Tortosa , pidiendo alos créditos á“bsb*n de tener con rr.ot vo de la noticia de la prisión se conceda una pensión á dichos menores eti atención í los tetviciosd* de Ali-tiáfá, y de la probabilidad que presentaba este acontecimiento tu padie…</t>
  </si>
  <si>
    <t>Navar, Pedro Jiménez</t>
  </si>
  <si>
    <t>Pedro Jiménez Navar</t>
  </si>
  <si>
    <t>…30 días. Ronda al capitán D. Diego Martínez Zapata, segundo ayudante del regimiento infamáis de Cantabria , con 670 rs. (Se continuará.') Provincia de Cataluña. Por traslación de D. Pedro Jiménez Navar ro á la judicatura de Ciudad-Real ha quedado vacante la del partido de Los dueños do los ral» de las seis dates de la creación de Mayo, Olot: se admiten memoriales con sus respectivos extractos de méritos presentados en la oficina general de renovación y expe…</t>
  </si>
  <si>
    <t>Navarre-, Martín Fernandez de</t>
  </si>
  <si>
    <t>Martín Fernandez de Navarre-</t>
  </si>
  <si>
    <t>…to». regular con las clases pioductivas,en grave daño de lamisma perfecc.on » Un ca.iigo pronto y tercia, tal como exigen las leyes para su ccrde I* vida rsligosa y contemplativa: D. Martín Fernandez de Navarre- setvacion, ahorra macha» víctima. , econom.zi la preciosa sangre r-.'ate ha sido canónigo de Santiago, y en su Conservación de monarquías es ñola , y evita ios horrendos crímenes que son causa de que se dtrramr. crita en tiempo de Felipe iv, se explica bien c…</t>
  </si>
  <si>
    <t>Navarrete, D Francisco</t>
  </si>
  <si>
    <t>D Francisco Navarrete</t>
  </si>
  <si>
    <t>…P AS A. guas maldicientes é impostoras han osado robarla la preciosa propiedad Ceuta 7 de Febrero. de su bien sentada reputación; y aunque no ignora que muchos excesos El teniente coronel D Francisco Navarrete, comandante acciden y extravíos son efectos del vértigo y trastorno de ideas que lleva consiga tal del regimiento infantería de América al entregar el mando al te toda calamidad pública , debe sin embargo anunciaros que el Gobierno niente coronel mayor D. Ang…</t>
  </si>
  <si>
    <t>Navarrete, Josef Antonio</t>
  </si>
  <si>
    <t>Josef Antonio Navarrete</t>
  </si>
  <si>
    <t>…brar ' Salas al espitan D. Francisco Vega, segundo ayudante del rrgipara plazas de magistratura de la audiencia territorial de Canarias á miento infantería de América, con 610 rs. D. Josef Antonio Navarrete , á D. Cristóbal María Falcon y i Don Csuna al capitán D. Antonio González Villamil, segundo ayu Julián Gamboa; y para una fiscalía á D. Josef Atanasio del Castillo. dante del regimiento infantería de Búrgos, con 610 rs. Secretaría del consejo de Ejtado. Fale…</t>
  </si>
  <si>
    <t>Navarrete, Luisa Camacho Gómez</t>
  </si>
  <si>
    <t>Luisa Camacho Gómez Navarrete</t>
  </si>
  <si>
    <t>…rra, Doña ba el detalle por no haberle rec.b.do. Teresa Medina de Sotariba, marquesa de Cadena, id a de Vivanco , Luego se conoció la farsa, y las noticias que continuamente se re Doña Luisa Camacho Gómez Navarrete , condesa de ta Presa Da ciben confirman su falsedad , y que los colombianos no solo padecieron mas honorarias , cond&lt;-sa de la Cortina, marques; de Aguayo, Doña mucho, vno que no pueden reparar la pérdida. Pero los pormenores se María Olabarrieta y N grete,…</t>
  </si>
  <si>
    <t>Navarro</t>
  </si>
  <si>
    <t>…obra, públicas ó trabajos perpetuos em gastos que se causen habilite á diciio ir. Gallego con ia parte que sea que se halle." Aprcbido. necesaria de la* dietas correspondía tes al Sr. Navarro, puesto que asi be levo el art. 151, que decía asi : lo dispuso en su última voluntad. Art. 151. « Lo," ge fes ;n:n Lato, de todos estos establecimiento* g.u Qug Jo* fondos de la tesorería de las Cortos se costee un están obligados, so pena de privac:cn de em…</t>
  </si>
  <si>
    <t>…er hecho oirás varias reflexiones opinó que debía ciones y penas que se prescribe» pan los impresos «n la ley de z a de aprobarse el artículo. Octubre de . 810 y en la actual.” El Sr. Navarro (D. Felipe) dijo que estaba persuadido del carácter El Sr. Sancho dijo que debía suprimirse la palabra caricatura, y sus de inviolabilidad del Rey, por el cual era acreedor á todos los respe tituir pinturas &lt;t dibujos. tos debidos á su alta dignidad , de lo q…</t>
  </si>
  <si>
    <t>wlfiá» nt wnwnd» por el groad* inconveniente que he díimetnJo. El Sr. Navarro (D. Felipe) dijo qne este artículo reformaba emeEl Sr. Omti: Ea peceño ao confundir lo que ca un juicio de Cen tameate el jh del decreto da oa de Octubre; y como so estaba aprotura, coa lo que lis aisaifcatado el Sr. Sancho , que e* una calumnia. báda la inut…</t>
  </si>
  <si>
    <t>…sobra al «*—i-h» dapó* lombia, manifestando loa deseos de adherir á la unión. Igual mensage se lición. . t enviará al Cabo para ajustar un tratado de amistad, comrrcio y alian- El Sr. Navarro (D- Felipe): Se está tmundo sobra d aso qua loa na con el Gobierno de la parta francesa de le isla. Declara residir en españoles podrán hacer de uno de loa r*yw mas sagrados que les la junta el poder legislativo; el egecutivo en el presidente gobernador conce…</t>
  </si>
  <si>
    <t>…el derecho que se concede te ramo podien aprobarse les disposiciones contenidas en los sitíenlos si al acusado se iL.be también conceder al autor de estas causas. guiente» : • El Sr. Navarro apoyó el dictamen de la comisión , pareciendo)e Art. t.° " Las juntas diocesanas que no hayan distribuido iodo el muy distinto el caso respecto de los herederos del acusado y del de producto del medio diezmo que hubieren recolectado hasta el día, y nunciante…</t>
  </si>
  <si>
    <t>…onseguido resolver el problema , el triunfo hubiera sido igual do presente el presupuesto de Estado." a’, que se conseguiría hallando la cuadratura del circulo; pero si se cree El Sr. Navarro : E&lt; una cosa bastante chácente que conociéndose que est &gt; le consigue solo con dcc.r que ios empleos se sirvan , por egem- la necesidad que hay de reformar hasta los sueldos de la mas ínfima pío, como si fu Tin una carga concejil, aunque seria un medio de sa…</t>
  </si>
  <si>
    <t>…otef Ortega.sTenienti-*, Pedro Alés.=Fausotro diputado i pero cuando me llegue el turno de la palabra habíate. tino Martin del Busto.ssFrancisco Muftoz.s:Joief Fáramo.srjoscf MuEl Sr. Navarro: El Sr Argüelle* ha entendido muy mal mi pro- nuse.sejoaquin García.sjuan Tomas Lozano.sMariano Colubi.=Joapetición. Si no me he equivocado, esta mañana ha dicho este Sr.dipu quin ¿iriacina.= \ndres Fernandez.mGabriel déla Ballina.sKamon tado cuando te tratab…</t>
  </si>
  <si>
    <t>…ineo, impidiendo que nuestras produc que con motivo del precioso legado que dejó á dicho establecimiento el ciones y efectos se introduzcan en Franela sino por la aduana de Sr. ex-diputado Navarro, se autorice al bibliotecario á fin de que con pre Beobia, se mande no te admitan las producciones 7 efectos procedentes vio conocimiento de la Diputación permanente reclame todos aquellos de Francia por nuestra* aduana* de Aragón y Navarra, y sí solo por obj…</t>
  </si>
  <si>
    <t>…mordial que ha tenido para fijar esu base ha si de i8ig. do la conveniencia y necesidad de esta medida , y al mismo tiempo la Se leyó la medida 8.a con la adición propuesta por el Sr. Navarro potestad de las Cortes para decretarla sin contravención á la Constitu Te jeito, por la cual se autoriza al Gobierno para que en vista de lo ción- ni á los principios liberales. A este argumento se le ha dado ya que resulte de los informes de la diputación pr…</t>
  </si>
  <si>
    <t>…omía» que te harían El Sr. Cano: Conozco muy bien la necesidad de dar impulso i por medio de particulares. nutstro comercio, y que i ello puede contribuir la cantidad que se pi El Sr. Navarro; Todos sibemos que las naciones pueden hacer con de para caminos; { pero está la Nación en el caso de sufrir las contri sumos reproductivos y consumos estériles, y es necesario ver la situa buciones que habian de imponérsela con este objeto ? Yo creo que la c…</t>
  </si>
  <si>
    <t>Navarro, Alberto Ibar</t>
  </si>
  <si>
    <t>Alberto Ibar Navarro</t>
  </si>
  <si>
    <t>…,000. Murcia interventor D. Tomas Pefia, oficial cesante de la dirección A tos -individuos de la dirección y de rentas. mayoría general de la armada por un Calatayud administrador D. Alberto Ibar Navarro , contador ce mes de sus goces de sueldo y gratificasante de propios, con sueldo de r i3 rs. Interventor D. Ramón Gayo- 31,101... 1. so González, subteniente del resguardo. A los escribientes de las dependen Cuenca interventor D. Antonio Diez, oficial de la c…</t>
  </si>
  <si>
    <t>Navarro, Andrea</t>
  </si>
  <si>
    <t>Andrea Navarro</t>
  </si>
  <si>
    <t>…ete ha seguido este cuerdo parecer, peto cierta tes, D. Bernardo Asenjo, marques de Torrenueva, D. Angel Bonalcorte ha maniLstado una opimon enteramente opu sta, la cual dicen toy D. Andrea Navarro; y habida la conferencia que previene la ley que sen apoyada por otra gran potencia del Norte.” de libertad de imprenta, declararon por unanimidad haber lugar A la Cor tioíu la mayor confus.on en las noticias de tos griegos: algia- formactun dt causa. nos pre…</t>
  </si>
  <si>
    <t>Navarro, Andrés</t>
  </si>
  <si>
    <t>Andrés Navarro</t>
  </si>
  <si>
    <t>…Fernandez Casariego, D.Isidro de Hoyos , conde de Florida-Blan y su madre Doña Concepción Zu’.uaga, 4 fin de que concurran 4 la pre ca , D. Valentín Nicolás , D. Antonio Quiroga, D. Andrés Navarro sencia de S. S. en su audiencia en el preciso término de seis dias 4 eva y D. Josef Keieer. cuar cierta diligencia acordada 4 instancia del marido de la primera; con Reunido el jurado y habida le conferencia, se declaró por unanimi apercibimiento que de no ha…</t>
  </si>
  <si>
    <t>…abras de Melchor val ios, i). Marcos Izquierdo, D. Jostf Antonio Ponzoa, D. Martin Za- Cakeron.—Otro en alcabala! d: Olmedo de 31,616 mrs. en cabaas del randia , D. Rafael Costa , D. Andrés Navarro y D. Sebastian Andrés. mismo. La persona en cuyo poder te hállen se servirá entregarlos en la Reunidos dichos Sres., y observadas todas las formalidades que pre casa de dicho señor en esta coru, calle ancha de S. Bernardo, núme viene la ley de libertad de imprenta, declararon por…</t>
  </si>
  <si>
    <t>…elicidad de loa pueblos , liber Señores que compusieron el jurado: D. Angel Bonalto, D. Joa tándoles del yiigo ominoso que hasta ahora han sufrido, y debemos quín Huerta Cevallos, D. Andrés Navarro, D. Francisco Trarcsedo, procurar hacer conocer al pueblo las ventajas del sistema. No nos de D. Santiago Delgado, D. Manuel Gallego, D. Isidro Merino, Don tengamos para esto en un principio mal aplicado y equivocado. Las Cor Cárlos Romeral, D. Juau Labio Pas…</t>
  </si>
  <si>
    <t>…tendrán contra los contribuyentes la mis D. Santiago Dr vado, D. Andr.t A-con , D. Manuel hst.ban Cama acción de apremio que los intendentes usaren contra ellos. Art. 2 2. tata , D. Andrés Navarro , D. Simón González Yu-t , D. Isidoro deEl Gobierno fijará los plazos en los que los ayuntamientos hayan de Ho&gt;os, D. Ánton o banda 10 de Anas, D. Antonio Gamonal y Donentregar en tesorería el importe de las contribuciones, y dictará las re Lorenzo Lambea. Ha…</t>
  </si>
  <si>
    <t>…sde el folio *34 basta el final. Gregorio de Isasi. =Cipriano González Espinosa, secretario.*’ Bn su vista se reunió el jurado, compuesto de loa Sres. siguiente*: D. Rafael Costa, D. Andrés Navarro, D. Manuel Gallego, el Ayuntamiento constitucionaI de Cádiz. conde de Torre del Fresno , D. Celestino Olozaga , D. Bernardo Por acuerdo del Excmo. ayuntamiento incluyo á V. S. copia del Asenjo, D. Juan Pablo Pascual, D. Juan Luque y D. Julián de oficio que le…</t>
  </si>
  <si>
    <t>…porque no es justo, y cual , D. Josef Demetrio Rodríguez, D. Santiago Delgado, D. Fran lo segundo porque consideran cita máxima perjudicial de la interven' cisco Martínez Marina, D. Andrés Navarro , D. Domingo Fernan cion como un principio contrario á la paz de las ilaciones. dez Angulo y D. Francisco Colombo. Habida la conferencia , resultó por unanimidad haber lugar i la for ARTICULO DE OFICIO. mación de causa. VARIEDADES. Circular Ael ministerio Ae…</t>
  </si>
  <si>
    <t>Navarro, Angel Jiménez y</t>
  </si>
  <si>
    <t>Angel Jiménez y Navarro</t>
  </si>
  <si>
    <t>…eise a ella. Aprobado. reunión de los representantes de la Nación para lo» año* ia y ij. En La misma , en vista de la solicitud de Doña Antonia Franco , viu esta función pronunció D. Angel Jiménez y Navarro, vicario de esta da de D. Tomas García, cabo que fue del reaguardo de Redondel*, parroquia, un corto pero elocuente discurso, manifestando en primar ira que se le concediese un* pensión, opinaba que no podía accedería lugar que en aquel dia debian salir del r…</t>
  </si>
  <si>
    <t>Navarro, Antonio</t>
  </si>
  <si>
    <t>Antonio Navarro</t>
  </si>
  <si>
    <t>…iven del teso Decreto de S. M. concediendo una pensión á la hermana del con ro público, que desde i. de Julio anterior cesó de distribuir por me tador del Crédito público de Soria D. Antonio Navarro. (Gaceta nor ios fondo» del Estado. Esta atribución corresponde en et día á los del jo ) respectivos pagadores d: los ministerios establecidos en la corte. No Decreto de las Cortes sobre la tarifa del pone de cartas. (Gaceta obstante este nuevo método observa…</t>
  </si>
  <si>
    <t>Navarro, Antonio Albairacin y</t>
  </si>
  <si>
    <t>Antonio Albairacin y Navarro</t>
  </si>
  <si>
    <t>…ene el reglamento en esta parte; y levantó la se 181 a , para que los que se consideren con derecho á los bienes quedados sión i las cuatro menos cuarto. por fallecimiento del Dr. D. Antonio Albairacin y Navarro, preben dado que fue de la catedral de Murcia, lo deduzcan en dic'.o tribur.al; — En párrafo de Barcelona dejamos publicadas las noticias que se in bajo apercibimiento de que no haciéndolo , les parará el perjuicio que sertan en ios periódicos de aquella capi…</t>
  </si>
  <si>
    <t>Navarro, Cristóbal</t>
  </si>
  <si>
    <t>Cristóbal Navarro</t>
  </si>
  <si>
    <t>…untamiento de la Coruña r esta Francisco Jimana, D. Cirio* Marrngal, D. Rafael Cu&lt;d, D- Juan porbio, émulo de vuestras eminentes virtudes i incomparab'es glorias. Francisco Alomo, D. Cristóbal Navarro , D. Joaquín Somoza , D. Jo Vencisteis: llenasteis de asombro í todos los espectador:* por vu-stra sef CaamaSo, D. Mate© Vnlaeco , D. AgutíaMuio 4c la* Hcra*, Don amble fidelidad nacional; pero no os entr-gueit a las delicias deCapua: Celedonio de Salazar , D…</t>
  </si>
  <si>
    <t>Navarro, Felipe</t>
  </si>
  <si>
    <t>Felipe Navarro</t>
  </si>
  <si>
    <t>…es , se les publique y circule. = Está rubricado de la Real mano.=En Palacio cita y emplaza, como á cualesquiera otros que tengan ínteres en la depen á 3 de Noviembre de 18a». = A D. Felipe Navarro." dencia , para que concurran por sí ó por sus legítimos apoderados con Circulares del ministerio de ¡a Goteruacion de la Península. los documentos comprobantes de su personalidad al acto de la enuncia Al gefe político de la provincia de Lugo digo con esta fe…</t>
  </si>
  <si>
    <t>Navarro, Felipe Bcancio</t>
  </si>
  <si>
    <t>Felipe Bcancio Navarro</t>
  </si>
  <si>
    <t>…ncaso de ser empleados dei circuíi.nEslá rubricado de la Real msrio.nrEa Paiacio á i,° de Di Gobierno, y si no lo fueren serán recompensados sobre el erario pú ciembre de 1822.e=A D. Felipe Bcancio Navarro.” blico con una pensión proporcionada. Art. 6-° « La gracia de que había el artículo anterior será extensi El Gobierno ha recibido ios caries siguientes. va á las viudas é hijos de los qua hubiesen fallecido con las armas El general en ge fe del egército de o…</t>
  </si>
  <si>
    <t>Navarro, Fernando</t>
  </si>
  <si>
    <t>Fernando Navarro</t>
  </si>
  <si>
    <t>…jos perpetuos podra , después de estar en el.o, 10 La comisión encargada de proponer las medulas necesarias para años , pasar ¿ la deportación.” cumplir la última voluntad del Sr. diputado D. Fernando Navarro, « Per «1 mismo medio el deportado podrá obtener en su deporta creyendo faltar á la just.cia que se merece tan Uigno d.putaao si no ha ción , dapues de estar en ella ro aros , algunos ó todo, los derechos cia una reseña de las virtudes y servicios de tan d.st…</t>
  </si>
  <si>
    <t>…e dicta La comisión que presentó su dictamen sobre el modo de llevar 4 men , pues algunos de los derechos que se pagaban se destinaban 4 efecto el testamento y última voluntad del Sr. D. Fernando Navarro, loe establecimientos de instruecion pública. Por estas razones opinó que diputado que era en l« actúala Cortes por la provincia de Cataluña, no debie aprobarse dicho dictamen. habiendo examinado la proposición del Sr. Alemán, relativa 4 que los El Sr. Rovira…</t>
  </si>
  <si>
    <t>…radas preten su fecha jo del corriente, en Valencia, manifestando al br. presidente siones no sirven mas que para mover las pasiones, y para excitar el zeto que la 1 breria que el diputado D. Fernando Navarro había legado i de los ciudadanos; pero á seguir este impulso con demasiada docilidad, las Cortes , se bailaría ya en esta capital, puesta en 38 cajones, su pe lejos de aproximarnos hacia nuestro objeto nos alejaríamos de él; y este so 480 arrobas catalanas, y…</t>
  </si>
  <si>
    <t>Navarro, Francisco Antonio</t>
  </si>
  <si>
    <t>Francisco Antonio Navarro</t>
  </si>
  <si>
    <t>…artículo recibiesen la aprobación «le las Cortes los modelo* de que Se resolvió que pesase al Gobierno, y le misma resolución recayó se hacia mención en ¿1. sobra una solicitud de D. Francisco Antonio Navarro, vecino de Se El Sr. Infante contestó que la comisión, por no creerlo necesario y villa, y otra de D. N. Fernandez, presbítero, proponiendo varia* me por no causar mas gastos, no los había impreso ; pero qtt podrían lat didas para destruir á lo* facciosos, y…</t>
  </si>
  <si>
    <t>Navarro, Gerónimo</t>
  </si>
  <si>
    <t>Gerónimo Navarro</t>
  </si>
  <si>
    <t>…to luego que le estación lo del profesor aprobado en la misma facultad D. Ildefonso Torra, con permita, es decir, á últimos de ette etc* ó principio» de Mayo. «istencia del médico D. Gerónimo Navarro y los ayudanta necesarios, Examinando atentamente el ettadoda le Europa y el impulso de las «o te persona de Juana Antonia García , de esta vecindad, do edad da opiniones encontrada», no podré negarte que la época aetuataerá proba gd años, «te constitución ro…</t>
  </si>
  <si>
    <t>Navarro, Josef Alcántara</t>
  </si>
  <si>
    <t>Josef Alcántara Navarro</t>
  </si>
  <si>
    <t>…e ven. Yo estuve en esas funciones; pero fui como consejero de estado ñores como proponía ia comisión. que era entonces , lo cual lo puedo probar. Málaga. D. Juan Oliver y García, D. Josef Alcántara Navarro El Sr Canga Arguelles manifestó que por haber hecho el señor y D. Juan Blak. La comisión, después de haber examinado los pode Cuadra una especie de inculpación á la comisión debía decir que ola res de estos interesados, y asimismo el acta de elección , opinaba que no ten…</t>
  </si>
  <si>
    <t>Navarro, Josef Ayuso y</t>
  </si>
  <si>
    <t>Josef Ayuso y Navarro</t>
  </si>
  <si>
    <t>…adura. D. Josef diendo en sus artículos todas las providencias que parecieren masé pro Cartagena á la de Sevilla. D. Fernando Josef de Toledo á la de Arapósito para el objeto. on. D. Josef Ayuso y Navarro á la de Granada. D. Josef lañe y 4.0 » Que se fije un plazo itnprorogable da seis meses, dentro del f.opez á la de C.cere». D. Pedro Jacobo Pizarro, fiscal, a la de As cual los pueblos hayan da presentarse á liquidar los alcances que tuvie túrias. ren por atr…</t>
  </si>
  <si>
    <t>Navarro, Juan Josef</t>
  </si>
  <si>
    <t>Juan Josef Navarro</t>
  </si>
  <si>
    <t>…arlo» en la plazue Domingo Mendez, cabo de la i.1 compañía de infantería del resguardo la de Santa Ana, casa chica «U! conde del Montijo, cuarto bajo, y se militar de Extremadura, D. Juan Josef Navarro, D. Pedro Labrada agradecerá. y D. Antonio Perez, toldado* de la 3.' compañía de caballerrí* del Deseando la mayor comodidad y menos gastos de las que te intere mismo cuerpo, en solicitud de que se lea exima de pasar 4 Extremadura, sen en I* compra de ganado…</t>
  </si>
  <si>
    <t>Navarro, Mariano</t>
  </si>
  <si>
    <t>Mariano Navarro</t>
  </si>
  <si>
    <t>…de utensilio y paja. au sol-citud, conform: lo proponía la diputac’on provincia!. Aprobado. San Juan Je Uua Marzo 8. Esto siue tranquilo y sin novedad. Otro sobre la solicitud d_- D. Mariano Navarro y mncirr-., veci El 14 de F brero se verificó la apertura d 1 Congreso mexicano, don nos de un pueblo de la provincia de Aragón , para que se permitiese de lució Fch.ñique de un molo que nadie le entendió; pero para sal al ayuntamiento del mismo, que enagecas…</t>
  </si>
  <si>
    <t>Navarro, Valentín</t>
  </si>
  <si>
    <t>Valentín Navarro</t>
  </si>
  <si>
    <t>…o A D. Antonio Pelaez, teniente del regimiento infantería Guadalajars á D Benito Escalante, teniente del regimiento de za de la Corona, con £70 rs. padoras, con 570 rs. Talavera i D. Valentín Navarro, teniente ds infantería agregado Hetiín a 1&gt;. Jos f Beamurzuía, t niente de infantería y del bata al batallón de la milicia activa de Badajoz , con 450 rs. al m.-s. llón de la milicia act va de Murcia , con 4go rs. al mes. Tuy i D Antonio Fernandez Careaba ,…</t>
  </si>
  <si>
    <t>Navarros, Vicente</t>
  </si>
  <si>
    <t>Vicente Navarros</t>
  </si>
  <si>
    <t>…e pódate de tenia empleo en palacio, cuanto porque no había habido reclamación los Sres. D. Vicente Gisbert, D. Martin Serrano, D. Lorenzo Villaalguna contra esta elección. nueva, D. Vicente Navarros D. Bernardo Falcó, D. Manuel Beltran El Sr. Galiano manifestó que debía observarse á la letra la Consti de Lis, D. Jaime Gil Ordnfia, D. Juan Rico y D. Francisco Belda y tución respecto de lo que previene en este asunto, no habiendo nada Asentio, en los cuales no babia ninguna…</t>
  </si>
  <si>
    <t>Navas</t>
  </si>
  <si>
    <t>…uso en un país de contemplamos ya como un cuerpo compuesto de hombres valientes, Gobierno representativo. esforzados , aguerridos, hechos á vivir unidos, y capaces de emprender El Sr. Navas opinó que no era necesario poner la cláusula de sabien le todo, de resistirlo todo, y de presentar el pecho i todo cuanto se do la prohibieion, por cuanto la ignorancia no era excusa del delito, y asi opongaá nuestra preciosa Constitución. ¡Valientes milician…</t>
  </si>
  <si>
    <t>…el que se le privase de las como son en sí. Las Cortes saben que el resello de los medios luises no fincas. se principió hasta el mes de Diciembre, á causa de que todos los que El Sr. Navas impugnó el artículo, insistiendo en que era opuesto tenían moneda de esta clase procuraban deshacerse de ella, 7 aguarda al decreto de ay de Junio, por el que se dejó al culto 7 clero el me ban á la última hora para presentarla en la casa de moneda. Lo que di…</t>
  </si>
  <si>
    <t>…que hablaba el les decimos con la confianza que inspira la inocencia: Mentís, infames. artículo que se discutía. » Son ya bien conocidos los que se han aprovechado dd nombre ce El Sr. Navas manifestó que estando persuadido de que no era ne un desgraciado prófugo (Sandoval) para acreditar estas infamias, es cesaria la ley de que se tr«luha. le habian hecho variar Je cp.n en , s cribiéndolas ó propagándolas : con todo aun es mas concedo el fin á o…</t>
  </si>
  <si>
    <t>…istros El Sr. Gareli dijo: No responderé á la objeción que ha hecho el nadie tiene obligación ni debe obedecerlo. ; Los ministros no están su Sr. preopinante, reproduciendo la del Sr. Navas sobre la extensión que jetos i responsabilidad ? Pues esta pone totalmente á cubierto la res puede tener este artículo, porque ya lo he hecho anteriormente; solo ponsabilidad Real; y repito que como todo ciudadano no deb: obe rectificaré algunas equivocacione…</t>
  </si>
  <si>
    <t>…n ya pre al tiempo de entregarle en la casa Nacional de Madrid el impone de Ico vistos en el código penal. medios luisa que presentó al resello, un billete de indemnización que El Sr. Navas dijo que las Cortes actuales no podian tratar «le este no le correspondía en tugar del suyo, se servirá presentarse para des artículo, en razón de que nada tenia que ver con el derecho de peti hacer dicha equivocación. ción , que era lo que el Gobierno había…</t>
  </si>
  <si>
    <t>Navas, Eustaquio</t>
  </si>
  <si>
    <t>Eustaquio Navas</t>
  </si>
  <si>
    <t>…e un gran número de pidiendo se dijese que ha sido grata á las Cortes la conducta de los pueblos de dicha provincia habían expuesto i la misma que carecían mismos pueblos: otra de D. Eustaquio Navas, haciendo presente que absolutamente de recursos pare cubrir los gastos mas urgentes, y manha sido uno de los individuos de! egército de la Isla, y pidiendo se lle dádoseles que propusiesen arbitrios, habían contestado que no tenían vase á efecto un premio qu…</t>
  </si>
  <si>
    <t>Navas, Martin González de</t>
  </si>
  <si>
    <t>Martin González de Navas</t>
  </si>
  <si>
    <t>…s montes de Aibar 7 Olaz , se Slamo* para recoger el importe que han adelantado. dirigió tu principal fuerza í Lumbier por Nsrdnes, tomando también Oración fúnebre que dijo el Dr. D. Martin González de Navas, alguna , 7 bastante número de heridos , el camino de Atlieda por Ta- canónigo de la iglesia de S. Isidro de Madrid, en las solemnes exequias bar. Yo, á pesar de lo mucho que. había trabajado la tropa, seguí exac que oelebró el Excmo. ayuntamiento constitucio…</t>
  </si>
  <si>
    <t>Navas, Martin Josef</t>
  </si>
  <si>
    <t>Martin Josef Navas</t>
  </si>
  <si>
    <t>…des de reí, Las últimas noticia* de Viena, recibidas en Ñurembétg, conte *o9 y ac9 rs. que L&gt;. Ramón Etutain , del comercio de Madrid , re nían lo que sigue: mitió con so endoso á D. Martin Josef Navas, residente en Pamplona, » El senador ruso Tatischríf continúa teniendo frecuentes conferen en carta de t." de Octubre del afio pr/.x mo pasado, te suplica á la per cias con el príncipe de Metternich.'Aunque nada se trasluce aceros de lo sona en cuyo poder se…</t>
  </si>
  <si>
    <t>Navas, Vicente</t>
  </si>
  <si>
    <t>Vicente Navas</t>
  </si>
  <si>
    <t>…puen del Sr. Ferrer (D. Joaquín): » Que en atención al mérito y servicio* tes de A'uiaraz, Cardenal y Alcántara sobre el Tajo, y el de Totines que ha contraído en el Perú y Chile D. Vicente Navas, se le recomien sobre el Duero. de al Gobierno. Se leyeron por primera vez varias proposiciones, que en extracto El Sr. Seoane leyó la cuarta parte del código sanitario , y se acordó son las sisuicr.tss: K imprimiese. Una dei r. Zulueta sobre que sr admita en…</t>
  </si>
  <si>
    <t>…e el de marque* Jct'f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 D. B rnardo Rodríguez, ahora quiénes ton los poseedores d 1 estos títu'os, sin embargo de las D. Pablo haracibsr, D. Manuel Silva, D. Jo…</t>
  </si>
  <si>
    <t>Navascues, Joaquín</t>
  </si>
  <si>
    <t>Joaquín Navascues</t>
  </si>
  <si>
    <t>…municación, la consi Valencia. Sábese también por noticias de Borja haber sido conducido dero también como una verdadera prisión , y esto en mi concepto es á la cárcel el titulado comandante Joaquín Navascues, teniente coro una pena que debe ser el producto de Jas averiguaciones del poder ju nel nombrado por la junta de Mcqu.nenza, con otros dos mas. La* dicial. Asi pues, y mediante á que no ha llegado el caso de que en facciosos mandados por este , que apareciero…</t>
  </si>
  <si>
    <t>Ncbot</t>
  </si>
  <si>
    <t>…honor, como verdadero patriota , y en fin como amante sincero ds la Castellón de la Plana 14 dt Setiembre. Constitución y del Rey const Iticionaí ; piro no le perdonamos el que El brigadier Ncbot ha publicado el bando siguiente: » Españoles, haya tenido la paciencia de contestar á las 73 líneas de la caita del ba á quírnes el fanatismo y el ínteres de unos pocos ha conducido al de rón con otras 43. Creíamos que con dos frases quedaba bien dada la con…</t>
  </si>
  <si>
    <t>Ncbot, Asensto</t>
  </si>
  <si>
    <t>Asensto Ncbot</t>
  </si>
  <si>
    <t>…es traidor ni perjuro. B. S. M Scc.” y contra vuestros mismos intereses: el brigadier de los egércitos nacio Lo curioso de esta carta (que leemos en 4 de Octubre) es que el nales D. Asensto Ncbot, antes de empuñar la espada que el Gobierno Sr. barón, considerando como á un niño il Sr. Gayan, le d ce ¡ n Tene ha puesto en sus manos para vuestro exterminio, y el de cuantos se mos seguridad de que por todo este mes (la caru es del 8 de Setiembre atrevan…</t>
  </si>
  <si>
    <t>Ne</t>
  </si>
  <si>
    <t>…Emperador saldrá de l'etersburgo el 16 para Varsevia, desda coa lo* bárbaros, cuya fregancia en Europa es coa tacha para 1*» na cuya ciudad se dirigirá á Vicju. Le acampanaran el conde Ne**eirode, ción;* existan**.</t>
  </si>
  <si>
    <t>Ne.u, Jotcf Fernandez</t>
  </si>
  <si>
    <t>Jotcf Fernandez Ne.u</t>
  </si>
  <si>
    <t>…de la la, amar'a y b-ndrciri» , p &lt;rque los traidores ser-it» bardos y acabadas, misma. y el etcarmtr nto d-‘ iwañara a lo* tibios. Kl fuego nacional no sr apa Coruña interventor D. Jotcf Fernandez Ne.u, oficia! segundo de gará jamas, y tí subsistir. ene-nado en la* cn|i aftas del patnot-smos la cortaduna de Tol do. tus erupciones aerm aLuaa vrz mas espantosas que las del Etna y el burgos interventor D. Agustín González Villa, contador que ha Vcsub o. sido d…</t>
  </si>
  <si>
    <t>Nebor, Vicente Jaudenes y</t>
  </si>
  <si>
    <t>Vicente Jaudenes y Nebor</t>
  </si>
  <si>
    <t>…os é instrucciones convenientes para el gobierno de su pa miento. Madrid &lt;0 de Mayo de 1812. gaduría é intervención. 14. •&gt; Asimismo formará el ministerio de Hacienda los reglamen D. Vicente Jaudenes y Nebor, caballero de la Real y distinguida tos é instrucciones que hayan de regir en ia tesorería general, contadurías orden de Cirios m, intendente de ejército honorario , y en propiedad de Valores y de Distribución , direcciones de ia Hacienda nacional, de esta pr…</t>
  </si>
  <si>
    <t>Nebot</t>
  </si>
  <si>
    <t>…la comi artillería de Valencia y 13 coraceros, añadiendo también que el mis eran tengan la bondad de presentar á la deliberación del Congreso el mo día debía caer sobre Cherta el brigadier Nebot. único artículo que compete a las ordenanzas militares. Como la llamada regencia de Urgel es un objeto de risa para loa El Sr. Velasco contestó que interesando sobremanera á los cuer catalanes fieles, cuentan de ella varias cosas que mis b en nos inctinam' *…</t>
  </si>
  <si>
    <t>…e dio, oficial segundo de la tesorería de a. M. : ei P. Fr. Pedro Tellez, por todo este mes estatúan uniformados. agonizante en el convento de Alcali D. Josef Alejo Mirabel (el Él brigadier Nebot con unos 130 hombres continuaba en Tor- Moreno), teniente coronel: el temerte D. i'. Tafazona ó Díaz, D. Fran tosa' había salido días antes en busca de cuatro correos atrasados que cisco Moso , oficial de la curia eclesiástica y L&gt;. Josef Solera , presbítero,…</t>
  </si>
  <si>
    <t>Nébot, Vicente Jatidén-’s y</t>
  </si>
  <si>
    <t>Vicente Jatidén-’s y Nébot</t>
  </si>
  <si>
    <t>…Cacho , D. Joaquín de Abad y D. Mariano Catalan. miento y gobierno d; es: tribunal. Aran.uz ió de Mayo de 1022. Habiendo calificado los jueces de hecho con la nota de injurioso en D. Vicente Jatidén-’s y Nébot, caballero de la Real y distinguida primer grado desde la palabra parece hasta donde dice incompetentes el OrJ:n de C*r!n, ni, ¡nt.ii úiue ds egeicito honorario, y en propiedad artículo inserto en el número 35 d.l Zurriago, denunciado a nombra de esti provinc…</t>
  </si>
  <si>
    <t>Negrete, Pedro Calestino</t>
  </si>
  <si>
    <t>Pedro Calestino Negrete</t>
  </si>
  <si>
    <t>…l inmortal Padilla , á vosotros debe la pattia servicio tan la propuesta hecha por el Congreso constituyente. importante. Vosotros no os detuvisteis en abandonar vuestros bogares, D. Pedro Calestino Negrete. D. Josef Mariano Almansa. D. Ma preferisteis el procomunal i vuestras caras esposas y tiernos hijos; opu nuel Velazquez de León. D. Manuel de la Bircena. D. Nicoias Bravo. sisteis á guerreros infames vuestros pechos de bronce, y loa aterrasteis D. Pedro del…</t>
  </si>
  <si>
    <t>Negretf</t>
  </si>
  <si>
    <t>…ca y N-caragua__futrí los go caballeros grandes cruce* s« quieta les. Estad seguros , soldados, de que el que os condujo á la vic hallan los s;cr -tarios del D spacho, ei teniente general Negretf ,el es toria si irá siempre el escudo de vuestra b en merecida opinión de hon pitan general de provincias internas Eustamante, Quintanar, Loaces, rados, valientes y prot .atores de la prosp-ridad di la patria: estadio, Guerr ro , el Sr. Hua-te, padre di la F.…</t>
  </si>
  <si>
    <t>Negri</t>
  </si>
  <si>
    <t>…e ellas se cuentan las siguientesEl Senado tiene e*rca de sí un ministerio encargado de la egecucioa Roberto Stewart, vizconde de Castlereagh, marques de I nde sus resorciones. El Sr. Negri, como ardhicancilter y mmi.tro de donderry, secretario del Despacho de L:tado de 0- M i. , .crd ;eEstado, ocupa el lugar mas emin.'nte. Es un hombre lleno de luces y ttiente del condado de Londonderry, conseje 10 privado , nn mtiu cd de ciencia , y versadísim…</t>
  </si>
  <si>
    <t>Negrillo, Juan Blasco</t>
  </si>
  <si>
    <t>Juan Blasco Negrillo</t>
  </si>
  <si>
    <t>…dividuo de ia comisión de es de haber concluido, ó al tiempo mismo de finalizar sus estudios: estos tadística. pueden muy bien obtener los destinos de que se trata , reuniendo las Sr. D. Juan Blasco Negrillo, coronel de caballería de los egércitos calidades que se prefijan: calidades necesarísimas, porque yo mas quiero nacionales, visitador de socorros domiciliarios, é individuo de &lt;a» co por juez á un alcalde de un pueblo que tenga moralidad y rectitud, que misi…</t>
  </si>
  <si>
    <t>Negrillo, Manuel</t>
  </si>
  <si>
    <t>Manuel Negrillo</t>
  </si>
  <si>
    <t>…uestro poder hasta i jo del Principe D. Manuel Villar, y los alféreces del de Luwunia Don armas de fuego, sin contar con otras muchas qud en su fuga tiraron, Santiago Balderrama y D. Manuel Negrillo puede decine que lian si y que no te pudieron recoger. Puedo asegurar 4 V. S. que ha sido tal la do los primeros soldados de la columna , pu^s al momento del ataque dispertioo ,que el mayor srupo'que huía delante de nosotros no pasaba se les vió 4 la cabeza d…</t>
  </si>
  <si>
    <t>Negro, Luis</t>
  </si>
  <si>
    <t>Luis Negro</t>
  </si>
  <si>
    <t>también cuando (a división económica M acomode á la política. quina de aserrar inventada por D. Luis Negro; y el arte de tirar las En la nueva redacción de las ideas de la comisión sobre la planta planchas de plomo se ha adelantado mucho por Puídulles. de los gobiernos políticos ha atendido al mejor servicio de sus secre En fin, son infinitas las mejoras y adelant…</t>
  </si>
  <si>
    <t>Neira</t>
  </si>
  <si>
    <t>…nombró para la comisión de Milicias nacionales al Sr. Escovedo vertí que esta es solo para el ciudadano que cumple con la ley , y no ea lugar del Sr. Lamas; para la de Política al Sr. Neira; para ¡a d- li para el que la infringe abiertamente, y que de ningún modo puede con bertad de imprenta al ir. Sai vi, p.ra la de Peso* y medidas á los seño cederse al qu- so¡o se sirve de ella para privar de la misma á sus conciu res Lamas y Balda; y pan la p…</t>
  </si>
  <si>
    <t>…men, y quedó acometido , se le impondrá la pena de dos años de rigurosa prisión aprobada la adición. inmediatamente que se justifique el delito. Por estar el enemigo á la Otra del Sr. Neira al art. 4®, para que en el caso del artículo se vista se entiende cuandy se halla hasta la distancia de diez leeuas hacia rebajen los puestos públicos desubastas, reduciéndolos i una cantidad el interior del país ó hícia la costa , respecto á que de cualqu'er…</t>
  </si>
  <si>
    <t>Neira, Basilio</t>
  </si>
  <si>
    <t>Basilio Neira</t>
  </si>
  <si>
    <t>…enda que este último individuo sese inmediatamente oficio al Gobierno, á fia de que reclamase *1 no debería intervenir en ello. ¡Y esta medida es suficiente para que ins poder del Sr. D. Basilio Neira, electo diputado por Extremadura. piren confianza la* juntas diocesanas i Se me dirá que la responsabilidad Se leyó, y te acordó que quedas* sobre la mesa pan que el sefiot i que están sujetos los individuos que las componen es suficiente. Pero, presidente se…</t>
  </si>
  <si>
    <t>Neira, Basilio de</t>
  </si>
  <si>
    <t>Basilio de Neira</t>
  </si>
  <si>
    <t>…la compiñía de Filipinas para in be aprobó el dictamen de la comisión de Poderes acerca de los troducir 40 millones de reales en géneros asiáticos por la antic pi presentados por D. Basilio de Neira , primer suplente de Extremadura, dón que habia hecho el Gobierno en apuradas circunstancias , advir- ni melado venir en reemplazo del propietario D Laureano Escamóla; tiendo qu: este habia sido un permiso espontaneo, esto es, sin pre los cuales juzgaba estar…</t>
  </si>
  <si>
    <t>…ciones al decreto sobra Se leyó y aprobó el acta de la anterior , y en seguida entró i jurar rebaja general de sueldos, hechas por los bres. Gómez Becerra, Loria y tomó asiento el Sr. D. Basilio de Neira, diputado por la provincia res , Seoane y Alonso, para que se comprendan en ia icbaja ios em de Extremadura. pleados del Créd to público , y los municipales que cobran sus sueldos Se mandó insertar en el acta de la sesión anterior el voto particular de los lo…</t>
  </si>
  <si>
    <t>…e Se dió cuenta de un oficio del Sr. secretario de la Gobernación de aquello que puede hacer uno mismo, y finalmente que lejos de :er mas la Península, acompañando los poderes del Sr. D. Basilio de Neira, libre se le sujetaba á trabas y á dilaciones. diputado por la provincia de Extremadura. Discut do el punto suficientemente , no «* aprobó el artículo, y se A la comisión de Guerra se pasaron tres exposiciones, una de los mandó volver á la comisión, como igua…</t>
  </si>
  <si>
    <t>Néjera, Miguel de</t>
  </si>
  <si>
    <t>Miguel de Néjera</t>
  </si>
  <si>
    <t>…Milán por si y en nombre del ayuntamiento y comea de vecinos del mismo, el año de 1784, y añadida con discursos analíticos í cada tomo para denunció al Sr. alcalde constitucional D. Miguel de Néjera un artículo ^ueel lector pueda entrar á leerla con mayor conocimiento, acudirin imeio en el núm. 206 del Universal, que principia: „Sr. editor del Uni a recoger el tomo 7.0 y anticipar el importe del 8C, que saldrá á la po* versal .- muy señor mió. Por el cor…</t>
  </si>
  <si>
    <t>Nestrlrode</t>
  </si>
  <si>
    <t>…ara al consejero privado y senador P vort' mientras dur: la amencia fiel porgar vuestro patrio suelo de unos monstruos saoru natíos que de cooscjcro privado 7 secretario de heredo conde Nestrlrode. mucho tiempo á esta parta oa están llenando de oprobrio, y aniqua-</t>
  </si>
  <si>
    <t>Neuville, Uida de</t>
  </si>
  <si>
    <t>Uida de Neuville</t>
  </si>
  <si>
    <t>…o arreglo mas extenso y duradero, han dado respectivamente sos poderes fAImansta habiadicho en su nlimero del as de Julio acerca de ha- cumplidos; á saber: ¡&gt;. M. Cristianísima al barón Uida de Neuville, b:;i5 presentado un almirante francés delante déla isla de S. Bartolo cabu lero de la orden Real y militar de S. Luis, comendador en &gt;a la— mé , publica la siguiente carta, que el gobernador da la Martinica di gion de honor, gran cruz de ¡a orden Real americ…</t>
  </si>
  <si>
    <t>Nevares, Miguel Cabrera de</t>
  </si>
  <si>
    <t>Miguel Cabrera de Nevares</t>
  </si>
  <si>
    <t>…ar. gefe político de esta pro ra.— Nuestra fortificación se halla muy adelantada; solo nos fa.tan para vincia. un caso de si: io tahonas , y nos ocupamos en su construcción Bando. D. Miguel Cabrera de Nevares, gefe político superior de Este pueblo se ha fortificado de una manera imponente, y 1os hor esta provincia Ate. Hago saber: Art. i.° Todos los vecinos de esta ciu rores que los facciosos han cometido en la Salva , Alcocer, Riba y de dad , inclusos los milicia…</t>
  </si>
  <si>
    <t>Nevárse, Maximiliano</t>
  </si>
  <si>
    <t>Maximiliano Nevárse</t>
  </si>
  <si>
    <t>…la.” Aprobado. tes lo oyeron con agrado, y mandaron pasarla al Gobierno. Art. a.3 » Los recibo* de alquileres de casas se eztenderán preci El Sr. Litio presentó otra exposición de D. Maximiliano Nevárse samente en papel sellado , y uno por cada pago con la proporción si te, ¿ que acompañaba una gramática castellano-latina. Las Cortes la guiente: Desde 1000 reales abajo en sello 4Desde tooi hasta aooo recibieron con aprecio, y mandaron pasase á la comisión de…</t>
  </si>
  <si>
    <t>Ni</t>
  </si>
  <si>
    <t>…y ag },do al E. M. de esta plaza: el g.° á D. Isidro Se hizo la pregunta propuesta por el Sr. Arguelles, y tas Cortes tePacha, romano y domiciliado en Pa'ma de Mallorca: él 4.0 í D. Ni solvieron que se leyese. colás Munusid, teniente coronel retirado: el 5.0 á D. Juan de Broche, El Sr. secretario del despacho de Hacienda leyó la memoria de su comandante de artillería de Marina: el 6.a i D. Josi-f Augura , r.si- ramo, en la cual , después de…</t>
  </si>
  <si>
    <t>…el gefe político de Cádiz, por haberse impre nínsula. so la pastoral a Algecins, y pertenecer de consiguiente al jurado A la de Diputaciones provinciales se pasó una instancia de D. Ni de la provincia de Cádiz la citada declaración. La comisión da igual colás Ettaai , individuo de la secretaría del ayuntamiento de Sentiago, asen» cucara de lodos los incidentes que produjo esta ocurrencia, pidiendo se le conceda una jubilación. y pasa despué…</t>
  </si>
  <si>
    <t>Ni, Juan</t>
  </si>
  <si>
    <t>Juan Ni</t>
  </si>
  <si>
    <t>…gado á recibir algún regalo en agradecimiento de ANUNCIOS. la satisfacción que han tenido en darle hospitalidad. Comunmente es Floresta de rimas antiguas castellanas, ordenada por D. Juan Ni conden entre los bigiges del viagero un cabrito, un cordero ó cual colás Bohl de Tabsr, de le academia española. Los extranjeros que an quiera otra cosa que pueda serle útil en el camino; y aun algunas vecee tes nos desconocían ó despreciaban comienzan á cono…</t>
  </si>
  <si>
    <t>Ni, Miguel de</t>
  </si>
  <si>
    <t>Miguel de Ni</t>
  </si>
  <si>
    <t>…públicos , sin mas excepción que los juzgados de primera instancia de esta capital, denunció al Sr. al los militares, deberán tener su despacho extendido en el papel sellado calde D. Miguel de Ni jera el folleto tltuado Bosquejo del pian de cons correspondiente, s u lo que no serán reconocidos como tales empleados. piración del 7 de Julio , número í,v, como sedicioso é incitador á la Art. 13. « Esta disposición comprende á los empleado» municipa pertu…</t>
  </si>
  <si>
    <t>…recolección A virtud .de poder de D. Femando Mainez Herreros, que lo es de Gua- de frutos caso de suprimirse el convento de trinitarios descalzos da di dala jara, denunció el Sr. alcalde D. Miguel de Ni jeta un párrafo in cha vira-, 7 últimamente tener de tu cuenta un pasante que merezca tu serto en al Espectador de 10 dal mes pasado núm. 461. que empie confianza 7 la del ayuntamiento; en inteligencia de que los ntfios sufri za : n Vehemente sospechosos como…</t>
  </si>
  <si>
    <t>Nicasio</t>
  </si>
  <si>
    <t>…empezar sus tareas, nes, y la componían los Sres. Fuente y Ríos, Alcántara, Garoz, parece que estamos en -el caso de determinar los asuntos de que con Robinat , Domenech y Tomas (D. Nicasio). preferencia deben ocuparse. Con este objeto he hecho varias proposicio Asimismo se nombró la comisión especial para examinar la pro nes apoyadas en las razones que he extendido en este escrito. posición relativa á que no puedan recibir empico de provisión R…</t>
  </si>
  <si>
    <t>Nico'as</t>
  </si>
  <si>
    <t>…ntería. tocar al gran sistema de Hacienda establecido por el inmortal Piit, y Gobierno de Wilna.__Cuartel general de la división y del gran que es el fundamento de nuestro poder.” duque Nico'as rn YVüna. Los regimientos Prcsbrazanski y gran duque El ministro propuso después su plan, cuyas principales bases son Micuel en YVidra; Semenkcowski en Pwiencaní; I&gt;mailow&gt;ki en las siguientes: Se hará en ei egército, marina y lista civil (la do YY'ilkom rzo_…</t>
  </si>
  <si>
    <t>Nicoias</t>
  </si>
  <si>
    <t>…perador Alejandro debió salir después de Nitividad para sido loe estudios ordinarios y asistencia i la curación de los enfermo* Minsk, cuartel general de la guardia rúa; y el gran duque Nicoias del hospital militar, y lo* particulares que han ocurrido herido* al quedarse en Wilaa con su regimiento. mismo. Un periódico desmiente que se haya turbado la tranquilidad públi . Jardín botánico Je dicho colegio. Según *e expuso en la* pliego* en- ca en Polo…</t>
  </si>
  <si>
    <t>Nicol</t>
  </si>
  <si>
    <t>…llería á retaguardia de la caballería de Cbarente , yendo también entre las fiias con un.forme de linea, único parage en donde podía maniobrar alguna cosa , y no a per soldados el capitán Nicol y cuatro ofic ales mití avanzar en vista de lo quebrado d:l terr-.no, y que era r x^oLuego que llegaron al alto de Hastat hizo Carón le llevasen su nera sin sacar ventaja alguna. El multado de ¡a acción , que curo morrión , sable y uniforme; se vistió, se pus…</t>
  </si>
  <si>
    <t>Nicolar, Valentín de</t>
  </si>
  <si>
    <t>Valentín de Nicolar</t>
  </si>
  <si>
    <t>…182 i.rcA. varo Gómez, presidente, s Josef Melchbi Fiat, iniciales h. P. diputado secretario, ss Angel de haavedra, diputado secretario. Reunido el jurado, compuesto de los Sr-s. D. Valentín de Nicolar, Por unto mandamos a todos los tribunales, justicias, gafes, gober D. Joaquín Lumbreras, D. Julián de Fuentes, D- Valentín Recio, nadores y demts autoridades, asi civiles como militares y eclesiásticas D. Jatn Antonio López, D. Matías Casero, D. Josef Casulla…</t>
  </si>
  <si>
    <t>Nicolás</t>
  </si>
  <si>
    <t>…f María Moscoso de Altamira, para el de ia de Ultramar á llas de prosperidad contenida en ouestro sagra«fo Código; cuando tan D Manuel de la Bodega, para el de Gracia y Justicia á D. Nicolás ta sacrificios st hacen para sostenerle; cundo se traba;a tanto por con Gareli, para el de Hacienda á D- Felipe Sierra Pambley , para el de la solidarle; y por último cuando la vehemente imaginación de los espa Guerra á D. Luis Baianzat, y para el de Marina á…</t>
  </si>
  <si>
    <t>…sma sobre que s: debe estar á lo resuelto en la decla sircado a v.r diputa:! &gt; Caites; y previniendo la Comí melón que lo» raron de las Cortes, respecto de los buenos serv.cio» de D. Nicolás ui;i. ni;s re •mpla/.aseii i lo» propietarias por mu.rte de estos, claro era Santiago de Rotalde. qu; no podía venticari! esto er» el calo presente. be mandó pasar á la comisión una adición de] Sr. Lartolomé al ar Ii¡ ir. T&lt; mas; he quiera dar una grande impo…</t>
  </si>
  <si>
    <t>…onocimiento, y ríe no haber hallad &gt; í pre.-ntaron de rodillas mi mí. .z ru-ulre viuda Doña Ana Burqaíeta y Jos facciosos, mi d.tigi i este pueblo * fin de dar algún d.sean,o á I» Doña Nicolás* Garbas o, sol ra, hermana del voluntario herido, á petropa, qn : con el mayor ar íor haba sufrido um marcha pesadísima. ri.r nu.stra rendic.on d orden de los car.bes: nos informaron hallarte Guaneo en este momento me dispon a pira marchar , acabo (le rec b r…</t>
  </si>
  <si>
    <t>…n segundo graso el escrito titulado Cada quien con lo suyo, y cias. Los persas han derrotado á ;o3 otomanos; y toda la Mesopota Dios con ¡o de todos, denunciado por los ciudadanos D. Nicolás de mia y la Armenia estaban ya ocupadas por aquellos: 113® persas Santiago Rotalds, D. Agustín Masca teñas y D. Miguel María de Vemarchaban á la Anatolia, y Jas provincias turcas del Asia, en que hay lasco; en cuya consecuencia la ley condenó á D. Tomas Garcí…</t>
  </si>
  <si>
    <t>Nicolás, Valentín</t>
  </si>
  <si>
    <t>Valentín Nicolás</t>
  </si>
  <si>
    <t>…io 4 Doña María del Carmen Echeverría Juan Fernandez Casariego, D.Isidro de Hoyos , conde de Florida-Blan y su madre Doña Concepción Zu’.uaga, 4 fin de que concurran 4 la pre ca , D. Valentín Nicolás , D. Antonio Quiroga, D. Andrés Navarro sencia de S. S. en su audiencia en el preciso término de seis dias 4 eva y D. Josef Keieer. cuar cierta diligencia acordada 4 instancia del marido de la primera; con Reunido el jurado y habida le conferencia, se declaró…</t>
  </si>
  <si>
    <t>…reputación. madas de justicia. (Garda del p.j Sres. que declararon absuclto dicho escrito : D. Francisco Travesa Decreto de las Cortes sobre derechos que te hsn de exigir por do , D. Valentín Nicolás, D. Carlos González Llanos, D- Juan Fer los Krales títu'os, presentaciones eclesiásticas y otros despachos que se nandez Casariego, D. Josef Rivcs Queraltó, D.liiginio Antonio Lló expidan por la secretaría de Estado. (. Gaceta del Jl.j rente , D. Francisco Ma…</t>
  </si>
  <si>
    <t>Nicolás, Valentín de</t>
  </si>
  <si>
    <t>Valentín de Nicolás</t>
  </si>
  <si>
    <t>…á hacerlo á mo altamente injurioso á dichos Sres.; se reunió el jurado compuesto los -ontratisus en calidad de servicio voluntario , por si te hallasen en de los Sres. siguientes; D. Valentín de Nicolás, D. Valentín Rec-.o, disposición , y les acomodase satisfacerlo en el punto en que ocurra la D. Juan Manuel Aréjula, D. Celestino Olozaga, D. Miguel Dolz, urgencia. D. Francisco de la Carrera, D. Antonio Puigbtanch, D. Francisco Hn el supuesto da que la Hacie…</t>
  </si>
  <si>
    <t>…«leí código penal á la sanción del Rey se eotienda corregidos y com nio Antonio Llórente, D. Sebastian Andrés, D. Antonio María Espe probados exactamente los dos egemplares.” jo y D. Valentín de Nicolás. Y habida la conferencia, se declaró poc El Sr. Oliver se opuso á esta adición, manifestando que esta opera unanimidad haber lugar 4 la formación de causa. ción ara sumamente delicada; y que supuesto que las Cortes habían arordadn que el código se pasase á la…</t>
  </si>
  <si>
    <t>…discursos expresiones chocan ts. Sres. que votaron en contrario: D. Juan Pablo Pascual, D. Fran Aunque los turcos y los persas creen igualmente en Ja predestinación, cisco Barra, D. Valentín de Nicolás, D. Francisco Marina, D. Anto los segundos no siguen etis doctrina tan ciegamente como los primeros, nio PuigblancJi y D. Josef Radon. los cuales son por consecuencia apático* é indolentes. Los persas nopuc'iendo persuadirte que sea imposible evitar la advers…</t>
  </si>
  <si>
    <t>…o de 1578: otro de io3 mn. al millar, to, D. Martin Z»randia,D. Francisco López Olavarrieta, D. Jaime renta 33,660 mrs., situados en el partido de Sigüenza , fecha en Raíz Abreu , D. Valentín de Nicolás, D. Antonio Díaz del Moral y Madrid á 15 de Junio de 1614; se suplica á la persona en cuyo D. Ramón Llor. poder se hallen, se sirva entregarlos á D. Joaquín de Arteaga,que vive Habida la conferencia y procediéndose á la votación, los Sres. Don calle Ancha de…</t>
  </si>
  <si>
    <t>Nidos, Mencía de</t>
  </si>
  <si>
    <t>Mencía de Nidos</t>
  </si>
  <si>
    <t>…n Otras varias heroínas podríamos citar, y entre ellas i la célebre tes enviar las mugeres á Creta; pero elias se opusieron , y Arquidamia, María Pita , defensora de la Coru&amp;a , á Doña Mencía de Nidos , que tomando una espada, entró en el Senado, y hablando en nombre da se hizo notable en la guerra de Arauco; y i la inmortal Isabel, Rema todas , preguntó á los hombres allí reunidos si habían sido tan injus de Castilla. tos que creyesen que ellas podían tol…</t>
  </si>
  <si>
    <t>Nielen</t>
  </si>
  <si>
    <t>…ella isla , y las del ex-mqu sidor Lloaer y guardián de S. Francisco. namente vuestra memoria grabada en mi corazón por la justicia 7 la Los ibicenco» tienen muy bien guardados al gobernador Nielen 7 otros, gratitud. 7 están mas que nunca decidido* á sacrificarse en defensa de una Cons » Hace cerca de seis metes que en esta porfiada lucha con los de titución que con tanto entusiasmo juraron.” fensores de la servidumbre mostráis firmeza , disciplina , bi…</t>
  </si>
  <si>
    <t>Nielo, Luis Sánchez</t>
  </si>
  <si>
    <t>Luis Sánchez Nielo</t>
  </si>
  <si>
    <t>…tificación de es Cádiz interventor D. Pedro de Juan , contador principal de están- critorio.................................................... 485.-10. cadts.R-d-jo:- Interventor D. Luis Sánchez Nielo, habilitado por laa ingenierosA variospor empleadosun mes de delhaber...........ramo de 3,164.-13. Cortes. A los empleados en el depósito hi Huelva administrador D. Bartolomé Galvez, oficial de la conta drográfico por un mes de haber............ 11,995.-27. d…</t>
  </si>
  <si>
    <t>Nieto, Josef María González</t>
  </si>
  <si>
    <t>Josef María González Nieto</t>
  </si>
  <si>
    <t>…i le salieron falli emplaza i todos los acreedores á los bi.nes que han quedado por la de dos rus cá'culos. Es muy veros mil que sucediese lo mismo á los ín función abintestato de D. Josef María González Nieto, vecino que fu» ter v ntnr s, pu s e*tan muy distantes de conocer la verdadera situación de dicha ciudad , para que en el término preciso y perentorio de 33 de España, r-in embargo , si efectivamente son los mas fuertes, como dias, primer os siguientes al en…</t>
  </si>
  <si>
    <t>Nieto, Juan</t>
  </si>
  <si>
    <t>Juan Nieto</t>
  </si>
  <si>
    <t>…l irar, formaban un cuerpo rade S. M. Dr. y Miro. D. Josef Ignacio García Jove. Cirujano da df 58 hombres; Mourgeon tenia igual número de tropas, y el batallón cámara de S. M. Dr- D. Juan Nieto fiamaniego. Medico de la familia de Aragón y los pástenos hicieron prodigios de valor. La gac&gt; ta de imperial D. Josef María Varóla, con honores da cámara. Cirujano de jamaica del 4 de Junio dice que cada uno conservó sus posiciones; pe id. D. Francisco Monte…</t>
  </si>
  <si>
    <t>No</t>
  </si>
  <si>
    <t>…, sino de a!- nandez ViHámil Fin-ron ixaminarlos en ari-métlca D. Ans.dmo Mr re gun otro cor.qu stador extranjero.” íos , I&gt;. Dominen Jiménez, D. Sibastian Irnri, D. Jnsff Krlcbs, Don No ve sih - si el gran du jue Constantino tendrá el mando de toda» Josrf Ntiñez, D Jnjqu n Ferrrr . D Juan Diez Valentín , D. Fer las fu-r/ .s &lt;|ii ■ hay en las provi .-..ias fronterizas de Turquía , por h.i!&gt;-r nando Koilr'gu-z ó : .av Ca-as, D. Joaquín Soinnza…</t>
  </si>
  <si>
    <t>No, Antonio Luis</t>
  </si>
  <si>
    <t>Antonio Luis No</t>
  </si>
  <si>
    <t>…e que la primera columna con 1) Fabian la Puente continuase Usen pues las superiores autoridades (asi lo esperamos «le su acreditado bécia la carretera de Bñzama.'y la segunda con D. Antonio Luis No zelo) de la plenitud de las facultades que últimamente les han dado guera vadease el rio, flanquease al enemigo por su derecha , lo que las Cortes, combinándolas «on la* que proporcionan las leyes militares, fue ejecutado en seguida á pesar d:l vivísimo fuego…</t>
  </si>
  <si>
    <t>No, Canga.-</t>
  </si>
  <si>
    <t>Canga.- No</t>
  </si>
  <si>
    <t>…probar el dicta por mas que se haya dicho , hay varias provincias en que los regulares men ds la comisión. no han conspirado contra el sistema, y sufren sus escaseces con resig El Sr. Canga.- No me levanto &amp; hablar sobre el dictamen de la co nación; peto ¡qué sucederá cuando por esta medida queden ti ó t&gt;) misión , sino solo á manifestar que habiendo llegado á noticia de la co rei ígir sos esparcidos por el reino! Yo no losé, pues aun cuando se misió…</t>
  </si>
  <si>
    <t>…S. M- debo dar su sanción , y el cato yo creo que se «ti en el caso de no mandar 4 la sanción «te decreto. en que no debe darla. Se ha supuesto aquí que siempre que A Gobierno El Sr. Canga.- No se deba extrañar el que yo haya presentado «ta dirige é las Cortes un proyecto de decreto, viene da antemano ya coa proposición , pues míe dignos compañeros de comisión recordarán qus el requisito de ta sanción, ó que esta ya te ha anticipado. Esta es ana dij…</t>
  </si>
  <si>
    <t>No, Francisco</t>
  </si>
  <si>
    <t>Francisco No</t>
  </si>
  <si>
    <t>…critores venales y desorganizadores, que inspi tan, secretario.» rados por el genio del mal se afanaban por dividir k los hermanos, y Ayer 16 el sub-inspector de este departimsnto D. Francisco No esperaban conseguirlo, seguros de que un pueblo á quien se le había villa arengó enérgicamente al cuarto regimiento de artillera y bata abierto por primera vez el camino da la libertad, era fácil de seducir, llón del tren , recordándoles haber jurado ia Const…</t>
  </si>
  <si>
    <t>No, OjfTOr</t>
  </si>
  <si>
    <t>OjfTOr No</t>
  </si>
  <si>
    <t>L** «torería* de las nueras provincia* dtberfn provier*» rn lo* El Sr. OjfTOr No pu*ifo menos de oponerme á «te artíc 'o , por tesorero* que qued.R ea cesación porta supresión d-. ait-it-antes. que no m parre: d 1 caso !o que en él se p opone. Los pueblo» conAdministraciones tesorerías de aduanas, cuyos destinos s,ro .Ies- b%&lt;i ¿i en qu.…</t>
  </si>
  <si>
    <t>No, Paulino</t>
  </si>
  <si>
    <t>Paulino No</t>
  </si>
  <si>
    <t>…160. D. Juan Pirer 160. D. Ramón Ca vo 16 &gt;. D. Zacarías hici r n los españoles á su dominación , que sentían á par d: muerte. Mvnge 160. D. E. E. 160. D. T. P. río. D. I. Y iííj. D. Paulino No se puede atribuir el modo injurioso con que nos trata sino i un Mart n z 100. D. Jos.f Rodríguez 100. D. Manuel K.os fio. Don enconado resentimi. r.to, á no ser que cuando escribió esta apología se J'ran.- seo M.rtin-z fio. D. Vanuel Gunzaúz 80 D. Vicente de…</t>
  </si>
  <si>
    <t>Nob, Men</t>
  </si>
  <si>
    <t>Men Nob</t>
  </si>
  <si>
    <t>…e del Venad.to." la Nueva , Sevilla con la de Cádiz , Granada, Cataluña y Valencia. Proclama que cita ti oficio anterior. Se mandó pasar á la comisión Eclesiástica una adición del Sr. Men Nob!-s y leal s queretanos: es llegado el tiempo en que manifes to al art. 7.a del dictamen de la misma comisión aprobado ayer, rela téis par segunda vez que sois acreedores á estos honrosos títulos con que tiva i que dicho artículo no tenga lugar en aquellos cab…</t>
  </si>
  <si>
    <t>Noguera, Antonio</t>
  </si>
  <si>
    <t>Antonio Noguera</t>
  </si>
  <si>
    <t>…ñalarán el plazo de cuatro años, dentro del cual Otro de la comisión de Infracciones acerca de la queja dada por los acreedores del Estado hayan de cambiar sus créditos por fincas D. Antonio Noguera, comandante de batallón, contra D. Pablo Mo mediante las subastas*, bajo el supuesto de que la Nación suspenderá rillo , gefe del egército expedicionario de Costa-firme y el Sr. secreta el reconocías iento de los créditos que poseyeren los que, pasado el rio…</t>
  </si>
  <si>
    <t>Noguera, Tomas</t>
  </si>
  <si>
    <t>Tomas Noguera</t>
  </si>
  <si>
    <t>…presentado i la ruta te los méritos de este interesado. Aprobado. de aquella ciudad , encontró á sus hsbitantes decidido» á resistirse , poí La misma , en vista de la solicitud de D. Tomas Noguera, «aerador cuyo mol ro dió un ataque vivo y general, y enin» en la ciudad a las de cambios de Barcelona , para que en atención á sus distinguidos servi ocbo y m día de la noche: que las tropa» quisieron pers-cuir a loa tu cios en la guerra de la independencia…</t>
  </si>
  <si>
    <t>Nogueras, Miguel</t>
  </si>
  <si>
    <t>Miguel Nogueras</t>
  </si>
  <si>
    <t>*39» , .. , ..... que jo D. Miguel Nogueras, comandante de la partida de los patriotas del ni« individuo» toda á la función con e! ayuntamiento , se pedirá tomen también este encargo. Cmc» , se apodera con ellos ds la barca, y prc rege m: marcha hasta 8.® A«i que hayan comenzado los ranchos se ocuparan…</t>
  </si>
  <si>
    <t>Nogues, Ignacio</t>
  </si>
  <si>
    <t>Ignacio Nogues</t>
  </si>
  <si>
    <t>…edises vn.; lo que se hace saber para que la persona que lle prevalido de su fuerza; y en una pa abra, que se asoció deliberadamen gue á recogerlas se sirva avisar en esta corte á D. Ignacio Nogues, te y con destino ó oficio paiticular á una banda de foragidos, hom calle de Silva, núm. 4, cuarto principal, ó en Cabra al citado D. Anbres perversos, indignos españoles, que de mano armada conspiraban á gfl Tejeiro. destruir el Gobierno constitucional. Lega…</t>
  </si>
  <si>
    <t>Ñoñez, Manuel</t>
  </si>
  <si>
    <t>Manuel Ñoñez</t>
  </si>
  <si>
    <t>…e si ae prr* niara. miento , puedan mandar vender ó arrendar , bajo reglas positivas, las Juicio! de jurado!. expresadas minas, por ser esto mas útil i la Nación, y mas análogo al Don Manuel Ñoñez denunció al Sr. a'calde constitucional Don sistema de libertad, que el cont nnar la explotación por cuanta del es Rodrigo Aranda un papel impreso, publicado en 17 de Mayo último tablecimiento del Crédito público, exceptuándose la del Almadén, por el Sr. ge fe…</t>
  </si>
  <si>
    <t>Norman</t>
  </si>
  <si>
    <t>…Greca lo que la debía, alemanes, y de doce á quince oficiales franceses; el comandante de es colocándola nuevamente en el número de las naciones independientes, tos cruzados es el general Norman que ha servido mucho tiempo ea loa y dejando á su cargo el establecer su organización social. egércitus franceses, y se ha bailado ea casi todas las campañas.” — El descubrimiento de una nueva transa en Nantes ha dado motivo POXTVOAI. al siguiente doeum uto :…</t>
  </si>
  <si>
    <t>Normann</t>
  </si>
  <si>
    <t>…er do. Según el Observad r, Churschid debió ocupar las Termopilas á la lón» poco afectas al sistema foimaa sus reuniones y justas sospechosas, cabeza de mas 'le qof) hombres, y el general Normann huyó con solos ha acordado se proceda inmediatamente contra eliaa con el rigor que /o qus le quedaron de la derrota. Añade también que casi todas las exigen las circunstancias. tropas rusas d: la B-smbia volvieron al otro lado del Niester des- n Y para que ni…</t>
  </si>
  <si>
    <t>Normano</t>
  </si>
  <si>
    <t>…o, y fue á tropezar guido, y xe ponga en estado de sun»ini,trar oficiales instruidos. El Go contra la estatua misma. Este accidente abrevió, según entonces te di bierno honrara al general Normano nombrjndo'e gele de este bata jo , la vida del padre del marques, llón, y er e que por grat tud y aprec a a los alemanes, amigos de la porrru as. Gracia, debe conferir este empleo á un aleman.” Luiots 11 de Agesto. ITALIA. Sesión Je Cor l: J del p. Tí¿nales t…</t>
  </si>
  <si>
    <t>Norrmun</t>
  </si>
  <si>
    <t>…rivó de de Mayo , se le ha dado permiso para pasar ai Asia, y Levar consigo la hacerles probar el temple de nuestros aceros- Continuaré dando deta cuarta parte de sus caudales. El general Norrmun ha saiido para Al lles de esta jornada , como también delreconocimiento que practico so bania con 73 hombres, entre los cuales van 800 voluntarios franceses bre Chalamera, en dirección á Fraga, bácia donde parece han buido, y y alemanes, entretanto que Demetr…</t>
  </si>
  <si>
    <t>Nostench, Josef</t>
  </si>
  <si>
    <t>Josef Nostench</t>
  </si>
  <si>
    <t>…4 pesar de — Habiéndose observado lo* tramites prescritos , y calificado loa set» la resistencia qua le opusieron , consiguió que abandonasen el fuerte de res D. Claudio Boutelou, D. Josef Nostench , D. Mariano Joaquin di Varaivedc y su Península. En seguida dirigió su marche sobre Coro, Cosío, D. Pedro Fuenmayorj D. Francisco Javier Perez, D. Leandro en donde se le reunieron 400 bombees da fiaguerrillas, 4 quienes ar Pallares, D. Josef Anima, D. Vicent…</t>
  </si>
  <si>
    <t>Nosteuch, Josef</t>
  </si>
  <si>
    <t>Josef Nosteuch</t>
  </si>
  <si>
    <t>…que habiendo prestado el juramento con arreglo i la ley, declararon no hace la Hacienda pública basta el precio £ que la vende en tus alfolie*, haber lugar é la formación de causa D. Josef Nosteuch , D. Josef podrán y deberán los pueblos pagarle en crédito* liquidados ó vale* Rea Porree, D. Martuel O'ozaga y D. Miguel Moreno García; habiendo les por todo su valor, en el caso de que los débitos sean posteriores al votado por la afirmar vi D. Josef Anima,…</t>
  </si>
  <si>
    <t>Nota</t>
  </si>
  <si>
    <t>…en las librerías de Villa, de Coman ¡ansias súbate.ri.as de provincia correspondientes al décimo Fuente y de Novillo distrito. Para la de Cádiz al brigadier D. Francisco Ramunet, coronel Nota. En la caceta del 13, col. 5.*, lín. 2.*, donde dice m-m'dtf del regímient-i can nena de F'aiuesiO. Para la de lluzlva al mariscal de taban, léase manifestaba-, ye O la lia. ¿f, dunda dice campo D. O-D &gt;. lente toco&gt;*ípaiis4. EN LA IMPRENTA N VUONAL,</t>
  </si>
  <si>
    <t>…Dios «barde á V. S. muchos años. Cantón de Valla 31 de Ma ca, sin perjuicio de las lecciones del catecismo religioso. yo de 18*2. = EI comandante de arma*. =: Ignacio Galli. = or. general Nota. Kn’la gaceta del 7, en'. Iln. 35 , donde dice tita &gt;?comandanta de esta provincia. follante plaza, leas* ¡a importante plaza de Odesa. EN LA IMPRENTA NACIONAL.</t>
  </si>
  <si>
    <t>…de di cho, calificaron con la fórmula d: abtuelto el impreso que principia : F.l cho establecimiento de esta corte. público se acordará , y concluye para nada , denunciado por rl doctor Nota. En la gaceta d«L 6 , col. 7.a, lín. 64,donde dice en la cual, D. Salvador Gota.be»; en cuya virtud 1* ley absolvió á D. Juan La- léase tn ¡o cual. EN LA IMPRENTA NACIONAL</t>
  </si>
  <si>
    <t>…dos la sanare que han derramado los defensores de la lit^rtad: derado precio de 100 rs. vn. inclusas las estampas. fueron heridos gloriosamente el comandante de la milicia movible Don Nota. En !a gaceta da anteayer , col. 1.*, lín. ia, donde dice baga Antonio Baiges, el teniente y subteniente de la séptima del primero jes , léase ee¡¡tipagts. de 'as mismas D. Rafael Decio, piamontes, y D. Francisco Camps, 19 Otra. En la gaceta del 24, col. 13,…</t>
  </si>
  <si>
    <t>Novella</t>
  </si>
  <si>
    <t>…onduce 60 pasageros, y entre d endose en lu. ar de ¡a u tima clausula ia siguiente: - Con arreglo a la ord-nirzade 1 ¡loo , instrucción adi.ior.ald; 1819, y decreto de 14 ellos al Sr. Novella. Barcelona 39 de Mayo. de Mayo de 1811. En los periódicos de esta capital »c publican las siguientes noticias: Ad.cion del Sr. Romero; - Pido se encargue á la comis on de Tenemos ditos para anunciar que el espíritu de la provincia de Léri- Guerra que tenga á…</t>
  </si>
  <si>
    <t>Novi, Francisco López</t>
  </si>
  <si>
    <t>Francisco López Novi</t>
  </si>
  <si>
    <t>…ileros, qué reforzó fiíja sexta del segundo en el mu Capdevila, ídem. D. Fer.mín Fernández, herido. D. Anastasio Aiduseo militar. - . ' , do, id em. D. Poiicarpo Fernandez, idem., D. Francisco López Novi ». A las ttefde la madrugada del diá de hoy me atacaron los ene llo, idem. D. Vicente Sedeño; contuso; D. Antonio María Iba trola, migos- por la calle del Arenal &gt; parroquia de S. Ginés , rompiendo el herido. fuego mis avanzadas, y replegándose á este punto:…</t>
  </si>
  <si>
    <t>Novo, Josef</t>
  </si>
  <si>
    <t>Josef Novo</t>
  </si>
  <si>
    <t>…enes nacionales. Quedó aprobado el dictamen de la comisión. Pcfifscola, para que se Je concediese carta de ciudadano: la comisión La misma en la instancia de l&gt; Cipriano Alvarez , D. Josef Novo» opinaba que d-bia accrdersc i ella. otros oficiales del regimiento de León, sobre que te les atoaren lo* ba que devengaron durante la prisión , que sufrieron con motivo do La comisión de Hacienda , en vista de la solicitud de D. Ignacio Lres Masanet , vecino…</t>
  </si>
  <si>
    <t>Novoa, Ramón</t>
  </si>
  <si>
    <t>Ramón Novoa</t>
  </si>
  <si>
    <t>…ición del capitán de fragata D; Jo- pitán graduado de teniente coronel del regimiento de voluntarios de sef Orondo , opinaba que podía accederse á lo que solicitaba. Apro Castilla D. Ramón Novoa para coronel del mismo regimiento con si bado. sueldo de teniente coronel, lo que en concepto de la comisión equiva Se leyó por segunda vez uní proposición del Sr. Cuevas sobre la le é teniente coronel vivo con grado de coronel, teniendo en conside necesidad…</t>
  </si>
  <si>
    <t>Nrr.-a, Basilio</t>
  </si>
  <si>
    <t>Basilio Nrr.-a</t>
  </si>
  <si>
    <t>…aquella provincia de los seis diputado* que le correspondenacababa de Canarias estaban los ánimos inquietos, y se trataba de proclamar la in llegar á esta corte eTprúner suplente D. Basilio Nrr.-a; p ro sin tiaer dependencia ; jrque para vindicar el honor de la provincia é qne peite- los poderes por no habérselos remitido ei ¿efe político ém la provincia, necia , y desvanecer las impresiones desagradables que pudiera causar esté y pedían que en atenció…</t>
  </si>
  <si>
    <t>Ns</t>
  </si>
  <si>
    <t>…ón de algunas compañías de paisanos pagadas por Stuttgardt jo dt Mayo. los mismos pueblos para perseguir i los facciosos. Ayer Uegó aqui de fiaden el comisionado extraordinario el Sr. Ns» En la villa de Berga se reunieron ya el dia 9, i invitación de! bri benjuí, con instrucciones de su corte para arreglar con las de Wurt-m- gadier Carrillo de Albornoz, dos comisionados de cada pueblo del par b:rg y Un iera un convenio acerca de las medidas q…</t>
  </si>
  <si>
    <t>Nu, Josef</t>
  </si>
  <si>
    <t>Josef Nu</t>
  </si>
  <si>
    <t>…su se sirviese señalarle hora para poder ha anterioi mente. cerle una propuesta: que hab érdolo ^señalado la de ,1a* t a del día, sa Las Cortea oyeras con «grado una exposición de D. Josef Nu£ez</t>
  </si>
  <si>
    <t>Nu-, Leoncio</t>
  </si>
  <si>
    <t>Leoncio Nu-</t>
  </si>
  <si>
    <t>…a y razón de dicha renta, opinaba que debia pasar todo el expe Ait. 4 3 » Que se considere en toda su fuerza y vigor la Real cé diente al ministerio de Hacienda, para que ofendo á D. Leoncio Nu- dula de 1803 p^ra las expediciones cgecutadas ó dispuestas en las fac fiez de Arenas, que había presentado un plan sobre lo mismo, pro toría, de A»;a y Lima antes de que en ellas se reciba el decreto de las ponga cuanto juzgue oportuno para que en el próximo…</t>
  </si>
  <si>
    <t>Nu.'.z</t>
  </si>
  <si>
    <t>…s del jurado es que sus individuos sean igual., a i. , cae han de gunos vecinos, en las que robaron cuanto hab.a : impusieron iocJ ser juzgados; á esto se opone la proposición del Sr. Nu.'.z , p Te.ie ('.utos de contribución, cuyo reparto llevaban ya hecho a pr\ vención, los inj.viduo» de la diputación pror.r.cia. gcr. e te ,on ¡o- o.e t i-i'carrtTon que el pago debía verificarse dentro del prec.,o ternero rr.avor gerarquía di la provincia: tamb…</t>
  </si>
  <si>
    <t>Nuácz</t>
  </si>
  <si>
    <t>…e Fl Sr. Salva : Me propongo deshacer las equivocaciones cometidas le perdonasen 41 ao rs. que Pedro de frías qu.do debiendo por un ar por los Sres. preopinantes: se ha opuesto el Sr. Nuácz a que se diga riendo que los dos tuvieron manccrouDadamcnte, y del cual había sa propiedad absoluta; pero en este artículo solo se da í entender que las lido fiador, opinaba que podía acccderse á esta solicitud recomendada Cortes entregan á la empresa la impr…</t>
  </si>
  <si>
    <t>NuAei</t>
  </si>
  <si>
    <t>…hacen una falta nctabie. las medidas propuestas por el Gobierno sobre ia adición al art. 6° de » El general Mina previo sus intención?» 7 planes, 7salió de sa cuar su dictamen del Sr. NuAei (D. Tor.bio); y habiendo pedido vario» se tel general de la Cataf á las 3 de la mañana del 26 con la fuerza como ñores la palabra, y pasado el tiempo presento por el reglan» :nto para de unos agoo hombres, y tomó posición en las inmediaciones de Casla duració…</t>
  </si>
  <si>
    <t>NuBíz</t>
  </si>
  <si>
    <t>…con satisfacción un oficio del Sr. secreteé? di las condiciones del tratado. la Gobernación de Ultramar, en el que desde Aran juez part-.c .'aba ■ i¿ :d. También se leyó otra del Sr. NuBíz (D. Toribio), relativa i que que SS MM. y AA- continuaban sin novedad en &gt;u importan; en atención i todo lo expuesto por el Gobierno se suspendiese la dis El Sr. presidente anunció que mañana no habr'a sesión corlo; ir, al cusión del dictamen de ia comisión d…</t>
  </si>
  <si>
    <t>Nuestro</t>
  </si>
  <si>
    <t>…entefianza. Mafia na da librado por el Sr. D. Pedro Gonzalea Nadéis, que lo es del partido de remos los pormenores. la ciudad de Bctanzos, refrendado del escribano de aquel número Don Nuestro diario constitucional publica lo siguiente: Josef de Martin y Andrade, se cita, llama y emplaza á todo* losquese til augusto Congreso nacional. crean con derecho i los bienes del msyorszgo fundado por D. Juan v El ayuntamiento constitucional de Barcelona, al…</t>
  </si>
  <si>
    <t>Nuevo, Josef Ma</t>
  </si>
  <si>
    <t>Josef Ma Nuevo</t>
  </si>
  <si>
    <t>…el de Mendivil, D. Manuel García de Barrio, marques de Cusa- 30 de Marzo , núm. 91, Espectador de 9 de Abril, núm. góo , Diario no, D. Pedro Alvaro Da gado, D. Martin de Zarandia, D. Josef Ma Nuevo de id., núm. 91, y reimpreso al fin del tomo 1.° de la mencio ría Pu nte. Habida la conferencia, resultó por cinco votos haber lugar nada obra. d ia formación de causa, habiendo disentido lot Sréa. marques de Cusa- Cartilla agraria, ó tea la práctica de la ag…</t>
  </si>
  <si>
    <t>Nufi</t>
  </si>
  <si>
    <t>…» empleados no han srdo const.tu.dos en c,t2 c de marina; asi que no puedo aprobar el dictamen de la comisión. por un prurito di aglomerar personas que coman de los fondo» pnb :El Sr. Nufi;z Faicon : He tomido ti palabra solo para rectifictr un cos, sino porque los asuntos de estas corporaciones populares ¡o cx.hecho que se Ha equivocado «n e&gt;ta cuestión. El Sr. Valdés ha citado gian asi. como d.creto la orden de las Cortes de a7 de Abril de es…</t>
  </si>
  <si>
    <t>Nuficz</t>
  </si>
  <si>
    <t>…convenientes que presenta. Si desde El Sr. Oliver: Aunque el jurado que propone la comisión i exci el principio se hubiera dicho que reconocida por tas Cortes lo fuerte tación del Sr. Nuficz no reúne todas las garantías para ia libertad indi que es la medida, se trata de aliviarla, enhorabuena; pero hacerse vidual , no deja sin embargo de favorecerla bastante, no niega la comj- esto, anunciando en la adición el establecimiento de un jurado, cuan…</t>
  </si>
  <si>
    <t>Nufiez</t>
  </si>
  <si>
    <t>e"5i fiador i M l&lt; quería obligar ahora al pago, mediante á que el banquero, El Sr. Nufiez dijo; Quisiera que se quitase la palabra ni: uta. aegun los decretos de las Cortes, debía acudir al Crédito público; por porque yo supongo que el artículo no habla de otra propiedad ..¡.o r.. tufo motivo pedia se satisficiese i dicho banquero por la tesorería…</t>
  </si>
  <si>
    <t>…én en que de ley que le ocurran. De todos estos elementos carece el gran jurado sean las diputaciones provinciales las que desempeñen las funciones de que se presenta ; asi que el Sr. Nufiez y la comisión conocerán que sin jurado: pero añadate siquiera que sea en unión con cinco vecinos hon ellos tal vez el rssultado no correspondería á su noble zelo y á su, de rados que reúnan las demas circunstancias qu: exige el desempriio de seos. este encarg…</t>
  </si>
  <si>
    <t>Nufiez, Josef</t>
  </si>
  <si>
    <t>Josef Nufiez</t>
  </si>
  <si>
    <t>…, ha recibido cartas que hablan de la llegada de un correo de Constantinopla con una respuesta negativa lle dos en la plaza de Sto. Domingo, y que suscribe el titulado presiden te D. Josef Nufiez, auditor de guerra y juea de letras que era eu ella. na de arrogancia í las notas de la» potencia» mediadoras. » Solo la obcecación, la ignorancia ó a frenesí mas estúpido pu Estas noticias confirman en cierto modo las voces que corren en do alentar al autor…</t>
  </si>
  <si>
    <t>Nufiez, Tor.bio</t>
  </si>
  <si>
    <t>Tor.bio Nufiez</t>
  </si>
  <si>
    <t>…sunto* la de Sevilla; D. Francisco Benito por la de Toledo; D. Manuel l i* abalado* para la sesión extraordinaria anterior, y si hubiese tiempo el fez C-lderon por la de Burgos, y D. Tor.bio Nufiez por la de Sai-&gt;dxtsm-n sobre el empréstito nacional; can lo que te levantó la sesión manca; y para suplentes á los Sres. D- Francisco de l’sui* Soria por ¡a á las cuatro y cuarto. de Granada, y D. Miguel Sánchez Casas por la de la Mancha.” ANUNCIOS. Recibimos…</t>
  </si>
  <si>
    <t>Nufiez, Toribio</t>
  </si>
  <si>
    <t>Toribio Nufiez</t>
  </si>
  <si>
    <t>…tercera la Prusia, Romero, Canga y Flores Calderón; y también el dictamen de la co donde ti viene á cuento, será el censor político un sargento mayor. misión sobra una adición de D. Toribio Nufiez. Una ley sobre la libertad de imprenta dictada por la Rusia, el La misma comisión presentó sa dictamen acerca da la exposición Austria y la Prusia, seria un excelente instrumento en manos de loa del ayuntamiento constitucional de Su. María de Nieva para que d…</t>
  </si>
  <si>
    <t>Nufirz</t>
  </si>
  <si>
    <t>…esanas; y yo sin embargo dire qne eos y por consiguiente se debe dar otra forma alHtirtículo que se discute. el medio diezmo hay suficiente cantidad paré pagar la contribucioa. El Sr. Nufirz (D. Tortbio) manifestó qne la comisión se había Antes de la reducción del medio diezmo, cuando se pagaba por entero, abstenido de señalar dotación á los demas partícipes de diezmos, por sufría este las cargas del noveno, escutado, las tercias, los diezmos que…</t>
  </si>
  <si>
    <t>Nufirz, Juan Josef Cheri y</t>
  </si>
  <si>
    <t>Juan Josef Cheri y Nufirz</t>
  </si>
  <si>
    <t>…ipe Sierra y Pambley. „ nado, aquí decapitados: Por haberla defendido proyectaron este mo rí numento las Cortes generales de la Nación española en los años de Por fallecimiento de D. Juan Josef Cheri y Nufirz ha cuidado va „ 1B10 y 1831; y lo mandaron erigir por unanimidad laa de los afio* cante el juzgado de primera instancia del partido de Orihuela Los letra » i8ií y 1813." , . , , .... dos que se consideren con las circunstancias que para la obtención de . 1 „…</t>
  </si>
  <si>
    <t>Nufisr, Eugenia García</t>
  </si>
  <si>
    <t>Eugenia García Nufisr</t>
  </si>
  <si>
    <t>…cretario del Des Salamanca , y vecino de Madrid , hijo de D. Ramón y «la Doña Ma pacho de la Guerra.” ría Francisca Pereira , que casó en la Mtmbrilla, provincia da la Mancha, con Doña Eugenia García Nufisr, y alió da laCoruña an el Por promoción de D. Joscf LnJlwo i gtf» político de la provin nfio ds 1811 con dirección áGranarla, tuviste le bondad da noticiar cia d- Cácarr* ha quedado vacante la judicatura de primrra instancia lo al curs párroco del mismo puebl…</t>
  </si>
  <si>
    <t>Nuiles</t>
  </si>
  <si>
    <t>…s artículos en que estaba- dividido el dictamen sición , p asi pidió que se preguntase ti estaba comprendida en el ar «le la comisión, se aprobó el primare; p lekfc» et segundo el Sr. Nuiles ticulo too del reglamento, reservándose para después la palabra. Falcon se opuso £ la parte en que se proponía, que en la junta electoral El Sr. Salri: Yo preguntaré al Sr. Prat ti hap algún caso en que «le provincia presidiese el intendente cu el cato de ser…</t>
  </si>
  <si>
    <t>…ta en El Sr. Gsliano preguntó si con esto quedaba decidido que se vota francés por Pedro B anchard, y traducida al castellano por D. Ignacio se el proyecto , £ lo cual contestó el Sr. Nuiles ( D. Torivio) que la García Malo: 7 tomos ea 1 . mayor. Se hallarán á 77 rs. en pasta en comisioncreia que d.ba discutirse artículo por artículo. las librerías «le Hartado y de Orea. Se leyó el art. 148 de la Constatación á petición del Sr Riego, y Se he extr…</t>
  </si>
  <si>
    <t>Nuncíante</t>
  </si>
  <si>
    <t>…ría. (Geeceta del 8.) tinado á Palcrmo dos crgimieatoa austríacos y id hombres de la guar Decreto de las mismas declarando da cercara dase al pumo de nición de Mesins. Al teniente general Nuncíante se la han dado pode ▲Imuñecar. (Gaceta del 9.) res ilimitados para mantener el orden. Decreto de las misma» prorogando el plazo para el pago de los atra-</t>
  </si>
  <si>
    <t>Nunciante</t>
  </si>
  <si>
    <t>…de los extravíos yd.b.lidades pe de Campofranco; y el mariscal de campo D. Cesar Mari reemplaza de los hombres. Un sacerdote intolerante y cruel no puede ser ministro al teniente general Nunciante en el destino de comandante general de de un Dios lleno de paciencia y bondad. Un sacerdote que sacrifica hom las armas en Sicilia, el cual ha sido nombrado inspector general de to bres es un sac'rdcte de Molcch, y no de Jesucristo. Un sacerdote perse das arm…</t>
  </si>
  <si>
    <t>Nuñcz</t>
  </si>
  <si>
    <t>…eniente á la Nación en virtud del citado de Se mandó pasar á la comisión primera de i laclenda una adición creto, porque ni las Cortes, ni el Gobierno, ni nadie puede conceder del Sr. Nuñcz ai presupuesto de la guerra. cosas que resulten en perjuicio de ella; y vuelvo á repetir que no cons Se dió cuenta de una exposición del ayuntamiento constitucional y tando en el acta la orden «le 19 de Junio, «iebe estarse á lo decretado milicia nacional loc…</t>
  </si>
  <si>
    <t>Nuñcz, Josef</t>
  </si>
  <si>
    <t>Josef Nuñcz</t>
  </si>
  <si>
    <t>…ea ella, según asi lo preconiza en su comunicación , y lo divulgara sus que el embajador de una gran potencia es quien ha tenido estas noconversaciones. ¡Por dónde pudo figurarse D. Josef Nuñcz que Gon , CJ Todas estas voces han hecho en la lonja una gran sensación: la ba zalo Aróstegui podría jamas variar de sentimientos, ni creerlo capaz de bajezas ni raterías para que cuente con su coop-racion al plan detesta ja de los fondos públicos ha sido tan…</t>
  </si>
  <si>
    <t>Nuñez</t>
  </si>
  <si>
    <t>…el estado en que se encuentra la Nación, nos he Habiéndose hecho esta pregunta , las Cortes resolvieron que sí. mos ido mucho mas lejos, y al propio tiempo divagado algún tamo; El Sr. Nuñez dijo que con motivo de la entrada de las nuevas au pero veo que al mismo tiempo hemos sacado de ella datos muy impor toridades en Murcia hubo algunos díscolos que proclamaron al Rey tantes que nos llevan al fin que nos hemos propuesto. •bsoluto , por cuyo mot…</t>
  </si>
  <si>
    <t>…varió en el dia 10, pues los enemigos de la libertad se aprove solutamente todos los servicios de Puente. charon de esta ocasión para dar £ estas disensiones un valor muy dife Ei Sr. Nuñez halcón apoyó el dictamen de la comisión; y habién rente del que tenían en sí, y para extraviar ia opimon de algunos sol- dose declarado este punto por bastante discutido, quedo aprobado el araos que pertenecen i cuerpos amantes del régimen constitucional, y d…</t>
  </si>
  <si>
    <t>…tejido nunca ideas ambiciosas, ni la exaltación de malvados ni de in tropa de la confianza del Gobierno: sa grita mucho en diversos sentido*» trigantes” Haya hecho su disparate el Sr. Nuñez (concluye) donde y también se prende á muchos sujetos. En Burdeos está sobre las ai mas menos debió; y cuando menos le convino hacerlo. Llore su locura, y y haciendo un servicio extraordinario la milicia nacional. Se atribuya vuelva arrepvuido al seno de un G…</t>
  </si>
  <si>
    <t>…al de la Monarquía, y ha gracias lloviesen tobre la España, hasta no dejar uno de sus hijos! ¿ Ha ría formar i los incautos una idea poco ventajosa del sistema consti concebido el Sr. Nuñez que pudiera notarse mi nombre con el mas pe tucional. queño tilde de traición y de ingratitud! ¿Pues en qué funda este üuso El orador , después de varias reflexiones, pidió que se indemnizase el concepto con que me presenta , y la facilidad en escr.brame! ¿Se…</t>
  </si>
  <si>
    <t>…legalmente justificada, pasará ción salv-n el 'nconvenirnte que he manifestado. siempre por una de las operaciones mas complicadas del entendimien Ki *&gt;r. Argii Ib-»: La id-a del Sr. Nuñez es la mas recomendable, to : tan positivo como cierto es para mí que ia maestría de los jueces ha porque no es otra cosa que presentar un correctivo que evite el abuso consistido y habrá de consistir siempre en graduar el mérito de las prue que s- puede hacer…</t>
  </si>
  <si>
    <t>…siado generalizadas entre nosotros; pues para mí basta en compro das voto contra el dictamen de la comisión. bación de esta verdad que de 10 millonea de habitantes que tsndn Es El Sr. Nuñez ( D. Toribio ) manifestó que en la discusión del có paña , acaso los siete no sepan leer y escribir. Por lo menos, señores, digo de procedimientos a; ocuparían muchos días , y que es júralo qus tal es nuestra situación ; y si olvidando por un momento lo poco…</t>
  </si>
  <si>
    <t>Nuñez, Tarta</t>
  </si>
  <si>
    <t>Tarta Nuñez</t>
  </si>
  <si>
    <t>…se ha yiito preciada á refugiarse an Fran zorubio, en la Mancha, de estado casarlo, da adad de 33 años, y cia , haciéndolo con tal precipitación, qua tango an mi poder dos pape 4 Doña Tarta Nuñez, de estado cauda , para que en el término de leras , donde ae cncurntran sua sallo», varios efecto* de secretaria, y nueve días, contados desde la publicación de esta tercero y último multitud de papeles que no he podido hasta ahora reconocer.ccQuedan •dicto…</t>
  </si>
  <si>
    <t>Nuñez, Toribio</t>
  </si>
  <si>
    <t>Toribio Nuñez</t>
  </si>
  <si>
    <t>389 pu« de I* junta preparatoria anterior; y también una nota de loa expe Salamanca. D. Toribio Nuñez, D. Juan Pacheco/ D. Félix Ovadientes relativos á la elección de algunos señorea diputados para cono lle. La comnion , después, de haber examinado los poderes de estos se cimiento de ia junta preparatoria. ñores , y asimi.m j las reclamaciones que contra esta…</t>
  </si>
  <si>
    <t>Nuñfz</t>
  </si>
  <si>
    <t>…tribunal de Cortes , y tario del D spacho de ia Gobernación de la Península en la discusión fueron electos en esta forma. sobre el orden cíe Ic t las memorias del ministerio.” El Sr. Nuñfz ( D. Toribio') por 60 votos de 87 , el Sr. González El Sr. Isturiz dijo: Los motivos que hemos tenido para hacer esta Aguirre por 66 votos de 94, el Sr. Romero por 67 votos de 91 , el proposición es que en los Gobiernos representativos el poder egecutivo Sr.…</t>
  </si>
  <si>
    <t>Ñuño</t>
  </si>
  <si>
    <t>…Begofia, limítrofe de la villa de La responsabilidad de las justicias se entiende solo en cuanto á la Bilbao. obligación de hacer se guarden todas las solemnidades establecidas pa D. Ñuño de la Cueva, ex-maestro propietario de matemáticas de ra el caso. la compañía de Guardias-marinas del departamento de Cádiz, y veci Las fianzas de los tesoreros de provincia se aprobarán por el no de Jerez de la Frontera, ha abierto, con permiso de aquel ayun…</t>
  </si>
  <si>
    <t>Nunziante</t>
  </si>
  <si>
    <t>…co Tomas Ros, á cuyo zelo in individuos, entre los cuales estaban el presbítero Villa y un notario. fatigable por el bien público se debe en gran parte la promoción de El teniente general Nunziante tiene lo* poderes mas amplios para man estos nuevos establecimiento*, con una voz ahogada por la ternura que tener ci orden. en su pecho excitaba aquella función patriótica, manifestó los subli NOTICIAS DE ESPAÑA. mes sentimientos de que se hallaba oprimido s…</t>
  </si>
  <si>
    <t>Nupreparar, Teresa</t>
  </si>
  <si>
    <t>Teresa Nupreparar</t>
  </si>
  <si>
    <t>…. Jotef Mingo Otalora, natural de la villa de Pozortubio, eu resados para que en edelante procuren el citado documento, qu* ha de la Mancha, de estado casado, de edad de 33 años y Doña Teresa Nupreparar el pago de su* retiros. Madrid 9 de Diciembre de i8ti.sE( ñez , do estado casada, para que en el término de nueve dias, contado* ordenador gefe administrativo de este primar distrito tnilitar=Martinez. desde la publicación de este segundo edicto, se presenten…</t>
  </si>
  <si>
    <t>Nusiempre</t>
  </si>
  <si>
    <t>…y sin vicios, á fin de que los delitos sean pron indispensable esta cinvocatoria; pero yo diré á S. S- que á fines de alio tamente castigados. La adición pues qut ha hecho el Sr. diputado Nusiempre están reunidas para dejar despachados todos los negocios pen fiez , y el dictamen de la comisión que la ha admitido pugnan hasta dientes-, de mznera que esta casualidad hace que se hallen reunidas las cierto punto contra aquel artículo. Yo dejo á la alta cons…</t>
  </si>
  <si>
    <t>Nuúez, Teresa</t>
  </si>
  <si>
    <t>Teresa Nuúez</t>
  </si>
  <si>
    <t>…á D. Josef Mingo Oialora , natural de la villa d; l'ozorubio, en la Don Fernando vn por la acacia de Dios y por le Constitución de Mancha, de estado casado, de edad de 33 años, y Doña Teresa Nuúez, la monarquía española, Rey de las Etpañas, i todos los que lis pre de estado casada , para que en el término de nueve dias , contados d:sdc santes vieren y entendieren, sabed: Que ia» Cortes han decretado lo la publicación de este edicto, se presenten en dic…</t>
  </si>
  <si>
    <t>O'aez, Nicolás</t>
  </si>
  <si>
    <t>Nicolás O'aez</t>
  </si>
  <si>
    <t>…asteis D. Pedro del Paso y Troncoso. D. Vicente Simón González de Cosío. con vuestra decisión, valor y denuedo. Jamas olvidéis esta memora D. Florencio Castillo. D. Tomas Salgado. D. Nicolás O'aez. D. Rafael ble jornada que os inmortaliza, ni menos confiéis en la victoria. vs^—- u.i:...Zn n. Mariano Robles. D. Demetrio Moreno. » Milicianos: poderosos enemigos, asaz diestros en el arte de ta ma quinación é intriga existen por desgracia, aparecen para te…</t>
  </si>
  <si>
    <t>O'ozaga, Martuel</t>
  </si>
  <si>
    <t>Martuel O'ozaga</t>
  </si>
  <si>
    <t>…io £ que la vende en tus alfolie*, haber lugar é la formación de causa D. Josef Nosteuch , D. Josef podrán y deberán los pueblos pagarle en crédito* liquidados ó vale* Rea Porree, D. Martuel O'ozaga y D. Miguel Moreno García; habiendo les por todo su valor, en el caso de que los débitos sean posteriores al votado por la afirmar vi D. Josef Anima, D. Félix Albao, D. Josef ello de 1813. Pero si fuesen anteriores al afio 14, aquellos pueblos que María Tixe, D. Rodrigo Sanjurjo y D.…</t>
  </si>
  <si>
    <t>O, Antonio</t>
  </si>
  <si>
    <t>Antonio O</t>
  </si>
  <si>
    <t>…ucación, y á cuanto, bajan de ten.r algún inlluj, &lt;n la instrucción pública, fie vende en la, lit/r.rus de Ortega, dan/ , .Matute, Josef Antonio Pjya.lc , D. Doitl-ng» oarachaga y D. Antonio O.azarra, declararon por ocho votos contra uno, que lo fue ei de D. San M.yar y Laguna. EN LA IMPRENTA NACIONAL.</t>
  </si>
  <si>
    <t>O, Ben.to</t>
  </si>
  <si>
    <t>Ben.to O</t>
  </si>
  <si>
    <t>….° i 1 a rs. cada tomo á la rústica el jurado, compuesto de los señores siguientes: D. Juan Isidoro Pérez, y 14 en pasta: la lista de los suscriptores ss pondrá al fin del tomo úl D. Ben.to O tega Romanillos, D. Zoilo Gómez Casero, D. Gregario timo , todo conforme al prospecto que se dió en' la gaceta de .Madrid da Miguel de Mendivil, D. Manuel García de Barrio, marques de Cusa- 30 de Marzo , núm. 91, Espectador de 9 de Abril, núm. góo , Diario no…</t>
  </si>
  <si>
    <t>O, Bruta</t>
  </si>
  <si>
    <t>Bruta O</t>
  </si>
  <si>
    <t>…la Pareja. Id. española Doña Carmen Crespo. Aritmética'. Doña María znanif- tó desde luego un carácter de moderación y de paz qus no ha Josefa Pdayo. Gramática castellana: primero Doña Bruta O:hoa: segun desmentido nunca; y si después ba toinado una actitud severa, ha sido do Doña Manuela da Alday. Dibujo: Doña Carmen Moreno. Constitu para defenderse de una facción desnaturalizada, que ha atacado i la Na ción: piirmio Doña Concepción García: segund…</t>
  </si>
  <si>
    <t>O, Felipe</t>
  </si>
  <si>
    <t>Felipe O</t>
  </si>
  <si>
    <t>…Serrano, Muro, Meca y b u t de la Quintero, vocal de la misma, D. Agustín Marquero, vocal de la da Vega, contrario» i la aprobación déla proposición de los Sres. Infant’, Burgos, D. Felipe O.ono, de la de Vigo; y de las consultas de las di Calderón, Soria, Romero y Prat para que el Gobierno pueda poner putaciones provinciales de la Coruña, Murcia y Extremadura, relati sobre las srmas 119 bombees de la milicia activa. vas , la primera á ti te estab…</t>
  </si>
  <si>
    <t>O, Joief</t>
  </si>
  <si>
    <t>Joief O</t>
  </si>
  <si>
    <t>…capitán efectivo de infan dante supernumerario del regimiento infantería Infante D. Cáelos, id. tería y del batallón de la milicia activa de Alcázar da ü. J-an, coa Ciudad-Real a D. Joief O iraIdo, segundo teniente coronel del los 450 rs. al me» que dofruta en provincia. cuerpo de Ingenieros, id. Villafranca 1 P. Josef de Moure, comandante de infamaría agre Córdoba a D. Antonio Alvarez, espitan graduado de teniente co gado al bata Ion de la miuc…</t>
  </si>
  <si>
    <t>O, Juan</t>
  </si>
  <si>
    <t>Juan O</t>
  </si>
  <si>
    <t>…o de la Gobernación de la Península.” presidente, v¡ce-presidente y secretario mas antiguo, que lo era el seANUNCIOS. fior D. Mariano Moreno, han sido elegidos, para presidente el señor D. Juan O.iver y García, diputado por la provincia de Milaga; para Continúan los juro* de ayer. vice-prasideate el Sr- D. Pabio Saotafé, diputado por la provincia de i/* Ocho mil soldados de Sevilla, juro 1.299,680 maravedises, quedó Aragón, y pata secretario el Sr. D.…</t>
  </si>
  <si>
    <t>O, Mauuci</t>
  </si>
  <si>
    <t>Mauuci O</t>
  </si>
  <si>
    <t>…do la dirección dida .a :&lt;ranion y ei tezundo qu.* a tu r&gt;r-»-r. ? . o o a as e. jura g-ueril de e.iiid-os acerca de que con el arreglo di la u: .ver».dad mento a: coon.i retirado D. Mauuci O ^a ya M no » y que uc iíri. rn esta cor&gt;e y con ei de la de Barcelona se hallan ya rstabie- rament» c Qwlu a con la forinu.a » &gt;o h:C.er;i* ¿cc. P.i-¿ pni&gt;w.pa , ;oc ’« un v:r» di.'.-s de t ircira rnseñanzi en todos ios puntos que se de- üo* 2 2 4 y 2 3 í . s…</t>
  </si>
  <si>
    <t>O, Pedro</t>
  </si>
  <si>
    <t>Pedro O</t>
  </si>
  <si>
    <t>…s seEores do, , se fijó la incertidumbre con la llegada de dos euptejo* d«■ Vmm, Salva, Marau y otros , ad.cional al dictamen de la miimi córtvsion, con respecto á la solicitud de D. Pedro O abarria , del comercio de trisando que habían cesado todas las negociaciones con la Puerta , en vista de haber esta desechado en término, muy ofensivos las proposic o- Bilbao, opinab» , que en vista de los particulares mer tos de este inte resado podían acord…</t>
  </si>
  <si>
    <t>O, Va'-ent.n</t>
  </si>
  <si>
    <t>Va'-ent.n O</t>
  </si>
  <si>
    <t>…de, ya un cación ioi ''íes. D. Andrea Alean, D. Joseí l’io hartos, D. M.t.url regidor con orden expresa de alguno de ellos, podrí suspender la se García d«i Barrio, D Miguel Hipa, D. Va'-ent.n O.tigo.a, D. l»i.lo sión , pera cuyo intento hará leer tres veces en voz alta esta ley , re ro de Hoyos, D. Francisco Colambo, L&gt;. Juan Antonio López, Den quiriendo á los concurrente» í retirarse, y de no hacerlo se valdrá de Celestino Oiozaga , D. Manuel E teba…</t>
  </si>
  <si>
    <t>O, Ventura de</t>
  </si>
  <si>
    <t>Ventura de O</t>
  </si>
  <si>
    <t>…nta del tabaco está afecto irstmeia, y escribanía del número de D. Feliciano del Corra!, se ha al pago de la consignación para contratistas. llan pendientes los autos seguidos por D. Ventura de O bregón i nom a.4 Para ei total completo de este estado faltan las provincias si bre de D. Ignacio de Obregon, su padre, coronel del regimiento proguientes : v'nciai de dra 'onrs de Nueva-Gaiicia, en el reino de México, coa Córdoba.“" Aragón. Jien. D Jacinto S…</t>
  </si>
  <si>
    <t>O-D</t>
  </si>
  <si>
    <t>…el 13, col. 5.*, lín. 2.*, donde dice m-m'dtf del regímient-i can nena de F'aiuesiO. Para la de lluzlva al mariscal de taban, léase manifestaba-, ye O la lia. ¿f, dunda dice campo D. O-D &gt;. lente toco&gt;*ípaiis4. EN LA IMPRENTA N VUONAL,</t>
  </si>
  <si>
    <t>O-Da.y, Demetrio</t>
  </si>
  <si>
    <t>Demetrio O-Da.y</t>
  </si>
  <si>
    <t>…Mariano Salas pertenecen al segundo tivo de su; achaq..e&gt; , y se ha hecho cargo interinamente de él el dig escuadrón ds artillería volante, y los se infantes, como el teniente no general D. Demetrio O-Da.y. D. Josef Aleu, el regimiento de Málaga: dejo á la consideración de Idem 8. V. E. calcular las ventaja* que ha producido esta acción, por donde En la mañana de boy han Legado á ntt c ridad con sus asistentes podrá juzgar el mérito qus han contraído estos vali…</t>
  </si>
  <si>
    <t>O-Daiy, Demetrio</t>
  </si>
  <si>
    <t>Demetrio O-Daiy</t>
  </si>
  <si>
    <t>…ocasión para desahogar su inconse do en Corte* por cala isla, mariscal de campo de lo* ejércitos naciona cuente animosidad contra el actual ministerio de Francia: un desorden les D. Demetrio O-Daiy, fecha del me* de Mayo último , pidiendo á la puerta te una iglesia, y un par de frívolas tentativa* de insurrec instrucciones acerca de su Opinión y la de los habitantes de cata isla, ción las considera como posaba* de-que loa principio* de aquel minia- rala…</t>
  </si>
  <si>
    <t>O-Dali, Demetrio</t>
  </si>
  <si>
    <t>Demetrio O-Dali</t>
  </si>
  <si>
    <t>…erecían debía entrarse en esta dis Las Cortes quedaron enteradas de una exposición de D. Felipe Fer cusión dé upa manera mas auténtica y mas formal; para lo cual era ne mín Paul y D. Demetrio O-Dali, individuos de la última diputación cesario que el secretario de la Gobernación de la Península, ó aquel i permanente, dando gracias á las Cortes por su resolución de 5 del actual. quien Correspondiese diese cuenta á las Cortes de estos sucesos , para A la co…</t>
  </si>
  <si>
    <t>O-Dalí, Demetrio</t>
  </si>
  <si>
    <t>Demetrio O-Dalí</t>
  </si>
  <si>
    <t>…esupuesto de dicha obra á ia diputa, mitan i la mayor brevedad al Sr. diputado 4 Cortes por esta isla maris cion provincial, 7 se procure la mayor economía. Aprobado. cal de campo D. Demetrio O-Dalí , á fin de que conociendo el voto La misma, en vista de la solicitud del a)untamiento de Mirras general de la provincia que representa , haga la correspondiente expo para que se le concediese un impuesto sobre el pan de primea calida1, sición en el Congreso n…</t>
  </si>
  <si>
    <t>O-Daly, Demetrio</t>
  </si>
  <si>
    <t>Demetrio O-Daly</t>
  </si>
  <si>
    <t>…l cuarto distrito militar que ha tenido é su caigo* el cual se ba servido globo! Asi aprenderán á imítalos los moradores de laschoza», ylo* ha* S- M. conferir al mariscal de campo D. Demetrio O-Daly.** hitantes de los palacios sabrán con quienes tienen que habértelas cuando Circular ilrl mniiterh Je HackmJasu toco orgullo los induzca á hollar loa sacrosantos derechos lie los Los Sres. diputados secretarios de las Cortee tas comunican MI fi hombres i quie…</t>
  </si>
  <si>
    <t>O-Day</t>
  </si>
  <si>
    <t>…primer ella se hace una espantosa pintura de aquella capital, de la anarquía en eomandante=Geróntmo Valle.'’ que habia estado, del degüello de *9 genízaros, de los arropellamienEl general O-Day ha dirigido la siguiente alocución á los ciuda tos cometidos en turcos, griegos y judíos, y en fin de todo género de dano* de la milicia activa del décimo detrito de su interino mando: excesos; piro en Viena no ven mas sino que ha habido algo ca Cons » Bt imp…</t>
  </si>
  <si>
    <t>O-Do-, Vicente</t>
  </si>
  <si>
    <t>Vicente O-Do-</t>
  </si>
  <si>
    <t>…tolo se exijan &lt;f rs. con la aplicación ó destino que te expresa. el punto de Irun, sopeña de proceder contra tu persona con arreglo á Otro de la de Instrucción pública peta que á D. Vicente O-Do- la* leyes.** Aprobado. aell, catedrático de la universidad de Santiago, te le considere en el Art. j.” « Que todo individuo procedente de Francia que tea aprehen mismo casó que i sus compafietos coopositores en el aAo de 19; 7 pa dido en España por cualquier…</t>
  </si>
  <si>
    <t>O-Donell</t>
  </si>
  <si>
    <t>…de los principados parece uu ira* han devuelto , aunque los lia reclamado. La Gaita di Fr.m- a d.ce nú ; es increíble, dicen , lo que han sufrido : están ya como ias dtoui que el general O-Donell ha recibido i-iooD francos *1 entrar en Es provincias otomanas , y bien pueden los turcos usar de su ptinle* paña, y publica una proclama de eate un lugar ni fecha—.Ei fan t _o gio de traer la peste al centro de la Europa. Se ha establecido un di» van-etfendi…</t>
  </si>
  <si>
    <t>…e Vitoria di parte de qua emprendía la marcha para asta provincia, con objeto de perseguir la Primer distrito militar. (Madrid.) Sin novedad. facción . que reunida ai mando del ex general O-Donell ocupaba LumSexto distrito m. litar. ( Zaragoza. ) Ademas de lo que arriba deja bier 7 Sangüesa, dtsd: cuyos puntos hacia correrías que les proporcio mos publicado en articulo de Zaragoza se sabe que los facciosos con naban grandes ventajas en lo mas hermoso d…</t>
  </si>
  <si>
    <t>O-Donell, Alejandro</t>
  </si>
  <si>
    <t>Alejandro O-Donell</t>
  </si>
  <si>
    <t>…l mo individuo de la santa alianza, sin exigir su adhesión por escrito á mando dei coronel D. Feratin Ir arte ; y la segunda a las &gt; rden.» del esta memorable acia. de igual clase D. Alejandro O-Donell, que comprende pare de Bai __Inscripciones de España estaban en Londres el 17 de Octubre, las len , vevilla. Imper a: Alejandro, begovia , 40 caballos de 1* Rema de 1820 8gi—Idem 1811,73;^. y a o del Infante y España. n Apresuré mi roxv i miento sin dsseamo,…</t>
  </si>
  <si>
    <t>O-Donojú</t>
  </si>
  <si>
    <t>…de torio que las habia habido, segun se ha manifestado en los papeles pú América; pero que habia sido muy gr.nde su sorpresa cuando había blicos. El tratado (continuó) que hizo el Sr. O-Donojú llegó autén visto que dicho voto concluía por proponer que se reconociese la in tico al Gobierno, y este mismo se pasó al consejo de hstedo, y luego dependencia de todos los países continentales de ambas Américas. ¿Co á las Cortes; pero no habiendo añadido aq…</t>
  </si>
  <si>
    <t>…o menos al ver Prescindiendo de los caracteres que tiene aquella revolución , la que se ha desconocido esta cuestión, y se ha discoooc.no por el mismo conducta que aili observó el general O-Donojú ha sido altamente des Gobierno. No se trata de ver lo que hao de ser iat Américas, por aprobada por toda la Nación; y cualesquiera que sean las disculpas que que esto está resuelto segun el estado actual de las mismas, que ao pueden hacerse en favor de los na…</t>
  </si>
  <si>
    <t>…obras públicas.” Aprobada. i.J •&gt; Que las Cortes declaren qne el llamado tratad -&gt; de Córdoba, D.-l Sr. Alvarez Sotomayor al 637: n Que si dentro del término de celebrado entre el general O-Donojú y el gefe de los disidentes de Nue 60 días siguientes al en que se dió la sustancia venenosa ó nociva re va-España D. Agustín Itúrbide, lo mismo que otro cualquiera acto ó sultare por efecto de ella el fallecimiento de aquel á quien te dió , su estipulación r…</t>
  </si>
  <si>
    <t>…Toreno, i fin de que las Cortes pusiesen para el efecto » y en este caso lo que se deduce es que la conducta del término 4 los males que agoviabao ¿ Us America*, y pan amo se nom Sr. O-Donojú ha aido mas criminal todavía; y coa este motivo diré de bró una comisión que presentó su dictamen, diciendo-que el Gobierno peso que si estos principios han dirigido la revolución de aquellos paí opinaba que la opinión pública no estaba preparada para entrar…</t>
  </si>
  <si>
    <t>…dres de ha to: cuadro filosófico del descubrimiento déla América: alocución a ber » do arrestado en Paris un pariente del famoso Sir Francia Burdett, las Cortes: parte oficial del general O-Donojú: batalla de Carabobo: por haberse sospechado que llevaba papeles de importancia para tramar el Dos de Mayo: soneto al alzamiento de España contra Napoleón. contra el Gobierno francés. _ Se hablaba nuevamente del próximo via Los suscriptores á la biblioteca de…</t>
  </si>
  <si>
    <t>O-Donojú, Juan</t>
  </si>
  <si>
    <t>Juan O-Donojú</t>
  </si>
  <si>
    <t>…e ponerse en mente de la capitanía general de Nueva-España , vacante también por práctica estas disposiciones por dichas juntas han venido algunas recla fallecimiento del teniente general D. Juan O-Donojú. mando auxilios con urgencia; y S. M. en vista de todo , deseando que Asimismo ha tenido á bien el Rey admitir la renuncia que ha he sin dejar de atenderse é las verdadetas necesidades de los esubVcimien- cho el coronel D- Josef Navarro y Torres de la tenenci…</t>
  </si>
  <si>
    <t>O-Donojú, Tomas</t>
  </si>
  <si>
    <t>Tomas O-Donojú</t>
  </si>
  <si>
    <t>…oltairc , Rousseau , Marse formó contra el gefe político superior que fue de la provincia de montel, Thomas, Lacepede, Barthelemy, Chateaubriand, La HarMurcia el mariscal de campo D. Tomas O-Donojú, acerca de la sus pe &amp;.C., viniendo á formar una lectura no menos V3nada que agradable pensión, despojo y declaración de nulidad de la elección de ayunta é instructiva. Se hallará á 15 rs. en la librería de Escribano y en la de miento celebrada en la villa de…</t>
  </si>
  <si>
    <t>O-Doreconvenciones</t>
  </si>
  <si>
    <t>…berá te Se prorogó en seguida la sesión por una hora mas. ner el derecho de imprimir su dictamen , y el de satisfacer á cuantas El Sr Moscoso manifestó la nulidad dfcl tratado del general O-Doreconvenciones se le han hecho por medio de un manifiesto. aojó, pues qué óo habia llevadhautoridad para hacerlo, y adema* ha El Gobierno cuando propone á las Cortes una medida legislativa bia dicho qne las Cortes se estaban ocupando en la independencia de propone también l…</t>
  </si>
  <si>
    <t>O-Gaban</t>
  </si>
  <si>
    <t>…que en distintas ocasiones hubieren cometido dos ó cesarias, las lejes del reino.” mas, robos de ios expresados en los tre. artículos precedentes, ó uno de Art. 560. ( Adición del Sr. O-Gaban.) Debe colocarse al fin del ellos y otro de cualquiera clase, ó uno de los primeros y dos hurtos ó cap. iv, tít vii, variándose la numeración en los artículos siguientes. mas sin haber sido condenados por ninguno de el íes. n Los que celebraren el matrimonio…</t>
  </si>
  <si>
    <t>…los acusados; puesto que á estos se Ies quita Se mandaron pasar á la comísioo las siguientes adiciones. la gran confianza que todos los ciudadanos tienen en la institución del Del Sr. O-Gaban al art. 6.®: * Hallándose prevenido en el código jando. penal que las penas pecuniarias establecidas en las leyes sean dobles *n Después de haber hecho varias reflexionas asi sobre la naturaleza Ultramar, pido que en d artículo de esta ley se inserte aquella…</t>
  </si>
  <si>
    <t>O-Gavan</t>
  </si>
  <si>
    <t>…erán siempre en un castilla cate. Este bajá feroz, que aun no tiene 24 años, ha hecho perecerá ó fortaleza.” muchos millares de individuos tanto cristianos como turcos. También El Sr. O-Gavan se opuso al artículo, manifestando que en su opi han llegado á Smirna noticias de Trebisonda , anunciando que aquel nión era mas conveniente que fuesen enviados los militares á un casti bajá ha levantado el estandarte de la rebelión contra la Puerta, y en llo…</t>
  </si>
  <si>
    <t>…r la del Sr. Rey al art. 3.*, y añaturse al fia de él únan las autoridades para pedir y para dictar providencias unidamente. ¿ currpos rtconocidos por tac Uytc. Ba cuanto á la del Sr. O-Gavan al Yo creo que no hay inconveniente alguno en que lea autoridades se re art. y. , que también admitía la comisión, podría expresarse al fin da únan contal de que no sea para estos dos casos, pues por lo demas pue dicho artículo lo siguiente: la cual será dobl…</t>
  </si>
  <si>
    <t>Oa</t>
  </si>
  <si>
    <t>…s que eslen en armonía con el actual sisf n.s de Art. 39 - -leguira el rssto de la infantería, l' v»ndo i la cib r Gobierno. Cuando hayan coocluido este irabaio habrm h-cho muvho, general Oa¡ sitio , un oficial de estado ouyor y ei coniar.Jac i: oe : _ pero no todo lo necesario para que quede enteramente organizado el Oseros. Art. s-5- “ A continuicion uso le. «a,sa.¡oies con s.:s cisc a’.*» • «a.st ma gubernativo militar. Las Corles saben que. b…</t>
  </si>
  <si>
    <t>Oalatrava</t>
  </si>
  <si>
    <t>…procediese La autoridad que io egecutc ó haga egccuur será responsable como in de oficio. fladora de las iey.s.” ■ Sin embargo, siempre que no haya alguna imposibilidad que lo Ei Sr. Oalatrava manifestó las observaciones que por varias corpora estorbe, se hará ia indemnización en la misma sentenes qu* d-ciare ciones d.-l tuno se habían hecho á cada uno de estos artículos, los cua •b»o mámente inocente al procesado. Si esto no pudiere ver Sears-, se…</t>
  </si>
  <si>
    <t>Oaliano</t>
  </si>
  <si>
    <t>…an su opi cepto no había razón para que un consejero de Estado perdiese el ca nión en votos particulares. rácter de funcionario público, auoque particularmente fuese apoderado F.I Sr. Oaliano impugnó el dictamen de la mayoría, decidiéndose de un Infante para cuidar su. bienes. por el voto de los Sres. Abreu y Zulueta, manifestando que en cate Después de haber contestado el Sr. Moreno á la observación del se desvanecían todos los argumentos que se…</t>
  </si>
  <si>
    <t>Oallano</t>
  </si>
  <si>
    <t>…ar la atención de las Cortes sobre lo que ha leido el afrentoso al vocal de la misma D. {«a rador Mirtinez Muñoz, opinaba Sr. Castejon; y refiriéndome después á lo que ha dicho el Sr. Oallano, que se habían infringido el art. 139 de la Constitución y e! decreto ¿5 suponiendo á ciertas personas como agresoras, no puedo menos de ma »4 de Marzo de i8«g en el modo de prender á dicho Mt-ti-.ez*. y nifestar que yo no diré quien tea ei agresor : esto lo…</t>
  </si>
  <si>
    <t>Oaotio, Francisco</t>
  </si>
  <si>
    <t>Francisco Oaotio</t>
  </si>
  <si>
    <t>…segundo batallón de Astúria, y de que usaba d dante el general D. Rafael del Riego, y por cu teniente coronel á ’eneral D. Rafael del Riego cuando en la Cabezas de S. Juan dió al D. Francisco Oaotio, i quien d segundo batallón de Astúria juzga Írente de dicho batallón el prima grito de libertad, después de I* digno de mandar el regimiento qanse creare.” Se mandó pasar é Ja co mu detenida deliberación opinaba que el mejor y mas propio destio» misión de Gu…</t>
  </si>
  <si>
    <t>Oasco</t>
  </si>
  <si>
    <t>…s que indicaré al tiem mado medio pliego de pepef y ha extendido tu dictamen, que poedt po de su discusión. ser sabio, pero na aíslo sin antecedente»; y tonque ahora han venido El Sr. Oasco deshilo algunas equivocaciones que dijo haber pade algunos documentos de la junta suprema de censura, no te han podida cido el Sr. preopinante. examinar por los Sres. diputarlos, y solo se sabe rae se han fallado na El Sr. Sancho dijo: Yo convengo en que hay…</t>
  </si>
  <si>
    <t>Oavtr</t>
  </si>
  <si>
    <t>…a decirse presen* económico se alivie á aquella isla en lo que fuere posible." lar í liquidar en vez de liquidar, pues de lo contrario se impondría i Se aprobó una proposición del Sr. Oavtr, relativa á que pudiendo los pueblos una pena por no haber liquidado tus créditos , no estando tener noticia el Gobierno de lo qu* deben producir en todo el afio ea su mano mas que el presentarlos, pues la liquidación era obra de corriente la contribución de…</t>
  </si>
  <si>
    <t>Obcego</t>
  </si>
  <si>
    <t>…n arfe del ejercito, donde lo haya , y en su derarlos con toda la atención que por sí merecen. defecto el comandante militar del distrito , quedan autorizados p»ra El valerosísimo coronel Obcego» persigue i Merino ; toma las dis procesar y mullir i las autoridades ¡ocales de los pueblos en curo ter posiciones oportunas , y con un puñado de hombres de su caballería mino se presenten facciosas Ncon arreglo á las circunstancias y á ia tras ataca i un nú…</t>
  </si>
  <si>
    <t>Obele, Pablo</t>
  </si>
  <si>
    <t>Pablo Obele</t>
  </si>
  <si>
    <t>…ganado, carros y muías de labor del mismo, y saqueando algunas otras cabo s-vundo de otra compañía por no haberlos idóneos cu la suya. ” casas, entre ellas con especialidad la de D. Pablo Obele. Hecho lo re Aprobado. ferido , partieron según conjeturas con dirección á Mequinenza. Art. 30. n Las propuestas de sargentos segundos, que corresponden Extracto de ¡at noticias de los periódicos extrangeros que han ¡legatoda, á la elección ,y las de sargento…</t>
  </si>
  <si>
    <t>Obeso, Josef</t>
  </si>
  <si>
    <t>Josef Obeso</t>
  </si>
  <si>
    <t>…en la víspera de la solemnidad se cgecutase lo mismo que se haca voluntaria D. Juan Josef Arguindegui, y el sargento de voluntarios en el memorable dia Dos de Mayo. de infantería D. Josef Obeso , son acreedores i la gracia de S. M., co Este es pues el triste, aunque célebre recuerdo que hoy se ha hecho mo igualmente todos los que se hallaron en la acción. Me ha sido sen en esta capital con toda aquella pompa y solemnidad posible. sible no hayan teni…</t>
  </si>
  <si>
    <t>Obiegon, Manuel</t>
  </si>
  <si>
    <t>Manuel Obiegon</t>
  </si>
  <si>
    <t>…odría reunirse en pequeñas partidas sultado , Excmo. Sr., de haber yo becho la afortunada elección del co y ocasionar algunos males á los pueblo*. A V. S. le consta que hace ronel D. Manuel Obiegon para comandante de la columna móvil del tan tolo 10 días que salí de eia capital con una de la* colnmnas que centro, y por lo tanto espero que V. E. recomiende á S. M. 4 este be tuvo i bien poner 4 mis órdenes, y que logré ponerme á su inmediación nemérito ge…</t>
  </si>
  <si>
    <t>Obispo</t>
  </si>
  <si>
    <t>…ación te está ea el caso de facciosos de toda esta comarca sobre Vich , con el objeto de poner en adoptar la mas severa economía; pero también ea cierto que esta no de libertad al Sr. Obispo de esta diócesis. No dudé un momento en mar» be extenderse mas alli de lo justo, ni tanto como detea Ja comis on. char i esta ciudad , evacuando de camino los objetos que me proponía La partida que ha pedido el Gobierno para pagar i los emigrados ita con ir á…</t>
  </si>
  <si>
    <t>Obregon, Ignacio de</t>
  </si>
  <si>
    <t>Ignacio de Obregon</t>
  </si>
  <si>
    <t>…de la consignación para contratistas. llan pendientes los autos seguidos por D. Ventura de O bregón i nom a.4 Para ei total completo de este estado faltan las provincias si bre de D. Ignacio de Obregon, su padre, coronel del regimiento proguientes : v'nciai de dra 'onrs de Nueva-Gaiicia, en el reino de México, coa Córdoba.“" Aragón. Jien. D Jacinto Sánchez Tirado, agente de negocios de Indias en esta corte, Galicia. Burgos. León. sobre aprobación de la cuen…</t>
  </si>
  <si>
    <t>Obregon, Manuel</t>
  </si>
  <si>
    <t>Manuel Obregon</t>
  </si>
  <si>
    <t>…ieron 4 sus órdenes.” su izquierda, y en seguida fue cortada su línea sucesivamente por la tropa de Vitoria , que subiendo con intrepidez y despreciando el fuego, » Excmo. Sr.: El coronel D. Manuel Obregon , en continuación por el centro y derecha del barranco llamado de Cincodedos, les salió del part - que me dió en 31 del anterior, y que yo puse en conocimien al encuentro , haciendo entre estos dos cuerpos una carnicería horrorosa to de V. E. con fecha de i.°…</t>
  </si>
  <si>
    <t>Obtegon</t>
  </si>
  <si>
    <t>…responde en tolos casos elevar expedición de ay ciudadanos, felicitando i las Cortes por la victoria al del buque las quejas de sus subordinados que crea justa*. conseguida pot el Sr. Obtegon contra el rebelde Merino. Art. 15. » Entre los subtenientes alternara también el servicio de La comisión de Guerra, en vista de una adición del Sr.Cano al dic rondas, lasque se harán por dos vec.-s durante la noche en el dormito tamen de la misma, relativo á…</t>
  </si>
  <si>
    <t>Obver</t>
  </si>
  <si>
    <t>…o se disuelve hoy. El Sr. Ganga leyó el dictamen de la comisión de Hacienda sotan La obligación del pueblo será en adelante obedecer lea lepes y empatar Im proposiciones t una del Sr. Obver, y otra de los haca. Rom y Ssrabsa 4 sus ejecutor». para que se suprima el derecho de registro público. •&gt; Griegos» habéis querido sacudir d pugo que OS oprimía, p vues La com sion manifestaba quz había exam nado las exposición» que tros tíranos desaparecen d…</t>
  </si>
  <si>
    <t>…ice no trarios , se verá que el argumento que de aquí se deduce es enteramen se podrá proceder contra un secretario por crimen de consp.rac o::, sino te opuesto ai que ha hecho el Sr. Obver. en calidad de tal secretario , se diio que el crimen de consp.raciun no es lia dicho S. S. que en la Constitución &lt;e previene que las leyes han un delito común; y esto es t’.n error de tal naturalezi, que por :r,as q.jde señalar e! orden y las formalidades d…</t>
  </si>
  <si>
    <t>Oc-ron, Ramón</t>
  </si>
  <si>
    <t>Ramón Oc-ron</t>
  </si>
  <si>
    <t>…odo Lino Coutinho el dictamen de ia comisión Diplomática sobre los espa de proceder en estas causas, cuyo conocimiento se quitaba al jando. ñoles presos en Oporto D. Toma* Bianc y D. Ramón Oc-ron , según La discusión del aitículo y de las adiciones hechas por la comisión el cual, y á consecuencia de los tratados existentes entre las dos nacio y por algunos otras vocales duraron hasta el día 6 ( 1 ), y dieran nes, debían entregarse dichos presos, como…</t>
  </si>
  <si>
    <t>Oca, Norberto de</t>
  </si>
  <si>
    <t>Norberto de Oca</t>
  </si>
  <si>
    <t>…ote extraviado tu privilegio, te suplica é rá persona que lo ta y ios cayos en que el vendedor había al* indemnizar al comprador; tenn que lo entregue al interesado, ó en Madrid á D. Norberto de Oca y que si en el cato actual D. Lorenzo Calvo de Rozas no había puesto- j Meló, calle de las Dos-Hermanes, núm. 19 , cuarto principal; en todas las cláusulas en el contrato , la Nación no estaba obligada á in inteligencia de que en el acto de la entrega recibir…</t>
  </si>
  <si>
    <t>Ocamahajo, Juan Felipe</t>
  </si>
  <si>
    <t>Juan Felipe Ocamahajo</t>
  </si>
  <si>
    <t>…perimenta tavediscs__La de Dofia María Zuarez Analta 180 rs. 7 8 mrs—La de ron le muy divertida que es. Primeramente los hacían echar boca Kernanciez 7 López 314 rs. y 9 mn—.La de D. Juan Felipe Ocamahajo, mandándoles que tuviesen cuidado de no mirar mas arriba z6i rs. 7 so mrs__ La de D. Pedro Antonio Vázquez Piñeiros 390 de los pies dei Emperador: después les decían que te levantasen, 7 pales.__La de Dofia María Rosa Larrea 78 rs. 7 7 mrs—La de la las hacían…</t>
  </si>
  <si>
    <t>Ocampo, María de</t>
  </si>
  <si>
    <t>María de Ocampo</t>
  </si>
  <si>
    <t>…do : Delgado, Gas-ro , Criabn , Lu- ron en las parroquiales de esta villa Cristóbal Megía de la Cámara y zuriaga, Anguo, Amandi, \rdres , Lozano, A»nju, &gt;coinr , Han- sus mu ver-s Doña María de Ocampo y Doña Isabel de Chaves, va t-is ) G -t. Lo» o p nv.ro» lo declararon » d cioso y subversivo en can! » por fa Iromiento del presbítero D. Gregorio Jiménez de Arep* ni r sir.d., y -n tercero el *r. Santos , aHso viéndole ei Sr. 1 c.sta cHa.a , pu-d^n acudir á deducirte en el juzgado…</t>
  </si>
  <si>
    <t>Ocboa</t>
  </si>
  <si>
    <t>…a tu insudo á quienes comprende. la junta no confirma con tu silencio tote la» expresiones que lo* pe Palacio ó de Enero de i8ta." riódicos han publicado como proferidas por d Sr. diputado Ocboa, se Oi'tecion general Jr imnttitas indirectos y efectot estatuad*». procura la publicación da asta anuncio pac medí* da le* - pe » Habiendo entendido por conducto da! intendenta da Valencia riódicos. EN LA IMPRENTA NACIONAL.</t>
  </si>
  <si>
    <t>…mero anterior añadiremos hoy que unos dias ha tomó po que haya de ocupar el hospital de la sangre, procurando esté resguarda sesión de su destino el nuevo gefe político de Sevilla Sr. Ocboa, de do, y lo mas inmediato que sea posible á la trinchera: en ¿1 camparín los cuyo zelo y energía espera aquella provincia la* mayores ventajas__ cirujanos, practicantes, boticarios y párrocos, á fin de que los heri Tarifa, en la provincia de Cádiz, no solame…</t>
  </si>
  <si>
    <t>Ochando, Rafael</t>
  </si>
  <si>
    <t>Rafael Ochando</t>
  </si>
  <si>
    <t>…r el deterioro de su armamento, en que nosencontrábeaaoe, para lo que se ofrecieron voluntariamente vealuario y equipo............................. ..........-.........- 4.000,000 D. Rafael Ochando, Mariano Fabian y el cabo Francisco Jimano, am Pan efecto* impreviato* de la guerra....................... 11.000,000 bos voluntario* de Cape 1 toda la guarnición rompió «a él momento un vivo fuego, y i favor da él salieron del fuerte los individuo*. Los 188.…</t>
  </si>
  <si>
    <t>Ocheu, Luis</t>
  </si>
  <si>
    <t>Luis Ocheu</t>
  </si>
  <si>
    <t>…nte del regimiento infantería infantería de la Rema , con 570 rs. de Búr/os, con 570 rs. Vallado!id al capitán D. Manuel Moran , teniente del regimiento Játiva al cap tan graduado D. Luis Ocheu, teniente del regimien infanrería de León, con 570 rs. to :nfantrría de .Soria , con 5^0 rs. Villafranca á D. Antonio Do 1 », teniente del regimiento de z.'-piLeón i D. Ramón Candía, teniente supernumerario del batallón dores, con 570 r» ligero pnin rod. Caía…</t>
  </si>
  <si>
    <t>Ocho</t>
  </si>
  <si>
    <t>…ndicam i Trabajo* perpetuo*.... Muerte..................„...v la reunión de la» facultad» de lo» gefes político* é intendentes. Deportación................ Trabaj» perpetuo*....El Sr. Ocho» apoyó el dictamen de la comisión en lo relativo á la supresión de la* contaduría* de propio*, supuesto que estes fondos do ------hecho no exátirian luego que te rrpartiesen á lo* mismo# pueblo* lo* Obra* públicu por» Diez afi» de obra* púbien» en que conaiat…</t>
  </si>
  <si>
    <t>…de Toledo, desama de hacer la Real nuas.=En Palacio 4 18 de Diciembre de t8ai.=A D. An dora parecer dd concepto público las equivocaciones que contenía el voto gel Vallejo» dd Sr. diputado Ocho* en la discusión del proyecto para indemniza» Circular del ministrrio Je la Guerra. á los legos partícipe* de diezma*, aeslon y de Enero, y viendo ta diver » Conforme 4 lo prevenido en el ert. a.® de la circular de 30 de sidad con fsse este vete está referid*…</t>
  </si>
  <si>
    <t>Ocho, Diego Osa y</t>
  </si>
  <si>
    <t>Diego Osa y Ocho</t>
  </si>
  <si>
    <t>…la proposición para plazas de magistrados de la audiencia territorial de Mallorca, 4que se había aprobado 4 lo» Sres. Baiges, Canga, Surra, Soria y Ro D Ignacio María Higueras y i D. Diego Osa y Ocho»; y para las dosmero. fisca tas de la misma audiencia 4 D. Manuel de la Plaza y Farias y 4 El Sr. presidente señaló pera la discusión de 'mañana al presu D. Miguel Fluxá.puesto del ministerip de Marina, y levantó la sesión 4 las cuatro. Junta general directiv…</t>
  </si>
  <si>
    <t>Ocho, Manuel</t>
  </si>
  <si>
    <t>Manuel Ocho</t>
  </si>
  <si>
    <t>…ia que amenazaban i la sociedad Gobierno para que la informase. Aprobado. española, dias de paz, de reconciliación y de caridad por medio del La misma, en vista da la solicitud de D. Manuel Ocho* y Paulin, restablecimiento de la Constitución política, cuya observancia afirmaba pidiendo una remuneración por varias mejoras que habia hecho en algm el trono en la augusta dinastía del Sr. D. Fernando vst, protegía y no* terreno* agregados al Crédito públi…</t>
  </si>
  <si>
    <t>Ochoa</t>
  </si>
  <si>
    <t>…e las actúale» en cuanto á hacer las reformas que te opuestas ¿ lo que yo opino. fueren convenientes. Ademas expuso que la comisión, reconociendo la Mi digno compsfiero y amigo el Sr. Ochoa acaba de decir que et justicia de indemnizar álos participes legos de sus rentas, y siendo asi m :dio diezmo y mitad de primicia ha sido igual ó mayor á la de loa que muchos de estos tenían algunas cargas por estas mismas, no habia. años anteriores; y S. S. ,…</t>
  </si>
  <si>
    <t>…Ci edito público, que era muy interesante , y se debía resol ¿cómo podrán mantenerse los sobrantes! ver pronto, porque interesaba mucho aun para el arreglo del Cied to Ha dicho el Sr. Ochoa que el clero qu*daba bien dotafo.v que con público, porque esto debía servir de bas:; por este motivo pid.11 *» lo que se le señalaba no perdía n*da ; y la diputación provincial de To decía ase haber lugar á votar, añadiendo que en cuanto á las dotacio ledo d…</t>
  </si>
  <si>
    <t>…taria. Se acor laria la superstición, porque sabia que en una sacristía se enseñaban Jas dó se imprimiese. varas que llevaban los jueces del pueblo de Israel, y él mismo las ha Kl Sr. Ochoa dijo: Que la llamada junta diocesana de Toledo, i la bía visto y le habia causado r.u; y según la opinión de lo* vecinos de que calificaba asi per estar constituida contra lo dispuesto en el de aquel pueblo, si entonces hubiese regido este código, indudableme…</t>
  </si>
  <si>
    <t>…d de estas leyes represivas! ¡Son po* ventura la falta de estas lo» tal ma interpretación en algunos periódicos con buena ó mala intención, les principales que tiene la Nación i d Sr. Ochoa había hablado de ella en laa seaiones en que se había dis He dicho que se han sentado suposiciones falsas; la primera ha si cutido dicho dictamen, en ciiyn ocasion habrá contestado que la comi do que los abuso» de la libertad de imprenta han sido, la causa pr…</t>
  </si>
  <si>
    <t>Ochoa, B-nita</t>
  </si>
  <si>
    <t>B-nita Ochoa</t>
  </si>
  <si>
    <t>…zas el fuego de la discordia; si pa Crespo: segundo Doña Carmen Moreno. Bordados de estambre sobre rece contrario á la civilización, ts porque varios políticos creen que cañamazo: Doña B-nita Ochoa. Países de sedas: Doña Concepción esu coi sist: en la degrad cion d.l hombre, y los españoles quieren ser García. Toda clase de calados: Doña María Josefa Pela}o. Bordados lrbr.s i ¡tul.-‘pendiente-., y que se respeten sus derechos como nación. al tambor: Doñ…</t>
  </si>
  <si>
    <t>Ochoa, Benita</t>
  </si>
  <si>
    <t>Benita Ochoa</t>
  </si>
  <si>
    <t>…o y están haciendo cuanto es posi sica: primero Doña Gerónima Lessenne: segundo Doña Teresa Uri ble p'M turbar t u stra tranquilidad interior, con el fin de hacer te.rible barri y Doña Benita Ochoa. Baile* primero Doña Manuela de Al y (dú o el s stema constitucional ; es porque han atizado con su oro, day: segundo Doña Carmen Crespo. Costura: primero Doña Carmen cor. su protección y con sus esperanzas el fuego de la discordia; si pa Crespo: segundo Doña…</t>
  </si>
  <si>
    <t>Ochoa, Juan López</t>
  </si>
  <si>
    <t>Juan López Ochoa</t>
  </si>
  <si>
    <t>én D. Juan López Ochoa, í fin da que la* Corte* le habilitasen para po adquirir los conocimiento* propios de la carr-ra £ que se destina , debí der obtener empleo »¡n embargo de no gozar sueldo ni haber sobre el mirar como una propiedad la capacidad que á costa de muchos año* de ci…</t>
  </si>
  <si>
    <t>Ochoa-tu</t>
  </si>
  <si>
    <t>…i mteretado, y por consiguiente aa se-debía dar Se declaró suficientemente discutido este asunto, y quedó aprobada cuenta de ella. &lt; dicha proposición. Después de haber apoyado el Sr. Ochoa-tu proponte tan haciendo Las Cortes quedaron enteradas de las siguientes exposiciones una varias observaciones , no se admitió á discusión. del juez de primera instancia de Tarrasa, manifestando que aquellos Se mandó pasar 4 las comisiones de Hacienda y Visita d…</t>
  </si>
  <si>
    <t>Ochoa.-</t>
  </si>
  <si>
    <t>…ese lo mas conveniente en esta rósticos y urbanos del clero; siendo de advertir que estos valen hoy materia. ss-ta mitad de lo que valían so afio» baae, pues no hay mas que con El Sr. Ochoa.- El clero quedó suficientemente dotado por lo acor siderar los precios que tienen los frutos en el día, resultando de aquí dado por las Cortes, y aun se fiuede decir que con mas renta* que las que se van á aumentar una infinidad de empleados y de gastos, y loa qu…</t>
  </si>
  <si>
    <t>Ocon, Manuel</t>
  </si>
  <si>
    <t>Manuel Ocon</t>
  </si>
  <si>
    <t>…r Velazquez. Premio í.r Haya i.° de Enero. á Castro. Accésit i Co'ombo. Tos gastos de! presupuesto extraordinario para 1811 fttan fijados Decima clase. Mu.Ua de violin, i cargo de D. Manuel Ocon. Item en 34.875,051 florines, ademas de un crédito de un millón para gas de Jlauta, al de D. Santiago M.-ndizabai. Premio á D. Pedro Aita. tos imprevistos. Accésit ; D. Jacinta Madrid. El tribunal de Arel tñonts ha sentenciado hoy la causa que se yió Undécima…</t>
  </si>
  <si>
    <t>Octavio</t>
  </si>
  <si>
    <t>…Torrecilla, D. Raimundo Provedo, D. Francisco de Lleno, Don El Sr. Argíielle* manifestó que no pod an las Cortes acceder á esta Anastasio Nava*,IX Andrés Gafo, D. Miguel Sánchez, D. Octavio exposición, por cuanto el asunto 4 que se refería era un testimonio da Pastor, presbítero, D. Joaquín de Iberas, D. Josef Marín Coronado, la gratitud nacional; y que no siendo tampoco decoroso el decir que D. Josef Maten y D. Vicente Verga». ao había lugar i…</t>
  </si>
  <si>
    <t>Odesé, Gómez</t>
  </si>
  <si>
    <t>Gómez Odesé</t>
  </si>
  <si>
    <t>…o sobre los resoltado* probables. El uprobado el articulo. tal Courrúr está empellado en que no habré guerra: * Las cartas do Se mandó pasar é la comisión la siguiente adición del Sr. Gómez Odesé, dice , refieren que todas las noticia* ton en favor de la pez;qn* Becerra al art. 3.°: « Pido que cuando deba salir de la junto algún zdn- no te hace armamento alguno naval en NikslijtlT, y que el almiranta dor por tratarse de asuntos en. que sea interesado,…</t>
  </si>
  <si>
    <t>Odíemelo, Alejandro</t>
  </si>
  <si>
    <t>Alejandro Odíemelo</t>
  </si>
  <si>
    <t>…iz el expresar que se señala el término de seis En la villa de Carvajales de Alava á 9 de Marzo de 1821. El meses á los interesado» para comparecer; lo que se les advierte para su Sr. D. Alejandro Odíemelo, juez letrado de primera instancia de la gobierno—En la gaceta dal a 1, coL 8.a, 1¿b. 84, donde diee gattvt, misma y su partido, habiendo viste la causa formada de oficio al pres léase datoe. EN LA IMPRENTA NACIONAL.</t>
  </si>
  <si>
    <t>Odiseo</t>
  </si>
  <si>
    <t>…trucción de los griegos, publica ridades. El senado supremo había resuelto con la mayor prudencia en remos no obstante noticias contrarias á las nuestras, aunque no les de viar al general Odiseo, á quien había confiado *1 paso de las Termómos ningún crédito." pilas , un capitán griego que había servido en los egércitos de Italia, En seguida inserta «I párrafo de Trieste de a de Setiembre, que con el fin de que le ayudara con sus consejos. El capitán…</t>
  </si>
  <si>
    <t>Odoardo</t>
  </si>
  <si>
    <t>…ejon y Nuñez (D.Tqribio) con arreglo al ait- 11» nente, que según los ministros debe ascender á 35,909 hombres, son de la Constitución. dignas de notar las siguientes palabras del diputado Odoardo: •&gt; El con En srgu.’da se leyeron los artículos desde *1 1Ó1 al 167 y los tía greso desde su instalación está oyendo diariamente especies alarmantes al itó de la Constitución; como asimismo los 2:0, 231 y 231 del sobre invasiones y enemigos de todas clases-,…</t>
  </si>
  <si>
    <t>Odonell</t>
  </si>
  <si>
    <t>…este país. marcha en menos de nu;ve horas. Anoche é las 10 en punto salió de 1» !.»ta p’-ovincia se halla estos d as libre de toda part da , y solo esta ciudad para su dest.no el coronel Odonell con aoo de su brillan a'eunos disp nos incomodan .1 ¡os pui-bi&gt; s y pait -.u'-r s, centra los te regimiento del Imperial y 15 caballos de Botbon, escoltando el que es casi imposible puedan obrar con fruta las c- ¡unir as, metras ccnvoy de dinero y a! capitán…</t>
  </si>
  <si>
    <t>Odriraoia, Joaquín de</t>
  </si>
  <si>
    <t>Joaquín de Odriraoia</t>
  </si>
  <si>
    <t>…po. A su virtud se r¿un ó el juiaco en el tud é ignorancia. dia 31 del mes anterior, compuesto de los Sres. D. Jus-Í ce a V ga, Madrid Juren 19 dt Setiembre. D. Casimiro Sánchez , D. Joaquín de Odriraoia , L*. Angel V.igas, S. M. el Rey y SS. AA. continúan sin novedad en tu importante D. Clemente Máximo de la Torre, D. Ju'uan teme de .al..fatua, aalud. S. M. la Reina no ha tenido mejoría en su indisposición. D. Marcos Quirós, D. Segundo Alvaiez y D. Dom ngo s…</t>
  </si>
  <si>
    <t>OFICIO, Al ARTICULO DE</t>
  </si>
  <si>
    <t>Al ARTICULO DE OFICIO</t>
  </si>
  <si>
    <t>…n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Tesorería general dt ¡a Nación. Alonso por 6a votos de 111, teniendo el Sr. Herrera Bnttamante $3 En Real arden de ai de Setiembre último expedida por el minit…</t>
  </si>
  <si>
    <t>OFICIO, Alvaro Pé ARTICULO DE</t>
  </si>
  <si>
    <t>Alvaro Pé ARTICULO DE OFICIO</t>
  </si>
  <si>
    <t>…ión sobre baldíos; en Soria á za de Octubre de 1447: otro de i¡9 mrs. de renta ca con lo cual levantó la sesión á las cuatro. da año sobre las aleaba'as de Pontevedra , á favor de D. Alvaro Pé ARTICULO DE OFICIO. rez de Sotomayor, en Valladolid i 10 de Enero de 1448: otro de 361,500 mrs. de p-ine pa! , situado en alcabalas de la ciudad y reino El Sr. secretario del Despacho de la Gobernación de Ultramar dice de Sevilla á favor de Doña María Agustina Sarmiento, en Mad…</t>
  </si>
  <si>
    <t>OFICIO, ARTICULO DE</t>
  </si>
  <si>
    <t>ARTICULO DE OFICIO</t>
  </si>
  <si>
    <t>…ofrecían sobre varios impuestos patriotas mas decididos acordados en aquella provincia. Y se levantó la sesicn á las tres. A la crmis.on de Hacienda se pasó una representación de Doña ARTICULO DE OFICIO. Rosa Luengo , en solicitud de que se la permitiesen enagenar varios bienes que pertenecían á su difunto padre en Oviedo. El Sr. secretario del Despacho de Marina , con fecha de ayer, dice A ia ín.sma otra de D. Domingo y Doña Marta Castromocho, desde ei Real…</t>
  </si>
  <si>
    <t>…53-... 1000.......................... En Cádiz. principia Coraría 3 de Abril. Ha llenado, p termina corar que nc flirtea; se reunió el jurado, compuesto de los señores siguientes: Don ARTICULO DE OFICIO. Aniceto ¿¡zana, D. Carlos Romeral, D. Mariano Zorraquin, D. Ma El Sr. Metalario del Despacho de la Gobernación de Ultramar con merto Landaburu, D. Joaquín Huerta Orvallos, D. Isidoro de Hoyos, beba de «ver dice desde el Real *¡tio de Araajuez lo que sigue: D…</t>
  </si>
  <si>
    <t>…Vázquez,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renta en su presidente , vice-presidente y secretario mas antiguo…</t>
  </si>
  <si>
    <t>OFICIO, Jos-f Maria ARTICULO DE</t>
  </si>
  <si>
    <t>Jos-f Maria ARTICULO DE OFICIO</t>
  </si>
  <si>
    <t>…lo de policía y su comparsa para sccuestraile Tembequ-, Dr. D. Miguel Gundi y Alcocer, P. D Pedro JuFan lo* egemplares que tuviera. López, D . D. Marcos Cárdenas. Sum hr de pa acó D. Jos-f Maria ARTICULO DE OFICIO. no Fernand. z. Ma stro de ceremonias Dr. y Miro. D. Isidro Igna cio de lcaza. Gentileshombre* de cámara con egcrocio; mariscal En el presente día 3 de Octubre se han corst‘luido las Cortes ex-' de Castilla cond- de fi. M .t o, coronel D Antonio Tcran , id. D…</t>
  </si>
  <si>
    <t>OFICIO, Juan ARTICULO DE</t>
  </si>
  <si>
    <t>Juan ARTICULO DE OFICIO</t>
  </si>
  <si>
    <t>…evolucion por todoi medios, y particularmente En la M. H. villa y corte de Madrid, reunidos los Sres. jueces de con 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t>
  </si>
  <si>
    <t>OFICIO, Pedro Celestino ARTICULO DE</t>
  </si>
  <si>
    <t>Pedro Celestino ARTICULO DE OFICIO</t>
  </si>
  <si>
    <t>…inuaría esta discusión, y Madrid : Doña Manuela Moreno, viuda de dicho L&gt;. Antonio María se levantó la sesión á las cuatro dadas. «fe Quijada , Doña María Josefa Velasen, viuda de D. Pedro Celestino ARTICULO DE OFICIO. González de Salazsr, curado a de sus cinco hijos , D Nicolás , Doña María Antonia, Doña Ana María, D. Francisco «fe Paula y Cofia El Sr. secretario del Despacho de la Gobernación «le Ultramar con Mu ía Josefa de Salazar, Doña Tomasa Quqada , y por su muerte…</t>
  </si>
  <si>
    <t>Ofiver</t>
  </si>
  <si>
    <t>…de la D-spacho al día s.vUier.t- dr c i.at la. C- -t-s &gt;... . &gt; - &gt; -■ &gt;.r;a ; ■ comisión d:be aprobarse. meses air-stics, sin que durarte Ju «te t .ñipo »e .•,:í.,:.¡i,.i. .o El Sr. Ofiver deshizo tres equivocaciones que dijo había padecido mas niirom s iu» mir..:c» »le la c.-:.,.i. ri Sr. preop nante. El o:ad.'.r pasó a fez-r varias r«il.*i.rr*s n-bre la r.'sr.Tsalii . ad El Sr. Ruiz de la Vega : La mayor parte de las doctrines ex.mes- d* I -s…</t>
  </si>
  <si>
    <t>Ohver</t>
  </si>
  <si>
    <t>…una ma mino de la reincidencia en el caso dei art. it8; y de ocho ea el de 119. teria tan importante que podía producir mas de 100 millones. Se leyó et art. sai, que decia asi. El Sr. Ohver contesto que era precisa la supresión de las contadu Att. 1 as. » La reincidencia por primera vez aeré castigada con do* rías de propios por ser inútiles, y no evitarte coa ellas, como lo había ble pen de la que esté sefiaáda -or la ley al delito, siempre que…</t>
  </si>
  <si>
    <t>OI</t>
  </si>
  <si>
    <t>…a sufrirá la pena de ocho á doce años de obras públicas, con igual destier que la eximíoste con la detención que requería este importante asun ro mientras viva la ofendida. to. El Sr. OI i ver, como individuo « la comisión, apoyó esta idea. » Si la engafiads fuere muger pública conocida como tal, sufrirá el El Sr. Quiroga pidió al Sr. secretario de Ultramar dijese ( ai no ero reo de matrimonio fingido tres á seis años de obras públicas, y cua…</t>
  </si>
  <si>
    <t>…ig on de nu stros padres. Por lo mismo debemos estar alerta, y des conusion. mentir tas ca umnia» de esta naturaleza con que nos atacan conti- El Sr. Becerra dijo: Convengo con el Sr. OI i ver en que en la deno j3usmjrítc. minación de empleados públicos se comprenden ios magistrados y jue El tr.bunal especial de Guerra y Marina, repito que debió haber ces ; pero es preciso que las Cortes tengan presente la indep. ndencía aplicado la pena que…</t>
  </si>
  <si>
    <t>…ir pidiese su continuación; mas tí cuando serio la pidiese al autor ó de se como hasta aquí comunicando estas noticies los jaeces por el con nunciante.” ducto del Gobierno. ... £1 Sr. OI i ver: El-hombre luego qoe mucre deja de «er responsable, Después dt algunas ligeras observaciones que hicieron los Sres. Vey la formación de causa contra el -que ha fallecido as opuesta a noaley lasco y Arguelles, la comisión modificó su dictamen en los térm…</t>
  </si>
  <si>
    <t>…quí. Aprobado. Bilbao g de Abril. Se leyó y mandó pasar á la comisión de Ultramar la siguiente pro lw milicias voluntaría» de infantería y caballería de ata villa haa posición del Sr. OI i ver: • Habiéndose anulado el acta de elecciones de el siguiente oficio al comandante general de la provincia vas- Puerto-Príncipe , pido á las Cortes se sirvan declarar si para la presen ¿oüñda D. Miguel López de Batos, con motivo de la ocurrencias te legis…</t>
  </si>
  <si>
    <t>Oi</t>
  </si>
  <si>
    <t>…su importante salud. proyectoá una comisión especial con la adición que habia hecho un Las Con. s lo oysrcn con satisfacción. *ir. diputado. Añadió que m-diante la proposición del Sr. Oi v-r so Se levó la lista de los expedientes pasados á las respectivas comisio bre dicho código, se iban a derogar varias leyes que en el d:i co-bia nes, y asimismo el acta ya citada , en ¡a que se d:c » que se había con vigentes: lo cual no podía hacerse ti no…</t>
  </si>
  <si>
    <t>…n los artículos 114 y 375 de U H Sr. Adan -. La comisión sin duda no ha tenido presente al dat Constitución. su dictamen la reclamación del alcalde constitucional de la Ha rana El Sr. OI i ver: lie perece que estos poderes no pueden aprobarse contra estas elecciones; y por lo mismo creo que este asunto debe vol como no te falte á lo prevenido en el art. ■ 14 de la Constitución , que ver j la comisión, para que en vista de loa documentos que t…</t>
  </si>
  <si>
    <t>…iempo de Carlos iv , y ei ver lo atrasada que está la educación Se leyó y aprobó el acta de la anterior. I primera en las provincias. Asi pues, atendiendo á la imposibilidad en El Sr. OI i ver reclamó dos proposiciones que había hecho en el dial que no* hallamos de hacer grandes gastos, es preciso aprobar el parece* 3 de Marzo último, la una sobre la abolición del derecho de registro,I de la comisión. y la otra sobrepatentes. I EI Sr. Lagasca…</t>
  </si>
  <si>
    <t>…mada nacional estará sujeta á Ja-ordenanza de dicha insignia en vez de estar de pie fuese zampante. armada. El Sr. Saavedra apoyó esta idea ; y el Sr. Valdés ( D. Cayetano ) di El Sr. OI i ver dijo que si se añadiesen las palabras artillería des jo que tal como se expresaba en el artículo la insignia de que te trata st pués de le de infantería , se podía excusar el art. 6.°, porque entonces hallaba aprobada por las Cortes anteriores; y el Sr.…</t>
  </si>
  <si>
    <t>Oí</t>
  </si>
  <si>
    <t>…es, a saber, la nul dad &lt;• legitimidad del contrato, por apuradas que sean , de ese dinero. y su conveniencia ó desventaja; pero nada ha dicho sobre la pr mera Ha dicto también el Sr. Oí ver que el secretario del Despacho ha parte, poique efectivamente era 1 ropos bie ya d.c r nada sobre nía des bia sentado la proposición de que el G ’bierno estiba revestido con to pués de todo lo que se ha dicho: cu st.on que realm-nte esta ya fuera das las…</t>
  </si>
  <si>
    <t>…nte El sr. Canga: H Ür. preopinante, como castellano, « ha mostrado examen de cade uno de sus artículos. poco afi.i-.nado á las contribuciones directas; peto como representante El Sr. OI¡veri La primen razón ó dificultad que ha presentado el Sr. ZuliuU contra la totalidad dal proyecto se túlla todavía sin sa de aqu.ilas provincias d.be conocer que la repugnancia que allí se en cuentra á esta especie de contribuciones cace de que no las han co…</t>
  </si>
  <si>
    <t>…camada , que no ruede sufrir ia fatiga, sos á los primeros mandos.” con otras expresion-s que influyan en el ánimo del inferior, y le ins Quedó aprobado, añadiendo, i pticion del Sr. OI ¡ver, después de piren desaliento. En caso de que tenga que hacer alguna representa la palabra é instrucción las siguientes y amor d ia Constitución• ción, debe ser á solas, muy lundada , y siempre que sea pos.ble por Se aprobaron en seguida los artículos sig…</t>
  </si>
  <si>
    <t>…zelo y á su, de rados que reúnan las demas circunstancias qu: exige el desempriio de seos. este encargo , de modo que unidos á ios siete individuos de la diputaliase dicho por el Sr. OI i ver que ningún na! produciría este jura c on provincial, pueda ofrecer alguna garantía y seguridad esta insti do , ames por el contrario mucho bien 1 pero por cierto que si á un ino tución. cente, debiendo declararle fuera de juicio, se dice que ha lugar á…</t>
  </si>
  <si>
    <t>OI.ver</t>
  </si>
  <si>
    <t>…osición. su, part cipes , y que solo había tiatado de qu? su recauda? on se hicie Se leyó el dictamen de la comisión de Ouetra acerca d: !a adición se d?l tn.jor modo posible. del Sr. OI.ver al proyecto de d.creto sobre cxcius-on ve txtrangeros El br Rico di|o que creía muy nenc:a* el que se exjmín.te? si el de ¡a guardia Real. en el cual s? contorneaba con dicha ad.cicn en cuan medio d ezmó bastaba ó no parí ia indeninT».ion de su, pa tu pe?, to…</t>
  </si>
  <si>
    <t>Oí.ver</t>
  </si>
  <si>
    <t>…gían El Sr. Romero: El articulo que se discute en mi concepto es injus muchas veces la concurrencia á un cierto punto y á una hora determi to , redundante y anticonstitucioual. Ei Sr. Oí.ver p„ra demostrar su nada ; y que si á esta hora s« le daba la orden al militar para que fue injusticia ha hablado dei articulo de la Constitución que establece qua se de guardia, claro era que no podría desempeñar su encargo de todos los españoles están ob igad…</t>
  </si>
  <si>
    <t>Oialora, Josef Mingo</t>
  </si>
  <si>
    <t>Josef Mingo Oialora</t>
  </si>
  <si>
    <t>…or providencia del Sr. D. Martin de Pineda y tara, juez de pri mera instancia de esta M. H. villa de Madrid, te cita , llama y empla F.l Rey ha expedido el decreto siguiente: za á D. Josef Mingo Oialora , natural de la villa d; l'ozorubio, en la Don Fernando vn por la acacia de Dios y por le Constitución de Mancha, de estado casado, de edad de 33 años, y Doña Teresa Nuúez, la monarquía española, Rey de las Etpañas, i todos los que lis pre de estado casada ,…</t>
  </si>
  <si>
    <t>Oiavarricta, Francisco López</t>
  </si>
  <si>
    <t>Francisco López Oiavarricta</t>
  </si>
  <si>
    <t>…provincia de Avila. ugi, D. Francisco Barra, 1). Gonzalo Cárdenas , el marques de TorA la comisión de Guerra dos del Sr. Herrera Buslamente; la una reuueva, D. Joaquín Lumbreras , D. Francisco López Oiavarricta f sobre que no se concedan ascensos de brigadieres y oficiales generales, D. Valentín Recio. 4 excepción de los que sean de escala en los cuerpos iacultativos t y la Reunido ct jutaido se declaró por unanimidad o babee lugar &amp; la otra sobre que se supriman io…</t>
  </si>
  <si>
    <t>Oiier, Juan Villa y</t>
  </si>
  <si>
    <t>Juan Villa y Oiier</t>
  </si>
  <si>
    <t>…ancha D. Aquilino Ga les concede , contados desde esta Echa , comparezcan en su 1 arpado y vilanes , que da el parte , tnan;fi:»ta en detall »u» movimientos hasta ha escribanía de D. Juan Villa y Oiier por sí ó por nvdio de sus ap&lt; deber encontrado la facción, y su combinación con aquel gefe político rados á exponer el derecho d: qu: s: crean asist.dcs; con apercibi y el cni'n.l I). Francisco Abad, qu; raar.daba una columna compues miento que pasados sin ha…</t>
  </si>
  <si>
    <t>Oiiv</t>
  </si>
  <si>
    <t>…ado un momento en tras Se mandó pasar i la comisión de Hacienda una consulta del minis ladar muchas mas. terio de este ramo sobre la inversión de los atrasos de Jas contribucio El Sr. Oiiv .r contestó que no habia tratado de inculpar al Gobierno nes territorial y de consumos de algunas provincias, destinados por las sino de pedir que se aclarase el dictamen , y se .stendiese todo el conCort s para proseguir la obra del canal da Castilla y carre…</t>
  </si>
  <si>
    <t>Oiivcr</t>
  </si>
  <si>
    <t>…s que los arsenales asían llano*: que hay abundancia de armas y municio gubernativas y no legislativas. nes ; y que si fuere necesario podrí aquella nación prtimtar un ejército El Sr. Oiivcr expuso que en su conceptq podían adoptarse algunas dt triscimtoj mil kombrtt bien disciplinado*. medidas legislativas. En los dia* 14, sg y 26 d* Febrero hubo en Erlangen (Baviera) F.i Sr. Adan pidió de nuevo que se nombrase otra comisión, supues algunas dise…</t>
  </si>
  <si>
    <t>…i,tu, en vota del oficio del Gobierno, El Sr. Canga dijo que podía hacerse una adición sobre este punto. por el cual se peda autorización para suspender a v.-nta de p. &gt;ivora r El Sr. Oiivcr dijo que en su concepto debería bastar el que se con plomos en las provincias donde existet. paitidas de facciosos, proponía vocase á lo* terratenientes; pero que no porque dejasen de concurrir so i la deliberación de las Coitcs los siguientes artículos 1 imp…</t>
  </si>
  <si>
    <t>Oíiver</t>
  </si>
  <si>
    <t>…on la e6cucia que correspondía , tal vez porque ta á dicho alcalde por el gefe político de !a pr-.víncia. el secretario del Despacho de aquella época no presentó los obst«culos El Sr. Oíiver: No se trata del indujo que puede haber tenido en los qjie para ello podían ocurr r. En todos los países representativos no su poderes de esta provincia la falta que se nota, sino de castigarla, me jo los secretarios del Despacho presentan ios presupuestos ,…</t>
  </si>
  <si>
    <t>Oiiver</t>
  </si>
  <si>
    <t>…la comisión de Hacienda se pasó la adición de los Sres. Albear, tanto mandamos i todos los tribunales, justicias , gefes , gobernadores, Apoita y Torre, hecha a la proposición del Sr. Oiiver sobre el derecho demas autoridades, asi civiles como militares y eclesiásticas, de cual quiera clase y digmdad, que guarden y hagan guardar , cumplir y eg¿. de pílenles. A la comisión segunda de Legislación la proposición del Sr. Oli- cutar el presente decret…</t>
  </si>
  <si>
    <t>…n 'le Hiriesen presentes al discutirse cld&gt;clam*n de ía comisiou de Ulitan.sr, gado noticias de su heroica tmpr.sa, y de la atrocidad Cf r. qu: fue lu «cerca de la proposición del Sr. Oiiver sobre si deba venir dipúta lo tado por el despotismo; ademas que había sido muy púb ico el t-stipor la provincia de Puerto-Príncipe en la isla de Luha. jnon o ene el purblo va-evic i. o hxbia düdo a este reto:, d spon.cndo A la de Legislación se pasó una cons…</t>
  </si>
  <si>
    <t>…ue la de que se trata. tic 13 de Marzo último. La comparación de la revista, de inspector , de que ba hecho mérito el El $r. Becerra m»n festó que la comisión podía muy bien haber Sr. Oiiver, et sumamente exacta, y creo que no podría en efecto que presentada *u dictamen de un modo que ofreciese menos d (imitad, e-.to jarse ningún cuerpo porque se la pasen, haciendo lo mismo respecto e» , diciendo que lo» migistradot y «mp'eado» en ia judicatura n…</t>
  </si>
  <si>
    <t>OIíver</t>
  </si>
  <si>
    <t>…tras costas y tajas a la Nación, y fomentar de una manera extraordinaria su prosperi proteger el comercio. dad. El Congreso tiene aprobado en la legislatura anterior un plan de El Sr. OIíver impugnó esta rebaja por pareccrle corta; pues en sn instrucción pública muy vasto y lleno de sabiduría, que no puede po concepto debía rebajarse toda la partida sobre que recaía, que era da nerse en un momento en planta, sino poco á poco, y reuniendo los 150®…</t>
  </si>
  <si>
    <t>…Sr. Arguelles fue de parecer que en caso de que la España ne haya hecho acreedor á que se le devuelva.” cesitase el auxilio de tropas extrangeras, se debían dejar las condicio El Sr. Oiiver manifestó que siendo lo que se disponía en este ar nes de admisión para los tratados que sobre esto se hiciesen , con ar tículo una verdadera pena, deba reservarse para el código penal de los reglo á las-circunstancias. militares. El Sr. Arguelles se opuso al…</t>
  </si>
  <si>
    <t>…ue se comprenderían todos. der en este negocio de modo que se conozca que .o ha discutido con la» La comisión de Ultramar, habiendo examinado la proposición del ala imparcialidad. Sr. Oiiver para que ae declarase si anuladas las elecciones de ia llama Ha dicho S. S. qne en algunas provincias sé confian los empleos á da provincia de Puerto-Príncipe se debían verificar nuevamente para determinadas personas con exclusión de otras; es decir, que divi…</t>
  </si>
  <si>
    <t>…ta suma iieosi por la compar a, en aten, on á que c»tabar. compensados con la ciTc’.mst.sn.'.a d; ¡ r indefi compañía de los derechos de los géneros que no hubiese introducido. El Sr. Oiiver pidió se leyese el contrato en que se apoyaban los nido e¡ priv.legus. Asi pac» creo que se está en el caso de aprobu ei arSres. que defendían el dictamen; pero habiéndose traspapelado en el tlwlii11 ^ .1 - d.'.vüTfSe d.claro el punto suficientemente discutid…</t>
  </si>
  <si>
    <t>…, ¡cuál será tuo. Se mandó pasar á la comisión i.a de Hacienda. Continuó la discusión sobre el empréstito. d cato en que reducido y sustanciado este negocio, (aseden las Cortes El Sr. Oiiver deshizo varias equivocaciones en que dijo había incur ser condenada* por el tribunal correspondiente á guardar el contrato! Supoagatno* por otra parte que el tribunal, hallando justa la recla rido el Sr. secretario de Hacienda. El Sr. Arguelles dijo: Después…</t>
  </si>
  <si>
    <t>…e ser corta e-ta car:ide completar los 140 millones que restan de este empréstito. dad podía salvarse danflo orden al Sr. secretario del Despacho de ó uIgualmente se leyó otra del Sr. Oiiver, en la que hacia presente do para que se librasen contra la tesorería nacional estos e&lt;stc&gt; .ice que habiendo manifestado en el día de ayer el Sr. secretario de Hacien causasen los agentes diplomáticos, ó por cantidad.s anticipadas. da que si se demoraba la r…</t>
  </si>
  <si>
    <t>…or ha Corta nruando lo que aolicitaba el tonces valdrían menos sns frutos, y se paralizaba el comercio de los Sr. Beitran de Lia. •utrnot con perjuicio de la dase agrícola. El del Sr. Oiiver, contrario á la resolución de bs Cortet sobre U El Sr. Roset dijo que era necesario aprobar los depósitos de granos, proposición de los Sr». Canga y Adan , relativa al empréstito. porque en Cataluña había subido mucho el precio de los trigos y hari Otro del m…</t>
  </si>
  <si>
    <t>…agar corto cupo , el trabajo era mucho me cial podrí aprobarlo interinamente hasta que recaiga la aprobación de nor, y al contrario en los pueblos ce grandes cupos. las Cortes. El Sr. Oiiver opinó que debía señalarse ei 3 por too, porque en El sr. Castejon fue de parecer se expresase que las armas se com los pueblos de gran vecindario se ofrecían ma, gastos que en los cortos, prasen de los fondos d: la milicia legal, mediante á que la voluntaria…</t>
  </si>
  <si>
    <t>…ex que resultase empate podría manifestar su voto para decidirle. pedición «le lo» despacho» no era culpa raya. El Sr. Valdés (D. Cayetano) apoyó el artículo, fundándose en que El Sr. Oiiver impugnó el artículo por considerarlo conttario á los en todo género de corporaciones siempre había un medio de decidir los Intereses públicos, y añadió que ningún derecho daba la elección al empates, y el mas á propósito para decidirlos en las elecciones de q…</t>
  </si>
  <si>
    <t>…sufren toda* las fatigas, y hacen los momos sacrificios que ios empleo ó el mas antiguo, á excepción de los casos en que la tropa de cuerpos de aquel. Etl cuanto á la objeción del Sr. Oiiver debo manifes la milicia activa se halle en asamblea para su instrucción, lo que no tar que S. S. no te ha penetrado bien del espíritu del artículo. Este puede reputarte un acto de servicio.” dice claramente que en concurrencia de tropa del egé-cto permanente…</t>
  </si>
  <si>
    <t>…a, de esa nación que en el año de 93 adoptó medidas aun mas var al cabo la tranquilidad dsl reino. fu rtes qu: esta; y con ias que , aunque proclamando una libertad A petición del Sr. Oiiver ss leyó una resolución dada en la legis anárquica, destruyó á tus en migot exteriores é interiores, prefiriendo latura anterior el día 11 de Febrero. su Constitución al despotismo que querían imponeile. f n la Constitu El Sr. secretario de la Gobernación de l…</t>
  </si>
  <si>
    <t>…e lo contrario no puedo apro Me he hecho cargo del discurso del Sr. secretario de Gracia y Justicia, barlo. que te ha mandado leer, y la tenia bien presente desde al dia en que El Sr. Oiiver deshizo alguna* equivocaciones que dijo babia padeci S. S. lo pronunció: me conmorí entonces; me conmuevo ahora, y me do el Sr. preopinante. conmoveré siempre que te hagan presente* desgracia* de esta naturaleza; El Sr. Ruiz de la Vega: Confieso que estoy atu…</t>
  </si>
  <si>
    <t>…práctica están remedados resolvieron lo respectivo i este mismo asunto. El pnmer argumento los inconvenientes. Ademas, cualquier juez ordinario qu: entienda en que ha expuesto el Sr. Oiiver es el de que cuando se acordó por las una causa puede, ti encuentra indicios contra una persona, arrestarla pa Cortes haber lugar á la furmacion de tau,a respecto del Sr. Sánchez ra evitar su fuga, entregándola después al juez competente. De aqai re Salvador…</t>
  </si>
  <si>
    <t>Oíivet</t>
  </si>
  <si>
    <t>…r han manifestado algunas de las observac enes que ha tenila L ancia era muy exacta, por lo cual convenía.- i.J en qu- ia revo do presentes la comisión a. extender «u dictámen. El Sr. Oíivet lución de aquellas provincia» hrbia tomado bastante cuerpo , por lo que cree que hay algunos va.. is en el di.timen , y la comYon no ¡o ere* $&lt; necesitaba adoptar medios fu rtes psra sofocarla; y 1. que los me* asi. Dice su señor a qu; h.ihí ndo til St. minis…</t>
  </si>
  <si>
    <t>Oiivrr</t>
  </si>
  <si>
    <t>…la perúcta in hombro; salen las mugerrs con hachas y otros instrumentos; en Ara teligencia de este attícu.o. gón sucede lo mismo, y son menester medidas fuertes que los conten El Sr. Oiivrr dijo que supuesto que «! Sr. Romero no sr op .n a al gan. De Aragón y de Cataluña puedo presentar infinitas cartas en que me artículo, sino que solo h»b a hecho presente qu; era n erum añadirlo manifiestan la necesidad dr estas medidas rigurosas, y hay muchos…</t>
  </si>
  <si>
    <t>Oionisio</t>
  </si>
  <si>
    <t>…Busutil., Ordufia, Navarro, Butafia, Silva, Afonro, Belda,Soria ,García, Geroz, Gómez, Val» tu totalidad. „ La comisión hace presente en él que pera al pago de les etencionea dét (D. Oionisio), Alvarea Gutierres, Tomas, Uturiz, Grases» Zu» de las clases que penden de dicho ministerio en el inmediato afio eco lucta, Muro, Adán, A lienza, Cano, Guevara, Munarnz, Vega, nómico, se pidco »$5.010,opa rs. y ta mis. Al¡*, Gaiiano, Abreu, Oiiver, Lagasca,…</t>
  </si>
  <si>
    <t>Oiozaga, Celestino</t>
  </si>
  <si>
    <t>Celestino Oiozaga</t>
  </si>
  <si>
    <t>…a, y voy á Juan Luque , D. liarlos González Llanos y D. Josef Demetrio Rodrí cumplirla. Para haceros partícipes del término final del cabecilla Mo guez; y rn s gundo por los Sres. D. Celestino Oiozaga y D. Joaquín sen Antón y su cuadrilla creo que el medio ma propio es copiaros Ccvallo*. Tamb en se declaró por sedicioso por los 'sres. Casero, Ololos partes de 7 y 8 del actual que me han dirigido los coman-lant s de zaga , beoane, Kivci, Queraltó, Cerallos, Menrso, Luqu…</t>
  </si>
  <si>
    <t>Oirneiro, Borges</t>
  </si>
  <si>
    <t>Borges Oirneiro</t>
  </si>
  <si>
    <t>…n Oporto.” nuestra parte la de un voluntario herido de la local de Rota, el que Se tuvo por primera lectura. murió á las pocas boras._Inzned aumente saiió al alcance la caballe El Sr. Borges Oirneiro hizo pr-sentes todos los pasos que había da ría , la que por la Oscuridad de la ru vh: y ¡a precipitada fu,a de ios do la comisión d- onstituvion para que estuviesen prontos lo. ejem enemizos no pudo encontrarlos, y tuvo que retroceder £ su punto c-m plares d…</t>
  </si>
  <si>
    <t>OísM</t>
  </si>
  <si>
    <t>…qu* dirigió D. Juan Antonio Herrero s8g rs. 7 3 mn.__La i asalto st m atiande i laa opiniones rrcibidnsen la coi; de Jedo, pues ¿U Escaso. Sr. conde de Gerona 406 r«—La del Excmo. Sr. D. OísM alegaba por motiew urla necesidad en que se hubiera visto la corte ja- tabal de Zayia 1463 ra. 7 7 mrs—La de D. Antonio Carbailido 7 poaesa si bebiese abierto la carta de enriar por su tumo en embajador gutis a460 rs. 7 3 mrs—La de D. Antonio Pontigo 654 rs.…</t>
  </si>
  <si>
    <t>Oiver</t>
  </si>
  <si>
    <t>…servicio alguno que le separe de ella. las layes , afición á la cartera milttar y respeto á sus superiores.” Art. 33. •&gt; L r sargentos asistirán puntualmente á las listas, dor El Sr. Oiver dijo que en este artículo debían aludirse después de la mirán en su propias compañías, y no saldrán del cuartel después de la pa'abra p.itri/i las si¿uientes: y á ia Constitución. Se aprobó ei artículo retreta sin permiso del gefe det cuerpo , y dando cuenta…</t>
  </si>
  <si>
    <t>Oizin, Hoque de</t>
  </si>
  <si>
    <t>Hoque de Oizin</t>
  </si>
  <si>
    <t>…ia n fiestsn los militares españoles solamente puede compararse con el de obia intitulada Proyecto de uoa Constitución religiosa écc.iSc.., por los &lt;vc:c;t'.s francés*» en 1794." D. Hoque de Oizin. II.s 1 un tomo en 8 be vende cu 13 I br n 1 d Ca S- drt a de Odonell qu; hacia grand -s esfuerzo» para insurreccionar lleja á 10 rs. En la misma se hal.arm la» observaciones dei o.t'to aut-t la Navarra, pero que Viéndose s:n recursos acababa de enviar un cor…</t>
  </si>
  <si>
    <t>Oj-ro</t>
  </si>
  <si>
    <t>…ido, quedó arcas del erario siempre que haya vencido algún tercio después de sa aprobado ei artículo i.° tisfecha, se castigar! con ia pena del tres tanto. Si hubiese habido de El Sr. Oj-ro, como de la comisión , dijo que esta retiraba el artícu nuncia de la ocultación, se aplicarán dos partes al denunciante, y ia lo 2.° á consecuencia de las observaciones que se habían hecho durante Hacienda pública solo rec.b rá una.” Aprobado. la d scusion. A…</t>
  </si>
  <si>
    <t>…provincia de Gerona, ahora no sabemos don diendo á la trascendencia de los acu rdos de los ayuntamientos. de se bailan: á excepción de una división perteneciente á la de Milán* El Sr. Oj-ro expuso la dificultad que había en reunirse en los que entró anoche el mando del coronel de Zaragoza, y va unida á la pueblos pequeños la mitad mas uno délos individuos del ayuntamien que salió da aquí coa Llovera. to, porque podrían *:r cuatro, y suceder quec…</t>
  </si>
  <si>
    <t>Oj.-ro</t>
  </si>
  <si>
    <t>…en apoyo del dic relativa á este asunto para que recayese sobre cha la d scusion, y tamen de la ccmision. mientras esto se ver ficabi se leyeron varias aficiones hechas á la mi El Sr. Oj.-ro impugnó el artículo, manifestando entre otras cosas nuta del mensage á S. M. , las cuales se mandaron pasar a La com ».os que las juntas diocesanas habían repartido lo poco ó mucho que hab an respectiva. recaudado, y que eia injuri so el que se les pusiesen l…</t>
  </si>
  <si>
    <t>Ojaro</t>
  </si>
  <si>
    <t>…en graduar el valor del capital de ios oficios del moco de su dictamen, el cual creía debia aprobarse. que se proponía en ei artículo , pues era preciso no perder de vista que El Sr. Ojaro di,o que para contestar á la objeción del Sr. preopi el valor de los productos en los oficios no dependía del oficio mismo, nante , y manifestar al mismo tiempo las razones que había tenido la sino de la industria de las personas que los servían ; por lo cual…</t>
  </si>
  <si>
    <t>Ojcro</t>
  </si>
  <si>
    <t>…ia de parte de los contribuyentes para pagar. Asi do. El mismo orden se guardará en los apremios militares. que, el medio que en mi concepto d;be adoptarse es el que los ayunta El Sr. Ojcro manifestó ia dificultad que había en recaudar en un mientos repitan contra los contribuyentes , á fin de hacer efectiva esta corto tiempo las contribuciones, y mucho mas en pueblos grandes, recaudación. por lo cual fue de parecer que debería darse el término…</t>
  </si>
  <si>
    <t>Ojeda, Miguel María de</t>
  </si>
  <si>
    <t>Miguel María de Ojeda</t>
  </si>
  <si>
    <t>…- En el juzgado de ptimera instancia de la villa de Utrera 7 tu parti tro* sacrificio* de nueve afea, 7 cupo trono hamos sabido levantar so do, 7 escribanía numeraria del cargo de D. Miguel María de Ojeda, se bre la* ruinas del destruido coi0*0, habéis afanando» tu (bastó dia halla radicado por haberte devuelto de la audiencia territorial el con indestructiblemente, enseñando 4 su* impotentes enemigo* que pe acia n vano su* ataques traidores dirigido* 4 inutil…</t>
  </si>
  <si>
    <t>Ojera</t>
  </si>
  <si>
    <t>…Bata espedb de suspensión por corto momento, no fue des esto, sino para la indemnización de un insulto. pués da principiar la elección, sino cuando te trataba de un acto preli El Sr. Ojera dijo que por los documentos que se habían leído no minar; y i pesar de cuanto se quiera alegar contra ella, es indudable quedaba duda que los electores no habían precedido con entera hbetiaJ, que puede haber ciertai circunstancias que obliguen i suspender est…</t>
  </si>
  <si>
    <t>…Rey. Resulta pues que es necesario impo primera comisión. ner una pena al que cometa semejante delito, y por lo mismo deseo La comisión de Hacienda, en vista de la proposición del Sr. Ojera que la proposición que han oido las Cortes pase á una comisión. Se para que no se declare la propiedad de los destinos de gefes políticos y acordó que pasase á la comisión segunda de Legislación. demas á loa que estuviesen sirviéndolos interinamente , opinaba…</t>
  </si>
  <si>
    <t>…os distritos escuelas de primeras letras, y tomando en consufera- mía general la de la distribución.” cion la dignttlad «leí magisterio, la ciencia y calidades de que debían es El Sr. Ojera dijo que la cuenta y razón debia llevara por la conta tar adornados, convino en que se dotasen competentemente; y para duría de Distribución, porque la tesorería no era mu que una depo obligar á todos los padres «le familia á dar la conveniente cducaci&lt;» á si…</t>
  </si>
  <si>
    <t>…e Jas cuales conside otras ; pues sin scif.bra de vanidad me atrevo á decir que es necesario raba á Pasages. conozcan las Cortes que si un jornalero en Madrid trabaja como dos, El Sr. Ojera hizo varias observaciones sobre el estado de decadencia en ini provincia trabaja como cuatro. en que se hallaba el canal de Castilla, por lo cual opinó que este se ha Ademas puesta en planta la obra de este canal de riera resultarían llaba en igual caso. bene…</t>
  </si>
  <si>
    <t>…l extrangero; y aun cuando costase mas, este gra creto.” Aprobado. vamen quedaría siempre dentro de la Nación; pero no es esta la cues Sa mandó pasar á la comisión una adición del Sr. Ojera al art. 11. tión. La cuestión se reduce á si debe aprobarse el préstamo en cuanto Se procedió á la discusión del dictamen de la comisión especial en dice relación con sus operaciones, y yo creo que sí; pero no debe apro cargada del examen de dicho empréstito.…</t>
  </si>
  <si>
    <t>…a recargado demasiado este alio se que en i una provincia, en elaúo 1 alivUrtela. viene que podií ' j '■ ‘ Madrid.,,'«*» iiHiiut «(•«' 11tm.11 3-38*.805.;, ,'Mtneha» a 00,547 - El Sr. Ojera dijo: EL encarga cali mas grave qué tenemos es la im-. ■ 523,154- posición de contribuciones con igualdad; y por lo- mismo no puedo - . iMúrci* cón'.Cirtagecá» “Navarra*s»s**&lt;tvv*msiiniMti ’ 245,858 . aprobar U proposición, poique no; hallo ninguna raaon pan…</t>
  </si>
  <si>
    <t>Ojero</t>
  </si>
  <si>
    <t>…en i.^de derar como uní medida genera!. Fundándose en esta razón d jo que el Mayo. expedierte de qu; se trataba debería pasar á una comisión, y no adop Se leyó una proposición del Sr. Ojero, relativa á que las Cortes in tarse una medida general para todos los que ex.atiesen en la ameritar a. vitasen al Gobierno para que mandase al tesorero general que presenta Se declaró en seguida estar comprendida esta proposición en el ar se la. cu ntas del a…</t>
  </si>
  <si>
    <t>…las noticias ra ello. convenientes, y oyendo al Gobierno, proponga lo que estime conve El Sr. Romero opinó que este expediente podía pasar á la comisión niente. de Legislación: el Sr. Ojero fue de parecer que debía pasar i la de In El Sr. Alix manifestó , que los sucesos escandalosos de que se ha fracciones de Constitución; y habiendo manifestado el fr. Arguelles bía hecho mención no habian ocurrido solamente ayer , sino que ’ se que seria mejor…</t>
  </si>
  <si>
    <t>…dientes, y las proposiciones que va están bear, Apoitia , Torre y Torner : adm.tidas.” v Pedimos que las bases de población adoptadas indistintamente pa Se aprobó la siguiente del Sr. Ojero: *&gt; Teniendo entendido que ú ra el arreglo del derecho de patentes de la ciase industrial se observe consecuencia del sistema de Hacienda de las Cortes ordinarias del ano también en todos los puertos habilitados para el comercio extrangero de 21 mandó S. M. h…</t>
  </si>
  <si>
    <t>…que una libertad racional, justa y prudente, y que tien* rigido con fecha del mismo dia, en que habían aprobado las Cortes la de al mayor bien común &amp;c.” proposición anterior del Sr. Ojero. Se leyó por primera vez la siguiente del Sr. Rico : » Pido á las Cor* Habiéndose conformado su autor con esta modificación , se aprobó tes se diga i la comisión Eclesiástica que sin perjuicio del plan general en estos términos. sobre reforma del clero presen…</t>
  </si>
  <si>
    <t>…n anejos a ¿I, y no pueden contribuciones de registros y patentes, sustituyendo las otras que sean evitarse. mas análogas á la índole de los pueblos; 7 que en caso de que sigan Ei Sr. Ojero dijo que siempre se opondria i estos repartimientos esten sujetos á la de registro solamente los instrumento* de escritura vecinales , porque traen por lo común muy malas consecuencias i los de compra y venta ; 7 respecto de la segunda , que se arregle de mod…</t>
  </si>
  <si>
    <t>…mbra. Los pírrocos por su institución es necesario que estett dotados debido la causa de los curas párrocos. competentemente; y en el caso de obligarse á la Nación á contribuir £1 Sr. Ojero : Faltaría á mi deber si en un asunto de tanta comícomo debe para el culto y manutención del clero, es preciso que loa deracion no dijese cual era mi dictamen. Se ha dicho que algunas junpárrocos no sean I09 que carezcan de los medios de atender á su subsis t…</t>
  </si>
  <si>
    <t>…las Cortes habían opinado que reducien tencia la mitad de su población, según la noticia que ayer nos dió el do el diezmo á la mitad , quedaba lo bastante para el clero, y aun so Sr. Ojero; pero esta es una calamidad que yo no sé cómo hemos de bre ello habían impuesto una contribución con una desigualdad enorme, salir de ella, á no ser que i todos se les deje en la miseria mas bien porque se habia verificado sin fundarla en una base cierta. Por…</t>
  </si>
  <si>
    <t>…lguna parle, á fin de que se pusiesen al tuna. nivel de aquella, en que se hubiese pagado la parte respectiva. El Sr. Arguelles: Se supone que en poder de las juntas diocesanas El Sr. Ojero manifestó que aprobándose ei artículo, debía mandar no hay mas existencias que las necesarias para el pago de! subsidio ; pe se que cesasen los embargos que se habian egecutado en muchas provin ro la comiaioa tiene antecedentes para creer que las hay también…</t>
  </si>
  <si>
    <t>…A; p»i cuya» í¿¿.. . 1- . "La comisión Eclesiástica presentó su dictam n ac-.-ica de la adición sion hah » creído que seria mancillar la g'.ona de «ste Leroe-' ift-s n que hizo el Sr. Ojero al anícu.'o a. de tas duda» presentadas por el avcrigujcicnr» de cosa» notorias , y presentar sus rvsuitac.i* á laso. : . Crédito público, resueltas ya por las Cort-s, &gt; ■ p nabi que debí.; oírse É Sr. Areiiellcs dijo que en la epoca en qu; ocurrió ia tent-t…</t>
  </si>
  <si>
    <t>…a que la comi da se logra economizar molestia» i los interesados, brazos á la» oficinas, sión pudiese hacerte cargo de ellas. y facilitar los a usté» y la rendición de cuentas. El Sr. Ojero se opuso al dictamen de la comition, manifestando Quedó aprobada. entre otras cosas que en virtud del plan de Hacienda adoptado por jas a/ Las rebajas hasta aqui indicadas no comprendía á la clase mi Corteten el alio anterior, en vez de disminuirse el'número…</t>
  </si>
  <si>
    <t>…o para mí son incontestables Iss observaciones que se han hecho en haber lugar á votar sobre el dictamen. contra de él. Es indudable que se está en el cato de evitar la circula El Sr. Ojero: F.stoy muy conforme hasta cierto punto con las obser ción del papel-moneda con la compra de fincas nacionales, porque re vaciones del Sr. Munairiz ; pero también veo muy fundado el dictamen sulta «na amortización por este medio; pero debe adoptarse un medio…</t>
  </si>
  <si>
    <t>…os músicos, sena contradictorio con io que tie tamen de la comisión especial encargada de pioponer medidas legisla nen ya acordado. tivas para contener los excesos de Cataluña. El Sr. Ojero dijo que no habia una razón para que se dotase á estos La comisión de Hacienda presentó los siguientes dictámenes. músicos, y no á los &lt;ic las catedrales. Uno sobre la exposición de D. Mariano l’asati para que no le obsta bl ir. Ferrer (D Joaquín ) dijo que l…</t>
  </si>
  <si>
    <t>…faltando de este modo la compañía á su trato; por lo cual no debía lias. aprobarse lo dispuesto en el artículo. _ Los jueces de paz podrán ser acusados ante los tribunales del El Sr. Ojero contestó que respecto del primer buque, el capitán sa distrito: los de estos ante el tribunal del partido, y los de este ante el bia que los muertos no eran de enferm:did contagiosa, y de consi tiibunal supremo. guiente desembarcó; de modo que la compadra cum…</t>
  </si>
  <si>
    <t>…, porque era un in las Corta, por la que se acordó que la votación sobre el empréstito no feras recíproco el que se permitieran los depósitos de una cosa y otra. fuese nominal. El Sr. Ojero dijo qne habían sal ido muchos buques de la costa de Otro de los Sres. Avellano, Muro y Ruiz de le Vega, contrario i Cantabria cargados de trigo con dirección á los puertos de Catalufia, lo acordado por las Cortes sobre el empréstito. por cuya ruon habría baj…</t>
  </si>
  <si>
    <t>…declaración que ei cucr- ciones provinciales. pb hacía de que I tales oficiales los tenía por menos dignos. El de los edificios urbanos sobre el valor en rema de ellos, deduci El Sr. Ojero opinó al contrario, diciendo que reformado el artículo da una tercera parte por gastos de administración y huecas de inquili en dkhos términos parecía imposible dudar de su utilidad, porque n&gt; natos , y con exclusión de los edificios destinados í la labranza.…</t>
  </si>
  <si>
    <t>…mportante; el que se quedase dormido por artículos aprobados ya en el plan de contribuciones; á saber: haber tomado postura cómoda para ello, sin ser de las únicas permiti Una del Sr. Ojero al art. a °, para que después de la palabra colo das á ¡a centinela ; el comandante de un puesto que lo abandonase tam nos se añada, y la de los dueños que labren sus jincas. La comisión se bién , ó no participase á los gefes los avisos de las centinelas , di…</t>
  </si>
  <si>
    <t>…gas de dinero El Sr. Sánchez leyó el dictamen de la comisión de Visita de teso y efectos; por lo cual se les cargarán cu cuenta comente lo* intere rería , y el voto particular del Sr. Ojero. Se mandaron imptimir. ses ó caídos de las inscripciones hasta el citado día de las entregas. Se leyó el dictamen de la comisión de Casos de respontalidad so Por este articulo se nota la gran ventaja que alcanzará el Gobier bre las exposiciones de la diputaci…</t>
  </si>
  <si>
    <t>…i.° de Octubre formarán los ayuntamientos, 7 adiciones que te habían hecho en el particular. remitirán á las diputaciones provinciales los presupuestos de Jos gastos Sobre una del Sr. Ojero al art. 7. , que decía : ** Pido que la cuarta públicos ordinarios para el año siguienteá costa de los fondos; remiti parte de los terrenos de propio* se destinen i los objetos de enseñanza rán al mismo tiempo un estado del valor de estos fondos, y si no al p…</t>
  </si>
  <si>
    <t>…y muy jus tos por ridículos, y porque no sé U razón en que se funda el que los que te dedican al comercio tengan una jurisdicción que no tienen los esta providencia. to adoptar El Sr. Ojero ¡ Me opongo al dictamen de la comisión, porque en él que se dedican á las artes; para mí esto es una contradicción de princi pios políticos: en el año *8oi se promovió un ruidosísimo exp;- se comprende un dictamen que debía estar separado. Hablo con respec to…</t>
  </si>
  <si>
    <t>…aba de ponerse en planta el nuevo plan de aranceles. medida únicamente como provisional por tres ó cuatro meses. Por algunos Síes. diputado* te ha dicho que el producto de este El Sr. Ojero pidió se leyesen los arts. *4 y 35 de lo* aranceles. ai-dio porioo ha producido 40 millones, y al omino tiempo que el El S'. Canga el 343 de la Constituc.on , y tí Sr. Romero ei art. 3.a impuesto de aduanas ha producido una cantidad muy pequeña en com del dic…</t>
  </si>
  <si>
    <t>…pronto despacho de los negocio» que han de te i:cr; taris.», siendo asi que son loa únicos que pueden conocer lee cali ner á su cargo como tales secretarios.'’ dades le estos. El Sr. Ojero: Si este artículo se considera como un consejo , no Añadió qu: podría muchas veces suceder que un ayuntamiento deb: ocupar lugar en este dictamen , y si como un precepto, tampo tuviese sosp ;.i;us de que su secretario había tenido manejos que pu&gt; co , porque…</t>
  </si>
  <si>
    <t>…do de Cádiz, y la junta diocesana de Malaga , ha siempre sostener el repartimiento que ellas hayan hecho. estimado conveniente S. M. que se haga general la antei.or resolución, El Sr. Ojero dijo que era indispensable que las rectificaciones se hi para evitar iguales ó semejantes recursos. De Real orden lo comunicoá ciesen al afio siguiente, porque si se trataban en el mismo afio resultaría VV. SS. para inteligencia de e*a junta y efectos con»,gu…</t>
  </si>
  <si>
    <t>…t mo pu den tai h; n t -a-r rnt -mlidj .st.'s ca\ulad-*r, que «1 por lo m imo db- aprobarse el articulo. uno de aqu líos arcan , . r-*crv» "&gt; « uam.-nf a a d « na P o.-,t -cu, Kl Sr. Ojero fu* d • par-cer que no d-bev«a declarars* como f tMida ó llegase i ia lar la rama O- lo, Bo.-bon s ci 'a Pcn ,-j a . n -ra 's;¡¡ incobrable una deuda , siempre qu - hubiese alguna persona a quien po qur lo* espa ol s *iiís mos .1 !as or.:l-s d-1 P«&gt; ni a ias…</t>
  </si>
  <si>
    <t>Ojeroal</t>
  </si>
  <si>
    <t>…e la Constitución ; y concluye pidiendo á las Se mandó pasar á la comisión del Crédito público una adición dsl Cortes tomen las correspondientes providencias para la reparación do Sr. Ojeroal art. 10 del dictamen de la misma aprobado ayer, «obra su honor y del de todos los militares, para asegurar las libertades pú que en lugar de las palabras no ¿oten diezmar diga no pertitmn ditzmo* blicas , y para dar la debida fuerza i la autoridad Real. d no…</t>
  </si>
  <si>
    <t>Ojeroi</t>
  </si>
  <si>
    <t>…esprecio á que es acreedor, y no hablar mas de él. quilas Cortes deben aprobar la proposición de que se trata. Eli Sr. Canga pidió que constase en las actas, y de usa minera pu El Sr. Ojeroi La proposición que se discute es sumam.nte sencilla, blica , lo que se acababa de manifestar. pues que se reduce á fomentar nuestra agricultura protegiendo la salida E. Sr. Galiano: Las Cortes no necesitan dar un testimonio de que de los frutos nacionales. Acaba…</t>
  </si>
  <si>
    <t>Ojsro</t>
  </si>
  <si>
    <t>…r niftk á cía esta fuerza, cura observación destruiría, haciendo ver que constan todos nuestros enemigos. do en el día el egercito permanente de 509 hombre*, debían agregarse i El Sr. Ojsro, abundando en las mismas ideas del Sr. Soria , manifes este número cerca de 89 de la quinta que haban acordado las Cortes, tó que la fuerza que se ped a no le parecía suficiente para so.t n;r el y lot »9 test sote* de la acordada para ia provincia d* Cslaiufi…</t>
  </si>
  <si>
    <t>Ol.ver</t>
  </si>
  <si>
    <t>…cho artícu duda en que este recurso de nulidad tiene lu.ar siempre que la senten- lo ico de! ree'amerto. c .1 cause ejecutoria. Yo no reproduciré ¡o que ha manifestado victorc- Ei Sr. Ol.ver : No puedo menos de manifestar con franqueza lo qu: samente el br. O iver , probando que se han quebrantado las leyes. Es siento, sin que por esto se crea que trato de ofender á nad.c. En el c:l ta., que son las que arregian el proceder de los tribunales, no…</t>
  </si>
  <si>
    <t>Olabarría, Pedro</t>
  </si>
  <si>
    <t>Pedro Olabarría</t>
  </si>
  <si>
    <t>do* de lo* servicios patrióticos y de los sacrificios que habla hecho 13 de Setiembre de 1813 eran nulos todos los pagos de alcabalas que se D. Pedro Olabarría en favor de las libertades patrias, seguramente hicieron hasta el año 14. Aprobado. no se opondrían al dictamen de la comisión; que esta-inu-rcsado ha La comisión de Negocios eclesiásticos opinaba que debía desestimar bía sido un comerciante muy acaudalado, y…</t>
  </si>
  <si>
    <t>…siguiente proposición: n Pedimos á las Cortes se sirvan reco si la comisión Eclesiástica ó la cabilacion mía supusiese que la asigna mendar al Gobierno loa méritos patrióticos de D. Pedro Olabarría, 4 ción de la cuota de 300 ducados podía absorvqy de tal modo el pro ia de que sea aliviado en su suerte , j se eviten los perjuicios 4 que se ducto total de los diezmos que nada dejase para los demás parócpü, baila expuesto.” Quedó aprobada. ¿ me permitiría…</t>
  </si>
  <si>
    <t>Olamier, Pedro</t>
  </si>
  <si>
    <t>Pedro Olamier</t>
  </si>
  <si>
    <t>…el tribunal especial de Guerra y Marina, y por la escribanía de fas Cásnaras. Valencia mira semejantes rumores como un preludio de cámara de D. Manuel de Chasco , ha seguido autos D. Pedro Olamier, que se intenta esclavizar de nuevo á la Nación; y constante en los so natural de Burdeos en Francia, capitán de la goleta de la misma nación lemnes juramentos que tiene hechos, protesta que se halla animada de nombrada Pomboyense, con D. Francisco Antonio de…</t>
  </si>
  <si>
    <t>OlararrieU, Francisco Lopes de</t>
  </si>
  <si>
    <t>Francisco Lopes de OlararrieU</t>
  </si>
  <si>
    <t>…alcabala» de Ecija á favor da D. Pedro Lo.fuente; D. Pedro Metate; D. lino Campos; D. Antonio Sandalio de pez Portocarrero, á 13 de Marzo «la 1J64.—.Otro da un juro de &gt;6) Arias» D. Francisco Lopes de OlararrieU; X&gt;. Metiee Cuero y Don maravedises sobre las alcabala» de Cuenca, a favor de Doña Teresa Car Francisco Martínez Marina. rillo «fe Mendoza, en Búrgos á g de Abril de 1508.__.Otro de un juro Habida ta conferencia, resultó por unanimidad m kahtr lujar i de 5c9…</t>
  </si>
  <si>
    <t>Olatmrria, Pedro</t>
  </si>
  <si>
    <t>Pedro Olatmrria</t>
  </si>
  <si>
    <t>…an en premio de sus servició* Sres. Marau, Ferrer , Ojera , Alava y otros, como adición al dictamen que las Cortes declarasen haber sioo gratos á la Nación. sobre el expediente de D. Pedro Olatmrria , relativa i que en atención Las Cortes oyeron con agrado esta exposición, y declararon qne lea álos servicios hechos 4 la causa de la libarUd por el citado Olabarria Se habían sido gratos tos servicios de estos individuos. le tuviesen todas las consideracion…</t>
  </si>
  <si>
    <t>Olavarna, Francisco Jivisr</t>
  </si>
  <si>
    <t>Francisco Jivisr Olavarna</t>
  </si>
  <si>
    <t>…he r-.tirado dt Ja i¿,csia ds Sto. D iminja, no Alcaldes. D. Pío Molina , D M:gu»! Gsrc'a ’a Madrid , D. Josef ha enviado todavía la berma. bra. R i na su juramento. Lino Campos, D. Francisco Jivisr Olavarna, 1). F.-ao-aco Cr: po Te En testimonio de lo cual extendí la presente de ir.i letra y con mi tigno, que va sellada con el sello de mis armas en L»b,/a á 3 de Di jada, el duque di Abranles, Regidores. D. Joaquín Velasco, D. TWniH no G &gt;riza'-z d- 1? Pi ciembre…</t>
  </si>
  <si>
    <t>Olavarrieta, Francisco López</t>
  </si>
  <si>
    <t>Francisco López Olavarrieta</t>
  </si>
  <si>
    <t>…n trabajo considerable como Josef María Pueble, D. Josef Larreategui, D. Gregorio Mendivil, Doa «t el de que se trataba. Por estas razones fue de opinión qué no debía Josef Radon, D. Francisco López Olavarrieta, D. Antonio María Es •probarse el dictamen de la comisión en su totalidad. - pejo, D. Matías Pínula, D. Tomas Marta Zanon-, y habida la confe El Sr. Canga: Yo considero al estado eclesiástico como una dase rencia declararon por unanimidad haber lugar á la for…</t>
  </si>
  <si>
    <t>…e las tercias de Carteen*, D. B-rnnrdo Asenjo, D. Joaquín Huerta Cevallos, D. Angel Bonal- fecha en'Madrid á 14 de Julio de 1578: otro de io3 mn. al millar, to, D. Martin Z»randia,D. Francisco López Olavarrieta, D. Jaime renta 33,660 mrs., situados en el partido de Sigüenza , fecha en Raíz Abreu , D. Valentín de Nicolás, D. Antonio Díaz del Moral y Madrid á 15 de Junio de 1614; se suplica á la persona en cuyo D. Ramón Llor. poder se hallen, se sirva entregarlos á D.…</t>
  </si>
  <si>
    <t>Olavarrieta, Francisco López de</t>
  </si>
  <si>
    <t>Francisco López de Olavarrieta</t>
  </si>
  <si>
    <t>…Sres. D. Manuel María de entidad. Goiri , D. Timoteo Rodríguez Carrillo , D. Joscf Pió Santos, Don _No hay género de atllficio, por pérfido que sea, que no empleen en Josef Garay, D. Francisco López de Olavarrieta, D. Francisco Iz daño de la patria Jo* que se han declarado sus enemigos. No les ha quierdo y D. Pedio Gañido , quienes deberán presentar sus trió i jo, i bastado alzar el estandarte de la rebelión, y armar el brazo del espa otra junta general que debe celebr…</t>
  </si>
  <si>
    <t>Olavartieta, Francisco Lop.z de</t>
  </si>
  <si>
    <t>Francisco Lop.z de Olavartieta</t>
  </si>
  <si>
    <t>…á que rompiese rir por sí , ó por medio de apoderado , se presentarán con el resguardo el suyo para caer sobre él desde Lumbar, como punto que me ofrecía de su seguro al contador D. Francisco Lop.z de Olavartieta , que v.ve ventajasen cualquiera dilección que no fuese int.rnarse mas en la mon en la plazuela de Sto. Domingo, tienda-Lonja núm. 13 ,quien les pro taña ; mas viendo que se mantenía inmóvil, me dirigí por Irurozqui á veerá de una esquela impresa y rubricada…</t>
  </si>
  <si>
    <t>Olave, Matías</t>
  </si>
  <si>
    <t>Matías Olave</t>
  </si>
  <si>
    <t>…Jcsquin de Trueba, Don Primeros exudantes. Juan Martínez Gatica, D. Cirios Carrera, D. Domingo Ranee!, Den Alicante al capitán graduado D. Antonio Melero, segundo ayu Luís Crosa y D. Matías Olave, declaró no haber lugar á la formación dante del regimiento infantería de León, con 670 rs. de sueldo que de causa por ocho votos contra uno, que io fue el L&gt;. Domingo Ran disfruta. ee! , que estuvo pos la afirmativa. Alcoy al capitán D. Francisco Cortadellas…</t>
  </si>
  <si>
    <t>Olejus, D- Juan Domingo</t>
  </si>
  <si>
    <t>D- Juan Domingo Olejus</t>
  </si>
  <si>
    <t>…promoción de D. Josef Suarez Cuenlla á la del regimiento infantería Infante D. Antonio, con 670 rs. judicatura de primera instancia del partido de Omafia ha quedado va Pamplona al capitán D- Juan Domingo Olejus, segundo ayudante cante la de Valdeuron: se admiten memoriales acompañados de sus res del regimiento infantería de la Reina , con 610 n. pectivos extractos de méritos por término de 30 días. Ronda al capitán D. Diego Martínez Zapata, segundo ayudante del regi…</t>
  </si>
  <si>
    <t>Olfers</t>
  </si>
  <si>
    <t>…nete de Betlin , d.-clarado este que recibiría á cualquier ministro que currir í la historia para saber que no hay tirano un astuto, un perver- le enviase la corte de Portugal, el Sr. Olfers pidió que ss le diese una *o y tan cruel como las facciones. sat tfaecion sobre la publicidad de la suspensión de sus funciones, y se n Señores , para toda mayoría hay nn medio cierto y poderosísimo de dccarase que el Gobierno de S. M. hab a formado un juicio…</t>
  </si>
  <si>
    <t>Olí</t>
  </si>
  <si>
    <t>…side reglo á las obsavacion» que se habían hacho 4 su dictamen sobre el ró oportuno que se oyese al Gobierno. modo de indemnizar á los participa de diezmos legos, y de llevar 4 El Sr. Olí ver dijo que pera cumplir con lo que se manda en el de efecto el decreto de «9 de Junio de t8ai, presentaban de nuevo su creto sobra gobierno económico-político de las provincias no se nece dictamen contenido en 11 «tículos, que habiéndose leído, se mandó sit…</t>
  </si>
  <si>
    <t>…on Sr, Gaiiano: r.l faltar á la verdad es un deliro, y debe ser castiga tra 47. do; pero no loca al Congreso determinar est* punto. Sabemos que el áé leyó 1* siguiente adición del Sr. Olí ver: » Respecto 4 que la* Gobierno ha mandado formar sumaria acerca de Jos sucesos de Valen Cortes en el d1* de ayer manifestaron que era de la mayor urgencia cia ; de consiguiente en virtud de ella caerá el castigo sobre el que ios acordar medidas que salven…</t>
  </si>
  <si>
    <t>…ón de bó esta , y se acordó que Tolriese a la comisión. patentes , perteneciente á la dase da las directas. Tar ta general: Clase de patentes de industria, que sus especies sos El Sr. Olí ver di|o que todas las ciases de industria debían entraren gen tales en toda ta Nación. la contribución de patentes, por cuyo medio, in hacer a mas gravosa I'nmera clase. De industria general par* ted» la Nación, mbd.v j,á cada contribuyente, rrndiria mayorra…</t>
  </si>
  <si>
    <t>…os los el acta los nombres y números que sucesivamente van sacando los mozos, dias para que no haya soborno, se me ofrece decir que las autoridades £1 Sr. Alix apoyó las ideas del Sr. Olí ver, manifestando que se po velan mucho, y es preciso tocar muchos resortes para eximirse del ser día hacer fraude, pues se había hallado en un pueblo en el cual, le di vicio de las armas. jeron antes de verificarse el sorteo los mozos que iban á salir soldad…</t>
  </si>
  <si>
    <t>Olí, Guillermo</t>
  </si>
  <si>
    <t>Guillermo Olí</t>
  </si>
  <si>
    <t>…echo á exigir de vosotros ambas virtu Srss. D. Josef Ignacio Alemán, alcalde primero; D. Jos;f Anton o iísrdes, tan recomendadas an al art. 6.° de nuestra ley fundamsntal.” tran y D. Guillermo Olí ver, regidores; O. Bruno Habata, contador, Hallándola ya dispuestas loa pólizas dtl seguro, la dirección haca D. Juan Casas , síndico, y de los ciudadanos D. Plácido de Montoliu, aaber i los individuos ya inseritoey á los demás que gusten incorpo y D. Josaf F…</t>
  </si>
  <si>
    <t>Oli-</t>
  </si>
  <si>
    <t>…s como militares y eclesiásticas, de cual quiera clase y digmdad, que guarden y hagan guardar , cumplir y eg¿. de pílenles. A la comisión segunda de Legislación la proposición del Sr. Oli- cutar el presente decreto en todas sus partes. Tendreislo entendido pa. ver leída en la sesión del 13 , relativa a las adiciones que se han de po ra su cumplimiento, y dispondréis se imprima, publique y circule.Rubricado de la Real mano. = Aranjuez á 13 de Ma…</t>
  </si>
  <si>
    <t>Olí-</t>
  </si>
  <si>
    <t>…lo cual creia que el artíiu'o no debía aprobarse. tud de los reconoc.mí-.irles que niciere ci ingeniero ccrrtandjnte , y da El Sr. Ferrer (D. Joaquín), apoyando ¡o repuesto por el Sr. Olí- l.s que proy ctase nu vament-*, tíi-á cuenta el g-.b.-n.dor a: coman ver, dijo que podía aprobr.rs: la primera parte d-1 articulo, diciéndose dante genera! d.-i dutr.to , pasándole al prop c&gt; t'err.po las reiaeicnes y plaza de armai murada, pira que no se ent…</t>
  </si>
  <si>
    <t>Olí-, Juan</t>
  </si>
  <si>
    <t>Juan Olí-</t>
  </si>
  <si>
    <t>…cedido las Cortes * la renovación de su presidente, mento que van referidos, prefiriendo en ellos á los individuos que ha vice-presidente y secretario mas antiguo, que lo en el Sr D. Juan Olí- yan hecho su* solicitudes para otro* «le las mismas provine-as ó «Estri ver y García, han sido elegidos para presidente el Sr. D. Miguel Ri los, y en su defecto á los que hayan pedido el pase sin fijarse determi cardo de Alava, diputado por la provincia de Al…</t>
  </si>
  <si>
    <t>Oliag, Luis</t>
  </si>
  <si>
    <t>Luis Oliag</t>
  </si>
  <si>
    <t>…aisucito dicho impreso fueron D. Matías de Velasco, D. Maria Hallándote vacante la plaza de contador déla aduana de Ceuta, pro no Prtet, D. Miguel sanchez , marques de Riofiorido, D. Luis Oliag, vincia de Cádiz, dotada con 6600 rs. anuales, y siendo precisa su pro D. Joaquín Saez Quinlanilla y D. Gabriel Montaner; D. Francisco visión, se anuncia al público para’que loa empleados ea activo servicio Calvo y Marco, D. Facundo Alarcon, D. Joaquín Lombar…</t>
  </si>
  <si>
    <t>Olier', Jasa Villa y</t>
  </si>
  <si>
    <t>Jasa Villa y Olier'</t>
  </si>
  <si>
    <t>…gefes , gobernadores y do mera instancia de erteM. H. vilb, refrendada datsrtribaaodal rimrnr mas autoridades, asi civiles como militares y eclesiástica» , de cualquier do b misma D. Jasa Villa y Olier', y dada á instancia da lm (índicos n dase y dignidad , que guarden y hagan guardar, cumplir y egccuter «1 de ba icstsnwstanm de t&gt;. Domingo Alvaros y DotaAno MaHodaSepresante décieto en todas su» partes. Tendíanlo entendido, para so cum govia,m x- ——^— j-n r-…</t>
  </si>
  <si>
    <t>Olinr.-O</t>
  </si>
  <si>
    <t>…s menos una pulgada era liba de tambares; 7 como la co tiene otro hirmano so itero mayor de catorce años.” misión hablaba de pies franceses, era necesario que los redujese á me El Sr. Olinr.-O no debe admitirse esta excepción, ó debe admitir dida española para evitar toda duda. se otra que considero mas justa y mas filantrópica , y que --staba ya El Sr. Lillo- La comisión cree que no debe alterarse este párrafo, expresada en las ordenanzas anterior…</t>
  </si>
  <si>
    <t>Olipor</t>
  </si>
  <si>
    <t>…preguntó si en esta medida estaban también inclu El Sr. Ruiz de la Vega: Kn el artículo que se discute ha de haber sos los secretarios de los ayuntamientos ; á lo que contestó el Sr. Olipor fuerza una razón que sea la motriz en el ánimo de la comisión para ver que no lo estaban, y que podría hacerse una adición al efecto; y haber accedido á la propuesta del Gobierno ; y en efecto es muy fácil pidió en seguida que se leyese el art. 3.° del decret…</t>
  </si>
  <si>
    <t>Olirer</t>
  </si>
  <si>
    <t>…cual es la Se mandó quedar sobre la meta el dictamen de ta comisión de Ul voluntad general de todos los pueblos , cuya mtge&amp;tad representamos; tramar acerca de la proposición del Sr. Olirer robre que se declarase ti y en la relación que debe hacérsele se expresará cual es el único cansi anuladas las elecciones de diputado* por la prorincia de Purto Princi no que guia á la paz,á la tranquilidad y á la felicidad pública. Inda pe, se debía proceder…</t>
  </si>
  <si>
    <t>…n templo; porque d«ro es que es bien reducido en el repartimiento, no ae podia hacer este como correspondía. el objeto de su obligación. En un pueblo pequefio so tendrá mas que El Sr. Olirer contestó que la mayor dificultad consistía en qne ha hacer el sacristán que limpiar el misal, encender las luces y tocar las biéndose mandado primeramente distribuir estos terreno* entre el Cré campanas; y todo esto no le puede excluir de ser miliciano. Asi q…</t>
  </si>
  <si>
    <t>…l Permítanme las Cortes qua yo me haya separado algún unto de la primero á decir que en mi concepto debe extenderse la facultad de ios cuestión anunciando esta doctrina, porque el Sr. Olirer por un deseo g'fc» políticos en los términos que la tiene el Rey en este asunto , pero da contestar al Sr. preopinante la ha tocado. Que nos hallamos en la no mas. Ya la Constitución ha previsto este caso , pues ha dicho qua precisión da adoptar medidas terri…</t>
  </si>
  <si>
    <t>…hubiese tenido lugar en fuerza de preten El Sr, Moreno impugnó el artículo bajo el mismo puntó le vista siones del nombrado. La misma regla se observará en cuanto á los se que el Sr. Olirer, manifestando ademas que la profesión militar era cretarios de gobiernos políticos.” incompatible con muchas minuciosidades i que están sujetos los paisa Sr. GaÜano: Yo no puedo conformarme con este artículo, porque nos 1 y en este artículo te les obligaba á…</t>
  </si>
  <si>
    <t>…del Despicho cuando las Cortes decreten haber lugar á la for nanza m.litar. mación de causa , y la cuarta la de conocer de las causa» criminales da El Sr. Malo: Los argumentos del Sr. Olirer, que ha apoyado el se los secretarios del Despacho. ñor Adíen, se dirigen á demostrar la poca justicia con que las Corles He aquí como haciendo aplicación i la práctica están remedados resolvieron lo respectivo i este mismo asunto. El pnmer argumento los inco…</t>
  </si>
  <si>
    <t>Olis-er</t>
  </si>
  <si>
    <t>…o, y que tola» a no ha r nurc.ado, y.ahoya «■* quiere que sr-a el Sr. Buey, .1 lo cuai contesto est diputado. suficiente mrped.mentó para no aprobar los 'jysí-re* d -r. Torcías KJ Sr. Olis-er se opuso al dictamen de ta comisión , manifestando el habet servado un destino, sin embargo de haberlo de,ado ya, y r&gt;.</t>
  </si>
  <si>
    <t>Olís.-r</t>
  </si>
  <si>
    <t>…de todas ilusos I para los acalorados y para los extraviados, capaces de cura, por las armas del egército. que para los incurables (que también los hay) nada bastara sino 1a se El Sr. Olís.-r fue de parecer que se suprimiese la palabra distinguidos, veridad. el rigor y la justicia,que tanto provocan cou sus continuas de porque expresaba una cierta distinción entre los oficiales de que habla clamaciones , diciendo que camina lentamente ia ley y no…</t>
  </si>
  <si>
    <t>Oliv-r</t>
  </si>
  <si>
    <t>…ular» de estas mismas administraciones, cabado» de practicar el reparto y recaudación de las contribuciones. y encargados subalternó» en los partidos y pueblos que convenga, cu ti Sr. Oliv-r: Yo no me opondría á este artículo si tuviese ag-ma yos encargos deberán desempeñarse por los expendedores mayores y restricción; pero con la generalidad en que se halla concebido r.o creo menores de los efectos de estanco en cuanto sea posible hacer esta re…</t>
  </si>
  <si>
    <t>Oliv.-r</t>
  </si>
  <si>
    <t>…Sr. diputado ti layó *1 art. 140 de la Constitu la comisión para .;ur .a redacta en la forma ir.d cada. ción, y i petición del Sr. Villaboa el 109 del reglamento , y en segu.- F.l Sr. Oliv.-r: Ei Sr. preopinante ha p-opu-sto una variación á la da se mando pasar á ia comisión por 66 votos contia 58. medida: si la; Cortes se be.Usen conformes en las id as que s bre el Se aprobó ia siguiente proposición del Sr. Adan: *&gt; Pido 4 las Cor particu ar ha m…</t>
  </si>
  <si>
    <t>Oliva</t>
  </si>
  <si>
    <t>…y agí.” Quedó aprobado. nientes. Continuó b discusión sobre la asunta de Ultramar. . Se continuó la diseusinn de la proposición presentada aya como Se leyó el voto particular del Sr. Oliva (víase en 1* ¿ateta dt adicional al código penal pee la comisión que le había firmado. ayer.) fiu autor preguntó ai Sr. ministro de b Gobernación de Ultra El Sr. Puigblanch apoyó el dictamen de le comisión, manifestando mar ti eran cierta la hecha que expresa…</t>
  </si>
  <si>
    <t>Oliva, Antonio</t>
  </si>
  <si>
    <t>Antonio Oliva</t>
  </si>
  <si>
    <t>…I&gt;. Manuel García Barros Figueroa, man Práctica de vida cristiana y egercicios de devoción, dado á luz poi teniéndose acuartelada para sostener mejor la causa de la libertad, des* D. Antonio Oliva: segunda edición: un tomo en 8.°, adornado c&lt;'« d 7 d: Febrero próximo pasado, en que de nuevo se lutbó la tranqui II láminas finas. Se vende en las librerías de Perez: en Sevilla en la di lidad en Orense , hasta igual dia del mes de Marzo siguiente en que se…</t>
  </si>
  <si>
    <t>Oliva, Baiges y</t>
  </si>
  <si>
    <t>Baiges y Oliva</t>
  </si>
  <si>
    <t>…ro del zodiaco presenta los doce signos. va , Soria , Cano, Alvarez y Ladrón de Guevara. El dibujo y la explicación se venden juntos á dos francos en la librería Después lo fue el Sr. Baiges y Oliva por 86 voto* de 115, repar da Mar Unet, calla del Gallo. tiéndose los restantes entre los Sres. Becerra, Marchámalo, Viliaboa, Villanueva , Soria, Cano y Arellano. torntu. Lo fue en seguida el Sr. Ramírez Arellano por 88 votos de 113, repartiéndose los restan…</t>
  </si>
  <si>
    <t>Oliva, Josef Batges y</t>
  </si>
  <si>
    <t>Josef Batges y Oliva</t>
  </si>
  <si>
    <t>…utorizasen para dar la cuenta de las canti provincia de Valencia; D. Francisco B a, Gar.z , por .a r&lt;_ laico. ; dades que por sí hubiere manejado. ¿Pueden darse unos deseos mas no D. Josef Batges y Oliva , por la de Cataluña; y D. Mei.hjr Marau, bles en este ciudadano? El no haber cumplido con la ley no ha estado por la de Valencia. 2.' La sala di segunda instancia iacomp mdran ios en su mano, y por lo mismo creo que las Cortes están en el caso de Sres. D. Ra…</t>
  </si>
  <si>
    <t>Olivar</t>
  </si>
  <si>
    <t>…expo Fl Sr. Janer drahizo algún» equivocación** que dijo habia padeci sición» de varios navieros de S. Feliu de Guixols, del ayuntamiento do el Sr. preopinante , afiadiendo que el Sr. Olivar pertenecía 4 la pro constitucional y consulado de la ciudad de Tarragona y de otros varios vincia de Tarragona lo mismo que él t y por lo mismo deseaba tanto el Individuos sobre los derechos y arbitrios que se les exigían, unoa lla bien de aquella provincia c…</t>
  </si>
  <si>
    <t>…menas el El Sr. Aliman dije que por lo mismo que el Sr. ministro de Ultra* nombre de criminal. Este individua nq fue sorprendido par lo» insur mar habia dicho que el dictamen del Sr. Olivar abrasaba muchas pun gentes, sino que salió de donde «e hqjUaba para unirse k Itúsbidj; por lo tos, se propoaia examinar b marcha que habia tenido este nqgncio, mismo tiento que el Sr. Yandiola haya hecho un panegírico de este ge para ver si resultaba algún ca…</t>
  </si>
  <si>
    <t>…ulo esto tan choer.te cn.ri se quiero, en el Gobierno no residea conocimiento de ¡a autoridad competente. facultades para impedir tajes procedimientos: lo único que puede hacer El Sr. Olivar : No tengo conocimiento de las ocurrencias de Barce en estos caso; e¡: 1." cuidar de que los jueces administren justicia debí, lona de que-se acaba de instruir al Congreso; pero he pedido la palabra damente: a." estar 4 ia vista de la responsabilidad en que p…</t>
  </si>
  <si>
    <t>…ciones pettenece á los jueces de primera ins El Sr. Canga pidió se leyese el art. 37 a de la Constitución. tancia: ;qué necesidad hay puea de establecer unos empleados de tanto El Sr. Olivar: El artículo que acaba de leerse hace ver el funda coste como los intendentes! Yo no veo ninguna, pues creo que el repar mento del dictamen de la comisión, pues autoriza á las Cortes para ha to de que he hablado puede hacerse por las mismas diputaciones pro c…</t>
  </si>
  <si>
    <t>…Creo que observándose ln Constitución El Sr. Canga dijo qne lm Costea le permitirían salirse del salón. no están las Cortes en el caso de declarar nulo el contrato , pues yo la El Sr. Olivar: Hubo en el secretario Vallejo falta de poderes veo celebrado entre partes, que en cierto modo no se diferencian de nn para contratar este empréstito en el modo en que lo hizo, como confie particular: la Nación es un particular en este cato, y los prestamista…</t>
  </si>
  <si>
    <t>…ra cosa que entor do lo&gt; párrafos a.”, 6/* y del art. 311 de la Comí «ucion , y el 313 pecer la acción del Gobierno respecto de los pueblos contagiados, de la misma á p ticion del Sr. Olivar, ,e d.-ciar 1 m haber ¡ugtr a v.&gt;evitando tal vez el buen efecto que deberían producir las m didis man lar sobré ia total dad del proyecto poc ó3 Vut-i .uctra 48, y qu: vol dadas tomaren estos mismos pu.blos. Asi pues debiendo los ayunta viera á la com s-.on.…</t>
  </si>
  <si>
    <t>…ando todas las horas mento , lo son con el tiempo; por egemplo el mal de corazón, que aun hábiles del día.” que no se conoce al momento se conoce después: en esta suposición co El Sr. Olivar manifestó que debia acordarse que el sorteo se verifi nocerán bien las Cortes que los facultativos no ton necesarios, porque case sin intertsipcion alguna , relevándose los individuos de ayunta en los misinos pueblos te sabe quiénes son los exentos: hay mas;…</t>
  </si>
  <si>
    <t>…to para evitar pleitos, como y 8.a La 9.a se aprobó en «tos términos: » secretario* dt legación ó de para ilustración de lo que i su posteridad pueda convenir. ” _ ministerio.” El Sr. Olivar dijo que en este artículo se imponían obligaciones fi Art. i.° n Puede también ser nombrado gefe superior político ds los militares que no tenían los que no lo son, porque estos cuan provincia: si el nombramiento procediese de libre elección del Gobier do hac…</t>
  </si>
  <si>
    <t>Olivares, Joaquín</t>
  </si>
  <si>
    <t>Joaquín Olivares</t>
  </si>
  <si>
    <t>…ta ahora tenían formadas de Es la« Llanas id. 6713 r». y 4 mrs. D. Félix Pont id. Ü723 rs. y 4 mara pilla, é imbuirla de otras enteramente contrarias, haciéndonos odioso* vedises. D. Joaquín Olivares id. 67*3 rt. y 4 mrs. D. Domingo Anto i los honrados alemanes. A este efecto te valen de dos conductos, que nio Barreiro id. 4481 rs. y 3 mrs. D. Santiago Cascos id. 3361 rs. y 6 con .c-n pueden serles útiles para sus depravados fine*. mrs D. Domingo de Veira…</t>
  </si>
  <si>
    <t>Olivcr</t>
  </si>
  <si>
    <t>…ara esto una comitiun especial. meras atenciones del Congreso averiguar la causa de donde procedían ea* Se leyeron por primera vez las siguiente* proposiciones: tos males. Una del Sr. Olivcr, dividida en.15 artículos, relativo» al El Sr. ......... dijo que debía averiguarse si era ant ¡constitucional asiento de los gefes políticos. 1* proposición de que se trataba; que conocía lo* peligros que nos ro Otra del Sr. Saenz de Buruaga, relativa á que…</t>
  </si>
  <si>
    <t>…ademas no parecía justo se diese esta especie de privilegio á Se habían consignado otros tres ó cuatro. los que disfrutaban pensiones por cuenta de las cajas de América, pagán El Sr. Olivcr dijo que si se había tratado este asunto en ses.on se doselas en la Península, cuando muchos huérfanos y viudas las cobra creta, era menester también tomarte del mismo modo ahora en cousi ban donde las tenían señaladas: y que por lo mismo no podía consen dera…</t>
  </si>
  <si>
    <t>…eva tes de batallón para gastos de correo y escritorio , opinaba podían las como i la antigua legislación. Cortes acceder a esta solicitud, mandando se les abonasen 160 rs. men El Sr. Olivcr : Yo no encuentro exacta esta observación, porque suales , del mismo modo que á les comandantes de batallón ligeros. diciéndose en esta moma instrucción que quedan sin efecto las dispo Después de una breve discusión se aprobó. siciones anteriores en cuanto se…</t>
  </si>
  <si>
    <t>…razones fue de parecer no debía apro La comisión de Visita d.l Crédito público, en vista de la exposi barse. ción de D. Joaqun Franco para que se le permitiese capitalizar una El Sr. Olivcr contestó que la comisión lo que entendía era que los pensión quj disfrutaba, y del informe favorable del Gobierno, opina terratenientes ó forasteros propietarios en los pueblos de que se trata no ba que d bia acced.rse a esta solicitud. Ap obado. gozaban de l…</t>
  </si>
  <si>
    <t>…dirigís hacia otro punto, que se presumía fuese En seguida se declaró suficientemente discutido este punto. el de Balagucr----En nuestro cuartel general se advertían algunas de El Sr. Olivcr dijo que la comisión estaba contornas en que en lugar aquellas disposiciones que nunca pueden tenerse ocultas, las cuales in de jO se dijese i9. dicaban que no está lejos el momento por que suspiran los buenos__ El Sr. Infante pidió que se afiadiete en el art…</t>
  </si>
  <si>
    <t>…nocimiento el pr.tidentc del tribunal de Coi tes: si fuer* en el palacio que no ea conceda la suma pedida. donde reside el Rey, se observará lo que en este cato está prevenido El Sr. Olivcr: Siendo una da la* penas que en ciertos cama sa ia*&gt; en loa decreto* sobre contsabando, y nunca te extenderá el reconoci ponen por el código penal la da que los raos vagan á presidios cor* miento á la* habitaciones particulares de SS. MR g A A.” rece ¡onales,…</t>
  </si>
  <si>
    <t>Olive</t>
  </si>
  <si>
    <t>…mación de que t* trata será un se nombro p— t— entender en las cctirrecc.cs de Valencia tiau un—«d&gt;— oportuna como se quiera; pero es preciso que no nos dejemos aiuc.nar, «ion del Sr. Olive», para que proponga hs medidas cpciUuii respecto m no* prevengamos para no adopUr medidas terribles de economía de la situación de aquella capital. Esta ha variado muy poca t pues auq- que son necesarias. El Congreso no puede ignorar que i* Nación du que te h…</t>
  </si>
  <si>
    <t>…yó resolución acerca de ptobacion de lo que he manifestado , que el Sr. secretario del D;sp dicha proposición. cho de Hacienda dice en su memoria lo siguiente (el orador leyó c El Sr. Olive» leyó el dictamen de la comisión especial nombrada Período de la memoria citad* en 1* parte relativa á manifestar qipan propone* medidas sobre la egecucion del decreto de 4 de Enero *a deuda importaba 1500 millones , y comiriuó) digo esto para hac¡de 1813 sob…</t>
  </si>
  <si>
    <t>Olive, Juan Bautista</t>
  </si>
  <si>
    <t>Juan Bautista Olive</t>
  </si>
  <si>
    <t>…imer distrito militar, ha señalado el Sr. auditor de guer duría de aquella provincia. ra para la junta de los acreedores , el dia 14 del presente mes á las 11 Játiva administrador D. Juan Bautista Olive, oficial de la secreta de su mafiana en su audiencia, calle del Príncipe. Lo que se hace saber ría de la junta de aranceles. Interventor D. Joaquín Piúol, contador al público para noticia de los interesados; prevenidos que al que no cesante de propios de Vale…</t>
  </si>
  <si>
    <t>Oliveira</t>
  </si>
  <si>
    <t>…servicio gratui lio de 1811, el Gobierno prusiano se n.-gaba lambón i dar ei corres tamente sin opcion á las raciones ó gratificaciones en los casos que pre pondiente pasaporte ai caballero Oliveira que se ha laba en caru no para viene la Real orden de 13 de Julio de i8at: generosidad tanto mas Berl ■ n en ca idad de encarnado de Megocios de est remo , contestándole digna da elogio, cuanto que aun percibiendo estoa militares religiosa qu * no pod'a r obi…</t>
  </si>
  <si>
    <t>Oliven</t>
  </si>
  <si>
    <t>…0 » Las causas de que han de formarse las notas que se refie debía aprobarse el artículo qu: se discutía. ren en el artículo anterior son las formadas: i.° Sobre los delitos de El Sr. Oliven Los Sres. que han impugnado el dictamen déla co que trata 1» ley de 17 de Abril de 1811, que establece penas contra los misión no han hecho mas que repetir lo, argumentos que se hicieron conspiradores é infractores de la Constitución , y por el orden con que se cuando…</t>
  </si>
  <si>
    <t>…ta observación constante por experiencia ha nacido aclare la duda que he propuesto no apruebo el artículo. aquel adagio vulgar que dice mjs hace el que qu';-’ que el que rueJe, £1 Sr. Oliven Los términos en que se halla concebido el artículo lo cual es una Verdad innegable. Respecto de ia obiecíon que ha hecho me parece que son bastantes para resolver los puntos que ha insinuado el Sr. Arguellé», d-bo decir que no se trata precia-mente de cacultr la…</t>
  </si>
  <si>
    <t>Oliver</t>
  </si>
  <si>
    <t>…oli, y quisie Romero (D. Josef), Muftoz Arroyo, Quiroga , Cortarar, Guerra sen sel ir de aquellas provincias. (D. Josef Basilio), Yuste, Lallave (D. Vicente),García(D. Antonio) El Sr. Oliver presentó su roto particular , en que opinaba debía y Diaz del Moral. exigirte la responsabilidad.! quien hubiese lugar por las últimas ocur El Sr. Gaseo manifestó qne el objeto de esta proposición era que rencias de la América. les Cortes inmediatas fijasen c…</t>
  </si>
  <si>
    <t>…sión. tamen , y las Cortes podrán resolver lo que juzguen conveniente.” Se continuó la lectura de la minuta del código penal, revisada por Se leyó el voto particular adicional del Sr. Oliver al dictamen an la comisión de Estilo. terior , el cuai estaba reducido á que debe añadirse a! misino dictamen La comisión del Código penal presentó las adiciones que había ad lo siguiente: »Que debe entenderse sin perjuicio alguno de la respon mitido al códig…</t>
  </si>
  <si>
    <t>…que 4 toda la Nación en general. Rf»pec da que las Cortes pueden tomar sin necesidad de aprobar el voto del io de la cuarta no tengo un ínteres en que te apruebe ó no; pero sí de Sr. Oliver; por lo mismo fue de opinión que se debía declarar do ha bo manifestar su sentido, y es qne no se refiere 4 ios sefiores diputados ber lugar á votar sobre dicho voto, pues que si las Cortes encontrasen actuales de Ultramv, pues ademas de hacernos un honor en…</t>
  </si>
  <si>
    <t>…tados celebrados putados , relativos á las resoluciones de las Cortes, con respecto al vo cu aquellos países con los insurgentes eran nulos. Pero ya que no se ha to particular del Sr. Oliver, y al de los Sres. Toreno y Moscoso. hecho esto, y puesto que K nos propone el modo de que podamos Se publicaron como leyes en Cortes los proyecto* con carácter de aclarar el dictamen que ya está aprobado, debemos hacerlo. Aquí se tales, relativos á la libert…</t>
  </si>
  <si>
    <t>…hecho la elección del modo que se indica e.c&gt;, por biso declararse nulas las elecciones de que se trataba. aclamación. Asi que no resultando que hubiese hab.do coacción &lt;&gt; vio £1 Sr. Oliver dijo que no constaba hubiese acaecido tal conmo lencia para el nombramiento de secretario y escrutadores, no creo que ción , ni habia tampoco acaecido, y por lo mismo dijo que el dicta* puede ser un motivo para anular dichas elecciones. mea estaba bien fundad…</t>
  </si>
  <si>
    <t>…la gaceta del 3 del corriente se dijo (pág. 340, col. a.*, mas pueden alegarse respecto de estas obras, pues que en Castilla, lina. 28 y 19) que se habia leido una proposición del Sr. Oliver v. g., seria muy útil que hubiese canales, y en otras partes lo seria el dividida en 15 artículos, relativos at nombramiento de los gefes polín&lt;|ue hubiese otras obras de igual naturaleza. Por estas razones opinó eos. He aqui ia proposición , que parece fue d…</t>
  </si>
  <si>
    <t>…ar causa.El art. 63 del reglamento interior dice:«&gt; Toda queja contra ua responde al tribunal de Cortes. diputado, ó la falta de este en el egercicio de sus funciones que pueda El Sr. Oliver: Todos los Sres. que me han precedido han manifes merecer castigo, se tomará en consideración por las Cortes en sesión tado que los poderes del Sr. Escovedo son legítimos , y esta es mi opi secreta , para 1&lt;&gt; cual se pasará á una comisión especial, y se oirá…</t>
  </si>
  <si>
    <t>…ones en su toulidadó por partes, ysedecidió que fue no no se creía obligado A respetar aquella* prácticas, sino la letra de sen todas juntas. ia Constitución en su art. a a a.” El Sr. Oliver: Me parece que no se pueden aprobar las proposi ANUNCIOS. ciones de que se trata, pues que no sabemos los asuntos que pue den tener mas urgencia. Todavía encuentro uno que -en mi concepto es Por providencia dada por D. Tadeo Capablanca, juez de primas interes…</t>
  </si>
  <si>
    <t>…las leyes, y por lo mismo deben ser cas Respecto de la segunda parte dijo: En ia de Junio de 1810, se tigados. arrestó á D. Domingo Antonio Velasco por una autoridad diferente El Sr. Oliver: Los peligros que amenazan i la Constitución son d« de aquella á que pertenecía , y en solos cinco dias hizo el auditor las varias clases. Unos proceden de parte de aquellos que seduciendo á los primeras diligencias, porque en el día 17 se tomó la confesión a…</t>
  </si>
  <si>
    <t>…obre los dictámenes que daban en ellos. Apoyó Ja recho de registro. observación de los muchos negocios que habia que despachar ,yia gran Se leyó por segunda vez la proposición del Sr. Oliver sobre el re de urgencia que pedían algunos, citando por cgemplo entre estos elque conocimiento de gefe* políticos, la cual fqe leida por primera vez ea quedó pendiente en las Cortes pasad*», sobre la deposición de los teso la sesión de 1 de este mes. reros de…</t>
  </si>
  <si>
    <t>…tario de la Gobernación por hallarse ausente ; pero sobre los gefes políticos. el ministro de Gracia y Justicia, que es el que ha quedado encargado A la de Hacienda se pasó la del Sr. Oliver, leída en la misma le de los negocios particulares del ramo de la Gobernación, ñus acom sión , sobre el derecho de patentes. pañó á la secretaría de Guerra. El Gobierno tenia conocimiento de los A la de Ultramar se pasó la del Sr. Cauga para que se determine…</t>
  </si>
  <si>
    <t>…titud cemos los diputados de las actuales Cortes, en la que dan una prueba y talento para desempeñar destinos de consideración. del zelo que les anima por el bien de la Nación. El Sr. Oliver: No creo que se pueda decir que esta proposición se Yo creo que todos los Sres. diputados están adornados de aquel pa pueda considerar como anticonstitucional. La Constitución no nos ha triotismo y virtudes que deben tener, y que son incapaces de envile dado…</t>
  </si>
  <si>
    <t>…facultades el proceder de este modo, y El Sr. Velasc &gt; dió algunas explicaciones sobre su discurso anterior. que en ello se interesaba la conveniencia pública. En ninguno de di El Sr. Oliver: Se extrañará que yo haya tomado ia palabra en con chos casos creyó comprometida su responsabilidad ; y yo pregunto, ¡de tra del dictamen, cuando son un conocidos mis principios i pero yo qué se trata ahora? De si el gefe político y el capitán general de Va v…</t>
  </si>
  <si>
    <t>…enado los deseos de las Cortes, y que por lo mismo pedia que se sd quilidad en las frontera* ruta*, austríaca* y tuteas; y que es (alto cuan mitiese á discusión la proposición del Sr. Oliver, jr se nombras* otra to te publica acerca de movimiento* militare*.'* . comisión para que entendiese de este negocio. De la Prusia solamente s* «abe que te halla cu expectativa de lo* El Sr. Oliver manifestó que no reconvenía ni inculpaba 4 laca futuros acont…</t>
  </si>
  <si>
    <t>…o encuentro aquí un obstáculo insuperable, que so oían ó no estaban bien enterados de ellas, nada escribiesen. no me permite unir ai voto £ los «le mis dignos compañeros. Es im El Sr. Oliver dijo, que en efecto se notaban equivocaciones en loa posible , Señor, que cu el estado político ea que se halla el reino po periódicos, p que te había cometido una mup notable en uno de ellos damos resolver el problema que la eomision da por resuelto en la ba…</t>
  </si>
  <si>
    <t>…ría a satisfa- nbl de te costa de Granada D. Manuel Bwriotiaevo, y en'el anónimo testos interesados, y la actual opinaba que debía archivarse la solici que leyó. tud. Aprobado. El Sr. Oliver dija que el mejor medio para que n salvasen de sur - La misma, en vista de la solicitad del ayuntamiento constitucional vea estas equivocaciones era qoe te «probase te proposición! peso si d de un pueblo M patudo de Aramia, provincia de Burgos, para que Sr. A…</t>
  </si>
  <si>
    <t>…probarse ei dictamen de político; que este asunto era de mucha importancia , y qoe las Cortes la comisión. debían proceder en ¿1 con grande circunspección, atendiendo á las dis El Sr. Oliver hizo algunas observaciones para demostrar que el gecusiones que pocos días hace había habido sobre los acontecimientos fe político de Valencia había infringido la Constitución, suspendiendo de Valencia. de su empleo al alcalde constitucional de la misma ciuda…</t>
  </si>
  <si>
    <t>…osta, á finé const tucioaal, es el objeto de tus fines. que puedan trasladarse al sitio dichos Sres. diputados. Que todo hombre bueno te desvele en buscar otro hombre bueno El Sr. secretario Oliver dijo que se habían ya entregado dichos p&gt; para alcalde, para regidor, para diputado, para ministro , para conse tapones á los Sres. Sedeño y Jiménez, y que habían anlido ya dtli jero &amp;c., es lo que debe hacer; pero que este sea al momento atacado corte. y per…</t>
  </si>
  <si>
    <t>…D. Cayetano Jiménez Romero, el acta de las elecciones ofrece otras muchas dificultades que ya ha in cura párroco en el arzobispado de Granada, cediendo en beneficio de sinuado el Sr. Oliver. El Sr. preopinante exige que te le pruebe qua la Nación la cantidad de 500 rs. vn. anuales de les rentas que le cor Puerto-Príncipe no es provincia; pero habiendo decretos que estable responden por tu congrua. Las Cortes la recibieron con particular agrado.…</t>
  </si>
  <si>
    <t>…ta que producía medio mnlon mas derecho para obligarle 1 que lo tome ! Por consiguiente entiendo de ventaja, que este artículo de ninguna manera puede pasar, porque se debe tra El Sr. Oliver como de la comisión dijo que la cuestión se había ex tar d.i hacer una reforma radical, y no obligar a ios pueblos, según se traviado demasiado; que no debía resolverse previamente , como kabia propone. dicho un Sr. diputado, si debía ó no.haber Diario, porqu…</t>
  </si>
  <si>
    <t>…ría incon sin faltar á lo que previene el artículo 301 de la Constitución. Los tria, veniente en variarlo. bunales (continuó) están dedicados de un modo exclusivo á aplicar las £1 Sr. Oliver se opuso á la parte del dictamen que hablaba de los leyes en todos los casos civ.les ó criminales; por consiguientecualquie*. que tuviesen opiniones contrarias, sobre lo cual hizo algunas obser ra que sea el estado de un negocio de esta clase, siempre será un…</t>
  </si>
  <si>
    <t>…se la prepo pendientes tres dictámenes de tal naturaleza, que dice la comisión que sición de que se trata. sin resolver los puntos que abraza , no puede darse un paso; y ;quere El Sr. Oliver: Yo no podía creer que habiendo la* Cortes deter mos exponernos á aprobar los presupuestos de Hacienda con la pre minado que pasara á una comison especial el código de que se trata, mura que se hizo en el alio anterior , y á las consecuencias qua esto pue se…</t>
  </si>
  <si>
    <t>…nio Antonio Llórente, D. Sebastian Andrés, D. Antonio María Espe probados exactamente los dos egemplares.” jo y D. Valentín de Nicolás. Y habida la conferencia, se declaró poc El Sr. Oliver se opuso á esta adición, manifestando que esta opera unanimidad haber lugar 4 la formación de causa. ción ara sumamente delicada; y que supuesto que las Cortes habían arordadn que el código se pasase á la sancicn inmediatamente, esto no ANUNCIOS. •e podría ha…</t>
  </si>
  <si>
    <t>…lo que en esto adi independiente del ejecutivo. Y no se diga que la mala administración ción te solicitaba. de justicia nace de u oscuridad de nuestras leyes, porque, como dije El Sr. Oliver manifestó que en la adición del Sr. Alonso se pedia ayer, la de infracciones de Constitución está tan clara y terminante, que las Cortes declarasen que toe magistrado» no estaban comprendida qne cualquieta la puede aprender en nn cuarto de hora, y sin embargo…</t>
  </si>
  <si>
    <t>…rtes de ta de las personas i quienes hayan de servir. clarasen que este asunto estaba suficientemente discutido. El estado de este negocio me obliga también á oponerme á la for El Sr. Oliver: Aunque he pedido la palabra no ha sido mas que mación de causa, porque el negocio ha pasado entre los Sres. diputa para dar alguna mas extensión á los hechos que ha sentado el Sr. pre dos y entre los oficiales de la secretaría; y yo no creo qus el asunto opi…</t>
  </si>
  <si>
    <t>…bajas que adelante te expre comisión alguna , porque de dar oídos s todas las representaciones que sarán.” pudiesen hacerse sobre este asunto á las Corles, resultaría que nunca El Sr. Oliver dijo: Que las rebajas que en seguida de este proemio llegaría 4 verificarse la división lerriiorial ínter ir* proponía la comisión eran muy cortas , dejando subsistir mucf.cs gas El Sr. Prai dijo que una mu titud d: reclamaciones que se hibían</t>
  </si>
  <si>
    <t>…de procedimientos militares al Sr. Valdés ( D. Cayetano y, y los desembolsos el de 14,000 rs. que ocasiona la oficina del grefier, con- para la segunda de Legislación y Policía al Sr. Oliver. siderándblos como pertenecí ntes a] pa ac'oepero no hay necesidad de Se procedió á la discusión del dictamen de la comisión de Instruc acudir á este extr- mo para rebajar ios 14,000 rs. del presente presupues ción publica sobre dispensas de cursos y grados a…</t>
  </si>
  <si>
    <t>…los ramos de correos sabrá que los que han de servir de testigos, por cualquier razón que sea, j portazgos. aguardan en la cámara del Rey, y nadie entra en el cuarto inmediato El Sr. Oliver se opuso al dictamen de la comisión, manifestando que al de la Infanta. Efectuado que es el parto de la Infanta, sale el Rey no debían graduarse las rentas sin hacer mérito de lo* gastos de la ad con el niño, y se lo va presentando á todos los circunstantes.…</t>
  </si>
  <si>
    <t>…nte presentó la que sigue: •&gt; Propongo a las Cortes que Cortes exijan la responsabilidad i estos tribunales. constando en el acta de ia sesión de 13 de Febrero u naso que ia mi El Sr. Oliver deshizo una equivocación que dijo habia padecido el nuta del có'digo penal fue revisada por la comóton de Cair ccion de Sr. preopinante. estilo, y aprobada por las Corres, no obste para pa.ar á la -ancón Real El Sr. Sa.-nz de Buruaga: A mí me parece indudable…</t>
  </si>
  <si>
    <t>…siendo el Gobierno ei padre común da uno de los puertos mejores de Espafia si no se reparan pronto sus obras. todas las provincias, debe emplear este fondo como mas convenga á El Sr. Oliver hizo varias observaciones, con el obj&lt;*to de probar que la prosperidad de ellas. La provincia de Catalufia es una de las que han el puerto de Málaga estaba en el mismo caso que el de Pasages, no so sufrido males infinitos por el atraso de su agricultura. Cata…</t>
  </si>
  <si>
    <t>licencias para que 't les permitiera reunirse, abándose á ello dicho ge- El Sr. Oliver: En mi concepto la comisión no ha intentado dar fe político, y por io cual pedían á Ls Cortes se le exiges- la res tin nuevo decreto; pero me parece que su d.ctamen no tsu de a-ueroo ponsabilidad conforme á las leyes; presentó su dictamen sob e rsts con lo qu…</t>
  </si>
  <si>
    <t>…vo común. Aprobado. La comisión primen de Haciende presentó su dictamen acerca de Se leyó la minuta del decreto sobre visita de tribunales, y se halló una proposición hecha por el Sr. Oliver, y otra por los Sres. Roig y conforma. Saravia, para que ae suprima el derecho del registro público. En él lacia La comisión de Diputaciones ptovincialei, informando sobra la mención de las reclamaciones que contra este derecho existen ds dife adición del Sr.…</t>
  </si>
  <si>
    <t>…ió pasar á la comisión A- Mi betas nacionales una exposi tomos de decretos de Cortes y de la C' nstitucon. ción de varios indiv.duos de !a voluntaria de Madrid , presentada per El Sr. Oliver: Dos partes comprende el proyecto de decreto del el Sr. Riego , sobre la necesidad de adicionar b&lt;s artícu-ot del regla presupuesto del palacio de las Cortes, la una relativa á las dietas de ios mento del eco de 1820 •, y haciendo var as r fltx one, expecífic…</t>
  </si>
  <si>
    <t>…angre por la boca, por cuyo moKvo pedí i mis compañeros suspen '-e mandó pasar í la comisión de Diputaciones provinciales una diesen por algunos dias esteTraba jo. proposición del Sr. Oliver, relativa á que no estando señalado el tér Pero sin embargo de esto, si las Cortes quieren un conocimiento de mino de la nueva población de Zifarraya, para evitar las desavenencias las causas que hayan podido influir mas ó menos en la - situación triste que c…</t>
  </si>
  <si>
    <t>Olíver</t>
  </si>
  <si>
    <t>bian exhortar á la pez; pero al contrario, se han ral Ido de ¿I para pre El Sr. Olíver manifestó que si bien en necesario cortar de raíz los dicar la sedición, echando mano hasta de revelaciones é inspiraciones males que se exprr-mentabun en Cataiufia, también lo era el seguir t» supuestas de la divinidad. dos os trair.it:» prescritos para la f…</t>
  </si>
  <si>
    <t>…en que había capital ¡raciones pendientes en ¿í, remitido por la junta nacional de di incurrido por haberle panto i la cabeza de los íacc.osos. cho establecimiento. A petición del Sr. Oliver se leyó la facu.tad ig.’ que el art. i/i La comisión primera de negocios Eclesiásticos en vista de la propo de la Constitución concede al Rey, y i petición del Sr. Roset al ar sición del Sr. Aionzo, para que se suspenda por ahora la provisión del tículo is de…</t>
  </si>
  <si>
    <t>…eros, particularmente nales. La filiación re concebirá en los términos Siguientes: en la artillería y caballería. » N. de tal, hijo de N. y de N. de cual, nacido en tal putblo, El Sr. Oliver contestó que había visto pueblo* pequeños en que la tal partido, de tal provincia, en tal día, ms y año, y avecindado con instrucción de loe milicianos era igual á la de las capitales, y de consi tal oficio en tal pueblo,-correspondiente á tal partido de tal…</t>
  </si>
  <si>
    <t>…se podido realizar la co servicio de sacristías, sochantrías y demas destinos de esta naturaleza, branza. vacantes ó que vacaren, sean preferidos los religiosos exclaustrados ó El Sr. Oliver contestó ¿ lo que se había dicho por el Sr. Becerra, secularizados. 9Qe la contradicción ó poca conformidad que habla entre las leyes y ias Después de una corta discusión se mandó volver á la comisión la &lt;n$tituciones dadas por el Gobierno para la ejecución d…</t>
  </si>
  <si>
    <t>…s municipales que cobran sus sueldos Se mandó insertar en el acta de la sesión anterior el voto particular de los londcs de propios y pósitos ó por rep rtmueniu vecinal, opina del Sr. Oliver, contrario i la aprobación de los artículos 1. y 3.'’ del ba , en cuanto á la del Sr. Becerra, que 1&lt;4 empleados en el Crcd.to dictamen de la comisión de Comercio acerca de la representación de la público se comprendan en la rebaja que establece ia tabla de d…</t>
  </si>
  <si>
    <t>…57 rs., según opina el propio y que después se habían agregado los empleados que había en el almi consejo. rantazgo y otros; por lo cual creía que podía ser conveniente dtfcrir El Sr. Olíver pidió se leyese el dictamen del consejo de Estado so este punto hasta que sobre él se oyese i la comisión Militar. bre este punto. El Sr. He-rcra dijo que el mismo tribunal podía proponer la refor El Sr. Ferrer contestó que el consejo de Estado suponiendo que…</t>
  </si>
  <si>
    <t>…go te el poder judie al, no para juzgar de ¡as cosas que sonde la atrii-ucl «n bierno económico-político de las provincias. Se mandó pasar á la co de las Cortes, como ha dicho el Sr. Oliver, no señor: lascóos que son misión de Diputaciones provinciales. de la atribución de las Cortes no están sujetas al juicio de nadie , por La comisión primera de Hacienda, habiendo tomado en considera que las Cortes son et poder legislativo, el cual es tan mdep…</t>
  </si>
  <si>
    <t>…ón , informando sobre una exposición de D. Jo de los nueve ¿Arrúmente concedidos en el imprevisto genera’. sef Pascual, subteniente retirado, vecino de Zaragoza, para que se le El Sr. Oliver dijo que no se oponía á que se autorizase al G.l't-rpermutasen algunos años de servicio por otros de práctica forense, opi eo para poner sobre las armas en caso necesario los icO hombres de naba que debía pasar á la dirección de instrucción pública. Aprobado.…</t>
  </si>
  <si>
    <t>…inó qne debería ifafinf tsa latido , prriynr había te iban á experimentar en diferente* parte* de Cartilla. personas beneméritas que tenían honores de destino, de p**río , y no El Sr. Oliver contrató que para precarer en lo posible dicho* in tenían sueldo; y no debían quedar inhabilitado* para portar tas* au conveniente» proponia ya en loa arta, n, »8 y ip qne lo* beidíen la milicia. que te entregasen al Crédito público y i lo* censualistas fuete…</t>
  </si>
  <si>
    <t>…sueldos de lo* in Leída y aprobada el acta de U anterior, se mandó agregar á ella los dividuos de la junta del alnvrantazgo ; y opinaba que d.ba aprobarse la votos ñamcú ares del Sr. Oliver, contrario i la aprobación del dictamen escala de sueldos que propon a el Gobierno , sujet ndose al descuento de l.i cinv-ion de Guerra, concediendo facultad al Gobierno para po acordado por las Cortes, y dando a los comerciantes el mismo sueldo ner sobre las…</t>
  </si>
  <si>
    <t>…ón; y 3.0 el de los que tenga recibi mismo plan; habiéndose declarado de primera lectura otra proposición dos para su liquidación y reconocimiento. 2.a Dentro de los ocho diaa del Sr. Oliver. primeros de Julio próximo publicará otros tres resúmenes iguales, que Se leyó un o6cio del Sr. secretario de Hacienda, en el que mani comprendan hasta el 30 de Junio, en que concluye el término improfestaba que i consecuencia de lo acordado por las Cortes ac…</t>
  </si>
  <si>
    <t>…dictamen y los votos par militar de la misma , suspender toda acción á las fuerzas que operan ticulares. ejecutivamente contra las gavillas de facinerosos que existen , con el Él Sr. Oliver presentó una exposición del ayuntamiento de Málaga, objeto de que libremente podáis acogeros sin temor ni confusión al solicitando no se le apremiase para el pago de contribuciones que está expresado indulto ; mas si contra mis esperanzas no saliesen ciertas…</t>
  </si>
  <si>
    <t>…primitiva lotería nacional vgecutada en f* El Sr. secretario de Hacienda: Tomo la palabra, no para contestar al tarde de hoy, han salido por el mismo orden con que aquí se anotan Sr. Oliver, pues ya lo ha hecho el Sr. Canga , sino para hacer alguna» los cinco números siguientes: 61, i , 56 , 24 y 48. observaciones á lo dicho por la comisión. O. jar al cargo de los ayunta El premio de 2500 rs., concedido en todas las extracciones á las mientos el…</t>
  </si>
  <si>
    <t>…, pues que ha de haber derechos de patentes, lo preste al regreso.” Aprobado. consumos &amp;c., era indisputable. - Art. pé. » Por-punto general la milicia nacional no dará guardia El Sr. Oliver replico que estaba conforme con esta contr bucíe-n; de honor á los goles, ni i penoea alguna por distinguida ó graduada pero que no lo estaba con el modo que la comisión propona para exi que aee.”Aprobado. girla, debiendo en su opinión hacerse esto fijando un…</t>
  </si>
  <si>
    <t>…; que tocante a los tejeros era de adv—tr q ; en a ju proporc onado á la utilidad y negocios que tuviesen. nas provincias, v. ser., en Cata uña, era un oficio d - ornante utili El Sr. Oliver d jo que había pueblo en que hab a 3«escribanos,no dad , v h isla ob'eto ris cou-rabanlo t y p &gt;' ú.i m que ■ ■ p r'umi &gt;debiendo ser mas que seis en egercicio, y no era justo hacerlos pagar á ta» son ¡os que v-otrn aguis u mo: v tunb m aguí» ¡&gt;iu t-óir as to…</t>
  </si>
  <si>
    <t>…Por estas razones consideró justa la cuota que la comisión estable Art. £.° o Para la inteligencia de los gremios se tendrá presente lo cía para estas dos especies. que sigue : El Sr. Oliver hizo algunas observaciones para manifestar la necesi " Formada la matrícula, si en cada especie de una clase hubiese mas dad que habia de que se exigiese mayor cantidad á uno que tuviese dos «le lo individuos, la graduación del impuesto se hará por especies;…</t>
  </si>
  <si>
    <t>…terior, se mandó agregar á elle el costa de los pueblos y de las justicias y ayuntamientos por mitad.” voto particular del Sr. Vclasco, contrario á lo resuelto sobre el att. 10 El Sr. Oliver manifestó que por este artículo se ampliaban mas las del plan de contribuciones, teiat.voá la tenta de tabacos. facultades concedidas por el anteiior , sin considerar las dificultades y Se dió cuenta de una exposición del Sr. Meló, er- la que manifes entorpec…</t>
  </si>
  <si>
    <t>…as á Castilla, pido que se haga • entrar en una guerra intestina unos con otros. igual declaración.” Aprobado. El Sr. Alvear manifestó en apoyo de la proposición que antes qu» Del Sr. Oliver: »&gt; Pido á las Cortes se sirvan decretar que de los nada era comer, y por 10 mismo qu.- si las Cortes no repartían las con atrasos d» contribuciones de los años 1820 y 1811 que debe !a pro tribuciones de modo que se pudiesen recaudar, no se podría pagar i vin…</t>
  </si>
  <si>
    <t>…pon r &lt;¡e -sta fuerza cal ; por consiguiente el artículo en los términos en que esta no puede dentro d: la respectiva provincia; reru qut na n,Jrá rmr 'f.iró tu/■* Ve aprobarse.El Sr. Oliver: Nada tiene de extraño que se impugne este artículo si tU.t sin otorgamiento de las Cortes ? ¡tumo no se expr sa ti; -rt .u.o que he c iado antes que et poder egecutivo tenga el mando de esta m,- no se entiende del modo en que esta concebido. El Sr. preopinan…</t>
  </si>
  <si>
    <t>OliVer</t>
  </si>
  <si>
    <t>…amo, tamen de la comisión, sino que solo había querido contestar al señor formándose al propio tiempo un fondo competente de amortización Iituriz. como de cinco mi Iones de rs. El Sr. OliVer expuso que con este dictamen solo ae trataba de au Después de haber hecho varias refl-xiones sobre este asunto el sefiat mentar la deuda de la Nación, empeñando á la misma cada rez mas jr Infante, á las que co..testó el Sr. Valdés £ D. Cayetano), quedó apro m…</t>
  </si>
  <si>
    <t>…enemigos la primera posición i Cantabria, parte de Zaragoza y 80 de los volun de nuestra felicidad quisieron hacer el 7 de Julio de 1822 un día de mi tarios al mando del teniente coronel Oliver, los que después de un seria , de desolación y de oprobio para la magnánima España, y vosotros, fuego muy vivo tuvieron que tocar i ataque , que repitieron también combatiendo por la dulce libertad, le convertisteis en otro de ventura los facciosos , queriend…</t>
  </si>
  <si>
    <t>…erza de paisanos con que puedo con batida la gavilla de Moten Antón en la altura de ü. Míreos, de laque tar para la defensa de ia misma en el expresado caso: fue desalojad* por el capitán Oliver con solo 60 hombres, tiendo asi » Prevengo á todos los vecinos de esta población (que no pert n ■?que los facciosos pasaban de óoo. Durante esta acción otra partida de can i la milicia nacional voluntaria y de la ley), igualmente que á !rs 70 hombres batió y…</t>
  </si>
  <si>
    <t>…asen la guardia Real y algunos cuerpos de la guarnición, cut a gangrena cun de ello* los Srrs. diputados. dió de tal manera en aquella, que produjo por resultado lo .¡ueMad-id F.l Sr. Olíver dijo que era necesaria é indispensable la impresión habla visto ea los siete primeros días dei nv:s de Julio. Tamb «1 se ha de loa estados para que pudiesen meditarlos en sus casas lo* Sres dipu cia una relación larga de la conducta que las naciones est-a-gna…</t>
  </si>
  <si>
    <t>El Sr. Oliver advierte un vacío en el dictamen , porque no habla vacilarla un momento en acceder i ello; pero tratándose de levantar un del modo con que debe verificar»* el reemplazo, »i »e ha de amalgamar número determinado de hombros proporcionado al número de que ss con…</t>
  </si>
  <si>
    <t>…del arma respectiva pan hecho m me ion; este caballero ha aido ya atendido por el Gobierno: tu conocimiento.” estibe agregado á la plana mayor, y el Gobierno lo ha empleado en El Sr. Oliver dijo que le parecía necesario que antes dt aprobarse Peflíscola con rt. de sueldo. este artículo recibiesen la aprobación «le las Cortes los modelo* de que Se resolvió que pesase al Gobierno, y le misma resolución recayó se hacia mención en ¿1. sobra una soli…</t>
  </si>
  <si>
    <t>…ficiales del e£er„.to operar á un acto del servicio , y sin embargo el ingeniero no es el qua permanente. manda aquella tropa. Esto mismo sucede respecto de la artillería,y por El Sr. Oliver: La dificultad que yo encuentro en el artículo es de esta razón creo que deb; expresarse con mas claridad el artículo de qua otra clase muy diversa que la que ha expuesto el Sr. Buey. Se d ce e i se trata. ¿I: ,,á menos que el de la mític a nacional fuese tet…</t>
  </si>
  <si>
    <t>…ati Martin *'—En Lima se t-ab-s maceado a ¡r. i r el bían designarse en el articulo mas personas que estos. papel-moneda como d n-ro efectivo, y sin r'cscuitHo a .uno. (_d'i .1 El Sr. Oliver: La razón que ha dado el Sr. Infante para apoyar el gaceta dei II ptltlitamcs otra pruolatna de S. Martin , c/etig . .a artículo no creo que tiene fuerza alguna para que las Cortes le aprue derr. ea.) ben. Ha dicho S. S. que se debe guardar esta consideración…</t>
  </si>
  <si>
    <t>…ad desde la fecha de la gra viduo* pertenece» á una juriudiocion separada de la ordinaria, cual «t duación. la castrense; y si no me equivoco, por dos b-eves de los Papas Grego El Sr. Oliver dijo que en su opinión el articulo necesitaba redac rio Xtii y Pío vi ia unió dicha jurisdicción castrense i la patriarcal. En tarse con mas claridad. este supuesto se considera al patriarca como el ordinario de los párroco* El í r. Infante contestó que pot l…</t>
  </si>
  <si>
    <t>…cía -. por todo 4 garantir las personas y bienes de los ciudadanos, sobre lo cual ( co lo cual soy de dictamen que aunque el proyecto que se discute no sea mo ha dicho muy bien el Sr. Oliver ) muchos volúmenes no bastarían completo y perfecto en su totalidad , es muy útil, y por lo mismo para formar un tratado completo. La policía pues debe dividirse en ur debe haber lugar 4 votar en su totalidad. bana , judicial y de seguridad. Ei Sr. Alix: El n…</t>
  </si>
  <si>
    <t>…e han manifestado , y otros creen que es demasiado y las inobservancias de Con,t tucior. qu; se hubisrn notado. minucioso; por consiguiente ;i qué opinión deberá atenerse la co El Sr. Oliver: La Constitución r.-sue.ve e-la cuest o i en el a-t. tót&gt;, misión ? Esta entiende que se deben dar algunas reglas para la seguri hablando de las facultades de la D putacion. En e; art. ió*sz d ce dad de las personas en poblado y despoblado , y había creído qu…</t>
  </si>
  <si>
    <t>…que la comisión pueda proponer á las Cortes las demás cuyo epígrafe me parece que está también mal redactado. medidas impónantcs para ia salud de la patria, se dirá al Gob.erno El Sr. Oliver: Los Sres. que impugnen el artículo por su redac que remita con ia ma7or brevedad los partes dados por el comandante ción podrán hacer después que se apru.be las adiciones que tengan general á¿ este primer distrito, las representaciones hechas al Gobierno por…</t>
  </si>
  <si>
    <t>…dano de arrestar i un dei.nnato de las ciudades, la sa'ubridad &amp;c., y no la opresión del pueblo, cuer.tf. como sucederá con este regláronlo, que llegará á atacar la libertad; y El Sr. Oliver: Por mi parte no tengo dificultad en que se pmga el asi yo me opongo á que pase con este nombre. articulo en estes términos: » La tropa permanente, la roi'ica r.i.:,£1 Sr. secretario de la Gobernación de la Península: El Gobierno nal para salvar el inconvenie…</t>
  </si>
  <si>
    <t>…i Art. a.° » Del mismo modo están facultados para asegurar á loa ginales se anotaban los nuevos números. delincuentes y sospechosos de dei.to, y conducirlos ante la autoridad. F.i Sr. Oliver contestó que el Sr. preopinante en lugar de impugnar Art. 3.0 ” Para llenar dicha facultad pueden llamar en su auxi el aitículo lo había defendido, y que estaba bien lo que en ¿I te dispo lio á los dornas, quienes deben prestarse, si no tienen impedimento len…</t>
  </si>
  <si>
    <t>…te y. mar sobre lis medidas que propuso el Gobierno con la exposición det aun sobrado , en otros seta poco. ministerio leida en la sesión pública de ia de Octubre de t8iii y se El Sr. Olíver: La comisión ha tenido noticia de que á estos pre procedió í la discusión de cada medida pot separado. lados se les daban cantidades no pequeñas , y ha querido fi|« un nui.a » Las Corte* procederán inmulialimente \ fiar la suerte det x/mum; pero nunca ha sido…</t>
  </si>
  <si>
    <t>…Galiano ni á otro Sr. diputado. Si me he re- dose los eclesiásticos que subsistiesen de rentas propias. Jérido á S. S. ha sido porque trataba de impugnar su discurso: las Cor. El Sr. Oliver: La mayor parte de los argumentos que se propusie tea sin embargo verán si me be excedido ó no: lo que he dicho y vuel ron por al Sr. Prado fueron destruidos por las reflexiones de los sevo á repetir es que es muy extrafio que al mismo tiempo que se con Sorct…</t>
  </si>
  <si>
    <t>…bernación de la Península dijo que por blo es atacado de noche no puede defenderse, y mas no sAiendo ia SU parte no h-bia ir.conven, ntfuerza que tienen los facciosos. Ha dicho el Sr. Oliver que queda i la S; acordó que v./.viese ei ar/cu'o í la .-vnision. prudencia del general el calcular si al pueblo ha podido ó no defenderse, Se mandaron pisar á ¡a moma dos adviene», una de! Sr. Sedeño, y en o.o de que sea asi, debería expresarse del mismo mod…</t>
  </si>
  <si>
    <t>…nga la bondad defecto olvidado, qu: no envolver en las dudas crueles de la opiuion el de leer. ( Se leyó.5 honor sagrado de un cuerpo respetabilísimo , a quien es preciso m rar El Sr. Oliver pidió también se leyese el art. 163 de la Consti con todo el carácter de nacional, pues que es hechura de ¡as Cortes, y tución. como protector natural de las públicas libertades. ; Ved, Síes, diputa El orador continuó: Por la simple lectura de los artículos q…</t>
  </si>
  <si>
    <t>…creo que es ¡o que puede salvar a la Na empicados públicos y militares á ocupar ciertos destinó, que el que se ción de los males que la sdígen. adopte la medida que se discute. El Sr. Oliver: En realidad los tres señares que firman voto parti En cuanto á la otra impugnación que ha hecho el Sr. Benito , S. S. cular están conformes en esta medida, y solo varían en que ei punto convendrá en que aquí se castiga una repugnancia que puede ser muy • bre…</t>
  </si>
  <si>
    <t>…hombre siente lo» primeros estímulos de rus pa seria mucho mas complicada, y por consiguiente mas larga. nes gusta de la unioa. Si esta se ver.fica , ci hombre se en.'sca de un El Sr. Oliver dijo que no haciéndose las excepciones antes de veri modo indisoluble , y vemos que no se res ente r.i puede re»-'r.t.r&gt;e -a ficar el sorteo se alargaba algún tanto la operac.on , parque era necesa moral. Por el contrario, si un joven : ”r medio de ..at.it'ac…</t>
  </si>
  <si>
    <t>…-Vbear añad ó que esta razón no le convencía , pti’sto qu* les imposibilitan para los actos del servicio.” si los mozos de lo&gt; pu blos corrían á inscribirse en la matricu'a por £1 Sr. Oliver: Impugnando esta parte del artículo, se ha dicho temor de ser soldados, también correrían á casarse muchos que no primero que no es excepción lo que se propone , porque naturalmente pensarían en ello; y e-to seria aun mucho mas fácil, porque el servicio está…</t>
  </si>
  <si>
    <t>…ese extensiva 4 ias provincias de Ultramar. grave perjuicio de la moral pública y de sus interese* particulares. Se aprobó la siguiente proposición de los Sres. Escovedo y Rome El Sr. Oliver contestó que por lo mismo que había estas taberna* ro : » Habiéndose aprobado la medida 11, pedimos 4 las Cortes se y cafés, debían prrm.tirse estas reuniones , i fin de qae fuesen á ilus sirvan admitir la siguiente: » Respecto 4 haberse acordado an la últi t…</t>
  </si>
  <si>
    <t>…l gasto y los damas estas ventajas se ha establecido el método actual de cuenta y razón , qua personales. ha introducido la mayor exactitud en la tesorería general ,y proporcio El Sr. Oliver: Habiendo resuelto las Cortes que se discuta el dicta na la gran ventaja de poderse cotejar en un momento las cantidades qua men artículo por artículo, manifestaré respecto del primero la objeción se han percibido, y los ramos en que te han empleado. que teni…</t>
  </si>
  <si>
    <t>…no debía admitir ciesen , con el objeto de que &lt;1 Congreso no gastase el tiempo con poca se , y asi se acordó después de una corta discusión. utilidad. En cuanto i la adición del Sr. Oliver al núm. i a , para que después El Sr. Isturiz hizo presente que la proposición no decia que no se de la palabra diputarían se añada » la cual en ningún caso podrá llamar admitiesen nuevas adiciones, sino ninguna nueva excepción , lo que el expediente, á no se…</t>
  </si>
  <si>
    <t>…que digo que «tas opiniones cun de que castigado en la milicia, sirva de escarmiento 4 los demas sol den desgraciadamente en el pueblo. dados. El Sr. Canga : Estoy satisfecho. 61 Sr. Oliver: Nunca es una pen4 el que 4 un militar le juague esta El Sr. Moreno dijo que la disposición de que se trataba drbia ex ó la Otra jurisdicción, y por eso el código penal nd debe tratar de es tenderse hasta los lugares de 800 vecinos, porque limitándose sola to…</t>
  </si>
  <si>
    <t>…el delito de deserción de que tra á los ciudadanos para que puedan asistir a estas elecciones: priu-cra taba el artículo. ciudadanía , segunda vecindad , y tercera residencia. El Sr. Oliver: Es preciso no confundir (os casos, ni el que aquí se La experiencia ha hecho ver que la fa 11 cíe aclaración de este artí trata , que es el de una sedición provocada en el acto, y que puede culo ha producido grandes obst culos. Por lo mismo esta ley debe acl…</t>
  </si>
  <si>
    <t>…de su conducto de Aqu sgr.in , y es como sigue: deudora á esta dase del restablecimiento de la lib-.rird. » Aseguran algunas persona» bien instruida» en negocios políticos que El Sr. Oliver fue de parecer que la preferencia concedida por este el Congreso da Verona terminará sus operaciones con una resolución artículo ¿ los militares inutilizado* debería hacerse extensiva á los pai de tal naturaleza, que dará muchísima impulso á ia Dieti germánic…</t>
  </si>
  <si>
    <t>…El Sr. Tejeiro ha dicho que los militares casa tante estar exentas como aquellos de las cargas expresadas. dos tendrán mas patriotismo; cato seria bueno si la patria diese una El Sr. Oliver; Lo que propone la comisión en este articulo me buena recompensa á la muger r á los hijos; pero por desgracia las parece en primer lugar contrario al artículo 131 de la Conttituc.on en recompensas son mujr escasas; ios guerreros romanos es verdad que la décim…</t>
  </si>
  <si>
    <t>…los militares; y en mi concepto todo lo que sea privilegio ce cada pueblo. d*b: desaparecer, porque no tos considero adecuados á las medidas ge nerales de conveniencia pública. El Sr. Oliver dijo que disfrutando las viudas é hijos de los milita Partido. Ayuo- Pueblos Obispa- Distancia de la Distancia de la Distancia de ramitn* que dulque'cdbeza de par- cabeza del a yuii- lus rueblos a res de las mismas comodidades que los demas vecinos de un pueb…</t>
  </si>
  <si>
    <t>…art. 4“ de la ley de it de Setiembre de 1810, y desda la ¿o estoy coa- reses &amp;c. 5tc. forme con todo su dictamen. Ei orador expuso en seguida que no debía privarse á un español El Sr. Oliver manifestó, entre otras cosas, que la comisión había de tu libertad ¡n.entras no se comprobase su delito , ni encarcelarle sin ampliado en todo lo posible las facultades de ios gefes políticos pata información judie.al , asi como tampoco debía allanársele su c…</t>
  </si>
  <si>
    <t>…id de Octubre de sSaa.ss y luego acudiese á las Cortes, acusando al juez de infractor del art. 261 l«lipc Monles.=i&gt;t. comandante general del ó.° distrito. di ls Constitución. El Sr. Oliver apoyó esta idea como conforme i la práctica observa M.idrid Viernes I.° Je Noviembre. da hasta aquí acerca de las competencias , comprobando:* con lo acaeci S. M. el Rey y SS. A V continúan sin novedad en su importante do en la causa de berrano, Ceruti y otro…</t>
  </si>
  <si>
    <t>…en este asunto ? Aquí llamaré ia atención de tas Cortea sobre lo toriza á una nación para ciertas cosas; y esta ante* de darse debe ser que ha dicho el Sr. Prado, y contestado el Sr. Oliver, para que *u examinada muy prolijamente. vea procedo consiguiente y fiel á los principios que he sentado: soy el Permítanme las Cortes qua yo me haya separado algún unto de la primero á decir que en mi concepto debe extenderse la facultad de ios cuestión anun…</t>
  </si>
  <si>
    <t>…s, 7 ser útiles sin caasar a la Nación cb¡ to d- llevarse el trigo de la encomienda. gastos en su trasporte. E.I oficial de caballería de Vilíaviciosa D. Juan Vierme con los 16 El Sr. Oliver: La comisión ha creído que deba redactar el art-cu'o caballos de su mando sorprendió en la tarde del 30 de Octubre á la con arreglo á lai observaciones que se hwirron íTer en la discusión; partida de face osos mandada por el maestro de Carcastillo, y com 7 co…</t>
  </si>
  <si>
    <t>…sean destinados al egército y á los de distribuirse los facciosos y ser muy útiles sin dar motivo de rezelos. mas puntos que el Gobierno crea oportuno, los que por fuerza hayan El Sr. Oliver dijo que el Gobierno sabría á qué puntos de Ultra sido agregados á las facciones: ¡y qué otra cosa es la seducción que mar debia destinar á los facciosos. una violencia mas expresiva que la violencia física ? Yo creo que adop Declarado el punto bastante discu…</t>
  </si>
  <si>
    <t>…convencidas de que no hay recursos, pues se tiene llón de reales con destino á las obras da dicho canal. que recurrir á empréstitos extranggros ; y asi solo debemos atenernos á El Sr. Oliver: No me opongo á que se conceda el millón que sélla los gastos puramente necesarios. Ha dicho el Sr. preopinante que la la la comisión , y estaría confotme, aunque propusiese algo mas: á lo miseria es la causa principal de las facciones; pero yo creo que es dd…</t>
  </si>
  <si>
    <t>…ecen como por gar á la formación de causa: esto seduce á muchos; pero cxamiaado este dictamen se propone. como es en sí, se observarán los inconvenientes que presenta. Si desde El Sr. Oliver: Aunque el jurado que propone la comisión i exci el principio se hubiera dicho que reconocida por tas Cortes lo fuerte tación del Sr. Nuficz no reúne todas las garantías para ia libertad indi que es la medida, se trata de aliviarla, enhorabuena; pero hacerse…</t>
  </si>
  <si>
    <t>…Se aprobó el dictamen de ia comisión en cuarto i la primera y se tcllfoiiit 24 de Octubre de i8za.=Ei general en gefe Francisco Espoz gunda proposición. En cuanto á la tercera el Sr. Oliver reprodujo su y Mina.” voto particu’ar, y fue de parecer que debía aprobar.e en vez del dicta Y secundando el justo pedido del citado Sr. general en gefe, lo ha men de la comisión. go notorio á cuantos comprende el contenido de las prevenciones que El Sr. Istu…</t>
  </si>
  <si>
    <t>…u empico La comisión no disimulará que si se tratase de delitos comunes co* sino en calidad de funcionario. metidos por un ex-secretario en la época de su ministerio, seria muy El Sr. Oliver: Me es sensible tener que impugnar el dictamen de disputable ti debía conocer de la causa el tribunal supremo de Justicia, la comisión honrándome con la amistad de sus individuos; pero no ó si el juez a que estuviese sujeto aquel posteriormente. Pero esta cue…</t>
  </si>
  <si>
    <t>…se mi ta. Se dirá que formándose esta legión, tal vez se pondrán las amasen proposición en todas sus partes. manos de nuestros enemigos ocultos: mi proposición evita este incon El Sr. Oliver manifestó que si precediendo los trámites que pre veniente, pues dice que sean empleadas únicamente aquellas personas vienen las leyes se podía proceder contra tos secretarios del Despa que ofrezcan bastantes garantías á la causa pública. El orador citó en ch…</t>
  </si>
  <si>
    <t>…que puedan Ustji del mojo que se establece en el articulo,f ellos" , en lugar de •&gt; tengan hijos en rijos. cmj miuni consideración deben las Cortes tenerla plísente para apro F.l Sr. Oliver : Sin embargo de la modifirac'on que ha propuesto la barle. comisión todavía subsiste : mis dificultades , porqti* el arr. 3.' d: ia El Sr. Afarau: Convengo desde luego en que á los militares no se Constitución dicequ: »&gt; Si n españóle, todos los hombres bbr-…</t>
  </si>
  <si>
    <t>…les elementos que han de labrar nuestra felicidad, discutía á continuación de aquel por ser una consecu.-r.ca. paciéndonos en la mane la victoria; reunamos nuestras voluntades, El Sr. Oliver hizo presente que el reconocimiento de firrr,;. - a pr.stemos nuestros esfuerzos, liguémonos con el dulce lazo de la unión una prueba muy falible, pues los comerciantes, que »on .0"» qj -genera! : di este modo seremos invencibles. tienden mas de firmas, mucha…</t>
  </si>
  <si>
    <t>…sus respectivos comandantes justa esta providencia, pues el militar que pretende saliise de esta cat militares.” rera se supone que puede estar disgustado en ella. A petición del Sr. Oliver se leyeron el art. a.* del cap. i.°, tít. J.° Se declaró el punto suficientemente discutido, y habiendo conve de estas ordenanzas, y el art. 147 de la Constitución; después de lo nido la comisión en suprimir en el artículo la palabra superior i cual dijo que…</t>
  </si>
  <si>
    <t>…á lo» cesantes, aunque no se presenta cantidad nerse dicha adic.on. liquidada , se puede aprobar igualmente. Ei Sr. Fosada : No entiendo cuál puede ser el espíritu de esta adi El Sr. Oliver: Yo quisiera que los señores de la comisión me dije ción. Las Cortes han tenido ya por conveniente señalar ei plazo dcr.i o sen si hay algún decreto que dé derecho á los empleados diplómat eos del cual pueden los españoles traer á la Península los caudales qu…</t>
  </si>
  <si>
    <t>…da le proposición por 64 votos con guid» salieron tres partidas de á 30 hombres cada una á perseguirlos. tra 63* Décimo distrito militar. (Sevilla). Sin novedad. Note tienen no El Sr. Oliver pidió se leyese e! art. 118 del reglamento; y verifica ticias del paradero de Zuldivar, el cual tal vez procurará salvarse en da su lectura, se procedió é nuevo recuento, resultando ser por el toral Gibraltar. En Cádiz había entrado el bergantín de guerra Ven…</t>
  </si>
  <si>
    <t>…, les ton las causas de la emigración , y que es impos-ibls atajarla , y yo que no se pudieron entender. recordaré sobre este asunto lo que dijo un amante dfc ia libertad tn la El Sr. Oliver apoyó este idea , «Hediendo qua un secretario del Des asamblea constituyente de Francia, i saber, que cuae'qtiirra ley que se pacho podía también ser preso por alguna orden que hubiese firmado adoptase para impedir la emigración , por buena qsue fuese , s-ria…</t>
  </si>
  <si>
    <t>CAHTUIO V. había hecho ref-renci* el Sr. Oliver, tenia alguna fuerza, mas sin em bargo podía evitar el almirante los inconveniente* que había presenta De l* seguridad de loe camino/. do el ir. O iv.-r no ttas.adaado á los buques los sugeto* que hubiesen Art. $7- » Para perseguir á loa malhechores y proporc…</t>
  </si>
  <si>
    <t>…cido. Eli otro es el decreto dado con relación i una c’ase de españoles corial de resultas de dichos suceso*. que habían tegu do el gobierno de Joscf Napoleón. Estos también en El Sr. Oliver pidió se leyesen la ficultad 13.a del Rey, los párra cierto modo quedaron sujetes i algunas penalidades: y no puede de fos 11 y 18 de la ley t.’, tít. 11, lib. 1 a de 1a Novísima Keco[ála- cirte que fuese absoluta la amn.stia, porque al fin no vo vieron i te…</t>
  </si>
  <si>
    <t>…á las objeciones que rarse-corno la ba:4 , y principalmente con el 4.' y 9", que no se podía se han hecho al artículo. votar antes del 4.a, convino la cemision en suspenderle. El Sr. Oliver: No hay duda as qua las medidas relativas i la guerra Se aprobaron loa attículos siguientes: deben ser violentas, y que cuando el bien general de la sociedad las Art. » La autoridad civil en toda plaza en estado de guerra exige el individuo particular debe su…</t>
  </si>
  <si>
    <t>…aíses-Bajos , en donde, á Habiéndose 'declarado que babia lugar i votar el dictamen en tu to pesar de que Felipe ir los había considerado como rebeldes, se hacían talidad pidió el Sr. Oliver se leyese la ley 5 tít. 11 lib. 1 a de la No capitulaciones y se cumplían ; y no eran de esta especie en que solo s* vísima Recopilación , y verificada que fue su lectura d jo: concede el perdón de ia vida sustituyendo ctra pena , sino que se de Esta ley no p…</t>
  </si>
  <si>
    <t>…r los regimientos con la pov.bie unión reducien cretaria do lo* destacamentos á lo absolutamente necesario, y observando en el Para preaidente quedó electo en primer escrutinio el Sr. Oliver, servicio de guarnición las regias que se explican en ios artículos si por 62 votos de 111. guientes. Pan vice-presidente quedó elegido también en primer escrutinio el Art- t.° » Las tropa» harán ia guardia en las plazas de armas, *n Sr. Santafé, por 65 votos…</t>
  </si>
  <si>
    <t>…bierno creo que se está en el caso de aprobar lo que propon; (!; comisión; los ga.ios de estos tribunales. pues si se accede á la solicitud del convento de las Balp¡«a« deberán El Sr. Oliver manifestó que los tribunales consulares establecidos las Corles prevenirse á oir iguales peticiones de los depan conventos para facilitar á los comerciantes la pronta decisión de sus pleitos no situados en despoblados ; y aun yo he visto ya una exj.os.ic ion…</t>
  </si>
  <si>
    <t>Oliveras, Antonio María</t>
  </si>
  <si>
    <t>Antonio María Oliveras</t>
  </si>
  <si>
    <t>…a el inte siguientes: resado. Aprobado. Uno sobre la queja presentada por el subteniente del regimiento de La misma, en vista de la exposición dj D. Josef Moral y otros ofi Málaga D. Antonio María Oliveras contra el anterior ministro de la ciales de los regimientos de infantería de la Reina, León, Gerona y ca Guerra por no haber confirmado el grado de teniente que le concedió ballería de la Reina, haciendo presente los servicios que prestaron á el general Riego…</t>
  </si>
  <si>
    <t>Oliveras, Francisco</t>
  </si>
  <si>
    <t>Francisco Oliveras</t>
  </si>
  <si>
    <t>…al de contribuciones directas que las pez , D. Diego Moraleja , D. Antonio María Quintana, D. Antonio Cortes por decreto de 9 de Mayo de 1811 , en consideración á 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t>
  </si>
  <si>
    <t>Oliverdija</t>
  </si>
  <si>
    <t>…&gt;*S.. contra cupo.qus ci áticñabí! par :-■ sé ic de .Santander,ydehiareclarnir Murcia coit:Cutigcni. .. ■ ser muy excesivo.': '-7“" 7 ./'v: '' .• — • Ni'.-at:a..„.„. 4 7*5.3*7 _E1 Sr. Oliverdija quena cnmiríi en la cuestión de ti «I: repsrti- ^ -H cía... S-5«3.t;*7«. sdi|-.to arreglado que » justicia; . tniénto no tu puo Citaba ó al hacer la; r Siíamahcii.ü..- '* 3.144.147.X'vsr.cr» que hacer pur proposición-ttb mar ver que era otro qnr eÍ;Congrero.*…</t>
  </si>
  <si>
    <t>Oliverpor</t>
  </si>
  <si>
    <t>…enar los vacíos que ha dejado el Sr. lrujilio , y otro en el br. Saavedra. orden sanitario (que se cree tendrá que renovarse todos los años, te Quedó elegido segundo secretario el Sr. Oliverpor 70 votos de 116, miendo la reproducción de la fiebre amarilla en las provinen españo recayendo los restante*,ao en el ir. Bustamante, 3ten el Sr.Sánchez, las últimamente atacadas), ha determinado el Gobierno que del con- y uno respectivamente á los Sres. Flor…</t>
  </si>
  <si>
    <t>Olívet</t>
  </si>
  <si>
    <t>…egún lo que se es El Sr. Lbdares se opuso á esté articuló, manífestaüdóque por la fa tablezca en ellos.” cultad décima do las Cortes sa'estableciá que estas decretasen anualmci*El Sr. Olívet observó que no estando los reglamento» de que habla te al egército que debía existir •'podiendo llegar el casó de no ser ne ba el articulo aprobados, deberá decirse que los ayuntamientos se atcn- cesario el reemplazo por haber habido el alio anterior v. g. ;o…</t>
  </si>
  <si>
    <t>Olivet</t>
  </si>
  <si>
    <t>…us fortificaciones interiores y exteriores, de los edificios y para evitar lodo desorden en su tropa.” establecimientos militares , del terreno exterior , de la guarnición , ar El Sr. Olivet: El artículo redactado del modo que lo propone el tillería, municiones y provisiones de toda especie; y asimismo de la Sr. Canga, no es lo mismo que el que propone la comisión , é insiste población que tenga que manten» en caso de sitio y recursos pa todavía…</t>
  </si>
  <si>
    <t>Olivfr</t>
  </si>
  <si>
    <t>…que los soldados no Somoza, contrarios i la.resolución de las Cortes con respecto á las pro salgan de los cuarteles con armas. Pero lo cierto, es que ayer hubo des posiciones del Sr. Olivfr. ' - órdenes , y lo peor será que se pintarán en las provincias con colores muy El Sr. Sánchez expuso que se contaban ya 11 dias del mes de Mar exagerados ; y por lo mismo es menester tomar medidas fuertes para zo, y aun no se habian leído las memorias del Cr…</t>
  </si>
  <si>
    <t>Olivrr, Guillermo</t>
  </si>
  <si>
    <t>Guillermo Olivrr</t>
  </si>
  <si>
    <t>…periódicos, uno ingles y otro Don Josef Antonio Bertrán, D. Rafael Sdsate, D. Ar.tonio Gutiér francés, «n lenguage di veno del que antes usaban .* enemigos irreconci rez de Pando, D. Guillermo Olivrr, D. Pablo Sauri y Ern, Don liables da la Espada, invocéban contra nosotros todo el poder da la santa Juan Olivclla, D. Josef Pujol, D. Jo»ef Martí y D. Félix Ru'z , de alianza ; pero habiendo variado de optaron niegan ya i los aliados los clararon por unanimi…</t>
  </si>
  <si>
    <t>Olivsr</t>
  </si>
  <si>
    <t>…apel se cos respecto de los diputados • Cortes. llado- Asi pues creo qus las Cortes deben aprobar el articulo. Se aprobaron dos m.- ctas de decreto: una respecto del aumento de El Sr. Olivsr : Aunque he impugnado algunos artículos de la com^ fuerza naval, y ia otra — — ...„j J- te» (accc ,. sion, no ha sido por otra razón sino porque me parecía que lo que en El rr. presidente anur;H.:i .un cci.:.. se s,»cu;.i.ata i«s «resurtues— ellos se- estable…</t>
  </si>
  <si>
    <t>Oller, Mariano</t>
  </si>
  <si>
    <t>Mariano Oller</t>
  </si>
  <si>
    <t>…cuestión diré que es de ab Martínez de S. Martin, i consecuencia de la queja de D. Juan Manuel soluta necesidad para formar juicio exacto de la justicia ó criminalidad S. Román , D. Mariano Oller y otros varios ciudadanos por haber man de un hecho, examinar todas las circunstancias y pormenores que ha dado suspende* la reunión patriótica de la Fontana y tenerla aun yan podido influir en tomar aquella determinación. Nadie ignora que cerrada: la comisió…</t>
  </si>
  <si>
    <t>Olmedo, Juan Pérez de</t>
  </si>
  <si>
    <t>Juan Pérez de Olmedo</t>
  </si>
  <si>
    <t>…entes dictámenes. puesta suya nombrarán las Cortes." Uno sobre la solictud de Doña María Antonia Rodríguez, viudaEl SE Romero fue de parecer que no habia una necesidad absoluta de D. Juan Pérez de Olmedo, oficial que fue del F.stado mayor de la de nombrar el consultor letrado. plaza de Málaga, para que se le concediese una viudedad en atención í El Sr. Villanueva contestó que ocurrian muchas dudas legales en los méritos de dicho su marido. La comsidn opinaba…</t>
  </si>
  <si>
    <t>Olmos, Pedro de</t>
  </si>
  <si>
    <t>Pedro de Olmos</t>
  </si>
  <si>
    <t>…voracidad de tantos malva Vigo admoistndor D. Josef García Fernandez , adm'n'sf radar del dos , que si pudiesen acabar con los hombres de bien, se acometerían Carril. Interventor D. Pedro de Olmos , depos.tario de aquel a ciudad. entre sí como los perros de Zurita , ó como naturalmente sucede entra Castellón de la Phna administrador D. Roque Arta .-jo, cap uta los facinerosos y salteadores! Empero ¡desarmar la milicia nacional da retirado agregado i la…</t>
  </si>
  <si>
    <t>Olo, Bles</t>
  </si>
  <si>
    <t>Bles Olo</t>
  </si>
  <si>
    <t>…para el de Betanzos 4 D. Pedro González Nadela: para acudirán i recoger el tomo a.u 4 las librerías de la viuda de Quirogt el de Tuy 4 D. Josef Rivera y Gil: para el de Santiago 4 D. Bles Olo y de Sanz , donde se bailarán juegos completos en pasto y í la rústica. res; y para el de Sta. María de Sar 4 D. Juan Martinez Araujo. nota. En la gaceta del 28 de Enero al principio de la col. 4.a a dice haberte dado cuenta en las Cortes de una exposición de…</t>
  </si>
  <si>
    <t>Olohasta, Celestino</t>
  </si>
  <si>
    <t>Celestino Olohasta</t>
  </si>
  <si>
    <t>…o Vil y el resultado del hecho, .se reunió el jurado compuesto mano ni habran de separarse de los pueblos á que fueren destinados sde los Sres. siguientes: D Pedro Alvaro Delgado, D. Celestino Olohasta dejar realizado el cobro dé los adeudos, y haber exigido de los zaga, D. Joaquín Huerta Cevallos , D. C ayetano Romero, D. Antonio responsables sus dietas; en la inteligencia deque se impondrá ¡í los in Regas, D. Felipe López Valdemoiot, D. Ramón Llord, D. An…</t>
  </si>
  <si>
    <t>Ololos, Celestino</t>
  </si>
  <si>
    <t>Celestino Ololos</t>
  </si>
  <si>
    <t>…minos se pasó otra de los. Sres- Cano y Ladrón señores siguiente*: de Guevara, para que corra la dirección de camino* con las obras de D. Marcos Izquierdo, D- Francisco Travesedo, D. Celestino Ololos puertos del Pico y Menga , en la provincia de Avila. ugi, D. Francisco Barra, 1). Gonzalo Cárdenas , el marques de TorA la comisión de Guerra dos del Sr. Herrera Buslamente; la una reuueva, D. Joaquín Lumbreras , D. Francisco López Oiavarricta f sobre que no…</t>
  </si>
  <si>
    <t>Oloron, Simón Permanchan de</t>
  </si>
  <si>
    <t>Simón Permanchan de Oloron</t>
  </si>
  <si>
    <t>…St- Malo 1147 7 16.__Girador Moettre de id. 555—D. Luía Gafon da go dias. de Gallón de León 141(7 18., Sahuc Dcplabol de id. 56ta_DeteTaiaoMAina. he garay hijo de Bayona 610 7 la—D. Simón Permanchan de Oloron 379 7 4._D. Jura Luis Oaten de Gante jlá 7 io_Dofia Isa _ Por providencia del Sr. D. Angel Fernandez deloe Riot, jaez de bel Valcarcel, viuda de D. Ramón de id. 313 f 16—Boiaier 7Savar-primera instancia de esta corte 7 de la hacienda pública, aecita, llama di…</t>
  </si>
  <si>
    <t>Olozaga, Celestino</t>
  </si>
  <si>
    <t>Celestino Olozaga</t>
  </si>
  <si>
    <t>…te hallasen en de los Sres. siguientes; D. Valentín de Nicolás, D. Valentín Rec-.o, disposición , y 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libra ó quintal de Habid…</t>
  </si>
  <si>
    <t>…se reunió el jurado, compuesto de loa Sres. siguiente*: D. Rafael Costa, D. Andrés Navarro, D. Manuel Gallego, el Ayuntamiento constitucionaI de Cádiz. conde de Torre del Fresno , D. Celestino Olozaga , D. Bernardo Por acuerdo del Excmo. ayuntamiento incluyo á V. S. copia del Asenjo, D. Juan Pablo Pascual, D. Juan Luque y D. Julián de oficio que le pasó el Sr. gefe superior político en t$ del que acaba, Fuentes. y de la contestación que se le da con esta f…</t>
  </si>
  <si>
    <t>Olrver</t>
  </si>
  <si>
    <t>…e la Vega , contrario á 1a aprobación de los artículos sobre El Sr. Salva d jo que tenia que añadir ¿ lo expuesto por el señor It- . tabacos en el plan de conlr buciones; y et del Sr. Olrver, contrario a .ha turir en apoyo de la proposición que no se perdiera de vista que la Cotu» I berse nado por sufi-int emente discutido un articulo del misino pian en tituaon prevenía no pudiesen estar presentas los secieurios del D.spa- j , seguida de haber hi…</t>
  </si>
  <si>
    <t>Olto, Prudencio de</t>
  </si>
  <si>
    <t>Prudencio de Olto</t>
  </si>
  <si>
    <t>…alió herido, rcayendo por esta razón el mando de ella en el te- les caracteriza, su decisión por sostener el sistema constitucional q«4 ■icntc graduado de capitán del mismo cuerpo D. Prudencio de Olto. felizmente noa rige, y con él nurstia» libertades patrias. Dios guarde</t>
  </si>
  <si>
    <t>Oltver, Lorenzo</t>
  </si>
  <si>
    <t>Lorenzo Oltver</t>
  </si>
  <si>
    <t>…ro.” Otro de la comisión de Hacienda para que te pase al Gobierno, 7 La comisión de Visita del Crédito público , en vista de las solici este tomé en consideración una instancia de D. Lorenzo Oltver, alcalde tudes de varios particulares que obtienen rales Reales resellados por el primero constitucional da la villa de Verja , quejándose del modo con Gobierno intruso, opinaba que las Cortes se hallan en el caso de ha que se ha hecho allí el repartimiento d…</t>
  </si>
  <si>
    <t>Omandi, Francisco Lop-z de</t>
  </si>
  <si>
    <t>Francisco Lop-z de Omandi</t>
  </si>
  <si>
    <t>…de las exposiciones de D. Joaquín A la compon de Visita del Oré lito público se mandó pesar una ex - de Lasaeta, vecino de Aula, pidiendo se le recompensan sus mérito* posición de D. Francisco Lop-z de Omandi, reproduciendo una instan y servicios, op nsba que las Cortes podían declarar que les habrán sido cia que hizo en 15 del pasado contra la juata nacional del Crédito pú gratos, y podían asimismo recomendarlo al Gobierno pata que lo em blico por haber puesto en…</t>
  </si>
  <si>
    <t>OMdcara</t>
  </si>
  <si>
    <t>…ZA. ra parle del artículo, porque te hallaba persuadido de que todos con , Lóndrei 16 dt Julio. venían en. su idea, difiriendo únicamente en ti debían ser una ó do* En la obra del doctor OMdcara, intitulada Nopolton en ti áttitrto, ó mas las delegaciones, y que asi pasaría á tratar de It segunda parte, ee Ice el párrafo siguen tí: ... esto es, sobre si en el cacode ser tolo una, debía conferirte al sucesor de « Si jo fuese ingle*, dice Napoleón, lima…</t>
  </si>
  <si>
    <t>Omti</t>
  </si>
  <si>
    <t>wlfiá» nt wnwnd» por el groad* inconveniente que he díimetnJo. El Sr. Navarro (D. Felipe) dijo qne este artículo reformaba emeEl Sr. Omti: Ea peceño ao confundir lo que ca un juicio de Cen tameate el jh del decreto da oa de Octubre; y como so estaba aprotura, coa lo que lis aisaifcatado el Sr. Sancho , que e* una calumnia. báda la inutilidad de aquel, opinó que las Cortes no debían aprobar este…</t>
  </si>
  <si>
    <t>Ondatcgei, Felipe de</t>
  </si>
  <si>
    <t>Felipe de Ondatcgei</t>
  </si>
  <si>
    <t>…ayuntamientos que exis bal. Francisco Perez, soldado que lúe del provincial de Burgos, natu ten en le actualidad se incorporará» j reunirán en uno solo hasta que ral de Barruclo. D. Felipe de Ondatcgei, sargento segundo que fue del ae haga la renovación en fin del presente afio, Art. g.° Si hubiere cos regimiento de infantería de Arlanza , natural de Gomicl del Mercado. tumbre de que los dos ayuntamientos se hayan reunido pera otros actos, D. Rafael Ramiio…</t>
  </si>
  <si>
    <t>Ondegardo, G-rónima</t>
  </si>
  <si>
    <t>G-rónima Ondegardo</t>
  </si>
  <si>
    <t>…... 41.18*,481..13 Pedro de Lupidana: otro de 113,091 mrs. sobre alcabalas de la ciu Pane que corresponde í Mayo según prorateo......... . 8-333,546»a9 dad de Cuenca, en cabeza de Doña G-rónima Ondegardo: otro de 36,566 id. sobre alcabalas de Granada, en cabeza de D. Polo de On Total débitos......... ........ 49.616,018..18 degardo: otro de 68,695 id. sobre el servicio ordinario y extraordina Recaudado en el mn de Mayo.........................................…</t>
  </si>
  <si>
    <t>Onís</t>
  </si>
  <si>
    <t>…, si lo exige el Fn la memoria sobre las negociaciones entre España y los Estados- caso , impone cargas sobre todos lo» artículos de lujo, y aun sobre mu Unidos (O, escrita por el Sr. Onís, ministro plenipotenciario de chos que no lo son, como sucedió en la guerra última contra la GranS. M. que fue cerca de aquella república , te baila un artículo intere Bretaña. Suele autorizar también al poder «gecutivo para que cree pa santísimo que habíamos…</t>
  </si>
  <si>
    <t>Ono</t>
  </si>
  <si>
    <t>…íamos precisado* á revocar al momento el sión dé caudales:” lo restante hasta las palabras por estas quedó suspen decreto que se diese. dida , y aprobado lo demas del artículo. El Sr. Ono dijo: De nada sirve tratar solo de Hacienda si no se Art. 15. » Esta te compondrá de siete individuos y dos suplentes, trata tamben de leyes y de justicia, pues sin esta no puede existir ni y tus funciones durarán el tiempo de dos legislaturas, mudándose por…</t>
  </si>
  <si>
    <t>Ont, Antonio</t>
  </si>
  <si>
    <t>Antonio Ont</t>
  </si>
  <si>
    <t>…nacional local de dicho pueblo. opinaba que podía conced r»e dicha «dispensa. Aprobado. Otro sobre que se apruebe el presupuesto presentado por el ayun Otro sobre ia expos cion de D. Antonio Ont , v.-c no de Víra tamiento constitucional de Blbao para sus gastos municipales. me , para que se le concediese carta de ciudadano. La comis.on opi Otro sobre que te autorice i la diputación provincial de Soria para naba que podía accederse á ella. Aprobado. p…</t>
  </si>
  <si>
    <t>Onvar</t>
  </si>
  <si>
    <t>…de cada pais, y la mayor ó menor ext ns.on de sus ter en vez d; adoptarse lo que proponía la comisión. ritorios; pero iguales en valor, con tal de que ni excedan de las t.erras El Sr. Onvar contestó que este camino seria muy embarazoso,/ necesarias para que regularmente cultivadas purda mantenerse con sus qu: no había otro mas sencillo que el que ptoponia la comisión. productos una familia agricultor! de cinco pnonas, ni se reduzcan á Ei Sr. Góm…</t>
  </si>
  <si>
    <t>Ooís, Luis de</t>
  </si>
  <si>
    <t>Luis de Ooís</t>
  </si>
  <si>
    <t>…e América, que dieron mot vo al tratado de 1819 , con una y la cuarta parte resume en inscripciones del gran libro; y habiendo p**: noticia sobre la estadística de aquel pais. Por D. Luis de Ooís , ministro decido en rsto una equivocación los taquígrafos , avisa dicho Sr. Canga p -nipot octano que fue cerca de aquella república. Parte 1.* y »■* en ao haber sido S. S. de los que firmaron dicha proposición, la cual rt dos tomos: se v-nde en la imprenta…</t>
  </si>
  <si>
    <t>Oorostidi</t>
  </si>
  <si>
    <t>…sponibles existentes en ella con al mismo «•Hoy salgo de esta, dividiendo la columna,! perseguir nueva men objeto. Estas previdencias, ¡as que he dictado ya por mi parta pan as el cura Oorostidi, que me dicen se halla reuniendo su gavilla. que si osasen presentarse en esta provincia acto rechizad^, y las que • Dios guarde 4 V. S. muchos afios. Obste 6 de Agosto de t8as. habrá tomado el gefe político de la provincia de Málaga, á que perte =Gaspar da J…</t>
  </si>
  <si>
    <t>Oóver</t>
  </si>
  <si>
    <t>…en consideración rste clarar por sí debidamente sobre un asunto que admite dudas ega-es, gr.tv s:mo negocio: yo veo que s- p ie una irso uc-on s n attt-crd- rte* como ha dicho el Sr. Oóver que el Congreso necesita res - v.-r 1 Pero st brr a matrr a; pero como e, obj to principa1 -s tratar rUi fuete del ya este asunto no admite dudas ; están resueltas por el Gobierno , las Sr. Garel y, digo que sobre este particular la Con, t tu. on y ias !-ye*…</t>
  </si>
  <si>
    <t>…iendo lo que ya he dicho antes, á saber, que timarse corno contraria á la Constitución y a las leyes vigentes. aunque conozco que hay algunos inconvenientes en que se adopte la Kt Sr. Oóver: No puedo menos de extrañar que conociendo la co modificación que propongo al acuerdo de las Cortes sobre esta materia, misión la tx stencia del mal, y de los inconvenientes que hay en este esto es menos malo que el que un conspirador se pasee libremente. asu…</t>
  </si>
  <si>
    <t>Operación, Benito Sán</t>
  </si>
  <si>
    <t>Benito Sán Operación</t>
  </si>
  <si>
    <t>…o para que le colocase según sus me ajustase. recimientos. Aprobado. 4.° Para dejar al Gobierno en absoluta independencia para esta La misma comisión, en vista de la exposición de D. Benito Sán Operación , y que pueda atender 4 sus obligaciones perentorias, se le chez Pando, tmiente retirado dei regimiento de Asturias, para que en autorizará para negociar con otras casas nacionales ó extrangeras la su ar-ncon ■ sus servicios se le habilitase paraobt ner algún…</t>
  </si>
  <si>
    <t>Opero</t>
  </si>
  <si>
    <t>…cualquiera da los casos expresados en el párrafo a.° del artícu Partida de que habia hablado el Sr. Toreno. lo 162 y en el 187 de la misma Constitución, sufrirá la pena de tra El Sr. Opero dijo que en el artículo veia dos partes, en la segun bajos perpetuos.” Aprobado. da de las cuales convenía, pero no en la primen. La primera parta CAPITULO III. que decía: * Todo el que conspirare directamente y de hecho i esta blecer otra religión en las Esp…</t>
  </si>
  <si>
    <t>…riódicos de París, que alcanzan hasta dicho día , no traen No se admitió i discusión. aun la sesión del 26; de la del 25 resulta haber quedado aprobado el Se leyó la siguiente del Sr. Opero: » Que se remita oficio al Go art. i.° de dicho proyecto de ley , después de escenas bien ruidosas y bierno para que inmediatamente se presente á infotrnar á las Cort 1 &lt;k de alborotos nada decentes. Tal vez el 26 acabaría de aprobarse el res las ocurrencias…</t>
  </si>
  <si>
    <t>Opima, Carlos</t>
  </si>
  <si>
    <t>Carlos Opima</t>
  </si>
  <si>
    <t>…para mayor claridad del articule. al Gobierno para que lo tomase en consideración Aprobado. Se aprobó en seguida el articulo en los términos indicados. Otro sobre la instancia de D. Carlos Opima, para que eo atención Art. 19. «Tampoco se admitirá ningún cadete en lo sucesivo.” á sus servicios se le recomendase al Gob.etno, a fia de que le co oca-e le retiró la comisión. en un destín, adecuado á sus circunstancias: la com-sion era de pare Art. so. « N…</t>
  </si>
  <si>
    <t>Opino, Zulu-n</t>
  </si>
  <si>
    <t>Zulu-n Opino</t>
  </si>
  <si>
    <t>…os ción ó ñesta completa. Aprobado. y baldíos. Cmihitucion ¡ubrt el lujo. Se levantó la sesión á las cuatro menos cuarto. Por cada coche corriente pan el uso parí,calar 300 rs. El Sr. Zulu-n Opino que d'baria cargarse mis porcada coche. ARTICULO DE OFICIO. El ¡sr. Navarro manifestó qu: las contribuciones cuanto mas peque El Sr. secretario del Despacho de la Gobernación de Ultramar dice ñas eran po rlnc'.jn mo; y que cargándose solo 30011. por cada coch…</t>
  </si>
  <si>
    <t>Ora</t>
  </si>
  <si>
    <t>…es navarcíenes , y ya no encontramos a faccio rándose hacia Losa , mientras que est3 se reunía con «ira de mas fuer so alguno por mas qu: recorrimos tas montañas. za ,al mando del comandante Ora* , azote de Mer.no, destacado sobre Barcd/Ua 7 Je Liinemtrr, el camino de Brivi.-sca para observar movimientos, proteger el convoy, Con fecha 24 del pasado escr.ben de l ortos» lo que *¡?ue : y esperar en todo caso según mejor conviniese. » Anteayer y entre 1…</t>
  </si>
  <si>
    <t>Ora, Marcelino</t>
  </si>
  <si>
    <t>Marcelino Ora</t>
  </si>
  <si>
    <t>…trata no es cierta, porque de ral recomienda muy perticularmeme al comandante del segundo bstabe tenerse presente que en el primer articulo se establece una regla llon de Granada D. Marcelino Ora , al alférez de Sagunto D. Ra respecto de los empleados que cu lo sucesivo tengan ias diputaciones món Cotres , al de igual clase de Lusitania D. Bartolomé Salvador , al provinciales, y ahora se trata en el art. 164 de los empleados que ac sargento segundo de…</t>
  </si>
  <si>
    <t>Oraá</t>
  </si>
  <si>
    <t>…ntado el deseo de encontrar leve concusión de posta y sableen dos caballos de Lusilania. n. alguna salida. Los turcos en nada ceden ¡ y para con estos buharos son presado teniente coronel Oraá asegura que todos ios individuos r_ , perdidas todas las disposiciones suaves de U diplomacia. Ai considerar columna de su mando han empleado la» virtudes militares que pcs:rn todo esto puede vena muy bien que cl congreso no será fértil en resul con la mayor…</t>
  </si>
  <si>
    <t>Oraá, Marcelino</t>
  </si>
  <si>
    <t>Marcelino Oraá</t>
  </si>
  <si>
    <t>…de C .rabanchel y de la actual traslada al Exento. Sr. ministro de la Guerra ei parte que le ha marquesa de Valcerrada , á poniente con el camino de Rodajot, y á dado el teniente coronel D. Marcelino Oraá, comandante de la co norte con tierras de varias comunidades y particulares; cuya viña se lumna móvil de infantería y caballería destinada á la destrucción del compone de 13,873 cepas vivas y 7840 marras , que contadas dos por rebelde Merino, de la* ventajas…</t>
  </si>
  <si>
    <t>Orases</t>
  </si>
  <si>
    <t>…ba lo pro por sustituto de tal pueblo, partido y provincia, en tal pusbfo, de puesto por el Sr. Romero. tal partido y provincia, en tal día , mes y año; se le leyeron las penas El Sr. Orases apoyó el artículo, manifestando que no era general la ue previene ía ordenanza; se le abollan en su caso un año por dos que instrucción de los milicianos en los pueblos cortos, pues en algunos no a servido en provincia en la milicia activa , y por entero el q…</t>
  </si>
  <si>
    <t>Orbe, Juan</t>
  </si>
  <si>
    <t>Juan Orbe</t>
  </si>
  <si>
    <t>…agata española ConiLiur/.s, capitán D. Antonio Mancebo, con la madre patria nunca negó 4 sus b jos extraviados : tiempo es ya , se carga de azúcar y café. Fragata española Union , capitán D. Juan Orbe, gún tnos, que conozcáis vuestro engaño y la perfidia de los que os con con azúcar, añil y 6o9 p.sos fuertes. Fragata española Fama Catala- ducen á vuestra ruina, errantes por los campos vuestras personas y na, cap tan D. Josef Ferrer y Roig , con azúcar , ta…</t>
  </si>
  <si>
    <t>Ordnfia, Jaime Gil</t>
  </si>
  <si>
    <t>Jaime Gil Ordnfia</t>
  </si>
  <si>
    <t>…orenzo Villaalguna contra esta elección. nueva, D. Vicente Navarros D. Bernardo Falcó, D. Manuel Beltran El Sr. Galiano manifestó que debía observarse á la letra la Consti de Lis, D. Jaime Gil Ordnfia, D. Juan Rico y D. Francisco Belda y tución respecto de lo que previene en este asunto, no habiendo nada Asentio, en los cuales no babia ninguna dificultad: los del Sr. D. Caye mas propio en el Congreso que cerrar las puertas á todas las personas tano Valdés,…</t>
  </si>
  <si>
    <t>Ordofiez</t>
  </si>
  <si>
    <t>…, con las armas en la ma te columna, mandada por el gefe político de -aquella provincia, se diri no, y como me 1: presentaron vivo, ha sido preciso formarle causa, gía á Ronda. El coronel Ordofiez pasaba á Alíjate , y las demas fuerzas que concluida pasaré á manos de V. S., 4 fin de que reciba el justo cas de la columna de Algeciras tomaban el camino de Cortes, Gausin y tigo á que es acreedor. Mañana se colocará con toda solemnidad en es otros pueblos…</t>
  </si>
  <si>
    <t>…particular , pública y 10 caballos de la M. N. de esta arma, para que unidos marchen i in militar del general Soublette. El batallón de Eocaya ha sufrido mucho, corporarse con el coronel Ordofiez, recorriendo al paso los sitios en y muy pocos han escapado.” donde pu-dan h»b‘r buscado asilo ¡os infame» disperses ,y con el obje t.xtracto de cartas particulares. to de r-poner la falla, si la habido, de lo» caballos de bant.ago qu* La* de sugetos respetab…</t>
  </si>
  <si>
    <t>…y sir Gordon con el mi se refiere que en el ataque que sufrió la partida de Zildivar por la va nistro de Estado de una gran potencia, de cuyas rau tas habían despaliente tropa de! coronel Ordofiez se advirtió que en el campo de ba chado aquellos un correo á Londres—Parece que el proyecto d: for talla rodaban algunos vasos sagrados, que aquellos infames habían sa mar en Italia una confederación de Principes bajo la protección del crilegamente robado, U…</t>
  </si>
  <si>
    <t>Ordofiez, Antonio</t>
  </si>
  <si>
    <t>Antonio Ordofiez</t>
  </si>
  <si>
    <t>…cita al cuerpo diplomático, formado en el día gefe de la columna, y el segundo del mayor encargado de su detall. por D. Tomis Godoy y Cruz , representante de Mendoza, D. Miguel El coronel D. Antonio Ordofiez con las tropas de su mando, que se Zafiartu, plenipotenciario de Chile, D. Juan M. Foibes, agente de hallan en Gausin y Casares, deben reunirse i la mencionada columna, los Estados-Unidos, D. Juan García del Rio y D. Diego Paroissien, y operar según lo determ…</t>
  </si>
  <si>
    <t>…e participarme una nueva tan halagüeña. esta fecha. ’• La p qu-fia columna, al mando del dignísimo y bizarro coionel De Real orden lo comun-co á V. S. para que dispon?a su puntual D. Antonio Ordofiez, ha correspondido completamente á las esperan cumplimiento. Madrid 3 de Octubre de 1822. zas qu’ en mi oficio de ayer manifestaba a V. E. tenia fundadas en El Gobierno ha recibido los partes siguientes. eüa, per 'a calidad de ias tropas de que se coniponia, y…</t>
  </si>
  <si>
    <t>Ordoñ.z</t>
  </si>
  <si>
    <t>…todos los tambores, pífanos , cornetas y trompetas dei Migue; Sausa, y 1 challes igua ni.-nte herido . regimiento, batallón ó escuadrones respectivos, quienes te estarán sub •» El coronel Ordoñ.z elogia el valor y serenidad del ayudante se ordinados , y le obedecnn en todos los actos de! servicio. gundo de estado mayor e! capitán D. francisco Ruiz, el de caba Art. i.° «Obedecerá desde &lt;1 subteniente á todos los oGciales su llería D- Migu'1 Armendariz,…</t>
  </si>
  <si>
    <t>Ordoñez</t>
  </si>
  <si>
    <t>…le Constitución , á la libertad &amp;c.; 1 doseles su causa. El cura y el alcalde de B.-naojan han sido presos por cuyas voces correspondía el entusiasmado c inmenso pueblo que lo» el comandante Ordoñez por haberle tratado de engañar sobre las noti acompañaba. Continuaron su marcha al muelle, y se embarcaron i las cias que les pedia del paradero de los facciosos. Dicho comandante sé 'doce del dia, en medio de las aclamaciones de todos tus conciudadanos, enco…</t>
  </si>
  <si>
    <t>Ordovás, Juan</t>
  </si>
  <si>
    <t>Juan Ordovás</t>
  </si>
  <si>
    <t>…ncia correspondientes al segundo Decimotercio distrito. Para comandante general de él al mariscal distrito. Para la de Lugo al brigadier D. Francisco Moreda, actual ge le de campo D. Juan Ordovás, que desempeña en propiedad la coman político de Aragón. Para la de Orense al mariscal de campo D. An dancia general de Canarias. tonio Kosclló, actual gobernador de la plaza de Pamplona. Para la Comandancias subalternas de provincia correspondientes al decim…</t>
  </si>
  <si>
    <t>Ordtiúa, Crisóitomo Gct.zaiez de</t>
  </si>
  <si>
    <t>Crisóitomo Gct.zaiez de Ordtiúa</t>
  </si>
  <si>
    <t>…ales de los pueblos pu l4t comisión primera Eclesiástica , informando sobre una exposición diesen rebajar las patentes , no pasando esta rebaja de una tercera paite del presbítero D. Crisóitomo Gct.zaiez de Ordtiúa , para que se le per de las cuotas asignadas en las tarifas, y dardo cuenta al Gobierno, mitiese permutar un beneficio que posee en el obispado de Cuenca con Fue apiobado después de una ligera discusión. el curato de S. Vicente, distante tres leguas de A.burq…</t>
  </si>
  <si>
    <t>Ordufia</t>
  </si>
  <si>
    <t>…memorias de loa secretarios del Despacho. Otra del mismo, relativa al modo de cobrar el derecho de patentes. 81 "r. Gómez D. Alvaro) dijo qu* el objeto de Is comisión qw Otra det Sr. Ordufia, relativa á que teniendo entendido que en los Babia propu-sto era el que tenían la* damas, esto es, dirigía la marcha seminar ios conciliares de Teruel, Aibamcia, Tarazón* y otros, ao se de lo* negocio* en la legislatura que te empezaba; luego ao se trataba e…</t>
  </si>
  <si>
    <t>…materia so gislatura. bre que dan su dictamen, á fin de que proceda el Congreso con la Se mandó pasar á la comisión de Instrucción pública una proposi debida iliutmc'on. ción del Sr. Ordufia, leida por primera vez en la sesión de 1 del corEl r. Seoaec contestó que si bien los individuos de la comisión tenían fíente, acerca de los motivos que puede haber habido para no variar los la facultad de exponer los fundamentos de tu dictamen, no les imponí…</t>
  </si>
  <si>
    <t>…ra del dictamen de la Emrrt -tito na.-ion.ti de 40 rt-.’i.re:. comisión , y manifestó entre otras cosas que el artículo que se discutía no tenia relación con las proposiciones del Sr. Ordufia , sebre las cua Deseindo los Sres. de la junt» nombrada por S. M. para b nego ciación del préstamo de 40 millones de rs. llenar ,us oeb.ve, , ar ules debía recaer el dictamen. El Sr. Orduña dijo que debía contestar al Sr. preopinante , tanto co los Sres. acci…</t>
  </si>
  <si>
    <t>…, en vista da la* cuales proponía á la deliberación de y convenido con ellos todo lo conducente. En ambos teatros al apro- laa Cortes el artículo siguiente en virtud de adición dd Sr. Ordufia. zümarte el carnaval, y durante él, se concedieran y han dado diferen Art. a.° « Desde abosa se prohíbe á le* ayuntamiento* toda cuesta tes bailes, en que te han admitido máscaras, y uno en el principal la ción en los pueblos y en d campo con objeto de subven…</t>
  </si>
  <si>
    <t>…que me digan qué documentos se han presentado por el Gobierno para S, Ginés , la del Espíritu Santo Scc. que se pueda asegurar esta aserción. Y si no resulta legalmente confir El Sr. Ordufia dijo que debería hacerse extensiva también á los mada , ; para qué se pronuncian estas expresiones , echando un borron conventos , siendo responsables los prelados. acbre esta dignísima clase del Estado 1 Si hay alguno que abuse de su Quedó aprobada en seguid…</t>
  </si>
  <si>
    <t>Ordufia, Gil</t>
  </si>
  <si>
    <t>Gil Ordufia</t>
  </si>
  <si>
    <t>…ría haber propuesto únicamente que los ordinarios te abstuviesen da de 4500 almas, y por el mínimum de *500. conferir órdenes. Por lo demás (continuó) parece que se trata de de El Sr. Gil Ordufia: Los procuradores del Rey que asistieron i las rogar lep» que existen respecto de algunas diócesis, como son las de Cortes celebradas en Madrid el afio de 1633 en la memoria que pre Burgos, Palensia, Calahorra y Mallorca, en cuanto i la provisión de sentaron…</t>
  </si>
  <si>
    <t>…bre las proposiciones de los Sres. Ordufia y Velasco, rela referida. tivas á la residencia de los que obtienen beneficios eclesiásticos. La co Se leyó la siguiente proposición del Sr. Gil Ordufia: » Pido qoe el misión Iss aprobaba , y se mandaron quedar sobre la mesa. tiempo de que trau la proposición del Sr. Sobaron sea el preciso de tres Otro sobre una exposición de los curas de Ecija, pidiendo se au días.” Aprobado. mentasen las parroqutas de aquel…</t>
  </si>
  <si>
    <t>…do medio y voluntad de el artícu o; y asi que bastaba el fijar una vez ai mes, dejando á dis hacerlos. posición del coronel el que los reuniera para que los párrocos castrenses El Sr. Gil Ordufia pidió que M leyese el decreto de ó de Noviem llenasen su ministerio. bre de 1801, por el cual te prohíbe i los capellanes de los regimien Declarado el punto suficientemente discutido, quedó aprobado el tos la exacción de los derecho* de estola : en seguida ma…</t>
  </si>
  <si>
    <t>Ordufia, Jaime Gil</t>
  </si>
  <si>
    <t>Jaime Gil Ordufia</t>
  </si>
  <si>
    <t>…D. Francisco Javier Isturíz, &gt;0 de i8só, que se halla vigente. D. Miguel Busutil, D. Juan Josef Sánchez, D. Ramón Busafia, Don Se leyó el artículo de dicha cédula. Josef Taboada y D. Jaime Gil Ordufia. A petición de un sr. diputado se leyó el oficio pasado por la secre Se nombró para la comisión segunda de Hacienda á los Sres. Sán taría de las Cortesen 14 del actual al ministerio de la Guerra, en que chez (D. Juan Josef ) , Mura, Busutil, Torner, Zulueta,…</t>
  </si>
  <si>
    <t>Ordufla, Jaime Gil</t>
  </si>
  <si>
    <t>Jaime Gil Ordufla</t>
  </si>
  <si>
    <t>…lado» para caminos La comisión de Visita del Crédito público habiéndote enterado del ae destinen exclusivamentepara este objeto, y sin que por ningún moti expediente promovido por D. Jaime Gil Ordufla , teniente da vicario vo se eche mano de ellos para otro alguno, tiendo extensva esta dis g.neral de los ejércitos nacionales, para que te le permita capitalizar posición al ramo de canales, opinaba que debía llevarse á efecto lo que una pensión que le conced…</t>
  </si>
  <si>
    <t>Ordulia, Gil de</t>
  </si>
  <si>
    <t>Gil de Ordulia</t>
  </si>
  <si>
    <t>…pláticas al tiempo de hacia en la parroquia respectiva; pero cuando se casa con la hija de una hora cuando mas.” otro militar, entonces no se podía hacer en ninguna parroquia. El Sr. Gil de Ordulia manifestó que era preciso recomendar mucho El Sr Alix manifestó que no se oponía á que se consignasen loa a los párrocos castrenses de los regimientos que predicasen con frecuen actos da que te trataba en los libros respectivos, tanto mas cuanto que cia sobre…</t>
  </si>
  <si>
    <t>Orduña</t>
  </si>
  <si>
    <t>…, sebre las cua Deseindo los Sres. de la junt» nombrada por S. M. para b nego ciación del préstamo de 40 millones de rs. llenar ,us oeb.ve, , ar ules debía recaer el dictamen. El Sr. Orduña dijo que debía contestar al Sr. preopinante , tanto co los Sres. accionistas que no han concurrido a cobrar sus cap tale* v ré mo autor de las proposiciones de que se habia tratado, coiuo por ser in ditos vencidos , hace ya tiempo, !o verifiquen en el termino…</t>
  </si>
  <si>
    <t>…e los derechos en les mismos término* que propuso la comisión especial vienen los decretos de Coates.” de Hacienda de la legislatura anterior , opinaba que asi podía acordarse. El Sr. Orduña, como autor de las proposiciones, apoy■&lt; 1 el dictamen Se leyó en seguida el dictamen de la anterior comisión, en el cual de la comisión con varias c bservacloncs temada, de la ratural.zi y ca se proponía se pagase la mitad de los diezmos y primicias según la…</t>
  </si>
  <si>
    <t>Orduña, Gil</t>
  </si>
  <si>
    <t>Gil Orduña</t>
  </si>
  <si>
    <t>…iere duda sobre la naturaleza de algunas pres Se leyeron por primera vez las siguientes proposiciones: taciones para declararlas comprendidas en el art. l.° o en el i.'’ de es Del Sr. Gil Orduña : *» Pido á las Cortes se sirvan decretar que los ta ley, se observarán las reglas siguientes. Las prestaciones de s rvicio M. RR. arzobispos y RR. obispos se abstengan de ordenar bajo nin personal y las reales que sean iguales en todos los vecinos de un pue…</t>
  </si>
  <si>
    <t>…rá al expediente el curso que corresponda. Se aprobó después de una ligera discusión la siguiente proposición Compendio critico de la historia de Hspafia y de la cronología de del Sr. Gil Orduña: » Siendo repetidas Us quejas y reclamaciones de todos sus Reyes y dominadores desde el diluvio acá: un cuaderno cu las provincias sobre la inobservancia de la circular del ministerio de 4° Se vende á 4 rs. en las librerías de Matute y Rodríguez. EN LA IMPREN…</t>
  </si>
  <si>
    <t>…La misma , en vista de ia instancia de D. Manuel Prover , principal Sé'continuó la disensión pendiente sobra «I dictamen de la comi sión Eclesiástica acerca de la preposición del Sr. Gil Orduña. de la casa de comercio de Santiago titulada de Josef Atuires Úara'a y El Sr. Falcó: Es indudable que por rleones de pública Convenien Compañía sobre que se le perdonasen lot derechos que ahora adeudaba una partida de lín &gt; en rama cargada (en tiempo que nada…</t>
  </si>
  <si>
    <t>…que en efecto era muy frecuente el haber i&gt;e hizo la primera lectura de las preposiciones siguientes. suministrado los pueblos mas de lo que valían; y para esto apelaba á Una del Sr. Gil Orduña, relativa a que se sirran las Cortes decre cuantos hubiesen visto los sacrificios que habían hecho los pueblos en tar que en lo sucesivo la Nación no reconoce otros patronos para la la pasada guerra. presentación de beneficios eclesiásticos sin» al Rey, con a…</t>
  </si>
  <si>
    <t>Orduña, Jaime Gil</t>
  </si>
  <si>
    <t>Jaime Gil Orduña</t>
  </si>
  <si>
    <t>…ueva, D. Juan Rico, to* contra 44. D. Javier Isturiz, D. Juan Josef Sánchez, D. Ramón Busaña, D. Jo Los Srei. que aprobaron fueron los siguientes: Salvé, Prat, Saave- sef Taboada, D. Jaime Gil Orduña, D. Miguel Busutil, D. Pedro dra, Buruaga, Domenech, Luque, Sierra, Pumarejo, Infante, Ruiz Alvarez y Gutiérrez y D. Dionisio Valdés, para proceder con arre de la Vega, Somoza, Llórente, Rojo, Roset, Riego, Orduña, Rico, glo á la ley de libertad de imprenta y…</t>
  </si>
  <si>
    <t>Orduñi, María</t>
  </si>
  <si>
    <t>María Orduñi</t>
  </si>
  <si>
    <t>…escuela, su dotación 2650 rs. id.— ciones que están á cargo de la referida junta. Valdcganga: 317 vecinos, una escuela , su dotación aaoo rt. id.—Ca Se desea saber el paradero da Doña María Orduñi de la Cuesa, tas de Juan Nufiez: 145 vecinos , una escuela, su dotación 1Ó30 rs. vecina de Valencia, a quien se suplica que por sí ó por tu apoderado id.—Casas de Beés: ja a vecinos , una escuela , su dotación 3300 rs. id. acuda á los Sres. D. Roberto \Vhiti,…</t>
  </si>
  <si>
    <t>Ordur.x</t>
  </si>
  <si>
    <t>…las d.mas quí im- pago de las cantidades que aJeudan de señoríos. po.diilitan !a prrv 'M de ser diputado. En este caso creo que ¡a cues S: levó por segunda vez la ptj¡v.»c on del Sr. Ordur.x , para qu» tión está decidida , y que se debe aprobar ei coto del Sr. Homero. los KK. obispos y arzob spos no ordenen ha»ta qu: el Congreso huya Mi Sr. Adan : 1.a comparación que ha hecho el Sr. Argii.-iics me pa decretado el número de c.crigos que ha de habe…</t>
  </si>
  <si>
    <t>Orduúa, Jaime Gil</t>
  </si>
  <si>
    <t>Jaime Gil Orduúa</t>
  </si>
  <si>
    <t>…soii. cobra actualmente por no habérsela comprendido en la lista de las p;n- tud, v que debe permitirse el repartimiento. Aprobado. aionadas, suponiendo que era difunta; y otra de D. Jaime Gil Orduúa, Otn sobre el expediente promovido por e! ayuntamiento de Bar1— jnz, para que se le p--mita la enagenacion de varias fincas de p: ■ p. ,, para que se le capitalice una pensión que disfruta. Se dió cuenta de una exposición de D. iantiago Piñeito , capitán con…</t>
  </si>
  <si>
    <t>Orejero, Antonio</t>
  </si>
  <si>
    <t>Antonio Orejero</t>
  </si>
  <si>
    <t>…a, pues que había en la que manifestaban sus servicios , y pedían se les recompensas: con tomado algunas medidas preventivas. Concluyó apoyando el pensamien una pensión, y otra de D. Antonio Orejero para que se le continúe to del Sr. Castejon , bien fuese que se nombrase una comisión especial, pagando una pensión de 8 rs. diarios que le concedió la junta de ó que se encargase el examen de este asunto á la que está ya nombrada. Galicia. El Sr. Seoane dijo…</t>
  </si>
  <si>
    <t>Orejuela, Josef</t>
  </si>
  <si>
    <t>Josef Orejuela</t>
  </si>
  <si>
    <t>…da en la derecha de loa idem. D. Eusebío Alvarez, idem. D. Simón Gircfa; ídem. D. Juan granaderos' del mismo, defendiendo el boquete de la calle de la Sal, y Antonio Maruri, idem. D. Josef Orejuela , idem. D Máximo B=n¡las dos entradas del cuartelillo i corto también lá de la calle de Bote sia., i.dem, paisano. D. Hermenegildo Romeral , idem. ros: la sexta se hallaba situada en el museo militar de artillería pa Segunda. Milicianos, D; Miguel Ocejo ; con…</t>
  </si>
  <si>
    <t>Orellana, Esteban Antonio de</t>
  </si>
  <si>
    <t>Esteban Antonio de Orellana</t>
  </si>
  <si>
    <t>…ados de las conferencias que a esto te aigute- No habiendo podido resolver les acreedores al abintestato del Timo. ron. En cuanto á mí, luego que hubo vuelto de palacio Pinto y me Sr. D. Esteban Antonio de Orellana las pretensiones pendientes en la enteró de las buenas disposiciones y deseos de S. M. y de los de V. E. junta celebrada el dia *3 de Junio anterior por el corto núm-ro que para que cesasen los horrores en que nos hallábamos envueltos, dí laa Concurrió , á su…</t>
  </si>
  <si>
    <t>Orfen, Rafael</t>
  </si>
  <si>
    <t>Rafael Orfen</t>
  </si>
  <si>
    <t>…, y lot cuales opinaba podían concederse cartas de ciudadano á D. Ramón que esto no podía menos de ser principio de una conspiración muy Pada, D. Marcelo Espinóla, D. León Menudo, D. Rafael Orfen , Don meditada, y empezada ya i poner en egecucion, precisamente en los Antonio Gustaman, D. Narciso Mataolivas , D. Sebastian Cortijo, dias que han dé preceder al sorteo para el reemplazo del egército en es IX Bartolomé Solano, D. Luis Bassecourt, D. Fernand…</t>
  </si>
  <si>
    <t>Orfita, Pedro</t>
  </si>
  <si>
    <t>Pedro Orfita</t>
  </si>
  <si>
    <t>…viveza desde las c;n=r» de la mañana hasta las dos de la tarde. de esperar que se consolidarán sus negocios no solo en el Peloponeso Ilabia en la Suda un capitán español, llamado D. Pedro Orfita, co y la Tesalia, sino también en la Livadia y la Albania. mandante de la corbeta española la Combinación, que hacia poco tiem En Oriente, en donde por lo general se cree en la predestinación, po que había venido de Alejandría con un cargamento de provisiones…</t>
  </si>
  <si>
    <t>Orinaga, Andrés</t>
  </si>
  <si>
    <t>Andrés Orinaga</t>
  </si>
  <si>
    <t>…astels, D. Higinio Antonio Lorente, D. Aniceto Lirana, Contaduría general de D. Manuel Esteban Caíala , D. Gaspar Aguilera , D. Rafael Coala, Cuentas....................... 29,050 D. Andrés Orinaga, D. Jaime Ruiz Abreu y D. Lorenzo Lambes. 8i,4o£ Habida la conferencia, resultó por mayoría no haber lugar á laIdem de intervención... 5&gt;,i'94 y DonDepositaría..................... . 9,880 formación de causa, disintiendo los Sres. D. Lorenzo 1hr» Geipar Aguil…</t>
  </si>
  <si>
    <t>Orinaga, Andrés Martínez</t>
  </si>
  <si>
    <t>Andrés Martínez Orinaga</t>
  </si>
  <si>
    <t>…ado á V. para su inteligencia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Sebastian de Andrés. último me dicen lo que sigue: Habida la conferencia se declaró por siete voto» no haber lugar 4 -…</t>
  </si>
  <si>
    <t>Oriol, Josef</t>
  </si>
  <si>
    <t>Josef Oriol</t>
  </si>
  <si>
    <t>…aran las banda» militares,alternando en y se cont.r.úa la marcha con el mayor entusiasmo: dos compañías de tre sí todas tas de los cuerpos. tita cuerpo á cargo de los subtenientes D. Josef Oriol y D. Ignacio 13. Concluido este acto, si formará una columna en masa como el Aib.-rt, y el destacamento de Logroño al mando del teniente coronel Dos de Mayo, y desfi'arsn toda» las tropas por el sa.on , caricia de han D. Manuel Diez Marín, son destinados por el gefe de la…</t>
  </si>
  <si>
    <t>Orliz, Josef</t>
  </si>
  <si>
    <t>Josef Orliz</t>
  </si>
  <si>
    <t>…ndante supernumera tán d-l regimiento infantería de Vitoria, id. rio del regirme oto mlánt-ría Oe Alrica, id. Alcalá á D. Joaquín Henriquez, mayor comandante supernume P'l tic a á D. Josef Orliz, ci'tninúar.t* de infantería y sargento rario del bala! on ligno prim.ro de Voluntarios de \ragon, ¡&lt;t. mayor de li m-t c-i aci.ra de inmpostna (Ferrol), id. Alcañiz i I). Ptbto Vi;a, espitan graduado tic teniente coronel Pamplona i D. Tiburck Zanzrza, espita…</t>
  </si>
  <si>
    <t>Orlos</t>
  </si>
  <si>
    <t>…ha clamado contra la excesiva extracción de dinenrijjue te hacia ria romana no están descmpclteds» par españoles: por rriniignirma coa para Roma, leeré uné representacion hecha al Sr. D. Orlos ur por arreglo al art. 4.* de esta misma ley te baca necesario ó pagar por aran un vecino de Carmona, á quien se exigieron a00 escudo» por la bula cel los derechos dé estos individuos, ó dotarlos da un modo que pue de una pensión eclestística que había obteni…</t>
  </si>
  <si>
    <t>Orlow</t>
  </si>
  <si>
    <t>…rvancia di ia Cent :uc on pegército , á destinar algunas tropas contra la división Orlcv, y á desar tica de la Monarquía española , asi como con ¡a d ,c o -r., .o» . . ■ maría. El conde Orlow fue desterrado y confinado á casa de su suegro tingue, acreditareis que con soldado* de tales virtudes r. &gt; -.ay r,;: -ia el conde Raj w,ky , gobernador de Kicw ; y el mayor y muchos ofi que no se ctnsiga. C.011 esta conducta o» granjeares i¡ apr . o i &gt;í&gt;cia…</t>
  </si>
  <si>
    <t>Ornp'ubi, Antonio</t>
  </si>
  <si>
    <t>Antonio Ornp'ubi</t>
  </si>
  <si>
    <t>…cciosos quien J egó á matar los en.m g is cm su sable , y la co.nniñ-1 de vo en crecido número; que arjiun ya los arrabales, y que iban á concluir luntar os~del partido , al de su teniente D. Antonio Ornp'ubi . sabelas municiones, al piso que ios enemigos se aproximaban mas y mas, ron nm.d atam -nt; dil pu-b'o , V con el arrojo y decisión qer !:s sen preparándose al asalto: en este estado no pude menos de recutrir ai su prop os se hicieron dueños sin ca»i hacer fu…</t>
  </si>
  <si>
    <t>Oro</t>
  </si>
  <si>
    <t>…A DE MADRID. MARTES i* DE OCTUBRE DE i8»a. NOTICIAS DE ESPAÑA. operación el cabecilla Romanillos con fuerzas considerables atacó el Barcelona iff de Setiembre. punto que cubría el comandante Oro, lo* cuales impávidamente a* En nuestros periódicos te publican lat siguiente* noticia*: arrojaron fi la bayoneta sobie los perversos, haciéndoles reinar , hasta Sabemos oficialmente que el general Mina llegó á Cerrera el 14 al que alcanzados estos por la cab…</t>
  </si>
  <si>
    <t>Oro, Antonio</t>
  </si>
  <si>
    <t>Antonio Oro</t>
  </si>
  <si>
    <t>…entonces el Emperador Alejandro, qutn an vento, con cuvo mol vo s - d tuvo en part: el alaju:, pu s el bizarro tes iba á Varsovia á ta apertura de la Dieta; pero no se sabia si el comandante D. Antonio Oro tuvo que acceder á detener al enemigo, Rey de Prusia asistiría al Corgreo, »»por ser de un interés secundar.© como en rfect» o detuvo, y io batió; y h b en lo prevenido ai valiente para la Prusia los asuntos de Italia y del Oriente.” No falla quien di coronel…</t>
  </si>
  <si>
    <t>Orquiola, Andrés Ignacio</t>
  </si>
  <si>
    <t>Andrés Ignacio Orquiola</t>
  </si>
  <si>
    <t>…tarde, sal El 13 por lo ma&amp;sna llegaron i Elgoiber unos 30 de lo* dispersos, te tona partida de 30 provinciales de Sa'amanca y :o vo'untarlt» «te esta* apoderaron del cura párroco D. Andrés Ignacio Orquiola, &gt; d I alcal Ciodtfc? en pert'tuoon de :o faccioso» qu* pat.ee vacan en Orr o v su. de, de su hermano 7 del sindico; 7 después de llevarlos can. 1 o «lo inmediac ones; serán s¡n duda ios nvsrtio, pr&gt; fuer» que , según debamos Marquisa , los soltaron, na dudo…</t>
  </si>
  <si>
    <t>Orrisn, Raimundo</t>
  </si>
  <si>
    <t>Raimundo Orrisn</t>
  </si>
  <si>
    <t>…el voto particular. proponía para este destino á D. Juan María Pardo y Quirogs , consul Se leyeron y mandaron pasar á Ja comisión tres adiciones: una dd tor dal Crédito público, á D. Raimundo Orrisn, intendente de egér- Sr- Ojero; otra del Sr. Ferrer , y otra del Sr. Lagssca. cito y director de rentas, y i D. Ramón Bango, antiguo oficial mayor Se leyeron y hallaron conformes varia* minutas de decreto, y te de la consolidación de este ramos y habiéndose p…</t>
  </si>
  <si>
    <t>Orrit, Mariano</t>
  </si>
  <si>
    <t>Mariano Orrit</t>
  </si>
  <si>
    <t>…da en Carbonell, D. Joaquín f:;ri, D. Sebastian Bal!las , D. Remigio Cruz, qua el resultado de ellas es que el partido ultra francés, qu* tanta pre- D. Joaquín Satz de Qumtaniüa , D. Mariano Orrit y D. Vicznte Azpondsrancia ha sabido arrogarse, toma muchas medidas que pudieran su nar, dtspucs de haber examinado el artículo comunicado ins'ito en el ponerse 'no estar aa la esfera de una mera precaución. Bayona presenta Diario it id de Octnbro ájimo, que empoza: •&gt; Un patriota sin…</t>
  </si>
  <si>
    <t>Ort.gosa, Valentín</t>
  </si>
  <si>
    <t>Valentín Ort.gosa</t>
  </si>
  <si>
    <t>…tan amplios como lo eran los que solía D. Junan d- Fuentes, D. Joaquín Huerta Ccvailos , D. Domingo Yidar el marques de Londonderri. Este m.nutro obraba bajo su responsa liamil y D. Valentín Ort.gosa. bilidad personal, y como gefe del departamento de ios N.gccios extran 1 lab-di ia conferencia , resultó por unanimidad haber ¡usar i la for jero». Ei duque de Wellington, como ind.viduo del Gabinete, y co mación Je causa. mo uno de loa prim-ros peraonages de…</t>
  </si>
  <si>
    <t>Ort.s, Marcelo</t>
  </si>
  <si>
    <t>Marcelo Ort.s</t>
  </si>
  <si>
    <t>…ser'* útil de uno tán de zapadores, y ayudante de estado mayor ; D. Mariano Foncillas, ú otro modo, y nadie puede eximir»: de esta obligación. Todos deber* ton ente de Ingenieros; D. Marcelo Ort.s, subteniente de voluntarios contribuir i proporción desús facultades al bien común. Unos empleas de Valencia , y D. Joaquín Vara del Rey , capitán del mismo, si su tu fi.crza fi, c &lt;, ot os sus caudales, su instrucción, sus consejen y ixHorindisposición se lo…</t>
  </si>
  <si>
    <t>Orteea, Benito</t>
  </si>
  <si>
    <t>Benito Orteea</t>
  </si>
  <si>
    <t>…ista ae reunió ri jurado, compuesto de loa Señorea siguientes: lencia , de la Monde# 7 de Annjuez ; de loa emigrado* refugiado* en D. Antonio Gamonal, D. Francisco de la Carrera , D. Benito Orteea el Rosellon i las órdeaea del conde de Calderón 4tc." Como el conde Romanillos, D. Cas-miro Martin, D. Antonio Regés, D. Antonio «le Calderón te halla en Valencia, sin haber pensado ni pensar en PuigbUnch, D. Francisco López Otavarrieta, D. Pedro Matute 7 Don…</t>
  </si>
  <si>
    <t>Ortega, Juan</t>
  </si>
  <si>
    <t>Juan Ortega</t>
  </si>
  <si>
    <t>…A cesantes y jubilados......... 94,4a í— 3Í tarais, «x-guardía: D. Sebastian Artllano: D. Josef AguiUra: Tomas A 'dudas del Monte pío da lunar : Miguel Campillo: D. Manuel Andreu: D. Juan Ortega. Dan oficinas.................................... *37.7í3-2« Marcos Román: Joaquia de la Torre y Josef da la Torre: Juan Vare A obras de edificios de la y Juan Luquc. Hacienda................................ 2,500 ARTICULO DB OFICIO; A devolución de depósitos…</t>
  </si>
  <si>
    <t>Ortega, León</t>
  </si>
  <si>
    <t>León Ortega</t>
  </si>
  <si>
    <t>…an por sí solos , atendido poder del mariscal de campo D. Salvador Moxó 5 en cuya virtud la ley su estilo y carácter, para persuadirnos que son obra de los griegos , si absolvió 4 D. León Ortega, responsable de dicho impreso , y el Sr. juez por otra parte no supiéramos que esta especie de trabajos se abandona de primera instancia de esta villa O. Juan Gómez y Díaz mandó al ban á los esclavos de aquella nación. Ninguno de los trages que allí se zar la…</t>
  </si>
  <si>
    <t>Ortega, Ramón Diu de</t>
  </si>
  <si>
    <t>Ramón Diu de Ortega</t>
  </si>
  <si>
    <t>…84 y siguiente* del reglamento, los de Olea y Cárnico, D. Francisco Salvi, D. Antonio Cenia, D. Josef cuales te leyeroá; y « acordó proceder después d nombramiento de loa Marañes, D. Ramón Diu de Ortega, D. Felipe Fernandez Aria*, sedos Sres. diputado* que en ello* te citan. dar marques de ja Torro, D. Juan María Fcnct y D. Joan Bautista Se leyó d dictamen de la comisión de Premio* para que te conti Dotan*. núe pagando 4 D. Antonio Díaz del Moral, ex-diputad…</t>
  </si>
  <si>
    <t>Ortega, Tomas</t>
  </si>
  <si>
    <t>Tomas Ortega</t>
  </si>
  <si>
    <t>…la sección de con la del Abuelo y Mingo, pues habiéndose aprehendido una carta Renovación del Crédito público desde el día 7 hasta el 24 de Setiem qu* el expresado Ceca escribió á D. Tomas Ortega , en la que decía bre último» acudir! n el jueves 21 del actual y siguientes desde las 10 que todo estaba descubierto, fu-que el eanánigu d caftllan de honor se de la mañana i Ja un3 á recogerlos »con sus libramientos de la parte de había dejado una lista de…</t>
  </si>
  <si>
    <t>Ortigosa, Valentín</t>
  </si>
  <si>
    <t>Valentín Ortigosa</t>
  </si>
  <si>
    <t>…como subversivo y sedicioso en la mayor parte, de sus pióARTICULO DE OFICIO. posiciones, se reunió el jurado compuesto de los Sres. siguientes: D i Miguel Ripa, D. Antonio Regas, D. Valentín Ortigosa , D. Domin El Sr. secretario del Despacho de la Gobernación de Ultramar dice go Fernandez Angulo, D. Manuel Fstéban Caíala, D. Mariano Zotal de Gracia y Justicia dada el Real «¡tío de AranjuCz con fecha de nquin , D. Pió Santos, D. Francisco Travesedo y D. Pe…</t>
  </si>
  <si>
    <t>Ortiz, Francisco</t>
  </si>
  <si>
    <t>Francisco Ortiz</t>
  </si>
  <si>
    <t>…lo respectivo á los ne cia territorial de Castilla la Nueva en 23 del corriente se ha mandado gocios de Gracia y Justicia, Propuestas y Gobernación, donde se ad citar y emplazar á D. Francisco Ortiz, vecino que fue de la villa de mitirán, acompañadas de un egemplar impreso de sus méritos, ó de Villaviciosa, cayo paradero se ignora , para que en el término de 10 documentos fehacientes, por término de 30 días contados' desde hoy. d as comparezca por la esc…</t>
  </si>
  <si>
    <t>Ortiz, Gregorio</t>
  </si>
  <si>
    <t>Gregorio Ortiz</t>
  </si>
  <si>
    <t>…rado D. Joaquín Palacios, al ayudante D. Pablo Rica, é los tenientes D. Manuel Calderón y D. Manuel Salvador, Aumento extraordinario al miniaterio de Hacienda y á los subteni-ntes D. Gregorio Ortiz y D. Domingo Contrcras; pero pura lleaar ain perjuicio del aervicio público el i quien con pr-fe recia recomienda es i lo* tr.*s que osadament- se atre menos valor que pueden tener le* rentas en el vieron á romper por entro los facciosos pira ir é dar aviso -il bsroti Je prceente a…</t>
  </si>
  <si>
    <t>Ortiz, Ignacio</t>
  </si>
  <si>
    <t>Ignacio Ortiz</t>
  </si>
  <si>
    <t>…erra de ios helenos, y hasta que la política eu Cuarta clase. Aritmética, i cargo de D- Pedro Delgado. Premio i ropea tome un partido decisivo con respecto á ellos, no podremos re D. Ignacio Ortiz. Accésit á dicho Aita. cibir mas que milicias contradictorias Para mantener el espíritu de sus Qu nta clase. Geometría, á cargo de dicho Delgado. Premio i Don trepas los turcos se ven en la precisión de convertir en elefantes to Josef Castro. Accésit í Colomb…</t>
  </si>
  <si>
    <t>Ortiz, Juan</t>
  </si>
  <si>
    <t>Juan Ortiz</t>
  </si>
  <si>
    <t>…as é-c. El Rey, i propuesta del consejo da Estado, ta ha servido nombrar se han hallado ia* enatas siguientes: lín s " Ouetalga, lease truc fala para 1 ucees letrado, de partido a D. Juan Ortiz da1 Barco para el de ia ga-. lín 3.', 7.4 y ao Xeaurrete, héasa Zeseorrote: Unta *5 exterior £ ciudad da S. Femando, provincia da Cádiz» y para al da I regenal Ha exterior, lease interior y eeterien EN LA IMPRENTA NACIONAL.</t>
  </si>
  <si>
    <t>Ortiz, Leandro</t>
  </si>
  <si>
    <t>Leandro Ortiz</t>
  </si>
  <si>
    <t>…ueblos en contestaciones sobre la revolución que se dice haberse partido , según las ventajas i que gira la veleta. Tales viven, y viven intentado contra el gobernador del segundo D. Leandro Ortiz por un entre nosotros, no para corregirse, sí que, para aumentar su auda corto número de hombres que salieron del primero con licencia de los cia. ¡ Ay del día en que se apure el cáliz del laigo sufrimiento , y que gobernantes á conducir sanados. La salida de…</t>
  </si>
  <si>
    <t>Ortiz, Miguel García</t>
  </si>
  <si>
    <t>Miguel García Ortiz</t>
  </si>
  <si>
    <t>…ardo de la Pefia Diaz,dotes á cada uno de los expresados visitadores por gratificación 8o rs. diarios, que empezarán á gozir desde el día en que emprendan su D. Joaquin de Tru.ba, D. Miguel García Ortiz , D. Juan Bautista Beamurguia, D. Domingo Saizcbaga, D. Amonio Caaadell, Donviage para desempeñar sus funciones , que d berán pagarse por loque falta del presente año económico del fondo del imprevisto general. Francisco Pujol y D. Manuel Moreno de Mora, decl…</t>
  </si>
  <si>
    <t>Ortíz, Ramón</t>
  </si>
  <si>
    <t>Ramón Ortíz</t>
  </si>
  <si>
    <t>…tado mayor, se pu Números. Premios. Administradme!. siese á la cabeza de ellos con los oficiales de dicha arma D. Josef 21901...... 10000 ps. fs............. En Madrid. Quintero y D. Ramón Ortíz, siguiendo las compañías de Zaragoza 7 24286.......... 4000..................... Idem. el resto de la división. Al punto de amanecer llegó la caballería á las 10450...... 1000......................... Idem. «rai zadas de los facciosos, contestando con los sab…</t>
  </si>
  <si>
    <t>Orus, Juan</t>
  </si>
  <si>
    <t>Juan Orus</t>
  </si>
  <si>
    <t>…mpio de su adoso gefe el pueru llamada de la Carnicería, cuyo punto estaba encomendado al intendente de esta provincia, no perdonaron sacrificio ni fatiga para capitán de Astúrias D. Juan Orus con sus subalternos, los que reco li iwttr ver el ardor con que aman las instituciones liberales; los emplea miendo á la consideración de V. S- , igualmente que al cabo primero rlos de las secretarías del gobierno político y diputación provincial ds Gerona An…</t>
  </si>
  <si>
    <t>Orva, Amonio Gorzaiez de</t>
  </si>
  <si>
    <t>Amonio Gorzaiez de Orva</t>
  </si>
  <si>
    <t>…scon go sostenido de ambas columna*. La mía ocupa iciua mmlc el cetro cierto y del terror, haciendo algunos castigos ejemplares , puede asegu a.lo á la entrada del puerto, y la de D. Amonio Gorzaiez de Orva rarse que la facción 110 volveré á levantar cabeza en esta provincia ; pero llos la* eras contigua* á e»te punto. Daré » V. S. cuando las crcuns» te maicera esta preciosa ocasión, y hay la menor lentitud rn descu tancias lo perm.tan parte detallado de la pérd…</t>
  </si>
  <si>
    <t>Orvallos, Joaquín Huerta</t>
  </si>
  <si>
    <t>Joaquín Huerta Orvallos</t>
  </si>
  <si>
    <t>…siguientes: Don ARTICULO DE OFICIO. Aniceto ¿¡zana, D. Carlos Romeral, D. Mariano Zorraquin, D. Ma El Sr. Metalario del Despacho de la Gobernación de Ultramar con merto Landaburu, D. Joaquín Huerta Orvallos, D. Isidoro de Hoyos, beba de «ver dice desde el Real *¡tio de Araajuez lo que sigue: D. Antonio Díaz del Moral, D. Francisco Travetedo y D. Domingo » SS. MU. p AA. continúan sin novedad en su importante salad.** Villamil. Habida la conferencia, resultó por u…</t>
  </si>
  <si>
    <t>Oscar</t>
  </si>
  <si>
    <t>…esto las Cortes extraordinarias de 181 g, cuando trataron de los asun 3 e hecho de los paites disitfentes. La Espafia tiene mucha fuerza moral, to* de Ultramar por invitación del Sr. Oscar, aprobaron por unanimi 7 podrá desplegar todavía una fuerza fisica respetable ti se sabe sacar par dad esta medida sin que hubiese discusión, pues solo mi digno com tido de los medios que tiene. patriota el Sr. Megin habló pan apoyar la propuesta: asi pues es…</t>
  </si>
  <si>
    <t>Oseda, Juan Calixto de</t>
  </si>
  <si>
    <t>Juan Calixto de Oseda</t>
  </si>
  <si>
    <t>…abla contra filos, da un p.bulo i La comisión segunda de Hacienda, en vista del expediente promo los que publican continuamente ideas contri la integridad de los tribu vido contra D. Juan Calixto de Oseda y D. Saturnino Fernandez Sala- nales y de los jueces. Digo también que esta medida en algún modó zar , sobre extravío de efectos de la maestranza de Cartagena, opinaba es poco decorosa para el Congreso nacional, porque las Cort. s precisa que no debia accederse á la dispensa que soli…</t>
  </si>
  <si>
    <t>Osma, Francisco Rive</t>
  </si>
  <si>
    <t>Francisco Rive Osma</t>
  </si>
  <si>
    <t>…... 558.390 audiencia , y_electo para Is dt Lima: i D. Josef María Salazar, asesor Oribuela........................... 286,638 interino del juzgado de artillería de Filipinas; y i D. Francisco Rive Osma................................ 261,529 II* ra Maestre , abogado. Oviedo............................. 629,136 Juicioi ie jurado. Paleacia............................ 5 7-V7&amp; JBn la pigina 70 del libra que se lleva en" Barcelona con el título Pamplona.........…</t>
  </si>
  <si>
    <t>Osor.o</t>
  </si>
  <si>
    <t>…yo á las infractores de las leyes , sea tiró la comisión la primera parte, y te aprobó ’a s*gur.da. la que quiera la máscara con que te disfrazan. 5® Que las dos proposiciones da. Sr. Osor.o no pueden aprobarse, Nos anima á hacer «sus cortas reflexiones la última correspon la primera porque la base dea noveno que en ella se propone es muy dencia de los pueblos de la Península , por la que se manifiesta que en desigual é inaplicable en machas dlúe…</t>
  </si>
  <si>
    <t>Osorio</t>
  </si>
  <si>
    <t>…es por la semana A las comisiones de Hacienda y Visita d-1 Crédito público se pasa sint-, que eran mas perjudiciales que edificantes; y que si alcun ecle ron dos proposiciones del Sr. Osorio, relativa la una al modo de pro siástico sencillo ó cualquiera otra persona llena de buena fe profiriese la bar el valor de los diezmos que antes percibian los partícipes legos; y menor expresión cotura dicha» procesiones, seguramente seria víctima la otra al…</t>
  </si>
  <si>
    <t>…rar el ser en que se bailaba antes de las *9 Ae Junio , el del decreto de 9 de Noviembre de 1810 que cita el últimas escenas de escándalo, que tanto aliento bao dado á los partida Sr. Osorio te halla ya revocado por el art. i¡ del de 19 de Junio de rios del poder absoluto , y no poco que hablar á varios periodistas ex 1811 sobre amortización de la deuda nació na'. Aprobado. tranjeros , que se regocijaban ya. esperando de nueitras desgracias la tf…</t>
  </si>
  <si>
    <t>…n aquella» mon tañas, en d nd: se hicieron fuerte,; pero atacados vivamente por ia mi El Gobiernes ha recibido lot fartes siguientes. tad del batallón de Barcelona, al mando de su comandante Osorio , qut " Exento. Sr.: Después de le destrucción de Castellfollit, la toma logró cortarles el camino de la »ier*í, corrieron i incorpora!** con loa de Baltguer, y las gloriosa* accione* de Arlen , Orcau y ia Pobla, creí dd segundo, de donde también fueron arroj…</t>
  </si>
  <si>
    <t>Osorio, Francisco</t>
  </si>
  <si>
    <t>Francisco Osorio</t>
  </si>
  <si>
    <t>…dad del objeta. 1 Pero en qué con Manuel del de Gracia 7 Justicia , D. Josef Cienfuegoa del de la Guerra, sistirá que no se han llenado completamente sus legítimas esperanzas! ves D. Francisco Osorio det de Marina , y D. Luis Sorela interino del Un número tan corto de sucriptores no le podrán indemnizar muy de Hacienda; be venido en nombrar para el de Estado á D. Francisco ventajosamente de sus calosas anticipaciones. ;Y será posible que cuan Martínez de…</t>
  </si>
  <si>
    <t>Ostolaza, Martin Félix</t>
  </si>
  <si>
    <t>Martin Félix Ostolaza</t>
  </si>
  <si>
    <t>…on empezando que venfjn por Elgoibar, cometieron mil tropelías de robó y taqueo, por los gefes, que luego se vistieron de milicianos; aunque no dejó da especialmente en la casa de D. Martin Félix Ostolaza, y casi al mismo bab-r alguna desavenencia sobre la distribución. En seguida pidieron al tiempo entraban en Motrico otros de la gavilla de Vizcaya. . „ I ayuntamiento, qne pusieron arrestado, las armas de la infantería y ra- Siete voluntarios unidos con el al…</t>
  </si>
  <si>
    <t>Osuna, Francisco Javier</t>
  </si>
  <si>
    <t>Francisco Javier Osuna</t>
  </si>
  <si>
    <t>…i D. Manuel Veíasco y 1&gt; Ramón rior legislatura. Luí» ¡•scov.Jo, con motivo de los sucesos de Sev.üa: v un expoA la comisión di Guerra se pasó un» exposición de D. Antonio sem d- D. Francisco Javier Osuna , brigadier que !ae del egército es OI ¡ver , teniente agregado al E. M. de Málaga, haciendo presentes sus pañol, manifestando los motivos que le oblig con i prestar juramento méritos contraídos en la última guerra de la independencia , en la cual de fidelida…</t>
  </si>
  <si>
    <t>Ot-I, María</t>
  </si>
  <si>
    <t>María Ot-I</t>
  </si>
  <si>
    <t>…ay ninguna reunión capaz de alterar tificacion por vía de limosna. la tranquilidad pública, y que las Corles pueden descansar en el zelo A la de Hacienda se pasó una exposición de Doña María Ot-I, viuda del Gobierno. La comisión, deseosa de enterar i las Coi tes de este par del capitán graduado de voluntarios de Navarra, en ^licitud de una ticular, ha creído conveniente dar esta noticia, y yo me marcho in- pensión. med atamente para reunirme con la co…</t>
  </si>
  <si>
    <t>Otalora, Joeef Mingo</t>
  </si>
  <si>
    <t>Joeef Mingo Otalora</t>
  </si>
  <si>
    <t>…los facciosos se prevalían de le ventaja pare resistir maa qua lo hu primera instancia de esta heróica villa «la Madrid, w cita, lla bieran h cho en otra posición. ma y emplaza 4 D. Joeef Mingo Otalora , natural de la villa de Po» La llamada regencia se ha yiito preciada á refugiarse an Fran zorubio, en la Mancha, de estado casarlo, da adad de 33 años, y cia , haciéndolo con tal precipitación, qua tango an mi poder dos pape 4 Doña Tarta Nuñez, de estado cau…</t>
  </si>
  <si>
    <t>Otalora, Josef M-ni'n</t>
  </si>
  <si>
    <t>Josef M-ni'n Otalora</t>
  </si>
  <si>
    <t>…cular. Continúa el informe del visitador de ¡a causa fenecida en la audiencia Picaa principal , Col. 21Ó. (Je continuará.j de Madrid contra D. Manuel Hernández, llamado el Atutía, Don Josef M-ni'n Otalora y consortes , sobre conspiración contra el siste TXIXWA.I.S*. ma constitucional. Por providencia del Sr.D. Rodrigo Castañon, juez de primera instancia Las pru.bas que intentaron el Abuelo y'Mingo de nada Ies apro da la ciudad da Lorca, se cita y emptaza á los…</t>
  </si>
  <si>
    <t>Otalora, Josef Mingo</t>
  </si>
  <si>
    <t>Josef Mingo Otalora</t>
  </si>
  <si>
    <t>…mo comprendidos todos en las causas seguidas en dicho juzgado contra D. Ma nio de su adhesión al Gobierno constitucional; pero se conoció luego nuel Hernández ( alias ci abuelo) , D. Josef Mingo Otalora, D. Ma el error, y volvió Altes á su casa. También habían ya sido puestos en nuel Ceca', capitán retirado de artillería, con grado de coronel de in libertad otros varios individuo», que en los primeros movimientos fue fantería , y otros consortes por delito d…</t>
  </si>
  <si>
    <t>…go en esta corte; ARTICULO DE OFICIO. comprendidos todos en las causas seguidas en dicho juzgado contra Circular del ministerio dt Hacienda. D. Manuel Hernández (alias el Abuelo), D. Josef Mingo Otalora, El Rey se ha enterado de lo que el tesorero general de la Nación D. Manuel Ceca, cap.tan retirado de artillería, con grado de coronel propuso en 6 de Agosto último; sobre la forma y calidad de las fianzas de infantería , y otros consortes, por delito de cons…</t>
  </si>
  <si>
    <t>…cogido la corres lodo* en las causas seguidas rn dicho juzgado contra D. Manuel Her pondencia que había salido de Tortosa cerca de Amposta, y media hora nández (alias el Abuelo) , D. Josef Mingo Otalora, D. Manuel Ce antes de entrar allí los facciosos , por lo que se está formando cauta al ca , capitán retirado de artillería con grado de coronel de infantería, administrador &lt;1* correos de dicha villa. y otros consorte* , por delito de cotitpitacion contra el…</t>
  </si>
  <si>
    <t>Otalora, Josef Mingo y</t>
  </si>
  <si>
    <t>Josef Mingo y Otalora</t>
  </si>
  <si>
    <t>…a al espitan general y gefe político de esta corte, y en el día pital. siguiente 10 salió en persecución de ia cuadrilla con la milicia nacio El mismo delito que el Abuelo cometió D. Josef Mingo y Otalora. nal de Valdemoro y Aranjoez; y descubriéndola una partida de este En ef.cto aparece del testimonio fol. 139, pieza de Valdemoro, última en las barcas de Requena , la dió caza hasta Valdeasturiiiuot y qu* fue preso en Abril de 1810 por la causa criminal forma…</t>
  </si>
  <si>
    <t>Otalora, Jotef Mingo</t>
  </si>
  <si>
    <t>Jotef Mingo Otalora</t>
  </si>
  <si>
    <t>…tificaciones, según está mandado por mer* instancia da esta heróica villa de Madrid, te cita, llama y em Real orden de so de Enero de 1779. Lo que te hace saber é los inte plaza á D. Jotef Mingo Otalora, natural de la villa de Pozortubio, eu resados para que en edelante procuren el citado documento, qu* ha de la Mancha, de estado casado, de edad de 33 años y Doña Teresa Nupreparar el pago de su* retiros. Madrid 9 de Diciembre de i8ti.sE( ñez , do estado casa…</t>
  </si>
  <si>
    <t>Otaren, Lúeas Miguel</t>
  </si>
  <si>
    <t>Lúeas Miguel Otaren</t>
  </si>
  <si>
    <t>…e esp ita (—.pecie de escanda) que basta para el consumo de sus habitan conducta y i los n-gociot de la. naciones y de los Sob-ranos, per Mr. Vattel, traducidos en ca.t-ilano 1 or D. Lúeas Miguel Otaren» , de la tes .- también produce rropimente , azufre y alumbre. Los espaciosos valles y llanuras de la parte meridional del Kurdis Ultima edición Une s» pub"cada en Taris en 1810, corregida y au tan abundan en artoz , trigo ,cebada , alegría, frutas, tabaco y…</t>
  </si>
  <si>
    <t>Otavarrieta, Francisco López</t>
  </si>
  <si>
    <t>Francisco López Otavarrieta</t>
  </si>
  <si>
    <t>…del conde de Calderón 4tc." Como el conde Romanillos, D. Cas-miro Martin, D. Antonio Regés, D. Antonio «le Calderón te halla en Valencia, sin haber pensado ni pensar en PuigbUnch, D. Francisco López Otavarrieta, D. Pedro Matute 7 Don contarse entre los refugiado* á Francia que vuelven sus arma* contra Juan Paz. la patria, creemos que Mr. Predi ha padecido equivocación en al título HUb'da la conferencia, radeclaró por uninimidad ae haier lugar á del sugéto. lu formac…</t>
  </si>
  <si>
    <t>Otavartambién, Francisco López</t>
  </si>
  <si>
    <t>Francisco López Otavartambién</t>
  </si>
  <si>
    <t>…ue **“ ción de causa contra el autor del papel intitulado: Tercerola núm. 11. Dalí ei medio de que queden en propiedad particular- Se ha dicho ¡señores que declararon haber lugar: D. Francisco López Otavartambién que se empezaba por el despojo; pero aqui no hajr tal des rieta, D. Benito Olga Romanillos, D. Juan Fernandez Casariego, pojo, porque este supone violencia en ei acto , y falta de autoridad en D. Andrés A Icón, !). Martin Miguel deGoicochea, D. Josef Anto la…</t>
  </si>
  <si>
    <t>Otelrencia, Fermín</t>
  </si>
  <si>
    <t>Fermín Otelrencia</t>
  </si>
  <si>
    <t>…conocimientos : estoy muy distante por la causa de la libertad. de creer que el Congreso haya temido: encuentro pues una gran Que A la comisión de Guerra se pasó una instancia de D. Fermín Otelrencia entre temer el Congreso, y el ínteres que debe tomar con res m¡ , coronel vivo, y teniente coronel de ingenieros, pidiendo se le pecto á la tranquilidad pública: este es el único temor que podía tener conceda el sueldo de tal coronel. el Congreso, y este ha s…</t>
  </si>
  <si>
    <t>Otero, Francisco García</t>
  </si>
  <si>
    <t>Francisco García Otero</t>
  </si>
  <si>
    <t>…arreglen las diferencias y reclamaciones de Cosío , D. Antonio Mira'les, D. Joaquín Benjumea, D. Félix Al- da lo» pu b!os que se hayan de reunir acerca de los derechos y obli bao, D. Francisco García Otero, D. Diego Fernandez Mufioz, Don gaciones de sus respectivos vecinos at tiempo de su reunión. De acuer Josef Ruiz del Arco y D. Miguel Matute para declarar si habia lugar do de las Cortes lo comunicamos i V. E. para su inteligencia, y que ó no í la formación d…</t>
  </si>
  <si>
    <t>Otero, Pedro</t>
  </si>
  <si>
    <t>Pedro Otero</t>
  </si>
  <si>
    <t>…cor- perador ; D. Luis Ca macho, D. Ignacio Lorenzo Torre Cosío, D. Eduarlindóte la comunicación con Sta. Fe, aunque sin embargo pudo pasar dode Lavara, D Cosme Sánchez Aparicio, D. Pedro Otero,D. Joa un oficial á pedir un refuerzo de 4Z} hombres a toda costa, i cuya quín Cadena, I). HemeterioTtúrbide.D. JuanRubroy Mayora.D. Joa consecuencia marchaban todas las guarniciones; y la de Cartagena , que quín Sotomayoré Itúrbido, D. Manuel Labastida, D. M…</t>
  </si>
  <si>
    <t>Otoño, Juan</t>
  </si>
  <si>
    <t>Juan Otoño</t>
  </si>
  <si>
    <t>…como se verificó con Don genis, Galiano, Gómez Becerra, Lamas y Méndez , Abr-u , Adane Juan Muñoz Aianiz, que entró por fallecimiento de D. Manuel ~anro y Seoane. chez Toscano, y D. Juan Otoño, que entró por ia muerte de D. Jos.f Eclesiástica. Sres. Mclendez, Fernand-z, ArgiieiK ?. Sedeño, Gó Rodríguez de Casal; y finalmente en ia Diputación permanente por fa mez (D. Manuel), Maní, Nufiez (D. Toribio), Vs.ai.u, Gil, Or- llecimiento de D- Josef Guti…</t>
  </si>
  <si>
    <t>Otro</t>
  </si>
  <si>
    <t>…bía insinuado su autor era inútil; pero que ti en el decreto se hacia co de marina, 7 qut se archivase. Aprobado. esta indicación, se seguirían los inconvenientes expuestos por el señor Otro sobre la solicitud de los ingenieros «le marina del departamen Garoz, pues seria despertar á los pueblos para que entrasen en contenta to «le Cartagena para que se les proporcionasen medios'de ascender en su ciones 7 rencillas. carrera, 7 se lea aumentase el…</t>
  </si>
  <si>
    <t>Otro, Anes</t>
  </si>
  <si>
    <t>Anes Otro</t>
  </si>
  <si>
    <t>…discusión al Sr. Salvá fijó su proposición na teramente confiante á las ideas de la comisión, debía aprobarse. Apro bado. „ Entendiendo que la disposición acordada ayer acerca de D. Anes Otro sobre la adición del Sr. Falcó, relativa i la dispensa de cur tesio Castillo &gt;e opone i la orden da 1." de Noviembre de 1810, pi- aos simultáneos. La comisión opinaba que esto dispensa Abra ent,c- £ Corte, que se suspenda por la mcreton. el dar cuno a aquel d…</t>
  </si>
  <si>
    <t>Otros, Ro</t>
  </si>
  <si>
    <t>Ro Otros</t>
  </si>
  <si>
    <t>…debe gitima desconfianza que in&amp;ndieroo aro operaciones.” ser metería de ellos, y que se exprese asi ea la Constitución.” Puesta 4 discutios la mioma presentada por la comisión al Sr. Ro Otros varios señoras hablaron en pro y en contra, y por último de mero fue de parecer que en lugar de la palabra legislatura se dijese Uu cidió el Congreso que hubiese jueces de conciliación en los casos y del Cortee, el Ctmgreeo ó la representación nacional, porqu…</t>
  </si>
  <si>
    <t>Ottedo, D Pedro</t>
  </si>
  <si>
    <t>D Pedro Ottedo</t>
  </si>
  <si>
    <t>…gar 4 la formación de causa. al Crédito público por ser duefio desconocido, que tiene 5695 pies y 1 de sitio : se ha tasado en la cantidad de &gt;0,673 rs., y se han de re El Exento. Sr. D Pedro Ottedo, comandante del primer batallón matar las dos terceras pules correspondientes al crédito público en cré del primer regimiento de Reales guardias de infantería, denunció al ditos contra el Estado, y la otra tercera en moneda metálica, en cuya Excmo. Sr. marque…</t>
  </si>
  <si>
    <t>OU</t>
  </si>
  <si>
    <t>…ndo lleguen allí los dictámenes que he referido! Este pe Restablecido este, continuo la discusión, y la Cumara resolvió que ligro debe preverse, tanto mas. cuanto las palabras del general OU petición que habla dado motivo al debate pasase ai ministro de la Donojú hicieron cieer que las Cortes españolas pensaban del mismo JustCia.En seguida te levantó la sesión pública, y se quedaron en secreta. modo que el Gobierno, y que ambos convenían en aprob…</t>
  </si>
  <si>
    <t>OuTira</t>
  </si>
  <si>
    <t>…e encender aquí la guerra civil, y lió í causa de un movimiento que hizo la ru stra al mando de! te asolar ¿ su salvo esta provincia , recibo aviso» oficiales de la destruc niente coronel OuTira. Este y el coronel Asura con las fuerzas unidas ción de la tal gavilla , y especial y circunstanciadamente me la refiere te hallaban anoche en Pcnusa, y se creía qur entraría el nv.mo día en el comandante provisional de la compañía de milicia nacional volun í…</t>
  </si>
  <si>
    <t>Ouvcr</t>
  </si>
  <si>
    <t>…ción sobre lá propiedad territorial, j pero poique no carezca ese benemérito vecindario de tan grata noticia no sobre consumos. nos ha parecido conveniente anticiparla á V. S.” El Sr. Ouvcr expuso que las contribuciones debían repartirse con Ademas de las disposiciones enérgicas que se toman por tas autori proporción á la riqueza de cada individuo, y que por lo mismo so dades para el exterminio de los facciosos; ademas del entusiasmo que en bre…</t>
  </si>
  <si>
    <t>OUver</t>
  </si>
  <si>
    <t>…cre retirado-, pero sí recogido para hacer algunas rectificaciones. taría de su cargo sobre este asunto. El Sr. Belttan de Lis pidió al Sr. presidente que hiciese respetar los F.l Sr. OUver pidió que se fijase por medio de una proposición U derechos que le daba el reglamento. cuestión de ti había de discutirse ó no en este momento el dictamen Se leyó el referido dictamen, en que la comisión opinaba que de la comisión. por las nulidades, infracci…</t>
  </si>
  <si>
    <t>OÜver</t>
  </si>
  <si>
    <t>…ndido esternal por varias partes; y es ya tiempo que las de dicha palabra. autoridad» tomen medidas muy rigorosas y eficaces contra estos males, El Sr. Gómez Becerra opinó como el Sr. OÜver que debía dejarse ya que la prudencia, la política, la moderación y el laudable medio para cuando se tratase del estado mivnr el expresar los requisto* do de atraer d •sengafiando no son suficiente» para contener a los que se los que hubiesen de componerle, n…</t>
  </si>
  <si>
    <t>…riótica que impire amor al prden y á la virtud, y luga odio Se declaró el punto suficientemente discutido. so el vicio, esparciendo al mismo tiempo las luces y las ideas libera El Sr. OÜver pidió la lectura del art. 1.7 de la Constitución, y les , según debe desear todo buen ciudadano. Yo en este punto me atre verificada dijo que la votación, si no fuese por unanimidad , debía ser vo á decir que llevo tan adelante lea ideas como los mismos Sres.…</t>
  </si>
  <si>
    <t>Ouver</t>
  </si>
  <si>
    <t>…ue por ella se pierde el equilibrio de los poderes del Estado, y que Constitución no ia reconoce. es una ley de excepción. He aquí los argumentos revestidos con mil A piticion del Sr. Ouver se leyó el art. 173 de la Constitución. ó menos fuerza, de los cuales me haré cargo por el mismo orden que Ei Sr. Cangi -. Me levanto para comedir ai señor pr-opininte, y se han presentado, aunque mi digno compañero de comisión el Sr. Ga- para manifestar mi o…</t>
  </si>
  <si>
    <t>Oüver</t>
  </si>
  <si>
    <t>…tado de la horabuena la prisión si son culpados; la vindicta pública y la igualdad Nación, (ie leyó.) legal lo ex.gen; castigúeseles si es preciso; pero que todo esto sea hecho El Sr. Oüver: Algo mas de lo que resulta de la memoria que se por los trámites que prescriben las leyes, y de ningún modo por perso presentó á las Cortes por los señores secretarios del Despacho sobre el na i quien no corresponde el conocimiento de su causa. No creo que e…</t>
  </si>
  <si>
    <t>Oüvet</t>
  </si>
  <si>
    <t>…art. i.ü a-nargun: mas no !o hx ron, v s, sr ur...-ron ron el hatillo** que Se puso 4 discusión el i.° ex ,:ia rnVici baro. El iu cío de qur trata e! art. y ti r.r ademas c.is El Sr. Oüvet: En r.t-, ".rtlculo se dice que serán comprendidos en S'cuir sus tramites , y esos -nd.vxu’- t-ndr n qur suó,r a c.i.-.í o na. el indulto ó gracia lo, individuo, de _u.ii Je., que en V.c i bar., se un e- Ii o mas : niuc’ os ind v-duo, de vuar.H as cr .• qus e…</t>
  </si>
  <si>
    <t>Óv</t>
  </si>
  <si>
    <t>…anas antes. Auikjuo Quedaron aprobados estos tres artículos, suprimierdo en el 1* la han pasado ya esias dos épocas, no por eso se ha salido de dudas, pues c'áusula marte lando ti general Óv. é petición de los Srw. M-drano y S. M. no ha manifestado de modo alguno su voluntad acerca de esto. Sancho , con lo que se conformaron lo» draut Srca. de la comrston. En todo caso seria arriesgado inferir que durará la par, cuando losegér- Las Cort.s quedaro…</t>
  </si>
  <si>
    <t>Ovadientes, Félix</t>
  </si>
  <si>
    <t>Félix Ovadientes</t>
  </si>
  <si>
    <t>389 pu« de I* junta preparatoria anterior; y también una nota de loa expe Salamanca. D. Toribio Nuñez, D. Juan Pacheco/ D. Félix Ovadientes relativos á la elección de algunos señorea diputados para cono lle. La comnion , después, de haber examinado los poderes de estos se cimiento de ia junta preparatoria. ñores , y asimi.m j las reclamaciones que contra esta elección se habían Se le/6 ei informe…</t>
  </si>
  <si>
    <t>Oviedo, Agustín</t>
  </si>
  <si>
    <t>Agustín Oviedo</t>
  </si>
  <si>
    <t>…e, teniente coronel mayor del regimiento de Guadalajara. infantería de Navarra. Alcoy: para primer comandante al primer comandante de infar.te- Osuna: para coronel al coronel vivo D. Agustín Oviedo , ayudan ifa ligera D. Joaquín Guijarro, agregado al batallón de la milicia ac te mayor de la brigada de carabineros R ales. tiva de Pontevedra. . Falencia: para primer comandante á D. Gaspar Blanco, coman Almería: para primer comandante al coronel D. Antonio…</t>
  </si>
  <si>
    <t>Oviedo, Francisco</t>
  </si>
  <si>
    <t>Francisco Oviedo</t>
  </si>
  <si>
    <t>…Sevilla,opinaba de que forman parte de la cóngrua de algún eclesiástico. Aprobado. bían aprobarse por hallarlos conformes á lo que previene ia Constitu Otro sobra la solicitud de D. Francisco Oviedo, chantre de la tan ción. El Sr. Alcalde formaba voto particular, en el que exponía qu- no ta iglesia de Tuy , para que te U exonera del pago de la pensión de habiéndose observado en dicha elección lo que previenen los aitículos §9 rs. anuales coa que está gra…</t>
  </si>
  <si>
    <t>Ovierne, María Amalia de Acosta y</t>
  </si>
  <si>
    <t>María Amalia de Acosta y Ovierne</t>
  </si>
  <si>
    <t>…ra desechar por dos veces consecuti ro Moraleda , su fecha 16 del corriente, dada i instancia de la Señora vas í tos individuos que le hayan sido presentados. A la tercera vez, si Doña María Amalia de Acosta y Ovierne , de esta vecindad, actual tampoco le satisface la elección, elige por sí mismo dos individuos, y marquesa de Salas, y poseedora de dos de tos mayorazgos fundados coa la asamblea esti obligada á recibir uno de ellos._£L senado egerce el aprobación del extingu…</t>
  </si>
  <si>
    <t>Ozorio, Gómez</t>
  </si>
  <si>
    <t>Gómez Ozorio</t>
  </si>
  <si>
    <t>…jas y desventajas que había en una y otra votación , y con PKBStDXNCTA DEL SEfiOR ALAVA. cluyó diciendo que por todas razones debía hacerse en secreto. Sesión ordinaria del ay. El Sr. Gómez Ozorio habló en coctia de las votaciones públicas, y el Sr. Girao las defendió. Se leyó y aprobó el acta de la anterior. Se suspendió esta discusión, y se pasó á hacer la elección de presiden Se mandó pasar á ia comisión de Hacienda una exposición de Don te , vice-p…</t>
  </si>
  <si>
    <t>P, Custodio</t>
  </si>
  <si>
    <t>Custodio P</t>
  </si>
  <si>
    <t>…nteresados que sa consideren con derecho á los bienes queda sía ni desgracia, i excepción de un granadero francés que ss dice muer do» con motivo «leí fallecimiento tbintestato de D. Custodio P*r:« , te to por un faccioso en «I acto de refugiaras atropellada mente. . niente coronel que fus de lo* egército* nacionalea , y ayudante agregado Ki número de facciosos refugiados y desarmado* boy axcede á ¡O, i la compañía de guardias Alabarderos , 4 fin de…</t>
  </si>
  <si>
    <t>P, Felipe de Sierra y</t>
  </si>
  <si>
    <t>Felipe de Sierra y P</t>
  </si>
  <si>
    <t>…s reglas prescritas en la&gt; it.stiuccior.es de Rubricado de la Real mano, es En palacio á 11 de Julio de l8az.ee aduanas, entena endose que aun cuando los beques sean puestos rti A D. Felipe de Sierra y P.mbley. cutrer-t-na , han d- presentar sin embargo los manifiestos dentro de las i4 hetas de for.d ar, aunque con las precauciones sanitarias. dt Hac n.dj. Art. p.-' « r e ptccurara que den fondo con la separación que per mita la capacidad de los puettos, perma…</t>
  </si>
  <si>
    <t>P, Francisco</t>
  </si>
  <si>
    <t>Francisco P</t>
  </si>
  <si>
    <t>…discutido, que ja dada por D. Vicente Peree , nd'v'duo de la diputac on pror re al dó aprobado, añadiendo al final estas palabras 1 tea compa de Valencia, contra el gefe político D. Francisco P.asenc a por no ha -cuanto cte con ta segundad de los buques.” berle puesto cu posesión de su destino , pidiendo se declarase haber lu</t>
  </si>
  <si>
    <t>…l actual Gobier cmro d su fortificación: creo que el t nicnte coronel • ra luado D. Jo- no; y en la noche del 15 del corriente causaron una a'arma en ia vi »rf Cenfurgos, y aun el capitán D. Francisco P 'errer d ta aun á lla de Castro del Rio , provincia de Girdobi , habiéndoseles unido al V. S. m nudam rt* &lt;a hrró ca defensa de los milicianos: por m. pane gunos pocos paisanos inmorales y descontentos de loa pueb os inme solo m : resta p dir á V. S que ios r…</t>
  </si>
  <si>
    <t>P, Juan Amonio Jmeno.el</t>
  </si>
  <si>
    <t>Juan Amonio Jmeno.el P</t>
  </si>
  <si>
    <t>…ha podido desentenderse de un no y Ortegon , el conde Monte-Blanco con sus dos hijos, Salamanca ton caso de este naturaleza; y por lo mismo esta ordenanza parece hecha su familia, D. Juan Amonio Jmeno.el P. balas, prov neul de San solo para una nación mediterránea qUa no tenga plaza alguna maríti Juan de Dios, Jimen»z el contador dz la aduana , Lozano , las tres fa ma; y dejo á la consideración del Congreso cuan injusto seria tomar milias de R .dulfn emparentada…</t>
  </si>
  <si>
    <t>P, T.</t>
  </si>
  <si>
    <t>T. P</t>
  </si>
  <si>
    <t>…istencia tenaz que Martin z 160. D. Juan Pirer 160. D. Ramón Ca vo 16 &gt;. D. Zacarías hici r n los españoles á su dominación , que sentían á par d: muerte. Mvnge 160. D. E. E. 160. D. T. P. río. D. I. Y iííj. D. Paulino No se puede atribuir el modo injurioso con que nos trata sino i un Mart n z 100. D. Jos.f Rodríguez 100. D. Manuel K.os fio. Don enconado resentimi. r.to, á no ser que cuando escribió esta apología se J'ran.- seo M.rtin-z fio. D.…</t>
  </si>
  <si>
    <t>P, Vicente</t>
  </si>
  <si>
    <t>Vicente P</t>
  </si>
  <si>
    <t>…l extranjero. Por esta» razones fu: d« parecer de pasar los do» Emp-radcr.t y el R*y de Pru,ia cuando desde Roma se bía aorob se el dictamen d» la comisión. dir |an á Nipo.es__ El coronel D. Vicente P 11 es ele ’c-s del número D-clarado este asunto suficientemente discutido, quedó aprobada la exceptuado en la uno ttia. (Víate ¿a^rta Je a- dr O.tutreJ Nos» tra partida duodécima. ta de disminuir ias tropas austríacas que hay en N po.es. El general FriSe m*nd…</t>
  </si>
  <si>
    <t>P-rcii, Francisco</t>
  </si>
  <si>
    <t>Francisco P-rcii</t>
  </si>
  <si>
    <t>…lo de Reunidos en la ciudad de S-villa los ju-ces de hecho D. Pedro cretado por las Cortes, haciéndose la rebaja correspondiente en la Ureta , D. Vntonó Quesada, D. D.cgo huar z , D. Francisco P-rcii», partida señalada para este tribuna!. D. F'ranc seo d - Faua M.-ndcz, D. Claudio Boute &lt;u, D. Ale ¡o El presidente dijo que mañana se continuaría la discusión sobre Sánchez'Mora , D. Josef Gómez Quintero y D. Jos.f de Forres , pai* el dictamen &gt;ij 'a comisió…</t>
  </si>
  <si>
    <t>P-yo, Francisco</t>
  </si>
  <si>
    <t>Francisco P-yo</t>
  </si>
  <si>
    <t>…couvsion especial de in Elias, D. Francisco Escudero, D J .an Bautista \ ea Muren.j , Don corporación , venta y extinción de la deuda pública, fue examinar el Francisco de Pugas y D. Francisco P-yo¡ , ba d-clsisuo «a.r- .-r.ar á ¡a formación de causa por ocho votos contra une , que so t-c e. D.n («) Es bien sabido que los arzobispos, luego que fallecen , sota Juan Bautista Vea Murgu.a , que estuvo por la negar,va. embalsamados, y que al tiempo de darles…</t>
  </si>
  <si>
    <t>Pa</t>
  </si>
  <si>
    <t>…esengaño de los mas extraño* llan y D. Félix Cetndla*. ilusos. Este pueblo será vuestro apoyo en toras ocasion e. Los s-gio* Subímitnlts. D. Bernardo Fernandez, D. Diego Llórente, D. Pa coronarán el heroísmo de los valientes con el recuerdo mas dulce v blo Riera, D. Josef Cuervo A rango, D. Fmaciaco Macíac, D. Jotcf admirable. Morale*, D. Pedro Badiere, D. Pió Larténdo, D. Pedro Po illtru, «Coruña, su ayuntamiento constitucional id de Julio…</t>
  </si>
  <si>
    <t>…e hubiera prescindido hasta cierto punto de esta consideración, los nea marcada por las leyes en esta clase de guerra , no tendrán un efecto 400 guardias no se hubieran rendido al brigadier Pa stea: empeñado absoluto hasta qus el Gobierno, instruido en aquellas circunstancias, las este gefe en quitar las armas de las manos de los enemigos de la Cons ratifique, como lo hará cuando los mismos generales y gefes hagan titución, ocurrió al único medio q…</t>
  </si>
  <si>
    <t>Pa'area, N.</t>
  </si>
  <si>
    <t>N. Pa'area</t>
  </si>
  <si>
    <t>…er de esta armr si alguno d: ios punios to para que marchase á la puerta del to!, y se pmíese á las crd-ne» del era torprendido, y tocaba esta suerte i aquel en que se hallaban re brigadier D. N. Pa'area , lo que verificó, y continuó en -lia hasta unidos ios dos callones: i.° que en lugar de formar los pab líones de las cinco y media de la t»rde , que con dicho brigadier marchó por el armas la milicia nacional en medio de la plaza como las n.ches ante puente…</t>
  </si>
  <si>
    <t>Pa, Antonio Josef Huiz de</t>
  </si>
  <si>
    <t>Antonio Josef Huiz de Pa</t>
  </si>
  <si>
    <t>…mez, Don calle de los Gitanos , núm. 11, cuarto principal, en que recibirá merced. Martin Fernandez Elias , D. Jotcf Marta Villaranda, D. Juan Gonzá Dictamen sobre los diezmos por D. Antonio Josef Huiz de Pa lez, D. Manuel de la Puente y Aranguren, D. V¡cante Sánchez Car- drón. Se hallará en la librería de Miyar, y en Cádiz en la de Zaragoza quero , D. Miguel del Pino y López han declarado no haber lugar 4 la 4 t a cuartos. formación de cansa, votando solamente p…</t>
  </si>
  <si>
    <t>Pa, Josef</t>
  </si>
  <si>
    <t>Josef Pa</t>
  </si>
  <si>
    <t>…onde se celebró una solemne misa con Te JJeum en ac =Francisco fietu Lacosta.=Cristóbal Ruiz.zsjosef Espinosa.sjosif Iso» ción de gracias al Todopoderoso. El presbítero y patriota D. Josef Pa la.sjosef Aycardo—Josef María Fernandez—Tomas Jimencz.=Jr..ef dilla pronunció un elocuente y análogo discurso , m que demostró con Pensado.=Domingo del Hierro.csManuel de Arellano.=Antonio Gaobrevedad y precisión las ventajas del sistema constitucional y la i…</t>
  </si>
  <si>
    <t>Pa, Vi-lor</t>
  </si>
  <si>
    <t>Vi-lor Pa</t>
  </si>
  <si>
    <t>…e-da, Excmo. br. = Francisco hspoz y Mina. = Exctno. Sr. secretario de Es c. mpu.sia de ijo hombres de Gtanara , narc-da por el captan del tado y del Despacho de la Quena.” m smo D. Vi-lor Pa lor. As m smo di ia orden al cap.tan del recímicnto de Lus.t.m a D. T odoro Firnar.d.z , pa-a qu; »a coicmna, Comandancia general de! 4.0 distrito mi!'tar._ «Excmo Sr.: El compuesta dv gó ¿abil os, m tad de! c tado reg.m erto, v m t.dneí comandante de la colu…</t>
  </si>
  <si>
    <t>Pa, Vicente</t>
  </si>
  <si>
    <t>Vicente Pa</t>
  </si>
  <si>
    <t>…nestar de todos tamiento constitucional. Los pretendientes que se hallen aprobados sus miembros, en una palabra, que la justicia pública ex gia y clama dirigirán sus memoriales al Sr. Vicente Pa!encía , alcalde constitucio ba altamente por una condigna satisfacción. nal de dicha villa. Se advierte que han de saber el catecismo constitu Pero si enn cierto* j que prestigio pudo obcecar á la audiencia para cional , y que en el término de un mes, contado…</t>
  </si>
  <si>
    <t>Pa.tor, Nicolás</t>
  </si>
  <si>
    <t>Nicolás Pa.tor</t>
  </si>
  <si>
    <t>…a tendido, y dispondréis lo necesario á su cumplimiento.=En palacio á 7 Maic-lioo Bravo, satg-.r.lr» s*. un. 1’c cual Pavón , subrenierte Vi de Julio de 1811.” cente Díaz linones, teniente Nicolás Pa.tor, suhter...r.te tV*r- C.str-Ilon , subteniente Marce'o Oniz, subteniente WeBcran- 1 *. r, »-h* A consecuencia de haber manifestado D. Joaquín Fondcvila que tentente Pedro Tvirsado , tenlrrtr V.cmte López , vUt:rr Oc- esus males no le permitían cumplir con *st*…</t>
  </si>
  <si>
    <t>Pab</t>
  </si>
  <si>
    <t>…a señaladamente i los que tuvieron la suerte de dirigir ei ataque de Bo do en Cinco Villas, y cubr;r las avenidas de Jaca. El comandante de lea, los intrépidos ten ent s coroneles D. Pab o Bacigalupi , D. Luis aquel cuerpo marchaba ya con este fin desde Sos, cuando los en lingos Fernandez de Castro y D. Luis de las L'ana,. D os guarde á V- E. practicaban su movimiento sobre Jaci, y ganando momentos entro en muchos años Cuartel general de Zara…</t>
  </si>
  <si>
    <t>Pablo</t>
  </si>
  <si>
    <t>…un voto particular délos Sres. Gaseo, Patarra, A laman, empleados en la casa de moneda 7 á otros varios particulares; 7 en vis Mcndez, Muñoz, Priego, Navarro (D. Fsiipejy Lailave (D. Pablo),</t>
  </si>
  <si>
    <t>…e mandaron pasar i la comisión una adición del Sr. La Madrid al ,,Iguales pena* sufrirá respectivamente el que publicare ó propagare' art. ayo:.otra de los Sres. Alaman y Lallave (D. Pablo) al artícu falsas noticias ó vaticinios , sabiendo su falsedad , y con el objeto de lo &gt;/á; j dos del Sr. Martínez de la Rosa al 285. excitar un motín ó asonada, ó de espantar, alarmar ó seducir al pue blo.” Aprobado. CAPITCIO III. Art. 315. «Se observará tam…</t>
  </si>
  <si>
    <t>…en del Congre prat, Píetela, García Sosa , Méndez, Navarro ( D. Andrea), Solano?, go: jy qué nao ae ha hacho de otto! Si el Congreao nacional había-do- García (D. Justo), Lallave (D. Pablo) , Uraga , Mora , Apartado, clarado que «¡ere individuos no tenían la fuerza moral, «seria por ven Micbdena , Dd Rio , Fagoaga, Castoreña , Varga, Palarea , Quin tura el modo de dártela reducirlo» «olamente á crea, como ai eato» bo tana, Freiré, LopeaConstant…</t>
  </si>
  <si>
    <t>…ria; pero ¡cuánto se equivoca! Loe do, Michelena, Quintana, Argíiello, Milla, Freire, Dávda, Qmroga, caprichos se moderan á proporción de las cotias facultades; y con un Lallave ( D. Pablo ), Moreno, Cortazar, Murfi, Guerra ( D. Josef mediano bienestar logra el hombre de bien la felicidad, y sabe disfru Francisco), Alcaraz, Amati, Navarrete, Pareja, Palarca, Gaseo, tarla. El poderoso la ve apenas á una inmensa distancia, y la deja des Yuste, D…</t>
  </si>
  <si>
    <t>…iempo de dos meses, contados desde el día de su promulga en vista de la Opinión del Gobierno. La comisión ratificaba su primer ción.” Firmaban los Sres. Marina , Priego , Lallave (D. Pablo) , Díaz dictamen, añadiendo solo que los comisionados del Gobierno estuvie Morales , López Constante, Vadillo, Palarea , Navarro (D. Andrés), sen autorizados para desechar las proposiciones que les hiciesen contra Puigblancb, Desprat, Ramírez (D. Miguel), Gar…</t>
  </si>
  <si>
    <t>…«orno con anarquía en América, sino un Gobierno de hecho; pero debía tener trarias i los poderes. presente que anarquía no quería decir que no hubiese Gobierno al Ei Sr. Lallave ( D. Pablo) dijo que el Sr. D. Marcial López se ha guno , tino que ceda i g dias te mudase el Gobierno. bía exaltado demasiado en su discurso, y que todas las razones que ha Que en cuanto á lo que había dicho S. S. de los comisionados que te bía alegado no teman ninguna…</t>
  </si>
  <si>
    <t>…anza de la fisica experimental, y la continuará todos los lunes deben hacer lo mismo las Cortes. y viérnct á la misma hora él tocio D. Saturnino Montojo. Las perso El Sr. Laltave (D. Pablo) hizo varias reflexiones para demostrar que nas qua quieran asistir á sus lecciones acudirán á la secretaría del mis no debían lat Cortes aprobar tas medidas de que se trataba , pues que no mo establecimiento, calle 4» Atocha, frente á la de Relatores, á reco…</t>
  </si>
  <si>
    <t>…diola 4 Extremadura. D. Alvaro Gómez Becerra, D- Facundo Infante, destino de tesorero general, quedando Martínez en cesación.” D- Manuel de Silva, D. Diego AntonioGonzalea Alonso, D. Pablo De orden de S. M. lo comunico á V. para su inteligencia y efec Montesinos. La comisión, después de haber examinado los poderes de tos oportunos. Madrid 19 de Febrero de 181a. míos individuos, como asimismo tas reclamaciones que te habían he cho , opinaba debian…</t>
  </si>
  <si>
    <t>…en el primer caso creía debía ex con referencia á una carta escrita desde hunchai por el teniente coro presarse asi; y en d segundo lenta por inútiles las disposiciones del ar nel D. Pablo lCuiz de la Bastida , que había salido de Cádiz coa d.tcc-</t>
  </si>
  <si>
    <t>…omisión primera de Legislación opinaba que podia concederse Es infundado cuanto ae dice en alguno» periódicos alemanes / fran carta de ciudadano á D. Gerónimo Casimiro Marques y á D. Pablo ceses acerca de una opinión pública y de un mooimimto nacional que obli Priscini, y carta de naturaleza á D. Miguel Sclilc, según lo solicitaban garán al Gobierno á tomar tal ó cual determinación. Lo diseminado que diches intensados. Aprobado. te halla el pue…</t>
  </si>
  <si>
    <t>…o en conocimiento de V. Y para su satisfacción Dios guarde a V. S. Somos testigos presencia es de todo esto y di la legitimidad di la muchos años. Vich 20 de Setiembre de i8aa.sE! coronel Pablo de firma, y de hab r dictado cuanto va eserito. = Bujnavmiuia Torner, Mier. presbítero, confesor del reo.—\gustin Itourj , presbtero, cape' ir. auCuria del parte que te cita tn el del Sr. Santot San Miguel, coro- iiliante.=EI comandante del p quete de granade…</t>
  </si>
  <si>
    <t>…asterio; y no habiéndote podido saber huta do Diez , D- Pedro Ruíz, D. Jacinto Rofil, D. B rnardo Rodríguez, ahora quiénes ton los poseedores d 1 estos títu'os, sin embargo de las D. Pablo haracibsr, D. Manuel Silva, D. Josef Tutor, D. Manuel muchas diligencias que te han practicado al cf cto, te avisa al público Trtcaño, D. Josef Urreta y D. Francisco Uriel. por medio de este periódico, para que si aLuno tiene noticia de los re ANUNCIOS. ferid…</t>
  </si>
  <si>
    <t>…ular sobre los expedientes de exoneraciones de oficio* de ayun En la 80: Los infrascritos jueces da hecho habiendo examinado el tamientos. (Gaceta del .id.) impreso denunciado por D. Pablo «te Ordovas , director , sub.-spector Haciendes. «leí cuerpo nacional «le ingenieros en nombre del mismo , que empieza: Circular del miniiterio fijando el orden en que deben ser sustitui „Copia del escrito recusando al espitan fiscal D Josef Díaz”, y conti;ns…</t>
  </si>
  <si>
    <t>Pablo, Francisco</t>
  </si>
  <si>
    <t>Francisco Pablo</t>
  </si>
  <si>
    <t>…. Ramón Sánchez Salva timo al comunicarla el citado decreto de las Cortes. Madrid n de dor , coronel del regimiento infantería de España. Para la de S. Sebas Maizode i8ia. tian al brigadier D. Francisco Pablo déla Pcña,coionei del regimien El viernes 15 del corriente de 10 á is se pagará en la casa na to de cabilcrí» de Al mansa. Para ia de Bilbao ai mariscal de campo ción,il de moneda de esta corte á loe sugetos que hayan presentada D. Francisco Javier Fernandez.…</t>
  </si>
  <si>
    <t>Pablo, Jaan</t>
  </si>
  <si>
    <t>Jaan Pablo</t>
  </si>
  <si>
    <t>Núm. a tó. (p cuartee.) **r* GACETA DE MADRID. VIERNES a DE AGOSTO DE i8aa. NOTICIAS DS ESPAÑA. Carrasco, Franco CD. Joaquín), Román, Tapia, Anaya (D. Jaan Pablo.) S. Sebastian *9 de Julia. 8. ‘ Del cuño. Tejida, Gotero, Morales Ibafiez, SebeIdus , CastaEn el Libtrmi Guifuxcosno te pub'ica» las noticias que liguen: Seda , Andradc y Orcen*. »Coastguientá i lo que ofrecimos en nuestro número *i j, hemos 9. * Dt milicias…</t>
  </si>
  <si>
    <t>Pablo, Joaquín de</t>
  </si>
  <si>
    <t>Joaquín de Pablo</t>
  </si>
  <si>
    <t>…uedan tolo pera la provincia de Bi&gt;b«o los regimientos de Ssvilta( los votos particulares de lo* Sres. Üaavedra, Maca, Alix , Oí iver , Ruiz Avila y Segó vía, al mando dsl coronal D. Joaquín de Pablo, y para de la Vega, Zuiuets , Galiano , Murfi y Marau, contrarios 4 la aproba la de S. Sebastian loa de España, Salamanca y Bctanzot, al mando del ción da vario* artículos de la ordenanza. coronel Jáuregui , debiéndoae aumentar la fuerza dtl primero hasta El…</t>
  </si>
  <si>
    <t>…. ¡ Miserables! No conocen el afiismu que ellos memos están afinan Europa y mantener el itatu quo. do 4 sus pies Parece que ha hallado algunos obstáculos, primero en el partido El coronel D. Joaquín de Pablo salió el a- de! pa-ado de B Ibao ruso que quería declarar la guerra 4 la Turquía, y después en las dis con una fuerte columna, compu sta da qoa d'l pr rrur bstal on ce eseposiciones de la Francia respecto de la España; pero ayudado por el du Yilla y ;.oo de i…</t>
  </si>
  <si>
    <t>Pacheco</t>
  </si>
  <si>
    <t>…s por la por las Cortes extraordinarias en 13 de Febrero. anterior diputación constaba que no todos los pueblos de aquella pro Se leyó por primera vez la siguiente proposición del Sr. Pacheco: vincia carecian de medios para atender i sus gastos municipales. ” Pido que las Cortes declaren no haber en la Iglesia mas jurisdicción El Sr. Navarro Xsjeiro dijo que no se podía dar una regla general que la del obispo, y que todas las demas de encomiendas…</t>
  </si>
  <si>
    <t>…bligar á nadie á que se aliste cu la milicia na raasioauciA ni sstot ataco. cional voluntaria, sino de eaciur á la» buenos ciudadanos i que lo Stiim del dia 94 dt Marx». bagan. El Sr. Pacheco hizo varias observaciones sobre lo* grandes terv'eíbo Se layó y aprobó el acta da la anterior. qut había hecho á la cama de la liberud el egército espolio!, y que por A la comisión de Hacienda se mandaron parar dos consultas del lo mismo al plan de los enemig…</t>
  </si>
  <si>
    <t>…uiz lo que sigue: alambicar, úfe se admitió á discusión esta proposición. • dS. MM. y AA. continúan sin novedad en su importante salud.” A la comisión Eclesiástica se pasó una del Sr. Pacheco, sobre que no hay* mas jurisdicción en las iglesias que la de lo* obispos, quedan El Sr. fiscal D. Matías López de Friat denunció al Sr. alcalde consdo abolidas todas las demas. . titucional D. Cayetano Rubio ei núm. ja del papel titulado d ZurnaA la misma ot…</t>
  </si>
  <si>
    <t>…a» juntas no residan en la cual tiene muy rr.a'a opinión entre los amsntes de la I b rtid : hay capitai.” limb en allí uno d: los 6'j que fi-maron la n-presentac-cn «Sil año d* El Sr. Pacheco se opuso i «te artículo, opinando que era inútil 18 4 , y ot'os muchos sujetos que tienen las mismas ideas. No quiero la nueva organización que se trataba de dar á las juntas diocesanas, per-o"jl.'z.mn: con radie; pero sí diré que ademas de aquel rabudo que e…</t>
  </si>
  <si>
    <t>…bía ac Las Cortes oyeron con agrado una exposición del gobernador de la cedería á la solicitud indicada. diócesis de Tenerife , acompañando cuatro egemplares de la pastoral que Ei Sr. Pacheco: El convento de que se trata está sitada en un de iba expedido, manifestando la conformidad entre la religión católica sierto que no puede servir de abrigo á facciosos por Ip upsreza del apostólica tomana y la Constitución política de la Monarquía. terreno, p…</t>
  </si>
  <si>
    <t>Pacheco, Elvira</t>
  </si>
  <si>
    <t>Elvira Pacheco</t>
  </si>
  <si>
    <t>…llama y emplaza á los que se crean con derecho á los bienes del patro carán en los expresados dias y horas arriba citados en las casas de es nato iundudo en ia referida ciudad por Doña Elvira Pacheco de la Be ta intendencia, donde te celebrará el remate en el mas beneficioso pos cerra , para que en el término de 30 dias, contados desde el de ia pu tor, con intervención y asistencia del enunciado Sr. contador principal blicación , acudan á deducirle en dic…</t>
  </si>
  <si>
    <t>Pacheco, Juan</t>
  </si>
  <si>
    <t>Juan Pacheco</t>
  </si>
  <si>
    <t>389 pu« de I* junta preparatoria anterior; y también una nota de loa expe Salamanca. D. Toribio Nuñez, D. Juan Pacheco/ D. Félix Ovadientes relativos á la elección de algunos señorea diputados para cono lle. La comnion , después, de haber examinado los poderes de estos se cimiento de ia junta preparatoria. ñores , y asimi.m j las reclamaciones que contra esta elección se habí…</t>
  </si>
  <si>
    <t>Pacheco, Pedro</t>
  </si>
  <si>
    <t>Pedro Pacheco</t>
  </si>
  <si>
    <t>…bajo cualquier El Sr. Calatrava ley ó las observa...mes que se hacian por el tribunal punto de vista, era interesante, de mucha trascend.ncia, y tan obvio de Ordenes, el Ateneo , D. Pedro Pacheco y la ua.rersidad de Za como sencillo, y siendo asi que por masque se digese en contrario, ragoza. tenia íntima can-iion con los asuntos que estaban señalado» á las Cor El Sr. Priego: En el párrafo 3-: de este srticu'o no se determina lo tes extraordinarias; o…</t>
  </si>
  <si>
    <t>Pacheco, Pedro Alonso</t>
  </si>
  <si>
    <t>Pedro Alonso Pacheco</t>
  </si>
  <si>
    <t>…rnación de la Península , participándolas que de la junta, en cumplimiento del decreta de 8 de Febrero de este año, SS. MM. y AA. continuaban sin novedad en su importante salad. 4 D. Pedro Alonso Pacheco, apoderado del Excmo. Sr. duque de Se mandó pasar i la comisión de Legislación una consulta del Go Abi antes: á D. Roque García, apoderado del Excmo. Sr. duque de Al bierno sobre si podrá mandarse remitir á Madrid una causa fenecida ba , y á D. Antonio Sastre…</t>
  </si>
  <si>
    <t>Pachiaroti</t>
  </si>
  <si>
    <t>…uestros deberes, vuestro grito de nuestra parte hemos tenido la pérdida de cinco heridos, entre ellos Constitución 6 mu 'rte acaba de ser provocado. Un papel subversivo es nuestro comandante Pachiaroti atravesado del lado izquierdo, aunque la voz &lt;1: rae y prosperidad, que á la cabeza de los fungidos os dirige parece no será de muerte la herida, según han dicho los facultativos. el nu vo f.i.cioso Eróles. Este hombre pérfido é ingrato á la misma » Las facci…</t>
  </si>
  <si>
    <t>Pachiarotti</t>
  </si>
  <si>
    <t>…sus causantes , se oyeten in blo de Tord ra cargaron otra vez los facciosos sobre etU , lo cual visto finitas voces; unas de mueran nuestros enemigos , otras «le afuera los por ci coronel Pachiarotti, y que locaban a sematen los pueblos inme serviles, y varias expresiones semejantes ; en medio de esta agitación, diatos , reunió las tres compañías que tenia á sus órdenes y algunos y conservándose siempre el mejor orden , no se pat-ntizaban bien loa milicia…</t>
  </si>
  <si>
    <t>Paez, Alvaro</t>
  </si>
  <si>
    <t>Alvaro Paez</t>
  </si>
  <si>
    <t>…es pen vilegio de juro de 1 .9 mrs., situado en diferentes cotos del obispa dientes y asuntos señalados, y que esta noche habría sesión para el do de Orense, despachado á favor de D. Alvaro Paez de’Sotomayor, nombramiento dé la Diputación permanente y discusión sobre baldíos; en Soria á za de Octubre de 1447: otro de i¡9 mrs. de renta ca con lo cual levantó la sesión á las cuatro. da año sobre las aleaba'as de Pontevedra , á favor de D. Alvaro Pé ART…</t>
  </si>
  <si>
    <t>Pafacios, Francisco Perez</t>
  </si>
  <si>
    <t>Francisco Perez Pafacios</t>
  </si>
  <si>
    <t>…hombres. D. Juan Guerra Manzanares, D. Juan Amable y Guerra , D. Agustín Desde Po payan i Cartagena no se Encuentra un soldado, y el pueb'o Castillejo, D. Josef María Va'dobino*, D. Francisco Perez Pafacios. se resiste á marchar: las milicias guardan i Rio Acha y a fita. Marta, Supernumerarios D. Josef María Gamboa y fiando bal, D. Josef Manuel y todos los movimientos indican que ha sido completa la derrota. Frías, D. Antonio Va.dés, D Jo,;f Antonio Bernal y Per…</t>
  </si>
  <si>
    <t>Paga, García</t>
  </si>
  <si>
    <t>García Paga</t>
  </si>
  <si>
    <t>…no hizo varias observaciones rebatiendo el dis nifestando qu¿ debía (probarse el dictamen de la comisión. curso del Sr. Mattel; y manifestó que las Cortes podían tratar de este El Sr. García Paga dijo: Cuando te trató en las Cort-t de la re asunto aunque no se les hubiese pasado por el Gobierno el plan ecle ducción del diezmo y la primicia (que lo aprobé yo ) previ todos los siástico, no estando esto en manos di la comisión; y que al paso que inconven…</t>
  </si>
  <si>
    <t>PagAa, Antonio</t>
  </si>
  <si>
    <t>Antonio PagAa</t>
  </si>
  <si>
    <t>…jado los parrócos fu gular que continúen los regocijos. gados con abandono de su sagrado ministerio A los reverendos D- Jai Algetirae 13 de Setiembre.me Roura , curado Riudarenar, D. Antonio PagAa ,de Castaftct, Don Jotef Ferrar y Palmareis y D. Joscf Jordis, ex-religiosos mercenarios; El dia 5 eran las observaciones del Hacho en Ceuta las siguientes; y que estos sacerdotes permanecieran en dichos destinos hasta la reso Cuarenta y tres buques mercante*…</t>
  </si>
  <si>
    <t>Page, García</t>
  </si>
  <si>
    <t>García Page</t>
  </si>
  <si>
    <t>…ir obispos solo tenían áj'J rs., sin embargo que costaba mucho mas vivir sin culto público ; no hay culto si no hay ministros, y ministros si no alia que no acá t¡*nm dotación. El Sr. García Page deshizo algún» equivocaciones que dijo habíais Yo me opuse á que se discutiera el plan del arreglo del clero, por padecido ios **rcs. preopinantes. que no se había discutido et plan de Hacienda, ni se había hecho el El Sr. Cuesta apoyó el dictamen de la comis…</t>
  </si>
  <si>
    <t>…ares, y rogaban al Congreso que se dignase admitir Oviedo % de Enero. esta pequeña prueba de su amor á la patria. Luego que esta diputación provincial nombró loa individuos que bl Sr. García Page presentó la siguiente proposición: Pido á lis debían componer la junta superior de Beneficencia, y que se insta.ó, Cort-s que la exposición del inspector general de caballería se inserte se propuso desterrar la mendiguez de esta capital, y proporcionar so ínt…</t>
  </si>
  <si>
    <t>…sentación nacional Madrid Martes 5 de Febrero. y la independencia de la Nación. » SS. MM. y AA. continúan sin novedad en su importante salud.” Se leyó la siguiente proposición del Sr. García Page: •&gt; En coosderacion á los sucesos de ayer, pido á las Cortes se sirvan acordar que ' En el extracto de noticias extranjeras publicado en el número ante los secretarios del Despacho se presenten inmediatamente en el Con¿rj. rior dijimos que el 24 de Enero se h…</t>
  </si>
  <si>
    <t>…recíproca cerrar sus sesiones el 14 del corriente á los Sres. Sancho, Carrasco, respecto de la nuestra.” Maniau , Linares, Crespo Centolla , Cepera, Ezpeleta, Alaniz, Pala- El Sr. secretario García Page dijo que iba á leer un escrito firma rea , Banqueó, Piérola, López (D. Patricio), Rodríguez (D. Josef), do por algunos Sres. diputados, y que dudaba si era adición ó proposi Subrié, Arnedo, Solano*, O-Gavan , Osorio, Golfin, Feñafiel, Ar- ción: lo leyó, y dec…</t>
  </si>
  <si>
    <t>…e opuso á que te apro- La palabra individual consideró que no era necesaria, porque to bete este artículo. 1 mada en su verdadero sentido decia el articulo que los españoles po El Sr. García Page dijo que vario* ciudadanos respetables habían dían representar 4 las Cortesó al Rey por tí solos, y sin asociarse manifestado al Congreso que la ley sobre libertad de imprenta no ha con otros, lo que creyesen necesario al bien público; y como esto bía puesto…</t>
  </si>
  <si>
    <t>Pagóla, Manuel V.</t>
  </si>
  <si>
    <t>Manuel V. Pagóla</t>
  </si>
  <si>
    <t>…de ber: D. Carlos M. Alb-ar, D. M'guel E. Soler, D. Manuel Dorrego, la mañana con las tres compañías de cazadores de ¡os regimientos de D. Manuel Sarratea, D. Pedro Josef Agrelo, D. Manuel V. Pagóla, Jaén , Ord.nes militares, voluntarios de Castilla , la segunda compa D. Josef ¿ares, D. Manuel Rodríguez y D. Juan Balagué. ñía de pontoneros, y los granaderos de Ordenes Militares y Castilla : y Se está imprimiendo el Estatuto provisional constitucional del…</t>
  </si>
  <si>
    <t>Paiafox</t>
  </si>
  <si>
    <t>…a ciudad, y como forzados á den de S. Fernando, para que se le continúe pagando una pensión que autorizar los excesos y atentados que se comet.eron en ella! No , Se Je concedió el general Paiafox por sus servicios en el sitio de Zarago ñor , todo lo contrario: me parece que hay sobradísimas razones para za , opinaba que debía estarse á lo dispuesto por S. M. sobre este asun creer que el gobierno de la ciudad de Lorca no estaba inocente de lo to. Aprob…</t>
  </si>
  <si>
    <t>Paiarea</t>
  </si>
  <si>
    <t>…para que sirva de ilustración á los demas, y aun para que yó opinando que debía aprobarse este artículo. sirva de gobierno al Congreso. Por esta regla si hubiera un Rey mente Eli Sr. Paiarea dijo que este artículo tenia dos partes;la primera que cato ó loco, de manera que no percibiera las ideas según eran en sí ,no trataba de que la persona del Rey era inviolable, y en esto nada tenia pudiera compararlas, y todo lo que hiciera fuera una serie de…</t>
  </si>
  <si>
    <t>Paite</t>
  </si>
  <si>
    <t>…ía inas en la Italia el ballería de la misma, los socios de la junta patriótica y su k-residente el descontento y la exasperación; y en la situación actual de la Furopa presbítero D. Paite io More, primo del inmortaá-Lscy, y las autorida puede aquel bello país llegar á ser un nuevo teatro de horrores. Esta des y otras personas distinguidas de dicha villa de Areñs. terrible situación se hubiera evitado conservando el Gobierno represen tativo , q…</t>
  </si>
  <si>
    <t>Pajarea</t>
  </si>
  <si>
    <t>…es militares, civiles y eclesiásti cho al Sr. Traver. cos de Hacienda , que no sean de rigurosa justicia ó no esten anejos al Se mandó pasar á la comisión la siguiente adición del Sr. Pajarea empleo, i9 rs.”Quedó aprobado. al art. i.° del proyecto adicional de libertad de imprenta:» Son igual No fue admitida á discusión una preposición del Sr. García (Don mente subversivos los escritos en que se propalan máximas que supon Antonio) sobre que se imp…</t>
  </si>
  <si>
    <t>Pajares, Ignacio</t>
  </si>
  <si>
    <t>Ignacio Pajares</t>
  </si>
  <si>
    <t>…r. D. Buenaventura Piñeiro ea ción de causa al autor del referido artículo , y tocó la tuerte 4 los seño tiempo de la dominación francesa entre otros [tápeles el privilegio da res D. Ignacio Pajares, D. Mamerto Landmburu, D. Joaquín Huerta Ce- un juro en alcabalaf de Midrid de 16,130 mrs. en cabras de Melchor val ios, i). Marcos Izquierdo, D. Jostf Antonio Ponzoa, D. Martin Za- Cakeron.—Otro en alcabala! d: Olmedo de 31,616 mrs. en cabaas del randia , D.…</t>
  </si>
  <si>
    <t>…e rioso á su persone, se reunió el jurado , compuesto de los Sret. situíen- los muchos gastos indispensables para formar un establecimiento de es tes: D. Joaquín Huerta Cevallo» , D. Ignacio Pajares ,D. Josef Gómez ta clase, y que tarto redunda en beneficio de ellos mismos y del pú Albacete, D. Antonio Regai, D. Juan Antonio López, D. Jos-f Bar blico. Asi es que desde su fundación lleva ya empleadas Jas siguientes do , D. Josef Radon» D. Isidoro de Hoyos…</t>
  </si>
  <si>
    <t>…hacían majestuosa y magnifica esta so gar las costas del proceso. lemnidad. A la hora de las to llegó el Exento, ayuntamiento consti Señores que suscribieron á dicha calificación. D. Ignacio Pajares, tucional de esta M. H villa al Prado, y después de la ceremonia acos D. Josef Bardo, D. Manuel Josef de Gallego, D. Valentín Rcc o, tumbrada , y habiendo hecho una elocución al pueblo, te dirigió A la D. Joaquín de Cevaüos, D. Domingo Fernandez de Anguio , D…</t>
  </si>
  <si>
    <t>…oso á su.persona. En su vista se reunió el jurado compuesto se radiquen en otras corporaciones 4 individuos , será perseguida como de los señores siguientes; el marques de Cusino, D. Ignacio Pajares, D. Gregorio M-ndivt!, D. Juan Cortes, D. Juan Isidoro Perez, Don traidor, y condenada a muerte. A vista de estas leyes solo resta, meditando mucho la referida cau Juan Paz, D. Valentín Recio, D. Joaquín Lumbreras y D. Francis sa, averiguar: primero, si el de…</t>
  </si>
  <si>
    <t>Pal-rea, Juan</t>
  </si>
  <si>
    <t>Juan Pal-rea</t>
  </si>
  <si>
    <t>…o de malera, flanqueé d.cha posición, ataque en d r.-cc on:s divergent-» y común-cables, nv-ndando a! b' caco'oeándom: en una a'tura inmediata, desde la que les amenazaba con d¡er D. Juan Pal-rea , que con ico hr mbrts d- a mii.cia nacuma, y loa 80 caballos de mi mando para hacer mas enérgica la intimación que toda la fuerza d 1 Principe qu? I: hallaba en .a P.az- , ma:c‘ ,se por ¡a fue i hacerles el primer teniente de guardias D Matías ' asero, que s…</t>
  </si>
  <si>
    <t>Pala-</t>
  </si>
  <si>
    <t>…puntería á ia puerta del bol; en cuyo puesto tuvieron los hallaba de guardia á vuestra Real Persona ; elevan su voz basta ei au enemigos su reunión; al mismo tiempo dispuso que el brigadier Pala- gusto trono de V. M. para hacerle presenté la conducta que tan obser rea con zoo hombres del tercer batallón , á quien se mandó reunir del vado en los últimos días que dieron la guardia i su Rey constitucional. punto en que se halaba, inclusos la compañía de…</t>
  </si>
  <si>
    <t>Palacio</t>
  </si>
  <si>
    <t>…atólica apostólica romana es y será Acaban de ser depuestos de sus destinos el administrador de la aduana siempre la religión de la Nación espadóla, con exclusión de cualquiera el Sr. Palacio, el vista Mora y el comandante del puerto Ruiz. otra , ha ocupado en la ley fundamental del Estado un lugar preemi Idtm 19—En la orden de la plsza da á reconocer el Sr. Mahy por nente cual corresponde á la sublimidad y grandeza del objeto. Estad se capitán ge…</t>
  </si>
  <si>
    <t>Palacio, Francisco de Arce y</t>
  </si>
  <si>
    <t>Francisco de Arce y Palacio</t>
  </si>
  <si>
    <t>…os los ciudadanos una igual que les impone su ministerio. Entre otros muchos que pudiéramos ci dad absoluta, que es imposible en la sociedad, ya porque somos res tar nombraremos á D. Francisco de Arce y Palacio, cura párroco y pectivamente diversos, y también porque es indispensable respetar en prebendado en la iglesia colegial de esta ciudad, quien explicando á ella los diferentes derechos que legalmente haya adquirido cada uno, y tus feligreses en js'de Junio el t…</t>
  </si>
  <si>
    <t>Palacios, Joaquín</t>
  </si>
  <si>
    <t>Joaquín Palacios</t>
  </si>
  <si>
    <t>…de Ardoin, Hub- laridad al teniente coronel D. Felipe Costa, cap tan de voluntarios, bard y compañía de Pati*................................- a 1.600,000 al subteniente retirado D. Joaquín Palacios, al ayudante D. Pablo Rica, é los tenientes D. Manuel Calderón y D. Manuel Salvador, Aumento extraordinario al miniaterio de Hacienda y á los subteni-ntes D. Gregorio Ortiz y D. Domingo Contrcras; pero pura lleaar ain perjuicio del aervicio público el i quien…</t>
  </si>
  <si>
    <t>Palacios, Joscf</t>
  </si>
  <si>
    <t>Joscf Palacios</t>
  </si>
  <si>
    <t>…a teguia su marcha á O.ot, hizo con la otra D. Jaime Ierren» en ios autos pendientes en grado de apelación entre una marcha de flanco, dirigiéndote á Moyá , cuyo movimiento le pro D. Joscf Palacios y D. Jorge Palacios, su tío, intendente que fue de porcionó la suerte deque su vanguardia atacase y dispersase al Caragol, Valencia, sobre que este cese en la cúratela aJ tona de aquí y pago que con su fnerza había llegado i aquel punto ignorando su marcha; de maiavedisi-s; con…</t>
  </si>
  <si>
    <t>Palaesta</t>
  </si>
  <si>
    <t>…ues solo mi digno com tido de los medios que tiene. patriota el Sr. Megin habló pan apoyar la propuesta: asi pues estando Le comisión Conviejse fue* en la adición propuesta por el Sr. Palaesta medida autorizada por nuestras antiguas leyes y por el egemp'.o de rea , tanto mas, Cuanto que en ese llamado tratado de Córdoba se puso las Cortea del afio tg, y faltando solo que se lleva a efecto , pues las un artículo ¡mpolítko y muy perjudicial á los int…</t>
  </si>
  <si>
    <t>Palana</t>
  </si>
  <si>
    <t>…uicio; y a,, e! Congreso no d.b; conceder en favor de parte en la invasión del y de Julio , porque si no hubo lactiltad:s ni todos ellos una gracia tan general. en el Rey ni en el brigadier Palana para hacer ejit.rsivo ei perdón El Sr. Gonzilez Alonso ¡ La comisión no descrnocs los hec' os d; la vida á !os cabezas de facciosos que se reunieron en )a casa de con que desgraciadamente atiigieron á la madre patr a los guardias re Campo , si las Cortes les…</t>
  </si>
  <si>
    <t>Palar-a</t>
  </si>
  <si>
    <t>…eba se puede car knr á que se no podía haberse ocultado á los facciosos. comitan acc.or.es contra la pama. N.r.-un horubr de &gt;e t ..-.'i o íc r -n Si pues no estaba autorizado el brigadier Palar-a para capitular, que se d.rrame la sangre d sus stm jantes-, p . qui rt-ebírr.•-, n rar mas razón hab.a para que la comisión ¡ubiese propu.sto se llevase á estos asuntos, no como simp-'-s c:ucirlanos , sir.r, como Ir. s- y efecto la Real orden que no la capitu…</t>
  </si>
  <si>
    <t>Palarca</t>
  </si>
  <si>
    <t>…ia por Id* Sres. de la comisión y el Sr. Alaman, que ha apopado justo, legal 7 político que pueda hacerse. el dictamen de la comisión , y creo qus en este punto tenemos derecho El Sr. Palarca dijo que todo lo que era hablar de loa motivos de la loe diputados dé'Ultramar i ser creídos, mayormente miando r| éxito revolución de América 7 del espíritu público de aquella* provincias ha acreditado nuestras predicciones sobre los asuntos de Nueva-Espada.…</t>
  </si>
  <si>
    <t>Palarea</t>
  </si>
  <si>
    <t>…o mas que ■ 2 enfermos de achaques comunes. La casa sigue necesita Salvatierra te exceptuó del indulto. da de una reparación considerable; y mientras no se afiance la parte que El Sr. Palarea apoyó las reflexiones del Sr. Sancho, manifestando está por concluir , siempre se resentirá la totalidad del edificio , poique que la amnistía no era un deber de las Corte*, sino una generosidad, la falta de enlace artístico lo expone á tu total ruina. 7 por…</t>
  </si>
  <si>
    <t>…aJassy, y otros $o9 están «campado» en las márgenes del Pruth gunos de los oficiales de las secretarías. en barracas de tierra resguardadas con diques hechos también de tierra» El Sr. Palarea dijo que por lo mismo había llamado la atención de las Cortes, porque ningún empleado debía olvidarse que no estábamos rornsAi. en el antiguo sistema, y para que se enmendase en lo sucesivo el ofi cial que hubiese extendido el decreto. lútea 13 di Entro. Se l…</t>
  </si>
  <si>
    <t>…s de prelados doméstico» da sa Santidad ic9 ; por otros honores de la corte roma El Sr. Atenúa se opuso i este dictamen, y después de une cor- na 69 rs.” li dñcMioi i probado. Del Sr. Palarea ; » Pido qne se extienda la contribución para les Las coeeisioees de Hacienda y Comercio en vísta de la consulta dd establecimientos de beneficencia á las condecoraciones de todas clases, Intendenta de Málaga con motivo de las dudas ocurridas en el despa h«mo…</t>
  </si>
  <si>
    <t>…á tal extremo, bre la propuesta de alguna leyes represiva que les ha dirigido.’’ ue te atacaba á la misma Persona del Rey, como se habia visto ¡locos Se leyó la proposición; y el Sr. Palarea pidió que se leyera el artí ¡a habia por medio de alegoría y sátira, j se atacaba también i loa culo too del reglamento, que previene que en montos de poca impor demq ciudadana de un modo que ofendía a la moral pública; y tratancia que no deben producir resol…</t>
  </si>
  <si>
    <t>…zpeleta: » Se exceptúan de No se admitió á discusión por 65 votos contra ¡o la siguiente ad¡. estos impuestos lea cruces militares concedidas por acciones distingui cion del mismo Sr. Palarea: » Los escritos de que trata el art. 17 de la das de guerra.” ley de 11 de Octubre de 1810 sé calificarán de injuriosos únicamen El Sr. presidente nombró para componer la diputación encargada te cuando en las naciones de cuyos motiartas ó geíes supremos se ha…</t>
  </si>
  <si>
    <t>…1* con los que correspondiesen 4 dejaba el mismo derecho que 4 lo* demas ciudadanos para hacerlo los demas. cuando lo tuvieran por conveniente; porque en caso de &lt;;ue no se les El Sr. Palarea dijo, que si este artículo no estaba en contradicción quisiera dar curso i una solicitud, tienen prescrito por ¡a ordenanza con la Constitución , lo aprobaba; pero si lo estaba, lo reprobaba y el conducto por el cual la han de dirigir; y por últ.mo, porque er…</t>
  </si>
  <si>
    <t>…tolo lo era el que estaba reconocido, y Habiéndose declarado este punto suficientem:nte discutido, pidió guerra 1a que se hacia entte dos gobiernos ó oos naciones reconocidas; el Sr. Palarea que ss leyese su proposición , lo cual se verificó , y decía y que lo que sucedía en América solo era anarquía; asi que, hasta asi: «Y sin perjuicio de que el Gobierno deberá tomar todas fes me ahora había ignorado que anarquía era guerra ilegítima ó gobierno…</t>
  </si>
  <si>
    <t>…na materia tan espinosa, y en Digo pues que arrepentidos se presentaron pidiendo se les perdona mucha parte agena de la profesión de los individuos que la componen, se la vida: el brigadier Palarea dijo que les garantía la vida , pero ro presenta á la deliberación de las Cortes el siguiente proyecto de decreto: otra pena; y en esta capitulación, egecutada con el gefe que mandaba Art. i.® » Las Cortes autorizan al Gobierno en ia pane que no aquel cuerpo,…</t>
  </si>
  <si>
    <t>…'.a Conbnnadu; ü .ue di-spues h-b «r.-o mitrs de sus fa.u cades. d la nct brigadier í'.u. rea, y ú *.ma;i.-.nte d. tocos los mr v cu.. lli diciio el Sr. pr opinante que cuando el brigadier Palarea con- se presenta.en a ¡as ju.t c a» d: .o* pu-.b os a a.og rs- a mdu t . .• acii'r &gt;1 á /a cara de Campo á atacar á &lt;os facciosos lo h zj ton fuer dicnl.se d.spues que la intencon de S. M. no aba sido la d- comza» inferiores, y que por lo nvstno, y por ias ra…</t>
  </si>
  <si>
    <t>…nte: según él debe llevarse á rusionxciA ani snffoa seque su íasqü». ef uto la R-a&gt; orden de 1* de Ago.to, en la que se hice a’guna exc’pSesión del dia 39. ci n en a o o-n.-sa dei brigadier Palarea : esto no 'o ha’lo convinici*, Se leyó 7 aprobó el acta de la anterior. porqu. .a, mi-mas razo" s de poética y de conveniencia públ ca obran 1- d- ;os agrie ados que da los exceptuados -. la pa abra se dm á Se leyó un ofic:o del Sr. secretario de la D*puta:ro…</t>
  </si>
  <si>
    <t>…individuis á qui'nes s» les llamó c-a, de ia Real orden ; ni: fundo en qu: si se apru.bi !a capitulación del dos , tres y seis veces c:n el ir.iu.to , y no hicieran taso da esu rv brigadier Palarea, es porque la autoridad púb.ica ¡o •.x-. --; mas no es- tac ion ; el Morare: msm i trit &gt; con dios , p-.ro inút.’m-r.tí. Ene ¡; ti autorizado por las leyes, pues en este caro a m.srna utilidad pú ser que todos estos ¡r.ilividuo; no sean d.zno, de ta pena capi…</t>
  </si>
  <si>
    <t>Palarea, D- Juan</t>
  </si>
  <si>
    <t>D- Juan Palarea</t>
  </si>
  <si>
    <t>…s: por mi parte he tenido ia pérdida qué D. Jacobo Gilvan, ídem. D. Josef Coriúri, ídem. Paisano i D. Juan manifiesta el adjunto estado: Josef Ibarr.ta , contuso , agregado. •s El brigadier D- Juan Palarea estuvo i mi lado toda la noche, jr Cazadores. Corneta/D- Tomas Vicente, herido. después de 'haberme ayudado con sus conocimientos para ia distribu Segunda. Criado , D. Santos Martínez , herido. ción- y preparativos del pian de defensa se encontró en toda la a…</t>
  </si>
  <si>
    <t>Palarea, Juan</t>
  </si>
  <si>
    <t>Juan Palarea</t>
  </si>
  <si>
    <t>…e refiere, nos ponen una nota ma los generales D. Pablo Morillo y D. Francisco Ballesteros y del bri nuscrita , que dice asi ¡ » he ha desmentido la noticia de la deserción gadier D. Juan Palarea. de los soldados de la Costa; pero Letra se halla en la sierra de la AiPuestos en fuga los asaltadores de le plaza, se dirigieron á Palacio á atijara. buscar un asilo. El público estaba en eapectatíva hacia muchas horas esperando el re —Por los periódicos ext…</t>
  </si>
  <si>
    <t>…y {trímera de cazadores ra Parte que ha dado al Exentó. Sr. comandante general de este pri cional-» , bajo tus inmediatas órdenes, pof I* cali); Mayor; y me encar mer distrito el brigadier D. Juan Palarea sobre las ocurrencias del 7. go qut con la tercera compañía de granaderos, al cargo de su capitán n Excmo. Sr.: En cumplimiento de la orden d: V. F.. pongo en su D. Juan Muguiro, una mitad de cazadme* y (I-escuadrón del Prínci consideración que creyendo muy p…</t>
  </si>
  <si>
    <t>…á caballo del general D. Francisco Ballesteros , el brigadier Don e consultase el consejo de Estado, y que hiciese extensivo su dictamen Juan Martin (el Empecinado), los coroneles D. Juan Palarea (el Mé al derecho que convenga conceder á ios referidos aprehensores respec dico ) , gefe político de Madrid , y D. Francisco Abad y Moreno ( Cha to á los caballos, armas y otros efectos que se hallen en poder de los leco ), en medio pliego de marquilla,á 8 r…</t>
  </si>
  <si>
    <t>Palareaat</t>
  </si>
  <si>
    <t>…ilidad de los empleados piíblicos. ae ha puesto en el artículo. ... El Sr. Vadillo opinó que podía aprobarse el articulo, poniendo en Igualmente admitía la comisión la adición del Sr. Palareaat art. t.°, él que podían reunirse las autoridades bajo los mismos términos que que podría expresarse al fin de él en la forma siguiCMe: San igualmente • subversivos tos escritos en que se propalen máximas que supongan des queda ya prevenido en el art. p.° ....…</t>
  </si>
  <si>
    <t>Palau, Pedro</t>
  </si>
  <si>
    <t>Pedro Palau</t>
  </si>
  <si>
    <t>…illó nuestra caballería, per do presos al canónigo Corroas da aquella iglesia, y al archivero de la siguiendo sus restos hasta la distancia «la «fes leguas por Bustilio , ca misma D. Pedro Palau, con otros 1 a. El cura de Tona , preso igual mino de Toro, los que se salvaros á favor de la velocidad de sus ca mente , ha quedado herido en Vich. ballos y cansancio de los nuestros. Nuestra pérdida consiste solo en dos Conidia jo de Agosto. soldado* de Far…</t>
  </si>
  <si>
    <t>Pallares, Leandro</t>
  </si>
  <si>
    <t>Leandro Pallares</t>
  </si>
  <si>
    <t>…Entro de Reunidos en le ciudad de Sevilla los jueces de hecho D. Josef Ma 1823 cesarán los ttei alcaldes y dos síndicos actuales, y lambí» lo* ría Tige, D. Josef Mafia Domínguez, D. Leandro Pallares, D. Diego regidores que hayan servido dos afios. Para saber los regidores que de Ovando, D Francisco de Paula Méndez, D. Ciríaco Clavero, D. Joa entre los otros deberán continuar con los nuevamente nombrados se quín Medina, D. Diego Fernandez Mufioz y D. Fran…</t>
  </si>
  <si>
    <t>Pallás, Antonio Joaquín Pardo</t>
  </si>
  <si>
    <t>Antonio Joaquín Pardo Pallás</t>
  </si>
  <si>
    <t>…lusión ó prisión de tres meses á tres años, de Matute , casa núm. 7, cuarto segundo. y un arresto de quince dias á un afio si cometieren este delito contra Habiéndose extraviado á D. Antonio Joaquín Pardo Pallás un cualquier otro funcionario público. capital de 69 rs., impuesto á favor y por la vida del dicho, se verificó Art. 340. *&gt; Si para alguno de los aeto* comprendidos en loa do* 1 la liquidación expidiendo una lámina de la renta anual de 540 rt. con artículos…</t>
  </si>
  <si>
    <t>Pallete, Baltasar</t>
  </si>
  <si>
    <t>Baltasar Pallete</t>
  </si>
  <si>
    <t>…a, los cuales habiéndose di pilinque situado al fin de la calle de la Bola ocho individuos al mando rigido 4 Beniel quitaron la lápida según costumbre. Inmediatamente del tenien'e coronel D. Baltasar Pallete. que se tuvo aquí noticia de este atrntado salieron algunas tropas al man » En esta refriega no tuvimos ningún muerto, y sí tris heridos, qtro do d'-d coronel Muso, y se batieron con los facciosas, que eran en bas fueron D. Fruncí co Riba s, empleado en la in…</t>
  </si>
  <si>
    <t>Palma</t>
  </si>
  <si>
    <t>…generales. destino que el que se indica. Entre ellos se halla el ex-intendente de Art. a o. « Las mercancías y demas efectos depositados en los laza los Abruzo*, Mr. Luccenti, el general Palma, y aun el canónigo Mereto, y otros paraget reservados, que no se hubiesen redamado en el necchini, y algunos diputados del Parlamento napolitano.” término de dos años se venderán en pública subas»; y si fueren de Por supuesto ni han dado la vela, ni hay 300 n…</t>
  </si>
  <si>
    <t>Palmareis, Jotef Ferrar y</t>
  </si>
  <si>
    <t>Jotef Ferrar y Palmareis</t>
  </si>
  <si>
    <t>…ontinúen los regocijos. gados con abandono de su sagrado ministerio A los reverendos D- Jai Algetirae 13 de Setiembre.me Roura , curado Riudarenar, D. Antonio PagAa ,de Castaftct, Don Jotef Ferrar y Palmareis y D. Joscf Jordis, ex-religiosos mercenarios; El dia 5 eran las observaciones del Hacho en Ceuta las siguientes; y que estos sacerdotes permanecieran en dichos destinos hasta la reso Cuarenta y tres buques mercante* de diferentes nación» con una lución de S. M., A quien debo d…</t>
  </si>
  <si>
    <t>Palmerston</t>
  </si>
  <si>
    <t>…dan de que ocurrieron lo» alborotos del me» de Noviembre ha restablecido te en gefe , lord vizconde Mdmouth, y el exponente sir Roberto Wilion. el buen orden en aquella ciudad. El lord Palmerston, ministro de la Guerra, impugnó los princi El Observador auitriaco trae alguna» noticias de lo» principados de pios manifestados por el preopinante, y sostuvo que este había dicho Valaquia y Moldavia, donde dice que hay actualmente mucha escasez. á ios toldad…</t>
  </si>
  <si>
    <t>…contuso: provocaban al combate á los fac miento del lord Bmtjnck al gobierno para la India: y de la salida del ciosos cantando sin cesar himnos patrióticos. Supieron lue^o que los lord Palmerston del ministerio de la Guerra. La* noticias que hay en rebildes enviaban ,estando en la refriega, al Poitus en busca de víve Londres sobre Lirr.a y Chile son funestas pare lo* partidarios de San res , y salieron por la tarde i esperarlos: los derrotaron, y les…</t>
  </si>
  <si>
    <t>Palo</t>
  </si>
  <si>
    <t>…; y en esta capitulación, egecutada con el gefe que mandaba Art. i.® » Las Cortes autorizan al Gobierno en ia pane que no aquel cuerpo, no se excluía á ninguna persona. Si pues el brigadier Palo esté por la Constitución y las leyes, para que lleve i efecto el Real larea por las razones que he dicho prometió que se les perdonaría la videcreto de 21 de Agosto de este afio, expedido en consecuencia de da sin distinción de clases ni de personas,; no seri…</t>
  </si>
  <si>
    <t>Palomar, Juan Domingo</t>
  </si>
  <si>
    <t>Juan Domingo Palomar</t>
  </si>
  <si>
    <t>…mayor por la negativa, con cuyo motivo se suspendió esta discusión. brevedad. Se leyó un oficio del Sr. secretario de Gracia y Justicia partici Por providencias del Sr. licenciado D. Juan Domingo Palomar, pando á las Cortes que S. M. el Rey continuaba en cama, aunque mas juez de primera instancia de la villa y partido de Chinchón , refrenda aliviado, y que S. M. la Reina y Sres. Infantes seguían sin novedad en das por Gabriel González Rey , escribano del núme…</t>
  </si>
  <si>
    <t>Palomeque, María</t>
  </si>
  <si>
    <t>María Palomeque</t>
  </si>
  <si>
    <t>…ión antes de 35 de Octubre de ¡820, y no Toledo, relativo i varias dudas que han ocurrido con motivo del pago gozar por lo mismo de pensión, podía acc:derse 4 su soiictuó, pagán 4 Doña María Palomeque de los censos que tenia á su favor sobre los dose ia exposición al v cario general de los egército» naci.na'es para terrenos de propios de un pueblo de aquella provincia. La comisión que le diese destino en la primera vacante que ocurriese. .Aprobado. opinaba…</t>
  </si>
  <si>
    <t>Palomino, Josef</t>
  </si>
  <si>
    <t>Josef Palomino</t>
  </si>
  <si>
    <t>…todos los ciudadanos. ¡Cómo es posible que los alcaldes y ayun citud. Aprobado. tamiento de la ciudad de Lorca puedan considerarse como inocentes «lo -Otro sobre la exposición de D. Josef Palomino, contador de la or loque iba á suceder en aquella desgraciada ciudad, y como forzados á den de S. Fernando, para que se le continúe pagando una pensión que autorizar los excesos y atentados que se comet.eron en ella! No , Se Je concedió el general Paiafox por…</t>
  </si>
  <si>
    <t>Pam, Felipe de Sierra y</t>
  </si>
  <si>
    <t>Felipe de Sierra y Pam</t>
  </si>
  <si>
    <t>…Dolz; D Manuel Carnicero; Don imprima, publique y circulets-stí rubricado de la Real mano.sEn Angel Bonalto; D. Rafael Costa y I). Marcos M■ñero. palacio á 13 de Julio de i8a»-=A D. Felipe de Sierra y Pam bley.” Habda la conferencia, resultó por unanimidad haber lugar á ia /cr emación de causa. Las Cortes en uno de sus decretos de 19 de Junio último autoriza ANUNCIO ron el «■•.rablec-'.niento de un gran libro de la deuda pública, y el de Marcha fúnebre, coro y…</t>
  </si>
  <si>
    <t>Pam-, Felipe de Sierra y</t>
  </si>
  <si>
    <t>Felipe de Sierra y Pam-</t>
  </si>
  <si>
    <t>…imero, se imprima , publique y circule.=Está rubricado de la Real mano.s á semejanza de lo que se practica en establecimientos de igual natura En Palacio á 14 de Julio de i8ia.=»A D. Felipe de Sierra y Pam- leza , asi en Francia como en otras naciones, se anoten con el debido bley. orden de series y números todas y cada una de las certificaciones de remas perp’tuas redimibles pagaderas en París y Lóndtes al portador, D. Fernando vil por la gracia de Dios j por l…</t>
  </si>
  <si>
    <t>Pambicy, Sierra</t>
  </si>
  <si>
    <t>Sierra Pambicy</t>
  </si>
  <si>
    <t>…El Sr. Muñoz Arroyo pidió m leyóse el oficio de remisión de esta Art. as. • .-'eran individuos dn esta junta central lo» directores gá asunto a las Cortes t á lo carel contestó el Sr. Sierra Pambicy que no lo nenles «lo coatriboctonee directas é indirectas, 7 de la» diócetis loa in hab.s remitido el Gobierno, 7 asi no había oficio de este, sino dciCréúndente* respectivo» dn Jas provincias, 7 los sutxklegados dondo no dito público. residan estos. Et st. L…</t>
  </si>
  <si>
    <t>Pambíey, Felipe de Sierra y</t>
  </si>
  <si>
    <t>Felipe de Sierra y Pambíey</t>
  </si>
  <si>
    <t>…ui-ra otra obra d- utilidad p.ihl-ca , !oíi- Rubricado de la K&gt;a! mano. = Kn Palacio 4 11 de Jui.o de io&gt;:.=A pondrí á la diputación i'.mutvál, la que se hal a autorizada p-ra con D. Felipe de Sierra y Pambíey. ceder el p -rm so. Art. 6.'’ v necs tase la tnapenac-on, p rmuU f&gt; da ción á c nso de a'guna inca de los propios, mandila la diputación • Atendiendo á las ivzoner que m* ha expu-sf D. N .-':&lt; G-'*&gt; provincial formar el rxp d.-rt oprrtn'o, iiu-- con sU inform…</t>
  </si>
  <si>
    <t>Pambiey, Felipe de Sierra y</t>
  </si>
  <si>
    <t>Felipe de Sierra y Pambiey</t>
  </si>
  <si>
    <t>…no les at rran los esclav &gt;5. Admtld nuestro Kubr cado de la Ría mano. = En pa.aciú to u. ju..o cc iC.r.uci.v mis cumplido parabién por la victoria conseguida , y contad siempre, D. Felipe de Sierra y Pambiey. amados compañeros, con nuestra coop ración en cuantas ocasiones fue se rvcfsar.o para conservar vuestro honor y las I b rtid s pitr a. Tales Los Eres, s.vretsr'os d.- las Co-fs dic-n al J.l D.-.nacho d v./acia son ios sentón.rotos de ios ¡nl v.duos de la m¡!…</t>
  </si>
  <si>
    <t>Pamblcy, Felipa Sierra</t>
  </si>
  <si>
    <t>Felipa Sierra Pamblcy</t>
  </si>
  <si>
    <t>…detecto bierno la nueva instrucción de intendentes formada de orden del Key de disfrutarlos. Los que disfruten estas encomiendas de hecho han es por el director que fue de rentas D. Felipa Sierra Pamblcy , á fin de tado percibiendo lo* diezmos; ¡pero con qué derecho? Kilos indivi que recrificada con amalo 4 las innovaciones hechas en el sistema de duos deben considerarse en el mismo caso que li.s paiticiprs legos, y Hacienda desda el afio da i8so, la remita o…</t>
  </si>
  <si>
    <t>Pamblcy, Sierra</t>
  </si>
  <si>
    <t>Sierra Pamblcy</t>
  </si>
  <si>
    <t>…tenían otro carácter que el de empleados públicos, y Gobierno, y solo el de la junta del Créd.to público. como tales debían ser satisfechos por k Nación , porque tenían derecho £1 Sr. Sierra Pamblcy expuso que esto no era exacto, sino una equi á que se le* pagase su trabajo en beneficio público; y que las dtmas du vocación ; y el Sr. L /bato continuó: Sen una equivocación de los que das propuestas por S. S- no consideraba que fuesen bastante* para que re…</t>
  </si>
  <si>
    <t>…érminos, que de ningún El Sr. Alvarez Guerra: Creo que conviene el que te aclare un idea modo pueda de sus bienes reintegrarse el cuerpo de qne dependa de lo que ha manifestado el Sr. Sierra Pamblcy; esto es, respecto de la parte que les hubiere suministrado.* que el Crédito pública ha tenido en este asunto. El defecto en mi en Y habiendo consultado recientemente los comandantes generales de tender proviene de que las Cortes nomb'aron una comisión de Vis…</t>
  </si>
  <si>
    <t>Pambley, Felipe de Sierra y</t>
  </si>
  <si>
    <t>Felipe de Sierra y Pambley</t>
  </si>
  <si>
    <t>…exijan sus circunstancias, y de la propia mane Está rubricado de la Real mano.esEn Palacio á 16 dé Mayo de lün — en qu^c comunicó y adoptó en .la misma América meridional la or- A Don Felipe de Sierra y Pambley. ^ ' Dirección dt coatriimcicnes directas. Resémep general que demuestra loa débitos que quedaron pendientes en fin de Marzo último por las contribuciones que se dirán, lo cobrado fi cuenta en Abril, y débitos que resultan para recaudarse en Mayo. I Débitos q…</t>
  </si>
  <si>
    <t>…lo existente basta 31 de Diciem que y circule.= Rubricado de la Real roano.=Fn Aranjuez á 3 de Ju bre último, puesto que desde t.° de Enero no podía circular ningún nio de i8aa=A D. Felipe de Sierra y Pambley. medio luis; y no teniendo entregado los prestamistas en los primeros Circular del mmiittrío dtUacltnda. dias de Enero mas que 30 millones de reales, entregas que se han hecho Los Sres. diputados secretarlos de las Cortes me comunican en aj con capitales toma…</t>
  </si>
  <si>
    <t>…or donde dréis se imprima, publique y circule. =&amp;ubricado de la Real mano.=s los periódicos suponían haber yo sentado en Is sesión del 3 que había Aranjuez á 3 de Junio de i8ia.=A D. Felipe de Sierra y Pambley. recibido la noticia de la muerte del general Elío, loa be leido deteni damente; y veo que algunos (no todos) se equivocaron en las expresio Don Fernando vir por la gracia de Dios y por la Constitución de nes que me atribuyen. Dije que me lo escribía persona…</t>
  </si>
  <si>
    <t>…la rodean y amenazan. Ya no b ique y circule.3Rubricado da la fiUal mano. En Araejuez a 10 de es tiempo de contemplaciones. El Rey cercado de facciosos no puede Jun.o de tflaa.3 A D. Felipe de Sierra y Pambley. egercer las facultades de Rey constitucional de la* Fspañat: su* minis tro* en igual situación no pueden gobernar el Estado: la Diputación Don Fernando vu por la gracia de Dina y por la Constitución de le sin una acción conocida pierde la consideración de lo…</t>
  </si>
  <si>
    <t>…que y circule.es Avila............................... 1.968,07a Está rubricado de la Real mano.=En Aranjuez á 16 de Junio de 18 a a. Burgos.......................... 4 621,870 s=A D. Felipe de Sierra y Pambley. Cádiz............................... 3.243,270 Circular dtl ministerio dt Hacienda. Cataluña.......................... 12.028,731 Los Sres. diputados secretarios de las Cortes con fecha 11 del mes Córdoba......................... 5-'33.*7« próximo pasado me…</t>
  </si>
  <si>
    <t>…éis TRIBUNATFS. •e imprima, publique y circule.=Está rubricado de la Real manóos Por el juzgado del Sr. D. Angel Fernandez de los Ríos, magistra En Palacio 4 8 de Julio de 1812.=A D. Felipe de Sierra y Pambley. do honor-rio de la audiencia de Castilla la Vieja, juez de primera ins Circular del ministerio dt la Gobernación de la Península. tancia y de la Hacienda pública de esta capital, y escribanía del nú Para fijar la cantidad diaria con que se ha de socorrer á l…</t>
  </si>
  <si>
    <t>…se unpr.ma, pubiqus portes, certificadas por ios secrétanos de los ayuntamientos de loa mis y circule.sRubncado de la Real mano.sEn Palacio a 1 a de Julio da mos puebo». idas a.\ D. Felipe de Sierra y Pambley. Art- *» Fn fin de cada tercio formarán los pu-blot usa liqu'dacion arreglada a', mod-lo que acompaña de ios sut n st-os que m.V;D. Fernando vn por la gracia de Dios y por la Constitución de la ten hecho en tc&gt;d &gt; é ; y ps-a ju-t ficar los precios d. ios grn…</t>
  </si>
  <si>
    <t>…res y eclesiásticas, publique y circule =Estí rubricado de la Real mano.sEn Palacio i de cualquiera clase y dignidad, que guarden y bagan guardar, cumplir 10 de Julio de i82 2.= \ D. Felipe de Sierra y Pambley. y egecutar el presente decreto en todas sus partes. Tendreislo entendido Don Fernando vrr por la gracia de Dios y por la Constitución de para su cumplimiento, y dispondréis se imprima, publique y circule.» la Monarquía española, Rey de las Españas, á todos l…</t>
  </si>
  <si>
    <t>…publique que no present ndote opositores', el ayuntamiento daití la plaza á quita y cr'ule.seRubricado de la Real mano.=En Palacio i 10 de Julio tenga por conveniente. de 1811.SA D. Felipe de Sierra y Pambley. ANUNCIO. Nuevo si'abario arreglado á la pronunciación , compuesto par el co F.’ Rey , i propuesta del consejo da Estado de to del corriente mes legio académico de profesores de primera educación de esta corte, al de Julio, se ha servido nombrar mag’str do, d…</t>
  </si>
  <si>
    <t>…stas tiempo en noticia de las Corte$.=:Está rubricado de la Real mano.=En distinciones se pagará el derecho de creación y de sucetion según se ha Palacio á 16 de Julio de 1811 = \ D. Felipe de Sierra y Pambley. ejecutado siempre; pero coa la proporción que sigue: Circulares de la Gobernación de Ia Península. Por creación. Por sucesión Por trans Los Sres. diputados secretarios de las Cortes con fecha de 19 de Ju en linea. venal. nio último dijeroft á mi antecesor lo…</t>
  </si>
  <si>
    <t>…ndréis se imprima, publiqué pidan sin la firma del Rey se graduarán por el orden siguiente de y circule.ss Rubricado di la Real mano.—En palacio á 13 de Julio do sueldos: 1822.= A D. Felipe de Sierra y Pambley. Hasta cuatro mil cuatrocientos reales en sello.................................... 4.® D-sde cuatro mil cuatrocientos uno hasta seis mil y seiscientos...... g.® Juicio dt jurado/. Desde seis mil seiscientos uno hasta ocho inil ochocientos.............. i"° D…</t>
  </si>
  <si>
    <t>…Rey, para qu* re pitamos á ellos mismos su Esté rubricado de la Real mano.= En Aranjuez é 3 de Junio da 1822. narración, nosotros que no somos mas que sus admiradores. Corramos sA D. Felipe de Sierra y Pambley. un velo sobre esto* acontecimiento* sangrientos: consignémoslos en la Lo que inserto i V. pura su exacto cumplimiento; en la inteli historia para que sirva de lección terrible é los malvados que sucedan á gencia de que para mayor claridad deberé manifestar c…</t>
  </si>
  <si>
    <t>Pambley, Felipe de Sierre y</t>
  </si>
  <si>
    <t>Felipe de Sierre y Pambley</t>
  </si>
  <si>
    <t>…y dispondréis te imprima, publi quin de Vifiali.sjaime Boach^sFrancisco Subirachs y Ferrer.” que y circule.ssEstá rubricado de la Real mano.esEn Aranju.z á g da junio da iBar.asA D. Felipe de Sierre y Pambley. Por providencia de la sala segunda criminal de la audiencia terri Hacienda de Ultramar. torial d: Castilla ia Nueva se manda citar y emplazar por medio de Los Sres. diputados secretarios de las Cortea me dicen con fecha a 5 los papeles públicos á Casimiro Pa…</t>
  </si>
  <si>
    <t>…redios rústicos ó ur publique y circule. — Rubricado de la Real mano. :£o Palacio á 10 banos correspondientes á lo» beneficios, préstamos ú efic-o» vacan: » ó de Juí ío de 18¿2-3A D. Felipe de Sierre y Pambley. que vacaren, y que no deben proveerse según los decretos y órd oes vigentes, entrarán desde luego en la mata de bienes dest nados á la in Don Fernando vn por la gracia de Dios y por la Constitución da demnización de los partícipes legos de diezmos. Se except…</t>
  </si>
  <si>
    <t>Pambley, Felipe Sierra y</t>
  </si>
  <si>
    <t>Felipe Sierra y Pambley</t>
  </si>
  <si>
    <t>…y i pesar de esto le absuelven; y aunque quie Rubricado de la Real mano. =En Palacio á 4 de Marzo de t8ax.=A ran disimular el grado de criminalidad, tolo la clase del delito debía D. Felipe Sierra y Pambley.” llamar la atención de estos magistrados para que diesen un egemplo á » Para que podáis despachar con mas prontitud el vasto cómulo de todos los que se hallasen dispuestos á com-ter semejantes crímenes. negocios que te versan en la secretaría de Estado y del…</t>
  </si>
  <si>
    <t>…entir, y diré la razón en grande y con la ex bricado de la Real mano.rcEn Aranjuez á 19 de Marzo de x8aa. — A tensión necesaria cuando se someta á la d liberación del Congreso. Es Don Felipe Sierra y Pambley. te articulo es el que habla de avocar á lasCort.s todos los expedientes re lativos á los nombramientos que haya hecho ei Gobierno para los em Por el ministerio de Hacienda se ha comunicado la siguiente orden pleos. k la dirección general de aduanas y resguar…</t>
  </si>
  <si>
    <t>…aja* la libertad de la patria: A lo* circule. =Rubricado de la Real mano. = En Aranjuez 4 21 de Mayo » ilustres comunero* Juan de Padilla , Juan Bravo, Francisco Maldode 1822.=: A D. Felipe Sierra y Pambley. „ nado, aquí decapitados: Por haberla defendido proyectaron este mo rí numento las Cortes generales de la Nación española en los años de Por fallecimiento de D. Juan Josef Cheri y Nufirz ha cuidado va „ 1B10 y 1831; y lo mandaron erigir por unanimidad laa de…</t>
  </si>
  <si>
    <t>Pambley, Sierra</t>
  </si>
  <si>
    <t>Sierra Pambley</t>
  </si>
  <si>
    <t>…ión de tas juntas y densas instituciones sanitarias, y cuáles concluyó pidiendo se aprobase el artículo. ton los co^csmiento» generales que pueden justificar ia confianza ilimi El Sr. Sierra Pambley dijo que las contaduría* de propio* de las tada p4*mmplitud del poder que deben gozar las personas que bajan provincia* eran contra la Constitución , lo mismo que la general que de con* con la disección de loa lazaretos. había quedado suprimida, y que este er…</t>
  </si>
  <si>
    <t>…les y juzgados , aunque sean nombrados por es Se mandó pasar i la comisión de Hacienda la siguiente proposición tos , como también los procuradores y los Sftntes con título.** del Sr. Sierra Pambley: * Pido á las Cortes declaren que los censos, El Sr. Sancho dijo que habis una clase de empleados públicos, cuya reducción se autoriza por el decreto de r8 de Diciembre de s8az cual era la de los dependientes del Crédito público, que tenían nombra 4 créditos…</t>
  </si>
  <si>
    <t>industriosos, moderados y pacíficos, y estas calidad** son el mejor es «icion hecha ayer por el Sr. Sierra Pambley ( véase la gaceta del t del cudo contra la propagación de la paste moral que infesta á las demas. corriente), y opinaba debía aprobarse: asi se acordó. S. M. el Rey de Ñipóles ha concedido al general l'nmoat el títu Se continuo ia discusión del codu-o paial.…</t>
  </si>
  <si>
    <t>…efundirse en el art. st6 , sus que entran i servir en el egército en cíese de tambora, pita dcc., y la tituyéndose ks pena de estos á la de aquel. otra acerca de la propaicion del Sr. Sierra Pambley aprobada por la Por último opinaba que el art. 117 debia suprimirse, y que el san Cates en la saion de aya. correspondía al libro 3“ del código civil; y hacia une observación , 4 Se leyeron las recdficacioaa de la limita de la provincias, co saber: que aunque…</t>
  </si>
  <si>
    <t>…debe á pretexto de esto entorpecer la he citado, los cuales tienen tanto derecho i esto como los particulares. justa indemnización de que ae trata, y que Unto reclaman un sinnú El Sr. Sierra Pambley: El Sr. Martel ba seguido el mismo camino mero de familias que están sumidas en la miseria por haberles privado que algunos Sres. que han hablado contra el dictamen de la comisión; de hecho de lo que las pertenecía. Repito pues que no debemos entrar r todos s…</t>
  </si>
  <si>
    <t>…grados, el clero sumido en la miseria , y ios malvados aprove cada uno la correspondiente certificación. chándose de esta ocas.'on para conseguir sus fines. Yo bien conozco que El Sr. Sierra Pambley: La junta de que habk el artículo que se los Stes. de la comisión están animados del mejor zelo; pero veo que discute no tiene mas objeto que el administrar los bienes que corres ai se aprueba su dictamen no* exponemos á males incalculables. Los pondan á los…</t>
  </si>
  <si>
    <t>…rán i pública subasta entre ellos solos, debía guardarte el mismo método respecto de loa demas patronatos. jr á pagar precisamente con estas certificaciones, devolviéndose siem El Sr. Sierra Pambley, considerando como justa la observación del pre en otras el sobrante de las que se presenten en pago.” Sr. Sancho, dijo que la comisión sustituía á la palabra laical la da El Sr. López (D- Marcial): Habrá diócesis en que con motivo pasivo. de poderte aplicar…</t>
  </si>
  <si>
    <t>…sujeta su decisión Sesión dtl *9 dt Entro. al intendente, s no é los tribunales superiores como todo litigio. Aprobada el acta de la anterior, se mandaron tener presentes en le El Sr. Sierra Pambley sostuvo la primera opinión .diciendo que loa discusión del código penal las observaciones del R. obispo de Astot- jueces que ptesiden í lss subastas no son mas que meros comisionados, pues si tuviesen facultad contenciosa entonces no habría remate sin quo ga…</t>
  </si>
  <si>
    <t>Pambley, Sierre</t>
  </si>
  <si>
    <t>Sierre Pambley</t>
  </si>
  <si>
    <t>…subastas de esta clase se verificarán dentro de diez forme con el carácter que debe tener esta comisión. dias contados desde el inmediato en que se hubiese hecho el tanteo con Et Sr. Sierre Pambley manifestó que ea cate arricu!-» se había pro la concurrencia del intendente, contador y administrador de la aduana, cedido con arreglo á lo dispuesto en el decreto de ap de Junio, y que haciendo de secretario un oficial de la contaduría. te podría suprimir la…</t>
  </si>
  <si>
    <t>Pambley.siguiente, Felipe de Sierra y</t>
  </si>
  <si>
    <t>Felipe de Sierra y Pambley.siguiente</t>
  </si>
  <si>
    <t>…la , Rey de las Espatos , a todos los que las pre bricado de la Real mano=En Aranjuez á 16 de Mayo de i8zz.es Asentes vieren y entendieren , sabed: Que las Cortes han decretado lo D. Felipe de Sierra y Pambley.siguiente: «■lis Cortes, usando de la facultad que se les concede por la Constitución, han decretado lo siguiente: . . CREDITO PUBLICO. r.° En todos los sueldos, gages, pensiones, y en toda clasedesala- Conviniendo dar la mayor publicidad posible ! lo resuelto perrios…</t>
  </si>
  <si>
    <t>Pamblry, Felipe de Sierra y</t>
  </si>
  <si>
    <t>Felipe de Sierra y Pamblry</t>
  </si>
  <si>
    <t>…e imprima , pu ies y medio. blique y circule, zz Rubricado de la Real mano. = F.n Aranjucz á 24 La Cocinera económica y el Repostero famoso, amigo de los gole de Mayo de 1822. = A D. Felipe de Sierra y Pamblry. aos: 3 tomo* en 8.n Obra completa en su clase de la que ha careado Jui ¡ot dr jurado 1. hasta ahora hspaía. Se vende al precio equitativo de 11 rs. cada tomo En la ciudad de Sevilla, alnendo calificado los jueces de hecho con suelto, y de 10 aborándote á los…</t>
  </si>
  <si>
    <t>Pambtey, Sierra</t>
  </si>
  <si>
    <t>Sierra Pambtey</t>
  </si>
  <si>
    <t>…ia general , sino también ci habiendo preguntado el Sr. Muñoz Arroyo por el oficio de remisión, derecho que tenían á su indemnización con los bienes del clero, poce le contestó el Sr. Sierra Pambtey que so había tal oficio por parte del que lo* clérigos no tenían otro carácter que el de empleados públicos, y Gobierno, y solo el de la junta del Créd.to público. como tales debían ser satisfechos por k Nación , porque tenían derecho £1 Sr. Sierra Pamblcy ex…</t>
  </si>
  <si>
    <t>Pamp</t>
  </si>
  <si>
    <t>…s efectos robados por e. irlo y patrio pagársele sus servicios, y estuviese obligado á sen-ir d:balde i la patria. tismo del alcalde constitucional de Quintanar de la Urden, en El Sr. Pamp ona haoló también contra el dictam.n , y opinó que Mancha, D. Antonio Jiménez Izquierdo. volviese á la comisión. Otros Sres. diputados apoyaron al preopinact*; y el Sr. Borges Car- C.-z.iiz 9 de Air!!. neiro dijo que hasta ahora no se había presentado al Cong…</t>
  </si>
  <si>
    <t>Pamplona</t>
  </si>
  <si>
    <t>…gento rario del bala! on ligno prim.ro de Voluntarios de \ragon, ¡&lt;t. mayor de li m-t c-i aci.ra de inmpostna (Ferrol), id. Alcañiz i I). Ptbto Vi;a, espitan graduado tic teniente coronel Pamplona i D. Tiburck Zanzrza, espitan giaduado da tem nta del reg'mi-nlo infantrría de Aragón, id. coronel del reg:nu r; 1 ■ zapadores, idArar.dad Da.toé D. Ramón oantillaa, espitan dt! regimiento Saiamancm á D. Jusn Antonio i'v -rtaa. tcrier.te coronel graduado caba…</t>
  </si>
  <si>
    <t>…e se dió aviso á la Puerta de este proyec do, invitó a¡ Congreso á tratar de cada uno de ellos en particular. to , pues ha lomado providencias contra los brulotes que temía lle El Sr. Pamplona pidió la palabra, y dijo que hablaría únicamente gasen del Ponto Euxino. de la orden para la salida de las tropas portuguesas que ocupaban é SUECIA. Montevideo, de que se habia tratado en la sesión anterior, en ia que se Stockolmo a de Agosto. había presentad…</t>
  </si>
  <si>
    <t>Pamplona, Torrijos de</t>
  </si>
  <si>
    <t>Torrijos de Pamplona</t>
  </si>
  <si>
    <t>…rdia a derecha e izquierda p &gt;r a en Orozco con 30o infantes y 100 caballos. El mismo día a sanó el la orilla del ro y por frente det rastrillo; duró e' fuego como uno, 6 valiente general Torrijos de Pamplona para Lutr.b.er i encontrarse con minutos con histrr.t; fuerza; pero hab etdol -s disparado un cañonazo O-Donell, que lenta 1 ó }J hombres. Guergue anda haciendo mil • I artillero de la batería , se fugaron pncipitadamente: no se sabe que exacciones por los pu…</t>
  </si>
  <si>
    <t>Pan, Josif'dar-a</t>
  </si>
  <si>
    <t>Josif'dar-a Pan</t>
  </si>
  <si>
    <t>…daciones , llegó á dicha ciu de Castilla la Nueva de 1 ' d.'l a.iua: , r-'i.-shh r - su .se- faro de dad I las nu-ve de la mañana del 2 1, causando en sus habitan! s tales C inara D. Josif'dar-a Pan ¡agua , y á -un: a d !- Ja me R ca . se D. M.»r.u ' C»&gt;t- tropelías, que sola la imaginación puede concebirías, y que aun hubie hace sab r por medio de L'» pap 1 s pé’- ,j ran pasado adelante, si aleuno de estos, drcdidos a vengáis' y protegi de vta vrc ndad,…</t>
  </si>
  <si>
    <t>Pan.biey.', Felipe de SicTra y</t>
  </si>
  <si>
    <t>Felipe de SicTra y Pan.biey.'</t>
  </si>
  <si>
    <t>…se extienden largamente en re y c;rcu.e. = H.ul»r.c 1 &gt; de la Rea' mano.='ia Aranjucz á to de jumo ía..onos di ¡as Uriüant rs ceremonias con que se ha celebrado ia institu de ida D. Felipe de SicTra y Pan.biey.' ción de una r.u-vi orden, llama la de! S.l, c iando los nombres de lo» a, Moai i, y entre ios cuales se h rilan las autoridad:* deJ Perú y vario» „D en Fernando v¡r por la gracia de Dios y per la Constitución de ¡!,J vi.'nos de Cirilo, d; Columbra y de Buenos…</t>
  </si>
  <si>
    <t>Pandilla, Josef Alvarez</t>
  </si>
  <si>
    <t>Josef Alvarez Pandilla</t>
  </si>
  <si>
    <t>…perjuicio que haya lugar. Logroño administrador D. Juan Manuel de S. Román , habilitado Hallándose pendientes en el juzgado de la comandancia general de portas Cortes. Interventor D. Josef Alvarez Pandilla, oficial de le este primer distrito militar los autos de testamentaría del Excmo señor tesorería de León. D. Josef Joaquín Duran, mariscal de campo de lo* egércitos naciona Soria int:rventor D. Aquilino Hernández, oficial de la contaduría les á instancia de v…</t>
  </si>
  <si>
    <t>Pando, Manuel de</t>
  </si>
  <si>
    <t>Manuel de Pando</t>
  </si>
  <si>
    <t>…o francés y hasta fin de 1811 de 31,400 rs.; si alguno las tuviese ó supiese de ellas, á todos los embajadores extiaisgcros, pidiendo que se reconozca su in ae serviré dar aviso á D. Manuel de Pando, que vive en la lonja de las dependencia y una respuesta cal :górica sobre esto, para regular según cuatro calles, esquina á la carrera de S. Gerónimo, quien dará uná ella las relaciones mercantil» con las potencias europeas. competente gratificación. » Renta…</t>
  </si>
  <si>
    <t>Panin</t>
  </si>
  <si>
    <t>…on este objeto. tra los dip'om ticos que opinaban por la guerra, y que serán destituidos; Los bres. d= la »a!a segunda del crinun de la audiencia de Madrid ya citan entre estos ai Sr. Panin en Varsovia, y al Sr. Golenhln en Vie por el presente anuncio citan, llaman y emplazan á I,idro Jara, vecino na. —Ya se dice que el Congrrso será en Verona para Setiembre , y no ■de Poyales del Floyo , so tero , carpintero, de 17 a-'rs de edad ,re*o pró en Fl…</t>
  </si>
  <si>
    <t>Paños, Miguel López de</t>
  </si>
  <si>
    <t>Miguel López de Paños</t>
  </si>
  <si>
    <t>…u cumplimiento , y dispondréis se imprima, publique y circule. nimidad no haber lugar á la formación de causa. Rubricado de la Real mano.=:Fn Palacio á tó de Setiembre de 1822.S A D. Miguel López de Paños. El Sr. fiacal de imprenta denunció al Sr. alca'de constitucional Don Vicente Beltran de Lis, en concepto de subversiva y sediciosa, la pri El Gobierno ha r.'c¡l»*/,o los partes siguientes: mera representación hecha i S. M. por el duque del Infantado, impresa…</t>
  </si>
  <si>
    <t>Pantana, Ant.nio López</t>
  </si>
  <si>
    <t>Ant.nio López Pantana</t>
  </si>
  <si>
    <t>…xt-rmínar al malvado, ha perp-tuar su buena m moría)__Los caba teros de número ascienden ciendo e debidamente expiar sus crím.nes.s^u/r/u.’’ i ion; entre ellos e¡ brigadier Bravo, D. Ant.nio López Pantana, i.le» i //._$« ha publicado hoy por bando que ninguna persona ni D. Manuel Rincón , D. Jos f Domingo Rus , el cancnno D. M.guel corpora :íon pueda promover vítores injuriosos á los buenos europeos, Ramos Ar-spe, D. Ramón Rayón, D. Juan Bautista Lobo y D. Joa…</t>
  </si>
  <si>
    <t>Pantoja, Josef Vera y</t>
  </si>
  <si>
    <t>Josef Vera y Pantoja</t>
  </si>
  <si>
    <t>…ieren, sabed: Que las Cortes han decre Santiago Amatriain i una de las fiscalías de la audiencia de Navarra, tado lo siguiente: •» Las Cortes extraordinarias, usando de la facul á D. Josef Vera y Pantoja; y para el de Trujillo, vacante por renun tad que te les concede por la Constitución, han decretado: Art. i." cia de D. Ventura Martínez Carvallar, á D. Manuel Prudencio Sobrino. Lo prevenido en el art. 6t del decreto orgánico del egército no priva al Gobiern…</t>
  </si>
  <si>
    <t>Pantojay, Juan Campo y</t>
  </si>
  <si>
    <t>Juan Campo y Pantojay</t>
  </si>
  <si>
    <t>…comisión de las conceptuasen habilitados para obtener destinos D. Fausto Galiano, Don Cortes, tuvieren por oportuno, i incorporar al Fstado todas las finca', JosefGonaalez Cosío, D. Juan Campo y Pantojay D. Manuel Fran censos y derechos pertenecientes á las hermandades, cofradías y demas cisco Fernandez. aplicadas al Crédito público , «jue se encontraren mezcladas con los Otro de la comisión de Premios para que se señale i la viuda de bienes de las iglesias destinados a la…</t>
  </si>
  <si>
    <t>Par</t>
  </si>
  <si>
    <t>…la dota salvarse, escondiéndose en las casas de varios particulares. Algunos que ción de esta plaza, como lot destinados á 11 junta superior económica á las órdenes del intrépido capitán Par se hallaban en el fuerte del hos del cuerpo, se me presentaron en les n;or...ntos c¡ ticos, y unidos con pital , rompieron el fuego, qu: duró basta al anochecer, de cuyas resul el fusil i las filas de los milicianos ó al lado ds lo, artilleros, perma tas qued…</t>
  </si>
  <si>
    <t>Par, Duque del</t>
  </si>
  <si>
    <t>Duque del Par</t>
  </si>
  <si>
    <t>…rcicio. Por una casualidad tengo en mi poder la lista de los indivi to este individuo no había presentado sus poderes. Aprcbido. duos que tienen este empleo, y entre ellos está el Sr. Duque del Par lilas Bolearet. D. Felipe Bauzi. La comisión opinaba debían que. Este individuo no desempeña este servicio; pero aun cuando esto aprobarse lo* poderes de este Sr. diputado. Aprobado. se verifique no por eso deja de ser gentilhombre. Este es verdadera Burgos v…</t>
  </si>
  <si>
    <t>Par, Josef</t>
  </si>
  <si>
    <t>Josef Par</t>
  </si>
  <si>
    <t>…t'f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 D. B rnardo Rodríguez, ahora quiénes ton los poseedores d 1 estos títu'os, sin embargo de las D. Pablo haracibsr, D. Manuel Silva, D. Josef Tutor, D.…</t>
  </si>
  <si>
    <t>Par, Pablo</t>
  </si>
  <si>
    <t>Pablo Par</t>
  </si>
  <si>
    <t>…pública se manifiesta bastante to ponderable. como igualmente el del capitán retirado que se brindó á la qui u sobre este punto, y V. fi. I. conoce bien que conviene mucho salida D. Pablo Par, el P. F. Hermenegildo de Barcelona, religioso ca s espetara. puchino , que en medio de las balas animaba á los soldados con serenidad Ruego i V. S- I. se sirva darme conocimiento de las prevencio y energía, aumentando mi satisfacción sobremanera el no haber…</t>
  </si>
  <si>
    <t>Par-des, Teresa</t>
  </si>
  <si>
    <t>Teresa Par-des</t>
  </si>
  <si>
    <t>…icitudes de Dolía María cion pasase - !a comisión, y que con ella volviese á 1a mumi su ante Bítc-.tu , viuda , para que se le concediese una pensión a su lujo : de rior dictamen. Doña Teresa Par-des, viuda del mariscal de campo D. Francisco de La com-sion de libertad de imprenta presentó su informe acerca de Oita, para que ve le concediese una pensión por los méritos de su di las duda» propuestas por la ¡unta protectora de la m.-mt. La i.-* ou.:a funto m…</t>
  </si>
  <si>
    <t>Parada</t>
  </si>
  <si>
    <t>…los electores en la imparcialidad de que estas elecciones eran anticonstitucionales, y por lo mismo nulas. una persona que vota contra su modo de pensar! Yo creo que por estas El Sr. Parada dijo que no habiendo ley que prohibiese al gefe po razones no puede ser el gefe político de una provincia elector da lítico el poder ser presidente y elector de ia junta cl.ctoral, no podía partido. decirse que estas elecciones eran nulas. Por otra parte debe…</t>
  </si>
  <si>
    <t>Paramo, Josef</t>
  </si>
  <si>
    <t>Josef Paramo</t>
  </si>
  <si>
    <t>…ta-insignias de loa alcances. Lusitania D. Tomas López y D. Antonio Ratz, y ei teniente del regi » Entre loe prisioneros se cuentan D. Juan Santa Marfa , llamado miento de Sagunto D. Josef Paramo, quienes después de hacer todos espitan de granaderos y comandante de la infantería; Domingo Brion- los reconocimientos y ordenes que les he encargado se han batido é la gos, de la de cazadores} Lorenzo Aldea, «argento de la quinta, y Fer cabeza de la tropa,…</t>
  </si>
  <si>
    <t>Parara, Felipe</t>
  </si>
  <si>
    <t>Felipe Parara</t>
  </si>
  <si>
    <t>…mandancias subalternas de provincia correspondientes al sexto contra el autor del papel titulado £i Chismoso, núm. z.°, y su suple distrito. Para la de Huesca al mariscal de campo D. Felipe Parara, go mento. Igual declaración recayó respecto del núm. 5.0 del mismo, ae ir bernador de la plaza de Jaca. cual disintieron dos señores jueces de hecho. La misma declaración tu Séptimo distrito. Para comandante general de él, que se compone vo lugar por unanimi…</t>
  </si>
  <si>
    <t>Pardillo, Francisco Javier</t>
  </si>
  <si>
    <t>Francisco Javier Pardillo</t>
  </si>
  <si>
    <t>…pitán D. Cirios Aguado López, teniente del regi Stgundot ayudante*. miento infantería de Soria, con 570 rs. Alicante al capitán graduado D. Ramón de Zamora, teniente dei. Mérida i D. Francisco Javier Pardillo, teniente supernumerario regimiento infantería de la Reina, con 570 rs. al mea. del segundo voluntarios de Aragón , con 570 re. Alcojr A D. Pedro García , teniente supernumerario del regimien- . Manrcsa A D. Manuel Diz, teniente del regimiento infantería' to…</t>
  </si>
  <si>
    <t>Pardo, Cristóbal</t>
  </si>
  <si>
    <t>Cristóbal Pardo</t>
  </si>
  <si>
    <t>…a varias colegiatas de Aragón y Navarra solicitando lo propio. Aprobado sala sobre una mesa. La misma comisión opinaba que no debia accederse á la solicitud Cádiz ta de Abril. «le D. Cristóbal Pardo, cx-monge gerónimo, para que se le aumenta £1 Excmo. Sr. comandante general del departamento ha aprobado se su pensión. Aprobado. que se esnblexcan en la vigía de I* torre deTavira de esta ciudad las sé El Sr. Canga leyó el dictamen de la comisión de Hacienda…</t>
  </si>
  <si>
    <t>Pardo, Manuel</t>
  </si>
  <si>
    <t>Manuel Pardo</t>
  </si>
  <si>
    <t>…dar, so intitulado Jiri ría de una Constitución política para Espacia por un cumplir y egecutar el presente decreto en todas sus partes. Teadrcitlo cspaijol, denunciado por el Dr. D. Manuel Pardo, fiscal de impren entendido para tu cumplimiento, y dispondréis se imprima , publique ta de la provincia de Valencia; la ley absolvió á Venancio Olivara y circule. = En Aranjuez á 9 de Abril de 1811.«Rubricado de la responsable de d&lt;cho impreso , y en su cons…</t>
  </si>
  <si>
    <t>Pardo, Nico'as de Barto’omé Alvarez y</t>
  </si>
  <si>
    <t>Nico'as de Barto’omé Alvarez y Pardo</t>
  </si>
  <si>
    <t>…ciones del Banco.............. 784. i D. N colas María Almoina; para el da Sta. Marta de Ortigueira á Deuda con interes....................................................... 794. D. Nico'as de Barto’omé Alvarez y Pardo; para el de Puente de Ume i ANUNCIOS.D. Josef María Lebrón; para el de Santiago de Sisamo á D. Manuel Josef Silva y Cedrón-, para el de Vimiaazo á D. Manuel Bermudez Pi- En la villa de Pozuelo de Alarcon, conocida vulgarmente por Po m nt-li pura -I de Nova á…</t>
  </si>
  <si>
    <t>Pare, Ana de</t>
  </si>
  <si>
    <t>Ana de Pare</t>
  </si>
  <si>
    <t>…alas de Ecija, en cabeza de Alonso Martínez Ponce , su data ea ganlo '.as contradicciones que tuvo su apoteosis en la Convención. Dios 13 de Mayo de 1397. Al mayorazgo fundado por Doña Ana de Pare mismo, que con &lt;us palabras y su cgemplo nos recomienda tanto el des , viuda del capitán García de Heredia, de que es poseedor D. Fer r- speio y la obed.encia A los Reyes , hace de ellos una pintura (cap. 8, nando María de las Pefiaá, corresponden los juros s…</t>
  </si>
  <si>
    <t>Pare, García Catvajal y</t>
  </si>
  <si>
    <t>García Catvajal y Pare</t>
  </si>
  <si>
    <t>…ación. de Robles, D. Francisco de la Rocha por agregación del mayorazgo &gt;■ Drst nado por el Sr. comandante general de este distrito para con- que pozaba su hermano D. Pedio Duran; D. García Catvajal y Pare tnuar '»&gt; operaciones de la piazs de la C onstitución, puerta dei Sol y des; Elvira de Paredes, muger de D- García Alvarez de Toiedo, á ca'&gt;r, inm distas, en virtud del ofrecimiento que como ciudadano le Pavorde su hijo García de Paredes; Diego Duran de la Ro…</t>
  </si>
  <si>
    <t>Parece, Oliven</t>
  </si>
  <si>
    <t>Oliven Parece</t>
  </si>
  <si>
    <t>…u parte procederán como •1 procedimiento de un empleado público, que la ley fundamentaLno tengan por conveniente. ha previsto ó no ha marcado. En el artículo *43 de la misma se £1 Sr. Oliven Parece que los demás señores de la comisión no opi dice que ni las Cortes ni el Rey pueden avocar las causas pendientes: nan del mismo modo que el Sr. Villanueva; por consiguiente estamos por consiguiente se ve que este articulo se refiere á una avocación, de «n el…</t>
  </si>
  <si>
    <t>Pared, Juan de</t>
  </si>
  <si>
    <t>Juan de Pared</t>
  </si>
  <si>
    <t>…iento g¡t . sistema de equilibrio con respecto 1 una gran potencia del Norte. A Sevilla a 2 de Octubre. este fin, dicen , la Inglaterra ha creído que las conferencias particulares D. Juan de Pared"*, comandante d: una partida de caballería del son preferibles al Congreso, y aseguran que lord Wellington, antes de regimiento de Numancia, desde la Puebla de Cazares cor. f.-cht 17 dal su llegada á Viena, ha enriado i decir que sus intenciones no son de act…</t>
  </si>
  <si>
    <t>Paredes</t>
  </si>
  <si>
    <t>…que obra en el expediente , sobre el que puede Señor: luego se necesitan otras formalidades, llay mas. ¡Las Cortes ex principiarse á formar algún juicio acerca de la conducta del Sr. Paredes; traordinarias pueden ocuparse de la formación de leyes sin ser invitadas pero siendo posterior al oficio remisivo del Sr. secretario de Gracia y por el poder egecutivo: No Señor. ¿Lo han sido para estas leyes? Tam Justicia, y no habiéndole recibido las Corte…</t>
  </si>
  <si>
    <t>…la conspiración del y de Julio. r Y se ha de creer qu- el ces en la conspiración. auto de prisión es i consecuencia de los procedimientos del Sr. Garelly Esto quiere decir que el juez Paredes debía haberse atenido en esta como ministro! Yo no sé en qué se funda el auto de prisión: puede causa militar á hacer por separado las piezas correspondientes a ios oue que aparezca reo en aquella causa como complicado en la conspiración resultasen cómplices…</t>
  </si>
  <si>
    <t>Paredes, Juan</t>
  </si>
  <si>
    <t>Juan Paredes</t>
  </si>
  <si>
    <t>…ía y Justicia el Excmo. Sr. D. Nicolás Garelly, proceda i su arresto y con u.cion á la cárcel de villa, ponéadole en ella á disposición del Madrid Sábado 9 de Noviembre. expresado D. Juan Paredes. Constan ¿gui mente por este testimonio las diligencias practicadas en busca del Sr. Garelly su enfermedad, por la S. M. el Rey y SS. AA. continúan *ín novedad en su importante que no ha podido ser trasladado á la cárcel, y que el fiscal Paredes ha talud. S.…</t>
  </si>
  <si>
    <t>…olo por una in abraza dos puntos , de los cuales ae reduce el uno i reclamar la in terpretación se puede comprender que habla de los «x-secretarios , y esta competencia del fiscal D. Juan Paredes, y el otro á manifestar que es interpretación será tanto mas violenta cuanto mas difieren las circuns te es infractor de la Constitución y de las leyes. Para lo primero debie tancias. ra haber utilizado el Sr. Garelly el art. 13 del cap. 1 de la ley de &lt;S Los…</t>
  </si>
  <si>
    <t>…ido mucho. Se leyó 7 mandó imprimir el dictamen de la comisión especial de El Sr. Infante manifestó que este artículo había sido copiado lite Legislación acerca de una consulta de D. Juan Paredes sobre el indulto ralmente de la ordenanza inglesa , porque la comisión hab a creído concedido por s. M. i algunos de los guardias que invadieron hostil oportuno hacerlo asi, y porque Unto en España como en aquella na mente esta capital en la madrugada de 7 de…</t>
  </si>
  <si>
    <t>Paredes, Juan de</t>
  </si>
  <si>
    <t>Juan de Paredes</t>
  </si>
  <si>
    <t>…ayan batido contra el siste había derogado ni podido derogar ninguna !fv, de lo que resultaba que ma , síi.o. ó; culpados por los individuos de los pueblos; y estoy segu el fiscal D. Juan de Paredes habla inf-ing do i* Constitución ; y pues ro deque cu mi pueblo mismo, que no puedo negar tiene una com- que tocaba á las Cortes oír las quejas de todos los ciudadanos, roga paf.i t e..t-/u crin &gt;u cap;tan entre ios facetó os , si se fuesen á hacer ba á las m…</t>
  </si>
  <si>
    <t>…puntos principales en citaba de las Cortes, haciendo en cuanto estuviese en sus atribución -s, las c.rcunstancias extraordinarias en que nos hallamos, ia fuerza que que el fiscal D. Juan de Paredes se ajustase en ía actuación de la causa debe d,rse á la Mama; y esta para mí es una cuestión absolutamen á la Const ilición y á las leyes. te separada de ¡a primitiva. El Sr. Gaiiano : Yo quisiera que se imprimiese este dictamen, pues El Gobierno ha propuesto…</t>
  </si>
  <si>
    <t>Paredes, Juco</t>
  </si>
  <si>
    <t>Juco Paredes</t>
  </si>
  <si>
    <t>Núm. 331. (7 coarto*.) GACETA DE MADRID. MARTES 1a DE NOVIEMBRE DE i8aa. NOTICIAS EXTRANGERAS. Se dió cuenta de una exp alción de D. Juco Paredes , £-cv de la rSAKCI A. causa mandada formar a consecuencia de rt r .ve de la -zuard.-t R m los primero» dias de Julio, y su entrada l o,;:, en f.,t¿ ”c.r er - d.-l P.irh -2i) de Ostuht. mismo, consultando algunas duda» sobie si &gt;1 ru to d; h i l-.j ern- Nuíjt…</t>
  </si>
  <si>
    <t>Pareja, Alonso</t>
  </si>
  <si>
    <t>Alonso Pareja</t>
  </si>
  <si>
    <t>…entes dictá toldados de ta milicia activa de Sons, en la que manifestando que de menes. seaban concurrir al total exterminio de los enemigos del sistema, Uno sobre la solicitud de D. Alonso Pareja , vecino de Ec'ja, para pedían que te diese al Gobierno la correspondiente facultad pan que que se Itf concediese permito para emancipar i su hijo D. F-mando. pudiese destinarlos al punto de mas riesgo, ó en donde se tuviesen que La comisión opinaba se accedi…</t>
  </si>
  <si>
    <t>Pareja, Josef Francisco</t>
  </si>
  <si>
    <t>Josef Francisco Pareja</t>
  </si>
  <si>
    <t>…y conducente al bien de las Españas. Se concedió licencia para regresar i su país i los Sres. Alcaraz, » Antes de fijarla, y pira que sea tan productiva á la felicidad co Guerra (D. Josef Francisco Pareja), diputados por Ultramar. mo lo demandan la política y el honor nacional, sienta la comisión el Se aprobó la siguiente adición del Sr. Sánchez Salvador al dictamen seguro principio d; que abriéndose esta nueva, gtandí y legítima sen de la comisión de Guerra s…</t>
  </si>
  <si>
    <t>Pareja, Juan Pedro</t>
  </si>
  <si>
    <t>Juan Pedro Pareja</t>
  </si>
  <si>
    <t>…es que aun tiene para presen ei Gobierno sobre el particular. Aprobado. tar la cuenta general correspondiente al primet afio económico, y acce La de Legislación en la solicitud de D. Juan Pedro Pareja, natural diendo Iaa Cortes á su solicitud , de que lo* tesoreros y administradores deTalavera de U Reina, pidiendo dispensa de edad para administrar su* de todos ramos ríndan directamente las suya* á la contaduría mayor, bienes, era de parecer que se le conce…</t>
  </si>
  <si>
    <t>Pareja, Manuel</t>
  </si>
  <si>
    <t>Manuel Pareja</t>
  </si>
  <si>
    <t>…con v,reres; púdico* Doral, D. Josef Fernandez Guerra y D- Jotef Fustes. do aseguras- que si no hub&gt;era sido por la oscuridad de is noche , hu Sres. que d-clararon no haber lugar: D. Manuel Pareja, D. Josef bieran'quedado lodos prisioneros, sin qus de nuestra parte hubiese la dcSandorat y D Josef Lop¡z de Artibe. menor pérdida. Habiéndose dado sentencia por el Sr D. Rtmon da Areos, mr‘«* ARTICULO DE OFICIO. trsdo honorario de I* audiencia territorial d…</t>
  </si>
  <si>
    <t>…iones, y rodeado de un pueblo, en cu no , D. Pedro Ramón de Jerez, D. Josef Villa verde, D. Santiago Ma yo semblante se Lia aquel contento, que solo puede inspirar al habitan rín, D. Manuel Pareja , D. Cayetano García y D. Francisco de Gra te honrado la satisfacción de ver en sus legítimos defensores los hijos nada , declararon por unanimidad haber lugar á la formación de causa predilectos de una patria libre, i la que tantos dias de amargura causan co…</t>
  </si>
  <si>
    <t>Parían, Guillelmo</t>
  </si>
  <si>
    <t>Guillelmo Parían</t>
  </si>
  <si>
    <t>…diencia de Madrid y escribanía de los apellidos el bautizado. Cámara del cargo de D. Miguel Calvo García penden autos en segunda instancia entre partes, de la una actor demandante D. Guillelmo Parían, del comercio de esta corte, y de la otra D. Agustín Goulard, fabriLista de las circulares, decretos &amp;c.t publicados en la ¿aceta tn el cante de licores, sobre pago de 1380 francos, ó sea 55jo is. vn., á mes de Setiembre. cuyo pago fue condenado dicho D. Agus…</t>
  </si>
  <si>
    <t>Parían, Guillermo</t>
  </si>
  <si>
    <t>Guillermo Parían</t>
  </si>
  <si>
    <t>…mplaza Circular del ministerio sobre la presidencia en las juntas diocesanas. mientos se remitieron los autos originales á la expresada audiencia,(Gaceta del sai) adonde acudió el D. Guillermo Parían, solicitando que el D. Agus Real orden por la cual se deroga la de a6 de Febrero de s8s8 so tin dentro del término que te le asignase mejorase su apelación. Se conbre recompensas i los aprehensores de malhechores. (Gaceta del 1g.j cedieron varios; y no habien…</t>
  </si>
  <si>
    <t>Parnés, Josef</t>
  </si>
  <si>
    <t>Josef Parnés</t>
  </si>
  <si>
    <t>…dante de milicias go Moraleja, D. Diego Angulo, D. Cesáreo Agudo, I). Francisco de c.bal.eria del Sur en la Hivana; y en at-ncion al donativo de ico® Ardila , D. Vicente Aparicio, D. Josef Parnés , D. Mguel Batalla, rea-s en metílico que ofreció pata las urgencias del Estado, le dispen D. Manuel Cataban, D Manuel Josef Calzado, D. Manuel Cruzado, saron rl tiempo de servicio con Real despacho que le falt-.ba para po D. Jos tí Castro , D. Francisco Capd…</t>
  </si>
  <si>
    <t>Parque, Ramón</t>
  </si>
  <si>
    <t>Ramón Parque</t>
  </si>
  <si>
    <t>…s circuns barse lo» poderes de este Sr. diputado. Aprobado. tancias , á pesar de que es bien conocido el aprecio que el duque del Cataluña. D. Pedro Surra y Rull, D. Josef Grases, D. Ramón Parque se merece, y el patriotismo qne le acompaña , creo que se halla Sal vito de Fsteve, D. Francisco de Paula Roset y B*bí , D. Josef Bai- en la imposibilidad de ser diputad»; y mi creo obligado por la ley mis yes Oliva, D. Josef Melchor Ptat, D. Mariano Rubinat,…</t>
  </si>
  <si>
    <t>Partorin, Josef</t>
  </si>
  <si>
    <t>Josef Partorin</t>
  </si>
  <si>
    <t>…to infantería de Patencia á D. Luía de la Peña y Medrano, teniente de infantería y la Reina , con 570 rs. del batallón de la mi'icia activa de Búrgos , con 450 rs. al mes. Cádiz á D. Josef Partorin, teniente supernumerario del regimiento Pamplona A D. Domingo Zaldua, teniente del batallón ligero j.° infartaría de la Reina , con ¡70 1*. de Cataluña , con 570 rs. Ca'atayud al capitán D. Manuel Peralta, teniente del batallón li Pontevedra ¿ 1J. Josef Perei…</t>
  </si>
  <si>
    <t>Partouncaux</t>
  </si>
  <si>
    <t>…r fpo, anticipando el pago de estos detechos á la opinión del genriat febasiiani. á la venta; y por consiguiente Cochraae había reunido considerables Subió después á la tribuna rl general Partouncaux, y habló asi: caudales; con efecto, el.tal buque era una aduana flotante, t su pérdi &gt;» Yo también, señores, amo la 1 hartad y detesto el despotismo ,por da por lo perteneciente al Gobierno de Chile y á los particulares de ia que todo lo que nace de é! amanci…</t>
  </si>
  <si>
    <t>Pas, Gregorio</t>
  </si>
  <si>
    <t>Gregorio Pas</t>
  </si>
  <si>
    <t>…eguedad? los unánime* votos de los milicianos de Carmona, á quienes acompa {Culi el fin de tan temeraria empresa ¡El mayor afianzamiento de ñan el indecible placer de que su digno comandante D. Gregorio Pas nuestras libertades: el triunfo de la Constitución. Los que suscriben, cual se haliase en la corte, y alistado en el cuerpo de voluntarios ofi oficiales del cuerpo nacienal de Ingenieros, existentes en este tercer dis ciales , que tanto contribuyó á la victor…</t>
  </si>
  <si>
    <t>Pas, Juan Pablo</t>
  </si>
  <si>
    <t>Juan Pablo Pas</t>
  </si>
  <si>
    <t>…á En su vísta se reunió el jurado, compuesto de lo* Sres. siguientes: no consentir que ninguna nación del mundo te arrogue el detecho de D. Antonio Puigblanch, D. Cayetano Romero, D. Juan Pablo Pas intervenir en tus negocios interiores; lo primero porque no es justo, y cual , D. Josef Demetrio Rodríguez, D. Santiago Delgado, D. Fran lo segundo porque consideran cita máxima perjudicial de la interven' cisco Martínez Marina, D. Andrés Navarro , D. Domingo…</t>
  </si>
  <si>
    <t>Pas, Santiago</t>
  </si>
  <si>
    <t>Santiago Pas</t>
  </si>
  <si>
    <t>….gefe político de Galicia, 7 actualmente ministro rr-tr/no d nido mi solemn- y satisla; toro. E periódico int tu lado el Aten del tribunal especial de Guerra y Marina : por el Dr. D. Santiago Pas taren, dt Sevilla d ser b: largain nt- todas i?s parí cu andades del re- toriza Taboada y Martínez, uno de los 41 deportados á Canarias. Con* r.lnm • rio , f steios ¿cc. qu* aquella ciudad hizo al digno general. cluye con la lista de los deportados , y con un…</t>
  </si>
  <si>
    <t>Pascaguna, Pedro</t>
  </si>
  <si>
    <t>Pedro Pascaguna</t>
  </si>
  <si>
    <t>…ia que me reo imp lido á generalizar , mediante 4 Aprobado. que en los mas de les pueblos de esta provincia ha existido ó existe al La misma comisión, en vista da la exposición de D. Pedro Pascaguna cuadrilla de facciosos , proporcionará á los infelices seducidos el sio Valdés , solicitando se le habilitara para poder obtener empleo, y se que presentándose ante los alcalaes de aquellos , donde se fijará el presen le recomendase a! Gobierno para que le co…</t>
  </si>
  <si>
    <t>Pascua</t>
  </si>
  <si>
    <t>…rduas 1 estos campeones. Dios guarde á V. S muchos regimiento Il-f.int r&gt;» -,e Toledo, con Oyó rs. «ñus. B-navarte t.° de Agosto de l8aa.= Antun-o Camporedondo. — Teruel ai cantan D. Pascua: j'/rj s, ,ccundo ayudante del regi Sr. comandante militar de la provincia de Huesca. Lo que traslado á miento infante :a de Araron , con 0-0 rs. V. S. para su conoc.miento, satisfacción y d.m s efectos. Dios guarde V.lez el Kuhio al .ap tan D Jo&gt;-f V.i-’t ca…</t>
  </si>
  <si>
    <t>Pascual</t>
  </si>
  <si>
    <t>….s acere» de este funesto acontecimiento por conducto del capi • SS. MU. y A A. continúan sin novedad en su importante salud." tán genciai y gefe superior político de Otó. Domingo D. Pascual lUaJ, Con la mayor sorpresa hemos leído en los periódicos ingleses un que ha desembarcado en Inglaterra. oficio del agente portugués D. Juan Manuel de Figueiredo en Buenos- El 1.® de Diciembre fue cuando les gefes de la insurrección dieron Air-s, con iecha 11…</t>
  </si>
  <si>
    <t>…on d aent-mtento de no poder conti, • Dt Relacionas exteriores- Valdrá, Flore, (OrCirilo), Aguilar, nmr ratanirando de cerca roturo ,d? y ^ Zavala, Gírate , Benitez Peres , Amada (D. Pascual), Riesgo y Gar cía (D. Francisco ) . _ , : se o» 6 1 Dt Publicación de leyes. Lombardo, coato aecretot'O, Bicerra, _______ rfneo Echen ¡que. Jimence (D. Jotef María). Alcocer (D Santago), Vi- de sjcríficsrme en’Sbraqufe di la pama me obl.^n ¿ aceptar un dcsti…</t>
  </si>
  <si>
    <t>…D- Manuel Sierra, E&gt;. Luis Cántense, D. Antonio Cebollero, yor vehemencia le dirige estas terribles palabras: » Vengo corriendo D. Mariano Gudal, D. Celso Píanzon, D. Juan Bucle, D. Pascual del continente á deciros que el fanatismo y la intolerancia vuelven á Pratosi, D. Manuel Lasala, D- Miguel Gavara y D. Dionisio Ma recobrar alli su imperio: mirad lo que vais á hacer; admitiendo 4 loa rín, que lo hicieron en los expresados días. Luego que el…</t>
  </si>
  <si>
    <t>Pascual, Blas</t>
  </si>
  <si>
    <t>Blas Pascual</t>
  </si>
  <si>
    <t>…resenta en cada una de las islas, y tiene el veto en las resoluciones de de Angulo, en Sevilla á 14 de Noviembre de idem por Pedro de Or» las dos Cámaras. duna, por dos de ídem: á D. Blas Pascual, en ídem á 17 de Setiembie a.° El senado se compone de cinco vocales y de un presidente, de 1812 por Rafael Ignacio Frantone por uno de idem. nombrado directamente por el comisario superior; y la asamblea legis Por providencia del Sr. D. Ramón de Argos, minis…</t>
  </si>
  <si>
    <t>Pascual, Bu</t>
  </si>
  <si>
    <t>Bu Pascual</t>
  </si>
  <si>
    <t>…alanado* apenas tienen de de Angulo en Sevilla á 14 de Noviembre de idem, por Pedro de Orhumano mas que el exterior , pues careciendo de todo verdadero vín duña por dos de idem: á D. Bu Pascual en idem i 17 «la Setiembre culo social, y no conociendo sino muy imperfectamente las relacione* de 181 a, por Rafael Ignacio Fraasoné por uno «le ídem. de familia, estos islefiot se hacen una guerra perpetua, con la intención Habiéndose propuesto el ciudadano…</t>
  </si>
  <si>
    <t>Pascual, Juan Pablo</t>
  </si>
  <si>
    <t>Juan Pablo Pascual</t>
  </si>
  <si>
    <t>…y D. Joaquin Huerta Cevallos, D. Antonio María Espejo, D. Valentín cortos auxilios, á causa de que todos los pueblos están animados contra de Nicolás, D. Juan Fernandez Casariego, D. Juan Pablo Pascual, ellos , y que sus fuerzas son en el dia muy cortas, y abora seria menos D. Martin Miguel de Goicochea. con I: muerte de Bolívar; pero nada esperamos del Gobierno el obser . Reunido el jurado, y habida la oonferencia, se declaró por unani var el abandono con…</t>
  </si>
  <si>
    <t>…os, y los segundos afectan pro Casero, D. Mariano Zorraqnin y O. Juan Manuel de Aréjula. ferir contra ellos en sus discursos expresiones chocan ts. Sres. que votaron en contrario: D. Juan Pablo Pascual, D. Fran Aunque los turcos y los persas creen igualmente en Ja predestinación, cisco Barra, D. Valentín de Nicolás, D. Francisco Marina, D. Anto los segundos no siguen etis doctrina tan ciegamente como los primeros, nio PuigblancJi y D. Josef Radon. los cuale…</t>
  </si>
  <si>
    <t>…» La pérdida del enemigo fue sin duda considerable, pues aunque putación. se llevó los heridos en los caballos robados, se vieron sobre 16 en el Sres. que lo declararon absuelto: D. Juan Pablo Pascual, D. Joa camino real, entre ellos un oficial de caballería, y se asegura se quín Ruiz Llord , D. Francisco Martínez Marina, D. Bernardo Alon hallarán ocultos bastantes cadáveres; les matamos tres caballos, y les so , D. Antonio del Afcazar, D. Antonio Díaz del…</t>
  </si>
  <si>
    <t>…lego, el Ayuntamiento constitucionaI de Cádiz. conde de Torre del Fresno , D. Celestino Olozaga , D. Bernardo Por acuerdo del Excmo. ayuntamiento incluyo á V. S. copia del Asenjo, D. Juan Pablo Pascual, D. Juan Luque y D. Julián de oficio que le pasó el Sr. gefe superior político en t$ del que acaba, Fuentes. y de la contestación que se le da con esta fecha, y la alocución que Habida la conferencia resultó por unsnimidad haber lugar á la for dirige esta cor…</t>
  </si>
  <si>
    <t>Pascual, Juau Labio</t>
  </si>
  <si>
    <t>Juau Labio Pascual</t>
  </si>
  <si>
    <t>…ventajas del sistema. No nos de D. Santiago Delgado, D. Manuel Gallego, D. Isidro Merino, Don tengamos para esto en un principio mal aplicado y equivocado. Las Cor Cárlos Romeral, D. Juau Labio Pascual, D Lino Campos, D. Josef tes , atendiendo á la utilidad pública, que es el único objeto del legis María Puente y D. Francisco Barra. Los tais primeros declararon inju lador, deben cortar con mano fuerte los abusos que hasta aqui ha ha rioso dicho impreso. bid…</t>
  </si>
  <si>
    <t>Pascual, Pedro</t>
  </si>
  <si>
    <t>Pedro Pascual</t>
  </si>
  <si>
    <t>…Reunidos en la ciudad de Valencia loa Sres. juwe* de hecho Don que nos merecen algunas noticias transpirenaicas, hay otras en que se Salvador hanjuan, D. Manual Marco, presbítero, D. Pedro Pascual halla algo de verdad y bástame exageración; pero no cabe duda en Carbonell, D. Joaquín f:;ri, D. Sebastian Bal!las , D. Remigio Cruz, qua el resultado de ellas es que el partido ultra francés, qu* tanta pre- D. Joaquín Satz de Qumtaniüa , D. Mariano Orrit y D…</t>
  </si>
  <si>
    <t>Pasóte, Pedro Jo-</t>
  </si>
  <si>
    <t>Pedro Jo- Pasóte</t>
  </si>
  <si>
    <t>…Rio, jr otro acerca de la solicitud de varios labradores de txtracto dt la jaron Jt aytt ) Tauste. Quedó aprobada esta parte. La comisión de Hacienda, en vista de la solicitud da D. Pedro Jo- Pasóte á la discusión de la segunda, que ccmprende los haberes do *ef Moñis , vecino de Saniúcar de Barrameda , para que »- declare que los empleados en las legaciones y consulados generales y particulares» no deben aplicarse al Crédito público la* fincas de las cof…</t>
  </si>
  <si>
    <t>Pastaras, Mariano</t>
  </si>
  <si>
    <t>Mariano Pastaras</t>
  </si>
  <si>
    <t>…solicitud de que se le per humanidad durante la época del contagio deTortosa, Mequinenza y mita justificar su conducta durante el tiempo que estuvo prisionero. Aseó los ciudadanos D. Mariano Pastaras, presbítero, y vocal de la junta A la de Hacienda una exposición de Doña Josefa Posé, en solicitud superior de sanidad de Aragón; D. Agustín de Quinto, D. Mariano de que se la conceda una pensión. Gros, capitán retirado; D. josef Rubio Sisón , individuo de la…</t>
  </si>
  <si>
    <t>Pastor, Eduardo</t>
  </si>
  <si>
    <t>Eduardo Pastor</t>
  </si>
  <si>
    <t>…n lat que se hiciesen, y se lo reapectivo á la denuncia que hizo de ¿I D. Alfonso Gallego; y en procederá á lo que baya lugar. Madrid 7 de D ciembrt de 182a. cuanto á la hecha por D. Eduardo Pastor ae declaró también haber Lecturas útiles y entretenidas, por D. Ataeasio Céspedes y Monlugar por los acia primero* tnprascriptoa, y no haber lugar por loa tras ray. Habiéndose propuesto el autor hacer ver que no faltaban an Es último*. paña talentos que coord…</t>
  </si>
  <si>
    <t>Pastor, Octavio</t>
  </si>
  <si>
    <t>Octavio Pastor</t>
  </si>
  <si>
    <t>…lbaira, D. Joaquín Llombart, D. Josef Vecino, D. Félix Mora, cl marques del R o Florido, Don El Sr. secretario de Estado con fecha 7 del corriente tac dice lo Antonio Casanovas , D. Octavio Pastor, presbítero, D. Pedro Cotdoque sigue: bés y D. Mariano González. » En consecuencia del oficio de V. E. de ttf del próximo parado D. Máximo £as lo declaró injuriosa en primer grado. dirigí al Sr. nuncio de S. S. la nota respecto 4 las dificultades que se había…</t>
  </si>
  <si>
    <t>Pastor, Víctor</t>
  </si>
  <si>
    <t>Víctor Pastor</t>
  </si>
  <si>
    <t>…os que recomienda el dicho co puedo omitir el manifestar que el teniente coronel D. Santiago Vriem- mandante los considero acreedores, como 4 toda la tropa riel Prínci balle, y el capitán D. Víctor Pastor, comandante de las columnas, que pe y Lusitania, 4 que sean declarados beneméritos de la patria en gra ai bien no pudieron llegar con ellas 4 tener parte en la acción por la do heróico y eminente, y 4 las gracias que S. M. se digne concederles. determinación…</t>
  </si>
  <si>
    <t>Patarra, Juan</t>
  </si>
  <si>
    <t>Juan Patarra</t>
  </si>
  <si>
    <t>malla n* h dirigió eti comitiva í dicha iglesia el Excmo. ayuntamiento D. Juan Patarra, brigadier de ht egtreitoi nocionales y gefe fo.itlco y densas que deb an asistir. Abría la marcha la artillería con 4 obuses, de tita frolilíeia. tirados cada tino par U hermosos caballos 1 seguían los individuos del Una de las principales obligaciones de la…</t>
  </si>
  <si>
    <t>Pater</t>
  </si>
  <si>
    <t>…edó elegido el Sr. Alava por 57 votos de 93 , te retroactivas. Supuesto pues que la nota que hace tanta fuerza i la comi niendo 20 el Sr. duque del Parque, 7 el br. Villaboa, 3 el Sr. Pater sión no puede ser motivo para que no se aprueben los poderes del na , z el Sr. Marchámalo, y uno cada uno de los Sres- Fumarejo , Be Sr. Escovedo y tome asiento en el Congreso, tengo por infundada la cerra, Valdés y Escudero. segunda parte del dictamen de la…</t>
  </si>
  <si>
    <t>Paterna</t>
  </si>
  <si>
    <t>…a proposición , y creo que se debe sprobar; perono la de dos agregados de la mayor de cuentas del mismo punto, se haca asi en el caso de que por ella se derogue , como ha dicho el Sr. Paterna, notorio para que con arreglo á los decretos de las Cortes los emplea la J.-y orgánica del egército. dos y cesantes que aspiren i ellos presenten ros solicitudes en este mi Ei i&gt;r. Infarte manifestó que por esta determinación de la* Cortes nisterio en el prec…</t>
  </si>
  <si>
    <t>…ió de gloria en diferentes sargentos del m stno, en las cuales pedan » las Corr-s se les compen acciones. díese en la rebaja de sueldos decretada para los empicados ovios, &lt; ca El Sr. Paterna apoyó la opinión del Sr. Valdés, manifestando que laque fuere del agrado de las Cortes , atendiendo a los abures sel erario. en tiempo de guerra sucedería que no podrían ser admitidos ios deser se leyeron íntegras dichas exposiciones, y las que hacían con igu…</t>
  </si>
  <si>
    <t>…servicio mas elegir el arma á que quieran ser destinados, si tienen las calidades ne continuo que el de la milicia provincial cuando cata no estaba sobre las cesarias.” armas. El Sr. Paterna manifestó que loa individuos de que trataba el ar El Sr.- Valdés (D- Cayetano) apoyó el artículo, manifestando que tículo debían t&lt;-ner derecho á elegir el cuerpo donde querían servir. estaba ya aprobado en una disposición anterior del Congreso; y se opu El S…</t>
  </si>
  <si>
    <t>…ancharse de una vez Otro subte la indicación de un br. diputado en las aoter ore» Cor por mas dt dos años.” tes para que se examinase si la circular expedida por e! m n strr de El Sr. Paterna dijo que no sabia qué razón podía haber para que en Hacienda en 19 de Mayo de 82 l, acerca de as pesquisas que podían ha tolo ios casrs que se indicaban pudiese el soldado servir mas de seis años. cerse pita averiguar ,us contrabandos, era contrario á ias eye…</t>
  </si>
  <si>
    <t>…daba proporción el haber asignada Mol'no de aceite, por cada v ga ó prensa 100 rs. por cada burro 14 rs., y tolo 3 por cada mu!a de cabaña. Quedó aprobada con una modificación drl Sr. Paterna para que no El Sr. Surra contestó que las cabañas de muías no estaban en con ae comprendan en ella los molinos particulares, como son los de tos tinuo servicio como los burros, sino que solo hacían viage* durante el cortijos. tiempo de los pastos. Quinta espe…</t>
  </si>
  <si>
    <t>…nforme brigadieres no empleados.”está no puede aprobarte; pero sí suprimiéndose la sola palabra pedirán,y en su lugar sustituyéndote que los gefes políticos puedan disponer dé El .Sr. Paterna se opuso 4 «te artículo, manifestando que 4 1« ge neral» de que ae trataba se 1« iba á disminuir considerablemente el la fuerza que necesiten &lt;3cc. El Sr. Isturiz: Yo encuentro el artículo arreglado 4 la índole de sueldo. El Sr. duque del Parque: El general q…</t>
  </si>
  <si>
    <t>…á jenerales las siguientes; con el sueldo de empleados. en terna para los que deban ser llamados á la guardia.” El ait. 8." lo presentó la comisión redactado en estos términos: Ei Sr. Paterna se opuso á este artículo, man Testando que en él, des » Por ahora el comandante de estas compañías será de la clase de co pués de prefijarse que en cada regimi-nto se propusiese un capitán , un ronel , y lodos los demas oficiales tendrán un empleo superior al…</t>
  </si>
  <si>
    <t>Paterna, Josef Rodríguez</t>
  </si>
  <si>
    <t>Josef Rodríguez Paterna</t>
  </si>
  <si>
    <t>…stos seño cho mérito. Asimismo indicó que ei haber asistido á las bodas y caro res como te proponía. tulaciones del Rey e Infantes no probaba que estuviese en el eger-.cío Murcia. D. Josef Rodríguez Paterna, D. Juan Alix, D. Anto de su destino, pues lo hizo como consejero de Estado, / únicamente nio Peiez de Meca , D. Bonifacio Sotos y D. Ramón Reillo. para servir como una especie de testigo de aquel acto, del mismo mo La comisión, después de haber examinado los…</t>
  </si>
  <si>
    <t>Paterna, Rodríguez</t>
  </si>
  <si>
    <t>Rodríguez Paterna</t>
  </si>
  <si>
    <t>…ias fincas perteneciente* í los propios de su lugar. La comi ponsable* de la deserción los ayuntamientos. sión opinaba que podía autorizarse á la diputación provincial para que El Sr. Rodríguez Paterna manifestó que era precito se reformase el daete a censo dichos terrenos. Aprobado. artículo , expresando en ¿1 la idea enancada por el br. Infantt, y que Otro sobre el presupuesto de gastos remitido por la diputación p&gt;olos pueblos tupiesen lo que tenían qu'…</t>
  </si>
  <si>
    <t>…xpresión, aun cíales. Se aprobó este dictamen. que este era un punto que ya estaba resuelto. Aprobado. Proposiciones del Sr. Lodares sobre aclaración de cicrtoa puntos de Otra del Sr. Rodríguez Paterna: » Para aclarar las dudas que pue la ordenanza de reemplazos. dan ofrecerse en el reemplazo del egército pido: i.° Que te conside i. a Que en los pueblos de mucho vecindario se prorogue por mn ren exentos los mozos de casa abierta que con su trabajo mantienen…</t>
  </si>
  <si>
    <t>…labrador hab.aba con tallones de milicia activa. tra tus intereses por la cualidad de representante de la Nación. El Sr. presidente anunció que mañana continuarla la discusión El Sr. Rodríguez Paterna d.jo que no debia privarse del derecho pendiente y demás asuntos señalados , con la de otros varios expedien que tenían é estos pasto* é los dueños de los terrenos , pues que no ha tes , can lo cual levantó la sesión á las cuatro. bía razón alguna para que se…</t>
  </si>
  <si>
    <t>…rido penas corporales ó infama arzobispo de Toledo y el secretario del Sermo. Sr. Infante D. Carlos torias.” sobre la recaudación del medio diezmo en los pueblos pertenecientes Eí Sr. Rodríguez Paterna dijo que también debían excluirse de la ai gran priorato de S. Juan, y sobre las proposiciones hechas por el milicia los que fuesen deudores á los fondos públicos. Sr. Lodares. El Sr. Aguirre expuso que este artículo descansaba sobre todo lo Se procedió ¿ la…</t>
  </si>
  <si>
    <t>…scogerán entre ios qne lo soliciten 4 los que en poner este artículo en los términos que lo ha hecho son ias siguientes; igualdad de otros méritos tengan mas años de servicio.” El Sr. Rodríguez Paterna hizo varias reflexiones para demostrar Es necesario tener presente que los capitanes de guardias actual» son que este artículo no tenia la claridad correspondiente , y los indivi coronel» del egército, ca decir , que en «ta lía» han llegado al máxi mum de su…</t>
  </si>
  <si>
    <t>…l soldado tiene en ella la debida asísten tivo.” os , y ¡&gt;visará i todoa lo* patrones en qué casa se aloja, para que acu CAriTVLO V. dan á ¿I si tuvieren que dar alguna queja.* El Sr. Rodríguez Paterna opinó se expresase en el artículo que Qlligacüinct dtl furriel. luego que el cabo temase las boletas hiciese la visita de que en el mis Art. i.a « El furriel que se nombre en cada compafiía será en la mo se habla- , , .. .. . . , ... infantería de la clase de…</t>
  </si>
  <si>
    <t>Paterra</t>
  </si>
  <si>
    <t>8t6 pito que el mismo plan general de Utruccion pública no da semejan» Fl Sr. Paterra dijo, que le parecía mas conveniente quede una te cor,acimiento ó intervención á los ayuntamientos respecto de los es Sisit.n á i jra scííaías.-n los concejales el dia en que debían reunirse. tablecimientos de particulares. El Sr. Cano contestó , que siempre…</t>
  </si>
  <si>
    <t>Pati, Joaquín María</t>
  </si>
  <si>
    <t>Joaquín María Pati</t>
  </si>
  <si>
    <t>…debía decirse comandante general de art.Hería &amp;c. La comisión de Poderes, habiendo examinado !i exposición del No sé tampoco por qué la comisión incluye en la clase de estado Sr. diputado D. Joaquín María Pati.10, en ta que p-da ,r !e evncrs mayor los guíes y oficiales de artillería , y lo mismo respecto de los in del cargo de diputado, por no hallarse er. estado dé desempeñar o , co genieros ; y finalmente neto que faltan en este artículo el comandante mo asimismo…</t>
  </si>
  <si>
    <t>Patifio</t>
  </si>
  <si>
    <t>…ñaba, del parque y el mayor de brigada. era de parecer que las Cortea podían conceder la comp.t-:: :c uc.-nc a ai El Sr. Infante: En cuanto á la primera objeción del Sr. preopinan Sr. Patifio hasta fin de Diciembre, y que si en este tiempo no ha r-co te diré que debe considerarse como incluida la reserva en el ejército de brado su salud , lo acredite con la certificación correoponúicul;, a fin operaciones, porque cuando se la manda entrar en acció…</t>
  </si>
  <si>
    <t>Patiño, Juan Manuel</t>
  </si>
  <si>
    <t>Juan Manuel Patiño</t>
  </si>
  <si>
    <t>…eblo y por una provincia tan distinguida y tan benemérita en les responde. fastos de la libertad , s. pretenda presentarlos como criminales en el A la de Sanidad una exposición de D. Juan Manuel Patiño , veci santuario de las leyes? no de V¡i¡afranca de Galicia, haciendo varia* observaciones acerca de Asi, aunque lo» secretarios del Despacho solo deberían hablar en que se supriman Ja» plazas de directores de baños. favor del Gobierno, tienen una satisfacció…</t>
  </si>
  <si>
    <t>Patricio</t>
  </si>
  <si>
    <t>…rrez Acuña , Paul , Vadillo, Calatrava, Lallave (D, Vicente), gún los temores que manifiestan Cienos publicistas, parecería que esta OI iver, Ramírez Torres, TcJiuanguey , López ( D. Patricio), Ayes- división tan natural, peto tan poco común, habia de trastornar el taran, Sabariego. orden público. Ciertamente seria un escíndalo, y deberíamos deplorar Los Sres. que fueron de opinión que no habia lugar á votar fueron la suerte de la socitdid si un p…</t>
  </si>
  <si>
    <t>…e i su ele». Ea u Cosío, Golfín, Paul, Gutiérrez Acuña, Vadillo, Calatrava, Lallave siglo ¡lustrado y bajo un reinado paternal no hay hombre de lúea ^ (D. Vicente), Olive/, López (D. Patricio), Tehuanguey, Murfi, Ra no desee que U carrera de la fortuna y de los honores se abra pan io mírez Torres, Apestaran y Sabaricgo. dos los hombres; que los talentos, el ingenio y el trabajo contri baya Resultando 94 votos contra 81 te declaró por la afirmativa…</t>
  </si>
  <si>
    <t>…la nuestra.” Maniau , Linares, Crespo Centolla , Cepera, Ezpeleta, Alaniz, Pala- El Sr. secretario García Page dijo que iba á leer un escrito firma rea , Banqueó, Piérola, López (D. Patricio), Rodríguez (D. Josef), do por algunos Sres. diputados, y que dudaba si era adición ó proposi Subrié, Arnedo, Solano*, O-Gavan , Osorio, Golfin, Feñafiel, Ar- ción: lo leyó, y decía asi: gaiz, Puigblancb, y los Sres. secretarios Tapia y Zorraquin. » Pedimos á…</t>
  </si>
  <si>
    <t>…un cajón de vainilla j 1Í9 sobornales de grana. También lo lidad de que os ha privado esa facción detestable que tuvisteis la á*t— ha ver ficado-cl btrgantin español Triunfante , capitán D. Patricio dt la gracia de recibir y abrigar en loa días aciagos de vuestro fatal engaño: Campa, de la Havana rn 49 días, con lastre. Estos dos buques condu yo os ofrezco too» la proteceion y amparo que la Constitución y las cen de pasage y de trasporte i varios individ…</t>
  </si>
  <si>
    <t>…ner analíticas y obttnacionts médicos robre lar aguar toridades, asi civiles como militares j eclesiásticas , de cualquiera clase dt Gueroiga, comunmcntt llamador dt Certona , par D. Patricio de j dignidad, que guarden j hagan guardar, cumplir y egecutar el pre Zeaorretr, rocío corrafundiente de lo academia de medicina de Madrid, sente decreto en todas sus partes. Tendreislo entendido para su cum médico es-titular de Bilbao. Con la major satisfacc…</t>
  </si>
  <si>
    <t>Pau</t>
  </si>
  <si>
    <t>…ve calle déla Gorguera, casa núm. 14 .cuarto principal. Habiéndose extraviado los privilegios de los cuatro juros siguien Se halla vacante la judicatura de Reut por haber admitido D. Pau tes : uno de 51,314 rars., situado en la renta del 10 por too de lanas, lino de los Arcos, que la obtenía, el empleo de gefe político de San en cab:za de Dufia Francisca Boni: otro de 22,450 mrs. en el servi tander. cio ordinario y extraordinario de Avila: ot…</t>
  </si>
  <si>
    <t>Pau, Frane'sco</t>
  </si>
  <si>
    <t>Frane'sco Pau</t>
  </si>
  <si>
    <t>…tan que le merezco. Malilla 13 de Junio de i8az.:sLuis Cappa. digno navarro, cuyos auxilios pueden hacer suma falta. Al romper del Se sabe que los cadetes D. Josef Morales Reyes , D. Frane'sco Pau dii 18 salió López Salios de Aoiz con su tropa para el Roncal en dos la Moyano y otros dos, como también el practicante de cirugía D. Jos-f direcciones. Godoy te portaron con tal denuído, que se atraían la atención de lo Málaga 27 Je Junta. dos , y supieron t…</t>
  </si>
  <si>
    <t>Pau, Josef Santa</t>
  </si>
  <si>
    <t>Josef Santa Pau</t>
  </si>
  <si>
    <t>…á D. Juan María Gómez, coronel del regi expresan. miento de infantería de la Reina. Alcázar de S. Juan: para primer comandante al primer comandan Manresa: para primer comandante á D. Josef Santa Pau, comandan te de infantería ligera D. Antonio María Guerrero, agregado al mis te supernumerario del regimiento de infantería del Rey. mo batallón. Monterey: para primer comandante al coronel graduado D. Josef Alicante: para coronel al coronel viro de infanterí…</t>
  </si>
  <si>
    <t>Paul</t>
  </si>
  <si>
    <t>…nes, se podría mos casos y términos expresados en el articulo precedente. solo poner •» delitos contra la fe.” Art. 155. " Si no hubiere méritos para conceder la rehabilitación El Sr. Paul manifestó que los delitos contra la religión de que se de que tratan los dos últimos artículos, se suspenderá la resolución has hablaba en el pirrafo 5.“ se especificaban ya en el códn.. , y que ; .,r ta que el reo dé mejores pruebas de merecerla. lo mismo no…</t>
  </si>
  <si>
    <t>…Constitución particular de cada oía ésten allí? ¿Qué garantías podrán tener? ¿No cqpocen las Cortes uno.” que si estos permanecen álli, el dictamen‘que den no será con la liber El Sr. Paul dijo: Cuando pedí la palabra creí que el Sr. Golfin tad y exactitud necesaria? El modo de conocer la opinión de loa pue concretaría tu discurso i impugnar en Jo sustancial el dictamen que blos no es el que se propone. El Gobierno tiene los medios y recursos p…</t>
  </si>
  <si>
    <t>…suelva ie qtte estime justo y 50 buques que había anclados solo han naufrado 33, y se han salvado conforme. 11 con avería y 4 sin ella: no habia en el puerto otro buque de guer El Sr. Paul pidió se leyese el dictamen de 'as comisiona de Ha ra sino la goleta espadóla Justino, y el número de marineros ahogados cienda y segunda de Legislación sobre este asento, y asi sr verificó. El Sr. Gaseo se opuso al dictamen de la comis en , dictado que no so…</t>
  </si>
  <si>
    <t>…s comisiones de Hacienda y segunda de Legislación , el cual se lento que se haga i su pudor en aquel acto mismo , sufrirá un arresto Babia leído en la sesión de hoy á petición del Sr. Paul. de seis meses ¿ dos afios. Y si la hubiere cometido por la necesidad le Se continuó la discusión del código penal. gítima de defenderse , y por no tener otro medio para Tilo , no queda Art. 630. » En el caso de que dentro de los 60 día* ó después de rá sujet…</t>
  </si>
  <si>
    <t>Paul.-</t>
  </si>
  <si>
    <t>…. En efecto, ó este dictamen no significa nada, ó significa lo que pueden aprobar el dictamen que se discute. nosotros no podemos hacer. En mi concepto es lo primero, porque el El Sr. Paul.- El sr. López debe conocer el estado en que se encuen mandar comisionados para indagar el espíritu que reina en aquellos pai tran ios desgraciados españoles de aquellos países, el cual debe excitar tes , el que envíen al Gobierno las proposiciones que les hagan,…</t>
  </si>
  <si>
    <t>Paula, Francisco de</t>
  </si>
  <si>
    <t>Francisco de Paula</t>
  </si>
  <si>
    <t>…M«M*MM ***«i 53.333 -II I Sermo. Infante D. Carlos *37,500_ ,., 1 Casa Real............. ' Serma. Infanta Doña María Francisca de Asia....... 45,833-11 3.5*2,029-26 Sermo. Infante D. Francisco de Paula........................... *37,500 . Serma. Infanta Doña Luisa Carlota.......... 50,000 ISermo. Infante D. Carlos María Luis.» , .•»••«»•• 6,000 (Giro nacional i*»*****a*******o»***»»*****aaaaa*«i &gt;——**— 3 .177,162-25 I Reintegro de libranzas anuladas por fal…</t>
  </si>
  <si>
    <t>…ten der q-’r cree suficlen:.* Ii fuer;* pañando las partidas de bautismo de los hijos de los Sermos. Sres.; lá de ¡os hombres de milicias acrudado 1 1 por las Gene* . ,■ t. tanles D. Francisco de Paula y Doña Luisa Carlota , y D- Carlos y emisiones no han psíido menos de en'rar a-u-to ba;o t te a-p.-.i Doña .María Francisca de Asís. Se leyeron también dichas partidas , y vau a cerrarse lis s s . sn.s de ¡as Co tes , s .. C&gt;. 'o crño p d. fu. ea ae mandaron archivar. no para eL…</t>
  </si>
  <si>
    <t>Paulet</t>
  </si>
  <si>
    <t>…Tiene algo enseñanza del pueblo; que Heurbault la introdujo en 1741 en el hos que ver eso con las comisiones de que habla el artículo constitucional! picio de la Piedad ; y ^ue el caballero Paulet, que tanto adelantó ea «Será ó no político que el Gobierno siga egerciendo esta facultad! Ape ella antes de la revolución, mereció de Luis xvi demostraciones muy lo al convencimiento íntimo de todos los Sres. que me escuchan, que distinguidas; &lt; pero de qué e…</t>
  </si>
  <si>
    <t>Pavía, Josef</t>
  </si>
  <si>
    <t>Josef Pavía</t>
  </si>
  <si>
    <t>…do todos a los ÍAGADOStA MSI HUNISTKJtlu I»E IA GOSBKNACIOW DB 1\ PKXISjrtA. artilleros pa a -i fnin.-jo penoso de las pi&gt;zis: vn.se al ofi-ial de arti Mei de Agosto de lilillería D. Josef Pavía, sin embargo ds estar en cama enfermo , dir g rActa del arqueo de dicha ragaduría correspondiente al frésente mtt, ]as , como todo lo p.rtenecititc á su ramo en cuinto lo perm-t an sus celebrado con arster.c a de! interientur cen arregio al art. i.°, . j- déb…</t>
  </si>
  <si>
    <t>Paye, García</t>
  </si>
  <si>
    <t>García Paye</t>
  </si>
  <si>
    <t>…bajo mil maneras diferentes, llegándose a d.c¡r que ei establee aven los eclesiásticos. tó del gobí.rno político, según la nueva éinon, causara un aumen El Sr. Sierra Plambey : El Sr. García Paye acaba de decir que psra to de gastos de ocho millón»* de reales. fijar la dotación al clero se necesita saber do* cosas , que son: primera Las Cortes han visto va que lejos de esto se ha procurado un ahor el número de eclesiásticos que hay actúaInvnte m F.spa…</t>
  </si>
  <si>
    <t>Paz, Juan</t>
  </si>
  <si>
    <t>Juan Paz</t>
  </si>
  <si>
    <t>…a, y sa nas ,con las que han batido en distintas ocasiones 4 los enemigos: tanto lieron los Sres. siguientes: que con la división que debe salir de Puerto-Cabello no extrañará con D. Juan Paz, D. Isidro Merino, D. Felipe López Valdemoro», sigan la destruccien de los enemigo*, lo que seria fácil lograr con muy D. Joaquin Huerta Cevallos, D. Antonio María Espejo, D. Valentín cortos auxilios, á causa de que todos los pueblos están animados contra de…</t>
  </si>
  <si>
    <t>…as para el pago de un alcance que resultó compu&gt;to de los individuos siguientes: Sr. Conde de Floridablanca, 4 O. Nicolás Guerrero por frutos de excusado de las vicarias de Coin y Sr. D. Juan Paz, Sr. D. Aniceto Ltzana, Sr. D. Benito Ortega Roma Antequera en 1814; y persuadido S. M. de que no hay otro medio de nillos, Sr. D. Josef K yser, Sr. le. Marcos Izquierdo, Sr. D. Josef hacer efectivos los descubiertos que tanto necesita la Hacienda pública Mar…</t>
  </si>
  <si>
    <t>…rro, D. Alalias Pini.ia , I). Pedro Rodríguez dr Toro, D. Domin derán todos los d recito» 1 la liquidación, y quedarán caducados de he go Fernand:z Angulo , marques de Torrenucva, D. Juan Paz , Don cho. Lo comunicamos - V. E. por acuerdo de ¡js mismas, para que pa Manuel Esteban Caíala , D. Jos:f Rives Quera.to y L). Tomas Alaría iten ¡r&gt;!o en c i’i c.m er.tde S. M. se sirva dar las órdene» convenien Zunon. tes al efecto.=De urden del Rey lo ttasl…</t>
  </si>
  <si>
    <t>…imiento de este asiento el sugeto ó de los señores siguientes : D Tomas María Zanon , D. Francisco Trasugetos á cuyo favor quedaren rematados presentarán en clase de fian- vesedo, D. Juan Paz, D. Santiago Delgado, D. Carlos Romeral , Don za un mes de existencias en tos almacenes de los artículos de que Andrés Navarro, D. Mamerto Landaburu, D. Isidro Merino y Don conste el suministro, Jos cuales deberán tener constantemente de re Francisco López Ol…</t>
  </si>
  <si>
    <t>…blica. les y á los de cualquiera corporación. Fn su vista se reunió el jurado, compuesto de los Sres. siguientes: Alt. 14. «.Se escribirán en papel del sello 4.° los libros de laa D. Juan Paz, D. Antonio Alcázar, D. Cayetano Romero, D. Joa fábricas de las iglesias y los parroquiales en donde se alargan las parti quín Manrique; D. Mariano Zorraquin, D. Nicolás Alonso, D. An das de casados , nacidos y finados. tonio Puigblancb, D. Ramón Llord y D. F…</t>
  </si>
  <si>
    <t>…de te en libertad, sin que este procedimiento le perjudicaseen su reputscion. 151,182 rs. y 13 mrs. de capital, número 3657; otra de 43,519 rs. y Faltaron su absolución los Sres. D. Juan Paz, D. Angel Bonal- 31 mrs. de réditos, núm. 4233, ambas 4 fsvor del hospital de San to, D. Josef Gómez Albacete, D. Pedro Alvaro Delgado y D. Joa Mateo de la ciudad de Sigüenza 1 otra de 2750 rs. de capital , número quín Manrique y Manrique. 3658, á favor de D.…</t>
  </si>
  <si>
    <t>…embre, y Andrés Martínez Orinaga, D. Ramón Llord, D. J aqum Lumbre 3.“ en 30 de Abril del año de 1813. Se hace saber al público pata su ras, D. Sebastian Andrés, D. Matías Casero ,D. Juan Paz, D. Casi inteligencia, adviniéndole que su primero y último remate se ha de ce miro Marín, D. Antonio Sandalio de Arias, D. Antonio Regas, lebrar el dia 5 del próximo nv» de Set embre de 11 á 12 de su mañana. D. Lorenzo Lambes y D. Manuel Estaban Caíala. Los…</t>
  </si>
  <si>
    <t>Paz, Miguel de</t>
  </si>
  <si>
    <t>Miguel de Paz</t>
  </si>
  <si>
    <t>…y se le han extraviado los juros siguientes: uno sobre millones de para la plaza de regente de la audiencia territorial de Galicia, va Granada , sentado 4 pliegos St en cabeza de D. Miguel de Paz, de cante por fallecimiento de D. Josef Marta Cabañero, 4 D. Fermín 2279 mrs__ Otro sobre 89 soldados de Granada sentado 4 pliego i.', en Gil de Linares. cabeza de D. Francisco María Vellón , de 43 3,868 mrs__ Otros dos so Asimismo ha tenido 4 bien nombrar S.…</t>
  </si>
  <si>
    <t>Pazos</t>
  </si>
  <si>
    <t>…poique to Viejal a un golpe muy recio, de cuyas remitas huía para Navarra, se dos los caudales que en ellas entran se invierten rn los muchos ob d,cia tamb en el mismo día que el comandante Pazos con su valiente jeto» á qua tienen qu: atender. Adema» d: esto la ú'titna ya te del dicre^inúeito de Va encey había dado a (Jactada después de la de Nazar taman que dice que no es necesario autor zar a! Goh erno y a qt. ile otra baridi, en que le había nejado…</t>
  </si>
  <si>
    <t>Pa’ar</t>
  </si>
  <si>
    <t>…babiar sobre esta rado qu: d b a proponer al Congreso, ó que se desaprobase absolu materia dije que no era de opimon entrásemos en e’.la considerándola tamente la capitu'acion del brigadier Pa’ar a , ó que se aprobase s:n exiegalinenle, poique eran muchas las ley -s que podían alegarse en pro e pe on a'vuna. En esta ansiedad creyó la comisión qu- solo las cir y en contra del nctamen d- la comisión. Los argum-ntos principales cunstancias podían obligar…</t>
  </si>
  <si>
    <t>Pa’arta</t>
  </si>
  <si>
    <t>…do uno me hace la guerra yo no ns?;o si rs enemigo ninguna parte, te rctiió la mayor parte de la tropa. interior ó exterior; y cuando llega el caso cié acordar la suspensión de El brigadier Pa’arta llegó á esta sazón con unos 70 caballos, y su las hostilidades , ó sea Ja capitulación , le digo: » tú que tres igual ó patriotismo le condujo á reconocer mas el campo; en fuerza de lo superior á mí, entrégate bajo la paiabra que le doy de que no le se cual d…</t>
  </si>
  <si>
    <t>Pcblet, Trapease de</t>
  </si>
  <si>
    <t>Trapease de Pcblet</t>
  </si>
  <si>
    <t>…llas de algunos de sus com'paficros. En comprobación de esto pu- mismo haría ahora, y no se valdría de- una guerra de perfidia, que Ile djera eitars» la exposición hecha por ei cu-abad Trapease de Pcblet «I sa de oprobio at Gobierno que la hace. La nación francesa nada no* vicario’de Zaragoza'; para que se viese el deflor que ha causado á aquella perjudica sino su Gobierno; dígase pus esto en el mensage, y no te comunidad el extravío de uno de sus individuos…</t>
  </si>
  <si>
    <t>Pcdralvci</t>
  </si>
  <si>
    <t>…f*»or ni la posibilidad de los examinando*. siempre que la comisión le extendiese como ba propuesto el Sr. Meló. El Sr. M«rau&gt; £1 Sr. Lapuerta ha impugnado el dictamen, porque El Sr. Pcdralvci: No sa poce un coto por este dictamen á las faseguramente «o te ha convencido de la exactitud con que está extendido. cultadefde la ditrccion general de estudios para que deje de conceder la Lo he creído inoportuno ú extemporáneo, porqus está muy próximo disp…</t>
  </si>
  <si>
    <t>Pcdralvcz</t>
  </si>
  <si>
    <t>…á sus progresos, ali ¡Y qué resultaría de proponer la comisión el artículo en los términos viándolos de las cargas que pesen inútilmente sobre ellos.” Aprobado. que ha indicado el Sr. Pcdralvcz! ¡No seria sancionar la omsion da Art. J » Para verificar lo dispuesto en el artículo anterior se au las autoridades de las provincia* de que s: trata í Por otra parte aun toriza al Gobierno para que, oyendo á las diputaciones provinciales, que ocurran alguna…</t>
  </si>
  <si>
    <t>…berlos subalternos; mas yo creo que la paiabra gefe supe— necientes é las atribución^ de dicho gefe.’’ tior se refiere i los alead;* constitucionales y otras autoridades políti El Sr. Pcdralvcz: La última parte de este artículo creo debe supri cas de la provincia, dependientes del gefe expresado, poique son depen mirse. Para que se conozca el mot.vo que para esto tengo no bay oía* diente* de éi, y que en este concepto dice ei articulo gef: superior:…</t>
  </si>
  <si>
    <t>Pcdralvez</t>
  </si>
  <si>
    <t>…eben ir 4 tos correspondientes. Madrid 28 de Abril de i8*a. Aran juez , y salieron electos , primero el Sr. Villavieja, por 74 votos Juicio de jurados. de 144 , habiendo tenido el Sr. Pcdralvez 69 , y el Sr. Merced uno ; y Habiéndose denunciado al Sr. alcalde D. Miguel de Náj ra un ar el seeundo fu- el Sr. Meca por 73 votos de 144, habiendo tenido el tículo inserto en el Zurriago número 40, como injurioso á los señorea Sr. Merced 70 votos, y el ir.…</t>
  </si>
  <si>
    <t>…que las Cortes deben desapro che que determine el comandante con consideración á la estación debe barle. rá estar cada uno en la suya respectiva, excepto los que esten de guar Ei Sr. Pcdralvez: Aunque es bien manifiesto el fundamento que dia; y para que asi se verifique el subteniente de servicio de dia pasaiá tuvo ia comisión para presentar á las Cotes el dictamen que estas des con un farol dos rondas durante la noche. echaron ; yo encuentro que e…</t>
  </si>
  <si>
    <t>PcdroMcndrc, D-</t>
  </si>
  <si>
    <t>D- PcdroMcndrc</t>
  </si>
  <si>
    <t>…rtes de Europa." Dxe bien el se mente bal ida el ¡O del actual sobre p narren per la» fuCirss .14*¡* r.* ñor JoutFroy. ¡Quinto mejor es el alcoran ! Verdad es que lo* secta do del brigadier D- PcdroMcndrc deVigo . co.n.nda-.:' d. . l-o- A jrios de este libro suelen matar á sus Principe* ; peto esto no le impor on; y el a a ataco y arr. lió ei m:-mo r'.eá a» v. r . . &gt; ,: 1 ta á aquel sectario de la omnipotencia aristocrática , pues mas quiere flayo , Rambla ,…</t>
  </si>
  <si>
    <t>Pcfiaaco, Sebastian Alejandro</t>
  </si>
  <si>
    <t>Sebastian Alejandro Pcfiaaco</t>
  </si>
  <si>
    <t>…males como cesante. Aprobado. rencia por las calles , sin que ocurriese desorden alguno. La misma comisión, en vistadel expediente promovido por D. Pedro El coronel de la M. N. L. D. Sebastian Alejandro Pcfiaaco, des Oiabarria, del comercio de Bilbao, sobro el pego de 89 petos fuertes pués de haber recibido las banderas, arengó i sus .cjompafierot de armas, que se le ocuparon en t8t) de otilen «leí gobernador de Montevideo recordándoles que aquel era el fausto día en…</t>
  </si>
  <si>
    <t>Pciayo, María Josefa</t>
  </si>
  <si>
    <t>María Josefa Pciayo</t>
  </si>
  <si>
    <t>…ional 70. Pero no por eso caver.te se tornó la incomodidad de distribuirlos. Señoritas premiadas. te d ja de instar que tomemos todas las medidas de ataque y de defensa Conducta : Doña María Josefa Pciayo. Lectura : primero Doña Juana Du ran : segundo Doña Francisca Ulivarría, ambas de seis á siete años. K,tri (2) c¡4Yí no está alarmada por nuestra revolución, «cuándo lo es tura inglesa: primero Doña Teresa Uribarri: síiundo Doña Dolores tuvo: ¡y qué motivos t…</t>
  </si>
  <si>
    <t>Pcñasuo, Sebastian Alejandra</t>
  </si>
  <si>
    <t>Sebastian Alejandra Pcñasuo</t>
  </si>
  <si>
    <t>…estauración da la libsrtad da las Espabrev-dad posible. Aprobado. fias.=Cipriano González Espinosa, secretario.* El Sr. presidente levantó la sesión i la hora acostumbrada. El ir. D. Sebastian Alejandra Pcñasuo, coronel de la milicia na NOTICIAS DE ESPAÑA. cional voluntaria convidó para salir hoy al recibo de la coi umna ex pedicionaria en estos términos: » Debiendo llegar mañana lunas á iaa Gitraltar as de Agosto. ocho de su mañana la columna móvil, acompañada de p…</t>
  </si>
  <si>
    <t>Pcraha, Matías</t>
  </si>
  <si>
    <t>Matías Pcraha</t>
  </si>
  <si>
    <t>…a li mañana del día go de Agosto último con 120 hombres del cuerpo servido prevenirme en su papel del a8 dei que fina, saldré de esta ma de mi mando, el espitan D. Josef Sierra,el teniente D. Matías Pcraha, ñana á las cinco de la madrugada, y llegaré á Dax enrr: to y r a a mas e! subteniente D. Josef Antonio Fernandez, y el interventor D. Do tardar de la mañana dsi lunes 3 del corriente, a 'onde podrá V. f. d mingo Aristiza. A ias doce llegué é Ruestz, en donde…</t>
  </si>
  <si>
    <t>Pcrcel, Gertrudis</t>
  </si>
  <si>
    <t>Gertrudis Pcrcel</t>
  </si>
  <si>
    <t>…do declaración, blos de Canarias del mismo modo que la contiibucion general. y arbitrariamente , opinaba debía declai 1 ■* que dich . alcalde había Otro relativo á la solicitud de Doña Gertrudis Pcrcel, para que se infringido los artículos 289 y 290 de la Coi. umcion, Aprobado. le conceda una pensión-por los servicios de su marido. La comisión La misma comisión, habiendo examinado el oficio que de r.-ultas opinaba que este expediente pertenecía á la comisió…</t>
  </si>
  <si>
    <t>Pcrena</t>
  </si>
  <si>
    <t>…te efecto me fue exhibido. Madrid 5 de Febrero de t8ai.ssMauuel V. K. la derrota de lo* facciosos de Tamarite verificada en la mafiaJosef Quintana.” na de ayer. Los elogios que el general Pcrena hace de las bizarras tro S. M., oido el consejo de Estado, y previo el consentimiento de pas que ha tenido la gloria de mandar correspondían al concepto que se las Cortes , ha venido en conceder el pase á este bicve , á condición de merecían. Con toldado* sem…</t>
  </si>
  <si>
    <t>Pcrez, Josef</t>
  </si>
  <si>
    <t>Josef Pcrez</t>
  </si>
  <si>
    <t>…a una suerte duradera de Real. Interventor D. Agustín Pila, administrador del Foso. la Const tucion política de la Monarquía española. ¡No hay señales vi Ciudad-Real administrador D. Josef Pcrez de la Fuerte , que lo ee sibles en el cielo! ^No protege D os con repetidos hecho* la causa del de Aranjuez. Interventor D. Francisco Fon un, del departamento de pueblo español! Fomento. » Si el Ser supremo es el autor de la justicia y de la armonía Salamanca…</t>
  </si>
  <si>
    <t>Pcrez.n, Juan</t>
  </si>
  <si>
    <t>Juan Pcrez.n</t>
  </si>
  <si>
    <t>…servido mandar comunique laga se ha reunido con la de la Princesa, que salió de Cádiz al mando á V. esta resolución de las Cortes extraordinarias para su inteligencia de su digno comandante D. Juan Pcrez.n y cumplimiento. Madrid 21 de Novi.mbrc de 182a. De Córdoba dicen con fecha del ai.» Por aquí nada mas ocurre Crédito f etílico. sino el ver á Zaldívar por esta sierra haciendo sus correrías, sin que nadie Al tiempo de rectificarse los créditos cancelados comp…</t>
  </si>
  <si>
    <t>Pe</t>
  </si>
  <si>
    <t>…u nuestros lectores y í todus nuestros conciudada Otra. En la gaceta de ayer, col. 5/, lín. 51 , donde dice uno, léa nos esta obr.ta , que á nombre del ilustre cuanto desgraciado general Pe se una, y en la col. 7/, lín. 36, donde dice vira, léase otro. EN LA IMPRENTA NACIONAL.</t>
  </si>
  <si>
    <t>…e los vecinos de la huerta y término anejo á tas partes, resultarán &gt;541 millones. Pero es preciso considerar que pa aquella ciudad; hab.endo sido de opinión contraria ios señores D. Pe rí ia industria se necesitan grandes capitales, máquina iScc.; y por con dro Calvo, D. Pedro Pascual Carbonell, D, Gerónimo Maía, Don siguiente hay que rebajar alguna cantidad, de iorma que deduciendo Mariano Peset y D- Vicente Chulvi. esta, vendrá á resultar…</t>
  </si>
  <si>
    <t>…u'^an s r drstMI das por m ñor a . »- en a»- :n s ■ v d n. que hasta aquí no ha habido archivero en Sant ago dos , como sobre irado o economco v ¿uSer nativo : op n»V, qj e ■ a El Sr. Pe eral ve* apoyó la solicitud del interesado , man.(estando qua talarte á la tus adado «a el articulo de. d.c .to de 9 su Noru-mo.-*</t>
  </si>
  <si>
    <t>…d a 14 de Octubre de 1676. _ Y otro de 509,708 la primera del tercer distrito militar, y la segunda del cuarto, en la maravedises, situado en las yerbas de Alc4ntara, en cabeza de D. Pe que se comprende también el antiguo partido de Logrofio, hoy provin dro Osorio, en 15 de Agosto de t5B5.__.Una escritura de imposición cia del quinto distrito , se han prorogado lo* remates para la hora de de censo sobre la renta del tabaco de 46,392 rs. y 11…</t>
  </si>
  <si>
    <t>…caso de la sublevación de ios carabineros. Emre los oficiales comprome Bi Rsy ha expedido los decretos siguientes: tidos por necesidad se hallaba el prim r ayudante de la brigada D. Pe D. Fernando vu por la gracia de D:o* y por la Comt'tucicn de !* dro Alférez , quien pudo apartarse de lo* milos, y se presentó ci día 8 Monarquía española. Rey de la» España», á todos lo» que i.» pr:s r.na Jaén i esto mismo hemos visto en Madrid y sucederá siempre , por…</t>
  </si>
  <si>
    <t>…tablecido el mismo colegio antes de su tras impreso titu.ado la Voz Jet pueblo, p-r.ódico d- esta ciudad, del vier lación al seminario conciliar de Coria» los de las obras pías de D. Pe nes 9 *1*1 actual al fol. *3 , denunciado por injuriólo por D. Francisco dro Roco r D. Vicente Marrón, los cedidos por el duque de Abran Artis, capitán retirado y sargento mayor del primer regimiento de la les , y las demás cantidades qu: forman las bases de…</t>
  </si>
  <si>
    <t>…Gentileshombre* de cámara con egcrocio; mariscal En el presente día 3 de Octubre se han corst‘luido las Cortes ex-' de Castilla cond- de fi. M .t o, coronel D Antonio Tcran , id. D. Pe traord narias convocadas en 6 de "ct embre p:&lt; ximo pasado , v han ele dro Ac.vedo, td. D- Juan Corvantes, marqu s d- '• C-eena; ten en gido para su presidente al fir. ID. Ramón Sjirjjo, d pulido por la pro te coronel ID Juan I ráelo Gurr a, D. Jo,c) Garav, D…</t>
  </si>
  <si>
    <t>Pé, Josef</t>
  </si>
  <si>
    <t>Josef Pé</t>
  </si>
  <si>
    <t>…io mero *.J, en el que igualmente se designan ios gastos particulares de nales del Crédito público. Aprobado. cada legación. La comisión de Legislación en vísta de la solicitud de D. Josef Pé El Sr Buruaga dijo que no comprendía por qué razón babia da pa rez, solicitando dispensa de edad jtn administrar sus bienes, opinaba gar la nación española la legación de Roma-,pues si era justo que man que podía acccdcrse á ella. Aprobido. tuviésemos en las cortes extunge…</t>
  </si>
  <si>
    <t>Pé, Martin</t>
  </si>
  <si>
    <t>Martin Pé</t>
  </si>
  <si>
    <t>…l despa al proyecto sobre reforma de las juntas diocesanas. char de salida para Ultramar esta cíase de géneros declaren nuevamen La comisión de Guerra, en vista de la solicitud de D. Martin Pé te su valor corriente para la exacción del derecho expresado, aunque rez , oficial de caballería, opinaba que podía accederse i ella. Apro sujetos al de tanteo. Los derechos antedichos se han de satisfacer en la bado. Península, quedando libres los género* á…</t>
  </si>
  <si>
    <t>Pecada, Vicecuc</t>
  </si>
  <si>
    <t>Vicecuc Pecada</t>
  </si>
  <si>
    <t>…or aquella prov.n, a , ctr .a .oai r &gt;u i iba .ii-rr ... fio-rs diputados para que se erí|a un monumento que recuerde «.I glorio d &lt; r e tos para d.putados de la* acicate» s-otte» D. Vicecuc Pecada y so levantamiento del año «Sao , presento un proyecto de ácocte d.vi- 1) Manuel ia-c-</t>
  </si>
  <si>
    <t>Peceña, Felipe</t>
  </si>
  <si>
    <t>Felipe Peceña</t>
  </si>
  <si>
    <t>…les apóstatas,que invocando i por la mañana. El propio día por la Urde llegaron por dos puntos las Jesucr.sto enseñan m x.mas dignas de ..atanas. tropas nacionales ai mando del Sr D. Felipe Peceña , y permanecie Continúan las txrosU'icnfs dirigidas á la Diputación frrmanmtr dé ron aqui hasta la tarde de ayer ag, calmando la inquietud de estos Curtes. •Rígidos habitantes. El pueb.o se halla aterrado de la conducta de los » Fiemo. Sr.: Amaneradas las lib…</t>
  </si>
  <si>
    <t>Pede, Carlos</t>
  </si>
  <si>
    <t>Carlos Pede</t>
  </si>
  <si>
    <t>…rlas privar ia á muchos de sada villa, que admitirá las que se hicieren siendo airevladas. la recompensa que al consignarles aquellos destinos se quiso dar á sus Se desea saber si D. Carlos Pede monte, ex- prepósito óo la con servicios, resolvió el Gobierno que los tesoreros de provincia y los de gregación de S. Felipe Ncrí, y rector del consitorío de S. (.arlos de la positarios presentasen fianza igual á la cuarta parte de la que les es ciudad de Li…</t>
  </si>
  <si>
    <t>Pedialvez</t>
  </si>
  <si>
    <t>…Conveniente en ciertas poblaciones para el mejor d-spacho de los ne Art. 58. » La correspondencia del ayuntamiento con la diputicion gocios; y en cuanto á io que ha man fritado el Sr. Pedialvez, diré que provincial y el gsfe político se firmará por el presidenta y el secretario muchas reces la antqü-cud no es la qui ds la práctica. cuando t- a d~ poca contid ración , como ofic os acusando el recibo de Después de haber hecho algunas observaciones sob…</t>
  </si>
  <si>
    <t>…el nombre de cazadores ó el de escopeteros, el resultado será falta de cumplimiento de sus obligaciones. siempre tener que dar fondos, y es .indispensable que estos se decreten El Sr. Pedialvez: Yo veo que por este artículo se trata á los ayun en la masa total de contribuciones, es decir, que de cualquiera manera tamientos con poca delicadeza, cuando son casi casi lo mismo que las resultará que siempre recas un gravamen sobre el pueblo. diputaciones…</t>
  </si>
  <si>
    <t>Pedio</t>
  </si>
  <si>
    <t>…atro tomos en pista á yo merecieron por su heroísmo subir al templo de la inmortalidad. reales. El aprecio que han merecido del público estas dos obras haca bn las guerras del Rey D. Pedio (año de igÓUJ con su hermano inútil cualquiera recomendación de ellas; mas sin embargo no podemos I). II inriqu; negó la obediencia a! primero la cudad de Córdoba , de menos de recordar al anunciarlas los elogios que han tributado todos los lo que concibió ta…</t>
  </si>
  <si>
    <t>Pedñlvex</t>
  </si>
  <si>
    <t>…ai^o 4» regimientos ó al de plazas dcc. que habia fiebre amarilla £ otra enfermedad epidémica en un pueblo. como'ya se habia dicho ; pero qué en su opinión lo que no le parecía El Sr. Pedñlvex •• Yo rogaría i lo* Sres. de la comisión retirasen es conveniente era que el porta-insignia fuese el último oficial, puesto te articulo, tanto mas cuanto que poniendo el ufitStt» cfiOÍoftrft ^Stá ; (qiu siendo ti insignia Jlf fM de la reunión , era precito qu…</t>
  </si>
  <si>
    <t>Pedral</t>
  </si>
  <si>
    <t>…o, que te tcscivaba la palabra para cuaado de examinarse para solicitar dispensa. se discutiesen sus articules. El Sr. Gómez: Me parece que el dar á la dirección de estudios la El Sr. Pedral ver: No hay otro atbitrio que elegir esta especie de prue facultad de que conceda estas dispensas, et darle un poder legislativo, ba para saber ti en su estudio privado ha podido adelantar tanto ó 7 como desprenderte las Cortes de una parte de sus facultades:…</t>
  </si>
  <si>
    <t>…erca de que se declare haber lugar á la forma época en que todos los jóvenes concurriesen á los exámenes. ción de causa al teniente coronel i). Antero Henriquez por sus procedi El Sr. Pedral vez contestó que en las escuelas especiales estaba ya fi mientos en la villa de Mirtos contra Gerónimo Tellez. jada por reglamento la época de los exámenes; paro que estos debían La comisión de Hacienda presentó su dictamen acerca de la expo celebrarse en tod…</t>
  </si>
  <si>
    <t>…eciso fomentar la milicia por tollos lo* en perjuicio de la agricultura, á causa de que no atenderían al culi va medio* posibles. de tus suertes los que no las hubiesen pedido. El Sr. Pedral vez manifestó que en su concepto solo debia quedar el ar El Sr. Lodares contestó que pera adjudicar las suertes en necesario tículo reducido á decir podrían adm tirse como voluntarios los dispensa que los interesados las solicitasen ante el ayuntamiento. dos…</t>
  </si>
  <si>
    <t>que k»s viva* del pueblo son sinceros. Ningún Monarca, Sefior , ba go El Sr. Pedral vez: El Sr. preopinante se ha opuesto al dictamen zado aun tanto de la confianza de una nación ■'ninguno La sido mal que se discute, y creo que sus impugnaciones pueden reducirse a las respetado que V. M.; ninguno mas adorado. Jamas se ha bailado tan siguient…</t>
  </si>
  <si>
    <t>…habido en el aimamento; y es de advertir que esta ahorro •probado el dictamen.' corresponde á los cuatro meses del año económico. La comisión de Guerra, en vista de la adición del Sr. Pedral vez El Sr. Canga: Yo quisiera antes de entrar en esta discusión preparar al artículo i g del dictamen de la misma sobre el modo de verificar el el campo de ella, be nos ha dicho que los movimientos que se han ad reemplazo , relativa i que se declaren exentos…</t>
  </si>
  <si>
    <t>…stos egrrcia al mismo tiempo (as funciones de dos le mitad y uoo mas de los individuo* que lo componen.” aquellos, su influjo te aumentaría con la concurrencia de estos dos des El Sr. Pedral vez: Mu opongo á este articulo por dos razones, qua tinos; y el resultado seria que muchas ves induciría á los junta toa las que voy i manifestar. Dtce al artículo que no pueden celebraría miento* A tomar disposiciones acaso no conformes con lo que el L en lo…</t>
  </si>
  <si>
    <t>…r. se Después de haber hecho algunas observaciones contra el artículo el cretario de este ramo; el uno relativo á las dudas ocurridas en la inte Sr. Isturiz, á las que contestó el Sr. Pedral vez, quedó aprobado el ar ligencia de varios artículos de la ley orgánica de! egéretto, y del 59 del tículo. decreto sobre arreglo de la Hacienda pública de 19 de Junio último; Se aprobaron los artículos siguientes? y ei segundo sobre la fuerza que han de ten…</t>
  </si>
  <si>
    <t>Pedraloez, Josef</t>
  </si>
  <si>
    <t>Josef Pedraloez</t>
  </si>
  <si>
    <t>…i consulta del consejo de Estado de ij del corrien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 Faicon , Don vacante por muerte de D. Manuel Ros de Mcdrano. Domingo Cortés, D. Fernando Saravia , D. Fra…</t>
  </si>
  <si>
    <t>Pedralv.-z</t>
  </si>
  <si>
    <t>…actua máximum del tiempo que habia de durar el examen para evitar toda lidad. Aprobado. especie de arbitrariedad. La comisión de Hacienda, habiendo examinado el expediente remi El Sr. Pedralv.-z contestó que la duración de los eximen-.1* depen tido por el Sr. secretario dei Despacho de este ramo sobre el pago de día enteramente de las materias á que se referían , añadiendo que respec* una porción de pólvora á una casa de comercio inglesa, era de pare…</t>
  </si>
  <si>
    <t>Pedralv.z</t>
  </si>
  <si>
    <t>…uchos de sus vecinos se abastecieron es declarada, su gobernador debe tener amplias facultades para todo. pontáneamente de víveres, y resultó que .estos les salieron mas ca.-oa El Sr. Pedralv.z: Podría redactarse el artículo de este molo-, » Fn que á aquellos que dejaron de abastecerse. toda plaza en estado de sitio la autoridad del gobernador ó comanían As: pues yo ruego á los señores de la comisión que haciéndose car te superior es la suprema loca…</t>
  </si>
  <si>
    <t>Pedralvcz</t>
  </si>
  <si>
    <t>…n podra preguntarse al Se leyó y aprobó el acta de la sesión anterior. Congreso si se admitía ó no esta forma. El Sr. López del Baño presentó una exposición de la milicia nacio El Sr. Pedralvcz impugnó el artícu'o, manifestando que lo que se nal local de ambas armas de Montilla , pidiendo á las Cortes les permi puede hacer de un modo simple y sencillo se echa á perder cuando se tiese emplearse en persecución de los facciosos. Las Cortes lo oyeron ha…</t>
  </si>
  <si>
    <t>Pedralvea</t>
  </si>
  <si>
    <t>…dían pagar una parte mas considerable que los anteriores que no bierno. Aprobado. disfrutaban de tanto beneficio. La comisión de Marina, en vista de la solicitud de los ayunta .El Sr. Pedralvea contestó qne la escala propuesta por Is comisión mientos y retadores de mar de Palma, de Mallorca y Mahon para estaba tan bien arreglada que se lograrían los deseos del Sr. preopinan que se modifique el art. í.° del decreto de 8 de Octubre de i8ao, y te, y au…</t>
  </si>
  <si>
    <t>…que la comisión luciese todas las modificaciones que tuviese píritu de la letra de le Constitución. El Sr. Oltvert Pido se lea el oficio del Gobierno con que ha pisado 4 bien. El Sr. Pedralvea dijo que el Gobierno no bebía sido tan feliz en In Ota proposición á la Corta. expresión como en la idea, pues no debía ser objeto material de la dis El Sr. Romero: El Sr- Savedn ha impugnado con mucha sabidu cusión el reglamento que proponía, cuando las Cort…</t>
  </si>
  <si>
    <t>Pedralvec</t>
  </si>
  <si>
    <t>…aprotñr los reglamentos de poíicía ca que había quedado pendiente en la aetion de ayer. y sanidad, suponiendo implícitamente que han de ser propnestvs por el El Sr. Becerra : F.1 Sr. Pedralvec expuso ayer la multitud de regla Gobierno. El orador'pisó i manifestar que mi bases habían sido todas mentos y dato» que la comisión ha tenido presentes para formar el códi desaprobadas, pues que ti lo-hubies: sido solamente una ; se hubieran go sanitario que…</t>
  </si>
  <si>
    <t>Pedralvez</t>
  </si>
  <si>
    <t>…radas, y mandaron pasar estos do que por esta resolución par* un caso particular se perjudicasen los in cumento* á la comisión da Salud pública. tereses de I* Hacienda pública. El Sr. Pedralvez, individuo de Ja comisión do Sanidad, después de El Sr. Ferrev (D Joaquín) apoyó con algunas observaciones la opt manifestar las grandes dificultades que te han ofrecido á esta para arre aron del Sr. preopinante, manifestando entre otras cosas que ti las pro…</t>
  </si>
  <si>
    <t>…oficio de la comisión de Comercio , en el cual exponía lodo lo cual mandaron las Cortes que se imprimiese. que deseosa de dar curso á varios expedientes sobre aranceles y adua Ei Sr. Pedralvez leyó la primera parte del proyecto de código ta- nas, creía conveniente que las Cortes la autorizasen para r.unir í ella nitario, presentado por la comisión de Salud pública, y se mandó im á O. Juan Montresque, vista cesante de la aduana de Barcelona, que pri…</t>
  </si>
  <si>
    <t>…erior estado de tomar las armas están en la obligación de reunirse al egército. extraordinaria quedo aprobada. Desde fines de Febrero y primeros de Marzo han llegado al Asia me El Sr. Pedralvez leyó la segunda parte del proyecto de código sa nor prodigiosos auxilios de tropas asiáticas, las cuales han sido tras-* nitario, y se acordó su impresión. portadas á las costas de Europa, y forman un nu.vo egército, que Se procedió á la discusión dil dictame…</t>
  </si>
  <si>
    <t>…la pérdida del taba por conocer , y délo sencillo á lo complicado, y que los discípu dinero depositado. los que estudiaban dos ó tres cursos í la vez invenían este orden , por El Sr. Pedralvez dijo que unz de las razones principales que habia cuyo motivo la base que se discutía , dejos de ser favorable á la instruc tenido la comisión para presentar la base en los términos que se habia ción pública, le era perjudicial; y si en los exámenes hubiese c…</t>
  </si>
  <si>
    <t>…abia formado ci que te habia leído de suprimirse, mayormente estando ya inserto en la ley orgánica del ya en el Congreso. egército. Después de haber hecho algunas observaciones el Sr. Pedralvez con El Sr; Romero impugnó al artículo, manifestando que tiendo el tra este articulo , á las que contestó el Sr. Lodares, se declaró este asun reemplazo del egército una carga dolorosa para los pueblos, no conve to suficientemente discutido, y quedó aprobado e…</t>
  </si>
  <si>
    <t>…e en este artículo no se comprendían loa CU cuyo caso los cuerpos se compondrían de gente muy brillante. trompetas , lo que en su concepto era necesario; y que tos que te reclu El Sr. Pedralvez: Ruego á los Síes, de la comisión que nsuden del tasen para tambores creía debian tener mas edad que la que se señalaba artículo las palabras peto negro, cjos pardos, calor trigueña y cejas ru en el articulo, porque si no, no podrian sufrir las fatigas de la…</t>
  </si>
  <si>
    <t>…del afio próximo rencias algo notables entre la población que se señalaba á esta» respecto con arreglo á él podría formar el proyecto del reemp'azo del ejército. de las otras. El Sr. Pedralvez dijo qne en cuanto á la rebaja que se hacia de al- El Sr. Cortés, después de manifestar que no era tazón bastante para tn-t para matriculados , deseaba saber si el beneficio que de estos sacaba eximir de esta contribución de hombres á las islas Canarias la de…</t>
  </si>
  <si>
    <t>Otra «leí Sr. Pedralvez: »ti exención declarada admisible y legal gún la diminución de pueblos que ha sufrido, y recargando á la* d» en el reglamento y decreto* vigente» con la cláusula de acreditar que Ciudad Real y Chinchilla, adonde aquellos se han agregado en la existía aquella…</t>
  </si>
  <si>
    <t>…gobernador, sefialando hora, que para el fin de ce El Sr. Buey opinó del mismo modo que el Sr. Becerra. lebrar en el hospital una mía ó dos todos los días festivos alternen en El Sr. Pedralvez dijo que opinaba lo mismo que el Sr. Becerra , fun tre sf por dias ó semanas.” Aprobado. dándote en lo muy importante que es que estos actos se consignen en Art. 5.0 » Asi en guarnición como en cuartel dispondrá el coronel las actas correspondientes, pues no…</t>
  </si>
  <si>
    <t>…se yes , y no hay hombre que pueda precaver todos los que son meramen requieren para ser primeros. te posibles. El Sr. Infante contestó que ademas de ser mucho estímulo el que El Sr. Pedralvez: Toda la dificu'tad está en si las palabras son con lot sargentos y demás dates pudiesen ascender, bien por antigü-dad ó formes á la idea, pues por no «star bien expresada volvió el artículo á bien por elección , era preciso tener presente que ios cabos prim-…</t>
  </si>
  <si>
    <t>…l ó al gefe que mande el cuerpo para aprobación voto el presidente, habría que hacer nueves elecciones. de los primeros, y la participación al inspector general «le su arma , á El Sr. Pedralvez hizo presente que no debía haber en la votación quien dirigirá las de los subtenientes y tenientes para que la* eleva fi diferencia alguna entre el presidente y los vocales, porque ademas de la resolución de S. M.” los inconveniente* que esta distinción podrí…</t>
  </si>
  <si>
    <t>…macio la Nación heróica á quien ss dirigen, ofreciendo rasgos de virtudes cí nes sobre individuos no alistados al efecto.” vicas y altos egempios de gloria nacional.” Aprobado. El Sr. Pedralvez manifestó que este artículo no tenia la claridad Art. i.° •&gt; Se le autorza igualmente para que oyendo si fuere pre correspondiente, porque debiendo ser el cumplimiento del decreto de 8 ciso á las diputaciones provinciales , pueda destinar para establecer un d…</t>
  </si>
  <si>
    <t>…cidos desde el principio de la guerra de la inde £1 Sr. Aillon opuso varias razones en contra del dictamen. pendencia. Bien notorios son á todo el mundo los sucesos que ocurrie El Sr. Pedralvez después de haber manifestado la protección que las ron desde el principio de esta guerra, que le tuvo en el año de 8 hasta naciones cultas de la antigüedad habían dado á las ciencias, y el el año 14; en el intermedio de estos años la Nación se dictó leyes á s…</t>
  </si>
  <si>
    <t>…a de la misma ins disposición á fo. marse, y todos ios casos de c. Ir írdía en acción de guerra titución.” contra toda clase de enemigos , que pod'án ser castigado* por lo* res El Sr. Pedralvez: El articulo que se presenta i discusión no me pectivos superiores hasta con la muerte.” parece que es» extendida en los términos ccnven.entes. En ei articuo El Sr. Prado impugnó este artículo, manifestando que no le encon i.‘ de este capitulo se dice lo m sm…</t>
  </si>
  <si>
    <t>…probado. po de guardia ó piquete.” Se mandaron pasar á la misma comisión una adición de los seño Fueron aprobados los cinco siguientes, que son: res Garmendia y Fetrer, y otra del Sr. Pedralvez á varios artículos de Procesiones. la ordenanza militar aprobados por las Cortes. Art. 4.0 » En las procesiones de imágenes del santísimo Cristo, la El Sr. Canga dijo: Un ataque que acaba de recibir nuestra inviolabi Virgen ú otro santo, las tropas por donde…</t>
  </si>
  <si>
    <t>…artículo dice : no podrá haber ¡-«f-, pu.it eos subal de a dicha parte. ternos sin que lo acu rd.-n las Cortes á propuesta de. Gobierno. Sr. B-c-rra contestó i la observación del Sr. Pedralvez, mani El ur. Becerra: Las Cortes pueden acordar que se e»t. b..zea un g-Í4 festando que pu-de haber otros d fectos, ademas de la desobediencia y político subalterno, y en este teni do hsb.a el artículo , y ei G-b .riiO turbación d-l sosi-go público, cuya corr…</t>
  </si>
  <si>
    <t>Pedralvrz</t>
  </si>
  <si>
    <t>…modo que lo propongo. Madrid Sábado t* de Octubre. El br. Infante maúif-ttó qu: la doctrina que haba desenvuelto el S. M. el Rey y SS. \ \. continúan sin novedad en «u importante Sr. Pedralvrz ara la misma que exportaba el articulo en su última par talud. S. M. la Reina continúa aliviada. te; y habiendo sido esta desaprobada por las Cortes, la comisión de Guerra había discurrido, para presentarla de nuevo á la deliberación CORTES EXTRAORDINARIAS. d…</t>
  </si>
  <si>
    <t>…tad en la aprobación de este ar El Sr. pr-s dente dijo que el punto estaba ya discutido, r que lo tículo. que se d.-seaba saber era ti loa señorea de la comisión se conformaban El Sr. Pedralvrz: Según este artículo podrán ser registradas las ca coa las reformas expresadas. sas de juego , de trucos, villar &amp;c-, y también las de otros juego* El Sr. Lop-z del Baño contestó que podría volver el artículo i la p.rm'tídos. ¡Y por qué no se hade poner esto…</t>
  </si>
  <si>
    <t>Pedratvez</t>
  </si>
  <si>
    <t>…extendiesen de un modo uniforme en tcgan bases , y luego se har:fi los reglamentos. do el reino ; lo pr: 11 tro ya estiba mandad.’ , y lo secundo e a una cosa Ei Sr. Isturíz:' El Sr. Pedratvez manifestó ayer lo bastante para que se utilísima , á fin d: que no se confundiese al hombre de buena con apruebe el dictamen que ahora presenta dcnu.vo la comisión. Las Cortea ducta con el malhechor. desecharon su antrrior dictamen, y no puede empezar I traba…</t>
  </si>
  <si>
    <t>Pedraza, Josef María López de</t>
  </si>
  <si>
    <t>Josef María López de Pedraza</t>
  </si>
  <si>
    <t>…sin moverse; y consta ademas que los individuos del nación que solicitaba- Apicbado. ayuntamiento no tomaron medida ninguna para poner á salvo la vida Otro sobre la exposición de D. Josef María López de Pedraza , ve de los ciudadanos, y que fue incendiada la casa del juez de primera cino de Córdoba , para que sé suspendiesen las órdenes dadas por el instancia y la del escribano. Yo observo que el pueblo entero quedó á tesorero general acerca del pago del derecho de…</t>
  </si>
  <si>
    <t>Pedro</t>
  </si>
  <si>
    <t>…lde i.° tribunal en providencia de s del corriente que se higa saber el estado constitucional.sFrancisco Jaldero , alcalde 4® constitución*l=Josef de los autos á los herederos del D. Pedro por medio de la gaceta y dia 'White.ssManuel Gregario Mufioz.=Manucl Civera, reg ¡dores.=Ma- rios de esta corte, pan que dentro del término de 30 dias, contados des nuei Cebrian, procurador atndicamáaivador de Alagon, «creuiio del de su publicaciua, k present…</t>
  </si>
  <si>
    <t>…que todo acordó que se repartía» los egemplare*. jurado habia de ser justo en su juicio se hubiera propuesto ate artícu Se dió cuenta de una exposición del teniente de caballería D. Pedro lo ? Yo creo que no; pao aun suponiendo que ai fuese, debo mani Irigoyen, en la que, ademas de ceder á la Nación lo» alcances que le festar k&gt; que puede suceder, como efectivsineute ha sucedido ye, lo pertenecían, solicitaba se le comprendiese en la resolució…</t>
  </si>
  <si>
    <t>…e estas se sirviesen resolver que se nombrase otro que componer las comisiones respectivas, y es del tenor siguiente = le reemplazase. Agricultura, Sres. Lagasca, Reiiio, Alvarez (D. Pedro), López La Diputación permanente manifestaba asimismo que se la habiaa Cuevas, Rico y Ladrón de Guevara. dirigido algún otro expediente de igual naturaleza que el anterior; pe Biblioteca. Sres. Valdés, Benito, Flores Calderón , González, Mon ro que no teniénd…</t>
  </si>
  <si>
    <t>…r la fue leydtl Sr. tecretario de la Gobernaríau drs-shada. de la Península. E! Sr. presidente puso en seguida á votación la siguiente proposición Sret. Velasen, del Rio, Alvarez (D. Pedro), Valle, Sová,Iros* qu; hr.bia hecho e! Sr. Guerieiro: •» Todos los magistrados y oficiales •á y Benito. de justic a serán responsables de los abusos del poder ó yerros que co- Comisión de Salud pátlica. Sra. Pcdralvrz, Lagasca, Suoan*, Mon meties-n en «1 eií…</t>
  </si>
  <si>
    <t>…les hubiesen sido ocupados algunos de mo sigue: Sres. duque del Parque, Munarriz , Torner , Alvesr, Alva ellos. Art. a.1’ Conforme al artículo 10 del decreto de 17 de Agosto res (D. Pedro), Jiménez, Jaime, Sedefio, Meca, Martí, Latre, La- de (Sao los bienes pertenecientes á las temporalidades de los jesuítas, puerta , Valdccasas, Somoza, Blak, Ordufia, Benito, Escudero, Bel- que antes de su restablecimiento en tSió no eran administrados por da…</t>
  </si>
  <si>
    <t>…e continuasen haga notorio por medio de ia gaceta. disfrutando sus hijas la pensión de 500 ducados que tenia su difunta muger y madre respectiva como camarista que fue del Infante D. Pedro. El comisionado principal del Crédito público en esta provincia, lue Se dió cuenta de una exposición de D. Francisco Menchaca, co go que recib.ó la lista formada por la contaduría general de Valotes, mandante de batallón, sobie que se le indemnizase de las pé…</t>
  </si>
  <si>
    <t>…niños, nifiat y jóvenes, y acomodada al carácter, costumbres , leyes cíe i). Joaqu 11 d-Vola ba, se entienda sin perjuicio del pago del 4 por y religión de la Nación española. Pot D. Pedro dUonsn Rodriguen ico de habilita.»!» de bandera par el cacao de que hace mención en el Se hallará cu la libra i* 4c EN L\ IMPRENTA NACIONAL,</t>
  </si>
  <si>
    <t>…a tarde y noche hubo grande concur males como cesante. Aprobado. rencia por las calles , sin que ocurriese desorden alguno. La misma comisión, en vistadel expediente promovido por D. Pedro El coronel de la M. N. L. D. Sebastian Alejandro Pcfiaaco, des Oiabarria, del comercio de Bilbao, sobro el pego de 89 petos fuertes pués de haber recibido las banderas, arengó i sus .cjompafierot de armas, que se le ocuparon en t8t) de otilen «leí gobernador de…</t>
  </si>
  <si>
    <t>…suce censos son una especie de propiedad del verdadero dueño de dichos sores , aunque ellos habían enagenado algunas partes de su reino, que predios. les mandaban recobrar. El Rey D. Pedro ir fue tan zeloso en esta par Supongamos que un propietario que disfruta un monte de tres te, que arrostró por sostener lo mandado la guerra que tuvo con el ó cuatro leguas, qu ;re poblarlo; es claro que podrá imponer á los Rey de Castilla. colonos una especi…</t>
  </si>
  <si>
    <t>…su carrera de gefe po'ítico, cuyo destino, se Hurtado. gún resu la de este sumario, desempeñó muy dignamente en la provin Xota. Fa la gaceta del 30, col. 1.*, lío. »8, donde dice D. Pedro cia de Sevilla, y con particularidad en las últimas ocurrencias políticas Fuentes, léase D.Pedro Fuertes. EN LA IMPRENTA NACIONAL.</t>
  </si>
  <si>
    <t>…vier Isturiz, D. Juan Josef Sánchez, D. Ramón Busaña, D. Jo Los Srei. que aprobaron fueron los siguientes: Salvé, Prat, Saave- sef Taboada, D. Jaime Gil Orduña, D. Miguel Busutil, D. Pedro dra, Buruaga, Domenech, Luque, Sierra, Pumarejo, Infante, Ruiz Alvarez y Gutiérrez y D. Dionisio Valdés, para proceder con arre de la Vega, Somoza, Llórente, Rojo, Roset, Riego, Orduña, Rico, glo á la ley de libertad de imprenta y su capitulo adicional sobre…</t>
  </si>
  <si>
    <t>…i.tu onal le H-ruanas, en la provincia de Burgos, 1* colocase. Aprobado. para que se le permita recomponer un molino de sus propios, costeán La misma, en vista de la exposición de D. Pedro \n&gt;ti« Maneja dose dicha recomposición p &gt;r melio de un reparto v cinal, ó bien se I* y Otros ofic aáes &lt;4:1 regim entó de Extremaiu a y c. mp i.ad &gt; en ¡a permita la venta de di-ho molino para sat sfacer algunos atrasos , opi causa del general Portier), quei…</t>
  </si>
  <si>
    <t>…chos la intro ría de Atitoran y en ¡a de Deliré. ducción de los géneros susceptibles que deban ser rspurgadot en el laza fcn los trastornos de la ú luna guerra se han extraviado á D. Pedro reto, sin tener que pagar mas que los gastos precisos de espulgo, y aunde Llera peso y Quiñones, vecino de Avua, entie olios títulos de per reducir estos á lo menos posible para evitar de este el contrabando. 4.’ ytenencia, los privilegios originales de |uros…</t>
  </si>
  <si>
    <t>…zar que fue herido; y recomienda este gefe , porque se guarde á V. E. muchos ellos. Tarragona a de Junio de 182 I-Exce distinguió entre los valientes, al sargento 1." de Cantabria D. Pedro lentísimo Sr.=Joaquin Ruiz de PorrassExcmo. Sr. secretario del Des López. Este es en resumen el extracto de lo ocurrido en los días 29 al pacho de la Güeña.” 31 del pasado. En todos tos punto* de la provincia han sido batidas y » Excmo. Sr.: Sabiendo que en e…</t>
  </si>
  <si>
    <t>…ría d ■ este tribunal, sin perjuicio de quá los empleados, en ella se les abonen los sueldos que les correspondan, según lo de Reunidos en la ciudad de S-villa los ju-ces de hecho D. Pedro cretado por las Cortes, haciéndose la rebaja correspondiente en la Ureta , D. Vntonó Quesada, D. D.cgo huar z , D. Francisco P-rcii», partida señalada para este tribuna!. D. F'ranc seo d - Faua M.-ndcz, D. Claudio Boute &lt;u, D. Ale ¡o El presidente dijo que ma…</t>
  </si>
  <si>
    <t>…odo tu valor, entendién en la provincia de la Rioja dos casas, titas en esta corte, la una en la dose esta determinación para el cato en que loe débitos se hallen en pri- calle de D. Pedro, carrera de S. Francisco, núm. 1, manz. 110, y miros contribuyentes, O que las justicies ó cobradores los hubiesen la otra en la calle de S. Buenaventura , núm. 9, manzana, 113: se ta invertido en las necesidades de la nación , como suministros, utensilio* sa…</t>
  </si>
  <si>
    <t>…a sido de ella, á fin de que se personalicen «n ae halaban en 1 3 de Mayo: e! di van piomet. de palabra evacuar los prin el juzgado del Sr. D. Ramón de Argos, por la escribanía de D. Pedro cipado», y no lo cumple _ Austria é Inglaterra insisten de nuevo so Jis.f de Iba be a deducirlos en forma; adviniéndose qu* se ha señalado bre lo mismo: el d.van vu. ve á prometer,y nocuinpr; y p r ce es para |un'a genera: de acresdares el d a ai del corrient…</t>
  </si>
  <si>
    <t>…os atacó por la tarde, y los viltafrao- Dt Podtr egecutioo. Horbegoso, Arguelles, Fernandez , Tor . sin mas auxilio que tu propio denuedo, le rechazaron ras (D. Gabriel). Terrazo (D. Pedro), Izazaga, Rodrigues , Daca y dofeun argento.__El cotoad Jiuragui se hallaba últtmaaaeute en Ba Dt Dtdaratkm i la Nación. Mendiola, Tagia, Marín y ba con tu columna. . Proclama del grnrral Lope* dt Bonos. Odoido 4.* Dt Rrglammio interior dtl Congraa. Fagoaga,…</t>
  </si>
  <si>
    <t>…a cosecha , y ¿j Rute, D. Francisco María Cte*po, O. Fermín Alcega , D. Antonio no omitáis medio m fatiga para consumar ‘a grande obra de la Nación Carriola, D. Cristóbal Tille: , D. Pedro dala Liare, D. Jo*ef Aba etpaño a, !* segundad del sisteme y ei desengaño de los mas extraño* llan y D. Félix Cetndla*. ilusos. Este pueblo será vuestro apoyo en toras ocasion e. Los s-gio* Subímitnlts. D. Bernardo Fernandez, D. Diego Llórente, D. Pa coronará…</t>
  </si>
  <si>
    <t>…taban de jo; de modo que solo lo» cabecillas ton los que de lo* pueblo* «i* la serranía- Estoa aseguran terminantemente que á permanecen en tus guaridas. El comandante de batallón D. Pedro excepción de seii á ocho ilusos que siguen á lo* cuatro cabecilla* Agui Agustino, comandante «le otra columna, me avisa desde Ubrique coa jar , Tinoco , Mateos y Rosillo, to«lo» lo* demás se han retirado á su* fecha del 14 que en vario* pueblos se han present…</t>
  </si>
  <si>
    <t>…comprensivo de las reglas sencilla* De la audiencia de Valencia. D. Francisco Gutiérrez Sosa á la y seguras con que deberán formalizarse las liquidaciones, compren de Valladolid. D. Pedro de la Puerta á la de Extremadura. D. Josef diendo en sus artículos todas las providencias que parecieren masé pro Cartagena á la de Sevilla. D. Fernando Josef de Toledo á la de Arapósito para el objeto. on. D. Josef Ayuso y Navarro á la de Granada. D. Josef l…</t>
  </si>
  <si>
    <t>…s guarde ¿ V. S. muchos años. Maelia 16 de Agosto de tiempo di la orden para que la caballería de Azcuénaga avanzas- ai . at82 2.=Felips Tolosana =Sr. comandante de la tierra baja D. Pedro l.’pe por el camino que dirige á Maeila, ejecutando lo nu.mo ia d: San Antonio Barrena." Cuyo parte circunstanciado con los demas docu Rom id. Con este movimiento y con el va or y arrojo de las euemnas mentos, y el del espitan Azcuénaga, elevo á V. S., a fin…</t>
  </si>
  <si>
    <t>…ctado en juicio de conciliación cefebr.v'o Sres. que compusieron el jurado: D. Pedro Andrés. D. Antonio anta el Sr. D. Arias Gonzalo de Mendoza, alcalde constitucional de Co’omar. D. Pedro de la Cantolla. D. Francisco Javier Hernández. esta villa, se vende una cata de recreo y jardín perteneciente a&gt; i-vc - D. Bartolomé Espinosa. D- Domingo Menguar. D. Joscf Arroyo. Dan Jentismo Sr. duque de Medínaceli y Santistcban, sita en el lu zar de lJ.rni…</t>
  </si>
  <si>
    <t>…z para No fu- mas feliz su hijo Felipa, llamado el Atrevido, en su fa Barcelona el 7 del presente; y d día 9 i las t de la tarde fu* persegui mosa expedición i Cataluña (5) contra D. Pedro nt, Rey de Aragón, do por una goleu da dos gavia* y otro b rgactin goleta; huyendo da el que qu tó á los franceses ¡a Sicilia (&lt;) después de las famosas vís los cuales se vió precitado á barar en la playa de Barbate, donde loe peras sicilianas. Felipe venia á…</t>
  </si>
  <si>
    <t>…evaricación. El.os mismos se acusan y Es inútil el dictamen de la comisión, porque no es creíble que denuncian ante ia ley. No obran de un modo diferente aquellos regu S. A. R. el Sr. D. Pedro, ligado con un juramento tan solemne como lares, que habiendo hecho traición á su juramento, y burlados* con des el que prestó voluntariamente de ser protector y defensor perpetuo del fachatez de las leyes del Congreso y órdenes del Gobierno, ocuparon Brasil,…</t>
  </si>
  <si>
    <t>…con admirable valor y constancia Fue tan generosa como v». gos, y juzgando que no podría salearse le dijo: n Hermano, eres perdi líente, pues habiendo los suyos hecho prisionero á D. Pedro de do ; pero mueres en el campo del honor, y tu vafor será el asunto eter Guzman , traspasado de heridas , Doña María , que desde los adar no di los elogios y di los cánticos de las Espartanas.” ¡ Cuántos ras ves del alcázar había estado viendo el combate, le…</t>
  </si>
  <si>
    <t>…es: esta se desenvuelve con la sociedad cual fueron nombrados á mas de los individuos natos los Szes. Amares de las familias que forman un pubis»; de cons.guient: vi de ne.esidad (D. Pedro), G l Oiduña y Busaña que se sepa lo que son familias, ¡o que son pueblos, y al mamo Las Cortes recibieron con agrado , y mandaron pasar i la comisión tiempo que se lígu rn las arciones civiles y políticas para precaver los de Hacienda una expos.con del ciuda…</t>
  </si>
  <si>
    <t>…comandante de las milicias de ambas armas D. Antonio Baiges, Enero de este año, presentados para el cobro del primer semestre en I* el batallón de la Corona, al mando de tu digno comandante D. Pedro arccion de renovación del Crédito público desde el día 7 de S.tambre Agustino, y la tercera del segundo de movibles, al mando de su ca próximo pasado hasta el 11 inclusive del mismo , acudirán el lunes 28 pitán D. Josef Serra, pasando por el camino mas corto…</t>
  </si>
  <si>
    <t>…a mente ios faccioscs, que en número d; 800 ScaviUaban Rambla y mento la inviolable palabra de guardatla y hacerla guardar. Chambó. Todo lo que Comunico con esta ficha al tricadla D. Pedro » Sí, representantes de la heróica nación portuguesa, vuestra obra Mendez de Vi jo. grandiosa, fruto de tan esclarecidos como patrióticos esfuerzos, será n Dios guarde i V. S. muchos años. Va'drrobres u de Octubre respetada y sostenida. Yo lo juro por la buen…</t>
  </si>
  <si>
    <t>…trador de ia Moncloa; Daña María Gerónima Carbonell, cual en punto á intervenir en los negocios interiores de otros Estados americana , viuda ; D. Luía Chaves, guatdaropa dd Key ; D. Pedro nunca ha estado de acuerdo, ni parece estarlo ahora, con el modo de Podio, oficial segundo de la tesorería de S. M-; el P. Fr. Pedro Tepensar de ciertas potencias. Corrían en Viena algunas voces nada gratas Hez, agonizante en ei convento de Alcalá; D. Josef A…</t>
  </si>
  <si>
    <t>…cazadores de Africa y las de voluntarios del partido, bertades patrias y por el exterminio de la fac:ion liberticida , y lu go italiano, y españole":, y ¡a retaguardia al teniente coronel D. Pedro emprenderá la marcha á su destino. Lo que por disposición d:S.E. na.Nolasco Basta con el batallón de Córdoba de su mando : el terreno su- lado ú V. S. para su inteligencia, satisfacción y efectos cons gjiint s. tnamen:- fragoso proporcionó al somaten del país…</t>
  </si>
  <si>
    <t>…man—8. Primero medio por too del En Madrid.....................................Artillería á pie.................. roto*500. tabaco, juro reducido 56,150 mrs., en cabeza del citado D. Pedro En la Coruña...............................................I Idem é caballo»........... «... 1971300. Portocmrrero de Guzman—ti. Servicio ordinario de Toledo, juro En Vitoria....................................................(.Tren........... ....................... 187.…</t>
  </si>
  <si>
    <t>…imera del crimen de la audiencia trrr.'torial de Cal ila la Nueva en grado de segunda instancia la causa formaba por el ¡use Secretaría del consejo de Estado. Por fallecimiento de D. Pedro de p.rtido de Villamuva de las Infantes á pedimento de Víctor Galle,Toledo Pimentel te halla vacante la dignidad de deán de la Sta. igle go contra Gabriel Velasco y consortes, sobre cooligacion para no hacer sia catedral de Sta. Cruz de la Sierra en Charcas,…</t>
  </si>
  <si>
    <t>…la artillería. Lo. C ■ migos se reanimaran aitun tanto, creyendo s- in el cupo de »»to&gt; cuando no los r.clamasen tos de su natura eza. A .a misma i: manco pasar una exposición de D. Pedro t-aneda y troduciría disórden; mas la drmrza o.gna det mayor e.ogio de la piste D. Jos f Marta N., pidiendo se llevas: á efecto una proposición que de Oviedo y Zapadores que sostenían as piezas trustu» sus esperanzas. hicieron lo. nres. i’.orez Estrada, Soian…</t>
  </si>
  <si>
    <t>Pedro, Manuel de</t>
  </si>
  <si>
    <t>Manuel de Pedro</t>
  </si>
  <si>
    <t>…Quedaron aprobados ios poderes de que; para la del de Cervera, en Catalufia, vacante por promoción de este individuo como se proponía. D. Gine» María Serrano á la del de Avila, á D. Manuel de Pedro!»; La comisión de Poderes presentó su dictamen acerca de tres recla para la del de Falcet, también en Cataluña, vacante por promoción de maciones de uno de los electores de Bermeo , del ayuntamiento cons D. Josef Ramea Calderón i la del de Valencia de Alcánta…</t>
  </si>
  <si>
    <t>Pedros, Jewf de</t>
  </si>
  <si>
    <t>Jewf de Pedros</t>
  </si>
  <si>
    <t>….de dibujo de adorno y dis;c*do de anima lea. - Habiendo hecho maneta D. Radial de Sobrearante, rocino de La sociedad se conformó con el dictamen de la com sien ; en cu -Madrid, y D. Jewf de Pedros* y Bracamonte, que lo esdeta ciudad ya consecuencia el Sr. presidente de !a misma entr-có en jurta ord nade Awtequera , el primero del título de usaequaa-de Sobrearante, y él ria de at de Jun&gt;o-&gt;á.eada uno de los alumnos citados una m-ía a ce segundo del dema…</t>
  </si>
  <si>
    <t>Pedrosa, Ramón</t>
  </si>
  <si>
    <t>Ramón Pedrosa</t>
  </si>
  <si>
    <t>…or haber sando fiador del administrador de tabacos de Be monte. El Sr. presidente, después de haber manifestado que habían pasado las A ;a de Instrucción pública una exposición de D. Ramón Pedrosa, horas que prevenia el regí rnient a , d jo : Las Cortes se han enterado por en cabdad de a hacea testamentario de D. Francisco Jos;f de Corra, lo» Sres. secretarios del "d. .pacho d •! estado en que se encuentra la Na minifestando qu; este en su ú&gt;t ma vo'un…</t>
  </si>
  <si>
    <t>Pedrslvez</t>
  </si>
  <si>
    <t>…e la componen tienen que separarse do sus obli dencia* gubernativas. gaciones. Esto supu-sto se ve la necesidad de establecer compañías que En cuanto á la objeción que ha h*cho el Sr. Pedrslvez confieso que ex. ij. v.nv-nt: s-, ocupen en la persecución de rralhechor-s. pueden comrtersr faltas por los ayuntamientos en que no haya maii-ia, A r.v&gt; se ha dicho que enhorabuena que se establezcan; pero que Ules como no remitir los estados »-manales ó la,…</t>
  </si>
  <si>
    <t>Pef.aficl</t>
  </si>
  <si>
    <t>…a halla sobre las armas, dispuesta á pelear contra el enemi dictamen, j opinó que debía aprobarse este. go de su religión. Los turcos, en medio de las continuas guerras que tie El Sr. Pef.aficl manifestó que los medio* luiset no podían conser nen entre sí, olvidan todas sus desavenencias cuando los atacan Jos ex- var el valor nominal que se les habia dado en 1808, porque desde en trangeros para dirigir su atención hacia el enemigo común. Las disensi…</t>
  </si>
  <si>
    <t>Pefia, Tomas</t>
  </si>
  <si>
    <t>Tomas Pefia</t>
  </si>
  <si>
    <t>…ibiente del archi la parte de .paga que percibe aqui, jr vo de la seciciaría del Despacho de Hacienda de Ultramar. pertenece i los mese* de Mayo y Junio. £,000. Murcia interventor D. Tomas Pefia, oficial cesante de la dirección A tos -individuos de la dirección y de rentas. mayoría general de la armada por un Calatayud administrador D. Alberto Ibar Navarro , contador ce mes de sus goces de sueldo y gratificasante de propios, con sueldo de r i3 rs. In…</t>
  </si>
  <si>
    <t>Pefiafiel</t>
  </si>
  <si>
    <t>…rán declarados libres, r á cada uno se aplicarán 100 du dos ¿ofendientes tenia mas derecho á las fincas. ros si alcanza» para ello, la mitad del valor del buque; y, ai no » leu Él Sr. Pefiafiel opinó que debía remitirse al Crédito público ésta distribuirá dicha mitad á prorats. 1 expediente, por cuanto ei juez ác pnuicia iusíar.ci- p^d.a e - f e-’ie compren navios bozales de los asi introducidos contra la sin facultades, y desairar al Congreso, tant…</t>
  </si>
  <si>
    <t>Pefialver, Juan de</t>
  </si>
  <si>
    <t>Juan de Pefialver</t>
  </si>
  <si>
    <t>…nos tengan los nú Zúfiiga, Fr. D. Josef Alfonso Clavero y Seté , D. Pedro de Peflalrer, meros desde el 18 al )t inclusive, se servirán concurrir á recoger sus presbítero, y el Dr. D. Juan de Pefialver,comparecerán por tí ó por sus acciones y documentos de intereses el martes 16 del corriente desde las apoderados en el juzgado de primera instancia de Guadalajara, y por 10 de su mafiana hasta las 2 de la tarde á la contaduría de la direc conducto de la escri…</t>
  </si>
  <si>
    <t>Pefislver, Juan López</t>
  </si>
  <si>
    <t>Juan López Pefislver</t>
  </si>
  <si>
    <t>…e en el término de la ciu Fernandez Navarrete, de le ecademie Espafiola, 7 secretario «le la de dad de Málaga al sitio de la Calera, procedente del suprimido conven S. Fernando: i D. Juan López Pefislver, académico honorario de le to de S. Agustín de la misma, cuya subasta te anunció en la gaceta «le S. Fernando; á D. Ignacio Ruis Lusuriap, secretario de le acade del día 19 de Setiembre último bajo la relación núm. 31/, con U ca mia Médica; á D. Domingo Garcí…</t>
  </si>
  <si>
    <t>Peflalrer, Pedro de</t>
  </si>
  <si>
    <t>Pedro de Peflalrer</t>
  </si>
  <si>
    <t>…uatro vinculaciones que fundaron D. Francisco Henriquez de Estrada y Los interesados en ¿I, cuyos resguardos interinos tengan los nú Zúfiiga, Fr. D. Josef Alfonso Clavero y Seté , D. Pedro de Peflalrer, meros desde el 18 al )t inclusive, se servirán concurrir á recoger sus presbítero, y el Dr. D. Juan de Pefialver,comparecerán por tí ó por sus acciones y documentos de intereses el martes 16 del corriente desde las apoderados en el juzgado de primera instanc…</t>
  </si>
  <si>
    <t>Peftalrer, Juan López de</t>
  </si>
  <si>
    <t>Juan López de Peftalrer</t>
  </si>
  <si>
    <t>…onsabiiidad para que evacuase su informe. materias de física y de filosofia, traducidas con notas y adiciones por Declarado el punto suficientemente discutido se acordó haba lugar D. Juan López de Peftalrer &amp;c.: 4 tomos en 8.a he venden en la li á votar «obre la totalidad del dictamen , y quedaron aprobados lo* ar brería de Collado á «4 a. ea pasta. Habiéndote publicado hace años al tículos que ate abrazaba. tomo 1.“, las persona que lo tengan podrán tomar ios o…</t>
  </si>
  <si>
    <t>Pei-</t>
  </si>
  <si>
    <t>…dió que se tratase de la proposición que ha dir:¿ da, queda sujrta en tojo á las leyes de la libertad de impremí de bia hecho sobre que no se concediese la revista al acusador. El Sr. Pei- la mi.ma manera que cualquiera otro impreso. Art. 6. Los cur.ins ó jotose opuso, manifestando que en las causas concluidas por los jura asociaciones legalmentc constituidas no pueden representar c .taies,dos no debía concederse revista á ninguna de las partes…</t>
  </si>
  <si>
    <t>Peiayo, Vicente de S.</t>
  </si>
  <si>
    <t>Vicente de S. Peiayo</t>
  </si>
  <si>
    <t>…do con sus conocimientos para ia distribu Segunda. Criado , D. Santos Martínez , herido. ción- y preparativos del pian de defensa se encontró en toda la acción; Tercera. Cazador , D. Vicente de S. Peiayo, herido.' Total i y mostró el valor que tan públicamente tiene acreditado, recorriendo muerto, 10 heridos y 5 contusos. al principio del fuego todos ios puntos, y acudiendo después donde se Resumen general. veia mayor el ataque para rechazar los enemigos. Tam…</t>
  </si>
  <si>
    <t>Peina, Bias</t>
  </si>
  <si>
    <t>Bias Peina</t>
  </si>
  <si>
    <t>…de algún piseblo. Comienzan ya á presentarse algunos A aquellos ilusos que se habían separado de la senda constitucional, y al indulto que ayer publique según la ley, entre ellos D. Bias Peina proceder conforme á las leyes si continuaban en tus errores. dor , teniente retirado del ejército: so número no liega i 200, y de Otros var-os «res. diputados hablaron contra el dictamen de la co los decididos á seguir no hay 40*. á los milicianos de Zaragoza…</t>
  </si>
  <si>
    <t>Peinador, Bernardo</t>
  </si>
  <si>
    <t>Bernardo Peinador</t>
  </si>
  <si>
    <t>…gando ei terreno y de Tena , al teniente del regimiento de infantería de Vitoria O. Má los daños y p rjuiciot que causaren; y lo mismo har-n los aduno vira ximo Keinoso, al asesor D. Bernardo Peinador, y al juez de primera dores de la Hacienda nacional ó el Oédito público en el caso que be instancia de Toro D. Diego Antonio González haberles sido gratos su neficien directamente y por su cuenta alguna» minasen terreros «genos. jelo por la gloria de los tres…</t>
  </si>
  <si>
    <t>Peinador, Joaquín y D- Ramón</t>
  </si>
  <si>
    <t>Joaquín y D- Ramón Peinador</t>
  </si>
  <si>
    <t>…níu*ula. tándole dd los placeres puramente sensuales, é iusp.ráncuie ruclicacio■es m :i nobles. Jtt'r.'.i Je jurado. Hablando ccn propiedad y rn un sentido absoluto, no hay conoci Don Joaquín y D- Ramón Peinador, hermanos, D. Antonio Rúa mientos superfluos; pero teló ndo en consideración que el tnmpo con y Figutro* y D. Juan Dionisio Cantillo, residentes cu esta corte, de sagrado a la ctluciciun del pu-bio es corto, que la instrucción no es nunciaron al Sr. alcalde c…</t>
  </si>
  <si>
    <t>Peinando</t>
  </si>
  <si>
    <t>…ecado el no díeimar de diez uno , tampoco lo era el hurtar, fornicar, El Rey ha «pedido el decreto siguiente: matar y no oir misa en dias festivos, y tampoco el creer que no había D. Peinando vu por la gracia de Dios y por le Constitución de D.os, y por haberles igualmente persuadido entre otras cosas que la la Monarquía etpalióla , Rey de las Espadas , á todos los que las pre Constitución era mala y viciosa , y haber afirmado lo mismo por el es s…</t>
  </si>
  <si>
    <t>Peíralve</t>
  </si>
  <si>
    <t>579 El Sr. Peíralve* apoyó nti proposición con varías observaciones.^ • Los muchos y variados fraudes cometidos en la elaboración «ic las la comisión de Visita del Crédito público, tn n'sfa ds la cXposí- barrillas y iosü ó almajos, la ignorancia del comercio, que fomentaba del a…</t>
  </si>
  <si>
    <t>Peixolo</t>
  </si>
  <si>
    <t>…en éste Congreso los señorea griegos. diputado, de la» provinc as que hiciesen sem jante nomb-amiento."' *&gt; Kn la parte septentrional de la Mor-a los griegos no adelantan mas F.l Sr. Peixolo y otros St;s. diputados ¡nb'aro.i sobre el d.ctamea que en los otros puntos. Hace algún ti mpo que el famoso Gdocotro- de la comisión; p:ro habiendo llegado la hora de levantar La sesión, ni , que bloqueaba i Patrís, se retiró con sus tropas por un efecto de…</t>
  </si>
  <si>
    <t>Pela, María Josefa</t>
  </si>
  <si>
    <t>María Josefa Pela</t>
  </si>
  <si>
    <t>…icos creen que cañamazo: Doña B-nita Ochoa. Países de sedas: Doña Concepción esu coi sist: en la degrad cion d.l hombre, y los españoles quieren ser García. Toda clase de calados: Doña María Josefa Pela}o. Bordados lrbr.s i ¡tul.-‘pendiente-., y que se respeten sus derechos como nación. al tambor: Doña Teresa Unbarri. La debilidad ó fu.rza de nuestros medios se verían cuando lo exi TX1BUNALBS. giesen las circunstancias, como sucedió en 1808. Bonapaite nos ll…</t>
  </si>
  <si>
    <t>Pelaez, Antonio</t>
  </si>
  <si>
    <t>Antonio Pelaez</t>
  </si>
  <si>
    <t>…. Juan Ramiro, teniente del regimiente infantería de Guadix á D. Josef María Canelo, teniente del regimiento infante Guadalajara, con 570 rs. ría d- Africa , con ¡,7o rs. Toledo A D. Antonio Pelaez, teniente del regimiento infantería Guadalajars á D Benito Escalante, teniente del regimiento de za de la Corona, con £70 rs. padoras, con 570 rs. Talavera i D. Valentín Navarro, teniente ds infantería agregado Hetiín a 1&gt;. Jos f Beamurzuía, t niente de infan…</t>
  </si>
  <si>
    <t>Pelaran</t>
  </si>
  <si>
    <t>…designado á aquella ciudad por capital de distrito Del Sr. AlamanLos macstrantes de todas las maestranzas ■9».” ailiiar. Igualmente loquodaron.de upa aposición de un pueblo de Del Sr. Pelaran: » Que cuando se dispensen las pruebas en la conaquello provincia , en que daba gracias por haberle dejado en la misma. ' cesión de lea enteca ds lea órdenes militares y de Cirios m se aumente A las comisiones de Hacienda jr Comercio se pasó una solicitud de…</t>
  </si>
  <si>
    <t>Pelegrin</t>
  </si>
  <si>
    <t>…vo El ''r. Sancho dijo que esto seria un olvido del que habia extendido cación, injuria ú ofensa, sino algún tiempo después suficiente para el ohcio , ó acaso una equivocación del Sr. Pelegrin , que no seria extra obrar ccn rellexion.</t>
  </si>
  <si>
    <t>Pelegrin, Ramón López</t>
  </si>
  <si>
    <t>Ramón López Pelegrin</t>
  </si>
  <si>
    <t>…entes. por D. Luis López Ballesteros da los ministerios de Estado y Hacien da , para que habían sido nombrados , quedando encargado* de ellos in- CAP1TUIO vt. termimcute ios Sres. D. Ramón López Pelegrin y D. Luía bótela. Continuó la discusión del código penal. Jfe los fw reponen, ocultan 6cambian niños, 4comprometen 4o otro Se leyó el art. 68g, que decía asi. mudo su existencia natural 4 civil¡ y 4t los partos fingidos. Art. 690. » Lo* que voluntariamente expongan ó a…</t>
  </si>
  <si>
    <t>Pelleja, Francisco Ignacio</t>
  </si>
  <si>
    <t>Francisco Ignacio Pelleja</t>
  </si>
  <si>
    <t>…licación se egecuta á mas de ha campa, D. Tomas Vives, D. Josef Segundo Soler y J.-nkins , Don berse acompañado á la gaceta del lunes 10 del coniente mes , para que Pedro Rambaud, D. Francisco Ignacio Pelleja y D. Josef Antonio si algún interesado tuviese que hacer alguna reclamación lo verifique en Bertrán. el término preciso de dos meses, contadosldesde el dia de este anuncio. Véndese á 3 rs. de vn. cada egemplar, que consta de seis pliegos de En la ciudad de Cádiz, reunidos loe j…</t>
  </si>
  <si>
    <t>…á al Congreso de Veror.a. Los nego Ramón Frliu, D. Joscf Terrea, D. Baltasar Morct, D. Josrf Vidal y cios entre rusos y turcos no se dan por acabados. En Constantmopla, y iarriga, D. Francisco Ignacio Pelleja, D. Joscf Antonio Bertrán, aun en el mismo divan , continúa reinando ia mayor desconfianza bree D. Josrf Martí, D. Joseí Pujol y D. Alberto Arnet, declararon por la corte de Rusia: á cada momento se están manifestando reacios, y difi- unanimidad haber lugar á…</t>
  </si>
  <si>
    <t>…o 450^mrs., en la misma cabeza__r. Papel sella L&gt;. 1 edro Perena , D. Luis Este ve , D. Joaef Garriga, D. Pedro Ram* do de Málaga, juro de 187,500 mrs., en la citada cabeza. bauo. D. Francisco Ignacio Pelleja y D. Antonio Fulla, después de — 3. Segundo medio por ciento de Córdoba, juro perpetuo 759 haber examinado el papel inserto en el periódico Vigilante Tarraco mrs., en cabeza de D. Alonso Perez de Guzman, Patriarca de las In nense, núm. 18 , de! d.a 10 de Octubre Chimo, que empi…</t>
  </si>
  <si>
    <t>Pem, Joaquín</t>
  </si>
  <si>
    <t>Joaquín Pem</t>
  </si>
  <si>
    <t>…esentir los pue fiía da Filipira», en el q-.ie se vendían teneros de la mbrr.a. blos que no saben absolutamente qué hacerse , ni pueden tomar nin Se dió cuenta de ura instancia de D. Joaquín Pem idcr, D. An guna determinación cuando se ven invadidas por mayores fuerzas ? ¿ Es tonio Rúa, f&gt;. Juan Ca-.tillo y otros vecinos de esta corte , en :a ;ue tá tan lejos ia guerra de la independencia! ¡No se han visto ccmpio- después de manif.-'tar que habían de…</t>
  </si>
  <si>
    <t>Peña, Bernabé Lomo y</t>
  </si>
  <si>
    <t>Bernabé Lomo y Peña</t>
  </si>
  <si>
    <t>…. ca , el libre eg rcicio de sus funciones , sufrirán una reclusión ó prisión de dos meses á dos anos ; y un arresto de ocho días á seis mese*, si co Se desea saber el paradero de D. Bernabé Lomo y Peña, vecino y metieren este delito respecto de cualquier otro funcionario público. del comercio de esta corte , que viviaen el mes de'Agosto de 1807, para Art. 339. „ Los que con amenazas ú otra fuerza obligaren ó com comunicarle cosas que le interesan , ó si hub…</t>
  </si>
  <si>
    <t>Peñaficl</t>
  </si>
  <si>
    <t>…pedir que estorbe ó embarace la misma egecucion, de que tratan ios dichos artículos • 19 hasta ei 624 inclusive." oque lo descubra ó detenga ai delincuente después de cometido. El Sr. Peñaficl: Los delitos de que trata este articu.o están ya com *» Los asesin as serán infames por el mismo hecho , y sufrirán ade prendidos en los homicidios, com se ve en el tercer c3so del art cu.o mas la pena de muerte. éoé; y no sé por que ahora se quiera dar otra…</t>
  </si>
  <si>
    <t>Peñasco, Alejandro</t>
  </si>
  <si>
    <t>Alejandro Peñasco</t>
  </si>
  <si>
    <t>…as exposiciones de la diputación provincial de Cádiz y dd alcalde no , pues por ei articu o 10 del tratado se cst puiaba qne todas lat ins primero constitucional de aquella ciudad D. Alejandro Peñasco, con cripciones que te din a á los piestamisUs comrnzansn á gozar ínteres motivo de la denunca hecha ante dicho alca'de del manifiesto u alo desde 1 de Noviembre de 811; y te ve que el Gobierno ganará en cución de la c tada diputación, y procedimientos que se…</t>
  </si>
  <si>
    <t>Peñasco, Sebastian Alejandro</t>
  </si>
  <si>
    <t>Sebastian Alejandro Peñasco</t>
  </si>
  <si>
    <t>…a, completó dos compañía! to 13 de 181a, año tercero de la restauración de la libertad de las Es- de los regimientos de Valencia , de América y del cuerpo de cazador** pañas.e=F.l coronel Sebastian Alejandro Peñasco.” de aquella dotación, y las hizo marchar á disposición del comandante — Hoy ha salido de esta ciudad la artillería y caballería, que ha de re general de A’geciras. Aun en los lances mas apurados ti verdadero pa unirse mañana en el Puerto de Su. María á la mi…</t>
  </si>
  <si>
    <t>Peón</t>
  </si>
  <si>
    <t>…uede decretar la visita, como bierno. Diferente! patriotas de Cartagena se quejaban de la entrada hostil no sea para una causa determinada. El poder judicial es independiente, del general Peón en aquella ciudad, y pedían se le mandase formar y es un poder como los otros dos que reconoce la Constitución. Y si causa. Se mandó unir á los antcc.dcnics. el resultado de la visita puede ser el que se exija la responsabilidad i La comisión Eclesiástica, en…</t>
  </si>
  <si>
    <t>Pepé</t>
  </si>
  <si>
    <t>…plado, y los caminos malos c in jtun^ue fue abandonado por el destino y por ¡os hombres , no lo fue fue transitable» para los grandes carguíos. tu Orlar." Parece que esta obra del general Pepé no ha podido publicarse aquí * AOSTXIA. exactamente según el original; que te harem tido otro a París, que &gt;e dará á luz en francés con mas reticencias; y que únicamente el que se Viena yo de Diciembre. ha remitido á Madrid para publicarlo en español é italia…</t>
  </si>
  <si>
    <t>…luz diferentes libros en que se encuentran propio pufio la memoria que anunciamos. El conocido carácter del lecturas, sentimientos y egercicios piadosos; pero hay prcas en los cua general Pepé, la sencillez, moderación y franqueza que reinan en su les te hayan puesto sobre una misma materia los distintos objetos que escrito, y los documentos de quéxe halla acompañado, le dan una au se acaban de indicar, ni que se hayan desempeñado tan completamen t…</t>
  </si>
  <si>
    <t>Pepe</t>
  </si>
  <si>
    <t>…icta su corazón, les parece indecente ¡ y en esta posición ae refiere en el importante escrito de la misma especie que ha dado d continúan dominados por las circunstancias. luz el general Pepe , y que «tí ya impreso en ingles, francés y español; £n la situación crítica en que hoy dia se baila la Europa: en una y añadirá tal vez algunos pormenores, que al «"¿««y, tiempo toares ¿ ¿poca en que todos los pueblos van conociendo la necesidad de refor amb…</t>
  </si>
  <si>
    <t>…s que la convencen. No dudamos ni por ua __Un librero de esta capital tiene ánimo de reimprimir la Memo momento de que el Gcbierno obrará con energía en el particular, asi ria del general Pepe (i) si Rey de las Dos Sicilia* en los cuatro idio como estamos seguros de que activará Ja marcha de las tropas y el en mas ingles, francés, español é italiano, ilustrado con algunas notas in vío de dinero para salvar la libertad en nuestras provincias. S&gt;n em…</t>
  </si>
  <si>
    <t>Pepe, Guillermo</t>
  </si>
  <si>
    <t>Guillermo Pepe</t>
  </si>
  <si>
    <t>…e hayan podido apartarse de su sendero. la suya en particular, dirigida á S. M. d Rey de las Dos Sicilias por Una de las calumnias mas vituperables y funestas es la de represen el general D. Guillermo Pepe, j acompañarla de documentos oficiales, tar las opiniones favorables á la libertad como incompatibles con los que por la mayor parte se dan á luz por primera vez, traducida al us sentimientos religiosos. Nosotros hemos profesado constantemente el tdlano del o…</t>
  </si>
  <si>
    <t>Pepé, Guillermo</t>
  </si>
  <si>
    <t>Guillermo Pepé</t>
  </si>
  <si>
    <t>…y las naciones en general y de la suya eñ particular; dirigida á S. M. el si son adquiridas por endosos, á quién están llenas, desde el lunes 11 de Rey de las Dos-Sicilias por el general D. Guillermo Pepé, y acompa Marzo, en que comienzan los 30 días destinados para esta operación, ñada de documentos de oficio, cuya mayor parte no se ha dado á luz hasta el miércoles 10 de dicho mes de Abril inclusive. hasta ahora. Se vende en las librerías de Orea, Brun y Hurt…</t>
  </si>
  <si>
    <t>…olitano* en la siguiente exposición dirigida al soberano Congreso de la Nación intentaban oponer. espafiola de los afios a: y 13, por Fr. Pablo Rodríguez. Se vende es El dignísimo general D. Guillermo Pepé, primer héroe de 7a revo Sevilla en casa de la viuda de Vázquez y compañía. lución de Nápoles, que habiendo logrado fugarse abandonando una pa El alma elevada a Dios p &gt;r las r flex.on.s y sentimientos: obra es tria esclavizada, transitó por Espafia y Portuga…</t>
  </si>
  <si>
    <t>Per</t>
  </si>
  <si>
    <t>…los 5c» que hay en diferent-s guar Vanos Sres. diputadoi hablaron contra -*| dictamen de la comisión, niciones desde Alejandría i Venec-a , sino que las tropas italiana*, dis y el Sr. Per cita do Carmo ¿i:o que la comisión no había d'do su d cciplinadas bajo las órdenes de Buonaparte , le hubieran proporcionado tamen , porque creía que las m.’didasque pudieren tomarse va serian ar riesgadas o ilusorias , y que la com s on se hab a fundado en n…</t>
  </si>
  <si>
    <t>Peralta, Luis de</t>
  </si>
  <si>
    <t>Luis de Peralta</t>
  </si>
  <si>
    <t>…que trata el oficio de V. E. tuados en la de diezmos de la mar de Castilla: Doña J-ana Calderón, del a a último , sobre si el decreto de ig del corriente , que previene luug.-r de D. Luis de Peralta, por otro de aó de Marzo de &gt;386, entre otras cosas no se provea por ahora empleo alguno en sugeto que 37,300 mrs. en la renta del 10 por 100 de lanas: Alonso de Peralta 110 tenga haber por el erario, comprende también a los empleados que por otro de 9 de Set…</t>
  </si>
  <si>
    <t>Peralta, Manuel</t>
  </si>
  <si>
    <t>Manuel Peralta</t>
  </si>
  <si>
    <t>…, teniente supernumerario del regimiento Pamplona A D. Domingo Zaldua, teniente del batallón ligero j.° infartaría de la Reina , con ¡70 1*. de Cataluña , con 570 rs. Ca'atayud al capitán D. Manuel Peralta, teniente del batallón li Pontevedra ¿ 1J. Josef Pereira , teniente del regimiento infantería gero primero voluntarios de Aragón, con 570 ra. de Navarra, con 570 rs. Castellón ai capolan D. Félix Hernand, teniente del regimiento Ronda á D. Josef García Gotiza…</t>
  </si>
  <si>
    <t>Perca, O. Manuel</t>
  </si>
  <si>
    <t>O. Manuel Perca</t>
  </si>
  <si>
    <t>…ol no titubea un momento en su.¿car su vicia'v sus bie deshecho las gavillas de la sierra de Alcubierre. nes cuando se trata de vindicar ol honor-, ó da imcer la felicidad de n Et capitán O. Manuel Perca* comandante de usa.columna que su patria. ■ -.1 el connndante general dejó organizada en. Naval , sorprendió y derro Continúan ios típoncúmrt dirigidas i U Djutaeion permanente Jetó en Bcnabarre la partida de facciosos mandada por l’olomeu.” Cortes. * Madrid…</t>
  </si>
  <si>
    <t>Pereda, María</t>
  </si>
  <si>
    <t>María Pereda</t>
  </si>
  <si>
    <t>…decreto en todas sus partes. Tendreislo entendido para su cum de correos. plimiento, y dispondréis te imprima, publique y circule.=Rubrcado Hallándose radicada la testamentaría de Doña María Pereda, viuda de la Real mano.=En Palacio i 17 de Febrero de 1822. s A Don y heredera de D. Miguel Azpiroz, vecinos que fueron de esta corte, Luis Sorda. en el juzgado de primera instancia delSr. D. Juan Gómez y Díaz,y es criban! . del cartulario D. Manuel López de…</t>
  </si>
  <si>
    <t>…do este eo 40S) rs. La co tropas de casa Real, á cargo del Sr. D. Román Lorenzo Csivo. misión ha reconocido la injusticia que envuelve en sí esta medida del _ Por fallecimiento de Doña María Pereda, viuda y heredera de Don máximum, justamente abolida por las anteriores Cortes, y ha seguido Miguel Azpiroz, vecinos que fueron de esta corte, acaecido en No una base que en mi juicio es la mas acomodada para el ob|eto, y se ha viembre del año próximo pasado,…</t>
  </si>
  <si>
    <t>…a toda la deuda , si mino de 10 d as a los que se crean con derecho á los bienes quedado* los Estados-Unidos siguen en paz con toda* las naciones, ó si aconte por fallecimiento de Doña María Pereda, viuda jr heredera de D. Mi cimientos desgraciados no turban en su pais el orden actual de las cosas. guel Azpiroz, vecinos qüe fueron de eda corte, y por el de este que La perspectiva que presentan los Estados-Un idos bajo este y otro* «cernió en el anterior…</t>
  </si>
  <si>
    <t>Peree, Vicente</t>
  </si>
  <si>
    <t>Vicente Peree</t>
  </si>
  <si>
    <t>…do. de coartarlo en todo lo posible. La comisión de Casos d: responsabilidad , informando sobre 'a que Hab endose declarado el punto por suficientemente discutido, que ja dada por D. Vicente Peree , nd'v'duo de la diputac on pror re al dó aprobado, añadiendo al final estas palabras 1 tea compa de Valencia, contra el gefe político D. Francisco P.asenc a por no ha -cuanto cte con ta segundad de los buques.” berle puesto cu posesión de su destino , pidien…</t>
  </si>
  <si>
    <t>Pereirá</t>
  </si>
  <si>
    <t>…ser vitalicias , pao » Arta fue tomada par asalto el t.° de Diciembre. Dtspu-*» de lo# sí los superiores. dos sangrientos combates del 13 y 14 ds Noviembre , los griegos entra El Sr. Pereirá «lo Carao sostuvo el artículo; y manifestó qne es ron en la ciudad, é hicieron nk-r i lo» tres bijaes, que todavía resta- tando ya sancionada la independencia de los tres poderes, era iadispeat an desde la oudade'a, que si querían ahorrar la sangre que bi á d…</t>
  </si>
  <si>
    <t>Pereira, Antonio</t>
  </si>
  <si>
    <t>Antonio Pereira</t>
  </si>
  <si>
    <t>…er la entrega, ni Juan Manuel Lnrr, D. Josef Sucarana, D. Josef Morales, D. Ma hecho otra gestión, é ignorándose su residencia, se le avisa por medio nuel Melero , D. Josef Perez, D. Antonio Pereira, D. Antonio Por de ote periódico con el mismo objeto, en el concepto de que por la ta, D. Vicente Ramón, D. Manuel Ron, D- Francisco Rollo, Don propia dirección te dispondrá lo conveniente para el zecibo de los refe- Jaime Sola , D. Josef Travieso, D. 1 d fon…</t>
  </si>
  <si>
    <t>Perena</t>
  </si>
  <si>
    <t>…traordinario, tras trppas sobre la frontera da Navarra se componen de ta columna de que no hay egemplo en las historias, forzando vuestras marchas dia que acudió desde Jaca con el general Perena, de la de infantería y ca y noche; y negándoos no solo al descanso necesario, sino es aun á to ballería del mando del coronel Veiasco, que los ha perseguido, y de la mar el sustento muchas veces, os echáis sobre ellos, los acuchilláis,los compuesta del regimi…</t>
  </si>
  <si>
    <t>…adjunto oficio dirigido a aquel por » Ha sido burlada su tentativa , como se advierte por el adjunto Eguí». Las columnas del mando de los gef¿„ Sa.z, Tabuenca v Garrea, parte del general Perena, que inserta el del coronel de ingenieros Don corriendo tras los enemigos, .legaron lamb.en esta mañana a , y Nicolás Verdeja, teniente de Rey y gobernador interino de dicha pinza. todas las fuerzas reunidas han salido en dos divisiones per,¡zuiendo .os n Ent…</t>
  </si>
  <si>
    <t>Perena, Felipe</t>
  </si>
  <si>
    <t>Felipe Perena</t>
  </si>
  <si>
    <t>…todo trance el orden anos 60, de los cuates han muerto 10, y quedado prisioneros 9. Al pa y el regimen constitucional , defendiéndose denodadamente contra cual sar hoy por aquí el comandante D. Felipe Perena, los paisanos de Be- quier enemigo del sosiego público que ¡«tente seducirlos ó escíav-zar'os. nabarre le han presentado presos í los cabecillas conocidos por el Frai Los facciosos, capitaneados por Rambla, han sido batidos v desalo le y el barquero de Estadi…</t>
  </si>
  <si>
    <t>Perene</t>
  </si>
  <si>
    <t>…el día en una continua escaran uta- dirige hicia Loa're á las órd.nes del coronel D. Manuel Marcó del •&gt; El día 1 g los seis buques ingleses ocultaron su pabellón; lo mis Pont. R1 general Perene, que había sal do de Jaca , s: hallará esta no mo Miced-r s&gt;n duda con otros muchos buques de le misma nacicn che dos ó tres horas de Aycrbe con la dirección oportuna; y al batallón fi' ii os para í* expedición de que se trata, y i loa cuales aegun asegu de v…</t>
  </si>
  <si>
    <t>Perenz, Felipe</t>
  </si>
  <si>
    <t>Felipe Perenz</t>
  </si>
  <si>
    <t>…i paren-neo el Ef Gobierno In.recíbido los pattes siguientes: terror y la muerte en sus despavoridos y miserables restos. Gueinl-as de 1“ Del comandante de la columna de Barbastro D. Felipe Perenz, todas las partidas acompañaron y protegieron la carga de ¡a caballería da contuft'fiado al comandante genera! del Í.J distrito militar. Villavic-.ota hasta que se ocultaron en las sienas que bab an dejado in » Al amanecer del día de ayer feuní mi columna, co…</t>
  </si>
  <si>
    <t>Perera, Agustín</t>
  </si>
  <si>
    <t>Agustín Perera</t>
  </si>
  <si>
    <t>…del Puntarró. t-niente D. Agustín Masant, de cuatro individuos de la ronda , al ■■ Ei r sullado de esta acción fue librar del furor del rrtortvgo. que cargo drl t-niente de Murcia D. Agustín Perera , encargado de la di ya hab a empezado i manifestarse , i ¡a ben;mer.-ia villa de beló rt , que rección como practico y natural det país , y una pieza de artillería da con el mavor denuedo se defendía con tesón ya tres dias, vi-ndo in montaña , que se habilit…</t>
  </si>
  <si>
    <t>Perera, Augurio</t>
  </si>
  <si>
    <t>Augurio Perera</t>
  </si>
  <si>
    <t>…endrar el noble en casa Soler Vicens, á reforzar las compañía» de Canarias, colocando orgullo que os debe envanecer. Sí: derrocasteis el coloso; la hidra mor al teniente de Murcia D. Augurio Perera con 50 voluntarios del par tífera reconocerá su impotencia, y no osará sacar nueva cabeza al conside tido en la altura del Castelvel, y une pequeña partida de caballería en rar que á todo puede resistirse menos á vuestra denodada decisicn ; y el llano que hay…</t>
  </si>
  <si>
    <t>Peres, Juan Francisco</t>
  </si>
  <si>
    <t>Juan Francisco Peres</t>
  </si>
  <si>
    <t>…roponen el nú culable; pero la que tocarnos consiste tn 70 prisionero*, entre ellos mero y clase de los generales y brigadieres que han de mandar las divi el ayudante de nigiienza D. Juan Francisco Peres y un cura, d* toi siones y brigadas para la aprobación de S. M. &lt;5.* Ei Rey , en considera- 30 muerto* , incluso el mismo espitan deSigíienza D. Vicente Bernal cion á los méritos y servicios del mariscal d: campo D. Francisco Es- y a cutas, 10 ó ra caballo* m…</t>
  </si>
  <si>
    <t>Perez, Alonso</t>
  </si>
  <si>
    <t>Alonso Perez</t>
  </si>
  <si>
    <t>…965,613 maravedises: uno de 66,700: otro de 126,11 a ; y otro de 77&gt;i7&gt;9t en cab:zi de D. Antonio Manrique ds Madrid 3 de Diciembre de 1811.sCoronel presidente, Francisco Guzman y D. Alonso Perez. —'Ir. Media anata de mercedes, juro Fernandez Golfín. reservado de 583,544 mrs., en cabeza del citado D. Alonso Perez___ Juicio de Jurado. *3. Servicio ordinario de Córdoba, juro 614,830 mrs. en dicha cabeza. Reunidos en la ciudad de Tarragona los Sres. juec…</t>
  </si>
  <si>
    <t>Pérez, Alonso</t>
  </si>
  <si>
    <t>Alonso Pérez</t>
  </si>
  <si>
    <t>…D. Manuel Gortizos de Vill*t*nte._4. Millonea de Galicia, juro y de cualquier dase y dignidad , que guarden y hagan guardar , cumplir haber $74,94$ mrt., en cabeza del mencionado D. Alonso Pérez. _ 7 egecutar el presente decreto en todas sus parte*. Tendreislo entendido 2. Uno y medio por ciento de almojarifazgo, juro de 603,99$ mrs. • para su cumplimiento , y dispondréis se imprima, publique y circule. en cabeza del precitado D. Alonso Pérez de Guzm…</t>
  </si>
  <si>
    <t>Perez, Antonio</t>
  </si>
  <si>
    <t>Antonio Perez</t>
  </si>
  <si>
    <t>…añía de infantería del resguardo la de Santa Ana, casa chica «U! conde del Montijo, cuarto bajo, y se militar de Extremadura, D. Juan Josef Navarro, D. Pedro Labrada agradecerá. y D. Antonio Perez, toldado* de la 3.' compañía de caballerrí* del Deseando la mayor comodidad y menos gastos de las que te intere mismo cuerpo, en solicitud de que se lea exima de pasar 4 Extremadura, sen en I* compra de ganado de cerda, bacuno, cshal'u, lanar y da y se les co…</t>
  </si>
  <si>
    <t>…aren en el plazo que le sefii are la culo de lit malura médica y extranjera. comisión, ü." El rxam-n de la, cu ntas de reutas decimales corr ri co ^luta. M ¡»r. diputado en Corles D. Antonio Perez d ■ Meca nos mo hasta aquí á cargo de la comisión de 'a junta directiva de Hacien dice haber firmado las dos representaciones insertas en la gacela d . 1 r, da, y los contadores de egército continuirán examinando y finiqu lan que varms Sres. diputados dirigie…</t>
  </si>
  <si>
    <t>…te dei regimiento in- miento infantería de Maltona , ron t,-o ra. fant-r a de Sor a, con 570 rs. Vclez el Rubio al cap-tan D. I.uis Huiz Ben ivi, teniente de in Logroño a1 espitan D. Antonio Perez, teniente del regimiento in- fantería y del batallón de la miicia act.va de Murcia, con 450 rs. fant ría Infante D. Antonio, con 570 rs. J rcz al cap-tan D. Manuel Costa, icn ente d:l regimiento infantaLupo ai espitan D. Antonio Ponte, teniente de infantería…</t>
  </si>
  <si>
    <t>…io y extraordinario de las ciudades de la Co regimentó de Villaviciosa , el ayudante D. Agustín Solera, el te rulla y Betanzos, en cabeza ds! Dr. D. Juan de Ponte y Andrade y men- D. Antonio Perez, el alférez D. Andrea Baranda y el cadete Do'a Antonia Saavedra, su muger, perteneciente al mayorazgo que D. Donato Torro», y yo los recomiendo á V. E. por el mérito que fundó dicho Dr. Ponte ; se suplica á la persona en cuyo poder exista han contraído , y po…</t>
  </si>
  <si>
    <t>Perez, Ao.-l</t>
  </si>
  <si>
    <t>Ao.-l Perez</t>
  </si>
  <si>
    <t>…y de los sacri Se han publicado en nu »: o p r ó; ro 'as noticia* siguiente*: ficios mas extraordinarios; hasta las piedras ponemos en movimiento. El comandante de armas de Caso- D. Ao.-l Perez ha dirigido al Hasta ahora la fortuna nos ha sido favorable; y confiando en el auxi Sr. gi-fe po'ít.co de la provine * ei sicu --.te oficio: lio d- i Altísimo, tu vamos la guerra contra nuestros enemigos é la Te » VI cap un del regimi nto de cab-ól. r;a da Vi…</t>
  </si>
  <si>
    <t>Perez, Custodio</t>
  </si>
  <si>
    <t>Custodio Perez</t>
  </si>
  <si>
    <t>…, denunciado por que se consideren con derecho fi los bienes quedados con motivo del IX Juan Sariol y Fabre, en el apartado que empieza : vamos ahora, fallecimiento abintestato de D. Custodio Perez, uniente coronel que y en la nota núm. s.° del mismo suplemento, han declarado no haber fue de los egército* nacionales, 7 ayudante agregado de la Real comlugar i la formación dt causa por siete votos contra dos, que han si paftí, da guardias Alabarderos, que…</t>
  </si>
  <si>
    <t>Pérez, Custodio</t>
  </si>
  <si>
    <t>Custodio Pérez</t>
  </si>
  <si>
    <t>…y á m»o.=En palacio i 16 de Noviembre de iUn.=.V U. Dionisio Capaz. los interesados que se consideren con derecho á los bienes quedados con motivo del fallecimiento abintestato de D. Custodio Pérez, te El Gobierno ha recibido el parte siguiente: niente coronal que fue de los egército* nacionales, y ayudante agreva» El comandante general del séptimo distrito en 13 del actual da do i la compañía de guardias Alabarderos , i fin de que comparezcan parte al…</t>
  </si>
  <si>
    <t>Perez, Domingo</t>
  </si>
  <si>
    <t>Domingo Perez</t>
  </si>
  <si>
    <t>…. sos: á los Sres. Pinos y compañía , en Barcelona á 10 de Diciembre de i.° Kl comisario superior siempre es un ingles nombrado por el Rey 1814 por Jaime Canto por otro de idem: á D. Domingo Perez é hijo, de Inglaterra. Este lord , comisario , nombra un subalterno que le re en idetn á go de idem por Jacinto Sala por otro idem; á D- Ramos presenta en cada una de las islas, y tiene el veto en las resoluciones de de Angulo, en Sevilla á 14 de Noviembre de…</t>
  </si>
  <si>
    <t>Perez, Francisco</t>
  </si>
  <si>
    <t>Francisco Perez</t>
  </si>
  <si>
    <t>…nico i V. para tu inteligencia y efectos rio del mismo juzgado, se ha señalado para celebrar junta gcnetal de oportunos. Madrid 9 de'Diciembre da i8aa " acreedores i los bienes de D. Francisco Perez, vecino de Camarina da Esteradas , el sábado 30 del corriente i las diez de la mañana en la El Sr. intendente general militar, consiguiente á lo prevenido en la posada da S. S., calle de Toledo, núm. $ « liante é la del Burro; i Real orden de 10 de Mayo de 17…</t>
  </si>
  <si>
    <t>Pérez, Gregorio</t>
  </si>
  <si>
    <t>Gregorio Pérez</t>
  </si>
  <si>
    <t>…*, que cada día mas osados, porque se ven mas rán sus memoriales al ayuntamiento constitucional por medio de tu comprometidos, cada día mas temibles, poique se hallan mas expertos secretario Gregorio Pérez. •n la carrera del crimen, van siguiendo imperturbables en su marcha, Decreto orgánico de la armada, dado por las Cortes en ay de Di Lnosrtad llevarány de la patriaal cabonoalabrenprecipicio,loa ojo»,si ylosnoverdaderosdesplegan poramante*su partade launali-…</t>
  </si>
  <si>
    <t>Pérez, Josef</t>
  </si>
  <si>
    <t>Josef Pérez</t>
  </si>
  <si>
    <t>…no con el de los bajo» por no haberte presentado lo* números zoz7, Z038 y 1041 per oficiales de todo» grados y armas; casi todos gozan de muy buena salud, tenecientes el primero 4 D. Josef Pérez, el segando í D. Bles Riezu, y hay menos enfermos que en las plazas. Los cirujanos están encarga y el tercero 4 D. Manuel Salavert y Torres; se espera pues que dichos dos ds cerciorarse de esto, y de inspeccionar con mucha especialidad es interesados se prese…</t>
  </si>
  <si>
    <t>Perez, Josef</t>
  </si>
  <si>
    <t>Josef Perez</t>
  </si>
  <si>
    <t>…on el fin de hacer la entrega, ni Juan Manuel Lnrr, D. Josef Sucarana, D. Josef Morales, D. Ma hecho otra gestión, é ignorándose su residencia, se le avisa por medio nuel Melero , D. Josef Perez, D. Antonio Pereira, D. Antonio Por de ote periódico con el mismo objeto, en el concepto de que por la ta, D. Vicente Ramón, D. Manuel Ron, D- Francisco Rollo, Don propia dirección te dispondrá lo conveniente para el zecibo de los refe- Jaime Sola , D. Josef…</t>
  </si>
  <si>
    <t>Perez, Josef María</t>
  </si>
  <si>
    <t>Josef María Perez</t>
  </si>
  <si>
    <t>…o si- A las comisiones de Hacienda y 'Visita del Crédito público se pa peut: n La libertad de imprenta, de cuyo precioso don se hab:an he saron tres expedientes: uno promovido por D. Josef María Perez, co cho pocos abusos en este suelo despu-s de proclamada su independencia misionado del Crédito publico en Mondoñedo, sobre las facultades de cosst’tucional, ha empezado en estos d&lt;as á estrei.atse , atacando á los in&gt; este.» comisionados: otro promovido por…</t>
  </si>
  <si>
    <t>Perez, Juan</t>
  </si>
  <si>
    <t>Juan Perez</t>
  </si>
  <si>
    <t>…banicos registrada allí, y pidiendo se le reinte Las Cortes recibieron con agrado , y mandaron pasar á la comisión grase de esta pérdida. de Milicias nacionales, una exposición de D. Juan Perez, haciendo Las Cortes recibieron con agrado los zoo egemplares presentados por varias observaciones sebre el arreglo de milicias, y felicitando a las D. Fermín Uria Nafarrondo de una mem ¡ría publicada por el mismo Cortes por su instalación. en Marzo del alio…</t>
  </si>
  <si>
    <t>Pérez, Juan Isidoro</t>
  </si>
  <si>
    <t>Juan Isidoro Pérez</t>
  </si>
  <si>
    <t>…ta ! ’ como injurioso en primer grado. En tu vista se reunid obra, qne constará de xo tomos en 8.° i 1 a rs. cada tomo á la rústica el jurado, compuesto de los señores siguientes: D. Juan Isidoro Pérez, y 14 en pasta: la lista de los suscriptores ss pondrá al fin del tomo úl D. Ben.to O tega Romanillos, D. Zoilo Gómez Casero, D. Gregario timo , todo conforme al prospecto que se dió en' la gaceta de .Madrid da Miguel de Mendivil, D. Manuel García de Barrio,…</t>
  </si>
  <si>
    <t>Perez, Juan Isidoro</t>
  </si>
  <si>
    <t>Juan Isidoro Perez</t>
  </si>
  <si>
    <t>…. | vocado por el Sr. alcalde constitucional D. Miguel de Nápra , y c m- de este anuncio , acudan .a deducirle por m r'-c el ■ !a r ha . 3 -h- D.jh pu-sto de los Sr-s. siguientes: D. Juan Isidoro Perez, O. Juan Anto Gerónimo Bermudcz , rscribjno de d'cho ¡i'zc-sdo, leq.timar.'lo mis nio López, D. Josqf Luis de Amandi, D.Saturnino Lozano, D. Juan personas , é instruyendo sus solicitudes, aperuh ’os d.r que pasado di Cortes, conde de la Torre del Fresno, Ó. L…</t>
  </si>
  <si>
    <t>…acional dt Madrid. Señores en cuyo concepto debía declararse absuelto d.cho artículo: » Milicianos voluntarios de ambas armas de Madrid: vuestros com D. Antonio Sandalio de Arias, D. Juan Isidoro Perez , D.' Manuel pañeros de armas de infantería y caballería de esta ciudad han sabido Carnicero, marques de Torrenueva, D. Francisco Martínez Marina, con admiración los heroicos esfuerzos que habéis hecho en unión con D. Josef Castel , D. Domingo Villami! y D Sa…</t>
  </si>
  <si>
    <t>…ondanderri en el ministerio de Negocios ex En su vista te reunió el jurado, compuesto de los Sres. siguientes: trangeros.” Los d mas periodistas tampoco dudaban el 13 de este nom- D. Juan Isidoro Perez , D. Isidoro de Hoyos, D. Isidro Merino, Don brami-nto. Sea la que quiera la id-a que algunos se forman del estado Gaspar Aguilera , D. Juan Cortés, D. Francisco de la Carrera , Don de la Península , lo cierto es que nuestro crédito se aumenta. Las ins Sebast…</t>
  </si>
  <si>
    <t>…o se radiquen en otras corporaciones 4 individuos , será perseguida como de los señores siguientes; el marques de Cusino, D. Ignacio Pajares, D. Gregorio M-ndivt!, D. Juan Cortes, D. Juan Isidoro Perez, Don traidor, y condenada a muerte. A vista de estas leyes solo resta, meditando mucho la referida cau Juan Paz, D. Valentín Recio, D. Joaquín Lumbreras y D. Francis sa, averiguar: primero, si el delito que se persigue y se ha juzgado co de Ja Carrera. ya, es…</t>
  </si>
  <si>
    <t>Perez, Juan Isidro</t>
  </si>
  <si>
    <t>Juan Isidro Perez</t>
  </si>
  <si>
    <t>…to que acaban de oir. D. Juan Cortés, D. Pedro Rodríguez de Toro, D. Josef Radon , Dos A h unos tabica escritores han dicho que el considerable número de Josef Demetrio Rodríguez, D. Juan Isidro Perez y D. Antonio Suindividuos de 1 itero se opone á la población, y que al paso que aquel Helio de Arias. se aumenta , sucede lo mismo raspéelo de la miseria pública. No hay Habida la conferencia se declaró por unanimidad haber lugar á It qu: detenerse mucho para venir en conocimiento del…</t>
  </si>
  <si>
    <t>Pérez, Jusef</t>
  </si>
  <si>
    <t>Jusef Pérez</t>
  </si>
  <si>
    <t>…elativo al establecimiento de La comi.1011 de Casos de responsabn.did , habiendo examinado !a contraregistros i y una consulta del ayuntamiento constitucional de Ciu exposición de D. Jusef Pérez de la Rosa, recio.dor de efectos m 2 dad-Rodrigo. aduana de Alicaule , en laque se quejaba Cci gobernador de aqulla Igualmente se aprobaron loe siguientes de la misma comisión, con plaza y del capitán general de Valcnc.a por sus procedimientos , respec respec…</t>
  </si>
  <si>
    <t>Perez, Liborio</t>
  </si>
  <si>
    <t>Liborio Perez</t>
  </si>
  <si>
    <t>…mió, me resolví, verificando mi entrada por dos puntos; el de Sexto distrito militar. (Zaragoza.) Arriba dejamos publicado lo la izquierda le encargué á loe nacionales el mando de D. Liborio Perez, mas esencia) que publican los periódicos de este distrito. Añaden ade y.yo con mi tropa me encargué de la entrada principal, acompañándo mas al siguiente parte recibido por aquel gefe político. » La facción del me los nacionales D. Tomas Caro y D. Julián Rom…</t>
  </si>
  <si>
    <t>Pérez, Manuel Jiménez</t>
  </si>
  <si>
    <t>Manuel Jiménez Pérez</t>
  </si>
  <si>
    <t>…de Burtba, Logroño y otroe á favor «le DonD. Luis de Casamayor, D. Josef del Castillo, D. Cristóbal Josef dt Sancho Velasco, i 15 de Abril de 1468.Vrbina, D. Pedro Ramón de Jerez, D. Manuel Jiménez Pérez j Don Se desea saber el pandero de Doña Agueda de la Malla, natural de PoUcarpo Santisteban Morales. la villa de Bilbao, que hace años pasó á esta corte. Quien tuviese noti VARIEDADES. cia de su existencia tendrá la bondad «le avitat al almacén «te paños &lt;U G…</t>
  </si>
  <si>
    <t>Pérez, Mariano</t>
  </si>
  <si>
    <t>Mariano Pérez</t>
  </si>
  <si>
    <t>…solicitudes de D. Pedro Perez, vecino de Cuevas , provincia de Gra un juez de puniera instancia par coa quiera de las causas citadas en un nada ; de D. Teodoro Sal i-ador Romero, D. Mariano Pérez y Don prirt rio donde hubiese otros haba de nombrarse un interna*, ó re Vicente Vázquez, tenientes perpetuos. partirse sus negocios entre sus compañero». La comisión opinaba qua La comisión de Visita del Crédito público, informmdo sobre una en el ca,o prquctj debe…</t>
  </si>
  <si>
    <t>Perez, Mauricio</t>
  </si>
  <si>
    <t>Mauricio Perez</t>
  </si>
  <si>
    <t>…tc al teniente D. Martin Carreño, un sargento, un cabo y iy ,0 iay llancos, fueron rechazados vigorosamente por lo* poco* valiente* de dos d-. 1 regimiento infantería de Zaragoxa; D. Mauricio Perez, u;. ■ •mi mando; habiendo dispuesto que por la estrechez de las calles saliese det segundo lig-ro de Cataluña, con un subteniente, ^co-neti, v t»mal campo la caballería de U Constitución en número de 17 caballos, al bores y 25 soldados! 9 individuos de la mi…</t>
  </si>
  <si>
    <t>Perez, Pedro</t>
  </si>
  <si>
    <t>Pedro Perez</t>
  </si>
  <si>
    <t>…aunque aus , j mandaron repartir los egemplaret que se babian remitido. no lleguen i hacer la una ó á dejar de hacer la otra, serán privadas da Se dió cuenta de una exposición de D. Pedro Perez , empleado en su empleo ó cargo; no podrán obtener otro alguno público en «narro el Gobierno político de Sevilla, en la que induia un crédito que te aflos, ni el juez volverá á cgercer mas la judicatura, y sufrirán una/pri nia contra el regimiento provincial…</t>
  </si>
  <si>
    <t>…una hit, que tenia las piernas Rodrigues, D. Vicente Torrea , D. Manuel García Riobó, D. Ma 'untas, los brazos levantados, la cabeza hacia la entrsda de la sala, y nuel Montero y D. Pedro Perez, que acreditaron adelantamientos da S os pies á la parte opuesta."Esta figura tiene mucho relieve, es d-cir, consideración en diferentes principios de dibujo , según el poco tiempo que para sacarla hubo que hacer una excavación profunda en el fondo que ha med…</t>
  </si>
  <si>
    <t>…jueces ira.rinos de p¡.uura itistancia. La misma com slon opinaba que debían pasarse al Gobierno las Segunda duda. Si estando impos.buna.ro de egetcer sus funciones solicitudes de D. Pedro Perez, vecino de Cuevas , provincia de Gra un juez de puniera instancia par coa quiera de las causas citadas en un nada ; de D. Teodoro Sal i-ador Romero, D. Mariano Pérez y Don prirt rio donde hubiese otros haba de nombrarse un interna*, ó re Vicente Vázquez, teni…</t>
  </si>
  <si>
    <t>Pérez, Pedro</t>
  </si>
  <si>
    <t>Pedro Pérez</t>
  </si>
  <si>
    <t>…nte con mi segundo el brigadier O. Josef Ruiz de Porras, im antes quede definitivamente concluido este asunto con la turmaníad pulsado de su patrotsrno; al subteniente de Valencey D. Pedro Pérez que apetece el Congreso, ha acordado que desde el jueves 7 del prrs.ri Obanot, nueve toldados da varios cuerpos y dos caballos de la Reina; te 4 las nueve de su mañana se de princip.o al sorteo en el acto púb iy h-r dos dos oficiales de Soria, 5$ soldados da…</t>
  </si>
  <si>
    <t>…presentado, para que cón, *f&gt;.'Canteo Benito del Valle, D. Manuel Velaaco, el- Lie. Don en el término de ocho dias , contados desde esta fecha, que por tercero Joaef Jorga Saenz, D. Pedro Perez, Lie. D. Manuel de Gareaga y Dan último y perentorio se les adíala, comparezcan á presentar sus instan Ignacio del Barrio, declararon por unanimidad haber lugar áforma cias en la forma qu* está anunciado ; en inteligencia de que pasado ción de cauta contra el…</t>
  </si>
  <si>
    <t>Pérez, Vicente</t>
  </si>
  <si>
    <t>Vicente Pérez</t>
  </si>
  <si>
    <t>…en el herido. Idem D. Josef Ay uso, contuso. Milicianos D. Antonio Enci- cumplimiento de sus deberes. Vicá'varo 11 de Julio de iSm.’’ s o, herido, D. Ramón líarro y A xoyocontuso- D. Vicente Pérez, El alcalde, regidores v procurador síndico general de) ayuntamien 11X111. IX Jossf bolahude, ídem. D. Josef María López, id. D. Ventu to constitucional del mismo lugar de Vicilvaíó han' publicarlo utí cer ra Garcero , ídem. D Marcelino Lúrtjide, herido. IX R…</t>
  </si>
  <si>
    <t>Pericr, Casúhtro</t>
  </si>
  <si>
    <t>Casúhtro Pericr</t>
  </si>
  <si>
    <t>…s egéreito* para empresa tan grande como la de las Cámaras, sará castigada ítc.” proyectada, a.6 No se» tan numerosos sus egtrcitos como algunos pre Después de hdbcr preguntado el Sr. Casúhtro Pericr si la comisión conizan. j.® No hallarse su erario en estado de sostener una guerra que Sabia retirado so adición , y Mbsdt contestado que sí, tomó la pa puede ser muy larga, y mas en un país en que el saqueo prom.-te pocas labra el Sr. Foy pan apoyar la suya.…</t>
  </si>
  <si>
    <t>Pernas, Antonio</t>
  </si>
  <si>
    <t>Antonio Pernas</t>
  </si>
  <si>
    <t>…o Maisanoba y compañía y á Gerardo Maisanoba, para qua acudan dentro de go días i responder de los créditos que se repiten con tra ellos en los autos ejecutivos que i instancia de D. Antonio Pernas, Cora y Aguirre, vecino de Viveros, penden en el referido juzgado; con autorizar instrumentos público* no sirn^« . - apercibimiento de proceder sin mas citarles al pago de sus acreedores, Real orden por I. cual ,e reen^rá'lo1' a*' ^‘“a"* d“ /*&gt; y demas que co…</t>
  </si>
  <si>
    <t>Pero</t>
  </si>
  <si>
    <t>…ndividuos una capaculad necesaria pan ser ción , .desde luego retiraría por mi parte el artículo que te discute. párrocos, no creo que s*.llegará á verificar lo que ha indicado el Señor Pero esto no se ba probado, ni te probará jama», porque hay entre preopinante. Pero supongamos que desgraciadamente en el concurso w lot secularizados y clérigos oí de nados in sacrit un número mas que su «besen.calabazas generales ,. ¡ no tiene el ordinario en es…</t>
  </si>
  <si>
    <t>Perqna</t>
  </si>
  <si>
    <t>…ia «1 presentarlo en el siglo xix. me dirigía velozmente á hacer noche en Egea , y con las noticias arriba Idem 27.dichas que recibí en Ardita he vuelto aquí, adonde espero hoy al general Perqna para concertar el plan definitivo de operaciones de la En suplemento al diario constitucional del martes 17 se publica lo provincia de Hu sea, y emprender yo les que deseo, para que á medi que sigue: da que vayan llegando los refuerzos que el Gobierno destina…</t>
  </si>
  <si>
    <t>Peset, Mariano</t>
  </si>
  <si>
    <t>Mariano Peset</t>
  </si>
  <si>
    <t>…presupuestos. No de hecho D. Pedro Calvo, del comercio, D. Pedro Pascual Carbome conformo con mis compañeros respecto de la riqueza que dicen nell, D. Gerónimo Masía, presbítero, D. Mariano Peset, oficial de la tiene España, porque esta debe considerarse como riqueza líquida, que secretaría del gobierno político, D- Raimundo Poveda, ofici l del re es la mas exacta. Es preciso rebajar tres quinta partes de las produccio gimiento de ¿amera, D. Honorato…</t>
  </si>
  <si>
    <t>Pesi, Josef</t>
  </si>
  <si>
    <t>Josef Pesi</t>
  </si>
  <si>
    <t>…el mismo cuerpo de bayoneta. Ademas el caballo del cadete evacuado á Caseda y se ha dirigido á Aibar, donde parece se reunirá extraviado. lia coadyuvado mucho el valor del alférez D. Josef Pesi con Ladrón y los restos de Quesada. Ei comandante Gurrea estará i no, que con su tino é intrepidez heroica dió exacto cumplimiento á la hora de esta sobre aquellos malvados con 600 infantes y 40 caballos. las órdenes que le comuniquéLa partida del Rojo, que t…</t>
  </si>
  <si>
    <t>Pesinoque, Josef</t>
  </si>
  <si>
    <t>Josef Pesinoque</t>
  </si>
  <si>
    <t>…an á la fe. Ademas de las procla- tuno cortarles la retirada del monte , mandé al alférez de la Constitu ana* que te han impreso aquí y esparcido por España, ahora se esté im ción D. Josef Pesinoque pasase con algunos caballos á la parte opues primiendo un escrito cuyo título es el siguiente: Aviso i los buenos ta del pueblo , y este oficial, ignoran tío las dificultades que podrían españoles, que servirá de terror á los malos. Este papel podrá engañar o…</t>
  </si>
  <si>
    <t>Petares</t>
  </si>
  <si>
    <t>…pade otra parte esta facultad debe estar circunscrita í lo que previene el ar cido el Sr. Calatrava. , tículo 13 de la Constitución,que dice que el objeto del Gobierno es la . El Sr. Petares: En mi opinión te ha divagado.mucho en la discu felicidad de rá Nación, puesto que el fin de toda sociedad política no sión presente, y la mayor parte de los discursos de ios Sres. Cuesta, es otro que el bienestar de los individuos que la componen. Martínez d…</t>
  </si>
  <si>
    <t>Petcgrin, Ramón López</t>
  </si>
  <si>
    <t>Ramón López Petcgrin</t>
  </si>
  <si>
    <t>…sorería. A-s-mas, La» U&gt;rtji quedaron enteradas de dos oficios del Sr. secretario déla dijo , de no apr"b.t:*í el dictamen de la comí»»* se seguran yrandrs Gobernación de Ultramar D. Ramón López Petcgrin: el primero po perjuicios i muchos particu-are» , que tal vez hayan formalizado a'eun niendo en noticia de las Cortas que S. M., habiendo admitido la» re contrato con comerciantes ó .on otros particu ares. Un monee por nuncias de los secretarios de Estado, Go…</t>
  </si>
  <si>
    <t>Petronila</t>
  </si>
  <si>
    <t>…necesitados. tubre de io 19 , dejando ocho hijos llamados D. Lorenzo, D. BernarDe Real orden lo comunico á V. S. , á fin de que disponga su mas d‘no , ya presbítero. Doña Josefa, Doña Petronila, Doña Vicenta, pronto y puntual cumplimiento. Madrid 16 de Aímó de 1022. Doña Ana María, Doña Remigia y Doña Ines de Huerta y Frias. Dirección ¿eneral de aduanas y resguardos. Cuyo emplazamiento y citación et para que dentro de 15 días pe Hallándose vacante l…</t>
  </si>
  <si>
    <t>Peúaüel</t>
  </si>
  <si>
    <t>…de la orden. el que deje de presentarse en su destino.” Aprobado. » Tercero: cuando sea una resolución del Gobierno ó de otra auto Se mandó agrrgar al acta el voto particular del Sr. Peúaüel, con ridad subalterna , obtenida evidentemente con engaño, ó evidentemen starlo á la aprobación de los capítulo» i.° y 3/, tít. 6de este código. te dala contra ley en perjuicio de tercero. » Cuarto: cuando de ia egecucion de la orden resulten ó se teman c AZI…</t>
  </si>
  <si>
    <t>Pezueia, Manuel</t>
  </si>
  <si>
    <t>Manuel Pezueia</t>
  </si>
  <si>
    <t>…oniendo contribuciones; su coman en el parque los capitanes Salazar, Uizurrun y Pérez Davtla, el te dante se encolerizó tanto al saber que aquella reducida gavilla se lleva niente D. Manuel Pezueia, y los subtenientes Utb:na y Salinas con el ba lo que i ellos pertenecía, que les fue al a’cance con su partida, y destacamento de artilleros á pie y la sexta compañía del segundo bata logrando llegar á ¡as manos empezó á batirse con clloi; y después de llón…</t>
  </si>
  <si>
    <t>Pfv</t>
  </si>
  <si>
    <t>…e adoptar, atendiendo a la piox mola 1 de la cosecha. uUcfj l , v &gt;u op n *&gt;n ac m A: as r*' d^a^radah.sS.*’ hn secuela se declaro este asunto sufici ntemente discutido , y que K! Sr. Pfv»fd^nt* ^ fa'»» U l*o*a ti: i.s » . o .a ruvhc para dó) apmbado el art. a.", coa le cual se suspendió la dis-usion de uta «ion extri‘'rd¡r*» a , .r * .’tu? i* c rt rvi.* * .* o u* on í*e lot pro-* asumo. 4c «rdwMn¿at ais*.i4j¿* y á*i íw».» an»c'-pQá.UvO</t>
  </si>
  <si>
    <t>Pi'al, Juan del</t>
  </si>
  <si>
    <t>Juan del Pi'al</t>
  </si>
  <si>
    <t>…ntaLupo ai espitan D. Antonio Ponte, teniente de infantería y del ría de Galicia , con 570 rs. batallón milicia active de Betanzoa, con 450 n. el mee. Zaragoza al capitán graduado D. Juan del Pi'al de la Vega, tan-en Lorca i D. Jomí Lmi de Rocha, teniente supernumerario del re te del regimiento infantería de Cantabria , con (70 ra. SUPLEMENTO</t>
  </si>
  <si>
    <t>Pi'ar's, Joiqu'n</t>
  </si>
  <si>
    <t>Joiqu'n Pi'ar's</t>
  </si>
  <si>
    <t>i°99 del Príncipe D. Juan de la Cruz Gsnzalsz y D. Joiqu'n Pi'ar's , fue que solo la vida era la que juzgaba podia asagmarlea, asi como á la ron las únicas que tuvieron la satisfacen d: con&gt; -gu r o , cu jni« .¿te tropa , y no otra cosa, por no hallarme facultado para mas ni aun en último y acuchillando denodadamente su rita…</t>
  </si>
  <si>
    <t>Pi, Josaf Francisco Ixart y</t>
  </si>
  <si>
    <t>Josaf Francisco Ixart y Pi</t>
  </si>
  <si>
    <t>…oa pólizas dtl seguro, la dirección haca D. Juan Casas , síndico, y de los ciudadanos D. Plácido de Montoliu, aaber i los individuos ya inseritoey á los demás que gusten incorpo y D. Josaf Francisco Ixart y Pi, encargándola: 1 .J Que reúna todas las rarse en ella: noticias posibles de la deuda antigua anterior al lustablrcimiroto del 1* Qua la dirección se sitia.por ahora en la cata nútn. 8 de la sistema constitucional, asi de la pasiva como de la activa del común…</t>
  </si>
  <si>
    <t>Pi-, Manuel Bermudez</t>
  </si>
  <si>
    <t>Manuel Bermudez Pi-</t>
  </si>
  <si>
    <t>…'as de Barto’omé Alvarez y Pardo; para el de Puente de Ume i ANUNCIOS.D. Josef María Lebrón; para el de Santiago de Sisamo á D. Manuel Josef Silva y Cedrón-, para el de Vimiaazo á D. Manuel Bermudez Pi- En la villa de Pozuelo de Alarcon, conocida vulgarmente por Po m nt-li pura -I de Nova á D. Francisco Rodríguez Caballero; para el zuelo de Aravaca, distante legua y media de esta corte , se halla va d- l adrón 4 D. Faustino Rodríguez Monroy; para el de Cambados…</t>
  </si>
  <si>
    <t>Piado</t>
  </si>
  <si>
    <t>…desacreditada. En efecto, el descrédito de los regulerea que reclama no solo la opinión pública, sino los intereses de los re es tan general, que todo el mundo lo conoce. Dice el Sr. Piado que en gulares. materias de religión se deben seguir las costumbres mu ranciu: lo con Dice la comisión que esta medida no se podia adoptar, porque te fieso ; pero este no es ningún argumento contra la comisión , porque gravaría al erario con asignaciones que…</t>
  </si>
  <si>
    <t>…omandan!: de una gran guardia, que falta del presente año económico, del fondo del imprevisto general. el instante que tome posición de su puesto, es el de adquirir noticias de El Sr. Piado: Me parece muy corta la asignación que propone ia la posición del enemigo, y de los caminos , vereda* y vados por los que comisión para los visitadores; y seguramente habrá muy pocos indivi pueda srr aracado: en virtud de estos conocimientos deberá establecer…</t>
  </si>
  <si>
    <t>Piando, Miguel</t>
  </si>
  <si>
    <t>Miguel Piando</t>
  </si>
  <si>
    <t>…sa va , presiden te.=Angel Ssavcdra , diputado aecretario-sFranciaco Be por loa votos de D. Jaime Bosch, D. Ramón Maresch, D. Sera fin Banito , diputado- secretario.” - cígalupi y D. Miguel Piando!it; y habiendo votado que ha lugar Don Por unto ttubdamos i todos los tribunales, justicias, gefes, go Magín Coraminas, D. Joaquín Vifials, D. Isidro Gallarda, D. Fran bernadores y demás autoridades, asi civiles como militares y eclesiás cisco Subiracht y D.…</t>
  </si>
  <si>
    <t>Píanzon, Celso</t>
  </si>
  <si>
    <t>Celso Píanzon</t>
  </si>
  <si>
    <t>…el cual hablando con la ma Puch, D- Manuel Sierra, E&gt;. Luis Cántense, D. Antonio Cebollero, yor vehemencia le dirige estas terribles palabras: » Vengo corriendo D. Mariano Gudal, D. Celso Píanzon, D. Juan Bucle, D. Pascual del continente á deciros que el fanatismo y la intolerancia vuelven á Pratosi, D. Manuel Lasala, D- Miguel Gavara y D. Dionisio Ma recobrar alli su imperio: mirad lo que vais á hacer; admitiendo 4 loa rín, que lo hicieron en los exp…</t>
  </si>
  <si>
    <t>Pias-.nca</t>
  </si>
  <si>
    <t>…el Gobierno, y por tanto jo qu »i ra que tenia para capitular ; aunque cor.virne en que Unto este gcic cuino el en ei dictamen se hubiera dado ai G.bierno una nomta h,a de á qu.e* brigadier Pias-.nca, convencidos de la imperiosa ncc-sidad que habia n..s d ,bia consid.rar.e como gefes de ia conspiración , pues en ur, arde desarmar a unos hombres que habían roto ya todos ios lazos que I culo del código pera! se dice que de cap tan abajo n'nguno d.be los uní…</t>
  </si>
  <si>
    <t>Piase, Francisco</t>
  </si>
  <si>
    <t>Francisco Piase</t>
  </si>
  <si>
    <t>…a de 14 de Marzo de 1Ü13 , opina que en vista de todo debe decla nario público por moción de algún Sr. diputado, ó por alguna queja que rarse haber lugar i la formación de causa á D. Francisco Piase ocia, se dé contra él, siempre que aparezcan motivos suficientes; y que dd ex gefe político de la provincia de Valencia. pediente que se discute resulta que el gefe político de Valencia, tiead» Á petición de algunos Sre*. diputados se leyeron varios documen u…</t>
  </si>
  <si>
    <t>Piasencia</t>
  </si>
  <si>
    <t>…iso se tengan Art- a.° » La misma gracia se concede á todos los que se presenta presentes: mis argumentos ó mi modo de pensar están apoyados en ls ron á consecuencia del bando del brigadier Piasencia en el Escorial, historia de todas las guerras civiles , de todos loa tiempos desde la mas y otros pneblo*; asi como á los guardias que se incorporaron en el ba remota antigüedad: yo citaría á las Cortes una capitulación hecha en tallón que si bailaba en Vicál…</t>
  </si>
  <si>
    <t>muestra que lo rítanlos parte* dado* por el brigadier Piasencia ( el El Sr. Adan: E&gt; Gobierno pidió con urgencia que lis Cortil aeororador los leyó). das-n ¡as cantidad s para cubrir ios gastos de qu.- se trata, y no s- ha Ei Sr. Belda: He tomado la palabra para rectificar un hecho que verrficado ano tu otorgamiento. Por…</t>
  </si>
  <si>
    <t>Piat</t>
  </si>
  <si>
    <t>…s , todos los que los srtsticmn, y A parición del Sr. Sentían sa leyeron las medidas citadas, y i peti todos los que los dirigen, sea dentro ó fuera de España, quedan res ción del Sr. Piat se mandó pasar todo el expediente á la comisión en ponsables a la satisfacción mancomunal da los danos y p rjui.ios cau cargada de proponer las necesarias para remediar los matas que afligen sados; loque no podría hacerse tan fácilmente si se dijese ce lito d…</t>
  </si>
  <si>
    <t>Pichico</t>
  </si>
  <si>
    <t>…med.das tos que prueban las fa tas de este funcionario no tienen el carácter do que crea convenientes. oficiales ni d« autcr.t eos, y por consiguiente que las Cortes no pod.an El Sr. Pichico: Todos los Sres. diputados creo convendrán conmi juzgar de la conducta de dicho gefe político coa respecto á les acon go en qu? los enemigos da la Constitución se va.en de loos los medios tecimientos de 1 orea: pero yo pregunto, ¡cuál es la razón por la cual…</t>
  </si>
  <si>
    <t>Pidesde</t>
  </si>
  <si>
    <t>…de los rebeldes de Costa-firme en Davajuro el y de Ju canutarán las ratificaciones dentro del término de un año (contado nio por el general Morales , quedando en nuestro poder el coronel Pidesde hoy ), ó antes si ser pudiere; pero la egecucion de dicho conve ñango con siete oficiales mas, y no bajando sus muertos, heridos y nio principiará en ambos paises el día i»a de Octubre próximo, y se prisioneros de aoo hombres. Con fecha del 13 avisa el expres…</t>
  </si>
  <si>
    <t>Pido, Oliven</t>
  </si>
  <si>
    <t>Oliven Pido</t>
  </si>
  <si>
    <t>…que la de Hacienda habia hecho en él algunas pe contra los alcaldes y ayuntamiento de la ciudad de Lorca. queñas adiciones, conformes e n lo que se manifestó en la discusión so Fl Sr. Oliven Pido uue se lea la representación dirigida á las Cor- . bre este asunto, las cuales presentaba i la deliberación de las Cortes. Se tes por la diputación provincial en 30 de Marzo de este afio. (Jr /ryO leyó en seguida dicha nunuta'de decreto, siendo laa adiciones…</t>
  </si>
  <si>
    <t>Pido, Oltvert</t>
  </si>
  <si>
    <t>Oltvert Pido</t>
  </si>
  <si>
    <t>…iberación de las Cortes el proyecto presentado por el mismo, esto no impedía que la comisión luciese todas las modificaciones que tuviese píritu de la letra de le Constitución. El Sr. Oltvert Pido se lea el oficio del Gobierno con que ha pisado 4 bien. El Sr. Pedralvea dijo que el Gobierno no bebía sido tan feliz en In Ota proposición á la Corta. expresión como en la idea, pues no debía ser objeto material de la dis El Sr. Romero: El Sr- Savedn ha impu…</t>
  </si>
  <si>
    <t>Pie</t>
  </si>
  <si>
    <t>…aiaron á unsnmri.d las librerías de Sanz y de Villa. de voto» que n. ka turar á la fr nación de cauta. Barcelona 8 de Ju A ota. F.n la gaceta del 29, col. g.*, lía. 45, donde dice D. Pie nio de 18aa.=F«lix Janer, Magín Coraminas , Mariano Esteve 7 Mo- Lanza, IFase D. Pso honda. EN LA IMPRENTA NACIONAL.</t>
  </si>
  <si>
    <t>Piera, Honorato</t>
  </si>
  <si>
    <t>Honorato Piera</t>
  </si>
  <si>
    <t>…ueza líquida, que secretaría del gobierno político, D- Raimundo Poveda, ofici l del re es la mas exacta. Es preciso rebajar tres quinta partes de las produccio gimiento de ¿amera, D. Honorato Piera, abogado, D. Josef Codini, nes en bruto de los predios rústicos, y entonces nos aproximaremos del comercio, D. Vicente Chulvi y D. Vicente Llopis, canónigo ma al verdadero resultado. El valor de esta riqueza asciende por el censo gistral, declararon D. Raimun…</t>
  </si>
  <si>
    <t>…caudales de la tesorería de Cá- riente los Sres. D. Josef Sonano, presbítero; el marques de Fuente el dix , pido que queden desde luego extinguidas la contaduría y tesorería Sol; D. Honorato Piera, abogado; D. Joaquín Ibarra, subinspec de cgército de dicha plaza, estableciéndose en ella un pagador , con tor de artillería; D. Facundo Alarcor, coronel retirado; D. Josef forme al plan administrativo de hacienda militar con uno ó dos ofi Enguídanos; D. Vic…</t>
  </si>
  <si>
    <t>Piesas</t>
  </si>
  <si>
    <t>…arrojo de los que le atacaban , la que se aumentó en ellos á la salida Según lo que nos dice el Monitor de ayer en tu parte no oficial, el de 40 hombres de Ordenes mandados por el capitán Piesas , que diri teniente coronel Carón y otro antiguo oficial llamado Royer forma giéndose hacia el pueb o, donde se hallaban situadas dos co.urr.nas, ron el proyecto de seducir á los sargentos del regimiento núm. 46 de estas al ver la serenidad de los que marchab…</t>
  </si>
  <si>
    <t>Pifan</t>
  </si>
  <si>
    <t>…! ingles muertos, y mas 13 oficiales, 500 fusiles nue esta derrota . y por uno de ello» ccu.ta que la cuadrilla de ene perver vos, y todas las municiones , equipajes y víveres. El coronel Pifan!» so s- componía de 1 yo homhrrs. Las autoridades de fccija , Vvula , Cá- par ece que temeroso por la mata opinión que »us gobcriiant. s lian oí* d'Z &amp;c. habían andado á cun ma» vigilante» para conseguir el ext r- do al bravo genera. Morales, sin razón, cuand…</t>
  </si>
  <si>
    <t>Pifcrrer, Francisco</t>
  </si>
  <si>
    <t>Francisco Pifcrrer</t>
  </si>
  <si>
    <t>…coronel coman ro de 60; por lo que debo recomendar á V. S. á todos en genera!, sin dante da H stalnch. A pesar de aquella veniaj* primera, tomada po poder pasar en silencio que su capitán D. Francisco Pifcrrer, d $pue* sición por las valientes y fiehs tropas, los rechazaron completamente, da haber visto su casa convertida en llamas, no solo manifestó mas matándoles 30 hombres, hiriendo á vanos, y se l;s obligo á retirarse. valor, sino que dijo qua ofrecía de nuevo…</t>
  </si>
  <si>
    <t>Piferrer, Francisco</t>
  </si>
  <si>
    <t>Francisco Piferrer</t>
  </si>
  <si>
    <t>…o á la faz de! mn-v , norífica de la valiente milicia voluntaria de esta villa, que al carpo de y os haré;, dicnos de ia indulgencia con que os convidan l .s »rt cu os tu o p tan D. Francisco Piferrer y del teniente coronel graduado Don 4 " Y S- ’ 1» iey marcial del f de Abril de 1821 ; pero si , lo q.e no Jot'f Cienfuegos se hallaba encerrada en el luirte. A pesar de que los esp-m, o» rn-iTu-iese s sordos á mi voz, os acamareis la «X-cr.c on facciosos bab…</t>
  </si>
  <si>
    <t>Pifie, Francisco</t>
  </si>
  <si>
    <t>Francisco Pifie</t>
  </si>
  <si>
    <t>…de a V. mj.hos de' regimiento de Extremadura, me dirige con la debida satisfacción y afi os. Beceite 12 de Ju'io de 1822 á las seis de la mafiana.=Fr»n. seo elogio el sigui-nte de D. Francisco Pifie!ro, teniente del m imo regi- P.ñeiro.*’ =Lo que hará V. S. saber en la orden de la p'aza para sat smi-nto. » A pisar de que en mi oficio de ayer di parte á V. de que en facción de las tropas de mi mando, que en tolas parte, hacen muestra este punto no habla n…</t>
  </si>
  <si>
    <t>Pifieiro, Santiago</t>
  </si>
  <si>
    <t>Santiago Pifieiro</t>
  </si>
  <si>
    <t>…ra que todos lo* Se acordó que se agregase i la comisión que ha de formar el código españoles puedan navegar y pescar en todos los mares sin mas que sa de procedimientos militares D. Santiago Pifieiro, capitán de artillería. tisfacer el derecho de patente. A la comisión Eclesiástica se pasó una exposición del ayuntamiento Se leyó la del Sr. Arellano, relativa á que esté sujeto á la pena de de Bilbao en solicitud de que se le aprurbe la imposición de medio…</t>
  </si>
  <si>
    <t>Pifitir, Juta</t>
  </si>
  <si>
    <t>Juta Pifitir</t>
  </si>
  <si>
    <t>taldo, D. Sut‘19) Catrera, D. Salvador Campo* y D. Juta Pifitir». grande, recibid el beso de amor, el abrazo de grat:tud y los traspor Tmintes. D. FiaQciscéPArazonéi, D." Anrel del Ostillo, Don tes de admiración que os ofrece el ayuntamiento de la Coruña r esta Francisco Jimana, D. Cirio* Marrngal, D. Rafael Cu&lt;d, D- Juan…</t>
  </si>
  <si>
    <t>Pila</t>
  </si>
  <si>
    <t>…emas periodistas del partido turco se atrevan en el día á publicar otr.s utilidad ó inutilidad de su intervención: la Italia es una prueba de ello, noticias que desmientan las del Sr. Pila!, i quien se tiene por el eco j la Grecia c* otra. Si esta no ha sido atacada á viva fuerza por los inmediato del Gabinete austríaco. Gobiernos europeo*(¿no será esto tal vez porque se creyó que bastarían Publican pues estos periodistas lo siguiente: los gení…</t>
  </si>
  <si>
    <t>Pila, Agustín</t>
  </si>
  <si>
    <t>Agustín Pila</t>
  </si>
  <si>
    <t>…aun concebirlo. ... en los decre Lugo administrador D. Gerónimo Ccuder, que lo es de Ciudadtos inmutables de la Providencia e=tá ya fijada una suerte duradera de Real. Interventor D. Agustín Pila, administrador del Foso. la Const tucion política de la Monarquía española. ¡No hay señales vi Ciudad-Real administrador D. Josef Pcrez de la Fuerte , que lo ee sibles en el cielo! ^No protege D os con repetidos hecho* la causa del de Aranjuez. Interventor D.…</t>
  </si>
  <si>
    <t>Pilares</t>
  </si>
  <si>
    <t>…fundada por D. Bernardo Bsrardo com Lino Campos para que se adelantase con dichos cuerpos basta unirse parecerán á deducirle en el juzrado de primera instancia de Alicante, con el brigadier Pilares; encargándole muy particularmente que dijese por «1 oficio del escribano D. Francisco Lledó y Juan, dentro del tér á este gefe que evitase toda efusión de sangre, valiéndote para reducir mino de 40 dias, contados desde el 1 a de Junio del corriente afio, ins…</t>
  </si>
  <si>
    <t>Pilat</t>
  </si>
  <si>
    <t>…por roo por» —Cuando mas extendidas se hallan las noticias de la ruina total de los que lo» capitalitta» de Viena están convencidos de que los Monarca* griegos , propagadas por el Sr. Pilat, redactor principal dei Obrero ador aliados no pretenden intervenir inútilmente en lo* negocio* de las po aurtriaco, no deja de extrañarse que el Monitor, la Gaceta de Francia tencia» vecinas; pero esos mismos Monarcas son los que caliiicaa la y demas periodi…</t>
  </si>
  <si>
    <t>Piles, María Josefa de</t>
  </si>
  <si>
    <t>María Josefa de Piles</t>
  </si>
  <si>
    <t>…seguirá el Gabinete austríaco en caso de romperse Resolución de las Cortes. la» hostilidades entre rusos y turcos es obj,-to de suma importancia , y En vista de las instancias de Doña María Josefa de Piles, riada del que no acaba de aclararse. La corte de Viena esp.ra todavía para últi mag strad.i D. Isidoro Antillon, sobre que se le abonen sus haberes, mos de Abril una mu va respuesta d;l diván, al que ha pedido que re como á las viudas de los generales Lacy y…</t>
  </si>
  <si>
    <t>Pimbiey, Felipe de Sierra y</t>
  </si>
  <si>
    <t>Felipe de Sierra y Pimbiey</t>
  </si>
  <si>
    <t>…as en pliego , y *4 en cuarto de y circule.^Rubricado de la Real m*no.=En palacio a 10 de Julio d* pliego. Esta colección es la que tiene en uso la misma sociedad en su* ■ Ui i.aA D. Felipe de Sierra y Pimbiey. escuelas , y la que ha punto en práctica el batallón segundo de la Prin cesa , qu: se halla de guarnición en aquella piara. Debiendo ahora según Don Fernando vtr por la gracia de Dios y por la Constitución de la lo decretado por las Cortes establecerse escue…</t>
  </si>
  <si>
    <t>Pimcntcl, Antonio</t>
  </si>
  <si>
    <t>Antonio Pimcntcl</t>
  </si>
  <si>
    <t>…nel comandante del regimienta mi'icia racio teniente D. Martin de Puiduhés y del capitán del regimiento de Ainal local D. Joief Luis Amandi y el coronel comandante del regi túiias D. Antonio Pimcntcl , y lea segunda* á U del capitán y alférez</t>
  </si>
  <si>
    <t>Pimental, Gregorio Bermudez</t>
  </si>
  <si>
    <t>Gregorio Bermudez Pimental</t>
  </si>
  <si>
    <t>…ia Bernarda de palabra W, tan dulce 7 grata cn todas las lenguas 4 loa oídos do los pila 60 rs. 7 9 mrs—La de Doña María Montero ó sus herederos 231 grandes. (aale* 7 4 mrs__La de D. Gregorio Bermudez Pimental 760 rs. 7 6 Estas literas ceremonias provinciales desaparecen 4 la viso de le Maravedises—La de Doña Rosa Mella de loa Ríos 1212 rs. 7 so maetiqueta déla corte, descrita por los holandeses,.quienes experimenta tavediscs__La de Dofia María Zuarez Analta 180 rs…</t>
  </si>
  <si>
    <t>Pimllt, Francisco Javier</t>
  </si>
  <si>
    <t>Francisco Javier Pimllt</t>
  </si>
  <si>
    <t>…Martínez de la Rosa, para «1 de la Gobernación de la Península é is do toda fe Nación está entonando himnos «fe gratitud en elogio de nues las adyacentes, de qu: estaba encargado D. Francisco Javier Pimllt, tros legisladores; cuando ya empiezan a desenvolverse fes fecundas semi á 1). Josef María Moscoso de Altamira, para el de ia de Ultramar á llas de prosperidad contenida en ouestro sagra«fo Código; cuando tan D Manuel de la Bodega, para el de Gracia y Justici…</t>
  </si>
  <si>
    <t>Pinada, Martin de</t>
  </si>
  <si>
    <t>Martin de Pinada</t>
  </si>
  <si>
    <t>…njero y salida para Ultramar, rebeldía ro diese , les parará igual perjuicio que ai se presentaran. que estaban establecido* entes de publican* dicho arancel. Por providencia dial Sr. D. Martin de Pinada, magistrado honora Art. i.“ » Se permite igualmente la introducción y consumo en le rio de la audiencia territorial de Castilla la Nueva, y juez de primero Península é islas adyacente» de lo* mismos género* existentes actual instancia en asta capital, dada po…</t>
  </si>
  <si>
    <t>Pínaneo</t>
  </si>
  <si>
    <t>…en todas direcciones, persiguiéndole ARTICULO DE OFICIO. mis tropas con el mayor encarnizamiento. F! R-y ha expedido el decreto s:gu!;r.te: » La pérdida del enemigo consiste en el coronel Pínaneo y siete ofi w Para ¡1 mi* r xpedic'on de lo&gt; in-chos negocio* de la secretaría ciales que han caído en nuestras manos, y unos aoo hombrea entra de Estado y dil Despacho de Hacienda que interinamente he pu sto á muertos , heridos y prisioneros. vufstr 1 cargo,…</t>
  </si>
  <si>
    <t>Piñango</t>
  </si>
  <si>
    <t>…las provincias de la Mores, dió 800 hombres entre prisioneros y muertos, con muchos oficiales, de las islas , de una gran parte de Tesalia, de la Albania, y aun da uno de elios el coronel Piñango, fusiles , municiones &amp;c. El 30 de Ju Macedonia. Asi es que el Gobierno empieza á tomar medidas algo ex nio recibió Mora'et el mando de general en gefe, y proyectó la opera trañas. Ya no no tiene griegos ricos i quienes robar y desollar, y asi ción siguiente:…</t>
  </si>
  <si>
    <t>Piñango, Fernando</t>
  </si>
  <si>
    <t>Fernando Piñango</t>
  </si>
  <si>
    <t>…se sirva disponer» cumplimiento.” D. Antonio Calderón , teniente que fue del regimiento infantería de la De orden del Rey lo traslado i V. pare su inteligencia, y i in dar Reina. D. Fernando Piñango, teniente que fue del regimiento de in que lo comunique y circule á quien corresponda. Madrid za de May» fantería de Castropol. Manuel Rodríguez Arango, soldado que fue del de 18a 2. regimiento de infantería de Lena , licenciado para la villa «le Sta. Eu lali…</t>
  </si>
  <si>
    <t>Piñaugn</t>
  </si>
  <si>
    <t>…á muchos se dispersaron en varios senti La perdida del encongo consiste en haber quedado en nuestro poder el dos, yendo seguidos de partidas de caballería que los estrechaban muy coronel Piñaugn con siete oficiales y sobre 200 hombres entre muer de c: rca ; una de 'as cuales partidas de un cabo y dos soldados entró tos , heridos y prisioneros, y la nuestra no ha sido de mayor consi en Villamait n d.spues de oraciones con dos caballos de ios forajidos…</t>
  </si>
  <si>
    <t>Pineda, Di Manía de</t>
  </si>
  <si>
    <t>Di Manía de Pineda</t>
  </si>
  <si>
    <t>…pees* critas eía el art. 47 de la ¡nttruccioa de aduanas. Madrid 7 da Abril ANUNCIOS. de 183a.s:Cayetano Valdét, presidente.s Juan Oliver y García, di A virtud da providencia dal Sr. Di Manía de Pineda, anmtrada putado iccreurio. =Vicent&lt; Salvá , diputado secretario,” Por unto hornean» de b audiencia territorial de Cartilla b Nueva, jase da pri mandamos á todos los tribunales , justicia», gefes , gobernadores y do mera instancia de erteM. H. vilb, refrendad…</t>
  </si>
  <si>
    <t>Pineda, Martin de</t>
  </si>
  <si>
    <t>Martin de Pineda</t>
  </si>
  <si>
    <t>…esión. el resello, y tengan loa billete» numerada» desde el 777 hasta el 800, ambo» inclusive. NOTICIAS DE ESPAÑA.' ANUNCIOS. Barcelona 18 dt Febrero. En virtud de providencia del Sr. D. Martin de Pineda, magistrado Ayer se ha celebrado en el talón de Ciento de las casas consistoria honorario de la audiencia territorial de Cutida la Nueva, y juez de les la solemne instalación de las cátedras que no* faltaban para com primera instancia en esta camnl, dada á co…</t>
  </si>
  <si>
    <t>…ado una carta inapta en el auto de sobreseimiento dado en ella por el juez de primera ¡altanera •1 núm. *51 del Imparcial como subersivi, se reunió ei )ura J.t&gt;, com de esta corte D. Martin de Pineda á 31 de Diciembre último sin coa puesto de lo» señóte» siguientes. D. Manuel Estiban Catai, D. Ra tas , declarándose que la formación de esta causa no debe perjudicar fila món Llotd, D. Josef Larrcatcgui, D. Marcos M ñero, D. I-Vi ip; Ló bueña fama y opinión…</t>
  </si>
  <si>
    <t>…s 515 ,89o rs. y 4 mrs. Jubilados, reformados, inválidos, viudas y pensionistas. TRI JUNALOS. Para el pago de los sueldos y haberes de los jubilados, reformados, En el juzgado del Sr. D. Martin de Pineda, magistrado honorario inválidos, viudas y pensionistas de toda date en la armada 7.001,63a de la audiencia territorial de Castilla la Nueva, y juez de primera ins reale* y 17 mrs. tancia en esta capital, y escribanía de D. Cristóbal de Vicuña, se ha Resultas…</t>
  </si>
  <si>
    <t>Pineda, Martín de</t>
  </si>
  <si>
    <t>Martín de Pineda</t>
  </si>
  <si>
    <t>…breve térmi TRIBUNALES. no p ra promover las obras, y proponer los arbitrios con cuyos produc* los han ds ejecutarse. Madrid i."* de Octubre de 1821. En virtud de provldíncia del Sr. D. Martín de Pineda , magistrado honorario, juez de primrt in.nnc a en esta capital , dada por la es Circular del ministerio de Gracia y Justicia. cribanía del número de D. Cristóbal de Vicuña , se cita , llama y cmPor e! ministerio de Gracia y Justicia se ha comunicado al de Ha…</t>
  </si>
  <si>
    <t>venío de 14 de Junio de 18»* (aprobado por las Cortes en *7 del borié responsable de dicho impreso, y el Sr. D. Martin de Pineda, omino. juez de primera instancia de esta corte, mandó que inmediatamente Art. 7.0 » El Gobierno español no se opone K que en las traduc se le alzase la fianza , y declaró que este procedimiento no debía per ciones limpies al francés ó ingles, que lle*»rin á…</t>
  </si>
  <si>
    <t>…capital, fechas 16 y 18 de Mayo último , de mandato dsl Esto mismo ha sucedido en Jassy : no gustaba á los turcos que esta fuera Sr. juez de primera instancia de esta M 11. villa D. Martin de Pineda la capital del principado, sino el pueblo de Raman , á 16 millas de para hacerles la citac.ou y emplazamiento ; y bailándose pendientes de distancia de Jassy: de los dos incendios últimos habían quedado libres un traslado conferido á dichos herederos de D. Ma…</t>
  </si>
  <si>
    <t>…ausa. Barcelona a 1 de Se principios da Diciembre de este año un estado parcial da esta clase. tiembre de 182a.s Felipe Bertrán 7 Ros. — Macario Riu. = Jaime r Por providencia del Sr. D. Martin de Pineda, ministro togado ho Busaiia. = Joaquín Ruíra 7Lacreu.cs Felipe Fernandez Arias. = Jo- norario de la audiencia territorial de Canilla la Nueva, juez de prime sef María Baldrich.sPedro María Verdalet. = Josef Antón.o Balee- ra insuncia de esta heróica villa, re…</t>
  </si>
  <si>
    <t>…resan. el Si. I tí Antonio Martínez de Velasco , diputado por la de Burgos, tvibunaiks. y para secretario el Sr. D. Josef Grasé», que lo es por la de Cataluña. Por providencia del Sr. D. Martin de Pineda y tara, juez de pri mera instancia de esta M. H. villa de Madrid, te cita , llama y empla F.l Rey ha expedido el decreto siguiente: za á D. Josef Mingo Oialora , natural de la villa d; l'ozorubio, en la Don Fernando vn por la acacia de Dios y por le Constituc…</t>
  </si>
  <si>
    <t>…. 95 riente de doce á una de su mafiana en su posada, calle y casa del Sa I Idem de á caballo.............. 13$ cramento , cuarto segundo. LM. N. A................ 1000. Lo* Sre*. D. Martin de Pineda y D. Benito Romero , ministros to Zaragoza. flnfanterfa de linee............ 3000' $,981. gados honorarios de la audiencia territorial de Castilla la Nueva , jue Idem ligera........................ 800 ces de primera instancia en esta heroica villa , han sefialado el día nue Ca…</t>
  </si>
  <si>
    <t>…fie uno y otro sexo f*t»ñ habilitado* para-disponerTíbvrmente di iu pe» TBIMNAIB*. cutio particular, y As loa drou que’hubiesen podido adquirir en vir En virtud de providencia del Sr. D. Martin de Pineda y lora, jaca tud del citado decreto da id de Junio; entendiéndote dicha habilita de primera instancia de esta heróica villa de Madrid, refrendada po, ción desde la facha de ta secularización, jr sin que tenga efecto retroac D. Santiago Manuel de Albóniga, esc…</t>
  </si>
  <si>
    <t>Pinedo, Josef Fernandez de</t>
  </si>
  <si>
    <t>Josef Fernandez de Pinedo</t>
  </si>
  <si>
    <t>…e Vicuña, se ha Resultas de comisiones. lla radicada la testamentaría y ocurrencia de acreedores fi tos bienes del Par* los gastos que ocasionan varias comisiones de la marina, co Sr. D. Josef Fernandez de Pinedo, último conde marques de Prrales, mo son de cañamos, montes y betunes, 108,545 rs. y en el estado de ella se puso por caudal el importe del arrendamiento Ingenieros. satisfecho por su padre el Sr. D. Ventura, conde marques que fue tam Sueldos de los oficiales…</t>
  </si>
  <si>
    <t>Piñeiro, Buenaventura</t>
  </si>
  <si>
    <t>Buenaventura Piñeiro</t>
  </si>
  <si>
    <t>…Calatayud. En su consecuencia se procedió al torteo de loa tiendo arreglada. nueve jueces de hecho que deben declarar si ha ó no lugar 4 la forma Se han extraviado de la cata del Sr. D. Buenaventura Piñeiro ea ción de causa al autor del referido artículo , y tocó la tuerte 4 los seño tiempo de la dominación francesa entre otros [tápeles el privilegio da res D. Ignacio Pajares, D. Mamerto Landmburu, D. Joaquín Huerta Ce- un juro en alcabalaf de Midrid de 16,130 m…</t>
  </si>
  <si>
    <t>Piñeiros, Pedro Antonio Vázquez</t>
  </si>
  <si>
    <t>Pedro Antonio Vázquez Piñeiros</t>
  </si>
  <si>
    <t>…meramente los hacían echar boca Kernanciez 7 López 314 rs. y 9 mn—.La de D. Juan Felipe Ocamahajo, mandándoles que tuviesen cuidado de no mirar mas arriba z6i rs. 7 so mrs__ La de D. Pedro Antonio Vázquez Piñeiros 390 de los pies dei Emperador: después les decían que te levantasen, 7 pales.__La de Dofia María Rosa Larrea 78 rs. 7 7 mrs—La de la las hacían egecutar una especie de danza con muchas genuflexiones 7 testamentaría de D. Antonio Mosquera Villamarin a8t rs. 77…</t>
  </si>
  <si>
    <t>Piñeirr, Santiago</t>
  </si>
  <si>
    <t>Santiago Piñeirr</t>
  </si>
  <si>
    <t>…ones, que pa* nombre de su autor Mr. P. C. i'. Daunou, m .mEn c:l in-.t 11 to d: íec* qu eren vo’ver á la barbar.: c: :1 ;.gln :.r;. Nu stra civilización :rá Francia, su traductor D. Santiago Piñeirr» ha conseguido í I zmer-ta en aumento luego que los e-xtmngeri.. .1 j.p &lt;5: lamentar nuestros dis— conservar con la mayor exactitud las i.Las d. I oru.nal, y p,c:. 1 1.11 tu dúos ii.tiríorc». E.i trono de los Barbones, asegurado ya, se drbs á coa toda la eleg…</t>
  </si>
  <si>
    <t>Pingarron</t>
  </si>
  <si>
    <t>…Espoz y Mina, ma pañía completa del resguardo militar para hacer un reconocimiento riscal de campo de loa egércitos nacionales, el oficio que sigue: con motivo de haber avisado al comandante Pingarron que los facciosos » Habiendo llegado é manos de este ayuntamiento el nuevo diario de las cuadrillas de Plandolit y Vilella se hallaban en el lugar del Es de Madrid del sábado 15 de Mayo, ba visto en él con horror que te quirol. La gavilla de Moten Antoo ha de…</t>
  </si>
  <si>
    <t>Pingarron, Pedro</t>
  </si>
  <si>
    <t>Pedro Pingarron</t>
  </si>
  <si>
    <t>…o. Quiere S. M. que en estas En un parte del valiente general Milzns y del comandante del obras se ocupen todos los brazos posibles sin aparatos de ingenieros ni resguardo militar D. Pedro Pingarron, que con fecha del to desde Vich facultativos que consuman con sus dotaciones gran parte de estos fondos, comunican al Sr. gefe poiitico de Barcelona,se dice lo siguiente: cometiendo su dirección á los mismos gefes políticos, 6 i un individuo ’• Sabedores en…</t>
  </si>
  <si>
    <t>Pingarron, Pedro Navairo</t>
  </si>
  <si>
    <t>Pedro Navairo Pingarron</t>
  </si>
  <si>
    <t>…ESPAÑA. buen espíritu de ia tropa y la milicia en querer p rmanecer hasta lograr Earctlvna 34 de Agosto. cubr r compl. tainente de glora nuestras armas, vine á suplicar a la au El Sr. D. Pedro Navairo Pingarron da paite al Excmo. Sr. capitán toridad, y logré 7 días d - próroga; me restituí á Esparraguera con gen ral de este séptimo distr.to que en la mañana del dia 18 salió da la artillería, ja acompañé con tres compañías hasta haber pas.do el V cli con la tropa de…</t>
  </si>
  <si>
    <t>Pingtrron, Pedro Navarro</t>
  </si>
  <si>
    <t>Pedro Navarro Pingtrron</t>
  </si>
  <si>
    <t>…no pueden constitucional de F ¿güera* ofició sobre el particular al comandante gene meaos de conocer que el resultado de las desavenencias entre la» cor ral del resguardo militar D. Pedro Navarro Pingtrron , quien en efec tes do Petersburgo y Constantinopla' ha de ser la guerra, á pesar de to salió í las ocho de la noche, acompañado de un capitán, dos subal cuantos esfuerzo» hagan las demas potencias aliadas para impedirlo. Su ternos y 18 hombres del mismo resg…</t>
  </si>
  <si>
    <t>Pinheiro, Fernandes</t>
  </si>
  <si>
    <t>Fernandes Pinheiro</t>
  </si>
  <si>
    <t>…de alarma en Pera y Gálata con mo fin de que sus habitantes no tuviesen necesidad de acudir al Portugal. tivo de haberse de embarcar los prtsos que había en el arsenal y varias El Sr. Fernandes Pinheiro manifestó que las circunstancias en que tropas de las que guarnecen las castillos del Bósforo, que son las mas se había visto la comisión eran enteramente nuevas y singulares, y que famosas entre los facinerosos musulmanes; estas formarán una gian no tenia re…</t>
  </si>
  <si>
    <t>…cto de Constitu _Anteayer pasó por Irun el caballero A’Court, enviado de Ingla ción , que quedó aprobada. terra cerca de la corte de España. Nuestro cónsul en Bayona se f alsía El Sr. Fernandes Pinheiro leyó una proposición , en la que detpuee anticipado i avisar al Sr. gefe político el día de su traes to, y el deseo de exponer varias razones finalizaba diciendo que para seguir la volun qud’habia manifestado de viajar con escolta, y que esta fu.se la misma t…</t>
  </si>
  <si>
    <t>Pini.ia, Alalias</t>
  </si>
  <si>
    <t>Alalias Pini.ia</t>
  </si>
  <si>
    <t>…a, que los acreedores que no hubie d: injuriólo en rrimer grado: D. Maitin de Zarandi: , D. Andrés Na sen presentado á liqt.:dur tu&gt; creditos hasta 30 de Junio próximo pei- varro, D. Alalias Pini.ia , I). Pedro Rodríguez dr Toro, D. Domin derán todos los d recito» 1 la liquidación, y quedarán caducados de he go Fernand:z Angulo , marques de Torrenucva, D. Juan Paz , Don cho. Lo comunicamos - V. E. por acuerdo de ¡js mismas, para que pa Manuel Esteban Caí…</t>
  </si>
  <si>
    <t>Pinilla, Francisco Javier</t>
  </si>
  <si>
    <t>Francisco Javier Pinilla</t>
  </si>
  <si>
    <t>…a con Madrid Sotado to de Entro. ferido interinamente la secretarla del Despacho de la Gobernación de • SS- MM. y AA. continúan sin novedad en su importante talud.” la Península é D. Francisco Javier Pinilla, oficial de la misma , y en la actualidad mayor de ella. QORTKS EXTRAORDINARIAS DEL Alto DE ifisa. El segundó era una copia dd que había pasado d brigadier D. Sal vador Sebastian desde Sevilla al Gobierno, manifestándole haber toma npainnciA su utos sn. do el…</t>
  </si>
  <si>
    <t>Pinilla, Josef López Juana</t>
  </si>
  <si>
    <t>Josef López Juana Pinilla</t>
  </si>
  <si>
    <t>…rs. lándolo en esa provincia, tenga el mas puntual cumplimiento. Madrid Situación de la Hacienda pública de España en Marzo de i8aa, y 5 de Junio de 182a. medios de mejorarla, por D. Josef López Juana Pinilla, intendente Junta general directiva de casas de moneda. efectivo de provincia, y tesorero general honorario. Se hallará á 9 rs. en El sábado 15 del corriente se pagará en esta casa nacional de mo rústica en la librería de Ranz y en la de Quirós. neda de nueve…</t>
  </si>
  <si>
    <t>Pinille, Francisco Javier</t>
  </si>
  <si>
    <t>Francisco Javier Pinille</t>
  </si>
  <si>
    <t>…dispondréis se imprime, publique y circule.==£tt4 rubricado de la Granada................................................................................ 2 por too. Real mano-s: A D. Francisco Javier Pinille. Valencia.............................................................................. Par. Barcelona.............................................................................. 1 por tookiá Don Fernando vu por la gracia de Dios y por la Constitución de Za…</t>
  </si>
  <si>
    <t>Pinills, Matías</t>
  </si>
  <si>
    <t>Matías Pinills</t>
  </si>
  <si>
    <t>…uy claras , en concepto de incitador i la desobediencia, se re Rui* «leí Rio, Manso, Sotos, Rodrigue* Paterna , Tomas, Quiñones, unió el jurado, compuesto de los Sres. siguientes: D. Matías Pinills, López Cuevas, Atienza , Marchámalo, Cano, Ladrón, Prado « Escude 1). Francisco de la Carrera, D. Andrés Alcen, D. Antonio Quiroea, ro , Munarriz, Diez, Buey, Latre, Lapuerta , Santalé, Saogenis, Cue 1). Angel Bonalto, D. Martin de Zarandia, D. Francisco Trav…</t>
  </si>
  <si>
    <t>Pinílta, Matías</t>
  </si>
  <si>
    <t>Matías Pinílta</t>
  </si>
  <si>
    <t>…aula, y resolver que se retiren los Cusano,D- Josef Larreitepui, D. Antonio María Espejo, D. Ber Sres. J menez y Sedeño á desempeñar sus funciones, por exigirlo asi nardo Asenjo y D. Matías Pinílta. Habida la conferencia , resultó por la economía.” unanimidad haber lugar á la formación de causa. A petición del Sr. Murfi se leyó el art. 184 del reglamento, y en seguida se opuso este Sr- diputado á la proposición, manifestando que ANUNCIOS. siendo el obje…</t>
  </si>
  <si>
    <t>Pino, Joaquín Peinador y</t>
  </si>
  <si>
    <t>Joaquín Peinador y Pino</t>
  </si>
  <si>
    <t>…Julio de 1822. ello declararán también la&gt; Cortes que la fa ta de pago de cualquiera de Juicios de jurados. los derechos de lanzas de creación ó de sucesión lleva consigo la nuli Don Joaquín Peinador y Pino y D. Antonio de la Rut y Figuedad de la gracia de titulo ó grandeza, y efectivamente se tendrá por roa denunciaron al Sr. alcalde D Ramón Casellas un artículo inserto nula, recogiéndose los diplomas al que no pague á la época del venci en el Imparcial, núm. 313, como inju…</t>
  </si>
  <si>
    <t>Pino, Juan del</t>
  </si>
  <si>
    <t>Juan del Pino</t>
  </si>
  <si>
    <t>…a, colocó una comp.ifiía en el olivar y cá gún 1, y de donde en la madrugada mandé salir la descubierta con el ramo recto d - Caianda paia impedir que los facciosos pudieran tomar teniente D. Juan del Pino y cuatro milicianos, qu: voluntariaininte le p. r r. tagu irdm , ó bien fufarse por aquel punto , y sucesivamente se ofr cieron con sus caballos; y recorridas las inmediación:», no n'uectras se ibar. ganando las sierras tlevaUis.ma», iba quedando siem s: enco…</t>
  </si>
  <si>
    <t>Pino, Juan Peinador y</t>
  </si>
  <si>
    <t>Juan Peinador y Pino</t>
  </si>
  <si>
    <t>…eve y Claramunt. jueces de primera instancia de Galicia en esta formai para el partido Juan Sagarra. Gabriel Ametller. Josef Valenli. Cayetano Galup. Bru de Sta. María de Cruzul á D. Juan Peinador y Pino: para el de Santa no Petrus. Ramón Urgell, Juan Argelich. Ignacio Ragés. Francisco María de la Fuensagrada á 1). Fernando Antonio Siñeris y Trelles: Tomas Ros. Josef Elias. Domingo María Vila. Ramón Banquells. para el de Villalba á D. Juan Pedro Quijana y Car…</t>
  </si>
  <si>
    <t>Pino, Manuel del</t>
  </si>
  <si>
    <t>Manuel del Pino</t>
  </si>
  <si>
    <t>díñente», y sut turas y fr.t'Its, que los han seducido y extraviado mi* biendo sido d:stinados í servir por sí dos de ellas al mando del coro •arablemente. ~ ^ nel D. Manuel del Pino en la defensa.de dreho punto, qus según to—. ...Anuncian de Manresa el s 3 lo que sigue: das las probabilidades habría de ser el que sufriese los mayoral ataques ‘ Anoche se empezaron á cerrar las puertas de esta ciudad, y se con por su situación. A las inmed…</t>
  </si>
  <si>
    <t>Pino.rsl’or, Manuel del</t>
  </si>
  <si>
    <t>Manuel del Pino.rsl’or</t>
  </si>
  <si>
    <t>…mandan de i8aa.asPor la infantería el coronel Francisco Fernandez Golfin, sns ames. pre,idente.=Por la milicia nacional activa el coronel Alfonso Valderábano.=Por la artillería el coronel Manuel del Pino.rsl’or la caballe ARTICULO DE OFICIO. ría el teniente coronel Joaquín Barreda.=Por el estado mayor general el coronel Santiago Méndez de Vigo,=Por la Hacienda nacional mi PAGADURIA DEL MINISTERIO DE LA GOBERNACION DE IA PENINSULA. litar el intendente honorario de pr…</t>
  </si>
  <si>
    <t>Pintado, Gaspar López</t>
  </si>
  <si>
    <t>Gaspar López Pintado</t>
  </si>
  <si>
    <t>…iéndose denunciado al Exento. Sr. marques de Sta. Cruz, alcal retorno de la nacional que hubiese salido con caldos para el extrangero; de primero constitucional de esta villa, por D. Gaspar López Pintado, •e ha" servido resolver que se prohíba la entrada de toda vasijería da comandante del regimiento caballería de España , en nombre de D. Die madera ds fábrica exrrtngera, en atencon 4 que en todo* los puertos go de Lerma, teniente coronel del mismo cuerpo, un…</t>
  </si>
  <si>
    <t>cion de tan desagradable escena, trataron d« excitar otro motín mas escuadrón D. Gaspar López Pintado, comisionado por V. F. pira ofre horroroso para conseguir á todo trance la destitución dei gef: político jr cer m r.cm:&gt;.-e d- a. M. el ú t mu indu la i los seducidos de ia gaa-d-I comandante militar; pero la inmensa mayoría del pueblo, perf.ctt- dia R-a , y…</t>
  </si>
  <si>
    <t>Pinto</t>
  </si>
  <si>
    <t>…atonto suficientemente discutido; y habiendo. desesti bíanlo* pues por el amor de sus personas, si por el de las Cortes, pac mado d diclamen de la comisión, te aprobó el voto del Sr. Pinto de el de la ley, por el de la patria y por el de la Constitución."Magalhaea r p a* levantó la sesión. Al XXX. NOTICIAS DE ESPAÑA. " Señor: V. M.t que «lando al universo un egetuplo de magnanimi Bmrttiaaa it de Febrero. dad la mas sublime, juró guardar y hacer…</t>
  </si>
  <si>
    <t>Pinto, Ignacio López</t>
  </si>
  <si>
    <t>Ignacio López Pinto</t>
  </si>
  <si>
    <t>…ugos habitadores de la mansión de las ti ñía d«l tercer batallón de la milicia nacional al capitán de artillería nieblas y el horror, temed: no esperanzados de respitar un aire de D. Ignacio López Pinto. que no soi* digno* , procure:* sacar vuestras negras y hediondas cabe- * Los servicios en obsequio de la patria r de la 1 ¡Ferrad ton de tal vas, que pot ahora habéis cobardemente ocultado en vuestro silencioso y naturaleza , que rara vez renuncia el hombre…</t>
  </si>
  <si>
    <t>…otro* parientes ó chot años. Madrid so de Julio de i8zz.m El comandante accidental. personas antrt de la época expresada ; cuya resolución dcberl tener lu Felipe López Valdemoro.=Sr. D. Ignacio López Pinto.” gar , no obstante cualesquiera renuncias t&gt; cesiones que hubiesen hecho Confutación. » La emulación no solo es honrosa cuando nace de un los interesados tn favor de sus propias comunidades ó de sus familias principio de honor, sino que puede ser una virtud…</t>
  </si>
  <si>
    <t>…eclesiásticos extrañados del reino, cuyo AI encargaste del puerto que le lie conferido el Gobierno el nuevo máximum no podrá exceder de &gt;«9 rs. vn. (die político de este provincia D. Ignacio López Pinto ha dirigido ú El Gobierno procurará que se trasladen de unas diócesis á otras loa nu habitante* una proclama llena de sentimientos nobles j elevados* párrocos y demas eclesiástico* que con arreglo al art. 10 d.l decreto de y entre otra* cosas dice: las Cortes…</t>
  </si>
  <si>
    <t>Pinto, Irsacio Lcpíz</t>
  </si>
  <si>
    <t>Irsacio Lcpíz Pinto</t>
  </si>
  <si>
    <t>IIOO colocado de antemano «nidia compañía de cazadores i las órdenes de nio Seoane, el espitsn de artillería D. Irsacio Lcpíz Pinto y el dr Morept: en la calle dd Arenal, y U segunda de granatíero* en i» de igual clase de ia milicia activa D. Pío Ballesteros , drseai;-ñarun á mi Bordadores bajo ias del vaíietua clones aeoane, que en esta ocasión ha satisfacción las funciones de ayudantes…</t>
  </si>
  <si>
    <t>Pintoja, Josef de Vera y</t>
  </si>
  <si>
    <t>Josef de Vera y Pintoja</t>
  </si>
  <si>
    <t>…ho de la Guerra.” con el mayor ahinco y tesón se nos esté haciendo la guerra , protegiendo á los facciosos,auxiliándolos con armas, caballos,vestuarios, dinero, es Per renuncia de D. Josef de Vera y Pintoja está -vacante la plaza timulándolos con promesas y ofertas halagüeñas, y no perdiendo nin de juez letrado del partido de Plasencia. Se admiten memoriales por guna ocasión de ofendernos. Todo esto podemos esperar de ese partido término de go di», acompañados d…</t>
  </si>
  <si>
    <t>Pínula, Matías</t>
  </si>
  <si>
    <t>Matías Pínula</t>
  </si>
  <si>
    <t>…ataba. Por estas razones fue de opinión qué no debía Josef Radon, D. Francisco López Olavarrieta, D. Antonio María Es •probarse el dictamen de la comisión en su totalidad. - pejo, D. Matías Pínula, D. Tomas Marta Zanon-, y habida la confe El Sr. Canga: Yo considero al estado eclesiástico como una dase rencia declararon por unanimidad haber lugar á la formación de causa. de ciádadanos públicos, y no hay cosa mas monstruon que caté al ar bitrio de esta c…</t>
  </si>
  <si>
    <t>Pió</t>
  </si>
  <si>
    <t>…gar i la formación de causa. auto lo proveyeron y rubricaron los Sres. Paz, Mazía, Arguelles, Fagoaga y Siles. Escribano de Cámara, D. Feliciano Sancha. En la causa seguida contra D. Pió deFalces, coronel del regimiento Habiéndose formado en el gabinete de historia natural por el pro de infantería de la Corona, sobre la identidad de una carta firmada á su fesor de Zoología D. Tomas Viüanova una colección de osteología nombre , complicándole e…</t>
  </si>
  <si>
    <t>Piquer, Josef Antonio</t>
  </si>
  <si>
    <t>Josef Antonio Piquer</t>
  </si>
  <si>
    <t>…sestimarse las solicitudes que para sitador de la cata de socorro , é individuo de la comisión de isudíst.ca. este obji’to pueden hacer militares que después de reunir las circuns Sr. D. Josef Antonio Piquer, médico en esta corte, visitador de la tancias prescritas hayan defendido la patria , padeciendo por ella infi hospitalidad domiciliaria. nitos trabajos. Asi que , apruebo en todo el dictamen de la comisión. Sr. Dr. D. Bonifacio Gutiérrez, profesor de cirugía…</t>
  </si>
  <si>
    <t>Piquero, Gregorio</t>
  </si>
  <si>
    <t>Gregorio Piquero</t>
  </si>
  <si>
    <t>…del colegio de Srgovia. El Sr. presídeme dijo que quedaba sobre la suegra, dando grac-n» 4 las Cort.s por su resolución acerca del actual mesa este expediente. ministerio: otra de D. Gregorio Piquero, remitida por la Diputación Se contmuó ia discusión del código penal. p.imánente, manifestando la necesidad que hay de que se separe el actual Se leyó el art. 236. (Vraie la gotera de ayer.') ministerio. Después de una ligera disensión entre los Srcs. Legrare…</t>
  </si>
  <si>
    <t>Pirer, Juan</t>
  </si>
  <si>
    <t>Juan Pirer</t>
  </si>
  <si>
    <t>…paña se le olvidó de repente al res H-rnandez fí rmanos 200. D. Joscf Monroy 160. D. Ignacio escritor d: ita. Et na , cuando quiso hab ar de la resistencia tenaz que Martin z 160. D. Juan Pirer 160. D. Ramón Ca vo 16 &gt;. D. Zacarías hici r n los españoles á su dominación , que sentían á par d: muerte. Mvnge 160. D. E. E. 160. D. T. P. río. D. I. Y iííj. D. Paulino No se puede atribuir el modo injurioso con que nos trata sino i un Mart n z 100. D. Jos…</t>
  </si>
  <si>
    <t>Pirra, Honorato</t>
  </si>
  <si>
    <t>Honorato Pirra</t>
  </si>
  <si>
    <t>…mos del comercio, D. Vicente Chulvi y D. Vicente Llopis, canónigo ma al verdadero resultado. El valor de esta riqueza asciende por el censo gistral, declararon D. Raimundo Poveda, D. Honorato Pirra, D. Jo del año 99 á 5143 millones; y deduciendo la mitad, que debe rebajar sef Codina y D. Vicente Llopis haber lugar á la formación de causa se por 10 menos que valen en este año los productos respecto del 99, contra el autor del impreso firmado por los elec…</t>
  </si>
  <si>
    <t>Pita, Ajustm de</t>
  </si>
  <si>
    <t>Ajustm de Pita</t>
  </si>
  <si>
    <t>…b e en mano , y que s: cargas: contra los ficciosos hasta su completa mírela r| comandan!; de las compañías de esta ciudad , logrando des derrota , encargo qu: dió ai coman iant: D. Ajustm de Pita. Verificó alojar i los facciosos, ya que no destruirlos por haberte puesto inme te cual se deseaba, y s &gt;. &lt; oc^u de filos, inc uso el cura que hacia de diatamente en prtcpitadi luja. cabecilla , lograron , por tener excelentes caballos , evitar la espada de…</t>
  </si>
  <si>
    <t>Pitt</t>
  </si>
  <si>
    <t>…ta es una arma que ma *&gt; En Inglaterra (oontinuó el orador) de que tanto se nos ha habla nejada por personas dominadas y arrastradas por ei ímpetu de estas pa do , en la época del ministro Pitt por ti influjo que tenia , se trató de siones puede producir todo género de desórdenes, denigrando la repu suspender el ¡tabeas corpas por espacio de algunos años (no por go tación de los mas ilustres y dignos ciudadanos. Y con efecto entre dias como se nos h…</t>
  </si>
  <si>
    <t>Piúol, Joaquín</t>
  </si>
  <si>
    <t>Joaquín Piúol</t>
  </si>
  <si>
    <t>…átiva administrador D. Juan Bautista Olive, oficial de la secreta de su mafiana en su audiencia, calle del Príncipe. Lo que se hace saber ría de la junta de aranceles. Interventor D. Joaquín Piúol, contador al público para noticia de los interesados; prevenidos que al que no cesante de propios de Valencia. concurra le parará el perjuicio que haya lugar. Logroño administrador D. Juan Manuel de S. Román , habilitado Hallándose pendientes en el juzgado de…</t>
  </si>
  <si>
    <t>Piv, Camilo</t>
  </si>
  <si>
    <t>Camilo Piv</t>
  </si>
  <si>
    <t>…ente* mas que tur las isla Filipinas á D- Fíi.x Martínez L-z.ano , tese tero de i - m -ma cos , y estarán subordinados al seraskíer de Silistria. iglesia; y para dicha tesorería á D. Camilo Piv;da-, canónico mis anti guo de e.-a: para una ración eo la expresada Mí. ic es a a D. De m turo Continúan lar exposiciones á la Diputación permanente de Cortee. Hurtado de Sanacho , medio racionero en la m.sma; y pata esta rauita á D. Esteban de Legaspi. Excmo…</t>
  </si>
  <si>
    <t>Pizano</t>
  </si>
  <si>
    <t>…ne hubo futra* nn caoge de condecoraciones. Al minis tible con sus atenciones, y arreglados á los apuros en que se encuentra tro rie ProH* se le dió la cruz de la Concepción, y el Sr. Pizano reoiel erario nacional. . .. bió Ja de la orden atas principal de Prusia; y á la verdad qua «Moa re El Sr. secretario de Estado: He hecho antea varias observaciones galos son bastante propios en semejantes ocasiones. pira manifestar en qué consistía la difere…</t>
  </si>
  <si>
    <t>Pizarro, Pedro Jacobo</t>
  </si>
  <si>
    <t>Pedro Jacobo Pizarro</t>
  </si>
  <si>
    <t>…Arapósito para el objeto. on. D. Josef Ayuso y Navarro á la de Granada. D. Josef lañe y 4.0 » Que se fije un plazo itnprorogable da seis meses, dentro del f.opez á la de C.cere». D. Pedro Jacobo Pizarro, fiscal, a la de As cual los pueblos hayan da presentarse á liquidar los alcances que tuvie túrias. ren por atrasos de rentas y contribuciones desde el año de 1814 has» De la audiencia de Valladolid. D. Tomas Arizmendi á la audien in de 1819 i previniéndoles…</t>
  </si>
  <si>
    <t>Plá</t>
  </si>
  <si>
    <t>…hr.bia querido admitir estipendio alguno. Aprobado. que la hubiesen proclamado en algunas provincias después de haberla ¿i El Sr. Valdés ( D. Cayetano) presentó una exposición de D. Plá jurado el Rey pudiese igualarse con el que habían cor (raido los bene cido Martin Sacnz , artífice platero y diamantista , miliciano nacional méritos de li isla de León y do la columna volante dei general Riego, voluntar.o de esta heroica villa, manifestando…</t>
  </si>
  <si>
    <t>Pla-, Francisco</t>
  </si>
  <si>
    <t>Francisco Pla-</t>
  </si>
  <si>
    <t>…tucional de la ciudad oa Valencia, pidiendo la responsa tras no se pruebe que el alcalde no obraba gubernativamente, y que p*I bilidad contra el safe político de aquella provincia D. Francisco Pla- día obrar judicialmente, creo que no se puede decidir sobre este asunté seacia. La comisión expone los motivos en que P. Antonio Giral fun Ademas la comisión se contenta con los documento* remitidos por «| da su queja» reducidos á que hallándose este instruye…</t>
  </si>
  <si>
    <t>Plambey, Sierra</t>
  </si>
  <si>
    <t>Sierra Plambey</t>
  </si>
  <si>
    <t>…egos sin que falle i jo bajo mil maneras diferentes, llegándose a d.c¡r que ei establee aven los eclesiásticos. tó del gobí.rno político, según la nueva éinon, causara un aumen El Sr. Sierra Plambey : El Sr. García Paye acaba de decir que psra to de gastos de ocho millón»* de reales. fijar la dotación al clero se necesita saber do* cosas , que son: primera Las Cortes han visto va que lejos de esto se ha procurado un ahor el número de eclesiásticos que ha…</t>
  </si>
  <si>
    <t>Plan</t>
  </si>
  <si>
    <t>…desempeño dei primero á D. Ramón Lope* Pelegrint ción de su pens-on i favor de ur.a tercera persona que le ase -uro un para el segundo á D. Vécente Cano Manuel: pata él teicero á D. Plan tanto diario. Si las Corte» ahora determinan qu- cesen estas cap raLzacheo de Paula Escudero, y para el cuarto é 1&gt;. Jotcf lnu:: por el se Ciones entabladas con ar-terioriiiad a! decreto que ¡a. .mpend. , t-, su- gundo manifestaba que S. M-, i pesar de estar…</t>
  </si>
  <si>
    <t>Plandolit, Benito</t>
  </si>
  <si>
    <t>Benito Plandolit</t>
  </si>
  <si>
    <t>…ase ele ción de cauta por cinco votos , habu ndo opinado que st cuatro , qu* interinos á D. Juan Tomas de Silva para la de moral y de derecho son D. Pascual Claris, D. Juan L!adó, D. Benito Plandolit y D. Ma natural, á Tomas Martínez Hortal para la de lógica y pramátea gene cario Riu. Barcelona 17 de Agosto de iSia.sJosef Angias.-li.— Maca ral , d-b endo encargarse ademas de la bibliot-ca/. á D Juan Ortiz rio Riu.eeRafa l María Comrs.=Juan Evar sto d: Crst l'ar e…</t>
  </si>
  <si>
    <t>Plandolit, Benito de</t>
  </si>
  <si>
    <t>Benito de Plandolit</t>
  </si>
  <si>
    <t>…ales, justicias, gefes, go Magín Coraminas, D. Joaquín Vifials, D. Isidro Gallarda, D. Fran bernadores y demás autoridades, asi civiles como militares y eclesiás cisco Subiracht y D. Benito de Plandolit. Barcelona 13 de Mayo de ticas , dé -cualquiera clase y dignidad, que guarden y hagan guardar, i8ia.=Magin Corominas.sMíguel de Plandolit. =:Ranión Maresch y cumplir y ejecutar al presente decreto en todas sus partes. Tendreitlo Kos.=fienito de Plandolit.sls.…</t>
  </si>
  <si>
    <t>Plasencia</t>
  </si>
  <si>
    <t>…&lt;ceque esta palabra por el brigadier Palarea ( advierto qus at hablar de este gefe hago debe tenerse por valida respecto de las persenas que no hayan sido au referencia también al brigadier Plasencia): yo no hallo ningunas abso tores ó promovedores de aquella rebelión mi argumento principal es lutamente: cuando los riesgos han desaparecido s: miran las cosas bajo tará reducido á decir que es preciso que la paiabra concedida sea exten diferente aspecto ; p…</t>
  </si>
  <si>
    <t>…los cuando ios facciosos reunidos en la casa de Campo componían mí tan disputable si las Caites tienen ó no la facultad de conceder 300 hombres arma os, y no ignora tampoco que el brigadier Plasencia amnistías, no me parece que !o sea el que no pueden d -.ecar esta facul mandaba una fuerza muy inf ñor á &gt;a que cxlst a de facciosos rn el Es tad tan extraordinaria que se da al Gobierno por el art. 1. del dicta corial; pero ninguna razón encuentra p,.ra que…</t>
  </si>
  <si>
    <t>Plasencia, Francisco</t>
  </si>
  <si>
    <t>Francisco Plasencia</t>
  </si>
  <si>
    <t>…la jubilación. c ror.el D. Antonio Loriga, que actualmente lo es mter.no de ía ds A la de llicienda una instancia de Doña María Machurra, pidiendo Galicia: para la de Valencia al brigadier D. Francisco Plasencia, que una pensión- lo e, interino de la misma: para la de Cádiz al coronel D. Joaquín Es A l.i de Comercio un informe del Gobierno sobre habilitación de cario , que lo es de ia misma: para la de Sevilla al teniente coronel puertas de comercio á algunos de Ultr…</t>
  </si>
  <si>
    <t>Plasencis, Francisco</t>
  </si>
  <si>
    <t>Francisco Plasencis</t>
  </si>
  <si>
    <t>…* al mando del Dux Dán Mogaera, que se bailaba competentemente adornado con el retrato del dolo, por los griegos *1 mando de Miguel Paleólogo, y por le* turcos,Rey. Ld prttidió el Sr. D. Francisco Plasencis, gefe político superior acaudillados por Mahomet 11. Generalmente hablando se tienen idea* doetta/deorideia, y director electo de este cuerpo. Se dió principio por poco exactas de las consecuencias de esto* diferente» sitios. El Empera mftdiifeftttdtque dijo…</t>
  </si>
  <si>
    <t>Plasme</t>
  </si>
  <si>
    <t>…personas que en mi concepto presentaron el són á proponer que Sí Usvc á debico efecto la prorn.sa hecha por el m:d o de salir de esta esp.xic de lucha; pero ya que voy á hacer pre brigadier Plasme a. sentes mis ideas, lo liaré con la franqueza que acostumbro. La comisión tamas acced -ri á un indulto un t* neral como el que K primero que ha tomado la palabra , el Sr. O.ivcr, ha hab’ado de supone el or. Otiver; y por eso ha propue-to e. art. i.c Pi r lo…</t>
  </si>
  <si>
    <t>Plaza, Andrés García</t>
  </si>
  <si>
    <t>Andrés García Plaza</t>
  </si>
  <si>
    <t>…dispondréis te imprima, publique y el Sr. alcalde constitucional de primer voto de él y escribanía á cargo circule, s Está rubricado de la Real nuno.s Eu Palacio á i) de Agosto de D. Andrés García Plaza, donde se mamf.stará dicho plan y condicio de i8ai. = A D-Mariano Egea. nes ¡ previniéndose que se halle señalado su segundo y último remate, tASADuaiA ou uiviSTSsio os ia ooaxau.vcroM oí ia poninsula. que se ha de celebrar en Im caras capitulares de este dic…</t>
  </si>
  <si>
    <t>Plfiol, Josef</t>
  </si>
  <si>
    <t>Josef Plfiol</t>
  </si>
  <si>
    <t>…Torre-Pacheco, provincia de Murcia, para que se le establecimiento. Aprobado. apruebe un reparto vecinal á fin de cubrir los gastos ocas.onados coá La m sma sobre ia solicitud de D. Josef Plfiol, capitán y ten'cate motivo de haber colocado la lápida de la Const.tucion, op naba que coronel graduido, del estado mayor de Valencia, reclamaoda ía salísdebía accnderse é ella. Aprobado. tacc on del aumento concedida * ia* oficiales deí eccr~.ro de üiuaaur,…</t>
  </si>
  <si>
    <t>Plmentel, Joscf García</t>
  </si>
  <si>
    <t>Joscf García Plmentel</t>
  </si>
  <si>
    <t>…mente ha ve resumen es como sigue : nido de Ceuta para ser empleado en el importante servicio ya demos » El diz s.° de Mayo á las 6 de la tarde debió hacerse la apertura trado. El teniente D. Joscf García Plmentel y el subteniente D. An de las sesione* del cuerpo representativo, según la convocación hecha gel García, del predicho regimiento de la Corona, desempeñarán res anticipadamente. Entre las varias corporaciones que debieron asistir pectivamente las funciones de…</t>
  </si>
  <si>
    <t>Pmilla, Francisco Javier</t>
  </si>
  <si>
    <t>Francisco Javier Pmilla</t>
  </si>
  <si>
    <t>…nza y «leí sable, que son egerciiie.sEstá rubricado, da la Real nunosEa Palacio á tg de Febrero kicien familiares i todo verdadero polaco desde su mas tierna infancia, da s8aa.s3A D. Francisco Javier Pmilla. algunos rasgos de generosidad, un gtan; conocimiento de las castss de caballos «leí Nedjed, y te sus caracteres distintivos, conocimiento que . En atebcioo á toe buenos y dilatados servicios en anas de alto* demostré en varios exámenes que te me hicieron por…</t>
  </si>
  <si>
    <t>Pmillos, Martín Martínez da</t>
  </si>
  <si>
    <t>Martín Martínez da Pmillos</t>
  </si>
  <si>
    <t>…quizá que aquellas gen grano Sano* 1J3 rs. 7 7 mrs—La de D. Juan de Soto y Aguila» 1Ó3 tes pertenecían 4 alguna tribu poco temible de u Siberia; pero 4 la lle ri»y 11 mri.__La de D. Martín Martínez da Pmillos 48 rs. 74 magada,del capitán Krasenstern con dos buques de guerra de bastante t¿7e&lt;iijra—La de D. Andrea Doval _,8&lt;» rt&lt;- 7 4 mrs__ La representa magnitud, sabían sin duda loa japoneses., ya porque lo habían leído ción de los heredero* de D. Valentín banchez…</t>
  </si>
  <si>
    <t>Pnrtacairero, Josef</t>
  </si>
  <si>
    <t>Josef Pnrtacairero</t>
  </si>
  <si>
    <t>…ad , y para ello no El 29 de Enero próximo pacido fueron sorprendidos entre los pue hay jua» que recordar lo que ha sucedido efi C.tas últimas y desagrada bles dsí Burgo 7 R-óego- D. Josef Pnrtacairero y D. Santiago Rodrí bles ocurrencias; en las cuales, á pretexto y bajo el nombre del pueblo guez , que caminaban desde la villa de Sahagun á la ciudad de León; y se han hecho representaciones en que aquel no tenia parte. entre varias cantidades y créditos que les robaron los sal…</t>
  </si>
  <si>
    <t>Pnt</t>
  </si>
  <si>
    <t>…rovincia, que en la causa principal da vía ei sable con el vigor de la juventud. ios males que está padeciendo. Ali-Bey había declarado que sirviendo frecuentemente los pabello El Sr. Pnt dijo qat h secretaria había examinado erta representa nes francos para ocultar las remesas de víveres y municiones de guerra ción , y creta que debía pasar al Gobierno con urgencia. Asi se acordó. que se envían á los insurgentes, no respetaría ya en adelante…</t>
  </si>
  <si>
    <t>Po, Agustín Desde</t>
  </si>
  <si>
    <t>Agustín Desde Po</t>
  </si>
  <si>
    <t>…oré Itúrbido, D. Manuel Labastida, D. Manuel Quíntanar, se resistía a salir porque no le pagaban,quedó reducida á 300 hombres. D. Juan Guerra Manzanares, D. Juan Amable y Guerra , D. Agustín Desde Po payan i Cartagena no se Encuentra un soldado, y el pueb'o Castillejo, D. Josef María Va'dobino*, D. Francisco Perez Pafacios. se resiste á marchar: las milicias guardan i Rio Acha y a fita. Marta, Supernumerarios D. Josef María Gamboa y fiando bal, D. Josef M…</t>
  </si>
  <si>
    <t>Po, Manuel</t>
  </si>
  <si>
    <t>Manuel Po</t>
  </si>
  <si>
    <t>…ou.&gt; taclias para La comtaion de H .cienda , en vista de ia solicitud de D. Javier Joa ser nuevamente colocados. Las Corte» por su decr-to del año 13 - pro quín d- Bust..mar.te , D. Manuel Po»d;llo y otros comerciantes de puesta de la Regencia declararon que los cesantes fu.sen preferidos á Santander, opinaba que debía pasar al Gobierno para que informase. les interinos, á fin de Iíbeitar á la Nación del gravamen que aquel os Aprobado. la causaban…</t>
  </si>
  <si>
    <t>Po, Pedro</t>
  </si>
  <si>
    <t>Pedro Po</t>
  </si>
  <si>
    <t>…án el heroísmo de los valientes con el recuerdo mas dulce v blo Riera, D. Josef Cuervo A rango, D. Fmaciaco Macíac, D. Jotcf admirable. Morale*, D. Pedro Badiere, D. Pió Larténdo, D. Pedro Po illtru, «Coruña, su ayuntamiento constitucional id de Julio de 1821." D. S-rapio Andreu , D. Sebastian Bote!le* , D. Miguel Díaz de Lu ( Siguen las firmas. ) na , D. Juan Elias Montano , D. Francisco Andrade, D. Manuel Gar articulo de oficio. cía y D. Josef M…</t>
  </si>
  <si>
    <t>Podada</t>
  </si>
  <si>
    <t>…ones que tuviesen á bien ios seño Tomas, Cueva* , Vírela, Cano, Prado, Escudero, Huíate, Munarriz, res diputados. Vega, Janer , Suarez , Latre , Nufiez (D. Toribio), Romero, SanEi Sr. Podada : Después de lo que se ha hablado sobra esta materia genis, Jaimes , Lasa la , López Cuevas, Quifionrs , Gisbert, Salvé, Casd beria renunciar la palabra , y lo haría asi, si no se tuvies-r que hacer tejón , E'a'có, Diez, Ca derón, López del Baño, Alcántara, A…</t>
  </si>
  <si>
    <t>Podio, Pedro</t>
  </si>
  <si>
    <t>Pedro Podio</t>
  </si>
  <si>
    <t>…ron presas porque se presentaron falsos dela Carbonell, americana , viuda, D. Luis Chaves , guardaropa del Rey, tores , que podían muy bien estar cohechados por el oro de Urgel, ó D. Pedro Podio, oficial segundo de la tesorería de i&gt;. M, el P. Fr. Pe animados de alguna enemistad.” Sigue citando los nombres de algunos dro Tellez, agonizante en et convento de Alca'á, D. Josef Alejo MLde estos sugetos, confundidos entre tos tenidos generalmente por des…</t>
  </si>
  <si>
    <t>Poit, Manuel Antonio Prieto</t>
  </si>
  <si>
    <t>Manuel Antonio Prieto Poit</t>
  </si>
  <si>
    <t>…milicias provinciales únicamente debe abo A instancia de loe síndicos liquidadores de créditos del concurso nárseles la mitad del tiempo que sirvieron, conforme á ordenanza; y de D. Manuel Antonio Prieto Poit a carrero, y en virtud de providen por entero, el que acrediten con su licencia absoluta haberlo prestado cia de 8 del pasado me* de Noviembre del Sr. ju:z de primera ins en campaña ó guarnición de plaza, con mas el abono que lea correspon tancia de esta cort…</t>
  </si>
  <si>
    <t>Pol</t>
  </si>
  <si>
    <t>…estado mayor en Saint Giront, y dará un destacamento a en y á Erce. Igualmente subsistirá en este pueblo un batallen del 13 delo m.-nos asi te decís) que entiende en la causa del Sr. Pol d- Quimlínea, y podrá tener dos compañías en Saint Lizicr y cuas dos enbert. Un periodista dice que con fecha de 1 a escribían de Manresa que Caatillon.el coronel de Zamora había notificado al Sr. obispo de aquella ciudad la prisión é incomunicación, y que lo…</t>
  </si>
  <si>
    <t>Pol, Antonio de</t>
  </si>
  <si>
    <t>Antonio de Pol</t>
  </si>
  <si>
    <t>…de la milicia activa de Laredo, con 450 rs. Imperial Aieiandro, con 570 rs. To'osa á D Isidro de Urqu za , teniente del regimiento infantería Gerona al t *nirnte coronel graduado D. Antonio de Pol, teniente de la Reina, con 570 rs. del r e mi nto infantería de Fernando vil, con 570 rs. Tarragona A D. Juan Bautista Anguín, teniente del regimiento in Ganada á D. Agustín Josef Rada, teniente del regimiento infan fantería de Aragón, con 570 rs. tería de 'a…</t>
  </si>
  <si>
    <t>Polato, María</t>
  </si>
  <si>
    <t>María Polato</t>
  </si>
  <si>
    <t>…El Sr. presidente dijo : Que mediante haber una exposición del ayun oficina. tamiento de Valencia, dirigida á las Cortes con este mismo objeto , pa Otro relativo á la instancia de Doña María Polato, para que se le recía que debia principiarse á tratar de ¿I, dándose cuenta de dicha ex realice el pago de una pensión de tres rs. diarios que se le concedió por posición como asi se acotdó. los motivos que expresaba. La comisión opinaba que no debía acceders…</t>
  </si>
  <si>
    <t>Polero, Pedro</t>
  </si>
  <si>
    <t>Pedro Polero</t>
  </si>
  <si>
    <t>…s sacerdotes im pitán D. Juan Bautista Zara'.a, teniente D Antonio Corrióla, subte píos que blasfeman el nombre cr Dos, son ios que procuran envene niente D. Felipe Caballero, id. D. Pedro Polero, id. D. Josef Marín. nar nuestra sociedad , los qu - han ocasionado tartos desastres en ais-u Del de Toledo. Teniente D. Mariano Kanler. nos di nu stros distritos, los qu: seme.anr:sá .as heñís llevan su rabia Nota. Todos los dichos K proponían ouua, cu tUpsl…</t>
  </si>
  <si>
    <t>Política</t>
  </si>
  <si>
    <t>…gunos grave* magistrados 7 aun algunos tes ¡ y por último el ministro francés echó mano á la espada; pero el prelados podrían desde sus tepulcios recamar su parle. ¡Y hemos de aer Sr. Política , ministro ruso, se puso por medio , y apaciguó por enton nosotros que no hemos hecho que la religión se doble como una frágil ces esta desagradable ocurrencia.*’ caña al ínteres de un partido, 7 que hemos respetado todo cuanto ea Los americanos han clamado c…</t>
  </si>
  <si>
    <t>Pombo, Ignacio</t>
  </si>
  <si>
    <t>Ignacio Pombo</t>
  </si>
  <si>
    <t>…sido atacados en ese pue D. Josef Rich, g bernador de Ja ciudadela—D. Asimilo Puig, blo resu tare aJgun muerto ó herido, hebra de satisfacer ese vecindario teniente ds Rey de id__ D. Ignacio Pombo, comisario da Gu na.__ á cada uno de estos ó á ias viudas de aquellos cuatro reales diarios D. Silvestre Manuel Blanco, contador de correos—.D. Juan Guará.o. por tiempo de un año y nrrscs eni.cpados. Del mismo modo pagará la, fiscal de la auditoría de guerra—…</t>
  </si>
  <si>
    <t>Pombo, Lorenzo</t>
  </si>
  <si>
    <t>Lorenzo Pombo</t>
  </si>
  <si>
    <t>…en la dirección transversal el nidos , propuestos por tu maestro como los mas sobresalientes, que fue planisferio estaba comprendido entre dos anchas fajas de líneas á la gre ron D. Lorenzo Pombo , D. Juan López, D. Josef Rodríguez y Don ca, emblema muy común en los monumentos egipcios. (Jz oju.'-uu.o j.) Félix Martin, i quienes se las adjudicó el premio da 110 rs. vn. VARIEDADES. ANUNCIOS. " Fn el Memorial Unhertal, periódico de París, y su número co…</t>
  </si>
  <si>
    <t>Ponina, Josef Antonio</t>
  </si>
  <si>
    <t>Josef Antonio Ponina</t>
  </si>
  <si>
    <t>…e s: D. Valentín Hortigosa, D. Francisco de la débitos de ico-&gt; 91,376.. 6 12,376.. 6 Carrera, D. Joaquín Huerta Ceval .os, D. Cayetano Romero, D. An píos de siles..,J drés Alcon, D. Josef Antonio Ponina , D. Francisco Mattinez Mari Salitre, azufre) 7.8S4 658.. 9 7.'PS &gt;5 na , D. Antonio María Esp jo y D. Miguel Rípa. Habida ia conferen y pólvora...... j cia, resultó por unanimidad haber lugar á la formación de cauta. Total 9.110,595.. 6 &lt;*99.374 9 «.S**»!*0"…</t>
  </si>
  <si>
    <t>PonsicS, Jos-f Miril</t>
  </si>
  <si>
    <t>Jos-f Miril PonsicS</t>
  </si>
  <si>
    <t>…uro en dicho convento.—D. Josef María iantoolJs , teñirme genera1 —O ,n la taius de ayer á ios que fueron atacados por los bandidos; sale una Francesco Col leí, rector de Sarria—_D. Jos-f Miril PonsicS, hacenda fu.izi con ei objeto de averiguar de qué Cesa era, y conseguido d-»do.__D. Buenaventura Banceils, parce-o de la torre ds Pons ch y su •: jo truir.a completamente, jystui.ando ¡a persona que cometió ci atentado Francisco—1&gt;. Antonio Abadal, auditor de…</t>
  </si>
  <si>
    <t>Pont, Félix</t>
  </si>
  <si>
    <t>Félix Pont</t>
  </si>
  <si>
    <t>…culta Ale tonio del Sobria! ó su representación 19,561 rt. y 5 mrs. D. Juan de mania las ideas de admiración que hasta ahora tenían formadas de Es la« Llanas id. 6713 r». y 4 mrs. D. Félix Pont id. Ü723 rs. y 4 mara pilla, é imbuirla de otras enteramente contrarias, haciéndonos odioso* vedises. D. Joaquín Olivares id. 67*3 rt. y 4 mrs. D. Domingo Anto i los honrados alemanes. A este efecto te valen de dos conductos, que nio Barreiro id. 4481 rs. y 3…</t>
  </si>
  <si>
    <t>Ponte, Antonio</t>
  </si>
  <si>
    <t>Antonio Ponte</t>
  </si>
  <si>
    <t>…y del batallón de la miicia act.va de Murcia, con 450 rs. fant ría Infante D. Antonio, con 570 rs. J rcz al cap-tan D. Manuel Costa, icn ente d:l regimiento infantaLupo ai espitan D. Antonio Ponte, teniente de infantería y del ría de Galicia , con 570 rs. batallón milicia active de Betanzoa, con 450 n. el mee. Zaragoza al capitán graduado D. Juan del Pi'al de la Vega, tan-en Lorca i D. Jomí Lmi de Rocha, teniente supernumerario del re te del regimiento…</t>
  </si>
  <si>
    <t>Ponte, Juan Bautista</t>
  </si>
  <si>
    <t>Juan Bautista Ponte</t>
  </si>
  <si>
    <t>…ce ¡osos. ronel del regimiento de Málaga Piquero aera el segundo cu mandan Las mismas lo oyeron con agrado. te general de este 5.a distrito , y se le espera en breve de Tarragona, D. Juan Bautista Ponte y otros abogado* de Ultramar, raí dente* en donde se hallaba, y donde recibió este nuevo nombramiento. la Península, pidieron que se declarase que no estaban comprendido* en __El ■$ del corriente fondeó en este puerto el hermoso bergantín el torteo pata el re…</t>
  </si>
  <si>
    <t>Ponte, Margarita de</t>
  </si>
  <si>
    <t>Margarita de Ponte</t>
  </si>
  <si>
    <t>…indilereute que el orden se baya de D- Pascual Ccivera, capitán de inválidos. turbado ayer, ó que se esté tutbando en la actualidad : el objeto siem A la misma igual solicitud de Doña Margarita de Ponte, viuda de pre es el mismo: asi que, conviene que la Naci- n sepa que el Congreso D. Francisco Casavaño, teniente de Rey de Puerto-Rico. no ha perdido un momento, y que todos sus individuos sabrán morir A la misma otra solicitud como la anterior de Doña María…</t>
  </si>
  <si>
    <t>Pontigo, Antonio</t>
  </si>
  <si>
    <t>Antonio Pontigo</t>
  </si>
  <si>
    <t>…visto la corte ja- tabal de Zayia 1463 ra. 7 7 mrs—La de D. Antonio Carbailido 7 poaesa si bebiese abierto la carta de enriar por su tumo en embajador gutis a460 rs. 7 3 mrs—La de D. Antonio Pontigo 654 rs. 7 13 que llevase U respuesta. lo cual era imposible hacer, puesto que las l» «Uravcdises._La &lt;kl cabildo eclesiástico de Guadalajara 686 rs. 7 1 a fttdd imperio psOfasben i todo japonés salir de sus límites so pena do ü^arareslúes—La «la los herederos…</t>
  </si>
  <si>
    <t>Ponzoa, Josef Antonio</t>
  </si>
  <si>
    <t>Josef Antonio Ponzoa</t>
  </si>
  <si>
    <t>…jeto de poner la provincia de Co debían ver dicho escrito, y salieron los Sres. siguientes: ro en comunicación con Puerto-Caballo, cuya pisa ae halle coa mucha D. Casimiro Martin, D. Josef Antonio Ponzoa, D. Josef Bardo, escássz de víveres.** Marques de Torrenueva, D. Aniceto Lizana, D. Andrea Alcon, Dos —•&gt; El marques de Casa-León , gafe político de la provincia de Vene Santiago Delgado, D. Pedro Alvaro Delgado, D. Josef Rives Qüszuela , desde Puerto-Cabello…</t>
  </si>
  <si>
    <t>…ausa no debe perjudicar fila món Llotd, D. Josef Larrcatcgui, D. Marcos M ñero, D. I-Vi ip; Ló bueña fama y opinión del coronel D. Pió de Falces, fi quien se le re pez Vald-moros, D. Josef Antonio Ponzoa, D. Isidro Merino, Don serva su derecho para que use de ¿1 contra quien viere convenirle, can- Marcos Izquierdo y D. Tomas Marta Zanon. Habida la conferencia de . celándose la escritura de fianza que tiene dada. Asi por este su Real clararon por unanimidad no…</t>
  </si>
  <si>
    <t>Ponzoa, Jostf Antonio</t>
  </si>
  <si>
    <t>Jostf Antonio Ponzoa</t>
  </si>
  <si>
    <t>…privilegio da res D. Ignacio Pajares, D. Mamerto Landmburu, D. Joaquín Huerta Ce- un juro en alcabalaf de Midrid de 16,130 mrs. en cabras de Melchor val ios, i). Marcos Izquierdo, D. Jostf Antonio Ponzoa, D. Martin Za- Cakeron.—Otro en alcabala! d: Olmedo de 31,616 mrs. en cabaas del randia , D. Rafael Costa , D. Andrés Navarro y D. Sebastian Andrés. mismo. La persona en cuyo poder te hállen se servirá entregarlos en la Reunidos dichos Sres., y observadas tod…</t>
  </si>
  <si>
    <t>Porcel, Antonio</t>
  </si>
  <si>
    <t>Antonio Porcel</t>
  </si>
  <si>
    <t>…condición «la be venido en nombrar como tales académico» para la clase de cien entregarse en las fábricas ó puntos que se se Balen, en las que sa publi cias morales y políticas i D. Antonio Porcel, consejero de Estado, ¿ carán , siendo de buena calidad, sin que se disimule mas que la primera individuo de la academia Espa&amp;ola; á D. Ramón Cabrera, consejero de cuerda seca en los rollos, y las dos primeras en los rolletes; todos en Estado, é individuo de…</t>
  </si>
  <si>
    <t>Porlier</t>
  </si>
  <si>
    <t>…o ai- da de D. Josef Cabrera,comandante que fue del batallan de León, uno gnnas reflexiones sobre el art. 5.° del dictamen, y en apoyo de lo que de los complicados en la causa del general Porlier; y una concita del &lt;• ¿I se proponía. secretario del mismo Despacho, relativa á lo ocurrido en urucrni en El Sr. Rico dijo que supuesto que el Sr. secretario de laGuerra ha tre el batallón de Marina y te milicia nacional local de aquella ciu bía manifestado q…</t>
  </si>
  <si>
    <t>Porras</t>
  </si>
  <si>
    <t>…e que esto no se corte con algunos luertts esta evitó el golpe, marchando por Salinas i Vizcaya. Acosada allí escarmientos y demas disposiciones consiguientes f por ta columna del brigadier Porras, volvió á meterse en Motrico, y CaiatajyuJ 14 de Setiembre. •I coronel Jáuregui i perseguirla, tomando disposiciones para cubrir el A los habitantes de esta provincia. „Ciudadanos: Nombrado por punto de Vil tahona , por donde podían les facciosos atravesar el…</t>
  </si>
  <si>
    <t>…promu'gar en 9 de Julio de 182a. ron hácia Orio pocos momentos después de haber pasado la columna Se hallará i t a rs. en rústica y 16 en pasta en el despacho de la im con que el brigadier Porras con su plana mayor y el .coronel Jáuregui prenta Nacional. volvieron 4 sai ir de esta ciudad el 14. Continúa el catalogo dt esta imprenta Nación.ti—Diógenes Laercio „F,I mismo día salió el Sr. gefe político para dar un paseo de cor los to libro,: dos tomos 40…</t>
  </si>
  <si>
    <t>Porras, D- Joaquín Ruiz de</t>
  </si>
  <si>
    <t>D- Joaquín Ruiz de Porras</t>
  </si>
  <si>
    <t>…uarte de nuestros-fueros y leyes juradas, qúe tantos y tltf de loa intereses de su corporación i...— glorioso* .'hecho* nos recuerda, hallareis/ ó barcefonese*', á vuettiv di __El comandante D- Joaquín Ruiz de Porras ha publicado desde Cer- putación provincial desvelada siempre y ocupada en hacer-vuestro bien, vera cois flecha de a i da Mayo el bando militar siguiente = siempre pronta fi bit vuestra* quejas-, fi poner remedio fi vuestras nece » Ya habrá conocido este pueb…</t>
  </si>
  <si>
    <t>Porras, Joaquín Ruiz de</t>
  </si>
  <si>
    <t>Joaquín Ruiz de Porras</t>
  </si>
  <si>
    <t>…él, que se compone vo lugar por unanimidad respecto del núm. i.9 del periódico titulada de la» provincias de Barcelona, Gerona, Lérida y Tarragona, al maris Mortero. cal de campo D. Joaquín Ruiz de Porras, gobernador de la plaza de Barcelona. Reunidos en las salas consistoriales de la ciudad de Valencia Ira Comandancias subalternas de provincia correspondientes al séptimo Sres. jueces de hecho D- Mariano González, capitán graduado de te distrito. Para la de Ge…</t>
  </si>
  <si>
    <t>Porras, O. Josef Ruiz de</t>
  </si>
  <si>
    <t>O. Josef Ruiz de Porras</t>
  </si>
  <si>
    <t>…4 :a nu;or pane perec-r al comandante Acedo, qne había venido desde Bilbao volun- de los pueblos con proporción 4 su vecindario; y 4 fin d: qu: cuarto Utiam nte con mi segundo el brigadier O. Josef Ruiz de Porras, im antes quede definitivamente concluido este asunto con la turmaníad pulsado de su patrotsrno; al subteniente de Valencey D. Pedro Pérez que apetece el Congreso, ha acordado que desde el jueves 7 del prrs.ri Obanot, nueve toldados da varios cuerpos y dos ca…</t>
  </si>
  <si>
    <t>Porras, Ruii de</t>
  </si>
  <si>
    <t>Ruii de Porras</t>
  </si>
  <si>
    <t>…go en una precipitada fuga tu columna, 7 ti dia siguiente de madruga»?* salió para Vizcaya reuni por cuatro direcciones; la una fuá la del camino hécia Mondragon da do con la «leí brigadier Ruii de Porras. Él 12 habra pasado y pn «cane mas de (9 hombres, la otra de uno* 100 hécia Araoz con dirección ció algunas horas en el convento de Arinzszu otra columna nacional, pera Arinzazu, la otra de unos go hécia Escoriara, 7 la otra con unos y é tu salida dejó incend…</t>
  </si>
  <si>
    <t>Porras, Ruiz de</t>
  </si>
  <si>
    <t>Ruiz de Porras</t>
  </si>
  <si>
    <t>…posible, ni lo ea infestan esta provincia. (Ya ha entrado en esta capital.') tampoco que sus poderes tengan semejante cláusula; y por tanto pida __Ayer llegó á esta ciudad el Sr. brigadier Ruiz de Porras con su pla que s- pasen estos 4 la comisión de Constitución para tenerlos á la vista na mayor, el coronel Jáuregui y parte de la valiente tropa de Valencuando se trate del asunto. Puesta esta idea 4 votación quedó aprobada. cey, que compone la columna de esta…</t>
  </si>
  <si>
    <t>Portier</t>
  </si>
  <si>
    <t>…lio jr ct Sr. presi denle. para que ae declarase que su marido gozaba el grado de coronel qu* Quedó aprobad» la última parte dd dictamen da la comisión .rela le habia conoedtdo el general Portier , á quien había irnmpafliilii en sn tiva á no haber mérito para exigir la responsabilidad al testigo O. Jo- desgraciada empresa, y que de consiguiente se le declarase la viudedad . sel Haría Cueto i y se levantó la sesión á la una y media. correspondiente a e…</t>
  </si>
  <si>
    <t>…eparto v cinal, ó bien se I* y Otros ofic aáes &lt;4:1 regim entó de Extremaiu a y c. mp i.ad &gt; en ¡a permita la venta de di-ho molino para sat sfacer algunos atrasos , opi causa del general Portier), queiandos: de qu: el G -t&gt; -.0 ao 10* h*y* naba que las Corte* podían conceder «1 referido ayuntamiento el cor- atendido, y pidiendo que la* cortes ¡os declaren beneméritos de ia ps-</t>
  </si>
  <si>
    <t>Portillo, Josef</t>
  </si>
  <si>
    <t>Josef Portillo</t>
  </si>
  <si>
    <t>…estado en que se halla es muy dificii que pue útiles, y aprobar les que no lo fuesen. Aprobado. da seguir sin ocasionar un grande dispendio. La misma, en vista de la solicitud de D. Josef Portillo para que se Fl Sr. Salva : Me propongo deshacer las equivocaciones cometidas le perdonasen 41 ao rs. que Pedro de frías qu.do debiendo por un ar por los Sres. preopinantes: se ha opuesto el Sr. Nuácz a que se diga riendo que los dos tuvieron manccrouDadamcnte…</t>
  </si>
  <si>
    <t>Porto, Francisco</t>
  </si>
  <si>
    <t>Francisco Porto</t>
  </si>
  <si>
    <t>…emplazo del egército en es IX Bartolomé Solano, D. Luis Bassecourt, D. Fernando Capuzco, Don ta capital: En estas circunstancias parece mas oportuno que el llamar á Pablo Orbinto, D. Francisco Porto, y otros. Asimismo se aprobaron los secretarios del Despacho nombrar una comisión especial, para que, otros dictámenes de la misma comisión, por los cuales se concedió !a oyendo al Gobierno, proponga los medios convenientes para contener revalidación de aboga…</t>
  </si>
  <si>
    <t>Portocarrero, Manuel Antonio Prieto</t>
  </si>
  <si>
    <t>Manuel Antonio Prieto Portocarrero</t>
  </si>
  <si>
    <t>…ción.. Lo* enemigos A instancia de lo* síndicos liquidadoras de créditos de preferencia •cuptron la altura de Montcagudo, é hicieron prisioneros é la guardia contra el concurso de D. Manuel Antonio Prieto Portocarrero , y en de le barca y de la circel de Villa , cuya suma tuerza ara de un sargen virtud «le providencia del Sr. D- Jisen Gómez y Díaz, ministro togado to , 3 cabos y 18 soldado*, con uno de lot cuales me remitió Ba honorario, juez de primera instancia en esta m…</t>
  </si>
  <si>
    <t>Portocarrero, Pedro</t>
  </si>
  <si>
    <t>Pedro Portocarrero</t>
  </si>
  <si>
    <t>…67,288 mrs., en c beza de Domin Caballería ligera................ 317» go y Miguel López de Victoria—a.° Cuarto medio por 100 del taba co, juro reducido 895,439 mrs., en cabeza de D. Pedro Portocarrero, pie................ Í .ArtilleríaTotali 200J 30,000. patriarca de las Indias—26. Millones de Toledo, en dos juros 3:6, ¿4!} de línea............. 1620 rlnfantería j Idem ligera......................... 650 maravedises : uno de 166,660 .otro de 149,788 , en c…</t>
  </si>
  <si>
    <t>Portodado, Fernando Luis</t>
  </si>
  <si>
    <t>Fernando Luis Portodado</t>
  </si>
  <si>
    <t>…mrs., de igual fecha que el anterior .- otro servicio ordinario y y ha dejado partidas en los pueblos que pudieran ofrecer algún cui- extraordinario de Guadalajara , en cabeza de D. Fernando Luis Portodado.=Doy i W E. las mas expresivas gracias por haberme socorri carrero , de 106,490 mrs., su fecha ao de Diciembre de 1650 ; otro do con la fuerza disponible de caballería del Rey y la Costa , que re alcabalas de Castrojeriz, en cabeza de Doña Ana Sarmiento de Vi…</t>
  </si>
  <si>
    <t>Posa</t>
  </si>
  <si>
    <t>…esta elección no ha habido reclamación n.reunir, lia ¡Ojalá que las cen zas aun tibias de nuestros guerreros inmolados creído conveniente informar i las Cortes que Jos poderes del Sr. Posa en España hagan abrir ros ojos á los ministros de los tteyes! ¡ Ojalá da deben ser aprobados. que estos s.pan hacer ver a sus señores que todavía está humeando en El Sr. Buey apoyó las razones del Sr. Castejon, añadiendo que en la Península &gt;a sangre de! mas…</t>
  </si>
  <si>
    <t>Posada</t>
  </si>
  <si>
    <t>…Argos nante, apjja o en !a reso-uc on de las anteriores jui las preparatorias y l orinto), se vieron precisados A entrar en acción antes de penetrar con respecto á la elección del Sr. Posada. Sentado ya el que la ante en ei d sfiiadero. Et combate fue obstinado 7 sangriento; mas de t¡oo rior resoluc on no sirve de egcmplo pata la decisión que ahora tú turcos perecieron en él, sin contar los que murieron después en el dcs- ne que acordar la junta…</t>
  </si>
  <si>
    <t>…vus documentos, se puede ó n &gt; volver á tratar nuevam.nte del mismo diente , en at.nc.cn á habeise acompañado an papal ó.-.'.cu. tpa.c.: n asunto. Se ha di*lio que la elección dei Sr. Posada es ahora con res •probados dichos poderes. pecto á Nueva-Cace res; pero también confiesa la comisión que esta El Sr. presidente dijo que mañana á !as 10 se ceYb-uP» !a t s -i provincia de Nueva-Cáceres no produce otra representación distirta de junta preparat…</t>
  </si>
  <si>
    <t>…s d: conspiración llevan Cin .ito rc-p rla También se mandó pasar á la comisión la siguiente proposición bilidad pt cuniaria; la comisicn cr-v.s oportuno que no fuesen .as cau del Sr. Posada: » toda persona, de cualquier clase, condición, estado sas, sino el derito: con esto corocera el Sr. preopinante que la ..vta ce ó sexo, que de hecho, de palabra, ó d&gt;- cualquier modo, directa ó in la com.sion no fue otra que a.rjarss dal examen prolijo que a…</t>
  </si>
  <si>
    <t>Posada, D Vicente</t>
  </si>
  <si>
    <t>D Vicente Posada</t>
  </si>
  <si>
    <t>…o en primer escrutinio el Sr. Villanueva por 63 votos la, Soria......... 1. »99.J?,7....... 800,000. de 114. Salamanca..........................i.... 3...... ....... ' 29.:;;ó. El Sr. D Vicente Posada dijo que había sido electo diputado por 963,-02-25. t.s66/- i j-te. la provincia de Filipinas pata los años 12 y 53, según constaba de las Valencia............................... 1..... e 1,740....... 80/00. actas de la Junta preparatoria, que se habían ya re…</t>
  </si>
  <si>
    <t>Posada, Gonzalo Vaidés</t>
  </si>
  <si>
    <t>Gonzalo Vaidés Posada</t>
  </si>
  <si>
    <t>…cia Lérida.............................. 468,182 **§ de León, á D. Josef Susrez Caen lias; y para al de Llanca, en la de Lugo................................. *7 S'°78 Asturias, i D. Gonzalo Vaidés Posada. Malaga................. ............ 46*.993 Mallorca........................... gl;,8u8 El Rey, i propuesta del consejo de Estado da 17 del corriente mee Menorca........................... 41,062 de Julio, se ha servido nombrar magistrados de la audiencia d…</t>
  </si>
  <si>
    <t>Posada, Gonzalo Valdet</t>
  </si>
  <si>
    <t>Gonzalo Valdet Posada</t>
  </si>
  <si>
    <t>…n el juradoi D. Juar de Valle; D. Jaime L on , í D. Jo.ef Suar z Cu-nilas , y para el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t>
  </si>
  <si>
    <t>Posada, Gonzalo Vsldés</t>
  </si>
  <si>
    <t>Gonzalo Vsldés Posada</t>
  </si>
  <si>
    <t>…to , que res D. Josef Antonio Zaldua, para e! de Avilé»; i D. C-uimíro Hernán pecto det Crédito público no hizo mas que acceder al voto de la comi dez , para el de Villaviciosa; á D. Gonzalo Vsldés Posada . pira ei da sión , que dijo debía hacerse momentáneamente. Llanet; i D Benito Suarez Campa , para el delnfiesio; i D. J -,;f Ló • U Ves» Cocán», El Sr. Martel reprodujo alguna» razones de las que habia manifes pez Pooce, para el de Campo de Ciso; i D. Lu.s d…</t>
  </si>
  <si>
    <t>Posada, Vicente</t>
  </si>
  <si>
    <t>Vicente Posada</t>
  </si>
  <si>
    <t>…tinción. Las personas son los poderes presentados por varios Sres. diputados electos. incapaces de ser diputados, ó por una impos.bilidad absoluta ó por uns Con respecto á los del Sr. D. Vicente Posada, diputado electo por imposibilidad relativa. En ei primer caso, aunque la elección no í.av» Nueva-C ceres en Filipinas, la comisión , hallándolo* conformes á lo sido protestada, no debe ser admitida en el Congrso, v aun. uc lo que previene la Constitución, op…</t>
  </si>
  <si>
    <t>Posadas</t>
  </si>
  <si>
    <t>…o de Cuenca y todos los demas de la Mo Después de haberse leido la redamación del ayuntamiento de Ma narquía sean unos v-rdaderos modelos de patriotismo , de virtudes cí nila , el Sr. Posadas expuso circunstanciadamente todo k&gt; que habia vicas, amant.-s de las libertades patrias: ¡y ojalá que mi suposición no 'acaecido en aquellas islas con respecto á ia-elección. sea quimérica! Pero aun en este caso ¡serán minina ó serán en breve El Sr. Buey apoy…</t>
  </si>
  <si>
    <t>…ue ha teni Ademas de estas razones manifestó que había otra de política pata que do el Gobierno francés en favor de los intereses de España. Et tiempo te aprobasen los poderes del Sr. Posadas. ha dado i conocer que ni el Gobierno español, ni el representante de El Sr. Adan: La comisión ha tenido presentes los documentos que la Nación cerca del Gabinete de las Tullerías, ni tos demás agentet ha presentado tanto el Sr. Posadas como los que se han re…</t>
  </si>
  <si>
    <t>…qu* la junta te hallabaPrimera junta preparatoria para las Cortes extraordinarias de 1811. en el primer caso. Reunidos en el palacio de las Cortes los Sres. diputados qu: cons El Sr. Posadas manifestó que los Sres. diputados, cuyos poderes tituyen el Congreso nacional, el Sr. D. Cayetano Valdés, presidente no estaban aun aprobados en atención á lo que se había manifestado de la Diputación permanente, abrió la sesión i las diez y media, y pro por…</t>
  </si>
  <si>
    <t>Posadas, Josef de</t>
  </si>
  <si>
    <t>Josef de Posadas</t>
  </si>
  <si>
    <t>…e los pueblos donde han cabido los premios mayores de la diez y D. Domingo Saez Moni:jo. lotería moderna nacional en el sorteo del dia de ayer. Números. Premios. Administraciones. D. Josef de Posadas denunció en 14 de Agosto pasado un articu'o comunicado, inserto en el número 657 del Diario iaa.iitano de 24 dn 1842....... IOOOO En Sevilla. Julio último, firmada can una que d.ce: - El cura de .a C-.rr.caT- abu 19010....... 4000, En Madrid. sándole de injur…</t>
  </si>
  <si>
    <t>Posadas, Vicente</t>
  </si>
  <si>
    <t>Vicente Posadas</t>
  </si>
  <si>
    <t>…sto nvsino ;r* lo qu- haba hrSe continuó la discusión del detam n d- la comisión de Pod res c'-o ti Sr. Postdas. Yo (cootinu ^ '"arrio sean nt ■ I» »t-uc on d la •cerca de los del Sr. D. Vicente Posadas. (17ase la gaceta de antes de juma sobre un caso srme|ante a este. Fn otra p r&gt;ona no ha mió cbsayer ) t;cu o para ver diputado áfortes el t ner el t ;u o Je: iins .0 que 1 El Sr. Posadas rectificó una v-qu trocaron que dijo haber padecido sen do, y que tola»…</t>
  </si>
  <si>
    <t>Posé, Josefa</t>
  </si>
  <si>
    <t>Josefa Posé</t>
  </si>
  <si>
    <t>…y mita justificar su conducta durante el tiempo que estuvo prisionero. Aseó los ciudadanos D. Mariano Pastaras, presbítero, y vocal de la junta A la de Hacienda una exposición de Doña Josefa Posé, en solicitud superior de sanidad de Aragón; D. Agustín de Quinto, D. Mariano de que se la conceda una pensión. Gros, capitán retirado; D. josef Rubio Sisón , individuo de la junta Las Cortes oyeron con agrado la manifestación que hacia de sus sen municipal d…</t>
  </si>
  <si>
    <t>Postdas</t>
  </si>
  <si>
    <t>…ba qua d-hian aprobarse- asi se verifico. siese s'tv ríe por mu, tiempo, v que esto nvsino ;r* lo qu- haba hrSe continuó la discusión del detam n d- la comisión de Pod res c'-o ti Sr. Postdas. Yo (cootinu ^ '"arrio sean nt ■ I» »t-uc on d la •cerca de los del Sr. D. Vicente Posadas. (17ase la gaceta de antes de juma sobre un caso srme|ante a este. Fn otra p r&gt;ona no ha mió cbsayer ) t;cu o para ver diputado áfortes el t ner el t ;u o Je: iins .0 q…</t>
  </si>
  <si>
    <t>Potada</t>
  </si>
  <si>
    <t>…, Si desairamos el de que »e trata, ¡qué te haría tnaflana con loa decreto» » Habiendo dado cuenta al Rey de la instancia de Antonio Montaque nosotros diésemos? Se ha dicho que el Sr. Potada» renunció »u verdi, sargento segundo del segundo regimiento de infantería de la deatino por gozar de la plenitud de lo» derecho» de ciudadano; ¡pue* uardia Real, en solicitud de obtener el retiro correspondiente para ei qué el magistrado no goza cato» derecho…</t>
  </si>
  <si>
    <t>Potadas</t>
  </si>
  <si>
    <t>…" los españoles liberto al mun islas podna sernos perjudicial, creo que la junta debe aprobar los podo de un tirano, é inspiró &lt; todos los Gabinetes de Europa aquel no d eres d. 1 Sr. Potadas. ble pundonor que los sacó d'l vergonzoso letargo en que yacían, El Sr. Rico apoyó el dictamen de la comisión, manifestando qu* la conducta de los españoles hará que la Europa ame las instituciones cuando el Sr. Posadas había renunciado su destino había sido…</t>
  </si>
  <si>
    <t>Potsarit</t>
  </si>
  <si>
    <t>…taron su valor y serenidad, l o 1786 entro en ip tismo mas desinteresado. universidad de Cambridge , en dende terminó sus «ludios, lishi.ud* filasios « ministro d« la Justicia. El Sr. Potsarit ministro di la sido elegido diputado al Parlamento de Iriasda á lo» ti ai'cs ¿c cd.-T, Guerra. defendía el derecho de su pais de comerciar en la Inc a cr ucead Josef, obispo de Andrusa, « ministro del Culto, y Nakos de Po contra el monopolio de la compañía; p…</t>
  </si>
  <si>
    <t>Poveda, Raimundo</t>
  </si>
  <si>
    <t>Raimundo Poveda</t>
  </si>
  <si>
    <t>…onces nos aproximaremos del comercio, D. Vicente Chulvi y D. Vicente Llopis, canónigo ma al verdadero resultado. El valor de esta riqueza asciende por el censo gistral, declararon D. Raimundo Poveda, D. Honorato Pirra, D. Jo del año 99 á 5143 millones; y deduciendo la mitad, que debe rebajar sef Codina y D. Vicente Llopis haber lugar á la formación de causa se por 10 menos que valen en este año los productos respecto del 99, contra el autor del impreso f…</t>
  </si>
  <si>
    <t>Pozo, Gertrudis</t>
  </si>
  <si>
    <t>Gertrudis Pozo</t>
  </si>
  <si>
    <t>…tiempo otra comendase al Gobierno, á quien se pasaría la instancia. Aprobado. de la comisión da Diputaciones provinciales sobre lobo* y oteas ficrati La iqísma, en la solicitud de Doña Gertrudis Pozo, viuda de un y levantó la sesión á las tres. teniente capitán, pidiendo un auxilio en atención al infeliz estado en ARTICULO DE OFICIO.que se halla, era de parecer que la actual penuria del erario no per mitía que se accediese á esta solicitud. Aprobado. El S…</t>
  </si>
  <si>
    <t>Pozó, Ildefonso del</t>
  </si>
  <si>
    <t>Ildefonso del Pozó</t>
  </si>
  <si>
    <t>…nto infantería de Guadalajara, con 570 rs. y del batallón de la milicia activa de Mátage -, con 450 ra. Astorga al capitán D. Pedro Pascual del Castillo , teniente del re Murcia á D. Ildefonso del Pozó,'teniente supernumerario del fe-gimiento infantería voluntarios de Castilla, con $70 rs. gimiemo ¡nfapterfa de Extremadura , coa 570 ra. ' Alcali A D. Manuel de Biesa, teniente del regimiento infantería Monterrey á D. Josef María-Pruna, teniente del regimient…</t>
  </si>
  <si>
    <t>Pozo, Tomas Sánchez del</t>
  </si>
  <si>
    <t>Tomas Sánchez del Pozo</t>
  </si>
  <si>
    <t>…ero Rodrigo de Aranda. = Alcalde Arias, y la de los sugetot ya expresados, los nombres de D Josef segundo Ramón Carel las. 3: Alcalde tercero Cayetano Rubio, s Al María Domenech , D. Tomas Sánchez del Pozo , D. Jacinto Hurucalde cuarto Miguel de Na jera. = Alcalde quinto A rías Gonzalo de do,D. Josef García Carrasco y D. Temas Muñoz de S. Pedro, sia Mendoza, a Alcalde sexto Vicente Bertrán de Lis. = Regidor Elias olvidar por otra parte los de sus sabios y benem…</t>
  </si>
  <si>
    <t>Pra</t>
  </si>
  <si>
    <t>…que haya de formársele antes causa al obispo de Ceuta. ó sus apoderados comparezcan en su nasa habitación á elegir los trac Voy ahora al punto que tanto ha llamado la atención del Sr. Pra individuos que han de componer la ¡unta que previene el articulo i.® do , á saber, sobre las cualidades de D, Francisco Iznardi .secretario d-l del decreto de lat Cortes de 19 de Enero último, en cuyo dia y horas* gefe político de Ceuta , y aseguro antes que…</t>
  </si>
  <si>
    <t>…or gos de la Constitución para desacreditar el cisterna. mas , y en la misma memoria de los secretarios del Despacho se di Examinadas las principales razones que ha desenvuelto el Sr. Pra jo que de esta misma reforma se prevalió ei fanatismo para arrastrar do , m: parece que queda mas clara la cuestión. Es una vardad que no ios pueblos contra el sistema ; ahora bien, &lt; qué se dirá y qué acontece» puede dudarse que en los pueblos cortos, donde…</t>
  </si>
  <si>
    <t>Pra-io</t>
  </si>
  <si>
    <t>…e respecto de una cosa determinada diga la Constitución. Si se di de aprobar la proposición de que se trata. gese que era una adición constitucional, en este caso convendría ea El Sr. Pra-io: Por mi parle renunciaría gustoso á todo empleo des que no se podía hacer. pués de concluida mi diputación; pero no quisiera que los demas seño El hr. Arguelles ha dicho, fundándose en la experiencia, que la res diputados llevados del zelo y delicadeza suscri…</t>
  </si>
  <si>
    <t>Prado</t>
  </si>
  <si>
    <t>…cesi tad , léase urgente la necesidad. En la misma , pág. 377, en el consejo de Estado, y que determinaron las Cortes con mucho acier col. i.', lín. 33 y 39 , dice Sr. Prat, léase Sr. Prado. En la del lunes to que no se proveyesen; cuya regla debía servir de norma actual 11, col. i.4, lín. 68, donde dice agrtgajados , léase agregados: en mente. la col. 3.a, lín. 18, donde dice principiada , léase prínciriadas : en la El Sr. Canga convino en que…</t>
  </si>
  <si>
    <t>…ar.” por las comisiones reunidas de Hacienda y Diputaciones provinciales se forme el plan de estas oficinas. Carta farticular de ¡a misma fecha. „ Las noticias particulares de Del Sr. Prado: » Para que las comisiones encargadas de informar Costafirm; dan esperanzas de ver cambiada en breve la suerte de Cara sobre la proposición del Sr. Prat, relativa á la colección de cánones cas : d cese que las guerrillas sr multiplicaban en aquel continente e…</t>
  </si>
  <si>
    <t>…a en la ac patrocos se echara mano de lo* canónigo* que lo hubiesen sido. tualidad por no pagársele lo que le corresponde por el medio diezmo, El señor Saenz de Buruaga: Aunque el Sr. Prado supone que hay s. sirviesen las Corles encargar á la comisión Eclesiástica que pre poco número de párrocos instruidos , no me parece que es asi, pues séntase á la mayor brevedad un proyecto, í fin de que se atajen por en solo el arzobispado de Toledo se encue…</t>
  </si>
  <si>
    <t>…sito pi mismo Gobierno, conforme á lo dispuesto en el art. 19, determine y ra esto. haga egecutar lo conveniente. Se aprobó por unanimidad esta proposición de los Sres. Canga y El Sr. Prado, después de manifestar la situación triste en que se ha Prat llaban muchos religiosos de mécito y virtudes, los cuales se hallaban Proposición de los Sres. Infante y Lillo: •» Pedimos á las Cortes qot viviendo en conventos que mas bien parecían hospicios, y d…</t>
  </si>
  <si>
    <t>…una corta d.scusian quedó aprobado; añadiéndose que el repartimiento Se mandó pasar á la comisión Eclesiástica la siguiente proposición se entendiese en calidad de por ahora. del Sr. Prado: » En mención á las repetidas quejas que se oyen contra Se aprobaron los siguientes dictámenes de la misma comisión de les juntas diocesanas sobre el repartimiento de los fruto* del medio Diputaciones provinciales. diezmo , con grave detrimento del clero y de…</t>
  </si>
  <si>
    <t>…22.= ner en el codigo penal. A D. Felipe Sierra y Tambley. A la comisión que entiende en examinar la proposición del señor Prai, relativa á los cánones, se pasó ia proposición del Sr. Prado que trata de este mismo asunto , leída en la sesión del 14 dei corriente. El 20 del corriente pagará la casa nacional de moneda de diez á dos A la de Diputaciones provinciales se pasó la del Sr. Lodares, rela de la mañana á los sugetos que hayan presentado me…</t>
  </si>
  <si>
    <t>…continuará.’) ' En las naciones, como en el hombre , son débiles y vacilantes los pa sos de su infancia; firmes y ágiles en la virilidad; trémulos é inciertos Nota. Para apoyar el Sr. Prado la proposición que hizo en la se en la decrepitud. Las edades y los períodos de la vida física y social sión del dia 14 (Gaceta del 15, col. te, lín. 02) dijo lo que sigue obras son del tiempo: el arte nada puede contra las leyes inmutables » Mi proposición n…</t>
  </si>
  <si>
    <t>…A la misma otra del Sr. Prat sobre que se determine el (1) Cortinuaba todavía la erupción del Vesubio el dia ay. En la número de obispos &amp;c," debe decir : » A la misma , otra del Sr. Prado noche del mismo cesó la’tava; pero se levó del cráter una lluvia espe sobre que el Gobierno se apresure i concertar amistosamente con S. fi. sísima de cenizas calientes, la cual arrebatada por «1 viento cayó en la supresión de'las jurisdicciones tere nulliut,…</t>
  </si>
  <si>
    <t>…documentos que dekian servir de im la forma qne prescribe el art. 4.0 del citado decreto de 19 de Junio.** guardo para la obeion de las loterías como ya enteramente inútiles, y El Sr. Prado: Si la comisión desde luego hubiera propuesto que m fijado el ínteres anual que disfrutasen las acciones en g y un tercie rebájese el subsidio que paga el clero, creo que hubiéramos adelantado por 100 en moneda metálica, expresándose asi al respaldo del docu…</t>
  </si>
  <si>
    <t>…puntamiento de aquella ciudad. Separado del decreto referido solo en la pane relativa 4 ios párrocos. D. Juan Garda, capitán de caballería del regimiento expedición*» Dijo aper él Sr. Prado que aquí en la discusión se había querido ha lie de húsares de Fernando vil, y residente en un depósito, cedía en cer valer el egempio de ua amo que tenia muchos criados, p que vi beneficio de la Nación todos los haberes que sa le adeudaban basta el niendo 4…</t>
  </si>
  <si>
    <t>…la comi des cuido y una inacción iccorv-bibie se ha perdido aquel importante país. A mí no me cabe en la c.b-za que la Sacie n española no haya posión Eclesiástica una adición del Sr. Prado al art. :.1 del dictamen de la misma sobre la dotación de los párrocas; y á la de Diputaciones pro dido desde el restablecimiento de la Constitución hibil tar do. ó tres vinciales tres adiciones del Sr. Lodares al dictamen de ia misma comi nai i.s; y mucho ma…</t>
  </si>
  <si>
    <t>…ndiente, y sacadas copias testimoniadas de lo que tenga re tes deben api obar el dictamen de la comisión. 'lacran y sea necesario ó útil para el expediente de prófugos que con« El Sr. Prado manifestó que estsba conforme con la mayoría del 'por separado , te consultará esta providencia con remisión de ios autos dictamen de la comisión, pues que conocía que habia necesidad de que originales á 5. E. la audiencia territorial para su aprobación ó ref…</t>
  </si>
  <si>
    <t>…stos beneficiados; y por lo la comisión. demás creo que las Cortes deben aprobar c¡ artículo que se discute. . El y. Buruaga nunifestó que si bien era cierto que lot eb¡sp«M te El Sr. Prado: En las Cortes anteriores , cuando se discutió el dicta nían la responsabilidad «le la cura da almas cu sus respectivas dióce men de la comisión Eclesiástica , reducido á proponer que se suspen sis, también le era que podían escoger entre la infinúlad «le ind…</t>
  </si>
  <si>
    <t>…n, no podía sin embargo persuádame á que e! que bies Adan, Romero, Marau , Gómez , Galiano, Sainto y Oliver. se discute pudiera haber sufrido una impugnación ta! como :a que se El Sr. Prado , después de aplaudir el zelo laudable de los Sres. de la ha hecho por el Sr. preopinante: procuraré contestar á S. S., para lo comisión, como asimismo el de los ciudadanos que han excitado la cual ine haré cargo de ios argumentos principales de que se ha rai…</t>
  </si>
  <si>
    <t>…rencia de antieconómica; p,io ninguna de estas circunstancias ó aserciones se estos mismos modos de sustanciar, pero el Sr. Buey no se ha hecho cargo han probado como debieran. Ei Sr. Prado ha dicho que no era necesa de qu - no se van á abrir las causas anteriores, sino tan solo se va á exa ria , y que no ha habido tampoco quejas sobre las cuales se pudiera minar si se han sustanciado con arreglo á las leyes, y si las sentencias fundar, como uti…</t>
  </si>
  <si>
    <t>…l mismo colegio que habian concluido tos Se mandó pasar á la comisión Eclesiástica la siguiente adición del estudios después del año ao, podía concederse á los ínter osados la gra Sr. Prado al artículo segundo del decreto sobre la suspensión de ór cia que solicitaban.. Aprobado. denes mayores. - La misma opinaba que no debia haber lugar á deliberar sobre la » Pido i las Cortes que á continuación de dicho artículo se añada*, solicitud de Doña Mar…</t>
  </si>
  <si>
    <t>…llas causas que se determinasen des £1 Sr. Arguelles: Parece que la comisión propone á las Cortes que pués. estas nombren los visitadores, ó sea una comisión de las mismas, pre El Sr. Prado se opuso al artículo en el caso de que se tratase de sentando la lista de los sugetus que consideren de mas confianza para el nombrar i 3 visitadores, o lo que es lo mismo,de girar una visita en to efecto. Pero veo que la gran medida que se propone descansa s…</t>
  </si>
  <si>
    <t>…te de aquella plaza , jr no á la de Casos de res y derechos señoriales; y habiendo recibido esta materia toda la ilustraponsabilidad como se habia pedido; y el voto particular del Sr. Prado, cion suficiente en las anteriores Cortes, no era conveniente alterar en contrario i la aprobación del artículo 1 del dictamen de la comisión nada dicho proyecto; por lo cual la comisión era de dictamen que el especial de Visita. Congreso adoptase el proyecto…</t>
  </si>
  <si>
    <t>…tarse al conocimiento de la que tanto eco he hecho, et la cota mas ridicula ,y le cota nusinde- visita. corota para las Corte* el que por una coma te pate una hora discutiendo; El Sr. Prado: Creo que ahorraríamos mucho tiempo ti tuviese la para esto estí le secretaría. Yo no té por qué r* tinto discutir. comisión la bondad de extender el artículo en los términos siguientes: He dicho que la palabra inmediatamente habia hecho muchoeco, esto es, añ…</t>
  </si>
  <si>
    <t>podía pagar Rta de contribución; parsciéndole escandaloso que Hahlén- El Sr. Fmer : El Sr. Prado s; hubiera consolado reapretó de nuc 4osc constituido en el año de 11 un nt.ixitnum de sueldos mucho me - irá pobreza si hubiera leído el Universal de hoy, en el cual se sirnta que aor, no te hubiese de hacer ahora lo mismo: y concluía pidiendo te li lo, rMra…</t>
  </si>
  <si>
    <t>…nsatas como una cosa muy conforme i los á 309 rs. principios de justicia, y á los de una piedad bien entendida. El Sr. Canga*. Las ideas de economía que he manifestado el señar El Sr. Prado manifestó que no podía adoptarte este artículo en Ion preopinante son exacta* hasta cierto punto; pero no asi lo que ha término» generales en que estaba concebido, pues que muchas veces dicho de que la economía en general consiste en gastar lo manos posi conv…</t>
  </si>
  <si>
    <t>…par* reglamento, debían gozar y y pero que esta declaración 00 tuviese efecto que los sueldes de 4$ rs. sbajo e-ten sujetos á los descuentos quj hast* aquí han tenido; y otra del Sr. Prado al articulo 1.° de d cho rf.ctam -n. retroactivo. Aprobado. La comisión primera de Hacienda , habiendo examinado el catálo La comisión de Hacienda, informando sobre ¡as adic-ones h-.hn en go da pensionistas que gozaban sueldo sobre el erario, presentó, un pro…</t>
  </si>
  <si>
    <t>…cientes á propie que todas las prestaciones anejas al territorio, y que comprenden por dad particular.” consiguiente á todos los habitantes de un pueblo, tienen su origen en el Ei Sr. Prado: Yo no había pensado hablar en esta discusión, par feudalismo: en mi provincia, por egempio , hay pueblo cuyos mora que estoy muy prevenido en favor de los pueblos; pero por lo que dores tenían que pagar algunos cahíces de trigo con destino al mante oí el pri…</t>
  </si>
  <si>
    <t>…s é infractores de la Constitución , y por el orden con que se cuando se discutió el dictamen en su totalidad. expresa en la misma ley: a.° Sobre sedición, conmoción ó aiboroto El Sr. Prado , á mi modo de entender , ha confundido lo que es popular. 3 ° Subre asesinatos, robos y salteamiento en caminos.” una visita con un proceso, y ha dicho S. S. que d.biamos despreciar El Sr. Meló dijo que según lo acordado por las Cortes en la discu e,tas caus…</t>
  </si>
  <si>
    <t>…cción de este papel, tico de aquella plaza en favor de O. Francisco Iznardi para su secreta aino porque el obispo de Ceuta aborrece todas las máximas de libertada rio ; asi que el Sr. Prado debe tener entendido que la amnistía no deja En Ceuta predicó un sermón tan subversivo, que comprometió la tran al obispo de Ceuta nada que reclamar contra Iznardi; por lo demás en quilidad de aquella plaza, Fn el convento de Casaleja, adonde fue de cuanto á…</t>
  </si>
  <si>
    <t>…que manifestar qu: será imposible extinguir el papel que pertenece al de mas han gemido bajo este yugo. pósito , porque la tesorería general ha hecho usos distintos de él según El Sr. Prado manifestó hace pocos dias que las Cortes habían abo la» diferentes órdenes que se le han oomunicado. Las Cortes ban man lido por el d- crcto de 6 de Agosto de 1811 lo* derechos jurisdiccio dado qu : los depósitos se reintegren inmediatamente; y el Gobierno, n…</t>
  </si>
  <si>
    <t>…bién que tenían hecha una con Leída el acta de la anterior se mande» agregar á ella el voto part cu- trata; y que si las «artes resolviesen otra cosa de lo que la comisión lar del Sr. Prado, contrario á la resolución de las Cortes acerca del d c- piopoma r-spvcto de estos músicos, sena contradictorio con io que tie tamen de la comisión especial encargada de pioponer medidas legisla nen ya acordado. tivas para contener los excesos de Cataluña. El…</t>
  </si>
  <si>
    <t>…duos de la misma la junta diocesana. Quedó aprobado el artículo. clase que mirasen mas por loa intereses de esta. Art. 6.° » Al efecto quedan autorizadas para nombrar y remover El Sr. Prado manifestó, que una de las causas que mas habían in los colectores, previos lot informes de los cutas párrocos.** Aprobado. fluido en el poco va'or del medio diezmo del afio anterior había Art. n Estos tendrán en la recaudación y administración una in sido el…</t>
  </si>
  <si>
    <t>…to de residencia, en que se declara que los beneficios queden en demas individuo* á quienes comprende este mismo reglamento.” Apro concepto de absolutamente libres. bado. Otra del Sr. Prado; » Pido que sean exceptuados de la residencia Art. J.° » Los ayuntamientos de los pueblos, todos los años en «1 los que obtengan beneficios después de haber sido párrocos , ó desem mes de Enero, harán inscribir en el registro destinado para la milicia peñado…</t>
  </si>
  <si>
    <t>…de Ja guerra: el Diario ¡le Comercio dice que el general ruso empleados con sueldo en sus secretantes. SabanictF ha puesto de repente en movimiento su cuerpo de egército, Otra del Sr. Prado, para que declaren las Cortes que por ahora no haciendo una irrupción en muchos puntos de Ja Moldavia, y que las tro están comprendidos en el decreto sobre residencia de beneficios los in pas turcas se han retirado precipitadamente al ver que se aproximabandi…</t>
  </si>
  <si>
    <t>…, por cuya razón c piraba .,0; re c.cva Se leyó y aprobó el acta de la anterior , v se mandó agregar i ella admitirse á discusión el del Gobierno. Aptobcdo. al voto particular del Sr. Prado, contrario i la aprobación del artícu La m ima comisión, infoimando sobre la &gt;ol c tud de! ayuntnv-n. lo i.® del arreglo definitivo del Crédito público. to de Baza para que te fije aili la residencia del batallón de mi oca -cSe dió cuenta de una exposición de…</t>
  </si>
  <si>
    <t>…rte romana , produce los mayores España, si te resistiesen ó lo hiciesen en términos poco satisfactor os.” males, y prueba hasta qué punto estamos ilep-n.ii-nt:i aun en un asun El Sr. Prado manifestó que se oponía i las pilab as /frrmián.io~ to tan interesante part a consolidación del s st ma. D rs: al G&lt; b er- los i tilo Malta ton ti txtrjñamitnto r ¡.cura, ion 4t trmror.i ¡ irs, no todos ios med os que necesite pata remover obstáculos tan fune…</t>
  </si>
  <si>
    <t>…ra que el Gobierno no errase , por trina*. (juüiiTQSMTtt* que sentiría que se hiciesen acusaciones de que abusaba de sus faculta Ef Se. Seoanc, contestando á las observaciones del Sr. Prado, expu des, ó de que no cumplía con lo mandado por las Corles , pues podia so que. no ignoraba S. S, que hallándonos en las circunstancias mas ex ser reconvenido si obraba, y también si no obraba. traordinarias , debíamos salir de los medios comunes ,y que si…</t>
  </si>
  <si>
    <t>…j t* o p-v r tita aitdina v* t* =: j :*r da otro modo es como puede leí er electo ia tmdida anterior. ai Gobierno i a» idCuituC.í o i f..,» .* jjdic-ai, n;*» » r s- • c. p r ■’ El Sr. Prado: Yo quisieia saber de que cates se podían valer las djd , puf-t.- q^e »o.“ *. xi -1 ¡ni; :*.»,- &lt;i- en ^wic poiit ci pu»d. c »co— Corporación-sé individuos que se citan tn la medica para mlotmar al ntr d. Jj sue.t u» ci* w.-üu«üai.v-. b.i G' b iro cc ''o-c i^…</t>
  </si>
  <si>
    <t>…erido derecho en Granada, sin responsable» del abuso que se cometa en el desempeño de este minis perjuicio de decretar igual beneficio en favor de loa pueblos ó provin terio.'’ El Sr. Prado hizo algunas breves observaciones sobre el artículo, 4 cias que lo reclamen, y acrediten hallarse efl igual caso. Aprobado. A la comisión de Piemios se pasaron dos cartas del gobernador «i* las que contestó el Sr. Callejón. El Sr. tíiiiasn apoyó la medida, ma…</t>
  </si>
  <si>
    <t>…ra votación resultó electo et Sr. Castrón por 78 votos, de Lóndres del privilegio para poder introducir harina en la Havant, tenier. 11 cada uno de loa Sres. Romero y Ovalle, 5 el Sr. Prado, j el voto particular de los Sres. Jiménez , Mutfi y Roset. 3 o Sr. Infante, 2 el Sr. Flores Calderón , y uno cada uno de loe se— La comisión primera de Hacienda presentó los siguientes dic fior-s Velasco, Sierra, Laque, Sedeño, Eseovedo, Belda, Marta, támene…</t>
  </si>
  <si>
    <t>…rgarse ea conveniente; y si por otra parte no lo hay en que dicha milicia queda las demás contribuciones. bajo la inspección de las Cotíes ó de una comisión nombrada por ellas, El Sr. Prado hizo presente lo poco que había producido el pago del anr.s por el contrario es el mejor medio de detener cualquier impul medio diezmo, con el cual apenas había para atender al culto y á la* so mal dado que pudiese recibir de parte del poder egecutivo, debía…</t>
  </si>
  <si>
    <t>…ia; y en fin supuesto se repartían. ue este artículo es una modificación de lo prevenido en la instrucción 3 e iyij, con la particularid de haberse arreglado i la Constitución, El Sr. Prado: Desde luego convengo en que se lomen todas las medidas posibles contra los ayuntamientos moiosos; pero de modo al-pues que en aquella se permitía la prisión de un alcaide del pueblo, y -güilo en los apremios militares: y aun si todos los intendentes tuvieen…</t>
  </si>
  <si>
    <t>…scrito za , Roset, Abrcu , Soberon y Mura. c&lt; O re pe.to i la provisión de curatos 5cc.” F.I &gt;r. Adan dijo que desearía saber del Sr. secr»taro del Despacho oe leyó á petición del Sr. Prado el art. 7.0 del decreto de las Cor de Marina si laa cantidades entregadas i tu minst'no habían sido tes de ó de Noviembre de l8ao, en que se previene que las capella •picadas á los objetos i que las destinaron las Cortes , para ver si las nías castrenses sean…</t>
  </si>
  <si>
    <t>…axvato. El Sr. duque del Parque: ¿Y puede el Gobierno señalar á los pre Sttitm del dia 30. lado* extrañados? Leída y aprobada el acu de la anterior, se mandó agregar á ella los El Sr. Prado: Según un decreto de las Cortes debe señalarse alguna votos particulares de los Sre*. Gisbert y Buey , contraltos á no haber cosa á estos prelados; pero yo me opongo al artículo , porque fija el. admitido en su tota*'dad el cód.go sanitario. maximun de ao9 rs…</t>
  </si>
  <si>
    <t>…medida, quedó aprobada en estos tér mo, y se ha aunirntado con el c'ocuents discurso que acaba de pro micos: » Se encarga á la prudencia del Gobierno el señalamiento de mane.ar el Sr. Prado; pero trataré de contestar á su señoría. las cantidades anuales que sobre las renUs de las mitras podrán darse En efecto, nada seria mas contrario á los principios de !a com sion por vía de alimentos á los prelados eclesiásticos separados d. sus dióce que pre…</t>
  </si>
  <si>
    <t>…discurso á un lirismo argumento , variando so o en algu • medidas de esta naturaleza , el ¡os mismos n„n siso v'ctimas de sus sos pormenores. Se reduce, como intentó demostrar el Sr. Prado, á ef-clo» Yo estoy pronto á adoptar 01 a, varas q.-e pr»s:nta ii comi que con esta medida se ataca la libertad individual de los ciudadanos; sión en su dictamen ; pero acerca ce e_;a no puedo o.vidar que la que por ella se pierde el equilibrio de los poderes…</t>
  </si>
  <si>
    <t>…a de impugnar su discurso: las Cor. El Sr. Oliver: La mayor parte de los argumentos que se propusie tea sin embargo verán si me be excedido ó no: lo que he dicho y vuel ron por al Sr. Prado fueron destruidos por las reflexiones de los sevo á repetir es que es muy extrafio que al mismo tiempo que se con Sorct Galiano y Ruiz de la Vega. Después se ba impugnado la me fiesa que con esta y las demas medidas se conceden al poder egecutivo dida 3.*, di…</t>
  </si>
  <si>
    <t>…e todas las facultades que necesita pata que pero en su egecucion cree que está la salvación de ia r t a ■ :asegure la tranquilidad de la Nación. Tendamos la vista hacia lo que El Sr. Prado : Es preciso que veamos la cu.-stion c ti : e i 1 es en pasa en algunas provincias : reflexionemos un poco sobre las convul en esta medida se encuentra la palabra t. ; que r.c se ba'ia en .a siones , las asonadas , los motines &amp;c. que acaecen en ellas , y con…</t>
  </si>
  <si>
    <t>…ebe ser aprobada por las Cortes no se hallen autorízalas para deernr esta suspensión, y de las Cort-s. consiguiente solo trataré de la cuestión de si estamos ó, no en el caso F.I .Sr. Prado pidió que se leyesen los artículos JI5 y 316 de la d: acordar loque s: propon:, refiriendo las t.’tl xínnes que á nn ine Constitución. ocurren en la materia , y considerando, primero, las razones que pueden El Sr. Becerra pidió que se leyese el art. 336 de la…</t>
  </si>
  <si>
    <t>…e solo en las poblaciones que no lleguen á tS vecinos, y por último que pueden amilanar a los pusilánimes. siendo muy conforme á la disciplina eclesiástica el que no se permita El Sr. Prado ha manifestado que el pueblo no será capaz de hacer ningún cuerpo colegiado, exceptuando los pertenecientes á las iglesias le cargo de las razones que hay para dictar esta ley por huta de ilustra episcopales , era de opinión que se aprobase la medida. ción, a…</t>
  </si>
  <si>
    <t>…o hacerlo serán consideradas en es consejo de Estado 4 realizar las propuestas , pido se inserte en el acta.” tado de desobediencia á la ley.” Se acordó que se insertase. Luego el Sr. Prado presentó la proposición El Sr. Rico dijo que en el verano i las i a de la noche era todavía que ban oído las Cortes, y á pesar de que ta dijo qua contrariaba lo muy temprano para que se disolviesen estas reuniones, y que se podía resuelto por las Cortes, quis…</t>
  </si>
  <si>
    <t>…s El Sr. Pedralvez: El articulo que se presenta i discusión no me pectivos superiores hasta con la muerte.” parece que es» extendida en los términos ccnven.entes. En ei articuo El Sr. Prado impugnó este artículo, manifestando que no le encon i.‘ de este capitulo se dice lo m smo que en este,y aun a'go mas. - De traba conforme con la Constitución , pues aquí te autorizaba á los su biendo considerarse (dice el art. i.°) el fuero móitar en e! acn4:…</t>
  </si>
  <si>
    <t>…s á hacer; de lo contrario Asimismo se mandó pasar á dicha comisión una adición del Sr. Ro dentro de poco tiempo generalmente serán catados los mil.taret, lo que, mero, y otra del Sr. Prado á ios artículos aprobados de la ordenanza como he dicho, ocasionará mil inconvenientes; y á petar de que el se militar ; y i la especial encargada del examen de la memoria del Go ñor Infante ha propuesto un medio para evitarlos, no le creo suficiente, bierno…</t>
  </si>
  <si>
    <t>…ptarte para evitar los males que por esta parte sufre la tado , ó en los que se crean mas convenientes. Nación. Se declaró que no estaba comprendida en el art- 100 del reglamen El Sr. Prado ha impugnado el artículo repitiendo lo que se dijo so to, y que era primara lectura. bre la totalidad del proyecto , y entra S. S. diciendo que no sab: en Se presentaron las minutas de decreto sobre las medidas propuestas qué se ha de fundar la autoridad qu:…</t>
  </si>
  <si>
    <t>…es la Ity la que au dencia en este asunto ? Aquí llamaré ia atención de tas Cortea sobre lo toriza á una nación para ciertas cosas; y esta ante* de darse debe ser que ha dicho el Sr. Prado, y contestado el Sr. Oliver, para que *u examinada muy prolijamente. vea procedo consiguiente y fiel á los principios que he sentado: soy el Permítanme las Cortes qua yo me haya separado algún unto de la primero á decir que en mi concepto debe extenderse la f…</t>
  </si>
  <si>
    <t>…pa penderte las artículos contenidos en «I titulo y capítulo que llevan esta decido el Sr. propinante. epígrafe, no «lando esta restricción dentro de este tirulo , no puede de El Sr. Prado te opuso al artículo apoyándose en lis rasones que ha ninguna maneta suspenderse la entrega en tos té: micos que se propone; bía expu. sto el Sr. Romero, por las cuales se deducía que era anti y por io mismo opina que cuando mas las Cortes podr n hacer «tensi…</t>
  </si>
  <si>
    <t>…iéndola el att. 5* cia de esta nota. El ir. Marau: Son varias iss reftxiooes que en la sesión de tyrt hi El Congreso de Carlsbad se reunió para poner algunaa restricciones i zo el Sr. Prado contra este artículo, y á las cuales procuraré contestar. la libertad de imprenta y abolir las sociedades secretas; y una disposi Sostuvo entra otras cosas la inoportunidad de dar esta autoridad á loa ción general para Alemania y la comisión cenital de Magunc…</t>
  </si>
  <si>
    <t>…ón de la cláusula indicada; pero no que debiese iuud.fi-.irse el ar tad que se quiere conceder á los gef-s político, es anticonstitucional y tículo por las demás observaciones del Sr. Prado, funesta en sus efectos , porque no sabe nadie adonde va á par ir. K! Sr. Arsüdles: Yo no repetiré las reflexiones que se lian hecho El Sr. O ¡ver: En esta discusión s: nos ha querido probar que pre poi varios Sres. diputados para demostrar que ya no estamos…</t>
  </si>
  <si>
    <t>…e dicho leído muy deapacio la ley d: 24 de Marzo, y que en ella no encuen gefe i reclamar sus p.-miones lo verifiquen con toda ia brevedad posible, tra medio de poderla exigir. El Sr. Prado ha visto muy superficial á fio d* poder.c» iuciuir en ías relaciones que te remiten mensualmcnte mente la ley de 14 de Marzo, y aun el proyecto que ha presentado la i s. M. comisión ; pues de otro modo hubiera visto á. S. que hay muchos ca Porcias de D. Eugen…</t>
  </si>
  <si>
    <t>…del pueblo en calidad da testigos, nombrados por el sos , creo que las Cortes deben aprobar al artículo. síndico, ó en tu defecto por otro cualquier individuo de apuntamiento. El Sr. Prado: Ciato es que aprobada la prisión de las personas que Todas estas personas deberán rubricar uno por uno lodos los papeles se detallan en el art. i.*’, sus casas dtberm ser allanadas. No me opon aprehendidos. Si el duefio de los papeles que te han de reconocer…</t>
  </si>
  <si>
    <t>…texto do reales diarios. cada una. El Sr. Gómez Becerra: Estoy de acuerdo con los principios que ha A rt. 9.a « La* centinela* de la* grande* guardia* te mantendrán manifestado el Sr. Prado; pero la comisión ha tenido presente el estado dobles de noche , y aun de día si el oficial comandante lo considerase en que te encuentra la Nación, y ademas que estos individuos darán conv-ni-me , para que po.da este tener los avisos que ocurran sin qur- una…</t>
  </si>
  <si>
    <t>…nte no está: pero particularmente lo bierno que use de una facultad que esta en sus atribuciones! Cabalasen- hay. te este es un derecho que ha egercido nuestro Gobierno, una re El Sr. Prado: Yo también pido su lectura. galía desde el siglo xv acá, y aun antes; regalía de que te han valido El Sr. Canga: Los Sres. preopinantes deben concretarse i lo que pre todos los Gobiernos para resistir á las pretensiones de la curia roma viene el reglamento;…</t>
  </si>
  <si>
    <t>…ust s. Después de ma conocidas ex-nciones qua la Constitución da é los diputados! Pues qué tar ai general Tornjoi -n Castr.lfollit (donde no estaba'), acaba de ar¿ acaso porque el Sr. Prado crea que ya está provisto en la* leyes el re cabuc-ar por mano d - Zi divar al general Riego (que caté en Madrid) medio competente, esto es, porque el código penal sancionado tiene cuando este iba i su gobierno de Anda ncia. señalada la p-tia de 8 á 14 años d…</t>
  </si>
  <si>
    <t>Prado, Diego</t>
  </si>
  <si>
    <t>Diego Prado</t>
  </si>
  <si>
    <t>…o en los dias anteriores no ha cuencia se reconocerá por mayor de órdenes de dicha columna al capi vuelto á recibirse noticia alguna oficia! y fidedigna de ios facciosos de la tán D. Diego Prado, primer ayudante del segundo batallón del indi serranía ni de Zaldivar. Cádiz 8 de Agosto de «8aa.=Escar:o.” cado regimiento, y por adicto i la plana mayor de ella al capitán Don — Ea el Redactor general se publican noticias de Buenos-Airea , cuyo Josef Monta…</t>
  </si>
  <si>
    <t>Prado, Pedro</t>
  </si>
  <si>
    <t>Pedro Prado</t>
  </si>
  <si>
    <t>…eis mas modernos que ron los poderes de estos Sres. como opinaba la comisión. yo qut disfrutan este sueldo, luego claro es que no estoy consecrado León. D. Nicolás Gómez Viltaboa, D. Pedro Prado y D. Anto como si sirviera. El Sr. preopinante, á quien parece interesaba bastan nio González Ron. La comisión opinaba que debían aprobarse los po te el atacarme, ha dicho que he asistido á las bodas y capitu' as ones deres de estos Sres. diputados. Aprobado. del Rey é…</t>
  </si>
  <si>
    <t>Prados, Diego</t>
  </si>
  <si>
    <t>Diego Prados</t>
  </si>
  <si>
    <t>…l espitan de Guadix Don pues sus resoluciones no pueden icr otras que la* de ccn.utvar la Luía de Gualda, que mandaba la columna , el de la misma clase de la de la Europa ” Corona D. Diego Prados, que se agregó voluntariamente á ella, el sub Lo cieno es que atendiendo i lo que publican los periodistas de Pi teniente de dragonea D. Josef Joaquín Cardeñe* y toda la tropa de lis hasta el 10 inclusive, nada de cierto se sabe acerca de las reso'us-ri ambas…</t>
  </si>
  <si>
    <t>Prai</t>
  </si>
  <si>
    <t>…rcule.Rubricado de la Real mano. = Aranjuez á 13 de Marzo de 1822.= ner en el codigo penal. A D. Felipe Sierra y Tambley. A la comisión que entiende en examinar la proposición del señor Prai, relativa á los cánones, se pasó ia proposición del Sr. Prado que trata de este mismo asunto , leída en la sesión del 14 dei corriente. El 20 del corriente pagará la casa nacional de moneda de diez á dos A la de Diputaciones provinciales se pasó la del Sr. Lo…</t>
  </si>
  <si>
    <t>…jo: Que las rebajas que en seguida de este proemio llegaría 4 verificarse la división lerriiorial ínter ir* proponía la comisión eran muy cortas , dejando subsistir mucf.cs gas El Sr. Prai dijo que una mu titud d: reclamaciones que se hibían</t>
  </si>
  <si>
    <t>Pral, Antonio</t>
  </si>
  <si>
    <t>Antonio Pral</t>
  </si>
  <si>
    <t>…bía resuelto el Rey que pasase todo al agrado , 7 la mandaron pasar í la comisión de Instrucción pública. consejo de Estado , encargándole el pronto despacho para pasarlo luego El coronel D. Antonio Pral, inspector del palacio de las Cortes, A las Cortes. Estas quedaron enteradas, y lo mandaron pasar í la comi presentó una memoria sobre regadío de los campos de la ciudad de Lot sión Eclesiástica. ea. Las Cortes la recibieron coa aprecio, 7 le mandaron pasar á…</t>
  </si>
  <si>
    <t>Prat</t>
  </si>
  <si>
    <t>…o Tejeiro, uno del Sr. Calderón, uno del Sr. Tomas, y otro del Sr. Alcántara. Se han recibido periódicos extrangeros , cuya* mas interesantes no Quedó elegido cuarto secretario el Sr. Prat por 76 votos de 124, re ticias se reducen é lo siguiente : cayendo los restantes, 36 en el Sr. Sánchez, 2 en el Sr. Florez Capu Los desórdenes de Irlanda continúan del modo mis escandaloso, y zón , 9 en el Sr. Sierra, y uno en el Sr. Ferrer. cada día causan m…</t>
  </si>
  <si>
    <t>…f.ir una casa sita en a Villa de La-Guardia. lo conveniente, á fin de que no se repitiese este hecho escandaloso. A las comisiones de Diputaciones provinciales y de Hacienda se El Sr. Prat propuso que este expediente se pasase á una comisión pasó una exposición del ayuntamianto d« Lorca para que se la cosca especial.</t>
  </si>
  <si>
    <t>…se le permita usar de solapa blanca en su Habiéndose acordado que se nombrase una comisión para Jim uniforme. su dictamen acerca de ua escrito del reverendo obispo de Cci^r, w El Sr. Prat propuso que te nombrase una comisión especial que en* nombró para ia misma á los Sres. Somoaa , Nufiez (D. Toribio } , Saa- _ tienda en el ramo de milicias, y asi se acordó por las Cortes. vedra, Villanueva y Alix. Se dió cuenta de una exposición del ayuntami…</t>
  </si>
  <si>
    <t>J4&lt;&gt; castigado. y cuando ao »ó» I* debía «totear tu i Se leyó otra proposición del Sr. Prat ,jftl*tiva 4 que habiendo dado El Sr. Silfito dijo que cuando m ni* por toda* pane* la terrible para en ¡as cm.inores un proyecta sobre caminos y ca «plosin* de «a volcan no te debía capuoer á la aactoo i lo* uitrage» nales , y i.er. lu necesario que jp actúa…</t>
  </si>
  <si>
    <t>…tado juramento; pero gramos (unas 130 libras). esta equivocación no en de trascendencia y podía enmendarse. » Todoa los hechos referidos están atestiguado* por todo* los hablan El Sr. Prat leyó el decreto de g de Junio de 1811, y dijo que efec tes de la aldea de Líbonnez, y especialmente por Del mas padre, tivamente la meta habia padecido equivocación en nombrar á lo* tres Del mas hijo, Santiago y Claudio Sene, Pedro Charaire, Juan Chau- indivi…</t>
  </si>
  <si>
    <t>…an como crítica la situación de dicho S. Martin hasta el 13 de Setiem Rey en el acto déla apertura de las mismas. bre , son los que publican la toma del Callao el 16 del mismo. El Sr. Prat dijo que las Cortes habían resuelto en la sesión secrets También anuncia un periodista que el 16 de Octubre se entregó de ayer que se leyera en público lo siguiente: » Los diputados de las ac Veracruz á los independientes; pero no especifica si es la ciudad,…</t>
  </si>
  <si>
    <t>…observaciones sobre arreglo de pesos y me Ademas de los periódicos que se publican en esta ciudad, y de didas. la Aurora del comercio que ha aumentado el número , esperamos que El Sr. Prat dijo que en la legislatura anterior habia una comisión en breve saldrá á luz otro , dedicado á fomentar la instrucción públi especial encargada de estos asuntos, y proponía que se formase de nue ca, de manera que en este punto solo la capital del reino llevar…</t>
  </si>
  <si>
    <t>…, que era 66¡ millones, resultando de cisco Benebel, natural de Francia. déficit 197 millones y tantos mil rs.; concluyendo con ía advertencia Se leyó la siguiente proposición del Sr. Prat: » Pido i las Cortea de que en el consejo de Estado obraban los documentos respectivos acer que se nombre una comisión especial que entienda exclusivamente en ca de estos presupuestos, los cuales loe pasaría a las Cortes inmediata la uniformidad de los pesos…</t>
  </si>
  <si>
    <t>…as.” Primera de los 30 d as para ia entrega de acciones y poderes será perentorio á lectura. todo» los accionistas sin la menor dist ncion de clases ni de personas, Propoekion del Sr. Prat: «Quese nombre una comisión especial y por consiguiente pasado dicho plazo no se admitirá á nadie por nin que informe á lat Cortes sobre llevar inmediatamente a debido efecto gún acontecimiento en la lista de los vocales. Por lo tocante á los lo* dos negocios…</t>
  </si>
  <si>
    <t>…rá las actas de los respectivos partidos , y encontrando sus funciones. en ellas algún reparo digno de atención las devolverá para que se re Se leyó por segunda vez la que hizo el Sr. Prat sobre el informe formen. que se debía dar á las Cortea acerca de le colección de cánones de la 5.a Si el número de partidos excediese de ocho te sacarín por suerte iglesia espafiola , publicada en estos últimos dias. ( Víase ia ¿aceta del los que completen es…</t>
  </si>
  <si>
    <t>…n. Se nombró la comisión especial que se ha de agregar á la Eclesiásti Ei Sr. Canga: Leídas las memorias de los Sres. secretarios del Des ca para informar sobre la proposición del Sr. Prat acerca de los cáno pacho ,:,y hallándose las Cortes en disposición de empezar sus tareas, nes, y la componían los Sres. Fuente y Ríos, Alcántara, Garoz, parece que estamos en -el caso de determinar los asuntos de que con Robinat , Domenech y Tomas (D. Nicasio…</t>
  </si>
  <si>
    <t>…de las Cortes; pero no creo que puede ha ga lo tiene i bien , admita esta adición i sus proposiciones. ber sido -el ánimo de S» 5» el excluir á los Sres. diputados de que hagan El Sr. Prat hizo presente que en lu legislatura anterior se nombró las proposiciones que tengan á bien, ni tampoco el que las Cortes se ocu una comisión especial para este asunto. pen de los negocios que consideren de mayor importancia. Yo creo que Las Cortes quedaron en…</t>
  </si>
  <si>
    <t>…al el ínteres que correspondía. Se aprobó la preposición. se txtienda un proyecto de amnistía general en favor de tocos ios de Se leyó por primera vez ¡a siguiente proposición del Sr. Prat: » Pi lincuentes comprendidos en las causas de conspiración contra el siste do á las Cortes se sirvan declarar por una expresa resolución si los di ma corstituc onal, en el cual d.ber n entrar los ccmprcndid s en las putados que se hallan mandados procesar qu…</t>
  </si>
  <si>
    <t>…a, Enero del presente, acudirán á ia misma a recoger los equivalentes y procediesen 4 hacerlo las Cortes. sus pagarés de intereses devengados el lunes 11 del que rige y siguien El Sr. Prat dijo : El dia 5 de Junio último se acordó que se nom tes , entregando los correspondientes resguardos. brase una comisión de Visita del Crédito público , lo cual se verificó en el dia siguiente. En esta legislatura se ha nombrado esta comisión; y El lunes it…</t>
  </si>
  <si>
    <t>…antes urgente necesi tad , léase urgente la necesidad. En la misma , pág. 377, en el consejo de Estado, y que determinaron las Cortes con mucho acier col. i.', lín. 33 y 39 , dice Sr. Prat, léase Sr. Prado. En la del lunes to que no se proveyesen; cuya regla debía servir de norma actual 11, col. i.4, lín. 68, donde dice agrtgajados , léase agregados: en mente. la col. 3.a, lín. 18, donde dice principiada , léase prínciriadas : en la El Sr. Cang…</t>
  </si>
  <si>
    <t>…on el arreglo provisional y división po exclusivamente del examen de estos asuntos. lítica del territorio de la monarquía en la Península é islas adyacen Se aprobó una adición del Sr. Prat á la proposición de los señores tes, y 4 fin de que los pueblos gocen inmediatamente d: las ventajas Marau y Serrano sobre las facultades di los gefes políticos, relativa á que debe proporcionarles esta disposición, arreglada á lo prevenido en que se pasase a…</t>
  </si>
  <si>
    <t>…icias particulares de Del Sr. Prado: » Para que las comisiones encargadas de informar Costafirm; dan esperanzas de ver cambiada en breve la suerte de Cara sobre la proposición del Sr. Prat, relativa á la colección de cánones cas : d cese que las guerrillas sr multiplicaban en aquel continente en de la antigua Iglesia espillóla, puedan evacuar su dictamen con el favor de la buena causa; que Bolívar había sido batido y muerto en •cierto y delicad…</t>
  </si>
  <si>
    <t>…o una relación del estado de los conventos de sus respectivas diócesis que en el sautuario de las leyes. y distritos con su parecer, y de los que se hallen en el caso de ser su El Sr. Prat: La misma comisión, que tan dignamente ha dísempeñiprimidos por diminución notable de sus individuos, a fin de que el do su encargo, puede ocuparse en examinar el lugar mas á propósito pi mismo Gobierno, conforme á lo dispuesto en el art. 19, determine y ra e…</t>
  </si>
  <si>
    <t>…siguiente : quieran hablar.” El 'r. presidente nombró para la comisión nombrada 4 consecuen D. femando vn por la gracia de Dios y por la Constitución (fe cia de la proposición del Sr. Prat, relativa á ia nueva colección de cá la Monarquía española , Rey de las Españas , á todos los que las pK. nones que se ha publicado hace poco tiempo, al Sr. Saenz de Buruaga. sentes vieren y entendieren , sabed: Que las Cortes han decretado lo Se mandó pasar…</t>
  </si>
  <si>
    <t>…s dó imprimir dic'ia memoria con los documentos mas importantes qua que adeudan del 10 por too con que estaban gravados sus productos. acompañaba, cuyo índice fue leído por el Sr. secretario Prat. Art. i.® “Que esta concesión se entienda aplicada únicamente á Se leyó por primera vez una proposición de los Sres. Seoane, Solas cuentas concluidas desde el afio 1807 hasta «1 de 1813, ambos in moza , Bartolomé, Adan, Canga y Saivá, que decía asi: - Pedimos…</t>
  </si>
  <si>
    <t>…isión, en el cual en vista otros sucesos particulares. Las Cortes la recibieron con agrado, y á pe de la solicitud de D. Ignacio González, para que se le concediese una tición del Sr. Prat la mandaron pasar á Is comisión de Salud pública. pensión de 4 rs. diarios por haber servido 50 años de cocinero en el mo A la comisión de Instrucción- pública se mandaren pasar 31 expe nasterio del Escorial, en el cual ^envejeció; la comisión opinaba que die…</t>
  </si>
  <si>
    <t>…ntase al Gobierno tu opinión acerca de la esta base se tratase de la segunda propuesta que había hecho. causa del vcrdad.ro rurato que se experimenta en esta materia. La cauEl Sr. secretario Prat contestó que la comisión no retiraba la pri m que se sigue en Valencia te ha pretendido presentar como no com mera medida, sino qua solo indicaba con su nueva propuesta al camino prendida en las leyes existentes en España , y se dijo que tiendo por tu que eo…</t>
  </si>
  <si>
    <t>…ente discutido, se decidió no haber la Constitución. jpgir i rotar sobre la prouosicion. Sobre la cuarta p quinta: Que para evitar quedase la provincia da Se lepó la siguiente del Sr. Prat: »Que la comisión especial que Cuenca sin representación nacional en esta legislatura, se dejase ai ar prepone le medida sexta aprobada pa por las Cortes psra extender ia bitrio p prudencia del gefe político el fijar el término que serna las •limita del menia…</t>
  </si>
  <si>
    <t>…r de Constitución y ley cometidas en la cause que se les formó á conse de las Cortes para ello. cuencia de una queja ó denuncia hecha contra ellos en un papel anó Se leyó otra del Sr. Prat, relativa á los empleados de palacio, y nimo . es de parecer que en atención á las informalidades é infracciones asimismo á que te determ inen los terrenos que se han de destinar para que se advierten en dicho expediente, debe declararse haber lugar á la recr…</t>
  </si>
  <si>
    <t>…ta de varias razones que alegaba que podia accederse á esta so de propios que debia haber en las diputaciones prcrrca.o. licitud. Después de una corta discusión quedó aprobado. El Sr. Prat dijo que por la diputación provincial de araluñe se ha La misma, en vista del expediente promovido por varios ayunta bia hecho nuevamente una exposición á las Cortes, re at va -1 asusto mientos de Santander, quejándose de que los aibitrios impuestos por ia en…</t>
  </si>
  <si>
    <t>…r. fiscal D. Matías López de Friat denunció al Sr. alcalde consdo abolidas todas las demas. . titucional D. Cayetano Rubio ei núm. ja del papel titulado d ZurnaA la misma otra del Sr. Prat, sobre que se determine el número go como subversivo, por al ningún (esputo con que trata a las Cortea de obispos que debe haber con respecto al arreglo total del clero. pasadas, y singularmente por las m..xunas que vierte en las últimas es A la nusma otra de…</t>
  </si>
  <si>
    <t>…ente. na hallándose de servicio en los torreones de S. Sulpicio dos emplea- Otra. En la gaceta del 3 del corriente, fol. 51 a, col. t.’, lín. 13, donde dice: » A la misma otra del Sr. Prat sobre que se determine el (1) Cortinuaba todavía la erupción del Vesubio el dia ay. En la número de obispos &amp;c," debe decir : » A la misma , otra del Sr. Prado noche del mismo cesó la’tava; pero se levó del cráter una lluvia espe sobre que el Gobierno se apre…</t>
  </si>
  <si>
    <t>…o esto, propusiese Valladolid no ha faltado en esta parte. Ademas, Señor, las leyes no lo mas conveniente. quieren cosas imposibles ni providencias precipitadas. Por otra parte El Sr. Prat dijo que en su Opinión la minuta se habia leído ínte el art. 63 de la ley de 9 de Octubre indica que en esta materia no pue gra ; que aquellos artículos y adición se leerían acaso por separado, de egecutoria; recursos haber causar porque ha podido de no nulid…</t>
  </si>
  <si>
    <t>…endiese en manifestar la importancia del puerto de Pasages, la que cono obras part eulares de ninguna provincia ció muy bien Napoleón, mandando que una comisión de ingenieros le H Sr. Prat: Como individuo que he firmado la proposición, sobr vantase planos para hacer en él obtas importante*, y asignando cuantioso* la cual pnerita la comisión su dictamen, diré alguna cosa para contes fondos para su construcción. Después del afio de i j se han hec…</t>
  </si>
  <si>
    <t>…primera instancia en los casos en que des liberales y cívicas de tos amantes de la» nuevas instituciones. haya lugar al nombramiento interino según el art. 19 de la ley de 9 de El Sr. Prat: La práctica ha sido siempre que estos expedientes , parí Octubre de 181 2, debe verificarse no solo en los partidos en que haya un el acierto en la misma resolución de la» Cortes, se dej n sobre ia mesa solo juez de primera instancia, sino en todos aquellos…</t>
  </si>
  <si>
    <t>…conformidad 4 lo prevenido en el articulo 13, capitulo a.° dó aprobada la proposición. de la ley de 14 de Marzo de 1813. !k! mandó pasar 4 la comisión la siguiente proposición del Sr. Prat: Cuya sentencia es del tenor siguiente .• Habiéndose aprobado por las Cortes que se nombre una comisión es Señores de la sala primera: S. E., Navarro, Hermosilla, Carrion, pecial qu» proponga al Gobierno medidas legislativas para restablecer López. al orden p…</t>
  </si>
  <si>
    <t>…as del proyecto A la comisión de Hacienda se mandaron pasar una exposición de sobre estos ramos. Aprobado. Dalia Luisa Tomasa Sesé, viuda y vecina de esta corte, para que se le El Sr. Prat recordó ta necesidad de que se presentase y discutiese continuase pagando una pensión de cuatro rs. diarios que le fue conce luego el proyecto de caminos y canales, porque todos Josd.as se aumen dida: un oficio del Gobierno, encargando e! pronto despacho de u…</t>
  </si>
  <si>
    <t>…Gefe político que se juzga autorizado para «I que le animaba, no es posible que guardase al último momento. esta medida absoluta, ni el Gobierno han apreciado las representacio El Sr. Prat citó en apoyo de la proposición los asuntos de interes nes que se les han dirigido con este motivo.” Aqui ae ve , señor , qua general que se hallaban despachados por las comisiones, j los que esta Je comisión manifiesta tus sentimiento* de que faite en Madrid…</t>
  </si>
  <si>
    <t>…ía sufrido lo* trámite* de oías de que sin qne arte manifestase su opmion si convendría ó no el bidos.r acceder i la gracia que sol idtaha el cabecilla, ningún Sr. diputado po» El Sr. Prat apoyó esta misma Opinión, y en su consecuencia se pro dría anticipar su juicio: que no era posible que las Cortea dicten su cedió i U discusión del proyecto presentado por la comisión eclesiástica. dictamen sobre esta asunto, sin esperar á que el poder respon…</t>
  </si>
  <si>
    <t>…cometía otra infracción de un nuevo decreto , otro insulto , otro bien á una comisión especial que se nombrase al efecto. desacato á la magestad y soberanía del pueblo español. El Sr. Prat insistió en que nada tenia de pirticular se pasase á la F.l Sr. ViUaboa dijo que se trataba de una duda de una ley , y por comisión que entendía en los negocios de Cataluña. lo mismo debía pasar este asunto á ia comisión de Legislación. Ei Sr. Galiano r Pido…</t>
  </si>
  <si>
    <t>…n dijo que desearía saber si las Cortes habían interpela guida que se Iryesen las firmas del dictamen. do al Sr. secretario del Despacho correspondiente para asistir á esta E' Sr. secretario Prat leyó las firmas, las cuales eran de los seño discusión. res V illa nueva é Isturiz. El Sr. presidente dijo que ahora no se trataba mas que de admitir E) Si. Canga continuó diciendo que él no lo habia firmado por í discusión el proyecto de ley para pasarle i l…</t>
  </si>
  <si>
    <t>…ión de Galicia bado todo el dictamen. que había entregado en 1a secretaría , relativa al pago de contribuciones. La comisión de Gueria, informando sobre la consulta del ministe El Sr. Prat contestó que si no s- había dado cuenta en las Cortea, rio de este ramo acerca de los premios y ascensos ofrecido* pur ia junta había pasado ya á ia comisión de Hacienda, en virtud de las faculta suprema de Galicia á Jas tropas que en el año de itio proclamar…</t>
  </si>
  <si>
    <t>…es un juicio sólido sobre ella. te cargo. El Sr. Marau apoyó se acordase la impresión con la mayor urgencia. El Sr. Canga fue ¿el jnismo parecer, añadiendo que debían leer las El Sr. Prat manifestó que lo que se había hecho en otras ocasiones memorias de sus respectivos ramos del mismo modo que se hace en loa era sacar una copia doble de la memoria ■- la una para que pasas; 3 la I» itn ros días de las legislaturas ordinarias. comisión que habí…</t>
  </si>
  <si>
    <t>…ignes , entre ellos el conde de Cabarrús, tuvo resitencia renunciar é los 11 millones de que se trataba. de parte del ministerio, acaso nicida de la inlluencia de los infinitos El Sr. Prat; Las Cortes asignaron para este objeto 13 millones de empleados en este ramo. Si un capitalista ofrece construir un canal en reales, los cuales habian de cubrirse de la renta de correos: ahora pide tres ellos empleando, v. gr., un cap'tal de 20 millones, y dá…</t>
  </si>
  <si>
    <t>…licarse también Tas leyes penales, 7 70 creo que trando los inconvenientes á que daba lugar este artículo. no cabe en esto explicación; por lo mismo podía añadirse al artículo F.i Sr. Prat dijo que habiendo un buque destinado para hospital se después de la palabra » Constitución” las siguientes: n leyéndose tam ria muy oportuno trasladar á el los enfermos; 7 en caso de que no le bién.” haya, debían ponerse en parage separado, á fin de que no te…</t>
  </si>
  <si>
    <t>Prat, Ramón</t>
  </si>
  <si>
    <t>Ramón Prat</t>
  </si>
  <si>
    <t>…ios únicos reguladores de los conocimientos de loe cesanas de Toledo, León y otras sobre la percepción del medio diezmo. candidatos. La comisión de Legislación en la solicitud de D. Ramón Prat para El Sr. Infante manifestó que no se oponía i la primera parte del que se le dispense un curso de práctica forense, opinaba se le podía con artículo, pero tí á la segunda, por cuanto podía dar origen.á arbitra ceder esta gracia. Aprobado. riedades en la du…</t>
  </si>
  <si>
    <t>Pratí</t>
  </si>
  <si>
    <t>…I 1 c.. y-.. la que se da por este articulo á los gefes políticos, ni que s; ataca en Art. 8 ° ; «; . r &gt; l.1 manera alguna los poderes dimanados de la soberan a constitucional Ei Sr. Pratí . . K. oi&gt;; i.&gt; de e»:e a¡t ,u.u c» el de p.-ner un c srrecpor las facu.tades qu; se dan al poder egecutivo ó á su» ¿gentes. t-vo á ias medí i», que t t han ap .btd.s . s.rte» . &gt; t: ¡1, ar ai d.sEs necesario no .onfuDdir io que es verdadaiam nte jud c a' con…</t>
  </si>
  <si>
    <t>Prcdo</t>
  </si>
  <si>
    <t>…ta variación, á menos «fe que no se fennicte pan todas rátrazones que te han alegado yo no encuentro motivo para tratar «leí asunto. «ponería é la modificación del Sr. Becerra. EI Sr. Prcdo continuó: Me es muy doloroso entrar de nuevo ea El Sr. Soria dijo que nadie te habia opuesto á que d códigopetate una discusión, que ha llamado muchísimo la atención pública; y es á la sanción Real, y tolo había sido objeto de discusión la especie de to suced…</t>
  </si>
  <si>
    <t>Presi</t>
  </si>
  <si>
    <t>…de la Gobernación de la Península tomo la pala sangre se dispersasen los alborotadores , conociendo su impotencia ó ar bra y dijo: hn virtud de la proposición que acaba de leer el Sr. Presi repentido; de su error. dente, ei secretario del Despacho, que tiene el honor de hablar á lai Ha;ta las 1 o de la noche se estuvieron recibiendo declaraciones, en Concs, recibid á las dos el aviso del acuerdo de las mismas. Los secre virtud de las cuales, y c…</t>
  </si>
  <si>
    <t>Presidente</t>
  </si>
  <si>
    <t>…ordenanzas, que se había presentado por la comisión ae inscribiesen en las listas hombre* casi inútiles, j que hasta ahora no &lt;le Guerra. habían prestado servicio* i la marina. El Sr. Presidente sefialó pera la discusión de mafiana el dictamen El Sr. Ferret (D. Joaquín): Tengo entendido que no hay necesi déla comisión de Hacienda sobre intendencias: el de la de Poderes dad de haberse matriculado en la lista de que se trata para gozar de sobre los del…</t>
  </si>
  <si>
    <t>…sin novedad en su im aquí un préstamo de tal naturaleza, que no habra con que pagarle , sin portante salud. hacer sobre él otroque aun sea mas oneroso: una marcha de esta natu El Sr. Presidente anunció que esta noche habría sesión extraordi raleza ha de obligar á la Nación, i las Cortes actuales ó venideras a naria , en la cual, como asimismo en todas las que hubiese , s« discuti que pronuncien la fatal voz de tauea-rota. Sí, señor, con dos ó tres r…</t>
  </si>
  <si>
    <t>…el vecindario, é inducir al desorden en la ciudad, será cumplimiento de los decretos del Soberano Congreso. también fusilado en el indicado término de i a horas.=Solsona i g de El Sr. Presidente levantó la sesión á la hora acostumbrada. Junio de i8aa.=Ei coronel comandante Manuel Fernandez.” Barcelona de Junio. NOTICIAS DE ESPAÑA. Escriben de Mantesa el ay lo que sigue: Sobona aa de Junio. » En esta se acordó el levantamiento de cuatro compañías vola…</t>
  </si>
  <si>
    <t>…debe manifestar e! Gobierno que no se fallía -i g| ca»o de la re—que debía felicitarle por su cumple afios. ponsab.lidad , porqu: acaso no llegaran i zod hembres los que se han El Sr. Presidente nombtó para esta diputación 4 los Sres. Munarriz, enviado fu.-ra de sus provinc a», habiendo quedada ouos tactos dentroLapueita, Escovedo , Jaimes, Seoane , Escudero, Falcó, Busafia, Lo de ellas. El Gobierno cuando dispuso da esta fuerza fue con el conoci ria…</t>
  </si>
  <si>
    <t>…El Sr. Becerra hizo presente que la comisión hab a presentado ya pasan á nuestras banderas, y no poco* toman partido en las compañías su dictamen y ae haba mandado imprimir, y «1 Sr. Presidente añadió de miqtielete*. Romanillos está preso en las cárceles de la Seo, después que se discutiría mañana. de haberle quitado su* compinche* cuanto había robado, y dádole mu Se discutió el dictamen de la comisión del Código de procedimien chos golpes. Ya no ex…</t>
  </si>
  <si>
    <t>Priego</t>
  </si>
  <si>
    <t>…no se discutiese; porque ;c&lt;mo era posible que de Ju nio de ibit , cuya taita ocasionaba grandes perju cios. se constituyese el clero en 15 días, cuando acreditó ia experiencia El Sr. Priego hizo varia* reflexiones para probar que este asunto no que en ia última noche en que hubo sesión se aprobaron los presu pertenecía S ’as Cortes extraordinarias, porque no estaba comprendido puestos sin discusión! Esto lo digo por las expresiones de algunos he…</t>
  </si>
  <si>
    <t>…Pacheco y la ua.rersidad de Za como sencillo, y siendo asi que por masque se digese en contrario, ragoza. tenia íntima can-iion con los asuntos que estaban señalado» á las Cor El Sr. Priego: En el párrafo 3-: de este srticu'o no se determina lo tes extraordinarias; opinó que cato debía tratarse inmediatamente. que deb: hacer el cura que presida el acto en q.ic -f proruse t el ¿1Hib endose declarado este asunto suñcicntemcnt: discutido, se de cur…</t>
  </si>
  <si>
    <t>…respecto de las idea que ha un modo puede la c^mipon conformarse con que te añadan al ártico- bía manifestado; y el Sr. CáUtráva «matató 4 ella*. » las'palabra queha ‘indicado el Sr. Priego; porque creo que no hay El Sr. Zapata: Cuando Se discutió este artículo la primera vez maf necesidad de decir mps' fuo lo que el artículo ekprcsa. opuse á su aprobación, y la experiencia ha manifestado que es muy El Sr. Ftrnandez insistió en que debía aclarar…</t>
  </si>
  <si>
    <t>…no bastará í impedirlo ¡pues rámn había d: abandonar á la qu- «e •I dictamen de la minoría de la cornisón. » sacrifica por su causa! &amp;c.” Yo no veo que aquí Jáuregui tn infi-s» El Sr. Priego dijo que si un Sr. diputado hubiese hecho la mocion te tu opinión , y solo manifiesta en cuanto al espíritu púb: ico de Gídiz que prevenia el decreto de 14 de Mayo de 1813, la cornisón la hubie que él cree no podrá impedir, y esto no es delito, porque á lo ma…</t>
  </si>
  <si>
    <t>…adecuada que la para su cumplimiento, y dispondréis se imprima, publique y circule.— prefijada en el artículo. Está rubricado de la Real mano.=En Palacio á 8 de Enero de t8n.s El Sr. Priego: En este artículo se ve que se aplica la misma pena al A D. Estanislao Salvador. que comete el homicidio en une persona que esté con su muger , que si lo cometiese en otra que estuviese con su biznieta. Esto no me parece Don Fernando vn por la gracia de Dios…</t>
  </si>
  <si>
    <t>…as, y demás edificios y oficinas ane como lo habían hecho con las Floridas , y no lo podía hacer el Rey. jas á ellas, y todos los demas frutos y aprovechamientos, incluso el de El Sr. Priego dijo que no podía convenir con el d efamen de la co la leña de corta que «I presente tiene, y los qu: en adelante Je puedan misión , porque no era aquel el modo de remediar los males de la corresponder dentro de las 1164 fanegas, 4 celemines y un cuartillo de…</t>
  </si>
  <si>
    <t>…de que se bailaba animado, y en los adjetivos que aplicaba al vic pondiente, tampoco se prohibía en esta. torear la Constitución demostró muy bien su sincera adhesión á ella, F.l Sr. Priego d'jo que el artículo era demasiado vago, porque con y el deseo d* que se conserve ilesa tal cual la Nación la juró de nuevo, una siitira ó con alguna alegoría podía acusarse á una autoridad de poca y ofreció sostener en el memorable año de ao , siendo dichas…</t>
  </si>
  <si>
    <t>…jor asistidos los cindiendo de esto , creo que todos convendremos en que el Gobierno presos que no én estas. debe tener una persona de su confianza , que pueda cumplir con esta El Sr. Priego dijo que el artículo tal como estaba dejaba campo obligación de denunciar los escritos que el Gobierno juzgue trastornaabierto á la arbitrariedad de algunos jueces, y por lo tanto propuso se dores del orden. No entraré tampoco en la cuestión de si los fisca a…</t>
  </si>
  <si>
    <t>…ones. Recorramos la historia, y veamos loe que se pusiese después de la palabra Autoridad la de temo tal. sucesos tristes que acontecieron en la revolución francesa. Generalmen El Sr. Priego dijo que se oponía i este artículo, asi como se 'había te todo el mundo desea comer sin trabajar, y esto deben tenerlo pre opuesto á los anteriores, porque le parecía que era el modo de volver sente los legisladores para cortar este germen , que es el destruc…</t>
  </si>
  <si>
    <t>Prieto, Josef</t>
  </si>
  <si>
    <t>Josef Prieto</t>
  </si>
  <si>
    <t>….róica en todos oficial de aquella contaduría, herido en persecución de ios fatcicso*. tiempos, y siempre desgraciada por el despotismo que la hizo el juguete Orense administrador D. Josef Prieto , contador de estancadas de y el pingüe patrimonio de lo* estrangeros. ¡Insensatos! Entronizada Valladoiid. Interventor D. Antonio de LUnos, escribano cesa-te de y desenfrenada la tiranía, ¡qué familia española dejaría de padecer y rentas de Gljon. perderse e…</t>
  </si>
  <si>
    <t>Prieto, Josef Antonio</t>
  </si>
  <si>
    <t>Josef Antonio Prieto</t>
  </si>
  <si>
    <t>…a distri razón mandada observar por el Gobierno en las oficinas de contabili bución del contingente entre todos los pueblos de la provincia. Madrid dad de la Hacienda pública: por D. Josef Antonio Prieto, contador as de Octubre de i822.=Ramon Salvato, presidente.=Diego Gonzá subdelegado de rentas nacionales en la ciudad y partido de Santiago. lez Alonso , diputado secretario.=Mariano Moreno , diputado secreta Fin esta ohrita se desenvuelven con la mayor conci…</t>
  </si>
  <si>
    <t>Primeros</t>
  </si>
  <si>
    <t>…atallones de nueva creación y para los ac el jurado, compuesto de los Srcs. D. Juan J. del Cubillo, D. Martin huales. Josef de Cantío, D. Josef M. Rerortillo, D Jcsquin de Trueba, Don Primeros exudantes. Juan Martínez Gatica, D. Cirios Carrera, D. Domingo Ranee!, Den Alicante al capitán graduado D. Antonio Melero, segundo ayu Luís Crosa y D. Matías Olave, declaró no haber lugar á la formación dante del regimiento infantería de León, con 670 rs. de…</t>
  </si>
  <si>
    <t>Príncipe</t>
  </si>
  <si>
    <t>…parezca, á sejero de Estado era compatible con el empleo de administrador de los fin de conciliar, no solo los intereses nacionales, sino las opiniones en bienes y encomiendas del Sr. Príncipe heredero de Lu:a, opinaba por contradas entre la ciudad de Cádiz y otras provincia* de la Nación, pro la negativa, y que de consiguiente las Cortes podían servirte declarar curando que por este medio consigan los pueblos las ventajas que espe que el marques d…</t>
  </si>
  <si>
    <t>Principe</t>
  </si>
  <si>
    <t>…, » ia» d v rlado de lo» t mp os t-i c-ird ro de O *. No s-.irio» capa.es m aun de sinn*s p .!» cas pueden »er ur recurso produc: * r , »- ha d. tern- r-.fo imaginar qu- el Termo. Sr. Principe 1 Porruca, p: i:»: ce -la manera; dar un» función n e! t -aíro , rep irt rrd * b . 1;tes a a» -- " -,» , ; r os pero no podemos rn.no» de a‘111 ..i-:,»» d- : i'.ya cst.mpa.fo en su cuales csiir.i &gt;n.¡.ca.io el numero de c p&lt; t s á qu- »• : o je oí, tnanifi-at…</t>
  </si>
  <si>
    <t>Princpr, Pedro</t>
  </si>
  <si>
    <t>Pedro Princpr</t>
  </si>
  <si>
    <t>…cia general de! 4.0 distrito mi!'tar._ «Excmo Sr.: El compuesta dv gó ¿abil os, m tad de! c tado reg.m erto, v m t.dneí comandante de la columna muvit auxilia! del t:r.«r distrito D. Pedro Princpr, siguo.s-n pirare as á la columna de infant-ra pita pole- «o Gallegos me da parte desde Espinosa de Cerraso i las cuatro de la tar disp. r.cr de ambas itin.s, según ia cíase de d.-fe-rsi que tratas- de ha de del 19 como sigue.- Al cabo de la incesante fatiga…</t>
  </si>
  <si>
    <t>Prmj, María Jos.fa</t>
  </si>
  <si>
    <t>María Jos.fa Prmj</t>
  </si>
  <si>
    <t>…tido que se introducía en sión opinaba que debía pasar á la de Hacienda. Arribado. España. Por coya razón, supuesto que estaba acordad» que se admitie- Otro sobre la exposición de Doña María Jos.fa Prmj, vecina de W en depósito los géneros de ilícito comercio, era muy justo que fue- la Corulla, para que se le concediese la tur r a de sus H-jos , »m em k despu» de tomad» todas 1» precauc on» que prescribía ia mis bargo de haber pasado á segundas nupcia-. La c…</t>
  </si>
  <si>
    <t>Proclama, Joaef</t>
  </si>
  <si>
    <t>Joaef Proclama</t>
  </si>
  <si>
    <t>…batalla. Maeila 26 de Agosto de soldados ó paisanos del país. Dios guarde á V. E. mucho* afios. Bem1822.=E1 G- D. E. M.=Miguel Gal van. bibre 14 de Agosto de iSnsBl coronel primer comandante Joaef Proclama. »¡ Viva la Constitución! Soldado* de todos los cuer Feijoo.=Sr. comandante general del tercer distrito militar.” pos: habéis dado en la ¡ornada de ayer un día de gloria á la patria. Valladolid a de Setiembre. Admirado segunda vez de vuestra decisión y arrojo…</t>
  </si>
  <si>
    <t>Prona</t>
  </si>
  <si>
    <t>…verificarse indistintamente bien sobre Trem ó sobre la Seo de Urgel. Si los enemigos del orden y de la justicia no perdonan medio al Para poner á cubierto la Conca se ha movido el general Prona con guno de alterar la tranquilidad pública, tampoco los verdaderos aman sus tropas sobre dicho punto, y It columna del brigadier Torrijos se tes de la Constitución y del Rey constitucional cesarán un momento aprox'mará al Segre ocupando á Agramont, para comb…</t>
  </si>
  <si>
    <t>Pros-ot</t>
  </si>
  <si>
    <t>…- - *. - * - - r s I.&lt;ftt tres ?S Je ./i. ’. Fn el Cc:trr!er d' Ed¡mbur.,o s- .1 i culo »ifu¡’nt»: W mor c-b.-J c 4 ai sup r'&lt;v, -rfi* en .le v-u f- " ' 'if &gt; * r &gt;’ ^ honr rabie lord Pros-ot ha reerbido hov - b-ido 1 u 2 cala de ord la unta de b. Pat» o ro en rn-no» cu* f* 1 a 'unta d- fv-re. - *S , ro » *•» ten v ’ ■ p ro q : - - "f Mcivills-, en qu- le d e- que e. R V ha d l-im "al &gt; v.sar • F- ocia el aqu verano prox :u 1. -i. \1. saldi.i el g…</t>
  </si>
  <si>
    <t>Provedo, Raimundo</t>
  </si>
  <si>
    <t>Raimundo Provedo</t>
  </si>
  <si>
    <t>…reservado la Diputación permanente en su sesión Compusieron el jurado los Sres. D. Estébao Echeniqne» D. Valen de go del mismo pan las actuales Coartes ordinarias. tín Torrecilla, D. Raimundo Provedo, D. Francisco de Lleno, Don El Sr. Argíielle* manifestó que no pod an las Cortes acceder á esta Anastasio Nava*,IX Andrés Gafo, D. Miguel Sánchez, D. Octavio exposición, por cuanto el asunto 4 que se refería era un testimonio da Pastor, presbítero, D. Joaquín…</t>
  </si>
  <si>
    <t>Prover, Manuel</t>
  </si>
  <si>
    <t>Manuel Prover</t>
  </si>
  <si>
    <t>…que debía te vea si el obispado de Ztiita es de absoluta Mémidad. Se potó 4 la comisión Eclesiástica. accederse á d cha solicitud. Aprobado. La misma , en vista de ia instancia de D. Manuel Prover , principal Sé'continuó la disensión pendiente sobra «I dictamen de la comi sión Eclesiástica acerca de la preposición del Sr. Gil Orduña. de la casa de comercio de Santiago titulada de Josef Atuires Úara'a y El Sr. Falcó: Es indudable que por rleones de públ…</t>
  </si>
  <si>
    <t>Prsdo</t>
  </si>
  <si>
    <t>…nce y cuarto; y leída el acta de la anterior quedó situación dí no poder sostener la pugna. Aseguran que el comisionado aprobada , mandándose agregar a eila el voto particular del Sr. Prsdo, ú enviado drl barón de Eróte* se ha dirigido por ud empréstito de contrario á la resolución de ¿as Cortes acerca de I* proposición del se cuatro millonea de franco* á dos casas de giro, ¡a* cuales entran en este ñor Canga. negóco siempre que sea con permiso…</t>
  </si>
  <si>
    <t>Prst</t>
  </si>
  <si>
    <t>El Sr. Prst: La ucttttrít ha pando todo* lo* expediente* í U» «► todo por la comisión mas que una parte de dicho proyecto; y por lo pectira comisiones, y lo* individuos de catas satán lo* que puedan mismo lo hacia presente á las Cortes para que determinasen lo conve coat…</t>
  </si>
  <si>
    <t>Pso</t>
  </si>
  <si>
    <t>…nación de cauta. Barcelona 8 de Ju A ota. F.n la gaceta del 29, col. g.*, lía. 45, donde dice D. Pie nio de 18aa.=F«lix Janer, Magín Coraminas , Mariano Esteve 7 Mo- Lanza, IFase D. Pso honda. EN LA IMPRENTA NACIONAL.</t>
  </si>
  <si>
    <t>Ptado</t>
  </si>
  <si>
    <t>…lor de di contribución directa sobre la riqueza territorial y pecuaria era muy excesiva, f que por lo tanto no solo atacaba la propiedad , sino que iba lo* edificios urbano».’’ El Sr. Ptado dijo: So en ignorancia de los pueblos,como la comi i destruiría, visto el poco valor de los Lutos y la decadencia en que te sión daba i entender , ni era tampoco la «alumbre ni loa errores en que halla la ginaiería. Acerca de la contribución de 'patentes dijo…</t>
  </si>
  <si>
    <t>Ptat, Josef Melchor</t>
  </si>
  <si>
    <t>Josef Melchor Ptat</t>
  </si>
  <si>
    <t>…ompaña , creo que se halla Sal vito de Fsteve, D. Francisco de Paula Roset y B*bí , D. Josef Bai- en la imposibilidad de ser diputad»; y mi creo obligado por la ley mis yes Oliva, D. Josef Melchor Ptat, D. Mariano Rubinat, D. Ramón ma i reclamarlo asi, pues si ahora se admitiese un empleado de palacio, Busaña y D. Hemeterio Martí. Fueron aprobados los poderes de estos en las Cortes siguientes habría dos, luego seis, y en fin podría haber señores diputados c…</t>
  </si>
  <si>
    <t>Ptusa, Josef</t>
  </si>
  <si>
    <t>Josef Ptusa</t>
  </si>
  <si>
    <t>…ar. ridos, 3 contusos y a caballos muertos, uno de un cabo de coraceros, y » Yo, que me he educado entre el estruendo de las arma*, y que otro el que montaba el capitán de Córdoba D. Josef Ptusa. A las cua no conozco mas placer que el dirigirlas contra los execrables enemigo* tro de la tarde entramos en Vich , siendo digna da todo elogio la se del grandioso sistema que hemos abrazado, seré el primero en daros renidad y valentía con que la vanguardia…</t>
  </si>
  <si>
    <t>Pu, Florencio</t>
  </si>
  <si>
    <t>Florencio Pu</t>
  </si>
  <si>
    <t>…expensas de un* levísima herida de lanza que recib o *1 qué admirarnos »■ consideramos el furor frenético que perturba el jui intrépido capitán Mendivil, la injerte del Cjbaüo de D. Florencio Pu cio de los ult'.u 1 Ls gloria y prosperidad que promete 4 la Nación es che, cadete del Príncipe, y haber »a!ido h:rido el d: D. Juan Fernan pañola tu fttema liberal son paracllotstn tormento mas cruel que el dez de Bazan , que 4 mi inme-fiscion s gue al ejérc…</t>
  </si>
  <si>
    <t>Puchet</t>
  </si>
  <si>
    <t>…en el primer caso del artículo. egreutsdos con violencia á jhitrotay” Aprobado- Se suspendió esta discusión. Art. 448. *&gt; En el c*so de que pera l* sustracción, alteración, des Él Sr. Puchet dijo que tenia hecha una solicitud á las Cortes para trucción , apertura ó fraudulenta introducción de los efecto* expresados que le concediesen permiso pan regresar á su pais por varios motivos ca este capítulo interrenga atguaa violencia contra cualquiera p…</t>
  </si>
  <si>
    <t>Pucnt, Jotef María</t>
  </si>
  <si>
    <t>Jotef María Pucnt</t>
  </si>
  <si>
    <t>…uciones directas, comprensiva de Sres. qua lo creyeron sed cioso: D. Josef Demetrio Rodrigues, una Real orden sobre pagos As medias anatas. ( Gaceta del xa. ) D. Bernardo Asen jo, D. Jotef María Pucnt* y D. Josef Larrc.legui* EN LA IMPRENTA NACIONAL.</t>
  </si>
  <si>
    <t>Puehet</t>
  </si>
  <si>
    <t>…que me hubiera impulsado í no votar el dictamen, lo tengo las d íseroiones de aquellas provincias no conocen otro remedio que va en esta ocasión. El Sr. 1). Pablo ( Lallave) y el Sr. Puehet manifesta lerse de la fuerza ó de medidis poiíticas. Todo el mundo sabe et esta ron bien claramente qué quería decir esto de mandar comisionados i do de los egércitos españoles en aquellas provincias, y asimismo la America y el oír los votos de ios pueblos; d…</t>
  </si>
  <si>
    <t>Puen-, María Concepción</t>
  </si>
  <si>
    <t>María Concepción Puen-</t>
  </si>
  <si>
    <t>…ntaron de D. N. Cabarcas, solicitanque lo es de la misma: para la de Orense á D. P.dro Boa doS¡ do que se establezca una intendencia en Panamá. [ A la de Hacienda una solicitud de Doña María Concepción Puen- que lo es de la de Zimora: para la de Vuo al brigadier D. Ra-.noa Losada: para la de Badajoz á D. Luis Castillo Barrantes, que io t&gt; de 1 te, relativa á una pensión. la de Extremadura: para la de Lugo al teniente coronel D. Ana l del I A la de Premios una exp…</t>
  </si>
  <si>
    <t>Puente, Euscbio de</t>
  </si>
  <si>
    <t>Euscbio de Puente</t>
  </si>
  <si>
    <t>…rlas, lo hago en el de hoy, acompasán modelos de imitación por su valor y decidido patriotismo, como tam dole copia del parte que en consecuencia he pasado al Sr. comandan bién de D. Euscbio de Puente, ayudante de esta plaza, y de D. Do te militat de este tercer distrito, añadiéndole que desde entonces nin mingo Andrés , espitan de infantería en dispersos , que los acompaña guna novedad ha ocurrido en este batallón hasta su llegada á esta ciudad. ron en su…</t>
  </si>
  <si>
    <t>Puente, JoKfdütHi</t>
  </si>
  <si>
    <t>JoKfdütHi Puente</t>
  </si>
  <si>
    <t>…s exima de «na con Cortes en que aprobaron el dictamen de la comisión de Premios , rela tribución - que pagan; y otra de un vecino de Murcia, haciendo varia tivo 4 la solicitud de D. JoKfdütHi Puente. observaciones sobre el arreglo de consulados. A la comisión de Diputaciones provinciales se mandaron -pasar una A la de; Instrucción pública una exposición del ayuntamiento con*, exposición de varios vecinos'-del' Pedemoso, y de otros -de Llerena, titucional…</t>
  </si>
  <si>
    <t>Puente, Josef María</t>
  </si>
  <si>
    <t>Josef María Puente</t>
  </si>
  <si>
    <t>…último que d.ber a aprobarse Después de una ligera discusión se pasó a la comisión de Hacienda lo que acababa de proponer el Sr. Salva r.spe^to de la impresión. una exposición •!&lt; D. Josef María Puente, gefe político que fue de Ga El Sr. Arguelles: La com.sion de Guerra es ¡a que podrá ilustrar licia , manifestando cuál había sido su conducta en el desempeño de es esta mater.a. Propongo pues que rsta comisión d ea ia maro: breve te destino, y pidiendo se le…</t>
  </si>
  <si>
    <t>…El ge Se leyó este segundo dictamen, que decía asi: » La comisión de Pre nio de la muerte debió sentarse en el seno de vuestras lámilias, señalar mios en vista de ia solicitud de D. Josef María Puente, para que se allí las víctimas que habían de ser sacrificadas á una desoladora epide deciare el sueldo que debe gozar y otros particulares, cree que el Con mia, y sumir en ¡a soche del sepulcro á escogidos defensores de la li greso podrá reconocer los disting…</t>
  </si>
  <si>
    <t>…eto c. ino á as once de la mañana. í-i coman mingo Fernandez \ngu!o, D. Pedro Matute, D. Jos f Antonio Pondante D. Manuel Arengo, qu; iba á la vanguardia con 24 soldados del zoa , D. Josef María Puente, D. Marcos Antonio Menczo, D. Juan b¡: ilion d*«liarb.isiro , se encontró con los facciosos en Coll-sacreu Francisco Travesedo y D. Carlos González Llanos. sobre Sagit c.-, y los peisiguió h.sU la sierra de Vila lamiras: los faccio Habida ¡a conferencia, se d…</t>
  </si>
  <si>
    <t>Puente, JoSef María</t>
  </si>
  <si>
    <t>JoSef María Puente</t>
  </si>
  <si>
    <t>…de Ha regulaba comunmente por cinco personas, no todos los matriculados cienda. eran casados, y asi regulando á cada uno de ello#, casado 6 soltero una Uno sobre,1a exposición de D. JoSef María Puente, manifestando familia de cuatro petsonas, se hacia á la provincia mas bien favor que que 4 consecuencia de la resolución de las Cortes de ay de Muzo úl agravio. timo habia solicitado del tesntero general el pago del ktbr corr.sSe tuvo por suficientemente disc…</t>
  </si>
  <si>
    <t>…la milicia nacional se piden tres las Cortes goza el gefe político cesante de la antigua provincia de millones ; y sin embargo de que se concedieron otros tres para el mis Galicia D. Josef María Puente. La comisión no halla reparo en el mo objeto en el presupuesto general del presente año económico,** abono dt estas partidas, reduciendo á gy3 rs. el sueldo de los g:f.s digno de tanta recomendación este artículo, que la comisión no hs interinos, poique es lo…</t>
  </si>
  <si>
    <t>Puente-, Joscf María</t>
  </si>
  <si>
    <t>Joscf María Puente-</t>
  </si>
  <si>
    <t>…e su» altas virtudes. Se procedió £ la discusión del dictamen de la cornisón de Premios » Tal es, barceloneses, el cuadro interesante que habéis ofrecido en sobre la exposición de D. Joscf María Puente- ( Véase la sesión an la época memorable en que vivimos. Dos afios habéis dado de lección;» terior.') importantes, y dos afios de satisfacción y de gloria al ayuntamiento Leído este dictamen, el Sr. Seoane, como individuo de la comisión, constitucional que os…</t>
  </si>
  <si>
    <t>Puerto-Rico, Jaime O-Dalí de</t>
  </si>
  <si>
    <t>Jaime O-Dalí de Puerto-Rico</t>
  </si>
  <si>
    <t>…militares y de Aguirre Aristegui y compañía , y resultando ser interesados D. Juan eclesiásticas, de cualquiera clase y dignidad, que guarden y hagau guar Josef Goicoa de Madrid , D. Jaime O-Dalí de Puerto-Rico , ia dar , cumplir y egccutar el presente decreto en tudas sus parus. Tcn- casa de Bengutr y compañía d» Sta. Cruz de América, D. Est-ban dreitlo entendido para su cumplimiento, y dispondréis se imprima, Gaillard de París , y la casa de Valpole y Eilison ds L…</t>
  </si>
  <si>
    <t>Pueyo, Manuel</t>
  </si>
  <si>
    <t>Manuel Pueyo</t>
  </si>
  <si>
    <t>…Comandancias subalternas de provincia correspondientes al séptimo Sres. jueces de hecho D- Mariano González, capitán graduado de te distrito. Para la de Gerona al marical de campo D. Manuel Pueyo, niente coronel del regimiento de Zamora; D. Vicente Marzo, aboga gobernador de la plaza de S- Fernando de Figueras. Para la de Lérida, do; D. Vicente Llopis , canónigo magistiai de la santa igusia de Va al mariscal de campo D. Josef Vellido, gobernador de la…</t>
  </si>
  <si>
    <t>…la citada actual marquesa, y solicitud de Accediendo el Rey 4 laa repetidas instancias del mariscal de cam que se devuelvan las retenidas y existentes en la actualidad en dicha po D. Manuel Pueyo, comandante militar de la provincia de Gerona, escribanía 4 aquel establecimiento donde proceden como partes de las y gobernador de la plaza de Figuerat, se ha servido admitir la renun 6¡y acciones del fideicomiso del prenotado F.xcmo. Sr. D. J..»eC Joa cia q…</t>
  </si>
  <si>
    <t>Pufg, Josef María</t>
  </si>
  <si>
    <t>Josef María Pufg</t>
  </si>
  <si>
    <t>…las Costes han decretado lo si ' Dt la audiencia dt Aragón. D. Josef Ramón Sirera á la audien guiente ¡ Lac Cortes, usando de ia facultad que se lea concede por la cia de Navarra. D. Josef María Pufg á la de Valencia. Constitución , han decretado : Déla audiencia dt Astúrias. D. Nicolás Gómez Villaboa á la de i. a «Que todos los créditos procedentes de suministros de provi Vallsdolid. D. Eugenio Manuel Cuervo á la de Navarra. D. Josef Rosiones y utensilio…</t>
  </si>
  <si>
    <t>Puga, Francisco</t>
  </si>
  <si>
    <t>Francisco Puga</t>
  </si>
  <si>
    <t>…dos por los gefe* de ios cuerpos, y de Los jueces de hecho que fueron de esta opinión son D. Francisco Hi los del comisario de guerra respectivo. dalgo , D. Antonio Cortés y Coll, D. Francisco Puga, D. Santiago de 4. * Será de cuenta de ios asentistas la totalización en fin de cada la Azuela y D. Francisco Robles y Benitez: los otros cuatro U. Ni mes de los recibos del suministro que practique, para que presentándo colás Iraola, D. Bernardo de la Peña D…</t>
  </si>
  <si>
    <t>…Antonio Cañad;.i, D M gu i Gar $084..... IOOO. En Jaén. cía Ortiz, D. Josef María Retoilillo , D. Juan Francisco b&gt;pe os.a, j§8rii...... IOOO. En Badajoz. D. Joaquín María Gofii, D. Francisco Puga, D P.b o Maten y IX-n *780/...... IOOO. En Madrid. Juan Perez, declaró por unanimidad no ka.tr lujar a ¡a jotma.wn ARTICULO DE OFICIO. de cauta. CORTES. El fiscal de impreso* de 1» provincia de Cád'z denunció rn 5 cel cor Comisión de Visita del Crídito fúllic…</t>
  </si>
  <si>
    <t>PuiabUnch</t>
  </si>
  <si>
    <t>…a mencionada ciudad de Palma, y para 'que su* lo particulares, quedarían impuna por el juicio de jurado*. '.locedenciai desde entrado Febrero próximo se reciban á libre plática El Sr. PuiabUnch impugnó el utículo, opinando que se quitaba al y coiherc.o contarme i ordenanza; entendiéndose anuladas en cate or jurado la facultad de su institución en beneficio de la libertad de im den toda* y cualesquiera restricciones practicada* basta el día con laa p…</t>
  </si>
  <si>
    <t>Puiblanch, Antonio</t>
  </si>
  <si>
    <t>Antonio Puiblanch</t>
  </si>
  <si>
    <t>…que en al juicio para que eran convocados, se procedió ai sorteo do dos suplan, ella tenia. Con ellos se dirigió á le peoviacR de Coro, con el objeto de tes, y salieron los Sres. D. Antonio Puiblanch y D. Joaquin Ruiz. reunirse en ella i las guerrillas que defendían le causa.de la Nación: al Reunido el jurado, y habida la conferencia , se declaro por unani 14 de Diciembre desembarcó en Lostaqua de Paraguana, cuyo punto midad no haber lugar 4 la formación de causa. estaba d…</t>
  </si>
  <si>
    <t>Puiduhés, Martin de</t>
  </si>
  <si>
    <t>Martin de Puiduhés</t>
  </si>
  <si>
    <t>…públicas; y después de hab-r conf ten- - Mis cu rrillas de infantería y caballería, ia* primeras al mando del ciado con el teniente coronel comandante del regimienta mi'icia racio teniente D. Martin de Puiduhés y del capitán del regimiento de Ainal local D. Joief Luis Amandi y el coronel comandante del regi túiias D. Antonio Pimcntcl , y lea segunda* á U del capitán y alférez</t>
  </si>
  <si>
    <t>Puig, Asimilo</t>
  </si>
  <si>
    <t>Asimilo Puig</t>
  </si>
  <si>
    <t>…. También pre Lista de lat personen detenidat en ia noche del £ al 6. vengo á V. que s: de los va.ientes que han sido atacados en ese pue D. Josef Rich, g bernador de Ja ciudadela—D. Asimilo Puig, blo resu tare aJgun muerto ó herido, hebra de satisfacer ese vecindario teniente ds Rey de id__ D. Ignacio Pombo, comisario da Gu na.__ á cada uno de estos ó á ias viudas de aquellos cuatro reales diarios D. Silvestre Manuel Blanco, contador de correos—.D. J…</t>
  </si>
  <si>
    <t>Puig, Josef María</t>
  </si>
  <si>
    <t>Josef María Puig</t>
  </si>
  <si>
    <t>…n La comisión segunda de Hacienda, en vista de la solicitud de i ma ción de U&gt; Coi tes sobre el gravamen que iban á sufrir las prov ncia* gistrado del ir.bunal supremo de Justicia D. Josef María Puig, par« donde hay milicia de esta clase, quedando libre de el las provincia* que se concediese á su esposa Doña Dolores Aguirre la viudedad cor donde todavía no la hay; por lo cual ias Caites d b.an str muy cir respondiente , no obstante habetse casado después…</t>
  </si>
  <si>
    <t>Puígblanch</t>
  </si>
  <si>
    <t>…onservase la memoria del Sr. Na to al derecho de periage la comisión no decía que se quitase este dere varro. cho , y en cuanto 4 este punto se había entendido muy mal tu dicta El Sr. Puígblanch dijo que no sabia cómo habían de atar separados men : en suma, la comisión había resuelto acerca de las solicitud» de «toa libros, y que bastaba se marcasen. que te trataba lo mismo que habían resuelto las Corta con rapecto 4 El Sr. conde de Toreno dijo que p…</t>
  </si>
  <si>
    <t>Puigblanch</t>
  </si>
  <si>
    <t>…na prisión de oche meses á tres delitos de lesa majestad, suponiendo que no puede haber singan ingfts años.” que estando en su sano juicio fuese capaz de atentar contra la vida El Sr. Puigblanch dijo que observaba que en este articulo se adop de su Rey, y que asimismo era imposible que en España hubiese nin taban las palabras játirai 4 invectivas, jr estas mas eran contra las per gún hombre de juicio que conspirase contra ia religión; qae no todos so…</t>
  </si>
  <si>
    <t>…sobre el mismo habían hecho el Sr. Espiga al art. 131; el Sr. Arrieta que se ha consultado sobre todo. En la parte tipográfica, para que la im a al Z33: el Sr. Ramonet al &gt;35: el Sr. Puigblanch al mismo; y los presión sea elegante y correcta , nada ha omitido la imprenta Nacional, Sres. Cepero y López ( D. Marcial) al 236; que se mandaron pasar á en cuyo despacho se vende este primer tomo á 17 rs. en rústica y 20 en la comiaion. pasta. La misma pres…</t>
  </si>
  <si>
    <t>…sadas, y por otras que con fringe la ley por alguna causa que pueda y deba evitar. tienen algunos periódicos de París se colige que la limación de Cons- Al art. 1 a (adicional del Sr. Puigblanch): »EI español que coa tantinopla y del Gobierno otomano as sumamente apurada. Desór arreglo á los tratados ó en los casos que prescriba el código de proce denes en la capital, sublevaciones en las provincias, rebeldía de ba dimientos fuete juzgado en España s…</t>
  </si>
  <si>
    <t>…uparán también sus tempora 1, Las Cortes extraordinarias, usando de la facultad que se les con lidades.*’ cede por la Constitución , han decretado: Que ínterin sr establecen re El Sr. Puigblanch dijo que los (aflores que impugnaban el artí glas fijas para el comercio de !a isla de Mo. Domingo, previos los prin culo se valían para ello de varios artículos de la Constitución , que no cipios generales y particulares que se adopten por las Cortes con res…</t>
  </si>
  <si>
    <t>…ad local, ni aun obtenida esta, podrá mientosssRubricado de la Real mano.=?alacio 8 de Enero de t8az.= verificarlo desde una hora después &lt;íe puesto el sol hasta su salida &amp;C.” El Sr. Puigblanch opinó que el articulo del modo que re pioponía A D. Angel Vallejo.” zanjaba todas las dificultades que se habían suscitado, y por lo mismo Don Fernando vn por la gracia de Dios y por la Constitución de las Cortes no podrían menos de aprobarlo. El Sr. Sancho i…</t>
  </si>
  <si>
    <t>…personalmente. Sr. Cano Manuel al mismo: otra del Sr.Pefiafiel al 619: otra del señor Se leyó el artículo en estos términos, y quedó aprobado. Alvarez Sotomayor al 63$; y otra del Sr. Puigblanch al 638. Art. &lt;$33. » El que sin orden ó permiso de ia autoridad legítima Asimismo se mandó pasar á la comisión una exposición de Don entierre, encubra ú oculte «le cualquier manera el ca«lavcr de una per Juan Antonio Zapata; haciendo varias observaciones sobr…</t>
  </si>
  <si>
    <t>…positen en sus departamentos rescrvn c .” Para dar libertad 6 maltratar á los deten!Jos trc. ■ Art. 533. (Adición d.l hr. Echevarría.) Debe colocarse ai leí Art. 371. (Adición del Sr. Puigblanch.) * Debe colocarse Cutre loe cap. tu, tít. va ; vatiar.de,e ia numeración de los artículos si^u.ctit.s.</t>
  </si>
  <si>
    <t>…ie de ataque no era mas que declarar U opi lla para ayudar á los jurados en la calificación de los impresos. nión , todo el mundo lo podría hacer. La persona del Rey está, digá El Sr. Puigblanch impugnó el artículo, manifestando que toda per moslo asi, separada del poder ejecutivo: la persona Real es un sagra sona puede tener sus faltas y ser injuriada; pero podía serlo grave ó le do aparte, al cual no puede llegar ningún ataque; y es preciso no per…</t>
  </si>
  <si>
    <t>…e den medios y facultades para denunciarle. Es indudable que el fiscal solo decia que fuese lugar seguro. tiene esta obligación cuando es excitado por el Gobierno ó por el gefe El Sr. Puigblanch se opuso al artículo , manifestando que lo mas político; pero las Cortes no pueden desentenderse de que sobre este que debía hacerse era destinar en las cárceles lugar separado para loe asunto se han suscitado dudas, no solo en esta capital, sino en otro* del…</t>
  </si>
  <si>
    <t>…ticular del Sr. Oliva (víase en 1* ¿ateta dt adicional al código penal pee la comisión que le había firmado. ayer.) fiu autor preguntó ai Sr. ministro de b Gobernación de Ultra El Sr. Puigblanch apoyó el dictamen de le comisión, manifestando mar ti eran cierta la hecha que expresaba en el diacato que prece no podio plantearse el código penal sin tena ye establecido* los jura día al mismo voto; y el Sr. miniaro dijo que comprenda muchos dos y demás co…</t>
  </si>
  <si>
    <t>Puigblanch, Antonio</t>
  </si>
  <si>
    <t>Antonio Puigblanch</t>
  </si>
  <si>
    <t>…o Msrt&lt;nez Marina, D. Jode esas leyes. tef Reher, D. Lino Campos , D Jotef Larteategui, D. Antonio Ra Es pues preciso no desconocer esto, y tener presente las circunstancias gas y D. Antonio Puigblanch; habida la conferencia te declaró por del tiempo en que se dió la ley para ver si en ei día puede producir sa unanimidad no haber lugar á la formación de causa. ludables efectos. En el día las circunstancias han variado enteramente; la Nación ea ANUNCIOS. lib…</t>
  </si>
  <si>
    <t>…la D. Manuel Esteban Caula ; D. Gonzalo Cárdenas; D. Andrés Mar Constitución, han decretado lo siguiente : i.3 La ¡unta nacional dei Cré- tínez Orinaga; D Pedro de Alvaro Delgado; D. Antonio Puigblanch; dito público procederá inmediatamente á la extinción de los crédito* D- Valentin de Nicolás; D. Antomo Rcgás; D. Juan Manuel de Aréque tenga en caja, ejecutándolo indefectiblemente cada mes con los qu# jula y D. Josef Radon. lleguen á sus mano* , y haciéndol…</t>
  </si>
  <si>
    <t>…tremeterte en asuntos ágenos; pero también á En su vísta se reunió el jurado, compuesto de lo* Sres. siguientes: no consentir que ninguna nación del mundo te arrogue el detecho de D. Antonio Puigblanch, D. Cayetano Romero, D. Juan Pablo Pas intervenir en tus negocios interiores; lo primero porque no es justo, y cual , D. Josef Demetrio Rodríguez, D. Santiago Delgado, D. Fran lo segundo porque consideran cita máxima perjudicial de la interven' cisco Martínez…</t>
  </si>
  <si>
    <t>…, conde de males. la Torre del Fresno , I). Cis.miro Martin, 1). Lorenzo Calvo de Ro Vuelve á repetirse qua el egército ruso del Oeste se conservará en zas, D. Gregorio Mrndivil , D. Antonio Puigblanch, D. Jos:f de sus posiciones; y abara se obsarva que están muy reconcentrados ios San Millan y D. Ramón LI rd. cuarteles generales de invierno del egército del Sur; y todas las tropas Habida la conferencia se declaró por unanimidad haber lugar á la se hallan r…</t>
  </si>
  <si>
    <t>Puigbtanch, Antonio</t>
  </si>
  <si>
    <t>Antonio Puigbtanch</t>
  </si>
  <si>
    <t>…Rec-.o, disposición , y les acomodase satisfacerlo en el punto en que ocurra la D. Juan Manuel Aréjula, D. Celestino Olozaga, D. Miguel Dolz, urgencia. D. Francisco de la Carrera, D. Antonio Puigbtanch, D. Francisco Hn el supuesto da que la Hacienda pública no hace mas abono Barra, D. Gonzalo Cárdenas. á los contratistas que los precios estipulados por cada libra ó quintal de Habida la conferencia, se declaró por unanimidad haber lugar á la lo&gt; Mbzi.ns que…</t>
  </si>
  <si>
    <t>PüigWinch</t>
  </si>
  <si>
    <t>…re alguno de les objetos destinado» al culta Francisco de J»uregu¡, quien en su misma exposición concluye supli públ ico.* cando que su conducta sea examinada ante un tribuna!. El Sr. PüigWinch dijo que no sabia que tuviese nada de malo el F.l br. presidente dijo que si las Corte» no determinaban otra cosa, destruir ó romper ciertas ciases de imágenes, porque en E-piña habia quedaría este expediente sobre la mesa, y señalaría día para su discusión;…</t>
  </si>
  <si>
    <t>Pujol, Ignacio</t>
  </si>
  <si>
    <t>Ignacio Pujol</t>
  </si>
  <si>
    <t>…isposición del fiscal militar que entiende en el proceso del ría de Eolguer.is en el cono jo de Sa as, principado de Aslúrias, ocur Sr. Pol de Quimbert, las personas siguientes -. D. Ignacio Pujol, vica rido en 10 de Setiembre de líiio, para que en el término de 30 d as, rio gen: ral ecl-siástico.—D. Miguel de León y Medióla, canónigo _ contados desda el d- su publicación, comparezcan por sí ó per medio El pabor le D. Manuel Izquierdo—O. Gabriel Esquel…</t>
  </si>
  <si>
    <t>Pujol, Josef</t>
  </si>
  <si>
    <t>Josef Pujol</t>
  </si>
  <si>
    <t>…rales de Sefíores que compusieron el jurado: D. Antonio Gutiérrez de Pan Distribución de la Hacienda pública, la de Consolidación , Juros y ofi do , el barón de las Cuatro Torres ,D. Josef Pujol, D. Nicolás Villa- cina de Renovación de vale*, cuya publicación se egecuta á mas de ha campa, D. Tomas Vives, D. Josef Segundo Soler y J.-nkins , Don berse acompañado á la gaceta del lunes 10 del coniente mes , para que Pedro Rambaud, D. Francisco Ignacio Pe…</t>
  </si>
  <si>
    <t>…usaban .* enemigos irreconci rez de Pando, D. Guillermo Olivrr, D. Pablo Sauri y Ern, Don liables da la Espada, invocéban contra nosotros todo el poder da la santa Juan Olivclla, D. Josef Pujol, D. Jo»ef Martí y D. Félix Ru'z , de alianza ; pero habiendo variado de optaron niegan ya i los aliados los clararon por unanimidad haber lugar i formación de -causa contra derechos qua antes gratuitamente la* concedían, y convienen en que el autor del impres…</t>
  </si>
  <si>
    <t>Pujol, Joseí</t>
  </si>
  <si>
    <t>Joseí Pujol</t>
  </si>
  <si>
    <t>…acabados. En Constantmopla, y iarriga, D. Francisco Ignacio Pelleja, D. Joscf Antonio Bertrán, aun en el mismo divan , continúa reinando ia mayor desconfianza bree D. Josrf Martí, D. Joseí Pujol y D. Alberto Arnet, declararon por la corte de Rusia: á cada momento se están manifestando reacios, y difi- unanimidad haber lugar á la formación dt causa contra el autor de un cilmente podrán disiparlos los ministros mediadores. Repiten que estos impreso publicado en el Diario…</t>
  </si>
  <si>
    <t>Pulido, Josef Mariano</t>
  </si>
  <si>
    <t>Josef Mariano Pulido</t>
  </si>
  <si>
    <t>…an Martínez de Rojas, á 2 de Noviembre Sres. que formaran el jurado: D. Miguel Tortosa, D. Josef Villaver- de la era 141 a', año 1374._-.Otro de un juro de 39 tan. aobte el porde, D. Josef Mariano Pulido, D. Francisco Montenegro, D. Mariano tazgo de Pancocvo i favor de Juan Mattinez de Rojas, á 5 de SetiemRniz de Navamuel, D. Josef Fernandez Guerra, D. Josef Díaz de Ri« bre de la era 1414» año 1376—«Otro «le la confirmación de un juro de baa, D. Josef Fuster…</t>
  </si>
  <si>
    <t>Pumarcjn</t>
  </si>
  <si>
    <t>…tes: en la )’ Taboada, uno el Sr. Rodrigo y otro el Sr. Marchámalo. Tota! 85. primera dice que los poderes del Sr. Fscoredo están arreciados á .a t.or.sEn la décima fue elegido el Sr. Pumarcjn por 68 vote» de 8* , re lifuc on , v p -r I 1 m smo deben aprobarse: y en la secunda min fie.!* partiéndose los testantes cu esta forma; 8 el Sr. Vulaboa, 4 el señor a.¿unas iludas sebre si d.b: admitirse en el Congreso me det.odre muy</t>
  </si>
  <si>
    <t>Pumarcjo</t>
  </si>
  <si>
    <t>…del Go Huancayo; en cuyo caso se servirá acudir i la calle Angosta de S. Ber bierno; pero debiendo este cuidar de que se vigile por lo* arqueos se nardo , número ao, casa del Sr. diputado Pumarcjo. manales el evitar lodo alcance. De orden de las Cortes lo comunica Diccionario primordial latino y castellano, por el Dr. D. Joaquín mos á V. E. para los efectos correspondientes, devolviéndole adjunto Sanchis Abella. Se vende en las libretias de Alonso y An…</t>
  </si>
  <si>
    <t>…se laJa r.specto de los individuos pertenecientes al cu*r¡v» dr ¿ ■&gt; habian ó no de abandonar ó enagenar. de Co'ps al carceleio , d-jandole en la clase de cesante con su »ue... El Sr. Pumarcjo para deshacer una equivocación del Sr. Arcíielle* en ptemio de sus distinguidos servicie» y ancianidad. dijo que la compañía mora no era tal compañía , sino un pelotón de Se mandaron pasar a la comisión de Gj.rra dos adiciones H:1 stgente; y que en cuanto á l…</t>
  </si>
  <si>
    <t>Pumarejo</t>
  </si>
  <si>
    <t>…e la» que anterior Se leyó la siguiente proposición de lt s Sres. Vega V Villanueva: mente habia expuesto. •&gt; Vista la notable desigualdad de medios con que hasta ahora ha sido El Sr. Pumarejo: A la marina se !a han pagado muy cortas cantidades; incurrida la marina, antes que concluya el año económico y mientras y la secretaría de Hacienda, al paso que tenia dinero para satisfacer todos se toman providencias oportunas, pedimos á las Cortes que por…</t>
  </si>
  <si>
    <t>…ia mucha circunspección en e-t; Se leyeron y mandaron quedar sobre la mesa dos d.ct r.i.nes de la asunto. «omisión de Hacienda , el uno sobre el dvrecno que deber, p.iv.b.r le» Ei Sr. Pumarejo dijo que había muchos españoles que se hadaban administradores de la Hacienda pública en '■* Has-era por ios cau..»ies en el mismo caso que Vidal, y qui deb a hacerse dif renc a ent^e «lisíente» en depósito , y el otro sobre la abo icion &lt;1. la ¡unta coi t ti…</t>
  </si>
  <si>
    <t>…persona alguna; y mientras se hallare en tal facción, no poárá ai mismo acocaría con rcuy buena intención. oficial da U guardia castigarle ni agriamente reprenderle.” Aprobado. El Sr. Pumarejo dijo que la experiencia había enseñado qne era ne Art. 30. » No permitirá que á la inundación de su puesto haya cesario suspender en muchos casos lo prevenido en este articulo y asi pendencia ni desorden de ninguna especie." Aprobado. era que en el sitio de C…</t>
  </si>
  <si>
    <t>Pumirino, Pedro García</t>
  </si>
  <si>
    <t>Pedro García Pumirino</t>
  </si>
  <si>
    <t>…erventor O. Juan de Dios Portila, ofi cial de la comisión central de cumias de pr&lt; visionc?s. A fin de acordar lo conveniente fi la distribución del corto caudal Avila interventor D. Pedro García Pumirino, oficial de la conta existente de la testamentaría del mariscal de campo D. Josef Casimiro duría de Astúrias. de la Valle, cuyos autos penden en el juzgado de la comandancia ge Oviedo interventor D. Pedro Cañero , oficial primero de la conta neral de este pri…</t>
  </si>
  <si>
    <t>Putgcerdé, Mina de</t>
  </si>
  <si>
    <t>Mina de Putgcerdé</t>
  </si>
  <si>
    <t>…ma tarde Noticias oficiales del ejército de operaciones del p.° distrito militar. del 14. La victoria coronó los deseos de aquello, habitantes; peto la El 4 del corriente salió el general Mina de Putgcerdé con la prime desgracia les privó de la vida del capitán de la milicia de aquel pueblo ra división para la Seo de Urge!, dejando en la Cerda fia 500 hombrea D. Josef Torres, que murió con la espada en la mano durante rl ata del batallón de Laredo, i las órdene…</t>
  </si>
  <si>
    <t>Putnbívy, Féfipé Sierra y</t>
  </si>
  <si>
    <t>Féfipé Sierra y Putnbívy</t>
  </si>
  <si>
    <t>…ue se la hiciesen por los contribuyentes. circule. =Rubricadó de-la Real manió. = bn Aranjuez á go de Mi ir La comisión cree que puede adoptarse el medio que propone la de 1822.=A D. Féfipé Sierra y Putnbívy. junta para recaudar los atrasos de consolidación y Crédito público hasta CJrtntl.it dtl tminiitenv de la Guerra. fin de 1814 que te hallen en poder de primeros contribuyentes, ad n Habiéndose servido el Rey aprobar el uniforme que drbs usar el mitiendo su pa…</t>
  </si>
  <si>
    <t>Puyade, Josef Antonio</t>
  </si>
  <si>
    <t>Josef Antonio Puyade</t>
  </si>
  <si>
    <t>…cocido y sazonado: de forma que la fanega castellana no cisco Carranza, D. Bernardo de la Peña Díaz, D. Josef María de exceda en su producto de 64 raciones, ni baje de tío. Ansa, D. Josef Antonio Puyade, D- Vicente Sánchez Cirquero , Don a.* Este suministro deberá principiar en i.t de Setiembre pró Francisco Puyol y D. Josef María Retortillo; habiendo votado en ximo, y concluirá en fin de Agosto de 1823; pero con la condi . sentido contrario D. Francisco Reb…</t>
  </si>
  <si>
    <t>Pxotlitar</t>
  </si>
  <si>
    <t>…sión de Le» F.r.neosoriri.ulc» y de. Anda, y estar.n a sus gún tanto aquella^ formalidades: de otro modo, el test amento de un mi órdenes los mariscales de campo marqu s Je Vence, vizconde Pxotlitar podría falsificarse con mas facilidad que el de otro ciudadano. La Pecadene y vizconde Vasserot. La segunda, con su cuartel genere! ea ley civil establece varias formalidades para efectuar los testamentos, Toiosa, estera al mando del teniente general conde Li…</t>
  </si>
  <si>
    <t>Pzrirond, Jacinto Andicu de</t>
  </si>
  <si>
    <t>Jacinto Andicu de Pzrirond</t>
  </si>
  <si>
    <t>…ronel comandante de la br'gada , del capitán d: la compefiía y del Sta. Cruz , M ayudante mayor para las d: *as c'.ís-s inferiores á la suya de cemente; acaudillados por el infame D. Jacinto Andicu de Pzrirond.. r o pros entendiéndose en cunto á falt« de a'cuno de estos los que existan de crito que te hallaba confinado en Cu-nca pata cumplir la sentencia los otros, como se expresa en la solu .ton í la primera duda impuesta por habértele aprehendido en nopobádo, y c…</t>
  </si>
  <si>
    <t>Q-Duly, Demetrio</t>
  </si>
  <si>
    <t>Demetrio Q-Duly</t>
  </si>
  <si>
    <t>…es U causa de los griegos. D. Antonio Quitoga, D. Rasad del Ric^o , X). Fe.¡pe Arco Agüero, Chineo hace una guaira muy nctiva i las turcos de Epito; y h« co D. Miguel López Baños, D. Demetrio Q-Duly, D. Carlos Espinosa y el gido muchos convoyes de municiones destinados para la Mores. brigadier D. Manuel Larrc, resolviendo ¡a dona de si debería ser con ar Por alguno» buques que hoy han llegado de Corfú te ba rábido, reglo al reglamento de t8tt y 1815, dij…</t>
  </si>
  <si>
    <t>Qaiiano</t>
  </si>
  <si>
    <t>…o que sen estas anomalías í irregularidades, no ha creído que habia otro me haga este s rvicio el egército liberal. dio tino el que ha propunto á la deliberación de las Corles. El Sr. Qaiiano ; Si yo crey^s: que el parecer que acaba de expresar Contrayéndonre pues al art. i.*, diré que en cuanto á la observa el Sr. Arguelles habia de prevalecer , y si fuera práctica en ei Congre ción que ha hecho el Sr. secretario del Despacho, de que las dos tom-…</t>
  </si>
  <si>
    <t>Qaiioga</t>
  </si>
  <si>
    <t>…te al deseo de la misma comisión , al decreto de las Cor perjudicaría á les labradores de los mismos; por todo lo cual creia de tes de 11 de Setiembre He i3io, y á la proclama del general Qaiioga, bía aprobarse en su totalidad el dictamen de ia comisión. np habia hallado medio mas á propósito para premiar á los valientes Declarado el punto suficientemente discutido, se leyeron les artícu que se habían pronunciado en favor del sistema actual que el que…</t>
  </si>
  <si>
    <t>Qaliano</t>
  </si>
  <si>
    <t>…ios militares retirados, y mas cuando muchos de estos gozaban de Se cree que cada una de «tas tres divisiones se compondrá de 1 o? unos sueldos de mucha consideración. hombres. El Sr. Qaliano, contestando á la observación del Sr. Melendez, dijo __ En una caria de Bayona se dice: » Los refugiados españoles que que no era suficiente la razón que S. S. había expuesto para que se pri se hallan en gran número en esta ciudad están temiendo recibir or va…</t>
  </si>
  <si>
    <t>Qiuroga</t>
  </si>
  <si>
    <t>…neral esta levante» méritos y servicios de estos generales, sin distinción alguna en »n Minsk, puede considerarse bajo el pie de guerra , pues hasta ahora tre eWo»; renunciando el general Qiuroga á cualquier* distinción que no se h» dado licencia alguna absoluta ni temporal; pero sin embargo lo diferenciase de sus compañeros. se csti esperando una orden del dia que contenga algunas disposiciones g.° Que al brigadier D. Manuel Latre le corresponde U qu…</t>
  </si>
  <si>
    <t>Qj, Vicente de</t>
  </si>
  <si>
    <t>Vicente de Qj</t>
  </si>
  <si>
    <t>…a i.° de Se mi m-moria sus buenos deseos Dio» guarde á V. S m ichos años. Ba tiembre me dice lo siguiente: En virtud del oficio de V- S., y con yona Mayo 28 de 182 a.sEguía. cr$t. D. Vicente de Qj;»ada.” anu ncia del brigadier Saiz, me puse en marcha á las ocho y media de Núin. i.° » Excmo. ir.: En consecuencia de lo qu; V. E. se ha li mañana del día go de Agosto último con 120 hombres del cuerpo servido prevenirme en su papel del a8 dei que fina, sald…</t>
  </si>
  <si>
    <t>Qjesada</t>
  </si>
  <si>
    <t>…a en publicar mentira* absurdas, sin embarga órdenes del conde de Calderón, de los emigrados de Bayona 4 las por desgracia de los hombre* da bien algo consigue de su objeto su del general Qjesada, el égército de la fe y el del fraile de le Trepa. autor, aun cuando no llegue á generalizar la idea que se propone ha * Seguiamente hay motivo para medidas revolucionarias ; ¡ pero cer cundir. á pesar de esto las Cortes han tomado alguna! ¡Se han excedido de…</t>
  </si>
  <si>
    <t>Qmroga, Antonio</t>
  </si>
  <si>
    <t>Antonio Qmroga</t>
  </si>
  <si>
    <t>…El Gobierno dudaba también qué ciase de cruz.correspondía á loa interesado*, y tos cuerpos consúlta AtlMXU. nos eran de parecer que fuese de la cuarta dase, debiendo «naced rse á D. Antonio Qmroga la de general en gdc , por serlo del ejército de la Francfort tgde Dirirmtrt. Ida Fon. riorméate manifestó dicho fiefíot o*- i Aluvión Con (echa del '*« escriben de Rusia lo siguienter • $ toast taz alguna que ic eiürcnciase de su» compafieros. En vista de to…</t>
  </si>
  <si>
    <t>Qu</t>
  </si>
  <si>
    <t>…Bcnasque 13 de Setiembre de ibaa.=Vuestro compañe __Parece que en Urgel se han reun do otrr., LidJgo&gt; de la Mincha, ro de atmas Esteban Ui/urrún de Asa riza.” tan dispuestos como D. Qu j jte í confer í ,¡. .r.dos, y ccpaces di nom brar pata el gobierno de u, .n.u a, i ios can.!.. , Punzas que obedezcan Lian so. sus óidn.-s. Ei-trctanio el g-.ncral M-ians lince ya ¿ispu sio vi convoy Nuestro periódico pub'ica lo que sigue: para introducirla…</t>
  </si>
  <si>
    <t>Qu, D Juan</t>
  </si>
  <si>
    <t>D Juan Qu</t>
  </si>
  <si>
    <t>…por primera vea las siguientes proposiciones. La misma en t'iti de la solicitud de Doña Ramona Ti sangei», Una de los Sres. Rico, Belda , Aiix y otros, reducida á que en viuda del coronel D Juan Qu&gt;roga , pidiendo te concediese una p-ns on atención á que los dias de fiesta perjudican a la agricultura, industria y á tus hijos, opinaba que por ahora no deba haber Jurar a deliberar so arles, declaren lasCoites que tocios ios días del año sean de trato jo,…</t>
  </si>
  <si>
    <t>Qu, Josef Moreno</t>
  </si>
  <si>
    <t>Josef Moreno Qu</t>
  </si>
  <si>
    <t>…adoptada en una época no muy floreciente, I.a tom sion de Hacienda, en vista del expediente promovido por sino igual á la actual nuestra , y nivelar los derechos qu; se pagaban « D. Josef Moreno Qu sada y consortes, vecinos de lluelma (Jaén), sus puertos con los que se pagaban en los de las demás naciones' Este n&lt;* para qn- se les indemnic- de ciert s pacos de a cabalas hechos al duque será un verdadero impedimento para que los rxtrangeros dejen de veni…</t>
  </si>
  <si>
    <t>Qu.ro.a</t>
  </si>
  <si>
    <t>….he de 14 de Enero de 8 jo, cuando se estaba discutiendo la pr »— pios para acudir i los gastos municipales. La comisión opinaba se acce mesa qu: se había de hacer al egercito de! general Qu.ro.a. pu s en el dí 'se i su solicitud. Aprobado. día snuiente se iba ¿exigir de ios soldados que atacasen la cornadura: La comí.ion prun n de Hacienda , habiendo examinado la solicitud hubo que ofrecerles el aliciente de una propiedad , y yo estoy firme de vanos…</t>
  </si>
  <si>
    <t>Qu.rós, Gregorio</t>
  </si>
  <si>
    <t>Gregorio Qu.rós</t>
  </si>
  <si>
    <t>…n acordarlo a-i. Aprobado. La comisión de Hacienda, en v st» de la solicitud de la r uda del La moma, en vista de la solicitud del ayuntamiento constitucional de mariscal de campo D. Gregorio Qu.rós, muerto en la bata.la de Espi Abozares, en la ptuvincia de Murcia, á fin de que se le aprobase un nosa , para que se le continuase pagando una pensión de 4? r»., opina re; i; timunto de 43 is. para armar á su milicia nac.onal , opinaba que ba que debía accede…</t>
  </si>
  <si>
    <t>Que-, Pedro</t>
  </si>
  <si>
    <t>Pedro Que-</t>
  </si>
  <si>
    <t>…*vana con 758 caja* da acúcar terciada, 150 quintales palo campe A la de Marina se pasó nna exposición de varios hombr^ de mar, che y 104 sacos cafe,i la consignación de lo* Síes. D. Pedro Que- en que manifestaban la imposibilidad de coocurrir i este servicio, según hcillo é hijos, da rste comercio. lo prevenido en el decreto de 8 de Octubre de 1820, y pedían que se Fondos públicos en Lóndie* el dia ig. Billetes del banco »49t: las declarase exentos…</t>
  </si>
  <si>
    <t>Quecación</t>
  </si>
  <si>
    <t>…misario general de policía habían pasado alpueblecito plomático no fueran necesarias muchas circunstancias , una buena edu inmediato de St. Esteban. Avisaba también la llegada del general Quecación, una instrucción sólida, muchos conocimientos, y un trato de aada £ Bayona, y la esperanza que su presencia inspiraba á los ilusoá. geni.s muy p-iticular. Es' ún hecho positivo que el Gobierno francés impidió que volvíeOtro escritor ha querido después manifes…</t>
  </si>
  <si>
    <t>Quedada, Vicente</t>
  </si>
  <si>
    <t>Vicente Quedada</t>
  </si>
  <si>
    <t>…mientos prác y Castilla la Vieja, autorizada por el com.míinti general del dicho ticos y á la confianza que me merece. El resto de la co umna se puto egército el mariscal de campo D. Vicente Quedada , come, demuestra en marcha con el objeto de tomar posición fuera de la villa, respecto la copia del original que obra en mi poder, y es como sigue: á que todos los avisos daban de número á los facciosos el de 2O pró ’&gt; Teniendo en consideración las circunsta…</t>
  </si>
  <si>
    <t>Quedó</t>
  </si>
  <si>
    <t>…decaiga la vigilancia y exactitud misión sustituyesen otra palabra á la de ilimitada que se encuentra en ca el servicio.” el artículo , pues no quisiera que se entendiese que este gobernador Quedó aprobado hasta la palabra permanente , habiéndose suprimi quedaba autorizado para llevar a un hombre al patíbulo. do lo demas á petición del Sr. Zulueta. El Sr. Buey impugnó el artículo, ampliando las razones de los se- Art. ai. «El gobernador ó comandante su…</t>
  </si>
  <si>
    <t>Queipa, Josef María</t>
  </si>
  <si>
    <t>Josef María Queipa</t>
  </si>
  <si>
    <t>…os.cion .del director del al coronel D. Jacobo Escario, que lo es interino de la nabina: pira ia registro acerca de la suprtsion de la tesorería de penas de Cámara, de Vallidoüd á D. Josef María Queipa, que lo es de la de Segarla: A la del Crédito público una solicitud de Ignacio González, rela- para la de Almería al Coionel D. Luis Beyan, que io es de ia de Na | tiva á que se le concediese la limosna de 4 rs. diarios por haber serVI- varra: para la de las…</t>
  </si>
  <si>
    <t>Queipo, Josef</t>
  </si>
  <si>
    <t>Josef Queipo</t>
  </si>
  <si>
    <t>…rrien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 Faicon , Don vacante por muerte de D. Manuel Ros de Mcdrano. Domingo Cortés, D. Fernando Saravia , D. Francisco Henriquez, Don Manuel Llórente, D.…</t>
  </si>
  <si>
    <t>Quera.tó, Josef Rivcs</t>
  </si>
  <si>
    <t>Josef Rivcs Quera.tó</t>
  </si>
  <si>
    <t>…a Hab da la conferencia resultó haber lugar á la formación de cama magistrado de audiencia pagará solo 880 reales por la expedición da por seis votos, habiendo disentido lo* Sres. D. Josef Rivcs Quera.tó, título, respecto á que lo* 280 reales del juez dé primera instan D. Benito Ortega Romanillo* y D. Francisco Travesado. cia lo* habrá ya satisfecho; fiero si los honores de magistrado de ANUNCIOS. audiencia, te conceden á uno que no tea juez de primera instan…</t>
  </si>
  <si>
    <t>Queraltó, Josef Kives</t>
  </si>
  <si>
    <t>Josef Kives Queraltó</t>
  </si>
  <si>
    <t>…cultar á los Meneo, D. Zoilo Goinez Casero, D. Antonio Scoane, D. Isidro pacíficos ciudadanos para restituir la tranquilidad y dulce calma i sus* Merino, D. Amonio Díaz del Moral, D. Josef Kives Queraltó, Don hogares: os hize en mi último anuncio del 1 una promesa, y voy á Juan Luque , D. liarlos González Llanos y D. Josef Demetrio Rodrí cumplirla. Para haceros partícipes del término final del cabecilla Mo guez; y rn s gundo por los Sres. D. Celestino Oiozaga…</t>
  </si>
  <si>
    <t>Queraltó, Josef Rivcs</t>
  </si>
  <si>
    <t>Josef Rivcs Queraltó</t>
  </si>
  <si>
    <t>…A su consecuencia se reunió e! jurado, compuesto de lo* Sres. si Ascenso i magistrado del tribunal supremo......................... 2400 guientes: D. Gregorio Migusl de Mendivil, D. Josef Rivcs Queraltó, Ascenso á presidente de él........................................................ aooo D. Marcos Izquierdo , D. Francisco Travesado, D. Antonio Dazdel Los honorarios deberán satisfacer lo mismo,, incluyéndose en el Moral, D. Josef Pió Santos, D. Pedro Matut…</t>
  </si>
  <si>
    <t>…e te hsn de exigir por do , D. Valentín Nicolás, D. Carlos González Llanos, D- Juan Fer los Krales títu'os, presentaciones eclesiásticas y otros despachos que se nandez Casariego, D. Josef Rivcs Queraltó, D.liiginio Antonio Lló expidan por la secretaría de Estado. (. Gaceta del Jl.j rente , D. Francisco Martínez Marina y D. Francisco Javier Barra. Circular de la dirección de contribuciones directas, comprensiva de Sres. qua lo creyeron sed cioso: D. Josef Dem…</t>
  </si>
  <si>
    <t>Queraltó, Raimundo</t>
  </si>
  <si>
    <t>Raimundo Queraltó</t>
  </si>
  <si>
    <t>…endidos en el decreto de 5 cgército, D. Antonio Diez del Moral, ex-diputado i Cortes por la de Abril último sobre pago de sueldos á D. Manuel Velasco, lamenprovincia de Granada, y D. Raimundo Queraltó, int ndente de la te agregado at regimiento de Fernando vu, D. Josef Castañedo y otroi provincia de Aragón; y tuvo el primero 9 rotos, 69 el segundo, y 47 oficiales. Aprobado. el tercero, quedando elegido el Sr. Diaz del Moral. La comisión de Agricultura , en…</t>
  </si>
  <si>
    <t>Queraltó, Ramón</t>
  </si>
  <si>
    <t>Ramón Queraltó</t>
  </si>
  <si>
    <t>…prevenir á V. S. que término de jo dias. sin pérdida de correo remita razón de los pueblos de esa provincia en que con arreglo al reglamento general «e hayan establecido juntas da D. Ramón Queraltó, intendente del 5* y distrito militar y beneficencia , y que con la mayor actividad disponga su mas pronta de provincia de las de Zaragoza, Calstavud, Huesca y Teruel &amp;c. formación en (os que i la presente fecha no las hubiese; dando igual Debiendo procederse…</t>
  </si>
  <si>
    <t>Querol, Francisco</t>
  </si>
  <si>
    <t>Francisco Querol</t>
  </si>
  <si>
    <t>…ar el bosque y montes á que se Tarragona; peto de Tortosa se sabe que lo han sido los indivi refugiaron; siendo el resultado de esta acción 6 hombres mu-rtos, que duos siguientes: D. Francisco Querol, escribano; D. Vicente y Don te han visto, 4 prisioneros, y a de ellos heridos, 14 fusiles y esc.ipe Tomas Piñols; D. Diego Ifiero, administrador de correos; D. Maria tas , una caja de guerra, un caballo que montaba el cabecilla Santocil- no Oliveras, librero…</t>
  </si>
  <si>
    <t>Quesada, Antonio de</t>
  </si>
  <si>
    <t>Antonio de Quesada</t>
  </si>
  <si>
    <t>…da fiaguerrillas, 4 quienes ar Pallares, D. Josef Anima, D. Vicente Martines Gómez , D. Anto mó con los fusiles que 4 prevención sacó da Puerto-Cabello, con loe nio María Guillen, D. Antonio de Quesada , D. Josef Diez de Usu cuales y su fuerte marchó 4 sitiar 4 800 y pico de enemigos que ocu ren* y D. Josef da Goyonet*, jueces de hecho, con la nota de injurio paban el puerto de la Vele, fortificados en cinco fuertes: durante loa so en terter grado el último…</t>
  </si>
  <si>
    <t>Quesada, Jotef Moreno</t>
  </si>
  <si>
    <t>Jotef Moreno Quesada</t>
  </si>
  <si>
    <t>…tales de tocino, 1 odas calas de los Gazules , acompañando el reglamento ce propios de aquella niia: disposiciones confirman el tumor que se lia propagado de que los-insur otra de D. Jotef Moreno Quesada , vecino de un pueblo de la provincia gentes t'enén el proyecto de establecer sus reales en las montañas. de Jaén, manifestando los perjuicios que se le han seguido por haba Se decía confidencialmente en Londres que S. M Jorge ív estaba tenido que pagar las a…</t>
  </si>
  <si>
    <t>Quesada, Juan</t>
  </si>
  <si>
    <t>Juan Quesada</t>
  </si>
  <si>
    <t>…llevan su rabia Nota. Todos los dichos K proponían ouua, cu tUpsla por Di/ona. carnicera hasta ios sepulcros . los que profesan el robo, la crueldad, el Del de Valencia. Teniente D. Juan Quesada, cadete, D. Manuel •aes'cito y el sacrilegio i nombre de Jciu.iisto, los que siembran y FernandfZ. (Por Jaca.) propagan por todos medios ia infame seducción, les que pred ean sus Del de Zamora. Teniente D. Sebastian Mora. ( Por Benatque.) pasiones en lugar de…</t>
  </si>
  <si>
    <t>Quesada, VÍcente</t>
  </si>
  <si>
    <t>VÍcente Quesada</t>
  </si>
  <si>
    <t>…n emanados de otras causas qoe distinciones, debiendo ser comprendidos en esta resolución el mariscal son bien notorias, se invita á los perceptores de censos y demás car de campo D. VÍcente Quesada, por hallarte hace tiempo en el mismo gas que graviten sobre dichos bienes á que dentro del preciso plazo da caso que aquellos, y no haberse hecho hasta ahora igual declaración 40 dias, contados desde el en que se haga notoria esta disposición en acerca de él…</t>
  </si>
  <si>
    <t>Quesada, Vicente de</t>
  </si>
  <si>
    <t>Vicente de Quesada</t>
  </si>
  <si>
    <t>…teresponsable =L&gt;ios guarde i vmd. muchos aiíos.c=Uuartel general d¿ I.o son ; por cuya tazón la s.xta de Navarra, mitad de quinta y cuarta tu á 12 de Jul o de i8aa.=El comandante general Vicente de Quesada.= vieron mi orden para pa ar rápidcmcnie á proteger el ataque, lo que Sr. D. Fermín Echevarri y iaiaberri. verifica:on, lográndose que estas tropas los desalojasen de cuantas ped i « Para evitar consecuencias funestas he tomado la determinación de ciones quis…</t>
  </si>
  <si>
    <t>Quesada, Vntonó</t>
  </si>
  <si>
    <t>Vntonó Quesada</t>
  </si>
  <si>
    <t>…sueldos que les correspondan, según lo de Reunidos en la ciudad de S-villa los ju-ces de hecho D. Pedro cretado por las Cortes, haciéndose la rebaja correspondiente en la Ureta , D. Vntonó Quesada, D. D.cgo huar z , D. Francisco P-rcii», partida señalada para este tribuna!. D. F'ranc seo d - Faua M.-ndcz, D. Claudio Boute &lt;u, D. Ale ¡o El presidente dijo que mañana se continuaría la discusión sobre Sánchez'Mora , D. Josef Gómez Quintero y D. Jos.f de F…</t>
  </si>
  <si>
    <t>Queve, Josef</t>
  </si>
  <si>
    <t>Josef Queve</t>
  </si>
  <si>
    <t>…tinos , sin poder obtener ningún otro encargo. Aprobado. sobre las armas todo el batallón, y que enviase tfo hombres í tas casas La comisión de Guerra, en vista de !a instancia di D. Josef Queve* del ayuntamiento. Los milicianos, que descansan mas bien sobre sus ar do, cad:tc de zapadores, pidiendo ser ase n ¡i Jo á subteniente del mis mas que sobre la vigilancia de las autoridades, las tomaron, y también mo cuerpo, por concurrir en él iguales circun…</t>
  </si>
  <si>
    <t>QuiAonet</t>
  </si>
  <si>
    <t>…n, afiadicrido después de las palabra* ds acuerdo ten *1 gefe pelitica, las «I* y tyenJe Sesión del a de Abril. atetes al tura pártete. Se leyó y aprobó el acta de la anterior. El Sr. QuiAonet pidió que *e afisdiet* á atie dictamen, que era ex A la comisión de Agricultura se mandó pasar una exposición del tensivo á las provincia* da Ultramar. Sr. ministro de la Gobernación de Ultramar , en que man f.staba las El Sr. Cortés manifestó que loa gasto*…</t>
  </si>
  <si>
    <t>Quijada, María García</t>
  </si>
  <si>
    <t>María García Quijada</t>
  </si>
  <si>
    <t>…y Romate, el Excmo. Sr. marques de Valdecarzana, D. Josef Valdivieso , y por su Circular del ministerio de la Gobernación de la Península. muerte D. Juan Valdivieso, su heredero, Doña María García Quijada, Para evitar lo* inconvenientes que pudieran ocurrir á las juntas de Antero , María, Manuela y Cipriana Carnicera García Quijada, hijos beneficencia en el desempeño de las funciones que el reglamento gene «fe Antonia García Quijada. ral decretado por las Cort…</t>
  </si>
  <si>
    <t>Quijano, Josef María</t>
  </si>
  <si>
    <t>Josef María Quijano</t>
  </si>
  <si>
    <t>…pidemia dió 759 libras catalanas al ayunta de egército D. Simón Diez, yendo al frente de ella mi ayudante de miento ; pagó ademas las barracas que se pusieron en el monte de campo D. Josef María Quijano; y i pesar del cansancio producido por Monjui; y cuando los Sres. Porras y .Ferraz no podían enviar tropas la dilatada marcha que traía desde Traspadcrne, lo verificó con la ma fuera de esta ciudad por falta de recursos, este sugeto siempre procuró yor bizarr…</t>
  </si>
  <si>
    <t>Quijote</t>
  </si>
  <si>
    <t>con ideas gameta, y esto no» rieuetda que la España e»el paí* nativo sam-nt* IV.ta á lo que ha jurada, según al m. 37,9 da la Constitución. de D. Quijote. Peto ia trama está descubierta, y el miércoles ha sido Voy i poner un caso que puede suceder, y que ptuieha en favor del dic uo nuevo día di ene a tía pata loa partidarioi de nueatroa embajadorca temen de la comisión. Supongamos qusun sacretar-iodel Despacho…</t>
  </si>
  <si>
    <t>Quilchano, Paulino Alegría de</t>
  </si>
  <si>
    <t>Paulino Alegría de Quilchano</t>
  </si>
  <si>
    <t>…embre repitió en Alepo y: acabó de destruir los po rientes, D. Juan Domínguez, D. Victoriano de U Puente López, cos edificios que aun quedaban. Mas de ao9 personas fueron víctimas D. Paulino Alegría de Quilchano, D. Francisco Saleta , D Manuel de ota catástrofe , que en algún modo ha alcanzado mas ó menos á las de Oiavarría , D. Antonio Celestino Alvarez, D. Msr.uel de la Puen ciudades de Antab, Antakáa, Gesses, Látale.a, Alejandreta , Tirsis, te López, D. Miguel de…</t>
  </si>
  <si>
    <t>Quillones, Buenaventura</t>
  </si>
  <si>
    <t>Buenaventura Quillones</t>
  </si>
  <si>
    <t>…omisión del timo , y los nobles sentimientos de sus habitantes no han sufrido la mismo ramo. menor alteración. Asimismo oyeron con agrado, y mandaron pasar á las comisiones de t.° Don Buenaventura Quillones, vocal 'secretario 'interino de la Comercio , Hacienda y Ultramar, varios egtmplares rem.tidos por el Excma. diputación provincial de esta isla. _Certi6co: que en sesión ce consulado de Veracruz de la balanza general de comercio desde el año lebrada en 18 del…</t>
  </si>
  <si>
    <t>Quimbert, Pol de</t>
  </si>
  <si>
    <t>Pol de Quimbert</t>
  </si>
  <si>
    <t>…ue fue de la parroquia de Sta. Ma celona , y i disposición del fiscal militar que entiende en el proceso del ría de Eolguer.is en el cono jo de Sa as, principado de Aslúrias, ocur Sr. Pol de Quimbert, las personas siguientes -. D. Ignacio Pujol, vica rido en 10 de Setiembre de líiio, para que en el término de 30 d as, rio gen: ral ecl-siástico.—D. Miguel de León y Medióla, canónigo _ contados desda el d- su publicación, comparezcan por sí ó per medio El p…</t>
  </si>
  <si>
    <t>Quinlanilla, Joaquín Saez</t>
  </si>
  <si>
    <t>Joaquín Saez Quinlanilla</t>
  </si>
  <si>
    <t>…aza de contador déla aduana de Ceuta, pro no Prtet, D. Miguel sanchez , marques de Riofiorido, D. Luis Oliag, vincia de Cádiz, dotada con 6600 rs. anuales, y siendo precisa su pro D. Joaquín Saez Quinlanilla y D. Gabriel Montaner; D. Francisco visión, se anuncia al público para’que loa empleados ea activo servicio Calvo y Marco, D. Facundo Alarcon, D. Joaquín Lombart y D. Pe 6 cesantes que aspiran á ella, y reúnan las circunstancias prevalidas «a dro Pascual Carbonell lo declararon su…</t>
  </si>
  <si>
    <t>Quiño, Buenaventura</t>
  </si>
  <si>
    <t>Buenaventura Quiño</t>
  </si>
  <si>
    <t>49* NOTICIAS DE ESPAÑA. tonio Rius, D- Josef Luciano Ortiz Renta , D. Buenaventura Quiño nes 7 Dr D. Feliz García de U Torre, te trató 7 acordó entre otras Barcelona ao Je Marta. cotas lo siguiente: El estado de fuerza del cordonsanitario en Francia, según el diario El Sr. Rius después de leida el acta anterior, i cuya sesión no asis de León de 8…</t>
  </si>
  <si>
    <t>Quiñones</t>
  </si>
  <si>
    <t>…guales, y que no hay primera secretaria, s-amida ni el Sr. ministro. tercera; pero la práctica nos enseña que deben estar por este orden; y si he leyó la siguiente proposición del Sr. Quiñones: » Pido á las Cor •I secretario de la Gobernación de la Península quisiese decir lo que tes que declaren que el secretario de la Gobernación de Ultramar deba hay sobre esto, diría que no leyó la memoria de la secretaría de Ultra dar cuenta de su memoria en el…</t>
  </si>
  <si>
    <t>…sucedido decretos de las mismas. Luego el dictamen en esta parte nc presen ■ no~ lo que estafa sucediendo. vedad a'¿ana; y apiMitnido da: latitud á este nombrar-1—to le reslr-fiEt Sr. Quiñones reclamó la atención de Us Cortes , exponiendo la gs: digo l.titud , pvrqu: se citan nombres, á pesar deque ea e»ia parte aecesidad de que se api obase esta proposición , porque de lo contrario no hay alteración en lo que está prevenido por lis Corles. estaba…</t>
  </si>
  <si>
    <t>…amen prolongar indefinidamente la suspensión de las tertulias patrióticas; to, y te leyó rae. y el art. 99. institución admirabc ti te encamina ai recto fin; pero funesta ai *C El Sr. Quiñones opinó que á pesar de haber recibido este negow'0 abusa da alia. (Nota del editor de dicho diario.) una gran ilustración en la legislatura anterior, siendo un a&gt;unto de</t>
  </si>
  <si>
    <t>…ro que tal situación se forme esa milicia que tantos perjuicios puede acarrear. si los alumnos no llenaban las ideas de aquellos, quedarían reprobados: Se leyó una proposición del Sr. Quiñones, reducida áque se diga que en cuanto á lo que había indicado el sr. Afonzo, creía que la co al Gobierno que por medio de los papeles públicos se noticie no so misión no pretendía sancionar abusos de la arbitrariedad , sino solo habi lo el dia en que lian de s…</t>
  </si>
  <si>
    <t>…ego las particulares Quedó aprobado el art. a.°, y se suspendió esta discusión. -para los pu^bios. Por lo cuai, y no habiéndose presentado ei Gibi.-rno Se leyó una proposición del Sr. Quiñones , relativa i que mediante i hac-r observaciones contra el dictamen, en lo que daba á entender á no ser extensiva á las provincias da Ultramar la instrucción que ae ae hallaba conforme con él , pidió se declarase haber lugar á votar so estaba discutiendo para…</t>
  </si>
  <si>
    <t>…Se leyeron por segunda vez y m inda ron pasar con urgencia á ia co ducta de los ingleses en las islas Jónicas y la sangre que te ha vertido misión de Ultramar 13 proposiciones del Sr. Quiñones sobre d siste en Scio han debido causar ya en las naciones de Europa una impresión ma «le contribuciones que deberá establecerse en Puerto-Rico. profunda. Se leyó igua1 mente por primera vez otra proposición de lo* señorea NOTICIAS DE ESPAÑA. Bauzi y Ferrer (…</t>
  </si>
  <si>
    <t>…la Vega.Total 135. impuesto sobre vinos y licores, opinaba que no debia haber lugar áde En ia eegtr da votación pira diputado americano recayó la elección liberar. Aprobado. en el Sr. Quiñones por 81 votos, teniendo gt el Sr. Ibarra, j nao el Se mandó quedar sobre la mesa el dictamen de la comisión de Co Sr. Cu vas. Total 133. mercio acerca del modo de compensar á la casa de Murphi y compañía En la tercera votación resultó electo et Sr. Castrón por…</t>
  </si>
  <si>
    <t>Quiñones, D- Claudio Quijada y</t>
  </si>
  <si>
    <t>D- Claudio Quijada y Quiñones</t>
  </si>
  <si>
    <t>…general citado. 3.0 Que ninguno de los establecimientos que ac García Quijada de Antonio. tualmente están en egercicio pueda suspenderse, ni suprimirse , ni ha Ciudad de León. El Sr. D- Claudio Quijada y Quiñones, marques cerse en ellos reforma alguna mientras que el Gobierno no hay a apro de Inicio, conde de Rebolledo. bado por medio de las diputaciones provinciales los recursos que se hcija. El Sr. D. Fernando Aguilar , marques de Sta. Ella. propongan para los estab…</t>
  </si>
  <si>
    <t>Quiñones, Felipe Sánchez</t>
  </si>
  <si>
    <t>Felipe Sánchez Quiñones</t>
  </si>
  <si>
    <t>…istrito en go á D. Francisco Mooseo: parael de Puente Areas á D. Luis Bermutregue el león de insignia A dicho regimiento de Pontevedra en nom dez de Castro: para el de la Cañiza á D. Felipe Sánchez Quiñones: pa bre de las Cortes, expresándose en uno de los lados del pedestal que él ra el de Badea á D. Manuel Salgado: para el de Guinzo de Cim:a á fue el primero de su arma que se pronunció por la Constitución.” _ D. Manuel Espada y Losada: para el de Monterey á D.…</t>
  </si>
  <si>
    <t>Quiñones, Teresa</t>
  </si>
  <si>
    <t>Teresa Quiñones</t>
  </si>
  <si>
    <t>…o de un juro dt miro Martin. 79,800 mrs. sobre las alcabalas de vario* pueblos del obispado da As. Habida la conferencia, resultó por unanimidad isa haitr lugar á torga ¿ favor de Doña Teresa Quiñones, en 18 «le Febrero de 1465. la formación dt tauta. __Otro de un juro de t6o9 mrs. sobre varias alcabalas y alfolíes á fa vor de D. Diego de Muros, obispo de Tuy, y D- Lope de Mostoso, En ls ciudad de Granada reunidos los jueces de hecho, declararan vizconde d…</t>
  </si>
  <si>
    <t>Quintana</t>
  </si>
  <si>
    <t>…7 por lo mismo fue de parecer que debía dt la religión se añadiese ó dt la disciplina. aprobarse el artículo. £1 Sr. Calatrava opinó que el Sr. preopinante podía hacer una adi El Sr. Quintana dijo.- Sé muy bien que la religión del Fstado es la ción , y en seguida se aprobó el artículo. católica apostólica romana , y que en la Constitución misma se pres Art. 333. » El que sin licencia del ordinario eclesiástica respectivo, cribe que sea exclusiva;…</t>
  </si>
  <si>
    <t>…y segu ran despurs sus ascensos en el cuerpo, según está tación de Cata’una , y pasado á la comisión en virtud de proposición prevenido para los segundos trnient:*.” Aprobado. del Sr. Quintana; opinaba que debia aprobarse dicho pioyecto en todas La comisión r. tiraba los arts. 34 y 33. sus partes; que los individuos de este batallón debían *:r admitidos en El art. 49 lo presentaba la comisión en los términos siguiente» la milicia nacional voluntari…</t>
  </si>
  <si>
    <t>Quintana, Antonio María</t>
  </si>
  <si>
    <t>Antonio María Quintana</t>
  </si>
  <si>
    <t>…ntribuciones dv ectar. Atoca , D. Antonio Cacío , D. Antonio Hidalgo, D. Juan Josef Ló Resulta en la dirección general de contribuciones directas que las pez , D. Diego Moraleja , D. Antonio María Quintana, D. Antonio Cortes por decreto de 9 de Mayo de 1811 , en consideración á los ser- Méndez, D. Francisco Oliveras, D. Francisco de Piego y Collantet, vic os personales y pecuniarios de D. Agustín Ramón Valdés , conde D. Gabriel Rodríguez, D. Josef Rivat, D. Jos…</t>
  </si>
  <si>
    <t>Quintana, Joaquin Vaga y</t>
  </si>
  <si>
    <t>Joaquin Vaga y Quintana</t>
  </si>
  <si>
    <t>…n, diputado distinguido del Con Puigblanc, D. Miguel Ripa , D. Higinio Antonio Loreme, D. Va greso por la parte occidental da la Pensilvsnia , el cual voló en cierta lentín Recio, D. Joaquin Vaga y Quintana, D. Santiago Vicente ocasión de un modo contrario á las instrucciones que se le habían dado. Leo y D. Antonio Regas. Luego que regresó á tu país te le llamó para que explicase los motivos Habida la conferencia resultó por unanimidad no haber lugar A la de su…</t>
  </si>
  <si>
    <t>Quintana, Josef de Vega y</t>
  </si>
  <si>
    <t>Josef de Vega y Quintana</t>
  </si>
  <si>
    <t>…sus miradas alternativamente a Lóndrea hn su v'sta te reun ó el jurado compuesto di los sefiom siguien y á Viena: ansian por la llegada del duque de VVellir.gton; pero quien tes: D. Josef de Vega y Quintana, D. Josef Castel, D. Matías Case conozca la marcha del Gobierno ingles debe estar convencido de que ro , L). Francisco Marí n:z Marina, D. Josef Demetrio Rodr g i-z, el noble lord no traerá poderes tan amplios como lo eran los que solía D. Junan d- Fuentes, D…</t>
  </si>
  <si>
    <t>Quintana, Manuel Joacf</t>
  </si>
  <si>
    <t>Manuel Joacf Quintana</t>
  </si>
  <si>
    <t>un crédito de 3620 n. contra «I Estsdo, fie cedi* eñ favor de! mis- manuscrito, tu fecha n Murcia á 1; del corriente, firmado por Ms ao al «argento i.° D. Manuel Joacf Quintana. La» Corte* lo recibieron de le Canrolla, en el que hablando el ayuntamiento de aquella ciudad t y mandaron que pasase al Crédito público dicho documento. remite 4 dicho Sr. gefe copie de una representación al Congreso nacio 1 ’ ' 2‘di6 cuenta da rano* dictám…</t>
  </si>
  <si>
    <t>Quintana, Manuel Josef</t>
  </si>
  <si>
    <t>Manuel Josef Quintana</t>
  </si>
  <si>
    <t>…ión, y recayó en los licitudes á S. M. por conducto del proto-médico de los rgércitos na Sres. siguientes: cionales D. Antonio Hernández Morrjon , que vive calle dtl Principé, i.° D. Manuel Josef Quintana por 65 votos de x s 3. esquina ú la plazuela de Matute, núm. a; en la inteligencia de que se a.° D. Antonio Gutiérrez por 64 de 119. rán preferidos los que disfruten pensión del erario nqpional. j.“ T&gt;. Manuel Carrillo por 61 de 114. 4.a D. Joaquín Fondevila…</t>
  </si>
  <si>
    <t>…sello del pese*dor.=Visto por el agente adjunto de S. M.ss aviso del recibo de esta orden. Madiid as de Mayo de 1822. Roma ij de Noviembre de i8tj»esFranciscoTacon.==Certifico yo Don Manuel Josef Quintana, secretario de S. M. y de la interpretación da El Gobierno ha recibido por extraordinario el oficio del coman lenguas, que le antecedente traducción esté bien y fielmente hecha en dante general del 6.a distrito militar , que 4 continuación ae expresa. castell…</t>
  </si>
  <si>
    <t>…os egércitos. vosotsos aquel pais para que se tacar de de y quiero poder de infieles, ■. tercera edición: dos tomos propagación páis trabajsisdó que también del Islam á Poesías de D. Manuel Josef Quintana por la , obedecéis en 8." El i.° contiene la* poesías líricas del autor 1 9ue cstsn con;- Dios, y todos vuestros pasos serán recompensado* del SeBor con abun prendidas las patrióticas, conocida» todas ya del público por las varias dantes premios én el paraíso…</t>
  </si>
  <si>
    <t>Quintana, Ramón</t>
  </si>
  <si>
    <t>Ramón Quintana</t>
  </si>
  <si>
    <t>…nto qn.-ria á la c.r’oa li rias, su fuerza iyo hombres, al cargo del segundo comandante acci ria, no obstan!■ que «izo algún destrozo ai enemigo en el úr, en p.v -dental del m&lt;smo D. Ramón Quintana, de 23 caballos de la Consti ge qu; pudo obr*r. Duiante ¡a acción introdujo las munic rnrs en ,a tución , 4 a&gt; óidcnes del teniente coronel capitán de dicho cuerpo pob'ación el comar.dartte de las compañías de voluntaros d.l p u ' D. Julián Rubio , de la prim…</t>
  </si>
  <si>
    <t>Quíntanar, Manuel</t>
  </si>
  <si>
    <t>Manuel Quíntanar</t>
  </si>
  <si>
    <t>…uín Cadena, I). HemeterioTtúrbide.D. JuanRubroy Mayora.D. Joa consecuencia marchaban todas las guarniciones; y la de Cartagena , que quín Sotomayoré Itúrbido, D. Manuel Labastida, D. Manuel Quíntanar, se resistía a salir porque no le pagaban,quedó reducida á 300 hombres. D. Juan Guerra Manzanares, D. Juan Amable y Guerra , D. Agustín Desde Po payan i Cartagena no se Encuentra un soldado, y el pueb'o Castillejo, D. Josef María Va'dobino*, D. Francisco Pere…</t>
  </si>
  <si>
    <t>Quintanilla, Fernando</t>
  </si>
  <si>
    <t>Fernando Quintanilla</t>
  </si>
  <si>
    <t>…viduo* qua aa hallaban ea la cárcel p rr decidido* patriotas, entie ellos el coronel que fus de Fernando vrr, Parte del comandante do la columna votante del 3 0 je 4-° dh frito mi D. Fernando Quintanilla/do* sargentos y un cabo del regimiento de litar. (Véase la gaceta extraordinaria del día ai.) Extrema lura, que te hallaban destinado* á i r pasados por lat arma*. Excmo. Sr.: El brigadier D. Filib-rto Mahy, comandante de la » Ayer dispuse que $0 hombres de B…</t>
  </si>
  <si>
    <t>QuintaniUa, Josef Alonso</t>
  </si>
  <si>
    <t>Josef Alonso QuintaniUa</t>
  </si>
  <si>
    <t>…l secretario di D. Gumersindo Fernandez Momia para la cátedra de fisica, y para la la ¡unta supcr.or de sanidad, han declarado no haber lugar Ala forma de botánica y agricultura i D. Josef Alonso QuintaniUa; en clase ele ción de cauta por cinco votos , habu ndo opinado que st cuatro , qu* interinos á D. Juan Tomas de Silva para la de moral y de derecho son D. Pascual Claris, D. Juan L!adó, D. Benito Plandolit y D. Ma natural, á Tomas Martínez Hortal para la de l…</t>
  </si>
  <si>
    <t>Quintero, Josef</t>
  </si>
  <si>
    <t>Josef Quintero</t>
  </si>
  <si>
    <t>…* y fuese á cargo del fondo que debe estar depositado en el ayuntamiento. otro* despachos que se expidan por las secretarias del con* ju de Esta Señores que compusieron el jurado: D. Josef Quintero , D. Anto do , conforme á lo prevenido en el art. ■ 7 del cap. j." del reglamen nio Marfa Comieras, D. Manuel Friaza , D- Francesco de Paula Mén to dal mismo consejo. Ramo t'mil. Por los títulos de jueces I.irados ó dez, D. Claudio Boutelou , D. Josef Anitua,…</t>
  </si>
  <si>
    <t>Quintero, Josef Gómez</t>
  </si>
  <si>
    <t>Josef Gómez Quintero</t>
  </si>
  <si>
    <t>…partida señalada para este tribuna!. D. F'ranc seo d - Faua M.-ndcz, D. Claudio Boute &lt;u, D. Ale ¡o El presidente dijo que mañana se continuaría la discusión sobre Sánchez'Mora , D. Josef Gómez Quintero y D. Jos.f de Forres , pai* el dictamen &gt;ij 'a comisión de Premios, y después la de los demas ne declarar si h»h&lt;a o no lugar á ia formación de causa contra la p-rso: a gocios señalados pa-a hor; y que esta noche habría sesión extraordina responsable al mim.ro 113 del periódico l…</t>
  </si>
  <si>
    <t>Quintero, Manuel</t>
  </si>
  <si>
    <t>Manuel Quintero</t>
  </si>
  <si>
    <t>…era como pérdida en los piese su paradero ú si han fallecido se sirva comunicarlo al citad o lo cálculos, y en mi concepto lo es El propietario que tenia un capi mas de Laorra ó á D. Manuel Quintero, vecino de la ciudad de Vatal en papel de 100, y se reducía á 37, sufría una pérdida que refluía lladolid, y agente fiscal de su audiencia. en lo general de la Nación. Por otra parte el Gobierno ha querido, En ios autos de inventario pendientes en el juzgado…</t>
  </si>
  <si>
    <t>Quintilla, Francisco</t>
  </si>
  <si>
    <t>Francisco Quintilla</t>
  </si>
  <si>
    <t>…cida la tranquilidad’, la'cual no Se aprobaron los siguientes dictámenes de la comisión de Hacienda: se ha alterado mucho coa estas tentativas. uno relativo al plan presentado por D. Francisco Quintilla, vecino de Diario de los Debates del 6. » El anta de jurisprudencia huido hoy Albacete, sobre el repartimiento de contribuciones. La cornisón opi (el 5) teatro de una escena tumultuaria, excitada por malévolos que naba que este expediente debía ai chivarse po…</t>
  </si>
  <si>
    <t>Quinto, Agustín de</t>
  </si>
  <si>
    <t>Agustín de Quinto</t>
  </si>
  <si>
    <t>…isionero. Aseó los ciudadanos D. Mariano Pastaras, presbítero, y vocal de la junta A la de Hacienda una exposición de Doña Josefa Posé, en solicitud superior de sanidad de Aragón; D. Agustín de Quinto, D. Mariano de que se la conceda una pensión. Gros, capitán retirado; D. josef Rubio Sisón , individuo de la junta Las Cortes oyeron con agrado la manifestación que hacia de sus sen municipal de Fraga; D. Antonio M ilán de Fabara, D. Manuel Cor timientos patr…</t>
  </si>
  <si>
    <t>Quinto, Juan López</t>
  </si>
  <si>
    <t>Juan López Quinto</t>
  </si>
  <si>
    <t>…a Corulla , en el dia feliz en que manifiesta la necesidad de que se agregue á ella para facilitar y memorable en que el feino de Galicia correspondió al primar grito sus trabajos D. Juan López Quinto, capitán de artillería. Se concedió de libertad que resonó en el pueblo de las Cabezas, cuyo mando conser este permiso. vó hasta que á solicitud suya se le confirió el del segundo regimiento. Se dio cuenta de los siguientes dkumeoss de la comisión de Pre 4° Q…</t>
  </si>
  <si>
    <t>QUINTO, TITULO</t>
  </si>
  <si>
    <t>TITULO QUINTO</t>
  </si>
  <si>
    <t>…Valencia, te han mandado fijar edictos, y llam-r v emplazar á también de insectos, reptiles y plantas venenosas." los que se crean con derecho á suceder en el vínculo fundado por Don TITULO QUINTO. Melchor Sisteme* de Obiíl-s en los capítulos matrimoniales de Don Pablo Sistemes, tu hijo, ante Vicente Gassul en 4 de E, boro de sógfi, jOs ¡os delitos contra la ft púélica. y en sus agregaciones, pi'i que dentro del plazo de dos años comparez can en dicho…</t>
  </si>
  <si>
    <t>Quintsniel, Antonio</t>
  </si>
  <si>
    <t>Antonio Quintsniel</t>
  </si>
  <si>
    <t>…la gloria de salvarla en su miyir peligro. Tropas aguerridas , otro tiem po invencibles mientras fueron fieles, hoy perjuras, trazaron tremolar Se ha recibido correspondencia del coronel D. Antonio Quintsniel estandarte del despotismo jr de la traición sobre vuestros pechos li lla , gobernador de las islas de Chiloe en el Pacífico , de fecha 1.“ de bres : i insensatos! ¡fueron jamas vencidos por esclavos los hombres que Abril de este año, hasta cuyo dia se mantení…</t>
  </si>
  <si>
    <t>Quircga</t>
  </si>
  <si>
    <t>…á las grai.ficaciones que pues el principio de que la comisión no propone nada de nuevo ; qu* percibían estos, cuidando el Gt burro de tomar las p reaucicni* nece- la proclama del general Quircga está hecha en nombre de ia Nación, sanas para asegurarse de la procedencia de dichos oficiales, y satisfa y por la cual ofrecía hacer extensiva la gracia concedida á ios soldado* ciéndose del imprevisto las expresadas grat.ficacionrs. Aprobado. del rgercito d…</t>
  </si>
  <si>
    <t>Quiroaa</t>
  </si>
  <si>
    <t>…desatender las obligaciones marídales culpr á las Coi tes de modo alguno; y que en cuanto í la pragunta del ha causado el extravió de su consorte.” Otra del Sr. Lasanta al artícu Sr. Quiroaa podía decir que se habían enviado comisionado* á las pro lo Ó85, que decía asi: » Pido á las Cortes que si el marido fuese convine as disidentes, menos á laNueva-España, por estar en aquella oca vencruo en juicio de consentir el adulterio de tu muger, sea cas…</t>
  </si>
  <si>
    <t>Quiroea</t>
  </si>
  <si>
    <t>…servicios de este ciu Madrid Viernes Ü de Marzo. dad* no, y ademas el que habiéndole nombrado cónsul de Gibraltar el La famosa Gaceta de I-rancia, que se distingue muy particular general Quiroea en el año 20 , y habiéndose declarado válidos por las mente por su odio á los Gobierno» que no están fundados sobre el po Corles todos los ascensos concedidos por dicho general, solo este dejó der absoluto, aprovecha todas las ocasiones de acriminarlos cuando…</t>
  </si>
  <si>
    <t>Quiroea, Antonio</t>
  </si>
  <si>
    <t>Antonio Quiroea</t>
  </si>
  <si>
    <t>…nió el jurado, compuesto de los Sres. siguientes: D. Matías Pinills, López Cuevas, Atienza , Marchámalo, Cano, Ladrón, Prado « Escude 1). Francisco de la Carrera, D. Andrés Alcen, D. Antonio Quiroea, ro , Munarriz, Diez, Buey, Latre, Lapuerta , Santalé, Saogenis, Cue 1). Angel Bonalto, D. Martin de Zarandia, D. Francisco Traveseó», vas, Lasala, Vega, Castran. Falcó , Alcántara, Becerra, Jaimes, Gis- D. Miguel Dolz y D. Josef María Puente. Habida la confe…</t>
  </si>
  <si>
    <t>Quirog, Diego</t>
  </si>
  <si>
    <t>Diego Quirog</t>
  </si>
  <si>
    <t>logo res, señalándote el habet de *o r*. vn. diario* 4 lo* capitanes, 16 á !o* Otro de la misma para qu: á D. Diego Quirog* &gt; administrador qu: subalterno», to á lo* satgcntos, 9 í lo» cabo» 7 8 á loa toldado». Para fue de rentas del partido de S. Cismante , se le perdonen 1 *9 rs. que la pronta organización de esta» compañías se ha coavocado á todos los está debiendo. individuos…</t>
  </si>
  <si>
    <t>Quiroga</t>
  </si>
  <si>
    <t>…os á dejarlo por la autoridad ¡as Coi te, r.c;.£c-cic&amp; del -:-n_.l general 7 de las bases orgáni civil, pues siempre tenia el carácter de una verdadera pena. cas de los mismos. El Sr. Quiroga impugnó igualmente le opinión del Sr. Sánchez Se dió cuenta de una exposición del coronel D. Gregorio Piquero Salvador, manifestando que según el espíritu del Congreso y el tenor Arguelles, manifestando la agitación en que se hallan los bah tintes de lo liter…</t>
  </si>
  <si>
    <t>…tante asun ro mientras viva la ofendida. to. El Sr. OI i ver, como individuo « la comisión, apoyó esta idea. » Si la engafiads fuere muger pública conocida como tal, sufrirá el El Sr. Quiroga pidió al Sr. secretario de Ultramar dijese ( ai no ero reo de matrimonio fingido tres á seis años de obras públicas, y cuatro cosa reservada ) ti en algún tiempo, as- hablan enviado comisionado* á mas de destierro del pueblo donde cometiere el delito. las pro…</t>
  </si>
  <si>
    <t>…sucesos de ayer.” Se ruina de la libertad ; y desde el momento en que se despreciase i la re admitió á discusión. presentación nacional, desde el momento en que se la amenazase Ei Sr. Quiroga dijo, que una vez que su opinión no podía ser sos eran inútiles sus deliberaciones; porque ¿quién asegura que los di pechosa, porque se había hallado en la mayor parte de las ocurrencias, putados desde que han visto el suceso de ayer pueden obrar libremen y s…</t>
  </si>
  <si>
    <t>…e en ella se reunirían en el confirmaba á los patriotas militares de la isla las gracias concedidas teatro las autoridades civiles y militares y todos los sugetos distingui por el general Quiroga.” dos de Palermo y sus inmediaciones, con motivo de celebrarse el ani Quedó aprobada, y se mando pasar á dicha comisión la solicitud del versario de los días del Rey; que después de degollar á todos los que D- Josef Skee. estaban en lista, entre los cuales ha…</t>
  </si>
  <si>
    <t>…pector general de infantería y de la junta consultiva sobre D.Lorenzo htbiscontraído méritos pan con la patria, según habrá in el modo de l'evsr i afecto las ofertas hechas por el general Quiroga en sinuado el Sr. preopinante, las Cortes, si no habrá sido recompensado, ia isla de S- Fernando, en el que opinaba debían llevarse á efecto laa tomarían en consideración sus servicios; pero que no por eso se había expresadas gracias, conformándose con el dic…</t>
  </si>
  <si>
    <t>…epu de las Cortes sobre el mismo objeto; y tampoco se hallaba conforma so á la deliberaciou de las Cortes tres artículos, relativos á que se diese con las bases de la proclama del general Quiroga, pues en esta se pro al general Riego copia certificada del acta de ios d.a» 15 y id de Mar metían á los soldados tierras en propiedad, y en el proyecto se prepo zo en la parte que tenia relación con dicho general ; á que este firmase, nía se les diesen crédi…</t>
  </si>
  <si>
    <t>…l decreto de no eran oportunas. Afiadió que el decreto de n de Setiembre expresa 11 de Setiembre; y aun cuando se hubiese hecho acreedora á otra da ba lo mismo que la proclama del general Quiroga de 15 de Enero de se de recompensa , no te la podía considerar en el mismo cato que í x8to; y que así la generalidad que se objetaba al dictamen de la co aquellos oíros militares que se arrojaron á jugar á ia suerte su existen misión era una consecuencia de d…</t>
  </si>
  <si>
    <t>…de Don él el aumento propuesto en el dictamen de que se trataba , el cual reti Francisco Molina , oficial de Hacienda que (ue de la columna movible raba la comisión. .... , . del general Quiroga , pidiendo se declarase el sueldo que deb a disfrutar, Se procedió á la discusión del dictamen de la comisión de Visita en atención i no haber *ido incluido en la propuesta de gracias por ha del Ciédito público sobre las minas de plomo. ber caido prisionero,…</t>
  </si>
  <si>
    <t>…si ahora no atacá neral del llamado egército de la fe. Cuando en los periódicos anglo semos con todo empeño les progresos de una facción liberticida; calcu americanos leemos; * El general Quiroga ha desembarcado en la Havaladlas bien, y horrorizaos; miseria, calabozos y cadalsos scrían vuesua na con j3 hombresno hacemos mas que reirnos, y decir, de luengas patria, vuestra industria, vuestras comodidades. Paniendo de este prin tierras luengas mentiras;…</t>
  </si>
  <si>
    <t>Quiroga, Antonio</t>
  </si>
  <si>
    <t>Antonio Quiroga</t>
  </si>
  <si>
    <t>…y enmien Guerra acerca del reglamento á que di.be arreglarse la concesión de la den, y de la rehabilitación de los mismos después de cumplir sus cruz deS. Fernando á los generales D. Antonio Quiroga , D. Rafael del comunas. Riego , D. Felipe Arco Agüero , D. Miguel López llanos , D. Deme Art. 147. «Por medio del arrepentimiento y de la enmienda el trio O-Daly, D. Carlos Espinosa y D. Manuel Latre. condenado á trabajos perpetuos podra , después de estar e…</t>
  </si>
  <si>
    <t>…rmen Echeverría Juan Fernandez Casariego, D.Isidro de Hoyos , conde de Florida-Blan y su madre Doña Concepción Zu’.uaga, 4 fin de que concurran 4 la pre ca , D. Valentín Nicolás , D. Antonio Quiroga, D. Andrés Navarro sencia de S. S. en su audiencia en el preciso término de seis dias 4 eva y D. Josef Keieer. cuar cierta diligencia acordada 4 instancia del marido de la primera; con Reunido el jurado y habida le conferencia, se declaró por unanimi apercibi…</t>
  </si>
  <si>
    <t>…Minas La comisión de Visita del Crédito público, en vista de un expe Crrtaes, porque parecía justo que conociese el estado de lot pueblos diente promovido por el mariscal de campo D. Antonio Quiroga so que había de gobernar antea que tomase conocimiento de loa de Europa; bre que en atención é haber hecho postura á una hacienda situad* en el 7 se levantó U sesión. rtido de Oropesa, perteneciente al Crédito público, y pretender otros Aradores que se remata…</t>
  </si>
  <si>
    <t>…an f.sucio a debe conduci ■en el botiur de que «ea tu primer granadero el híioe de la isla de ros necesariamente á las compilaciones del bien ó del mal, del grava León el l'ixcmo. Sr. D. Antonio Quiroga, digno hijo de este pueblo men ó de los alivios que debéis á la ley fundamental v á sus resulta constitucional, no puedan expresar fácilmente el digno elogio qae de dos. No podréis menos, ciudadanos , de alargar vuestras m.-acias ha.ta ben tributir al heroico…</t>
  </si>
  <si>
    <t>Quiroga, Bartolomé de</t>
  </si>
  <si>
    <t>Bartolomé de Quiroga</t>
  </si>
  <si>
    <t>…lc-do y B ancos , otro de 29,99, en el servicio or bierno un tomo en 4.° i la rústica. Se vende en la librería de la viuda dinario y extraordinario de Patencia, rn cabeza dei Lie. D. Bartolomé de Quiroga. Morquecho: y otro dr 31,41 2 , en la propia cabeza, situado en el de recho del pnmrro, uno por 100, de Alcalá dr H nares. Nota. En la gaceta de ayer , pág. 1782 , artículo de anuncios, Se han extraviado ‘os privilegios de iuros perlcrn cientes á los ma donde…</t>
  </si>
  <si>
    <t>Quiroga, Diego</t>
  </si>
  <si>
    <t>Diego Quiroga</t>
  </si>
  <si>
    <t>…or D&gt; Josef Blanco Chtcarro, ofi Remitido* en letra al departamen 1 cial de la contaduría del Crédito público de León. to de Cádiz para una paga al navio San Barcelona interventor D. Diego Quiroga, contador cesante de sa Pablo...................................................... 160,000. linas de Valencia. A cuenta de una letra girada por Valencia interventor D. Mauricio Ruperto de Caballas, adminis el departamento de Cartagena en 16 de trador de bula…</t>
  </si>
  <si>
    <t>Quiroga, Diego Lorenzo</t>
  </si>
  <si>
    <t>Diego Lorenzo Quiroga</t>
  </si>
  <si>
    <t>…., ya porque lo habían leído ción de los heredero* de D. Valentín banchez Boado 149a rs. y 2 en alguna geografia europea, ó porque lo habían consultado con sus gurivedites__La «le D. Diego Lorenzo Quiroga 70 rs. 7 14 mrs _La buenos amigos loa holandeses, que loe pobres establecimientos del 48 D. Jos.f Manuel de laa Llanas como heredero «le D. Juan «le las JCamstchatlu dependían da un imperio colosal 7 de una nación euro limas 1788 rs. 7 4 mrs., la de los hijos…</t>
  </si>
  <si>
    <t>Quiroga, Josef Marín</t>
  </si>
  <si>
    <t>Josef Marín Quiroga</t>
  </si>
  <si>
    <t>…bía ct¡os adorno, de Mosquera, D. Domingo Sancha , D. Félix de la Riba , D. Jacobo So* menos importancia. El centro lo ocupaba una fi.ura de muger, 1 Ir bregra , D. Ramón Capóles, D. Josef Marín Quiroga , D. Antonio cual los autores de la descripción llaman una hit, que tenia las piernas Rodrigues, D. Vicente Torrea , D. Manuel García Riobó, D. Ma 'untas, los brazos levantados, la cabeza hacia la entrsda de la sala, y nuel Montero y D. Pedro Perez, que acred…</t>
  </si>
  <si>
    <t>Quiroga, Juan María Pardo</t>
  </si>
  <si>
    <t>Juan María Pardo Quiroga</t>
  </si>
  <si>
    <t>…udo verificarse con la Decreto de las Cortes sobre aduanas. {Gaceta del sí.) - velocidad que yo deseaba por el mal paso de la presa y acequia del Decreto de las Cortes nombrando á D. Juan María Pardo Quiroga aspiro, sufriendo en el Interin la columna de ataque el fuego horroro- y otros para varios destinos del Crédito público. {Gaceta del 39.) 10 que se le* dirigía por todos los pontos, has» que habiendo cargado Decreto de lu Cortes sobre contribución de patentes…</t>
  </si>
  <si>
    <t>Quiroga, Tomas de</t>
  </si>
  <si>
    <t>Tomas de Quiroga</t>
  </si>
  <si>
    <t>…loe rusos fueron admitidos, v el Oobiemo del niUravedises_La de D. Francisco de los Hoyos 19» rs. y j mrs—.La Japón 0076 probablemente pagarlos con los suministros cn trigo 7 vi Ó D. Tomas de Quiroga 92 rs. 7 14 mrs__ La de los herederos de vases qne hizo* la escuadra; pero insistió en la prohibición de que gnBi María Taboas 115 rs. 7 11 mrs—La «le Dofia Antonia Marta solvieran al Japón, en cuya resolución tuvo acaso mas parta al temor &lt;]•»» 7 Aparicio 11…</t>
  </si>
  <si>
    <t>Quirogs, Josef Antonio</t>
  </si>
  <si>
    <t>Josef Antonio Quirogs</t>
  </si>
  <si>
    <t>qué ahora te llaman rile*, descamisado», jacobino» , y 4 quienes se dan bítero D. Josef Antonio Quirogs, cura párroco de la villa de Mombuey, de aquel partido, acusado de haber proferido palabras subversivastodo* loa dictado* que inspira la perversidad, creyendo que era de &gt;a contra el actual sistema de gobierno, dijo que debia absolver y absoldeber unir sus ro…</t>
  </si>
  <si>
    <t>Quirogs, Juan María Pardo y</t>
  </si>
  <si>
    <t>Juan María Pardo y Quirogs</t>
  </si>
  <si>
    <t>…lugar 4 votar sobra d Se leyó el oficio del Sr. secretario de Hacienda en que el Gobierno dictamen de la mayoría; y quedó aprobado el voto particular. proponía para este destino á D. Juan María Pardo y Quirogs , consul Se leyeron y mandaron pasar á Ja comisión tres adiciones: una dd tor dal Crédito público, á D. Raimundo Orrisn, intendente de egér- Sr- Ojero; otra del Sr. Ferrer , y otra del Sr. Lagssca. cito y director de rentas, y i D. Ramón Bango, antiguo oficia…</t>
  </si>
  <si>
    <t>Quirós, Jaime</t>
  </si>
  <si>
    <t>Jaime Quirós</t>
  </si>
  <si>
    <t>…a. Se leyó y aprobó el acta de la anterior. be apicbaroa los siguientes dictímenes de la comisión eclesiás A la comisión de Legislación se mandaron pasar dos exposiciones tica. de D. Jaime Quirós, auditor de Guerra que fue de Galicia, ¿n que Uno relativo á la solicitud del P. I'alomo, ex-general de la ordea manifestaba los motivos que hablan dado lugar áque las Cortes del año de la Merced : La comisión en vista de la consulta I.celia por el consejo 20…</t>
  </si>
  <si>
    <t>…la misma contaduría mayor exa Carlos Mayor, natural de esta corte. Aprobado. mine con toda preferencia la cuenta de caja de tesorería general, que él La misma, en la solicitud de D. Jaime Quirós, auditor de Guerra presenurá sin tardanza; han acordado también que el Gobierno le sa en Galicia , sobre dilaciones y perjuicios que se le han ocasionado con líale un breve término para la presentación da tu cuenta particular.” motivo de una causa de responsa…</t>
  </si>
  <si>
    <t>Quirós, Marcos</t>
  </si>
  <si>
    <t>Marcos Quirós</t>
  </si>
  <si>
    <t>…Rey y SS. AA. continúan sin novedad en tu importante D. Clemente Máximo de la Torre, D. Ju'uan teme de .al..fatua, aalud. S. M. la Reina no ha tenido mejoría en su indisposición. D. Marcos Quirós, D. Segundo Alvaiez y D. Dom ngo saer Moa. jo. Habida la conferencia resu.tó kater lujar a la formación Je causa por DIXUCCION CBNBXAt SI LOTERIAS NACIONALES. seis votos, habiendo disentido D. Josel de la Ve¿a, D. l^as.m.ro oera— Noticia de los pueblos donde…</t>
  </si>
  <si>
    <t>Quitoga</t>
  </si>
  <si>
    <t>…l dictamen de la comisión especial da p.ua que se le confiriese el consulado de Gibraltar, que le concedió el las Cortes ordinarias del año 1 121 acerca de la sentencia dada en ¡a general Quitoga en premio de sus buenos servicie s en el restablecimien causa saguida contra el comis.r o de guerra D- Domingo Antonio Veto de la Constitución; ofreciéndose a servir aqu.l destino por una cuar lasco como autor d.l papel intitulado centinela contra r-ef ubil-V…</t>
  </si>
  <si>
    <t>Quitoga, Antonio</t>
  </si>
  <si>
    <t>Antonio Quitoga</t>
  </si>
  <si>
    <t>…odo de llevar era Constsentrno. Este pato pruebe que Alá mira ya como victoriosa a afreto ia concesión de Ja cruz laure ada do &amp;. Fernando fi ios generales U causa de los griegos. D. Antonio Quitoga, D. Rasad del Ric^o , X). Fe.¡pe Arco Agüero, Chineo hace una guaira muy nctiva i las turcos de Epito; y h« co D. Miguel López Baños, D. Demetrio Q-Duly, D. Carlos Espinosa y el gido muchos convoyes de municiones destinados para la Mores. brigadier D. Manuel…</t>
  </si>
  <si>
    <t>Qumtaniüa, Joaquín Satz de</t>
  </si>
  <si>
    <t>Joaquín Satz de Qumtaniüa</t>
  </si>
  <si>
    <t>…me exageración; pero no cabe duda en Carbonell, D. Joaquín f:;ri, D. Sebastian Bal!las , D. Remigio Cruz, qua el resultado de ellas es que el partido ultra francés, qu* tanta pre- D. Joaquín Satz de Qumtaniüa , D. Mariano Orrit y D. Vicznte Azpondsrancia ha sabido arrogarse, toma muchas medidas que pudieran su nar, dtspucs de haber examinado el artículo comunicado ins'ito en el ponerse 'no estar aa la esfera de una mera precaución. Bayona presenta Diario it id de…</t>
  </si>
  <si>
    <t>Quqada, Tomasa</t>
  </si>
  <si>
    <t>Tomasa Quqada</t>
  </si>
  <si>
    <t>…o hijos , D Nicolás , Doña María Antonia, Doña Ana María, D. Francisco «fe Paula y Cofia El Sr. secretario del Despacho de la Gobernación «le Ultramar con Mu ía Josefa de Salazar, Doña Tomasa Quqada , y por su muerte su fecha de ayer dice «lesde el Real sitio de Aranjuez lo que sigue: hijo D. Bernardino Espinaca, D. Manuel de Villejas y Romate , y » SS. MM. y A A. no tienen novedad en su importante salud.” por su fallecimiento su hijo primogénito D. Luis…</t>
  </si>
  <si>
    <t>Qüszuela, Josef Rives</t>
  </si>
  <si>
    <t>Josef Rives Qüszuela</t>
  </si>
  <si>
    <t>…es.** Marques de Torrenueva, D. Aniceto Lizana, D. Andrea Alcon, Dos —•&gt; El marques de Casa-León , gafe político de la provincia de Vene Santiago Delgado, D. Pedro Alvaro Delgado, D. Josef Rives Qüszuela , desde Puerto-Cabello con fecha de 18 de Febrero dtoe que iba 4 anito. salir de aquella plaza una división para Valencia, con objeto de obrar , Reunido el jurado, y habida la conferencia, ae declaró por unani contra aquel punto de acuerdo coa otra que saldrí…</t>
  </si>
  <si>
    <t>Qxrtaca, F-amon</t>
  </si>
  <si>
    <t>F-amon Qxrtaca</t>
  </si>
  <si>
    <t>…rr__ p tan D. Cióos Vadanno, y todos bajo la dirección del intrépido c »Odesa ha vuelto á declararse puerto franco , tegua publican los pe m.ndantí a.cider.tii del m.stno bata.:cn D. F-amon Qxrtaca . crea riodistas. ron por el centro y derecha, s-endo el resultado cogerles 400 tac.'.' es de pan , y desalojar os á la bayoneta de re jrs las adatas escalonada,, En articulo de Cádiz dejamos expuesto arriba todo cuanto se sabia que coi.servaron estas compañí…</t>
  </si>
  <si>
    <t>R, Antonio</t>
  </si>
  <si>
    <t>Antonio R</t>
  </si>
  <si>
    <t>…as dd juicio. Madrid ro «la Abril' nandez Casariego ,-D. Andrea AlcouD. Josef Antonio Ponsoa, de «8*a^sCayctaao Valdrá, pre»identc-=Juan Oliver y Oaicta, dipo- D- Nicolás Alonso , D. Antonio R«gm, P. Martin Miguel de Goicoetrdo arctclario^sViccáte Salvá , diputado secretario.” ebeay D. Josef Pío Santoe. Habida la conferencia, y bache Votación noPor tanto mandamos á lodos los tribuales , justicias , gefr», gober misal, resultó haber lugar á b bnMdta…</t>
  </si>
  <si>
    <t>…porque la tropa es de los señores siguientes: D. Manuel García del Barrio, D. Juan Fer taba extraordinariamente fatigada, y había acaba lo ya todas sus municio. nandez Casariego, D. Antonio R ‘g*¿ , p. Miguel Polz, D. Josrf Ma n-s : de-piies de concluida esta acción, que duró mas de tres horas, lla ría de Larnategui, D. Joaquín Lumbreras. O. Juan Pablo Pascual, mó purticuU’m nte mi atención la nenes dad de recoger nuestros D. Pedro Alvaro y Delgad…</t>
  </si>
  <si>
    <t>R, F.</t>
  </si>
  <si>
    <t>F. R</t>
  </si>
  <si>
    <t>…o he encargado el perseguimiento de los erro sea rl tan bizarro como desgraciado segundo ayudante de estado enemigos , que marchan vergonzosamente por el Pedregal. Lo que co mayor D. F. R.), que estaba herido de bala pasado por el vientre; y munico á V. para su inteligencia y satisfacción de los pueblos de su este paisano declaró qu: por cerca de Puerto-Serrano iba Zaldivar hu- mando. Dios guarde á V. muchos años. Cuartel general de Davajuro y.…</t>
  </si>
  <si>
    <t>R, Teniente de</t>
  </si>
  <si>
    <t>Teniente de R</t>
  </si>
  <si>
    <t>…ue quise reunir Manuel Goñi, á quienes recomendó a! Gob erno. Zara.oza 14 de mi partida tuve la desgracia de que casi toda ella no pudo replegarse Julio de iSn.mZarco del Valle. = Sr. Teniente de R y de esta plaz • para hacer una total d.fcnsa-, cortada pues casi tuda ella pudo re Al comunicar al Gobierno el comandante «enera1 del sexto distri tirarse hacia Valderobles , habiéndome quedado tan solo un sargento, to militar el anterior escrito, man fie,ta…</t>
  </si>
  <si>
    <t>R-h-ra, Antonio</t>
  </si>
  <si>
    <t>Antonio R-h-ra</t>
  </si>
  <si>
    <t>…rtida, Hallándose destacado en esta villa un piquete de !cs bataüon-s da tan zeloso por los ¡ntefses de la Nación en conservar el depósito que Ma'lorca y la Princesa, al mando del teniente D. Antonio R-h-ra, se te ha encargado, como deseoso del bien de tolos los habitantes de resolvieron los milicianos locales y los patriotas del pu b!o unMos á aquella plaza, pensó en pon-r remedio á estos males, y evitar otros ma los de Cádiz obsequiar aquel'a tropa con una com…</t>
  </si>
  <si>
    <t>R-jiz</t>
  </si>
  <si>
    <t>…esto de ciertos delincuentes, conforme al arti Constitución, y á petición del Sr. Alonso el 306 de la misma. culo 308 de la Constitución; de consiguiente ¿I es el que nos puede £1 Sr. R-jiz de la Vega: Antes de entrar a contestar a los argu servir de guia para entrar en esta discusión. mentos del Sr. preopinante creo deber manifestar que la comí,ion no Dice el artículo citado: „Si en circunstancias extraordinarias la se- ha omitido diligencia al…</t>
  </si>
  <si>
    <t>R-onoa, Fiincisco</t>
  </si>
  <si>
    <t>Fiincisco R-onoa</t>
  </si>
  <si>
    <t>…icia, al que acompasaba Etl ¡a c udad de Muren, -eun-dos os scíor-s iu-ces de hrcQ&gt; P-n las observaciones de dicho tribunal sobre el proyecto del codigo de pro Mariano (.'astillo, D. Fiincisco R-onoa r luengo. 1&gt;. &gt;.¡ 13-0 cedimiento» crttu.nales. D- Anton.o Co.omar, D. Doia.oto M;».cu:r, D ii.c..co</t>
  </si>
  <si>
    <t>R-t, Manuela</t>
  </si>
  <si>
    <t>Manuela R-t</t>
  </si>
  <si>
    <t>…por el cual no pudiese continuar siéndolo. En or bía pasar al archivo. Aprobado d.n á la residencia del .Sr. Aillon debe observarse que entre los juristas Ot o sobre la sollctud d Doña Manuela R-t che* para que se la pasa como doctrina sentada que el domicilio ói vecindad no se toma cono d* una per», on , *n »t-nc on á ios sersicoa de tu A fumo padre. precisamente por la mar vialidad del acto de residir, sino por las con La cernis on opinaba que ro po…</t>
  </si>
  <si>
    <t>Ra</t>
  </si>
  <si>
    <t>…itud de una pensión por los méritos de su difunto mar d . en el año de 1811 , y cuya vciyi fue anulada después , piden se ; •* A la de Visita del Crédito público una exposición de Doña Ra re-nteere por medio de un repartiría.ente vecinal, en cuyo reinteio faela González, pidiendo se le continué pagando una pensión que ro esta c nvemdo el pueblo; la comis.on encuentra arreglada esta soii. cobra actualmente por no habérsela comprendido en la lis…</t>
  </si>
  <si>
    <t>…a patria, y que pasase al Gobierno. Aprobado. en el 88 se supone que puede haber electores ausentes, y asi no se halla La misma, en vista da la solicitud del coronel de eitillería D. Ra determinado todavía qué (alta de electores es la que invalida la elección; món de Pola, opinaba qua podían las Cortes declarar que les hablan yen este estado puede suceder que haya elección aunque sea por un solo sido gratos sus servicios, y que pasase este e…</t>
  </si>
  <si>
    <t>…r punto opina el Consejo que a virtud de la cienda. última ley sobro infracciones de Constitución, y de las de a a de Octu La de Guerra presentó su dictamen sobre la exposición de D. Ra bre, y adicional de libertad de impronta, no ha debido el jurado aten món Sánchez, portero de las Corúa , psra que se le conceda el retiro der en la calificación de la pastoral de $ de Enero, y 9» considerada que le corresponde por su» afio» de servicio en el…</t>
  </si>
  <si>
    <t>…xposic.ones dei tarias y sobre ei contagio de Barcelona. Barón de Andilla y D. J-»ef Fernandez Solazar, en los cuales op-u .na La comisión de Premios, en vista de la exposición de Doña Ra que pasasen á informe de la jnnu Nacional las referidas sotlc.tuú ; mona Pol, prima y complicada en la causa de D. Vícente Richard, Aprobados. para q-c se le concediese una pensión, opinaba que podía concede!seis La comisión primera «le L-gisUcion, informando…</t>
  </si>
  <si>
    <t>…Imparcial como subersivi, se reunió ei )ura J.t&gt;, com de esta corte D. Martin de Pineda á 31 de Diciembre último sin coa puesto de lo» señóte» siguientes. D. Manuel Estiban Catai, D. Ra tas , declarándose que la formación de esta causa no debe perjudicar fila món Llotd, D. Josef Larrcatcgui, D. Marcos M ñero, D. I-Vi ip; Ló bueña fama y opinión del coronel D. Pió de Falces, fi quien se le re pez Vald-moros, D. Josef Antonio Ponzoa, D. Isidro…</t>
  </si>
  <si>
    <t>…y redujeron4cenizas las de D. Miguel M is de Xe- vive, y la mando h.icrr alto : los enemigos intimidados, que creyeron .xas y de D. Esteban Estorch, regidores, y las que ocupaban D. Ra seraneado» por un número considerable, retrocedieron en desorden, món Maciá y Bagó y D. Gerónimo Avellana, habiendo también pe d jando en las calles una porción considerable da armas y mochilas, y gado fuego á la de V. Francisco Fontanella y Masó, teniente de…</t>
  </si>
  <si>
    <t>…l de Castilla de 6 del corriente se dirigió una verifiquen los interesados de las provincias, ha acordado la misma co carta certificada á la viika de Ponferrada del Vierzo para el Sr. D. Ra misión de Visita se habilite á los Sres. intendentes de ella* y á lo* fael Martinengo , en la que se comprendían cuatro certificaciones de comisionados del Crédito público para que reciban los documentos que crédito expedidas en su favor con los númrros y val…</t>
  </si>
  <si>
    <t>…enda muy perticularmeme al comandante del segundo bstabe tenerse presente que en el primer articulo se establece una regla llon de Granada D. Marcelino Ora , al alférez de Sagunto D. Ra respecto de los empleados que cu lo sucesivo tengan ias diputaciones món Cotres , al de igual clase de Lusitania D. Bartolomé Salvador , al provinciales, y ahora se trata en el art. 164 de los empleados que ac sargento segundo de aquel cuerpo Felipe Gutiérrez…</t>
  </si>
  <si>
    <t>Ra, Josef Moreno y</t>
  </si>
  <si>
    <t>Josef Moreno y Ra</t>
  </si>
  <si>
    <t>…valor por un profesor de la ciencia numismática en 6876 rs. vn. obligación de presentarse diariamente á la primera autoridsd gubernati Quien quisiere hacer postura acu«Ja anta el Sr. D. Josef Moreno y Ra va , y debiendo pagar las costas de su defensa. Se multa é Francisca da mírez , magistrado honoitrio de la audiencia territorial de Castilla, juez Uspiricba en ocho ducados, previniéndola que en lo sucesivo dé cuen de primera instancia en esta capital, y por…</t>
  </si>
  <si>
    <t>Ra, Juan</t>
  </si>
  <si>
    <t>Juan Ra</t>
  </si>
  <si>
    <t>…ial de Castilla ú Nueva, juez de primera instan rector del derecho de registro, que les dirigió V. E. en a a de Diciem cia en esta capital, por la escribanía del número que ejerce D. Juan Ra bre próximo , sobre la inteligencia que debe darse i los artículos 13 y ya , á excepcionar en razón de la «lemanda puesta á nombre de Doña 19 del decreto de las Cortes ordinarias de *9 de Junio último, en Juana Iragorri, de Bilbao , sobre la pertenencia de lo…</t>
  </si>
  <si>
    <t>…y al comercio si se declaraba á Cádiz puerto franco. do al 78$ i han subido baña el 784, y después han vuelto á bajar al 78$ La comisión de Legislación, en visa de la solicitud de D. Juan Ra y al 78 al coñudo. Sobre los fondos extranjeros se han hecho pocas món de la Cruz sobre que te le concediese dispensa de edad para ad operaciones. ministrar sus bienes, no hallaba reparo en que se accediese á ella. No sabemos que haya llegado hoy extraordinar…</t>
  </si>
  <si>
    <t>Ra, Rafael María Simón de Rojas</t>
  </si>
  <si>
    <t>Rafael María Simón de Rojas Ra</t>
  </si>
  <si>
    <t>…r Bel -&lt; los ra. I &lt; &lt;¡ distrito termina ■ a* Id. 1* id. 40 id. Con motivo del secuettro de bienes que durante le dominación militar. ' ladolid. I de los fr-nces-s sufrió de estos D. Rafael María Simón de Rojas Ra f Sala-t imane*. | Mem..^ mírez de Arellano , marques de Villatoya , vecino de esta corte, se le Salamanca ,____dudad-,_____&gt; Mem.. Idem M Id. *jJ «d. M Id. han extraviado var os privilegios de juros respectivos á ios mayorazgos iRedri- ( (ao.........} que po…</t>
  </si>
  <si>
    <t>Ra, Zoilo</t>
  </si>
  <si>
    <t>Zoilo Ra</t>
  </si>
  <si>
    <t>…da; antea de mi llegada á este pueblo tuve ncticia de podido adquirirse, mas de 60, entre ello» un teniente coionri , que quese hallaban en él algunos facciosos con los cabecil1*» D. Zoilo Ra conducen en un féretro escoltado con el mayor cuidado. Por nuestra món , uno de los bene¿ciados de él, 7 priéaipaf motor de que se haya parte no hemos tenido mas pérdida qu: la de dos soldados herido» gra extraviado la bpinioé fWblica, asi como de qu: te hall…</t>
  </si>
  <si>
    <t>Rada, Agustín Josef</t>
  </si>
  <si>
    <t>Agustín Josef Rada</t>
  </si>
  <si>
    <t>…. Antonio de Pol, teniente de la Reina, con 570 rs. del r e mi nto infantería de Fernando vil, con 570 rs. Tarragona A D. Juan Bautista Anguín, teniente del regimiento in Ganada á D. Agustín Josef Rada, teniente del regimiento infan fantería de Aragón, con 570 rs. tería de 'a Corona, con 570 rs. Teruel á D. Juan Ramiro, teniente del regimiente infantería de Guadix á D. Josef María Canelo, teniente del regimiento infante Guadalajara, con 570 rs. ría d- Afric…</t>
  </si>
  <si>
    <t>Radon, Josef</t>
  </si>
  <si>
    <t>Josef Radon</t>
  </si>
  <si>
    <t>…Ríos, magistrado honorario de la au valles ,conde de Florida-Blanca, D. Pedro Matute, D. Josef Antonio diencia de Castilla la Vieja, y escribanía del número de esta M. H. Ponzoa , D. Josef Radon, D- Andrés Moya Lnzuriaga, D. Bernardo villa de D. Jacinto Gaona y Loeches, se vende en pública subasta una A sen jo, D. Miguel Ripa, conde de la Torre del Fresno. casa sita en esta población, calle de la Palma Alta, señalada con el nú Reunido el jurado, y ha…</t>
  </si>
  <si>
    <t>…se en examinar hio Antonio Lorcnte, D. Cirios González Llanos, D. Rafael Costa, detenidamente el proyecto de decreto que acaban de oir. D. Juan Cortés, D. Pedro Rodríguez de Toro, D. Josef Radon , Dos A h unos tabica escritores han dicho que el considerable número de Josef Demetrio Rodríguez, D. Juan Isidro Perez y D. Antonio Suindividuos de 1 itero se opone á la población, y que al paso que aquel Helio de Arias. se aumenta , sucede lo mismo raspéelo…</t>
  </si>
  <si>
    <t>…pues el qne escribe está autoriza Oriniga, D. Lino Campos, D. Carlos Romeral, D. Josef Demetrio do 4 expedir los rescript a de secularización pora las monjas basta todo Rodríguez, D. Josef Radon, D. Isidro Merino. cl mes de Junio, y por tanto no puede haber rehusado recibir ninguna Habida la conferencia se declaró por unanimidad no haber lugar A de las instancias que con este motivo le hubieren llegado de Mallorca. la formación «le causa. Lo que deRe…</t>
  </si>
  <si>
    <t>…a en beneficio de ellos mismos y del pú Albacete, D. Antonio Regai, D. Juan Antonio López, D. Jos-f Bar blico. Asi es que desde su fundación lleva ya empleadas Jas siguientes do , D. Josef Radon» D. Isidoro de Hoyos y D. Antonio Díaz del sumas : en pago de cata , muebles, libros, papeles y demas objetos pro Moral. pios de su instituto 121,540 rs.: en suscripciones en favor de los des Y habida le conferencia, declaiaton por unanimidad 1 No kaitr lu gr…</t>
  </si>
  <si>
    <t>…atamente á la extinción de los crédito* D- Valentin de Nicolás; D. Antomo Rcgás; D. Juan Manuel de Aréque tenga en caja, ejecutándolo indefectiblemente cada mes con los qu# jula y D. Josef Radon. lleguen á sus mano* , y haciéndolo notorio al público por medio de loa Habida la conferencia, resultó por unanimidad aso haber lugar 4 la p&lt; riódicot. a.° Igualmente procederá i la quema pública de loa docu formación de causa. mentos que se bailen en su caso…</t>
  </si>
  <si>
    <t>…te en Ja predestinación, cisco Barra, D. Valentín de Nicolás, D. Francisco Marina, D. Anto los segundos no siguen etis doctrina tan ciegamente como los primeros, nio PuigblancJi y D. Josef Radon. los cuales son por consecuencia apático* é indolentes. Los persas nopuc'iendo persuadirte que sea imposible evitar la adversidad, hacen cuanto es VARIEDADES. imaginable por conseguirlo. Aunque el Alcorán prohibe de un modo positivo y severo la adivinación, l…</t>
  </si>
  <si>
    <t>…amarqueses en el año de 1660, •yer.ae omitieron por casualidad los nombres de dos de sus indivi decretando que fuese hereditaria la corona que hasu aquella época ha duos ios Sres. D. Josef Radon y D. Josef Gómez Albacete, que con bía sido electiva. Ninguna potencia reclamó entonces contra esta mu los otros diez que allí se nombran concurr eron á calificar los dos esdanza , m contra otras aun mas esenciales que se hicieron eo la Consti crítosque motivaron el juicio con la fórm…</t>
  </si>
  <si>
    <t>Radon, Jotef</t>
  </si>
  <si>
    <t>Jotef Radon</t>
  </si>
  <si>
    <t>…prodigalidad. El partido decaído compuesto de los se Sores siguientes: D. Marcos Izquierdo, D. Anice boy daba m,hiu la ley 4 su sucesor, y esu es la historia en general to Lizana, D. Jotef Radon , D. Francisco Msrt&lt;nez Marina, D. Jode esas leyes. tef Reher, D. Lino Campos , D Jotef Larteategui, D. Antonio Ra Es pues preciso no desconocer esto, y tener presente las circunstancias gas y D. Antonio Puigblanch; habida la conferencia te declaró por del ti…</t>
  </si>
  <si>
    <t>Raes, Antonio</t>
  </si>
  <si>
    <t>Antonio Raes</t>
  </si>
  <si>
    <t>…rcunstancias que envuelve contigo la por su buen caballo, descargando un trabucazo 4 quema roma í los al destrucción de la indicada facción. Tampoco puedo dr|ar de recomen féreces D. Antonio Raes y D. Bartolomé Salvador , que le iban á dar el mérito que han contraído mis ayudantes, los porta-insignias de loa alcances. Lusitania D. Tomas López y D. Antonio Ratz, y ei teniente del regi » Entre loe prisioneros se cuentan D. Juan Santa Marfa , llamado miento de Sagunto D. Josef…</t>
  </si>
  <si>
    <t>Rafael</t>
  </si>
  <si>
    <t>…a del reglamento á que di.be arreglarse la concesión de la den, y de la rehabilitación de los mismos después de cumplir sus cruz deS. Fernando á los generales D. Antonio Quiroga , D. Rafael del comunas. Riego , D. Felipe Arco Agüero , D. Miguel López llanos , D. Deme Art. 147. «Por medio del arrepentimiento y de la enmienda el trio O-Daly, D. Carlos Espinosa y D. Manuel Latre. condenado á trabajos perpetuos podra , después de estar en el.o, 10 L…</t>
  </si>
  <si>
    <t>…ligión, formaremos votos en *•* Quela■ cruces correspoudirntes i los mariscales de catnp-&gt; Don livor del buen éxito de su empresa. No obstante, cuanto pata é nues Antonio Quiroga, D. Rafael d i Riego, D. Feópe Arco Aciicro, tra vista, y puede dar lugar i sacar ilaciones, no basta para hacer con D. Miguel López Baños, D. D «ttfíoO-Dav y D. Carlos F-ti tusa jeturas sobre la cuestión de si en medio de su gran prudencia tendrá a serán la» que es e!…</t>
  </si>
  <si>
    <t>…bonos que han de disfrutar varios individuos del mismo cuerno. dos ,dehesas, bosques, heredades ó cualesquiera otras tincas o y ' . . cSe concedió el permiso que solicitaba el Sr. diputado D. Rafael nes pertenecientes al Estado ó al común de alguna provincia u (do, Lodares para salir de Madrid á fin de restablecer su salud. fuera de las expresadas en el art. 347, sufrirán las penas de 10 »iic:. de Se leyeron des minutas de decreto, que se hallaran confor…</t>
  </si>
  <si>
    <t>…unciado por Pascual Quero!} la ley abcia en el domingo 14 del corriente. aolvió 4 Antonio Garda responsable da dicho impreso: en cuya con Se leyó una exposición remitida por d Sr. general D. Rafael del secuencia mando el Se. ¡oca da priman instancia D. JoaefCadia* y Gó Riego desde Zaragoza en ai de Agosto de i8ji , en qoe renunciaba mez que fuese puesto inmediatamente en libertad, declarando qa* caí* b pensión da 80» rt. que le habían asignado las anter…</t>
  </si>
  <si>
    <t>…das en la tarde de hoy, y en sus propias casas, tra latranquilidad pública, contra la familia de los voluntarles, contra al con la presencia del capdan del regimiento de Cantabria D. Rafael gún otro v -cino &lt;‘&gt; centra ei sistema constitucional, debo avisar d: orden Ibañez, que había caído en poder de lot facciosos, acompasado de uno del comandante general de las cuatro provincias de Aragón, que ven que p 1 Un.ce á la gavilla de Mosen Antón. En s…</t>
  </si>
  <si>
    <t>…guata 19. Hacienda. Tagle, ArgÜílle* , Carvajal, Manyino , Fernan 4* Madrid del 13 y 14 de Febrero último han declarado nulo y de dez , Castellanos, Vetase©, Zu’oogo y Castillo C D. Rafael ). ningún valor el untado de Córdoba-, y que not consiguiente el caso 10. Pronta/ públicos. Muzqúíz, Echarte , Carvajal, Barrera , Carprevenido en él deja de ser obligatorio para la Nación mexicana por xagal, VUtanueva, Peón , Sanche* del Otilar, 1 ocian y Es…</t>
  </si>
  <si>
    <t>…rario del re depósito de infantería , con 570 rs. al mes. gimiento infant ría de Zamora, con 570 rs. C udad-Rodngo al cap.tan D. Ramón Alvarez Arias, teniente de Sevilla al capian D. Rafael de la Vega Campuzano, teniente agre infantería jr del batallón de le milicia activa de Oviedo, con 450 rea gado al regimiento infantería dei R-ey, con 570 rs. les a' mrs. Soria á D. Fermín de líucsso , teniente del regimiento infantería de Kcíj 1 á D. Eleuter…</t>
  </si>
  <si>
    <t>…l Paso y Troncoso. D. Vicente Simón González de Cosío. con vuestra decisión, valor y denuedo. Jamas olvidéis esta memora D. Florencio Castillo. D. Tomas Salgado. D. Nicolás O'aez. D. Rafael ble jornada que os inmortaliza, ni menos confiéis en la victoria. vs^—- u.i:...Zn n. Mariano Robles. D. Demetrio Moreno. » Milicianos: poderosos enemigos, asaz diestros en el arte de ta ma quinación é intriga existen por desgracia, aparecen para tentar nuestr…</t>
  </si>
  <si>
    <t>Rafee</t>
  </si>
  <si>
    <t>…s, que hallándose á ¡as inmediaciones «le esta capital propios, como pide el ayuntamiento constitucional del m amo pucbio . el jó’ baralion del regimiento de Astónas, el cua , con D. Rafee, del otro para que se apruebe la contribución de dos reales en cántaro de vi R.eju , fje el que diú el pr.mer grito en las Cabezas de ». Juan a ti- no que se consuma en el valle de Tudela ( provincia de Santander), vi;r d_l sist-ma constitucional , habla r-su…</t>
  </si>
  <si>
    <t>Raga, Gil Martínez de</t>
  </si>
  <si>
    <t>Gil Martínez de Raga</t>
  </si>
  <si>
    <t>…n en los parajes que ocu cita y emplaza á los que se crean con derecho á suc-d.-r en el v nculo pan sctualraentt están declarando la degradación i que había llegado la fundado por D. Gil Martínez de Raga , canónigo que fue de Segurescultura en aquella última época , al mismo tiempo que la arquitectu re , con escritura ante Francisco Polo , escribirlo déla mimi de 18 ra se conservaba todavía, como puede verse en el citado monumento. de Noviembre de 1307 , y en…</t>
  </si>
  <si>
    <t>Raíz</t>
  </si>
  <si>
    <t>…estas visitas : al contrarío, yo soy el primero cendiéndote que hade haber uno en el distrito de cada audiencia.* qne aprobaré que se nombren visitadores; pera siempre que sean El Sr. Raíz de la Vega: Antes «fe entrar en etu materia me per para las audiencia* contra las qne se use broa ver que hay queja*. Laa mitirán las Cortes qne deshaga algunas equivocaciones de hecho, que se Cortes para exigir le responsabilidad á los funcionarios públicos,…</t>
  </si>
  <si>
    <t>Raíz, Antonio</t>
  </si>
  <si>
    <t>Antonio Raíz</t>
  </si>
  <si>
    <t>…oponían los Sres. Scbastiani y Laborde Paiazutlat dt la Sierra 16 dt Junio. fueron desechadas, á lo menos por una mayoría de las tres cuaius par Habiendo sabido ayer por la mañana D. Antonio Raíz, oficial tes de los individuos. del regimiento caballería de Lusitama, qu el lace.eso Hp*l»lr&gt; y ríos __Por las cartas de la Moldavia y Valaquia se nota que allí se duda compañeros estaban en la sienas Hamacas las Hunibóa» de Vúlauiel todavía de la evacuación…</t>
  </si>
  <si>
    <t>Raj</t>
  </si>
  <si>
    <t>…omo con ¡a d ,c o -r., .o» . . ■ maría. El conde Orlow fue desterrado y confinado á casa de su suegro tingue, acreditareis que con soldado* de tales virtudes r. &gt; -.ay r,;: -ia el conde Raj w,ky , gobernador de Kicw ; y el mayor y muchos ofi que no se ctnsiga. C.011 esta conducta o» granjeares i¡ apr . o i &gt;í&gt;ciales y soldados fueron presos. Según suponen se ha descubierto que macion dr tota la Nación , v sobre todo de vuestro ge té y conuan-ro…</t>
  </si>
  <si>
    <t>Ram, Pedro</t>
  </si>
  <si>
    <t>Pedro Ram</t>
  </si>
  <si>
    <t>…s, el barón de las Cuatro Torrea, D. Joaef Ortega Cañedo, da, en Granada, juro 450^mrs., en la misma cabeza__r. Papel sella L&gt;. 1 edro Perena , D. Luis Este ve , D. Joaef Garriga, D. Pedro Ram* do de Málaga, juro de 187,500 mrs., en la citada cabeza. bauo. D. Francisco Ignacio Pelleja y D. Antonio Fulla, después de — 3. Segundo medio por ciento de Córdoba, juro perpetuo 759 haber examinado el papel inserto en el periódico Vigilante Tarraco mrs., en…</t>
  </si>
  <si>
    <t>Ramí, Bartolomé</t>
  </si>
  <si>
    <t>Bartolomé Ramí</t>
  </si>
  <si>
    <t>…osto de 1614—Otro de 116,730 mr&gt;. de renta anual, situado ta pinte los vicies A que está expuesto este género de gobierno, asi como el almojarifazgo mayor de Sevilla, en cabeza de D. Bartolomé Ramí los plrtc) el célebre obi p 1 de Cambiay en la persona de Pigmaleon; y rez de Guzman__ Otro de 93,478 mrs. de renta anual, situado en las seguramente nadie nvnos sospechoso que Fenelon en este punto.- dí alcabalas de Ecija, en cabeza de Alonso Martínez Ponce…</t>
  </si>
  <si>
    <t>Ramiio, Rafael</t>
  </si>
  <si>
    <t>Rafael Ramiio</t>
  </si>
  <si>
    <t>…presente afio, Art. g.° Si hubiere cos regimiento de infantería de Arlanza , natural de Gomicl del Mercado. tumbre de que los dos ayuntamientos se hayan reunido pera otros actos, D. Rafael Ramiio , teniente coronel veterano del regimiento de infan se arreglarán á ella en cuanto á la presidencia y orden de colocación tería de Tres Villas en Nueva-España. D. Josef Joaquín Garlan, espi de los capitulares. Art. 4.3 No habiendo tal costumbre , presidirá co…</t>
  </si>
  <si>
    <t>Ramírez</t>
  </si>
  <si>
    <t>…les informó de la reclamación que había mandado hacer. El propios límites. Expliqúense pues sin rodeos, cuando se supone que el Sr. Le serna quedaba en Jauja con g9 hombres, y el Sr. Ramírez en poder que ha dado la Carta es superior á ella, ¿ se quiere por ventura Arequipa con otros SÍinsinuar que puede destruirla, oque la puede suprimir por una declara ción Real! En este caso nada hay cierto, y la anarqu a es inminente. NOTICIAS DE ESPAÑA. Diréi…</t>
  </si>
  <si>
    <t>…división de Canterac te mantenía acampada en la RamadilU, tión importante. Estos hombres ¡ por qué están en nuestro poder 1 No cinco leguas de lea, con guarnición en la ciudad: el general Ramírez por olia cosp sino en virtud de esta capitulación misma ¡mpeifuct», en Arequipa, conservando los puertos interni-dio» y el ir,t rif r con pula y viciosa, pero que al cabo ha producido el efecto de que tengamos fuerza respetable- La serna en Jauja con el entro…</t>
  </si>
  <si>
    <t>Ramirez, Juan</t>
  </si>
  <si>
    <t>Juan Ramirez</t>
  </si>
  <si>
    <t>…las tres garantías proyectasen aigo con del Cuzco. El egército español en el alto Perú al mando del teniente tra el mencionado castillo , seria inmediatamente arrasada por sus fue general D. Juan Ramirez guarnece la mencionada provincia del Cuzco, gos. A fin de que no falte nada á la invicta guarnición española, exila de Arequipa (en cuya capital tiene el cuartel general), la de Puno y geD ivila la mitad de los derechos de los buques mercantes, y otra las de…</t>
  </si>
  <si>
    <t>Ramírez, Rafaela</t>
  </si>
  <si>
    <t>Rafaela Ramírez</t>
  </si>
  <si>
    <t>…ión de lar Cortea para que pasase á la co to público. misión de Hacienda. La comisión de Haciende, en vista del expediente promovido 4 ins Esta, habiendo examinado la aolícítúd de Doña Rafaela Ramírez tancia de varios deudores de cantidades pertenecientes 4 bulas, opinaba Arel Jaro, mtiger del mariscal da campo D Antonio Zuazo , sobre qué que se les debía perdonar el pago de estas como proponía el Gobierno. se la admitiesen en pago de una cantidad que debí…</t>
  </si>
  <si>
    <t>Ramírez, Tomas</t>
  </si>
  <si>
    <t>Tomas Ramírez</t>
  </si>
  <si>
    <t>…Lopes , mayor comandante supura un»'rano Ciudad-Rodrigo á D Forer o Godos, comandante de icfanter a. del batallón infantería ligrra de Gerona, con el sueldo que disiruta. Rorda á D. Tomas Ramírez, comandarte de ir.fantet a. Huelva á D. Pedro Doa, espitan de infantería graduado da te Ser a á D. Josef María Araujo , com odante d.- infarlería. niente coronel y de la extinguida primera div.tum de granaderos pro Granada á D. Ignacio Caveto,comandante de in…</t>
  </si>
  <si>
    <t>Ramiro, Juan</t>
  </si>
  <si>
    <t>Juan Ramiro</t>
  </si>
  <si>
    <t>…Bautista Anguín, teniente del regimiento in Ganada á D. Agustín Josef Rada, teniente del regimiento infan fantería de Aragón, con 570 rs. tería de 'a Corona, con 570 rs. Teruel á D. Juan Ramiro, teniente del regimiente infantería de Guadix á D. Josef María Canelo, teniente del regimiento infante Guadalajara, con 570 rs. ría d- Africa , con ¡,7o rs. Toledo A D. Antonio Pelaez, teniente del regimiento infantería Guadalajars á D Benito Escalante, tenie…</t>
  </si>
  <si>
    <t>Ramiro, Rafa-I</t>
  </si>
  <si>
    <t>Rafa-I Ramiro</t>
  </si>
  <si>
    <t>…n d. B r n se burla d- ia r.ct cía Gainza, brigadier D. Donvngo Malo e llúbd, id. D. Josef Antón o (que liama absurdi), n qu se fecaqa: u » «ust iacr, ,.asa nr. por Echevarri, id. D. Rafa-I Ramiro, id. D. Lu s Cortázar, id. I). Gi- el Med ouia d a Francia para r forzar el llamado co’d &gt;1 . .m r.ir.’u; briel Arm’jo, id. D. Agustín Buslil-os , id. D- Jo, f Mar a Ccrvai.t s. atribuye estos absu-do» á ios esprcu a luirs de b- 1 tr» . ; F.-ta c. L'mosn ro m…</t>
  </si>
  <si>
    <t>Ramiros, Rosa</t>
  </si>
  <si>
    <t>Rosa Ramiros</t>
  </si>
  <si>
    <t>…el con indestructiblemente, enseñando 4 su* impotentes enemigo* que pe acia n vano su* ataques traidores dirigido* 4 inutilizar lo* resultado* prós curso de acreedores i bienes de Doña Rosa Ramiros, vecina qne fue da dicha villa, 7 mugerde D. Benito Jiménez, ambos difuntos, en el peros de nuestra magnánima emancipación. Tu glorioso motivo, que cual, pan dar curto á cierta solicitud, te ha mandado dar traslado de inflama á la milicia de Bspona en le* sen…</t>
  </si>
  <si>
    <t>Ramo</t>
  </si>
  <si>
    <t>…rujano Se mandaron pasar é la comisión de Policía varias adiciones del mayor, boticario mayor, y veterinario mayor. Sr. Gómez (D. Manuel) sobre las cartas de seguridad, y ot-a del señor Ramo judicial. Auditor.” Melendez al art. sy de dicho reglamento , qus dteéa: &gt;■ Deseass de íes Sr. Saavedra: Ei epígrafe de este capítulo no me parece exacto, palabras modo de tí: ir conocí, le, añádase y cruente fiador aie.naii. porque también debe considerarse…</t>
  </si>
  <si>
    <t>Ramón</t>
  </si>
  <si>
    <t>…e las propiedades perteneciente» ro, violando el armisticio, la pena de reclusión después de la de muerte. al Gobierno que se halle en guerra con España, ó á los auxiliares del El Sr. Ramón t opinó que mediante i admitir dudas la palabra mismo.” Aprobado. 'violar, se pusiese v'olacion de ten artículo 4 artículo! del armi tiño , pues Art. 37Ó. &gt;» Los capitanes, maestres y pilotos de buques españoles solo el general en gefe era el que podía violar…</t>
  </si>
  <si>
    <t>…mes; debiendo continuar desempeñando interinamente la de Es Estas palabras dan muy bien á conocer á un digno sucesor de Fenetado el secretario de la de la Gobernación de Ultramar D. Ramón ion , de liossuet y de los demas grande* pesiados que huí sido el con. López Pelegrin, y la de Hacienda D. Luis Sorela , oficial mayor de suelo y la gloria de la iglesia galicana en otro* tiempos. la misma, en los mismos términos que lo han hecho hasta ahora.…</t>
  </si>
  <si>
    <t>…ve, D. Francisco de Paula Roset y B*bí , D. Josef Bai- en la imposibilidad de ser diputad»; y mi creo obligado por la ley mis yes Oliva, D. Josef Melchor Ptat, D. Mariano Rubinat, D. Ramón ma i reclamarlo asi, pues si ahora se admitiese un empleado de palacio, Busaña y D. Hemeterio Martí. Fueron aprobados los poderes de estos en las Cortes siguientes habría dos, luego seis, y en fin podría haber señores diputados como proponía la comisión. much…</t>
  </si>
  <si>
    <t>…condenado i muerte yetuU del jurisconsulto ingles Jerasala Bentham, traducida el castdladr#. Abandonado de todo» lot suyo», 7 hecho el blanco del desprecio Oo coa comentar ios por D. Ramón, Sala, ciudadano espafiol y docta universal, el bramin-arrastrú por espacio -de algunos mesa una exis de Salamanca; acudirán á recome el tomo. g.°, adelantando el importe tencia mianable, hasta que una nueva enfermedad vino é inspírale por dd 4.0 qne está en…</t>
  </si>
  <si>
    <t>…nstancia de Madrid, vacante por promoción de D. Julián Granada. La comisión, habiendo examinado los poderes de D. Die de Sojo i una plaza de fiscal de la audiencia de Catalufia, i D. Ramón go Entrena, electo diputado sup'ente por esta provincia, opinaba que de Argos; para la del partido de Soria, vacante por fallecimiento de no debian ser aprobados, en razón de no tener el tiempo suficiente de D. Eustaquio Martínez de Toro, i D Josef Eladio Gar…</t>
  </si>
  <si>
    <t>…or otro ídem: á D Domingo Perez é hijo en idetn á 30 llería ei paladín mas bizarro pan lucirlo en un torneo; pero estos hom de Diciembre de idem, por Jacinto hala por otro ídem: A D. Ramón bres un hermoso*, tan robusto* y tan engalanado* apenas tienen de de Angulo en Sevilla á 14 de Noviembre de idem, por Pedro de Orhumano mas que el exterior , pues careciendo de todo verdadero vín duña por dos de idem: á D. Bu Pascual en idem i 17 «la Setiembr…</t>
  </si>
  <si>
    <t>…líber*!, » Habiendo tenido á bien admitir la renuncia que han hecho mis el Sr. Santiago ha dejado correr libremente «I entusiasmo de su imagi secretarios de Estado y del Despacho D. Ramón ¿opez Feiegriu, de ia nación , y iu» rasgos de su grandiosa obra ñau correspondido de un rroGobernación de Ultramar é interino del de Estado , D. Vicente Cano do taa brillante como feliz 4 fe dignidad del objeta. 1 Pero en qué con Manuel del de Gracia 7 Justi…</t>
  </si>
  <si>
    <t>…varios dictámenes de la comisión de Legislación, en Madrid, en el paseo del Prado, se había aclamado al Rey absoluto, y lot cuales opinaba podían concederse cartas de ciudadano á D. Ramón que esto no podía menos de ser principio de una conspiración muy Pada, D. Marcelo Espinóla, D. León Menudo, D. Rafael Orfen , Don meditada, y empezada ya i poner en egecucion, precisamente en los Antonio Gustaman, D. Narciso Mataolivas , D. Sebastian Cortijo,…</t>
  </si>
  <si>
    <t>…as provincias de sa Comandancias subalternas de provincia correspondientes al tercer lamanca , Zamora, Santander, Huesca, Gerona, Lérida, Tarragona, distrito. Para la de Oviedo al brigadier D. Ramón de la Pola, que Alicante, Málaga y Cáceres conservarán al mismo tiempo los gobier desempeña actualmente en propiedad la de Astlirias. Para la de Sala nos de las respectivas plazas de Ciudad-Rodrigo, Zamora, Sautoüa, manca al brigadier D. Honorato Dublaisel, g…</t>
  </si>
  <si>
    <t>412</t>
  </si>
  <si>
    <t>…s, sin excluir El Sr. Trigoso leyó el dictamen de la comisión sobre los presos es ni la censura de las operaciones del ministerio: y y a que no está en mi pañoles D- Tomas Blanc y D. Ramón £¡ceron , el cual se reducía í mano ampliarla i todos los ramos del Gobierno, por lo respectivo al decir que habiendo examinado (a comisión la protesta hecha por el En que de mí depende, ninguno podrá quejarse de que no la ^favorezca. cargado de Negocios de S…</t>
  </si>
  <si>
    <t>…eis monjas franciscanas de Lorca acerca I). Santiago Miguel de Haedo , que se vende para pago de acreedores, de su secularización. señalado por el juzgado de primera instancia del Sr. D. Ramón de La misma comisión , habiendo examinado la exposición de D. Pa Argos, y escribanía de D. Pedro Josef de lbib- , para el dia 3 de Abril blo María Camacho , en la que manifestaba que la practica de llevar al próximo, te ha suspendido, y s- vuelve i señalar panel 15…</t>
  </si>
  <si>
    <t>…* provincia» han aido invadida* laa haca» y propiedade* parti culares, 4 petar de qne el mismo decreto de tétenos protege 4 tus po En la villa de Madrid Í 23 «le Abril de 181a: El Sr. D. Ramón seedores, y «oto dice ae verifique la abolición de lat prestaciones seno de Argos, juez Togado de primara instancia: Hebtéralaae observado en riales. No he tratado poca de preaentar ningún medio dilatorio, tino este juicio lodos los trámites prescritos por la…</t>
  </si>
  <si>
    <t>tome» «alo 4 » primer* parte, ptoes de lo contrario podía deducirte que «c exlgiwe la responsabilidad al ex-secretario del rv-^h-i D. Ramón lot capitulen i.° y T° de ** sesión «4 del coocilio de Trema decía lo Feliu , juzgaba oportuno que se pidiese a. Gobierno la orden dirigida ea «M m enunciaba en el resto del dictamen. 4 de ¡setiembre último al «x-gefe po.ít co da Madrid D. Francisco de ^ El s…</t>
  </si>
  <si>
    <t>…u ladeQuiroga, demoro; D. Antón o Seoíne; D. Manujl Esteban Catal &gt; ; D. Cavtniro á 18 rs. El autor avisa i los libreros de las provincias que si gustan Martin; D. Mat as Casero , D. Ramón l.lord, y D. Antonio Ke^as. comprar ejemplares por mayor y venderlos de su cuenta, se les hará la Habida la conferencia, resultó por unanimidad haber lugar á la fornica rebata de a o por 100. ción de causa. aV/«.». En la gaceta del 14, col. j.1, lín. 47 y 48,…</t>
  </si>
  <si>
    <t>…ado tic teniente coronel Pamplona i D. Tiburck Zanzrza, espitan giaduado da tem nta del reg'mi-nlo infantrría de Aragón, id. coronel del reg:nu r; 1 ■ zapadores, idArar.dad Da.toé D. Ramón oantillaa, espitan dt! regimiento Saiamancm á D. Jusn Antonio i'v -rtaa. tcrier.te coronel graduado caballería d* Barbón , id. y cap.t in pr mee a udant- ■_ resirriento infantería da Malaca, Badajoz a D. Joan Ensebio Manzano, comandante del segundo brgovia «…</t>
  </si>
  <si>
    <t>…ividuos, y continuarán* gustoso* en el herido. Idem D. Josef Ay uso, contuso. Milicianos D. Antonio Enci- cumplimiento de sus deberes. Vicá'varo 11 de Julio de iSm.’’ s o, herido, D. Ramón líarro y A xoyocontuso- D. Vicente Pérez, El alcalde, regidores v procurador síndico general de) ayuntamien 11X111. IX Jossf bolahude, ídem. D. Josef María López, id. D. Ventu to constitucional del mismo lugar de Vicilvaíó han' publicarlo utí cer ra Garcero ,…</t>
  </si>
  <si>
    <t>…udiencia territorial de Ctttilla la Nueva en sala se rá mas nuestros p-chos en fuego saerado; y esta regará nuestro suelo, y gunda del crimen citan y emp'azan i Bernardino Amurco, D. Ramón cultivará los laureles que dtb:n conar nuestras espadas, la* que nunca de Conti, Juan de Mata Moñino, L&gt;. Joscf Ribera y Francisco Gar se acobardarán 4 la v sta de los que mancillan su nombre en la perfidia cía , comprendido* en la causa que pende en la misma…</t>
  </si>
  <si>
    <t>…ntestar! Sea como quiera, si los hstados Uni TRIBUNALES. dos han tomado ínteres por la causa de los griegos del modo que se En virtud de providencia del Sr. alcalde const tucional D. Ramón dice , la política de varios Gabinetes europeos no podrá menos de to Cisellas, como |uez interino de primera instancia de esta corle, en au mar un nuevo giro , ó se exponen á llegar tarde. tos s¿-cuneos que penden por ia escribanía del cargo de D. Francisco L…</t>
  </si>
  <si>
    <t>…os mercados de instancia de la nuevá población de la Carlota y su partido, y por pre Augusto y de Antonino Pió, en medio del cual estaba la columna An sencia del escribano público D. Ramón de loa Reyes y Gómez, penden tón in a; en el de Nerva, donde se perciben los vestigios del templo de autos de inventario abintcstato á los bienes que han quedado por el Marte , edificado por Augusto , y dos columnas estriadas de orden co fallecimiento del pre…</t>
  </si>
  <si>
    <t>…7 la—D. Simón Permanchan de Oloron 379 7 4._D. Jura Luis Oaten de Gante jlá 7 io_Dofia Isa _ Por providencia del Sr. D. Angel Fernandez deloe Riot, jaez de bel Valcarcel, viuda de D. Ramón de id. 313 f 16—Boiaier 7Savar-primera instancia de esta corte 7 de la hacienda pública, aecita, llama din de Marsella 164 7 *6.__Viada da Robaut y compafiía de ia. 443 77 emplaza é lo* parientes de D. Manuel V ase! a, que falleció en la Cabo- 18—Viada da Hca…</t>
  </si>
  <si>
    <t>…es de la llegada de la comisión del » Yo con el gefe de la P. M. de !a división Saravia , mis ayudan Excmo. ayuntamiento, que debe set 4 Us ocho—El gefe de la P. M. a tes de campo D. Ramón y D. Josrf Milans, los de la P. M. Fajardo De Llinás.” y Gatcil, y el gobernador del cuartel gmtral de la dlv sinn, el tenien Madrid Miércoles so de Noviembre.te de Africa D. Rafael de Vega , con mi secretario l&gt; Vicente Ferreti, marchaba con la columna de la derecha , qu: des…</t>
  </si>
  <si>
    <t>…general de efectos estancados, fincas trc. y deposita rías de pro Enterado el Rey del oficio de V. S. de ayer, en que manifiesta ha vincia........... 18,558-29 berse comunicado á D. Ramón de la Sagra la Real orden de su nom A imprevis bramiento para la elaboración de tabaco rapé en Santander, se ha ser tos................. 475»9i7-J°- vido resolver que ai no te presenta en su destino en todo el corriente mes, se declare por vacante la plaza; y…</t>
  </si>
  <si>
    <t>…a por faltar al respeto que se dvbe el Congreso, tendré inconveniente en retirar estas expresiones, porque mi ánimo no diría que se parecía á alguna de las composiciones del poeta D. Ramón ha sido insultar al Sumo Pontífice, á quien respeto. de la Cruz. Se ha excitado un* cuestión canónica , y aun ti se quiere Concluiré recordando é las Cortes lo ocurrido cuando sa discutió teológica; y yo no quiórra que se dijese de nosotros lo que se estable…</t>
  </si>
  <si>
    <t>…Josef AnglaselLs Francisco Subirach*- = Lorenzo ta del J5.) Novell—El marques de Monístrol—J s;f Miguel Corriols.=Raí*ei Ma Resolución de S- M. para que te presente qp su destino D. Ramón ría Comes—Pablo Totrcnts—Juan Lasarte—Juan de Vai.e. de la Sagra, encargado de la elaboración de tabaco rapé en Santander. Ea la 81: Los mfrascr.to* jure:* de becno, hab endo examinado (Gaceta del agj los dos cuadernos, titu'ados el primero • Carta nonay el s…</t>
  </si>
  <si>
    <t>…ta corta D. Juan Gemir y Díaz , te ba mancado que res da por el citado Real decreto de ao de Abril de 1815 y Real ordan pecto de haberse practidado repetida»diügenc as en busca de D. Ramón aclaratoria, por el tiempo de campafia en la última gueru con los San*, administrador judicial de dos casas propias de dicho concurso, franceses. ain haber podido ser habido ni saberse su paradero, se le haga sabir i a. No te abonará tiempo de servicio á los…</t>
  </si>
  <si>
    <t>…tupiera el destino ó existencia «le D. Isidro Mendoza , natural de Icntitimo Sr.zrFraneisco Bsppz y Mina-asf Xcmo. Sr. secretario del Des Salamanca , y vecino de Madrid , hijo de D. Ramón y «la Doña Ma pacho de la Guerra.” ría Francisca Pereira , que casó en la Mtmbrilla, provincia da la Mancha, con Doña Eugenia García Nufisr, y alió da laCoruña an el Por promoción de D. Joscf LnJlwo i gtf» político de la provin nfio ds 1811 con dirección áGra…</t>
  </si>
  <si>
    <t>Ramón, Amonio María de</t>
  </si>
  <si>
    <t>Amonio María de Ramón</t>
  </si>
  <si>
    <t>…e Vigo,=Por la Hacienda nacional mi PAGADURIA DEL MINISTERIO DE LA GOBERNACION DE IA PENINSULA. litar el intendente honorario de provincia comisario de guerra Ramón María Diaz.=Ei capitán Amonio María de Ramón, secretario- Jifts de Octubre de 1&amp;22. Acta del arqueo de dicha pagaduría correspondiente al presente Hallándose vacante la plaza de interventor de las fábricas de salme, de Octubre , celebrado con arreglo al art. 1cap. 7.0 de la ins- del partido de Osuna en…</t>
  </si>
  <si>
    <t>Ramón, Vicente</t>
  </si>
  <si>
    <t>Vicente Ramón</t>
  </si>
  <si>
    <t>…ándose su residencia, se le avisa por medio nuel Melero , D. Josef Perez, D. Antonio Pereira, D. Antonio Por de ote periódico con el mismo objeto, en el concepto de que por la ta, D. Vicente Ramón, D. Manuel Ron, D- Francisco Rollo, Don propia dirección te dispondrá lo conveniente para el zecibo de los refe- Jaime Sola , D. Josef Travieso, D. 1 d fonso Tranche, D. Bernardo lidos too® reales. Joana y Vida1 , D. Gregorio Justo Grande, D. Martin Z-'nzano,…</t>
  </si>
  <si>
    <t>Ramonet</t>
  </si>
  <si>
    <t>…sa de la claridad, á la sobre el mismo habían hecho el Sr. Espiga al art. 131; el Sr. Arrieta que se ha consultado sobre todo. En la parte tipográfica, para que la im a al Z33: el Sr. Ramonet al &gt;35: el Sr. Puigblanch al mismo; y los presión sea elegante y correcta , nada ha omitido la imprenta Nacional, Sres. Cepero y López ( D. Marcial) al 236; que se mandaron pasar á en cuyo despacho se vende este primer tomo á 17 rs. en rústica y 20 en la comi…</t>
  </si>
  <si>
    <t>…e apartaría de la ¿(Jtiién me dijera que debía allanarse aquel edificio para perseguir á un fuerza armada. diputado tan benemérito como el Sr. conde de Toreno?.... Sí, ¡« digo, El Sr. Ramonet dijo que en esta discusión solo recordaría dos prin y lo 111'smo con respecto al Sr. Martinez de la Rosa; el conocimien cipios que eran bastante conocidos, porque eran muy antiguos , y se ha to que tango de sus virtudes me hacen hablar asi, y para esto no es…</t>
  </si>
  <si>
    <t>Ramos, Andrés</t>
  </si>
  <si>
    <t>Andrés Ramos</t>
  </si>
  <si>
    <t>…las idtn de la Las Cortes concedieron permiso á D. Josef Erald, jue* alecto da cooaisioa, aunque no en los términos aa que cataba extendido el arti primera instancia de Soria, y é D. Andrés Ramos, que lo es da Ataca, culo. La intervención de lat diputaciones provinciales y ayuntamiento* para que puedan prestar tu juramento, el primero anta «1 gtf* poli tico aa lo organización da la milicia ea un* cara ya decidida en los regla de aqu-lia provincia, y e…</t>
  </si>
  <si>
    <t>Ramos, Eustaquio</t>
  </si>
  <si>
    <t>Eustaquio Ramos</t>
  </si>
  <si>
    <t>…había hecho esta indicación por si las Cortil la cual perteneció. Aprobado. la hubiesen creído oportuna, y que no tente d úrnltjd en ceder. La misma, en vista de te exposición de D. Eustaquio Ramos , en Proposición de los Sres. Soria, Romero y Prat: - Pedimos qu; íi ln que hacia presente los servicios que hizo en el egército de la isla en comisión especial que debe informar del estado político de la Nacos 1810, pidiéndose le hiciese efectivo el premio c…</t>
  </si>
  <si>
    <t>Ramos, Joaquín</t>
  </si>
  <si>
    <t>Joaquín Ramos</t>
  </si>
  <si>
    <t>…s , el tras ciales constitucionales que han recobrado tu libertad en Francia. torno le los imper os, ia desolación general , han sido muchas reces Del regimiento de Jaén. Teniente coronel D. Joaquín Ramos, ca Ja obra de sus manos Esos sacrtl-vos impostores, fios sacerdotes im pitán D. Juan Bautista Zara'.a, teniente D Antonio Corrióla, subte píos que blasfeman el nombre cr Dos, son ios que procuran envene niente D. Felipe Caballero, id. D. Pedro Polero, id. D.…</t>
  </si>
  <si>
    <t>Ramos, Juan de Mata</t>
  </si>
  <si>
    <t>Juan de Mata Ramos</t>
  </si>
  <si>
    <t>…corriente mee Menorca........................... 41,062 de Julio, se ha servido nombrar magistrados de la audiencia de laa Mondofiedo............-....... 208,866 islas Filipinas á D. Juan de Mata Ramos, fiscal que fue de la misma Orense.............................. 558.390 audiencia , y_electo para Is dt Lima: i D. Josef María Salazar, asesor Oribuela........................... 286,638 interino del juzgado de artillería de Filipinas; y i D. Francisco Rive…</t>
  </si>
  <si>
    <t>Ramos, Manuel</t>
  </si>
  <si>
    <t>Manuel Ramos</t>
  </si>
  <si>
    <t>…seros esclavos i soldados de una Nación libre, cuya di » Por la derecha, y con dirección i la altura, mandé al capitán gra visa será eternamente la de Constitución ó muerte. duado D. Manuel Ramos que con 80 hombres de todas las columnas Bltsa (Aragón) 21 de Julio. y milicianos tomase á toda costa aquel punto, como en efecto asi se Ay-r te publicó en este publo el bando del.indulto por el alcalda verificó , desalojando á tos cobardes de su posición, mi…</t>
  </si>
  <si>
    <t>…cata capital han verificado ayer la fuerza dei batallón d; Gerona que pertenece á ia columna, y que co captura de 10 carca» con 100 arroba* de pólvora , y ur.a con 11 de manda ei capitán D. Manuel Ramos, marchase ia miiaci ¿ reforzarlas plomo, que iban desde las fabrica* de Villafeliche a los facciosos de uerrii a» j pero al llegar al campo, viendo v gorosaoirnte atacaca ia coNavarra. El dueño es navarro, y está ya preso jumamente con los fumna de Azcuénaga…</t>
  </si>
  <si>
    <t>Ramos, Vicente</t>
  </si>
  <si>
    <t>Vicente Ramos</t>
  </si>
  <si>
    <t>…en razón de la proposición de pago del al El Rey ha visto con satisfacción el generoso desprendimiento con cance que resulta contra el administrador que ha sido «fe los mismos que D. Vicente Ramos, vecino del Ferrol , ha cedido á favor de la Ha bienes; entendido de que no lo haciendo, sin mas citarles ni emplazar cienda nacional la cantidad «le 3713 rs. y ia u-.rs. va. que tiene de cré les te procederá á sustanciar el asumo, y les parará todo perjuicio…</t>
  </si>
  <si>
    <t>Ramouet</t>
  </si>
  <si>
    <t>…bido por la ria de V¿necia algunas cartas de la Morca. Guerra ciando se trató del decreto orgánico del egército. qud^Kiban qUg se piensa uiuy seriamente en dar una buena organi El Sr. Ramouet manifestó que para cortar ia discusión debía ma zación i csMlpenínsula, cuyos habitantes hacen los mayores esfuerzos nifestar que estaba pendiente en comisión la consulta sobre si los para apoderarse de los fuertes qué estah todavía, en poder de los turcos. c…</t>
  </si>
  <si>
    <t>Ramunet, Francisco</t>
  </si>
  <si>
    <t>Francisco Ramunet</t>
  </si>
  <si>
    <t>…ocurrencias de España, be vende en las librerías de Villa, de Coman ¡ansias súbate.ri.as de provincia correspondientes al décimo Fuente y de Novillo distrito. Para la de Cádiz al brigadier D. Francisco Ramunet, coronel Nota. En la caceta del 13, col. 5.*, lín. 2.*, donde dice m-m'dtf del regímient-i can nena de F'aiuesiO. Para la de lluzlva al mariscal de taban, léase manifestaba-, ye O la lia. ¿f, dunda dice campo D. O-D &gt;. lente toco&gt;*ípaiis4. EN LA IMPRENTA N VU…</t>
  </si>
  <si>
    <t>Randa, Rafael</t>
  </si>
  <si>
    <t>Rafael Randa</t>
  </si>
  <si>
    <t>Nútn. 310. (7 cuartos.) GACETA DE MADRID. SABADO a DE NOVIEMBRE DE i8aa. «ssbbS5¡¡B»-0-^^0-4 n»' 1 - — - NOTICIAS DS ESPAÑA. Se di í cuenta de una solicitud de D. Rafael Randa, apoderado del mente pío de cosecheros de Málaga, remitida á las Cortes por d Senov Zaragoza »8 dt Octubre. secretario de ia Gobernación de la Península, para que se declare si Sexto distrito mi!itar—Comandancia general. deb: s.r válida la gracia acordada por…</t>
  </si>
  <si>
    <t>Ranee, Domingo</t>
  </si>
  <si>
    <t>Domingo Ranee</t>
  </si>
  <si>
    <t>…los Srcs. D. Juan J. del Cubillo, D. Martin huales. Josef de Cantío, D. Josef M. Rerortillo, D Jcsquin de Trueba, Don Primeros exudantes. Juan Martínez Gatica, D. Cirios Carrera, D. Domingo Ranee!, Den Alicante al capitán graduado D. Antonio Melero, segundo ayu Luís Crosa y D. Matías Olave, declaró no haber lugar á la formación dante del regimiento infantería de León, con 670 rs. de sueldo que de causa por ocho votos contra uno, que io fue el L&gt;. Domi…</t>
  </si>
  <si>
    <t>Ranqueri</t>
  </si>
  <si>
    <t>El Sr. Ranqueri: He oído decir que para llevar á efecto lo decreta blezca una junta compuesta «le tres de estos individuos y «leí comisio do por la* Cortil en cite punto á* precito hacer el despojo al clero, nado del Crédito público , encargada de la egccucioa «le los arta.…</t>
  </si>
  <si>
    <t>Rapelta, Diego</t>
  </si>
  <si>
    <t>Diego Rapelta</t>
  </si>
  <si>
    <t>…Interventor D. Antonio Espiaeira , oficial res de Julio....................... ... 5,189...10. de la contaduría de la Coruña. Al comandante y tropa de las fa Lérida administrador D. Diego Rapelta, alcaide que fue de la lúas del Rey.......................................... a,73°... 4. aduana de Málaga. Interventor D. Antonio Altamirano, oficial de la Al comandante general de ingenie contaduría de distribución. .... ros por un mes de gratificación de e…</t>
  </si>
  <si>
    <t>Rapoteitaa, Andrés Antonio</t>
  </si>
  <si>
    <t>Andrés Antonio Rapoteitaa</t>
  </si>
  <si>
    <t>…te de infantería y del regimien fantería de Aragón, con 570 re. to provincial de Oviedo, con 450 rs. al mee.' Bilbao A D. Luía de la Torre y García, teniente eupemumenrio Oreóte A D. Andrés Antonio Rapoteitaa, teniente dei regimiento del regimiento infantería de Espafia , con 570 rs. infantería de Guadalajara, con 570 rs. Burgos A D. Francisco Pablo Rica, teniente de infantería y del Oviedo al capitán D. B;nito Sampit, teniente de infantería y del batallón de la m…</t>
  </si>
  <si>
    <t>Rarrot</t>
  </si>
  <si>
    <t>…que auditor de guerra: para la de Gerona al coronel ID. Josef Pe lo, reparta todos, á excepción de los que presenten fu: dada duda de la rol: para la de J ítiva d coronel graduado D. Rarrot -rrie Ame: , q;. ¡o. cumis'oii á que pertenecen, medíante á que la secretaría lleva razón de es interino de la de Toledo: para la de Lérida al teniente coronel D. a ia entrada y salida de dichos expedientes.” Josef Cruz Mullen para la ce Patencia á D. Manuel…</t>
  </si>
  <si>
    <t>Ras</t>
  </si>
  <si>
    <t>…a corta , ra cita y emplaza á lm que aa crean con detecho ■ Las Cortea te han servido declarar que la resolución que comunicar 4 ba bienes quedados por d presunto fallecimiento dd Sr. D. Ras moa a V. E. en 21 de Marzo último respecto del secretario del ayua- sendo Portier, á Sn da qna acudan ú dada tille es d término da- gn Umiento de la ciudad de Scgovrn es extensiva á toda la Monaiquía, á días en dicho juagado, f escribanía da D- Bcraardo Díaz…</t>
  </si>
  <si>
    <t>Rascón, Francisco Crespo</t>
  </si>
  <si>
    <t>Francisco Crespo Rascón</t>
  </si>
  <si>
    <t>…cia de Valencia. D. Josef Martínez de Arrta á la de Galicia. D. Josef verificaran, se procederá al cobro en metálico de loe descubiertos que María Jaime á la de Sevilla. El fiscal D. Francisco Crespo Rascón a la resultaren por los libros de las respectivas contadurías. de Extremadura. 5.0 » Se declara qua en pago da los referidos alcances , 6 léase des De ia audiencia Je Canterías. D. Simón de la Plaza y Prado á la cubiertos de los pueblos y fondos de propios á…</t>
  </si>
  <si>
    <t>Rasen, Juan Bautista</t>
  </si>
  <si>
    <t>Juan Bautista Rasen</t>
  </si>
  <si>
    <t>….dar. .a com Mor*4 ; r ,n de varios individuos de los regimientos su.eos do Kaiser, \\ :nph¡ n y presente el informe de la diputación er, •’ r...a.. era de d.aan.n q •: Zey.otrade D. Juan Bautista Rasen; otra de IV Antonio láurea ; otra r-cni-e una de l»s dehesas, y que 1 . r-:i. or. de as _ua;ro d. c del coronel P. Ignacio Vbrich , y otra de D. lVdr ' Mor ::i , cap un na -• ' part'Cular .1 -u term no le era nu: \p: hada del regimiento de Castilla, solicitan…</t>
  </si>
  <si>
    <t>Ravella, Feliciana</t>
  </si>
  <si>
    <t>Feliciana Ravella</t>
  </si>
  <si>
    <t>…por 100 de réditos que le ofrecie PRESIDENCIA DEL SHSOR RIEGO. ron tus augustos Padres en los contratos matrimoniales. Sesión del dia 8 de Marzo. Se dió cuenta de una solicitud de Doña Feliciana Ravella, viuda, Leída y aprobada el acta de la anterior , entró i jurar y tomó atien en la que hacia presentes los perjuicios que sufría por no haber recibido to el Sr. D. Ramón Luis Escovedo, diputado electo por la provincia el valor de 1500 arrobas de leña que sumi…</t>
  </si>
  <si>
    <t>Raya, Juan</t>
  </si>
  <si>
    <t>Juan Raya</t>
  </si>
  <si>
    <t>…que en lo sucesivo dé cuen de primera instancia en esta capital, y por la escribanía «leí número qua ta í la» autoridades de cualquiera proyecto que le conste contra el ré ogercc D. Juan Raya, en la que se celebrará el remate el dia 19 de es gimen constitucional. Se declara patriótica la conducta de lea milicia te mes á las 12; y en la misma se manifestarán la* monedas hasta di nos D. Modesto Bilbao y D. Joaef Martínez en cuanto al descubri cho di…</t>
  </si>
  <si>
    <t>…capital nistro togado, juez de primera instancia en esta M. H- villa, refren algunas reflexiones oportunas, que nos ha parecido extractar rápidamen dada del escribano de su número D. Juan Raya, te ha mandado sacar te por ser sobre un objeto tan interesante á la humanidad , y del cual á pública subasta por término de 30 días, y para pago de cierto crédi nunca debe apartar su atención un Gobierno liberal y benéfico. to, una casa y botica con todos su…</t>
  </si>
  <si>
    <t>Rayón, Ramón</t>
  </si>
  <si>
    <t>Ramón Rayón</t>
  </si>
  <si>
    <t>…por bando que ninguna persona ni D. Manuel Rincón , D. Jos f Domingo Rus , el cancnno D. M.guel corpora :íon pueda promover vítores injuriosos á los buenos europeos, Ramos Ar-spe, D. Ramón Rayón, D. Juan Bautista Lobo y D. Joasi com o ofensivos al soberano Congreso ; ni promover pj»eos sin pre sef M &lt;ría Couto. vio cor ocimi nto y permiso del gefe superior pol lico y capitán gene Idem. Grandes fi^ta», grandes promisas; pero tamb en grande* ral D. I .…</t>
  </si>
  <si>
    <t>Razan, Antonio de Renavides y</t>
  </si>
  <si>
    <t>Antonio de Renavides y Razan</t>
  </si>
  <si>
    <t>…tubre Chimo, que empieza: No puede dias __5. Tercias de la ciudad de Ronda, juro de 1 i,8oo mrs., en ca menos ; y acaba : despreciados por , denunciado por D. Miguel de Ha beza de D. Antonio de Renavides y Razan__541. Alcabalas de Ma lo, mar.scal de campo de los egércitos nacionales, y comandante mili drid, juro y haber 788,961 mrs., en cab-za de los Santos lugares de tar de la provincia de 1 arragoua , declararon por unanimidad de vo Jerusaien—a. Alcabalas del campo…</t>
  </si>
  <si>
    <t>Rcc, Valentín</t>
  </si>
  <si>
    <t>Valentín Rcc</t>
  </si>
  <si>
    <t>…Señores que suscribieron á dicha calificación. D. Ignacio Pajares, tucional de esta M. H villa al Prado, y después de la ceremonia acos D. Josef Bardo, D. Manuel Josef de Gallego, D. Valentín Rcc o, tumbrada , y habiendo hecho una elocución al pueblo, te dirigió A la D. Joaquín de Cevaüos, D. Domingo Fernandez de Anguio , D. Juan iglesia de S. Isidro, en donde se celebró la misa de Réquiem, con una Paz, D. Iliginio Antonio Lorente, el marques de Casan…</t>
  </si>
  <si>
    <t>Rcco, Pedro</t>
  </si>
  <si>
    <t>Pedro Rcco</t>
  </si>
  <si>
    <t>…rvajal y Flores, realizó ia cesión del derecho dj patronato que le» imponga i los ma'vados; qUe la presencia de algunos de los valiente* correspondía en la pingüe memoria de dicho D. Pedro Rcco, su t&lt;o. que dieron los primeros el grito de la libertad en la Isla de León Igual cesión hizo de ia otra de D. Vicente Marrón , de que era com aumente, si es posible, el fuego que arde en nuestros pechos por con patrono, prestándose muy gustoso á ello el cura…</t>
  </si>
  <si>
    <t>Rcgás, Antomo</t>
  </si>
  <si>
    <t>Antomo Rcgás</t>
  </si>
  <si>
    <t>…nta nacional dei Cré- tínez Orinaga; D Pedro de Alvaro Delgado; D. Antonio Puigblanch; dito público procederá inmediatamente á la extinción de los crédito* D- Valentin de Nicolás; D. Antomo Rcgás; D. Juan Manuel de Aréque tenga en caja, ejecutándolo indefectiblemente cada mes con los qu# jula y D. Josef Radon. lleguen á sus mano* , y haciéndolo notorio al público por medio de loa Habida la conferencia, resultó por unanimidad aso haber lugar 4 la p&lt; ri…</t>
  </si>
  <si>
    <t>Rcndon, Jnsef</t>
  </si>
  <si>
    <t>Jnsef Rcndon</t>
  </si>
  <si>
    <t>…en el artículo que las sátiras ó que se sirva elevarlo al de S- M- , siendo portador de este oficio el te alegorías debían ser de las que excitaban directamente á la desobe niente coronel D. Jnsef Rcndon, empleado a las inmediatas ordenes diencia. * de V. E-, y quien como testigo de cuanto ha ocurrido en nuestra en 1-1 Sr. Gareli dijo que para cuando las sátiras ó alegorías excitasen trada podra instruir á V. E- mas circunstanciadamente.” directamente á la de…</t>
  </si>
  <si>
    <t>Rcrrum</t>
  </si>
  <si>
    <t>…de Cirava.a El Sr Alonso d._. que a mis de ser inútil el articulo qu: s: d 'cu *• Sr. diputado por la provine a de Granada I). Andrés García Bu»- tía per la razón ex.uc.ta p. r el Sr. Rcrrum, c-, periudi.ia1 . i».--rt litiurte; añadiendo el Sr. secretario del Despacho que se creía haber llevaba adela: te la» d.», i.tss académica» que hab.» sebte lo ¡u*-o ó in tunarto envenenad», v por lo mismo habla mandado al alcalde cons- justo di ¡a ley 6. d:…</t>
  </si>
  <si>
    <t>Re, Juana de</t>
  </si>
  <si>
    <t>Juana de Re</t>
  </si>
  <si>
    <t>…ro de «te 1^0 en la pagina 317, denunc ads por injuriosa por de las injurias que el autor de la Tercerola ha hecho á su sagrad* ¿ in D. Francisco Campos, apoderado de a Rxcma. Sra Doña Juana de Re violable persona &lt;Scc. núuss. 7,° y 8.a Se hallarán coo los anteriores ea caben, y de Botadora, cond-sa d' Perelarfa , d-claiaron á unsnmri.d las librerías de Sanz y de Villa. de voto» que n. ka turar á la fr nación de cauta. Barcelona 8 de Ju A ota. F.n la g…</t>
  </si>
  <si>
    <t>Re, Manuel de</t>
  </si>
  <si>
    <t>Manuel de Re</t>
  </si>
  <si>
    <t>…udiencia territorial de Castilla la Vieja, juez de primen tismo, y que en su consecuencia se sirvan las mismas acordar los me instancia de esta villa, y por la escribanía mayor de D. Manuel de Re dios oportunos y eficaces para que se Heve á efecto dicho decreto.” tes, se han denunciado varias fincas, sitas en el lugar de Cala mocha, El Sr. Som iza la apoyó, manifestando que después de haberse pa partido de Daroca, reino de Aragón, y en la villa de Brú…</t>
  </si>
  <si>
    <t>Re-, Martin</t>
  </si>
  <si>
    <t>Martin Re-</t>
  </si>
  <si>
    <t>…tan D. Josef Ferrer y Roig , con azúcar , tabaco y 1508 pe familias, abandonadas vuestras cosechas, ocupadas vuestras casas por la sos fu rtes. Fragata española Paoiz y V. larde , capitán D. Martin Re- tropa que ha tenido necesidad de alojarse militarmente en ellas, cami villa, con azúcar, palo tinte y tabaco. Corb ta española Cinco Her náis voluntariamente á vuestro exterminio , llevando en pos de tan gran manos , capinn D. Miguel Claren*, con azúcar, taba…</t>
  </si>
  <si>
    <t>Re-illa, Agustín Rada y</t>
  </si>
  <si>
    <t>Agustín Rada y Re-illa</t>
  </si>
  <si>
    <t>…ente i las Oe Guai Puede haber mayor arrojo 3 ; Pudi .ra ser tan terrible el peligro indivi ..ajara. dual en 'os campos de Farsalia ó en la batalla de Marengot Granada interventor D. Agustín Rada y Re-illa, oficial primero » ; Inclitos milicianos de Madrid! Vosotros habéis devorado, como de la adm'niscracion gen ral de Salinas. el fue.'o a una paja, las huestes conspiradoras del despotismo. ¡Glotis Zaragoza interventor D. Juan Toron, administrador genera!, cesa…</t>
  </si>
  <si>
    <t>Real, Agus</t>
  </si>
  <si>
    <t>Agus Real</t>
  </si>
  <si>
    <t>…presidencia en las juntas diocesanas. mientos se remitieron los autos originales á la expresada audiencia,(Gaceta del sai) adonde acudió el D. Guillermo Parían, solicitando que el D. Agus Real orden por la cual se deroga la de a6 de Febrero de s8s8 so tin dentro del término que te le asignase mejorase su apelación. Se conbre recompensas i los aprehensores de malhechores. (Gaceta del 1g.j cedieron varios; y no habiendo sido habido para notificarle,…</t>
  </si>
  <si>
    <t>Real, Anto</t>
  </si>
  <si>
    <t>Anto Real</t>
  </si>
  <si>
    <t>…ra primer comandante al teniente coronel D. Antonio Ro Córdoba. mero , primer ayudante mayor del primer regimiento de la Guardia Toledo: para primer comandante al coronel graduado D. Anto Real de infantería. nio Madera y Guzman, teniente coronel mayor del regimiento de in Cidiz: para primer comandante al comandante de infanteríaDon fantería de Málaga. Ramón Julián de Mufiiz, sargento mayor del batallón de la milicia ac Talavera: para primer comanda…</t>
  </si>
  <si>
    <t>Real, Antonio Sastre</t>
  </si>
  <si>
    <t>Antonio Sastre Real</t>
  </si>
  <si>
    <t>…n de Legislación una consulta del Go Abi antes: á D. Roque García, apoderado del Excmo. Sr. duque de Al bierno sobre si podrá mandarse remitir á Madrid una causa fenecida ba , y á D. Antonio Sastre Real , apoderado del Excmo. Sr. conde de en la audiencia territorial de Galicia, para que se* visitada según cali Parcent y Contamina. La junta celebra sus sesiones en A vila, y se anun decretado , devolviéndola 4 su tiempo. cia para que los interesados en la inde…</t>
  </si>
  <si>
    <t>Real, BernarDe</t>
  </si>
  <si>
    <t>BernarDe Real</t>
  </si>
  <si>
    <t>…a villa de Ocaña , y murió en clin abintcstato el 14 de Oc alien en disposición de prestar sus auxilios 4 los necesitados. tubre de io 19 , dejando ocho hijos llamados D. Lorenzo, D. BernarDe Real orden lo comunico á V. S. , á fin de que disponga su mas d‘no , ya presbítero. Doña Josefa, Doña Petronila, Doña Vicenta, pronto y puntual cumplimiento. Madrid 16 de Aímó de 1022. Doña Ana María, Doña Remigia y Doña Ines de Huerta y Frias. Dirección ¿eneral d…</t>
  </si>
  <si>
    <t>Real, Francisco Alonso del</t>
  </si>
  <si>
    <t>Francisco Alonso del Real</t>
  </si>
  <si>
    <t>…erzos de la Inglaterra. Sus A las comisiones de Hacienda y División territorial se pasó una ' escuadras derrotadas, prófugas y cuberías .de oprobrio ; Candía y Creta exposición de D. Francisco Alonso del Real y otros oficiales de la sublevadas-, separadas de su dominio casi todas las islas del Archipiéla contaduría de propios y arbitrios de la provincia de Cataluña , mani go-, la Morea, ya independiente, con un gobierno establecido; el Epi- festando que si no se h…</t>
  </si>
  <si>
    <t>Real, Ramón la</t>
  </si>
  <si>
    <t>Ramón la Real</t>
  </si>
  <si>
    <t>…rraages da ninguna clare, corno no sea con MmaHmmmnm ' / ^ la obligación Á faau abonada da reexportarlos conforme al espíritu da Habiéndom denunciado al Sr. alcaide constitnciaaal D. Ramón la Real orden de itf delferao de iSn; cuidando dd cumplimiento Caselba por el S*. fiscal da imprenta el número ir ds b TtrcmU, co&gt; los empleadas de aduanas y reaguardo de lea frontera», befo su respon no sedicioso i injurioso al Monarca, aa reunió d jurado que debía…</t>
  </si>
  <si>
    <t>Reales, Marcos Joscf</t>
  </si>
  <si>
    <t>Marcos Joscf Reales</t>
  </si>
  <si>
    <t>…s. la c¡ase de absolutamente libres, se han personado varios indiv dúos Provincias. Cupos en rs. 1 n. en el juzgado de primera instaura de Cannona, y escribanía públ-ca qu: recree D. Marcos Joscf Reales , solicitando ia d-vision d: los perteuecienl s al patronato fundado en dicha ciudad por D. Cristóbal Bar Aragón.................................. 961,031. ba Príiaranda: las personas que se erran deudos del dicho fundador se Asuanas..........................…</t>
  </si>
  <si>
    <t>Reancos, Francisco</t>
  </si>
  <si>
    <t>Francisco Reancos</t>
  </si>
  <si>
    <t>…l , puestos en castellano por beza de D. Juan Zapata de Rib-ra: otro de ¡83, en la propia renta y D- M. D. M., traductor de la moral universal del barón de Holbachcabeza , del Dr. D. Francisco Reancos: otro de 56,230, en la indicada un «omito en 8.° i 6 , rs. en la librería de la viuda de Quiroga__ Discur renta y cabeza, de D. Diego B.-ancos y Salcedo &gt; otro de 2 24.400 , en sos del abad Claudio Fleuri sobre la jurisdicción eclesiástica y sobre el la refer…</t>
  </si>
  <si>
    <t>Rebello</t>
  </si>
  <si>
    <t>…ó para continuarla * El gefe político, los alcaldes y el ayuntamiento constitucional vie otro día. .... . r ron en el dia de ayer con sentimiento suyo que efectivamente hay hom El Sr. Rebello leyó el dictamen de la comisión eclesiástica de refor bres harto propensos al bullicio y á la gritería; pero al m.smo t.emp» ma , sobre los términos en que debían pedirse á S. S. las bulas para la tienen una satisdación en saber por experiencia que su insigni…</t>
  </si>
  <si>
    <t>Rec-.o, Valentín</t>
  </si>
  <si>
    <t>Valentín Rec-.o</t>
  </si>
  <si>
    <t>…injurioso á dichos Sres.; se reunió el jurado compuesto los -ontratisus en calidad de servicio voluntario , por si te hallasen en de los Sres. siguientes; D. Valentín de Nicolás, D. Valentín Rec-.o, disposición , y les acomodase satisfacerlo en el punto en que ocurra la D. Juan Manuel Aréjula, D. Celestino Olozaga, D. Miguel Dolz, urgencia. D. Francisco de la Carrera, D. Antonio Puigbtanch, D. Francisco Hn el supuesto da que la Hacienda pública no hace…</t>
  </si>
  <si>
    <t>Recio, Valentín</t>
  </si>
  <si>
    <t>Valentín Recio</t>
  </si>
  <si>
    <t>…roea oficio* qne no expresó Menú en su ley, ó te de demuestra las observaciones que deben hacerse en la sentencia que ha dican á cualquiera especie de trabajo humilde. dado el Se. D. Valentín Recio te. ," denunciado el dia s de Enero De este número rop los pateadoras, los alfareros, tes que limpian próximo anterior por O. Juan Laborie, comerciante francés, residente los estanque», lo» buzo*, y wbmtodo los jiferos. Los enropeos han apli en esta corte; la…</t>
  </si>
  <si>
    <t>…rra dos del Sr. Herrera Buslamente; la una reuueva, D. Joaquín Lumbreras , D. Francisco López Oiavarricta f sobre que no se concedan ascensos de brigadieres y oficiales generales, D. Valentín Recio. 4 excepción de los que sean de escala en los cuerpos iacultativos t y la Reunido ct jutaido se declaró por unanimidad o babee lugar &amp; la otra sobre que se supriman ios habilitados militares, y se pongan pa formación de causa.” gadores que den las competente*…</t>
  </si>
  <si>
    <t>…varias expediciones contra loa disidentes de Coste- Martínez Marina, D. Simón Gonza’e, Vusté, D. Andrés Alcon y firme sinqse hubiesen surtido ningún buen efecto, ae embarcó en di D. Valentín Recio. Pero habiendo man festado el Sr. D. Francisco cha plaza con 400 hombrea que le sobraban de su guarnición, y que Martínez Marina y el Sr. D. Simón González Yuste no podían asistir no contribuiaa á otra cose sino 4 consumir los cwtos víveres que en al juicio p…</t>
  </si>
  <si>
    <t>…s.de cualquiera clase y por cua'quiertítuio. (Gaceta del sy. ) Pió Santos. D claracion de las Cortes sobre los oficios de subalternos de los tri áre*, que lo declararon injurioso: D. Valentín Recio, D. Josef bunales. ( Gaceta del 2j. j Radon, 1&gt;. Andrés Moya Luzuriaga, D. Martin Miguel Goicochca, Resolución de las Cortes autorizando al Gobierno hasta la próxima D. Angel Bonalto, L&gt;. Higinio Antonio Lorente, y D. Manuel Este legislatura para que pueda di…</t>
  </si>
  <si>
    <t>…jares, D. Gregorio M-ndivt!, D. Juan Cortes, D. Juan Isidoro Perez, Don traidor, y condenada a muerte. A vista de estas leyes solo resta, meditando mucho la referida cau Juan Paz, D. Valentín Recio, D. Joaquín Lumbreras y D. Francis sa, averiguar: primero, si el delito que se persigue y se ha juzgado co de Ja Carrera. ya, es directo y da hecho i trastornar, y lo demat que refiera el articu Habida la conferencia que previene la ley, declararon por unani…</t>
  </si>
  <si>
    <t>Regai, Antonio</t>
  </si>
  <si>
    <t>Antonio Regai</t>
  </si>
  <si>
    <t>…formar un establecimiento de es tes: D. Joaquín Huerta Cevallo» , D. Ignacio Pajares ,D. Josef Gómez ta clase, y que tarto redunda en beneficio de ellos mismos y del pú Albacete, D. Antonio Regai, D. Juan Antonio López, D. Jos-f Bar blico. Asi es que desde su fundación lleva ya empleadas Jas siguientes do , D. Josef Radon» D. Isidoro de Hoyos y D. Antonio Díaz del sumas : en pago de cata , muebles, libros, papeles y demas objetos pro Moral. pios de su…</t>
  </si>
  <si>
    <t>Regas, Antonio</t>
  </si>
  <si>
    <t>Antonio Regas</t>
  </si>
  <si>
    <t>…cinco. trañadura , como subversivo y sedicioso en la mayor parte, de sus pióARTICULO DE OFICIO. posiciones, se reunió el jurado compuesto de los Sres. siguientes: D i Miguel Ripa, D. Antonio Regas, D. Valentín Ortigosa , D. Domin El Sr. secretario del Despacho de la Gobernación de Ultramar dice go Fernandez Angulo, D. Manuel Fstéban Caíala, D. Mariano Zotal de Gracia y Justicia dada el Real «¡tío de AranjuCz con fecha de nquin , D. Pió Santos, D. Franc…</t>
  </si>
  <si>
    <t>…en ei acto , y falta de autoridad en D. Andrés A Icón, !). Martin Miguel deGoicochea, D. Josef Anto la persona que se despoja? ademas tampoco hay posesión, poique las nio Ponzoa y D. Antonio Regas. cosas afectas i señoríos territoriales y solariegos no son susceptibles de D. Nicolás Alonso declaró no haber lugar. posesión, y solo lo son por el origen vicioso ó no vicioso que pueden tener; pues que estas concesiones se hicieron en contravención á las le…</t>
  </si>
  <si>
    <t>Regás, Antonio</t>
  </si>
  <si>
    <t>Antonio Regás</t>
  </si>
  <si>
    <t>…su ex D. Manuel Merino, D. Miguel Ripa, D. Zoilo Gómez Casero , Den pedición. Los diplomas recogidos se pasarán al consejo de Estado par» Valentín de Nicolás, D. Josef San Millan, D. Antonio Regás, Don que los cancele. Art. 9.0 El Gobierno bajo estas bases dictará las reglas Isidoro de Hoyos, D. Manuel Gallego y D. Domingo Villamil. conveniente para la exacción, señalando las épocas en que deban ha Habida la conferencia, resultó por unanimidad haber lu…</t>
  </si>
  <si>
    <t>…su ras, D. Sebastian Andrés, D. Matías Casero ,D. Juan Paz, D. Casi inteligencia, adviniéndole que su primero y último remate se ha de ce miro Marín, D. Antonio Sandalio de Arias, D. Antonio Regas, lebrar el dia 5 del próximo nv» de Set embre de 11 á 12 de su mañana. D. Lorenzo Lambes y D. Manuel Estaban Caíala. Los testamentarios de D. Josef María de Galdot, vecino y agen te de negocios que fue en esta corte, se hal'an con algunos recibos de En la pág…</t>
  </si>
  <si>
    <t>…la Pensilvsnia , el cual voló en cierta lentín Recio, D. Joaquin Vaga y Quintana, D. Santiago Vicente ocasión de un modo contrario á las instrucciones que se le habían dado. Leo y D. Antonio Regas. Luego que regresó á tu país te le llamó para que explicase los motivos Habida la conferencia resultó por unanimidad no haber lugar A la de su voto , sopeña da ser expulso. El ir. de Baldwin respondió que al formación de causa. tiempo de votar había manifesta…</t>
  </si>
  <si>
    <t>Regato, Josef Manuel de</t>
  </si>
  <si>
    <t>Josef Manuel de Regato</t>
  </si>
  <si>
    <t>…asas de monedes. Les Cortes por resolución de 6 del corriente se han servido de No habiéndose presentado aun á recoger el importe de tus billetes clarar benemérito ele la patria í D. Josef Manuel de Regato, oficial varios acreedores por medios luises presentados al resello en esta corte,de la secretaría de Estado y del Despacho de Hacienda , an el departa á pesar de haberle» excitado a ello por los papeles públicos, se les en mento de Ultramar. carga nuevamente…</t>
  </si>
  <si>
    <t>Regés, Antonio</t>
  </si>
  <si>
    <t>Antonio Regés</t>
  </si>
  <si>
    <t>…refugiado* en D. Antonio Gamonal, D. Francisco de la Carrera , D. Benito Orteea el Rosellon i las órdeaea del conde de Calderón 4tc." Como el conde Romanillos, D. Cas-miro Martin, D. Antonio Regés, D. Antonio «le Calderón te halla en Valencia, sin haber pensado ni pensar en PuigbUnch, D. Francisco López Otavarrieta, D. Pedro Matute 7 Don contarse entre los refugiado* á Francia que vuelven sus arma* contra Juan Paz. la patria, creemos que Mr. Predi ha p…</t>
  </si>
  <si>
    <t>Regia, Antonio</t>
  </si>
  <si>
    <t>Antonio Regia</t>
  </si>
  <si>
    <t>…a* obras mas be cha de seda mas de ai arroba* de capullo espuma para hiláis* en loe lla» de ta Bizancio cristiana, porque la* iglesias , los palacios, tas co torno* inventados por D. Antonio Regia. Reunida la junta ei dia 8, se lumnas, tas estatua*, y en fin todo el conjunto de ta nueva capital coa dió principio por un discurso que dijo d Sr. gefe superior político, en respecto á las arte* parece ser infinitamente inferior aun i lo que podía gue despué…</t>
  </si>
  <si>
    <t>Regneriy, Lorenzo Fernandez de It</t>
  </si>
  <si>
    <t>Lorenzo Fernandez de It Regneriy</t>
  </si>
  <si>
    <t>…zquez, teniente del regimienta fantería de Extremadura, con ^70 rs. infantería de León, con 570r»......... Aranda A D. Juan García Zenzano , teniente del regimiento infan Madrid A D. Lorenzo Fernandez de It Regneriy teniente de in tería de León, con .$70 rs. fantería y del regimiento infantería de Córdoba, con 570 re. Alcázar de $. Juan á D. Josef Carrasco, teniente supernumerario Malaga A D. Pedro Fernandez dala Herían , teniente deinfantería del regimiento infantería d…</t>
  </si>
  <si>
    <t>Reig, Miguel</t>
  </si>
  <si>
    <t>Miguel Reig</t>
  </si>
  <si>
    <t>…tiva de Badajoz , con 450 rea Medina del Campo A O. Miguel Gsucia de la Chica, teniente su tas al mea. pernumerario del regimiento infantería da Valencia, con 570 ra. Barcelona al capitán D. Miguel Reig, teniente del regimiento in Salas A D. Antonio García, teniente de infantería y del regimien fantería de Aragón, con 570 re. to provincial de Oviedo, con 450 rs. al mee.' Bilbao A D. Luía de la Torre y García, teniente eupemumenrio Oreóte A D. Andrés Antonio…</t>
  </si>
  <si>
    <t>Reilio</t>
  </si>
  <si>
    <t>…le bable formado solo miliciano nacional, y por consiguiente puede entrar en la ciu causa á este individuo. dad un facineroso á las ocho de la noche como he dicho antes , y lle El Sr. Reilio : Quisiera que me digese el Sr. secretario de la Go varse á dos beneméritos ciudadanos; pero quisiera que el Sr. secretario bernación cuál es la razón que hay en su secretaría de los motivos que de Gracia y Justicia me dijese si conoce , ya oficial ó ya extra…</t>
  </si>
  <si>
    <t>Reina, Joa Habiendo la</t>
  </si>
  <si>
    <t>Joa Habiendo la Reina</t>
  </si>
  <si>
    <t>…re de 1822 afio».__(L. S.) Manuel Cípiiano da Cosía. fia, D. Lorenzo i mtnet, D. o Juar-st , D Pab o Mari n Cu Decreto t.° po, D. Gregorio Entrambasaguas, D. Antonio Mir a P-rtz , D. Joa Habiendo la Reina por su espontánea y libre declaración, hecha y quín R oliz y Mont- ro, D. J oaqu n Ruiz , D. Fiancisco la Caliera, firmada de propio puSo en ad de Noviembre, mifi.ado la que habí» D. Antonio Aliyar y D. Rafael Costa. hecho solemne y forma-mente en 2a del pr p…</t>
  </si>
  <si>
    <t>Reina, Joaquin de</t>
  </si>
  <si>
    <t>Joaquin de Reina</t>
  </si>
  <si>
    <t>…había cum de Lora del Rio , ea Ja provincia de Sevilla , que por medio de su apo. plido la edad de ao afios al tiempo de casarse, conforme al art. 8." de derado en aquella ciudad D. Joaquin de Reina presentaron á la liqui. dicho decreto. Art. io. A los mozos solteros que por las leyes vigentes dación los documentos de principal y réditos pertenecientes á las capesobre reemplazos te hallan exentos, siempre que tengan casa abierta y llantas que disfrutan ,…</t>
  </si>
  <si>
    <t>Reina, Manuel</t>
  </si>
  <si>
    <t>Manuel Reina</t>
  </si>
  <si>
    <t>…de esta de Cádiz en el presente mes se le fuerza y la demas que te reúna con el mismo objeto el brigadier co remitieron en cuatro libranzas..... x .400,000. mandante de S. Marcial D. Manuel Reina, á quien por mi parte ha Para las del de Cartagena en el pro cometido Igualmente la dirección de las partidas de milicia nacional pio mes se le remitieron en cuatro que d b:n cooperar con la fuerza permanente hasta extinguir á los in libranzas................…</t>
  </si>
  <si>
    <t>Rema, Jacinto</t>
  </si>
  <si>
    <t>Jacinto Rema</t>
  </si>
  <si>
    <t>…para el de Hacienda á D- Felipe Sierra Pambley , para el de la solidarle; y por último cuando la vehemente imaginación de los espa Guerra á D. Luis Baianzat, y para el de Marina á D. Jacinto Rema ñoles se baila entregada á un entusiasmo tan justo como fen»; s-rá nte , quedando satisfecho de los servicios de aquellos, y siendo mi Real posible, r&lt;qtztintos, que en circunstancias tan ventajosas pueda arrepen voluntad que hasta que se presente este último…</t>
  </si>
  <si>
    <t>Remátate, Jacinto</t>
  </si>
  <si>
    <t>Jacinto Remátate</t>
  </si>
  <si>
    <t>…stirin en pego de la sal letras so Esta rubricado de la Real mano.rsDado en Palacio á 16 de Julio da bre cualquiera pina de la Península hasta sao días de la fecha , siem lÜaa.erA D. Jacinto Remátate. pre que la compra excediere «le 600 fanegas. Las letras serán endosadas á Cirentar del ministerio de ia Gobernación de la Peni. ru ta. favor «le la Hacienda pública por una casa conocida de comete.0 • satis facción del administrador de la salina. Art. 10. Ei…</t>
  </si>
  <si>
    <t>Remero</t>
  </si>
  <si>
    <t>…s; concluyendo que desearía que los tos que no tendrían las luces necesarias para presentarse en un examen. señores de la comisión hiciesen á lo menos una excepción en las cien El Sr. Remero fue de opinión que el segundo examen no debia cias mayores, o profesiones de medicina , teología y jurisprudencia. verificarse á los seis meses del primero , sino después, fundándose en El Sr. Pedralvez contestó que el artículo prevenía que por cada cur que p…</t>
  </si>
  <si>
    <t>…a con cartas, que dicen que por otio llegado allí de Mé dar suprimido. jico había venido la orden para que bajasen las platas detenidas en El Sr. Gatiano reprodujo Ies razones del Sr. Remero, afadiendo aquella villa, y que hoy se ponían cu camino para esta. que aunque conocía el patriotismo del cuerpo de artillería , debía con Hazaña Abril xo. Ayer fondeó en esta el bergantín S-¡liante, pro servarse el escuadrón da que se había hecho mención por…</t>
  </si>
  <si>
    <t>…ias en donde haya facciones; mas ¡qué pro» nca da dida 8.a España es en la que no hay conspiradores ni agentes del despot smo Continuándose la discusión de la medida 9 ’, pidió el Sr. Remero parciales y seducidos: Todas, sió r, e»tan iuf;.-tsdas de esta p a.-a, ae leyese el decreto de las Cortes de 1 s de Setiembre de 1810 sobre y lo manifiesta ei esp ritu de sedición qu: se ha visto derramad : en loa el arresto de delincuentes , y asi se verific…</t>
  </si>
  <si>
    <t>…y dcina» dascmdiertes." ar:s. i.° y 2. del cap. 1." de la ordenanza militar relativo i los testa E! Sr. Rorn.ro dqo que este jrti'.u'n co-t-n'a una porc:on d- de ra.ruó», y el del Sr. Remero, contrario al i.1’ de diulios artículos. posiciones que no .fin pec.d.ar.s a los militares , puf» que tamo n Les Cortes cu eren con agrado la felicitación que con motivo de estaban sujetos á el.as 1c.» qu; Uo lo et.»n t y q.:e como s: rrprr -ue an su insu:aci…</t>
  </si>
  <si>
    <t>…posa del magnánimo Rey de la Nación portuguesa , el cual nunca daron pasar ella. podrá dejar de atender á la decorosa manutención de su ilustre consor F.n vista d■ una adición d-I Sr. Remero opinaba qu- debía resol 1 iac on, .n eur les mili te sea cual fuese su dest.no , resultan un desfalco en la dotación de vere por !a» Cortes qu- en los juicios d-* conci S. M., que ya ea reducida por las circunstancias en que te halla el era tares fues n deman…</t>
  </si>
  <si>
    <t>…uís ctvn niri.t: al orf-n púb . -■ ; »; -s;a J .:. d n_&gt; &gt;- rr^p :r , el ord na' za. imi ta s , ref &gt;1 in.t.l,a en e»t &lt;» terminas : « En ua.li uno ds ord. a piib! ¿o padre D .r : Sr. Remero '¡u.- i a e. ie .... . .;los a macen » d • art ría .*.« que haya p iivora h.bra tre» ilav-s , de !&gt;:.•» fi.-ue'i.s ..bu.a á-&gt; "... ‘a fa.u .. i ,u* se i.¡ d. d¡ .irp.rr-r rr, la. ctu.v» t.-n *ru u .a e .. mandante de artillería, otra el gobernador, tas; ,;ri'…</t>
  </si>
  <si>
    <t>Remigia</t>
  </si>
  <si>
    <t>…o á V. S. , á fin de que disponga su mas d‘no , ya presbítero. Doña Josefa, Doña Petronila, Doña Vicenta, pronto y puntual cumplimiento. Madrid 16 de Aímó de 1022. Doña Ana María, Doña Remigia y Doña Ines de Huerta y Frias. Dirección ¿eneral de aduanas y resguardos. Cuyo emplazamiento y citación et para que dentro de 15 días pe Hallándose vacante la plaza de vista segundo de la aduana de Ur rentorios siguientes ai dia en qua se anuncie en tos periódicos , los su das , provincia…</t>
  </si>
  <si>
    <t>Remirez, Agustín Gómez</t>
  </si>
  <si>
    <t>Agustín Gómez Remirez</t>
  </si>
  <si>
    <t>…del Torno , y Imcít en Arauzo de Miel; siendo el resultado de la acción la pérdida del se á levante con tierra* de las ánimas , á mediodía con el prado de la gundo de dicho Merino D. Agustín Gómez Remirez, ex-corregidor Virgen , y á norte con tierra qus labra la referida marqueta de Valde Berlinga, el que con otro cabecilla y l¡¡ hombres quedó muerto cerrada, de caber 17 fanegas , un celemín y 24 estadales, que tasada en el campo; la de dos prisioneros, 11 cab…</t>
  </si>
  <si>
    <t>Remirez, Josef Moreno</t>
  </si>
  <si>
    <t>Josef Moreno Remirez</t>
  </si>
  <si>
    <t>…ent. s Josef Quintin.s ANUNCIOS. Andrés Bosca.=Rey.=Vicente Beneito.sjuan Gallel.sjosef Bó.sVi cente Ortiz.sD. Antonio Montesinos , presbitero.sMatiasCros.sMi- Por providencia del Sr. D. Josef Moreno Remirez, ministro'toga guel Ruiz.sTomas PinsEI cabo primero de la tercera del primero , do honorario de la audiencia territorial, y juez da primera instancia de Luis Martinez.sV¡ccnte Sahr.T-Gerónimo Blasco. esta'M. H. villa , por su auto de 29 del corriente, refrend…</t>
  </si>
  <si>
    <t>…ado con todo esmero desempeñar completamente sus atri buciones.” ANUNCIOS. VARIEDADES. Con motivo de haberse publicado en Paris una obra sobre las cár En virtud de providencia del Sr. D. Josef Moreno Remirez, mi celes , escrita por Mr. Danzón , hace un periódico de aquella capital nistro togado, juez de primera instancia en esta M. H- villa, refren algunas reflexiones oportunas, que nos ha parecido extractar rápidamen dada del escribano de su número D. Juan Raya,…</t>
  </si>
  <si>
    <t>…D. Manuel Gurrea , que existía Igualm-nt: ha trnído á b!en ncmbtat S. M. para ias des f-i ss anoche en Arguenas, y rescató al alcalde, adonde le remití y8&lt;5 pa de la de Galicia i D. Josef Moreno Remirez y a D. Arttor o \r as res de *1 pirraras para su tropa. de Prada. C-'A ésta fecha me dice el comandante militar de esta provincia lo Se proviene i los interesados, qu- di-otro def tírnvro de 1; d ,» acudan á solic'tar la expedición di su» correspondí -t-s t t…</t>
  </si>
  <si>
    <t>Remirez, Josef Moreno y</t>
  </si>
  <si>
    <t>Josef Moreno y Remirez</t>
  </si>
  <si>
    <t>…an derecho á cha de 1 ó del corriente han comunicado á este ministerio la del tenot ellos, para que dentro de 30 dias,contados desde7del corriente, com siguiente: parezcan ante el Sr. D. Josef Moreno y Remirez, magistrado honorario » Las Cortes extraordinarias se han enterado de la consulta del di de la audiencia territorial de Castilla ú Nueva, juez de primera instan rector del derecho de registro, que les dirigió V. E. en a a de Diciem cia en esta capital, por la…</t>
  </si>
  <si>
    <t>…pa. Habida ia conferen y pólvora...... j cia, resultó por unanimidad haber lugar á la formación de cauta. Total 9.110,595.. 6 &lt;*99.374 9 «.S**»!*0"3» TZiaCMAlB*. En el juzgado del Sr. D. Josef Moreno y Remirez, juez de primero Nota i.* El líquido demostrado por la renta del tabaco está afecto irstmeia, y escribanía del número de D. Feliciano del Corra!, se ha al pago de la consignación para contratistas. llan pendientes los autos seguidos por D. Ventura de O bregón…</t>
  </si>
  <si>
    <t>Remiro</t>
  </si>
  <si>
    <t>…endo en el egercito: en cuyo ca»o de j.' »&gt; Los ordenados ¡n tacris.” bía tjmh rn r. putar»; como hijo ún co. El Sr. Vareta hizo algunas observaciones sobre esta ; y después de El Sr. Remiro: No hay dudi que puede vetificarse e! caso que ha haberle contestado el Nr. Infante quedó aprobada. indicado el Sr. Salva en la primera pa:te de su discurso ; mu es necesa 4/ x Los mirados del servic o militar por haber cumplido seis años.” rio que se eviten…</t>
  </si>
  <si>
    <t>Remoto, Máximo</t>
  </si>
  <si>
    <t>Máximo Remoto</t>
  </si>
  <si>
    <t>…o 14487...... loco...................... En Cádiz. de la plaza de Zamora D. Manuel de Tena, ai teniente d 28181..... 1000...................... Er. Ocaúa. de infantería de Vitoria D. Máximo Remoto, a. asesor D. Bernardo 18245..... 1000...................... En Madrid. Peinador, y al juez de primera instancia D. Diego Antonio Gon zález Aionso, actual diputado de Cortes, haberles sido grato su ze ARTICULO DB OFICIO. lo por la gioria de los tres héroes ca…</t>
  </si>
  <si>
    <t>Renovales</t>
  </si>
  <si>
    <t>…Horra , mtural H- K bu. , p!d&gt;en.:i» que en atención á sus ser de Albacete, dando gracias j !j, momas t"r «a decreto relativo . movicios y htber sido comoe •rvl.d i en U cau&gt;a del general Renovales, do de honrar ia memoria d: ¡os m.rt re, i’adil a , Maldecido i Fui ; se le concediese una pensión para atender á su subsistencia, opinaba y otra de D. Diego de la Vega, coronel del rcgim..r.o de d.EUb. i,</t>
  </si>
  <si>
    <t>Repeto, Rafaela</t>
  </si>
  <si>
    <t>Rafaela Repeto</t>
  </si>
  <si>
    <t>…el ilustre Rodríguez y Camina, Doña Jos.fa Azcirat-, Doña Brígida Perez Pa Cero había entregado para el egército cuanta p ata tenia, manifestan lacios. Guatdaiopa de la Emperatriz Doña Rafaela Repeto. do cada día el pueb o mas adhesión á la metrópoli. También se sabia que Aimer ch había batido á la división de Guayaquil y que Mites, ge neral colomb ano, habla ca-do prisionero con muchos r ficiales. I a mis Hemos recibido (os periódicos extrangeros corresp…</t>
  </si>
  <si>
    <t>Requ, Luis</t>
  </si>
  <si>
    <t>Luis Requ</t>
  </si>
  <si>
    <t>…Espoz y Mina.=cxcmo. Sr. secretario mendador de ia misma; y otro de 49,776 mrs., sobre salinas de Esdel Despacho de la Guerra.” partinas, su fecha 3 de Mayo de «568 , en cabrza de D. Luis Requ:sens, comendador mayor dt Castilla. Se suplica á la persona que »-pa » Excmo. Sr. • Emprendida mi marcha á Iss seis y raedla da la mi- de todos ó alguno de dicho privilegios se sirva entregarlos ó dar raz- n Cana con el obj'tode acercarme a la Seo da Urea), s…</t>
  </si>
  <si>
    <t>Rerortillo, Josef M.</t>
  </si>
  <si>
    <t>Josef M. Rerortillo</t>
  </si>
  <si>
    <t>…ro liberal;'* y reunido do nombrar para los batallones de nueva creación y para los ac el jurado, compuesto de los Srcs. D. Juan J. del Cubillo, D. Martin huales. Josef de Cantío, D. Josef M. Rerortillo, D Jcsquin de Trueba, Don Primeros exudantes. Juan Martínez Gatica, D. Cirios Carrera, D. Domingo Ranee!, Den Alicante al capitán graduado D. Antonio Melero, segundo ayu Luís Crosa y D. Matías Olave, declaró no haber lugar á la formación dante del regimiento…</t>
  </si>
  <si>
    <t>Resilla, Antonio González</t>
  </si>
  <si>
    <t>Antonio González Resilla</t>
  </si>
  <si>
    <t>pttidid interior í No lo creo: y para tratar á fondo «ata cuestión, y ase no* bienes; otta de D. Antonio González Resilla^so’.iciuado dispensa gurarme de que este dinero no se tira í la calle, voy á indicar la mar de edad para administrar su caudal; otra de Doña María A: berta Ne cha que han debido seguir nuestro* ministro*, j compararla con la que gro , vecina de Barcelona, pid…</t>
  </si>
  <si>
    <t>Resolución, Antonio</t>
  </si>
  <si>
    <t>Antonio Resolución</t>
  </si>
  <si>
    <t>…granos, po del afio pasado, p se dan algunas otras adicionales. (Gaeeta del j.) legumbres p harina extrangeras. ( Gaceta del 4. ) Decreto de S. M. nombrando ministro de Hacienda á D. Antonio Resolución da las Cortes sobre los retiros de los empleados en las Martínez. (Gaceta dei 7.) secretarías da los gobiernos políticos. ( Gaceta del 4-) Decreto de S. M. nombrando ministro de Estado á D. Evaristo San Decreto de las Cortes sobre reducir los baldíos á propie…</t>
  </si>
  <si>
    <t>Resulta, Juan Josef Ló</t>
  </si>
  <si>
    <t>Juan Josef Ló Resulta</t>
  </si>
  <si>
    <t>…s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Quintana, D. Antonio Cortes por decreto de 9 de Mayo de 1811 , en consideración á los ser- Méndez, D. Francisco Oliveras, D. Francisco de Piego y Collantet,…</t>
  </si>
  <si>
    <t>Resusta, Jassf</t>
  </si>
  <si>
    <t>Jassf Resusta</t>
  </si>
  <si>
    <t>…Rey ha visto con satisfacción el generoso desprendimiento coa discreción comprometa la tranquilidad, dibe ser extensiva á todas las que el teniente de navio de la armada nacional D. Jassf Resusta ha ctdiócess: no de otra manera, repito, ha procedido el Gobierno con dido en favor de la Hacienda pública la cantidad de 12,27} rs. 7 mrs. respecto i algunos prelados de quienes se ha hecho mención; y digo vellón que tiene de crédito por sus vencimientos des…</t>
  </si>
  <si>
    <t>Resusta, Josef</t>
  </si>
  <si>
    <t>Josef Resusta</t>
  </si>
  <si>
    <t>…se hubiese dole del gefe político de aqurlia provincia por no haberle puesto en disminuido el número de religiosos que di.be haber en cada uno, con posision de su destino: otra de D. Josef Resusta, aifcrez de fragata da forme á la ley de 25 de Octubre de 1820 , en la que propuso se supri la Armada nacional, quejándose del brigadier comandante det arsenal miese la expresión por disminución tu tai le de sus mañiaiws , y se dije de la Carraca D. Fernando…</t>
  </si>
  <si>
    <t>Retana, Juan Antonio de</t>
  </si>
  <si>
    <t>Juan Antonio de Retana</t>
  </si>
  <si>
    <t>…bservador, y no en egército, como habíamos indicado. Verdad « que: no existe epidemia en la Península, ANUNCIOS. pero justamente la Francia anulaba el cordon unitario cuando en el Don Juan Antonio de Retana, vecino de Vitoria , remitió por elPuerto de Santa María había rezelos de que existía el contagio. correo de 1.“ de Setiembre á la ciudad de S. Sebastian ocho vaics de Ja Este cuerpo\ua egército) observador ha obrado milagros. \ Lo que creación de Mayo, renov…</t>
  </si>
  <si>
    <t>Retina, Antonio</t>
  </si>
  <si>
    <t>Antonio Retina</t>
  </si>
  <si>
    <t>…presente año económico de 61,043 que por fin del año de 1814 ha resultado alcanzando 4179 rs. y 4 hombres distribuidos entre todas las armas que le componen. Artícu maravedises el coronel D. Antonio Retina, que estuvo agregado á él, lo a.° El número de los regimientos_de infantería de linca será de 37: 7 pasó en igual concepto al de Sevilla , donde se ha escrito, y contestan cada regimiento constará de dos batallones, y cada batallón d« quinien que ha fallecido…</t>
  </si>
  <si>
    <t>Retoilillo, Josef María</t>
  </si>
  <si>
    <t>Josef María Retoilillo</t>
  </si>
  <si>
    <t>…oso; y reunido el jurado en Cádiz, compuesto de lo* *4548...... IOOO. En Cádiz. señores D. Franc.sco Hidalgo, D. Antonio Cañad;.i, D M gu i Gar $084..... IOOO. En Jaén. cía Ortiz, D. Josef María Retoilillo , D. Juan Francisco b&gt;pe os.a, j§8rii...... IOOO. En Badajoz. D. Joaquín María Gofii, D. Francisco Puga, D P.b o Maten y IX-n *780/...... IOOO. En Madrid. Juan Perez, declaró por unanimidad no ka.tr lujar a ¡a jotma.wn ARTICULO DE OFICIO. de cauta. CORTES. El…</t>
  </si>
  <si>
    <t>Retoñólo, Josef María</t>
  </si>
  <si>
    <t>Josef María Retoñólo</t>
  </si>
  <si>
    <t>…naron en este sentido fueron D. Francisco Escudero Isasi, 1&gt;. Josef formaiizacion de nueves contrates por los motivos que previene el arti María de Ansa, D. Josef Antonio Puyade , D. Josef María Retoñólo, culo 14 de la Real orden ya citada de so de Enero de 181 r , quedará D. Vicente Sánchez Cirquero, D. Francisco Robles y Bemtez y Don rescindido el convenio; pero siempre tendrá su efecto hasta que vuelva Francisco Puyol: los dos restantes D- Francisco Cairan…</t>
  </si>
  <si>
    <t>Retortillo, Josef María</t>
  </si>
  <si>
    <t>Josef María Retortillo</t>
  </si>
  <si>
    <t>…to de 64 raciones, ni baje de tío. Ansa, D. Josef Antonio Puyade, D- Vicente Sánchez Cirquero , Don a.* Este suministro deberá principiar en i.t de Setiembre pró Francisco Puyol y D. Josef María Retortillo; habiendo votado en ximo, y concluirá en fin de Agosto de 1823; pero con la condi . sentido contrario D. Francisco Rebles y Bemtez. Sobre el número ción que si el Gobierno adóptese el sistema de que á los cuerpos se les 5-0 se declaró no haber lugar á la form…</t>
  </si>
  <si>
    <t>Reunido, Miguel Carrera</t>
  </si>
  <si>
    <t>Miguel Carrera Reunido</t>
  </si>
  <si>
    <t>…r nuestra sangre por el capricho de un nuestro periódico el espíritu patriótico que anima á su cura párroco el tirano, ni por la conveniencia de un corto número de hombres privile Sr. D. Miguel Carrera Reunido el vecindario en el dia 1 $ en el au giados , sino por nuestro propio bien , y por honor de la misma Nación, gusto templo del Dios de paz y mansedumbre para celebrar la fes de esta grande Nación de que somos parte: jurad pues en vuestros co tividad de la Asun…</t>
  </si>
  <si>
    <t>Reves, Antonio</t>
  </si>
  <si>
    <t>Antonio Reves</t>
  </si>
  <si>
    <t>…manillo», D. Juan Fernandez Casariego, D. Andrea Ateos, D-Martin y ejecutar*! presente decreto en todas sus partes. Tendíeislo entendido Miguel de Goicmcbm, D. Josef Amonio Fonam, D. Antonio Reves 1 9Enu bocadosu cumplimientode la Real ,mano.=Eny dispondré»Arantejuezimpeima,i 17 dspubliqueAbril ydaciicole.s:«8ii¿: y P. Josef Pío Saetea 1 habiendo vetada qna* no habia Inzar Di Nimtit A I&gt;- Felipa Sierra y Pambley.” csxatm ra ti di» 9jdt a.° P. Fernando…</t>
  </si>
  <si>
    <t>Rey</t>
  </si>
  <si>
    <t>…e ion de esti impugnado directamente: vamos á estos, y después diré dos palabra* á lo al Sr. Gil de Linares en lugar del $r. Zorraquin, y para U del Có lo* primeros. digo p:nal al Sr. Rey. Siguió impugnando á los Sres Gol fin , I.oprz ( D. Marcial ), Ca Para la discusión de ma&amp;aiia señaló el Sr. presidente ios díctamepero, Torre Marín y Dolares , procurando vindicar la mrmoria del ge ñ » que habían quedado sobre la mesa y el código penal; y n…</t>
  </si>
  <si>
    <t>…vo un he famaba. cho que no era tr.as que injurioso. Quedó aprobado este artículo. El Sr. Mattel dijo que lo que la comisión llamaba subversivo lo Se leyó la siguiente adición del Sr. Rey al art. 3.0, para que se habían ya aprobado las Cortes en el tít. I o, art. nó del código penal, añadiese'al fin d asociaciones reconocidas por las leyes. Se mandó pasar en donde se decía que eran subversivos los delitos contra la sociedad, á la comisión. con…</t>
  </si>
  <si>
    <t>…á lo menos po rifique hasta Abril ó Mayo. ner» el artículo solamente hasta que te sancionase el código penal. __Según las últimas cartas de Smirna se hallan sobre las armas to El Sr. Rey y el Sr. Gareli manifestaron que la parte del código pe dos los habitantes del Líbano y de sus alrededores: los drusos sobre to nal que trataba de la imprenta estaba suspensa. do colltinúan persiguiendo las carahanas, y destruyendo las haciendas El Sr. Sánche…</t>
  </si>
  <si>
    <t>…ículo la pa ñores diputados al proyecto relativo á la libertad deimorenin, opinaba labra acordar, quedaría como corresponde. En ¿I ae prohíbe que se re que se podía aprobar la del Sr. Rey al art. 3.*, y añaturse al fia de él únan las autoridades para pedir y para dictar providencias unidamente. ¿ currpos rtconocidos por tac Uytc. Ba cuanto á la del Sr. O-Gavan al Yo creo que no hay inconveniente alguno en que lea autoridades se re art. y. , qu…</t>
  </si>
  <si>
    <t>…, ilustrada con notas históricas y nuevas tablas cronológicas Octubre de 1820, se hará en la forma siguiente. El ayuntamiento de desde los tiempo» mas antiguos hasta la muerte del Sr. Rey D. Cir la capital de provincia nombrará un, tercera porte, y la diputación pro- ios ni, por el Dr. D. Joscf Sabau y Blanco, arcediano de Aliaga en vincial las dos restantes. Una y otra elección sesenLu:tule.ápluralidad ab la metropolitana de Ztragoza, acudirán i rec…</t>
  </si>
  <si>
    <t>…pieza por el Congreso na felicidad del pueblo español que les fió sus destinos. cional. » Las Cortes se congratulan con V. M. al ver solemnemente abierta En seguida se leyó por el Sr. Rey dicha proposición , que era de loa esta nueva legislatura, - pesar de las maquinaciones , ya sordas, ya de Sres. Canga Argüelle» y Flores Calderón, y se admitió á discusión. claradas de los enemigos de V. M. 7 de la patria, 7 í pesar también da El Sr. Sánchez…</t>
  </si>
  <si>
    <t>…bles rumores esparcidos por esta ciudad sobre el asesi las Cortes- Poco tiempo hace que nos separamos, habiéndonos dicho el nato del valiente coronel D. Juan Antonio Tabuenca, del capitán Rey y los ministros que las Cortes habían autorizado suficientemente al D. Lucas Veiasco y algunos otros o&amp;ciales, que d.-spues de haber dado poder eecut.vo para llevar adelante el progreso del sistema constitu á su patria infinitos días de glotia, cayeron en man…</t>
  </si>
  <si>
    <t>…os , revistas ó cualquiera función de armas.” Aprobado. tiosl» , y liará frente al campo, si estuviere cu ¡«.muralla , jr si en otro Entró á jurar y tomó asiento en el Congreso el Sr. Rey. puesto, ai objeto qúe le etti encargado.” Aprobado. Art. 4.a » Ea todos estos casos reconocerán de antemano su ins Art. 46. » Las centinelas que estuvieren á los flancos y retaguardia trumento respectivo, llevándote en el mejor estado de servicio; pues de ca…</t>
  </si>
  <si>
    <t>Rey, Felipe Montes y</t>
  </si>
  <si>
    <t>Felipe Montes y Rey</t>
  </si>
  <si>
    <t>…üedad en ia clase de teniente de fra dia 29 d_- Enero último, como incurioso á ia buena Opinión de los seño gata , muchos conocím entos en su facultad y acciones de guerra que res D. Felipe Montes y Rey, intendente de la provincia do Cuenca, y cuenta D. Juan ll.-via, ayudante de órdenes del comandante del apos D Folipe Sicilia, contador principal interino de la misma, por la pro tadero H- Puerto-Cabe.10 , que por estas circunstancias merece ser aten puesta q…</t>
  </si>
  <si>
    <t>Rey, Francisco</t>
  </si>
  <si>
    <t>Francisco Rey</t>
  </si>
  <si>
    <t>…ueces de hecho;reunidos en las casas consistoriales el ¿ D. Gerónimo Damianjr, comandante del regimiento de caballería del dia 13 del corriente los Sres. D Jos f Sa-,,*»» , Soler, D. Francisco Rey, primero de coraceros ,yíD. Cayetano Ansiut. Arólas, D. Matías Sanmartín, D. Juan Bautista Antoni, D. Joaquín La comisión Eclesiástica, en vista de la exposición de Fr. Basilio Romaguera, D. Pedro Cordobés, D. Pedro Pascual Liob-t, D. Re Larraita, carmelita d…</t>
  </si>
  <si>
    <t>Rey, Joaquín Vara de</t>
  </si>
  <si>
    <t>Joaquín Vara de Rey</t>
  </si>
  <si>
    <t>…aun ¡legado muy .. t empo. dir de poner en noticia de V. S. el que contrajo el comandante de la Hoy hi sido reforzado crr. otra part da extremaoura ccmotiesta de columna del Cinc» D. Joaquín Vara de Rey , maniobrando con la de un oficial y 10 hombr-,. Dos guarde - V. b. tnucfrs afr,. C'etas 3 tu mando con la marcialidad que le caracteriza; este y el capitán de de Ag.-sto de xSaa.sFcLpc Toiosana. =er. comandante genera, c-1 6.J Ex ir .-madura D. Manuel Ezequi…</t>
  </si>
  <si>
    <t>Rey, Joaquín Vara del</t>
  </si>
  <si>
    <t>Joaquín Vara del Rey</t>
  </si>
  <si>
    <t>…obligación. Todos deber* ton ente de Ingenieros; D. Marcelo Ort.s, subteniente de voluntarios contribuir i proporción desús facultades al bien común. Unos empleas de Valencia , y D. Joaquín Vara del Rey , capitán del mismo, si su tu fi.crza fi, c &lt;, ot os sus caudales, su instrucción, sus consejen y ixHorindisposición se lo ha permitido. taci n » ; o:rJ; hay que reúnen todo&gt; estos elementos juntos -. p;ro nin __Las noticias recibidas hoy por lo* periódico* e…</t>
  </si>
  <si>
    <t>Rey, Manuel Ls- Ei</t>
  </si>
  <si>
    <t>Manuel Ls- Ei Rey</t>
  </si>
  <si>
    <t>…» SS. MM. y AA. continúan sin novedad en su importante salud.” A la misma dos exposiciones, la una de Doña María Dolores Ca ñedo , y la otra de Doña Sebastiana Bertrán , viuda de D. Manuel Ls- Ei Rey , enterado por una exposición del ayuntamiento constitu tepa, pidiendo se les continuase pagando la pensión que actualmente cional de Moufoite de Le unís de los útiles servicios que han hecho disfrutaban. D. Francisco Gómez , teniente del regimiento de infant…</t>
  </si>
  <si>
    <t>Rey, Vicente</t>
  </si>
  <si>
    <t>Vicente Rey</t>
  </si>
  <si>
    <t>…imismo tas reclamaciones que te habían he cho , opinaba debian aprobarse- Aprobados. Por resolución, i consulta del consejo de Estado de ij del corrien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t>
  </si>
  <si>
    <t>…la iglesia del suprimido podía acerderse á esta solicitud. Aprobado. convento de Sto. Tomas no era á propósito para este obj.io, y si pre La m sitia , en vista de la solicitud de D. Vicente Rey, vecino de ferible para él y para la colocación de la bb..oteca nací-, nai el cem en Noya , para que se le admitan en pago de un crédito qu; tiene contra to de la Trinidad, proponía que el convento de Sto. Tomas se diese aí y a favor del Crédito público los a…</t>
  </si>
  <si>
    <t>Reyes, Josef Morales</t>
  </si>
  <si>
    <t>Josef Morales Reyes</t>
  </si>
  <si>
    <t>…nsible este accidente en tan que le merezco. Malilla 13 de Junio de i8az.:sLuis Cappa. digno navarro, cuyos auxilios pueden hacer suma falta. Al romper del Se sabe que los cadetes D. Josef Morales Reyes , D. Frane'sco Pau dii 18 salió López Salios de Aoiz con su tropa para el Roncal en dos la Moyano y otros dos, como también el practicante de cirugía D. Jos-f direcciones. Godoy te portaron con tal denuído, que se atraían la atención de lo Málaga 27 Je Junta.…</t>
  </si>
  <si>
    <t>Rezo, Luis do</t>
  </si>
  <si>
    <t>Luis do Rezo</t>
  </si>
  <si>
    <t>…ecibido Qcl día hacer en Cortes extraordinarias. g-rural en gfe de las armas portuguesas dala provincia del Miño, El Sr. Isturiz opinó igualmente que el proyecto de que se trataba D. Luis do Rezo, una carta en que le incluye copia del oficie, que le debía pasar á la comisión de ilacenda, pues que era la que se hallaba ha r m ti ío su Gobierno , á fin de que proceda al arresto de ios espaindicada para este objeto, reuniendo sus individuos los conocimie…</t>
  </si>
  <si>
    <t>Ri, Jesrf</t>
  </si>
  <si>
    <t>Jesrf Ri</t>
  </si>
  <si>
    <t>…anctco tuedit de acudía c udad.elcabo dei r-sgu i¡- lo militar O. Agustín Man- Serrano y drl cip.tan ¡\ Merlino Miguel Polo, y a pesar de ¡a sor imchez en compañía dei d* su clase D. Jesrf Ri buena con cinco sol- presa de mi llegada, inmediatamente tal.o .; recibirme con la tr pa d .trios del nt »mo cuerpo , fundado» en la prevención t&gt;J de la resolu- libre de servicio un ir.mrr.»»» »e- ndj-io , acoinpiójrdome torio» a.tonc :i de las Cirtes de 19…</t>
  </si>
  <si>
    <t>Ri, Josef Díaz de</t>
  </si>
  <si>
    <t>Josef Díaz de Ri</t>
  </si>
  <si>
    <t>…porde, D. Josef Mariano Pulido, D. Francisco Montenegro, D. Mariano tazgo de Pancocvo i favor de Juan Mattinez de Rojas, á 5 de SetiemRniz de Navamuel, D. Josef Fernandez Guerra, D. Josef Díaz de Ri« bre de la era 1414» año 1376—«Otro «le la confirmación de un juro de baa, D. Josef Fuster y D. Pedro Manuel Velluti. 50 cargas de pan y 500 mrs. i favor de D. Juan de Rojas, marques de Poza, por el privilegio en favor de su abuelo Sancho de Rojas, en 18 En l…</t>
  </si>
  <si>
    <t>Ri, Mayor de</t>
  </si>
  <si>
    <t>Mayor de Ri</t>
  </si>
  <si>
    <t>…al. vajal__Otro de 5009 mrs., situado en las sisas de los 83 soldados de Otra. Asimismo se hace notorio que no habiéndose presentado la ciudad de Toro y su provincia, en cabeza de Doña Mayor de Ri postor alguno p:ra el suministro de lat provincias de Asturias y Soria, bera, en Madrid a 14 de Octubre de 1676. _ Y otro de 509,708 la primera del tercer distrito militar, y la segunda del cuarto, en la maravedises, situado en las yerbas de Alc4ntara, en cab…</t>
  </si>
  <si>
    <t>Ri, Miguel</t>
  </si>
  <si>
    <t>Miguel Ri</t>
  </si>
  <si>
    <t>…e y secretario mas antiguo, que lo en el Sr D. Juan Olí- yan hecho su* solicitudes para otro* «le las mismas provine-as ó «Estri ver y García, han sido elegidos para presidente el Sr. D. Miguel Ri los, y en su defecto á los que hayan pedido el pase sin fijarse determi cardo de Alava, diputado por la provincia de Alava; para nct-presi- nadamente en ninguno, á fin de acelerar esta Operación según convie dente el Sr. D- Juan Josef Sánchez, que lo es por l…</t>
  </si>
  <si>
    <t>Rib-ra, Juan Zapata de</t>
  </si>
  <si>
    <t>Juan Zapata de Rib-ra</t>
  </si>
  <si>
    <t>…J. F Saint-Lamben, miembro de la alcabaós y cabeza-, otro de 73,883, en las mismas alcabalas, en ca academia francesa y del instituto nacional , puestos en castellano por beza de D. Juan Zapata de Rib-ra: otro de ¡83, en la propia renta y D- M. D. M., traductor de la moral universal del barón de Holbachcabeza , del Dr. D. Francisco Reancos: otro de 56,230, en la indicada un «omito en 8.° i 6 , rs. en la librería de la viuda de Quiroga__ Discur renta y cabeza,…</t>
  </si>
  <si>
    <t>Ribeiro</t>
  </si>
  <si>
    <t>…obio de la Nación, se hizo tan general en España. entrada.” Se suprimieron los arta. j.° y 6.°, y se suspendió la discusión del Madrid Mifreolet 1*4 May», 7.0 para otra sesioo. El Sr. Ribeiro «le Andrade manifestó al Congreso que en atención CORTES. 41oque ecabsba de suceder, y é el rumor que había habido en las gale rías, no se reputaba ya «orno diputado de Corles, y que asi no volvería rxssiDUMciA nxi Sx. Vaidzs (Don Catktavo). mas el Congreso;…</t>
  </si>
  <si>
    <t>Ribera, Antonio</t>
  </si>
  <si>
    <t>Antonio Ribera</t>
  </si>
  <si>
    <t>…l Je art: lena , zu rrío fscmdron ¡jira. fue rechazado por ios tiros de metralla que le tiró la pieza miniada por » El teniente que Erna da parte al Sr. pr.roer comandante d ha el teniente D. Antonio Ribera, con el acierto y oportunidad propios berse situado con una pieza d: á 11 por d'sposicion de V -. ¡u-.tn á la ds un bravo ¿ inteligente oficial, protegido por alguna fusilería. alcantarilla de la calle de Legan tos para defender sus arro da, á so ds » Por la…</t>
  </si>
  <si>
    <t>…s corporaciones que no omi emplaza á Vitoriano Ribera, soldado de Marina, heredero instituidotirán medio ni diligencia hasta conseguir que se p'anteen estos estable por su hermano D. Antonio Ribera en el testamento que otorgó encimientos. 7.0 Para su buena policía y gobierno formarán y harán seis de Marzo de 1799 ante el escribano Real y del colegio de e,ta observar las diputaciones una instrucción provisional, que comprenda corte D. Josef Domingo Monte…</t>
  </si>
  <si>
    <t>Ribera, Eugenio de</t>
  </si>
  <si>
    <t>Eugenio de Ribera</t>
  </si>
  <si>
    <t>…dio se haya formado designio* conspiración contra el sistema constitucional. no precisamente de matar, sino de maltratar i una persona determina Se mandó archivar una solicitud de D. Eugenio de Ribera, tenien da ó indeterminada, siempre que al tiempo de egecutar el delito se te de infantería de la milicia nacional activa de Segovia, en que pedia unan en el reo la espontaneidad y la intención actual de dar la muerte. se le declarase el aumento de sueldo com…</t>
  </si>
  <si>
    <t>Ribera, Juan</t>
  </si>
  <si>
    <t>Juan Ribera</t>
  </si>
  <si>
    <t>…rtan Garriga. Premio á Castro. Acetsit a D. Tomas La-Madrid cia las victorias .íe los griegos. Este es el origen de tantas noticias con Séptima ciase. Lengua fratutsa , á careo de D. Juan Ribera. Pufo re‘ac:on al ultimátum del Gabinete ruso; y aunque al día siguiente se mió i D. Francisco Ana. Accésit á D. Jacinto Madrid y » D. JomX vee que son falsas, se repiten sin embargo de allí á dos días. Villa roe!. Octava clase. Lengua ¡atina, á cargo del mis…</t>
  </si>
  <si>
    <t>…en el voto que se ha pre Ciencia de la legislación, por el caballero Filangieri, traducida a) sentado. Por lo demás las otras medidas que se presentan, son absoluta castellano por D. Juan Ribera. Se ha publicado el tercer tomo de esta mente peculiares de la» atribuciones del Gobierno, excepto la cuarta célabre obra, Cura recomendación te hace superflua , pues toda la Bnque trata de los diputados americanos-, y tartaño mucho que los indi h&gt;pa ba recoá…</t>
  </si>
  <si>
    <t>…s La ciencia de la legislación: obra escrita por el caballero Filangiede crédro desde la menor cantidad hasta la de 4999 rs., á fin de hacer ri, nueva traducción al castellano por D. Juan Ribera, rn 8” prolon los piaos menudos que resulten de las liquidaciones. Madrid *9 de Ju gado , y adornada con un hermoso retrato del autor. El tomo j.° está nio de 1821.= Alvaro Gómez, prrsidente¿sJosef Melchor Prat, di ya de venta en la librería de Sojo, á 16 n.…</t>
  </si>
  <si>
    <t>…odavía el proceder de este hombre, cuando por el caballero Cayetano Filangieri, y traducida al castellano por desde el primer dia que Bilda se presentó en su casa era ya delincuen D. Juan Ribera , acudirán á recoger el 6.a y último tomo á la librete en no haber dado parte á lat autoridades públicas, y en no haber eía de Sojo. En la misma librería se hallan egempiares de esta obra á prevenido á sus feligreses paTa que no se dejasen seducir por los ene…</t>
  </si>
  <si>
    <t>Ribera, Ledro Díaz de</t>
  </si>
  <si>
    <t>Ledro Díaz de Ribera</t>
  </si>
  <si>
    <t>…o puede quedar ya sin que descargue su fuerza sobre lo» han sido destinváns ■» cobrar sus aue&lt;dos personalmente en • id : y Gra maiva^o», ordeno: nada IX Jorge Malí* de la Torre y D. Ledro Díaz de Ribera , srcr-ta- » Que todo el que no íe presente al alcalde del pueblo ó g fe mili r;cs cesantes de ia ext ngmda cámara de Guerra y ext nguido conse,o tar en el término pr e so de una hora, después de filado este bando, de ia Guerra : taino.en parece que agunot ot…</t>
  </si>
  <si>
    <t>Ribera, Lorenzo</t>
  </si>
  <si>
    <t>Lorenzo Ribera</t>
  </si>
  <si>
    <t>…o de las Cortes. o primera lectura. Se aprobaron los artículos i.° y *.°, y la comisión retiró el 3. Se levantó la sesión. Se mandó pasar al Crédito público una exposición del Sr. diputado D. Lorenzo Ribera, pidiendo que aquel establecimiento le satisfaciese ARTICULO DE OFICIO. una cantidad que se le debía por hrber desempeñado el empleo de ca tedrático de una cátedra de humanidades que costeaba la Nación, y se El Rey ha expedido los decretos siguientes .- le co…</t>
  </si>
  <si>
    <t>…ertad de im Se halla vacante la secretaría de la diputación provincial de Sab* prenta son tus elementos; estas dos cosas son las mas graves de que manca, por renuncia que ha hecho D. Lorenzo Ribera, diputado á Sigoedeqnetratarhe elvistoCongresoabusos,; y; yloscómoreconozcose discuten, y porestas!lo mismosin antecedentes.quiero que Corta.tico de dichaLos queprovinciaaspiren dentroó ella dirigirándel términotus memorialesde 30 día,alcontadosgobierno dadop…</t>
  </si>
  <si>
    <t>Ribera, Vicente</t>
  </si>
  <si>
    <t>Vicente Ribera</t>
  </si>
  <si>
    <t>…tablas, 7 custodiado* por una i mrs__La de D. Benito Casal Montenegro 558 rs. 7 6 mrs__ La dé guardia jnponesa, loa'ratos no pudieron hacer nuevas observaciones so pi herederos de D. Vicente Ribera 894 rs. 7 2 mrs.__La de los herebra las coatumbrrá de este pueblo singular. No obstante presenciaron Jarea de I). Manuel Sánchez Cueto 196 rs. 7 a mrs__La de lo* herealgunas audiencias dadas por les magistrados 7 los ministros, 4 los ena Jaroa «le D. Benito A…</t>
  </si>
  <si>
    <t>Ribero</t>
  </si>
  <si>
    <t>…mbrarle. - he quiera, con ana exposiciones for loa Sres. regidores D. Mauricio Josef de Eche» dijo, que tomento* una actitud imponente en los Gabinete* de Europea ve»te 7 el mitmo Sr. Ribero, y f» a* pemita copia del acta al tefior que enviemos egércitos 4 paitas lejanos, 7 no* pongamos de parte da gafe político aaperior para que ae digne mandar insertar dicha» capot!» lo* griego*, cuando no podemos imponer silencio á un orador faccio cioam 7 acu…</t>
  </si>
  <si>
    <t>Ribero, Francisco Tadeo de</t>
  </si>
  <si>
    <t>Francisco Tadeo de Ribero</t>
  </si>
  <si>
    <t>…1822. NOTICIAS DE ESPAÑA. Ea vista de las dos representaciones anteriores ae lepó el Investigadas in Cádiz. %6 ir Marzo. dicado ; y estando discutiéndote la materia el it. regidor D. Francisco Tadeo de Ribero pidió la palabreé hizo la siguiente exposición: Ex Escriben de Gibnlur coa feche del si que el die 19 había dado celentísimo ayuntamiento : Aunque parece que lo» papeles públicos y la vela el corsario insurgente que se hallaba en aquel puerto con di represent…</t>
  </si>
  <si>
    <t>Ribero, Josef Alonso del</t>
  </si>
  <si>
    <t>Josef Alonso del Ribero</t>
  </si>
  <si>
    <t>…del de haber hablado varios te Sotes en pro y en contra del art. 34 fue des primer batallón de voluntarios nacionales al mando del teniente de la echado por votos contra $5* misma D. Josef Alonso del Ribero y del subteniente D. Tomas MoHabiéndose leído el art. 35 , se discutió largamente, y se decidió que relió , custodiando la I4pida que «te ayuntamiento constitucional re soto fuesen nulos los votos para diputados i Cortes que se diesen en galaba 4 aquel pueblo…</t>
  </si>
  <si>
    <t>Ribete, Fnncteo Tadee del</t>
  </si>
  <si>
    <t>Fnncteo Tadee del Ribete</t>
  </si>
  <si>
    <t>&lt;»*Antetdo - CoMtcaeaU á le me va expuesto fot loa Sre». síndico» del prasupoestoi 7 coa «ate motivo at extravian alguno* «tj-tt i ro7 n^dor D. Fnncteo Tadee del Ribete, ae acotuó fot ia mayoría da hexsones política* quo ocasionan escenas da dararden, da cscéndalo y vetea de loa qao cnwtpnaan cate cabildo, que te dea las gracia* 4 la de tumulto. En la sesión del 19 de Marzo trató Mr. de Bonald de fac diputación frovincial se…</t>
  </si>
  <si>
    <t>Ribsiro</t>
  </si>
  <si>
    <t>…es; y á fia de proceder al El Sr. Fernandez Tomas, después de impugnar algunas razones da registro de todas las casas que sea conveniente , queda nombrada una las expuestas por el Sr. Ribsiro d« Andrade, pasó i tratar del articu cornis ón de los individúes del ayuntamicnio y dos ciudadanos minia lo , y expuso que la admisícn da esta doctr:na seria lo mismo que res, que desde mañana procedería á su cumplimiento. mandar embarcar la tropa europea que…</t>
  </si>
  <si>
    <t>Ric, Pedro María</t>
  </si>
  <si>
    <t>Pedro María Ric</t>
  </si>
  <si>
    <t>…uno que subsista en su mando para la plaza de re^-nte de la audiencia de Aragón, vacante por jubila después de haber recibido orden para «lejarlo es la mayor después de la ción de D. Pedro María Ric, á D. Josef Alonso, ministro de la de Made la vi«la. Por lo mismo no aprobaré que se ponga la misma en el caso «lrid. En la propia forma, ha venido S. M. en nombrar para dos plazas actual, porque tratándose del derecho de petición, es preciso que tenga de mag…</t>
  </si>
  <si>
    <t>Ric, Rasad del</t>
  </si>
  <si>
    <t>Rasad del Ric</t>
  </si>
  <si>
    <t>…nstsentrno. Este pato pruebe que Alá mira ya como victoriosa a afreto ia concesión de Ja cruz laure ada do &amp;. Fernando fi ios generales U causa de los griegos. D. Antonio Quitoga, D. Rasad del Ric^o , X). Fe.¡pe Arco Agüero, Chineo hace una guaira muy nctiva i las turcos de Epito; y h« co D. Miguel López Baños, D. Demetrio Q-Duly, D. Carlos Espinosa y el gido muchos convoyes de municiones destinados para la Mores. brigadier D. Manuel Larrc, resolviendo…</t>
  </si>
  <si>
    <t>Rica, Francisco Pablo</t>
  </si>
  <si>
    <t>Francisco Pablo Rica</t>
  </si>
  <si>
    <t>…ente eupemumenrio Oreóte A D. Andrés Antonio Rapoteitaa, teniente dei regimiento del regimiento infantería de Espafia , con 570 rs. infantería de Guadalajara, con 570 rs. Burgos A D. Francisco Pablo Rica, teniente de infantería y del Oviedo al capitán D. B;nito Sampit, teniente de infantería y del batallón de la milicia activa de .Soria, con 450 r». al mes. batallón de la milicia activa de Oviedo , con 450 rs. BujaUnce A D. Francisco López Salazar, teniente d…</t>
  </si>
  <si>
    <t>Rica, Pablo</t>
  </si>
  <si>
    <t>Pablo Rica</t>
  </si>
  <si>
    <t>…nte coronel D. Felipe Costa, cap tan de voluntarios, bard y compañía de Pati*................................- a 1.600,000 al subteniente retirado D. Joaquín Palacios, al ayudante D. Pablo Rica, é los tenientes D. Manuel Calderón y D. Manuel Salvador, Aumento extraordinario al miniaterio de Hacienda y á los subteni-ntes D. Gregorio Ortiz y D. Domingo Contrcras; pero pura lleaar ain perjuicio del aervicio público el i quien con pr-fe recia recomienda…</t>
  </si>
  <si>
    <t>Ricafort</t>
  </si>
  <si>
    <t>…antes de las cabañas miran con respeto todo lo ciones de los habitantes en favor de la causa de Espafia* que está impreso, y leen sin recelo aquello mismo que los pervierte. Dicho brigadier Ricafort elogia sobremanera la conducta del gene n Después de la obligación de librarlos de esta lamentable seducción, roso capitán Spencer, en quien ya por dos veces había hallado toda la universalidad de nuestra lengua impone al Gobierno una obligación protección, p…</t>
  </si>
  <si>
    <t>Ricaíuerte</t>
  </si>
  <si>
    <t>…nacional al Cód.go, al Rey constitucio mente del embarque de las tropas europeas, á cuyo efecto h» pasado el nal, á la Nación y al augusto Congreso, eran el objeto que presentaba Sr. Ricaíuerte i la Havana , y el general Lñan está con la primer divi á ¡a vista este venturoso dia: se sirvió un magnífico refresco, y vimos sión en Oajaca , debiendo en breve seguirle 11 de! bizarro Cruz y demás." (no sin admiración) al mismo ayuntamiento servirle á los…</t>
  </si>
  <si>
    <t>Ricardo, Jasef</t>
  </si>
  <si>
    <t>Jasef Ricardo</t>
  </si>
  <si>
    <t>…to el bergantín español mercante yél cómplicesos preparabancon; ellosos dejástrísos hicisteispor fininstrumentosarrastrar de susciegospé-fidosde I* consejos,sedición CAurruc.t, su capitán D. Jasef Ricardo, procedente de Cuba en fiy mas horrorosa; con ella habéis provocado la justa venganza de lis le du» d. navegación , con carga de café , cera , cacao, algodón y cigar yes, llamando 4 esta ciudad con vuestro crimen las tropas que la mis ros y vinos saberos. No…</t>
  </si>
  <si>
    <t>Rice</t>
  </si>
  <si>
    <t>…y moral no sabe algod pecto de la Fontana. Sr. ministro? El Sr. Reilio: Deberá tratarse de hacer ver que los males de la pa El Sr. secretario de Gracia y Justicia: Me permitirá el Sr. Rice tria son efecto de la poca exactitud que ha guc-rdado el ministerio en que no dé una contestación directa á esas preguntas; si efectivamente el desempeño de sus atribuciones. En su consecuencia se declaró,ante S. S. de un modo legal tuviese noticia ó conocier…</t>
  </si>
  <si>
    <t>Rich, Josef</t>
  </si>
  <si>
    <t>Josef Rich</t>
  </si>
  <si>
    <t>…ona , decla imprimiese. ran que no há lugar á la formación de causa, por ocho votos contra uno, El Sr. Buey pidió permiso para aproximarse al Gobierno í tratar siendo, este último D. Josef Rich. Barcelona 26 de Marzo de 1821.= un asunto de consideración. Lorenzo CollelI.=Juan Francisco Besora.=Rafael María Comes.—PíHabiendo hablado algunos Sres.', y asimismo leída que fue la resolu dro Gil.=Sa'vador Manzanares.=Magin Corominas.=Maouel de Za ción de…</t>
  </si>
  <si>
    <t>…uatro; ias que finidas precederá ai tiqueo. También pre Lista de lat personen detenidat en ia noche del £ al 6. vengo á V. que s: de los va.ientes que han sido atacados en ese pue D. Josef Rich, g bernador de Ja ciudadela—D. Asimilo Puig, blo resu tare aJgun muerto ó herido, hebra de satisfacer ese vecindario teniente ds Rey de id__ D. Ignacio Pombo, comisario da Gu na.__ á cada uno de estos ó á ias viudas de aquellos cuatro reales diarios D. Silves…</t>
  </si>
  <si>
    <t>Richard, Vícente</t>
  </si>
  <si>
    <t>Vícente Richard</t>
  </si>
  <si>
    <t>…-u .na La comisión de Premios, en vista de la exposición de Doña Ra que pasasen á informe de la jnnu Nacional las referidas sotlc.tuú ; mona Pol, prima y complicada en la causa de D. Vícente Richard, Aprobados. para q-c se le concediese una pensión, opinaba que podía concede!seis La comisión primera «le L-gisUcion, informando sobre la exposición la de 4 rs. diarios. Aprobada. de D. Agustín Romero, vecino de Lorca, en la que pedia se declarase La misma, e…</t>
  </si>
  <si>
    <t>Rico</t>
  </si>
  <si>
    <t>…debe aprobar los podo de un tirano, é inspiró &lt; todos los Gabinetes de Europa aquel no d eres d. 1 Sr. Potadas. ble pundonor que los sacó d'l vergonzoso letargo en que yacían, El Sr. Rico apoyó el dictamen de la comisión, manifestando qu* la conducta de los españoles hará que la Europa ame las instituciones cuando el Sr. Posadas había renunciado su destino había sido v.u'Ho iiberaies, á pesar de ios clamores de ia ignorancia engañada y ñet or…</t>
  </si>
  <si>
    <t>…cer á S. S. sino de lo que haya ocurrido desde dudar, que se halla de juez de primera instancia en Murcia. el i.° de Marzo, y desde esta fecha ningún acaecimiento ha habido res El Sr. Rico: ¡Sobre su conducta política y moral no sabe algod pecto de la Fontana. Sr. ministro? El Sr. Reilio: Deberá tratarse de hacer ver que los males de la pa El Sr. secretario de Gracia y Justicia: Me permitirá el Sr. Rice tria son efecto de la poca exactitud que…</t>
  </si>
  <si>
    <t>…tien* rigido con fecha del mismo dia, en que habían aprobado las Cortes la de al mayor bien común &amp;c.” proposición anterior del Sr. Ojero. Se leyó por primera vez la siguiente del Sr. Rico : » Pido á las Cor* Habiéndose conformado su autor con esta modificación , se aprobó tes se diga i la comisión Eclesiástica que sin perjuicio del plan general en estos términos. sobre reforma del clero presente i la mayor brevedad posible un de* Las Cortes oy…</t>
  </si>
  <si>
    <t>…esupuesto para caminos y I D. Luis Fernandez:Ramírez, D. Pedro Pascasio Fernandez sanJino y canales. 1 otros ciudadanos residentes en esta corte, quejándose del gefe político ' El Sr. Rico expuso varías razones en apoyo del dictamen. E D. Josef Martínez S. Martin por haberles negado permiso para hablar El Sr. Argiielles dijo que tratándose de una obra sumamente rece- I en la Fontana, y pidiendo se le exigiese la responsabilidad por haber saria…</t>
  </si>
  <si>
    <t>…ados que esta pagaba , y sobre lo cual las cortes tendrían pre Se leyó y aprobó el acta de la anterior. sente lo* auxilios que recibía la secretaria de la Guerra de la junta au El Sr. Rico propuso que eo el dictamen da la comisión Eclesiásti xiliar de este ministerio, del gefe de; estado mayor y su oficina, da ca aprobado ayer, y relativo al oficio que el Sr. secretario de Gracia y las inspecciones y «le la junu facultativa. Justicia había diri…</t>
  </si>
  <si>
    <t>…ecía que para llevar á efec’o dicho proyecto convendría señalar un tos pidiesen autorización para hacer iguales repartos. premio por cada p»re|a de camellos que se introdujese. El Sr. Rico contestó que en los pueblos donde no haya propios ni Las Cortes quedaron. enteradas de un oficio del Sr. ministro de le arbitrios propondrán sus ayuntamientos estos repartos; pero que pata Gobernación de Ultramar, dando gracias por el decreto d; 8 de Mayo tu…</t>
  </si>
  <si>
    <t>…Francisco Javier Isturiz , diputado por la provincia r¿ Cádiz; D. Lorenzo Villanueva , diputado por la de Valencia, y Don ga las reformas convenientes. Se upobó la proposición del Sr. Rico sobre que se proponga por la Josef Canga Arguelles, diputado por la de Astúrias. Madrid to de Mar comisión eclesiástica un decreto provisional para que se atienda á los zo de 1822. = Rafael ;del 'R'ego, presidente. = Facundo Infante, dicuras pirrocos &amp;c. ( ic…</t>
  </si>
  <si>
    <t>…rial de esta provincia , que sentencia- los casos de igual naturaleza. ion en grado de apelación una causa que seguía el exponente ante uno Otro relativo ú la ad.cion hecha por el Sr. Rico en el informe pr^ de los jueces de primera instancia de esta villa: otra de D. Vicente tentado por ia misma comisión , sobre la consulta de varios gefes po Tina, vocal electo de la diputación provincial de Valencia , queján líticos, relativa á la supresión de…</t>
  </si>
  <si>
    <t>…os del tiempo que hab a otado privado de te en qne «a expresase que comprendía á las provincia* de Ultramar. »u destino, opinaba que debía pasar al Gobierno para que dispusiese El Sr. Rico manifestó qu: nada se remediaría sin la total extinción el abono de »ueldos a .este interesado como á lo» demás de sn dase. de esta* cofradía* y mayouforaías, «|ne en alguna* partes tbmrvisn su Aprobado. mas muy considerables, citando el egrfnplo de un* cofra…</t>
  </si>
  <si>
    <t>…mplirse del mejor tículo 13 de la Constitución, si por mi parte no usase de todos los modo que se pudiese. medios que estén a mi alcance para coronar tamafia obra, confiando en El Sr. Rico dijo que el gasto que ocasionaban los músicos era sula ilustración , patriotismo y zelo que distinguen al pueblo valenciano, petfluo y de mero lujo, y que no era conveniente dotar i los músicos que túne la dicha de gobernar vuestro gefe interino=M*riano Villa…</t>
  </si>
  <si>
    <t>…que miento en las actuales circunstancias. as en beneficio de los extrangeros y en perjuicio de nuestra marina. Tampoco cabe duda que en muchas diócesis quizá ro alcanzarán las El Sr. Rico: El Congreso no ignora la decadencia en que se halla existsneias pira dar esta pequefia cantidad á todos los párrocos. Es cier auestra marina; ningún barco espafiol puede salir no so'o de nuestros to igualmente que nada mas conforme á la ley que cuando haya d…</t>
  </si>
  <si>
    <t>…ef Narciso de Aparici; el cual no lo gar pac el subsidio , verificada que sea !a rebaja.” pondrá á las que se soliciten por agentes particulares. Asimismo se leyó la siguiente del Sr. Rico : » Pido á las Cortes que Y á fia de dar á estas providencias toda la publicidad y franqueza en el caso de que hubiese sobrante, se atienda con preferencia á la cola que es propia de uu Gobier no paternal , dispondrá V. se anuncie por ción precisa del culto.”…</t>
  </si>
  <si>
    <t>…dministración , no yanto cons ste en reba el sr.t-r or dictamen. Aprobado. jar los sueldos á que los empleados t enzn un derecho de propiedad, Se leyó la siguiente proposición del Sr. Rico: » Pan que las Cortes cuanto en disminuir el número de los empleadas hasta el mínimo po pued. n formar una idea exacta sobre lo que dice el capitán del puerto sible. En esto consiste la econom&lt;a; y podemos fundadamente creer de Alicante en el papel impreso qu…</t>
  </si>
  <si>
    <t>…otra secretaría de este ramo; con nos ha de exigir una dotación mayor qu* la que tiene un ministro de cuya reforma se ahorraría ia rocían mucho dinero. la audiencia de Madrid 1 El Sr. Rico dijo antes de ayer, y el Congre El Sr. Canga: Por de pronto diré á S. S. que para hacer esa reforma so lo aplaudió: •&gt; La consideración pública de los empleados no está no hay mas inconveniente que barrenar un decreto de las Cort e. En el en ttron de sus equi…</t>
  </si>
  <si>
    <t>…sobre lo perjudicial que era á los ganaderos el decreto la materia es de suyo interesante , yo creo'que las Cortea son ia» que de de que se trataba. ben nombrar esta comisión. El Sr. Rico manifestó que el citado decreto era precisamente uno El Sr. Ruiz de la Vega: No comprendo qué motivos poderoso* de los mas sabios y benéficos que habían dado las Cortes, pues por él pueda haber para desviarse en est: caso del método común ú ordinario se respe…</t>
  </si>
  <si>
    <t>…la patria peligre si no cor Peleón, Valdés Bustos, Alvarez, Torre, Trujitlo , M-'lo, Roset, tamos este incendio. Ferrer (D. Antonio), Roig, Herrera, Bauza, Lod.ires, Black, Tor El Sr. Rico: Lorca no es mas que nn punto ó una ciudad , y no nar, Alcalde, Lamas, Casas, Marti, Sarabia, Vil i abo*, Merc:d, debemos circunscribir nuestra vista á ella sola ; no seilor: en Madrid Ruiz dei Rio, González, Manso , Tomas, Quiñones , Buy, Cuevas, hay individ…</t>
  </si>
  <si>
    <t>…bía reunir sus tículo 101 del reglamento interior de Cortes que trata de las discu fuerzas para recobrar sus derechos, y vengar la patria de una tiranía siones sin ivual. Otra del Sr. Rico, reducida 4 que el derecho de toneladas que se „ Kilos son los motivos de la guerra que nos hemos visto obligados 4 cobra por tos capitanes de ios puertos sin intervención alguna, se co declarar á los turcos. No se funda en principios demagógicos ó de re bre…</t>
  </si>
  <si>
    <t>…ayor actividad en tomar las pro respectiva.” Aprobado. videncia» necesarias para evittí ater.tidos de esta ciase. Art. 3.0 » Las juntas diocesanas se compondrán de las personas Ki Sr. Rico; No . uiero molestar al Congreso manifestándole cual ;ue se expresan en el artículo 11 del mismo decreto, y ademas del ge- es el espíritu deOr.huela, según var as cartas que t-neo en m' pod-r; es ? e político , intendente , un inJividuo de la diputación provi…</t>
  </si>
  <si>
    <t>…mayor br vedad pos ble en la discusión del presupuesto de la la cancelación de los créditos que baya recogidos. Guetra; y as m smo en el examen de todos aquellos puntos qu- son El Sr. Rico presentó la siguiente proposición: « En atención al tra relativos á ía Hacienda pública, y de que la C nstituoon dice que ias bajo ímprobo que tienen los individuos de las diputaciones provincia Cort-s se orupar .n con preferencia á cualesquiera &lt; tr..s. les,…</t>
  </si>
  <si>
    <t>…no deben desentenderse de este cuanto s: podría echar mano para estos empleos de m ichos &lt;m grifos asunto. de Amer ca: y entonces se contestó por el Sr. secretario de Gracia y El Sr. Rico i No bay ningún Sr. dipntado que no convenga en que Justicia que la emigración de U tramar no era Un perentoria. D: tod.s ti imposible llenar los presupuestos ; y aunque desde luego votaría la modos, aunque se haya dado aquella ley, creo qu: el Gobierno t ro:…</t>
  </si>
  <si>
    <t>…del dictamen de la comisión f Jea re sidad de Ori huela , haciendo varias observaciones sobre la proposición sultar algunas pequeñas injusticias, cuno por cgrmp o .npor.rr &lt;a d;l Sr. Rico, relativa á la traslación de dicha universidad y d.i cabil obligación d; ordenarse 4 uno que d *frutase 0 4» * os h, un bedo de la misma ciudad 4 la de Alicante. ncfic o , y que se hallase de consiguiente en una edad .» ,.u • r.o p_A la comisión de Instrucció…</t>
  </si>
  <si>
    <t>darte It extensión que pretendía d Sr. Rico 4 la gracia de que te trata. quio de fa utilidad qu- tato reporta á una nación. El Sr. Zulueta fue de parecer que debía suprimirte la última chu Ei Sr. Casas: El Sr. preopinante ha impugnado Ta parte mas £ac% tóla del artículo que dice: admitiéndoseles como s…</t>
  </si>
  <si>
    <t>…antes se hab.a Se aprobaron los dictámenes siguientes de la comisión de Diputa pagado con este nombre. Aprobado. ciones provinciales. La misma comisión, en vista de la adición del Sr. Rico al dicta Uno sobre que se apruebe el arbitrio que proponía el ayunta men de la misma sobre una preposición del Sr. Bu-y , relativa á quí miento constitucional de Vi llena, con objeto de armar un batallón de lo prevenido ae-rca de la celebra:.on de matrimon-os…</t>
  </si>
  <si>
    <t>…e dic moleste en manera alguna por las referidas opiniones y conducta pt lí tamen de la comisión. rica anter ores á su venida 1 á excepción solamente de los oficiales del Otra del Sr. Rico sobre que al que reuniese dos ó mas títulos no egército español que hubiesen desertado de sus banderas, y pasado al se le pudiese obligar i pagar mus que uno, pues de lo contrario ningu servicio de los disidentes, acerca de los cuales propondrá el Gobierno i…</t>
  </si>
  <si>
    <t>…creo que este deba de Aragón al expediente del hospital de Zaragoza, era de par c-r que ser aprobado. . sin embargo dei decreto C I1.I0 en e! anterior dictamen , se podía auto El Sr. Rico dijo que aunque era cierto que los americanos muda rizar á la diputación provincia! para que adoptase y pus.ese en prrctca ban con frecuencia sus gobiernos, también 10 era que en la Península ios arbitrio» legales y equivalentes a los suspendidos por d»ho ¿-.…</t>
  </si>
  <si>
    <t>…do el Rey F.n la primera votación para segundo secretario reunió el Sr. Moro- mandar que en lo sucesivo no se confiera destino alguno, ni aun en no 60 votos, el Sr. Zulueta 49, el Sr. Rico uno, el Sr. Belda uno, comisión, por ningún gelfi del ramo de Hacienda sin previa Real reel Sr. Sarabie uno, el Sr. Serrano uno, el Sr. Tejeiro nno, el Sr. Ro aolucion. Lo que servirá de gobierno á los militares que soliciten em mero tres, el Sr. Butafia uno…</t>
  </si>
  <si>
    <t>…aprobarse, contando con las virtudes de los actuales secretarios reglas prescritas en la Constitución. del Despacho, pu.s si estos llegasen á abusar de estas medidas, los indi El Sr. Rico: Es indudable que existen en Espafia muchos pueblos viduos de lao m.siin ser.an Ins primeros en levantar la voz contra ellos. tan enemigos del sistema que no parece sino que pertenecen a otra na El sr. N ivarro Tejeiro = Es indudable que hay muchos ayuntamien…</t>
  </si>
  <si>
    <t>…nsejo de Estado 4 realizar las propuestas , pido se inserte en el acta.” tado de desobediencia á la ley.” Se acordó que se insertase. Luego el Sr. Prado presentó la proposición El Sr. Rico dijo que en el verano i las i a de la noche era todavía que ban oído las Cortes, y á pesar de que ta dijo qua contrariaba lo muy temprano para que se disolviesen estas reuniones, y que se podía resuelto por las Cortes, quiso S. S. que sa leyese. dar mas tiemp…</t>
  </si>
  <si>
    <t>…p-ro en el año ao i a 1 vió disminuirse conside yó por ú timo pidiendo te aprobase el dictamen de la comisión. rablemente est» impuestos: desde el año so al actual no se ha im El Sr. Rico dijo que con estas exenciones resultaba que te excep puesto una contr bucion igual, sino mucho menor que las que se im tuaba del servicio á unas personas que podían servir á la patria en pusieron en los anteriores. tiempo de guerra, sin perjuicio de serle úti…</t>
  </si>
  <si>
    <t>Rico, Andics Ramos</t>
  </si>
  <si>
    <t>Andics Ramos Rico</t>
  </si>
  <si>
    <t>…berse leido un documento del de Ateca, en la de Aragón, vacante por fallecimiento de Don justificativo que dicho Sr. Entrena presentó &gt; te acordó i petición del Agustín Palacios,á D. Andics Ramos Rico; para la de Tortosa, en Sr. Canga Arguelles que se volviese el expediente á ls comisión , para Catalufia, vacante por renuncia dr D. Francisco Javier Campa, al mi que en vista de este documento presentase nuevamente su dictamen. nistro honorario de la audienc…</t>
  </si>
  <si>
    <t>Rico, Andrés</t>
  </si>
  <si>
    <t>Andrés Rico</t>
  </si>
  <si>
    <t>…o de Mediodía; pero de tai matura que las Ha entrado da arribada en este puerto el patache espaSol S. Anto tropas puedan reunirse en el término de tg días. E, probable que co nio, capitán Andrés Rico, que el dia 10 salió de este puerto con tal tab eado Is tenacidad del divan se revoque esta disposición. para Vivero, seis marineros y dos pasageros; peí 11 por la mañana Inglaterra. Lord Melvillc ha dejado la plaaa del almirantazgo por el fue apresado sobre…</t>
  </si>
  <si>
    <t>Rico, Dionisio</t>
  </si>
  <si>
    <t>Dionisio Rico</t>
  </si>
  <si>
    <t>…evo i S. M. una exposición para que re La comisión primera de legislación, informando sobre la exposi moviese de aquella ciudad el expresado cuerpo, pedían i las Cortes in ción de D. Dionisio Rico, en solicitud de que se le dispensen 4 meses terpusiesen su influjo para que asi se verificase. que le faltaban para cumplir el curso de práctica que este haciendo con Algunos Sre*. diputados pidieron que rsta exposición pasase al Go un abogado en esta corte,…</t>
  </si>
  <si>
    <t>Rico, Juan</t>
  </si>
  <si>
    <t>Juan Rico</t>
  </si>
  <si>
    <t>…tra esta elección. nueva, D. Vicente Navarros D. Bernardo Falcó, D. Manuel Beltran El Sr. Galiano manifestó que debía observarse á la letra la Consti de Lis, D. Jaime Gil Ordnfia, D. Juan Rico y D. Francisco Belda y tución respecto de lo que previene en este asunto, no habiendo nada Asentio, en los cuales no babia ninguna dificultad: los del Sr. D. Caye mas propio en el Congreso que cerrar las puertas á todas las personas tano Valdés, sin embargo de haberse opuesto que…</t>
  </si>
  <si>
    <t>…los Sres. jueces de hecho D. Antonio Martínez de Velasco, D. An Habiéndote procedido á alia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Sierra, Pumarejo,…</t>
  </si>
  <si>
    <t>Rico, Nicolás B'ac</t>
  </si>
  <si>
    <t>Nicolás B'ac Rico</t>
  </si>
  <si>
    <t>…operaciones. a." El na y Sagunto se han excedido ea valor anaiguieadoá loa enemigo*. El general en gefe de este cgército tendrá las facultades que te señalan en ayudante de Bailen D. Nicolás B'ac Rico, el teniente del mismo •1 decreto de laa Cortea de 6 de Enero de 1813 y las que le da la or D. Jos f M iría Onlin, y el ayudante de Luaitaaia D. Pedro Antufíez, denanza general del egérciR». g.® El intend.nte general militar con que nombré pare que como ayuda…</t>
  </si>
  <si>
    <t>Rico, Tadeo</t>
  </si>
  <si>
    <t>Tadeo Rico</t>
  </si>
  <si>
    <t>…a dada por el alcalde constitucional de Aibaran contra el de la cárcel donde los habia puesto este faccioso los preciosos restos de juez de prim.ra instancia de la villa de Cirza, D. Tadeo Rico, por los la lápida que habia arrancado y hecho pedazos, y conduciéndolos en procedimientos ilegales y violentos de este juez. La comisión , después una mano con las espadas desnudas en las otra, los gefes, oficiales é de referir y examinar l&lt; » hechos en que…</t>
  </si>
  <si>
    <t>Rico, Vicente Acedo</t>
  </si>
  <si>
    <t>Vicente Acedo Rico</t>
  </si>
  <si>
    <t>…o que deb a con respecto ú este asunto, y otra p uq ie p po u mas particular. de lo que debía: que en cuanto a loque haba d.cn. ei h.. I..;a. ir Uno de la misma en la instancia de D. Vicente Acedo Rico, ve taba bien el qóe la comisión de Caminos y Canales pro.ni.se -n su cino de esta corte, presentando un plan para el fomento de la agncul- proyecto sobre este asunto cuantas medidas creyese oportuna» ; p.ro que tuia por medio de «n fundo que te ha de crear,…</t>
  </si>
  <si>
    <t>Riego</t>
  </si>
  <si>
    <t>…o se le separó , sino que se le envió de cuartel á un punto determinado. Para mí esto quítale á una confina Los Sres. Estanislao Girardin y Alejandro de Lamsth, diputados ción. Al general Riego se le priva de su destino y de sus honores: al por el departamento del Sena-Inferior, y el marques de Cordone, dipu general Riego se le coarta en cierto modo su libertad , y sin embargo tado por el de Drome en la pasada legislatura, imprimieron tiempo há de e…</t>
  </si>
  <si>
    <t>…particulares, porque también se les ocupaban sus rentas; y poder judicial tiene una garantía para que por su parte se cumpla lo que tampoco probaba nada lo que se había dicho del general Riego, por prevenido en el art. 3.0 de la Constitución. ; Y el poder egecutivo no que el monarca podía disponer de la fuerza armada , y distribuiría como ha de tener esta garantía! y supuesta que el primero procede de este mejor le pareciese, lo cual no podía hacer…</t>
  </si>
  <si>
    <t>…ntes. Madrid Lunes »g de Febrero. Se procedió á la elección de presidente, y quedó elegido en primee n SS. MM. y A A., continúan sin novedad en su importante salud.” escrutinio el Sr. Riego por 7 a votos de 130, recayendo los $6 restan tes en el Sr. Va des, uno en el Sr. Salva, y otro en el Sr. Tomaat __Como hay gentes que por error de concepto, ó con designio mali Quedó elegido vice- presidente el sr. Salvato por 73 votos de 117, cioso , exager…</t>
  </si>
  <si>
    <t>…tados. S. M. en uso de las prerogxtivas para que le tomasen en consideración. que le da la Constitución.... El Sr. presidente dijo que las Cortes quedaban enteradas, y tomarían El Sr. Riego dijo que la Constitución no daba mas que facultades. en consideración dicho proyecto de ley. El Sr. secretario continuó: Dice muy bien S. S-, y mi opinión, co El &gt;r. Adan: Nunca se ha visto en la historia de las naciones libres mo se puede ver, es la misma qu…</t>
  </si>
  <si>
    <t>…uspendió esta discusión Agosto de 1813. mientras se buscaba. Su autor manifestó en un largo discurso los motivos en que se apo Se leyó por pr mera vez la siguiente preposición del Sr. Riego 1 yaba su proposición , y pidió á &gt;as Cortes que tomasen este asunto con » Pido á las Cortes se sirvan resolver que por una comisión espec al el ínteres que correspondía. Se aprobó la preposición. se txtienda un proyecto de amnistía general en favor de tocos…</t>
  </si>
  <si>
    <t>…cio po grato para mí que el poderles presentar este sable, que fue el prlm;ro sible al pasto espiritual de su grey. Por otra parte la comisión dice que que relumbró en la mano del general Riego ai proclamar la liberud este acto sa reduzca i una disertación canónica ú moral, compuesta en 1820.” Lo entregó á dichos Sres. secretarios, y el Sr. vice-presidente dijo: &gt;1 Las Cortes admiten con singular aprecio este acero, fasto vivopor el examinando. El S…</t>
  </si>
  <si>
    <t>…uebla limítrofes, se debía Un Sr. diputado dijo que la misma comisión debía ser quien devol acceda á dicha solicitud, y que se remitiese al Gobierno para que for viese el sable al general Riego á nombre de las Cortes. Asi se aprobó. malizase la división jurisdiccional del nuevo término de Alcobendas. El Sr. Valdés observó también, que mediante á ser de acero la rli Se aprobó. na del sable de que se habia hacho mención, seria oportuno que se La misma…</t>
  </si>
  <si>
    <t>…do uno de los individuos de! egército de la Isla, y pidiendo se lle dádoseles que propusiesen arbitrios, habían contestado que no tenían vase á efecto un premio que le concedió el general Riego; y otra de ninguno que proponer; en vista de lo cual pedia la diputación se la D. Francisco Sánchez, sargento 1 J graduado del regimiento de la autorizase para hacer un reparto vecinal. La comisión opinaba que po Constitución, p’diendo se le conceda el sueldo…</t>
  </si>
  <si>
    <t>…a voluntaria merece justa Cuando S. M. en uso de su, facultades separó de ia capitanía ge mente se ia tenga en consideración al tomar medidas que afiancen el ci neral de Aragón al general Riego, prescindo de quj es ahora presiden tado de nuestra patria, porque nadie es ma» capaz de asegurarle que ella, te de las Cortes , se reclamó por este digno ciudadano que se le for é pesar de que ha sido ha-la aquí tratada de un modo inicuo y escan mase causa,…</t>
  </si>
  <si>
    <t>…sar al Gobierno para que ponga á este interesado en posesión «te aunque no me hallarte muy airoso; peto no hay difieulrad. las gracias concedidas á los militares de la columna del general Riego, á El Sr. presidente di jo que había hecho esta indicación por si las Cortil la cual perteneció. Aprobado. la hubiesen creído oportuna, y que no tente d úrnltjd en ceder. La misma, en vista de te exposición de D. Eustaquio Ramos , en Proposición de los Sres.…</t>
  </si>
  <si>
    <t>…spiración; pero d ministe las armas este regimiento. rio todo lo despreció, diciendo que eran veces de exaltados que querían No se admitió á discusión la siguiente proposición del Sr. Riego; república. A poco tiethpn astilló esta conspiración, y aun se encontró á • Sin itmouía entra los individuos que componen una nación no puede algunas pavonas de las tabaladas en el proceso con las armas en la ma haber feiic«fcd; y asi habiéndome persuadido de…</t>
  </si>
  <si>
    <t>…n punto muy diferente, y que en mi concepto no debe aprobarse. taran an dicha contaduría por la puerta de entrada que tuvo anterior, Et bien púb'ica la amistad que yo tengo coa el general Riego; pero mente, sita en el piso segundo de la escalen grands de la casa aduana,ái jamas podré consentir que el nombre da asta digno patriota s.rvade ¡na- diez á dos de I* urde; desde*1 dia s.° de Abril próximo hasta el tf Irum-nto á sus enemigos pan torrar ana d…</t>
  </si>
  <si>
    <t>…, 78, ao y 40. • Ha libido ya i nuestra* ásenos el discurso de apertura del Con-1 El premio 4* sgoo r*., concedido en todas te extracciones i ha greto y la respuesta dd presidente Sr. Riego: de todo se saca aquí pro huérfana* de militares y patriotas que han muerto en defensa de la juste vecho; y con este plausible motivo han mejorado tas obligaciones de causa de la Nación, cupoenla suerte del primer extracto de la de este Espafia. Podemos conta…</t>
  </si>
  <si>
    <t>…D. Antonio Sr. Saavedra , al &gt;r. Galiano ; para la de Guerra al Sr. Infante; para la Izquierdo, vecino de Cádiz , sobre el pago de cierta cantidad qpe la de Milicias nacionales al Sr. Riego; para la especial encargada de exa debía el Crédito público, opinaba que no debía veri (ráese el pago en minar el estado político de le Nasiou el Sr. Vega Infanzón ; para la de Jos términos que solicitaba este interesado, por no ser conforme 4 I4a Sanidad, en…</t>
  </si>
  <si>
    <t>…uno de los indiviI rompieron el ado de i8»o; pero preveen también las turbulencias y calamidades en que pueden envolver á pueblos y provincias enteras duos de la columna móvil del general Riego , pidiendo se lleven i ti no se les reprime con presteza, y se les escarmienta con severidad; efecto las gracias decretadas por las Cortes en favor de dichos indivi r noticiosas de que V. $. va marchando hácia Navarra con este obje duos , opinaba que debía pa…</t>
  </si>
  <si>
    <t>…ste* ce para la aprobación de los poderes, porque se habían perdido por un te hibtsn extraviado por na incidente inevitable. acaso en el bergantín llamado Sorpresa. A petición del Sr. Riego te leyeron los artículos 114 y 375 de U H Sr. Adan -. La comisión sin duda no ha tenido presente al dat Constitución. su dictamen la reclamación del alcalde constitucional de la Ha rana El Sr. OI i ver: lie perece que estos poderes no pueden aprobarse contra…</t>
  </si>
  <si>
    <t>…la pre del asunto es haberte dispuesto la formación de cieno* planos y tasa sente disposición.” Aprobado. ción del sitio, da su producto y de la obra para adquirir conocimien- El Sr. Riego presentó una «posición de varios individua* de 1* tos, por medio de loe cuales te evacúe la concitación penitente con milicia nacional voluntaria de cata corte, manifestando lo sensible que la comunidad. El arbolado de la alameda y de las plazas sigue en, t d…</t>
  </si>
  <si>
    <t>…dan conmigo la consideración de que soy diputado. Todas estas rato- *e dijese á ia mayor brevedad posible. nrs son las que nos han mondo á hacer la proposición qne se acaba da El Sr. Riego dijo que en 10 de Marzo del año pasado la comisión leer, y que pido á las Cortea se sirvan tomar en consideiacion. de la anterior legislatura, encargada del mismo .ibj-to, ya «. n.a pre El Sr. Meló, individuo de la comisión , dijo : En esta proposición sentad…</t>
  </si>
  <si>
    <t>…ear ia unión, que es U que nos ha de salvar. Con este mo tribunal, las Cortes, previa la formalidad establecida en el art. ai3t tivo se hizo hace pocos días una proposición por el Sr. Riego,é fin de procederán á nombrar para este fin un tribunal compuesto de nueve jue que se extendiera la amnistía á todos los que estaban inculcados en ces , que serán elegidos por suerte de un número doble.” conspiraciones contra el sistema, la cual se mandó pasa…</t>
  </si>
  <si>
    <t>…de decretos de Cortes y de la C' nstitucon. ción de varios indiv.duos de !a voluntaria de Madrid , presentada per El Sr. Oliver: Dos partes comprende el proyecto de decreto del el Sr. Riego , sobre la necesidad de adicionar b&lt;s artícu-ot del regla presupuesto del palacio de las Cortes, la una relativa á las dietas de ios mento del eco de 1820 •, y haciendo var as r fltx one, expecíficas so señores diputados, y la otra á los gastos de secretaría…</t>
  </si>
  <si>
    <t>…e muerte , que se egecutará sin recurso alguno. Se leyeron los arts. 134 y 135 de la Constitución á petición del Art. 5.0 m Cualquiera pueblo que tome parte activa en la sedición, Sr. Riego. ó proteja las intenciones de los facciosos, será considerado en estado de El Sr. Romero manifestó que la comisión no tenia Ínteres alguno sitio , y sujeto á las leyes de la guerra. en que se aprobase ó desaprobase el dictamen, que Labia presentado etl Art. 6…</t>
  </si>
  <si>
    <t>…especial canónigo? La mayor parte de ellos no tendrán mas bienes que lo que encargada de este asunto. a.; le* produzca tu beneficio ó su canongía., y en semejante caso de nada El Sr. Riego leyó nne exposición de la primera compafiía de caza puede servir la responsabilidad. dores de la milicia nacional de esta corte, firmada por el capitán de ella Por otra parte,; el gefe político é intendente podrán desempeñar D. Josef María Moreno, y otros var…</t>
  </si>
  <si>
    <t>…este segundo examen te devolverá el proyecto al consejo, quien vicio la gratificación de 25 rs. mensuales que L fueron corctd.d .» p»r X« adoptara ó desechará definitivamente. el general Riego á las inmediaciones de Córdoba, sobre ai las purifica 1 de Vr eriibrr de Art. 33. aEl s. nado adm tita y ctamisuá todas las peticiones qn* ciones de que habla el articulo 10 del decreto de 1 •e U dit'jan, sea cual lucra su objeto. 1810 han da considera;** com…</t>
  </si>
  <si>
    <t>…o sus «ervicio». Apr !a&lt;do. Et Sr. Salva pregunto si se doia qu ■ las Cortes lo habían oído con La comisión de IX potación es peor metales, informando acerca da satisfacción; y el Sr. Riego di/o que podr.a decuse esto con respecto al</t>
  </si>
  <si>
    <t>…S4 El Sr. marques de la Merced dijo qtse este articulo estaba en su lu mandó unir al expediente general. gar , y acaso no había' otro en el plan que estuviese tan bien puesto, El Sr. Riego leyó el dictamen de la comisión de Milicias naciona porque ó drbian ser responsables los depositarios, ó los regidores que loa les acerca dei proyecto de ordenanzas propuestas por el Gobierno, y habían nombrado. Si los primeros, era muy justo que cada año nom…</t>
  </si>
  <si>
    <t>…u; pasase al Jñou. o d.bo decir que estas instrucciones no son conformes i lo qusGobierno con recomendación. las Cort s tienen acordado , y de aquí hi nacido un descontento geneEl Sr. Riego leyó una exposición de a 2 oficiales del departamento rjl en las provincias. Por el decreto de las Cortes de 29 de Jude artillería de Sevilla, pidiendo se les comprrndjese en la r, bija g ñe f&gt;&gt;o de 1821 sj mandó que la recaudación de las rentas se h cíese ba…</t>
  </si>
  <si>
    <t>…antería de la Reina, León, Gerona y ca Guerra por no haber confirmado el grado de teniente que le concedió ballería de la Reina, haciendo presente los servicios que prestaron á el general Riego. La com.tion opinaba que debia pasar á la de Guerra la causa de la libertad en la ciudad de Valencia durante ios seia años para que informase lo conveniente. Aprobado. del régimen despótico, opinaba que las Cortes podían declarar que íes Otro sobre la exposic…</t>
  </si>
  <si>
    <t>…ando ilíones de la deuda atrasada de Holanda, que hoy en el mercado no •1 primero por 74 votos de 146. ’ «egido **‘*n «•* 9ue *7 millones. Esta es una pura pérdida sin ningún géEl Sr. Riego leyó una exposición de los individuos de los dos ha nero de compensacioa : es una pérdida sin objeto, que no produce ni tallones de la milicia nacional voluntaria de Reus , pidiendo no un solo real al erario, j pertenece exclusivamente á la operación de la qu…</t>
  </si>
  <si>
    <t>…islación al señor Garc.a dadano. , arrastrándolos á la esclavitud por medio de la anarquía. Tam Bastamente. poco advierten que dejar en libertad á tales individuos, haciéndolo* El Sr. Riego leyó una exposición de varios comisarios ordenadores iguaVs en derechos con los ciudadanos pacíficos, seria lo mismo que y de guerra, en que pedían se activase el arreglo de la Hacienda mili tar. Se mandó pasar á la comisión primera de Hacienda.confundir en u…</t>
  </si>
  <si>
    <t>…de aquel decr.to , opinaba debía Gobierno con recomendación. declararse haber lugar á votar sobre la totalidad del dictamen , varián I.a comisión esp’dal encargada de entregar al general Riego el sa dose ó modificándose según se creyese oportuno cada uno de sus artículos. ble que pr.sentó en la barra de l.is Cortes el convalidante del bata El fir. Sotos observó que el proyecto en cuestión destruía el decreto llón de Asturias, y de adoptar una inscr…</t>
  </si>
  <si>
    <t>…ó otros renombres, 69. P«.r toda ciase de Est .mpa historiada de medio pliego de marca mayor, que represencédulas que te expidan concediendo suplementos de edad para adminis ta al general Riego al frente de sus ctforxados compañero* del 1." ba trar bienes ó servir oficios , continuar en tutelas, firmar con estampi tallón de Astúrias, dando el grito de la libertad en las Cabezas de San lla , añadir escudos de armas, dispensas para examinarte de n éoi…</t>
  </si>
  <si>
    <t>…que se cargada de proponer el modo de establecer monumentos que perpetúen formase la otra que habia de sucederle, sin hacerse novedad en nada la gloria que adquirió la columna del general Riego y el cgército de hasta que el nuevo establecimiento se hallase formado, con lo cual des San Fernando en el día i* de Enero de 1820. La comisión presentaba aparecería el inconveniente de que habia hecho mérito ei Sr. Arguelles. los siguientes artículos: En seg…</t>
  </si>
  <si>
    <t>…Las G&gt;rte» la rteibieton con agrado, y mandaron que p-Mtr daciones existentes en la tesorería general y en las provincias. i la comisión de Guerra. Quedó aprobado el' artículo. E! Sr. Riego levó una exposición que dirigían á las Cortes 35 ri Art. 6.a »&gt; La oficina de renovación y de calcografié formarán por ciales del segundo regimiento de la Guardia R.al, y otra de 71 sargen ahora una sección de ia de liquidación." tos del primero y segundo reg…</t>
  </si>
  <si>
    <t>…icitando se les com Después de haberse declarado bastante discutida esta disposición, prenda en la rebaja de sueldos decretada para las damas ciases del Estado. quedó aprobada. El Sr. Riego presentó dos exposiciones , la una de los cabos prime, 14. » Se autorizaré al Gobierno para que traslade i otras iglesias sos y segundos del primero y segundo regimiento de la guardia Real á los prebendados de les catedrales en donde lo crea conveniente. en l…</t>
  </si>
  <si>
    <t>…parte de Francia; y aun aseguran que en S. Juan de Pi»- de Puer Primera lectura. to ban detenido los franceses cierto número de armas(Vé.ue la (Jauta Las Ccrtes concedieron al Sr. diputado Riego el permiso que soli Jci iS, columna 9.) con cuya introducion contaban; y por ú.t.mo, por citaba para regresar a su país con el objeto de recuperar su salud. el número y calidad de las tropa» de e»ta provincia, que ya e»rarán á Se continuó la discusión del dic…</t>
  </si>
  <si>
    <t>…e aprobó la 8.* tir la dedicatoria hecha por el interesado. Aprobado. El Sr. Galiano hizo una adición , relativa i » que toda negociación El Sr. Scmoza leyó una exposición del Sr. diputado Riego, en la •c entendiese sin admitir mediación de potencia extrangera;” y pata que manifestaba que ia connsicn de Casos de responsabilidad no había apoyarla dijo: Los motivos que me mueven á hacer esta adición son ca presentado su dictamen sobre la exposición que…</t>
  </si>
  <si>
    <t>…erta de sus hogares, y entre el conflicto de la suerte que en aque podemos menos de dar un breve resumen. llos momentos corrían sus casas, sus fortunas, sos esposas, sus hijoe, El general Riego regaló el dia 9 por la mafiana al Excelentísimo sus padres y hermanos, presentaban el mundo nn egemplo viro de lo ayuntamiento constitucional de esta heróica villa una hermosa medalla que puede el imor patrio en un pueblo generoso y esforzado. tle p'ata para…</t>
  </si>
  <si>
    <t>…endo coinptfecido , Ies parirá «I per dejó de serme útil tu consejo. A mi llegada á la plaza de la Constitu juicio que' haya luga. ción me encontré et» ella al ilustte patriota el general Riego, que con *u presencia contribuyó i inflamar á los milicianos, y cuyo zelo, acti Avrto. vidad y decisión por la buena causa hicieron mas seguro y brillante el Se billa vacante el partido de médiéo titular da la villa de Afofrin, triunfo de la Constitución. pro…</t>
  </si>
  <si>
    <t>…iempre la Su críticos de su justa indignación, cediendo i las insinuaciones que les blime Puerta en conservar la paz y la mas perfecta amistad con la corte hizo el siempre célebre general Riego para que no se cantase en lo suce de Rusia , y á concurrir á la conservación de la paz del mundo y de sivo la canción del Trágala , pues asi lo quería el Monarca constitu la tranquilidad general; siendo igualmenu sabidas de todo el mundo cional , por el resen…</t>
  </si>
  <si>
    <t>…os inicuos que intentaren habéis seguido religiosamente las huellas de nuestro primer libertador ensangrentar su criminal 7 vengativo acero en esta patria, que antes de el ínclito general Riego,derramando por sostener la libertad la precio hallarse nuevamente bajo ia férula de un feroz despotismo, envolverá sa sangre que desde luego ofrecisteis i la amada patria, contrarrestando en sus ruinas á sus hijos predilectos. á esos inicuos gefe* 7 oficiales…</t>
  </si>
  <si>
    <t>…ir el júbilo y entusiasmo da lo* habí tantas de esta que se les mandaba y exigía el bien de sus feligreses no era tan intere capital en el día de ayer con motivo de la entrada del general Riego. sante una ciencia sublime como una intención buena; de que resultó Al efecto se habían tomado todas las disposiciones correspondientes, que viendo el poco fiuto que habían sacado de sus solapadas razones, pues el ayuntamiento constitucional deseaba obsequiar…</t>
  </si>
  <si>
    <t>…d el Granada 17 de Setiembre. canal El 14, 15 y 16 ha continuado lo. ob. qu.os á nuestro estimado __T • tiernos á la vista, dice el Redactor ¿tens a!, periódicos de Bur huésped el general Riego. ro.- Aires, que alcanzan hasta 5 dejun-o. El párrafo que ma. IMir^ ¡a El 14 se estableció una guirdia en la casa del g-n-ral Rieeo dr la atención es ei siguiente , ¡ns-rto en el Argus , y es de la expresada .emitad de la compañía de |i&gt;vení», cuyo capitán O.…</t>
  </si>
  <si>
    <t>…ridad.cor la ciudad de Antequera. Sabemos que en Málaga tienen hechos muchos preparativos para re Verdad es que el partido ultra francés se expondría i sí mismo á un peli cibir al general Riego, jr entre ellos varios arcos triunfales, deseando gro inminente, si las tropas extrangeras atravesasen una nación que está los malagueños no quedarse atrat en la manifestación de su amor á este llena de recuerdos amargos, que gime en la deplorable situación á…</t>
  </si>
  <si>
    <t>…urgel:nos que se apruebe esta proposición. y sus protectores tan tontamente le imputan. No se admitió i discusión la propuesta anunciada. De un rasgo rá pluma coge y arcabucea al general Riego la misma Se leyó por primera vez la siguiente propuesta del Sr. Salvé t • Pi Gateta. Asi divierte á tus lectora. Mafiana queda «lesmentirá lo que do que se «aprese en el acta como una prueba la mas evidente de ia dice boy: no importa; trampa a«klante. Engañar…</t>
  </si>
  <si>
    <t>…niversidad.s del Piimor.te , d: qu: ya ooa enfermo, d jando asi frustradas las esperanzas de Jos granadinos. vez hemos h.blado, se compone de 65 artículos, que contienen a!, ti K¡ general Riego que desde Málaga se dirigió á Algcciras, se em- nas disposiciones muy curiosas. No podrán habitar los estudiantes sino baren en aqft.l puerto para Ceuta el día a: fue recibido ^obsequiado en casa de sus parientes, ó en las en que sean adm ridos como p n»ioc'e…</t>
  </si>
  <si>
    <t>…ni'tioñ especial nombrada para examinar go. El iq salió este general para Carmone „KI die 4 y 5 había estado la memoria del Sr. secretario de la Gobernación de la Península las el general Riego en Tarifa; recorrió las nuevas obras nechas por el siguiente* adiciones: una del Sr. Aillon para que se afiada á la me Sr. Salmón, y par.ee que tuvo mucho guato al considerar cuanto allí dida lo siguiente: á excepción de aquellos que no gocen renta algu se ha…</t>
  </si>
  <si>
    <t>…la aten guíente distribución de laa tropas 1 ción pública. La correspondencia de Córdoba habla de la entrada del Las tropas de! cordon que estaban acantonadas en el depar lamento general Riego en aquella capital, del entusiasmo con que le recibieron, del Arrtege te han distribuido en les parages siguientes: &lt; n t . x uny de los obsequios recibidos por aquel general, quien se puso en cami batallón y cuatro compañías del 4.“ de linca , en Ai medio b-…</t>
  </si>
  <si>
    <t>…rado defender: hagámosles ver Leída 7 aprobada el acta de la anterior, entraron i jurar 7 tomaron que el valor 7 la disciplina acompañan al patriotismo 7 i la justicia. asiento el Sr. Riego 7 otro Sr. diputado. »Compañeros de armas: confio en vosotros; la patria nos contem Las Cortes oyeron con agrado una exposición del aura de Canillas, pla; su reconocimiento será vuestro mayor galardón: ¿ qué mas necesi en que las felicitaba por au instalación…</t>
  </si>
  <si>
    <t>…la voladura de Castelifoii 1 y El Sr. presidente nombró para la comisión de Guerra en turar del demas operaciones de conducciones y acarreos. Ei proyecto de ios fac Sr. Benito al Sr. Riego, y para la de Policía al Sr. Belmonte en lugar ciosos era el apoierarse de nuevo de Ca»t?ilL&gt; lit y sostenerte en el del Sr. Vil I avieja. para conaervar su prestigio , ó cuando no reconquistar su artillería 7 Se leyó el dictamen de la comisión especial encar…</t>
  </si>
  <si>
    <t>…é tar ai general Tornjoi -n Castr.lfollit (donde no estaba'), acaba de ar¿ acaso porque el Sr. Prado crea que ya está provisto en la* leyes el re cabuc-ar por mano d - Zi divar al general Riego (que caté en Madrid) medio competente, esto es, porque el código penal sancionado tiene cuando este iba i su gobierno de Anda ncia. señalada la p-tia de 8 á 14 años de confinamiento á cualquier ec.esiás» ARTICULO DB OFICIO.tico qu- predique brevet que no haya…</t>
  </si>
  <si>
    <t>…cita* razones creo digno de la atención del Congreso, que t&gt; ciudadanos. Aprobado. mando en cons drracion todo lo expu-sto , prevenga á !a comisión que En vota d- una ad.cion del Sr. Riego a! art. cap 3.', tít. 9„• ha de dar au dictamen sobre este asunto, que proponga ta caí tidad que para que lo acordado respecto á las ins gnias de los bata i iones de tro debita ponerse anualmente como extraordinaria á disposición del Rey pas ligeras sea exten…</t>
  </si>
  <si>
    <t>Riego, Joaquín del</t>
  </si>
  <si>
    <t>Joaquín del Riego</t>
  </si>
  <si>
    <t>…l silencio, 14Í) rs., acompañando el expediente original sobre cada uno de dichos ya el modo de referir los hechos, ó la manera de desfigurarlos, ó bien débitos: una exposición-de D. Joaquín del Riego, solicitando te le con que no hacen mas que copiar. Con este motivo hace el Courier un des tinúe pagando una pensión de 4 rs. diarios que disfrutaba tu madre: un cubrimiento algo sospechoso, pues dice: Que nada puede referir por sí expediente remitido por el…</t>
  </si>
  <si>
    <t>Riego, Mamad del</t>
  </si>
  <si>
    <t>Mamad del Riego</t>
  </si>
  <si>
    <t>…que tanto reclaman contra los tri B blioteca. bunales. La comisión de Hacienda, en vún de la solicitud de D. Joaquín Sobre la primera debo decir que es una verdad tan conocida, y D. Mamad del Riego , opinaba que se les d'.bia continuar la pen que nadie puede dudar dedla: la oscuridad y multitud de las ley -s sión de 4 rs. diarios que gozaba su madre hasta que cumplí n la edad de pone i los tribunaks en el mayor conflicto , prns si :*u*stras leyes son 15…</t>
  </si>
  <si>
    <t>Riego, Rafael del</t>
  </si>
  <si>
    <t>Rafael del Riego</t>
  </si>
  <si>
    <t>…as tanto rusas como ordinarias de la Nación española para los años t8za y 1813; y han griegas han fotmado en el mar Negro una marina mercante, que po elegido para su presidente al Sr. D. Rafael del Riego, diputado por drí con el tiempo suministrar para el apresto de una escuadra; en fin la provincia de Astúrias; para tu vice-presidente al" Sr. D. Ramón Sal la compafiía rusa-americana, subyugando sucesivamente varios pueblos vara , que lo es por la de Cataluña…</t>
  </si>
  <si>
    <t>…á abierto para negar el consentimiento al El a." batal'on He! regimiento de Asturias, que con ei heroe espa plan del Gobierno , relativo 1! cambio de lo» ciédiu» ai 5 por roo. ñol D. Rafael del Riego dió el primer grito de libertad en las Cuberas, El 3 y del pasado presentó el lord Liverpool en la Cámara de los ha pasado hoy por esta capital. Uua diputación, compuesta de un indi Pares un resumen del estado de la Inglaterra. Su discurso proporcionó viduo d…</t>
  </si>
  <si>
    <t>…abia entregado en la barra del sa do asimismo tener para siempre por su coronel á tu antiguo comandan* lón el comandante del segundo batallón de Astúria, y de que usaba d dante el general D. Rafael del Riego, y por cu teniente coronel á ’eneral D. Rafael del Riego cuando en la Cabezas de S. Juan dió al D. Francisco Oaotio, i quien d segundo batallón de Astúria juzga Írente de dicho batallón el prima grito de libertad, después de I* digno de mandar el regimiento q…</t>
  </si>
  <si>
    <t>…ción les dirigían la milicia local de Carmona y el ay untamiento da tras leyes fundamentales y al actual presidente de la representación na Tarragona. cional el dignísimo «añera! D. Rafael del Riego, en todos lo* caso* en A la comisión de Hacienda te msndó pasar un oficio del Sr. «ectetiles demostraciones no sirvan da pretexto i los malvados para al— tario de Estado , en que hace varias observaciones para que las Corles Uru la tranquilidad pública, infri…</t>
  </si>
  <si>
    <t>Riezu, Bles</t>
  </si>
  <si>
    <t>Bles Riezu</t>
  </si>
  <si>
    <t>…haberte presentado lo* números zoz7, Z038 y 1041 per oficiales de todo» grados y armas; casi todos gozan de muy buena salud, tenecientes el primero 4 D. Josef Pérez, el segando í D. Bles Riezu, y hay menos enfermos que en las plazas. Los cirujanos están encarga y el tercero 4 D. Manuel Salavert y Torres; se espera pues que dichos dos ds cerciorarse de esto, y de inspeccionar con mucha especialidad es interesados se presenten el lunes 18,de nueve 4…</t>
  </si>
  <si>
    <t>Rifo</t>
  </si>
  <si>
    <t>…«ncia b ctnwlia |«t ti|u 7 que no hay modo de que vengan, como no sao satisfaciéndose lm' pyadiaate. ' gastos que se originen. Por consiguiente no hay ora* que dos partidos, ( fl Sr. Rifo: S*tra(a ahora 4c fN te paguen solamente las 39 y á sabir, ó que se cuan allí, ó qu* ae paguen. Pero d hr. Arguelles ha tántpsbulns que ban teatdo; poto al resultado ca que coa cota pc&lt; tex llamado con cata motivo la atención del Gobierno hácia un importan to…</t>
  </si>
  <si>
    <t>Riganti, Nicolás</t>
  </si>
  <si>
    <t>Nicolás Riganti</t>
  </si>
  <si>
    <t>…el virry de que degeneró en fiebre gástrica con convulsione* epilépticas, el Emi Egipto reunidas en la isla ascienden á 4O hombres. Siguen es patrián nentísimo y Reverendísimo &gt;r. cardenal Nicolás Riganti, obispo de An dole de aquí hombres y mugeres disfrazados de franceses, auxiliados cana y Urnan-i. Nació en Molfeta á a 3 de Marzo de 17441 T *"ui con por algunos buques europeo». El baja de S. Juan de Acre se ha ia em decorado con ia sagrada púrpura en la pro…</t>
  </si>
  <si>
    <t>Riir.rn</t>
  </si>
  <si>
    <t>…ayor ger ru-stra entrada , en la muerte ti ! valiente y patriota cap.tan aracu !'¡ó'. n__lii Principe Recente hsb.a salido dei Janeiro para S. Pa duado, teniente de dicho cuerpo , D. Riir.rn eVUquer, quz te sacrTfi.ó hua ap ic ei.ar alguno» d.sturbios que había en aquel país, y en su por la patria a causa de su excesivo arrojo ó intrepidez, y ¡a de un sol ausencia dejó al frente d.l Gobierno á su augusta esposa. dado del propio destacimento gráve…</t>
  </si>
  <si>
    <t>Rin, Macario</t>
  </si>
  <si>
    <t>Macario Rin</t>
  </si>
  <si>
    <t>…eto. En la ciudad de Barcelona , reunidos los Sres. jueces de hecho Don 8-° ” Que Jas diputaciones provinciales para la concesión de arbi Jaime Busana , D. Felipe Bertrán y Rosas, D. Macario Rin , Don trios eviten la formación de expedientes generales que la retardarían Joaquín Ruira y Lacren, D. Josef Miguel Corriols, D. Jnsef Anto notablemente. nio BjIcl-IIs , D. Felipa Fernandez Arias, D. Pablo María Verdalet y Y 4.a » Que las obras se ejecuten en…</t>
  </si>
  <si>
    <t>Rin, Serafín</t>
  </si>
  <si>
    <t>Serafín Rin</t>
  </si>
  <si>
    <t>…cesario una lista da Empréstito nacional. ellos para formarlo. La dirección continuará el viernes 6 del,corriente de diez i una de » Debo si mencionar al teniente coronel retirado D. Serafín Rin su mafiana el pago de intereses del segundo semestre á los tenedores de cón , al cadete de Zapadores D. Bonifacio del Corral , al comisionado las carpetas que acreditan la entrega en su contaduríade los recibos ó di del Crédito público D. Rafael Garbayo, padr…</t>
  </si>
  <si>
    <t>Rincón, Manuel</t>
  </si>
  <si>
    <t>Manuel Rincón</t>
  </si>
  <si>
    <t>…e Europa juzgjen m cr-a-» pata que no se permita el embarque de plata ni frutos parala Penínsu que los espaáoie» son capaces de olvidar»; ni por un instante de lo aula: gracias al gobernador D. Manuel Rincón , que ha suspendido esta deben a su R-y constitucional , y de lo que se ceben ¿ »i m:&gt;tr.os: iu fi ord n por ocho día,, dando mear a1 comercio para embarcar lo que delidad está estrechada con nuevo» vm-ulc-s, y «,cemada no s- ian.rrtlabia en el Voluntario, ún…</t>
  </si>
  <si>
    <t>…i*, Robla, Gomes Ansycz, Saravientresacado 4e km papeles americanos., recibido* por el Hunter, espiten 11a, Traen, Ochoa, Asna, Fragoso, Csballrro. JPwrie. Im aignieuM proclama de D. Manuel Rincón, gobernador , ge- 10. Dt mfracción de Constitución- Obispo de Durango, Horb-gopolítico j cgman&amp;atf fép«wl de Vemcrus, puUicada en *5 de Ma ao, Andrade, Una, Herrera (D. Josef Joaqnin), Martines Zori yo, en la que se inserto d'deeretodíl Congreso mexicano, que…</t>
  </si>
  <si>
    <t>…endo e debidamente expiar sus crím.nes.s^u/r/u.’’ i ion; entre ellos e¡ brigadier Bravo, D. Ant.nio López Pantana, i.le» i //._$« ha publicado hoy por bando que ninguna persona ni D. Manuel Rincón , D. Jos f Domingo Rus , el cancnno D. M.guel corpora :íon pueda promover vítores injuriosos á los buenos europeos, Ramos Ar-spe, D. Ramón Rayón, D. Juan Bautista Lobo y D. Joasi com o ofensivos al soberano Congreso ; ni promover pj»eos sin pre sef M &lt;ría Cou…</t>
  </si>
  <si>
    <t>Rio, Aires do</t>
  </si>
  <si>
    <t>Aires do Rio</t>
  </si>
  <si>
    <t>…s el de la diplomática sobre ciertos españoles presos salud. S. M. la Rema continúa en el mismo estado de indisposición. reclamados por su Gobierno, el cual quedó pendiente ; y el Sr. Aires do Rio dijo que con este motivo se levantaba para proponer que te re Al paso que las ocasiones se presentan se excita y manifiesta mas comendase al Gobierno el que se hiciese un tratado de alianza ofensiva y mas el patriotismo de los que verdaderamente son ad.ctos i…</t>
  </si>
  <si>
    <t>Rio, Alves do</t>
  </si>
  <si>
    <t>Alves do Rio</t>
  </si>
  <si>
    <t>…abtan el promovía estos debates. » ¡Es acaso ( prosiguió) el altar el que se quie camino para justificarme.” re proteger, cuando nada le pone en peligro sino los excesos de los El Sr. Alves do Rio, aprobando el dictamen de la comisión , ex hombres imprudentes que creen honrar al cielo viniendo todos los diaa puso los males que habian causado 7 podían causar aun aquellos es 7 todas las mañanas á jurar el sacrificio de nuestras libertades públicas i crit…</t>
  </si>
  <si>
    <t>Rio, Fuente del</t>
  </si>
  <si>
    <t>Fuente del Rio</t>
  </si>
  <si>
    <t>…van logrando en las naciones extrangeras vol R-sultó quedar aprobada esta parte por 103 votos contra 13. ver á establecer el imperio de la preocupación y el despotismo injusto El Sr. Fuente del Rio , como presidente de Ja comisión Especial y peligroso de su sociedad. Véndese en la librería de Ramos y en la para examinar los cánones últimamente publicados, proponía que se po de Ortega á 4 rs. en rústica. dían unir á dicha comisión los Srcs.Yuste, Marina,…</t>
  </si>
  <si>
    <t>…se militar, que gozan el de qO rs. La comisión de Visita del Crédito público opinaba debía pesar á arriba. informe de la junta nacional la exposición del ex-abad 7 otros monges El Sr. Fuente del Rio leyó un discurso, en el que después de varías Bernardos del monasterio de Carneado ( provincia de León ), queján reflexiones sobre la necetidad de adoptar medidas «te la mas rigorosa eco dose del atraso que sufr an en el cobro de sus pensiones. Aprobado. nomí…</t>
  </si>
  <si>
    <t>Rio, Fuentes del</t>
  </si>
  <si>
    <t>Fuentes del Rio</t>
  </si>
  <si>
    <t>…r. Marchámalo h zo varias observaciones impugnando el dicta que d jo haber padecido el Sr. preopinante. men de la comisión , manifestando que entre las prestaciones sefioriate* El Sr. Fuentes del Rio leyó un discurso en que impugnaba el voto habia algunas que eran solo a'odiales, siendo las otras reversibles 4 la particular del Sr. Argiielies , y las dos proposiciones que hacia este Se Nación, cuyas calidades resudarían efectivamente de los títuloi de ad…</t>
  </si>
  <si>
    <t>…restado; y asi ae ve que es una suposición vo Sesión dt Cortts del g. luntaria la de que el ministro ha cometido crimen. Las circunstan Se leyó y aprobó el acta de la anterior. El Sr. Fuentes del Rio leyó el dictamen de la comisión especial cias le obligaron á hacer una cosa que ¿I mismo dijo que era gravosa, pero que ro *-ab a medio , ó debía verificar el empréstito, ó abandonar nombrada á consecuencia de la proposición del 9r. Prat, para que exa «1 Esta…</t>
  </si>
  <si>
    <t>…minos que salvase do de ellas no ha correspondido al objeto con que se han deter todos estos inconvenientes. minado; pno en fin, enhorabuena que la» Cortes la decreten per indi El Sr. Fuentes del Rio: Por tas leyes mismas de ¡a naturaleza , y viduos a» su si.ii. ; mas de ninguna manera apruebo que se autorice al por les principios mas sagrados de nuestra relig.on , está reconocida la Gobierno par, que bu¡qu.- prístina* parLi.u.arrs qua la desempeñen. obli…</t>
  </si>
  <si>
    <t>Rio, Hilario Manuel Ruiz del</t>
  </si>
  <si>
    <t>Hilario Manuel Ruiz del Rio</t>
  </si>
  <si>
    <t>…n.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putados. to* Sres. diputados. Aprobado. Valladolid. Sr. duque del Parque, Sr. conde de Adanero, D. Ala Astúrias. I). Rafael del Riego y D. Rodrigo…</t>
  </si>
  <si>
    <t>Rio, Juan Bautista del</t>
  </si>
  <si>
    <t>Juan Bautista del Rio</t>
  </si>
  <si>
    <t>…lizada con ia debi AVISO. da formalidad resultó adjudicado el primero á D. Manuel María Melga Se hace saber á los Sres. partícipes legos de diezmos qne el día 1) res, el segundo 4 D. Juan Bautista del Rio, y el tercero á D. Mariano del corriente me* de Julio se instaló en la ciudad de Vitoria la junta Gudal, á quienes se entregaron ios egemplares de ia obra del Tracy de partícipes que d:be entender en la liquidación y capitalización de que había regalado al el…</t>
  </si>
  <si>
    <t>Rio, Juan Biutista del</t>
  </si>
  <si>
    <t>Juan Biutista del Rio</t>
  </si>
  <si>
    <t>…excluidos por ciusa de su re disertar D. Pedio Pab'o Márquez, D. Manuel Maríe Melgares, Don ligión. Eí triunfo de la justicia, de la razón y de la humanidad iba i Benito Serrano, D. Juan Biutista del Rio , D. Francisco Javier Jimé completarte......La Cámara Alta había oido ya sin oposic on su prime nez de Bagues, D. Antonio Medrano , D. Leoncio Val, D. Cayetano ra lectura , cuando llega lor j Colchester , el cual hablando con la ma Puch, D- Manuel Sierra, E&gt;.…</t>
  </si>
  <si>
    <t>Rio, Juan García del</t>
  </si>
  <si>
    <t>Juan García del Rio</t>
  </si>
  <si>
    <t>…ropas de su mando, que se Zafiartu, plenipotenciario de Chile, D. Juan M. Foibes, agente de hallan en Gausin y Casares, deben reunirse i la mencionada columna, los Estados-Unidos, D. Juan García del Rio y D. Diego Paroissien, y operar según lo determine tu gefe__ Soldados: vuestro deber y la enviados del Perú. venganza de? insulto que ha sufrido la patria os llama á la lid v y y°. » El Correo ministerial de T%namá (dice el Argos de Buenosal verme en la necesidad de recordaros el…</t>
  </si>
  <si>
    <t>Rio, Ruiz del</t>
  </si>
  <si>
    <t>Ruiz del Rio</t>
  </si>
  <si>
    <t>…e había expuesto en proposiciones de igual naturalezi. Aprobado. sicón abierta entre el cauiiilo Iturbide y el Congreso reunido en (a ca La misma , en vista de una proposición del Sr. Ruiz del Rio para pital. Con este motivo se ha nicho , y tenemos razones para no dudarlo,- que te declare que los empleados en el derecho de registro que antes no que considerándose 'aquel ge!&lt; perdido y comprometido, ha querido gozaban sueldo por la Nación queden sin der…</t>
  </si>
  <si>
    <t>…el uso de la 120 en la primara y 80 en la segunda. Tercera id. id. , 90 en la pri milicia nacional local 100. mera y 60 en la segunda. Cuarta id. id., do en la primera-y 40 en El Sr. Ruiz del Rio opinó que deberian exceptuarse los caballos de la segunda. Quinta id. id., 30 en la primera y 10 en la segunda. los curas párrocos, que les eran indispensables para ir á suministrar el Después ái una ligera discusión, quedó aprobada. pasto espiritual cuando l…</t>
  </si>
  <si>
    <t>…Sr. Infante dijo que por su parte no tenia ningún inconvenien Aprobado. te en adoptar la adición del Sr. Romero. Art. ti. n Los sargentos primeros serán reemplazados en ausen- El Sr. Ruiz del Rio: EL artículo conforme lo propone la comi cías y vacantes por el segundo mas antiguo de la compañ a, y solo sión esta bien redactado. Antes de ahora ha habido muchas competen encaso de no hi.ber ninguno de su clase agregará alguno para que le re cias entte los…</t>
  </si>
  <si>
    <t>Riobó, Manuel García</t>
  </si>
  <si>
    <t>Manuel García Riobó</t>
  </si>
  <si>
    <t>…muger, 1 Ir bregra , D. Ramón Capóles, D. Josef Marín Quiroga , D. Antonio cual los autores de la descripción llaman una hit, que tenia las piernas Rodrigues, D. Vicente Torrea , D. Manuel García Riobó, D. Ma 'untas, los brazos levantados, la cabeza hacia la entrsda de la sala, y nuel Montero y D. Pedro Perez, que acreditaron adelantamientos da S os pies á la parte opuesta."Esta figura tiene mucho relieve, es d-cir, consideración en diferentes principios de…</t>
  </si>
  <si>
    <t>Ríos</t>
  </si>
  <si>
    <t>…f San Millan. de una casa, sita en esta corte ea la calle del Ave M-ru, núm. 5, manz. 34, el día ir del corriente y hora de las 11 de su mañana ta VARIEDADES. la posada del Citado Sr. Ríos , que ta tiene en la caite y casa dei Sacra Los animales variantes: poema del abate Gasti, traducido al caste mento , cuarto 1° de la derecha. llaa. por un c sante. Al mayorazgo fundado por D. Francisco Ramírez de Guzman, qu* II. aquí una obra que se ha adqui…</t>
  </si>
  <si>
    <t>Ríos, Joaquín de Puente y</t>
  </si>
  <si>
    <t>Joaquín de Puente y Ríos</t>
  </si>
  <si>
    <t>…Adan y D Josef Canga Argiieiies, dipu Sevilla. D. Cayetano Valdés, D. Juan Josef Sánchez , D. Antonio tados por las provincias de Valencia , Cataluña y Asturias. González Aguirre ,D. Joaquín de Puente y Ríos. La comisión, des Se empezaron á leer por el Sr. Canga Argiieiies los dictámenes de pués de hqber examinado los poderes y el acta de elección, opinaba la comisión de Poderes acerca de los que se habian presentado en la que debían aprobarse; y que por haber fa…</t>
  </si>
  <si>
    <t>Ríos, Manuel</t>
  </si>
  <si>
    <t>Manuel Ríos</t>
  </si>
  <si>
    <t>…ló , abriéndose paso por entre los enemigos, sostuvo una retirada __n Ocupado desde la madrugada de a ver, como dije i V. S. en oficio hasta este punto , que hace honor al alférez D. Manuel Ríos que la del m imo día, el pueblo de Castelló y llanuras que le rodean hasta mandaba, 7 el cuerpo deque depende , que tan acreditado tiene su las inmediaciones de este por cerca de aeoo faccioso* de infantería 7 valor. jo caballos, según todos los aviso* rec-bi…</t>
  </si>
  <si>
    <t>Ríos, N-</t>
  </si>
  <si>
    <t>N- Ríos</t>
  </si>
  <si>
    <t>…iente, ^co-neti, v t»mal campo la caballería de U Constitución en número de 17 caballos, al bores y 25 soldados! 9 individuos de la milicia activa de Mdaga , D-a mando del alférez D. N- Ríos, poco después de roto el fuego: 4 su sa Francisco García Hidalgo, subteniente de la de £uja:anc-, con un sol lida tuvo un caballo herido, que ha sido recuperado; pero esta aun no dado, y D. Juan Manent, subteniente de infantería de Mal.orea, con 3 se me ha in…</t>
  </si>
  <si>
    <t>Ripa, Miguel</t>
  </si>
  <si>
    <t>Miguel Ripa</t>
  </si>
  <si>
    <t>…y escribanía del número de esta M. H. Ponzoa , D. Josef Radon, D- Andrés Moya Lnzuriaga, D. Bernardo villa de D. Jacinto Gaona y Loeches, se vende en pública subasta una A sen jo, D. Miguel Ripa, conde de la Torre del Fresno. casa sita en esta población, calle de la Palma Alta, señalada con el nú Reunido el jurado, y habida la confereocia, se declaró por unanimi mero a8 de la manz. 453 , la cual se ha declarado vacante, y aplicado dad haber lugar 4 l…</t>
  </si>
  <si>
    <t>…rería de ejército el importe de lo que en aquellos haya suministra tiago Vicente de Les; D. Juan Antonio López; D. Juan Cortés; Don do , y asi sucesivamente. Josef Gómez Albacete; D. Miguel Ripa; X). Jaime Ruiz Abreu ; bon 6.4 Para evitat las quejas que suelen producirse sobre la mala, cali Pió Santos; D. N enias Alonso y D. Joaquín Huerta Ccvallos. Habda dad de los artículos de provisión, se reconocerán estos antes de su la conferencia se declaró po…</t>
  </si>
  <si>
    <t>…lias, en las cua compuesto de los señores siguientes: D. Gonzalo Cárdenas, D. Josef les se construye toda e*p*cie de tonelería con la misma y mayor per Radon, D. Santiago Delgado, D. Miguel Ripa, D. Juan Antonio fección que m el extrangero ■ y en cuanto 4 la prohibición del retorno Lop z, D. Joaquín Huerta Cerillos, D. Josef Gómez Albacete , Don de la nao onal que hubiese salido con caldos para el extrangero, no han Francisco López de Olabarrieta , D…</t>
  </si>
  <si>
    <t>Rípa, Miguel</t>
  </si>
  <si>
    <t>Miguel Rípa</t>
  </si>
  <si>
    <t>…D. Cayetano Romero, D. An píos de siles..,J drés Alcon, D. Josef Antonio Ponina , D. Francisco Mattinez Mari Salitre, azufre) 7.8S4 658.. 9 7.'PS &gt;5 na , D. Antonio María Esp jo y D. Miguel Rípa. Habida ia conferen y pólvora...... j cia, resultó por unanimidad haber lugar á la formación de cauta. Total 9.110,595.. 6 &lt;*99.374 9 «.S**»!*0"3» TZiaCMAlB*. En el juzgado del Sr. D. Josef Moreno y Remirez, juez de primero Nota i.* El líquido demostrado por…</t>
  </si>
  <si>
    <t>…y dentro de dos meses En su vista se teunió el jurado, compuesto de los Sres. siguientes: de la publicación de este decr to por lo devengado á la fecha de su ex D. Manuel Merino, D. Miguel Ripa, D. Zoilo Gómez Casero , Den pedición. Los diplomas recogidos se pasarán al consejo de Estado par» Valentín de Nicolás, D. Josef San Millan, D. Antonio Regás, Don que los cancele. Art. 9.0 El Gobierno bajo estas bases dictará las reglas Isidoro de Hoyos, D. M…</t>
  </si>
  <si>
    <t>…e su conciencia. Me acuerdo de una cir X&gt;. Josef Gómez Albacete, D. Marcos Amonio Menezo , D. Antonio cunstancia relativa á un tal Baldwin, diputado distinguido del Con Puigblanc, D. Miguel Ripa , D. Higinio Antonio Loreme, D. Va greso por la parte occidental da la Pensilvsnia , el cual voló en cierta lentín Recio, D. Joaquin Vaga y Quintana, D. Santiago Vicente ocasión de un modo contrario á las instrucciones que se le habían dado. Leo y D. Antonio…</t>
  </si>
  <si>
    <t>…*»rin á su dorso las certifi judicarle en su buena opinión y fama. caciones de rentas,que conforme á este tratado se han de emitir, so Sres. que declararon abtuelto dicho escrito: D. Miguel Ripa, Don indique á su final por una llamada que los intereses han de satisfacer Lorenzo Lambe* , D- Simón Gonzalaz Yutte, D. Francisco López da te por determinadas casas de París y Lóndres; bien entendido que por Olabarricta, D. Francisco Maitmez Marina y el cond…</t>
  </si>
  <si>
    <t>Ripa, Mivuei</t>
  </si>
  <si>
    <t>Mivuei Ripa</t>
  </si>
  <si>
    <t>…1.a clase de repartimiento............ 150».. roo compuesto á: los ser ore&gt; siguiente. : D. Juan Manuel de Aréjula, Don a.a id............... no.... 80 Francisco Martínez Marina, D. Mivuei Ripa, D. Jaime Ruiz Abreu, g.a id............................................... 90.... 60 D L ino Campos, D Hifiiio Antonio Lócente, D. Pío Santos, Don 4.* id..................... do.... 40 Nicolás Alonso y D. Manuel Carnicero. Habida la conferencia, testilló §.*…</t>
  </si>
  <si>
    <t>Riquer, Antonio</t>
  </si>
  <si>
    <t>Antonio Riquer</t>
  </si>
  <si>
    <t>…ana á las nueve de ella en el lugar na en 16 del pasado ei parte que le ha dado el teniente de fragua gra de Mionia he cogido 4 los facciosos el botín que sacaron de Sto. Do duado D. Antonio Riquer, comandante d: la polacra S. Antonio, mingo , y mañana por la Urde entraré en esa ciudad acompañado de le guardacostas de la misma provincia , en el qu: manifiesta que ba i.ncolumna, que me ha seguido en esta jornada. Lo que comunico e V. tá flose el 14 á las…</t>
  </si>
  <si>
    <t>Riras, Manuel López de</t>
  </si>
  <si>
    <t>Manuel López de Riras</t>
  </si>
  <si>
    <t>…s A Don y heredera de D. Miguel Azpiroz, vecinos que fueron de esta corte, Luis Sorda. en el juzgado de primera instancia delSr. D. Juan Gómez y Díaz,y es criban! . del cartulario D. Manuel López de Riras, que despacha por La junta de gobierno del banco nacional de S. Carlos, en virtud habilitación D- Juan de la Peña Martínez, á instancia de los testamen del capitulo 19 de la Real cédula de erección , y de lo que previenen tarios de aquella , y en virtud de pr…</t>
  </si>
  <si>
    <t>Risetl, Josef</t>
  </si>
  <si>
    <t>Josef Risetl</t>
  </si>
  <si>
    <t>…de Unzaga, mayor comándeme supernu que siguen : merario del regimiento infantería Infante D. Carlos, id. Chinchilla al coronel graduado D. Juan Perec da Lema, coman Guadalajara á D. Josef Risetl, espitan de infantería graduado da dante de infantería. teniente coronel y del batallón de la milicia activa de Ciudad-Real, Tuy al coronel graduado D. Josef Llórente, comandanta de in con los 410 rs. ai mes que goza ea provincia. fantería. Cuadis á D. Silvan…</t>
  </si>
  <si>
    <t>Risso, Alejandro</t>
  </si>
  <si>
    <t>Alejandro Risso</t>
  </si>
  <si>
    <t>…........................ t-, ________ .En 109 acciones del empréstito de 160 907,847» 4| El Crédito publico.---------&lt; millones, correspondientes á »a testa- 436,000 I mentaría de D. Alejandro Risso... 71,847.. 4ÍJ 1 En vales devueltos por no haber tenido {. efecto su aplicación.................................... 3.403,03 5..10 MINISTERIOS. librado sobre las tesorerías de provincia y recibido de las mismas.... 39.398,794» 29f DISTRIBUCION. Suman 16,000l…</t>
  </si>
  <si>
    <t>Risueño, Cáelos</t>
  </si>
  <si>
    <t>Cáelos Risueño</t>
  </si>
  <si>
    <t>…ovedad en su importante talud.” de veterinaria, y obtenido tu título, comparecerán en esta corte ante niKBCctoH eamui di lotbsias naciokalxs. el secretario de la junta eicolattica D. Cáelos Risueño, por st , ó por medio de apoderado, á firmar ia oposición que hayan de hacer ; para io Noticia de los pueblos donde han cabido los premios mayores de cual te señalan treinta dias de término, que empezarán á correr desde la lotería moderna nacional en el sorte…</t>
  </si>
  <si>
    <t>Risueño, Cirios</t>
  </si>
  <si>
    <t>Cirios Risueño</t>
  </si>
  <si>
    <t>…la de S. Fernando de aritmé título, comparecerán en esta corte ante el secretario de la junta escolás tica , escritura, lectura, Constitución y caligrafía y los conocimientos tica D. Cirios Risueño, por tí ó por medio de apoderado, é firmar la ds estos ramos que manifestaron aumentaron el sentimiento de la socie oposición que hayan de hacer , par* lo cual te señalan go dias de tet-, dad , por ver perecer un establecimiento que tantos bienes l abia produ…</t>
  </si>
  <si>
    <t>Rius</t>
  </si>
  <si>
    <t>…es 7 Dr D. Feliz García de U Torre, te trató 7 acordó entre otras Barcelona ao Je Marta. cotas lo siguiente: El estado de fuerza del cordonsanitario en Francia, según el diario El Sr. Rius después de leida el acta anterior, i cuya sesión no asis de León de 8 de este mes, es el siguiente: tió, pidió te rep l ete la lectura del acuerdo sobre la instrucción Infantería. Pirineos orientales: tg batallones de los regimientos 7, particular que debe da…</t>
  </si>
  <si>
    <t>Rivabelloso, Matías Martínez</t>
  </si>
  <si>
    <t>Matías Martínez Rivabelloso</t>
  </si>
  <si>
    <t>…, Saavedra, Muro, Habiéndose denunciado al Sr. alcalde constitucional de esta villa Buruaga, Domenech , Luquc , Somoza, Llórente, Rojo , Ruiz de la D. Arias Gonzalo de Mendoza por D. Matías Martínez Rivabelloso, Vega, Riego, Rico, Canga, Septien, Ferrer (D. Joaquín), Parque, en nombre de D. Lesmet Bravo y de D. Joscf García Atocha, vecinos Rubinat, Ibarra , Reillo , Te jeito, Velasco, Ordufia, Busaña, Gar de Tiujillo, el folleto titulado: Nudo constitucional sacado…</t>
  </si>
  <si>
    <t>Rivadulla, Antonio</t>
  </si>
  <si>
    <t>Antonio Rivadulla</t>
  </si>
  <si>
    <t>…Toledo. Huesca administrador D. Manuel González Campillo, cap tan gra Existencia para i.° de Agosto. 1,5 27... 19. duado V teniente retirado del resguardo de Nevar a. Interventor Don Antonio Rivadulla, secretario del extinguido consejo de Guerra en Madrid 9 de Agosto de i8ai.s5antiago Josef Patero.=Con mi in tervención , Manuel Ezquwra. Galicia. _ . _ . _ , Gerona administrador D. Francisco F rnandez Puente, contadot TxraoNAiB*.de estancadas de Astúrias. I…</t>
  </si>
  <si>
    <t>Rivas, Antonio</t>
  </si>
  <si>
    <t>Antonio Rivas</t>
  </si>
  <si>
    <t>…unto. Aprobado. arreglo del clero, se podrá egecuiar con mas claridad , tomada ya esta La comisión de Hacienda, en la instancia de D- Josef Carbonet y medida que ahora se propone. D. Antonio Rivas , empleados de provisiones, sobre que se deciare Las Cortes ordinarias del año anterior rMfendarosi que se suspendiese que pertenecen a la dase de cesantes , opinaba qne estos individuos se por ahora la p-ov.s.on de todas las prebendas , capellanías y beü-fic…</t>
  </si>
  <si>
    <t>Rivas, Juan Gonza'cz de</t>
  </si>
  <si>
    <t>Juan Gonza'cz de Rivas</t>
  </si>
  <si>
    <t>…iputado D. Josef De ensros Je recaudación de los derechos de Moreno de Guerra, denunciado en Cádiz ante aquel alcalde constitu 97,6jl» 4 cional con fecha 8 de Noviembre último por D. Juan Gonza'cz de Rivas , cónsul de España en G braltar , y en su nombre y representa Pasado por cuenta de; cupo nacional de con— ción D. Josef Duval; la ley absuelve al Sr. D- Jis;f Mir. no de Gu-c- sumo*........... *. 460,000 ra responsable de dicho escrito, y en su consecuencia m…</t>
  </si>
  <si>
    <t>Rivat, Josef</t>
  </si>
  <si>
    <t>Josef Rivat</t>
  </si>
  <si>
    <t>…consideración á 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Francisco de c.bal.eria del Sur en la Hivana; y en at-ncion al donativo de ico® Ardila , D. Vicente Aparicio,…</t>
  </si>
  <si>
    <t>River, Pedro</t>
  </si>
  <si>
    <t>Pedro River</t>
  </si>
  <si>
    <t>…e los empleados en aquellas oficinas. tar el cobro en efectivo, como arbitrio que le está designado por las A la comisión del Crédito público se pasó una representación de mismas. D. Pedro River , sobre que se le pagase por dicho establecimiento la pensión que disfrutaba por una encomienda. , Los dueños de vales de las nueve clases de la creación de Enero, El Sr. Villanueva expuso que con motivo de este expediente pedia que los presentaron en ia ofic…</t>
  </si>
  <si>
    <t>Rivera, Andrés de</t>
  </si>
  <si>
    <t>Andrés de Rivera</t>
  </si>
  <si>
    <t>…er brero de 1553—Üu juro de 111,408 mrs. sobre los bienes confiscados minados. En semejante situación basta observar qne todo» lo* Gobier a) vizconde D. Juan de Vivero, á favor de D. Andrés de Rivera y nos de la Europa, y especialmente d d« Inglaterra , hacen cuantos es Dofia Constanza Sarmiento. En Burgos á 18 de Noviembre de 1)23. fuerzos pueden pora terminar estas diferencias de una maneta amistóse, -JJn testimonio de la posesión dada al marque*.dn Ora…</t>
  </si>
  <si>
    <t>Rivera, Francisca Tello de</t>
  </si>
  <si>
    <t>Francisca Tello de Rivera</t>
  </si>
  <si>
    <t>…as operaciones. Dios de Junio de 1565 : otro alcabalas de Talavera, en cabeza del referido guarde á V. E. muchos años. Requena 18 de Noviembre de 181*. Garci Suarez' de Carvajal y Doña Francisca Tello de Rivera, de =Excmo. Sr.mMarceiino María Herrero.mExcmo. Sr. comandante ge 255,122 mrs., fecha 18 de Junio de 1614: otro dichas alcabalas, en neral del 8.° distrito militar.” s cabeza del propio Garci Suarez, de 321,418 mrs., fecha 15 de Se tiembre de 1571 : otro de i…</t>
  </si>
  <si>
    <t>Rivera, Juan</t>
  </si>
  <si>
    <t>Juan Rivera</t>
  </si>
  <si>
    <t>…de la legislación: obra escrita en italiano por el caballero A otros tantos artesano* discípulos de la academia de S. Cárlos, de tas Cayetano Fiiangicri, nuevamente traducid* por D. Juan Rivera en 6 dase* de flore* y ornato*, cabeza*, mano* y pies, dando i me» al pri tomo* en 8.u, y adornada con un hermoso retrato del autor .* los tomos mero 6o rs., 40 á cada uno de lo* tres restantes, y 30 el último. Ha t.® y i.° se hallarán en ta librería de Sojo.…</t>
  </si>
  <si>
    <t>Rivera, Lorenzo</t>
  </si>
  <si>
    <t>Lorenzo Rivera</t>
  </si>
  <si>
    <t>…tarías del Despacho, sobre las cuales se habían mándose con un dictamen de la comisión de las anteriores Cortes , so ofrecido al Gobierno algunas dificultades. bre la solicitud de D. Lorenzo Rivera, diputado que fue en ellas, para Se dió cuenta de una exposición del Sr. conde de Maulé, diputa que se le pagase por el Crédito público la renta á que ascendía la dota do suplente que fue en las Costes anteriores por la provincia de Chile, ción y emolumentos…</t>
  </si>
  <si>
    <t>RjLos</t>
  </si>
  <si>
    <t>…e las f-bri A ia de Comercio tres solicitudes de varios pueblos, para quise sas habían sido destrozadas por el pueblo. declare el puerto de Santoña per de primera clase; y oirá de D. RjLos periódicos de Ñapóles, Genova y Turin no contienen cosa Iiion da Cahíz pata que se remedien los aLu.os cometidos en 1a aduna particular que ya no supiésemos, á no ser el que en el Piamonte se pu de Algceiras. blican en grandes carteles las continuas y rigoros…</t>
  </si>
  <si>
    <t>Rmkio</t>
  </si>
  <si>
    <t>Se prorogó k seaioo per ase hora mas. ARTICULO DE OFICIOEl Sr. Rmkio dijo fie k comisión sin duda, no había traído premtnrci» mucho! canas** que habían influido en loo malea de la Na El Sr. secretario del Despacha de k Gobernación de Ultramar coa ción , itrti- do U» que enunciaba en el mensage: que la falta de unión fecha de a…</t>
  </si>
  <si>
    <t>Rndó</t>
  </si>
  <si>
    <t>…Vích ra situar mas ventajosamente la artillería. otras dos divisiones nuestras. Dapsis de salir la regencia parece que que ■ A las alturas ocupadas por el general en gef: y por el brigadier Rndó de comandante de la plaza un capitán pasado é loa facciosos del re t:n subieron las tropas á brazo el cañón de á 8 , sup ‘fiftdO CUO fflll* gimiento de Guada la jara. En el castillo quedaron como unos hom siasmo los obstáculos det teireno , de modo que a Us d…</t>
  </si>
  <si>
    <t>Ro</t>
  </si>
  <si>
    <t>…o, que se leyó ayer en el nombre de uno de los avocar causas pendientes. Aunque esta causa esté concluida con respec jueces de hecho , recusado por D. Joscf Moreno Guerra , que es D. Ro to á la semencia de absolución de los individuo* a quienes comprende, drigo Valdés Bultos. no se halla fenecida, ni en estado de que las Cortes puedan juzgar so Se procedió en seguida al sorteo para reemplazar á los seis jueces bre ella. Pido que se lea un ar…</t>
  </si>
  <si>
    <t>…perpetuidad ; y asi fue de parecer que se suprimiera. comisión, después de observar que habiendo las Corte» puesto térmmo El Sr. Infante convino con la variación propuesta p- r el Sr. Ro al juxio de este interesado coa arreglo á lo» decretos vigentes de la» mero; pero en cuanto i la observación del Sr. Gr uño H jo ser cierto misma», reconocidos sus distinguidos servicios y rehabilitado sus ante que sobraba una de las clases de mariscal de cam…</t>
  </si>
  <si>
    <t>…Cortes pueden aprobar las 7a cuentas referid», se bado. gún propone la comisión de las Cortes anteriores, devolviéndolas é la Se pasaron á la comisión de Guerra una prdpmiciM del Sr. Ro contaduría mayor para los fines convenientes. mero 7 otra del ti. Gómez B-cerra para que tomándose en cMMsderu- a.* n Que las Cortes tomen en consideración la parte respectiva fi cion la ordenanza del egerciio dtl afio aSoo y la instrucción adi la organizació…</t>
  </si>
  <si>
    <t>…o sus deberes con respecto á ia opeiacion de. rcreligiosos secularizados en servicio de parroquias, sacrist as rice. pait.miento de "los terrenos de propios y baldíos; pero que el Sr. Ro . - &gt;tta de la misma sobre la solicitud de Doña Tomasa Aguirre , re* mero podía baéer cuantas proposiciones quisiese sobre este obj 10 , lat ligios» bcinarria del monasterio de Tamarite en Aragón, pidiendo que que podría cum car otra comisión. en atención i h…</t>
  </si>
  <si>
    <t>…También se aprobó otro dictam-n de las nvsmas comisiones, en el manifestando en primer lugar quj adm t r a u-t v» la . Suc--&gt;n que opinaban que no debía aprobar»,' una adición de! Sr. Ro p para que territor al como un ensavo, y en una m ■ t-r»d» -i?t dad; r&gt;*r.- ~. . - » sr conced L-v.* qu; hubiese depos-to. d trigo -1, \l |i,m. Aprobado. sumad; 1 50 millones, cu 1; arv-.a x&lt; r1- to-.ie en c: a.’ual El -r. Ganano presento una -apon 011 de vir…</t>
  </si>
  <si>
    <t>…idcntc fue elegido el Sr. Domenech por 63 votos de — La dipnradon provincial de Barcelona intenta formar un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Tesorería general dt ¡a Nación. Al…</t>
  </si>
  <si>
    <t>…der trasladar de un punto á otro á los empleados que Arias, Benito, Casas, Martí, B.-lda, Cortés , Sarabia , Viilaboa, Pe— t^nga por conveníante. A mi modo de ver el argumento del Sr. Ro dralvez , Ruiz del Rio, González, Lodares, Manso, Sotos, Pater mero no se ha satisfacbo, ni creo que puede satisfacerse. El empleado na , Tomas, Cuevas , Cano, Prado , Escudero , Eulate, Vega , Jener, que quiera quedar en la clase de ciudadano particular tien…</t>
  </si>
  <si>
    <t>…cille el bien de lo* decreto orgínico del egército. militares con el servicio que están obligados á hacer; de lo contrario Asimismo se mandó pasar á dicha comisión una adición del Sr. Ro dentro de poco tiempo generalmente serán catados los mil.taret, lo que, mero, y otra del Sr. Prado á ios artículos aprobados de la ordenanza como he dicho, ocasionará mil inconvenientes; y á petar de que el se militar ; y i la especial encargada del examen de…</t>
  </si>
  <si>
    <t>Ro, Antonio</t>
  </si>
  <si>
    <t>Antonio Ro</t>
  </si>
  <si>
    <t>…e se debe mandar al gefe político lleve á efecto, bajo su responsabilidad, la Real orden a que se previno que el R. obispo re hftiAo*La misos* comisión, en vira de le solicitad de D. Antonio Ro gresase á Cents ; y en cusa» ai tercero croe que será muy dificii avenir drigues, tcaiente retundo , opinaba que dtbia recomendársela si Go al jefe política y al obispo , mayormente residiendo a Ctu» a culi-</t>
  </si>
  <si>
    <t>…olo le había quedado en 3 del corriente una tercera parre * que «e encaminaba h-cía Lanz, para donde había mandado el Sr. López de Baños que se dirigiese desde Eauí la columna del comandante D. Antonio Ro mero de Leis, habiendo dispuesto tomar por sí la izquierda el re ferido general para salirles al encuentro en caso de que trataren de reunirse, como parecía probable, con los 200 y tantos hombres que manda Juanito; los que, según noticias, habían pasado del R…</t>
  </si>
  <si>
    <t>Ro, Benito Ortega</t>
  </si>
  <si>
    <t>Benito Ortega Ro</t>
  </si>
  <si>
    <t>…, resultó haber lugar á b bnMdta da cama me lm ocho votos nadores y demás autoridades, asi civiles, como militare» y eclesiásticas, siguientes.- D. Francisco López ds Obrera irte, D. Benito Ortega Ro de cualquiera clase y dignidad, que guarden y lúa guardar, cumplir manillo», D. Juan Fernandez Casariego, D. Andrea Ateos, D-Martin y ejecutar*! presente decreto en todas sus partes. Tendíeislo entendido Miguel de Goicmcbm, D. Josef Amonio Fonam, D. Antonio R…</t>
  </si>
  <si>
    <t>Ro-, Jacinto</t>
  </si>
  <si>
    <t>Jacinto Ro-</t>
  </si>
  <si>
    <t>…limaban el voto particular, la nueva exposición del ción de causa ; lo cual no exote respecto del presente caso. Digo que ¡sr. J. ur.-cui ri tod.l corriente al entregar el mando á D. Jacinto Ro- no existe , porque aunque se hubiese querido dar esta importancia á la m r*ie , y no habían encontrado mérito su.'ci.nte para variar sus pri proposición del S&gt;r. Sancho, á mi me par-ce que no la tiene , porque s. s., meros d c .11 I) s, tanto ios eres, de la…</t>
  </si>
  <si>
    <t>Roales, Joaquín</t>
  </si>
  <si>
    <t>Joaquín Roales</t>
  </si>
  <si>
    <t>…ebia tomarse la provincia de Astúrias á los letrados siguientes: á D. Cas-miro Beesta medida inornen canoa, porque parecía que podían resultar males in nayas, para el de Oviedo; á D. Joaquín Roales , para ei de G ion : á calculables de desatender estas reclamaciones. Asi que, repito , que res D. Josef Antonio Zaldua, para e! de Avilé»; i D. C-uimíro Hernán pecto det Crédito público no hizo mas que acceder al voto de la comi dez , para el de Villaviciosa…</t>
  </si>
  <si>
    <t>Roberto</t>
  </si>
  <si>
    <t>…u dotación 1Ó30 rs. vecina de Valencia, a quien se suplica que por sí ó por tu apoderado id.—Casas de Beés: ja a vecinos , una escuela , su dotación 3300 rs. id. acuda á los Sres. D. Roberto \Vhiti, hijos, del comercio de Cádiz, Partido de Jvtqucra quienes tienen negocios de inter-s que comun:carle. Se presume que Navas: 111 vecinos, una etcueia, bu dotación 29 rt. anuales—Ma- esta señora , pariente del general Cuesta, haya fallecido; pero es pre…</t>
  </si>
  <si>
    <t>Robinton</t>
  </si>
  <si>
    <t>…respecto al atuso de pa queda en Santiponce bajo la vigilancia de un gefe millar de con los expedientes de subasta podr.n V V. SS. formar ju cío de cu&gt;! sea, fianza , el teniente coronel Robinton, gefe del estado mayor de la co teniendo en consideración que al encargarme de esta comisión ex st an lumna que venció ¿ estos rebeldes , el cual podemos asegurar qu- lia mas de fincas prontas para anunciarse en los boletines d anos, y dado orden á sus soldad…</t>
  </si>
  <si>
    <t>Roble, Francisco</t>
  </si>
  <si>
    <t>Francisco Roble</t>
  </si>
  <si>
    <t>…á D. Bartolomé Martínez para ias de Cana En la misma ciudad de Cádiz, reunidos en jurado de acusación loerias , y para las de Mallorca i D. Leandro Rubín de Ceb»; asign.it- Sres. D. Francisco Roble» y Benitez, D. Bernardo de la Pefia Diaz,dotes á cada uno de los expresados visitadores por gratificación 8o rs. diarios, que empezarán á gozir desde el día en que emprendan su D. Joaquin de Tru.ba, D. Miguel García Ortiz , D. Juan Bautista Beamurguia, D. Dom…</t>
  </si>
  <si>
    <t>Robledo, Josef</t>
  </si>
  <si>
    <t>Josef Robledo</t>
  </si>
  <si>
    <t>…tria sus intereses y sus vidast Sí, hi que por lo que resulta de la misma, debo d» declarar y declaro i di jos del inmortal Padilla, acabaia de dar un egemplo al mundo de vues cho capitán D. Josef Robledo, comprendido en el art. 8.° de la ley tra heroicidad; habéis hecho conocer que aun en España, en esta Na penal contra conspiradores ó infractores de la Constitución, y por con ción líbre, hay quien renueve los hechos de Numsncia: habeisconfundido al déspota s…</t>
  </si>
  <si>
    <t>Roca, Juan Bautista</t>
  </si>
  <si>
    <t>Juan Bautista Roca</t>
  </si>
  <si>
    <t>…luntaros d.l p u ' D. Julián Rubio , de la primera compañía de vo úntanos del part.do D. Juan Catrera», y el coronel Macrath con una eompa-í» ríe -u con 40 plazas , mandada por su capitán D. Juan Bautista Roca, de la cuerpo , la p.eza de art Fur a y el rtsto de la caballería , quedo en .1 milicia voiuntana de S. Pedor con 45 hoonbr.s, á las ordene* de su po»c.on lla nada del Puntarró. t-niente D. Agustín Masant, de cuatro individuos de la ronda , al ■■ Ei r sullado…</t>
  </si>
  <si>
    <t>Roca, Juan B’utfsta</t>
  </si>
  <si>
    <t>Juan B’utfsta Roca</t>
  </si>
  <si>
    <t>…a, como lo verifiqué al medio día de ayer con mi estado mayor, de Geni» , franciscanos. jando cubierto este punto con tres compañías de Canarias y la milicia „ El denodado espitan D. Juan B’utfsta Roca con nrs 43 vo’-.mnacional. Lar» levantar ei s&gt;t’o de la relerida villa de Sellent formé una tarios del partido la deó el bo que de Mus Sol de V..i , v br: ■ , columna,compuesta de 1 50 hombres del reg.nn.nio de Murcia , al man acompdfiido de parte de ta cabal…</t>
  </si>
  <si>
    <t>Roce</t>
  </si>
  <si>
    <t>…* i pero lo* que ma* particularmente M dittinguieron ea mendigos, fingiendo estar apestad*», pedían desda lejos la bolsa á loa5 Miiello* día* de amargura y de detolacion fueron el caballero Roce y viajantes, y esto* tenían i mucha dicha librarse por este atedio de un M gran Betaiince. La Proridencia que parecía haber abandonado aquella contacto mortal..... mísera ciudad, lutcitó uto* cuatro insigne» varón** pan preservarla da Maisella y su territorio…</t>
  </si>
  <si>
    <t>Rocha, Jomí Lmi de</t>
  </si>
  <si>
    <t>Jomí Lmi de Rocha</t>
  </si>
  <si>
    <t>…de infantería y del ría de Galicia , con 570 rs. batallón milicia active de Betanzoa, con 450 n. el mee. Zaragoza al capitán graduado D. Juan del Pi'al de la Vega, tan-en Lorca i D. Jomí Lmi de Rocha, teniente supernumerario del re te del regimiento infantería de Cantabria , con (70 ra. SUPLEMENTO</t>
  </si>
  <si>
    <t>Rock</t>
  </si>
  <si>
    <t>…s tí ng , Ricardo Síc. últimos sacrificios. —Se ha hallado el siguiente cartel en la puerta de la capilla de Adere: Respondiendo á lo que V. me insirúa en el final de su oño:o ” H general Rock, comandante en gefe del egército de Irlanda, misivo , debo manifestarle por mi y en nombre de las momas com deseando organizar á la mayor brevedad posible un sistema adminis pañías , que cualquiera que sea el aprecio con que siempre recibí.a trativo para la p…</t>
  </si>
  <si>
    <t>…us nando sus casas, obligados á ello, según dicen, por las órdenes peren hijos, no seria capaz de separarse de ellos.» Sí: soy americano (exclama); torias del invisible y terrible capitán Rock. pero americano que aína á su país , que lo adora, que quiere verlo le » Continúa la misma incettidumbre misteriosa acerca de iá empresa los de las desgracias que lo aflijen; que conoce los lazos que lo unen del general Berton. El diario de fiantes dice que n…</t>
  </si>
  <si>
    <t>Rodas, Manuel de Roda y</t>
  </si>
  <si>
    <t>Manuel de Roda y Rodas</t>
  </si>
  <si>
    <t>…de Ultramar. esta gracia al Marques de Su. Cruz, aicalde constitucional en la época Continuó la discusión sobre el proyecto de instrucción para el go del memorable 7 de Jubo , y á D. Manuel de Roda y Rodas, y Don bierno económico político de las provincias. Gabriel Jasef Gar.ía , síndicos procuradores en la misma época; asi co Art. *37. » Como presidente de la diputación provincial cuidará el mo también á los individuos de la diputación provincial que se halla…</t>
  </si>
  <si>
    <t>Rodr, Josef Demetrio</t>
  </si>
  <si>
    <t>Josef Demetrio Rodr</t>
  </si>
  <si>
    <t>…pero quien tes: D. Josef de Vega y Quintana, D. Josef Castel, D. Matías Case conozca la marcha del Gobierno ingles debe estar convencido de que ro , L). Francisco Marí n:z Marina, D. Josef Demetrio Rodr g i-z, el noble lord no traerá poderes tan amplios como lo eran los que solía D. Junan d- Fuentes, D. Joaquín Huerta Ccvailos , D. Domingo Yidar el marques de Londonderri. Este m.nutro obraba bajo su responsa liamil y D. Valentín Ort.gosa. bilidad personal, y…</t>
  </si>
  <si>
    <t>Rodrí</t>
  </si>
  <si>
    <t>…len establecidos, para cubrir el cupo deb quedó aprobada. contribución directa. Lo que comunicamos á V. E. de orden de Jai L ida que fue la segunda preposición, se opuso á ella el Sr. Rodrí mismas Cortes, para que sirviéndose dar cuenta á S. M., tenga á búa guez Paterna , manifestando que los retiros que se habían dado había disponer su cumplimiento.” snio con arreglo á lo que se previene en la ley orgánica del egército, y Y habiéndolo hecho asi…</t>
  </si>
  <si>
    <t>Rodri</t>
  </si>
  <si>
    <t>…de 154,043 mrs., fecha 26 de Agosto de 1648: otro se do el Tintorero, dirigiéndose inmediatamente alié , cayó en sus manos, gundo 1 por 100 de la dicha ciudad, en cabza del propio D. Rodri el que queda asegurado , formándosele las correspondientes diligencias go Sarmiento y Silva , de 494,528 mrs., fecha 7 de Febrero de 1654. para que sufra el condigno castigo; por cuya razón queda deshacha to Quien supiese de tu paradero se servirá avisarlo en…</t>
  </si>
  <si>
    <t>Rodrí, Francisco</t>
  </si>
  <si>
    <t>Francisco Rodrí</t>
  </si>
  <si>
    <t>…En la ciudad de Tarragona, reunidos en jurado de acusación loa dando yo en este con las dos restantes, ocupándome en las disposicio señores jueces de hecho D. Nicolás Villacampa, D. Francisco Rodrí nes y medidas que las felices circunstancias dictan, y de suyo exige el guez de la Vega, D. Vicente Tejeiro, D Josef de Torres , D. Al estado en que he encontrado este pais.=EI tiempo es frió; pero despe berto Arnet, D. Antonio de Marti, D. Ramón Feliu , D. F…</t>
  </si>
  <si>
    <t>Rodrí, Josef Demetrio</t>
  </si>
  <si>
    <t>Josef Demetrio Rodrí</t>
  </si>
  <si>
    <t>…ma i sus* Merino, D. Amonio Díaz del Moral, D. Josef Kives Queraltó, Don hogares: os hize en mi último anuncio del 1 una promesa, y voy á Juan Luque , D. liarlos González Llanos y D. Josef Demetrio Rodrí cumplirla. Para haceros partícipes del término final del cabecilla Mo guez; y rn s gundo por los Sres. D. Celestino Oiozaga y D. Joaquín sen Antón y su cuadrilla creo que el medio ma propio es copiaros Ccvallo*. Tamb en se declaró por sedicioso por los 'sres.…</t>
  </si>
  <si>
    <t>Rodri, Joseí</t>
  </si>
  <si>
    <t>Joseí Rodri</t>
  </si>
  <si>
    <t>…&amp;c. kan sabido ya parte de los sucesos de l.s n a. i lraiu-as, y ú D. Juan N primic-no Fcrnand.z S- Aligue! y la capí»'; pero hasta el momento en que esto escrib mas igni ramos é D. Joseí Rodri, u z Busto pira las fiscal?»». que a guna de ellas se halle cnt rada del ma r .u iado de esta lamo be pr.v.ti.c que le s agia.i-.iios ó sus representantes dcberln acudía sa conspiración contra sus autores: sin embargo ya d be haber es lie— á la secretaría dei…</t>
  </si>
  <si>
    <t>Rodri, Pedro Marcos</t>
  </si>
  <si>
    <t>Pedro Marcos Rodri</t>
  </si>
  <si>
    <t>…ada rebaja, braron para individuos de la junta que previene el art. 1del decreto gu.rd- justa proporción con los que. le tuvieren menor. de las Cortes de 19 de Enero último al Dr. D. Pedro Marcos Rodri g.J ti líquido que quedare, hecha la insinuada rebaja, se satisfará go , del gremio y claustro de aquella universidad, su catedrático de íntegramente á los interesados sin mas descuento, quedando derogados instituciones canónicas, y apoderado de la misma ¡ al…</t>
  </si>
  <si>
    <t>Rodrí, Santiago</t>
  </si>
  <si>
    <t>Santiago Rodrí</t>
  </si>
  <si>
    <t>…En 29 de Enero próximo pasado fueron sorprendido* entre los pues anuncio, comparezcan en la misma por la escribanía de cámara del. blos del Burgo y Reliegos D Josef Portocarreto y D. Santiago Rodrí cargo de D. Feliciano Gaicía Sancha, á fin de hacerles saber el trasla guez , que caminaban desde la villa de Sahagun i la ciudadde León, y en do conferido de la mejora de apelación por parte de Juan Antonio tre varias cantidades y ciéditos que les robaron lo…</t>
  </si>
  <si>
    <t>Rodrigo</t>
  </si>
  <si>
    <t>…s , tenien bien puesto. do 7 el Sr. Villaboa, 4 el Sr. Manso , 1 cada uno de los Sres. Blake El sr. Alix : El dictamen de la comisión contiene des partes: en la )’ Taboada, uno el Sr. Rodrigo y otro el Sr. Marchámalo. Tota! 85. primera dice que los poderes del Sr. Fscoredo están arreciados á .a t.or.sEn la décima fue elegido el Sr. Pumarcjn por 68 vote» de 8* , re lifuc on , v p -r I 1 m smo deben aprobarse: y en la secunda min fie.!* partiéndose…</t>
  </si>
  <si>
    <t>…o Calama. aojmo—.» 4000......................... En Bilbao- Juicio de Jurador. 11499..... 1000................... .. En Madrid. Habiéndose denunciado ti Sr. alcalde constitucional D. Rodrigo 8898..... 1000.......................... En Madrid. Aranda por D. Nicolás Cano de Luque, i nombre p con poder de va pi8i.... 1000.......................... En Rein. rios ciudadanos, un articulo inserto en el Imparcial, núm. 115, que *653-... 1000.............…</t>
  </si>
  <si>
    <t>…nadas en esta provincia á la persecución de face.osos, con fecha de Juicio de jurados. ayer desde Be.aiú me dice lo que copio. Habiéndose denunciado al Sr. alcalde constitucional D. Rodrigo ” Sol c oso de que la nunurosa gavilla del rebelde Misas había Aran.Ja por el Sr. fiscal de imprenta el núm. 45 del Zurriago como be, h :■ mnv.miento hiela Ludo, dispuse practicar un reconocimiento subversivo y s-rlicioso, se reunió» el jurado , compuesto de…</t>
  </si>
  <si>
    <t>Rodrigo, Andrés</t>
  </si>
  <si>
    <t>Andrés Rodrigo</t>
  </si>
  <si>
    <t>…ente del regimiento infantería de Kcíj 1 á D. Eleuterío Rodríguez Izquierdo, teniente del regimiento Guadalajara , con 570 rs. infantería nmemor al del Rey, con 570 rs. Segorve al capitán D. Andrés Rodrigo, teniente del regimiento in Feiro' al espitan D. Fermín Roldan, teniente del regimiento in- fantería de la Reina , con 570 rs. hnt-ría de Zamora , con 570 rs. Trujilloá D. Gabriel González Llanos, teniente ds infantería y Fifueus a 1). Pedro Tn-scrra, tenient…</t>
  </si>
  <si>
    <t>Rodrigu-z, BrrnarJino</t>
  </si>
  <si>
    <t>BrrnarJino Rodrigu-z</t>
  </si>
  <si>
    <t>…ilo y de la milicia nacional activa. Se leyó y aprobó el acta de la anterior. Ait. a.“ » A ios 1} años d: servicio gozar! e! oficial que ae reti be dió cuenta de una exposición de D. BrrnarJino Rodrigu-z, re ad egercito el tercio del suelda corre, pao diente * su empleo ó «I oficial agregado al estado mayor de Ciudad-Rodrigo, cn la qu. des inmtd au inferior en infantería: é los ao años un* mitad, á los pués de manifestar que se haba en ia edad de 76 años, de…</t>
  </si>
  <si>
    <t>Rodrigue, Francisco</t>
  </si>
  <si>
    <t>Francisco Rodrigue</t>
  </si>
  <si>
    <t>…uipúzcoa; !a corporación ó persona que los tenga en su poder ó noticia de su paradero se serPor disposición del Sr. director general de correos se hace saber al vira entregarlos i D. Francisco Rodrigue*, que v.ve en la casa tienda píbi'co para su noticia que toda la correspondencia que se reúna en núm. 8, sita en los portales de Sts. Cruz , inmediato i la plaza de la el oficio del correo general de esta corle para Teruel y su provincia se Constitución , ó d…</t>
  </si>
  <si>
    <t>Rodriguen, Agustín</t>
  </si>
  <si>
    <t>Agustín Rodriguen</t>
  </si>
  <si>
    <t>…e ha servido nombrar mag’str do, de la audiencia t rntorial cual pr-.c. ile una advertencia , en que se indican las razones que ha teñi d- Castilla la Vieja á D. Josef Mana Jaima, D. Agustín Rodriguen rlo para reducirle al expresado principio, be hallará en las librerías de Buhamonde y D. Josef Vecino. Q.ii.ós, en ia de banz, en la de kanz y en la de B«un. frota. En el anuncio de ayer titulado JnveitigaríoHej analíticas é-c. El Rey, i propuesta del consejo…</t>
  </si>
  <si>
    <t>Rodrigues, Josef Demetrio</t>
  </si>
  <si>
    <t>Josef Demetrio Rodrigues</t>
  </si>
  <si>
    <t>…eta del Jl.j rente , D. Francisco Martínez Marina y D. Francisco Javier Barra. Circular de la dirección de contribuciones directas, comprensiva de Sres. qua lo creyeron sed cioso: D. Josef Demetrio Rodrigues, una Real orden sobre pagos As medias anatas. ( Gaceta del xa. ) D. Bernardo Asen jo, D. Jotef María Pucnt* y D. Josef Larrc.legui* EN LA IMPRENTA NACIONAL.</t>
  </si>
  <si>
    <t>Rodriguevetran, Santiago García y IX Femando</t>
  </si>
  <si>
    <t>Santiago García y IX Femando Rodriguevetran</t>
  </si>
  <si>
    <t>…s da Hacienda- pública en Ca alumnos de este establecimiento D. Francisco de Iribarreo , D. F.usa taluña le eeiseu cuando por beber refiado las circiusátaneiat deba cesar bio Rey, D. Santiago García y IX Femando Rodriguevetran &lt;j-«nos esta permiso. Palacio ad de Novitmbrs de ifii^sMalnao Egea.m deque la sociedad tes premíate con una medalla de plata ,'f una certiSr. director general de aduanas y recuerdos. fcacioa honorífica con que pudiesen acreditar tu aplicación y adr’aalamiento…</t>
  </si>
  <si>
    <t>Rodríguez, Antonio Josef</t>
  </si>
  <si>
    <t>Antonio Josef Rodríguez</t>
  </si>
  <si>
    <t>…berse prohibido U entrada del unto extrangemerario del batallón ligero de Tarragona, con doo rs. al mes. ro para botas y zapatos de que hasta el presente se ha hecho gran Bilbao á D. Antonio Josef Rodríguez, segundo ayudante del re consumo, pone el farmacéutico en esta corte D. Manuel del Castillo gimiento infantería de Extremadura, con 620 rs. al mes. en noticia del comercio nacional que se ha'.la con un gran surtido Búrgos al capitán D. Jorge Vatderríbano, ayu…</t>
  </si>
  <si>
    <t>Rodríguez, Félix</t>
  </si>
  <si>
    <t>Félix Rodríguez</t>
  </si>
  <si>
    <t>…evara, teniente S. Clemente á D. Isidro López Denia, teniente del batal'on ligero del regimiento infantería de \frics, con ¡70 ra. voluntarios de Tarragona , con 570 rs. Córdoba á D. Félix Rodríguez, teniente del regimiento infantería Sigüenza á D- Manuel Peña Espiga , teniente de infantería y del de Galicia, con 570 rs. batallón milicia activa de líúrpos, con 450 rs. al mes. Cuenca i T&gt; Julián Pascual de Moya, teniente supernumerario del Salamanca al ca…</t>
  </si>
  <si>
    <t>Rodríguez, Francisco</t>
  </si>
  <si>
    <t>Francisco Rodríguez</t>
  </si>
  <si>
    <t>…Las Noches romanas en el sepulcro de los Escipíones, traducida, propiedades. Parece que hoy el Vesuvio esté sosegado; aunque la grande del idioma italiano al espafiol por el l ie. D. Francisco Rodríguez de claridad del sol nos impide ver lo que pasa en la cima (1). Ledesma, ex-diputado de las anteriores Cortes ordinarias Esta obra, que consta de seis tomos «n 11/’, se halla de venta en la librería de la __El terremoto que en Febrero se sintió en varios punto…</t>
  </si>
  <si>
    <t>…discusión hasta mañana. tro la suma de 6o9 rs., y han sido negociadas sin poder especial del Las Cortes oyeron con satisfacción un oficio del Sr. secretario de dueño por el agente D. Francisco Rodríguez , se sirva avisarlo i dicha Ultramar, en que participaba que SS. MM y A A. continuaban sin no Jiraldes, ó á su apoderado en esta corte, que vive calle de S. Gregorio, vedad en su importante salud. parrnqu a de San Josef, casa núm. 7, cuarto principal. El Sr.…</t>
  </si>
  <si>
    <t>…............. ............................ *6,S93-*4 privilegios, ó supiese su pandero, se servirá entregarlos ó dar razón 4 3.a Instrucción pública.................... 118,457-&gt;S D. Francisco Rodríguez , dueño ds la tienda sita en los portales de 4.a Fomento de agricultura , artes Sta. Cruz , núm. 8, inmediato á la plaza Mayor. y comercio................................................. 33,046-11 En la balija que salió para Galicia el 5 del corriente, y fue…</t>
  </si>
  <si>
    <t>Rodríguez, Gabriel</t>
  </si>
  <si>
    <t>Gabriel Rodríguez</t>
  </si>
  <si>
    <t>…o de 9 de Mayo de 1811 , en consideración á 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Francisco de c.bal.eria del Sur en la Hivana; y en at-ncion al donativo de ico® Ardila , D. Vi…</t>
  </si>
  <si>
    <t>Rodríguez, Joaef María</t>
  </si>
  <si>
    <t>Joaef María Rodríguez</t>
  </si>
  <si>
    <t>…stía. Las en su consecuencia, opinaba que se les debían restituir según el estado Cortes lo oyeron con agrado. en que se hallaban ea el día de la publicación de la ley de 16 de Se D. Joaef María Rodríguez, teniente coronel y segundo comandan tiembre de 18 r o. Aprobado. te de infantería, preso en la Carraca por ios indicados sucesos, al paso La comisión de Hacienda de la anterior legislatura, en vista del que alababa la filantropía del Sr. diputado que había h…</t>
  </si>
  <si>
    <t>Rodríguez, Jos.f</t>
  </si>
  <si>
    <t>Jos.f Rodríguez</t>
  </si>
  <si>
    <t>…ión , que sentían á par d: muerte. Mvnge 160. D. E. E. 160. D. T. P. río. D. I. Y iííj. D. Paulino No se puede atribuir el modo injurioso con que nos trata sino i un Mart n z 100. D. Jos.f Rodríguez 100. D. Manuel K.os fio. Don enconado resentimi. r.to, á no ser que cuando escribió esta apología se J'ran.- seo M.rtin-z fio. D. Vanuel Gunzaúz 80 D. Vicente de Vera acordase de ia América, y de las mvect vas que habría leído en algu 80. D. Juan Pcdto Morale…</t>
  </si>
  <si>
    <t>Rodríguez, Josef</t>
  </si>
  <si>
    <t>Josef Rodríguez</t>
  </si>
  <si>
    <t>…dos , propuestos por tu maestro como los mas sobresalientes, que fue planisferio estaba comprendido entre dos anchas fajas de líneas á la gre ron D. Lorenzo Pombo , D. Juan López, D. Josef Rodríguez y Don ca, emblema muy común en los monumentos egipcios. (Jz oju.'-uu.o j.) Félix Martin, i quienes se las adjudicó el premio da 110 rs. vn. VARIEDADES. ANUNCIOS. " Fn el Memorial Unhertal, periódico de París, y su número corres En 23 de Junio de 1839 entregó D. Ped…</t>
  </si>
  <si>
    <t>…onocí y no tuve atrevimiento á pretender una hospitalidad pública, é individuo de la comisión de presupuestos. judicatura, tampoco lo tendrán ellos. Sin embargo de esto hay muchos Sr. D. Josef Rodríguez, capellán mayor por S. M. de las Descaí individuos que siguen la carreta militar, la cual adoptaron después ais Reales, secretario de la junta, é individuo de ia comisión de es de haber concluido, ó al tiempo mismo de finalizar sus estudios: estos tadística.…</t>
  </si>
  <si>
    <t>…a; pero jamas deberán las Cortes au la Historia; á D. Juan Alvares Guerra, individuo de la de S. Fer torizarla para que se informen de los diputados, pues que seria el mo nando; á D. Josef Rodríguez, director del observatorio astronómico do mejor de comprometerlos, no digo con la Nación, sino con sus de Madrid, y ¿ D. Simón de Rojas Clemente; y para la clase de lite respectivas provincias. Asi que, reservándome hablar en la disensión ratura y anea á D. A…</t>
  </si>
  <si>
    <t>…aquel mes ante* que ae rompan de oficio las nal de Guerra y Marina debía admitirle un recurso de cuiidad en la negociacionet de Constantmopla. causa que en el mismo seguía contra D. Josef Rodríguez, ccp-tin del Es muy digna de notarse I, noticia que hoy se ha dado como positi bergantín español S. Felipe, y pasarla luego al tribunal supremo de va , esto es, que en la Besarabia se organizan militarmente todos Justicia. La comisión opinaba que el interesad…</t>
  </si>
  <si>
    <t>…montaña, ¿en y ü. Antonio Ru z de Guzman, al teniente D. Domingo Angulo tonces reforzó el general á Gurrea con bigiienza, previniendo á su co con la primera compañía, al teniente coronel D. Josef Rodríguez, mandante Bacigaiupi conservase la comunicación de aquel gefe con quien ba manifestado haberse distinguido en particular lot sargentos S. E., y se emprendió un ataque general casi simultáneo. Agustín Muñiz, herido, y Guillermo Cobreros, y el soldado Lorenzo E…</t>
  </si>
  <si>
    <t>Rodríguez, Josef Demetrio</t>
  </si>
  <si>
    <t>Josef Demetrio Rodríguez</t>
  </si>
  <si>
    <t>…este importante servicio.** clarar si habia ó no lugar á la íu.macón de causa, y saíieion los señora siguientes: Por carta del mismo general Latorre, escrita en. Coro en 14 de Ene D. Josef Demetrio Rodríguez, D. Josef K.iitr, D. Antonio Dias ro último, se sabe que dicho general, después de haber mandado salir del Moral, D.Carlos Romeral, D. Mamerto Landaburu , D. Francisco de Puerto Cabello varias expediciones contra loa disidentes de Coste- Martínez Marina, D. S…</t>
  </si>
  <si>
    <t>…ción del mundo te arrogue el detecho de D. Antonio Puigblanch, D. Cayetano Romero, D. Juan Pablo Pas intervenir en tus negocios interiores; lo primero porque no es justo, y cual , D. Josef Demetrio Rodríguez, D. Santiago Delgado, D. Fran lo segundo porque consideran cita máxima perjudicial de la interven' cisco Martínez Marina, D. Andrés Navarro , D. Domingo Fernan cion como un principio contrario á la paz de las ilaciones. dez Angulo y D. Francisco Colombo. Habi…</t>
  </si>
  <si>
    <t>…o subversivo y excitador á la desobediencia- Reunido el jurado, compues cios interiores de la Península, á no ser en caso de una io:vilab-e ne to de los brea. D. Francisco Barra , D. Josef Demetrio Rodríguez, cesidad ; y que por el contrario deben hacer lo posible por abstenerse D. Matías Casero, D. Joaquín Huerta Ccvallo», D. Julián de Fuen de elle. Ñu sno Gabinete ha seguido este cuerdo parecer, peto cierta tes, D. Bernardo Asenjo, marques de Torrenueva, D. Ang…</t>
  </si>
  <si>
    <t>Rodríguez, Josef Dmetrío</t>
  </si>
  <si>
    <t>Josef Dmetrío Rodríguez</t>
  </si>
  <si>
    <t>…miento subversivo y s-rlicioso, se reunió» el jurado , compuesto de los señores »&lt;&gt;;: e. mis.no punto con ia poca fu.rza que tengo á mis órdenes , y siguientrs: D. Ts'dro Merino , D. Josef Dmetrío Rodríguez , D. Do sai de a.ju con este objeto c. ino á as once de la mañana. í-i coman mingo Fernandez \ngu!o, D. Pedro Matute, D. Jos f Antonio Pondante D. Manuel Arengo, qu; iba á la vanguardia con 24 soldados del zoa , D. Josef María Puente, D. Marcos Antonio Menczo…</t>
  </si>
  <si>
    <t>Rodríguez, Josef Manso</t>
  </si>
  <si>
    <t>Josef Manso Rodríguez</t>
  </si>
  <si>
    <t>…los partes de 7 y 8 del actual que me han dirigido los coman-lant s de zaga , beoane, Kivci, Queraltó, Cerallos, Menrso, Luque, Llanos y la tropa en su persecución ios beneméritos brigadier D. Josef Manso Rodríguez; absolviéndolo en este punto los Sres. Torrefresno, Merino y y comandante D. Manuel Arango, que son del tenor siguiente: D az d.l Moral. En tu consecuencia se declaró sedicioso en tercer gra * En este momento, que son las cinco de la tarde, acaban de rendir d…</t>
  </si>
  <si>
    <t>Rodríguez, Josef Toribio</t>
  </si>
  <si>
    <t>Josef Toribio Rodríguez</t>
  </si>
  <si>
    <t>…subalternas. Estas denominaciones suponen Cerezo, D. Bernardo de Soto, D. Bernardino López, D. Vicente Cha partidos que r.alm-nte no existen, pues todos vamos á un mismo fin, los, D. Josef Toribio Rodríguez y D. Josef Pereira. En comosgrafia los que es ia libertad de la patria, y la consolidación del sistema consti dichos Vázquez, Soto,Chalus, D. Francisco Santos, D.Manuel Díaz, tucional. D. Francisco González Calderón r D. Manuel Rodríguez Almeí^a. Conseguida esta intima unioo en…</t>
  </si>
  <si>
    <t>Rodríguez, Juan</t>
  </si>
  <si>
    <t>Juan Rodríguez</t>
  </si>
  <si>
    <t>…. Art. 5." ll.,brá un Juicio de juradot. solo capellán mayor párroco castrense en cada uno de los hospitales militares, el cual percibirá 500 rs. de sueldo al mes, y h.ibra ademas D. Juan Rodríguez , ayudante de alcaide de la adm'nistracíon in los que fueren necesarios temporalmente en la clase de auxiliares, se terior de derecho» municipales de esta villa, denunció al Sr. alcalde gún la a ta ó baja de los enfermos, percibiendo i razón de 200 rs. al con…</t>
  </si>
  <si>
    <t>Rodríguez, Juan Antonio</t>
  </si>
  <si>
    <t>Juan Antonio Rodríguez</t>
  </si>
  <si>
    <t>…pertenecían á ¡a c ase de laicales, opi las exposiciones de 1). Carlos de Miguel, D. Antonio María del Va naba no haber habido razón alguna para que los perceptores legos d« lle y D. Juan Antonio Rodríguez de la Torre, manifestando sus sen du zrr.os y primicias que hasta ahora se hubiesen hallado sujetos a la timientos patrióticos , y pidiendo se les recomendase al Gobierno para contribución del noveno y excu»aJo en las provincias de LAtamña no aer agregados en…</t>
  </si>
  <si>
    <t>Rodríguez, Juan López</t>
  </si>
  <si>
    <t>Juan López Rodríguez</t>
  </si>
  <si>
    <t>…del erario. MUtitu pendo la palabra literario después de teatro en vez de público. Aprobado. Se lepó el art. g.*- ( Véate la misma ¿aceta.) La m orna , en vista de la solicitud ds D. Juan López Rodríguez, El Sr. Trujíllo opinó que debía formarse ia escala de que trata este natural de esta corte, pidiendo que en atención á sus servicios se le artículo con presencia de dos circunstancias diferentes muy esenciales, ¿ declare bnemér.ode la patria, y se le conceda…</t>
  </si>
  <si>
    <t>Rodríguez, Manuel</t>
  </si>
  <si>
    <t>Manuel Rodríguez</t>
  </si>
  <si>
    <t>…azadores de ¡os regimientos de D. Manuel Sarratea, D. Pedro Josef Agrelo, D. Manuel V. Pagóla, Jaén , Ord.nes militares, voluntarios de Castilla , la segunda compa D. Josef ¿ares, D. Manuel Rodríguez y D. Juan Balagué. ñía de pontoneros, y los granaderos de Ordenes Militares y Castilla : y Se está imprimiendo el Estatuto provisional constitucional del Entre- para reconocer la sierra, y atacar 4 los facciosos que se aseguraba .tíos, que debe publicarse el 15 enaquei hermoso…</t>
  </si>
  <si>
    <t>Rodríguez, María Antonia</t>
  </si>
  <si>
    <t>María Antonia Rodríguez</t>
  </si>
  <si>
    <t>…es nacionales, de acuerdo con un consultor letrado que i pro La comisión de Premios presentó lo» siguientes dictámenes. puesta suya nombrarán las Cortes." Uno sobre la solictud de Doña María Antonia Rodríguez, viudaEl SE Romero fue de parecer que no habia una necesidad absoluta de D. Juan Pérez de Olmedo, oficial que fue del F.stado mayor de la de nombrar el consultor letrado. plaza de Málaga, para que se le concediese una viudedad en atención í El Sr. Villanueva…</t>
  </si>
  <si>
    <t>Rodríguez, Miguel</t>
  </si>
  <si>
    <t>Miguel Rodríguez</t>
  </si>
  <si>
    <t>…o de Aranju-z lo que sigue: la villa de Mémr.da fundó Doña Ana Tejedor, vacante por fallecí» S^- MM. y AA. siguen sin novedad en su importante salud." mi.nto de su último pos.edor D. Miguel Rodríguez , á fin de que comp rezcan en el término de 30 días, contados desde esta publicación, El R y se ha servirlo conferir el gobierno de la plaza de Barcelona á dedue r el que les asista; con apercibimiento que de no hacerlo les ai rn i- iscal de campo D Josel d-…</t>
  </si>
  <si>
    <t>Rodríguez, Román</t>
  </si>
  <si>
    <t>Román Rodríguez</t>
  </si>
  <si>
    <t>…Es interesante y necesaria á todo empleado de Hacienda, be vende á io para la plaza de juez letrado del partido de Valdeburon, en la provin rs. en la librería de Paz. cia L.on , a D. Román Rodríguez. Exposición al Soberano Congreso nacional en Cortes extraordinarias ■obre el mal estado político d- España y medios s-guros cíe :u pronta El da 18 del corriente fond ó en Barcelona el bergantín de la reforma , por el ciudadono Vicente Andrés y Almarej. he faa…</t>
  </si>
  <si>
    <t>Rofil, Jacinto</t>
  </si>
  <si>
    <t>Jacinto Rofil</t>
  </si>
  <si>
    <t>…a Báibara de Centurión, na , D. Vicente Martínez Baquero, D. Vicente Navas, D. Josef Par hija del marques da Monasterio; y no habiéndote podido saber huta do Diez , D- Pedro Ruíz, D. Jacinto Rofil, D. B rnardo Rodríguez, ahora quiénes ton los poseedores d 1 estos títu'os, sin embargo de las D. Pablo haracibsr, D. Manuel Silva, D. Josef Tutor, D. Manuel muchas diligencias que te han practicado al cf cto, te avisa al público Trtcaño, D. Josef Urreta y D.…</t>
  </si>
  <si>
    <t>Rogniat</t>
  </si>
  <si>
    <t>…a'gunas compifiías de guardias nacionales para que descansasen NOTICIAS DE ESPAÑA. de sus fatigas las tropas de línea. Ademas, que si con efecto ha sido enviado á las fronteras el general Rogniat, no ha tenido otro objeto j4!¿*cirai g Je Entro. esta determinación que el de pasar revista á los puestoa militares esta Escriben de Ceuta lo s .uiente: _ blecidos en ellas. La' unión que existe entre los regimientos de América y Valencia Ct tal, que no s: di…</t>
  </si>
  <si>
    <t>…n ella I No lor de la disputa m dijo al presidente: Vn. no es presidente de la Cá creo pues que una determinación como la que se ha indicado sea irre mara , sino de la mayoría. El general Rogniat llegó á Bayona, y el sn vocable, aunque nuestro diario oficial baya convenido sobre este asunto visitó el cordon sanitario en las orillas del Bidasoa. Segas rumores no een los de Paria.** (Ceurier.) poco fundados, y aun algunos hechos que empiezan á descubrir…</t>
  </si>
  <si>
    <t>…n al orador al bajar de la cola que cada uno posea . y la rectificación sucesiva de los cupos que se tribuna. (Jé cmiinsiarJ-) gún ella hayan de repartirse.” __E) teniente general barón Rogniat, que pasó hace cerca de dos me P* Real orden lo traslado á V. S. para su inteligencia y efecto* ses á los departamentos meridionales en virtud de orden de S. M., y en consiguientes. Madrid 5 de Febrero dé i8»z. clase de inspector general de las tropas del cor…</t>
  </si>
  <si>
    <t>Rogníat</t>
  </si>
  <si>
    <t>…cino na. —Ya se dice que el Congrrso será en Verona para Setiembre , y no ■de Poyales del Floyo , so tero , carpintero, de 17 a-'rs de edad ,re*o pró en Flor-ncia para Agosto___El general Rogníat parece ser el nombrado fugo en la cauta crim nal p.ndi.nte en la misma sala en grado de se decididamente p.ra .nspector general del cordon de los Pirineos. gunda instancia por las heridas dadas á Ambrosio VaMejo, y le man dan que dentro de 9 d as, que por ter…</t>
  </si>
  <si>
    <t>Roig</t>
  </si>
  <si>
    <t>…ra la de Instrucción pública el Sr. Moreno; para la de Libertad de duo suponía también mayor utilidad parala Nación , y de consiguiente imprenta el Sr. Arias; para la de Marina el Sr. Roig; para la de Mi debía calcularse la cuota en razón directa de a'nbis utilidad.s. licias el Sr. Belmont:, y para la de Policía el Sr. Mar.so. El Sr. Sotos contestó que podía haber profesiones que fuesen muy La comisión de Gu;rra , en vista de una consulta d.l S…</t>
  </si>
  <si>
    <t>…e ios dipútanos , se A la m sma, otra exposición dd comandante de ia milicia de Mahon, les arista por sus respectivas provincias con las d: tas qu. les están con presentada por el Sr. Roig, sobre la falta de fondo» para atender á ios signadas , y asi es claro que no puede hacerse dicha indemnización p-.r gasto* mas precisos: ptd-endo que las Cortes se Sirviesen temar ias la lesorrrt* general. Ad mas si se adopta este metió , los señores d pu- p…</t>
  </si>
  <si>
    <t>…retiró Ja proposición. El Sr. Caoga contestó que se entendía desde el afio de 14, y asi Se mandó pasar á ia comisión de Hacienda la siguiente proposi podría expresarse. ción d' l Sr. Roig: » Atendiendo al estado pobre en que se halla Menor El Sr. Zulueu pidió se expresase también que era hasta el afie ca, prinsipi'mcnte desde que se prohibió la introducción de granos ex- de 1819. trangris, y nmbien fi la mala cosecha que habrá este afio en dic…</t>
  </si>
  <si>
    <t>…anterior, se mandó pasar i la comí•ion de Milicias nacionales una adición del Sr. Aillon al art. j.v’ de lasde las tropas nacionales. ordenanzas de la misma Alcaúiz 9 de Junio. El Sr. Roig presentó una exposición del aruntamiento de Mahon, •n la que después de manifestar el estado deplorable de los habitante* Anteayer llegaría á Lérida para reforzar aquella provinc'a el brlpade aquella isla, pedia se le eximiese del pago de la contribución en e…</t>
  </si>
  <si>
    <t>…dispensa de ley para continuar en la tutela tribución ó reparto vecinal ai medio diezmo y primicia. de su hija , sin embargo de haber pasado á segundas nupcias , opinaba Otra del Sr. Roig sobre que se ponga en Mahon un gefe polít'co debía concedérsele lo que solicitaba. Aprobado. subalterno, en atención á las particulares circunstancias de la isla de La comisión i.1 Eclesiástica, en vista de la solicitad de D. Miguel Menorca. Díaz Agudo, vecin…</t>
  </si>
  <si>
    <t>…rto-Rico. profunda. Se leyó igua1 mente por primera vez otra proposición de lo* señorea NOTICIAS DE ESPAÑA. Bauzi y Ferrer (D. Antonio), reducida a que no se resuelva sobre la del Sr. Roig y otros para que se «leclsre puerto franco el de Mahon Cervera del Rio Alhama Cfrevmeia de Logroño) 1.” de Junio, sin haber oído antes á la diputación provincial y al ge fe político de la* Mientras que en Cerrera de Catalufia están dando algunos díscolo* isla…</t>
  </si>
  <si>
    <t>…as para la unión y pacificación de la América.” no había necesidad de esta aclaración , y asi se acordó. Se procedió á discutir en su totalidad el dictamen de la comisión Otra del Sr. Roig y otros para que en tas islas adyacentes se hagan especial encargada de informar sobre la memoria del fir. secretario de las modificaciones que exigen sus particulares circunstancias en la con la Gobernación de Ultramar. tribución de patentes. La comisión inf…</t>
  </si>
  <si>
    <t>…quien Us substituya, La de D petac ones provinciales opinaba que debia pasar al Gobier las siguientes , donde no resida 6 se halle el gefe político. La comisión no la adición d.i Sr. Roig , para que se establezca un gefe político sub opinaba que no podía admitirse por alterar el sentido del artículo, que alterno en Mahon , á nn de que ia informase. Aprobado. fue aprobado, en votación nominal. Aprobado. La primera Eclesiástica, habiendo examina…</t>
  </si>
  <si>
    <t>Roig, Feliciana</t>
  </si>
  <si>
    <t>Feliciana Roig</t>
  </si>
  <si>
    <t>…d , inclusa esta en pequeiio , y pueblo* existente» en la misma zona. nus que el sitio que abraza actualmente el serrallo, pues te extendía lnduetria y artes. Doscientos r*. vn. á Doña Feliciana Roig, vecina por un espacio cuatro veces mas grande. La* murallas sumamente sóli de la ciudad de Gandía, por haber vendido en la próxima pasada cose da* de Constantino y lo* acueducto* de Váleme son la* obras mas be cha de seda mas de ai arroba* de capullo espuma…</t>
  </si>
  <si>
    <t>Roig, Josef Ferrer y</t>
  </si>
  <si>
    <t>Josef Ferrer y Roig</t>
  </si>
  <si>
    <t>…y la perfidia de los que os con con azúcar, añil y 6o9 p.sos fuertes. Fragata española Fama Catala- ducen á vuestra ruina, errantes por los campos vuestras personas y na, cap tan D. Josef Ferrer y Roig , con azúcar , tabaco y 1508 pe familias, abandonadas vuestras cosechas, ocupadas vuestras casas por la sos fu rtes. Fragata española Paoiz y V. larde , capitán D. Martin Re- tropa que ha tenido necesidad de alojarse militarmente en ellas, cami villa, con azú…</t>
  </si>
  <si>
    <t>Roig, Juan</t>
  </si>
  <si>
    <t>Juan Roig</t>
  </si>
  <si>
    <t>…l título El MuM- do por injurioso por D. josef Pedro B?rmud,.z, procurador de D. Mi U, a; declaró nu haber lugar i la formación de cauta por los lefio- guel Ballcster y Catabas, y D. Juan Roig yMila, alca'des constitucio te* |u-c-.s de hecho D. Marisno Alagues, D. Simón Viré», D. M¡- nales de la villa de Sitges, d.claran haber lugar i ¡a formación de cau Sel1 SierraLaborda,y O. D.JuanJuanFranciscoJosef SavironSantoUria;, D. Manuelsiendo Canfín,de d…</t>
  </si>
  <si>
    <t>Roix, Francisco</t>
  </si>
  <si>
    <t>Francisco Roix</t>
  </si>
  <si>
    <t>…ientemente discutido este asunto , y quedó aprobado y director del establecimiento d: hidrografía en Madrid: D. Antonio el tercer distrito. rerrer, teniente retirado del egército: D. Francisco Roix, abogado, Cuarto distrito. ex-auditor de Marina. Suplente: el Sr. D- Luí» Balanzat, brigadier da Falencia, Búrgoa, Santander, Soria, Segóvía. Su capital Búrgos. lo» egército» nacionales. Aprobado. Quinto distrito. CORTES EXTRAORDINARIAS DEL AUO DE 18a». Pampl…</t>
  </si>
  <si>
    <t>Roja</t>
  </si>
  <si>
    <t>…con la fórmula da ahutlte el impreso titulado cabelas y tercies de varios pueblos de Buftbe á favor de D. Juan dePluton númtro ty, y en su consecuencia la ley absolvió It su autor Don Roja*, en 30 de Marzo'de 1533—Otro de un juro de 4114 mrs. sobreEustaquio Palero, y te mandé fuese puesto inmediatamente en libertad, las tercias de Alcali de Henares i favor de Doña Elvira Arias de Bo-ain que este procedimiento debiera cansarle perjuicio en su re…</t>
  </si>
  <si>
    <t>Rojas, Antonio de</t>
  </si>
  <si>
    <t>Antonio de Rojas</t>
  </si>
  <si>
    <t>…sarle perjuicio en su reputación. bad¿lia__Otro de un juro da 163,846 mrs. sobre la* remas de Granada Sres. que compusieran el jurado: D. Francisco de Sales Arni, D. An i favor de D. Antonio de Rojas, marques de Poza, conde de Cabra,tonio de Torres Pardo, D. Josef López de Arriba, D. Antonio Josef á 1.“ de Marzo de 1637__Otro de un juro de ioo9 mrs. en varios pue González «le Aguilera, D. Lorenzo Ruano, D. Josef María Jiménez, blo* de las metindades de Bu…</t>
  </si>
  <si>
    <t>Rojas, Esteban de</t>
  </si>
  <si>
    <t>Esteban de Rojas</t>
  </si>
  <si>
    <t>…guió diciendo Habiéndose extraviado el privilegio de un juro, situado en las alca que la deuda pública era una de las cosas mu interesantes, y que era balas de Madrid en cabeza de D. Esteban de Rojas y de la Torre, de bien sabido que á los acreedores no se les pagaba nada, ni se sabía la 184,778 mrs., se suplica á la persona en cuyo poder se encuentre se sir parte de la referida deuda que en dos años se habia amortizado. Por es va entregarlo en la escriba…</t>
  </si>
  <si>
    <t>Rojas, Francisco Antonio Otero de</t>
  </si>
  <si>
    <t>Francisco Antonio Otero de Rojas</t>
  </si>
  <si>
    <t>…Fondos públicos en Lóndie* el dia ig. Billetes del banco »49t: las declarase exentos. 3 por too consolidados 8a : )i por roo 93*: acciones española* nue Se leyó una exposición de D. Francisco Antonio Otero de Rojas, vas ¿i£,id. antigua* 7a. Las colombianas habían bajado 3 por too cura p4rroco de S. Salvador de Sotom-vor , paitido de Redondel*, pro con la notes de haber sido tomado Maracaibo por Morales—Renta vincia de Vigo , haciendo vana* observaciones sobre el derecho…</t>
  </si>
  <si>
    <t>Rojas, Juan de</t>
  </si>
  <si>
    <t>Juan de Rojas</t>
  </si>
  <si>
    <t>…a, D. Josef Díaz de Ri« bre de la era 1414» año 1376—«Otro «le la confirmación de un juro de baa, D. Josef Fuster y D. Pedro Manuel Velluti. 50 cargas de pan y 500 mrs. i favor de D. Juan de Rojas, marques de Poza, por el privilegio en favor de su abuelo Sancho de Rojas, en 18 En la ciudad de Granada reunido* los jueces de hecho en ¡Arado de de Diciembre de 1488__Otro de un juro de 17,314 ron. sobre las alcalificación, calificaron con la fórmula da ahu…</t>
  </si>
  <si>
    <t>Rojea, Antonio</t>
  </si>
  <si>
    <t>Antonio Rojea</t>
  </si>
  <si>
    <t>…volución «, eran insoportables loa vi todos sus papeles, * consecnmcia de queja formal que recibió ó bri cies del antiguo régimen! ¡Dirán por ventura que estaban bien gober gadier D. Antonio Rojea de haber proferido con ca.or expresiones nado* los españoles antes qae el lo:d Wellusley y sus coteeas de Jn* chocantes contra nuestra lev fundamental en plática dirigida i sus ic- .glati-rra ios indujesen 4 formar »u actual Constitución! ; Dirán par ventura…</t>
  </si>
  <si>
    <t>Rojo</t>
  </si>
  <si>
    <t>…ria en otro caso de igual naturaleza , y que la formación de causa del Parque y Valdés. mandada contra el Sr. Escovedo habia sido por resolución de las Cor En la octava resultó el Sr. Rojo por 66 votos, teniendo 3 los se tes, y no del Gobierno, contra quien obran perderos simamen.re toda* ñores Villaboa, Cano y Puimrejo, 2 el Sr. Valdés, el Sr B ake , y las razones de un ínteres particular para excluir á a'gunos suoctos de uno los Sres. Rodrígu…</t>
  </si>
  <si>
    <t>…ase a 80 rca.-s.'* provincia. Na la irrita mas á los Mosenes Antón y sus secuaces que el Aprobado. que he.va cata'anes fieles á su juramento, y prontos á vengar las malda Otra del Sr. Rojo pira qu: las cartas libranzas se comprendan en des de aquellos. las disposiciones sobre papel sellado, como letras de cambio. La comi El pu.b'o de Mmn t de Cabreas fue atacado á las cinco de la tar sión se conformiba con esta adición, y quedo aprobada. de d-l…</t>
  </si>
  <si>
    <t>…e te les den vívete*-. ;y por qué? porque apre Coniiitucian. saron dos goletas y otro* barcos, j acaso á esla* ¿oras habrán sido ' Se leyerpo por primera vez un» ptopoaicione* del Sr. Rojo pira mu7 útiles á los que pelean en &lt;1 Perú por la'caosa de la Nación, pues que se erija un monumento en la Corulla al desgraciado Portier, y se bao desaparecido de aquellos mares los buques del aventurero Coctrarecomp:nse i lo* que le ayudaron en tu malograd…</t>
  </si>
  <si>
    <t>Rojo, Igoacia</t>
  </si>
  <si>
    <t>Igoacia Rojo</t>
  </si>
  <si>
    <t>…es se María Olabarrieta y N grete, condesa d- Rgia , Doña Hita Lama de han sabido por la goleta Menorca, que salió de Chaires el 15 de Mayo, Dommgu-z, marquesa de Rincón-Gallardo, Doña Igoacia Rojo da y llegó a la Jamaica el 3 de Junio, pues por la v.a de Panamá se tenian Cacho, Doña Josefa de Gregorio de Torres, Doña Luisa Vicario de noticias en aquel pueblo de que el general Mourgeon vivia, de qile ha Morerfo. Camareras, Doña María Cervar tes , Doña D…</t>
  </si>
  <si>
    <t>Rojo-</t>
  </si>
  <si>
    <t>…greso. Entonces no hay persona Se consideraron como de primera lectura las siguientes proposiciones que esté obligada á responder á las obj-.-cion s que »e pongan al dictamen. del Sr. Rojo-, n En atención a que en algunas de las provincias de la Pe La resolución que sobre este asunto se tomó el otro día pudo haber si nínsula , y particularmente en ia m a de Ga icia , están pagando los do adoptada con alguna precipitación; y tal vez lo. bres. dip…</t>
  </si>
  <si>
    <t>Rol, Francisco</t>
  </si>
  <si>
    <t>Francisco Rol</t>
  </si>
  <si>
    <t>…a comisión pita desarraigar esto* ésta instancia. Aprobado. abuso* que habia combatido por espacio de 17 afios que habia egrreído La de Hacienda, en vísta de la representación «le D. Francisco Rol el ministerio parroquial en vario* pueblos, peto sin fruto alguno, pot dan para que se le pagase un crédito que tenia contra la Nación, opi no haber hallaclo a noyo en las autoridades ni disposición en los pueblos. naba qu: debía satisfacerse por el Crédito p…</t>
  </si>
  <si>
    <t>Roldan, Fermín</t>
  </si>
  <si>
    <t>Fermín Roldan</t>
  </si>
  <si>
    <t>…rdo, teniente del regimiento Guadalajara , con 570 rs. infantería nmemor al del Rey, con 570 rs. Segorve al capitán D. Andrés Rodrigo, teniente del regimiento in Feiro' al espitan D. Fermín Roldan, teniente del regimiento in- fantería de la Reina , con 570 rs. hnt-ría de Zamora , con 570 rs. Trujilloá D. Gabriel González Llanos, teniente ds infantería y Fifueus a 1). Pedro Tn-scrra, teniente del regimiento infantería del batallón de la milicia activa d…</t>
  </si>
  <si>
    <t>Roldan, Francisco</t>
  </si>
  <si>
    <t>Francisco Roldan</t>
  </si>
  <si>
    <t>…ntes, que io e» ü do de cocinero 50 años en el monasterio del Escoria!, de la misma : para la de las islas Caninas , en calidad de interino , ,1 j A la de Hacienda una solkitud de D. Francisco Roldan, impre- auditor de guerra D. Juan Ramírez y Cárdenas: para ¡a d- C c.-r s i i sor , relativa á que se declarase si debia percibir de tesorería ó del Cré- D. Josef Aivarez Guerra, que lo es de la d: Patena a: pma lude l..or» I dito público lo que se le d b.a p…</t>
  </si>
  <si>
    <t>Rolen</t>
  </si>
  <si>
    <t>…Diego Abarca Maldonado, ca persó , después de media hora de fuego, la facción del Jep y Navarcles. nónigo de ValUdoiid, situado an la xentadi las yerbas de la mesa maes • El mismo brigadier Rolen desde Moya en 10 del comente, con tral de la orden de Calatiava , valle d* Alcudia , campo de Caiatrava, tinuando el anterior parte, manifiesta que la columna, compuesta da dado en Madrid á 16 de Octubre de 1571: otro de 503 mrs , situado los cazadores del pa…</t>
  </si>
  <si>
    <t>Rolen, Antonio</t>
  </si>
  <si>
    <t>Antonio Rolen</t>
  </si>
  <si>
    <t>…nuestros , seguros de - D os guarde á V. E. muchos años. Mantesa 6 ds Agosto de que si la suerte nos condena á morir con vosotros á la vez,entonen se itn.sEI brigadier comandante general Antonio Rolen.=Ezcmo. Se llenarán los fines i que anhelamos. Rcqueaa id de Julio de 1831.” ñor D. Francisco Ferrar.” (Siguen las firmas.) (Spb-mos que el Sr. comandante general, después de elogiar de bidamente Ja bizarría y acertadas disposiciones del brigadier Roten y A l…</t>
  </si>
  <si>
    <t>Rollen</t>
  </si>
  <si>
    <t>…l del castillo. las tucione», he tenido por conveniente, conforme con el dicta Manresa 3¿ de \ozicmbre. men de mi consejo ds Estado, mandar lo siguientes Mañana sale para B rfa el brigadier Rollen coa tu división , la qus «Concedo una amnistía general por motivo de cualquier especie de parece ira a parar á la Cerdaí.a. opiniones políticas que te haysn profesado hasta la publicación del Tarragona 25 de .'Vuiímérfpresent' Real decreto, exceptuando sin em…</t>
  </si>
  <si>
    <t>Rollen, A Mu.-do</t>
  </si>
  <si>
    <t>A Mu.-do Rollen</t>
  </si>
  <si>
    <t>…l.s rartes siruier.tes. Unidos con ricos cargamentos de ropas, y parece que debía llegar pronto ru cotbst 1 mejicana montada con 28 carroñadas de á 36 , y con ella Excmo. Sr.; Ei brigadier D. A Mu.-do Rollen me dice con fecha seis cañoneras. JI último desde Mantesa lo que copio: Continuación del extraeto de las noticias extranjeras. ’• Habiendo regresado á Manresa de la gloriosa expedición de CasRusia. Ya en otro extracto de noticias sacadas de los periódicos ex»…</t>
  </si>
  <si>
    <t>Rollen, Antonio</t>
  </si>
  <si>
    <t>Antonio Rollen</t>
  </si>
  <si>
    <t>…cuya cgecucioa impidieron ci.itas ocuricocías. El comandante general de ol • distrito ha recibido del brigadier " La firmeza y decisión de Oro no cedieron con estas d fi.ulcades, D. Antonio Rollen un oficio , cuya copia literal es como sigue: antes propuso de nuevo fi Tci rijos el tomar el edificio batiendo tabiques » Lleno de satisfacción me apresuro fi poner en el superior conoci y paredes. miento de V. E. que en este m intento, que son las dos de la…</t>
  </si>
  <si>
    <t>Rom</t>
  </si>
  <si>
    <t>…, por ñah. r cumpl - do s-.- rs lóle, l.o á las razones que s- habían alegado rn contra. aros. ;Vs- reí.tai n d ' servicio por 1-jH r cump do ». s año- ' No se E .Sr. Jn-ante . El Sr. Rom -ro ha contestado v.ctorio-rmerte á !»» ñor, los r. tirados no son estos; lo-. r-tiri.Lis son lo- que ai c..!&gt;o de razones pi ' j-tsest t» por el sr. M Va. reducida- a q.ie pu-de *• •’*.-r a' Ciertos años se lea da au retiro, y se s.p.ran d-i scrv.e.o por su…</t>
  </si>
  <si>
    <t>…odavía no se ha El Sr. Afonzo r-c amó el orden , y dijo que no debía hablarse de bía verificado el s.ileo. una proposición que trataba de derogar lo que las Cortes habían deter El Sr. Rom ro dijo que en su concepto el que aprehendiese á un minado hacia muy poco in mpo. pró&gt;fugo debía servir lo nmmo que tste último, no habiendo ningún El Sr. Prado: Yo no digo que las Cortea revoquen lo que tienen motivo de utilidad pública para sancionar esta g…</t>
  </si>
  <si>
    <t>…udor, mandada por G- Samuel Pilot, que se fugó con sus malhechores, también serán juzgados militarmente.** botes y 14 hombres, quedando é su bordo casi todos los oficiales y co El Sr. Rom:ro se opuso al artículo, manifestando entre otras cosas mo 50 mas. Dice Laborde que la goleta apresada,á la que puso el nom que por ¿I se decia menos ds lo que dicen la ley orgánica y el código bre de Constitución, es primorosa, y una de las ds mas fama entre…</t>
  </si>
  <si>
    <t>…puedan decidir nada s ó:-. los r.cursos de nulidad: asi que , de tun nes. fii supi jui: iiarnado &lt;n lairts ca;os sí hac¿ d.purado propinar o.'* tún mod". puede adopt rse lo que ei Sr. Rom ro propone. L&gt; .»t. Mor mu tue d*s cp-o-ou *¡i»e se suprtm.es- U última c ausula, El Sr. Falcó: Yo no sé qué razonrs pu-da haber para que no se aco que : Li iurtínte llamado tn c¿»¿oj ie huce ¿iirutado, por moden estas elección's i I &gt; que la Constitución y l…</t>
  </si>
  <si>
    <t>…or .al prevenido en ¡a C.nstituciou y en las *eyc», sin ninguna dependencia Cort s. de los gefes políticos.” E S". pr s d nte anuaci-i qu - miñan» ».- discut-r a :i d .timen do El Sr. Rom ro: Al paso que en este artículo se impone á les alcah* la com:»mn sobre el in. io de uimfe-t ir ia ,! tu l n.ci - r a. a los dedes la oblrgac on de prevenir el sumario, no se dice vasta qué punto f "sores del s stema ¿n ei 7 de Judo, y Icv.nto la se», en * l…</t>
  </si>
  <si>
    <t>Rom, González</t>
  </si>
  <si>
    <t>González Rom</t>
  </si>
  <si>
    <t>…ahon , por convenir asi á la salud pública y al ínteres de la Nación. formado allí ; el juez de primera instancia arrollado, y obligado á sa El Sr. secretario leyó un discurso del Sr. González Rom, en el que lir del pueblo; su casa quemada, y su espesa é hijos á pique de pere después de manifestar las razones de conveniencia y utilidad pública cer. La diputación provincial de Murcia, conociendo los reboltosos que que había para que aprobasen las Cortes…</t>
  </si>
  <si>
    <t>Rom-ro</t>
  </si>
  <si>
    <t>…na O í-..to se sort-ar :n los qu * se í.ail.n sim las cr-.m stanc as r leudas tura, mente propendían. i 1 •*' ¡ riere, nárjv rn que s • ti c s t-, tanto m la c'-.-icion de tas El Sr. Rom-ro dijo que aquí se trataba solo de elegir entre un nú ¡r '■ as eorr.r , 0a r — [i.p azar u&gt; vi.mi.s Los ofi 1.1 s, sargento* mero d terminado de personas, cuales -rao ¡os individuos de u:i banv i Lee "■ tener ias ui.sina» cirsumi iivias que lo» sunp.es m.l.c.a-…</t>
  </si>
  <si>
    <t>Rom.ro</t>
  </si>
  <si>
    <t>…propuesto los Sres. de la comisión , en que se ha lan animados muchos hab :ar.t« de la c udid J: Orí ufia.” at.ncion á que en las tazmías no podía constar el verdadero valer de Et Sr. Rom.ro se opuso a esta prepo. c on . nu i .ta-eo q.ie la» Jos diezmos, porque habiéndose tomado este valor por base para repar Cortes no deban aprobar 50 o el que e G bie") &gt; temí ama cas tir las coi.tribucioncs directas , los labradotes y demás que pagaban el de qu…</t>
  </si>
  <si>
    <t>Roma, Antonio Rase</t>
  </si>
  <si>
    <t>Antonio Rase Roma</t>
  </si>
  <si>
    <t>…Las vid»» paralelas de Plutarco, traducidas «le su original gringo eu ■doneda, que en adeiqnte solo correrá por pasta. Madrid 31 de Di lengua castellana por el consejero de Estado D. Antonio Rase Roma ciembre de i8tt.2zPor el.ayuntamiento Joaquín Manrique y Manri- nillo*, individuo de número de las academia* Española y de la Histo que.=Por la Hacienda pública el marques de Caas-Pizarro.si'ar le ria, y consiliario de la de nobles artes «le b. Fernandadcc.:…</t>
  </si>
  <si>
    <t>Roma, Pedro Díaz Franco y Dofía María</t>
  </si>
  <si>
    <t>Pedro Díaz Franco y Dofía María Roma</t>
  </si>
  <si>
    <t>…OS. drid 19 de Junio de 1822. Se han extraviado cinco privilegios de juros correspondientes al Al Sr. secretario del Despacho de Hacienda digo con esta fecha mayorazgo fundado por D. Pedro Díaz Franco y Dofía María Roma lo que sigue: no ; á saber : uno de 112,800 mrs. de renta , situados sobre el 6 por roo » Excmo. Sr.: El Rey se ba servido mandar que D. Joaquín Gó del almojarifazgo de Tenerife en nombre de D. Andrea y Luía Lorenzo, mez Liaúo, nombrado intendente general mil…</t>
  </si>
  <si>
    <t>Román, Juan Manuel de S.</t>
  </si>
  <si>
    <t>Juan Manuel de S. Román</t>
  </si>
  <si>
    <t>…contador al público para noticia de los interesados; prevenidos que al que no cesante de propios de Valencia. concurra le parará el perjuicio que haya lugar. Logroño administrador D. Juan Manuel de S. Román , habilitado Hallándose pendientes en el juzgado de la comandancia general de portas Cortes. Interventor D. Josef Alvarez Pandilla, oficial de le este primer distrito militar los autos de testamentaría del Excmo señor tesorería de León. D. Josef Joaquín Duran…</t>
  </si>
  <si>
    <t>Román, Juan Manuel S-</t>
  </si>
  <si>
    <t>Juan Manuel S- Román</t>
  </si>
  <si>
    <t>…negocios públicos, mo dictamen , que procuraré analizar con la brevedad y claridad posi ▼ atendiendo i la indispensable necesidad de resolver asuntos de que bles. Se trata de que D. Juan Manuel S- Román y consortes se quejan penden la existencia jr el orden del Estado, debia parecer extraño que el de que sin embargo de sus repetidas instancias dirigidas al gefe político Gobierno no hubicae hecho la propuesta de la prolongación de las se fey al Gobierno, con…</t>
  </si>
  <si>
    <t>Román, Juan Manuel S.</t>
  </si>
  <si>
    <t>Juan Manuel S. Román</t>
  </si>
  <si>
    <t>…y vender el diario de sus sesiones por el tiempo que se Goaiemala ó Comayagua , pueblo llamado Teguagalpa: el que tuviere fije en la contrata. noticia de él se serviré avisarlo é D. Juan Manuel S. Román , que vi i.a Estarán obligadas é suscribirse é ¿1 todas las corporaciones ex ve calle angosta deS. Bernardo, núms. 1$ y 16, cuarto principal. presadas en las órdenes de las Cortes de 17 de Mayo de 1813 y tj de Exposición de la junta nacional del Crédito públi…</t>
  </si>
  <si>
    <t>Román, Juan Manuel San</t>
  </si>
  <si>
    <t>Juan Manuel San Román</t>
  </si>
  <si>
    <t>…que le robáis sus li á Ultramar que con respecto á la Península. Aprobado. bertades....... Vosotros queréis hacerla esclava........... pero no lo conse Otro sobre la solicitud de D. Juan Manuel San Román, agenu guiréis !)" de negocios de Ultramar , para que se le recomiende al Gobierno^ por Habiéndose pasado á votar la petición de que se imprimiese el sus servicios, i fin de que se le confiera el destino de interventor en discurso, fue desechada por la Cámara…</t>
  </si>
  <si>
    <t>…taluña , y el de evitar por es La comisión de Casos de responsabilidad, habiendo examinado la te medio la em gracion de los habitantes, que indudablemente se retiran exposición de D. Juan Manuel San Román y otroa vario* ciudadanos, de aquella provincia á causa de los males que producen las sequías en en que se quejaban del gefe político de la provincia de Madrid D. Jo» ella. Las Cortes deben compadecerse de la Situación deCatalufia , no so aefMartinez de San M…</t>
  </si>
  <si>
    <t>Román, Manuel S.</t>
  </si>
  <si>
    <t>Manuel S. Román</t>
  </si>
  <si>
    <t>…. Josef Be en balaba en la maceta de la altura , y la caballería de Villavic osa, ai rnia Azcuénaga, que detallan la acción gloriosa en que á las inmedia mando del primir ayudante D. Manuel S. Román, permaneciere en ciones de Caspc el 25 último con las columnas de su mindo batieron Capuchinos mientras avanzándome yo reconocía ios verdaderos puntos y destruyeron toj o las fuerzas reunidas del cabecilla Rambla. de ataque. » Sexto distrito militar. Comtndan…</t>
  </si>
  <si>
    <t>Romanillo, Benito Ortega</t>
  </si>
  <si>
    <t>Benito Ortega Romanillo</t>
  </si>
  <si>
    <t>…pagará solo 880 reales por la expedición da por seis votos, habiendo disentido lo* Sres. D. Josef Rivcs Quera.tó, título, respecto á que lo* 280 reales del juez dé primera instan D. Benito Ortega Romanillo* y D. Francisco Travesado. cia lo* habrá ya satisfecho; fiero si los honores de magistrado de ANUNCIOS. audiencia, te conceden á uno que no tea juez de primera instan Por auto del juez de primera instancia de Sta. Cruz de la Zarza, pro cia , deberá pagar los…</t>
  </si>
  <si>
    <t>Romanillos</t>
  </si>
  <si>
    <t>…onde# 7 de Annjuez ; de loa emigrado* refugiado* en D. Antonio Gamonal, D. Francisco de la Carrera , D. Benito Orteea el Rosellon i las órdeaea del conde de Calderón 4tc." Como el conde Romanillos, D. Cas-miro Martin, D. Antonio Regés, D. Antonio «le Calderón te halla en Valencia, sin haber pensado ni pensar en PuigbUnch, D. Francisco López Otavarrieta, D. Pedro Matute 7 Don contarse entre los refugiado* á Francia que vuelven sus arma* contra Juan Paz.…</t>
  </si>
  <si>
    <t>Romanillos, Benito Olga</t>
  </si>
  <si>
    <t>Benito Olga Romanillos</t>
  </si>
  <si>
    <t>…queden en propiedad particular- Se ha dicho ¡señores que declararon haber lugar: D. Francisco López Otavartambién que se empezaba por el despojo; pero aqui no hajr tal des rieta, D. Benito Olga Romanillos, D. Juan Fernandez Casariego, pojo, porque este supone violencia en ei acto , y falta de autoridad en D. Andrés A Icón, !). Martin Miguel deGoicochea, D. Josef Anto la persona que se despoja? ademas tampoco hay posesión, poique las nio Ponzoa y D. Antonio Reg…</t>
  </si>
  <si>
    <t>Romanillos, Benito Ortega</t>
  </si>
  <si>
    <t>Benito Ortega Romanillos</t>
  </si>
  <si>
    <t>…ón qu lm autor km ver dicho escrito, 7 estaba compuesto de loé Sres. siguientes: O. Fran pam denunciar ante la ley tas iafraccioaas qaa cootm ella se cometu, cisco López Obramela, D. Benito Ortega Romanillos, D. Juan Fer quedando reapooaablca taba resaltas dd juicio. Madrid ro «la Abril' nandez Casariego ,-D. Andrea AlcouD. Josef Antonio Ponsoa, de «8*a^sCayctaao Valdrá, pre»identc-=Juan Oliver y Oaicta, dipo- D- Nicolás Alonso , D. Antonio R«gm, P. Martin Miguel…</t>
  </si>
  <si>
    <t>…lanar y cabrio, Francisco Barra, D. D mingo Fernandas Angulo , marques de Cusano, aves domésticas é insectos útiles, con los que concluye su segunda D. I..&lt;renzo Calvo de Rozas , D. Benito Ortega Romanillos, D. Juan parte; y en seguida pasaá la tercera, en que trata el punto esencialísimo Cortes, D. Domingo Vil amil. Habida la coafarencia, resultó por seis del arbolado. El 8.° y último cuaderno está casi enteramente destinado á v°tos hafier lugar á ta formación…</t>
  </si>
  <si>
    <t>…oa rudimento* de En au víala se reunió el jurado, compuesto de los Sres. siguientes: la primera educación, reglas práctico-morales-políticas jotra*indispen D. Francisco Travesado, D. Benito Ortega Romanillos, D. Juan La sables para cimentar y consolidat en la niñez lo* verdadero* conoci que , D. Antonio María Espejo, D. Josef Gómez Albacete, D. Gon mientos de la existencia civil 7 derecho* naturales del hombre social zalo Cárdenas, D. Joan Corté*, D. Mariano Zorr…</t>
  </si>
  <si>
    <t>…satisfacción que me permite el dolor de ver D. Manuel González del Campo; D Marías Casero; D. Antonio Ga derramada tanta sangre española, anuncio i V. K. que en la madruga mona'; D. Benito Ortega Romanillos; D. Gonzalo de Cárdenas; Don da de este dia he sorprendido tin completamente é 300 facciosos que Juan Paz; D. Juan Manuel de Aréjula; D. Manuel Mermo, y Don ae hallaban en este pu.blo, qu- de ellos solo viv-n 47 prisioneros, y Marcos Menezo. como unos 20 qu:…</t>
  </si>
  <si>
    <t>Romanillos, Benito Ottega</t>
  </si>
  <si>
    <t>Benito Ottega Romanillos</t>
  </si>
  <si>
    <t>…ada obra. d ia formación de causa, habiendo disentido lot Sréa. marques de Cusa- Cartilla agraria, ó tea la práctica de la agricultura y la ganadería, no , IX Z &gt;1 o Gómez Casero, D. Benito Ottega Romanillos y D. Juan dispuesta por el coronel D. Josef Espinosa, y aprobada y recomendada Isidoro Pérez. ' por las Cortes: cuadernos 7.a y 8.* de la obra. Se venden en la li brería de Rodríguez, en donde se suscribe , asi como en todas las ad E&gt; Sr. fiscal de imprenta por ai y £…</t>
  </si>
  <si>
    <t>Romanillos, Bonito Ortega</t>
  </si>
  <si>
    <t>Bonito Ortega Romanillos</t>
  </si>
  <si>
    <t>…ez, D. Lorenzo Calvo de Rozas , D. Martin de Zuandii, D. Joaquín Lumbreras, D. Julián de Fuentes , D. Santiago Delgado, PAGADURIA OKI MINISTERIO SE IA GOBERNACION SE IA PBNtMSUlS. D. Bonito Ortega Romanillos y D. Joaquín de Vega y Qumt &lt;no , ca Mes de Setiembre de iSea. lificaron con ln fórmula de absuelto la carta contenida en el Diario Acta del arqueo de dicha pagaduría correspondiente al presente mes Muevo núm. &gt;79, y particular del núm. 180, denunciados á nombre de Setiembre, cel…</t>
  </si>
  <si>
    <t>Romano, Juan Rodríguez y</t>
  </si>
  <si>
    <t>Juan Rodríguez y Romano</t>
  </si>
  <si>
    <t>…ria el resultado: Prescindo tambun de La comisión de Diputaciones provinciales, en vista de la exposición que las casas contratantes empleasen ó&gt; no el recurso que tienen a' po de D. Juan Rodríguez y Romano , médico de Sta. María , é indis-.dúo der judicial para obligar á la Nación al cumplimiento del tratado. de la diputación de Cádiz, para que en atención i los ma'es habituales ¡Cuti sena el resultado y los efectos? El primer efecto que produci-ia que padece t…</t>
  </si>
  <si>
    <t>Romano-, Ramón de Mesonero</t>
  </si>
  <si>
    <t>Ramón de Mesonero Romano-</t>
  </si>
  <si>
    <t>…15 de Junio de 1811. partido de tales actos de violencia. Conociendo pu.sei R y la necesi Juicios de jura io.. dad que hay de cortar tan grave mai en .u une n , y que para que ae D. Ramón de Mesonero Romano-, como apoderado general drl conserve en su pureza la d.vciplina militar, principal apoyo del egerci- ayuntamiento constitucional de Cartagena, deo-iac.o al Sr alcaide Don</t>
  </si>
  <si>
    <t>Romaratc, Jacinto</t>
  </si>
  <si>
    <t>Jacinto Romaratc</t>
  </si>
  <si>
    <t>…e sirva de conocimiento y circule.=Está lubricado de la Real mano.=Dado en palacio á 10 de á todos los que se bailen en este caso , se hace ahur que es indispensa Julio de iíii =A D. Jacinto Romaratc. ble ocurran á dicha secretaría por tí ó por medio de personas de su Circular del ministerio de Gracia y Justicia i los prelados diocesano». confianza con un pliego de papel de gt rs. y otro de ao cuartos, que w Por exposición de algunos gefes políticos se na…</t>
  </si>
  <si>
    <t>Romarate, Jacinto</t>
  </si>
  <si>
    <t>Jacinto Romarate</t>
  </si>
  <si>
    <t>…r que el pueblo de Cádiz ha respetado tu En seguida te leyó d art. &gt;4$ del código» que decía asi: decisión de *1 del mes último, y consentido tranquilamente la entrega del mando á D. Jacinto Romarate, y que por este hecho queda la re csriTvio iv. presentación nacional obedecida, vuelvan los padres de la patria por la Dt loe delitot tontea la libertad indrtidual dt loe etpaífolet. cauta del bien público, y repitan su clamor al trono contra un minis Art. &lt;4…</t>
  </si>
  <si>
    <t>…maquinación á las Corta de orden del Rey haber entregado D. Manuel J-'raocicco con alguna ó algunas potencias extrangera», ó con sus ministros ó agen Jáurtgui el mando militar ai brigadier D. Jacinto Romarate, y que es tes i procurare excitarlas, inducirlas ó empefiarlai i emprender la guer taba pronto á hacer lo mismo con el gobierno político, luego que ce ra ó cometer hostilidades contra Espafia ú sus aliado», es también trai presentase su sucesor. Se acompañaba…</t>
  </si>
  <si>
    <t>…omdo el mando militar de la provincia de Cádiz el brigadier D. Manuel » brea sin virtudes , sin honor y llenos de ambición , no me era descoFrancisco de Jíuregui al de igual clase D. Jacinto Romarate el dia 10 » nocida; pero he procurado llevarlos por el bien con el objeto de sadel actual, con arreglo á la Real orden de ra de Diciembre anterior; » car algún partido. Me engañé en verdad; mas descubiertas sus intenmanifestando Jíuregui al propio tiempo que…</t>
  </si>
  <si>
    <t>…ho subsista solo el tiempo necesario para sacartaimo nombre. los gastos de la reparación del pítente. Dwpucs de una ligera discusión Las Cortes quedaron enteradas de un oficio del Sr. D. Jacinto Romarate , manifestando que aya í las 10 de la maftana llegó al Real sitio quedó aprobado. de Aranjuez, donde prestó el juramento del destino de ministro da Otro sobre la solicitud del ayuntamiento de Bobierca en Aragón, Marina que le concedió S. M. para que se le per…</t>
  </si>
  <si>
    <t>…y Quedaron asimismo enteradas de un oficio del Gobierno, manifes á cada uno de los cuates les ha fijado sus límites: todos son igualmente tando haber tomado posesión de su destino D. Jacinto Romarate, se legítimos, y ninguno debe guardar mas dependencia respecto de los cretar o del Despacho de Marina, habiendo prestado el juramento pres otros que la que determina el código fundamental. El poder egecutivo crito por la Constitución. por su parte necesita ca…</t>
  </si>
  <si>
    <t>…próximo anterior; pero la constancia de loa guno de 1.104,840 mrs.: el tercero en cabeza del mismo Imperial, ventos contrarios en aquellos mares ha sido tal, que no pudo verificar D. Jacinto Romarate, y antes Alejandro Justiniani de a 14,120 mrs. y lo -I-I puerto del Ferrol, á petar de los esfuerzos hechos al efecto hasta el cuarto de 1.083,752 mrs-, impuestos ambos sobre la renta de se ei 3 ú 1 mo qu* pasó al de la Corafia, de donde lo realizó el it que…</t>
  </si>
  <si>
    <t>Romate, Luis Villejas y</t>
  </si>
  <si>
    <t>Luis Villejas y Romate</t>
  </si>
  <si>
    <t>…lo que sigue: hijo D. Bernardino Espinaca, D. Manuel de Villejas y Romate , y » SS. MM. y A A. no tienen novedad en su importante salud.” por su fallecimiento su hijo primogénito D. Luis Villejas y Romate, el Excmo. Sr. marques de Valdecarzana, D. Josef Valdivieso , y por su Circular del ministerio de la Gobernación de la Península. muerte D. Juan Valdivieso, su heredero, Doña María García Quijada, Para evitar lo* inconvenientes que pudieran ocurrir á las junt…</t>
  </si>
  <si>
    <t>Romate, Manuel de Villejas y</t>
  </si>
  <si>
    <t>Manuel de Villejas y Romate</t>
  </si>
  <si>
    <t>…ón «le Ultramar con Mu ía Josefa de Salazar, Doña Tomasa Quqada , y por su muerte su fecha de ayer dice «lesde el Real sitio de Aranjuez lo que sigue: hijo D. Bernardino Espinaca, D. Manuel de Villejas y Romate , y » SS. MM. y A A. no tienen novedad en su importante salud.” por su fallecimiento su hijo primogénito D. Luis Villejas y Romate, el Excmo. Sr. marques de Valdecarzana, D. Josef Valdivieso , y por su Circular del ministerio de la Gobernación de la Península…</t>
  </si>
  <si>
    <t>Romay, Ramón</t>
  </si>
  <si>
    <t>Ramón Romay</t>
  </si>
  <si>
    <t>…mpo D. An dancia general de Canarias. tonio Kosclló, actual gobernador de la plaza de Pamplona. Para la Comandancias subalternas de provincia correspondientes al decimo de Vigo al brigadier D. Ramón Romay, que desempeña actualmente tercio aistrito. No las hay según el decreto. Las comandancias subalter la de Tuy. nas de las provincias de Ciudad-Real, Cuenca, Guadalajara, Toledo, Tercer distrito. Pan comandante general de él, que se compone de Villafranca, León…</t>
  </si>
  <si>
    <t>Rome</t>
  </si>
  <si>
    <t>…e versa principalmente sobre la ca.ideación puesto. del mismo. El Gobierno no puede tener influjo en el jurado , que es el El Sr. Sancho dijo que no podía impugnar las razones del Sr. Rome que califica los escritos; lo demás es confundir las cosas. La verdadera ro Alpuente, porque no las había oido; pero que quería hacer dos ob libertad de imprenta consiste en que cada uno pueda escribir sus ideas; servaciones para probar la necesidad de que se…</t>
  </si>
  <si>
    <t>Rome, Joatf Rodríguez</t>
  </si>
  <si>
    <t>Joatf Rodríguez Rome</t>
  </si>
  <si>
    <t>…, y rieta. En trigonometría piaña ios referido! Diez Valentín, Scmoza, para poder scarzar la felicidad porque suspiramos, es el olvido de Bolafto, Sagastizabal, D. Josef Vazquaz, D. Joatf Rodríguez Rome todas esas tan odiosas como ridiculas deztominacione* con que alguno* ro , D. Baltasar Cerezo y D. Benito Cutí. En trigonometría esférica hombres irreflexivos han procurado deprimir á todo el que no piensa co los mencionado* Vázquez, Rodríguez Romero, Casal,…</t>
  </si>
  <si>
    <t>Romeen</t>
  </si>
  <si>
    <t>…del mismo Sr. Ferrer á la cuarta proposición. Aprobado. dura , proponiendo algunas dudas ocurridas en el reparto de la contribu La misma comisión fue de parecer que Ja adición del Sr. Romeen ción terrlrorial: otra del ayuntamiento constitucional de Borja, queján te pusiese en estos téiminos: » Que sean preferidos ( para los empleos) dose da unabrdendel intendente de la provincia, á consecuencia de una los que hayan dado pruebas positivas de adhes…</t>
  </si>
  <si>
    <t>Romeio</t>
  </si>
  <si>
    <t>…r io que en ei servicio ó accion-s distinguidas de valor considerándole coa reel artículo debía aprobaise. lac.on á tos demas ciudadanos que no siendo militares disfrutan pe.isoEl Sr. Romeio reprodujo lo* argumento* hecho* por «1 Sr. Diez, «&lt;-•&gt; por un servicio disr.nci.ido, como v. por haberse tobado en el añadiendo que podía suprimirse la parte del artículo en que se trataba sitio di Zaragoza. Esta clase de pensiones una vez concedidas no d b;n…</t>
  </si>
  <si>
    <t>Romera</t>
  </si>
  <si>
    <t>…etar i la comition tos aignientm adicionas al dicta ballos. men da la mioma aobte al iceraplera del egército. El comandante Sánchez Cerquero comunicó al comandante militar Una del Sr. Romera relativa á que m observan en al reemplazo de! «le la provincia de Cádiz un parte con fecha del 4 desde Arcos, en que egército las mismas reglas ana decretaron lat Cortes en la legislatura dice haber entrado aquel dia en dicho pueblo el brigadier coronel de an…</t>
  </si>
  <si>
    <t>…de justicia, y cualquiera que la viese sabia que era necesaria. que el individuo que la llevaba pertenecía i la justicia; y aunque po El Sr. Meló 1 La observación qua ha hecho el Sr. Romera por mi día suceder que alguno la usase sin facultad para elio, estaba por el parte la encuentro muy juiciosa, y creo que la comisión debe adoptar mismo hecho sujeto á las penas de usurpación de autoridad. la. En cuanto á lo que ha manifestado el Sr. Casas , d…</t>
  </si>
  <si>
    <t>Romera, Mariano</t>
  </si>
  <si>
    <t>Mariano Romera</t>
  </si>
  <si>
    <t>…la cárcel a otro punto, y el hos para que lo instruyese; y otro relativo á la memoria presentada á las pital de Misericordia á un monasterio de la misma ciudad, para lo Cortes por D. Mariano Romera; la comisión opinaba que las Cortes cual proponía varios arbitrios. La comisión opinaba debia accederse í debían manifestar su reconocimiento á este interesado. esta solicitud. Asimismo se aprobaron los siguientes dictámenes de la comisión de La comisión Ecle…</t>
  </si>
  <si>
    <t>Romeral, Carlos</t>
  </si>
  <si>
    <t>Carlos Romeral</t>
  </si>
  <si>
    <t>…Sin duda qne debe ha Joaquín Huerta Cerillos, D. Manuel Mermo, D. And re. Martínez ber una equivocación acerca da esto , pues el qne escribe está autoriza Oriniga, D. Lino Campos, D. Carlos Romeral, D. Josef Demetrio do 4 expedir los rescript a de secularización pora las monjas basta todo Rodríguez, D. Josef Radon, D. Isidro Merino. cl mes de Junio, y por tanto no puede haber rehusado recibir ninguna Habida la conferencia se declaró por unanimidad no ha…</t>
  </si>
  <si>
    <t>…ó de los señores siguientes : D Tomas María Zanon , D. Francisco Trasugetos á cuyo favor quedaren rematados presentarán en clase de fian- vesedo, D. Juan Paz, D. Santiago Delgado, D. Carlos Romeral , Don za un mes de existencias en tos almacenes de los artículos de que Andrés Navarro, D. Mamerto Landaburu, D. Isidro Merino y Don conste el suministro, Jos cuales deberán tener constantemente de re Francisco López Olabarrieta. Y habida la conferencia, se d…</t>
  </si>
  <si>
    <t>…Cádiz. principia Coraría 3 de Abril. Ha llenado, p termina corar que nc flirtea; se reunió el jurado, compuesto de los señores siguientes: Don ARTICULO DE OFICIO. Aniceto ¿¡zana, D. Carlos Romeral, D. Mariano Zorraquin, D. Ma El Sr. Metalario del Despacho de la Gobernación de Ultramar con merto Landaburu, D. Joaquín Huerta Orvallos, D. Isidoro de Hoyos, beba de «ver dice desde el Real *¡tio de Araajuez lo que sigue: D. Antonio Díaz del Moral, D. Franci…</t>
  </si>
  <si>
    <t>Romeral, Hermenegildo</t>
  </si>
  <si>
    <t>Hermenegildo Romeral</t>
  </si>
  <si>
    <t>…de la calle de la Sal, y Antonio Maruri, idem. D. Josef Orejuela , idem. D Máximo B=n¡las dos entradas del cuartelillo i corto también lá de la calle de Bote sia., i.dem, paisano. D. Hermenegildo Romeral , idem. ros: la sexta se hallaba situada en el museo militar de artillería pa Segunda. Milicianos, D; Miguel Ocejo ; contuso. Di Sixto García; ra proteger y conservar las armas que en él se hallaban -, en donde ha herido. permanecido siete dias sin reí erarse…</t>
  </si>
  <si>
    <t>Romero</t>
  </si>
  <si>
    <t>…van complicando de tal modo , que santa y Ramonet. difícilmente podrá salir de ello* sin contradecirse en sus principios, ó No ae admitió á discusión la siguiente proposición de1 Sr. Romero sin exponerse á riesgos inevitables. Es bien sabido que lo* austríacos que Alpuente: «Que las Cortes se sirvan resolver se recuerde al Rey el han ido á imponer el yugo á los sicilianos no están muy contentos en mensage del Congreso sobre la fuerza moral del m…</t>
  </si>
  <si>
    <t>…ísimo que se propagasen en España ideas ARTICULO DE OFICIO. ó miximas contrarias é la religión, y que se dejasen impunes estos delitos. El Rey ha expedido el decreto siguiente: El Sr. Romero \lpuente dijo que las palabras autoridad r. UjÜs- D Fernando vir por la gratis de Dios y pov la Conrtitueiort tica comprimir podrían ocasionar algunas dudas, y por lo mismo seria de la Monarquía española, Rey de las Españas, á todos lo* qu* las pre mejor te a…</t>
  </si>
  <si>
    <t>…del ministerio.” El Sr. Nuñfz ( D. Toribio') por 60 votos de 87 , el Sr. González El Sr. Isturiz dijo: Los motivos que hemos tenido para hacer esta Aguirre por 66 votos de 94, el Sr. Romero por 67 votos de 91 , el proposición es que en los Gobiernos representativos el poder egecutivo Sr. Ser a ni por 70 de 96, el Sr. Villanueva por 75 de 105 , el señor tiene siempre una natural tendencia á ampliar sus facultades, y hacer Navarro Tejeiro por 74 d…</t>
  </si>
  <si>
    <t>…nal de Cortes.’* demás señores diputados que tienen aprobados sus poderes’ D. K.un.n Se admitió á discusión. Escovedo no necesita nueva declaración, porque es un apoderado legi El Sr. Romero dijo: El caso de que se trata tiene una absoluta in timo de su provincia. Se quiere decir ahora que el Sr. Escovedo tiene dependencia de la ley sobre responsabilidades , porque allí se dice que contra sí una excepción legal, y esta excepción se va á buscar en…</t>
  </si>
  <si>
    <t>…pronta liquidación de la deu tes se hallan en el caso de aprobar la proposición que se discute. da procedente de suministros mandados suspender, reconocer y admitir A petición del Sr. Romero se leyeron los arts. 109 y 11a del por la orden de a*f de Abril de i8ii.w reglamento interior de Cortes. No se admitió á discusión otta del Sr. Buey, que decía asir»Pido El Sr. Benito ttaanifestó que la resolución que anteriormente se ha á las Cortes que la m…</t>
  </si>
  <si>
    <t>…la acción insensible, pero eficaz rá que en donde son mas breves los trámites es donde hay menos libertad. y cierta del tiempo, acción que no es dado á los hombres acelerar tan El Sr. Romero: Quisiera que el Sr. secretario de la Gobernacioa to corno ellos quisieran. El estado de la Nación ofrece en la opinión me digese si tiene noticias de haberse alterado el orden público á h del Gobierno garantías suficientes á la causa de la libertad; si &lt;uy m…</t>
  </si>
  <si>
    <t>…icia nacional evitar en lo sucesivo semejantes -ocurrencias. No sé si estos serúu los de un pueb'o inmediato , que ha aprehendido dos, y persigue á los de antecedentes que pide el Sr. Romero. mas. No hay ninguna otra. £1 Sr. Romero: En aa de Enero hubo una conmoción en Sevilla, F.l br. Marau: . No hay noticia de los sucesos del 17 de Febrero? y creo que fue motivad i por la entrada de Campoverde y Albistur pa Ei hr. sccr Urio de la Gobernación: D…</t>
  </si>
  <si>
    <t>…sage del Rey no las autorizaba pa da exclusivamente de este negocio importante, y tomando las noticias ra ello. convenientes, y oyendo al Gobierno, proponga lo que estime conve El Sr. Romero opinó que este expediente podía pasar á la comisión niente. de Legislación: el Sr. Ojero fue de parecer que debía pasar i la de In El Sr. Alix manifestó , que los sucesos escandalosos de que se ha fracciones de Constitución; y habiendo manifestado el fr. Argu…</t>
  </si>
  <si>
    <t>…oficial de las ocur levantes , dando cuenta á las Cortes del motivo de esta excepción. rencias de hoy, y sí de las de ayer. A pocu tiempo se presento el coro- A la misma otra del Sr. Romero, para que ademas de las proposi ron-1 y dijo que no había reunión alguna en el puente de Segovia. ciones aprobadas por las Corres anteriores, se exijan en la* personas Cuando la comisión se retiraba para anticipar al Congreso esta noti- agraciadas los requisi…</t>
  </si>
  <si>
    <t>…e un ficaciones, y no se puede decir que es contraria á la Constitución, y por objeto seductor, en mi dictamen no puede aprobarse. lo mismo creo que las Cortes deben aprobarla. El Sr. Romero apoyó la proposición, y manifestó que eran muy El Sr. Falcó deshizo algunas equivocaciones que dijo habia padeci distintas las circunstancias políticas de la época á que el Sr. Arguelles do el Sr. preopinante. se habia referido, respecto de las circunstancias…</t>
  </si>
  <si>
    <t>…e puede haber habido en el manejo y distribu Asimismo se tuvo por primera lectura la siguiente proposición del ción de los caudales, se diga al Gobierno remita con su dictamen lo« Sr. Romero: «Pido á las Cortes deroguen .os art». 138 y siguientes referidos trabajos, para que á consecuencia de ellos una comisión espe hasta el 143 inclusive, capítulo iadei reglamento Jel gobierno interior cial que se nombre al efecto proponga á las Cortes lo conven…</t>
  </si>
  <si>
    <t>…u conducta politca, es cosa muy diferente, y de se á ia elección de otro diputado. cuyo examen ha debido abstenerse la comisión. Esta solo habla en su Había un voto particular del Sr. Romero, el cual , fundándose en dictamen de que se den las cuentas, único objeto en que debia enten que la muerte de Ca imano no podía haber llegado a noticia de los tíre der , y ha prescindido de todo lo demas. te res de partido de Sevilla, debía entrar á reemplaza…</t>
  </si>
  <si>
    <t>…robada anteriormente, ¡a cual se retiro i desempeñar su encargó Las Cortes oyeron con satisfacción la manifestación que las hacia el se mandó pasar a esta comisión una adición del Sr. Romero, na Gob erno de que SS. MM. y AA. continuaban sin novedad en su im tiva á que habiendo seguido el egército enturo ei noble impu.so del pri portante salud. mer batallón de Asturias, se hic.cc txuns.v* i la benemérita guarnición L t&gt; Cut ■» quedaron enteradas d…</t>
  </si>
  <si>
    <t>…que yo miraré siempre coa te. es ias circunstancias en que se encuentra actualmente la Nación. mucho respeto. Los acontecimientos que se han notado últimamente, la observación El Sr. Romero: Ei Sr. Arguelles ha dicho que esta ley se pudiera de que ciertas personas votaban unánimes á favor dst ministerio , cier «ludir muy fácilmente; mas ya creo que siempre produciría algún efec tas provisiones que el Gobierno ha hecho ds los destinos de su atrib…</t>
  </si>
  <si>
    <t>…an por un reparto entre lo* de la Pe nínsula , acompañando el informe que se le pidió á consecuen vecinos. cia de la propos cion que hizo el Sr. Giben en la sesión del dia 3 de El Sr. Romero manifestó que deseaba saber si la aprobación de este Junio de 1811 , relat.va al establecimiento de camellos en España; y dictamen podía tener el inconveniente de que otros muchoaayuntamiendecía que para llevar á efec’o dicho proyecto convendría señalar un to…</t>
  </si>
  <si>
    <t>…onstitución y los días de la i&lt;eina deberían venir los Sres. di correo con la correspondencia para Ultramar.” putados de trage de ceremonia. Se aprobó la siguiente proposición del Sr. Romero: «Pido a las Se levantó la sesión á las tres menos cuarto. Cortes que tanto en la discusión de las bases de Hacienda, como en las demas que ocurran para determinar el plan de contribuciones públicas ARTICULO DE OFICIO. y arreglo de presupuestos , no se dé nin…</t>
  </si>
  <si>
    <t>…ro primeras bases preli hacer creer al pueblo que los artilleros usaban de sus cañones, haciendo minares. estallar para este fin unos petardos ó truenos que tenia ocultos en un El Sr. Romero dijo acerca de la primera base, que si se había de sitio contiguo al paseo del mar, bien que no logró su intento, pues principiar por reducir la suma total de las contribuciones á la cantidad que los habitantes uo se dejaron seducir de esta estratagema ; y qu…</t>
  </si>
  <si>
    <t>…vo la repetición de ta dos de dos mandarines que 1:0 piensan en otra cosa sino en asegurar les daños. , sus destinos. ¡Quién pudiera pensar tal de -A’lmodovar I May lejos- data £1 Sr. Romero dijo , que sin entrar en el examen de las verdaderas ban-mis paisanos de pensarla: asi cuando le proclamaron por capitón "ges causas que habían originado las ocurrencias de Valencia , ie parecía ncral de aquella provincia:*, después de haberlo tacado ds un ot…</t>
  </si>
  <si>
    <t>…no concuerdan en algunas circunstancias; por cuya* CORTES razones opino que no debe admitirse la proposición. XKxsisiMciA su iiitoi ancu. Sr. Salvá: Me parece que lo dicho por el Sr. Romero estriba en u* principio falto, pues el Sr. Blak no pide que se dicte una providencia Stiion txíraordinar'o dtl *4 dt Marzo. legislativa, sino que se diga al Gobierno que exija la responsabilidad 4 Tos que le hayan engañado. Los sucesos de Valencia son de dcma…</t>
  </si>
  <si>
    <t>…segun penmsu'a y GiKir» debían existir noticias y datos interesantísimos para da de Legislación. " , el obj to. El Sr; Gal ¡ano tomó I* palabra diciendo; Hace día* que estoy en El Sr. Romero dijo que estaba satisfecho del reto de los indivi- cargado de presentar una íet ¡citación é las Cortes del escuadren de ar duos de la comisión; pero que el objeto de la proposición era excitar-' tillería que compuso parte del egército da S. Fernando , lo que…</t>
  </si>
  <si>
    <t>…Ja Constitución lian pululado por todas parles. sentadas en la sesión de ayer por los Sres. Canga y otros. ¿ Y por qué! Porque son el producto de elementos coexisfentes y casi El Sr. Romero apoyó Ja proposición manifestando que no podía ser precisos ai restablecimiento del sistema. Yo he dicho antes que no nos perjudicial el que el Gobierno dije.e las providencias que había toma dejemos adormecer ni seducir por el funesto aliciente que nos prese…</t>
  </si>
  <si>
    <t>…a la firma recusaciones, y declarar si ton ó no admisibles; y es menester lambí.n en el papel original. que esta especie de juicio no dilate ó entorpezca demasiado el curso del El Sr. Romero dijo que la ley hablaba de original, y que este era el negocio principal. Por consiguiente entiendo que este artículo debe vol manuscrito, y no un egemplar ya impreso: los inconvenientes que se ver á la comisioo para que lo vuelva á presentar con la claridad…</t>
  </si>
  <si>
    <t>…tión de ti este dictamen se discutiría por partes ó convenientes para que no haya los fraudes que se observan. en su totalidad , y se mandó leer el articulo 104 del reglamento. El Sr. Romero apoyó el dictamen de la comis.on, manifestando El Sr. Saiva di ¡o que estando el dictamen dividido en tres par tes, de que los muchos abuso* que se notaban con motivo de pagar las gratifi bía discutirse la primera, que es la que trata de las fiestas. caciones…</t>
  </si>
  <si>
    <t>…ritos y circunstan de electores de partido ha de aer triple al de los diputados que se han cias. Aprobado. de elegir; y ain embargo ha habido muchas elecciones, y han sido apro El Sr. Romero leyó por primera vez el dictamen de la comisión es badas , en que no ha concurrido cate número triple de electores. Pot pecial sobre visita de tribunales, con el proyecto da decreto que hable último, lo dispuesto acerca de que el diputado electo haya de reuni…</t>
  </si>
  <si>
    <t>…ey absolvió á D. Vicente Maureso, rogas- una ley de las Cortes. responsable de dicho artículo, en cuya consecuencia se, mandó alzarla Despu •* de haber apoyado esta proposición el Sr. Romero, mani la fianza, declarando que esta procedimiento no le debía perjudicar ea festando que no tenia el carácter de ley como suponía el S. Castejon, tu reputación. qu dó aprobada, retirando la comisión la última porte,como había pro __D Leonardo Gil de la Cuest…</t>
  </si>
  <si>
    <t>…leyó el ar tros frutos; y como quiera que la proposición de que se trata tiende tículo i.° ( Véaje la ¿aceta He ayer.) directamente á eso, creo que las Cortes deben aprobarla. El Sr. Romero manifestó que la distribución de las existencias por El Sr. Surra: Todo el mundo conoce muy bien cuál es el estado el método que habia indicado el Sr. Setos en la sesión de ayer no sa actual de nuestra marina, y nadie dudará que es preciso buscar un re podía…</t>
  </si>
  <si>
    <t>…a servido de regla, el artículo nes expresadas en las órdenes de las Cortea de 17 de Mayo de 1813 debe aprobarse. 15 d: Setiembre de 1810; y ademas los ayuntamientos de los pun Ei Sr. Romero impugnó el artículo, manifestando que de obligarse ios , cabezas de partido , y los que tengan mas de 800 vecinos; que á los pueblos á/que se suscribiesen al Diario de Cortes resultarla inde dando estas corporaciones con obligación de archivarlos y perpetuarl…</t>
  </si>
  <si>
    <t>…sar te para traer las pruebas de los pueblos que esten á alguna distancia, esta consulta á las Cortes. podría suceder que ni seis ni auu so fuesen suficientes pera traer las de £1 Sr. Romero manifestó que la comisión de Legislación no habia otros; pero como las leyes no se hacen para los casos extraordinarios, pedido los antecedentes de que se hacia mérito. sino para los ordinarios, es preciso arreglar á estos los términos que se El Sr. Salvé man…</t>
  </si>
  <si>
    <t>…s de mucho vecindario po Lo que de Real orden tras’ado á V. para su inteligencia y cum dían ponerse coadjutores que ayudasen al párroco. plimiento. Madrid 11 de Abril de 18; u. El Sr. Romero expuso varias razones en contra del dictamen de la Emrrt -tito na.-ion.ti de 40 rt-.’i.re:. comisión , y manifestó entre otras cosas que el artículo que se discutía no tenia relación con las proposiciones del Sr. Ordufia , sebre las cua Deseindo los Sres. de…</t>
  </si>
  <si>
    <t>…idad del poder judicial sobre los demas po ben aprobar el dictamen con la generalidad que se ha presentado. deres merece mucho la atención de las Cortes. Estoy por decir que la El Sr. Romero apoyó el dictamen de la comisión , y entre otras co Constitución se resiente de la influencia de los muchos magistrado* sas manifestó que no podía menos de producir muy buenos resultado* que intervinieron para formarla; porque en efecto, según las bases sobre…</t>
  </si>
  <si>
    <t>…ar una visita en to efecto. Pero veo que la gran medida que se propone descansa sobre las dos ios tribunales. buenas cualidades que pueden adornar á los candidatos; de modo que El Sr. Romero propuso qu: se añadiese al artículo para mayor cla vamos a oponer aquí cualidades morales de una persuna contra las de ridad las siguientes palabras: » Que han de ser visitadas.” Con lo cual otra persona, y podríamos afirmar por experiencia que tal vez ias Co…</t>
  </si>
  <si>
    <t>…xpediente, opinaba que pasase Madrid Vúmti 19 de Abril. a la comiiion de Legislación para que propusiese las aclaraciones con venientes á la* dudas indicadas. Aprobado. CORTES. El Sr. Romero leyó el dictamen de la comisión primera de Legis ISBISIVCU OKI *Sf&gt;OX VALDBS (DOM CAYETANO). lación , la cual, despuea de haber examinado el proyecto de ley de 7 de Junio de 1811 sobre señoríos, devuelto á las Cortes por S. M. en 7 Sethsi del 19. de Marzo últ…</t>
  </si>
  <si>
    <t>…debían determinar que »e pa minales.” sase inmediatamente á la sanción de S. M. el cóidigo de que se trataba. Después de haber hablado algunos Sres. sobre la generalidad de las El Sr. Romero manifestó que el código penal podía mu» bien tres proposición :s, se declaró estar comprendida la primera en el artí tener un vacío, faltándole algunos requisitos esenciales, dimanad.» tal culo too del reglamento. vez del modo con que habian sido aprobados gr…</t>
  </si>
  <si>
    <t>…encia pública de Madrid. Por el presente cito , llamo y emplazo 4 cado las dos copias de que se trataba. todos los que se consideren con «ferccho 4 los bienes de los mayorazgos El Sr. Romero manifestó que para cotejar una copia con su origi titulados de Quijada , que últimamente poseyó D. Antonio María de nal no se necesitaba ningún decreto de las Cortes. Quijada, que se denunciaron en el tribunal extinguido de mostrencos be preguntó si se declar…</t>
  </si>
  <si>
    <t>…se alguna inexactitud «o el duplicado ni tiempo de Sres. de la comisión se conforman con esta variación. liarse, ¡debería corregirte en aqacfmistoo instante, y pasar ia* copias El Sr. Romero manifestó que no te podía decidir ti la comition se corriendo é la puerta ptra que la diputación la* lferate á palacio ! Por conformaba con esta variación, á menos «fe que no se fennicte pan todas rátrazones que te han alegado yo no encuentro motivo para trat…</t>
  </si>
  <si>
    <t>…de los que se nombren desde hoy en adelante y que de otro modo habría que derogar muchos decretos de Cortes. no lo gocen, suponiendo que esto estaba mandado por el art. 1 a del Ei Sr. Romero expuso qu: en su opinión era preferible el dic decreto citado. Pero la t ¡unión del Gobierno no es esta , porque aquel tamen de la comisión del Gobierno al de la de Hacienda , por rebajar artículo dice: » Las viudas y los huérfanos de los empleados efectivos…</t>
  </si>
  <si>
    <t>…e creyese que entorpecía este negocio, i.1 La que resulte de la rebaja general de sueldos (aprobada ante cuando su desea y su interes eran que le reemplazase otro. riormente. ) El Sr. Romero dijo que la comisión de Legislación había creído a.* Deberá pasar 4 le date de imprevisto general la suma de un que no estaba en el caso de dar su dictamen sin tener 4 la vista los an millón que con este nombre se pide, bajándola de este presupuesto. tecedent…</t>
  </si>
  <si>
    <t>…abia d modo de remediar finé solo é hacer ver que arte desobedece á las Cortas , f^ttadn i la iim perjuicios. Constitución y al respeto del Congreso, y é que esto puede ser muy El Sr. Romero reclamó coa arte motivo uno proposición que te trascendental. Hay un artículo en la Constitución que dice que todoa nia hecha. los diputados serio juzgados por el tribunal especial de Cortes. Ade Ei Sr. Frat dijo que ana no te hebra podido dar cuenta de el la…</t>
  </si>
  <si>
    <t>…dos: desearíamos dotarlos con prodigalidad; seminario por un ahorro mezquinó cual era el que se proponía. pero nuestras actuales circunstancias no lo permiten. Los pueblos nece El Sr. Romero apoyó el parecer de la comisión, manifestando que sitan ser aliviados en las cargas, cuyo enorme peso no pueden soportar. los sueldos de los turtos de que se trataba no pesaban sobre los fondos Es preciso no perder de vista que muchas partidas pequeñas forman…</t>
  </si>
  <si>
    <t>…sino el derecho que compite a uno para disfrutar un* eos* v dispo pronunciado en una sesión anterior. ner de ella i su arbitrio. Siendo pues un derecho . claro es que e^t. r.v El Sr. Romero como de la comisión: Me parece que esta discusión puede existir s n que haya una ¡ey que lo sostenga La prop edad r.o e« se ha llevado mucho mas allá de lo que se debí a , á lo que han contri ertra cosa nías que la obra de la l.y , la cual ofrece esta garant…</t>
  </si>
  <si>
    <t>…según tas circunstancias de en discusión sobre este asunto, y que estas discusiones debían cortar cada uno. se, porque, en cierto modo comprometían a los Sres. secretarios del El Sr. Romero dijo que los presbítero* de que se trataba se habían Despacho. trasladado á Rosna para obtener mas fácilmente su secularización , y no El Sr.'presidente manifestó que creía se había ya cumplido el ob habían podido volver á tu patria por diferente* motivos; y…</t>
  </si>
  <si>
    <t>…te bastan dos diputados para asistir al parto de dos Infantas, y habían de ser las contribuciones. Por estas razones se opuso al dictamen aunque sea al de too. ele la comisión. Él Sr. Romero se opuso i la proposición, por cuanto en el regla El Sr. Canga indicó que el objeto de la comisión no había sido otro mento se prevenía terminantemente que asistiesen dos Sres. diputado* que desembarazar la distribución del presupuesto que te está ventilan al…</t>
  </si>
  <si>
    <t>…e este número, y asi creo que esta comisión debe ser nombrada aprobar, sino que es el mejor modo de no ofender á los propietarios de por el Congreso. pastos ni á los ganaderos. El Sr. Romero deshizo algunas equivocaciones padecidas por los El hr. Lodares: II: tómalo la palabra no para impugnar el dicta Sres. Bel da y Casas , y manifestó que no hay necesidad de que est» co men de la comisión , sino para llamar la atención del Congreso sobre misión…</t>
  </si>
  <si>
    <t>…inadores quisiesen hacer una in igualmente lo quedaron la 7/ y 8/ sin discusión. justicia á vista del público. Se leyó una adición del Sr. Falcó al art. 5.0 de este dictamen, y El Sr. Romero dijo que debia suprimirse en la base que se discutía SC mandó pasar á la comisión. la palabra habilitación, porque suponía una dispensa de ley, y la base Se levantó la sesión á las once y media. no contenía ninguna; y que el artículo debería decir: » Un mismo…</t>
  </si>
  <si>
    <t>…encuentro se puede hacer á aquella corporación. que las Cottes dibán aprobar el dictamen de qu*- se ttauha. Pero hay mas: el tribunal supremo ha conocido del recurso de nulidad El Sr. Romero: Se ha hablado de los procedimientos de la audien de un modo diferente del que previenen las leyes que arreglan los trá cia de Valladolid, y se ha querido teten.r que han sido conformes i mites de los procesos. El artículo 11, capítulo i-° de la ley de 14 de…</t>
  </si>
  <si>
    <t>…de Hacienda los que no tuviesen clases, á fin de que creo que debe aprobarse el dictamen de la mayoría. por esta se reclame el reintegro de los bienes del intere-ado, si los tu El Sr. Romero : Cuando se dió la ley de y de Octubre estaba ya viere, y en su defecto quedarán á carao del erario público. De orden sancionada la Constitución, y por consiguiente no estamos en el caso de ias Cortes lo comunicamos i V. E , i fin de que dando cuenta i que ha…</t>
  </si>
  <si>
    <t>…cons drr; ciones, y por los gravísimos males que siempre se siguen tículo 19 de la ley de 9 de Octubre. de prodi.'ir d mas ado la interpretación de las leyes, se opuso al dicta El Sr. Romero: Impugnaré solamente esta segunda solución que men d ’ la mayoría de la comisión. presenta la comisión en el caso de que se ausente ó se imposibilite por El Sr. Casi jon: Yo entiendo que aquí no se trata ni de una ex cualquiera causa un juez de primera instan…</t>
  </si>
  <si>
    <t>…ades y personas á quienes toque su brarse un juez interino que despache el juzgado. vigilancia; pudiéndose entender esta determinación (si i.» Cortes ia te La otra observación del Sr. Romero,sobre que ha llamado la aten nían por conveniente) como aclaración del decreto de 17 ce CXtubre ción del Congreso, prueba tanto, que en mi concepto prueba demasia- de 18 ao. Aprobado. do. Dice que resultarán perjuicios graves á la administración de justicia E…</t>
  </si>
  <si>
    <t>…rumpir sin que d- un a.t j po«- gún modo puede aprobarse la elección hecha por la provincia de hevóla. t r:or r. suite una r.u va d.spo» c.on lestamentana, porqu - e» ifripn, - El Sr. Romero: Da* obj-cones son las que se han puesto al dicta b que est- acto s-con» der - como un a c nt nuac ».n de pr.mer. ; d .1 men de la comisiou: ‘a primera redueda á a mu dad del acta r r mismo modo la sejunda ¡unta el cto-a no pu le lampo.o c;--i t -ar,e la excl…</t>
  </si>
  <si>
    <t>…el ofi La comisión de Hacienda, en vista de la propuesta del Gobierno cio que habia motivado el dictamen. sobre establecimiento de intendencias , proponía se admitiesen por las Él Sr. Romero impugnó el articulo, manifestando que el estado de Cortes los siguientes artículos. los pueblo* no permitía que te le* recargase con ninguna especie de au i.J Qje se establezcan dichas intendencias, á saber: cuatro de pri mento; por lo cual, aunque reconocía…</t>
  </si>
  <si>
    <t>El Sr. Romero hizo presente que la palabra actu.ilrs era poco con Cortes decorasen correspondarle el sueldo de magistrado ata egeicici» forme a la naturaleza de unas ordenanzas que debían tener cierto carác desde ia expresada rehabilitación hasta que el Gobierno le coloque…</t>
  </si>
  <si>
    <t>…stitución á petición del Art. 5.0 m Cualquiera pueblo que tome parte activa en la sedición, Sr. Riego. ó proteja las intenciones de los facciosos, será considerado en estado de El Sr. Romero manifestó que la comisión no tenia Ínteres alguno sitio , y sujeto á las leyes de la guerra. en que se aprobase ó desaprobase el dictamen, que Labia presentado etl Art. 6.a *» Las casas de religiosos de Poblet y Escotnalbou , en que vista del remedio que exig…</t>
  </si>
  <si>
    <t>…o que debía proponerse; y que las impugnaciones que se habían hecho no económico-político de las provincias. contra el artícu'o no presentaban ningún fundamento sólido para que El Sr. Romero manifestó que no exigiendo este asunto un pronto las Cortes dejasen de aprobarlo. despacho, seria oportuno antes de tratar de él oir los informes de las Quedó aprobado ei artículo i.° diputaciones provinciales , Oiyos conocimientos prácticos podrían con Art.…</t>
  </si>
  <si>
    <t>…vo tTpronto'despacho d*l ex era la mas constitucional de la Monarquía quisiese proclamar la inde pediente relativo ai segando diputado por' le proviheiide'Guipúzcoa. pendencia. El Sr. Romero contestó que la comisión se ocupaba en él, y pre El Sr. Soberon apoyó las ideas del Sr. preopinante, refiriendo las sentaría su dictamen i ia mayor brevedad/ ' _ causas que habían dado motivo á algunas inquietudes en aquellas islas, El Sr. Adan dijo que ayer…</t>
  </si>
  <si>
    <t>Fl Sr. Romero dijo que la proposición suponía 2a existencia de tiempo oportuno, pues en caso de haber este retardo no seria por culpa la comUion , y que esto nr&gt; era exacto, pues siendo especial para un de los interesados. Aprobado. oLjito determinado, luego que hilaia cum…</t>
  </si>
  <si>
    <t>…ps sustitutos; que por consiguiente estaba bien que los ayuntamientos formar un reglamento sobre la materia. no fuesen responsables de la deserción de los pnm.ros mas que hasta El Sr. Romero manifestó que los antecedentes de que se hacia mé que se entregasen en la caja , pero no asi respecto de los segundos , pues rito obraban en la comisión de Legislación , porque también pensaba debían quedar responsables de ellos por el m.smo tiempo , y en la…</t>
  </si>
  <si>
    <t>…s seis años señala que en él se lleva es la de que no suceda lo que hasta ahora, á saber dos por la ley.” que sienta plaza un muchacho sin licencia de sus padres; y los inconve El Sr. Romero se oposa é él * manifestando que ya que se había nientes que de aquí resultan los salva el artículo. Dice este ademas que concedido i ios individuos de la milicia activa que voluntariamente ae le pregunte á ios 18 años si quiere continuar en el servicio, ya s…</t>
  </si>
  <si>
    <t>…recaudación tan completa como se hubiera do el termino diezmatorio á que se extienda su jurisdicción.” hecho si te hubiese podido verificar ames. Por lo cual, j estando ya tan El Sr. Romero dijo cnlic otra* cosa* creía que 00 debía darse 4</t>
  </si>
  <si>
    <t>…rse padecido una equivocación en la rebaja d: D parti tirá también i la diputación con dichos documentos. da del presupuesto de este ramo, con respecto á la i.Dnacon a! *-stado El Sr. Romero hizo varias observaciones contra el artículo, á las mayor del mDran, y lo hacia presente a las C-&gt;it;s pn-a ios Bnra coovecuales contesto el Sr. Marau. ■tem-.'s. Se acordó que pasase á la comisión de H.»c rdi. H Sr. Merced i No me parece que está en armonía e…</t>
  </si>
  <si>
    <t>…ios qu - d bian ventilarse en las sesiones ha qué casos te había de acudir á este y no á la diputación provincial. bían &lt;l&lt;- s .lauree con mirla.on. Quedó aprobado al artículo. El Sr. Romero contestó que el objeto de la comisión era especifi Art. 4¡. ’■ Los a) untamientos extraordinarios se convocarán por car las obligaciones de los alcaldes y distinguirlas de las de los ayunta el presidente , cuanío 'o ex. jan ios negocios que deban ti atarse ,…</t>
  </si>
  <si>
    <t>…e que se le admita en dpsisilo la mitad de El Sr. Surra hizo varias reflexiones contra esta proposición. un crédito que tiene contra el Estado paia poder obtener Ir revalida de El Sr. Romero d jo qu: la comisión d.bia haber fijado su atención cirujano, á lo que se habla rehusado la junta del proio-medicaio. principalmente en el repartios.ento de ios terrenos be'.d.os , p-op ,n,en Otro de la misma para que igualmente se pasase al Gobierno la solí»…</t>
  </si>
  <si>
    <t>…oridades n-' . , . por expreso aquella revolución; y Peredo y Brisado anunciaban alli sus Se leyó el art. 4.a conducta*. Ayer entró el b rgantm Alerta. Hay en esta bahía varios El Sr. Romero manifestó deseaba saber qué rariñes habían movido buques extrangerot, entre ellos ua ingles con algodones , que no se aire* á la comisión para proponer 1* supresión de uno de los escuadrones de ve é desembarcar por tener que venderlos al fiado, y pagar unos d…</t>
  </si>
  <si>
    <t>…el proyecto , y rina que se habia hecho, no siendo posible de otro modo vencer les difi en su consecuencia se leyó el art. 1 •“» y quedó aprobado. cultades. Se leyó el art. a.® El Sr. Romero dijo que en el repartimiento te habia gravado ex El Sr. Merced se opuso £ ¿I diciendo que el censo de que se había traordinariamente i la provincia de Sevilla, considerándola para esta valido la comisión no era exacto, y que habiéndote dado £ la provin repart…</t>
  </si>
  <si>
    <t>…muchas comisiones no menos inte para que atendiese el Gobierno i cubrir las obigac onet del Estado, resantes. no habían .autorizado 4 aquel ministro para contratar el emprruii* Ei Sr. Romero , después de manifestar la urgencia de este asunto, y •n lo* término* que lo habia hecho; y que lejos de haberse atenido el el tiempo que ha trascurrido desde que se nombró la comisión, sin Sr. Vallejo 4 la ley en esta Operación , la había traspasado, esublcc…</t>
  </si>
  <si>
    <t>…os de servicio, y que era necesario dar mas claridad mento ú otra función del servicio.” Aprobado. al artículo. Art. 7.0 » Para que no alegue ignorancia que le exima de la pena Eí Sr. Romero dijo que este artículo no podia pasar del modo que de inobediencia qus cometa conocerá por sus nombre* á los cabos, sar estaba ■■atínd do; que la idea era justa y conforme al interes general; gentos y oficiales de su compañía , y á los ayudantes y gefes de su…</t>
  </si>
  <si>
    <t>…su cabo respectivo ha de pasar le nótate alguna falta, será llería ó minas, ó escalasen la muralla , ó hiciesen dafio en la estacada.” mortificado según su gravedad.” Aprobado. El Sr. Romero dijo que debía sustituirse la palabra castigado i la Art. 37. n Si viese incendio, oyese tiren , reparase pendencia ó de mortificado. cualquiera desorden dará pronto aviso á su cabo; y ti catre tanto que H Sr. Garoz te opuso también á la palabra mortificado.…</t>
  </si>
  <si>
    <t>…adi.ior.ald; 1819, y decreto de 14 ellos al Sr. Novella. Barcelona 39 de Mayo. de Mayo de 1811. En los periódicos de esta capital »c publican las siguientes noticias: Ad.cion del Sr. Romero; - Pido se encargue á la comis on de Tenemos ditos para anunciar que el espíritu de la provincia de Léri- Guerra que tenga á la vi-ta la ordenanza ¿le reemplazos de 18'e. ¡a éj va mejorándose notablemente, y que mediante el zelo de aqu i gefe instrucción adic…</t>
  </si>
  <si>
    <t>…cordó que pasase al á las casas contratantes. Si las Cortes dijesen: en este momento desco mismo con urgencia. nocemos el préstamo; no queremos pasar por las operaciones de! Go El Sr. Romero presentó una exposición de la diputación provincial bierno , la otra parte contratante seria capaz de sostener su d rech i an de Sevilla, haciendo varias observaciones sobre la instrucción del go te el poder judie al, no para juzgar de ¡as cosas que sonde la…</t>
  </si>
  <si>
    <t>…ias muchas dudas srbre ei decreto de 11 de vieron parte en el restablecimiento del sistema constitucional. Setiembre, y que se solicitaba declarasen lis Cort:s quiénes eran los Kl Sr. Romero d jo que no lo bailaba conforme con las promesas comprendidos en dicho decr. to; por 4o qu; la comisión se h:-l&gt;¡.i visto que habían hecho los generales Quiroga y Riego á los soldados del egér- precisada a hacer esta aclaración , ateniéndose á lo dispuesto en…</t>
  </si>
  <si>
    <t>…echo los pueblos en tar que en lo sucesivo la Nación no reconoce otros patronos para la la pasada guerra. presentación de beneficios eclesiásticos sin» al Rey, con arregio á la El Sr. Romero hizo algunas observaciones contra el articulo, y so IConstitución, y á los obispos, conformándose á lo preven.do en los bre que la comisión presentase el proyecto de decreto que proponía de* cánones y en los decretos de las Co: tes* bia verificar el Gt-bierno…</t>
  </si>
  <si>
    <t>…ado en favor del sistema constitucional antes de que dor biso otras varias reflexione» en apoyo del dictamen. S. M. te resolviese á hacerlo asi; pero cuando ya había mandado se El Sr. Romero dijo no entendía cómo era que la comisión tratara convocasen Cortes, y reclamó la consideración del Congreso en favor de de llevar ¿ efecto el decreto de 11 de Setiembre, cuando por otra par algunos individuo», en corto número, dal regimiento infantería de ls…</t>
  </si>
  <si>
    <t>…s 1 j® hombre* de la milicia activa, y no *e extenderá de vista. De consiguiente desapruebo la proposición. en mas razones para probar una cosa que á su parecer es muy obvia, y El Sr. Romero dijo: El Sr. Isturiz ha dicho que la iniciativa de po de que no pueden menos de estar persuadidos todos los Sres. diputados. ner la milicia sobre las armas correspondía al Gobierno; pero yo con En cuan'.o á la segunda proposición los que la han suscrito tiene…</t>
  </si>
  <si>
    <t>…a el mismo día 18 precedieron al arresto de GpCort-s; por todo lo cual creía d bia aprobarse el articulo. piní, justifican la necesidad de adoptar aquella medida: necesidad que El Sr. Romero manifestó que encontraba una contradicción evi so’o podía calificar la misma autoridad que la mindó. De consiguiente dente entre este artículo y el decreto de las Cortes para el repartimien siendo las circunstancias de aquellos días tan árduas, como es consta…</t>
  </si>
  <si>
    <t>…eda mantenerse una familia El Sr. Benito dijo, que pudiéndose calcular exactamente lo que de cinco personas. costarán los &gt;»9 hombres sobra las armas durant* los ocho meses, de El Sr. Romero dijo que habiendo de ser las suertes iguales en valor bito darse al Gobierno las cantidade* que pedia el Sr. secretario del necesitarían las unas ser mayores que las otras, según la diversa calidad Despacho; y que debiéndole dar luego las cuentas de la invers…</t>
  </si>
  <si>
    <t>seguiría inmediatamente la destrucción del arbolado, ea el coa! cifra* n Sr. Romero contestó qne no se excluía á eaant por cuento %*7nin bao tu subsistencia una multitud de pueblo», so podiendo meaoa de guna ley nene efecto retroactivo. llamar la atención de la» Ornea aobre estos grarfsum» perjuicio* «juc El Sr. Isturiz opinó qne debería ifa…</t>
  </si>
  <si>
    <t>…to público. Hizo presente con este motivo las resultas igual obstáculo, tratándose de darle nueva forma. q je habia tenido la mudanza del sistema de Hacienda , diciendo que por El Sr. Romero fue de parecer que siendo este gefe un empleado falta de fondos se hallaban desatendidas las principales obligaciones del público , tu nombramiento debería hacerle el Gobierno, como igual Estado. mente el de todos los demas, pata no faltar en cosa alguna á lo…</t>
  </si>
  <si>
    <t>…afio ig, y la indignación con que fue recibida esta con porcionaJ mente por el orden que i los demas. tr .bucion, la cual fue quizá una de la* cautas que mas influyeron en los Ei Sr. Romero dijo que el plan en grande se reducía i establecer fatales sucesos del afio de 14. Tencmoa ademas, prosiguió, la experien dos clases de contribuciones , directas é indirectas, y a formar después de las primeras una masa común para que cada pueblo pudiese llen…</t>
  </si>
  <si>
    <t>…eo haber con mente. Cuando s? trate de cada una de estas medidas, entonces vendrá testado al Sr. Galiano. bien el examen de los males que con ella se quieran remediar , y enton El Sr. Romero manifestó que el Sr. Galiano se había dirigido con ces vendrá bien el que ia comisión nos instruya sobre este asunto; y me sus observaciones á impugnar el preámbulo del dictamen de la comi parece que será inútil n que al discutirse este asunto en su totalidad…</t>
  </si>
  <si>
    <t>…de ganadería, con adictos, y poder contar con sus votos; mas sin embargo Ja comisión exclusión de ia que se destinare á la labranza. estaba ya de acuerdo antes de haber hablado el Sr. Romero, en que £1 di consumes sobre la población respectiva, combinada con la dichos oficiales pudiesen ser reelegidos, reuniendo una mayoría de las mayor ó menor riqueza de cada país; lot puertos de mar que compren dos terceras partes de los votantes sin necesidad…</t>
  </si>
  <si>
    <t>…ARTICULO DE OFICIO. sumos ; asi pues la comisión había obrado con conocimiento y expe riencia en este asunto. El Sr. secretario del Despacho de la Gobernación de Ultramar dice El Sr. Romero dijo que se daban muchas facultades á los ayunta con fecha de ayer desde el Real sitio de Aranjuez lo que sigue: mientos, y que acaso abusarían de ellas, por cuyo motivo pidió que el » SS. MM. y AA. continúan sin novedad en su importante salud} articulo vo'vi…</t>
  </si>
  <si>
    <t>…go de contribuciones deberán quejarse adon municiones necesarias, según el uso que deba hacerse de ellas.” de corresponda; y por ¿ timo que de establecerse ia base que había in El Sr. Romero opinó que el armamento y fornituras en vez de en dicado el Sr. Ferrer resultaría ei gravísimo inconveniente de que las trega rti á los ayuntamientos se debían entregar á los gefes de las milicias. graduaciones de los capitales serian muy bajas, y no se podría…</t>
  </si>
  <si>
    <t>…arca, y que hizo de él un grande elogio: que se le no sobre los individuos qu: le hubiesen compuesto. dió una grande cantidad de dinero pata el resub ecimicnto de las iglesias, El Sr. Romero opinó que debía redactarse el artículo en otros tér y se le encargó que formase una lista de todos los sciotas .residentes en mino» mas claros. Constantinopla á fin de que los casados p rmmecieran tranquilo,, y El Sr. secretario de Hacienda manifestó que por…</t>
  </si>
  <si>
    <t>…anquilidad del Estado; que no pudiendo el Gobierno privarles de Se leyó y aprobó, el acta de la anterior. esta influencia ni de sus funciones, como puede á los demas empleados, El Sr. Romero presentó una exposición de la compañía de cazado era necesario darle un medio, supletorio para contenerlos en la línea de res del primer batallón de la milicia -voluntaria da Sevilla, pidiendo su deber i que esta influencia era de tal naturaleza , que se habí…</t>
  </si>
  <si>
    <t>…¡d. Por cada carreta de bueyes, el par ao. Sexta guardando la proporción de las clases indicadas en la primera especie. id. Cabañas de muías , por cada una 3. Segunda especie. El Sr. Romero dijo que en atención al estado de decadencia en que Primen c'ate de repartimiento. Fábrica, de jabón blando, por cada te hallaba la arriería de la Ntc.oo parcela excesivo el asignar *4 rs. por caldera de mu de 20o arrobas i9 rs. Segunda de mas de 150 arrobas,…</t>
  </si>
  <si>
    <t>…to ra! , prebendado de Mondofiedo , para que se le trasladase á Barcelona, advirtieren digno de su noticia.” opinando que se pasase al Gobierno para que si las prebendas de Bar El Sr. Romero dijo que cuando muy recargadas las diputaciones celona eran de igual valor que les ríe Móndatelo accediese i la so provinciales no convenia aumentar mas sus ocupaciones. licitud. El Sr. Isturiz contestó que era muy importtnte que las diputacio Otro de la comi…</t>
  </si>
  <si>
    <t>…dice Ei Sr. Canga manifestó que en la impresión se hab ati cometido er que te nombren , y no que te elijan. rores tipográficos de gravísima trascendencia en los nombres de ia» El Sr. Romero , como de la comisión , contestó: Que esta solo ha provincias y en los guarismo»; y por lo mismo convendría 1 coger lo* bía considerado el hecho de no haber en el Congreso sino tres diputa impresos que se habían repartido, r mandar imprimir de nuevo la re dos…</t>
  </si>
  <si>
    <t>…n boa, y en la segunda 48a. Tercera id.: en la segunda. Quinta id. id., 100 en la primera y 80 en la segunda. en la primera población 600, y en la segunda 0o. Cuarta id.: en la El Sr. Romero opinó que debían ser comprendidos en otra clase primera población 400, yen la segunda 240. Quinta id.: en la pri los arquitectos , escultores &amp;c. qu: habían quedado exceptuados por armera too , y en la segunda 1 ao. lícu.o expreso en el año anterior para fome…</t>
  </si>
  <si>
    <t>…a liar á los facciosos, darles todo género da protección, y en fin hostili esperarse que mudasen de conducta. zar á su misma patria, y que la Naciontan abierta y atrozmente ata El Sr. Romero contestó que no irrogándoseles perjuicios directos á cada no ha de poder vengarse como la justicia reclama. La conserva los jueces y magistrados por esta medida, y aun en caso de causárseles ción propia es la base y todo el fundamento de la justicia , y es me…</t>
  </si>
  <si>
    <t>…Belda, Marta, támenes : Bjey, Salivto , Ru¡z de la Vega, Lilío y Zulueta. Total 124. Una sobre la proposición del Sr. Cano, para que mientras no te ha En la marta pu di) electo el Sr. Romero por 98 rotos, teniendo yan liquidada los suministros hechos par los pueblos en tiempo de la 8 el rT. Afsnzo , 4 el 'r. Bustamante, 3 el Sr. Manso, 2 cada- uno de guerra de la Independencia no te les apremie por lai contribuciones los Sr s Nu'rr (ir. lo rls O…</t>
  </si>
  <si>
    <t>…do advertido un señor diputado que no se necesitaba esta li dola. algunas facultades del poder judicial. cencia pata verificado, ic declaró no haber lugar á det berar sobra le F.l Sr. Romero reprodujo algunas de las razones ya expuestas en fa referida exposición. vor de este artuu'o, yconc’uyo diciendo que era necesario ilevar ade La comisión de Hacienda era de dictamen, en vista de los méritos lante esta med da , para que los pueblos viesen que…</t>
  </si>
  <si>
    <t>…xtrafio que respecto de la milicia nacional local tuviesen que nistración de las demas rentas d-.l Estado.” acudir á los ayuntamiento», los cuales aparecían aquí como los coman El Sr. Romero propuso que despu s de las palabras considerándolos dantes de la milicia; y asi que desaprobado por las Cortes el art. 16Ó, no toma una carga de la renta , se dijese, entendiéndose esto sin perjuicio podia aprobaise el que se discutía de que puedan proponerte…</t>
  </si>
  <si>
    <t>…...................... 1.93 ,047 Se declaró comprendida en el art. 100, y admitida 4 discusión qiu&gt; Valencia..............-........!..... 7.831,793 dó aprobada una proposición del Sr. Romero, en la que pedia se sir Vizcaya.............................. 1186,749 viesen las Cortes d-clarar que el secretario del Despacho de Hacienda Zuñan................................. 1.104,215 •I presentar la memoria del ministerio de su ramo eu la próxima le lu…</t>
  </si>
  <si>
    <t>…eblo# vear y Surra, relativa á que no sean comprendidos en el repartimiento lo que proponía al Gobierno. los terrenos de monte que sirvan para combustible de los fabricantes de Ei Sr. Romero dijo que siendo este un asunto de la mayor impor fierro. tancia, no podio convenir en que las Cortes le resolviesen en el momen La comisión de Instrucción pública preeentó el aiguiente articulo to sin que pasase antes á una comisión. provisional: » El Gobiern…</t>
  </si>
  <si>
    <t>…S. Julián el a 1 la 117, habiendo tenido ¿a votos el Sr. Florea Calderón, uno el Scfior banda de Moten Antón, compuesta de unos 400 hombres, que dis Nuñez ( D. Toribio), y uno el Sr. Romero. persó completamente, causándole* alguna pérdida. Para vice-piesidcntc fue elegido el Sr. Domenech por 63 votos de — La dipnradon provincial de Barcelona intenta formar un cuerpo ex 110, teniendo 40 votos el Sr. Tomas, dos el Sr. Letre, uno el Sr. Ro pedicion…</t>
  </si>
  <si>
    <t>…ertenecía i las Corte* ex á los perpetradores de tamaños atentados, cuyo egerupio animo á ios traordinarias. enemigos del sistema á presentarse d ^caradamente 1 y aunque sus es El Sr. Romero dijo que el Gobierno indicaba que las Corte* ex fuerzos habían sido impotentes, habian ocasionado á ia Nación los traordinarias debían entender en este asunto. males, de cuyo remedio tenían que ocuparse las Cortes. El Sr. secretario Alonso dijo: La secretaría…</t>
  </si>
  <si>
    <t>…pronto remedio. Después de la revista de la limpieza per ciones de las Cortes ó de su Diputación permanente. sonal hará que cada uno en su presencia reconozca sus armas, y les qui Sr. Romero: Estoy de acuerdo con la comisión en los cinco ca te el polvo; concluido lo cual dará parte al sargento de estar su escua sos en que ningún militar debe obedecer 4 su superior; pero me pare dra aseada y las armas corrientes; noticiándole al mismo tiempo cual…</t>
  </si>
  <si>
    <t>…parte al sargento primero de la providencia y del motivo. la saliente , lo verifique á retaguardia. Art. 10. » Él cabo furriel entrará en escala con los demas cabos Otras tres del Sr. Romero, la una al art. 55, relativa i que ae primeros de su cuerpo; y ti fuese sargento segundo, con los de esta afiad.es n las siguientes palabras, »» pan impedir ó embanzar de algutt clase para sus ascensos; y les servirá de paiti-u'ar recomendación la modo la cel…</t>
  </si>
  <si>
    <t>…pellán del hospital ú otro, de dar luego cuenta al gefe del cuer el artículo debia dejarse tai como estaba. po para que lo prevenga asi al párroco castrense del regimiento, aña El Sr. Romero dijo que siempre en el lenguage familiar se les ha diéndose la que entonces hiciere por nota en el eapraado libro de pár bía llamado párrocos castrenses; y asi, que suplicaba i las Cortes tuvie rocos castrenses , los que dar&lt;n al pueb'o de que fue natural el…</t>
  </si>
  <si>
    <t>…dactar el artru'o de Leída y aprobada el acta de la antrricr , te (nandú agregar á el'» el modo que se comb nase la circunstancia de no privar la facultad d ha voto particular del Sr. Romero , contrario á la resolución de lat Cor cer una crítica justa, juiciosa y razonable, y la de conservar al mismo te» tobre el art. &gt;4 , cap. ao de la ordenanza militar ti mpo todo el rigor de la disciplina militar, y que á su entender se se mandó pasar á la com…</t>
  </si>
  <si>
    <t>…su* representante* citan acorde* en lat El Sr. Soria dijo que este asunto exigís el iminarse con la nupr idea*. detención , aunque había creído que era d: aquellos en que no de El Sr. Romero dijo qu? al pato que acordaiea la* Cort*s la fuerza bían presentarse ningunas dificultades. Que también habsa creído qu: que *c pedia era precito al mnn» tiempo fijar la fuerza con la cual antea de entrar en esta discusión la principal cuestión que d.bia 1 xa…</t>
  </si>
  <si>
    <t>…robado el cimiento «Rastraría ul vea el ánimo da alguna* vocales é convenir con articulo. el voto del presidente. Art. 99- v Cuando un cuerpo por hallarte en marcha ú otro moti El Sr. Romero manifestó que ademas de ser muy interesado el pre vo extraordinario retarde la propuesta algún mee, este incidente no sidente en que la elección recayese en la persona mas digna, era preci perjudicará á los interesados, que obtendrán siempre la fecha de la an…</t>
  </si>
  <si>
    <t>…e el artículo; que resida en el mismo distrito militar. pero redactándolo de otro modo que tenga mas claridad. Art. lo. » Lo mismo podrán hacer los coroneles de los cuerpos con El Sr. Romero fue de parecer que el artículo tendría toda la clari respecto á las compañías que esten sin oficiales, nombrando otros del dad que se desraba, st se añadían después de la palabra instrucción las mismo regimiento para que las manden interinamente. ” Aprobado.…</t>
  </si>
  <si>
    <t>…o 4 bien. El Sr. Pedralvea dijo que el Gobierno no bebía sido tan feliz en In Ota proposición á la Corta. expresión como en la idea, pues no debía ser objeto material de la dis El Sr. Romero: El Sr- Savedn ha impugnado con mucha sabidu cusión el reglamento que proponía, cuando las Cortea tenían In cos ría la proposición de que se trata , por lo qu? puco queda que d:cir so bré ella; mas sin embargo yo me propongo combatra probando: i.°tumbre de en…</t>
  </si>
  <si>
    <t>…eren expresa El Srt Falcó dijo que'no se babia referido á la disciplina antigua mente en el art. a.'-" «le la Iglesia ni á la ordenanza anterior del egército , sino á la actual El Sr. Romero: Que deb'ria añadirse adhesión i la Constitución-, á disciplina; á lo que repuso el Sr. Velasoo qae si &amp; S. convenía en’ lo que contestó el Sr. Velasco, que esto estaba prevenido en el articulo qne bibirStda cota en la otdentnra antigua que produjese ventajas…</t>
  </si>
  <si>
    <t>…servir, del mismo modo que la gendarmería francesa, para hagan en la discusión de cada artículo de por sí. oprimir los pueblos: por todo lo expuesto me opongo 4 que las Cortas F.' Sr. Romero: Las explicaciones que acaba de hacfr el Sr. López declaren hib.-r lugar 4 votar sobre la totalidad de este proyecto. del Baño me parece que no satisfacen 4 las objeciones que pesan sobre el El Sr. Arguelles: En todas época* he sido enemigo de lo que te liapr…</t>
  </si>
  <si>
    <t>…litos en las circuns que es enteramente inútil. Establecer nuevamente una ley que ya está tancias actuales. solemnemente decretada es volver al uso de los tiempos deantaiio, en El Sr. Romero: Yo desearía que los Sres. de la comisión dijesen que una misma providencia se repetía rail veces; de lo que resultaba por qué han puesto esta palabra ayudantes en este artículo, y la cual una confusión tan grande , que no se podian egtcutar las leyes según n…</t>
  </si>
  <si>
    <t>…pidan lo» encargados da j El Sr. Canga: Lo que quiere el Sr. preopinante es que se quite el la policía.’* &lt; nombre de policía; y esto no puede ser, porque no habría tal rrgla- El Sr. Romero ss opuso á este artículo , manifestando que ene' he 1 mentó, ni á este se le había de encabezar Reglamento provisional de cho de decirse trup.t permanente, y mas ade.ante la nací.nal, se indica segundad pública, palabras de que no usa la Constitución. ba que…</t>
  </si>
  <si>
    <t>…do en ¿I tiu ládanos españoles. El Sr. Adan-. La com'aion hi reconocido ya como ju*ts la observa Art. 5.0 » Quedan sin embargo sujetas á la inspección de la poli ción hecha por el Sr. Romero acerca de la pa'abra nacional. El Sr. Me cía las casas pút&gt; ¡cas de fondas, mesones , posadas, figones, bodegonea, ló ha dicho que no tenia inconveniente en que te expresase milicia hosterías, tabernas, cafes, casas de bebidas , las de licores , las de jue na…</t>
  </si>
  <si>
    <t>…que debe hacerse con respecto á ello* ; pero aquí de. Con esto creo haber satisfecho a! Sr. preopinante. se necesitan medidas extraordinarias para quitar esa especie de gusto ó Ei Sr. Romero hizo prc&gt;:nte que en este crticu o no se d.sti-.guiaa satisfacción en tomar las arma* con los facciosos; porque no nos alu los casos en que los vecinos d.bian pr st..r aui i.o, m tampo. j »• indi cinemos, es mas que escandalosísima la deserción de los vecinos…</t>
  </si>
  <si>
    <t>…hospedarse i un cuarto particular lo toma tria , edad , destino y tiempo de la residencia de cada persona.” sen en una fonda ó posada, el cual en su opinión debía respetarse co El Sr. Romero observó que no se hacia mérito en este artículo de mo una habitación particular, y no ser registrado por ningún individuo los procuradores síndicos de los ayuntamientos, los cuales tenian por de ayuntamiento. las nuevas instituciones la misma consideración qu…</t>
  </si>
  <si>
    <t>…Romero: En mi concepto la totalidad del proyecto se redu embarazado para llevar 4 cabo esta d.termmacion. ce 4 cuatro puntos; i saber: las autoridades encargadas de ia policía El Sr. Romero ba atacado el dictamen de la comisión, reptando sanitaria: medidas que han de adoptarse : las penas que i: han de im las observaciones que se han hecho por alguno, »:íi ores diputado,; pero poner 4 los que infrinjan las disposiciones sanitarias; y por último…</t>
  </si>
  <si>
    <t>…n adornadas de los mismos sentimientos é ilustración que fus de parecer que no debía aprobarse el d'cramen. los Sres. secretarios del Despacho! Seguramente que no, de lo que re El Sr. Romero: No entraré á manifestar .'a, razones de política y sulta qu: se pueden cometer abusos, que generalmente se atribuyen i de conveniencia que están en favor de esta medida , porque las alcanza ias mismas personas que usan de estas facultades. cua limera: por lo…</t>
  </si>
  <si>
    <t>…t&amp;ria de los países Ibres: citaré la libro manda trasladar á otro punto, claro es, como ha dicho muy bien el y poderosa Inglaterra ; Ignora el Sr. preopinante que en tiempo de los Sr. Romero, que prefiere en su interior el deseo de conservar la acti Estuardos no podían a gunos vmp’eados r.s dir en la capital por las le tud en que se halla para maquinar contra «1 sistema, al sueldo que dis yes qu: s: hicieron can este ohj lo! Citaié también otro e…</t>
  </si>
  <si>
    <t>…a poderosa de que se ha hecho uso para impugnar esta me proposición para que asi lo declarasen las Cortes. dida es qu: no tenemos poderes para alterar en nada ninguna base esta El Sr. Romero: Ninguna de las medidas qu: se han presentado es blecida en la Constitución: ¿con que no tenemos poderes para adoptar de mas importancia que la que acaba de sujetarse á la deliberación de todas a pullas medidas que puedan salvar i la patria en la crisis en qu…</t>
  </si>
  <si>
    <t>…GBRAS. ae desplome el magnifico edificio de la Constitución, que se ha cons truido y recuperado á coste de tastos esfuerzos. ALXKAVIA. Es digno de todo elogio el ardiente zelo del Sr. Romero, y me e* Leipsick ( Saxsmia ) 4 de Octubre. muy doloroso el tener que impugnarle algunas ideas que no están con En medio de la aflicción general que causan i esta nación, tan adic formes con las mías: no contestare á todas una por una ; pero me pro ta á su fa…</t>
  </si>
  <si>
    <t>*5rS Que no befa juicio» públicos «a Espala, creo que no debe admitirte El Sr. Romero ayer, valiéndose da argumentos turramente n.¿eesta idea; y si la comisión hubiese presentado medidas que se d-tira niosot y de las mismas leyes , pretendió probar que no se estaba en el sen de esta base, yo las bubicra aprobado; y aun dij-o mas , esta pissdi—…</t>
  </si>
  <si>
    <t>…ivil, tiene su apoyo en las leyes, y seque de &gt;a A pesar de que las leyes en esta pirte, como dijo muy bien el Bondad ó malinilad d: estas leyes pende la libertad ; y por lo mismo Sr. Romero, no dan motivo para laa imputaciones vagas sobre la dilio entraré riim nar esta cuest on por el aspecto político bajo ei cual fic.il captura de un delincuente, no me podrá negar ningún hombre la han m-rado en sus discursos los res. Arguelles y Ga lano; y asi…</t>
  </si>
  <si>
    <t>…á cias ti-nen aquel semblante de arduas, d: dtfic les y de crit cas, que pre. Jos funcionarios públicos. veyeion nuestros legisladores, y que estamos en el caso de dispensarlo F.l Sr. Romero dijo una verdad, pues cuando t nemos la ley d: 11 de que s: previene en este artículo , que preveyó la Constitución y sus au Setiembre de 1810, por la que catan autorizados para detener a (oda per tores. sona sospechosa, cuando tenemoi la excepción de ia rest…</t>
  </si>
  <si>
    <t>…s , al paso que haga efectiva u indem de ii de Setiembre de ■ 810, adoptándose eu seguida la proposición nización de lo» daños ó perjuicio» que i- ocas oorn. di las Corte» se del -Sr. Romero.” Se declaró comprendida en el art. too del regla hallan como yo penetradas de las v-ntaja, que ofrece la m d.da e n la mento. variación qu* h* propuesto, esp.-to se servirin resolver q-e vuelva á A petición de un Sr. diputado ti layó *1 art. 140 de la Consti…</t>
  </si>
  <si>
    <t>…nos de un pueblo, y en otro igual núme solutamente en el dictamen de los facultativos. Sobre lo que ha dicho ro de estas con sus números correspondientes, sentándose después en al Sr. Romero, relativo á que los facultativos deben mudarse lodos los el acta los nombres y números que sucesivamente van sacando los mozos, dias para que no haya soborno, se me ofrece decir que las autoridades £1 Sr. Alix apoyó las ideas del Sr. Olí ver, manifestando que…</t>
  </si>
  <si>
    <t>…mpeño." El .T Gómez (A. Manuel) apovo ia Op-n on d-l h: r; va , v d -o El Sr l.-c-rra: La comisión de-: - Los rrlrados del serv-cio mi que quedaba en toda su fu-rz«, por cuanto el Sr. Romero i.o hab a sa litar por hab r cumplido seis anos ... i" r-tuidn, por ñah. r cumpl - do s-.- rs lóle, l.o á las razones que s- habían alegado rn contra. aros. ;Vs- reí.tai n d ' servicio por 1-jH r cump do ». s año- ' No se E .Sr. Jn-ante . El Sr. Rom -ro ha co…</t>
  </si>
  <si>
    <t>…pudiendo ca siese ó no quisiese al precio de 50 ó 6o rs. , cuando ahora la compra á sarte no 'o ver Scase. 12 rt. En las aduanas también ha tenido mejoras, pues te han rebajada El Sr. Romero apoyó el dictamen de la comisión, ampliando las los derechos que en ellas se pagan. El repartimiento de los baldíos lo ideas propuestas por el Sr. Tejeiro, y en seguida quedó aprobado. deben los pueblos también á las leyes dectetzdas después del restableci Se…</t>
  </si>
  <si>
    <t>…no se dijo que lo truidos, y acreedores á alguna consideración, tanto por las razones que quedasen los fabricantes y comerciantes, que no pueden quedarlo por había manifestado el Sr. Romero, como porque en muchas universi la razón que exponía la comisión, y porque concurrían otraa circuns dades la mayor parte de las cátedras las sirven doctores jóvenes en cali tancial con respecto ¿ los labradores. dad de interinos, y con cortas dotaciones, por…</t>
  </si>
  <si>
    <t>…icios militares, ó ya en perjucio de los efectos que que he indicado. existan ó se custodien en los mismos." Se declaró este asunto suficiantement? discutido , y quedó aprobado El Sr. Romero manifestó que en el código penal tenia la palabra el artículo, sustituyendo a la paiabra españoles las s-,mentes: todas sedición muy diferente* acepciones de las que en este artículo le daba las personas que excitm a la tropa á que cometan frv. , y suprimiend…</t>
  </si>
  <si>
    <t>…pera nna expedición secreta, dadanos ; pero que si las Cortes lo tenían i bien podía admitirse ia adi verificándolo la Ligera an combinación el ay, dlrigiéndow é Curazao. ción dzi Sr. Romero. El Sr. Aillon manifestó que no habiendo quedado los facciosos y El Rey. é consulta del consejo 4» Betade, ae ha servido nombrar malhechores suj-tos al fuero militar, tampoco lo debían estar los espías. para la judicatura de primen instancia «leí partido de l…</t>
  </si>
  <si>
    <t>…*e dirá al cuerpo representativo El Sr. Sotos dijo que podía extenderse este artículo con ma* clarisa I. que estas son usurpaciones y, atentados! Yo creo que este es un exceso El Sr. Romero: Esta última parte del artículo creo que está en de zelo; pero permítame S. S. que le diga que la Nación tiene ub de Oposición con lo prevenido en los arts. 1 jó y 157 del código pena!; recho primitivo y originario para decretar el número de eclesiásticos seg…</t>
  </si>
  <si>
    <t>…apiobar ei artículo en los términos que »&lt; ridad.El Sr. Infante contestó que el artículo en su concepto tenia toda la halla concebido. claridad que deseaba el Sr. preopinante. El Sr. Romero fue de parecer de que en lugar de la pa’íbra d - si El Sr. Romero dijo que al expresarse la palabra derechos deberían tar se pusiese la d; ejercer , y mas adelante en .ugar de esta ?q-r. : a , de añadirse las siguientes: concedidos á los ciudadanos españoles.…</t>
  </si>
  <si>
    <t>…os términos contra el artículo, añadiendo que era incompatible el cargo de tura en que se halla concebido. do e n el empleo militar, porque las atribuciones del primero exigían El Sr. Romero: El articulo que se discute en mi concepto es injus muchas veces la concurrencia á un cierto punto y á una hora determi to , redundante y anticonstitucioual. Ei Sr. Oí.ver p„ra demostrar su nada ; y que si á esta hora s« le daba la orden al militar para que f…</t>
  </si>
  <si>
    <t>…que le corresponde. En cuanto i la segunda parte del artículo, qu# __Se decia en Paris que S. A. R. el duque de Angulema baria á fi trata de los derechos municipales, ha dicho el Sr. Romero que era in nes de Octubre un viage á la Francia Meridional, es decir, á los Piri útil expresar lo que en él se dice, porque el soldado no es vecino del neos, y que ya «taba nombrado un batallón de guardias para acompa pueblo donde reside ; pero S- S. sabe bie…</t>
  </si>
  <si>
    <t>…, que es el mayor de todos los ex st-nci* de la conspiración : ¿en estas circunstancias ser-mos crimí males. nale» en adoptar las enérgicas medidas que propone la comisión? No, El Sr. Romero : La comisión ha manifestado estrictamente al Con señores, no lo seremos. greso que su ánimo es suspender los requisitos constitucionales para el hitas circunstancias indican la necesidad de una ley fundamental, ob|rto que indica. Yo quisiera que te me demost…</t>
  </si>
  <si>
    <t>…r lo mas secreto, de qus Ja suya. muchas veces dependa la fortuna de un comerciante. He aquí el moti El Sr Romero al paso que convino en el fondo del articulo, opinó vo por qu¿ el Sr. Romero con mucha sabiduría ha propuesto una adi que debia darseI : mas latitud, para que los particulares no fuesen vícti ción que evita muchos da estos abusos; mas no son estos solos los qúa mas de un resentimiento personal, como podría suceder aprobando el s: pu-d…</t>
  </si>
  <si>
    <t>…era otra dase de escritos , se miran con respeto, te en Se leyó el artículo g.° Qftast la misma Gaceta.) tregan al interesado, y tolo se ocupan aquellas cosas que deban inventa El Sr. Romero: Me veo precisado á m pugnar cate artículo, por riarse. Este procedimiento, lejos de haber producido muchos males como que no creo que debe aprobarse. Para oto r. j reproduciré ios argumen 1m dicho el Sr. preopinante, es una de las garantías que tienen ios ar…</t>
  </si>
  <si>
    <t>…ar asta artículo en gefes políticos practiquen las primeras diligencias. los términos que han visto las Cortes, y la ninguna fuerza de los ar En otro de tus argumentos ha d.cho el Sr. Romero qoe ai el pro gumentos que se han hecho contra él. ceso es instructivo en cuanto está en mano* del gefe político , no basta Para verificarlo se necesita mucho método, porque es menester que luego para el conocimiento d- la cauta, y tendrá el juez que ampliarl…</t>
  </si>
  <si>
    <t>…. diputados fuesen presos mediante la facultad de los lo misino no puede tener lugar esta observación. _ gefes políticos, no se diría por r.j otros enemigos que habían sido pri El Sr. Romero: Por el dictamen de la comisión se establece una vados de su libertad porque había sospechas d- conspiración, sino que diferencia entre los secretarios del Despacho y los diputados í Cortes, se atribuiría i que sus opiniones no eran conformes con las del Go r…</t>
  </si>
  <si>
    <t>…e me ha ocurrido una idea que manifesté en la legislatura anterior, g considero opuesto a la Constitución. rn la que no insistí porque el Gobierno ofreció tratar del mismo asun El Sr. Romero: La Constitución dice que la casa de un español ea to , proporcionando ventajas. El abandono de los presidios manotea la an asilo inviolable; pero todo el mundo sabe que puede allanarte esta considero mug útil. Estos cuestan 1 a millones cada afio, con loa cu…</t>
  </si>
  <si>
    <t>…re ellos se forme el ju El Sr. Villaboa: Entre los grandes y difíciles negocios que han rado de acusación. ocupado hasta ahora la atención de las Cortes, ninguno á mi juicio es Kl Sr. Romero: Son varias las reflexiones que ha hecho el Sr. pre mas digno de su detrnimiento, de su zeloy aita justicia que el que es opinante contra el dictamen; una de ellas es el influjo que egercerán las objeto de la presente discusión.Se quiere, Señor, que para veni…</t>
  </si>
  <si>
    <t>…idad de funcionario; y con tu egemplo digo: mih: OtJio , Ga/éa, Vitetliui, nt: benejtch , nec inju,.d cluyó manifestando que debia desaprobarse esta parte. coiniti. A petición del Sr. Romero se leyeron losarla. 481 , 723, 479 Una persona, de que hablaré i su tiempo, y que solo se designó con y 3 r 1 del código penal. el destino de fiscal militar de una causa célebre, ha procedido al arres El Sr. Navarro Tejeiro: Mi digno compañero el Sr. Salva ha…</t>
  </si>
  <si>
    <t>…nto la iniciativa del Gobierno. Este ha pe que era inoportuna , porque dejaba las cosas conforma estaban. dido á las Cortes la fuerza que necesitaba , y no creo que el Congreso El Sr. Romero manifestó que -.cria maa conforme con el espíritu se decida á decretar un aumento de fuerza que no se ha pedido ; y asi del art. 4.0 de la Constitución el que no hubiese excepción alguna; paro la comisión dice muy bien que pase este asunto al Gobierno. En la…</t>
  </si>
  <si>
    <t>…en qu s: esc. ptú’n los vestidos de sus mugeres, sí ó por medio de procurador con poder bastante al efecto. porque pueden contraer d-adt. con U Hacienda nacional de diferentes Él Sr. Romero opinó que lo que establecía este artículo era mas modos, ya en el disempcño de! cargo de cajero, ó ya en la conducción bien objeto del código civil que de ia ordenanza, por no ser un asun de caudales ácc. , y est- es un delito de ¡os mas horribles en la mili…</t>
  </si>
  <si>
    <t>…s I s mas prostituidos y desmoralizados: para su escarmiento ramos mento para todos los efectos legales.” nosotros á formar parte y á unirnos con este valiente y generoso eaér- El Sr. Romero manifestó que este art culo no pertenecía 2 !as or c.to, que cubierto de laureles y patriotismo, llena de terror y espanto denanzas, sino al código de procedimiantos militares, y per turro i los traidores perjuros que mancillan nuestra santa Constitución. pro…</t>
  </si>
  <si>
    <t>…para que distinguiese el caso en que el mi «te tiempo no podrán ser nombrados para unos ni para otros de dicho* litar se hallase en camuña ó en guarnición. empleo* municipales. El Sr. Romero manifestó que el Sr. preopinante había incurrido en Art. 4.0 o Aunque según el artículo anterior pueden ser nombra una equivocación, pues había dicho que el artículo trataba solo del in dos para los empleos ó encargos municipales que en él se han expresado ve…</t>
  </si>
  <si>
    <t>…la autoridad del Rey en ei a:t. 171 de ia fanatismo. Constitución ; y por tanto que las Cortes no necesitaban daz una au NOTICIAS DE ESPAÑA. torización sobre esto al Gobierno. El Sr. Romero: La com.sion propone que se epntebe la rquísicion J.di Sebastian 8 Je \uiitmbre. de caba'los en las provincias, sal.diciendo el importe de e ics las di Nuestro Libera! Guipuzeiams publica las siguientes noticias. putaciones provincia:?* on los fondos que troc…</t>
  </si>
  <si>
    <t>…s presupuestos de sus obras y gastos, á fin Je que estas to puesto por los señores que la habían precedido en la palabra. mándolo en consideración resuelvan lo mas conveniente. El Sr. Romero: Como la comisión se funda en qua' por el decreto El Sr. Isturiz pidió que se leyese la ord o de la&gt; Cortes de 19 de Ju de 29 de Junio no se derogaron lo» arbitrio* consulares, y este supuesto nio último ; y verificada su lectura dijo: La simple lectura de es…</t>
  </si>
  <si>
    <t>…ía Constitución declaración previa ! En el art. z6¡, entre ias air.buc.one* to del señor preopinante. del tr bunaí supremo de Justicia , es la segunda la de juzgar á los secre El Sr. Romero pidió que se leyese el tít. a.3, plrr. 4° de la orde tario, del Despicho cuando las Cortes decreten haber lugar á la for nanza m.litar. mación de causa , y la cuarta la de conocer de las causa» criminales da El Sr. Malo: Los argumentos del Sr. Olirer, que ha…</t>
  </si>
  <si>
    <t>…se todos ios individuos de «Illa para aaxü .rs: términos positivos lo que debía hacerse en este caso. por todos los m:dtos posibles para defcndir su iibcrtci.l y &gt;1,. J-re hos; El Sr. Romero dijo: En el caso que un secretario del Despacho «a fin sus deberes son defender al Estado; y pregunto yo ahora : ; va la» conspire y tea aprehendido in fraganti (que indudablemente puede serlo circunstancias en que se encuentra la E.palia en el da, y particul…</t>
  </si>
  <si>
    <t>…ar competencias, y de providenciar por sí en los casos estado de luces de la Nación y á sus circunstancias. de poca consideración, dando siempre parte de cuanto sobre estos par El Sr. Romero: Si se tratase de que el Gobierno tenia la iniciativa ticulares ocurriere á su comandante para que tome las providencias que de este negocio, con vendí ia desee luego con el dictamen de la comi juzgue oportunas, si están á su alcance, ó dé parte al comandante…</t>
  </si>
  <si>
    <t>…ción no han querido tocar; antes bien han procurado, con una in fitul.t. :\’¡:s heJi.n c.n lt 1 ru.j’-.íV.ij tención que es inútil caracterizar, alegar sus razones confinas á la H Sr. Romero pidió se leyese la Real orden de 21 de Aeosto de guerra en una exposición pomposa de sentimientos pacíficos, y exage este año; y verificad! que fue su lectura, expuso que ¡ba a impuenar rando las fuerzas y medios de defensa con que han tenido á bien grati el…</t>
  </si>
  <si>
    <t>…ía con lacoimsion; pero no como lo también concediendo amnistías. Que en cuanto é lo que habia manifes propone, porque é mi entender presenta una idea anticipada de indul- tado el Sr. Romero de que aquí no habia indu to, y que tampoco existía genc a í los criminales que atacan abiertamente las libertades patrias. conveniencia pública , ¿I diría que ninguna cosa mas interesante que Ciertamente que para que las penas produzcan de un modo cumplido e…</t>
  </si>
  <si>
    <t>…er y Belda apoyaron las adiciones, y fueron de pare lando millones de renta en inscripciones del gran libro.” cer debía desecha;»- el dicUmen de la comisión; a lo cual volvió á El Sr. Romero manifestó que este asunto er„ de mucha gravedad, contestar el Sr. Infarte. ■yr que en su concepto (filaría diferirse su discusión para otro dia. Declarado en seguida el punto suficientemente discutido, se puso á El Sr. Fetrer (D. Joaquín): La comisión rn su d…</t>
  </si>
  <si>
    <t>…e las mismas; asi que superior para que se corrijan.” no creo debe haber inconveniente en aprobar el artícu!o. Art. 11. » Corresponde la observancia y egecucion de lo que *e- Í El Sr. Romero: A pesar de las razones que ha dado el Sr. Infante fialan los arts. 33, 38. 40 y 43 dsl cap. i.° de este artículo, i loa yo creo que el artículo del modo que está redactado no puede producir comandantes militares de provincia en las suyas respectivas , y para…</t>
  </si>
  <si>
    <t>…e vencer y predomipar el partido de la razón y de ia )usticia rina. sobre el del terror y el de la impostura. La uniou que produce una bue Se mandó insertar en el acta el voto del Sr. Romero, contrario fi na causa tiene ademas á su favor la superioridad intelectual de los indi la aprobación de los arts. 39 y 40 del cap. t.° del tít. 9° de las orde viduos que componen su fuerza; pues vale mucho mas menor fuerza nanzas sobre comandantes generales.…</t>
  </si>
  <si>
    <t>…l terreno no permitiese que la guardia entrante so ei servicio correspondiente á infantería. coloque á continuación de la saliente , se formará á retaguardia de es A propuesta del Sr. Romero se añadió después de las palabras » pe ta : y tanto en una como en otra formación , egecutada que tea , te uni ro en falta de estaslas siguientes : &lt;*0 no siendo suficientesy que rán los comandantes de ambas guardias para hacer la entrega del pues dó aprobado…</t>
  </si>
  <si>
    <t>…te El Sr. Ojero pidió se leyesen los arts. *4 y 35 de lo* aranceles. ai-dio porioo ha producido 40 millones, y al omino tiempo que el El S'. Canga el 343 de la Constituc.on , y tí Sr. Romero ei art. 3.a impuesto de aduanas ha producido una cantidad muy pequeña en com del dictamen de la comisión , lo cual se verificó. paración de cato* 40 millonea. Eato partee que encierra una especie de El Sr. Ferrer (D. Joaquín) : A pesar de que ton conocidos lo…</t>
  </si>
  <si>
    <t>de lo&gt; testamentos de que trata debe tei par* un tiempo determinado. que antea en cualquier estado de ellas te hubiese presentado alguna de El Sr. Romero dijo que la Opinión del Sr. Giroz no te oponía al las personas allegadas, de que se hace mérito en el art. 11, á loa albaartículo , 7 que por lo miimo podían lat Corte* aprobarlo *in perjuicio ceas del testador, en cuyo caso cesará todo procedimiento de ofici…</t>
  </si>
  <si>
    <t>…ago de deudas á favor de los propios y arbitrios , pósi diputación. tos y otros fondos comunes de los pueblos.” El Sr. Lodaret: El Sr. Buey ha impugnado el artículo, fundado en El Sr. Romero: Solo impugno est: artículo por la razón de qu: que no está acorde con la ley fundamental, porque no se deja una ter concede í las diputaciones provinciales una facultad privativa d: Jas cera instancia i los que se consideren agraviados, por lo cual ha pre au…</t>
  </si>
  <si>
    <t>…e verificó. dó volver á la comisión. Ei br. Seoaae: E. br. Buey se ha ant -ipado á lo qu: yo iba á con Art. 91. r&gt; Hn cuanto i la reducción i propiedad particular de lo* testar ai Sr. Romero. La comisión no i.a aecho mas que cop.ar esta terrenos de propios y baldíos se arreglarán las diputaciones provin mismo artículo que se acaba de le-r; y dic.endose en e. qu. ¿esoues ciales a lo que está resuelto por las Cortes.” Aprobado. de. viito tuina d: l…</t>
  </si>
  <si>
    <t>…con.i'j.t: por m ■&lt;!.•&gt; del s-cretai 10 del Despacho de la (juer- Cion del nombramlento de capiluares » ra , por conver,11 al s_rvicio que nada se practique que no sea Común y hl Sr. Romero: No sé por qué razón se ha de dar por este artículo uniforme á lodos los cu rpos si.-l cce cito. á las diputaciones provinciales una atribución que ni por la Consi tuArt. .4. •* fct. Lad.t guarnición tomarán seguras noticias de si los cion m por lis leyes íes…</t>
  </si>
  <si>
    <t>…n las noticias que he recibido, continúan los tico de la provincia, pagada de lo: fondos públicos de esta. facciosos de Navarra retirándose hacia el valle de Roncal perseguidos El Sr. Romero opinó que seria conveniente que en las secretarías por el general Torrijos: con este motivo he dispuesto pase súbitamen de las diputaciones provinciales te dividiesen los negocios por seccio te una columna de aoo infantes y 30 caballos al partido de Cinco-Vi-…</t>
  </si>
  <si>
    <t>…provine a, y cuyo sueldo será que la comisión deb: retirarlo. una cuarta parte menos que el del oficial mayor.” E¡ Sr. M lo: Aunque apruebo el artículo no me hallo s:n embargo El Sr. Romero: Para la resolución de este artículo es preciso que se conforme con una de sus cláusulas. Se dice en él que ¡as diputaciones tenga pr-sente que los empleados de las diputaciones provincaes tten.n prov nc al-s podran remnver á sus dependientes por razona de eo…</t>
  </si>
  <si>
    <t>…eguir a lo» fa * la matricula, y en tas de presas los mismos , oyendo á los asesores cieses. militares. Se contávaó la discusión sobre la instrucción para el 9.tierno econó-n VaEl Sr. Romero: Pido se lea el decreto de las Cortes de *7 de Abril fuático de las prozin.ias. de este alio, (se leyó.) Art. 164. n Los oficiales .escribientes r porteros que sirvan acto !El Sr. Atacar: Pa:a mi es una cosa indudable que las materias de mente en las diputaci…</t>
  </si>
  <si>
    <t>…el Gobierno debe disminuirse el número de delin turaleza de estas corporaciones el imponer por sí multas. cuentes; p ro como el estado de las provincias, no es este, es preciso El Sr. Romero: Yo encuentro muy conveniente y muy á propósito poner una fuerzaproporcionai al estado en que se encuentran. para que las diputaciones provinciales puedan desempeñar bien sus funSe ha dicha que será muy gravosa atendido el estado de las provin ciones el que t…</t>
  </si>
  <si>
    <t>…cuestión , pier de toda su fuerza si se atiende á lo que se propone en el art. 176 de PRESIDENCIA DHL SxftoK OUVER. esu instrucción que aclara mas el asunto. Sesión del dia 3j. El Sr. Romero .* No me parece que sea muy exacta esta expresión Se lepó y aprobó el acta de la anterior. del artículo que dice de buen gtb-trno, porque mirada bajo su verda Se mandó pasar é ia comisión del Código de procedimientos una ex dero sentido no se limita solamente…</t>
  </si>
  <si>
    <t>…idad pública , del buen orden, E- Sr. Gómez fijeena: Si está aprobado por las Cortes, dbcrá subsistir. de la seguridad de las personas y bienes de sus habitantes , de la cgccu- El Sr. Romero pidió se leyese el art. 324 de !a Constitución, que cion de las leyes y órdenes del Gobierno, y en general de lodo lo quo previene que el gobierno poi-tico «le ia* provincias resida en el ph pertenece al orden público para la mayor prosperidad de ia provincia…</t>
  </si>
  <si>
    <t>…deberá residir en la capital en los dias en que la diputación parece qu; debe de,aprobarse el artículo. provincial celebre sus sesiones, á las que deberá asistir como individuo El Sr. Romero pidió qce se leyesen ¡os arts. 224 y 33 2 de ¡a presidente-, pero si se le ofreciese salir á a’gun pueblo de la provincia Constitución. con un motivo dé conocida urgencia, podrá hacerlo.” El t Becerra : Lo que propone ¡a comisión en este a-t’culo no es Art. 1…</t>
  </si>
  <si>
    <t>…ia tienen que exponerse á mucho* lo demás la comisión está pronta á admitir la variación que ha pro riesgos para desempeñar sus funciones; y por esta razón ha querido la puesto el Sr. Romero. comisión ponerlos en el mismo caso que á los oficiales del egército El Sr. Aillon pidió que se leyese el art. 16 del decreto sobre el para que puedan optar I tu retiro. plan de Hacienda; verificado lo cual dijo: Por este artículo se ve qua El Sr. Romero : Yo…</t>
  </si>
  <si>
    <t>…en oficio del secretario del Despacha de h Gobernación de la dase de los negocios que hay pendientes fu éi. Península, relativas al ceremonial que ¡.aya de observarse en la fun El Sr. Romero propuso que se suprimiese en -I artículo 'a parte si ción cívica decretada para el i.u de Enero, propone á las Cortes que se guiente: Uno y oírtj tendrán voto {-.era .i;: i r tn ca.o .7e empate ¡ coa resuelva del modo siguiente: lo cual 1: conformó ¡a comisió…</t>
  </si>
  <si>
    <t>…revenga en uso Se aprobaron los artículos anuientes. de lo que la Constitución concede al K y en el art. 171.” Art. 263. » Los gefes políticos de las provincias confinantes con El Sr. Romero: De cualquiera manera que sea la delegación en los país extrangero avisarán con toda prontitud y puntualidad al Go gefes políticos de la facultad que tiene el Rey de arrestar á una per bierno, y aun á los comandantes militares , de todo lo que observen sona d…</t>
  </si>
  <si>
    <t>Romero, Agustín</t>
  </si>
  <si>
    <t>Agustín Romero</t>
  </si>
  <si>
    <t>…robados. para q-c se le concediese una pensión, opinaba que podía concede!seis La comisión primera «le L-gisUcion, informando sobre la exposición la de 4 rs. diarios. Aprobada. de D. Agustín Romero, vecino de Lorca, en la que pedia se declarase La misma, en vista de la exposición de D Gonzalo Lobo y M*n- que las persecuciones que había sufrido en lo* se» años del Gobierno dieta, pidiendo se le habilitase para obtener un empleo , opinaba que absoluto por…</t>
  </si>
  <si>
    <t>Romero, Angel</t>
  </si>
  <si>
    <t>Angel Romero</t>
  </si>
  <si>
    <t>…compuesta de sus ayudantes, los de estado mayor, con 30 caballos del — H-mos ¿do publicando en la gaceta todas las sesiones de las Cortes lrifmte á las órdenes del primer ayudanta D. Angel Romero, y a su de Portugal desde su principio hasu el fin, presentando un cuadro bas cab-za manió se pusiera su ayudante de campo D. Aniceto Lizana, ct tante regular de todo lo que han hecho los legisladores portugueses en cual debía marchar despreciando’ los fuegos…</t>
  </si>
  <si>
    <t>Romero, Bartolomé García</t>
  </si>
  <si>
    <t>Bartolomé García Romero</t>
  </si>
  <si>
    <t>…ón de los Josef María Quiñones, que lo es por la de Puerta-Rico; D. Juan A n•Ib otos pendient e: que pasado mañana se discutiría el dictamen sobra tonio Castejon por la de Madrid; D. Bartolomé García Romero por el empréstito rxtrangero; y qae esta noche te discutirían los asunto* la de Sevilla; D. Francisco Benito por la de Toledo; D. Manuel l i* abalado* para la sesión extraordinaria anterior, y si hubiese tiempo el fez C-lderon por la de Burgos, y D. Tor.bio N…</t>
  </si>
  <si>
    <t>Romero, Cayetano</t>
  </si>
  <si>
    <t>Cayetano Romero</t>
  </si>
  <si>
    <t>…eclesiástico de esta debían declarar si había ó no lugar á la formación de causa, y salieron M. H. villa ante el notario mayor D. Vicente de la Llave se mmda los Sres. siguientes: D. Cayetano Romero, D. Joaquín Cevallot, Don convocar por la gaceta y diario 4 Doña María del Carmen Echeverría Juan Fernandez Casariego, D.Isidro de Hoyos , conde de Florida-Blan y su madre Doña Concepción Zu’.uaga, 4 fin de que concurran 4 la pre ca , D. Valentín Nicolás , D.…</t>
  </si>
  <si>
    <t>…de Plasencia, despachado á favor da A su consecuencia se reunió el jurado, compuesto de los señores si Doña firianda de la Cerda en 14 de Abril de 1 |yo—Otro de un juroguiente»'. D. Cayetano Romero i D. Bernardo Asenjo; O. Josef María de 160,714 mri. sobra laa alcabala» de Ecija á favor da D. Pedro Lo.fuente; D. Pedro Metate; D. lino Campos; D. Antonio Sandalio de pez Portocarrero, á 13 de Marzo «la 1J64.—.Otro da un juro de &gt;6) Arias» D. Francisco Lope…</t>
  </si>
  <si>
    <t>…jurado, compues Recaudado por 3 to de los Sres. siguiente s: D. Valentín Hortigosa, D. Francisco de la débitos de ico-&gt; 91,376.. 6 12,376.. 6 Carrera, D. Joaquín Huerta Ceval .os, D. Cayetano Romero, D. An píos de siles..,J drés Alcon, D. Josef Antonio Ponina , D. Francisco Mattinez Mari Salitre, azufre) 7.8S4 658.. 9 7.'PS &gt;5 na , D. Antonio María Esp jo y D. Miguel Rípa. Habida ia conferen y pólvora...... j cia, resultó por unanimidad haber lugar á la…</t>
  </si>
  <si>
    <t>…pí-rasnue I or .1.1, anca , f». Fanci. o ti a Carrera, D. Marcos Menezo, Don vas siguientes.:dúo del primer acto del Otelo dt- Rossim , cantado ¡ &lt; r las 1’. ’io Ai&gt;ar- i).-l rio, D. Cayetano Romero, D. Isidora de H&lt;&gt;&gt;oa Sras. aa a y Lledi : obertura de la Figlia deltaria del nía.si'o l ame y IX ri ie Jos f Gallego. IlaUt .a la coníeipncia, resudó por uuaui- para p '.no forte, todas grabadas y estampadas por el profesor D H:ttou: daJ n..i_ r tugar á ¡a f…</t>
  </si>
  <si>
    <t>…corporación. Fn su vista se reunió el jurado, compuesto de los Sres. siguientes: Alt. 14. «.Se escribirán en papel del sello 4.° los libros de laa D. Juan Paz, D. Antonio Alcázar, D. Cayetano Romero, D. Joa fábricas de las iglesias y los parroquiales en donde se alargan las parti quín Manrique; D. Mariano Zorraquin, D. Nicolás Alonso, D. An das de casados , nacidos y finados. tonio Puigblancb, D. Ramón Llord y D. Francisco Martínez Marina. Art. 15. « Los…</t>
  </si>
  <si>
    <t>…genos; pero también á En su vísta se reunió el jurado, compuesto de lo* Sres. siguientes: no consentir que ninguna nación del mundo te arrogue el detecho de D. Antonio Puigblanch, D. Cayetano Romero, D. Juan Pablo Pas intervenir en tus negocios interiores; lo primero porque no es justo, y cual , D. Josef Demetrio Rodríguez, D. Santiago Delgado, D. Fran lo segundo porque consideran cita máxima perjudicial de la interven' cisco Martínez Marina, D. Andrés N…</t>
  </si>
  <si>
    <t>…nio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 caballeros Pages, al catecú Habida la conferencia, declararon haber lugar í la formación de meno Majomet…</t>
  </si>
  <si>
    <t>Romero, Cayetano Jiménez</t>
  </si>
  <si>
    <t>Cayetano Jiménez Romero</t>
  </si>
  <si>
    <t>…está muy claro, y en él me be fundado principtlmas ocurrencias de Pamplona. mente para disentir del dictamen de la comisión; sin embargo de qua Se dió cuenta de una exposición de D. Cayetano Jiménez Romero, el acta de las elecciones ofrece otras muchas dificultades que ya ha in cura párroco en el arzobispado de Granada, cediendo en beneficio de sinuado el Sr. Oliver. El Sr. preopinante exige que te le pruebe qua la Nación la cantidad de 500 rs. vn. anuales de l…</t>
  </si>
  <si>
    <t>Romero, Felipe</t>
  </si>
  <si>
    <t>Felipe Romero</t>
  </si>
  <si>
    <t>…ir en cua» tro carros entoldados, y en unión con los vendedores del marcado que NOTICIAS DE ESPAÑA. » del Pinoso pasaban á Monovar, 38 soldados con 4 oficiales á las ór» denes del capitán D. Felipe Romero, y el resto de la fuerza con el pa Alicante rjr Je Mayo. ís triota alcalde del Pinoso, que con algunos milicianos se ofreció á acomNuestro gefe político, cuya honradez, patriotismo, zelo por «1 » pañarme, le conduje por el lado izquierdo del camino real, que…</t>
  </si>
  <si>
    <t>Romero, Félix</t>
  </si>
  <si>
    <t>Félix Romero</t>
  </si>
  <si>
    <t>…agrega el que en La comisión de Casos de responsabilidad opinaba que debían pesarse las Américas están establecidas una gran porción de familias peninsula al Gobierno la queja de D. Félix Romero, alcalde constitucional segun res, por cuyas personas y por cuyas propiedades debemos mirar. do de Villanueva de la Serena, contra el juez de primera instancia de Resulta de todo la necesidad de establecer la paz con aqu.llas pro aquel partido y audiencia del…</t>
  </si>
  <si>
    <t>Romero, Josef</t>
  </si>
  <si>
    <t>Josef Romero</t>
  </si>
  <si>
    <t>…uentes, léase del que denusuien ¡os es Asimismo se aprobó el dictamen de la comisión de Guerra sobre critores como delincuente; y en le col. 4.% Un. tg, donde dice aun que* lite i D. Josef Romero , cadete del colegio militar de Va en el cato de que existiesen por el estado político del pesie, no delian jrr KDCitcia, continuar en él tus estudios sin perjuicio de ascender cuando le validos , léase aten en el caso de que existiesen, por tíestado político…</t>
  </si>
  <si>
    <t>Romero, Juan</t>
  </si>
  <si>
    <t>Juan Romero</t>
  </si>
  <si>
    <t>…s. .Se ha dicho que hay un derecho de legnimid d reconocido dirigido. por todas las naciones, y que consagra el que la España tiene con res El Sr. tillo presentó una exposición de D. Juan Romero, cura pecto á la América. Pero ha corrido estos dias una vez vaga sobre que párroco de un pueblo de la prov.ncia de Jaén, en Ja que cedía en fa les naciones extrangeraa serán mediadoras en nuestro» d.siuibios con la» vor de la Nación los réditos de una capell…</t>
  </si>
  <si>
    <t>Romero, Manuel</t>
  </si>
  <si>
    <t>Manuel Romero</t>
  </si>
  <si>
    <t>…e supernumerario del regimien- . Manrcsa A D. Manuel Diz, teniente del regimiento infantería' to infantería de la Princesa , con 570 1». Imperial Alejandro , con 570 rs. Almería A D. Manuel Romero, teniente del regimiento infantería Motril A D. Josef López Cbevarri, teniente del regimiento infan de Búrgot.con 570 rs. tería de Vitoria, con §70 rs. Avila al capitán D. Guillermo Den , teniente del regimiento in Mondofiedo i D. Miguel López Vázquez, tenien…</t>
  </si>
  <si>
    <t>Romero, Pedro</t>
  </si>
  <si>
    <t>Pedro Romero</t>
  </si>
  <si>
    <t>…cisco Villegas , portal de Manguiteros; y en la de D. Josef Antonio Se leyó la lista de los expedientes pasados en el dia de hoy A as Oíiez , calle de Postas: en Santiago en la de D. Pedro Romero : en Sa respectivas comisiones. lamanca en la de D. Marcelino Sánchez: en Oviedo en la de D. An El Sr. presidente señaló para discutirse mañana el dictamen de la drés Vázquez Prada : en Vitoria en la de D. Sebastian Antonio Zarria: comisión Eclesiástica que e…</t>
  </si>
  <si>
    <t>Romero, Rafael</t>
  </si>
  <si>
    <t>Rafael Romero</t>
  </si>
  <si>
    <t>…articular -. el ministro de Santa Fe llalon. Ayuda de cámara del Emperador y principe del imperio..... eserbió, con fecha de 3 de Mayo, á los gob madores de Cartagena y Gu-ndaropa D. Rafael Romero. Peluquero D. D.mogo Aleara do. Maracatbo que por un oficio recibido de Popayan (too leguas al sur de Camarera mayor de S. M. la Emperatriz coDd-sa de S. Pedro del Ala Santa Fe) había sab do que el y de Abril hubo una acción, en que pe mo. Dama primera y guar…</t>
  </si>
  <si>
    <t>Romero, Vicente</t>
  </si>
  <si>
    <t>Vicente Romero</t>
  </si>
  <si>
    <t>…Sr. íuez de pr'mera instancia de ia villa y parti Jtiicsot dr jurador. do de A leca, provincia de Ca'ct.ivud , se emp'nza á los que se crean Con presencia de la denuncia hecha per D. Vicente Romero, t con derecho á los biems d-.l legado p o qu-' íutidó para ayudar .1 la nombre de D. Juan Antonio Midan, comandante de la milicia nacio colocacoo de casam ento de tus d u.lrs y parum-s e! c'cri^o P dio nal volunnria de Ale.zar de S. Juan, da un artículo inse…</t>
  </si>
  <si>
    <t>Romiio</t>
  </si>
  <si>
    <t>…onsulta, y ahora no propone la com sion mas sino que se car este artículo ,ó ¡asCottes d;bcn desecharle. agregue al decreto de a7 de Abril la palabra fresas ■- asi que la comi- El Sr. Romiio: Aseguro que no tomaría la palabra en pro de! a-: t'On no tiene que reformar su dictamen, porque se refiere á d;cho de culo si tuviera algún ínteres particular en que »e aprobase. Ay*r c ;; creto de las Cortes, en el cual , si se ordena que con respecto i las…</t>
  </si>
  <si>
    <t>Romo, Julián</t>
  </si>
  <si>
    <t>Julián Romo</t>
  </si>
  <si>
    <t>…dice que menos de recomendar i V. E. á todos los de mi seguimiento , como en la tard- del dicho dia se tecibió en aquella ciudad la noticia de que igualmente á D. Liborio Perez , D. Julián Romo , D. Tomas Cano, el barón de Carondelet había derrotado i los facciosos, que en número D. Agustín Búrgot, Manuel Mufiío , Joaquín Romero y demas nacio de 2500 hablan caído sobre Caspe, y tenían estrechada la guarnición: nales de Ciudad-Real, Almagro, Cerrión,…</t>
  </si>
  <si>
    <t>Romoto</t>
  </si>
  <si>
    <t>…no se dice qu: baya de presenciar un solo facultativo que señalarán tas respectiva» diputaciones provinciales, que no excede cate reconocimiento; y segunda, que la observación del Sr. Romoto rá de ocho dias detpurt del recibo de la orden en los pu.blot de mil puede ser solo aplicable ea las poblaciones grandes ; pero que estas po vecinos 6 menos, aumentando en los de mas tres días por cada mi 1 blaciones grandes por el decreto de las Cortes de lü…</t>
  </si>
  <si>
    <t>Romtro</t>
  </si>
  <si>
    <t>Núa». 135- (7cnit«i.) 7” GACETA DE MADRID. LUNES 13 DE MAYO DE i8»a. NOTICIAS DE ESPAÑA Otra del Sr. Romtro, sobre que se suspenda la ejecución del pías de división drl territorio, exceptuando únicamente la parte respectivaá Madrid Domingo 13 de Mayo. Cataluña y Galicia. CORTES. Otra de ios Sres. Ordufia, Velasco y A rellano en seis artículos, re nummciA du sbRob a…</t>
  </si>
  <si>
    <t>Ron, González</t>
  </si>
  <si>
    <t>González Ron</t>
  </si>
  <si>
    <t>…a gaceta de ayer, pág. 401 , col. i.1, lín. 31 , donde la s- ,r tar a de Guerra al brigadier L&gt;. Felipe Montes, gefe de sección dice •&gt; Se levo por primera vez una proposición del Sr. González Ron,” nía. anl guo de m misma. añádase - y del Sr. Saravia.” EN LA IMPRENTA NACIONAL.</t>
  </si>
  <si>
    <t>Ron, Manuel</t>
  </si>
  <si>
    <t>Manuel Ron</t>
  </si>
  <si>
    <t>…ia, se le avisa por medio nuel Melero , D. Josef Perez, D. Antonio Pereira, D. Antonio Por de ote periódico con el mismo objeto, en el concepto de que por la ta, D. Vicente Ramón, D. Manuel Ron, D- Francisco Rollo, Don propia dirección te dispondrá lo conveniente para el zecibo de los refe- Jaime Sola , D. Josef Travieso, D. 1 d fonso Tranche, D. Bernardo lidos too® reales. Joana y Vida1 , D. Gregorio Justo Grande, D. Martin Z-'nzano, Don Julián Gon…</t>
  </si>
  <si>
    <t>Ron, Tomas Antonio</t>
  </si>
  <si>
    <t>Tomas Antonio Ron</t>
  </si>
  <si>
    <t>…ticia : El Gobierno ignora haber sueldo mayor. Ahora se piden por el ministerio 7360 rs. para sueldo dicho hasta ahora que proponía esto como un punto de conveniencia; del oficial D. Tomas Antonio Ron, único empleado que tiene goce pero *í cree que es una cosa de justicia, y que no puede negarse .í pa en la grrfiería. La comisión insiste en lo mismo que expuso en la últi gar estos sueldos mientras que el poder legislativo no acuerde lo con ma legís atura,…</t>
  </si>
  <si>
    <t>Roncero</t>
  </si>
  <si>
    <t>…os trabajos. Asi que , apruebo en todo el dictamen de la comisión. Sr. Dr. D. Bonifacio Gutiérrez, profesor de cirugía y medicina, y Después de haber hecho varias observaciones el Sr. Roncero con catedrático de la escuela especial de la ciencia de curar en esta corte, tra el dictamen de la comisión , á las cuales contestó el Sr. Adan , se individuo de la comisión de presupuestos. dió este asunto por suficientemente discutido ,y se declaró no haber…</t>
  </si>
  <si>
    <t>Ronda, Cristóbal de</t>
  </si>
  <si>
    <t>Cristóbal de Ronda</t>
  </si>
  <si>
    <t>…nn periodista francés, que dice haberse recibido por extraordinario noticias de Lóndres del Juicio de jurados. 14. Los periódicos solo alcanzan hasta el 14, y no publican este nom D. Cristóbal de Ronda , como apoderado de D. Diego Muñoz y bramiento como positivo; pero nadie dudaba de él. El mismo Courier , Pereiro, vecino de Ciudad Real, denunció al Sr. alcalde constitucio á quien no gustará mucho este nombramiento, se ve precitado á decir; nal D- Miguel de…</t>
  </si>
  <si>
    <t>Roneo, Antonio</t>
  </si>
  <si>
    <t>Antonio Roneo</t>
  </si>
  <si>
    <t>…las restantes de la antigua Cataluña. mañana del 19 una alarma, que fue disipada al momento que el bene Ninguno de vosotros ignora las numerosas cuadrillas de ladrones y asomérito D. Antonio Roneo reforzó la mencionada columna, y tomó en sino. que en todas direcciones andan vagando y campeando por dichas unión con el apuntamiento de dicha ciudad la* medida* neceaaria* para provincias, robando, quemando , matando y asolándolo todo bajo el fal repeler cu…</t>
  </si>
  <si>
    <t>Ronero</t>
  </si>
  <si>
    <t>objeto que te ha propuesto, ni seria propia del cuerpo legislativo. rechazar cualquiera agresión , y poder conservar la Integridad é :nfc El Sr. Ronero apopó el dictamen de la comisión, manifestando que pendencia nacional: Ñueva-Espafia no esté en ninguno de los dos ca siendo esta una de las medidas que mas debían interesar para la tranquili sos, y lo atará menos cada dia, porque las mezquinas ideas y bajas…</t>
  </si>
  <si>
    <t>Ronrt</t>
  </si>
  <si>
    <t>…sa mas que necesario. en devorarnos. El Sr. Zapata: Ya ha contestado la comsion á lo que manifestó Se debe vigilar sobre ¿1 para que en ningún tiempo pueda pensar anteriormente el Sr. Ronrt, lo cual nada tiene que ver con ei articu en egercer la tiranía sobre nosotros; pero de ningún modo presen lo como se ha presentado; y lo mismo lo que acaba de insinuar ei Se tarle como enemigo. En los Gobiernos arbitrarios hay mas lim tac io ñor Golfin. Las…</t>
  </si>
  <si>
    <t>Roque</t>
  </si>
  <si>
    <t>…arte luyamos tenido mas que la que cxpr.»a el adjunto de! ecer-c to, .¡ur trata de lo. t-&gt;t.-n nto. de los mu.taro , ci cua. sS ““¡El comandante de Gerona recomienda al suM-níente D. Roque hab'a mandad»' qu »ia- s bre la m sa. Art. i.3 •’ T» dos ios m 1 tares en activo serví.io podrán testar en Veri, al sargmto Magin Sa.va-.or , y ai soldado Eranc, o Kueva. .. Kl comandante d: Extremadura .0 ."-ace a. saldan 'Juan Sai edr , pap-1 comun , ' pr-s…</t>
  </si>
  <si>
    <t>Rorn.ro</t>
  </si>
  <si>
    <t>…o particular del Sr. Garoz, contrario í lo resuelto sobre ios cio de sus l&gt; jos y dcina» dascmdiertes." ar:s. i.° y 2. del cap. 1." de la ordenanza militar relativo i los testa E! Sr. Rorn.ro dqo que este jrti'.u'n co-t-n'a una porc:on d- de ra.ruó», y el del Sr. Remero, contrario al i.1’ de diulios artículos. posiciones que no .fin pec.d.ar.s a los militares , puf» que tamo n Les Cortes cu eren con agrado la felicitación que con motivo de estaban…</t>
  </si>
  <si>
    <t>Ros, Francisco Tomas</t>
  </si>
  <si>
    <t>Francisco Tomas Ros</t>
  </si>
  <si>
    <t>…de registro algunos sugetos , entre ellos el la gloria y el principal apoyo de la patria. «•diputado Dragonetti. En Palermo han pasado por las armas á nueve El procurador síndico D. Francisco Tomas Ros, á cuyo zelo in individuos, entre los cuales estaban el presbítero Villa y un notario. fatigable por el bien público se debe en gran parte la promoción de El teniente general Nunziante tiene lo* poderes mas amplios para man estos nuevos establecimiento*, con…</t>
  </si>
  <si>
    <t>Rosales, Mozo</t>
  </si>
  <si>
    <t>Mozo Rosales</t>
  </si>
  <si>
    <t>…el sistema que se previene en el yr.cz.'. me (O No habrá quien no sepa que el marques de Mataílorida es el artículo. Comunicárnoslo á V. E. de orden de las C-ul. s, para q ic p o Sr. Mozo Rosales , esputado á Corles, y el primero de los 69 ( justa niéndolo en noticia de S. M. tenga á bien d.spor.-r en la parte uvpecmente la tercera paite del Congreso) que firmaron en Abril de 1814 tiva lo conveniente i su observancia. " la fam .sa representación al R-…</t>
  </si>
  <si>
    <t>Rosas, Felipe Bertrán y</t>
  </si>
  <si>
    <t>Felipe Bertrán y Rosas</t>
  </si>
  <si>
    <t>…el art. p.° del mismo decreto. En la ciudad de Barcelona , reunidos los Sres. jueces de hecho Don 8-° ” Que Jas diputaciones provinciales para la concesión de arbi Jaime Busana , D. Felipe Bertrán y Rosas, D. Macario Rin , Don trios eviten la formación de expedientes generales que la retardarían Joaquín Ruira y Lacren, D. Josef Miguel Corriols, D. Jnsef Anto notablemente. nio BjIcl-IIs , D. Felipa Fernandez Arias, D. Pablo María Verdalet y Y 4.a » Que las obra…</t>
  </si>
  <si>
    <t>Rosas, Juan Manuel Ranedo y</t>
  </si>
  <si>
    <t>Juan Manuel Ranedo y Rosas</t>
  </si>
  <si>
    <t>…rrota, obligándoles i una precipitada _ Granaderos. Sargento segundo D.'Minúél Palafox, contuso. Milifur:a, dirigiéndose en desórden á lapuerta del Sol. Los muertos que sé cíanos, D. Juan Manuel Ranedo y Rosas, muerto. D. Lúeas Martin; hallaron en las cálle* de la Amargura y Boteros fueron 9 granaderos; herido. D. Valentín.Moinos, idem. D. Josef .Vas; ídem. ÍX Vicente un tambor, 5'cazadores y un corneta; los heridos fueron bastantes;': Argiiello, idem. D. Juan Esco…</t>
  </si>
  <si>
    <t>Rosct</t>
  </si>
  <si>
    <t>…puede servir como casa de coipeccion, y por men de la comisión de Comercio sobre ios arbitrios consulares. lo mismo debe conservarse. Si se -.uprimíese, los puelj os inmediatos El Sr. Rosct dijo que la comisión retiraba lo restaste de tu dic i ¿l te resentirían de esta disposición , pues que se les pijartirsa del pas tamen. to espiritual en que se han ocupado hasta aquí unos 15 religiosos que Se leyó el voto particular del Sr. Abreu, variado por…</t>
  </si>
  <si>
    <t>Rose</t>
  </si>
  <si>
    <t>…ía sacar de allí, y cuya idea ni puede concebirse, ni tiene la Guia de litigantes y pretendiente» para este alio de a8ta, au lengua expresiones bastante enérgicas para pintado. El caballero Rose, mentada con vario* artículos interesantes, que forman nn resumen da que sacrificando su fortuna había atajado lo* progresos de la epidemia, los diferentes ministerios, tribunales y oficinas principales de la Na anantenido el orden, y aun creado un hospital,…</t>
  </si>
  <si>
    <t>Rosell, Sebastian</t>
  </si>
  <si>
    <t>Sebastian Rosell</t>
  </si>
  <si>
    <t>…el caso de impugnar la cuota que la comisión seña'a en su dictamen, es ANUNCIOSindispensable entrar en las razones que la ban movido para proponerla. Doña María Bandín!, viuda de D. Sebastian Rosell, desea saber el El Sr. secretario de Gracia y Justicia: Es preciso que el Congreso paradero de tu hermano D. Juan Bandioi, el que hallándose en San ten a pr sen te que el tribunal que existía antea, y por el cual el clero Agustín de las islas Floridas cuando…</t>
  </si>
  <si>
    <t>Rosendo</t>
  </si>
  <si>
    <t>…antería y del de Galicia, con 570 rs. batallón milicia activa de líúrpos, con 450 rs. al mes. Cuenca i T&gt; Julián Pascual de Moya, teniente supernumerario del Salamanca al cap.'tan D. Rosendo l.opez de Longoria, teniente del batallón de la mucia activa de Cuenca, con 450 rs. al mes. regimiento infantería de Málaga, con 570 rs. Calahorra i D. Rafael Melchor Alvarez, teniente del batallón del Segovia á D. Santos San Martin, t niente supernumerario d…</t>
  </si>
  <si>
    <t>Roset</t>
  </si>
  <si>
    <t>…observaciones, apoyando la opinión de acerca de las cuales presentaría su dictamen á la mayor brevedad. I los señores de la comisión, y manifestando que era forzoso ceder á la El Sr. Roset dijo: A pesar de las lisonjeras espersnzi, que nos diól imperiosa ley de la necesidad , que está déme sitando que c* precito dis el Sr. ministro de la Gobernación ante anoche, y que según los in-l minuir tudo lo mas posible lo* gastos, pues los pueblos no pue…</t>
  </si>
  <si>
    <t>…cumplido el ob habían podido volver á tu patria por diferente* motivos; y que había jeto de la proposición. ciertas medidas de convenienoie pública para que te aprobase el dic El Sr. Roset hizo presentí que no había tenido otro objeto sino sa tamen. ber el cesado de aquellas provincias y las providencias que se hab ía Habiéndose declarado el punto bastante discutido, te aprobaron los tomado. dos artículos. El Sr. Infante dijo que ten'a notíc'as…</t>
  </si>
  <si>
    <t>…ción del Sr. Oliver se leyó la facu.tad ig.’ que el art. i/i La comisión primera de negocios Eclesiásticos en vista de la propo de la Constitución concede al Rey, y i petición del Sr. Roset al ar sición del Sr. Aionzo, para que se suspenda por ahora la provisión del tículo is de ¡a ley de 17 de Abril de 1821. nuevo obispado de S. Cristóbal de la Laguna hasta el arreglo general También se leyó el oficio con que el brigadier D. Josef Manso, que de…</t>
  </si>
  <si>
    <t>…sns frutos, y se paralizaba el comercio de los Sr. Beitran de Lia. •utrnot con perjuicio de la dase agrícola. El del Sr. Oiiver, contrario á la resolución de bs Cortet sobre U El Sr. Roset dijo que era necesario aprobar los depósitos de granos, proposición de los Sr». Canga y Adan , relativa al empréstito. porque en Cataluña había subido mucho el precio de los trigos y hari Otro del mismo Sr. diputado, contrario á la resolución que recayó nas,…</t>
  </si>
  <si>
    <t>…e varia* observaciones opinó que dcb.a aprobarte el dic ñole* , que ello» conocen muy bien ser la piedra angular da la de la tamen de la comaiqn. Europa. Después de haber hecho el Sr. Roset varias refl-x iones contra el Si nos atenemos í los movimiento* de tropa* y otra* noticias de artxu'o, i las que contestó el Sr. Muro, se declaró este asunto suficien esta especie, no podemos menos de llenarnos de admiración, sin poder temente discut' *o, y q…</t>
  </si>
  <si>
    <t>…e la mayoría, y declarándose en fran aclaración de la ley de sociedades patrióticas. quicia el puerto de Cádiz. lgua:mente se mandó m&gt;ertar el voto de los Sr. Isturiz, Zu'ueta, El Sr. Roset apoyó el dictamen de la ccir.isicn , manifestando que Saavedra , Rico , Viilanu.-va y Sánchez .contrario á la aprobación del sin entrar en la cuestión de la utilidad ó desconveniencia de los puertos dictamen de la comisión de Comercio sobre el establecimiento…</t>
  </si>
  <si>
    <t>…rifica soto en el caso de ir an buque á un puerto extranjero á recibir del egército, y levantó la sesión á las tres. cargas. Asi pues debe aptobarse el dictamen de la comisión. El Sr. Roset: La comisión no ha podido decir otra cosa en su dic _-Congreso de Verana. El 19 de Octubre no habia comenzado. Se tamen sino que se justifique la propiedad; si el Sr. Surra se sirviese in señalaba el día ic para su apertura. El 18 aun estaba el duque de dicar…</t>
  </si>
  <si>
    <t>…ta ahora, jo sostengo j sosten* este persona real, se harán -a&lt; demostraciones que se señalan en sevuida á¡é siempre que no han deb'do cobrarse. para los capilares generaie».’* El Sr. Roset: S. S. quedará satisfecho si tiene presente que la re Alt. 13. » Siempre que falleciere un cap tan general, con matulo solución d» *9 de Junio es procedente de otra que se tomó tn 11 del 6 sin el, no estando presente el R-y, Reina 6 Principes, dispondrá mismo…</t>
  </si>
  <si>
    <t>Roset-</t>
  </si>
  <si>
    <t>…iculo á la palabra pouncias cristianas los medios de evitar la efusión de sangre: a.° Que tocar la de escala. se anuncie de oficio 4 la Rusia el nombramiento de loa nuevos hospoEl Sr. Roset-. La comisión no ha creído nunca que el simple toque daret, y la evacuación de los principados. 3.0 La libre navegación d:l ó arribada forzosa de un buque en un puerto se considere en los tér mar Negro , de los Dardanelos y del canal de Constantinopla, no sola…</t>
  </si>
  <si>
    <t>…Península, á lo que siempre me sidera la comisión como una carrera, sino como una comnion; la otra opondré. es la de aquellos empleados diplomáticos que salen de la secretaría El Sr. Roset-. La proposición de! Sr. Bringrs no dice , como ha de Estado, la cual en el concepto de la comisión ea una carrera, y asi supuesto el Sr. preopinante , que ss fije el te.m no de dos años para no hay una razón para que á estos empleados cesantes se les niegue e…</t>
  </si>
  <si>
    <t>Rosini</t>
  </si>
  <si>
    <t>…eron decididamente el lismo cristiano-, tal vez S. S. l.ma. sabrá donde existe el liberalismo ataque, la primera columna al mando de Torrijos por el camino de no cristiano. El Sr. obispo Rosini había sido nombrado presidente de Tora; la segunda al de Rottcn por el de Cardona; la tercera al do la universidad , da la junta de revisión de libros que se introduzcan Mina por Cunili, y la cuarta por el camino de Calaf. del extrtngero, 7 de la comisión est…</t>
  </si>
  <si>
    <t>Rosiones, Josef</t>
  </si>
  <si>
    <t>Josef Rosiones</t>
  </si>
  <si>
    <t>…éla audiencia dt Astúrias. D. Nicolás Gómez Villaboa á la de i. a «Que todos los créditos procedentes de suministros de provi Vallsdolid. D. Eugenio Manuel Cuervo á la de Navarra. D. Josef Rosiones y utensilios que se hallen ya reconocidos por el Crédito públi drígu z Busto , fiscal, á Valladolid. co, y anotados y numerados en la página correspondiente al libro ó De ¡a audiencia dt Extremadura. D. Estéban de Asta á Valencia. partida, corran libremente e…</t>
  </si>
  <si>
    <t>Rosrt, Bauza y</t>
  </si>
  <si>
    <t>Bauza y Rosrt</t>
  </si>
  <si>
    <t>…oficiales para el despacho de todos los asuntos que Él ¡sr. presidente nombró para ia comisión de Marina á los Señores corresponden á las atribuciones de dicho ministerio, haga el secretario Bauza y Rosrt. de este ramo la distribución que considere mas conveniente para el Se aprobó el dictamen de la comisión de Hacienda, relativo á la mas fácil y seguro despacho de todos los asuntos; uniformando sus ba Consulta hecha por el intendente de la Havana sobre si deb…</t>
  </si>
  <si>
    <t>Rossel, Antonio</t>
  </si>
  <si>
    <t>Antonio Rossel</t>
  </si>
  <si>
    <t>…cepción de algunos in perjuicio. tervalos , entre otros uno de tres días y tres noches consecutivas. Mi lambían lo harán tos de consignación mensual ó los herederos de dragomán el Sr. Antonio Rossel se libró de la muerte orinando san los que hayan fallecido (con documentos que lo justifiquen ) la liqui gre; y lo que corrobora loque he dicho antes de la disyunción de los dación de lo. años 1IÍ05, 6,7 y 8 de que se acaba do hacer la mis miembros es que hab…</t>
  </si>
  <si>
    <t>Rot</t>
  </si>
  <si>
    <t>…noticias de Lima, que con ■ asma. A la ma firman la muerte del conde de Monteblanco y marque* de VaJeirr os,Snnisnol de Monserrat con intención d- atacar a drugada del 4 salió el brigadier Rot n con su tropa: á ias siete princi con algunos pormenores, qu: son Jos siguientes : pió Mitas i desfilar con usas fuerzas de zg caballos &gt; unos iD infan Un vecino de Huantanga recien venido de Lima ha declarado en tes; y habiendo cargado los leal», fueron equ…</t>
  </si>
  <si>
    <t>Rotalde, Nicolás Santiago</t>
  </si>
  <si>
    <t>Nicolás Santiago Rotalde</t>
  </si>
  <si>
    <t>…ué «*' ¿¿¡Cetario que se excíte al Gobierno pata que los extinga, y haga que tiene su nación en el Mediterráneo. salir de Madrid i sus individuos. A la de Premios una solicitud de D. Nicolás Santiago Rotalde, Mi Sr. Isturiz dijo que ante todas cosas era menester examinar si las reclamando por segundai vez la remuneración y declaración de sus ocurrencias, de que ha hablado el Sr. preopinante merecían ocupar la buenos ó malos servicios. atenq on dél Congreso; y que…</t>
  </si>
  <si>
    <t>Roten</t>
  </si>
  <si>
    <t>…stos buenos directores de vuestras conciencas y de vuestra sentado varias veces sobre riera, Masquéis &amp;c. conducta política! ¡Ah! no los creáis: os engañan miserablemente, y os El brigadier Roten tiene en Manresa $00 soldados , que reunidos á llevan al precipicio, aprovechándose de vuestra docilidad é ignorancia, la milicia de aquella ciudad y de otros pueblos y á las compañías de para vivir ellos con aua vicios y á costa de vuestios sudores! Creed, s…</t>
  </si>
  <si>
    <t>…ues acaban de quitar el mando á Roo* gu -z y , -i.t á darle y al público esta satisfacción.” Dorrego y a Soler, en cuya mutación han perecido en ias calles ds — Por otro parte del brigadier Roten desde Minresa del 5 consta Bueno*-Aire* ti00 hombres. e había recibido aviso de que Misas con sf¡ fac._.p.sos s1 ! a 'aba en —En el Argos de Buenos-Aires K hallan noticias de Lima, que con ■ asma. A la ma firman la muerte del conde de Monteblanco y marque* de…</t>
  </si>
  <si>
    <t>…¡amos pu y que «i único Dios que conocen es su vientre, fiarte.ona a de .Agesto blicado en el número anterior sobre ¡as accicn-s del general M *rs, de 18ai.=FrancisCo Ferrar.” dei brigadier Roten y del coronel Cerezo; pero publican el parte c-r__Noticia* oficiales que ha recibido el Sr. gefe po ít.co de esta pro cunstanciado del segundo, y otras vanas particularidades que dejamos vincia : Apresadas arriba eu pártalo de Barccicna. „ poco antes de les 1…</t>
  </si>
  <si>
    <t>…considerable de muertos y dades de sus amistosas disposiciones rcrp-cto ¿ : nuestro pe ~ ; y creo heridos. con satisfacción que las desavenenc as de la c .rte de Petersburgo y El brigadier Roten habia comunicado al gobierno de Barcelona el la Puerta otomana se arreglarán muy pronto, j que podemos confiar siguiente parte que poseemos impreso. que no se altere la paz de la Europa.” btñores de la Camera de los Corrun-s : •» Agradezco los subsidies KCBRC…</t>
  </si>
  <si>
    <t>…las tiopas que allí hab’a , cuyo número ascendería á unos s3 hombres punto el dictamen de la comisión, pues produciría funestos resultados. y otros 100 de ambas armss al mando del brigadier Roten. Se había Reasumiéndome pues, concluyo diciendo que considerando que no dividido la tropa en dos columnas, de las cuales la primera ocupó á hay ley alguna que nos autorice para obrar en este punto, creo que nos las diez de la mafiana las alturas del norte de…</t>
  </si>
  <si>
    <t>Roten, Amonio</t>
  </si>
  <si>
    <t>Amonio Roten</t>
  </si>
  <si>
    <t>…btñores de la Camera de los Corrun-s : •» Agradezco los subsidies KCBRCtTO DEL SEPTIMO DISTRITO MILITAS. que me hab.-is concedido para los gc.tos del año presente, y aprecio ia El brigadier D. Amonio Roten, comandante general de la primets prudencia con que habéis aprovechado ia primera ocasión di r du: r el línea, con fecha de 1 a desde Manresa da el parte que sigue : ínteres de una parte de la deuda nación a' , r. «petardo siempre ei crédito •• Pura no retard…</t>
  </si>
  <si>
    <t>Roten, Antomo</t>
  </si>
  <si>
    <t>Antomo Roten</t>
  </si>
  <si>
    <t>…efe político de esta provincia ha recibido del de la de Te presbit- ro Benito Trstany , qu= dan oor cieito est. herido." nia! el oScio siguiente (véasela gaceta del ¿9, columna __ Don Antomo Roten dcc íce., comandante g n'rii d; la primera Gobierno superior político de la provincia de 1 cruel.__Sección de linea de operaciones contra faccicos en el se, . n.o 10 n. gobierno po'ítico.__Tengo la satisfacción de acompañar á V. S copia Las locas empresas que…</t>
  </si>
  <si>
    <t>Roten, Antonio</t>
  </si>
  <si>
    <t>Antonio Roten</t>
  </si>
  <si>
    <t>…á salir al campo, en donde fueron acuclil lados infames acostumbran en los pueblos indefensos. y dispersados: el número de muertos se ignora; pero es consideraba ; se ___V visa el brigadier D. Antonio Roten desde Mantesa con fecha del les cogieron ia escopetas, algunas carabinas , un caballo, cuatro mu a a que en virtud del bando publicado por orden del Sr. gefe político los , ao hombres y varias otras frioleras. indultando á los no cabecillas, han salido muchos…</t>
  </si>
  <si>
    <t>…to. tras ¿i toma ia fum, reuniéndose d-spu.s todos en un parage d.terla nuestros periódico* te publican 1m siguientes noticias: tor.ado. „S1 comandante general de !a primera línea D. Antonio Roten n Este es el modo de obrar de los cabecii'a» de ios facciosos, que se con fecha de t.° del actual me da parte de &lt;)ue la canaLia tuvo la osa ducen á los incautos para engrosar su número, d.jrndo.os eapu-stos i día de llegar hasta la&gt; inmediaciones de Macresa;…</t>
  </si>
  <si>
    <t>)n8 tea contra mí en rus venales Meritor, mar honor ma harán. Ha hecho Mantesa 14e Agosta* monar el idioma de la franqueza ca esta augusto recinto, y mi con* El brigadier D. Antonio Roten , comandante general y comisio ciencia queda tranquila, pues lis manifestado mi voto sin rebozo: qui nado político de la primera línea «le operaciones contra facciosos en el zás este artículo ma hará aun escribir ,j me obligará á manifestar por sépt nro distr…</t>
  </si>
  <si>
    <t>…Madrid 18 de Sttirmbre de 182*. nasterio de Serrateix 1 a de Setiembre de i8í2. = Excmo. Sr. = E¡ bri También ha dispuesto el ayuntamiento que une comisión de su gadier comandante general Antonio Roten, ss Excmo. Sr. comandante seno ponsa una corona de laurel á cada bandera ó estandaite de la ral general del 7.' distrito. le ¡a y guarnición al tiempo de pasar por delante de ia lápida de ia ANUNCIOS.Constitución los cuerpos para ¡r al convite. Los suicriptor…</t>
  </si>
  <si>
    <t>…bisoños y poco acostumbrados chos años. Manresa 18 de Setiembre de t8ii-=Excmo Sr.=El briga que se hallan 4 este egercicio. La caballería de la Const locion , que dier comandante general Antonio Roten.=Excmo. Sr. comandanta ge desde por la mañana pudo ponerse en franquía desde la plaza de Cas neral del 7.' distrito militar. telló , abriéndose paso por entre los enemigos, sostuvo una retirada __n Ocupado desde la madrugada de a ver, como dije i V. S. en ofi…</t>
  </si>
  <si>
    <t>Rotet, Jctcf</t>
  </si>
  <si>
    <t>Jctcf Rotet</t>
  </si>
  <si>
    <t>…a comisión de Diputaciones provinciales , informando sobre la w Los ayuntamientos harán inscribir en las salas de tus sesiones, pre exposición de Do.ía Rosalía Hcnriquez, viuda de D. Jctcf Rotet, via la aprobación de las diputaciones provinciales, los nombres de contador de propios que fue de la provincia de Toledo, para que te le los milicianos que mueran haciendo algún eminente servicio por la pa conc diese una p nsion de 4 rs. diarios, opinaba deb…</t>
  </si>
  <si>
    <t>Roth</t>
  </si>
  <si>
    <t>…á todo* los cristianos. En los primeros dias det mes ya ocur hallan implicados en esta causa. rieron' algunos excesos; pero por fortuna se ha conseguido restable Según oficio del general Roth, comisario del Rey en la Basílicacer el orden. la, el tribunal marcial establecido en Calbello ha condenado i muer » Todos toman las armas, y el Gobierno ya no respeta el derecho te á 24 individuo* acusados de haber quebrantado las cérceles: otros 9 de gentes…</t>
  </si>
  <si>
    <t>…e el cuerpo del egército mandado por Madrid Miércoles 1 ¿ dt Mayo.el general Ludziewich, que debía entrar 4 mediados de Abril en la Bo— «arabia; j en pos de ¿1 irá la división del general Roth. CORTES. raotATvaaA. rXKSIDBNCIA DU SlRot AI AVA. íSndrts jo dt Abrü. Sttitm extraordinaria dtl di» 14 dt Mayo. Ha vuelto á tratarse en el Parlamento de la interesante cuestión del Se abrió á las 9, y leída ei acu de la sesión extr lord inaria anterior, estad…</t>
  </si>
  <si>
    <t>Rothschild</t>
  </si>
  <si>
    <t>…discusión para continuarla cu la sesión inmediata; dio de libras esterlinas; y en seguida se han presentado tan gran número y se levantó la de este dia. de espectadores en casa dd Sr. Rothschild i entregar su dinero, que NOTICIAS DE ESPAÑA. ae ha visto precisado á despegitlos, suplicándoles le digan por escrito las cantidades que quieren entregar. Retu 16 de Julio. No podemos negar que somos muy generosos, pues i pesar del es Esta mañana han salido 4…</t>
  </si>
  <si>
    <t>Rotten</t>
  </si>
  <si>
    <t>…ervación de Ya ha principiado el torreón á resentirse en la última cxp.os.on. £1 r.slos Pirineos, ni el número de fuerzas que lo componen; los periodista# ncral en gefe mismo y el brigadier Rotten han estado en persona á exa tu aun en esto están conformes; unos hacen venir hicia las fronteras minar los trabajos, y entrado en la caverna qu: forma ia mina. mas pertrechos de guerra; otros publican lo contrario, y hacen regro *» Acabamos de colocar la gran…</t>
  </si>
  <si>
    <t>…s gefes del bloqueo de dicha plaza estaban muy discordes entre en virtud d.l articulo iNdel bando del general, que lia producido un á. Con esta motivo creemos probablemente que el general Rotten se efecto prodigioso__ Ayer se le escaparon á Romanillo. 490 hombres dispondrá á operar sobre Vicb , en cuyos alrededores dicea se bailan mas de los 1300 á que poco i poco ha ico reduciéndose su gavilla hoy en número muy considerable. después del sangriento e…</t>
  </si>
  <si>
    <t>Rotten, Antonio</t>
  </si>
  <si>
    <t>Antonio Rotten</t>
  </si>
  <si>
    <t>145* te de la división la raand.irá el brigadier D. Antonio Rotten.= Zor- i8tt.=?xcmo. Sr.=Miguel de Haro.=Excmo. Sr. genera! en se fe del saquín. 7." distrito. ” En consecuencia previene el Excmo. Sr. -marques de Castelldos* Idem i.° de Octubre. rius comandante general del séptimo distrito, á los comandantes mili Un periodi…</t>
  </si>
  <si>
    <t>…viembre. tencia en su propio pait. Fgircito de operaciones del séptimo distrito , cuarta desisto*. Esta tarde se ba difundido la noticia de que el gen-ral Mina ha Alocución que el brigadier D. Antonio Rotten, comandante gene perseguido basta Llivia los restos del egército de la te, y que se ha apo ral «le esta división,dirige á la misma, la que por compañías deberá ha derado de todos los equipages de la regencia en el osomeato mismo que cerse ála tropa , milicia…</t>
  </si>
  <si>
    <t>Rotúrate, Francisco</t>
  </si>
  <si>
    <t>Francisco Rotúrate</t>
  </si>
  <si>
    <t>…dete del corazón el ver profanada Guerra: á D. Manuel de la Bodega secretario de la Gobernación da lamagestad y soberanía del pueblo , y el vivísimo dmeo de que V-M. Ultramar; y á D. Francisco Rotúrate secretario de Marina. Las Coi* aplique el cauterio legal 4 anas heridas, que si no'se curan prontamem tes quedaron enteradas. •carrearán la gangrena v le muerte el coerpo moral del Estado. Sea £1 Sr. presidente nombró para la comisión que había de recibir 4 y…</t>
  </si>
  <si>
    <t>Roussin</t>
  </si>
  <si>
    <t>…ciano tenia IQI. ranee, del bergantín Curien.r y de la goleta Lionnaise. Toda esta di Nacieron en la ciudad y arrabales 6416 niños y 6403 niñas: total visión está á lasórdenes del barón Roussin, capitán de navio. 12,819 &gt; de los cuales nacicrpn muertos 445. El número de nacidos en El día 2 había salido del mismo puerto la gabarra Pantktre, al este año ha sido 27 menosque en 1820. mando del teniente Mr. Maquet, que conduce al Senegal al comandan Matr…</t>
  </si>
  <si>
    <t>Rovira</t>
  </si>
  <si>
    <t>…del derecho «le ser reintegrados por solo el hecho de aprobar tras que la división no estuviese egecutads. que se finalicen las capitalizaciones que «tan pendientes. (Cómo ha- Ei Sr. Rovira dijo que no sabía cómo debía hablar la comisión , por bianeS'ocer loa que hicieron donativos en tiempo de Felipe v que que no trataba de suprimir ningún derecho; que por la ley de arance la/Ksdffri ^ln había de pagar con los bienes de los monacales í la no se…</t>
  </si>
  <si>
    <t>…posiciones comunes de este código.” Aprobado. cuando se tratase de! cap. 1 .J- tít. 3-°de la segunda parte. 1 Arf. 16j. » Los delitos mencionados en los dos artículos preceden- El Sr. Rovira fue de parecer que esté articulo debía más bien po fes se reputarán como delitos comunes en los casos de que los reos hu nerse en el capitulo que trata de robos que no en el actual; á lo cual bieren procedido sin conocimiento del carácter de dichas personas.”…</t>
  </si>
  <si>
    <t>…iegas que los embajadores de las potencias extrangeras resi Díaz del Moral. j dentes en Constantinopla han dirigido al Sr. da Nettelrodc hablan mu Quedó elegido v¡ce-presidente el Sr. Rovira por 95 votos de i&gt;¡. cho de las pretensiones de la Puerta, á las cuales jamas podrá acceder Quedó elegido secretario d Sr. Zbrraquin por 75 votes de 135. nuestra corte. El divan no solo se resiste á conceder cosa alguna á los Habiendo ocupado sus asientos los…</t>
  </si>
  <si>
    <t>…omo ai el impreso fuoe manuscrito. El impresor, i requerimiento de la autoridad judicial, debe manifestar el sombre del NOTICIAS DE ESPAÑA. autor ó editor, ó responder por sí.* El Sr. Rovira se opuso al articulo, manifestando que era contrarío . na, Barcelona jr dr r*iero. lo que en él se establecía i la (acuitada de los jurado*, tanto El Sr. presidente de la junta suprema de sanidad del reino ae dice cuanto que el artículo 7. de la ley de a a de…</t>
  </si>
  <si>
    <t>Rovira'manifestó</t>
  </si>
  <si>
    <t>…ntencia para que Man de las provincias.'Luegó todo lo que sea sacar de tu quicio á estas cor destituido*.” poraciones , y darles una extensión que no deben tener , es contra la El Sr. Rovira'manifestó que si por este artículo se proYbia que las misma Constitución; y es tanto mas conveniente que las Cortes aprue diferentes autoridades de un pueblo se juntasen para acairelarse nur.uaben este artículo, cuanto que contribuirá á desarraigar un error grandí ment…</t>
  </si>
  <si>
    <t>Rozas, Lorenzo Calvo de</t>
  </si>
  <si>
    <t>Lorenzo Calvo de Rozas</t>
  </si>
  <si>
    <t>JIOTICIAS DE ESPAÑA. citud de D. Lorenzo Calvo de Rozas, p»va que por el Crédito público te le de una compensación por el pnvuegio que compró pan introducir Cádiz 7 de Mayo. una pa.-tida de harina en la isla de Cuba y otro* puntos del continente fcIPTIT'iCION PRO VINO í AI. de América, en el que op naba que abolid…</t>
  </si>
  <si>
    <t>…particulares ó compafiías so» do por culpa del marque* de Lazan el no haber podido hacer uso de es botan astas empresas bajo tales ó cuales condiciones, que podran en» te permito D. Lorenzo Calvo de Rozas, en este caso podris reclamar topees ser admitid» ó desechad*».” Aprobado. contra él; pero que las circunstancias de la Nación habían sido la cau Se mandó pasar i la comisión una adición del Sr. Sorra, en la que sa; y no pudiéndole indemnizar dicho marques ,…</t>
  </si>
  <si>
    <t>…a llamar sup tritio» para el pueblo •1 jurado , compuesto de lo» señores siguientes: 1Je»ef Antonio Pon- lo» conocimientos ni-nos útiles que no se le podrían proporcionar sin zoa, D. Lorenzo Calvo de Rozas, conde de FlcnJ-bónca, D. Juan abandonar aqusóa instrucción de primera utilidad, qus debiera mas Isidoro Perez , D. Zoilo Gómez Cascio, D. Josef fe-n Motan , D..n bien iiatuarse la instrucción necesaria. (Jir contiuuará.j Andrés M ya Luzunaga , L). Antcnio Pu…</t>
  </si>
  <si>
    <t>…te destinado á v°tos hafier lugar á ta formación de causa , habiendo disentido loa tratar de la vid, de su cultivo, de tus enfermedades, del modo de hacer Sris. D. Nícoiat Alonso, D. Lorenzo Calvo de Rozas y D. Juan Cortés. Jos vioos'&amp;c. Sin repetir los elogios que ya dimos i esta obra en su» pri meros cuadernos , elogios que deben comprender á todos los demás, Don Gregorio Lagarda , alférez del regimiento caballería de Cala— manifestaremos so-amente el vivo deseo de que se esp…</t>
  </si>
  <si>
    <t>…te En la M. H. villa y corte de Madrid, reunidos los Sres. jueces de con 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Mes de Setiembre de iSea. lificaron con ln f…</t>
  </si>
  <si>
    <t>Rozas, Luto López de</t>
  </si>
  <si>
    <t>Luto López de Rozas</t>
  </si>
  <si>
    <t>…aban los de Tudela , habiendo restablecido el nidad de su ¡nst ruto. Aprobado. arden, y aprehendido á vanos de los autores de aquel at-ntado. La misma, en vista de ia solicitud de D. Luto López de Rozas. ra» Ha Tornóte, pueblo inmediato á Cataluña, estando cantando d</t>
  </si>
  <si>
    <t>Rscrb</t>
  </si>
  <si>
    <t>…e que los vencedo ea 't t¡, guiando, lease guia. res ’ban »obr- I ma . y qu ? S. M art n sr r tiraba haca Tru|,l.o.” Otra. En a gic la del 9, col. rt.1, lín. 19, i!on,!e Ana í'eoP D. Rscrb ii úitunam-nt- de Buenos-Aiics que se verificó el dtrunvna, iease A.t j aura l'tc.trui.'ia _in ,a 111 -ina. i 11. 2.' de . ■ abandono de Luna por 3. Martin. fe de errata» , doude dice lJe&gt;u »u aut.e , lea.: l'tiu n-j au.-ie. EN LA IMPRENTA NACIONAL.</t>
  </si>
  <si>
    <t>Rtiiz</t>
  </si>
  <si>
    <t>…Curte» 10 oyere n .. n i.i &gt;Ei Sr. secretario del Despacho de la Guerra dijo que estas compañías facción. forzadas no hacían ningún servicio ; pero que sí habia una compañía de El Sr. Rtiiz de la Vega leyó una exposición del ree'uv'n tu d- ca caballería de voluntarles , la cual era prceso no se extinguiese. ballería de Numancis, en que pedia al Congreso le recomendase .11 GoEl Sr. Arguelles , contentando al Sr.Pumarejo, d jo que en las com b'ern…</t>
  </si>
  <si>
    <t>Ru</t>
  </si>
  <si>
    <t>…ades singulares que de Se aprobó el artículo, poniendo la palabra orden en lugar de decre ben concurrir en los ciudadanos b n méritos de la patria, á quienes des to á petición del Sr. Ru z de la Vega. pués de su fallecimiento se pueda conceder el honor de que sean tras Art. g.° » A fin de coaseguirlo prevéngase al Gobierno que á la ladados sus restos al .panteón nacional, y el de inscribir sus nombre* mayor brevedad , y con presencia de los r…</t>
  </si>
  <si>
    <t>…departamento de artillería nacional, en *ion , apoyándose en las mismas reflexiones que había manifestado el que manifestaban lo sensible que le* había sido las ocurrencias de Va Sr. Ru t ai Río. lencia del dia 30 del pasado Mayo; como asimismo sus patrióticos sen El Sr. Canga: Voy á contestar á las observaciones que ha hecho timientos. d Sr. Arvíielles. Fs preciso que no olvide S. S. que en materias de Se aprobaron varias minuta* de decreto…</t>
  </si>
  <si>
    <t>…:ario de una de 'as sírhuc &gt;n- qae le» tocio el proyecto , según tas luces que arroje de sí la discusión. concrde el m.s-oo reglamento, cual es !a de ser indis-.ico-, nal-- di F.l Sr. Ru zde la Vega: Poco hay ya que decir sobre esta materia la comis On de Gobierno interior; y par «ri-gtiient • »-*.a i--, msmo sin que se incurra en rep liciones; pero sí diré que la policía de que que decir que el presidente y prior.r sec-eiario en las Ccrt-s e…</t>
  </si>
  <si>
    <t>…agracia. El Sr. Moreno lilao pr,*onto n lo» icüorci &lt;juc habían impug Quedó aprobado el dictamen. nado la proposición hubiesen observado el modo de que estaba redac La adición del Sr. Ru z del Rio relativa á que los mozos solteros tada , no ae hubieran opuesto á ella bajo un concepto equivocado, pUe* que se hallen sirviendo fuera de sus pueblos, esten sujetos al sorteo la proposición hacia referencia á las adiciones que nuevamente se hi riel…</t>
  </si>
  <si>
    <t>Ru'z</t>
  </si>
  <si>
    <t>…ásticos entre ellos, es verdad: los hay en la llamada regen ción. cia deUrgel, y también en la junta de Bayona, pero si á los eclesiásti El principal argumento que fca expuesto el Sr. Ru'z de la Veea es cos que se hallan pacíficos en sus casas se les arranca de ellas para el de los sucesos del 7 de Ju.i j; pero : podía ser igual ote ceso at del mandarlos á otra parte, ¡cuánto no se aumentará el mal 1 Por todo lo influjo que puede tener un ecles…</t>
  </si>
  <si>
    <t>Ru'Z</t>
  </si>
  <si>
    <t>…parar libremente fi cualquier empleado que no pertenezca i ia asi, yo preveo males de mucha trascendencia. ciase de los magistrados propietarios, pudiéndolos reemplazar con las El Sr. Ru'Z de la V ga: El Sr. secretario del D-spacho de la personas que repute dignas y á propósito , aunque no sean cesantes ni Guerra ha manifestado las razón-s que había tenido el Gobierno para gocen sueldo, con tal que hayan dado pruebas positivas de amor i la pro…</t>
  </si>
  <si>
    <t>Ru'z, Félix</t>
  </si>
  <si>
    <t>Félix Ru'z</t>
  </si>
  <si>
    <t>…de Pando, D. Guillermo Olivrr, D. Pablo Sauri y Ern, Don liables da la Espada, invocéban contra nosotros todo el poder da la santa Juan Olivclla, D. Josef Pujol, D. Jo»ef Martí y D. Félix Ru'z , de alianza ; pero habiendo variado de optaron niegan ya i los aliados los clararon por unanimidad haber lugar i formación de -causa contra derechos qua antes gratuitamente la* concedían, y convienen en que el autor del impreso titulado : Diálogo histérico d…</t>
  </si>
  <si>
    <t>Ru, Cayetano</t>
  </si>
  <si>
    <t>Cayetano Ru</t>
  </si>
  <si>
    <t>…Guevara ; se suplica al que supiere su Juicio di jurados. paradero se sirva avisarlo á D. Vicente de la Llave , notario mayor de El Sr. fiscal de imprenta denunció al Sr. alealde D. Cayetano Ru la vicaría eclesiástica , quien le gratificará. bio un párrafo inserto en el Indicador, núm. 206, que empieza: Habiéndote extraviado dos juros originales, encabezados en Don » Por lo demas,” y finaliza*. *» En el mismo caso que estábamos en el Martin de Artea…</t>
  </si>
  <si>
    <t>Ru, Pascual</t>
  </si>
  <si>
    <t>Pascual Ru</t>
  </si>
  <si>
    <t>…as funciones de ayudantes de campo. Lea oficiales D. Vicen dado nueras pruebas de su pericia y arrojo; constipando con oportuni te Carsi, D. Josef Llanos Carranza, D. Juan Arcos , D. Pascual Ru dad para obrar ranas compañías del primero y segundo batallón de la bio, y otros cuyos nombres ignoro, me acompañaron con ios mejore* milicia con una pieza de artillería, mandada por e¡ capí Un O. Javier deseos á todas partes; siéndome sensible dejar en el si…</t>
  </si>
  <si>
    <t>Rúa, Antonio</t>
  </si>
  <si>
    <t>Antonio Rúa</t>
  </si>
  <si>
    <t>…sensuales, é iusp.ráncuie ruclicacio■es m :i nobles. Jtt'r.'.i Je jurado. Hablando ccn propiedad y rn un sentido absoluto, no hay conoci Don Joaquín y D- Ramón Peinador, hermanos, D. Antonio Rúa mientos superfluos; pero teló ndo en consideración que el tnmpo con y Figutro* y D. Juan Dionisio Cantillo, residentes cu esta corte, de sagrado a la ctluciciun del pu-bio es corto, que la instrucción no es nunciaron al Sr. alcalde constitucional D. Ramón Cas…</t>
  </si>
  <si>
    <t>Rua, Lorenzo</t>
  </si>
  <si>
    <t>Lorenzo Rua</t>
  </si>
  <si>
    <t>…e En la ciudad de Granada , reunidos en jurado de acusación los se la acción de Orcan.a Hoy á las to de la mañana he entrado en esta ñores D. Tomas Josef Gómez, D. Juan Moral, Dr. D. Lorenzo Rua ciudad seguido de las tres divisiones, y rodeado de un pueblo, en cu no , D. Pedro Ramón de Jerez, D. Josef Villa verde, D. Santiago Ma yo semblante se Lia aquel contento, que solo puede inspirar al habitan rín, D. Manuel Pareja , D. Cayetano García y D. Fran…</t>
  </si>
  <si>
    <t>Ruano, Lorenzo</t>
  </si>
  <si>
    <t>Lorenzo Ruano</t>
  </si>
  <si>
    <t>…de Poza, conde de Cabra,tonio de Torres Pardo, D. Josef López de Arriba, D. Antonio Josef á 1.“ de Marzo de 1637__Otro de un juro de ioo9 mrs. en varios pue González «le Aguilera, D. Lorenzo Ruano, D. Josef María Jiménez, blo* de las metindades de Burtba, Logroño y otroe á favor «le DonD. Luis de Casamayor, D. Josef del Castillo, D. Cristóbal Josef dt Sancho Velasco, i 15 de Abril de 1468.Vrbina, D. Pedro Ramón de Jerez, D. Manuel Jiménez Pérez j Don S…</t>
  </si>
  <si>
    <t>Rub, Jaime</t>
  </si>
  <si>
    <t>Jaime Rub</t>
  </si>
  <si>
    <t>…la continuación de los asun en italiano por el caballero Cayetano Filangieri, y traducida ü caste tos de sefioríos, y de Hacienda, y si quedaba tiempo el dictamen sobro llano por D. Jaime Rub¡o, abogado que roe de los Real1* consejos: los negocios de Roma ; y se levantó la sesión á las tres y media. tercera edición , corregida, cotejada con el original que te imprimió en ARTICULO DE OFICIO. Milán el afio «le 1784, y afiadida con diáconos analítico…</t>
  </si>
  <si>
    <t>Rubalcaba, Francisco Calvet y</t>
  </si>
  <si>
    <t>Francisco Calvet y Rubalcaba</t>
  </si>
  <si>
    <t>…iegos 7, en cabeza de D. Josef de la dos de la de Mallorca á D. Juan de Dios de Aguilar, D. Juan Manuel Torre y D. Pedro de la Torre y Garces, de 4^6,400 mrs__ Otros dos de Junco, D. Francisco Calvet y Rubalcaba, D. Mariano de la Bode sobre millones de Toledo á pliegos 338, en cabeza de Manuel Ortiz y ga y M-sodío, D. Guillermo Moragues y D. Juin Antonio Delgado. ViJIisante, Dula Josefa María Lop.z y D. Francisco de Medina, su Se previene que los agraciados acudan i…</t>
  </si>
  <si>
    <t>Rubín</t>
  </si>
  <si>
    <t>…rta distcocia de este pueblo, en el punto en que se ciride el ca zo aro, v con bastanf■: ser tildadle h.zo fue ¿o con tal prox.midaJ, que mino parí Aibacssen y Villar de Canes, el comandante Rubín con ia Ir zahtimi las cení» la pólvora , pasándole la bala felizmente rasando el mayor paite de la fuerza siguió la dirección de S Mateo , ai mismo homhto izqui rdo ; entonces este ¡e liras una cuchillada, cayó á ti ría, y tiempo qu: yo con roo hombres me dir…</t>
  </si>
  <si>
    <t>Rubín, P. Fernando</t>
  </si>
  <si>
    <t>P. Fernando Rubín</t>
  </si>
  <si>
    <t>…l cabo amenazar a A'cora y Onda , y a .n anunc ar su entrada en esta villac de Hxír madura Fermín &lt; &gt;car.z muerto, y dos heridos d:¡ mismo regi Ja cou ni na del mando del teniente coronel P. Fernando Rubín fue miento, un contuso de Geiona, y un herido y otro cor,tu,o de Astu- s empr. en seguimiento de los rebeldes, sin haber pedido alcanzar mas tus. La bizatra caballería de las co umnas siguió corstar.t-mente ios que una gavi.la de rgo entre Vistabe la y la ert…</t>
  </si>
  <si>
    <t>Rubinat</t>
  </si>
  <si>
    <t>…iene la iniciativa en erte a? un tiempo que dure» In actuales circunstanciis. to no queda duda alguna. &amp;Z verdad que la Constitución en las faculta Entró á jurar y tomó atiento el Sr. Rubinat. des que «naced: al Rey n»«apresa esta; pero hablando de las de ¡as Continuó la discusión del dictamen de la comisión de Salud públi Cortes d'ce que una de ellas será el aprotñr los reglamentos de poíicía ca que había quedado pendiente en la aetion de ayer. y…</t>
  </si>
  <si>
    <t>Rubinat, Mariano</t>
  </si>
  <si>
    <t>Mariano Rubinat</t>
  </si>
  <si>
    <t>…lla Sal vito de Fsteve, D. Francisco de Paula Roset y B*bí , D. Josef Bai- en la imposibilidad de ser diputad»; y mi creo obligado por la ley mis yes Oliva, D. Josef Melchor Ptat, D. Mariano Rubinat, D. Ramón ma i reclamarlo asi, pues si ahora se admitiese un empleado de palacio, Busaña y D. Hemeterio Martí. Fueron aprobados los poderes de estos en las Cortes siguientes habría dos, luego seis, y en fin podría haber señores diputados como proponía la comi…</t>
  </si>
  <si>
    <t>Rubio, C-yeMno</t>
  </si>
  <si>
    <t>C-yeMno Rubio</t>
  </si>
  <si>
    <t>…t á lo ma tendrán parte en las conferencias, y no parece du dt Urbano, v.c.r.o» de Aicizar de b. Juan, denunció al Sr. a ca'.de dosa la opinión que reinará en ellas. const tu-on.i D. C-yeMno Rubio un ar...jio inserto en ei f , __En una carta de Francfort del dia 14 de Setiembre ae dice lo si num 46, que empieza A.cazar dt S. Juan, como injurioso a i„s guiente, antea de saber el nombramiento del nuevo ministro ing'es. » Nuestros políticos dirigen sus mi…</t>
  </si>
  <si>
    <t>Rubio, Cayetano</t>
  </si>
  <si>
    <t>Cayetano Rubio</t>
  </si>
  <si>
    <t>…no hay* mas jurisdicción en las iglesias que la de lo* obispos, quedan El Sr. fiscal D. Matías López de Friat denunció al Sr. alcalde consdo abolidas todas las demas. . titucional D. Cayetano Rubio ei núm. ja del papel titulado d ZurnaA la misma otra del Sr. Prat, sobre que se determine el número go como subversivo, por al ningún (esputo con que trata a las Cortea de obispos que debe haber con respecto al arreglo total del clero. pasadas, y singularment…</t>
  </si>
  <si>
    <t>…reino. D. Josef María González, miliciano vo'untario de caballería de Formulario magistral y memorial farmacéutico recogido por el Aranjuez, denunció al Sr. alcaide constitucional D. Cayetano Rubio cabjiiero Cada de Gassicourt, traducido de la q.* edición, y adornada Un artículo inserto en el núm. 267 del Im-arcial, qts* principia nos con nuevas notas por el traductor. Este formulario es una preciosa co apresuramos, y concluye Aranjuez jt de Mayo de tSl…</t>
  </si>
  <si>
    <t>…de 937,500 mrs. sobre las salinas da Poza i Habiéndose denunciado al Sr. alcalde constitucional de esta M. IL favor de D. Luis Fernandez Manrique, á ag de Diciembre de 1578— villa D. Cayetano Rubio por D. Gaspar Soiiverts el papel titulado: Otro de un juro de 337,847 mrs. sobre la renta de naipes de Toledo, Otvrrmtiat que ha haii.ia aytr tu la Moncha &lt;¡re., como injurioso y despachad» á favor de D. Gómez Dávila , marques da Velada, en 18ca'umnioso, se r…</t>
  </si>
  <si>
    <t>Rubio, D- Diego</t>
  </si>
  <si>
    <t>D- Diego Rubio</t>
  </si>
  <si>
    <t>….en _EI ag salió á las fi de la mafiana dt Manresa una columna de tho dose todo por ahora, y basta que discutido el proyecto de la nueva individuos de Murcia al mando del teniente coronel D- Diego Rubio, instrucción para el gobierno económico-político de las provincias, se con dirección á Cardona , en combinación con el brigadier Carrillo de arreglen estos puntos definitivamente.” Albornoz, que desde Berga emprenderá igual movimiento para reunir De Real orde…</t>
  </si>
  <si>
    <t>Rubio, Jaime</t>
  </si>
  <si>
    <t>Jaime Rubio</t>
  </si>
  <si>
    <t>…han cubierto todavía rn italiano por el caballero Cayetano Filangieri, y traducida al cant— el contingentada hombres de mar que les ha correspondido de los 3500 llano por el Lie. D. Jaime Rubio , tercera edición, corregda, cor jada que la» Cotíes han decretado en 14 de Mayo de 1821 , y que se lian con el original impreso en 1784, y añadida con discursos analíticos á r&lt;partido entre la» provincias litorales por Real orden de 18 de No cada tomo, acudi…</t>
  </si>
  <si>
    <t>…que te «xija la mitad en •tt italiano por el caballero Cay taño Fi'angieri, y traducida al caste metálico, y la otra mitad en vales y en créditos con interes , excluyén llano por D. Jaime Rubio, tircera edición, corregida , cotejada con dose también las transaciones; pudiendo la junta exigir para hacer afec el original que se imprimó en Mitán e! año de 1784 , y añadida con tivos estos débitos la cooperación da las autoridades, de quienes debe discur…</t>
  </si>
  <si>
    <t>…osos en misticismo ó en incredulidad. italiano por el caballero Cayetano Filangieri, y traducida al castellano Creo hab-r manifestado mi opinión con bastante ciaridad; pero pa por D. Jaime Rubio, tercera edición, corregida, cotejada con el ori ra todos los que s-an de mi modo de pensar, Ja cuestión que he pro ginal que se imprimió en Milán el eño de *784, y añadida con dis puesto al principio de este artículo dvbe variar de aspecto, porque cursos ana…</t>
  </si>
  <si>
    <t>…ha recordado su falta por la dirección. Madrid 14 de Julio de 182 i.rCumo gafes de accciom=Juan Pedro de Barrenechc.=Francisco de Neatorece.aV.° J.vsdffliz&gt; Juicios de jurado. por D. Jaime Rubio, abogado que fue de lo* Reales Consejos, tercera D. Juan Gallego, procurador titubeo del Real (¡tío de S. Lottnte, edición corregida, cotejada con et original que te impumsó en Milán por si y en nombre del ayuntamiento y comea de vecinos del mismo, el año de…</t>
  </si>
  <si>
    <t>…egún nos dice la historia, le hi en italiano por el caballero Cayetano Filangieri, y traducida al caste zo experimentar todas las calamidades de una invasión extranjera. llano por D. Jaime Rubio, abogado que fue de los Reates consejo.: Et Rey de loi persas triunfó como un bárbaro: el aspecto de la gran terc-ra edición corregida y cotejada con el original que se imprimió deza egipciaca le humilló , y no pudiendo igualarla , intentó destruirla. en Milá…</t>
  </si>
  <si>
    <t>…s. Madrid 28 de Octubre de 1812. en italiano por el caballero Cayetano Filangieri , y traducida ai caste =V 0 B.0e=Im3z.=Como gefes de sección =Juan Pedio de Barrenechc. llano por D. Jaime Rubio, abozado que fue de loa Reales cons.jos: ^Francisco de Nestosa. tercera edición , corregida , cotejada con el original que se imprimió M ilan aro de 1784, y añadida con discursos analíticos á cada tomo Por renuncia de D. Josef García Alfonso ha quedado vacant…</t>
  </si>
  <si>
    <t>Rubio, Jiime</t>
  </si>
  <si>
    <t>Jiime Rubio</t>
  </si>
  <si>
    <t>…criptores á la obra titulada Ciencia de la Legislación, escrita las especies. Y para su notoriedad he mandado fijar el presente edicto, por el caballero Fnangieri, y traducida por D. Jiime Rubio: tercera que se publicará en esta capital ,se circulará á las plazas y pueblos prin edición, corregida , cotejada con el original, y añadida con discursos ana cipales del distrito de esta intendencia, y se anunciará en los periódi líticos á cada tomo, acudirá…</t>
  </si>
  <si>
    <t>Rubio, Josef María</t>
  </si>
  <si>
    <t>Josef María Rubio</t>
  </si>
  <si>
    <t>…ín López, teniente del regimiento infantería de tarios de Castilla, con gro rs. Ata on, con 570 rs. Vich A D. Ramón CasiH-ball, teniente supernumerario del regi Injusto al espitan D. Josef María Rubio, teniente del regimienta miento infantería de Fernando vu, con 570 rs. infatu ría de Toledo , con 570 rs. Valencia al capitán D. Francisco Brotons , teniente dei regimiento Jr n á D Lorenzo Caballero, teniente del regimiento infantería infantería de la Rema ,…</t>
  </si>
  <si>
    <t>Rubio, Josef Plasencio</t>
  </si>
  <si>
    <t>Josef Plasencio Rubio</t>
  </si>
  <si>
    <t>…que tiene hechos, protesta que se halla animada de nombrada Pomboyense, con D. Francisco Antonio de la Cuesta y Tos mismos sentimientos que Cádiz, Sevilla , Galicia y demas puntos D. Josef Plasencio Rubio , vecinos y del comercio de la ciudad de la indicador; que cuantas disposiciones se tomen contra estos pueblos, los Havana, como fiador y síndico de D. Luis Beltran Gonet, sobre el reputa un ataque hecho 4 nuestros imprescriptibles derechos; y que no apresami…</t>
  </si>
  <si>
    <t>Rubio, Julián</t>
  </si>
  <si>
    <t>Julián Rubio</t>
  </si>
  <si>
    <t>…ante ¡a acción introdujo las munic rnrs en ,a tución , 4 a&gt; óidcnes del teniente coronel capitán de dicho cuerpo pob'ación el comar.dartte de las compañías de voluntaros d.l p u ' D. Julián Rubio , de la primera compañía de vo úntanos del part.do D. Juan Catrera», y el coronel Macrath con una eompa-í» ríe -u con 40 plazas , mandada por su capitán D. Juan Bautista Roca, de la cuerpo , la p.eza de art Fur a y el rtsto de la caballería , quedo en .1 mili…</t>
  </si>
  <si>
    <t>Rubio, Narciso</t>
  </si>
  <si>
    <t>Narciso Rubio</t>
  </si>
  <si>
    <t>…tu; por -cuyo motivo pidió A las comisiones de Hacienda y Visita dát Crédito público te pasó te dije» en el arríenlo ■ No podiendo gravar 4 lo* fondo* de propios una exposición de D. Narciso Rubio sobre redención da un censo coa nuevo* empleado* mientras haya cesantes.” con una certificación de crédito* y capital!zaciones. A solicitud de lo* Sces. de lu comisión» se mandó volver 4 ella* Las Cortes quedaron enterada* de una exposición del ayuntamien est…</t>
  </si>
  <si>
    <t>…ud de los fabricante* de jabón de Málaga; y el de la comisión idea, porquede día ae tenían graves inconvenientes: el primero se de Visita del Crédito pública sobre la solicitud de D. Narciso Rubio. ria poner á loa partícipes legos en el caso que están los demas acreedo El Sr. presidente dijo que quedaban sobre U mesa estos dos dictáaseres del Estado, y esto seria una injusticia, puesto que se les ha despo nes, y que mañana »e discutirían. jado hace muy…</t>
  </si>
  <si>
    <t>Rubio, Pascual</t>
  </si>
  <si>
    <t>Pascual Rubio</t>
  </si>
  <si>
    <t>…ían dividido en tres columnas, que de general los dias 37, a8, 30 y 31 del corríante maa al teniente coro bían, entrar por distintos pantos; y como el mas próximo es ei indica nel D. Pascual Rubio , gefe de sección del resguardo , desde laa 9 á do últimamente, pues solo dista us&gt; tiro escaso de canon de Puigcerdá, las 11 de la mañana: 4" admitidos que sean se le* facilitará su cre avancé como de costumbre «1 gran galope con la cuba.¡«ría, mis dencial p…</t>
  </si>
  <si>
    <t>Rubio, Ventura</t>
  </si>
  <si>
    <t>Ventura Rubio</t>
  </si>
  <si>
    <t>…nio Alcázar, D. Gregorio Sor Ojera Mendivii, D. Andrés Moya Luzunaga, D. Gaspar Aguilera, D. Jo Se leyó tina adición de lo* Sres. González Alonso, Serrano y LiUo sef María Puente, D. Ventura Rubio, D. Juan Fernandez-Casariego, al dictamen aprobado anteriormente para que las autoridades políticas D. Francisco Travesedo. bajo su responsabilidad remuevan lodos los obstáculos que se pongan Reunido el jurado, y habida la conferencia, *■ declavó por unanimi…</t>
  </si>
  <si>
    <t>…s cuerpos de artillería é inge- debían ver dicho papel, salieron los Sres. siguientest ni '-os ti nen una puerta ab.erta para hacer generales en el número que D Joscf Lsrreategui, D. Ventura Rubio, D. Isidro Merino,Do» s- quiera. La razón es porque en optando á las plaza» que tienen este ca- Josef Demetrio Rodríguez , D. Antonio Alcázar, D. Pedro Alvar» r , se pu -&gt;len dar de ba)a en sus respectivos cuerpos , y de consi Delgado, D. Andrés Alcon, D. Fra…</t>
  </si>
  <si>
    <t>Rublo, Cayetano</t>
  </si>
  <si>
    <t>Cayetano Rublo</t>
  </si>
  <si>
    <t>…. presidente. = Josef Melchor Prat, diputado secretario. =Francisco Be nito , diputado secretario.” Por tanto mandamos á todos los tribunales, D. Salvador Gosalves denunció al Sr. alcalde D. Cayetano Rublo justicias , gefes, gobernadores y demas autoridades, asi civiles como mi un aviso impreso, fijado en las esquinas como injurioso i su persona. litares y eclesiásticas, de cualquiera clase y dignidad, que guarden y En su vista se reunió el jurado , compuesto d…</t>
  </si>
  <si>
    <t>Rublo, Josef</t>
  </si>
  <si>
    <t>Josef Rublo</t>
  </si>
  <si>
    <t>…rvuza o pue blo, sean de la clase de vivos ó retirados de cua’quier rt-.odo , aunque s« Por lo que devengó el hallen de paso para otra parte, como dependan de la auto-dad nn-uir. Sr. D. Josef Rublo, los cuales con el gefe militar nombrado del barrio ó cunte! se situaran, teniente segundo de sin salir de ellos, en el sitio que señale el comandanta gen-ral o e fe corregidor que fue de militar, de quien recibirán ¡as orden.s convenientes, y ai¡x . aran .¡…</t>
  </si>
  <si>
    <t>Rueda, Manuel de</t>
  </si>
  <si>
    <t>Manuel de Rueda</t>
  </si>
  <si>
    <t>…rústica. ( Se continuará, j riódico titulado el Martillo malagueño de 31 de Jado de este ano , de Por el correo de la mala que salió de esta corte la noche del 18 de nunciado por D. Manuel de Rueda y otros 13 sargentos d:l regi Julio último se remitió á Bautista Escali una certificación de 8341 rs. miento z 0 de Cataluña en concepto de injuríalo ; habiendo disentido y 30 mrs., señalada con el núm. 4187 y el 33,083 de reconocimiento; únicamente los Sres.…</t>
  </si>
  <si>
    <t>Ruego</t>
  </si>
  <si>
    <t>…l po unanimidad el dictamen de la comisión de Guerra para qne el himno zo , denunciado por el fiscal de censan; la ley absolvió á D. Manuel que entonaba la columna del egército dd general Ruego tuero declara Canaleta responsable da dicho impreso-, y en su consecuencia el sellar do marcha nacional y de ordenanza. juez de prime» instancia D. Josef Victoriano Gisbsrt mandó qa* Se leyó Un oficio dd Sr. secretario de Gracia y Justicia, en que a* le altas…</t>
  </si>
  <si>
    <t>Ruff, Alvaro</t>
  </si>
  <si>
    <t>Alvaro Ruff</t>
  </si>
  <si>
    <t>…a el de Hacienda al Sr. Med:ci; para el de Gracia y Justicia vía se sepan los ulteriores resudados de aquefns disiurbios: acusábanle al Sr. Tomas:; para el de Estado al comendador D. Alvaro Ruff -; pa de traidor por haber aconsejado las providencias pacíficas—be esperaba ra el del Interior al príncipe Carditto; para el de Guerra al principe en Constan!mop a que antes del Ramadan , que enipzaba en 22 de Scaleta, sobrino del cardenal Ruño. Mayo, estarí…</t>
  </si>
  <si>
    <t>Ruffo</t>
  </si>
  <si>
    <t>…r la goleta de ru-trra la G.i.'ea, de la Guerra y de la Marina. Estos uccr.-to* están refrenda 'os por el que es de superiores fuerzas, á fin de apresar ó hacer alelar de esta cos príncipe Ruffo, secretario de Estado, y por el mismo pr-neipe de He ta el corsar o en -migo Esta solic.tuj ros parece muv justa . v no du Scaletle en calidad de nun stro de la Guerra y de la Marina. damos qu • si s-f or comandante general ace da á sin pu-s de otro mo do cor…</t>
  </si>
  <si>
    <t>Rui, María Matea</t>
  </si>
  <si>
    <t>María Matea Rui</t>
  </si>
  <si>
    <t>…or de las tropas que concur- drid á 14 da Octubre de 1808; y as in smo c neo de 150 o sos . , ner n a la a (ion, y ia constancia con que han superado lo* obsticu.os gun endoso de Doña María Matea Rui* en Madrid é 10 de Octubre que presentaba lo crudo de la estación. de 1809. EN LA IMPRENTA NACIONAL.</t>
  </si>
  <si>
    <t>Ruia</t>
  </si>
  <si>
    <t>…que vayan teniendo conocimiento de lo que yo he escrito. He aquí ces sobre esta punto i la que en él entiende. la razón por que el recurso se debe conceder igualmente ó unos que á Sr. Ruia de la Vega: Las Cortes me permitirán que en comprobar, otros. . cion de lo que se ba dicho redera jro un caso análogo que á mi me El Sr. Galiano: La comisión he convenido ya en que en un juicio de ht sucedido. En el primer jurado de acusación se verificó ci p…</t>
  </si>
  <si>
    <t>Ruifo</t>
  </si>
  <si>
    <t>…er Aoiz de Zura, D. Juan de Irazoz, el conde de Neseirode por la de Rusia; el conde de Brrnstorff por la D. Juan Domingo Zuvin y ALua, D. Lu s Gaicia, E&gt;. Josef Mana de Prusia; el príncipe Ruifo por la de Ñapóles, y el duque de We- d. i. ¡Latina , D. M guel J.s.f de Borda, D. Miguel Josef Viiiacuellington por la de Inglaterra. Creen algunos que el vizconde de Mcnt- va, D. Antonio de Ganjeaga y D- Diego Lamia , cal Jicarón por mormey regresara a Paria…</t>
  </si>
  <si>
    <t>Ruir, Joaquín</t>
  </si>
  <si>
    <t>Joaquín Ruir</t>
  </si>
  <si>
    <t>…; otra de 577 rs. y 17 mri. por Lo declararon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Sebastian Andrés. Burriezo; otra de 16,316 rs. y 23 mrs. por réditos, núm. 4467, 4 fa vor de D. Santos Zorra; otra…</t>
  </si>
  <si>
    <t>Ruis</t>
  </si>
  <si>
    <t>…n caso en que «le provincia presidiese el intendente cu el cato de ser elector el gefe ana comisión especial tea nombrada por las Cortes, p no por el señor político. presidente. H Sr. Ruis de la Vega fue de la misma opinión, manifestando El Sr. Prat: Yo tengo un motiro particular pura hacer esta propo que en este caso «lebia presidir el alcalde primero de la capital, qne era sición ; pero si el Sr. presidente ia encuentra opuesta á sus facultad…</t>
  </si>
  <si>
    <t>…determinado tiempo , como en lo ’ paeagero qué ta , se le alejase al D. Lorenzo reducido á la miseria. será el eclipse, cuyas circunstancias se batán saber igualmente en ludia. El Sr. Ruis de la Vega contestó que eran tan evidentes la* razonen ANUNCIOS.que había tenido la comisioa primen de Legislación para que no se ne» cediese é la solicitud del interesado , que creía ciertamente que no solo Al mayorazgo que fundó D. Rodrigo Vadillo, vecino q…</t>
  </si>
  <si>
    <t>Ruis, Manuel María Cabrera y</t>
  </si>
  <si>
    <t>Manuel María Cabrera y Ruis</t>
  </si>
  <si>
    <t>…z y de Espar de Junio de 182a. za. Y en las provincias en dcmde se manifestó en el prospecto. En la librería de Hurtado se venden el proyecto sobre la guardia Por fallecimiento de D. Manuel María Cabrera y Ruis ha queda Real á 6 cuartos, y el de reglamento provisional de policía i 1 2 : el do vacante la judicatura de primera instancia de Ma. Co oir.a de Fer- informe de la vomis-on especial nombrada para examinar el Estado po td: s - ad-n t n memoriales , acampanados…</t>
  </si>
  <si>
    <t>Ruit</t>
  </si>
  <si>
    <t>…nte exentos del que corresponda á los voto particular del Sr. O: i ver, contrario i la contribución sobre cria otros vecinos.** Aprobado. dos y patentes y sobre las tarifas, y del Sr. Ruit de la Vega sobre esto Art. 14;. » Los prófugo* de alistamiento pare reemplizo det ejér último. cito , que por las ordenanzas debió quedar á beneficio del contingente A la comisión primera de Hacienda se pasaron dos oficios del Go de cada pueblo, te aplicarán…</t>
  </si>
  <si>
    <t>Ruiz</t>
  </si>
  <si>
    <t>…Ladrón de gocios de S. M. C., protestando contra la resolución que habían toma Guevara. do las Corte* de que fuesen puesto* en libertad loa graso* españoles Después fue elegido el Sr. Ruiz de la Vega por 81 votos, repar D- Tomas Blanc y D. Ramón Cicerón; y se suscitó una larga discu tiéndose los restantes hasta 110 entre loe Síes. Gómez Becerra, Meto, sión sobre si debería tomara* en Conaidecacion la protesta del encargado Luque, González (D. D…</t>
  </si>
  <si>
    <t>…qui ra otros que &gt;¿aa no en ■ g dias sino en el momento. contrarios á las disposicionei anteriores. Primera lectura. El Sr. Adan retiró su proposición adicional. Del hr. Latrc: El Sr. Ruiz de la Vega amplió lo que babia manifiéstalo él Sr. pre i-4 Pido que pof la comisión de Hacienda se presente dentro de opinante, diciendo que todo aquel que debía responder de una cosa de término fijo con la posible brevedad el calculo aproximado de ia can bía…</t>
  </si>
  <si>
    <t>…itucional, y en donde se persigue y tra A la comis on de Hacienda pasaron las siguientes proposiciones del ta de asesinar á los patriotas; y si vamos a examinar el origen de estos Sr. Ruiz d 1 Rio. disturbios hallaremos que est- en gran parteen 1* desconfianza que ins 1. a » Que se nombre una comisión especial del seno del Congreso, piró el ministerio pisado: yo no dre que fu:sn enemigos de la Con*que con conocimiento del actual estado de la Na…</t>
  </si>
  <si>
    <t>…men de hechos aislados. Sin embar For úit tno dijo que deberá aprobarse el voto particular d.l Sr. Romero. go no puedo menos de decir que en el expediente obra una contestación El Sr. Ruiz tic la Vega: Forcee imposible que pu.da haber dudjs del tesorero general D. Antonio Martínez á algunos tesoreros que se respecto de un asunto tan claro como eJ actual. La muert- del Sr Caiquejaban de la suspensión que sufrían , en la que les manifiesta que en…</t>
  </si>
  <si>
    <t>Ruíz</t>
  </si>
  <si>
    <t>…comisiones. mero si hubo ó no elección , y segundo si demostrado que no U hubo, Uno de la de Guerra sobre que no se conceda ei sueldo que soli se puedi prescindir de este ca,o. ht Sr. Ruíz de la Vega ha demostra citaba D. Cayetano .Mena , sargento mayor de inviiidcs. do hasta ia evidencia que en efecto no hubo elección, y la ley no quie Otro de la misma sobre qu: r.o hava lugar á deliberar acerca de 1» re que subsista un hecho que no se había v…</t>
  </si>
  <si>
    <t>…de debe verse con él cara acara, y no en otra parte- El segundo mal U comisión habian suscrito á ella. que dice el Sr. Ar*ii,U_.t envuelve' la proposición, es el que se creerá El Sr. Ruiz de la Vega expuso que la comisión había dado tácita que miramos conódio i determinada clase de personas. Perdóneme S. Si mente su dictamen en el hecho de estar firmada la proposición por to que le díga que esta razón carece de fundamento'. Yo respetaré á mu d…</t>
  </si>
  <si>
    <t>…o *c conseguirte con la piojo* miende al Gobierno para que te le dé un destino en atención á' los tic ion. ■rrvicios que ha hecho por la causa de la libertad, opinaba que debía El Sr. Ruiz de la Vega manifiesto que aunque era individuo de !• pasar al Gobierno pira que informase. Aprobado- comisión , no opinaba como el Sr. Cuadra, por par-cetle que no era a” La comisión de Visita del Crédito público, en viste de la solicitud cetario para formar…</t>
  </si>
  <si>
    <t>…menos no produciría ventajas, concluyo opo ponía en 10 artículos el orden y regias cómo se había de verificar esta niéndome al dictamen de la comisión en su totalidad. risita. "El Sr. Ruiz de la Vega dijo: Aunque creo muy conveniente qué Pidieron la palabra para hablar en contra de la totalidad de este todo proyecto de decreto, por mas bien lund-do que esté , sufra toda es dictamen los Sres. Prado, Buey, Villaboa y Lapuetta; y en pro los pecie…</t>
  </si>
  <si>
    <t>…la responsabilidad á consiguiente una gran precisión de caminar con detenimiento, por nut algún magistrado! Ojalá que se encontrase que todos los magistrados han que haya dicho el Sr. Ruiz de la Vega. Cuando te trata de uno de los procedido con probidad. poderes del Estado , no está nunca demas la mayor circunspección da No quiero concluir este discurso sin prevenir tampoco los efectos parte de ios otros para conservarle en aquel grado de fuerz…</t>
  </si>
  <si>
    <t>…aban llenas de ladrones, asesinos Scc. Pero sírvanse creo que las Cortea no deben aprobar el artículo i." la* Cortes oir, y escandalícense del modo con que te producen lo* reas El Sr. Ruiz de la Vega: Me acongojo, sefior, al considerar la en las cautas por efecto de la conducta de los tribunales; y esto es opoaicion que hay de parte de alguno* Sres. á que te apruebe el dicta con respecto á la audiencia de Granada. Una causa de conspiración men…</t>
  </si>
  <si>
    <t>…cos para resolver en este asunto, seamos los que infor individuos de los 48 que según lo dispuesto por los Cortes en el arti memos para la elección de los visitadores. Ha dicho el Sr. Ruiz de culo 110 del reglamento general de instrucción pública , deberán por la Vega que se abstenia de poner egcmplos , porque son odioso* , j ahora componer la academia nacional, cuyo establecimiento han de aunque es asi, creo que hay casos en Tos que no se pued…</t>
  </si>
  <si>
    <t>…o tenerse en él en lengua francesa una emeion revolucionaria dirigida á motivo apoyó la formación de causa. las tropas del cordon sanitario de ios P.ríñeos—Se aseguraba que Mr. El Sr. Ruiz de la Vega dijo que según los principios que se iban in de fierre, quien va á Ñapóles en calidad de embajador , lleva encargo culcando parecía que no podía separarse 4 ningún dependiente de las depersuadir i aquel anciano Monarca á que se conforme con los des…</t>
  </si>
  <si>
    <t>…ida en el artículo too del re quedaron satisfechos del acierto, prontitud y buena disposición de lo* glamento. alumnos, que prometen muchos adelantamientos. El curso de la' aca El Sr. Ruiz de la Vega: La comisión hace cuanto le es posible demia este aho principió con 48 alumnos, el de la clase de matemá por presentar cuanto antes su dictamen á la deliberación de las Cortes; ticas y el de la de comercio con $1, sin que haya habido otra ocur pero…</t>
  </si>
  <si>
    <t>…e son indispensables para que se con.erve la so se han de- visitar, .pues en él se comprenden casi todas. ciedad ¡ Cree par ventura el Sr. Prado que se van á abrir de nuevo lat El Sr. Ruiz de la Vega contestó que lo que se acordó por las Cor causas ? ¡ Que se va i averiguar quién fue el delator, el acusador &amp;c. ? tes fue que se suprimiese la palabra general, y que el tenor del artíce Aquí lo que se va i hacer es ver si el tribunal procedió ó no…</t>
  </si>
  <si>
    <t>…piedras á la iban á ocupar en dar una ley general para esta clase de solicitudes, y casa, pero viendo que no conseguían sus intentos arrimaron leña, y la habiendo hecho presóte el Sr. Ruiz de la Vega que nada perjudicaba prendieron fuego , con objeto de quemarla: que entonces viendo el esto á que se concediesen las gracias solicitadas, pues que la comisión peligro que le amenazaba salió al balcón, y tuvo la fortuna de coude Legislación había ya…</t>
  </si>
  <si>
    <t>…ia es de suyo interesante , yo creo'que las Cortea son ia» que de de que se trataba. ben nombrar esta comisión. El Sr. Rico manifestó que el citado decreto era precisamente uno El Sr. Ruiz de la Vega: No comprendo qué motivos poderoso* de los mas sabios y benéficos que habían dado las Cortes, pues por él pueda haber para desviarse en est: caso del método común ú ordinario se respetaba en un todo la propiedad, mediante i que no pueden entrar de…</t>
  </si>
  <si>
    <t>…minado lo que con fecha de at particular de ios Sres. J&lt; emero, Ruiz de ia V ega, m moza y bailes, di jo de Mayo de i8zi ¡es tn. n'.f stó el antecesor de V. E. acere 1 de si te el Sr. Ruiz de la Vega; el cid amen qu; presenta la ctniisiou no aclara la debe hacer repartimiento sobre los sueldos, pensiones y gratificaciones inteligencia del ait. 19, c-p. i. de ia ley de p efe Octubre de iiin; que respectivamente gozan los individuos de ia armada…</t>
  </si>
  <si>
    <t>…ril de 821 á «j.rac.on. Según la nueva planta costarán 1.7149 rs. , y según la que petición del Sr. Salva. hab a costaban 2 joo'J rs. : la diferencia de aumento solo es de 5009 El Sr. Ruiz de la Veza: En vista de los artículos qu- acaban de reales, que , como se ve, no es de grande importancia , atendido* lot leerse, y del 37* ái la Constitución, creo que nad:- dudara que lis</t>
  </si>
  <si>
    <t>…ay mériloa cnem'gos de elle sofocaban sus sentimientos; en el día el fuego y para exigirle la responsabilidad. •I amor por aquella se ha apagado, porque no hay la fuerza de áni El Sr. Ruiz de la Vega: Ks desgracia digna de lamentarse el que mo necesaria para sufrir estos golpes, al paso qu* ios enemigos de la todas las insi tuclones dirigí lasa! lr.en de los pueblos hayan de ocasio Const tucion levantan la cabera por todas pastes. nar abusos qu…</t>
  </si>
  <si>
    <t>…ifestó que no podia discutirse el pro y esto era precisamente lo que se explicaba y aclaraba por el art. a.° yecto que la comisión proponía sin que cada pueblo tuviese un regla El Sr. Ruiz de la Vega dijo que los alcaldes estaban autorizado* mento munici P»'. y estuviese acordado el de policía, pues de lo con para rgecutar los acuerdos de los a) untamientos en las medidas genera trario tendrían las Cortes que hacer pronto otro nuevo reglamento…</t>
  </si>
  <si>
    <t>…variar lo prevenido en el núm. 19, párra'o za de la instrucción adi Se leyó y aprobó el acta de la anterior. cional de 1819. Después de una ligera discusión quedó aprobado esta El Sr. Ruiz de la Vega dijo que por la premura del tiempo no pu dictamen. do hacer mas que indicar en un borrador el voto particular en que di Otra de los Sres. Ladrón de Guevara y Cano: *No estando bita sentía del dictamen de la mayoría de la comisión encargada de exami…</t>
  </si>
  <si>
    <t>…tar sobre el dictamen de la co jr que la Nacon estaba obligada á hacer un sacrificio llevando á efecto misión. esta promesa solemne consignada rn las proclamas de los generales El Sr. Ruiz de la Vega: El oficio mas odioso que acaso puede eger Quiroga y Riego. Que si había dificultades en el repartimiento de los cer un diputado es el de haber Je tomar la palabra para defender loe terrenos nacían da la falta da rea as y leyes sencillas para lleva…</t>
  </si>
  <si>
    <t>…les que actualmente experimentaba la Art. 10. ” Estos comisionados se nombiarán por las Corle» , sien Nicon. do calidad precisa la de ser acreedores por una suma que no baje de El Sr. Ruiz de la Vega : La nvsma mt-jraVra de este rFctamen ha 1.000,000 de reale», y que no haya iotrrvenido en la recaudación y ce que u ca ca en un estado de perpl j da * oara su discusión rn el toadministración de lo» fondos del establecimiento " do. En ios tiernas…</t>
  </si>
  <si>
    <t>…licia nacional por ’a perse En la serta qu*dó electo el Sr. Flore* Calderón por 88 voto», te cución de los facciosos fuera de los respectivos pueblos te satisficiesen niendo 11 (1 Sr. Ruiz de (a Vega * 5 el $r- Lillo, 4 el Sr. Gzroz , f por la Hacienda nacional, y no por los pueblos, en atención á la esca i uno los Sr s Alvarez Gutiérrez, Infante, Sálvalo, Navarro Tejei— sea de medica en que ae encontraban, y hallarse obligados á otros gasto* r…</t>
  </si>
  <si>
    <t>…sas, Marti, C¡d , Rom, Saravia, Villaboa, mos derechas y beneficios aquellos que estos. Pedralvez, Ruiz del Rio, González (D. Manuel), Manso, Solos, Después de haber contestado el Sr. Ruiz á la* observaciones del se Paterna , Tomas, Ferrer (D. Antonio), Cano , Marchámalo, Prado, ñor Somoza se declaró este asunto suficientemente discutido, y quedó Escud-ro, Culate, Munarriz, Vega, Alvarex ( D. Manuel), Buey, aprobado el dictamen de la comisión.…</t>
  </si>
  <si>
    <t>…ta naturaleza, leida y aprobada el acta de la anterior , se mandó pasar á la comí» el informe presenta otros muchos mayores. Los informes, señor, no (ion de Guerra una adición del Sr. Ruiz de la Vega al ait. 19, capí» prueban mas que las relaciones de loa aspirantes con los informantes. tulo 17 de la ordenanza militar. Por otra parte el Congreso ha decretado en !a legislatura ordinaria que Entraron á jurar y tomaron asiento dos Sres. diputados.…</t>
  </si>
  <si>
    <t>…ión de Guerra había discurrido, para presentarla de nuevo á la deliberación CORTES EXTRAORDINARIAS. d:l 1 ongreso, de qué modo podría variarla; y habiendo examinado la *d cion del Sr. Ruiz de la Vega, creyó oportuno adoptar.a , aunque PKESIDXNCIA DEL lEfiot SALVATO. no Ilesa los d&lt; seos de la comisión. Sesión del dia 1». E Sr. Becerra dijo que la cuestión estaba en redactar el artru'o de Leída y aprobada el acta de la antrricr , te (nandú agreg…</t>
  </si>
  <si>
    <t>…o en el modo y casos cuanto que se conoce lo perjudiciales que ton para la sociedad. prevenidos por las leyes.” El Sr. Meló: La comisión al redactar este artículo no ha llevado El Sr. Ruiz de la Vega: La razón que me obliga á impugnar este otra idea que la de demarcar cuáles son las casas pública*. Una casa artícu o es la misma que se ha alegajo en la impugnación de los artí donde se reúna una tettulia que juegue al monte, v. gr., no por ato cu…</t>
  </si>
  <si>
    <t>…o lo influjo que puede tener un eclesiástico miserable en un puebo! (Mur indicado , Señor, no puedo aprobar la medida que te discute. mullos de desaprobación en las gal crías.) El Sr. Ruiz de la Vega: En materia tan ardua como la que al pre Ei Sr. presidente llamó al orden. sente está sujeta í la consideración de las Cortes , he oído con mucho Yo hablaré siempre , continuó el orador , con la energía que me gusto los discursos de los Sret. preop…</t>
  </si>
  <si>
    <t>…obierno ó de las autoridades obligadas á propor cios'is. Por lo mismo apruebo el dictamen de la comsion. cionarles auxilios de defensa , todos aquellos medios convenientes para El Sr. Ruiz d; la Vega; El mayor paso que se da á las pos b lidael efecto, porque si no los pueblos al aprobar este artículo dirán, &lt; y de.de la especie de que se trata en mi juicio cae; de ia voluntad. Fste es nos hallamos en estado de defensa, y tenemos todo lo necesar…</t>
  </si>
  <si>
    <t>…e llamar la atención del Congreso prenda á los constitucionales que no la multa: ¿ esto ya ha contesta para que fije su consideración en lo que eramos en el afio ds 180b: en do el Sr. Ruiz de la Vega, y yo afiadiré que la medida en discuaion dicha époci los tronos estaban dominados, y los pueblos respiraban dice ( hablando de las autoridades locales): ttrán multadas ó procesa libertad; pero estos han vuelto á sujetarse á aquellos: «y cómo ae ba…</t>
  </si>
  <si>
    <t>…sten; per » de n.ngun modo esta Gobierno, y qu: de este modo no habría lugar ¿ dudas. que altera la Constitución. El Sr. Sedeño preguntó si en esta medida estaban también inclu El Sr. Ruiz de la Vega: Kn el artículo que se discute ha de haber sos los secretarios de los ayuntamientos ; á lo que contestó el Sr. Olipor fuerza una razón que sea la motriz en el ánimo de la comisión para ver que no lo estaban, y que podría hacerse una adición al efec…</t>
  </si>
  <si>
    <t>…resu taran siempre nu vas y nuevas garantías que laa oportuna y per jud eia! , opinó que no debía aprobarse. co.lumbres del pueblo español proporcionan 1 la libertad ? Para cono E Sr. Ruiz de la Vega: La cuestión es acaso de las mas impor cer la utilidad de esta medida basta solo observar que en toda causa tantes que pueden presentarse á la deliberación del Congreso. Estoy per criminal el buen ó mal resuittJo de ella dependa de las diligencias…</t>
  </si>
  <si>
    <t>…ijo babia padeci S. S. lo pronunció: me conmorí entonces; me conmuevo ahora, y me do el Sr. preopinante. conmoveré siempre que te hagan presente* desgracia* de esta naturaleza; El Sr. Ruiz de la Vega: Confieso que estoy aturdido al ver el giro pero no reo en sus reflexiones mas que la invocación á las Cortes al que lleva la discusión, y me maravillé desde luego que oí pedir la pa pndir lo que todos conocemos hace falta. Que hay conspiradores oc…</t>
  </si>
  <si>
    <t>…ción nos ha encomendado están allanando nuestras casas; das estas personas rubricarán los papeles uno por uno. por eso el Sr. Canga ha hecho esta adición , en que manifiesta un El Sr. Ruiz de la Vega: Los señores que han hablado hasta aqtfi acendrado patriotismo, y el ínteres que se toma por ei decoro de los recontra esta medida no la han impugnado en el fondo , sino que han pres-mantés; pero tengo tan alta idea de su generosidad que no dudo pr…</t>
  </si>
  <si>
    <t>…s la facultad de practicar información sumar.*; la de prender término de 30 diat que propone la comisión. é instruir las primeras diligencias, lo cual ha motivado dudas alguna* £1 Sr. Ruiz de la Vega: Ahora es cuando la comisión se ve en la vece*. Esto se ha hecho porque no sa contradice ninguna base de la ley necesidad de demostrar con toda la extensión posible, aunque parezca fundamental ;y de la misma manera te trata de establecer ahora que…</t>
  </si>
  <si>
    <t>…en el caso d.l reglamento. preciso que el orden y la secundad del Estado exijan el valerse de esta Bajo el supuesto de que las Cortes están autorizadas para tomar en facultad. El Sr. Ruiz de la Vega ha dicho que las Cortes nada nuevo consideración este proyecto, lo que han demostrado admitiéndole en oirán contra este articulo: es cierto; pero esto no será culpa de los di su totalidad, y aprobando alguno, de sus artículos, veamos si la medi put…</t>
  </si>
  <si>
    <t>…o te hallaba en la y.° n Aunque seria conveniente , como cree el Gobierno, fijar des p opuesta del articulo. de luego la fuerza naval de que ha de constar la armad* para determi H Sr. Ruiz de la Vega: Una sota consideración hace que la corni nar el número de oficiales de todas clases qu* hayan de componerla, la són no adopte la modificación propuesta por el Sr. Infante, i saber, del cuerpo militar y su organzacion, la comisión con todo eso se r…</t>
  </si>
  <si>
    <t>…do; y asá Punto 7. (1 case la misma ¿aceta. j no puedo aprobar el artículo en los términos que esti redactado. El Sr. Vale.:. ( ¡J. Cavstano) manifestó que la comisión no podía El Sr. Ruiz de la Vega : En rigor absoluto de justicia les que se pres ntar su informe sobre el asunto que se des.guaba aquí, porque hallen en el caso de que trata el articulo deberían ser penados , por caiecia de ¡o, datos y noticias indispensables para dio, y que tan q…</t>
  </si>
  <si>
    <t>…et juramento sobre los san por la situac:on en que muchas veces ss pueden hallar. tos evangelios. En cuanto á la segunda me parece absolutamente superfina, porque A propu st 1 del Sr. Ruiz de la Vega se suprimió la palabra infor tratándose en ella de una cosa que nuestras leyes previenen, claro es mar, y se ap.obó el artxulo. que no es necesario prefijarla en este artículo; y por lo mismo creo que Art. 35. ” Los militare: por regla general goza…</t>
  </si>
  <si>
    <t>…a « tama- ba que necesitan de la sanción. mente útil. El Sr, Argííell« deshizo una aquívocacion del Sr. Galiano. Ademas si la propuesta hecha por S. M. fuera lo que han decreta El Sr. Ruiz de la Vega: Aunque couoaco que la resolución de las do las Cortes, entonces no era tan necesaria la sanción; paro la minu Cortes ha de ser enteramente contraria á Jo qua yo trato de psrsuadir, ta que se ha presentado comprende parte de Ira medidas propuestas…</t>
  </si>
  <si>
    <t>…es equivocaciones que dijo había padecido mas niirom s iu» mir..:c» »le la c.-:.,.i. ri Sr. preop nante. El o:ad.'.r pasó a fez-r varias r«il.*i.rr*s n-bre la r.'sr.Tsalii . ad El Sr. Ruiz de la Vega : La mayor parte de las doctrines ex.mes- d* I -s -&gt;-es. s-crztar , dei D*»r-'.cf.ii , d .i rtJ.' entre erss .o»as .;utai por el Sr Meló están conforme* en la teoría con la. q .z &gt; o p.-. te b.a lio’ si tuc-on en Europa d'-nde :i. rz-a-r.-nte sz d…</t>
  </si>
  <si>
    <t>…e examinase apariencias de una conjuración general, han guiado mis patos en la di que no era sospechoso. rección del espinoso caigo de fiscsl.......Al dictar este auto de indem El Sr. Ruiz de la Vega*. Si los explicaciones que dan los individuo* nización ( añade ) á fi.or da Jos inocentes, sometiéndome espontánea de la comisión al defender tu dictamen futran con arreglo á la ley, con mente á la imperiosa voz de la ley , goza mi alma d: un place…</t>
  </si>
  <si>
    <t>Ruiz, Antonio</t>
  </si>
  <si>
    <t>Antonio Ruiz</t>
  </si>
  <si>
    <t>…lde t.° constitucional, presi ten a algún saber porque habia revisado los libros de las decretales, y dente. sabia defender cualquiera proposición , creí qne tenia una gran inteli Sr. D. Antonio Ruiz , regidor del Excmo. ayuntamiento, visita gencia ; perq i los primeros pasos que se me ofrecieron dar en la car dor de ia casa de maternidad. rera de abogado, cuando se trató de sentenciar un pleito, conocí que Sr. Dr. D. Juan Antonio Salcedo, cura párroco de…</t>
  </si>
  <si>
    <t>Ruiz, Domingo María</t>
  </si>
  <si>
    <t>Domingo María Ruiz</t>
  </si>
  <si>
    <t>…1 de Alava, p-esldenti.zz Vicente Salva,dente el Sr. D. Josef Murfi , que lo es por la de Cananas, y pira se- diputado sscrstanocx s ¿.-&gt; Saav.d a, dipútalo secretario.”«ctar o el Sr. D. Domingo María Ruiz de la Vega , diputado por la Por tamo in-u .i "&lt;»s todos los tr bunaíes, justicias, gefes, go de Granada.” bernadores y dema» :.u'.oridades , asi civiles como militares y eclesiás ticas, de cuaquie a case y dignidad, que guarden y hagan guardar, El Rey ha exp…</t>
  </si>
  <si>
    <t>Ruiz, Francisco</t>
  </si>
  <si>
    <t>Francisco Ruiz</t>
  </si>
  <si>
    <t>…ambién te aprobó otro dictamen de la comisión de Legislación, no estuvieran convencidos de haber faltado á sus deberes, no se les po 11 cual opinaba se accediese á la solicitud de D. Francisco Ruiz de día desatender pero este punto dijo que se trataría mas adelante; y en Vargas, escribano de Sevilla, para que se concediese permiso á su hijo cuanto á la cuestión actual observó que después de nueve años de ha para desempeñar dicha eacribuía «por hallarse…</t>
  </si>
  <si>
    <t>…Guinea, causa, excepto el Sr. D. Cayetano Romero, que dijo no haber lugar. y de la secta de Mahoma, y se le pusieron los nombre* de Juan Francisco Jostf Bruno; siendo sus padrinos D. Francisco Ruiz y Doña TXIXUMALES. Juana Izquierdo, consortes y vecinos de Madrid, de quienes tomó En la nía segunda civil de la audiencia de Madrid y escribanía de los apellidos el bautizado. Cámara del cargo de D. Miguel Calvo García penden autos en segunda instancia entre partes, de la una…</t>
  </si>
  <si>
    <t>…comandante militar de esta dos. provincia con f-cha de hoy me dice que ei capitán segundo ayudante Cancelación. 14. letra .E 3*63— 33*S.......... 693.. .. 131Ó..18 de estado mayor D. Francisco Ruiz le avisa desde Moron en ao del Idem............t«..id...G »9S*.......... *93«....... 10,500 actual hadarse con noticias de que el faccioso Zaldívar había bajado á Idem............i8..id....C 6145....— 6148....... 820.. .. |6oo las inmediaciones de Osuna, con…</t>
  </si>
  <si>
    <t>Ruiz, Gabriela</t>
  </si>
  <si>
    <t>Gabriela Ruiz</t>
  </si>
  <si>
    <t>…e deducir ia acción que crian asistirles en los autos que en dicho juzgado niegan i satisfacer el importe de estos gastos absolutamente ó sin or y citada escribanía ¡ia instaurado Doña Gabriela Ruiz , viu *a de D in den del pagador de este ministerio, ya porque algunos ayuntamientos, Bernardo Ga»al!a, sobre reclamación de once vales extraviados al mis aunque han suministrado papel á los jueces, resisten el continuar ha mo, y entre ellos los que qu.-dan r…</t>
  </si>
  <si>
    <t>Ruiz, Joaquín</t>
  </si>
  <si>
    <t>Joaquín Ruiz</t>
  </si>
  <si>
    <t>…e han s trido resolver que las diputa porra, denunciado por el Excmo. Sr. comandante general de este dis ciones provinciales, oyendo previamente á las respectivas audiencias trito D. Joaquín Ruiz de. Porras; declaran á unanimidad de votos que territoriales , y manej nJose con la mayor economía y con toda la con ha lugar á la formación de causa. Barcelona 16 de Abril de l8lz.=Gesideración y respeto que m.recen los Condes públicos de cada partido, rón'm…</t>
  </si>
  <si>
    <t>Ruíz, Joaquín</t>
  </si>
  <si>
    <t>Joaquín Ruíz</t>
  </si>
  <si>
    <t>…a de primero constitucional de esta M. II. villa, por D. Juan de Dios do , y rcuniendome con Aranao ro» pus.ir,os á la cabeza de las tro Gil de Lara, en representación del Exento. Sr. D. Joaquín Ruíz de pas, c -ns Hiendo, aunque con mucha pérdida, hatillos en todas sus Porras, mariscal de campo del ejército nacional, y comandante gene posiciones, y después de haberios dispersado completamente los perse ral del 7. ' distrito militar , un artículo inserto e…</t>
  </si>
  <si>
    <t>…Se reunió el jurado, compuesto de los Sres. siguientes: D. Andrés mo Juóo podrá el Gobierno conceder licencia ilimitada con medio anel háartinez Orinas*, D. Josef Luis de Amaadi, D. Joaquín Ruiz , Don do, á igual número de los oficiales de todas clases que hay excedentes en Josef Gómez Albacete, D. Mariano Zorraquin, D. Francisco Barra, el ejército si la soi-.ctan. Art. a.° Los oficiales que obtengan licencias D. Antonio Gamonal , conde de Floridabia…</t>
  </si>
  <si>
    <t>Ruiz, Josef</t>
  </si>
  <si>
    <t>Josef Ruiz</t>
  </si>
  <si>
    <t>…y mezcla , como también los tamente saliese una partida de la milicia nacional local, al mando del estampados : se han subido los derechos de los patios finos de otros co ten ente D. Josef Ruiz; el que habiendo en pocos minutos reunido un lores , de los vinos embotellados y del azúcar terciado; y los generas subteniente, seis sargentos, dos cabos y 11 milicianos, marchó á aquel únicamente podrán introducirse por Petersburgo y Riga.—Ha salido de siti…</t>
  </si>
  <si>
    <t>…los de la corrupción en las elecciones, y los Laredo i D. Josef de U Tone Ttaaierra, sargento mayor. de brindar con los empleos y puestos de que puede disponer i los d¡Betanzos á D. Josef Ruiz, sargento mayor graduado de ÉenicaM ufados que adquieren mas influjo y mas poder en el Congreso. El píle coronel. lo conoce estos abusos , y declama contra ellos. Las gacetas y periódi Mallorca á D. Francisco Iraola, sargento Mayor graduado de te* rcos en tod…</t>
  </si>
  <si>
    <t>Ruiz, Juan María</t>
  </si>
  <si>
    <t>Juan María Ruiz</t>
  </si>
  <si>
    <t>…l regidor de eximírsele la responsabilidad, igualmente que á su comisionado Don cano que hacia las veces de a'calde constitucional; en cuyo acto tan Manuel Beltran, y al escribano D. Juan María Ruiz. Aprobado. tierno no se vió mas que la mayor indignación contra los enemigos de La misma comisión , informando en el expediente remitido por nuestra felicidad , y el mas grande entusiasmo y decisión por sostener la diputación provincial de Salamanca sobre la…</t>
  </si>
  <si>
    <t>Ruiz, Manuel</t>
  </si>
  <si>
    <t>Manuel Ruiz</t>
  </si>
  <si>
    <t>…obre el expedente promoví-'■&gt; por la villa de Sa.Ja'i en Palercia.s fin de que las Gsrt-*» apru b n un rrpan nenio v -■ -nal vincia separada. Aprobado. Otro sobre la exposición de D. Manuel Ruiz, vecino de esta corte, con el objeto de atender al mantenimiento de .o- preso? v r-pr-a-ica haciendo presentes los méritos y servicio» que contrajo su difunto pa de las cárceles. La comisión opinaba que deb a aprobarse d.chn r.-pairo. dre, y pidiendo se decla…</t>
  </si>
  <si>
    <t>Ruiz, Mizurl</t>
  </si>
  <si>
    <t>Mizurl Ruiz</t>
  </si>
  <si>
    <t>…nal de unas instituciones de fi o.ofia moral, en las cua n Se ha rstab ecido entre ellos, i consecuencia de un convenio cele les se reúnan la religión, la moral y la política: por D. Mizurl Ruiz brarlo ú t mam nt• con el Gobierno americano, el general Casa, fraile de Celada , antiguo profesor de esta* ciencias. Dos tomos en 8. Se ha de ltJ r-Vgvm ete S- Francisco. llará el tomo 1.' en las libreril* de Orea y de Bailo á 9 rs. en rústica: * » El lamoso…</t>
  </si>
  <si>
    <t>Ruiz, Pedro</t>
  </si>
  <si>
    <t>Pedro Ruiz</t>
  </si>
  <si>
    <t>…u Julián Gamboa; y para una fiscalía á D. Josef Atanasio del Castillo. dante del regimiento infantería de Búrgos, con 610 rs. Secretaría del consejo de Ejtado. Falencia al espitan D. Pedro Ruiz de la Peña , segundo ayudante Provincia de León, Por promoción de D. Josef Suarez Cuenlla á la del regimiento infantería Infante D. Antonio, con 670 rs. judicatura de primera instancia del partido de Omafia ha quedado va Pamplona al capitán D- Juan Domingo Ol…</t>
  </si>
  <si>
    <t>Rull, Francisco da Fau'a</t>
  </si>
  <si>
    <t>Francisco da Fau'a Rull</t>
  </si>
  <si>
    <t>…hit)1 i :u.ion de cursos que se estudien ea aquel estableci Otro , en e) cual opinaba qne debía pasar i la comisión de Visita miento. Aprobado. del Crédito público •* solicitud de D. Francisco da Fau'a Rull, en La comisión de Visita del Crédito público, informando sobre le que ped.a se le satisfaciesen varios créditos que tiene contra un mo- solic tud de D. Mariano Ascencio para que en atención á sus méritos naslerio extinguido. Aprobado. y painc miento: s: le a…</t>
  </si>
  <si>
    <t>Rull, Pedro Surra y</t>
  </si>
  <si>
    <t>Pedro Surra y Rull</t>
  </si>
  <si>
    <t>…ciones de ¡os Sres. Infantes; y por estas circuns barse lo» poderes de este Sr. diputado. Aprobado. tancias , á pesar de que es bien conocido el aprecio que el duque del Cataluña. D. Pedro Surra y Rull, D. Josef Grases, D. Ramón Parque se merece, y el patriotismo qne le acompaña , creo que se halla Sal vito de Fsteve, D. Francisco de Paula Roset y B*bí , D. Josef Bai- en la imposibilidad de ser diputad»; y mi creo obligado por la ley mis yes Oliva, D. Josef…</t>
  </si>
  <si>
    <t>Rulz</t>
  </si>
  <si>
    <t>…rno económico-político de las provincias, llas : por io mismo , repito, que dicha el usu'a debe luonm-s-. añada á este los artículos que crea oportunos i los dos objetos indica El Sr. Rulz d ‘ la V-ga : Este artku o está pu-sto con mucho tino dos.” Se mandó pasar á la comisión. y conocimiento en la materia. Ninguna duda puede ocasionar, ni pue de hab r temor de que se confundan las at. ibuiiones de ios ayuntamien CAPITULO III. tos y las de los…</t>
  </si>
  <si>
    <t>Ruño</t>
  </si>
  <si>
    <t>…as pacíficas—be esperaba ra el del Interior al príncipe Carditto; para el de Guerra al principe en Constan!mop a que antes del Ramadan , que enipzaba en 22 de Scaleta, sobrino del cardenal Ruño. Mayo, estarían nombrados nuevos hospodares en Moldavia y Vaia- Francia. Jamas han propagado los periodistas franceses tactas fal quia , elegidos entre los boyardos que hab an sido ñamados á aquella sedades acerca de España, tantas injurias contra los español…</t>
  </si>
  <si>
    <t>Rusia, I</t>
  </si>
  <si>
    <t>I Rusia</t>
  </si>
  <si>
    <t>…pados ni contra los rajaos. con los deseos de que se egccuten los tratados, y de que se conserve la • Conforme i lo expresado en las estipulaciones conc!u:d»s con ¡a tranquilidad general I Rusia , la Sublime Puerta hará administrar ios neg cios de li s -r n. » Y prescindiendo de estas consd-raciones , ¡no habrá dado la Subli cipados, como ya se esta verificando, por ca.macm* e.\-g-,do- e: • ¡n» me Puerta una prueba nada equívoca de su cu dados» »t-nc…</t>
  </si>
  <si>
    <t>Russel</t>
  </si>
  <si>
    <t>…Por los ‘ue'dos de sus de* 25,196.. 7 esta petic¡on._Se discutió ya en la Cámara de ios Corr.un s la cu si on pendientes...—........... 2,516 }sobre la reforma parlamentaria, y el lord Russel peroró siete cuartos Alambrado y serenos. de hora en favor de ella , dando noticias bastante curiosas sobre ciertos Por «ueldos de sus em- iuntos. Se hizo muy poco caso de su larga arenca, y qurdó irse.hada Ía propuesta sobre la reforma parlamentaria—Un perió…</t>
  </si>
  <si>
    <t>Ruta</t>
  </si>
  <si>
    <t>…esti medida; pero á pesar de que es siera que esta parte de. ártica!o sa auni.ts; c- rt - 1 ; ar. títí tas noticias son satisfactoria,, hay , señores, todavía mucho que hacer, Ei Sr. Ruta de la Vega ; La.i todas ¡as ia. ..»•&gt;, .pu .: 1’o y sepa el Sr. pr op ñame que hay todavía muchos males que remediar; hasta ahora se han reducido a aLa.r ¡o que y i..a ■. y asi el articulo d.be aprobarse. bado las Cortes en esta parte. Sier.to n.u.no i 1 .i a…</t>
  </si>
  <si>
    <t>Rute</t>
  </si>
  <si>
    <t>…la De las paradas ¿enerales. Cartuja hablan aparecido algunos, talló inmediatamente dicha pa tida Art. 1 .* «En los días de ga.a con uniforme y en todos los demas don ef patriota capitán Rute y los valientes oficia es linaza , Revuel que el comandante general de un distrito tuviese i bien se reunirán tas y Martin; averiguándose al cabo de prolijos reconocimientos que y formarán tas tropas en parada general. andaban por aquellos campos cuatro ladro…</t>
  </si>
  <si>
    <t>Rute, Luis</t>
  </si>
  <si>
    <t>Luis Rute</t>
  </si>
  <si>
    <t>…noi-DiOi guarde á V. E. muchos afkrs. Escorial a 19 de Jubo Francisco Calis, D. Vicente López, el brigadier l&gt;. N. Zaidivar, Don de t8aa.=hxcmo. Sr —Fr nc.sco Plasencia.=£xcmo Sr. comandante Luis Rute, i&gt;. N. Morguecho, D. N. Civil, D. N. Ceruti, y el ma general dei primer d struo.” rino IX N. G -mend.'a. Bando, n A pesar de os continuos actos de bondad que ha dado el Es regular que cese luego en sus funciones la Junta consultiva, Rey constitucional y su G…</t>
  </si>
  <si>
    <t>Rute, Luis de</t>
  </si>
  <si>
    <t>Luis de Rute</t>
  </si>
  <si>
    <t>…do lu de 23 de A.hnl, y denunciado á excitación del gefe superior político; gar , presentada al gefe superior político de la provincia por el médi en cuya virtud la ley absolvió á D. Luis de Rute , capitán del regi co D. Josef Mendoza, individuo de la diputación provincial de le mis miento de la O rona, responsable de dicho impreso; y se mandó fue ma, y vocal de la junta superior de Sanidad. Se hallará ea la librería se puesto rom-d atamente en librta…</t>
  </si>
  <si>
    <t>…dos, y habían salido ya para Jerez , haciendo part: de la compelía El AL nitor publica noticias muy curiosas de España, v seria de escopeteros, que al mando dei intrépido patriota D. Luis de Rute, lástima que las ignorasen nuestros lectores. Merino entro en Búrgos: va en persecución de facciosos. el g-fe político, ias autoridades, todo» echaron á correr, y no se cre yeron seguros sino en Madrid---- Kn Murcia hay un gran cuerpo de ,Extracto de noticias…</t>
  </si>
  <si>
    <t>Ruvinat</t>
  </si>
  <si>
    <t>…etra, Nufiez (D. Tonbio) , Al calde , Henriquez, Cano , Ladrón de Guevara y Marchámalo. : Acaba de ser litografiado el famoso zodiaco de Denderach por e! cé Fue elegido también el Sr. Ruvinat por 75 votos de *17, repar lebre Mr. Aubry, quien ha bosquejado al mismo tiempo el monumen tiéndose los restantes entre los Sres. Becerra, Marchámalo, Vilíanucto del inmortal Mazet. El cuadro del zodiaco presenta los doce signos. va , Soria , Cano, Alvarez y…</t>
  </si>
  <si>
    <t>RuVn, Leandro</t>
  </si>
  <si>
    <t>Leandro RuVn</t>
  </si>
  <si>
    <t>…roviene de que las rentas de los aSos anteriores no han tínez por §4 votos de total 96- producido &gt;' que debían , y de que el importe de las contribuciones Para Mallorca los Sres. D. Leandro RuVn d- C Ü», D. Jo-.-f ’Jr- no sr lia cobrado. rutia y Arratia y D Fciipr López Val demoro, y fue electo ei señor La comisión se ocupa en examinar cual e* el verdadaro déficit y del Rubín de Celis per 6a votos d-l total ¡16. ♦noi.&gt; de cubrirlo , y a su tiempo dir…</t>
  </si>
  <si>
    <t>Rv'rt</t>
  </si>
  <si>
    <t>…t. &gt; !Vol as-'.iido de un cusa y de d-s "1 -es Asri.-f. -s , ur- de los te osado de un atentado igual, esté V. S. seguro de que quedará bien es cutíes descerrajó un carabinazo al teniente Rv'rt , r r~ r®™ ot' *• carmentado por los valientes que componen est* pequeña co'umna. mil'-Tiunoil- nu Str-S m-&gt; ' i' -nt.s mi' tares. Marcho nmrd.at»- Examinaré también el espino del pueblo, y perseguiré de muer rn-n;' al so.-: tro dt dicha cimpsfi* la de los ca…</t>
  </si>
  <si>
    <t>Rwz</t>
  </si>
  <si>
    <t>…ideas que hay en los papeles Se mando pasar á la comisión primera de Legislación la siguiente púb icos, unos á favor de la parcialidad , y otros de la libertad , para adición del Sr. Rwz de la Vega : •» Pido a las Cortes se sirvan declarar excitar el patriotismo, y ¿n fin para que se vean las verdaderas virtu que la sustitución de los jueces de primera instancia en los casos en que des liberales y cívicas de tos amantes de la» nuevas instituc…</t>
  </si>
  <si>
    <t>S, Manuel</t>
  </si>
  <si>
    <t>Manuel S</t>
  </si>
  <si>
    <t>…e el Soberano y s, pueblo. ¡ Ah! te de Valls al mando del cap-tan y comandanta inter-nn de infantería también lo deseamos nosotros ciertamente; y si las co;,, hubiesen ido del Rey D. Manuel S.'té,la qua fue atacada antes Je llegar en diferen siempre de est; modo en Franca, no hubieran sido ra'tKsur revolucio- tes pumos por una paite de la fuere* del rebelde Rcmagoia , que salió n-s, ni estaríamos en el caso de r&lt;-*ner otras nuevas, (Ij na Voz i la…</t>
  </si>
  <si>
    <t>S, Miguel</t>
  </si>
  <si>
    <t>Miguel S</t>
  </si>
  <si>
    <t>…al de Ignacio de Soria , de 46,143 mrs----' &gt;tros cuatro sobre millones de Z«Ja de Aragón. Los letrados que ¡a pretendan, si tienen las circunstan niora 4 pliego 1.', en cabeza de D. Miguel S»nz Dorador, y antes lo te»* prescritas por la Constitución y decretos de las Cortes, dirigirán ó estuvieron en la, de la cofradía del Sitio. Sacramento de la iglesia par presentar n sus solicitudes *-n la secretaría del consejo de Estado , por roquial de Carv…</t>
  </si>
  <si>
    <t>S, S.</t>
  </si>
  <si>
    <t>S. S</t>
  </si>
  <si>
    <t>…los cuantas diligencias estaban en la sobre el particular de que se trataba; y que en este supuesto deseaba que esfera de sus facultad:*. Y en cuanto al único cargo que le hace el señor S. S. hablase. fiscal, no estando lega'mente justificado, se le absuelve, y-n su conse El Sr. Argiielles manifestó que creia no haber dicho lo que suponía cuencia se le alza la suspensión que se le impuro por el referido decreto. el fr. Salvi, lo cual te podía ver…</t>
  </si>
  <si>
    <t>S-oane</t>
  </si>
  <si>
    <t>…ostear ó hacer funciones ó to particularmente los ayuntamientos de promover estos importantes ob rnerías. jetos, y de que se remuevan tod s los .obstáculo* y trabas que sc «pon El Sr. S-oane contestó que para cate efecto tendrían sesiones ckgan á su mejora y progresos.” Aprobado. traoru. naris. El Sr. marques de la Merced observó que pudiendo pertenecer el mo M Sr. Va'dés (D- Cayetano) dijo qua convendría expresarse en tivo de la queja i la autor…</t>
  </si>
  <si>
    <t>Sa</t>
  </si>
  <si>
    <t>…eporseestainferiarazónquesenoencontraríanpor eso dejódespuésde leerseaprobadosíntegra laenmelñuta.acta ; de se ha tratado mas por los redamantes que de sorprender á la» Cortes, El Sr. Sa:vá repuso que el hecho ira que se habían dado por apro buscando todo género de ardides para persuadirles que deben declarar bados una adición y unos artículos que no lo fueron hasta despu s de hab-r lugar á la formación de causa á la audiencia de Valladolid y…</t>
  </si>
  <si>
    <t>…as del Congreso en favor de los egecutsndolo indefectiblemente cada tnes con los que llegaren á shs ma acreedores. nos, y haciéndolo notorio al púlJico por medio de los periódi El Sr. Sa!vi hizo presente que se habia remitido ya i las Cortes el cos. Igualmente se le deberá mandar proceder ñ la quema pública do expediente de que se trataba, y que podia suprimirse esta parte. Asi se documentos que hace días no se ha ejecutado. El influjo de est…</t>
  </si>
  <si>
    <t>…menos , y seis por cada compañía donde Quedó aprobado el aifcculo con la adic.on de que habla hecho mé haya mas de una. Estas elecciones se haun según lo prevenido en los rito el Sr. Sa:va. ut.culos anteriores. Ait. ■ J4- n Los ayurtjmientos cobrarán f'ta ccrtrihuc on de un Att. *5. » La elección puede recaer en cualquier individuo de la modo análogo ¿ las demás, economizando gastos de rttcuca^itn.” compañía , tenga ó no ttnpieo en el.a. Apr…</t>
  </si>
  <si>
    <t>…de 2750 rs. de capital , número quín Manrique y Manrique. 3658, á favor de D. Miguel Mufioz; otra de 577 rs. y 17 mri. por Lo declararon sedicioso lo* Sres. D. Juan Antonio López, D. Sa rédaos, núm. 4234,4 favor de D. Silvestre de Agustín Alvarsani; otra turnino Lozano, D. Joaquín Ruir, D. Casimiro Martin , D. Lorenzo de 64,83. rs. de capital, número 3878 , 4 favor de Dofia Gerónimo Calvo de Rozas, al marques de Torrcnucva y D. Sebastian And…</t>
  </si>
  <si>
    <t>…, a1 pr'.ncip.o de .a acc on, un cabo her do y un caba.lo mu .t-— i .mel objeto que »• propone es milo, y que el deseo del bi-n púo ico no b en ir u el expresado coimrd nte que ei coronel D. Sa «ador Láiaz t&gt;ntra , (o mar parte de la» observaciones que haga. El cs.r.ior juicioso Eerrío ha cog do cinco cabal os á otros facciosos, que rsicoeo -n una fi ¡mpar^al so amante echa mano de las armas de la razón y de .a jus ca-a cercó, s.n poder consecu.r el…</t>
  </si>
  <si>
    <t>…s; tn-n-n ,os art.cu o,. Alemas, lo, mdivi.luos de la conus ,n de las Cortes de lo que necesita la sanción Real. no podr an correspon l.r a lo qu: s. propone a las Curtí», que El Sr. Sa1 vá dijo: Tanto entre .os señores que han aprobado han sido d- opmian de que no debe ir c»l: dictrto a ia sanc.on Rn ; la proposición dtl Sr. Canga como entre los que &gt;as han dr.apro y claro -s que seria poner. » en uo coniproaiiso el obligar.»s á nácef bado…</t>
  </si>
  <si>
    <t>…rv.ur l&gt;'.¡- a», i; t.-c* .rc-r.d , ■ víe ni saqui-n copias, y quede á sus sucesores en el mando." par» e»í; electo eniph-ará d- li.¡ti¡o .n t.smpo .a troqu* s a i A petición de' Sr. Sa vato se -aprobó este art.culo, empezando con Art. 25. » En caja una de ia» pu rías de lo» a m .» . r» d art . : r a estts palabras: - E' ¡neeniero comandante dará al gobernador de la pla en que haya piuvou, me::.. .0;..» y p.i|i.-»hcs irabi i ca,::o ..»v s d.…</t>
  </si>
  <si>
    <t>Sa'vá</t>
  </si>
  <si>
    <t>…s.tar cuanto hay quehacer en la magistratura es su reforma, reforma importantísi •1 hombre tiens de mas apreciable, el honor, la v.da , la considera ma. oi se adoptase el plan del Sr. Sa'vá sobre que sedciasen de proveer ción y la fortuna. Circunstancias que exigen la mayor circunspec las plazas vacantes, seria menester exonerar ai Gobierno ds toda res ción en su nombramiento , por cuya razón se ha exigido que se haga ponsabilidad en esta parte.…</t>
  </si>
  <si>
    <t>Sa'ví</t>
  </si>
  <si>
    <t>…asimismo al cabo, que mareó Las Cortes lo oyeron con particular agrado , y acordaron que se im también. primiese esta representocion , recayendo sobre eiia la misma honorífica Ki Sr. Sa'ví d jo: La secretaría no puede meros de llamar la aten declaración que hábil recaído en las demas de «ti clase. ción de lis Cortes hácia esté escandaloso suceso, y tinto mas cuanto que Se continuó la discusión sobre el proyecto de decreto , relativo á es semeja…</t>
  </si>
  <si>
    <t>Sa, Cristóbal</t>
  </si>
  <si>
    <t>Cristóbal Sa</t>
  </si>
  <si>
    <t>…dio de unos pueblo* poco acostumbrado* á U lengua y cos tumbres de lot romanos, fue exagerar la justa idea de Severo , y preparareu su reveno una corone de laurel con el nombre de D. Cristóbal Sa ks, individuo de mérito de esta sociedad, por haber presentado un plan la calda del imperio. Constantino ensanchó otro tanto mu el recinto de la antigua Bt- topográfico del término comprendido dentro de la legos de esta ciu ■ancioi peto es un ertor el creer q…</t>
  </si>
  <si>
    <t>Sa, Juan García</t>
  </si>
  <si>
    <t>Juan García Sa</t>
  </si>
  <si>
    <t>…briel Manzanares y D. Josef Castelar, y omitió la de D. Lorenzo con apercibimiento de que pasados dichos dos años sin haberlo verifi Gómez , administrador del Pardo y la Monoica , D. Juan García Sa cado , se procederá tn rebeldía á declarar á la citada Doña Isabel las , Chaves eh guardaropa del R*y y el oficial de Almagro » contra Muñoz Ortega por efectiva última poseedora de los bienes afectos á los que resultaban los mismos ó mayores méritos. dicho pa…</t>
  </si>
  <si>
    <t>Sa-</t>
  </si>
  <si>
    <t>…se de la isla. Todo esto se debía verificar al pre tío de este térm no queden de hecho amortizados.” Y á fin de que los sentarse esta escuadra delante de la isla de Hidra; pero el capitán Sa- acreedores del Estado por imposiciones en la antigua caja de Consoli kulovich, qu: tuvo noticia del proyecto, frustró la conspiración. Los dación, por todos ramos y conceptos, no aleguen ignorancia de esta culpables fueron arrestados, y cuando los turcos se p…</t>
  </si>
  <si>
    <t>Sa-, Fermín</t>
  </si>
  <si>
    <t>Fermín Sa-</t>
  </si>
  <si>
    <t>…se- Dios guarde á V. muchos años. Cuartel general de Lutnbirr dio de marchas atrevidas y dificultades vencidas, todos están admiian ly de Agosto de 1821.= Vicente de Quesada. sSr. D. Fermín Sa- dosde cómo con tan pocos medios hemos salido hasta ahora del bordo '»laberri.” del precipicio , y cómo se ha sostenido sin embargo el entusiasmo de L). Ramón Sánchez Salvador, brigadier de los egírcitos nacionales, co la* tropas. Cuantas vec:s han salido de l…</t>
  </si>
  <si>
    <t>Sa-, Francisco</t>
  </si>
  <si>
    <t>Francisco Sa-</t>
  </si>
  <si>
    <t>…antes ds la órdenes, que también condujeron á trrzos de una y otra arma. No pue da actha. do t.imp---o pasar en ail-neio el denodado arrojo y serenidad del capi S-j'orv al cap tan D. Francisco Sa-7, s.-?undo ayudante del teji tán de Valencia D. Joaquín Moreno,que con indecible b zarria, acom miento infantería de Zaragoza , c' r. 6?J rs. pasado de sus soldados y los del resguardo militar , trepó y tomo el han t,ü¡imente a D Juan Artorio x.-rraro, segund…</t>
  </si>
  <si>
    <t>Saa</t>
  </si>
  <si>
    <t>…qus en el Gobierno no existen noticias sufi guntas de una vez , con lo que se ganar.a tiempo en la discusión, y no cientes para contestar de un modo terminante a las preguntas del Sr. Saa divagaría esta , y los secretarios podríamos contestar de una vez á los vedra, relativas á los acontecimientos verdaderamente escandalosos de de-eos de los ores, diputados. Lucena, provincia de Córdoba; como he tenido la desgracia de ser ve El Sr. Marau: No h…</t>
  </si>
  <si>
    <t>Saa, Miguel da</t>
  </si>
  <si>
    <t>Miguel da Saa</t>
  </si>
  <si>
    <t>…ción de obras públicas. (Gaceta del /y.) tes. (Gaceta del 26.) Circu'.ar del ministerio mandando se incluyan por duplicado los di- Rtal orden acerca dal alcance que resulta contra D. Miguel da Saa bttjos de que habla el art. 3.a del decreto de las Cortes de s de Octu vedra y demás que so hallen en su caso. (Gaceta del 26.) bre de 1810 sobre patentes de introductor ¿te. de algún ramo de in Resolución de la* Cortes prohibiendo i las corporaciones que ten…</t>
  </si>
  <si>
    <t>Saaeedra</t>
  </si>
  <si>
    <t>…limita del meniage i S. M. sea la misma que ba extendido el dio- distancias para la reunión de los electores fuese necesario, procurando tunen.” la menor posible incomodidad. • El Sr. Saaeedra expuso que ere mup conveniente que se nombrase Por último, opinaba la comisión que las Cortes debían declarar otra comisión, por cupo motivo se oponía á le proposición de Sr. Prat. que la incompatibilidad catre la calidad de elector p presidente no teEl Sr. P…</t>
  </si>
  <si>
    <t>Saataells, Pedro Serrano</t>
  </si>
  <si>
    <t>Pedro Serrano Saataells</t>
  </si>
  <si>
    <t>….......................................... 10,078.-30 ciembre de t8ao, te haladas con los núms. 1403 , 1404, 140c y 1408, Pagado por del cupo nacional de Con las que se remitían á D. Pedro Serrano Saataells, vecino de Pri.-go, sumos. .................................. 5 ;o,coo se suplica á quien tenga noticia de alias lo avise en esta corte á Don De lo pagado de la contribución de casas y Prudencio María de Villoslada, que vive calle del Norte, núm i), patentes.…</t>
  </si>
  <si>
    <t>Saatocildet, Clemente</t>
  </si>
  <si>
    <t>Clemente Saatocildet</t>
  </si>
  <si>
    <t>…tos priestado mayor teniente coronel D. Josef de le Gándara, y el ayudante aeros tenientes de guardias que pasen i comandanta primeros de la de Gurrea , subteniente de Hostalrich D. Clemente Saatocildet,y cua milicia activa. {Gaceta del as.) tro caballos, incluso el del teniente de Lusitania D. Manuel Motero. Decreto de lu Cortes sobre el establecimiento de escuela de ente» No puedo menos de elogiar la conducta y valor de esa valiente fianza mutua en la capi…</t>
  </si>
  <si>
    <t>Saav-dra, Josef María</t>
  </si>
  <si>
    <t>Josef María Saav-dra</t>
  </si>
  <si>
    <t>…e retiró dicha adición por la comisión. cervárseles tus títulos y honores. Aprobado. Se procedió á Ja dscuslon dei dictamen de la comisión de Casos «le Otro sobre la exposición de D. Josef María Saav-dra , coronel re- responsabilidad sobre los sucesos ocurridos rn Lorca el 30 de Abril ,J -tirado en la villa de Fedroso, en Sevilla, sobre capitalización de su leído qu: fue (véiue la ¿aceta del jueves 9 de Mayo} dijo el Sr. Falco: sueldo y preferencia de estos c…</t>
  </si>
  <si>
    <t>Saav.-cra</t>
  </si>
  <si>
    <t>…siera que el Congreso incuiri se en una contradic n.r lo» demas individuo» que s; ficn..oniD en ia expos cion. ción, y mucho menos que diese una declarac on qu: aerso D hiciese El Sr. Saav.-cra: Mi digno am.go v compañero el _&gt;r. i.turiz lis aparecer como parcial en este punto, rao apioh-re el dictamen que se contestado á las ob| Couc$ hecha» por ri ór. Atan, y creo qu; re ta discute, á pesar de los sentimientos p-tn. t .. 1, y virtudes que acó.mu m…</t>
  </si>
  <si>
    <t>Saav.dra</t>
  </si>
  <si>
    <t>…r de la El Sr. secr-’tario de la Gobernación: El Gobierno estí muy de Constitución, dió órdenes á todas las autoridades para que el i.“de acuerdo con las ideas que ha expresado el Sr. Saav.dra , y conoce ia Marro los regimientos de milicias estuviesen disucitus y en sus res importancia que debe darse é estas ocurrencias; pero no se oculta-, á petivas capitales. En general por todas paites se pide al G&lt; bierno que la sabiduría del Sr. preop nante qu…</t>
  </si>
  <si>
    <t>Saavcdra</t>
  </si>
  <si>
    <t>…una ley vigente, cuya aplicación ha producido saludables loe buenos ciudadanos i qua se alistea en ella. efecto*, respecto do las conmociones de Castilla , provincia* exentas y El Sr. Saavcdra dijo que la comisión tenia mucha complacencia al otras; y aun para que no fuese tan severa se. ha acudido tres veces al ver la conformidad de lodos los señores que habían hablado con la* Congreso pidiendo que se'concediese úna amnistía, como asi te ha verifi…</t>
  </si>
  <si>
    <t>…iando las razones de los se- Art. ai. «El gobernador ó comandante superior publicará por fiotes preopinantes. bando á los vecinos y comunidades que serán despedidos de la plaza El Sr. Saavcdra : Si se reflexiona sobre la redacc'on del artículo, se con los que en el tiempo que limitare no se hallen abastecidos de víveres á vendrá en que la autoridad que se concede al gobernador de una plaza lo menos para su subsistencia de seis meses, encargando al…</t>
  </si>
  <si>
    <t>Saavcdta</t>
  </si>
  <si>
    <t>…rece qae no forme con la idea ; pero que aquí sa hablaba de convites, sin decir quién pueden menos de tomarlos en considaracioa los señores de la co los babia de pagar. misión. El Sr. Saavcdta dijo que en este particular creía también que debería El Sr. Caadra dijo que loa deseos 4*1 Sr. Infante qnednrin satisfe corregirse el srticulo. chos si se aprueba la medida ■ j. El Sr. Galiano manifestó que creía que loe gefes políticos no debita El Sr. secr…</t>
  </si>
  <si>
    <t>Saave'tra</t>
  </si>
  <si>
    <t>…a. sunl, y los sargentos, cabos v soldado* tendrán ei haber de preferencia que les corresponde por sus clases.” Turquía. Continúan las tropas turcas evacuando la Moldavia y la h l Sr. Saave'tra opinó que la gratificación que te proponía pira lo* Valaqn a ; pero aun note sabe si valdrán sotaní, me asi t oa». para oficiales de caballería de la guardia debería aumentarse proporcionalmen* hacer salir á islas parece que ti d van se ha valido Ce ura .stnt…</t>
  </si>
  <si>
    <t>Saavedra</t>
  </si>
  <si>
    <t>…del Gobierno interior de Nación disfrutar de las ventajas que la Constitución debe procurarle, y Cortes. •e esmerarán en ir acordes con la opinión pública , sin la cual ni h*y El Sr. Saavedra dijo: Convencido del estado de la Nación, y de que e» confianza, ni seguridad ni poder. imposible que pueda atender á sus obligaciones por la escasez de me » Las Cortes no temen los esfuerzos que para contrarestar tan justo dios , me tomo la libertad de ceder…</t>
  </si>
  <si>
    <t>…decoro qae debo á las Cortes no daba el general Elio, y del otro no se sabia su origen. me permite manifestar. El Sr. Llórente dijo que los patriotas se hallaban perseguidos en El Sr. Saavedra: Como al asesinato del marques de Torrrblanca todas partes; que en Orense era notable que todas las autoridades ci han precedido ot os dos de patriotas decididos, y como no hay con viles v militares habían contribuido á esto mismo. En consecuencia pi currenci…</t>
  </si>
  <si>
    <t>…misario de Guerra, porque de ella hablaron en tado que le interesaría hacer preguntas i los secrctajios del Despacho. un tiempo los papeles públicos. Admitida á discusión, dijo el Sr. Saavedra que la proposición no El Sr. Calderón: j Pero el Gobierno no tiene noticia de que actual tenia otro objeto sino que la comisión especial encargada de examimt mente existe una partida de to o ia facciosos mandada por un tal Ca- el estado de la Nación, tomase e…</t>
  </si>
  <si>
    <t>…monial para un hijo suyo, opinaba que si discutirse en el momento, suspendiéndose la discusión de las otras. después del mucho tiempo que ha trascurrido desde que se hizo la ex El Sr. Saavedra dijo que á excepción de la medida tercera las da posición de Mendivil á las Cortes, insiste este en sus relamaciones , de mas son de tal naturaleza que pueden las Cortes entrar en su discusión be acudir al Gobierno. Aprobado. sin las formalidades que para las…</t>
  </si>
  <si>
    <t>…convenía ni inculpaba 4 laca futuros acontecimiento*, peso aun w ignora el partido que seguirá en misión. caso de romperse las hostilidades entre Ansie J Turquía. El Diario dt F.1 Sr. Saavedra dijo que la comisión había hecho todo cuanto ha Francfort dice que el ando militar «le Pruaía te halla en el mejor pie-, bía podido, y estaba persuadida «le que la* medidas que faltaban eras que los arsenales asían llano*: que hay abundancia de armas y munici…</t>
  </si>
  <si>
    <t>…omprendida* ea la incorpo Se procedió á la elección de cuarto secretario. En el primer escrutinio ración al Estado las acciones del banco pertenecientes ¿ las comunida tuvieron,el Sr. Saavedra 6y votos, al Sr. Benito 65, el Sr. Calderón des de Indias, era de parecer que asi debía hacerte. «mo , el Sr. Belda uno y otro el Sr. Buey. No habiendo reunido nin Ei Sr. Ferrer dijo con este motivo que cuando lo* periódico* de guno de dichos sehores la mitad…</t>
  </si>
  <si>
    <t>…La misma, en la instancia de Doña Joaquina Sola solicitando una la interesada debié acudir al Gobierno. pensión, opinaba que no te podía acceder a ella por la titnacioo dél El Sr. secretario Saavedra manifestó que hallándose casada esa in erario público. Aprobado. teresada , y no habiendo presentado poder de su marido pan esta soli La misma tomis.on en la instancia de Doña Angela Lanuza, viu citud , creía qoe se debía declarar no haba lugar i deliberar so…</t>
  </si>
  <si>
    <t>…y que están comprendidos en el art. 6.a del decreto de 8 te mes, sin admitir dilaciones de ninguna especie.” de Octubre de 1820 por las razones que exponían, opinaba que no de El Sr. Saavedra manifestó que el objeto de esta proposición era que bia accederse á dicha solicitud. Aprobado. se diese al asunto de señoríos toda la preferencia que necesitaba para La misma, en vista de la exposición del gefe político de Catalu calmar con su resolución la a…</t>
  </si>
  <si>
    <t>…giosos. Aprobado. ciones debían ser juzgados por el tribunal de Cortes. La misma , en vista de la consulta de la junta nacional del Crédi Interin se formalizaba ia proposición del Sr. Saavedra se dió cuen to público acerca de le eapoaicion de O. Francisco Alvarrz de Villa- ta del dictamen de la comisión de Casos de retpontabslidtd robra la roel, sobre que te declarase que el hospital de lea Tiendas , en la pro queja dada por D. Francisco de Paula B…</t>
  </si>
  <si>
    <t>…de fomentar el ramo de instrucción pública, hay otra ne pleos , era preciso no aumentar su excesivo número. cesidad del momento y mas imperiosa. Esta es la de aliviar á los pue El Sr. Saavedra preguntó si se sabia fijamente el importe de las pen blos , cuyo estado no es nada lisonjero , y no recargarlos con contribu siones que sedaban á los dependientes del seminario, á lo que contes ciones que no pueden pagar. No te crea que los individuos de la c…</t>
  </si>
  <si>
    <t>…oliw eran insignificantes, según Jo habia expuesto el director de es tos ramos; que tampoco podía dar al Gobierno otra inversión diferen nínsula. ( Víate en la gaceta de ayer.) El Sr. Saavedra apoyó el dictamen de la comisión , manifestando te al producto da la cruzada; y por último que el Gobierno no podía que en vez de economizarte se gastaría mucho dinero si se adoptase lo contar con los fondos de «anidad , porque eran nulos , y dependían de ide…</t>
  </si>
  <si>
    <t>…o fue de parecer que era mas propio que el león de la buques de la armada nacional estará sujeta á Ja-ordenanza de dicha insignia en vez de estar de pie fuese zampante. armada. El Sr. Saavedra apoyó esta idea ; y el Sr. Valdés ( D. Cayetano ) di El Sr. OI i ver dijo que si se añadiesen las palabras artillería des jo que tal como se expresaba en el artículo la insignia de que te trata st pués de le de infantería , se podía excusar el art. 6.°, porqu…</t>
  </si>
  <si>
    <t>…res ó títulos de tales periódicos, y los extranjeros que contenía el proyecto no convenían de modo alguno. que lleguen 4 verlos formarán bien baja idea, aunque injusta , de los El Sr. Saavedra dijo que si las Cortes detechaban un proyecto da espafióles, pues estos folleto* no ton obra tino de cuatro atolondrados ley no podían tomarlo en consideración en el mismo año. sin luces,sin ciiterio y sin reflexión, que arrastrados del anas necio Se leyó le…</t>
  </si>
  <si>
    <t>…lo te manifieste uná ehfermedad maligna 6 mariscal de campo, sustituyéndole o^ro mas adecuado á su cargo. dont»giota «s invocar losauxilios de la junta sanitaria, y esto es pre El Sr. Saavedra contestó que él hombre de mariscal de campo era sta» mm te lo que se estabféce en el art. - ■ antiguo en el egército español; y recordaba hechos gloriosos, pos lo ' El Sr. Sabana contestó que la comisión no creta ‘que estuviese de cual lo había conservado la…</t>
  </si>
  <si>
    <t>…les-, «pero no se ha visto atacar i la libertad , privando en algunas par tes los puntos que he indicado. tes de.un derecho que concede la ley a los ciudadanos para que tengan El Sr. Saavedra: El Sr. preopinante ha impugnado el mensage por estas reuniones I :Y no será un ataque directo el destruirlas, como se ha parecería que solo indica medidas ragas; pero yo creo que no podrá hecho en algunos puntos! Yo citaría á S. S. algunos pueblos en que men…</t>
  </si>
  <si>
    <t>…rante ella; y en vista de los dic-~ seis añes haya tomado la licencia absoluta y sepirjj. se del servicio.” támenes tanto del Gobierno como del conseja de E-.tado , ep nab: que El Sr. Saavedra manifestó que no sabia cuál podía ser el motivo aunque no debía obstar para esta abono de tiempo el habéis: reí :ado que tuviese la comisión para privar á un individuo de poder volver á del servicio, podía pasar este asunto á la comisión deGucria. Aprobado. e…</t>
  </si>
  <si>
    <t>…eblo, bien sean nacionales, ó bien tamen, hasta que se resolviese lo conveniente acerca de la p Oposición provinciales, observará el ayuntamiento lo que se previene en la Coas*del Sr. Saavedra, relativa i la enagenac&gt;on de 1» imprenta Nacional. l*luc oa y en las. leves é instrucciones vigentes. Un Sr. diputado leyó una expos.cion de los oficiales del cuerpo del E| Sr. (Jiiver: Yo entiendo que á la comisión ds Diputaciones pro-ministerio de Marina d…</t>
  </si>
  <si>
    <t>…que debe estar, ni la distraiga de la atención que exige una obli le habían disparado mas de so tiros. gación tan importante; pero sí podrá pasearse *án extenderse mas que á- . £1 Sr. Saavedra axpnso qne todo tenia inconvenientes, pera que en to pasos de su lugar, con la precisa circunstancia de nunca p- rder de- tiempo de guerra era de absoluta necesidad este articulo , pues de lo con vista todos lo* objeto* á que debe atender ,ni abandonar su pue…</t>
  </si>
  <si>
    <t>…to no es decir que se aprn-be en todas &gt;us parres anterior sin tomar las Cortes en considerac on su conducta. el contrito: el Gobierno ha d.cho que lo d. tiende hoti -i.::' pun El Sr. Saavedra dijo que le comisión, tratando de los males que to. F.n los contratos lesivos no es taecrsaró ¡r.tcnt.-r siempre el rccur-o aquejaban á la Nación, no hab a podido menos de hablar de les que de nulidad, basta solidar el r-sarJmier.te. de r, daños y perjuicios,…</t>
  </si>
  <si>
    <t>…dicha resolución de i.“ de Abril, haciendo esta franca ma encargada de examinar el estado de la Nación. nifestación para que no se inculpase en ella á la secretaría como ya ha El Sr. Saavedra dijo que luego que estuviese impreso se discutirla bía sucedido. Aprobado. dicho dictamen ; y contestando a las observaciones hechas por ¡r&gt;i bv ho~ I Se leyeron las siguientes proposicionea de los Sres. Infante, Flores res Adan y Canga, expuso que se estaba…</t>
  </si>
  <si>
    <t>…ncs canóni tala de proporción que ácontinuación se expresaba; y se aprobó. cas adoptadas por varios concón.*. Se dió cuenta de una exposición del rector y claustro de la univer El Sr. Saavedra dijo que del dictamen de la comisión f Jea re sidad de Ori huela , haciendo varias observaciones sobre la proposición sultar algunas pequeñas injusticias, cuno por cgrmp o .npor.rr &lt;a d;l Sr. Rico, relativa á la traslación de dicha universidad y d.i cabil obl…</t>
  </si>
  <si>
    <t>…a comisión. local. A Ja misma se mandaron pasar las siguientes adiciones i dicho pro* TITULO I. yecto. Formación, pie y fuerza de la milicia nacional local dt todas armas. Una del Sr. Saavedra » Pido que de los artículos propuestos por los Sres. Gil Orduña y Vela seo, aprobados ya por la comisión Eclesiás Art. i.° n Todo espafíol desde la edad de 18 años hasta la de 4c tica tocante á los beneficios, se exceptúen ios individuos que Jos obten cumplid…</t>
  </si>
  <si>
    <t>…percepción del importe del a por 100 en la parte d - contribuooa uniforme con el del egercito permanente. que no cobren y pongan en tesorería en ei tiempo de su encareo p: bis El Sr. Saavedra apoyó esta mi. ma idea. co, sin perjuicio de sii'rr los apremios de que el Gobierno u»e en las El Sr. Ferrer ( D. Joaquín ) di|o también que el calibre de los fú épocas respectivas, con arreglo a las facultadas que le e*t n concedidas. tiles debía ser igual e…</t>
  </si>
  <si>
    <t>…i9 rs. Segunda de mas de 150 arrobas, cada burro, al paso que solo se exigía 40 por caria caballería de coche. 800. Tercera de mas de roo arrobas, 6co. Cuarta de mas de 6o arro El Sr. Saavedra dijo que la importancia de la cria de caballo* exibas, 400. Quinta de menos de 60 arrobas, 300. Quedó aprobado. ia que se aliviase de toda contribución á los caballos padres, asi coma Tercera especie. las caballerías empleadas en 1» labranza. Fábricas de agua…</t>
  </si>
  <si>
    <t>…os, para adquirir loa informes correspondientes. El tercer medida, pues que por ella te consigue el objeto.reparo que se ha puesto es que ae propone una medida contraria al sis El Sr. Saavedra apoyó el artículo, manifestando «pie los vicario*tema , autorizándose al Gobierno para que imponga una pena sin for debían ser loa responsables, y adema» los curas párrocos, pues quemación de causa: que se deja i los eclesiásticos en una posición muy cuando v…</t>
  </si>
  <si>
    <t>…excediendo Ja tardanza de media pliego cerrado; y abierto por S. S. la entregó para que la leyese al se hora , te le recargará con una de centinela en el sitio y turno mas mo ñor secretario Saavedra. lesto si lis hubiere en la fatiga, y si no con los actos mas penosos 4 Se leyó dicha contestación (víase la gaceta extraordinaria de ayerj, que esta diere ccaiion,ert.ndiéndose que por la morosidad se hada du y concluida tu lectura dijo el Sr. presidente : L…</t>
  </si>
  <si>
    <t>…o, de la milicia nacional qua paaen al permitida como hasta aquí con el pago de lo* derechos estib ce des.” epérc ro permanente se les abona-a ■'» mitad del tiempo en que hubie El Sr. Saavedra dijo que un G b'erno no debía ser com-rcante , ni sen ii'cho servicio en cila, á cuyo fin *e Iterará *1 correspondiente re mezclarse en otra cosa ma» qua en gobernar bien: que el .naneo t.n.» gistro.” grave* inconveniente» , pues por decantado incluía ea la c…</t>
  </si>
  <si>
    <t>…urriel tendrá la misma facultad que los ca he mandaron pasar á la comisión las sigbicntet adiciones. bos primeros para arrestar á los soldados de sus compafiía* ; y cuando Una del Sr. Saavedra al art. 19 , para que cuaodo en el sitio que Ocu lea sargento segundo , sus facultades tetan iguales á los de esta ciase, pe una guardia no haya lugar pan que la entrante forme al costado de dando parte al sargento primero de la providencia y del motivo. la s…</t>
  </si>
  <si>
    <t>…darse á conocer, y evi á su inmediata gefe, ó la guardia, A persona que mas pront.mente tar el tyu.cn -.he." pudiese tomar providencia, será castigado como si el m'smo hubiese Ei Sr. Saavedra manifestó que las palabras deberá entender en su intervenido. concepto eran un poco confusas, y que por lu mismo podr a vo voe el Art. 10. » El sargento segundo tendrá opcion á las vacantes de art culo 4 la comisión para que io redactase de ouo modo. Asi w pr…</t>
  </si>
  <si>
    <t>…bernadores de lat ciudadelas y castillos dependientes y conti- la comisión de Guerra : guoai la misma plaza.” » Para que Ja Nación española ae halle en la aptitud conren-'er.tí El Sr. Saavedra: La observación que tengo que hacer sobre este ar para sosten» su liberta J en cualquier l-vciuo , deben todos sus ¡nd nticulo recae también sobre el siguiente. Los hres. de la comisión propo duos estar preparados para acudir á las armas y reforzar el evércit…</t>
  </si>
  <si>
    <t>…eino, j formalidades á que deben sujetarse en la nido el honor de someter A la deliberación del Congreso. entrada jr salida de di. Las Cortes quedaron enteradas , y se mandó pa El Sr. Saavedra: Bajo dos apatos puede á mi entenda considerarsesar á una comisión compuesta de los Sres. López del Baño , Meló, Brida, Becerra, Saenz da Viliavieja, Manso , Neira, Oiivcr jr Valdds ota proposición ¡ ó atacando la facultada del Congreso, ó repitiendo lo que t…</t>
  </si>
  <si>
    <t>…a ei esp ritu de sedición qu: se ha visto derramad : en loa el arresto de delincuentes , y asi se verifico. cuerpos de milicia a.t.va que se ababan de poner sobre las armis: »e Kl Sr. Saavedra : Amante acérrimo de la libertad he sido, soy y seré ve tamb en en ei mal sentido en qu: se c..n».TVjn :nu. h '» ayunta constantemente. Conozco los omentos en que oír ba no solo la de mientos v en el mu. estado de la »v;.n oa ,'...n..a ; estando to ta» d as l…</t>
  </si>
  <si>
    <t>…A su salida de Montalban al día si algún buque ; por cuya razón pidió no se diese tanta lat tud al a'tLulo. guiente aa fue acometido por la gavilla de León 7 otras reunidas en El Sr. Saavedra: Prescindiendo del costo que ha de oca» onar si número considerable , 7 hubo de retirarse á Teruel , tiroteándose en el trasporte de los sugetos de que se trata, que siempre será de alcona camino por espacio de seis horas, sin mas perdida que la que tuvo al c…</t>
  </si>
  <si>
    <t>…es da El Sr. Marau.- El Sr. preopinante no halla proporcionada la pena rán otro destino en que puedan serlo.” que se impone á los que voluntariamente entran en la rebelión, y á El Sr. Saavedra: En los artículos de la ordenanza se dice que no los que lo hacen seducidos; pero la comisión ha tenido presente que servirá de castigo el servicio de las armas, y se excluye de él á todos el resu'tado del crimen en uno y otro caso es el mismo para la los del…</t>
  </si>
  <si>
    <t>…obierno. Si un general en gefe, por res diputados tienen derecho para presentar proposiciones *. br« él. egempio, cuando va á dar una acción , de la cual depende el bien de La del Sr. Saavedra, en caso de aprobarse , produciría muchas ven la patria , queda destituido , pregunto yo, &lt; tendrá la Nación mas con tajas á la España, pues que hallándonos en un tiempo en que se trata de fianza en un grfe político que en un general en gefe, áquien ha dado r…</t>
  </si>
  <si>
    <t>…n capitán, un negro. subalterno y cuarenta hombres, y en ambos casos le hará dicha guar El Sr. presidente suspendió esta discusión, y sa mandó pasar á la co misión una adición del Sr. Saavedra al art. 6.a para que si en campaña dia los honores que le están designados. Art. 15. » Al teniente general sin mando, M le datá una guardia falleciese el Rey ó alguna persona Real, no ponga el egór-ito las sr. mas á la funerala, excepto la guardia del féretro…</t>
  </si>
  <si>
    <t>…rtículo podía detenerse á un ex- cibido. trangero que viniese á buscar asilo enFspaBa,lo cual no debía hace***. Octavo distrito militar, (Valencia.) Por nn parte dado por el co El Sr. Saavedra apoyó !o que había manifestado el Sr. Isturiz ; y mandanta Serrano desda S. Marro *1 ay da Octubre al comandan!; habiéndose suprimido por la comisión la* palabra* serán detenidos, que general del octavo distrito te sabe qu* la acción del i¡ fue mas favo dó pr…</t>
  </si>
  <si>
    <t>…inario mayor. Sr. Gómez (D. Manuel) sobre las cartas de seguridad, y ot-a del señor Ramo judicial. Auditor.” Melendez al art. sy de dicho reglamento , qus dteéa: &gt;■ Deseass de íes Sr. Saavedra: Ei epígrafe de este capítulo no me parece exacto, palabras modo de tí: ir conocí, le, añádase y cruente fiador aie.naii. porque también debe considerarse como egército de operaciones el Se verificó la segunda lectura del proyecto adicional sobie delitos cuer…</t>
  </si>
  <si>
    <t>…ivo a ias opcraciuucs militares de ellos, &gt;.no en lo concerniente bertad absoluta de proponer al qua quiera para este empleo. é todo el país extrangero limítrofe á su frontera. El Sr. Saavedra: Yo convengo en que debe quedar al arbitrio del Art. 6. » l*on estos conocimientos, y con arregio á Jas órdenes del general en grfe el proponer el gefe del estado mayor; pero quisiera qua general en gefe, procederá a r organización del egercito en cuerpea sol…</t>
  </si>
  <si>
    <t>…a, sedición inte de esta especie , si se quiete que se conserven las plazas fuertes. rior , ó que se formen reuniones de gent,e armada sin conocimiento de Ha hecho un argumento el Sr. Saavedra, á saber, que el hallarte un las autoridades en el radio de embestidora; y en el caso de que la plaza egército enemigo i 18 leguas de distancia de una plaza no prueba el sea atacada regularmente, no cesar! el estado de sitio basta que los tra que se dirija so…</t>
  </si>
  <si>
    <t>…ecesarias , ad cuando salga de ella un batallón &amp;c-; asi que , el artículo debe apro or tiéndese en cuenta de ellas las que se inviertan legítimamente en di barse. cho objeto.” El Sr. Saavedra: Éstoy convencido de la necesidad de que et Continuó la discusión del proyecto de las ordenanzas militares. general en gefe del egército de operaciones de un distrito, por la mu La comisión presentó reformado el art. 4.0 cap. a a. tít. 8 en esta cha responsab…</t>
  </si>
  <si>
    <t>Saavedra, Angel</t>
  </si>
  <si>
    <t>Angel Saavedra</t>
  </si>
  <si>
    <t>…esiden en los pueblos acometidos D Juan Antonio Castejon , que lo es por la de Madrid , y para secre de la epidemia, opinaba que debía pasar este expediente á la comisión tario el Sr. D. Angel Saavedra, diputado por la provincia de Córdoba. de libertad de Imprenta. Aprobado. La comisión ordinaria de Hacienda en la instancia de D. Juan Jo Los Sres. secretarios de las Cortes comunican al del Despacho dn sef Heideck, profesor de lenguas orientales, acerca de u…</t>
  </si>
  <si>
    <t>Saavedra, Josef Rodríguez</t>
  </si>
  <si>
    <t>Josef Rodríguez Saavedra</t>
  </si>
  <si>
    <t>…vitar las disensiones que pu la comisión'de Marina preunto los siguientes dictámenes: diesen ocurrir después de hecha U reunión se empezase por poner de Uno sobre la exposición de D. Josef Rodríguez Saavedra, piloto acnerdo á todos los vecinos sobre ios puntos que podían dar ocasión á de Pontevedra, en que opinaba se-debia archivar. Aprobado. estas disensiones. Otro sobre una representación del cuerpo de pilotos de Cartagena, El Sr. Becerra dijo que si la adición…</t>
  </si>
  <si>
    <t>SABADO</t>
  </si>
  <si>
    <t>Núm. 77- (7 cuartos.) 411 -(f- . jr • m~ * * ...« • - im GACETA DE M A D R 1 D. SABADO 16 DE MM17.0 DE 1822. NOTICIAS EXTRANGHRAS. go fundamento para afirmarlo, porque la situación particular en que nv hallé algún ti mpo me prop rcionó diversas con.xi .n s con tn-.a la AUSTIIA. Franc a , tanto con simples ciudadanos como con !cs geíes dei ecerc…</t>
  </si>
  <si>
    <t>Nia. 1*0. (7 cuartos.) íj/ G A CETA DE MADR I D. SABADO 37 DE ABRIL DE 1833. noticias bxtrahgeras. ó delitos de mas gravedad de que trate el art. 164 podrá la audiencia mandar formar causa al juez delincuente, y que s.ga el curso regu ar." rCAWCIA. Se pasó í discutir el proyecto de decreto sobre les relacione» mer…</t>
  </si>
  <si>
    <t>Sabana</t>
  </si>
  <si>
    <t>…r. Saavedra contestó que él hombre de mariscal de campo era sta» mm te lo que se estabféce en el art. - ■ antiguo en el egército español; y recordaba hechos gloriosos, pos lo ' El Sr. Sabana contestó que la comisión no creta ‘que estuviese de cual lo había conservado la oomision. tnas el artículo que te discutía, mediante á que prefijaba la marcha.quia Se declaró asta punto suficientemente discutido, y sa aprobó el ar debían seguir los ayuntamien…</t>
  </si>
  <si>
    <t>Sabanief</t>
  </si>
  <si>
    <t>…antes sobre los morimientos que hacen los turcos en la Moldaría, de Abril de 1821 sobre que los remates de las fincas se contasen por donde tienen ya fuerzas muy considerables. El general Sabanief, co 30 dies desde el en que se publicase la subasta en la gaceta; y el mee mandante en gefe en la Besarabia, ha reforzado su vanguardia, que se de la subasta la cmo comprendida en este decreto, y proro?í&gt; J1 ter halla en la orilla del Pruth opuesta á la de lo…</t>
  </si>
  <si>
    <t>Sabanietf'</t>
  </si>
  <si>
    <t>…sto precisada aquella á Facer teda» las •&lt; En la Besarabia no quedará mas que un* división con los cosacos rebajas que h.ib a considerado indrspersabUs. del cuerpo de egército del general Sabanietf'. Las demas divisiunes de El &gt;r. O.iver mar.ife.t.» ia neces dadi que en su concepto habla este cuerpo se han puesto en marcha para el campamento de Vinnieza.” de economizar lo posible, para lo cual deban hab*rse presentado .as p.itt Ja» por menor , pues en al…</t>
  </si>
  <si>
    <t>Sabaniew</t>
  </si>
  <si>
    <t>…mente por el seedern que ’s i v quisieron concurrir á la egecueion , y qu-* hubo un alboroto genera', ros tirne marcado: ia honradez v 1* subordinación sea nu r p' c que obligo ai general Sabaniew, comandan te del segundo cuerpo de pil d v.sa , y con li fiel y estricta observancia di ia Cent :uc on pegército , á destinar algunas tropas contra la división Orlcv, y á desar tica de la Monarquía española , asi como con ¡a d ,c o -r., .o» . . ■ maría. El co…</t>
  </si>
  <si>
    <t>Sabanillas, Francisco</t>
  </si>
  <si>
    <t>Francisco Sabanillas</t>
  </si>
  <si>
    <t>…*' ximo pasado. Aprobado. Devuelto á la comisión. La misma comisión era de dictamen se accediese i la* *olicitude* Art. 147, »Igual pensión y en los mismos término* disfrutarán de D. Francisco Sabanillas y l&gt;. Matías Romero. Aprobado. respectivamente y por el orden siguiente, la viuda, hijos menores de Las Cortea recibieron con agrado 1a cesión que hacia de tus haberes 18 años, ó padres del mi iciano de cualquier grado que fa l.ciece en ac hasta el año 14 el…</t>
  </si>
  <si>
    <t>Sabanisft</t>
  </si>
  <si>
    <t>…e ambas naciones han precipitado repentinamente sus moví, se pasarán circo semanas sin contestarse, á no ser que el Emperador miento* , y aun se decía que un cuerpo de cosacos del general Sabanisft* Alejandro dé por respuesta el movimiento de los egércitos para abrir la había ya tenido un choque muy (alerte con la caballería turca. campaña. » hl Observador auítriaco y la Gaceta de Augthurgo publican varias ARTICULO DE OFICIO. cartas acerca de las intenc…</t>
  </si>
  <si>
    <t>Sabater, Josef</t>
  </si>
  <si>
    <t>Josef Sabater</t>
  </si>
  <si>
    <t>…ren sus intrigas el que migo una compañía de Hostairich montada en bagagea , i las órdenes la: den.as abracen un sistema contrario á las leyes establee.das por las del subteniente D. Josef Sabater. Los facciosos abandonaron sus baganrsmas, y r. conocí das sin ninguna violencia. Al contrario una nación ge» , muchas armas, y 1 pesar de que contramarcharon de nuevo á la nncnánimi, que funde sus procederes sobre una sana filosofa, ayudará sierra fueron acu…</t>
  </si>
  <si>
    <t>Sabemos, Pedro</t>
  </si>
  <si>
    <t>Pedro Sabemos</t>
  </si>
  <si>
    <t>…ocal; con lo que se levantó la sesión á las tres y media. orden con los descubrimientos modernos, por Antonio Libes: tradu cido al español por el doctor en cirugía-médica y médico D. Pedro Sabemos ya que el 4 de Junto volvieron 4 abrirse las sesiones de Vreta, catedrático perpetuo de fisica de la nacional junta de Gobierno, la legislatura de Francia, y que S. M. Luis xviii pronunció el dis del comercio de Cataluña : segunda edición aumentada por el tra…</t>
  </si>
  <si>
    <t>Sack.cn</t>
  </si>
  <si>
    <t>…de Cortes, to en que se halla Ja guardia imperial, la cual forma parte del primer con motivo de haber anulado las elecciones del ayuntamiento de Luceegército que está al mando del general Sack.cn. na en el afio próximo pasado ; y una solicitud de Juan Josef Seste, ori Las noticias ce Irlanda son cada vez mas funestas. Los excesos ginario de Africa, y residente en Puerto Rico, para que se le conceda continúan ; y hasta ahora no han producido efecto las…</t>
  </si>
  <si>
    <t>Sacken</t>
  </si>
  <si>
    <t>…podía haber pa militares con dirección á Mohilow , cuartel general del egército del decido con motivo de las sesiones de las Cortes, «n que se trató de loa occidente, al mando del general Sacken, y en donde de dia en dia se acontecimientos ocurridos en aquel pueblo. estaba esperando al Emperador. En el mismo sitio decían públ i ca menta £1 Sr. Alix: Quisiera saber si en estas representaciones consta la los oficia'es del estado mayor que el eg¿Tcito i…</t>
  </si>
  <si>
    <t>Sacnz</t>
  </si>
  <si>
    <t>…que residan en la Monarquía «palióla, ex varse a efecto «tas medidas ;y asi no puedo aprobar la proposición. cepto los que se designan en un articulo, quedan sujetos al allana El Sr. Sacnz de fiuruaga : Ni en el art. 308, ni en ningún otro da miento y reconocimiento de sus casas: luego se da una extensión in la Constitución, se ha dicho qus los agentes del Gobierno puedan te definida que comprende 4 todos los españoles; ;y ests disposición y la…</t>
  </si>
  <si>
    <t>Saelices, Juan Josef</t>
  </si>
  <si>
    <t>Juan Josef Saelices</t>
  </si>
  <si>
    <t>…es á instancia de varios interesados, se ha mandado celebrar junta ge principal de León. neral de herederos y acreedores, para la cual ha señalado el dia 28 del Málaga interventor D. Juan Josef Saelices , administrador cesante corriente á la* 11 de su mañana, en la audiencia de Guerra de esta de S. Fernando plaza , calle del Príncipe. Lo que se hace presente al público para no pagaduría cisitAi de hariha. _ Mes de Julio de iSaa. ticia de los interesados; pre…</t>
  </si>
  <si>
    <t>Saenz, Josef</t>
  </si>
  <si>
    <t>Josef Saenz</t>
  </si>
  <si>
    <t>…so titulado la Tercerola , núm. 11, denunciado como sedicio Con este motivo ha llegado el caso de que algunos pueblos se han so é injurioso á la persona del Rey, la ley absolvió á D. Josef Saenz resistido hasta con la fueras i pagar y i reconocer estas donaciones; sa Urraca responsable de dicho impreso; en cuya consecuencia se mandó han originado también muchos Litigios, quehan durado largo tiempo, fuese puesto inmediatamente en libertad ; declarando…</t>
  </si>
  <si>
    <t>Saez, Alfonso</t>
  </si>
  <si>
    <t>Alfonso Saez</t>
  </si>
  <si>
    <t>…rma siguiente: interinamente por aquella diputación provincial para vender cierta can- JUAN DE PADILLA. tidadad de granos. JUAN BRAVO. La comisión Eclesiástica en el expediente de D. Alfonso Saez, cu ra de Barajas de Meló, obispado de Cuenca, sobre si ha de dividir coa FRANCISCO MALDONADO. los beneficios que no prestan ningún servicio los diezmos y obvencio DEFENSORES DE US LIBERTADES DE C CSTItlA. nes, que expresa, es de dictamen que este asunto se r…</t>
  </si>
  <si>
    <t>Safan, Pedro</t>
  </si>
  <si>
    <t>Pedro Safan</t>
  </si>
  <si>
    <t>…. rias observaciones, manifestando lo perjud.cial que seria acceder á ia so licitud de Cádiz. «KSIDENCA DEL SF.Sot Al AVA. La comisión de Legislación , en vista de la instancia de D. Pedro Safan ordinaria del 6. Keiser, capitán de suizos, sobre qu? se le concediese carta de natura Se leyó y aprobó «I acta de la anterior leza, opinaba que podía accederse á su solicitud. Aprobado. El Sr. marques de la M-rced presect' una ex poseían de Ta d;pu- ■"'e ley…</t>
  </si>
  <si>
    <t>Safio, López del</t>
  </si>
  <si>
    <t>López del Safio</t>
  </si>
  <si>
    <t>…necesario que yo supiera que También se mandaron pasar fi la comisión dos adiciones fi la medi aqu :lio» obispos no habían tenido conciencia. Se dice que el pueblo da 13 : una del Sr. López del Safio, que decía asi : - Ai fin de esta me agrícola no reflexiona, y que.su opinión es que haya frailes. El pueblo dida se añadirá -.y que queden sin sueldo los que te hubiesen separado por agrícola cuando quiere bien reflexiona, y en cuento al decreto de que defec…</t>
  </si>
  <si>
    <t>Sagarzurieta, Josef Joaquín</t>
  </si>
  <si>
    <t>Josef Joaquín Sagarzurieta</t>
  </si>
  <si>
    <t>…res, cuyos efectos no po lo de Zurriago, denunciado en 1 tf de Octubre último por D. Tomé* día evitar la prudencia humana mas consumada. La regeneración de los Fernandez Vallejo y D. Josef Joaquín Sagarzurieta, procuradores estados no es obra de poco tiempo, y mucho mas cuando hay tanto dicos de asta M. H. villa; la ley condena i D. Félix Megía , editor «fe que corregir , y tanto que reedificar. aquel periódico, responsable de dicho artículo, á la pena de doy atfcu…</t>
  </si>
  <si>
    <t>Sagrera, Joaquín</t>
  </si>
  <si>
    <t>Joaquín Sagrera</t>
  </si>
  <si>
    <t>…tar temerte entre neutros) va tribución , lea pusieron en Lbertap, saqueando por último la casa del rios oficiales de ingenieros y de marina, que con otros ágelos particu patriota D. Joaquín Sagrera y las de otros dos o tres, habiendo cama- lares acudieron á este punto á def*nder ia Constitución. Todo, ellos do á aquel dafios de consideración. A. las 5 de la mañana del r 8 derri han observado un comportamiento digno d; elogio, y puedo as.gurar á baron Ja…</t>
  </si>
  <si>
    <t>Sai</t>
  </si>
  <si>
    <t>…arán s’n efecto todas las leves pe que estaba decidido por su parte á aprobar el d.ctumrn de la comisión. nales anteriores, y se entender.n derogadas;” y efectivamente sin esta E! Sr. Sai vi retiró su modificación, y continuó la discusión sobre declaración el cód.go era inútil , pues que existiendo las 1-yes anter.ola pr treia proposición. res , habría mot vo para mil dulas, y no habríamos adelantado nada. El Sr. Adan apoyó la proposición , op…</t>
  </si>
  <si>
    <t>…es su repente, ni creo que umpoco puede pasar la proposición que te discute ficiente para satisfacer sus desea. Hasta ahora he obscrado qu~ se 1 a á le comisión que he indicado el Sr. Sai vi , poique el asunto en que mirado «to con alguna indiferencia , prefiriendo tas indicaciones que ha «tá actualmente entendiendo n de orra naturaleza que los males de hecho el mismo Gobierno, y despreciando las noticias que han da ro Cataluña, los cual» recl…</t>
  </si>
  <si>
    <t>Sai.clicz, Alvaro</t>
  </si>
  <si>
    <t>Alvaro Sai.clicz</t>
  </si>
  <si>
    <t>…sangre agsna, estos vertieron en París la suya pro A'carar, menor, 1110. D. Pablo Latios 10. D. Joscf Martínez de pia con un furor sm cgempío. Hu-lado 430. I). Martin Latios 100. D. Alvaro Sai.clicz aoo. Seño En una pa'.ab a tuda la historia de España se le olvidó de repente al res H-rnandez fí rmanos 200. D. Joscf Monroy 160. D. Ignacio escritor d: ita. Et na , cuando quiso hab ar de la resistencia tenaz que Martin z 160. D. Juan Pirer 160. D. Ramón Ca…</t>
  </si>
  <si>
    <t>Saiabia</t>
  </si>
  <si>
    <t>…del egército, para dar cumplimiento Se su-pend'ó esta discusión, y se nombró para la comisión de Guer á la Re.il otden con que ss halla sobre la pronta construcción y entre ra a! Sr. Saiabia. ga de 3$ vestuarios comp'ct &gt;s de infantería en la plaza de Barcelona, El Sr. presidente señaló para la discusión de mañana el proyecto ha acordado s-icir su construcción á pública subasta , que se celebraré de la comisión especial sobre el reglamento de las…</t>
  </si>
  <si>
    <t>SaiazaT, Vicente Cantón</t>
  </si>
  <si>
    <t>Vicente Cantón SaiazaT</t>
  </si>
  <si>
    <t>…menos á las de Oiavarría , D. Antonio Celestino Alvarez, D. Msr.uel de la Puen ciudades de Antab, Antakáa, Gesses, Látale.a, Alejandreta , Tirsis, te López, D. Miguel de Espiga , D. Vicente Cantón SaiazaT y D. Ju Mir.'-v;, llama y Mems, como también á Damasco y á la isla de Chi lián Izquierdo. pre. En Mosul y Mardin hace también estragos el cholera-morbus. Ateneo esfasiol. Tantos y tan grandes apuros hacen probable la noticia de que la Puerta El martes ia del corriente á Jas…</t>
  </si>
  <si>
    <t>Saiia</t>
  </si>
  <si>
    <t>…, bab.an sido degollados de orden del Gtan beñor; a la orden de Ser,loco que le concedió el Rey en 1S15 loque cont- .ti» Ati qu. nadie u.tia.aru ni su cabeza ni sus eco ¿a, ; y El Sr. Saiia d jo: lauta ha s,do la d.i,cadera del Sr. Alava que esto prueba que su mi-ueion es sotar la fortalecí en el último aputu, no ha manilc-iado el va or de ,a enco.-ni.nda , ni el atóete con que 1* J pe-recet entre su» rumas. lee concedida, yo creo de mi deb.r el…</t>
  </si>
  <si>
    <t>Sainz, Josef Marcos de</t>
  </si>
  <si>
    <t>Josef Marcos de Sainz</t>
  </si>
  <si>
    <t>…batallón de Castellón: para primer comandante al teniente coronel D. Josef Toro. Marty, primer teniente del primer regimiento dé la Guardia Real de Vich (ligero): para coronel al brigadier D. Josef Marcos de Sainz, infantería. coronel del regimiento de infantetía Voluntarios de Castilla. Chinchilla: para primer comandante al primer comandante de in Valencia: para primer comandante al cotonel graduado D. Salva fantería ligera D. Josef María Rodríguez Vera, encargado act…</t>
  </si>
  <si>
    <t>Saiort, Bartolomé</t>
  </si>
  <si>
    <t>Bartolomé Saiort</t>
  </si>
  <si>
    <t>…ción, comparezcan por sí ó per medio El pabor le D. Manuel Izquierdo—O. Gabriel Esquella , noble hacen da apoderado en dicho juzgado de primera instanc.a, y porta escribanía dado —D. Bartolomé Saiort, presbítero----D Juan Salort , fiscal del de número del infrascrito, i acreditar el derecho que les asista; en la tribunal eclesiástico. — Fr. Juan Riudavcts, guardián de S Fiancisco inteligencia de que los sujetos qu: lo verifiquen han de acreditar ictislde…</t>
  </si>
  <si>
    <t>Saivá</t>
  </si>
  <si>
    <t>…ta el pésimo efecto que ha producido en la Opinión la fuerza moral, que vale tanto soma lí fuerza física. pública ta votación de 1» proposición dei otro día; y aunque sé qu: el El Sr. Saivá: He pedido la palabra «i contra, creyendo que ae dis asunto de que se trata no es tan interesante como aquel, me paree* cutía el dictamen de la comisión. Esta ha presentado una cosa que ver que las Cortes deben aprobar la proposición ; y asi suplico á las mis…</t>
  </si>
  <si>
    <t>…e la escolta de ella debió hacer fuego sobre una multitud indefensa, aunque sea á costa de mi existencia. inas si se considera que la tropa de la escolta se componía de 30 born ¿1 Sr. Saivá: Hasta ahora han dicho varias veces los Sres. secreteea, y los que tiraron las piedras no eran mas que 10 ó 12. Aqui por ríos del Despacho que no tienen ningún motivo fundado para remo,L decontado resulta que la retreta llevaba una escolta ntusho mayor que ve…</t>
  </si>
  <si>
    <t>Saiva</t>
  </si>
  <si>
    <t>…tes para que no haya los fraudes que se observan. en su totalidad , y se mandó leer el articulo 104 del reglamento. El Sr. Romero apoyó el dictamen de la comis.on, manifestando El Sr. Saiva di ¡o que estando el dictamen dividido en tres par tes, de que los muchos abuso* que se notaban con motivo de pagar las gratifi bía discutirse la primera, que es la que trata de las fiestas. caciones concedidas á los que matasen lobos ó zorras, debían tomarse…</t>
  </si>
  <si>
    <t>…lquie ro que no había necesidad de variar el artículo, porque en su concepto ra acción ó movimiento que pueda causar desprecio i su persona.” ■ estaba bastarte claro. Aprobado. El Sr. Saivá dijo que el Sr. preopinante había dicho que deberían Art. 15. * Se presentará muy aseado y con puntualidad en cuantas seguirse otros trámites para hacer alguna variación en la ley orgánica; listas y revistas se le pasen , y siempre que sea con armas las recon…</t>
  </si>
  <si>
    <t>…hacer la saca dóte , ni se sabe lo hayan verificado hasta ahora. de Jas medidas que no tienen carácter de ley. Por un sugeto que acaba de llegar de Jaca se sabe que al saür de Ei Sr. Saivá: Yo entiendo que ninguna de las medidas que abraza aquella ciudad llegó un parte del espitan del regimiento de voluntarios el dictamen de que se trata es ley. Hay una gran diferencia entre de de Valencia Langarita, su fecha en Hecho , en el qu- psrt c p.ba qu…</t>
  </si>
  <si>
    <t>Saivalo</t>
  </si>
  <si>
    <t>…, no entraría; y debo decirlo asi, porque no sirve mismo pido al Sr. presidente se sirva mandar que se lea- para gobernador el que deja la p'aza comprometida por miado á la res El Sr. Saivalo man.festó que en el dictamen de la comisión caraba ponsabilidad. Respecto de los otros tres curas á mí no me importa que literal el del consejo de Estado. vuelvan ó no vueivan a Ceuta; pero el nudo gordiano es el obispo, y El Sr. Salva ¡ Yo quoicra saber con…</t>
  </si>
  <si>
    <t>Saix</t>
  </si>
  <si>
    <t>…ble darle» alcance, y sabir que hacia Naval se había oida la cosa bajo otro aspecto , los Agatocles, los Dionisios, y aun el mismo i fuego, cuya noticie me confirmó un oficial del brigadier Saix, dicién- Filipo, no manifestaron un maquiavelismo mas profundo y un saber mas j dome que ios tenia á la vista, me decidió á hacer una bal da entre el extenso en materia de despotismo que el famoso Ali Tebeleni. La Tur íse.a y el Cinca, por si encontraba algun…</t>
  </si>
  <si>
    <t>Saiz</t>
  </si>
  <si>
    <t>…eos Dio» guarde á V. S m ichos años. Ba tiembre me dice lo siguiente: En virtud del oficio de V- S., y con yona Mayo 28 de 182 a.sEguía. cr$t. D. Vicente de Qj;»ada.” anu ncia del brigadier Saiz, me puse en marcha á las ocho y media de Núin. i.° » Excmo. ir.: En consecuencia de lo qu; V. E. se ha li mañana del día go de Agosto último con 120 hombres del cuerpo servido prevenirme en su papel del a8 dei que fina, saldré de esta ma de mi mando, el espit…</t>
  </si>
  <si>
    <t>…hubiesen anticipado los traidores, Benarque, permaneciendo aquí el comandante Gutrta hasta mi vuelta, quienes le hicieron arrojar desde lo alto del serrallo el cadáver del in y el brigadier Saiz, de quien nada sé. Dio» guarde á V. E. muchos feliz Monarca; pero no desmayó por eso ni dejó de sostener el valor años. Graus 8 de Setiembre de i8zt.=Juan Antonio Tabuenca.sEx- de sus partidarios desesperados,y al fin consiguió castigar á ¡os matado celentisi…</t>
  </si>
  <si>
    <t>Saizcbaga, Domingo</t>
  </si>
  <si>
    <t>Domingo Saizcbaga</t>
  </si>
  <si>
    <t>…os visitadores por gratificación 8o rs. diarios, que empezarán á gozir desde el día en que emprendan su D. Joaquin de Tru.ba, D. Miguel García Ortiz , D. Juan Bautista Beamurguia, D. Domingo Saizcbaga, D. Amonio Caaadell, Donviage para desempeñar sus funciones , que d berán pagarse por loque falta del presente año económico del fondo del imprevisto general. Francisco Pujol y D. Manuel Moreno de Mora, declararon por unanim.dad haber lugar á la formación de…</t>
  </si>
  <si>
    <t>Sajonia, Príncipe Clemente de</t>
  </si>
  <si>
    <t>Príncipe Clemente de Sajonia</t>
  </si>
  <si>
    <t>…presentado. Los Sres. Romero Alpuente y Lasanta rectificaron varios hechos de. ES Rey &gt;c o* »¿i v iuouiaüd-í con moti vo d ei fallecimiento deS- A, R. sus anteriores discursos. el Sr. Príncipe Clemente de Sajonia, que la corte vista luto por 15 dias, El Sr. Sancho: El fiscal tenia antes una obligación de denunciar los á contar desde el jueves y del corriente; adviniendo que los 10 prime escritos subversivos, porque deber es tener obligación de egecutar una ros días de…</t>
  </si>
  <si>
    <t>Sal</t>
  </si>
  <si>
    <t>…ula é D. Francisco Javier Pinilla, oficial de la misma , y en la actualidad mayor de ella. QORTKS EXTRAORDINARIAS DEL Alto DE ifisa. El segundó era una copia dd que había pasado d brigadier D. Sal vador Sebastian desde Sevilla al Gobierno, manifestándole haber toma npainnciA su utos sn. do el mando de aquella prorincia, según las órdenes del mismo, des Setñn del to dt Enero. pués de removidos los obstáculo* que se presentaban, i cuya operación había ay…</t>
  </si>
  <si>
    <t>…el Sr. marques de la Merced , contrario á no ha reconozcan los servicios de un hombre que sirve ó u par': 30 .. os berse admitido á discusión la proposición del Sr. Lodares; y del Sr. Sal ha, y q,.e se ha distinguido por su patriotismo en .1 gueir. Je .a i..de va, contrario £ la resolución de las Cortes, por la cual se mandó se pendencia , y por su adhesión a ia causa ie ¡a liberta.', insta mas hiciesen nuevas elecciones en la provincia de Sev…</t>
  </si>
  <si>
    <t>…ó mala que «obre este Se suscitó una ligera discusión sobre i qué comisión debía pasar af asunto tiene formada. Se ha llamado la atención del Congreso para que ta exposición, y el Sr. Sal vi dijo : Es indudable que debe parar.á la entre los partícipes de diezmos se atienda con preferencia 4 ios p.11 ro comisión de Casos de responsabilidad-, pero en la comisión especial qne eos. Yo bien conozco que esta reclamación de que t* trata será un se no…</t>
  </si>
  <si>
    <t>…icnor.ba, venir esta noche con motivo de sitarte examinando loa presupuestos y tai vez la tendría cuenta. de su ministerio, se acordó suspender aquella moción hasta esta noche; El Sr. Sal vaco dijo que las Corte» trataban de enterarse del evado asi pues invito á S. S. para que no* dé noticias de aquellos aconteci de las «curtanciaa de Cataluña , y desearía que el Sr. secretar.o da .« mientos, y da Ut providencias que se hayan tonudo. Gobernaci…</t>
  </si>
  <si>
    <t>…e expresaba en el artículo la insignia de que te trata st pués de le de infantería , se podía excusar el art. 6.°, porque entonces hallaba aprobada por las Cortes anteriores; y el Sr. Sal vá manifestó que quedaría refundido en este y en-el i.’ La comisión convino en esta esto no obstaba para variar si parecía conveniente aquella disposición ; y variación, y quedó aprobado el artículo. quedó aprobado el artículo. Art. j.° » Los regimientos de a…</t>
  </si>
  <si>
    <t>mi» idus del Sr. Surra bago cita ligera observación para contestar i nuestras relaciona con el Gobierno francés ■ o pueden »rr mrjores , ,\ ¡0 lo que ha manifestado el Sr. Sal vi, y para que vean las Corúa el esta- veo que ritas partidas de facciosos se aument an , que tienen »u a-c- o do de lo» trabajos de la comisión. en aquri Gabinete qu: no puede ser amigo de la l.btrtad. El Sr. Salvé deshizo una equivocación que dijo hábil pad…</t>
  </si>
  <si>
    <t>…a comisión para que lo re __Los periódicos del mediodía de la Península no contienen mu no dacte de nuevo. ticias que las pocas que arriba dejamos insertadas—Los editores de un El Sr. Sal vi: Es lístima por cierto que estemos perdiendo el tiem periódico de Granada nos comunican lo siguiente i po en una cuestión de tan poca entidad. La comisión dice que las Cor » El diputado á Cortes por la provincia de Granada D. Andrea tes, qu: tienen la facu…</t>
  </si>
  <si>
    <t>…jornada de Lumbier á Puente hice marchar con los demas nio Almazan , por medio d: p'ocurador con poder bastante, á evacuar enfermos y prisioneros ia segunda sección, ai mando del coronel Sal lo , y deducir lo que a su derecho viere convertirle, con apercibimien ce lo, á !a plaza de Pamplona , tacto porque establecida allí podría ser to de estrados, ó de qu: le parará el perjuicio que haya lugar. me de utilidad si batía en la ribera al enemigo, ó…</t>
  </si>
  <si>
    <t>Sal, Ramón</t>
  </si>
  <si>
    <t>Ramón Sal</t>
  </si>
  <si>
    <t>…su presidente al Sr. D. Rafael del Riego, diputado por drí con el tiempo suministrar para el apresto de una escuadra; en fin la provincia de Astúrias; para tu vice-presidente al" Sr. D. Ramón Sal la compafiía rusa-americana, subyugando sucesivamente varios pueblos vara , que lo es por la de Cataluña , y para secretarios i los infrascritos, pescadores, ha dilatado su dominio por una extensión de costas iguaque lo somos respectivamente por las de Extrem…</t>
  </si>
  <si>
    <t>Sal, Teodoro</t>
  </si>
  <si>
    <t>Teodoro Sal</t>
  </si>
  <si>
    <t>…na.ro de egetcer sus funciones solicitudes de D. Pedro Perez, vecino de Cuevas , provincia de Gra un juez de puniera instancia par coa quiera de las causas citadas en un nada ; de D. Teodoro Sal i-ador Romero, D. Mariano Pérez y Don prirt rio donde hubiese otros haba de nombrarse un interna*, ó re Vicente Vázquez, tenientes perpetuos. partirse sus negocios entre sus compañero». La comisión opinaba qua La comisión de Visita del Crédito público, inform…</t>
  </si>
  <si>
    <t>Sal-</t>
  </si>
  <si>
    <t>…doras del ases.nato, ¿ indagado todo ciadamente vemos que toda» estas cosas desaparecieron á ios ojo» de esi lo correspondiente, pasa á la prisión de personas. :&gt;e dirá que el anó ministro Sal- ador, quien contra las leyes existent s, no de poco acá, nimo ha sido el que ha empezado aqueila causa , y que las personas han sino de mucho antes recopiladas , en las que se prohíbe hacer uso en la sido presas en virtud de ¿I1 Es visto pues que esta causa s…</t>
  </si>
  <si>
    <t>Sala, Domingo Santa María y</t>
  </si>
  <si>
    <t>Domingo Santa María y Sala</t>
  </si>
  <si>
    <t>…onsiderables en el trascurso de cinco meses, amenazaban muy de cer Hacienda. ca comprometer, no solo el sosiego público , sino también la seguridad Uno relativo á la exposición de D. Domingo Santa María y Sala personal de los habitantes de aquel pueblo: por tanto los diputados de manca, magistrado de la audiencia territorial de Castilla la Vieja , pi aquella provincia que suscribimos, pedimos á las Cortes acuerden que diendo que una pensión que disfrutaba su tnuger…</t>
  </si>
  <si>
    <t>Sala, Feliciano</t>
  </si>
  <si>
    <t>Feliciano Sala</t>
  </si>
  <si>
    <t>…regimiento Ronda á D. Josef García Gotiza'ez , teniente de infartería y del tnfant ríu del Pnnc pe, con 570 rs. batallón de la milicia activa de Ronda , con 450 rs. Ciinchilla .i D. Feliciano Sala zar, teniente del regimiento infan Santiago á D. Vicente Vaiderrama, t-nfants de infantería y profetería voluntados de Castilla , con 57a ra. sor de matemáticas del colegio militar de Santiago, con $70 rs. Ciudad-Real al cap tan D. Joaquín Ladrón de Guevara,…</t>
  </si>
  <si>
    <t>Sala, Juan García</t>
  </si>
  <si>
    <t>Juan García Sala</t>
  </si>
  <si>
    <t>…D \r io H a, guarde á V. mu.bes aíios. Madrid 12 de Noviembre de x3aa. nio oan^iiz , p *rror dj as caba is-r z 1* reaie» , d ia qu ra a*r- iur prin IX’TBtl CI'.N 1‘Ul: ICA. cipal D. Juan García Sala», toaiinr.o honor a- o, n u»;.u .b-. .aCircular de la ¡XreccOn central dr estudias. 1.2;,e au’.o-r.zado p&gt;r otra (jM¿ i¡jo&lt; raa , wompue ta i »* » n ♦- : al Kt Fxcmo. Sr s-.cret -.no d, Halado y dei lí-spcci-.o de 'a G. berna- to cara.t r, para reunir gente c…</t>
  </si>
  <si>
    <t>Salamanca, Fernando</t>
  </si>
  <si>
    <t>Fernando Salamanca</t>
  </si>
  <si>
    <t>…primen instancia por una bablemente habita comunicaciones importantes que hacer i ía cor partida de voluntarios de Irun,el capitán del primer regimiento de te de Austria. guardias D. Fernando Salamanca, bajo el nombre supuesto de Manuel Nada de particular te sabe de rusos, turcos ni griegos; pero según Aliaga, y con pasaporte para Bayona. Dicho Salamanca, según su de el Observador austríaco se confirma la derreta de la escuadra turca y ia claración, salió d…</t>
  </si>
  <si>
    <t>Salas, Josef Antonio de</t>
  </si>
  <si>
    <t>Josef Antonio de Salas</t>
  </si>
  <si>
    <t>…ceder dicha penson. Aprobado. Lo mismo se declaró, ragua proponía la referida eofliirran, «cerca Igual resolución recayó sobre un dictamen de la misma comisión de una solicitud de D. Josef Antonio de Salas, sobre la posesión de pare que no se concediese á Dolía Margarita Domencch la pensión qne una capellanía laical que le pertenecía. ^ colicuaba. La* Cortes oyeron con agrado las felicitaciones de lo* ayuntamien La referida comisión, informando sobre le exposic…</t>
  </si>
  <si>
    <t>Salas, Josef de</t>
  </si>
  <si>
    <t>Josef de Salas</t>
  </si>
  <si>
    <t>…de la armada nacional S- Pablo , de porte de 74 cañones y 450 í cosa de las to de la mañana, de estar una gavilla de facciosos en O -- plazas, al mando del capitán de igual ciase D. Josef de Salas: conduce •*. y 1”' trataban d- prender algunas fami as de concejales y de tos dos millones de rs. y 13 individuos del batallón ligrro de Canarias. acrcd lado, liberales, y mí pocos na.ñutos forme la co.umna, pisé el __Por noticia verbal que ha recibido el Sr.…</t>
  </si>
  <si>
    <t>Salas, Juan García</t>
  </si>
  <si>
    <t>Juan García Salas</t>
  </si>
  <si>
    <t>…ión, como parece que ha su de primera instancia de esta M. H. villa de Madrid &amp;c., se cita, cedido. Varios rumores siniestros fueron motivo de acelerar las provi llama y emplaza á D. Juan García Salas, comisario de guerra ho dencias , y tal vez de no tener todo el reparo que sé hubiera tenido en norario , D. Antonio Sánchez, pintor de Cámara de S. M., D. Loren circunstancias menos apuradas. » Algunas personas respetables y libe zo Gómez, administrador de J…</t>
  </si>
  <si>
    <t>Salas, Mariano</t>
  </si>
  <si>
    <t>Mariano Salas</t>
  </si>
  <si>
    <t>…ro temiendo ye el no poder rehacerse, trataron de fugarse ¿ capua ó ij provincia: mas para oontar con la victoria es indisp usable le móntate, en cuyo acto salí con el subteniente D. Mariano Salas y la unión y concordia mas intimas, la mas infatigable vigilancia , y le los 10 caballos del escuadrón de artillería á batirlos , y al momento sumisión mas profunda á W voz de las autoridades que os gc-b.croan. quedaron destruidos enteramente, cargándose háci…</t>
  </si>
  <si>
    <t>Salas, Ramón</t>
  </si>
  <si>
    <t>Ramón Salas</t>
  </si>
  <si>
    <t>…individuo se ha servido mandar que penal del jurisconsulto ingles Jeremías Bentham, traducida al csst. se baga público en la gaceta este acto patriótico. llano con comentarios por D. Ramón Salas, ciudadano rspiñol , y Intendencia de Madrid. Dr. de Salamanca , acudirán á recoger el tom. 4. , y adelam ir el im 11a trascurrido con exceso el término señalado en el anuncio de porte del j.1* y último que está en prensa, á la librería de !,ojo, don asta int…</t>
  </si>
  <si>
    <t>…el Real sitio de Aranjuer lo siguiente: penal del Sr. Jeremías Bentham, traducida al castellano con com rotarlos » SS- MM. y AA. continúan un novedad en su importante salad.** por D. Ramón Salas, sigue ab erta por todo este mes de Mayo, en que se dará el 5." y último tomo en la librería de Soja, pagándose loa Circulara del ministerio dt la Gobernación de la Península. anteriores á 24 rs. cada uno rn rústica , y adelantando el importe del Los Sret. di…</t>
  </si>
  <si>
    <t>…. Cayetano Rodrigu'z penal del jurisconsulto ingles Jeremías Bentham , traducida al castella Moran, O. Martin Jo.-{ d- C-rocio, D Santiago de la Azuela, Don no con comentarios por D. Ramón Salas, ciudadano español y doc N colu lário, !&gt;. Francisco de P-.u a Castro y Gómez, D. Miguel tor de Salamanca, adudirin á recoger el 5.a y último tomo i la libre *•-1 P no y l./.p-* , O. Juan F-ancisco Vidot, D. .'ógismundo Moret, ría de Sojo , donde han suscrito…</t>
  </si>
  <si>
    <t>Salazar, Francisco López</t>
  </si>
  <si>
    <t>Francisco López Salazar</t>
  </si>
  <si>
    <t>…apitán D. B;nito Sampit, teniente de infantería y del batallón de la milicia activa de .Soria, con 450 r». al mes. batallón de la milicia activa de Oviedo , con 450 rs. BujaUnce A D. Francisco López Salazar, teniente del regimienta Osuna A D. Antonio Medina , teniente dei regimiento infantería do infantería de Ordenes militares, con 570 rs. k Corona , con 570 tt. Betanzoa A D. Josef Carrero , teniente del regimiento infantería de Piasencia al capitán D. Josef de…</t>
  </si>
  <si>
    <t>Salazar, Josef María</t>
  </si>
  <si>
    <t>Josef María Salazar</t>
  </si>
  <si>
    <t>…..........-....... 208,866 islas Filipinas á D. Juan de Mata Ramos, fiscal que fue de la misma Orense.............................. 558.390 audiencia , y_electo para Is dt Lima: i D. Josef María Salazar, asesor Oribuela........................... 286,638 interino del juzgado de artillería de Filipinas; y i D. Francisco Rive Osma................................ 261,529 II* ra Maestre , abogado. Oviedo............................. 629,136 Juicioi ie jurado. Pa…</t>
  </si>
  <si>
    <t>Salceda, Ignacio de</t>
  </si>
  <si>
    <t>Ignacio de Salceda</t>
  </si>
  <si>
    <t>…en peculiar utilidad de los que lla de Potes y su partido con fecha 24 de Diciembre último un pedi pretenden sostener nna sombra de autoridad imaginaria solo por propia mento por D. Ignacio de Salceda p Bedoya, presbítero, cura párroco conveniencia, aunque con notorio perjuicio de los intensados; muchos del concejo de Brjo, 4 nombre y virtud de poder especial de D. Jotef de los cuales, que serian mup útiles en el ejercicio de la facultad , se Manrique de B…</t>
  </si>
  <si>
    <t>Salcedo, Juan Antonio</t>
  </si>
  <si>
    <t>Juan Antonio Salcedo</t>
  </si>
  <si>
    <t>…ta gencia ; perq i los primeros pasos que se me ofrecieron dar en la car dor de ia casa de maternidad. rera de abogado, cuando se trató de sentenciar un pleito, conocí que Sr. Dr. D. Juan Antonio Salcedo, cura párroco de S- Gines, y el verdaderamente no tenia aquellos conocimientos que me figuraba po mas antiguo del cabildo de esta capital. seer. A estos que han aprendido en las universidades les sucederá lo Sr. D. Josef Pió de Molina, contador de la junta, v…</t>
  </si>
  <si>
    <t>Saleta, Francisco</t>
  </si>
  <si>
    <t>Francisco Saleta</t>
  </si>
  <si>
    <t>…e destruir los po rientes, D. Juan Domínguez, D. Victoriano de U Puente López, cos edificios que aun quedaban. Mas de ao9 personas fueron víctimas D. Paulino Alegría de Quilchano, D. Francisco Saleta , D Manuel de ota catástrofe , que en algún modo ha alcanzado mas ó menos á las de Oiavarría , D. Antonio Celestino Alvarez, D. Msr.uel de la Puen ciudades de Antab, Antakáa, Gesses, Látale.a, Alejandreta , Tirsis, te López, D. Miguel de Espiga , D. Vicente C…</t>
  </si>
  <si>
    <t>Salgado, Josef</t>
  </si>
  <si>
    <t>Josef Salgado</t>
  </si>
  <si>
    <t>…ernandez Careaba , teniente del regimiento in llu- - vi A D. Pedro María Martin, teniente del regimiento infan fantería de Vitoria , con 570 rs. tería de Ja n , con 570 rs. Toro i D. Josef Salgado, teniente del regimiento infantería volun Huesca a D. Joaquín López, teniente del regimiento infantería de tarios de Castilla, con gro rs. Ata on, con 570 rs. Vich A D. Ramón CasiH-ball, teniente supernumerario del regi Injusto al espitan D. Josef María Rubio…</t>
  </si>
  <si>
    <t>Salgado, Manuel</t>
  </si>
  <si>
    <t>Manuel Salgado</t>
  </si>
  <si>
    <t>…de Pontevedra en nom dez de Castro: para el de la Cañiza á D. Felipe Sánchez Quiñones: pa bre de las Cortes, expresándose en uno de los lados del pedestal que él ra el de Badea á D. Manuel Salgado: para el de Guinzo de Cim:a á fue el primero de su arma que se pronunció por la Constitución.” _ D. Manuel Espada y Losada: para el de Monterey á D. Francisco AlLo qu: traslado á V. E. de orden de S. M. para su inteligencia y varez: para el de Viana del Bollo…</t>
  </si>
  <si>
    <t>Salgado, Tomas</t>
  </si>
  <si>
    <t>Tomas Salgado</t>
  </si>
  <si>
    <t>…ronce, y loa aterrasteis D. Pedro del Paso y Troncoso. D. Vicente Simón González de Cosío. con vuestra decisión, valor y denuedo. Jamas olvidéis esta memora D. Florencio Castillo. D. Tomas Salgado. D. Nicolás O'aez. D. Rafael ble jornada que os inmortaliza, ni menos confiéis en la victoria. vs^—- u.i:...Zn n. Mariano Robles. D. Demetrio Moreno. » Milicianos: poderosos enemigos, asaz diestros en el arte de ta ma quinación é intriga existen por desgracia…</t>
  </si>
  <si>
    <t>Salieras, Cários</t>
  </si>
  <si>
    <t>Cários Salieras</t>
  </si>
  <si>
    <t>…o con la tropa que ¡mercantes á su familia que llevaba D Onofre consigo, se servirán avi me queda á la villa de B ino, en donde es necesaria mi presencia , co sarlo á I &gt;. Josef ó D. Cários Salieras, calle de la Puebla, núm. 1, cuar mo verá V. S. por los oficio* adjuntos , y en donde quedaré esperar-fo to emresu-10, en esta corte , loe que agradecerán el arito y satisfarán las órdenes qúc&lt; V. fi. ss Suva comunicarme. — l’. D. Los facciosos ban lo que hub…</t>
  </si>
  <si>
    <t>Salieras, Onofre</t>
  </si>
  <si>
    <t>Onofre Salieras</t>
  </si>
  <si>
    <t>…embargo creo positivamente que Mosen Antón no volverá á fomentar conspiraciones, póet me consta que se hallaba escarmentado y arre ANUNCIOS. pentido. Se desee saber el paradero de D. Onofre Salieras y su hija Dolía Ja•* Deshecha ya enteramente esta facción, y asegurada permanente coba , naturales de Pontevedra (Galicia), cuya existencia se ignota mente la tranquilidad publica, he dispuesto que regresen á esa plaza desde el iirmpo de la invasión de los fr…</t>
  </si>
  <si>
    <t>Salinas, Benito</t>
  </si>
  <si>
    <t>Benito Salinas</t>
  </si>
  <si>
    <t>…de la provincia de Malaga, pidiendo se le concediesen arbitrios Noviembre de .81$. Se mandó pasar oficio 4 dicha junta para que la i para atender 4 tus cargas municipales; otra de D. Benito Salinas, veci imprimirse. no de un pueblo de Aragón, pidiendo se le perdonasen varias cantida Se dió cuenta de una exposición ds la milicia nacional de infantería jr des que adeudaba á los.propios del mismo pueblo: un expediente pro caballería de Aguilar, en la provi…</t>
  </si>
  <si>
    <t>Salitre, Francisco Mattinez Mari</t>
  </si>
  <si>
    <t>Francisco Mattinez Mari Salitre</t>
  </si>
  <si>
    <t>…, D. Francisco de la débitos de ico-&gt; 91,376.. 6 12,376.. 6 Carrera, D. Joaquín Huerta Ceval .os, D. Cayetano Romero, D. An píos de siles..,J drés Alcon, D. Josef Antonio Ponina , D. Francisco Mattinez Mari Salitre, azufre) 7.8S4 658.. 9 7.'PS &gt;5 na , D. Antonio María Esp jo y D. Miguel Rípa. Habida ia conferen y pólvora...... j cia, resultó por unanimidad haber lugar á la formación de cauta. Total 9.110,595.. 6 &lt;*99.374 9 «.S**»!*0"3» TZiaCMAlB*. En el juzgado del Sr.…</t>
  </si>
  <si>
    <t>Salmón</t>
  </si>
  <si>
    <t>…tario de la Gobernación de la Península las el general Riego en Tarifa; recorrió las nuevas obras nechas por el siguiente* adiciones: una del Sr. Aillon para que se afiada á la me Sr. Salmón, y par.ee que tuvo mucho guato al considerar cuanto allí dida lo siguiente: á excepción de aquellos que no gocen renta algu se ha hecho en bien de la Nación. na eclesiástica: otra de lo* Sre*. Somoza, Busafia, Prst y otros para —Hemos recibido periódicos de I…</t>
  </si>
  <si>
    <t>Salri</t>
  </si>
  <si>
    <t>…are; p lekfc» et segundo el Sr. Nuiles ticulo too del reglamento, reservándose para después la palabra. Falcon se opuso £ la parte en que se proponía, que en la junta electoral El Sr. Salri: Yo preguntaré al Sr. Prat ti hap algún caso en que «le provincia presidiese el intendente cu el cato de ser elector el gefe ana comisión especial tea nombrada por las Cortes, p no por el señor político. presidente. H Sr. Ruis de la Vega fue de la misma opini…</t>
  </si>
  <si>
    <t>Salva</t>
  </si>
  <si>
    <t>…do en primee n SS. MM. y A A., continúan sin novedad en su importante salud.” escrutinio el Sr. Riego por 7 a votos de 130, recayendo los $6 restan tes en el Sr. Va des, uno en el Sr. Salva, y otro en el Sr. Tomaat __Como hay gentes que por error de concepto, ó con designio mali Quedó elegido vice- presidente el sr. Salvato por 73 votos de 117, cioso , exageran ó desfiguran los hechos mas sencillos, no será malo repartiéndose los restantes en es…</t>
  </si>
  <si>
    <t>…eron en el año pasado en unión con S'iion extraortibiaría del dia 4 de Marzo. otros regidores de aquella capital, y hacían presente que el Gobierno Se '.rió á ía» siete , y el Sr. secretario Salva leyó varios artículos les había mandado formar causa. de U '.uji-iiitucion y del reglamento, que tratan del tribunal de Corte», Se aprobaron trece dictámenes de la comisión segunda de Legista-</t>
  </si>
  <si>
    <t>Salvá</t>
  </si>
  <si>
    <t>…lüuifcíencia con q—c m—cho» empicados púvl.cos mi para que la publique con las formalidades de estilo. ran las nuevas instituciones, seguros de que su fortuna no ha de recibir El Sr. Salvá dijo que no se habia remitido refrendada por el señor menoscabo en cualquiera vicisitud; y por lo mismo no se sujetan nf secretario ; y que siendo una equivocación, ss devolvería al Gobierno tienen ínteres en sostenerla. al efecto. Asimismo hacia una ligera r…</t>
  </si>
  <si>
    <t>«Matados at derecho de hacer nueva* proposiciones :qoa et tiempo que de» Ef Sr. Salvá dijo que cuando el otro dia se habló de los expedientes ben durar las sesiones oo se limite precísalo eme A las cuatro horas que que obraban en la secretaría, se dijo por equivocación que estos eran prev.enc el reglamento..” i(5 o o , y debía manifestar que h…</t>
  </si>
  <si>
    <t>…reino me obligac.n á refug arme 11 aquclia ,'!..ra, pecto a! fiscal togado del m sino rr.banal ' en el momento que supo la tacón por que est ha a. 1 se jpi.su: o a , i re- El Sr. secretario Salva aíviit o que h..b.a vir. vot, parí .a.ai J-’ serme su» facultades: posteriormente á csro, hab.eiul . .noi.trdo el ¡nodo Sr. San Miguel , en el cual rt;cer.ti.t de la n;;u ; .a h lo c¡ o r ; :.;o *1 de poder volver i Valencia con el fin de ver si poJ,.a.n.&gt;s 1…</t>
  </si>
  <si>
    <t>…cuparse con urgencia en este asunto, porque de lo con S. M. en 13 de Abril de 1821, y devuelto sin ella en 1 s de Marzo de trario estamos expuestos á una catástrofe. 1822.” El Sr. secretario Salva leyó dicho decreto. El Sr. Salva dijo que los Srcs. diputados podrían acercarse á la co Del Sr. López Cuevas: ,,Pido que los naturales de Ultramar que se misión , en donde teman libertad de acudir y contribuir con sus luces hallen en esta corte en prosecución…</t>
  </si>
  <si>
    <t>…el importante asunto deres acerca de la consulta de! Gobierno sobre las elecciones de dipu de augurar la competente dotación del cKro y cu.to.” tados de la provincia de Cuerea HI Sr. Salva dijo que esto s: hallaba ya resuelto por la; Cortes. A ia co.iiisíoi, ds íí peu»i(iuo provinciales se pasaron dos repre Estas overon con agrado la comunicación que las hacia el Gobier sentaciones de la diputación prov n».ijl de Jaén, solicitando que se no , p…</t>
  </si>
  <si>
    <t>…rí, Ja tranquilidad pública de la provincia de Búrgos no está tan asegura puede pasarse luego á la discusión de la proposición. da como pretende el Sr. secretario del Despacho. El Sr. Salvá; Ya podía haberse votado la proposición, y continuar El Sr. Galiano: He tomado la palabra para manifestar que tengo en la discusión principal, y por lo mismo pido que se pregunte si pa hecha una proposición , á fin de que no divaguemos. Yo creo que la sará á…</t>
  </si>
  <si>
    <t>…este negocio cuanto k, po».¡*.u , aaissiitiisv manifestación. que se impriman los resultados de sus tarcas. El Sr. Galiano: Para mi objeto basta esta sola conversación, y para El Sr. Salvá manifestó que estaba de acuerdo con el Sr. preopi que todos se convenzan de nuestra impasibilidad, y de que las Coi tes nante respecto de la impresión de que se trataba; pero que de! modo que no han tenido jamas un momento de agitación. Por lo mismo no hago s…</t>
  </si>
  <si>
    <t>…i l.i comisión de Milicia local el segundo proyec Argüell-s y Naavedra para examinar la representación del Sr. Velasco. to adicional al reglamento de las mismas, presentado por el Sr. Salva, El Sr. Seoane , individuo de la comisión que anteriormente habia si y leido en la seson del 5 del comente por primera vez. do nombrada, manifestó que el Gobierno habia dado las órdenes con A la de Hacienda se mandó pasar otra proposición del mismo se venient…</t>
  </si>
  <si>
    <t>…r padecido el creo que las Cortes están en el caso de aprobar la proposición de qua Sr. preopinante. se treta. El Sr. Velasco: En mi concepto es de suma utilidad la proposi £1 Sr. secretario Salva : Aunque ei Sr. Arguelles tiene la delicadeza ción de que se trata, porque encierra ventajas que no se pueden contra de no creer que ia mesa haya omitido el prevenir que se habia recibido decir. I.a proposición va á reducir á los mas estrechos límites la in a…</t>
  </si>
  <si>
    <t>…te le debía juzgar extraordinaria no se castigan, y por lo mismo la comisión propone que las causas da mente. Estado se activ-n, recomendando al Gob emo que tome toda* las pro El Sr. Salvá: El ayuntamiento de Valencia hizo la represen lacios videncias que estin en sus atribuciones para el efecto. de «pie ha hecho mérito el Sr. Arguelles, porqa continamente habí* K¡ Si. secretario de Gracia y Justicia ; Lo que propona la comisión con motivo de e…</t>
  </si>
  <si>
    <t>…nte han contado los he cho* de manera que no concuerdan en algunas circunstancias; por cuya* CORTES razones opino que no debe admitirse la proposición. XKxsisiMciA su iiitoi ancu. Sr. Salvá: Me parece que lo dicho por el Sr. Romero estriba en u* principio falto, pues el Sr. Blak no pide que se dicte una providencia Stiion txíraordinar'o dtl *4 dt Marzo. legislativa, sino que se diga al Gobierno que exija la responsabilidad 4 Tos que le hayan eng…</t>
  </si>
  <si>
    <t>…en el sumario que dió motivo á los procedimientos del gefe que debía aprobarse el dictamen de la comisión. político, si como juez ó como alcalde. Por el primer auto de oficio F.1 Sr. Salvá dijo que leería dos oficios, del gefe político Piaseacia que puso en este sumario ae ve que no procedió como juez, motivan a! aLalde constitucional .Giral para c- nocimiento de lo* Sres. diputa do este auto en noticias que hubiese recibido sobre la existencia…</t>
  </si>
  <si>
    <t>…o al Congreso, y p.oceder El Sr. NuBez Faltón: Este expediente es sumamente voluminoso, con su acuerdo. pues tiene mas de 600 fojas, por lo que suplico ai Sr. presidente se sir El Sr. Salva dijo que en el oficio pasado por la secretaría al Gobier va suspender su discusión para que puedan enterarse bien de ¿1 todo* no se pedían los autos seguidos y fenecidos, y ti no lo estaban, ¿por qué los Sres. diputados, tanto mas cuanto que creo que el dicta…</t>
  </si>
  <si>
    <t>…Esto es tanto mas conforme á la naturaleza de estos jui serles siempre grato el recoger sus manuscritos. cios , cuanto que los jurados solo pueden ocupaise por su instituto de El Sr. Salvá manifestó que quisiera se explicase qué garantía queda la calificación de los hechos denunciados; pero en ningún caso les pue al impresor cuando se está imprimiendo el escrito, y de consiguiente de corresponder el conocimiento sobre las causas de recusación,…</t>
  </si>
  <si>
    <t>…no es justo privarles do protectora con arreglo al artículo 78 de la ley de az dé Octubre, qye este derecho. previene se baga este nombramiento cada dos afios al empezar cuera £1 Sr. Salva: El denunciante puede ser ó él fiscal ó una persona diputación, ó se considerará que esta junta, respecto que tolo lleva un particular , que creyéndose injuriada reclama contra la publicacioa del afio de existencia , d.be seguir, llenándote el hueco que en el…</t>
  </si>
  <si>
    <t>…us modo de cobrar su viudedad. Aprobado. ae oponga al logro de estos objetos traerá funestas consecuencias. La Eclesiástica, en vista de la solicitud de D. Bautista López, dona El Sr. Salvá: En contestación á lo que ha dicho el Sr. preopinante do del ex-monasterio de S. Miguel de los Reyes de Valencia, para que me parece conveniente observar que la comisión no propone que ha ae le conceda una pensión de 300 ducados , lo mismo que se hizo cota ya…</t>
  </si>
  <si>
    <t>…o motivo una baja considerable la renta francesa, según puede verse por la adjun ta nota*__Se confirma por toda» panes la derrota de la «cuadra turca, se opuso á este dictamen. El Sr. Salva dijo que si este dictamen fuese en favor de un cua.- y el feliz éxito de las empresa» de los griego*; ya están libre» del yugo quiera tendría razón el Sr. Belda para no aprobar'o; p-ro que era otomano las do. terceras partes de aquella ven»^mica,:T 1r£ en fav…</t>
  </si>
  <si>
    <t>…estoy la secretaría ha recibido esta representación , mande el br. presidente persuadido di que la cornis ón las tomará tn cons d;:a.-.on s. las -oí que se lea. gase oportunas El Sr. Salva : La secretaría no tiene noticia de la representación de El Sr. Rico: En mi concepto d beria haber propuesto la com's -1 que ha hecho mérito el Sr. preopinante. la cantidad que h*b an de per. ibir las liles as gara re-ios c.-l cu:., El Sr. Galiano: Si no hay…</t>
  </si>
  <si>
    <t>…ficii que pue útiles, y aprobar les que no lo fuesen. Aprobado. da seguir sin ocasionar un grande dispendio. La misma, en vista de la solicitud de D. Josef Portillo para que se Fl Sr. Salva : Me propongo deshacer las equivocaciones cometidas le perdonasen 41 ao rs. que Pedro de frías qu.do debiendo por un ar por los Sres. preopinantes: se ha opuesto el Sr. Nuácz a que se diga riendo que los dos tuvieron manccrouDadamcnte, y del cual había sa pro…</t>
  </si>
  <si>
    <t>esta contribución: «tría precito requerirlo* por medio de apremio* para Se iprebó la siguiente adición del Sr. Salvá al artículo t.*: *&gt; Don él pago de ella. A mí me parece que cuas ton razone* poderosísima*, de dice derecha de tmpnmrr añ .Case reimprimir, publicar y vender. que convencen de que en manera alguna puede accederte á una tuscrip- Se leyeron las mn-tas ue decret…</t>
  </si>
  <si>
    <t>…ue En el juzgado del Sr. D. Angel Fernandez de los Ríos, magistrado para la entrada á los juzgados frc. honorario, juez de primera instancia y de la hacienda públ.ca, y.escriba El Sr. Salva manifestó , que se preguntara si volvería á la comisión nía del número de D. Cristóbal de Vicuña , se siguen autos principiados Ja primera parte del dictamen ; i lo que manifestaron los Sres. Adan y en la extinguida subdelegaron de bienes mostrencos y abintes…</t>
  </si>
  <si>
    <t>…res La misma opinaba que debia pasar ai Gobierno pira que informa que habían presentado la propoticiiyi. se un* solicitud de varios sargentos, cabos y soldados del 5.0 regimien El Sr. Salvá añadió á lo t apuesto por el Sr. Saavedra que conclui to de Marina, residente en Cartagena. Aprobado. do el presente mis, solo habia otro fijo para la legislatura; y si se pre La misma comisión opinaba que debia pasar al Gobierno para el sentaba á la sanción…</t>
  </si>
  <si>
    <t>…día fijarse ejemplares por un caso imprevisto, desde luego cnnvendna en qu* sí ■n límite á esta discusión. debia haber firmado por el Sr. presidente y secretarios de las Corte* El Sr. Salva manifestó que reformaba la proposición en estos tér ordinarias; pero no ha sucedido esto por la razón que d-jo senta minos: •&gt; Que pr cisimenti Haya He empezar la discusión de este asun da. Por otra parte el pr.-yecto de ley del código penal ha pasado a ¡a to…</t>
  </si>
  <si>
    <t>…udo hacer, que fue abolir todos los derechos y presta pueblos, y el principal d b r de los legisladores. ciones que tenían un origen f udal , dcvolvii-r.de&gt; á la Nación um.s de Ei Sr. Salva leyó un d.scurso de otro Sr. diputado, qu- apoyaba el rechos que se le hablan usurpado; pero respetándose como era justo el proyecto de ley sob e que nuevamente se ha abierto la d.scus on derreho de propiedad, se d spuso en el art. 5 que los señoríos territo…</t>
  </si>
  <si>
    <t>…exposición y sobre el estado de dicha provincia. Aprobado. la dotación de i^o9 rs. asignada al ministro de España en Roma era La comisión de Comercio, en vista de la exposición de D. Salva excesiva. Las principales turrón que Roma es una corte eclesiástica» dor Mela , vecino de la Corulla, pata que se le permita la introduc donde debe reinar la modestia y la simplicidad, y en donde un agenta ción de una partida de cáñamo procedente de Rusia que…</t>
  </si>
  <si>
    <t>…aprobar En seguida se preguntó sí se suspendería esta discusión hasta qu* la proposición de que se trataba. viniesen los antecedentes de que se habia hecho mérito, y se declaró El Sr. Salva pidió que se leyera la consulta del tribunal supremo de por la negativa. Justicia ; y asi se verificó. El Sr. Soria: Se trata de que el tribunal supremo de Justicia n* El Sr. Manso: Sin duda que el Congreso se ha penetrado de la gran ha dado cumplimiento á la…</t>
  </si>
  <si>
    <t>…raba ponsabilidad. Respecto de los otros tres curas á mí no me importa que literal el del consejo de Estado. vuelvan ó no vueivan a Ceuta; pero el nudo gordiano es el obispo, y El Sr. Salva ¡ Yo quoicra saber con qué objeto se dejan los expe opino que no debe vo.v.r á aquella pian; concluyo pues que el señor dientes una porción de d;as sobre ia m:u, pues en este caso el pedirse Arguelles, que ha tomado la palabra sobre este asunto, d.ra lo que ¿…</t>
  </si>
  <si>
    <t>…a presentar una é la go que es preciso hacer justicia i la audiencia, y convenir en que entien sancon. de perfectamente el espíritu de la ley de 9 de Octubre, y el art. 30 , ca Ei Sr. Salva dijo que ademas de lo expuesto por el Sr. presidente, pítulo 1. de dicha ley , que previenen que cuando se trate de recursoe •parecían notas al margen de la minuta, las que indicaban qu- no ru de nulidad haya de haber á lo menos para fallar dos magistrados ma…</t>
  </si>
  <si>
    <t>…consanguinidad y segundo de afi ea Petersburgo.'* Afiade » que el Emperador de Rusia, considerada na nidad."' falta de numerario, no ae halla en estado de entrar en campada ; y El Sr. Salva manifestó que i pesar de que se había sefialado por el que también caá apurado en cuanto é los medio* de sostener los ejér Sr. presidente la discusión de las ordenanza» militare* , babia creído citos que he puesto en pie de guerra, pues en el afio último hubo…</t>
  </si>
  <si>
    <t>…ufre la Nación es de corta consi- Se leyeron los artt. 36 y 37 de ia ley de ty de Abril de 821 á «j.rac.on. Según la nueva planta costarán 1.7149 rs. , y según la que petición del Sr. Salva. hab a costaban 2 joo'J rs. : la diferencia de aumento solo es de 5009 El Sr. Ruiz de la Veza: En vista de los artículos qu- acaban de reales, que , como se ve, no es de grande importancia , atendido* lot leerse, y del 37* ái la Constitución, creo que nad:- d…</t>
  </si>
  <si>
    <t>…logo inmenso de - hechos de Hepedidola palabra en prodela proposion , á pesar de queestoy con esta naturaleza; pero de ello* resulta que una de las principales causas forme con el Sr. Salva en que por sí tola no es suficiente para cortar la* de tantos alborotos y conspiraciones son los ordinarios que no están conspiraciones de los enemigos del sistema. Vro que es muy justo en el sentido que deben: no negaré que hay muchos que merecen todo se inf…</t>
  </si>
  <si>
    <t>…participación que las hacia et tienda , he aqui el punto capital de la cuestión. No se diga como ha ma Gobernó de que SS. MM. y A A. continuaban sin noredad en su im nifestado el Sr. Salva , que no nos debemos atener precisamente é esto, portante salud, y que la Serma. Sra. Infanta Doña Lu ta Car-ota tam pues que no se logrará ei objeto; pero yo creo que el elevar un men- poco había tenido novedad después de su feliz alumbramiento. sage al Rey…</t>
  </si>
  <si>
    <t>…el dictamen ib» grado* académico# 4 loe estudiantes pobres que sóbrese xa literaria; y ea cuanto á la segónos parto manifestaba que siendo la "^Después da una ligera discusión al Sr. Salvá fijó su proposición na teramente confiante á las ideas de la comisión, debía aprobarse. Apro bado. „ Entendiendo que la disposición acordada ayer acerca de D. Anes Otro sobre la adición del Sr. Falcó, relativa i la dispensa de cur tesio Castillo &gt;e opone i la…</t>
  </si>
  <si>
    <t>…lidad y la protección de las leyes. Solo son, señor, cuatro fa sueldos los gefe» de aquel cuerpo.” Aprobado. cinerosos infames, que se valen de todos los medios para seducir al El Sr. Salva: Lo que dice la comisión de Hacienda respecto de la pueblo sencillo, y hacerle que se alóte en las tanJer.es evangélicas. Yo preposición que ha dado margen é este dictamen me ha obligado i llamo la atención de las Cortes srbre esta expresión, para que conside…</t>
  </si>
  <si>
    <t>…eto de i.° de teriores con respecto al establecimiento de las autoridades constitucio Octubre de 18 jo.” nales, que son lot motivos en que se fundó el decreto para la formación Ei Sr. Salva dijo que eréis que el Sr. Argiielles cuando hab'a pedi de cauta al marques de Campo '.agrado , no le ton imputable*, pues que do la palabra había manifestado deseaba indicar noticias importantes practicó por tu parte para removerlos cuantas diligencias estaba…</t>
  </si>
  <si>
    <t>…s prela Beltran de Lis y Busafia contra la resolución tomada en la sesión da dos regulares no conceder.!a licencia á ios religiosos para salir de sus ayer sobre la proposición del Sr. Salva. claustro* por mas tiempo que el de 48 horas. Los alcaides constitucio Lis Cortes oyeron con satisfacción el oficio dei Sr. secretario de Ul nales cuidarán de que se lleve á efecto esta medida; y pasadas la» 48 tramar, en que participaba que SS. MM. y A A. co…</t>
  </si>
  <si>
    <t>…a. coronel del regimiento de infantetía Voluntarios de Castilla. Chinchilla: para primer comandante al primer comandante de in Valencia: para primer comandante al cotonel graduado D. Salva fantería ligera D. Josef María Rodríguez Vera, encargado actualmen dor Díaz Berrios, primer comandante de tropas ligeras y supernume te del mando del regimiento de la Corona. rario del regimiento de Soria. Cuenca para primer comandante al comandante de infant…</t>
  </si>
  <si>
    <t>…en forma quedo aprobado este párrafo. que estos músicos tienen hecha una contrata particular con el Estado. Ei br. presidente dijo que mañana continuaría esta discusión , y le El Sr. Salva apoyó el dictamen, y dijo que no podía menos de re vantó la sesión á las doce menos cuarto. cordar á las Cortes lo que determinaion respecto de los músicos de las Seskn ordinaria del tg. catedrales, á pesar de haberse dicho también que tenían hecha una con Le…</t>
  </si>
  <si>
    <t>…ar so estaba discutiendo para el gobierno económico de la Península, se airbre la totalidad del dictamen. viesen las Cortes acordar que la comisión encargada de entender en los hl Sr. Salva dijo que cuando se había señalado para discutirse ha asuntos de aquellos países se ocupase desde Juego en formar la instruc cia pocos d as el mismo dictamen, el Sr. -icretario de la Goberna ción que pudiese convenir á las circunstancia» en que se encontraban.…</t>
  </si>
  <si>
    <t>…banco nacional habían desaparecido, porque unos se los ha ratones que el Gobierno tenia para presentarle. bía aprop ado el poder, y otros eran incompatibles con las nuevas ins El Sr. Salva dijo que cuando un diputado presentaba un proyecto tituciones; y que el con.piar con sus fondos fincas nacionales (como de ley tenia sí facultades para ampliarle; pero que no la había eu lo practicaba actualmente) era muy gravoso y perjudicial, porque sien ot…</t>
  </si>
  <si>
    <t>…ta la llegada del Emp*rador._Rumor de que en el egército ruso se han los individuos que en él se expresaban. manifestado algunas enfermedades, y que comenzaba á notarse cierto El Sr. Salva: En las exposiciones de que ha hecho mérito el se espíritu de descomento, efecto bastante natural del ardor guerrero com ñor Alix no se hace mas que disculpar al ayuntamiento, manifestando primido por la inacción. que no pudo tomar medidas .de precaución-cont…</t>
  </si>
  <si>
    <t>…itudes, opinaba que laa Corles podían recomendarlo al Gob..rno, y pues la que los dirigía estaba en su pilfr. declarar que han sido gratos al Congreso sus «ervicio». Apr !a&lt;do. Et Sr. Salva pregunto si se doia qu ■ las Cortes lo habían oído con La comisión de IX potación es peor metales, informando acerca da satisfacción; y el Sr. Riego di/o que podr.a decuse esto con respecto al</t>
  </si>
  <si>
    <t>…e co't,r de ra.z estJ» ma.e, tan &gt; :, oi-s , y minuido que les fue posible. que á cada paso se cxpenmrrtabiv.. Añad.ó el perjuicio que te les iba á irrogar á los vocales de la» El Sr. Salva ap vo su pnipi.&gt; c on, manifestando que no &gt;: opon * diputaciones provinciales que tuviesen que asistir á estas juntas, por en nada el que ahora seap oba.e la proo i.icinn, v a. O-o s »- ocu que se verían precisados á abandonar sus negocios particulares , y c…</t>
  </si>
  <si>
    <t>…l no hab-r presentado aun su dictamen , manifestando tener ya concluidos Congreso, creia debían leerse. sus ti abajos , y que por md.sposicion de uno de los individuos de la co El Sr. Salva contestó que en esto no se hacia mas que observar d misión , que estaba encargado de redactar el dictamen, no se habia po reglamento ,lpues era precito que antes se decidiese si se admitía ó no dido M.tiegart» ■&gt; a mesa. el dictamen de la mayoría de la comisi…</t>
  </si>
  <si>
    <t>…tado y el Sr- Salvé , tomó la palabra ei Sr. secretario de Gracia y Y pregunto yo ; había modos de remediar esto» males? Yo cr.o que sí. Justicia, y leyó el parte reclamado por el Sr. Salva, en el cual se de Este hecho me da motivo para manifestar á la Nación entera que los cía que después de alguna resistencia, y viéndose combatidos por todo* males no están tolo en Valencia; no, están en toda Ja Peníi.tu a, y lados los attilleros sublevados, ha…</t>
  </si>
  <si>
    <t>…artículo del reglamento que habla del modo tn.sma.” con que deben estar tos que asistan d oír las sesiones ) Se leyeron los arts. jj8 de la Constitución, y «37, 13S y 139 del ■ 1 Sr. Salva: Esto quiere decir que el Congreso sigue los nn;smos reglamento que tratan del modo de exigir la responsabilidad a los pasos que el Gobierno, a saber, de 'oprimir el espíritu público. (£l se ñores secretarios del Despacho. ñor presidente le llamó al orden.) F…</t>
  </si>
  <si>
    <t>…ienda contestó que era mas breve que las llón. s i n vez de ¡os 16 ind.cados. Cortes la acordasen en el momento. El Sr. secretario del Despacho de Hacienda: Supongo que a! apro El Sr. Salvá dijo que como cantidad de donativo no debía existir bar las Cort -s ei producto liquido de las contribuciones m rebajara el en los presupuestos; ademas de que según se había indicado S. S. no ia gasto qu. ocasiona el resguardo marítimo , y en este caso conven…</t>
  </si>
  <si>
    <t>…ajenados , y en esta caso pasar al Crédito en las provincias que no se hayan separado del Gobierno español. público, ó si eran mas bien indemnizaciones por capitales invertidos El Sr. Salvá deshizo dos equivocaciones que dijo habia padecido el por ios causantes de los actuales poseedores; se han servido resolver, que Sr. secretario del Despacho, y previa una ligeta discusión, quedó apro no pudiéndose calificar la naturaleza de cada una de estas…</t>
  </si>
  <si>
    <t>…goza los terrenos baldíos, realengos y de propios y arbitrios; y hablando so sen los dtrechos de ciudadano. bre su totalidad, dijo el Sr. González Alomo entre otras cosas que á El Sr. Salva contestó que lo único que para evitar toda duda podía su entender la comisión no había llenado las miras que las Corte* se añadirse al artículo era que no fuesen admitidos aquello» que debiesen habían propuesto al nombrarla , porque habiéndose presentado las…</t>
  </si>
  <si>
    <t>…esidente.^Angel Saavedra, diputado se- que desempeñan dignamente el cargo que se les ha confiado." cretario.=Francisco Benito , diputado secretario.=Por tanto mandamos Concluye el Sr. Salvá advirtiendo que de esto no se habló en I&gt; á todos los tribunales, justicias, gefes, gobernadores y demss autoridades, gaceta, acaso porque habiéndolo dicho é la primera hora, no estarían eii civiles como militares y eclesiásticas, de cualquiera dase y dignida…</t>
  </si>
  <si>
    <t>…no al gefe militar ó comandante de cada ba go de que este gravamen lo sufre en el pueblo donds reside.” tallón. Después de una ligera discusión quedó aprobado el articulo hasta El Sr. Salvá contestó que era necesario que los indi "¡dúos de ayun las palabras una misma proporción inclusive á propuesta de la comisión. tamiento riesen una firma de su gefe , que era el alcalde, para poder Art. 8-° » S;rá de cargo de los ayuntamiento* el repartimiento…</t>
  </si>
  <si>
    <t>…de la» Cotíes sobre el proyecto de ia guaid.a Real; el de los Sres. Ma- cuando lo creyesen conveniente. rau y Ruz de la Vega , contrario á 1a aprobación de los artículos sobre El Sr. Salva d jo que tenia que añadir ¿ lo expuesto por el señor It- . tabacos en el plan de conlr buciones; y et del Sr. Olrver, contrario a .ha turir en apoyo de la proposición que no se perdiera de vista que la Cotu» I berse nado por sufi-int emente discutido un artic…</t>
  </si>
  <si>
    <t>…que algunos p-*r:od atas d:*jcr-dii.iban la gloriosa revoiuc on de ;a yor urgencia la impresión de los estados. España, y había mantenido en la frontua un estreno mucho mas con El Sr. Salva expuso que al mismo tiempo que te imprimiese la me siderable que lo que se necesita para el eb eto a que decía est iba d sig moria podían imprimirse los estados, porque el oficial encargado de nado; y después de otras varias consideraciones concluía con .a s-…</t>
  </si>
  <si>
    <t>…&gt;r. Infante dijo que podría añadirse al art. ta la primera parte pre» d-nt le leudrá aec.sivo en caso de empat- , y se hura por escruti del 13 , que había referido literalmente el Sr. Salva , de|ando en este nio ,ec- to. h concepto que cada uno merezca se designara cou ia último la segunda parte. non de i.../■■' esaiifnte, bueno , medicino. Declarado el punto suficientemente discutido, quedó aprobado el Alio «La segunda cla.ifi-ac &gt;on , que ha d…</t>
  </si>
  <si>
    <t>…y el membrete al de ia D.pu- opinion*s, deben et-.’.xr i::-.» &lt;1 Rcx ar&gt;el*t •__t.os rea &gt;st»&gt; consl tutacion permanente. cionales deben gritar mas tuerte que lo* criras iStc.” El Sr. Salva manifestó que días pasados se había recibido otro oficio Un com-ntar.fs sobre ts'.ss -deas ¿ir a muchos plí.-p's. F. p* nde la misma secretaría en iguales términos , y que habiendo pregunta cipio de ia G.J -fj ae Fr.a. a se • inda en creer qj- os M.".:,. s ;…</t>
  </si>
  <si>
    <t>…un pais libre debería contener solo bases. Yo no dejo de conocer la prtir'on de algunos fires diputados. confusión y falta de orden que hay en este proyecto ; pero si hemos de E¡ Sr. Salva: Los articuos del reglamento que se han leído rela tener reglamento de policía , es preciso que las Cortes declaren haber tivos a? gobierno interior de Cortes, dan á la diputación la facu tid lugar á votar sobre su totalidad, pues sí acuerdan que vuelva á la…</t>
  </si>
  <si>
    <t>…hizo algunas observaciones sobre esta ; y después de El Sr. Remiro: No hay dudi que puede vetificarse e! caso que ha haberle contestado el Nr. Infante quedó aprobada. indicado el Sr. Salva en la primera pa:te de su discurso ; mu es necesa 4/ x Los mirados del servic o militar por haber cumplido seis años.” rio que se eviten muchos fraudes que podrían hacerse á a sombra de El h. Oóver : ¡ En rsta excepción están incluidos los del egercito este a…</t>
  </si>
  <si>
    <t>…onocer de las competencias entre los como á la autoridad competente, para que aclarasen estas dificultades. jueces inferiores y de los recursos de protección y de fuerza que te K1 Sr. Salvá: La comisión se había propuesto no tomar la paiabra introduzcan de los tribunales de su territoriov añade ademas: « que en este negocio; pero habiendo oido al Sr. secretario de Ultramar , se hubiera podido utilizar el art. tí." del decreto de 19 de Abril de h…</t>
  </si>
  <si>
    <t>…tiempo, y que solo se designó con y 3 r 1 del código penal. el destino de fiscal militar de una causa célebre, ha procedido al arres El Sr. Navarro Tejeiro: Mi digno compañero el Sr. Salva ha indi to d- uno que fue secretar.o del Despacho. Si no consta de una manera cado ya el conflicto en que se encontró la comisión cuando se le pasó auténtica este hecho, reclamo la atención del Congreso , y digo qu: el la exposición del Sr. Garelly, pues no v…</t>
  </si>
  <si>
    <t>…minuta de ley- ble y alta, precediendo un redoble largo, que servirá de señal para r e sobre supresión de conventos en despoblado, con la adición propuesta servar silencio. por el Sr. Salva. Art. 16. « Todos lotque teoemos la honra de miiitlr Injo estas El Sr. Falcó manifestó que Labia observado que en la minuta se insignias nacionales que acaban de bendecirse, y nos reunirán cor.tía hablaba de conventos y no de monasterios; y que sí esta ley no…</t>
  </si>
  <si>
    <t>…ión. S* declaró el asunto suñc:entím:cte díicutido, y se leyó La propo En la sesión de i3 de Octubre uno de ios s-íi.i;» que firman esta sición con la modificación indiwidt por el Sr. Salvá. proposición (el Sr. Salvá) dijo: «Yo entiendo que n.ngun.i de a» me E: Sr. Zulueta: S* »-i ron ' in prooo, c'r-i ia palabra /r.—.-tjria didas que abraza este dictamen pued; considerarse como ley occ.” Véa entones pido qu: se abra na.va di.cu» on, y la piiab…</t>
  </si>
  <si>
    <t>…persigíéndolos mas de hora y media , hasta que ya no sa proposición insistían en la variación propuesta. les pudo seguir mas,á cauta de la espesura del bosque y densidad de la El Sr. Salvá: Los demás señores parece qus no la quieren hacer, f niebla. Ademas de su dnpersion se consiguió matarles uno, que se de yo por mi parte no insisto en ella. cía ser el sargento de la facción: de los densas salieron una multitud Sa leyó la proposición en los m…</t>
  </si>
  <si>
    <t>…para las atenciones del Estado, -y no hay un dere de las maaifes'adas en el dictamen que se discutió ayer. cho para exigirle nuevos impuestos : por todas estas tazones no erro £1 Sr. Salvá dijo que las Cortee habían acordado que no podía pre que se está en el caso de que las Corles impongan esita contr¡bu; on. cederse contra loe aecretarios del Despacho en los delito* de conspira El Sr. B'tda: P.du qua »* observe lo prevenido, en el art. 101 de…</t>
  </si>
  <si>
    <t>…es: cion , y por eso la comisión no ha podido menos de proponer este dic- en efecto , el Gobierno conociendo que las leyes le quitaban la facultad l&lt;m 11. Voy á contestar ahora al Sr. Salva. de llevar A egecucion aquel indulto, acude á las Cortes para que es Dice S. S. que las Corles no tienen facultades para indultar A nin tas resuelvan lo que debe hacerse en este caso. gún delincuente de esta especie ; pero yo pregunto : ¡ no acordaron las Ha…</t>
  </si>
  <si>
    <t>…reses de la sociedad , con tal qu- pueda eg-iutar en n tic a del Gvlne.-ío para ’o* cf.ctos convenientes.” su favorito plan de la esclavitud del continente, comrra-do por la da El Sr. Salva dijo: El b.n:mérito escuadrón t.° d- artillería nacio la Península. Dejemos al tiempo que nos aclare tantas duda», y -ntre nal que levantó el grito d; libertad con los otros caudillos, hoy d;a tanto no le perdamos , dispon éndonos de modo que nos ‘■altemos pr…</t>
  </si>
  <si>
    <t>…ícu dos se han levantado en masa contra la facción. lo, porque de lo contrario seré dar lugar i que haya fraudes. Anoche sa fugaron del castillo y ciudadela y sa presentaron fi El Sr. Salvá convino en el artículo con respecto á los asuntos or nuestras avanzadas algunos de los que hicieron prisioneros lo* facciosos dinarios que corresponden á los ayuntamientos; pero lo impugnó con en la* cercanías de Cardona en el mes de Junio. Dicen que reina un…</t>
  </si>
  <si>
    <t>Salva, Francisco</t>
  </si>
  <si>
    <t>Francisco Salva</t>
  </si>
  <si>
    <t>…n , ó al La» Cortes rrc.b .1.1:1 can aprecio y mandaron pasar á la com sion díscolo y criminal de la sedición , á lo que respondieron que habían de Salu i púb.ica una trp.sc jn de D. Francisco Salva , vecino de Barjurado la Constitución de la Monarquía, y que no so amente qu.rian celo a, acompasando ufas tablas de la fuerza y densidad del calor en obedecerla, sino cooperar al exterminio de ¡os miserables que pertur aquella ciudaJ d ti abo 1780 hasta el d…</t>
  </si>
  <si>
    <t>Salvá, Ignacio</t>
  </si>
  <si>
    <t>Ignacio Salvá</t>
  </si>
  <si>
    <t>…funcionarios que no gozaban la confianza pú La de Instrucción pública, en vista de la representación hecha por blica , no consiguió nada, y tuvo que ceñirse al 2.0 punto sobre las D. Ignacio Salvá , maestro de primeras letras, pidiendo que se le abo medidas generales que convendrá adoptar, las que propone á la delibe ne el sueldo que disfrutaba siéndolo del seminario Cantábrico, opinaba ración de las Cortes, haciendo en apoyo de cada una de ellas las r…</t>
  </si>
  <si>
    <t>Salva, Ramón Sánchez</t>
  </si>
  <si>
    <t>Ramón Sánchez Salva</t>
  </si>
  <si>
    <t>…a y cumpli Comandancias subalternas de provincia correspondientes al quinto miento , consecuente á lo que le dijo mi antecesor en 18 de Febrero úl distrito. Fara 1a de Pamplona al brigadier D. Ramón Sánchez Salva timo al comunicarla el citado decreto de las Cortes. Madrid n de dor , coronel del regimiento infantería de España. Para la de S. Sebas Maizode i8ia. tian al brigadier D. Francisco Pablo déla Pcña,coionei del regimien El viernes 15 del corriente de 10 á is se…</t>
  </si>
  <si>
    <t>Salva, Sánchez</t>
  </si>
  <si>
    <t>Sánchez Salva</t>
  </si>
  <si>
    <t>…edralvez, El "t. 1 icgo antes de votar di|o: •• Por las circunstancias particu Merced, Lodars, Ru'Z del Rio, Gomal z ( D. Manuel), Man lares en que me hado con respecto al Sr. &lt;-x-ministro Sánchez Salva so , Garoz, Valdés ( D. Dionisio), B nto. Sotos, Paterna , Alvaez, dor , qu siera que las Cortes me dispensasen de votar rn esta parte del Gutirrrz, Tomas, Quiñones, Grases , Zulueta , Marchámalo , Cano, d clamen.' P ro habiendo manifestado a1 (¡uno- Sres. di…</t>
  </si>
  <si>
    <t>Salva, Secretario</t>
  </si>
  <si>
    <t>Secretario Salva</t>
  </si>
  <si>
    <t>…a solicitad de D. Domin cial de que el famoso Alí, bajá de Janina , habia sido entregado vivo go de Torres. á su enemigo Churschid-Bajá por sus propias tropas, de las que la ma El Sr. Secretario Salva dijo, que D. Antonio Ferrer, diputado yor parte sonalbaneses. Si se confirma esta ocurrencia, será muy útil electo por las isla» Baleares, había presentado hoy sus poderes; por cu para los turcos por la impresión que generalmente causará, y también yo mot.vo…</t>
  </si>
  <si>
    <t>Salvá, Vicente</t>
  </si>
  <si>
    <t>Vicente Salvá</t>
  </si>
  <si>
    <t>…pública de loa docu formación de causa. mentos que se bailen en su caso. Madiid ad de Mayo de i8aa.=:Migu.l de Alava, presidente. =sAngel Saavedra , diputado secretario. =s El Sr. diputado D. Vicente Salvá ha remitido á la oficina de la raFrancisco Benito, diputado secretario. = Por tanto mandamos á todoa daccion de la gaceta el siguiente aviso: los tribunales, justicias, gefes, gobernadores y demas autoridades asi ci En la sesión ordinaria del 10 de este mes,…</t>
  </si>
  <si>
    <t>Salvado, Eugenio</t>
  </si>
  <si>
    <t>Eugenio Salvado</t>
  </si>
  <si>
    <t>Zafegoza al capitán D. Eugenio Salvado*, ecgundo ayudante del gimiento infantería de León, con 570 rs. regimiento infantería de la Reina , con í;o r». Laredo al capitán D. Cirios Aguado López, teniente del regi Stgundot ayudante*. miento infantería de Soria, con 570 rs. Alicante al capitán graduad…</t>
  </si>
  <si>
    <t>Salvador</t>
  </si>
  <si>
    <t>…os, y por consiguiente faltando el trabajo á dichas-diputaciones. de la cantidad de tantos reales, equivocada, debe ser la de tantos. SI Sr. S. Miguel dijo que las reflexiones del Sr. Salvador eran muy Art. 7." » Gomo pudiera suceder que el billete de una cantidad con buenas, pero no del caso, porque era menester tener presente que en siderable te presente muchas veces, de modo que no sea suficiente el las Cortes habia un proyecto que trataba del a…</t>
  </si>
  <si>
    <t>…teligencia del art. 131 «leí decreto orgánico del egérciio. indica el Monitor { y no advierte este periodista que aun después de Las Cortes quedaron enteradas de una exposición de D. Salvador doacicnta aña de reformas, de civilización, de adclantamientoa, de Perdió» y Lanuza, vocal de la diputacon provincial de Valencia, en consolidación, todavía presenta la Inglaterra escenas tan extraordinarias que lat felicitaba por tu unión con el Gobierno en…</t>
  </si>
  <si>
    <t>…de aquella ca con el perju-oo de los particulares interesado* en este negocio: que en tástrofe. Es bastante el número de personas que han perecido , y mu cuanto á lo dicho por el Sr. Salvador de que te sustraen loa capital.zasschos los heridos y estropeados que afortunadamente han podido salvar tes ai pago de la* contribsic iones generales, no en exacto, per canto se. La obra del muelle en elgunos puntos ha sido enteramente destrui estaban sujetos…</t>
  </si>
  <si>
    <t>…cabeza del par £1 7,'9 7 8.° como están en el impreso. tida respectivo.” El art. 36, pirrafo *.° diré , en virtud de edición del Sr. Ledesma, El art. 100, en virtud de adición del Sr. Salvador, dirá: » En las pe lo siguiente : » i.° Si por la retractación legal.... ó de la certeza de U sa* que tengan tiempo determinado se empezara a 'contar este desde gravedad que se le hubiere dado en el juicio, ó de que la persona juz el dia en que se notifique a…</t>
  </si>
  <si>
    <t>…que corresponda al recho ó árbitro de cualquiera clase, ú otro funcionario público &amp;c.” sobo, según el expresado título, la cual se podrá aumentar hasta une Art. 504. (Adición del Sr. Salvador.) u ...... Sufrirán la pena de tercera parle mas, sin perjuicio de otra mayor si la mereciere la vio deportación; entendiéndose que para ello la orden del Gobierno debe lencia cometida. haber sido comunicada ó hecha saber oficialmente al reo , ó llegado de »…</t>
  </si>
  <si>
    <t>…lguna orden del La comisión especial de Hacienda y segunda de Legislación exami Rey ic.” naron en la última legislatura el expediente promovido por D. Josef Art. 169. (Adición del Sr. Salvador.) « A algún súbditode la po Urrutia y Arratia sobre la venta de la casa de la extinguida inquisición tencia ó potencia, enemigas ó neutrales , sufrirá una prisión áte.” de Madrid; y en vista de todo lo que resultaba de él .opinaban que en Art. 170. (Adición d…</t>
  </si>
  <si>
    <t>…ico de cualquier* ciase, que merezca la violencia que se hubiere cometido.” ó por el de suponer alguna orden ó comisión falsa de autoridad legiti Art. 577- Párrafo 1? (Adición del Sr. Salvador): « .... una multa ma.” Aprobado. de cinco á 30 duros, y si para ello se lisiare A inutilizare voluntaria Art. 731. » Los que roben capas, pañuelos, relojes, mantillas ú mente de modo que no pueda servir, sufrirá una Irrisión ó reclusión otras ropas, alhajas…</t>
  </si>
  <si>
    <t>…ntonces, ni la orden en de rec bir sumarias informac.ones. cuestión debía desobedecerse; por lo mismo no puede hacerse este cargo. En esta inteligencia pregunto yo ahora, :pudo el Sr. Salvador El segundo cargo que se hice á los mencionados sugetos es que fueron disponer , como lo hizo, cosa alguna contra el texto terminante de es presos Serrano, Ceruti y Chinchilla sin acto motivaco de prisión. Es tas leyes que estaban en rigurosa observancia! En la m…</t>
  </si>
  <si>
    <t>…ahora tengo noticia ; nosotros hemos tenido un coracero en la misma forma, 36,040. Los de la biblioteca , ídem, 16,362. Es herido levemente , y el brigada de voluntarios de Matará D. Salvador cribano del tribunal de Cortes, ídem, 12,900. Inspector arquitecto, Dimato , qu: siguió i la caballería, y un caballo de coraceros herido. ídem, 19,680. Portrn », ídem, 31,67o.Celadores 22,195.De la redac Hi mos cogido cuatro prisioneros , todos ios caballos,…</t>
  </si>
  <si>
    <t>Salvador, Bartolomé</t>
  </si>
  <si>
    <t>Bartolomé Salvador</t>
  </si>
  <si>
    <t>…gla llon de Granada D. Marcelino Ora , al alférez de Sagunto D. Ra respecto de los empleados que cu lo sucesivo tengan ias diputaciones món Cotres , al de igual clase de Lusitania D. Bartolomé Salvador , al provinciales, y ahora se trata en el art. 164 de los empleados que ac sargento segundo de aquel cuerpo Felipe Gutiérrez, y i los milicia tualmente existen ; por consiguiente es muy distinto un caso de otro. nos voluntarios de Burgos D. Anselmo Ibafi-z ,…</t>
  </si>
  <si>
    <t>Salvador, Estanislao</t>
  </si>
  <si>
    <t>Estanislao Salvador</t>
  </si>
  <si>
    <t>…lique y circule.— prefijada en el artículo. Está rubricado de la Real mano.=En Palacio á 8 de Enero de t8n.s El Sr. Priego: En este artículo se ve que se aplica la misma pena al A D. Estanislao Salvador. que comete el homicidio en une persona que esté con su muger , que si lo cometiese en otra que estuviese con su biznieta. Esto no me parece Don Fernando vn por la gracia de Dios y por la Constitución de muy justo, porque la naturaleza misma esté indicando qu…</t>
  </si>
  <si>
    <t>Salvador, Gregorio Piquero</t>
  </si>
  <si>
    <t>Gregorio Piquero Salvador</t>
  </si>
  <si>
    <t>…ni civil, pues siempre tenia el carácter de una verdadera pena. cas de los mismos. El Sr. Quiroga impugnó igualmente le opinión del Sr. Sánchez Se dió cuenta de una exposición del coronel D. Gregorio Piquero Salvador, manifestando que según el espíritu del Congreso y el tenor Arguelles, manifestando la agitación en que se hallan los bah tintes de lo literal del decreto orgánico del egército no podia servir en ¿1 de ta provincia de Murcia, y pidiendo con este motivo ú las…</t>
  </si>
  <si>
    <t>Salvador, Manuel</t>
  </si>
  <si>
    <t>Manuel Salvador</t>
  </si>
  <si>
    <t>…ido 4 tan brillante acción. del ayudante del regimiento del Príncipe D. Manuel Villar, y del al » El teniente coronel D. Pedro Gallegos, comandante auxiliar dat férez de Lusitania D. Manuel Salvador, lo que parece increíble en un tercer distrito, llegó 4 tiempo de formar una columna de reserva, que ataque verificado por gd caballos contra óoo infantes y loo de caba nos hubiera podido ser muy útil en un caso desgraciado. Remito á llería; lo que solo puede…</t>
  </si>
  <si>
    <t>Salvador, Ramón Sánchez</t>
  </si>
  <si>
    <t>Ramón Sánchez Salvador</t>
  </si>
  <si>
    <t>…rno, que par ronel vivo y teniente coronel mayor del de Africa , y para el de Espa ticipaba haber resuelto S. M. trasladarse i esta corte con toda la fa ña, vacante por salida dei brigadier D. Ramón Sánchez Salvador, á Don milia Real el a/ del corriente, saliendo de Aranjucz á las cuatro de la Juan Joscf Sanlloreate , coronel suptrnumerio de infantería. mañana, y entrando por la puerta de Toledo. Se leyeron y aprobaron varias minutas de decreto revisadas por la ANUNCIOS.…</t>
  </si>
  <si>
    <t>Salvador, Sánchez</t>
  </si>
  <si>
    <t>Sánchez Salvador</t>
  </si>
  <si>
    <t>…para no aprobar para que se rebaje el sueldo de los comandantes generales á 909 rs. , se c! dictamen del Gobierno, dijo que na de poca consideración el exce leyó le siguiente del Sr. Sánchez Salvador : so que había en los sueldos que se proponían para estos individuos del » Que"se deje 4 los comandantes de distrito los 1 io9 rs. con el des que disfrutan hoy. Esto mismo se ha dicho respecto de otras clases; cuento de la escala establecida para los empleos…</t>
  </si>
  <si>
    <t>Diebitsch, que ha llegaJ» ya i Iviovie, está encargado d.l acan El Sr. Sánchez Salvador manifestó que !a ordenanza de que no re tonamiento de Jas tropa*. Una parte del egército de observación , i la» órilen3&lt;|l general 'Ysrmoloff, acaba de entrar en Voihtnia , y debe avenare hasre Podo'.ia , á fin de operar en el centro de la Moldavia en pusiese…</t>
  </si>
  <si>
    <t>chico afios, contado* desde que te hubiere abandonado d procedí-este artículo, y el Sr. Sánchez Salvador dijo que podría llegar el caso en que el Rey ó algún infante tuneas la curedu-ía dt algún reo que miento. estuviese en el caso de que habla el artículo , lo que debería tener pre El Sr. Calatrava manifestó las observaciones que sobre el mismo sente la comisió…</t>
  </si>
  <si>
    <t>…había hecho con el fuero crita en la ley sobre penas corporh nfiictivcis, aprobada en la legislatu militar. ra del afio 10. Respecto del fuero militar dijo que también se había El Sr. Sánchez Salvador dijo que habia tomado la palabra cuando restringido á los delitos que puramente tienen relación con el servicio el Sr. Casa seca habia hablado del fuero militar , á fin de hacer presenta militar. i S. S. que el fuero militar estaba muy modificado; que un mili…</t>
  </si>
  <si>
    <t>…esta ar -una monarquía moderada heied.txiia: del mismo modo el que tratase tículo por algunas coiptMMnn. -de que se confundiesen en uaa prrvona ó cuerpo ia» potestades legisla El Sr. Sánchez Salvador manifestó que la jurisdicción qua Conocie tiva, egreutiva y judicial, conjuraría por ei mismo hecho a deslíala la se del mayor delito debía juzgar el menor, y refundir una pena en otra, Constitución y el gobierno representativo que esta establece, el cual por…</t>
  </si>
  <si>
    <t>…Iuises con arreglo 4 la cédula del afio de 18, hu modo con que la diputación había desempeñado su encargo. bieran quedado mas perjudicados; porque esta ley , aunque inoportuna, El Sr. Sánchez Salvador dijo que las Cortes no deb an ocuparse ea exige cieñas circunstancias en los medios Iuises, de que no hace méri un asunto que no podía resolverse con exsct.tud, porque no Ksb'-ndo to la comíttan. La principil de ellas es el que tos s gnos no esten gas mapa* e…</t>
  </si>
  <si>
    <t>…Cortes era be mandó pasar á la comisión de Hacienda y Visita del Crédito pú una ley comunicada á todo* los tribunales,*y que en este caso no po blico la siguiente proposición del Sr. Sánchez Salvador ¡ •» Que á ios ce* día haber lugar á las objeciones que se habiaa hecho. sames del gobierno político que fueren trasladados i otras provincias, Se declaró suficientemente discutido este artículo, y quedó aprobado. y no les acomodase servir los empleos , se le…</t>
  </si>
  <si>
    <t>…ra impedir lot mala que pueden producir el fjando lo que debía hacer el curx ó prelado que presidiese. abuso, de lot sarcasmos. En buen hora que sea cierto que la lectura por . El Sr. Sánchez Salvador: El remedio qué'tiene un cura para evitar sí no tenga tanta persuasiva como la viva voz;-pero lo cierto es que la fklta de que se háble «¿'predicar 41 misinof si estos supiesen tu hay casos en que un orador , coa rigurosa lógica, no ha podido des obligación,…</t>
  </si>
  <si>
    <t>…unos 10 El Sr. Marín Tauste aclaró algunas ideas que había expresado en sn a 11 millones. discurso. ...... E1 Sr Sancho : La cuestión no versa sobre si ha a- privar del derecho El Sr. Sánchez Salvador dijo que todas estas capital liciones no do lían llevarse á efecto, en atención á estar ya prohibido por el decreto de ser rrinieerjdis a lo» acreedores dei Creólo públ co; v soto se reduce de suspensión , y á que causarían un nuevo recavo al Cied to público,…</t>
  </si>
  <si>
    <t>…quemasen los hombres ó art. 133 del código penal, que se acababa de aprobar. se castigasen con los tormentos que la misma usaba , sino el des-.o de A la de Guerra una adición del Sr. Sánchez Salvador al art. t.° verter sangre; y no había duda que estos castigos extraviaban la opi de su dictamen aprobado en esta sesión y á las de Hacienda y Crédito nión pública. público otra del Sr. Sancho al art. 1.' aprobado también en esta aesion. El Sr. Calatrava dijo…</t>
  </si>
  <si>
    <t>…l entusiasmo de vuestra gloria y de vuestra ya estaba prescrito que no le sirviese de «acusa la ignorancia. verdadera grandeza es el que arrebata el alma de los nuevo* alcaide* El Sr. Sánchez Salvador opinó que era bastante pena la ds constitucionales que tenemos el honor de serviros y admiraros: no hay los libros prohibidos , y que debía permitirse la lectura de ellos á ios objeto que mas pueda interesarnos que vosotros. Ninguna pasión mas que obtuviesen…</t>
  </si>
  <si>
    <t>…art. 44 del impreso se pondrá antes del 43, al eual se le añadirá pena, graduándose cada seis.meses «le arresto ó prisión por tres de cb:as el pirrado siguiente , propuesto por el Sr. Sánchez Salvador: • Los que públicas ó por cuatro de reclusión ó presidio.” levantaren grito ó dieren voz ó hicieren alguna renrativa para impedir El art. 104 dirá á propuesta del Sr- á. Miguel: „En los casos en que la egecucion de la justicia» serán castigados como sedicioso…</t>
  </si>
  <si>
    <t>…de suspensión de empleo y sueldo por uno á tres las prerogatívas de los embajadores en el código penal. años.” El Sr Calatrava indicó que no era el objeto del Sr. López el que El Sr. Sánchez Salvador manifestó que podia ocurrir el caso en que había indicado el Si- preopinante, y que creyendo justa su observación un coronel, que tan bien es funcionara público, estuviese, v. gr., coa podía admitirse su adición si las Cortes no del- raimaban otra cosa. su re…</t>
  </si>
  <si>
    <t>…de este dictamen, se aprobó el primer artículo sin ninguna discusión. ttn ensayo de tejer lienzos crudos para especular si podia resultar utili Leído el segundo tomó la palabra el Sr. Sánchez Salvador , quien dad al pueblo y á la obra pía. Los pobres albergados en él han disfru- opinó que debían ser extinguidos los cuerpos de milicia local cuyos . tado de buena salud, y no se han notado mas enfermedades que las pro individuos hubiesen tomado parte en la in…</t>
  </si>
  <si>
    <t>…secuestro, va cho al art. *.“, que decía: » después de la palabra cargcntat, añádase y por parte del Gobierno, ya de los particulares, excepto el solo cato cabot." La segunda del Sr. Sánchez Salvador, para que se reformase el en que las inscripciones se hubieren dado en garantía. cuerpo de la milicia nacional cuyos individuos tomaron parte en la Art. 13. » Se aplicarán al pago de las rentas inscritas en el gran facción de Navarra saliéndose de la plaza. Y…</t>
  </si>
  <si>
    <t>…labra papeles. Ve mandó pasar á la comisión la siguiente adición del Sr. conde de la autoridad local.” . . Toreno á este artículo: n Ño se comprenden en esta disposición los pa El Sr. Sánchez Salvador dijo que ademas de exigirse licencia para peles ó obras periódicas que se impriman en España, quedando sujetos pregonar por las calles libros y papeles, debería permitirse únicamente en esta parte á las mismas penas que las leyes imponen á los impresos de sol…</t>
  </si>
  <si>
    <t>…nsiderársele fuera de sí, y de que le comete presidente.=Fermin Gil de Linares, diputado secretario.;=Lucu Ala por haberlos encontrado ¡nfraganti. man , diputado secretario.” * El Sr. Sánchez Salvador: Yo veo que en este artículo en una parte Por tanto mandamos á todos los tribunales, justicias, gefes , go te impone una pena demasiado fuerte, yen otra una pena mas suave: en bernadores y demas autoridades, asi civiles como militares y eclesiás el primer cas…</t>
  </si>
  <si>
    <t>…r objeto de dudas-, pero la discusión se redu turas y ¿rabada 1 que te conocen con el nombre de caricaturas. cía á un círculo mas estrecho , cual era la opinión que habían mani El Sr. Sánchez Salvador dijo qu: esto era exigir mucho de los jura festado algunos Sres. diputados de que eh este artículo se alteraba la na dos , porque én tas provincias de Avila, Huclra y otras, en donde es turaleza del debió, de cuya certeza estaba convencido, porque la injuria…</t>
  </si>
  <si>
    <t>…antes del Líbano y de sus alrededores: los drusos sobre to nal que trataba de la imprenta estaba suspensa. do colltinúan persiguiendo las carahanas, y destruyendo las haciendas El Sr. Sánchez Salvador hizo algunas ligeras observaciones en apo de los turcos; los smirnos y otros caudillos de varios puntos prote yo del artículo, manifcsta'ndo lo suave de la pena comparada con la gen estas incursiones, y participan de lo que se saquea en ellas. El bajá estable…</t>
  </si>
  <si>
    <t>…gefe político de la Havana para que de tido , y por io mismo habría mas uniformidad en sus resoluciones. acuerdo con ia diputación provincial, y oyendo á 'a audiencia dei terri El Sr. Sánchez Salvador dijo que lo expuesto por et Sr. Sancho po torio, forme «I reglamento provisional que convenga en aquella isla, día ser objeto de una adición , y que en el artículo que se discutía no se en conformidad con el art. 351 de la Constitución." decía el número de ju…</t>
  </si>
  <si>
    <t>…se podría suspender el E1 r. Ealarea dijo que aprobabi de muy buena gana este artículo; que se discutía. pero deseaba que se aumentase á 15 ó 30 el número de los responsables. El Sr. Sánchez Salvador indicó los inconvenientes que habia en F.I Sr. Gareli dijo que la comisión no tenia inconveniente, porque perm tir á las corporaciones que hiciesen representaciones sup.-rduas. Si el objeto de este artículo era solamente impedir que se tomase el nombre los ca…</t>
  </si>
  <si>
    <t>…la municipalidad de París para hacer ver Por todas estas razones opinó que no debía aprobarse el artículo. hasta qué punto habían llegado loa abusos sobre este derecho de peti El Sr. Sánchez Salvador: Las Cortes extraordinaria* conocieron la ción ; pero yo siento que no ae presenten las cotas bajo su aspecto ver-</t>
  </si>
  <si>
    <t>…bultos «le medios luises presentados con sello una provincia; y este me parece que no debe ser castigado. acudirán hoy 1 a del corriente de 9 á 1 de la tarde á la casa Nacional El Sr. Sánchez Salvador apoyó el artículo, manifestando que debia de moneda parahacer el reconocimiento «le los numerados desde el 1883 aprobarse, pues eran bien notorias las ocurrencias últimas con motivo al 2010, ambos inclusive. de estos desórdenes. Asimismo hizo varias observaci…</t>
  </si>
  <si>
    <t>…a felicidad co Guerra (D. Josef Francisco Pareja), diputados por Ultramar. mo lo demandan la política y el honor nacional, sienta la comisión el Se aprobó la siguiente adición del Sr. Sánchez Salvador al dictamen seguro principio d; que abriéndose esta nueva, gtandí y legítima sen de la comisión de Guerra sobre el ret ro que deben gozar los oficiales da de comunicaciones pacíficas, se estimen por de ningún valor ni efi del ejército expedicionario de Ultram…</t>
  </si>
  <si>
    <t>…cesos de Valencia. pezado ; y asimismo que el general López Baños pasase inmediatamen Desempeñando yo el ministerio se me presentó colocado á este su- te í Pamplona, y también el brigadier Sánchez Salvador ,y que se ha geto en la mas alta categoría liberal, y en estas últimas sesiones he bían tomado otras medidas reseivadas. oido que se le coloca en una categoría inferior i la del honor. Esto au Se leyó otro oficio de) referido gefe político, fecha a a del corr…</t>
  </si>
  <si>
    <t>…a y sarcirlos! ¡ Dónde está el acusador que cargue con la responsabilidad! observancia de ellas es la base fundamental del servicio.” 1 raíamos de No existe. Señor, otro que el cx-ministro Sánchez Salvador. Este, 1 or militares, respecto de los que la obediencia 1 los superiores es la base el medio de que se vatio para mandar formar la causa, es el que debe fundamental; obediencia tan necesaria que sin ella faltaría la disciplina sufrir el rigor de las leyes; y…</t>
  </si>
  <si>
    <t>…la Recopilación, la voluntad de un mandarín ? ¡ No tendrán término tamaños atentados! en que se manda que las órdenes de esta clase se obedezcan , pero no se Yo creo que sí. El ex-ministro Sánchez Salvador no ignoraba que es cumplan. La ley a-*, ttt. 4-° » lib» 3'° de la Recopilación y otras varias tos beneméritos líb rales eran acérrimos defensor.'» de los derechos del previenen que no se cumplan las órdenes dadas contra derecho. La de pueblo, y este fue el de…</t>
  </si>
  <si>
    <t>Salvador, Vicente Sánchez</t>
  </si>
  <si>
    <t>Vicente Sánchez Salvador</t>
  </si>
  <si>
    <t>…aceleró su marcha, y en espe nio Ramón Zarco del Valle.” cial la caballería , que la mandaba el capitán Borrás, con el alférez de Muel (Aragón) ag de Julio. voluntarios de España D. Vicente Sánchez Salvador, un sargento, uta En el día da hoy ha entrado en este pueblo entre las aclamaciones cabo y 6 soldados de Vtllaviclosa, que á todo escape, sufriendo un de todos los bu-nos el brillante y entusiasmado escuadrón de caballería vivo fuego de la altura de la derech…</t>
  </si>
  <si>
    <t>…s el secretario ca'iaürria vo untarlos de España , ,ue tamb en se un ó voluntar «m-ndei cabreóla marques de la Estrella, un fraile lego de S. Vicente Paul te desde el mismo punto, D. Vicente Sánchez Salvador, s gua&gt; :a acde Baibastro. Se ha cogido un caballo, 19 armas de fuego, 16 papeles c on á las órdenes d i comandante de Vólav'ciosa. Los jo hombre* de pólvora, loo piedras de chispa, una turquesa para fundir tóba d-l regimiento d.- Fxtrsmadura, que al mando de…</t>
  </si>
  <si>
    <t>Salvador.csEs, Ramón Sánchez</t>
  </si>
  <si>
    <t>Ramón Sánchez Salvador.csEs</t>
  </si>
  <si>
    <t>…reforma en el ejército permanente. {Gaceta dtl 36.) Juan Antonio Tabuenca. =sSr. comandante general de ésta provincia Decreto de las Cortes aprobando algunas economías en el presu D. Ramón Sánchez Salvador.csEs copia.=Salvador. puesto de la fuerza auxiliar del egéicilo. {Gaceta del sy ) Decreto de lat Corta, en que se aprueban algunas rebajas relativa Concluye la lista de ios decretos y circulares del mes de Julio, al presupuesto de la fuerza pasiva d:l ejercito. {G…</t>
  </si>
  <si>
    <t>Salvái</t>
  </si>
  <si>
    <t>…ocupando sus plazas los super tengo inconveniente en que pase la proposición i la comisión que ha in numerarios que hubiese de ¡a misma clase, sin que les pueda perjudi dicado el Sr. Salvái Por lo demas l'a comisión especial et cargada de car á estos el regreso de aquellos; y la segunda sobre el modo de dar dar su informe sobre el estada actual de la Nación , ya lo hubiera ra las plazas de los oficiales que obtuviesen licencia indefinida i los super…</t>
  </si>
  <si>
    <t>Sálvalo</t>
  </si>
  <si>
    <t>…nto de Lorca. Casas , Saravia , Buey , Prado y Escudero. Ei Sr. Aiix deshizo una equivocación del Sr. preopinante. Se procedió á la votación de la treen parte, que decía: » Qus El Sr. Sálvalo: La comisión no ha tenido i bien acumular todos igual responsabdidad se ex ja al ayuntam.ento const.tucionai de Lot los exp dientes que se refieren i quejas contra el gefe político, porque ea;” y fue aprobada por 7/ votos contra 57. no estaban en absoluta con…</t>
  </si>
  <si>
    <t>Salvara</t>
  </si>
  <si>
    <t>…oates lo oyeron con según el ait- 8a del reglamento, y esto es lo que ha sucedido en el caso agrado. presenté. A la comisión de Visita del Crédito público se mandaron pasar una El Sr. Salvara dijo que la comisión sabia muy bien que ni ella ni consulta de la junta nacional del mismo ramo sobre la amortización la* Corte* podían avocas causas pendientes; pero que nabia pedido de las fincas de memorias de misas; y una exposición de D. Antonio unos aut…</t>
  </si>
  <si>
    <t>Salvat</t>
  </si>
  <si>
    <t>…s hasta que esté reduc do á los correspondientes al número de las enterasen del estado de la Sacian cada uno en el ramo que le pertenecía. tropas que pueda mantener la Nación.” El Sr. Salvat 1 dijo: Yo creo que la necesidad de que vengan ios 4. ° » Y últimamente que se diga igualmente al Gobierno que inte- secretarios del Desp cho es urgentísima , porque se abate el espíritu pú r n no se empleen todos los c sames aptos para el desempeño de los em…</t>
  </si>
  <si>
    <t>SalvatJ</t>
  </si>
  <si>
    <t>…* ¡ do 6 ei Sr. Eseovedo, $ los Sres. Alix, García , Bustamante y Gilia- sometía á la deliberación de las Cotíes esta proposúiou, manifestó qu# no; 3 el Sr. Ruiz de la Vega , 2 el Sr. SalvatJ, y unocada uno de loe •I único motivo que le había obligado á hacerla era tan chro que no Sres. Somuzi, A ti; nza, Zuiuera, Becerra y Areliano: total 115. podía dudarte de él, á saber, que pudiera responderse por algún Sr. di Se leyó el dictamen de la comisió…</t>
  </si>
  <si>
    <t>Salvato</t>
  </si>
  <si>
    <t>…r todas las proposiciones que se chámalo , Villanueva , Kubinat, Ruiz de la Vega y Cano. hagan sobre la forma de su Constitución , porque los helenos se ciñen Se eligió después al Sr. Salvato por 90 votos de s»8, repartiéndose en el día á una sola petición, que es la de quedar libres del yugo oto- lo* restantes entre los Sres. Gómez Bccetra, Nufiez (D. Tonbio) , Al calde , Henriquez, Cano , Ladrón de Guevara y Marchámalo. : Acaba de ser litografia…</t>
  </si>
  <si>
    <t>…. s cretario contestó diciendo no tenia mas noticias que Sr. preopinante tenga presente que ia índole del poder judicial bajo el Ja. que había comunicado el gefe político. Alas el Sr. Salvato insistió régimen constitucional goza de una garantía tan sagrada, que e«t 1 sus. en que S. S. hablaba de otros hechos , á que había dado motivo un fo traído de la mino del-Gobierno , y sujeto úmomente al poder de la lleto intitulado /.i Constitución fundament…</t>
  </si>
  <si>
    <t>…, y que tal vez nos conduciría á la anarquía. Estos y mas que tienen relación con el sistema constitucional. otros datos que yo he sacado de la discusión de esta noche los miro El Sr. Salvato dijo que habia oido la relación de los acontecimien como preciosísimos para proporcionamos la averiguación del estado de tos de Barcelona, y enterádose de las providencias que había tomado la Nación. el Gobierno con respecto á los mismos; pero que era digno d…</t>
  </si>
  <si>
    <t>…: ¡Permite el Congreso Circular del ministerio de la Gobernación de la Península. que me sustituya en este acto el vice-pretidentc! Se acordó que sí, por lo cual ocupó la silla el Sr. Salvato, colo «i Sabedor el Rey de que á veces se propagan en las provincias noti cándose el Sr. Riego entre los demas Sres. diputados. cias de conmociones populares, ó de otras ocurrencias notable que se Entró la diputación del citado batallón, compuesta del coman s…</t>
  </si>
  <si>
    <t>…ote cargo As dos dictámenes de comiaionm En el primer escrutinio tuvo el Sr. Valdés (D Cayetano ) 6y vo de U legislatura anterior, y conformándote con el último, opinaba: tos , el Sr. Salvato 66, el Sr. Alava t, y el Sr Qgatslei Alonso uno; 1.* que ae declarase que el teniente coronel S&gt;. Joaquín Cabrera, me ’ no habiendo reunido ninguno de dicho* Sres. la mitad mas uno dn reció la gratitud de ia patria: ».* que su viuda está comprendida en al Íoa…</t>
  </si>
  <si>
    <t>…gemplo que causaría, tino por d decoro del Con Se declaró el asunto suficientemente discutido , y haber lugar á vo greso , que le tiene confiado el despacho de varios negocios. El Sr. Salvato, en nombre de la comisión segunda da legislación, tar sobre el voto particular de los Sres. Alava , Cuadra é Infante. El Sr. Canga manifestó que deseaba saber en qué tribunal habí* aisnifestó el conflicto en que se habían visto todos sus individuos por la de…</t>
  </si>
  <si>
    <t>…par- que militar, i cause de le profesión que ejerza , excepto el verdugo y el informase. Aprobado. pregonero. La comisión Se Diputaciones provinciales, en vista del expediente K! Sr. Salvato hizo algunas observaciones sobre este dictamen ; y el promovido por la junta de caminos de Laredo para que se lom'nv.tn Sr. Infante como de la comisión manifestó que esta no tenia inconve pagando vanos arbitrios con objeto de construir una carret-ri d.^ríe ni…</t>
  </si>
  <si>
    <t>…los uilras de Fraocia y los setviles de Espa Crédito público en favor de la solicitud de D. Miguel Bisierts. ña. Yo observo que en aquellas provincias en que ha y buenos prela Ei Sr. Salvato hizo presente que conformándose la comisión con loa dos no ha habido ninguna rebelión: en una provincia en ia cual se te principios que se habian sentado en la discusión sobre ei asunto del me en la actualidad un Tomes de rebelión se designa á un obispo como…</t>
  </si>
  <si>
    <t>…s á de los ayuntamientos; y también te leyó otro articulo del decreto de los eclesiásticos españole* que se hallen en Roma. Se declaró estar con 23 de Junio de 813, á petición del Sr. Salvato. forme con lo acordado por las Cortes. Habiéndose procedido á la votación nominal de la primera parte, Se dió cuenta de un oficio del Sr. secretario de la Guerra, en que que dice asi: „ Debe exigirse la responsabilidad al gefe político de la participaba á las…</t>
  </si>
  <si>
    <t>…de Cabreas fue atacado á las cinco de la tar sión se conformiba con esta adición, y quedo aprobada. de d-l d a 11 por 150 facciosos; pero fueron batidos y di,penados con Otra del Sr. Salvato para qae en las disposic ones del artícu'o pérdida de seis mueitos y tres prisioneros. No es para describ rse el ar« del papel sellado se comprendan los libros de actss y acuerdos de las rojo y patrlot smo de los vecinos de Masanet y de los 75 hombres que jun…</t>
  </si>
  <si>
    <t>…a afianzar las libertades Ruiz de la Vega por 57 votos del total 109 : el ¡sr. OI,ver por 58 del púb ¡cas, cuya gloria inmortal os estaba reservada. El Rey, que D.os total 114: el Sr. Salvato por 60 del total 113: el Sr. Adan por 58 del guarde, ha dispuesto la convocatoria de Cortes extraordinarias para los total ti 1; y el Sr. Gómez Bicerra por 59 del total ic8. objetos que ya sabéis, los cuales indican de un modo nada equívoco Se acordó que pasa…</t>
  </si>
  <si>
    <t>…te se dará la voz de rodilla tn tierra, á laque incli y i los de esta corte en los primeros dias de Julio. naran la derecha, y con la misma mano te quitarán el morrión ó gorra, El Sr. Salvato presentó unas observaciones hechas por D. Francisco y permanecerán en esta posición hasta que te pierda de vista, en que se Salva, vecino de Barcelona , sobre el origen de la fiebre amarilla. Las dará la voz de á su formación, á la que se pondrán en pie cubri…</t>
  </si>
  <si>
    <t>…nocimiento al gobernador o coman aquel gefe se halle; debiéndose presentar todos de uniforme riguroso. dante &amp;c. Art 13. » El comandante militar de una provincia residirá en la El Sr. Salvato; Sabido es que la autoridad política es la única res capital de ella, ó donde el Gobierno crea nías conveniente, y en el ca ponsable de la conservación de la tranquilidad pública; y por lo msso de que por negocios urgentes del servicio tuviere qué pasar á otr…</t>
  </si>
  <si>
    <t>…no seré al mismo tiempo diputado pro que el pueblo que dió el aviso, sufrirá este una multa arb.traria. vincial. 9.0 Para que no haya dilación en poner en egecucion cuanto pre El Sr. Salvato pidió que te leyesen las exposiciones de algunas di vengo en mis bandos, advierto i todos los gefes de divisiones y colum putaciones provinciales, en que hacían varias observaciones sobre la plan nas movibles nombten cuando ocurra alguna falta de las prevenid…</t>
  </si>
  <si>
    <t>…dido también el inmortal Landel 7 de Julio, de aquellas que tanto se estiman en una nación libre, y dzburu. la comisión se halla en el caso de proponer sobre lo mismo un proyec El Sr. Salvato: La comisión no rehúsa los testimonios de gratitud to de decreto: mas diré, este proyecto de decreto está fundado sebre cuando trata de darlos i aquellos que tienen contraídos grandes méri otro del Gobierno , y por lo mismo las reflexiones del Sr. Infante pue…</t>
  </si>
  <si>
    <t>Salvato, Ramón</t>
  </si>
  <si>
    <t>Ramón Salvato</t>
  </si>
  <si>
    <t>…ber cumplido con la ley no ha estado por la de Valencia. 2.' La sala di segunda instancia iacomp mdran ios en su mano, y por lo mismo creo que las Cortes están en el caso de Sres. D. Ramón Salvato, diputado por la provincia de ditiiuña : D &gt;n api obar el dictamen &gt;de que se trata. Josef Rafael Fernandez Cid, por la ds Galicia; D. Aguar.n de Argüe• En seguida se declaró este asunto por suficientemente discutido, jr lies, por la di Asturias; D. Josef Can…</t>
  </si>
  <si>
    <t>SalvatorEn</t>
  </si>
  <si>
    <t>…tas razones apoyo en todas sus partes la proposición que di Febrero último. (Gaceta del *7 de id.) se discute. Circular del mismo para que se liquíden los sueldos de todos los fci Sr. SalvatorEn los juicios militares, en que recae un pronuncia empleado» aa los gobiernos políticos. (Gaceta del jo de id. ) miento absolutorio, se procede á la actuación del sumario: el presiden Gobernación de Ultramar. te del cons'jo de Guerra hace notificar la sentencia…</t>
  </si>
  <si>
    <t>Salvé</t>
  </si>
  <si>
    <t>…o formar cauta 4 mismas condecoraciones. siete individuos del ayuntamiento de Valencia, uno de los cusía era el Por otra parte el destino de que se trataba, no teniendo estipendio Sr. Salvé; pero rastillaba del mismo expediente que el juicio estaba ya alguno, no le podia privar da dcsempeliar el cargo de diputado á fenecido, 7 tolo se discutía ti debía ó no abrirte el juicio. Cottcs, para el cual había sido nombrado. Añadió que si se examina El…</t>
  </si>
  <si>
    <t>…el con- y uno respectivamente á los Sres. Flores, Salva, Taboada y Areliano. tin.-.nte que correspjnd.a al año pasado salgan ag9 hombres pira el Quedó elegido tercer secretario el Sr. Salvé por 74 votosds 1 29, servicio; lo que de hecho no producirá mas aumento á la fuerza mili recayendo los restantes, 14 en favor del Sr. Sánchez, 27 del Sr. Ta tar existente que de 159 hombres en toda la Francia. boada, uno del Sr. Navarro Tejeiro, uno del Sr. C…</t>
  </si>
  <si>
    <t>…ales, si se alende ai alto precio las cuenta* inmediatamente. de la moneda respecto de los demas géneros comerciales. Primera Se leyeron tas siguientes proposiciones: lectura. Del Sr. Salvé: » segundo decreto adicional para la milicia nacional De los Sres. Isturiz, Zulueta, Alcalá Galiano y Abr-.u : * Para local.” qti: ns C ríes tengan el debido conocimiento de un negocio qú* 'títe i. ° Se concede el término de cuatro meses , que empezarán á con…</t>
  </si>
  <si>
    <t>…ediente de las reformas de sueldos, y el dictamen dei lo* presupuestos. consejo de Estado sobre los presupuestos. El Sr. Sanche» hizo varita observaciones acerca de h medida da El Sr. Salvé manifestó que no era necesario que recayese resolución que se trataba, y manifestó entre otras cosas que en su concepto ae acerca de esta proposición, pues que la secretaría estaba autorizada pt» debían examinar antea los presupuestos para que se viesen las c…</t>
  </si>
  <si>
    <t>…endidos en los ascensos concedidos en i8ao á P&lt; «tensiones, conforme á lo acordado por las Cortes. Aprobado. la división del conde del Abisbal, sin embargo de no hallarse en el Gl Sr. Salvé dijo: La secretaria tiene en su poder desde el dia 13 levantamiento de aquella por estar con licencia, la comisión opinaba una instancia del Sr. conde de Montijo, á la que ha creido no debía que no d.bia haber lugar á deliberar sobre esta solicitud. Aprobado.…</t>
  </si>
  <si>
    <t>…i fin de que ha de imprimir, como ya está mandado, de algún modo se ha de pa saiga al día siguiente. gar , y en tal caso el mas útil y ventajoso es el que propone la comisión. El Sr. Salvé dijo que todo el que quisiese entrar en la empresa dé El Sr. Calderón dijo entre otras cosas que el proyecto de la comi bil calcular según los artículos que se presentaban, y desde luego supo* sión era una especie de empresa , en la cual, á semejanza de un mo…</t>
  </si>
  <si>
    <t>…las leyes no se hacen para los casos extraordinarios, pedido los antecedentes de que se hacia mérito. sino para los ordinarios, es preciso arreglar á estos los términos que se El Sr. Salvé manifestó que por la fecha eos que se reclamaron esto* fijen, y creo que estos deben ser los que he indicado. antecedentes te podría venir en conocimiento de la comisión que los Él Sr. Ruiz de Ja Vega: Parece que la cuestión está reducida á si habia pedido, p…</t>
  </si>
  <si>
    <t>…ándose en el art. 133 del reglamento, sostuvo su ganado, y que por lo mismo debía aprobarse el dictamen de la co que las Cortes no debian ocuparte en este nombramiento. misión. El Sr. Salvé deshizo una equivocación del Sr. preopinante; v declara Declaróse el punto suficientemente discutido y que habia lugar i do el punto suficientemente discutido y que había lugar i votar sobra trotar sobre el dictamen, el cusí quedó aprobado. el dictamen ,-qued…</t>
  </si>
  <si>
    <t>…El Sr. eacretario de la oomition que be enten El Sr. Infante: Efectivamente en los artículos que acabe de citar el dido muy por menot en el examen de lo* expediente» que *e han pa Sr. Salvé a*, previene que los proyectos de ley se discutan primero e- «n ndo podrí d..r neón. totalidad , y después artículo por artículo; pero debo hacer presente ei Ei Sr Alíx: En. la comisión no hay ma» que otro expediente «obra motivo que ha tenido la comisión de…</t>
  </si>
  <si>
    <t>…ntas en el decreto sobre d.spunas Stiwn 4*1 jó. de curtos. Aprobado. Se leyó y aprobó al acto de la anterior. Otro sobre una adición del Sr. Lapuerta para que 4 los estudiantes El Sr. Salvé dijo que ayer habiaa aprobado las Cortas un dictamen pobres que soliciten las dispensas dé cunos no se les exija las cui.u* de la comisión secunda de Hacienda relativo ¿ una aolicitud de Don tofislade», y para que artas se apliquen ea beneficio de la irutroc-…</t>
  </si>
  <si>
    <t>…a comprendida en el art. 100 del regla el artXu'o too del reglamento, se declaró por la negativa. mento. y \ as Cortas oyeron con satisfacción la participación que les hacia él El Sr. Salvé: Las verdades que acaba de manifestar el Sr. curra son C?r b erro de qu.' Si. MM. y Sres. Infantes continuaban bien en su dcmasiado’ciertas; y ann-pi-* he pedido la palabra en contra, solo me rfñ'poriacte salud , y que las Sras. Infantas seguían sin novedad p…</t>
  </si>
  <si>
    <t>…rúa el esta- veo que ritas partidas de facciosos se aument an , que tienen »u a-c- o do de lo» trabajos de la comisión. en aquri Gabinete qu: no puede ser amigo de la l.btrtad. El Sr. Salvé deshizo una equivocación que dijo hábil padecido el La carta de que se ha hecho mérito tiene todo el créd to que te Sr. preopinante. puede desrar , púa se trata del dignísimo señor ex-diputado &lt;j irrr, El Sr. Buruaga: Me opongo á la proposición únicamente por…</t>
  </si>
  <si>
    <t>…lo que tuviera cuando aparece al público la muerte ó la vida de la Nación «pañol*. que decit acerca de él. Baste decir que se trata de cargarla con la perpetuidad de 100 y pico El Sr. Salvé expuso que la secretaría había mandado llamar al im millón» de rs. anuales. Y pasando 4 la segunda parte del discurso del presor para saber en cuánto tiempo se podría imprimir el dictamen Sr. secretario del D«pacho, relativa á los extremados apuros y urgen so…</t>
  </si>
  <si>
    <t>…to era necesario que el Gobierno mirase con particular dadas ocurridas sobre la inteligencia-de esta ley. cuidado aquella provincia, enviando personas íntegras para el desempe- El Sr. Salvé contestó que el dictamen ds la 'comisión sobre este fio de todos los destinos, que era el mejor medio de evitar todo moti pumo se hallaba sobre la mesa, y se daría cuenta de él á la mayor vo de inquietud y disgusto. brevedad. Las Cortes quedaron enteradas de…</t>
  </si>
  <si>
    <t>…ordado por la mayoría. Que por otra parte deseaba creto de 9 de Noviembre de 8&gt;o. saber si estaba en las facultades del cuerpo legislativo el derogar una Se leyó en seguida por el Sr. Salvé el art. 153 de la Constitución, contrata, en la que nada tenia la Nación, porque el banco nacional no y dijo este señor diputado que no tenía acciones en el banco, y desean era mas que una casa de comercio de unos socios que habían entrado do imponerse en est…</t>
  </si>
  <si>
    <t>…ayuntamiento; y habiéndose suscitado una discusión sobre si k lentitud con que se procede contra los que la atacan frente 4 frente, continuaría su lectura por haber manifestado d Sr. Salvé que ae ata y la insolencia con que hacen alade de sus maqumacíona loa ene caba el honor de algunos diputados, de lo cual soto se podía tratar en migos de la Constitución, jactándose abiertamente de nn próxima sesión secreta, se resolvió que no se leyese. triu…</t>
  </si>
  <si>
    <t>…ue en caso de haber algún perjuicio ó desigual 11.248,016 7983 dad , se podría subsanar en otro repartimiento. 3.* La diputación provincial repartirá d cupo asignado £ cada pro El Sr. Salvé contestó que ninguna duda podían tener las diputadovincia entre todos los pu-b'o» que Hay n alia , con proporción al ve bci piusiucliilc» para luwi si up.iiimi.iuu 4e los hombres que perte cindario de cada uno, rebajando de este loa matriculados que tengan. n…</t>
  </si>
  <si>
    <t>…star el articulo en este capitu.o , sin p.rjucio de prevenirse 1» ¿Jei rLiíisio nn.'uo en el código militar. Art. i.'3 m Ei soldado esta oestmado para defender el estado de loa El Sr. Salvé mándelo que debía dec.rsa ja./t en lugar de aznt.'m.Vn*</t>
  </si>
  <si>
    <t>…suprimir este derecho por ciones re’.at.jÉís al asunto de esta discusión, y que le parecía conve ahora. niente se leyesen, para que las Cortes se sirviesen acordar lo que creye El Sr. Salvé dijo que desearla saber cuánto habían entregado los sen oportuno. empresarios del préstamo de aa de Noviembre en medros luises. El Sr. Isturiz se opuso á que se suspendiese la discusión con nin El Sr. secretario de Hacienda contestó que el Gobierno podía sabe…</t>
  </si>
  <si>
    <t>…imo inconveniente de que las trega rti á los ayuntamientos se debían entregar á los gefes de las milicias. graduaciones de los capitales serian muy bajas, y no se podría contar El Sr. Salvé contestó que la comisión lo proponía asi porque el con la cantidad que debe producir la contribución de que se trata. ayuntamiento era la autoridad local que había en cada purblo, y a quien El Sr. Romero propuso que se añadiese en el art. a." después de los g…</t>
  </si>
  <si>
    <t>…ue esté -mpleado, para que pueda proced-r-e á la citada ope ronel mayor las listas de las compañías.” ra: on. Si esto no fuese compatible con 10 que exija el servicio en que es El Sr. Salvé: Al hacer una observación sobre el art. i a no puedo te empleado, o si se hallase disfrutando de Real licencia, se preven menos de referirme también á la primera parre del art. 13, pu s que en drá qu' remita en purgo cerrado ai presidente su voto ú opimon Cla…</t>
  </si>
  <si>
    <t>…te le imputan. No se admitió i discusión la propuesta anunciada. De un rasgo rá pluma coge y arcabucea al general Riego la misma Se leyó por primera vez la siguiente propuesta del Sr. Salvé t • Pi Gateta. Asi divierte á tus lectora. Mafiana queda «lesmentirá lo que do que se «aprese en el acta como una prueba la mas evidente de ia dice boy: no importa; trampa a«klante. Engañar y mentir a su oficio; heroicidad del pueblo apefiol, que al beberse d…</t>
  </si>
  <si>
    <t>…usticia sobre ni código de algún asunto á la deliberación de les G&gt;ru» extraordinarias ha de hacalo con una fórmula determinada, á lo cual no está suj to p r la procedimientos. Et Sr. Salvé dijo que esto seria un gesto enteramente inútil, porque Constitución: perece que da á entender que solo usando de esta ó.mau la puede el Gobierno someter á le deliberación del Congreso los negola comisión no había adoptado mu proyecto , asno que lo presentaba…</t>
  </si>
  <si>
    <t>…os reiativesá la seguridad,sin pres tes extraordinarias. cribir á los ayuntamientos las reglas gubernativas que han de adoptar, Ei Sr. Marau , abundando en las mismas idea- que ei Sr. Salvé, porque ellos deben quedar autorizados para formarlas sobre las bases man Testo que en efecto se debía nombrar la comisión de que ?r to,ta que se fijen; y asi soy de opinión que vuelva el proyecto á la comisión ba, añadiendo que no era uní clv,-cmn para hacer…</t>
  </si>
  <si>
    <t>…e, á no ser que sea reclamado por parte legítima;” opinaba quería decir que hubiese ó no hechas adiciones no se admitiese ninguna. la comisión que debía aprobarte, y se aprobó. El Sr. Salvé pidió te leyesen las firmas de los sefioret que habían Asimismo opinaba que debía aprobarse la del Sr. Seoane al artícu suscrito la proposición, y hecho esto pidió se pusiesen de acuerdo los lo 15 para que después de las palabras imposibilidad Jijica permanen…</t>
  </si>
  <si>
    <t>…e ficasen impunemente, me fue forzoso reunir a escasa fuerza disponible cesarias en le próxima legislatura. que había en esa plaza, cupo total consta á V. S. no pasa de 140 m- F.I Sr. Salvé dijo : Va á pi»*r á la ssncit-ri de S. M. una leyteucuyo artículo i.° s* dice qu; quedan sup!im,¿¡ioa iodos los conve^jwi en (1) Esta virtud ha sido en todos tiempo» característica de los pue despoblado y en lo, lugares qu; no pten dj «rento. Al dijese» blos…</t>
  </si>
  <si>
    <t>…obras públicas, ya la de presidio ú otras mas de que las Cortes pueden conceder amnistías; y yo convengo en esta suaves , según el grado d: criminalidad. parte coa su dictamen. El Sr. Salvé dudó si las Cortes podían usar de De lo dicho se deduce que los facciosos serian castigados por estos esta facultad; pero no puede caber duda en esto, puesto que por la capítulos con una pena muy diferente de la que se prescribe en el ca Constitución están la…</t>
  </si>
  <si>
    <t>Salvé, Vicente</t>
  </si>
  <si>
    <t>Vicente Salvé</t>
  </si>
  <si>
    <t>…r estas con sin embargo qne *e decía que era deudor ¿ los fondos públicos; pero na decoraciones no eran un obstáculo bastante pan impedir la aprobación de da se probaba, y los del Sr. D. Vicente Salvé sin embargo de los do dichos poderes, en razón de que en el seno del Congreso , cual ea la cumentos producidos por el ministro de la Gobernación de la Penínsu silla de la presidencia, se había visto i un individuo que tenia estas la , por los coala constaba q…</t>
  </si>
  <si>
    <t>Salví</t>
  </si>
  <si>
    <t>…os de examinar los pode las gacetas anteriores de esta corte, según las noticias. recibidas dt res de los demas diputados. las provincias ¿asta el dia ia de Febrero i d saber : El Sr. Salví dijo: He observado que no han acudido los diputados suplentes de América, y deseo saber si lia procedido de no haberse pre Provincias. Número Valor. sentado , ó de que la Diputación permanente no los haya convocado. de expe El Sr. presidente contestó: La Dipu…</t>
  </si>
  <si>
    <t>Salvi</t>
  </si>
  <si>
    <t>…especie, y por cuartas partes, según lo prevenido la persona del exponente, y no sobre la materia en general. en Real orden de 20 de Octubre de 1815: y la actual comisión enten El Sr. Salvi contestó que estas observaciones recaían spbre la amnis día qr.e habiendo caducado las tercias con motivo de la supresión del tía, y que por lo mismo era muy («guiar que le exposición pasase á la men:a diezmo, debía volver este expediente al Gobierno, para qu…</t>
  </si>
  <si>
    <t>…s que se hiciesen con igual el Gobierno la moderada de 4.31 a,$34 rs., habiendo hecho el minis motivo. terio castigos importantes en el presupuesto que se le dirigió: sin embar El Sr. Salvi dijo que era inútil que pasasen dichas exposiciones 4 go la comisión cree que se deben hacer las rebajas que adelante te expre comisión alguna , porque de dar oídos s todas las representaciones que sarán.” pudiesen hacerse sobre este asunto á las Corles, resu…</t>
  </si>
  <si>
    <t>…r-t.-aírg-e, per hacienda está pronta á que este dictan» n pise a informe de la m &gt;mi. b 1 pr«,ta Jo al a’s'.IJ- ::istru:n*nt «j con que forzar v esc* ar ia . i,» ¿el •&gt; s p.s- El Sr. Salvi hizo presente, que a partida concerniente a las dietas expoiunti: y la com -roa .'•» &gt; .sti de t.» opinaba. que Ja. C de los Sres. diputados había de surtir a ginia at. rae. 011, porque se dim servlrs- d-siater i. .b.'r .j ir i farmenm d- c.i.;-i «. :-: * J ,…</t>
  </si>
  <si>
    <t>…der señalar bérselas con los realistas- Se cree generalmente que las fuerzas de estos día para su discusión. ton muy débiles para oponerse á las de S. Martin , quien se dice te El Sr. Salvi dijo: Me atrevo á suplicar al Sr. presidente me diga nerlas triples que Jas de sus antagonistas. Sm embargo, la marcha de por qué razón se ha dado tercera lectura en algunas de las medidas pro Canterac ha aumentado extraordinariamente su reputación m ¡litar,…</t>
  </si>
  <si>
    <t>…que pasase lo que, y conseguir tener mi derecha apoyada y libre de facciosos, con urgencia á una comisión. he dispuesto que el coronel Velasco con toda la fuerza de zapadores y El Sr. Salvi manifestó que estaba de acuerdo con los Sres. preopi 30 caba los marche sobre dichos puntos, y realizado que sea el exter nantes en que las Cortes tomasen este negocio en consideración ; pero minio ó dr-sap-ricion de dichas gavillas, pasará rápidamente áZarag…</t>
  </si>
  <si>
    <t>…lla Las casas que ocupan los papeles pertenecientes á los archivos y es mente sumando y restando. , ' . . . cribanías del extinguido consejo de Castilla cuestan 32,86a rs. vn., El Sr. Salvi: He extraliado mucho en primer lugar el ver en la nómina que se ha leído á D. Francisco Javier Castalios como consejero cuya suma no se incluyó en ninguno de los presupu-stos ant r ores de Estado, y también el que se pongan nueve porteros para el consejo decr…</t>
  </si>
  <si>
    <t>Salvi, Francisco</t>
  </si>
  <si>
    <t>Francisco Salvi</t>
  </si>
  <si>
    <t>…raño; y lo hacia presan Sefioro* que declararon absuelto dicho impreso: D. Francisco Javier te para el cumplimiento dd art. &gt;84 y siguiente* del reglamento, los de Olea y Cárnico, D. Francisco Salvi, D. Antonio Cenia, D. Josef cuales te leyeroá; y « acordó proceder después d nombramiento de loa Marañes, D. Ramón Diu de Ortega, D. Felipe Fernandez Aria*, sedos Sres. diputado* que en ello* te citan. dar marques de ja Torro, D. Juan María Fcnct y D. Joan Ba…</t>
  </si>
  <si>
    <t>Salvl</t>
  </si>
  <si>
    <t>…n de que se trataba era que no babia lugar á de trar en sus cálculo* estos derechos. Por estas razones opinó no debia liberar sobre ella. aprobarse el dictamen que se discutía. El Sr. Salvl dijo que estaba conforme con lo que babia manifesta El Sr. Melendez apoyó el dictamen, manifestando qne la comisión do el Sr. Buey, y que por lo mismo te sorprendía la diversidad da opi no habia podido menos de proponer que subsistieran la* juntas dioce nione…</t>
  </si>
  <si>
    <t>Salvtto</t>
  </si>
  <si>
    <t>…cedió i la elección de presidente , rice do* en ella. presidente y secretario. _ El intrépido coronel del regimiento de Zaragoza y comandante del Para presidente resultó electo el Sr. Salvtto por &lt;53 voto* del total partido de Vich logró alcanzar en lat alturas de S. Julián el a 1 la 117, habiendo tenido ¿a votos el Sr. Florea Calderón, uno el Scfior banda de Moten Antón, compuesta de unos 400 hombres, que dis Nuñez ( D. Toribio), y uno el Sr. Rom…</t>
  </si>
  <si>
    <t>Samba</t>
  </si>
  <si>
    <t>El Sr. Samba dijo que no te oponía i qne te concediese al Gobier dado el menor motivo para que se pueda dudar da su conducta; qne'ea no la fuerza que pedia; pero que insistiendo en la observación del sefior atención al disgusto que tuvieron los individuos de la misma en l…</t>
  </si>
  <si>
    <t>Samper, Francisco Puig de</t>
  </si>
  <si>
    <t>Francisco Puig de Samper</t>
  </si>
  <si>
    <t>…. las horas señaladas. Se hablaba en aquella capital de una nueva providencia gubernati Juteio de jurados. va , á saber, que se raunirian en Barcelona los limos, obispos de lat El coronel D. Francisco Puig de Samper, teniente coronel mayor cuatro provincias de la antigua Cataluña. del regimiento de infantería Infante D. Cilios, denunció al Sr. alcalde __La Constitución portuguesa, aprobada en la sesión de 14 de Setiem constitucional D. Miguel de Nájera un artículo comuni…</t>
  </si>
  <si>
    <t>Samperiz, Josef Ruíz</t>
  </si>
  <si>
    <t>Josef Ruíz Samperiz</t>
  </si>
  <si>
    <t>…tíva» «¡u ■ pozan . y su pa cantaron por todo el casco d - 'a día, conc uyendo en la puerta de la ternal corazón se ha conmovido al considrr ir que -»t • ¡1 s.u .lo . casa d.l Sr. alcalde D. Josef Ruíz Samperiz. b« de Las clases distinguidas, cede en per juicio de U, lab -rost- v ¿t,. . Madrid Domingo 11 de Agosto. i quienes se grava por nec s.dad en ú timo rcsu'tano .n lo .¡j ■ i-j» Si- MM. y A A. continúan sin novedad en su importante talud.* llo, dejan de contrib…</t>
  </si>
  <si>
    <t>Sampons, Mateo</t>
  </si>
  <si>
    <t>Mateo Sampons</t>
  </si>
  <si>
    <t>…4 fusiles y esc.ipe Tomas Piñols; D. Diego Ifiero, administrador de correos; D. Maria tas , una caja de guerra, un caballo que montaba el cabecilla Santocil- no Oliveras, librero; D. Mateo Sampons, abogado; D. Baltasar García, des, titulado comandante de los voluntarios realistas de Alava, j otros CX-cartujo , y D. N. Llanos, rector del colegio de dominicos. var*os ' íectoi. Igualmente salió herido un oficial por el cabo de Lusi- Madrid Domingo r¿ de S…</t>
  </si>
  <si>
    <t>Samponts, Francisco</t>
  </si>
  <si>
    <t>Francisco Samponts</t>
  </si>
  <si>
    <t>dades locales, y al mismo tiempo ofreciéndose para defender la Consti Dolía Eulalia Samponts , viuda d i Dr. D. Francisco Samponts, cate tución. Las Cortes lo oyeron con agredo, y mandaron pisar al Gobierno. drático que fue d: mecánica , hi.iráulici é hidrostátisa en la c edad de Lacomisicn segunda de Hacienda presentó los siguientes dictámenes: Barcelona, para qu: se íeconcediese una pe…</t>
  </si>
  <si>
    <t>San</t>
  </si>
  <si>
    <t>…or las leyes del pal* quedó aprobado el artículo. á que perteneciere. Los capitales impuestos en la renta perpetua ae de Se mandaron pasar a la comisión tres adiciones, la una del Sr. San claran. propiedad inviolable exenta de toda imposición y secuestro, va cho al art. *.“, que decía: » después de la palabra cargcntat, añádase y por parte del Gobierno, ya de los particulares, excepto el solo cato cabot." La segunda del Sr. Sánchez Salvador, p…</t>
  </si>
  <si>
    <t>…ava hablará contra esta infame gavilla mien sos en que podría ser conveniente poner reslric-iones, y aó es que u.» tras que ocupe este lugar; y si no se aprueba la proposición del Sr. San de esta misma palabra , y sin embargo está muy lejos de atacar ia hcho , yo voy á hacer otra. In-rted de los españoles. El Sr.Zapita pronunció nn enérgico discurso, manifes’ando la nece No ts oportuno en mi concepto e! argumento de! Sr Gaseo, el sidad de qu ;…</t>
  </si>
  <si>
    <t>…rs—Por los de prelado doméstico de 14del presente. S. S. e9 rs.__Por cualquiera otros honores que conceda la corte de Ro El Sr. presidente nombró para esta diputación en lugar del Sr. San ma aV rs__ Por cualquiera otros honores militares, civiles y eclesiásti cho al Sr. Traver. cos de Hacienda , que no sean de rigurosa justicia ó no esten anejos al Se mandó pasar á la comisión la siguiente adición del Sr. Pajarea empleo, i9 rs.”Quedó aprobado.…</t>
  </si>
  <si>
    <t>…Aprobado, diciendo en lugar de juraron, tomaron partido. Y la misma comisión, en vista de la representación de Lorenzo Ju La misma comisión de Guerra, en vista de ia solicitud de D. San rado , Josef Marticorena y otros soldados dei regimiento de la Prince tiago Miranda y de otro subteniente del batallón de Aatúrias sobre sa , opinaba que debía pasar al Gobierno para que los atendiese en sua que se les declarase comprendidos en los ascensos c…</t>
  </si>
  <si>
    <t>Sán</t>
  </si>
  <si>
    <t>…sobre aquellos qu: fuesen de un sistema de inviolabilidad en las contribuciones. naturaleza jurisdiccionales ó feudales. Declarado el punto suficientemente discutido, preguntó el Sr. Sán El Sr. Seria ha dicho, si mal no me acuerdo, que la presunción chez si adoptaba la comisión la modificación que había propuesto; pe mas robusta acerca de la posesión da los señoríos estaba en favor ftd ro se votó en seguida el dictamen conforme estaba, y quedo apro…</t>
  </si>
  <si>
    <t>…igo Aranda el núm. 2. del Trabuco como se y «n los primeros 15 días del siguiente, se satisfará al asentista por la dicioso, se reunió el jurado compuesto de los Sres. siguientes: D. San tesorería de ejército el importe de lo que en aquellos haya suministra tiago Vicente de Les; D. Juan Antonio López; D. Juan Cortés; Don do , y asi sucesivamente. Josef Gómez Albacete; D. Miguel Ripa; X). Jaime Ruiz Abreu ; bon 6.4 Para evitat las quejas que s…</t>
  </si>
  <si>
    <t>…festado el Sr. secretario de Gracia y Justicia que Nación compran lo tincas nací nales, pues hacia ocho días que había acsaso mañana presentaría el Gobierno este informe retiró el Sr. Sán h*cho subir una finca de Aicala en mas &lt;ie nos millones; la cual , si chez su proposición. no hubiese sido por la concurrencia d-. banco, apenas hubiera pasado Se leyó y se mandó quedar sobre la mesa el dictamen de la comi de uno. sión primera de Legislación…</t>
  </si>
  <si>
    <t>…no sobre las med;das que se proponen respecto asi, en la topografía de Europa , hace menos necesaria esta fuerza. Su de aquellas provincias , y el otro sobre las proposiciones del Sr. Sán pongamos que hubiese una guerra: el Rry no iba á campaña, ó porqua chez relativas al mismo asunto ; y últimamente las disposiciones in su carácter pacifico no le permita arrostrar los peligros que en ella hay, terinas, propuestas por la comisión de diputacion…</t>
  </si>
  <si>
    <t>…o. El general López Baftos comió ea Hugsrte el *y , y des pifian y Tolos* antes dd to da Agosto. Un periódico sefiere que aun pués de tener una corta conferencia con el comandante general Sán que el general Donnadieu había recibid» orden de salir pira las i:..li chez Salvador en el convento de capuchinos, continuó su marcha ea teras de España en calidad de inspector general det cordon nr um, persecución de loa (acetosos. había poderosas razones pa…</t>
  </si>
  <si>
    <t>…comisión para reducir los pedidos d-i ministe tima buques de guerra qu. no fuesen sufr i óles para bloquearla, opi rio de este ramo ¿ la cantidad que ha propuesto a las Curtes. E¡ Sr. Sán naba que debía aprobarse dicha adición, 'probada. chez ha observado también muy oportunamente que en los trrsafios eco La misma comi-.on prrs r.tó su detamen sobre las tres adicione* nómicos no ha deb do haber un descubierto tan grande, y son ya bien del Sr B…</t>
  </si>
  <si>
    <t>San'Miguel</t>
  </si>
  <si>
    <t>…que se discutía, para que no fuese á la sanción estiba obscuro, y por lo mismo debía hacerse alguna aclaración. Real, y al msmo tiempo que se adoptase la adición propuesta por El Sr. San'Miguel dijo que los ayuntamientos de lo* pueblos podían ■S. S.. y en esta inteligencia se aprobó el artículo, añadiendo después representar sin salir del círculo de la* atribuciones que la Constitución de militares las siguientes palabras, 6 en adelante previnieren.…</t>
  </si>
  <si>
    <t>San, Antonia</t>
  </si>
  <si>
    <t>Antonia San</t>
  </si>
  <si>
    <t>…da, en cabe En la audiencia territorial de Castilla la Nutra y s« tila segunda za de Tomas Gentiíe : 164,219 , de Murca , en la del colegio da San del crimen pende la causa contra Doña Antonia San doral, muger de Josef: 190,277, de Cuenca: 274,967 , de Granada, en la de Lorenzo I&gt;. Leonardo de la Plaza , cirujano titular que ha sido en la villa de Negrun: 111,540, de Cuenca, en la de Bcnd:neli Negrun: 133,224, Usanos, sobre las heridas que se causó en…</t>
  </si>
  <si>
    <t>Sán, Antonio</t>
  </si>
  <si>
    <t>Antonio Sán</t>
  </si>
  <si>
    <t>…buelo el caballo zarco y 10O rs. para ¡a compra de otros. suscribirán ea ia habitación dsl mismo catedrático en S. Isidro. Se ten Este juez, qu: decretó la prisión de la criada de D. Antonio Sán drá la clase de once á una ó una y media. El curso principiará ei 23 chez , contra la que no resulta cooperare directa ó indirectamente á la de este mes; pero quedará abierta la matrícula hasta fin del mismo. Se conjuración, omite 1* de los curtió referidos r…</t>
  </si>
  <si>
    <t>San, Evaristo</t>
  </si>
  <si>
    <t>Evaristo San</t>
  </si>
  <si>
    <t>…mismo *e leyó la minuta de decreto «obre el abono de averías. en la pág. 53. Los rofra&amp;cr.tcs jueces de hecho habiendo examinado e¡ Se acordó que se uniese á la comisión de Querrá D. Evaristo San impreso titulado » Diario consi.tucional político y mercantil de Barce Miguel, como proponía la misma, para el arreglo de las ordenanzas lona” , i)úni- 70 , y el artículo que empieza: La ¿mea respuesta, y con. mil.tares. ciuye quítate allá que me tiznas ; y v…</t>
  </si>
  <si>
    <t>San, Josef María de</t>
  </si>
  <si>
    <t>Josef María de San</t>
  </si>
  <si>
    <t>…tcn^.a. del qu.n Vidal podía accederse á dicha preposición. medio diezmo. E; Sr. Arguelles manifestó que era necesario proceder ccn mu ¡ a A ia comisión de Artes una exposición de D. Josef María de San circunspección en decretar este honoi; y que no arrojando ei c.c.-n&gt; n tiago, grabador de Cámara de S. M., recordando a las Cortos ¿1 ¡-.er- mas iuz que laque suministra el decreto 4 que se lefi.rr, y ro r»:,n.¡o nvsn que le concedieron en 16 de Agosto de tUu…</t>
  </si>
  <si>
    <t>San, Manuel</t>
  </si>
  <si>
    <t>Manuel San</t>
  </si>
  <si>
    <t>…de Vilbifuettes, que lo es de la'de Guipúzcoa: para ja de He.¡va expedientes para que pasea á las comisiones; y no habiendo artículo á D. Juan Manuel Subricr para la de Logroño a D. Manuel San alguno de la Constitución que diga que las Cortes deben hacerlo por sí tiago Calderón y Fonlecha . para la de Huesca á D. Jase: Cantolla, mirillas, pido se sirvan habilitar á la mesa o á una comisión para que auditor de guerra: para la de Gerona al coronel ID…</t>
  </si>
  <si>
    <t>San, Pedro</t>
  </si>
  <si>
    <t>Pedro San</t>
  </si>
  <si>
    <t>…m.ilonss, que serán reembolsados en contribu citad. Aprobado. ciones- asi no tendrá el Gob.erno que hac r un nuevo empréstito. Sin La misma, en vista de la memoria presentada por D. Pedro San embar zo, si ia guerra estalla, probablemente le será preciso al Austria tos, opinaba que debía archivarse, y darse 1a* gracias á su autor. Apro recurrir á un empréstito considerable , por no ser suficientes los ingresos bado. comunes para hacer frente á los…</t>
  </si>
  <si>
    <t>Sán, Ramón</t>
  </si>
  <si>
    <t>Ramón Sán</t>
  </si>
  <si>
    <t>…la proposición indicada en la pág. 2,*, co p ct Vas provincias. lumna a.9, lín. 21, ha parecido conveniente añadir la siguiente acla Las Cortes oyeron con agrado una éxpo&lt;íción de D. Ramón Sán ración. chez Salvador coronel de voluntarios de “i**? , por la que eedia to * Después de leída el acta de la sesión ordinaria anterior tomó la dos los sueldos que le correspondían desde 1808 hasta 1814; y mani 'palabra el señor secretario de la Gobernación de…</t>
  </si>
  <si>
    <t>San.h-z</t>
  </si>
  <si>
    <t>…s víveres y ganados de qu* pjedan utilizarse, y las lados en su dotación , por ser &gt;.ciJ -I m t-v s ,-n. tropas drl país les har n una guerra cruel de pu .tos y guerrillas, evi E' Sr. San.h-z levo el di.tjrtaín de a como 011 11 &gt;e,í.i -oSre tando tuda ocasión de acciones generales hasta que consigan veis: li aumento de presupuestos so'nc tajo p r rl »..r t. . d* a ti .—ra bres de semejantes enemigo». con motivo da las aeauaies cir.ujstat'.-iaí. La…</t>
  </si>
  <si>
    <t>Sanabria, Josef Ramos de</t>
  </si>
  <si>
    <t>Josef Ramos de Sanabria</t>
  </si>
  <si>
    <t>…go de procedimientos militaros al Sr. Infante , y pa Se mandó pasar á la comisión de Hacienda el plan de contribucio ra (a de Premio* al Sr. Riego. nes presentado 1 Jas Cortes por D. Josef Ramos de Sanabria, recias» Le comisión de Marina en un expediente rabee la liquidación de los de Bidsjor. El Congreso lo recibió con agrado. créditos correspondientes á lo* individuos de marina fue de parecer, La comisión de Hacienda en la instancia de Dofia Josefa Bosenrto, e…</t>
  </si>
  <si>
    <t>Sanadla, Pedro Serrano</t>
  </si>
  <si>
    <t>Pedro Serrano Sanadla</t>
  </si>
  <si>
    <t>…go Habiéndose extraviado á último* de Setiembre próximo pendo Mh bernadores y demas autoridades, asi civiles como miliUres y eclesiásti documentos de vitalicio», que se remitían 4 D. Pedro Serrano Sanadla, cas , de cualquiera clase y dignidad, que guarden y hagan guardar, vecino de Priego, se suplica 4 quien tenga noticia de ellos lo avia ■ cumplir y egecutar el presente decreto en todas sus partes. Tendreitlo es» corte 4 D. Prudencio María de Villotlada, que…</t>
  </si>
  <si>
    <t>Sanch</t>
  </si>
  <si>
    <t>…, que Jo considerar i los pueblo* con el dominio útil , ó si este ha de quedar tomaron en consideración. unido con el directo en la persona del que posee, y para que se facili El Sr. Sanch tr, para probar So que costaba la conducción de las ten los medios de adquirir la propiedad á todas aquellas personas que cuerdas de presidiarios, dijo que en una había resultado que ia conduc por su industria , sus trabajos &lt;ícc. tengan medio* de adquirir es…</t>
  </si>
  <si>
    <t>…abecillas que acaudillan i los facciosos qtis colocarla en la tarlr'a. Na se apr bó d.cha adición. •l plan de confederación de los pueblos puede serles per,uJíclalísimo; Otra d.-l Sr. Sanch z pira qa: las disposiciones del srt. seb-e el asi es que hacen esfuerzos inultos pira impedir las reuniones de aque papel sellado no se entiendan respecto de las entrega» d: d n.rn y ríñe llos buenos p.itr.clos que quieren confederarse pira exterminar á las…</t>
  </si>
  <si>
    <t>…a injusticia atroz de que un magistrado esté pe por lo mismo no se pu;de aprobar rl dictamen de la comisión. reciendo de necesidad ? ¿Será mas conveniente proponer otros obelos El Sr. Sanch. z: Hs precito tener presente que los consejero» que han de prosperidad pública, y que zoo ó 300 v.udas estén sumidas en Ja fal ecido tienen un derecho 4 ¡01 sueldos que devengaron , y sobre toda miseria y en el abandono! ;Y esto no será tanto mas digno de oc…</t>
  </si>
  <si>
    <t>…o que se debían pipar por las cajas de la Habana , puesto que parte da nes que pide , y nunca por cumia dd año venidero. "* ellos lialiian sido itiv-iiidos tn otras at-rciones. El Sr. Sanch a: La comiuen no ha r.-t r3dn pr'm’r punto d* su El Sr. Sanche/ 4 jo que la c -tni»*on había tenido motivo de duda dictamen porque reconozca haber padecido ••quivnc-eV.n m m:s cilpor no h.bcr rc.uelto nada la de Marina sobre lo que había expresado cu'cs, y so…</t>
  </si>
  <si>
    <t>SancH-t</t>
  </si>
  <si>
    <t>…e especificaban en varios articulo, de él; legítimo , y asi apoyo el defamen de ia mayo :a de la coro s on. con lo que no se haca mas que privar á las Cortes de la facultad que Ei Sr. SancH-t. Evito á hablar en este asunto con muc'a drsconles concede la Constitución de entender en estos negocios. fianzi, ya por la multitud de operaciones que en sí tiene , crino por .a En otro artículo de dicho tratado se estipula el pago en efectivo de 11 inncido…</t>
  </si>
  <si>
    <t>Sancha, Domingo</t>
  </si>
  <si>
    <t>Domingo Sancha</t>
  </si>
  <si>
    <t>…paba la parte del techo que a¡ entrar se Esteves, D. Josef Moreno Montea, D. Josef Armada», D. Diego encuentra á la mano izquierda, y á la derecha había ct¡os adorno, de Mosquera, D. Domingo Sancha , D. Félix de la Riba , D. Jacobo So* menos importancia. El centro lo ocupaba una fi.ura de muger, 1 Ir bregra , D. Ramón Capóles, D. Josef Marín Quiroga , D. Antonio cual los autores de la descripción llaman una hit, que tenia las piernas Rodrigues, D. Vicen…</t>
  </si>
  <si>
    <t>Sancha, Estanislao</t>
  </si>
  <si>
    <t>Estanislao Sancha</t>
  </si>
  <si>
    <t>…iendo un ayudante de algún método. En el primero examinaré loa cargos que ae hacen al ex» campo dd Emperador Alejandro al cuartel general dé dicho conde, loe ministro de la Guerra D. Estanislao Sancha* Salvador, 7 de su exa genérale* recibieron orden de presentarse en aquel punto inmediata men dbdnciié si los cargos son ó no fundado» , y si el ex-minisíro es mente á recibir instruccionet; y desde entonces sé creía que todas la* ó ao culpado en' este negoci…</t>
  </si>
  <si>
    <t>Sancha, Feliciano</t>
  </si>
  <si>
    <t>Feliciano Sancha</t>
  </si>
  <si>
    <t>…este su Real clararon por unanimidad no haber lugar i la formación de causa. auto lo proveyeron y rubricaron los Sres. Paz, Mazía, Arguelles, Fagoaga y Siles. Escribano de Cámara, D. Feliciano Sancha. En la causa seguida contra D. Pió deFalces, coronel del regimiento Habiéndose formado en el gabinete de historia natural por el pro de infantería de la Corona, sobre la identidad de una carta firmada á su fesor de Zoología D. Tomas Viüanova una colección de…</t>
  </si>
  <si>
    <t>Sancha, Feliciano Gaicía</t>
  </si>
  <si>
    <t>Feliciano Gaicía Sancha</t>
  </si>
  <si>
    <t>…do fueron sorprendido* entre los pues anuncio, comparezcan en la misma por la escribanía de cámara del. blos del Burgo y Reliegos D Josef Portocarreto y D. Santiago Rodrí cargo de D. Feliciano Gaicía Sancha, á fin de hacerles saber el trasla guez , que caminaban desde la villa de Sahagun i la ciudadde León, y en do conferido de la mejora de apelación por parte de Juan Antonio tre varias cantidades y ciéditos que les robaron los salteadores lo fue una Barba y con…</t>
  </si>
  <si>
    <t>Sancha, Feliciano García</t>
  </si>
  <si>
    <t>Feliciano García Sancha</t>
  </si>
  <si>
    <t>' pliego ¿e condiciones formado por la contaduría de este egército pan mara dal cargo de D. Feliciano García Sancha 4 usar de su derecho Ias subastas de provisiones de pan, cebada y paja pan el suministro de en la cansa formada y sustanciada en el juzgado de Alcaraz contra las tropas de infantería y caballería existentes y transeúntes en las pro* Cristóbal Panadero, vecino…</t>
  </si>
  <si>
    <t>…la lápida que en el término de 1 2 dias comparezcan en la misma por la escriba imitar vuestras virtudes, siempre que para la causa de la libertad pudie nía de Cámara del cargo de D. Feliciano García Sancha, á deducir o se ¡n is acudir con nuestro amparo , cuyo juramento se ratificó con una que á su derecho pueda convenirles en la causa formada rn la villa de general descarea; y en el dia estamos preparando un funetal en con- Almadén el año de 1812 contra el ref…</t>
  </si>
  <si>
    <t>Sancha, Tomas de</t>
  </si>
  <si>
    <t>Tomas de Sancha</t>
  </si>
  <si>
    <t>…ocimiento de lo» numerados desde el 48a i cias que se barán saber en el juzgado del Sr. D. Angel Fernandez de al illtfi, ambos induaive. los Ríos, |*or 1» escribanía de número «le D. Tomas de Sancha 7 Pia rlo , 7 en el término de 30 dias, contados desde el en que se publique . VARIEDADES. este aviso. Continúa tt artículo At ukUmytr. mota. En te gaceta «leí 6 del corriente, pág. 116, col. i.', título ■ En estas £i;as &lt;» «loada ha’entrado la siétra, 7 pora…</t>
  </si>
  <si>
    <t>…ro honorario de la audiencia territorial de Cas I Artillería i pie................. 638 tilla la Vieja , juez de primera instancia en esta capital, por la escri banía de número de D. Tomas de Sancha jr Prado , donde se adm.ti- Í Idem é caballo................... 179 rán las que se hagan siendo arregladas , en el término de 13 días, Idem de tren-................... 188J contados desde el en que se publique este aviso en la gaceta , y se ma Corufia.. fInfa…</t>
  </si>
  <si>
    <t>Sanche</t>
  </si>
  <si>
    <t>…debo decir que la comisión está pronta i examinar mento, el expediente de las reformas de sueldos, y el dictamen dei lo* presupuestos. consejo de Estado sobre los presupuestos. El Sr. Sanche» hizo varita observaciones acerca de h medida da El Sr. Salvé manifestó que no era necesario que recayese resolución que se trataba, y manifestó entre otras cosas que en su concepto ae acerca de esta proposición, pues que la secretaría estaba autorizada pt» d…</t>
  </si>
  <si>
    <t>…parte da nes que pide , y nunca por cumia dd año venidero. "* ellos lialiian sido itiv-iiidos tn otras at-rciones. El Sr. Sanch a: La comiuen no ha r.-t r3dn pr'm’r punto d* su El Sr. Sanche/ 4 jo que la c -tni»*on había tenido motivo de duda dictamen porque reconozca haber padecido ••quivnc-eV.n m m:s cilpor no h.bcr rc.uelto nada la de Marina sobre lo que había expresado cu'cs, y solo 10 ha lincho por obviar la discusión : ( u s .¡u- •&gt;&lt;;,». .-…</t>
  </si>
  <si>
    <t>Sanchea</t>
  </si>
  <si>
    <t>…uan de U.ua. Di Manifestó en seguida que es cuanto al hallazgo de k minuta y lo cho buque salió de Veracruz el 18 de Enero con un millón de pesos do lo demas que había referido el Sr. Sanchea veia una multitud de en dinero y frutos. Las noticias que traía son ea resumen las siguien casualidades que no llegaba á creer; por cuyo motivo se opuso i la tes , extractadas de vanas papeletas que nos envían personas fidedignas: parte del dictamen que se di…</t>
  </si>
  <si>
    <t>Sánchez</t>
  </si>
  <si>
    <t>…rangero» perseguidos hasta el último punto, es de modo M asistir á las junta, parroquiales y i las elecciones para ayuntamiento;" nos comprometa ni se abase de ella. y la otra del Sr. Sánchez &gt;*tvador al asa. '771 concebid* en los térmi El Sr. Vadillo *po&gt;,« el artículo, y manifestó entre eo4p que si. no* siguientes: » El que usase de algún fraude para eximirse del servi hasta aquí se había abusado, no ae podia infazir qu* en adalaAs suco-</t>
  </si>
  <si>
    <t>…n de las Cortes ) , » exige un ministerio Se 1 eyó el dictamen de la comisión de Guerra y el voto particular vigoroso, que inspirando á todos la mayor confianza par su saber y del Sr. Sánchez talvador sobre la promoción de lot capitanes de ra zeJo, por au patriotismo y adhesión á Isa libertades públicas, aux iie padores á comandantes de dicho regimiento y de los densa* de infante á V. M. para templar las pasiones, reunir los ánimos , rectificar la…</t>
  </si>
  <si>
    <t>…plan se Quedó elegido primer secretario el St. Infantes per 75 votos de 130, adopto por vía de prueba con el objeto inmediato de la economía. El recayendo los restantes, 30 en el Sr. Sánchez, uno en el Sr. Herrera commj 'nt, .leí alio ic cumple este año, ▼ deben salir del servicia io9 Bustamante, uno en el Sr. Zuiueta, uno en el Sr. Gómez, uno en el cumplidos. Para reemplazar estos, y llenar los vacíos que ha dejado el Sr. lrujilio , y otro en el…</t>
  </si>
  <si>
    <t>…e las maquinaciones , ya sordas, ya de Sres. Canga Argüelle» y Flores Calderón, y se admitió á discusión. claradas de los enemigos de V. M. 7 de la patria, 7 í pesar también da El Sr. Sánchez dijo que se debía agregar á la comisión de Hacienda las disensiones últimamente ocurridas, i las cuales dió origen la descon la del Gobierno interior de Cortes. fianza que infundieron las causas indicadas por las Cortes anteriores en El Sr. Canga Arguelles di…</t>
  </si>
  <si>
    <t>…a c ase, evitando se grave la Nación con el aumento de sueldos.” gan, si es p sible, hoy m imo. Yo veo i este Goh:-rn &gt; con el pilo le A ia misma comisión se pasó la siguiente del Sr. Sánchez: » P do vantado contra los patriotat,y si nos mostr sem&gt;. ¡ id te ent 1 apirec que se suspenda desde luego la concesión de jubilaciones, ret.ros y de liimos criminales á los o,os de la Nación. En Barcelona cir u ó un más electos del decreto de las Cortes de 3…</t>
  </si>
  <si>
    <t>…algan de los cuarteles con armas. Pero lo cierto, es que ayer hubo des posiciones del Sr. Olivfr. ' - órdenes , y lo peor será que se pintarán en las provincias con colores muy El Sr. Sánchez expuso que se contaban ya 11 dias del mes de Mar exagerados ; y por lo mismo es menester tomar medidas fuertes para zo, y aun no se habian leído las memorias del Crédito público (que de evitar que se repitan. Asi pues debe nombrarse una comisión, para que bía…</t>
  </si>
  <si>
    <t>…untamiento D. Josef de la Villa Gandarilias en el tiempo que media rían escogerse cesantes adictos al sistema. de todo el presente mes de Marzo, pues que en el de Abril próximo El Sr. Sánchez apoyó ¡as proporciones, y manifestó que el uiiauu&gt; deberá proveerse dicha p'aza. Sr. Canga sab.a los innumerables cesantes que habían quedado de resul El mí m. 1.” de Los comuneros de ogaño no son como los de amafio: tas del restablecimiento de la Constitució…</t>
  </si>
  <si>
    <t>…rticular , ni tampoco fijar tér no, y por consiguiente el acto d.l nombramiento de un ugeto que 1:0 mino. existía es nulo. Todos saben que el sustituto puede tener lugar cuando El Sr. Sánchez dijo que había tesoreros exactísimos; pero que ha de htcho ha habido nombrado propietario, y este ha faltado: es necesa bia otros que tenían cuentas pendientes de dos y tres años , y aun algu rio que este entre por muerte ó imposibilidad del primen,: es asi q…</t>
  </si>
  <si>
    <t>…ntir ante todas cosas «a Estos no han contribuido, no porque no han querido, sino porque no esta discusión con que la Nación está pobre, pobnsima, indig.-nre, y »l hen podido. Eli Sr. Sánchez, qu- con grande admiración mía sentó ceta borde del precipicio, como dijo muy bien ay-r el Sr. ¿una: y por cotidectriM, a» té cómo puede haber olvidad* qua cuando estaba da in tiguicnM debemos proceder con arreglo á esto. Le que deberían hacer</t>
  </si>
  <si>
    <t>…había que *■&lt;■* su publi que las Cortes se rerian en la precisión de prorocar este plazo; ó qua la cidad. misma ^observancia de esta lep iollupa en lis demas, io cual no seria El Sr. Sánchez se opuso á este dictamen, manifestando que so conveniente. Por consiguiente creo que ha Cortea no pueden sefialar el creía conveniente que avocasen las Cortes 400 ó mas expedientes da plazo que te fija en el artículo. Potros tantos nombramientos que se habían…</t>
  </si>
  <si>
    <t>…rovincia conde de Cartagena, Se acordó que pasase con urgencia i la comisión de Ultramar la* al juez fiscal que formó la causa D. Melchor Castaños, al auditor da proposiciones del Sr. Sánchez, relativas á la pacificación de las provin guerra D. Juan S. Martin, y al consejo de oficiales generales, incluso cias de Ultramar. el marques de Casa Sarria. A I* de Guerra se pasó la de los Sres. Riego é Infantes , para que Se mandó que este dictamen quedas…</t>
  </si>
  <si>
    <t>…rdomías. Se mandó pasar á la comisión que ha entendido en este «unto. En la ciudad de Valencia, habiendo sido denunciado ante el Sr. al Se leyeron las siguientes proposiciones del Sr. Sánchez: » Debien calde int riño constitucional D- Pedro Barreda Centelles por parte ddo decretar laa Corte* cuantas economías sean posibles, pido: i.® Que D. Sebastian Vicente de Sótis un papel canmntoso a su persona, im b comisión Eclesiástica examine si es absolut…</t>
  </si>
  <si>
    <t>…mas economía que los nacionales, par tad de su crédito fuese admitido en las aduanas en pago de derechos. cuya razón se habia creído que era necesario poner en nuestros puertos El Sr. Sánchez se opuso también al dictamen, considerando que se una traba que evitase le concurrencia da aquellos con estos; y que si concedía un privilegio ; y manifestó que para premiar á Olabarría el ahora se quitaba esta traba, ▼ se concedía igual protección á la bande…</t>
  </si>
  <si>
    <t>…tín de Iturbide en La comisión de Negocios de Ultramar , habiendo meditado acerca todo corazón adornado de los sentimientos que inspiran la augusta re de las proposiciones del Sr. diputado Sánchez, relativas á var.a&gt; r.-vi ligión que profesamos, la observancia del sabio Código que nos rige, ciaciones con ias provincias que de hecho se habían sr parado d.l Go y el amor y lealtad á nuestro Rey constitucional, de cuantos con los bierno de Lspaña, y establ…</t>
  </si>
  <si>
    <t>…presenta to voy ahora mismo á hacer una proposición para que se le diga que todo lo que acabo de manifestar. proponga á las Coi tes Us medios oídmenos que tenga para el armamen El Sr. Sánchez: Yo debo decir que soy consecuente en mis princi to de fuerzas marítimas , y que si estos no aicacnzasen presente á la ma pios , y por lo mismo no propongo que se haga un considerable arma yor brevedad los medios extrjurd.nanos qu? crea convenientes. mento ,…</t>
  </si>
  <si>
    <t>…iente promovido por el in esta proposición pasase 4 urta de ellas. tendente de Galicia sobre que se le permita vender una casa que hay Sé Leyó por segunda vrz otra proposición det Sr. Sánchez pana que en el Ferrol, perteneciente á la Hacienda pública, opinaba que debía te vea si el obispado de Ztiita es de absoluta Mémidad. Se potó 4 la comisión Eclesiástica. accederse á d cha solicitud. Aprobado. La misma , en vista de ia instancia de D. Manuel P…</t>
  </si>
  <si>
    <t>…el examen de este ex sar á informe de dicha junta nacional.. Aprobado. pediente en atención á que no se podría decir mas en este negocio La misma , en vista de la proposición del Sr. Sánchez hecha en la que lo dicho en las Cortes anteriores , por lo cual era de dictamen que aeslon de 6 del corriente, para que suspendiéndose toda declaración que solo debia imprimirsa el dictamen actual para mayor conocimiento. autorice la existencia de las gracias…</t>
  </si>
  <si>
    <t>…aprobar* lir del Congreso; y me parece una cosa demasiado seria el que un re el dictamen qns se discutía. diputado entre en el santuario de las leyes, y luego tenga que salir. El Sr. Sánchez observó que respecto de los comisionados de tercian Por lo que respecte a ti ‘hay ó no reclamación , no es fácil deReales y del noveno, se había declarado que se les pusiese en el goce mostrarlo, porque no está el documento del cual debe salir la recla del su…</t>
  </si>
  <si>
    <t>…suficiente , y nada mas deseaban. bla presentado mal, porque dividiendo en tres dictámenes el reto de los Sres. de la comisión, solo se habia preguntado si habia lugar á retar El Sr. Sánchez: He tenido el honor de pertenecer 4 k secretaría de las Cortes, y he sido compañero dei oficial de que te trata , y por io sobre el primero; debiendo haberse presentado todos tres, y pregun mtwo me veo en el caso de contestar á algunas observaciones que se ta…</t>
  </si>
  <si>
    <t>…a el Atapurdan. El mayor entusiasmo anima á la milicia zcs diputados que se hallaron presantes. permanente y 4 la local. Sabemos de positivo que muchos individuos Quedó elegido et Sr. Sánchez (D. Juan Josef) para vice-presidentt de los que componen este última se han ofrecido á ir voluntariamente por 74 votos, habiendo obtenido 6'é ei Sr. Vrlasco, uno el íir Ruiz en persecución de los facciosos, al paso que las tropas del ejército se de la Vega, o…</t>
  </si>
  <si>
    <t>…mandó pasar á la comisión la siguiente adición de! Sr. Becerra individuos y obligaciones dtl ministerio. al art. a.°: * Pido que se declare que en ios productos líquidos de que El Sr. Sánchez: Respecto de la primera parte del art'culo, que dice: habla el ert. t.®, no se entienda de modo que los empleados i sueldo «Cada secretario del Despacho tendrá una pagaduría que reciba y dis fijo en el ramo de Hacienda pública cobren su sueldo antes de que en…</t>
  </si>
  <si>
    <t>…votó en seguida el dictamen conforme estaba, y quedo aprobado. la Nación; mas si hemos de atender solo á las cosas,en el h-c'-o de Se leyó por primera vez de una proposición .del Sr. Sánchez para haber disfrutado del señorío el tenedor, sin que una mano mas fuerte que por la comisión de Hacienda, ó por la que tuviesen laa Cortes por le haya molestado en la posesión durante siglos, se convend a en que conveniente, se propusiesen bases generales pa…</t>
  </si>
  <si>
    <t>…gual respecto de los de Onhuela y Valencia Se mandó pasar á la ccmísion de Visita de tribunales una adición salvó acaso á la Nación de muchos males; y es también indispensable del Sr. Sánchez al proyecto presentado por esta á las fortes. que las Cortes tengan presente que un obispo de esta naturaleza puede Igualmente se aprobó otro dictamen de la comisión de Visita dd causar mas males que todos los uilras de Fraocia y los setviles de Espa Crédito…</t>
  </si>
  <si>
    <t>…Francia y la G ran BrctaSl, que no poríran que pueden las Cortes decidir cuando lo tengan por conrenitnte. dejar di conocer, aunque tarde, que en Laybach aumentaros et influjo, Ei Sr. Sánchez dijo qu: el expediente de que hab a hecho mención las fuerzas y el poder de este imperio colosal de Rusia, que es ya el Sr. secretario existia en la comisión de Hacienda; pero que esta aun muy drbcil de contener. no se habia ocupado de él, jr que creia te deb…</t>
  </si>
  <si>
    <t>…eresado un examen , lo era también que por las contribuciones tendría la marina el fomento necesario. cada curso que se dispensase pagase el interesado una cuota diferente ; y F.l Sr. Sánchez hizo presente el apuro en que se halna visto I» co que era menester tener presente que la cuota sena moderad », y que res misión de Hacienda para llenar los presupuestos de este año , y qu ‘ P"t pecto de la dirección de estudios era de necesidad y justicia ,…</t>
  </si>
  <si>
    <t>…el pais que la bailan, por medio de loa mientras cobran sus haber» integramente alguno* empleado* de nota». cuales puede comunicar con mucha actividad sea coa las islas, ó bian K1 Sr. Sánchez apoyó el dictam-n con vanai obsctrac.ones : y con con todas las demas cosías del continente. testando al último argumento hecho por el v. preopinante, d fo qu? NOTICIAS DB ESPAÑA en las provincim donde los productos ton suficientes para cubrir loe gastos, tcu…</t>
  </si>
  <si>
    <t>…ón siguiente de loa Sres. Adanero, Sánchez este incidente la idea qu - cada uno tenga formada en el asunto. y Falcó: »■ Pedimos á las Cortes que en todo el día de mañana se pre El Sr. Sánchez dijo: Pido que continué la discusión, porque los di senten por todas las comisiones fi la secretaría nota de los asuntos que putados deben ser insensibles lo mismo á los vituperios que á los aplau tengan señalados y marcados por la Constitución, y que la secr…</t>
  </si>
  <si>
    <t>…e El Sr. r-urra dijo que era menester poner la cuestión en tu ver sentaba el Gobierno por 67 votos contra 46. dadero punto de vista, y atender á que el bmeoes un estab ecimien- El Sr. Sánchez presentó una proposición para que el Gobierno y to público, en donde han depositado sus cap.ta.es varios individuos; y el consejo de Estado despachasen su informe á la mayor brevedad po como este establee.miento tema un caiacter f gal, y estaba aut. rizado si…</t>
  </si>
  <si>
    <t>…édito público para que acuerde lo que estime conveniente. Apro Rtiolucion. La conusion después de haber meditado detenidamente bado.La misma , informando sobre una proposición del Sr. Sánchez, opi los d ct-ím-nes de los cinco jurisconsultos nacionales y extranjeros que la comqa'iía une á su exposición en apoyo de esta demanda, halla naba que las Cortes pueden servirse declarar que continúen en el goce justa la solicitud , y es de dictamen que se a…</t>
  </si>
  <si>
    <t>…suponía yores , varios ministros suplentes , de los cuales dos tenían 6o9 reales, el consejo de Estado. dos fiscales y otro suplente con 669, y una porción de oficiales, de los El Sr. Sánchez dijo que desearía saber de los Sres. de la comisión si cuales algunos tenían go9 rs.; de modo que habia una oficina como podría llevarse á efecto el establecimiento de la hacienda militar para ai tuviese que manejar muchos fondos: que era verdad haberse agreg…</t>
  </si>
  <si>
    <t>…discusión esto, pero no podian entregar esta moneda sino como pasta, per c,;ir para leer las proposiciones indicadas; y habiéndose hecho asi, se leyó prohibida su entrada. una del Sr. Sánchez para que las Cortes encargasen al Gobierno que El Sr. secretario de Estado dijo que no podía convenir en la canti inmediatamente abriese negociaciones con los presumistas de a 2 de dad que la comisión señalaba at imprevisto del ministerio de su cr.-', Noviemb…</t>
  </si>
  <si>
    <t>…Bagdad el Schah de Pcrsia ,acompañado de tres de sus hi|os.__La bina, ragona, ni aumentarse el de S. Nrbastian. la Mesopotamía y la Armenia están en insurrección, y amenazadas El Sr. Sánchez contestó que en les nvncinnados puertos casi no se por un ejército persa. había h-cho uso de la hab.‘ilación concedida por las Cortes, y que res El Austria ha contratado un nuevo empréstito de 35 malones de pecto de S. Sebastian sr había habí itado por ratón…</t>
  </si>
  <si>
    <t>…Para formar un juicio exacto en 1a discusión del dictamen de ia cobe leyó si dictamen de la comís.on especial encardada de examinar m sion de Ultramar sobre las proposiciones del Sr. Sánchez ped mo» la memoria leída en las Cortes por el Sr. secretario del Dspucl.o &lt;ja i las Cortes que el Gobierno remita la consulta del consejo de Estado.”Estado, como igualmente el voto particular del ir. Gal ¿ano. Se acordó Se procedió) á la discusión del dictame…</t>
  </si>
  <si>
    <t>…deb.a dio que proponga este á la diputación provincial, que lo aprobará si ser proporcional á los cupos. está en su facultad, ó lo consultará á las Cortes si no lo estuviese.” El Sr. Sánchez apoyó el artículo, manifestando que el t por too que El Sr. Velasco observó que las diputaciones provinciales no estaban se señalaba á los ayuntamientos era una cosa regular para que pudiesen facultadas para aprobar ningún arbitrio sino interinamente ; y asi…</t>
  </si>
  <si>
    <t>…iomo una renta, seria inútil si por lo ínfimo del precio que m Se suspendió esta discusión para continuar la del plan de contribu señalase venia á quedar improductiva. ciones. El Sr. Sánchez observó qu: ademas de las causas que indicaba la Art. 8.° » Debiendo quedar prohibida la introducción, fabricación comisión hablan influido en la baja del producto de esta renta, exis y venta de los tabacos des e &lt;.1 referido día i.ü de Julio próximo, me tía…</t>
  </si>
  <si>
    <t>…fin de hacer efectiva esta corto tiempo las contribuciones, y mucho mas en pueblos grandes, recaudación. por lo cual fue de parecer que debería darse el término de quince día* Ei Sr. Sánchez manifestó que los intendentes en esta materia no después de cumplido el plazo para despachar los apremios. tenían mas apoyo que el imperio de la ley; y que sus facultades estaban El Sr. Sánchez apoyo esta id:i, y el Sr. Ferrcr (D. Joaquín) con reducidas i enr…</t>
  </si>
  <si>
    <t>…Se mandó pasar á la comisión de Diputaciones provinciairs una El Sr. Alonso se opuso también al artículo. exposición de D. Josef María Srits, vocal de la diputación provincial El Sr. Sánchez se conformó con lo dispuesto en él, mediante la de S. Sebastian , sobre que te tiat!ad:n 4 aquel punto las autoridades de gran baja ó reducción que se habia hecho en la contribución sobre ca la provincia mientras las Cortes no determinen otra cosa. cas; con l…</t>
  </si>
  <si>
    <t>…secr-urio de El Sr. secretario de Ultramar remitió informadas por el consejo de Hacienda; y por ú timo que te asombraba de rer que se tuviese tan Estado las proposiciones del Sr. diputado Sánchez, relativas i Ios-ne poca contid racon á los prestamistas espadóles * y al mismo tiempo gocios de Ultramar. Se acordó tener presente el informe en la discusión fuesen tai respetados los extrangero* que habían renido i Espada, no á de dichas proposiciones. pres…</t>
  </si>
  <si>
    <t>…nte 'El Sr. Galiano dijo: Tan íntima conexión tiene la memoria que se sobre esto y sobre la conducta de lot empicados, y tu adhesión al sis va a discutir con ias proposiciones del Sr. Sánchez, que parece imposi tema constitucional. ble tocar este asunto sin tener presentes ambos dictámenes. Hecha esta La comisión especial encargada de informar á lat Cortes tobre el observación no puedo menos de hacer otra, y es que desgraciadamente estado político…</t>
  </si>
  <si>
    <t>…uirre , Do- estos intereses no han de correr á favor de lot prestamistas tino desda menech y Villavieja- el día i.“ del mes en que ellos vayan realizando tu* entregas de dinero El Sr. Sánchez leyó el dictamen de la comisión de Visita de teso y efectos; por lo cual se les cargarán cu cuenta comente lo* intere rería , y el voto particular del Sr. Ojero. Se mandaron imptimir. ses ó caídos de las inscripciones hasta el citado día de las entregas. Se l…</t>
  </si>
  <si>
    <t>…esos comisionados , y por tanto me opon los derechos que tiene la Península sobre aquellas provincias,entre tan go á la medida. to que esta arregia con ella sus negociaciones. El Sr. Sánchez: El dictamen de la comition se ha extendido antea He dicho que hay una larga distancia entre establecer el duro cetro de que se trate en las Cortes de las proposiciones que tuve el honor de hierro de que ayer se habió, y la emane pación absoluta ; y en esto d…</t>
  </si>
  <si>
    <t>…atura no seria convenien En seguida se aprobó la segunda medida. te. Asi pues creo que io que mas conviene en ci momento es autori La tercera la retiró ¡a comisión i propuesta del Sr. Sánchez. zar ampliamente a. Gobierno pata que procure U pacificac.ou de las La cuarta, quima y sen ti fueron aprobadas. provinc-at Uitumarmas. Puesta á discusión la sept ena dijo vi ar. Canga : Yo creo que ha Rl br. Ga uno : aba1m*nte esa amplitud qu* con tanta razón…</t>
  </si>
  <si>
    <t>…sta de la exposición de I09 abo Se puso 1 discusión el dictamen de la misma comisión sobre la» gados de Barcelona para que se declarase que la Rral orden de 8 de proposiciones del Sr. Sánchez, relativas á la pacificación de las Amé Agosto de i8ai no impidió ni pudo impedir que los tribunales de pri rica».La primera parte del dictamen, en que te proponía que sa autori trangerosmera instancia*, opinabaconociesenque no deexistiendolas causasyapend.en…</t>
  </si>
  <si>
    <t>…immte que ahora solo re repetía locreerlas necesarias para aclimatar unas cuantas plantas de cochinilla. dispuesto en dicho d-creto • con todas las excepciones que él contiene, El Sr. Sánchez contestó que no se trataba de cuatro ó teis plantas, tratándose únicamente de los bienes aplicados para indemnización desino de nn gran número de ellas, pues el esmero de la sociedad habis conseguido grandes progresos en sus ensayos, 7 que las cantidades que…</t>
  </si>
  <si>
    <t>…ioso Zaldi- como atentados contra la seguridad individual, por cuyas consideracio var, vivo ó muerto , se le gratificará con la suma de 150 doblones nes sancionó el ceie d&lt; diciio gobernador Sánchez; resultando electa inmediatamente que se consiga de uno ú otro modo. por universal aclamación D. Josef María Perez Urdininea, quien adCádiz, ij de Setiembre. snitió á condición de que luego que avisase al pueblo de tu cese debe El Redactar general publica las…</t>
  </si>
  <si>
    <t>…perseguidos con le mayor actividad por todas tiva por sextas partes, según esté mandado. partes, y nuestros militares no pararán basta conseguir el exterminio del Se leyó otra del Sr. Sánchez que decía mi: » Que mientras se ve último de ellos, aunque se escondan en sus mas ocultas guaridas. rifica el reemplaza decretado por tes Cortes se suspenda al dar lu licen __El Empecinado, según la Gateta de Francia, ae comandante ge cias á los cumplidos, as…</t>
  </si>
  <si>
    <t>…lar m.entras no se fije una pro* una época en que el Gobierno reclama su establecimiento; y yo erro posiC'cn. que toda la dificultad consiste en si ha de haber ó no reglamento. El Sr. Sánchez dijo que uno de los Sres. secretarios hab'a man fe Es indudable, como ya he indicado antes , que en los Gobiernos tado anteriormente que en las Cortes extraordinarias pasadas se hab a despóticos es inmensa la policía; pero también los Gobiernos mas li nombrad…</t>
  </si>
  <si>
    <t>…á un se dijo en la memoria presentada en el año 20 por el 5r. secretario da gasto mayor que los la millones. este ramo, que se encontraba la infantería con mas de too millones, E' Sr. Sánchez: Las Cortes ordinarias tienen decretada la cantidad y en el me, de Marzo último se no» aseguró que habí* recibido la in de 629 hombres; el Gobierno no pide que se complete esta fu-tza , sino fantería 75 millones en efectivo, y otra cant dad en papel. que se a…</t>
  </si>
  <si>
    <t>…el vería. artícuio , é igualmente los siguientes: El Sr. Seplien manifestó ademas de las razon-s que h’b.a dado el Art. 1.- » Utensilios. Para el de los 19,973 hombres á 15 reales Sr. Sánchez , que en muchas Cuas de España se compraban c;b 1. s mensuales hacen en cada uno449,¡95, y en ¡u&gt; s-te meses 3.147,165. por la mitad de lo que se pedia. Art. 3' « Hospitalidades. Para lasque se ca.cu'an por el minis El br. Muro hizo presante que la comisión a…</t>
  </si>
  <si>
    <t>…rno acerca de la economía considerable que perjudicial porque se disminuía al egército toda esta fuerza. podía resultar de enviar harinas á Cataluña, ó bien galleta en lugar de El Sr. Sánchez: El Gobierno ha pedido una suma de bastante con comprar estos víveres en aquellas provincias, en donde necesariamente sideración pata atender al tren de artillería, construcción de fraguas, deben valer mas caros. compra de caballos &amp;c. Todo esto puede hacer m…</t>
  </si>
  <si>
    <t>…i demo ahorros de este pueden compensarte los nuevos gastos imprevisto, que lida*. ocurran. Ademas es necesario advertir que asi como hay gastos impre Deapuea de haber aprobado el Sr. Sánchez el dictamen de la comi vistos hay también ahorro* imprevistos. Por egemplo, el egérc to va á sión , se declaró suficientemente discutido y quedó aprobado. aumentarse, y por consiguiente los gastos desde 1. de Diciembre; y Objeto tiúm. p.“ nadie dudará que no…</t>
  </si>
  <si>
    <t>…de corta consideración que las Cortes acuerden ja suma que ha pedido, y que cree ser muy mo debe pioduc.r electos bien poco notables, es de parecer que no te con derada. ceda. El Sr. Sánchez: Yo no puedo convenir en que a! Gobierno se ls Séptima. Opina del mismo modo en cuaato i la cantidad de 5008 conceda en las circunstancias en que no» hallamos una tuina considera fs. que ss piden para la pantiúesci-.m de escuelas veterinarias ; teniendo ble c…</t>
  </si>
  <si>
    <t>…lase superior á la de los dornas mos en el caso de conceder inte, lamente la suma qu-- pide el G. b,&lt; me. ciudadanos, que atrae sobre t{ las miradas de todos los hombres, y que El Sr. Sánchez: Los rnd'viruosde :a com s on están penetrados ds está obligado por la ley á dirigirse con precaución y suma circunspec cuanto ha manifestado el sr. Falco, pero n.. han pod-d , d-se nten-krse ción , será sin duda mas pura, mas íntegro y mas imparctal que un d…</t>
  </si>
  <si>
    <t>…bían asignar dos millones para su dignidad Real, como se halla establecido por la forma benéfica de continuación. nuestro Gbitrno monárqu.co. Descubriré con oportun dad todo 10 Ei Sr. Sánchez dijo que la comisión habia t nido presente el acuer qu- pueda saber sobre conspiraciones dirigidas é mudar ó a trastornar do de las Cortes, por el qui se aplicaban á estas obras los atrasos de la esta excelente Constitución, en la cual está fundado el b-en de…</t>
  </si>
  <si>
    <t>…ero el cumplir con estas obligaciones es muy sagrado. Yo con decretar sus sueldos con el que ahora te suponíacluyo diciendo que este presupuesto, que es un suplemento d-i decre El Sr. Sánchez repuso que la com sion htbis hecho una verdadera tado por las Cortes ordinarias, que erróneamente por falta de datos liquidación de los sueldo» del conseje de Estado y tus oficinas, cual te ■e aprobó con perjuicio de lo* dependientes da la secretaría del Dasp…</t>
  </si>
  <si>
    <t>…l entierro se pondrá toda la guarnición po» consulares, se servirán aprobar el dictamen de ;a comisión. sobre las armas, y se encaminarán las trepas a les puestos que se les hu Ei Sr. Sánchez: Solo se trata aqui de establecer provisión timen te biere destinado, formando en ala en las calles por don le haya de pa ,,t- arbitro de «judio por 100 que han cebrado anteriormente los con sar el calavrr, según está prevenido para el caso de entrar «n una p…</t>
  </si>
  <si>
    <t>…l Sr. Oiiver es el de que cuando se acordó por las una causa puede, ti encuentra indicios contra una persona, arrestarla pa Cortes haber lugar á la furmacion de tau,a respecto del Sr. Sánchez ra evitar su fuga, entregándola después al juez competente. De aqai re Salvador , no se le considero cima tal ex-seerruno. ai se examina este sulta que con observarse lo prevenido en la ley fundamenta! estabrn hecho , prescindiendo de que yo podría citar una…</t>
  </si>
  <si>
    <t>…ción en un estado respetable: la Marina parece que entra en citas mas serviría d* primera pattida de cargo. atenciones; pero yo veo que este ramo tiene un punto de contacto bas El Sr. Sánchez: El discurso del Sr. Valdés adolece de una equivo tante remoto con el objeto de la convocación extraordinaria. Si el objeto cación bastante esencial que debo deshacer. Es bien sabido que las cuen es el de disponer buques para hacer expediciones á Ultramar , n…</t>
  </si>
  <si>
    <t>…bondad de asistir á la comi misible , porque existía una equivocación acerca del verdadero déficit. sión , es claro que viene suficientemente instruido en la materia: asi que, El Sr. Sánchez: La comisión ha tenido presente el déficit que le paso á contestar á su discurso. Acerca del primer punto dice el Sr. se presentaba el ‘r. secretario de Hacienda en sus estados, calculado ea cretario de Hacienda que nada tiene que decir; y en efecto nada pued…</t>
  </si>
  <si>
    <t>…dec'aren si con una cantidad que tiene obligaciones afectas pués de haber hecho vanas observaciones en este partícu.ar, coaciuyo opon,endose at artículo.puede pagar otras- . . , M Sr. Sánchez: lia dicho el Sr. secretario de Flacienda que con que be suspendió e»ta aíscusion, y el Sr. presidente anunció que maña se han de cubrir las obligaciones corrientes si se dest.nan al pago de na se continuaría , y leíanlo ia sesión a .a» tres y meó.a. atrasos…</t>
  </si>
  <si>
    <t>…hab:a pod.do quitar i tiempo les obstáculos forme con la propot eion que había enunciado el Sr. Fertrr. que se oponían á su defensa ; que creía qu: la fu*rra que le atacaba era El Sr. Sánchez dijo que suscribiría gustoso i la misma proposición. insuficiente , y oras dacu'pas á que no se da lugar d ¡indo el artículo Se decían', en seguida esta artículo suficientemente discutido, y ha- en los términos indicados. Asi pues creo que ei h:b!ar de esto a…</t>
  </si>
  <si>
    <t>…ulos , y es tin duda uno de los que han obrado ,on tnaror que debe desaprobarse el ait. «." del dictamen. d.snttres , y han tratado de fomentar la instrucc on pública. Ademas ’ El Sr. Sánchez, Los consulados que han cobrado el derecho de ínterin que las Cortes no determinen los arbitrios que se han d- se que te trata lo han hecho legítimamente, pues que para ello se han ñalar para mantener los establecimientos que hasta aquí han estado á «reglado…</t>
  </si>
  <si>
    <t>Sánchez, Antonio</t>
  </si>
  <si>
    <t>Antonio Sánchez</t>
  </si>
  <si>
    <t>…ubiese as* do por el Gobierno acerca de la supresión del destino de visitador de cendido por escala en el empleo efectivo que ahora se le declara , tendrá salinas que se encargó á D. Antonio Sánchez , opinaba que debía vol una indemnización en la diferencia del mayor sueldo desde dicho «ha ver al Gobierno para que acordase 10 que estimase conveniente. Apro 7 de Marzo hasta el día en que hubiese sido ascendido. bado. Por último, reflexionando la comisión…</t>
  </si>
  <si>
    <t>…ueron motivo de acelerar las provi llama y emplaza á D. Juan García Salas, comisario de guerra ho dencias , y tal vez de no tener todo el reparo que sé hubiera tenido en norario , D. Antonio Sánchez, pintor de Cámara de S. M., D. Loren circunstancias menos apuradas. » Algunas personas respetables y libe zo Gómez, administrador de Ja Moncloa , Doña María Gcronims rales, dice una carta, fueron presas porque se presentaron falsos dela Carbonell, americana ,…</t>
  </si>
  <si>
    <t>…e tencia de las juntas, del ju am.nto que se prestaba en ellas, «g«cura para qua circulase esta noticia; y en su virtud fueron presos 4 las cion del plan y fuga de los conjurad, s D. Antonio Sánchez, D. Lo cinco y media de la mañana del dia i.° de Febrero. Pieza de Herrera, renzo Gómez y cuos. ( Se continuará.') folio 1 0 y siguientes. Que el Abuelo se retiró al Bodonal con inimo de reunir mu gente, TXIXUNALBfc ac comprueba por la declaración de Manuel N…</t>
  </si>
  <si>
    <t>…rida Doña Isabel Muñoz última poseedora, peía que faltó al cumplimiento de sus obligaciones. dentro del término de dos años, coñudo* desde el 3 de Octubre de D.cr tó la prisión de D. Antonio Sánchez, su criada Teresa* 1822 , concurran á acreditar su filiación y derechos tn dicho juzgado; Gabriel Manzanares y D. Josef Castelar, y omitió la de D. Lorenzo con apercibimiento de que pasados dichos dos años sin haberlo verifi Gómez , administrador del Pardo y…</t>
  </si>
  <si>
    <t>Sánchez, Benito</t>
  </si>
  <si>
    <t>Benito Sánchez</t>
  </si>
  <si>
    <t>…vera; y por otro te rein Ignorando la dirección g-netal de loterías nacionales el paradero tegra ai P. Solchaga en 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t>
  </si>
  <si>
    <t>Sánchez, Casimiro</t>
  </si>
  <si>
    <t>Casimiro Sánchez</t>
  </si>
  <si>
    <t>…departamentos del cuerpo. A su virtud se r¿un ó el juiaco en el tud é ignorancia. dia 31 del mes anterior, compuesto de los Sres. D. Jus-Í ce a V ga, Madrid Juren 19 dt Setiembre. D. Casimiro Sánchez , D. Joaquín de Odriraoia , L*. Angel V.igas, S. M. el Rey y SS. AA. continúan sin novedad en tu importante D. Clemente Máximo de la Torre, D. Ju'uan teme de .al..fatua, aalud. S. M. la Reina no ha tenido mejoría en su indisposición. D. Marcos Quirós, D. Segu…</t>
  </si>
  <si>
    <t>Sánchez, Cirilo Josef</t>
  </si>
  <si>
    <t>Cirilo Josef Sánchez</t>
  </si>
  <si>
    <t>…es que se degüelle las cantidades rocos sobre la vigilancia con su retado. Siguientes: por cada carnero ú oveja 5 rs.; cada macho cabrío 6; la ter Sres. que compusieron el jurado: D. Cirilo Josef Sánchez , D. An nera 8 , y por cada vaca 20 rs.; y para que llegue á noticia de las per gel Pefia, D. Josef María Domínguez, D. Juan de Dios Hidalgo Vaz- sonas á quienes se interese se hace saber el púbiieo. u z , D- Rafael Mariano Pavón, D. Julián Alvarez de Gnlmago…</t>
  </si>
  <si>
    <t>Sánchez, D Julián</t>
  </si>
  <si>
    <t>D Julián Sánchez</t>
  </si>
  <si>
    <t>…nca, contrabatid.sti de Gi■n El gefe político de la provincia de Bilbao , reunido con las tro braltar, te dirigía á Benidorra:, conduciendo geneios de ilícito co pas del mando del brigadier D Julián Sánchez y del coronel D Gas mercio , como dijo al preguntarle su procedencia y punto adonde ss par Jiuregui en oficio que recibo en este momento, y me dirige á las dirigía; y habiendo roto el fuego, en seguida s: travo el combate ,que nueve de la mañana de este día d…</t>
  </si>
  <si>
    <t>Sánchez, D- Juan Josef</t>
  </si>
  <si>
    <t>D- Juan Josef Sánchez</t>
  </si>
  <si>
    <t>…pedido el pase sin fijarse determi cardo de Alava, diputado por la provincia de Alava; para nct-presi- nadamente en ninguno, á fin de acelerar esta Operación según convie dente el Sr. D- Juan Josef Sánchez, que lo es por la de Sevilla; y para ne ; á cuyo efecto harán uso d&gt;chas autoridades de las instancias que re Secretario el Sr. D. Francisco Benito, diputado por la provincia de ciban después de pasado el término que se prefijó en la circular de 30 Toledo.” d…</t>
  </si>
  <si>
    <t>Sánchez, Estanislao</t>
  </si>
  <si>
    <t>Estanislao Sánchez</t>
  </si>
  <si>
    <t>…haya egecutado , le hicieren algún dafio en tus propiedades, serán cas tigados con arreglo al capítulo 9.®, título 3.a de la segunda parte. Ha sido nombrado gefe del Estado mayor D. Estanislao Sánchez » Si para el mismo fin allanaren violentamente, escalaren ó asalta Saltador. ren la habitación de algún funcionario público de los comprendidos Real museo de Pintura. en el primer párrafo del artículo 331, sufrirán una reclusión ó prisión Desde el martes a 2…</t>
  </si>
  <si>
    <t>…onio), B lda, Ojero, Alava, Adanero, Sán sentan en este asunto. Principiando por ei Sr. secretario de la Guerra chez, Apoitia, Bialc, Torner, Cuevas, Cortés, Alcalde , Rey, Lamas, D. Estanislao Sánchez "alvador , no puedo menos de recordar el art. 126 Casas, Marti, Sarabia , Rom , Pedral vez , Merced, Lodaret, Ruiz del de la (..onstituciop , en que se dice que será responsable el secretario del Rio, Gonza'ez (D. Manuel), Manso , Benito , sotos, Paterna, Tom…</t>
  </si>
  <si>
    <t>Sánchez, Francisco</t>
  </si>
  <si>
    <t>Francisco Sánchez</t>
  </si>
  <si>
    <t>…arbitrios, habían contestado que no tenían vase á efecto un premio que le concedió el general Riego; y otra de ninguno que proponer; en vista de lo cual pedia la diputación se la D. Francisco Sánchez, sargento 1 J graduado del regimiento de la autorizase para hacer un reparto vecinal. La comisión opinaba que po Constitución, p’diendo se le conceda el sueldo de tal por los servicios día autorizarse á la diputación provincial de la Mancha, para que to hecho…</t>
  </si>
  <si>
    <t>…mismo egército, opinaba que debía pasar al Gobierno. Cortes.” A proba ilo. El Sr. Gil de la Cuadra dijo que lu comisión no tenia ma* noticia La misma, en vísta de la solicitud de D. Francisco Sánchez, sargen que las remitidas por la secretaría de Gracia y Justicia, y que esperaba to segundo del regimiento de infantería de la Constitución, manifes tes de las demas secretarías para dar w dictamen; por lo cual se habías tando haber sido uno de los individuos…</t>
  </si>
  <si>
    <t>Sánchez, Francisco de Paula</t>
  </si>
  <si>
    <t>Francisco de Paula Sánchez</t>
  </si>
  <si>
    <t>…ación heroica, que tantos sacrificios ha he La comisión Eclesiástica en vista de la solicitud de D. Josef Canal cho, que tantas lágrimas ha der:amado, y que ha desplegado tantas y D. Francisco de Paula Sánchez, legos profeses del suprimido mo virtudes, tantos sentimientos nobles y generosos.” nasterio de S. Basilio de esta corte, para que se les aumente su pensión Se preguntó si este dictamen se discutiría inmediatamente, ó ti hasta ano ducados, opinaba que no debe…</t>
  </si>
  <si>
    <t>Sánchez, Francisco Javier</t>
  </si>
  <si>
    <t>Francisco Javier Sánchez</t>
  </si>
  <si>
    <t>…rito de sedición , les suplicaba que no vol rige y siguientes, entregando los correspondientes resguaidos. viesen á decir viva lliega, sino viva ¡a Constitución. Los milicianos la D. Francisco Javier Sánchez, intendente que fue del segundo egér-prometieron ambas cosas, y esta hermosa escena, digna de los bellos cito il« operaciones por comiiion de la Regencia de. reino, y actualtí- mpos de Grecia y Roma , se concluyó con los gritos de viva la iW mente en propieda…</t>
  </si>
  <si>
    <t>Sánchez, Geiónima</t>
  </si>
  <si>
    <t>Geiónima Sánchez</t>
  </si>
  <si>
    <t>…examinar la representación del I .y . de la Hacienda pública que custodiaban caudales de la gefe político de Ceuta sobre la pastoral de aquel K. obispo presentó tnr.nu: 1 , ,a de Doña Geiónima Sánchez, viuda, pidiendo se Ja conce- su dictamen, en el que después de algunas consideraciones manifestaba .; una pensión por los servicios de su difunto marido: otra de Don que según un oficio del Sr. secretario de la Goberr.ac.on de :a PcníaAlonso Guzman, vecino d…</t>
  </si>
  <si>
    <t>Sánchez, Ginea</t>
  </si>
  <si>
    <t>Ginea Sánchez</t>
  </si>
  <si>
    <t>…les hará conocer por una secreta inspiración cuánto deben apre Idem s f. ciar la libertad, único remedio para salvar á los pueblos y vencer i los El teniente de Rey de esta plaza D. Ginea Sánchez ha publicado tiranos. ¡ O Constitución, áncora de nuestras esperanzas; tú concibas el siguiente aviso. el interés con la justicia-, designas los derechos del hombre; ios defien El comandante general de esta provincia con fecha de 14 del ac des y conservas con…</t>
  </si>
  <si>
    <t>Sánchez, Ignacio Marín</t>
  </si>
  <si>
    <t>Ignacio Marín Sánchez</t>
  </si>
  <si>
    <t>…rados en la página correspondiente al libro ó De ¡a audiencia dt Extremadura. D. Estéban de Asta á Valencia. partida, corran libremente en las transaciones de la sociedad , en las D. Ignacio Marín Sánchez i la de Astúrias. D. Alfonso de Cavia á la compras de bienes nacionales y en el pago de contribuciones atrasadas, da Cañar .as. D. Pedro Porro Cidoncho, fiscal, á lado Valencia. con arreglo I lo mandado por las Cortes, del mismo modo que circu De la audiencia…</t>
  </si>
  <si>
    <t>Sánchez, Juan Josef</t>
  </si>
  <si>
    <t>Juan Josef Sánchez</t>
  </si>
  <si>
    <t>…e D. EzeAsimismo fueron aprobados los poderes de los Sres. D. Lorenzo quicl Diez. Aprobado. Villanueva, D. Ramón Adan y D Josef Canga Argiieiies, dipu Sevilla. D. Cayetano Valdés, D. Juan Josef Sánchez , D. Antonio tados por las provincias de Valencia , Cataluña y Asturias. González Aguirre ,D. Joaquín de Puente y Ríos. La comisión, des Se empezaron á leer por el Sr. Canga Argiieiies los dictámenes de pués de hqber examinado los poderes y el acta de elecció…</t>
  </si>
  <si>
    <t>…o que se lea un artículo de la Real cédula de t z de Fcbrerecusados, y salieron electos los Sres. D. Francisco Javier Isturíz, &gt;0 de i8só, que se halla vigente. D. Miguel Busutil, D. Juan Josef Sánchez, D. Ramón Busafia, Don Se leyó el artículo de dicha cédula. Josef Taboada y D. Jaime Gil Ordufia. A petición de un sr. diputado se leyó el oficio pasado por la secre Se nombró para la comisión segunda de Hacienda á los Sres. Sán taría de las Cortesen 14 del a…</t>
  </si>
  <si>
    <t>…Velasco, D. An Habiéndote procedido á alia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Sierra, Pumarejo, Infante, Ruiz Alvarez y Gutiérrez y D. Dionisio Valdés, p…</t>
  </si>
  <si>
    <t>Sánchez, Julián</t>
  </si>
  <si>
    <t>Julián Sánchez</t>
  </si>
  <si>
    <t>…sas de guem, Comandancias subalternas de provincia correspondientes al cuarto ú otras obliguen á los gobernadores á tomar el mando de las plazas. distrito. Para la de Santander al brigadier D. Julián Sánchez, gober Los limites de los respectivos mandos mil stares de las provincias quedas nador de la plaza de Santoña. señalados por los que se asignan í estas en la división política del terri Quinto distrito. Para comandante general de él, que se compone de torio d…</t>
  </si>
  <si>
    <t>Sánchez, Marcelino</t>
  </si>
  <si>
    <t>Marcelino Sánchez</t>
  </si>
  <si>
    <t>…io Se leyó la lista de los expedientes pasados en el dia de hoy A as Oíiez , calle de Postas: en Santiago en la de D. Pedro Romero : en Sa respectivas comisiones. lamanca en la de D. Marcelino Sánchez: en Oviedo en la de D. An El Sr. presidente señaló para discutirse mañana el dictamen de la drés Vázquez Prada : en Vitoria en la de D. Sebastian Antonio Zarria: comisión Eclesiástica que estaba señalado para el dia de hoy, y levantó en Jaca en la de D Bernar…</t>
  </si>
  <si>
    <t>Sánchez, María</t>
  </si>
  <si>
    <t>María Sánchez</t>
  </si>
  <si>
    <t>…re una pequeña huérfanas de militares y patriotas que han muerto en defensa de la jus vanguardia.” ta causa de ia Nación, cupo en la suerte del primer extracto de la de este dia á Doña María Sánchez , hija del patriota Ramón , muerto El dia 13 del corriente salió del puerto de Cídiz el bergantín de la en acción de guerra. armrda nacional nombrado Voluntario, con dirección al Mediterráneo para escoltar hasta ao leguas al este dei 1 ¡.trecho los buques mer…</t>
  </si>
  <si>
    <t>Sánchez, Miguel</t>
  </si>
  <si>
    <t>Miguel Sánchez</t>
  </si>
  <si>
    <t>…uicio de que los Sres. di bre la supresión de los conventos conforme vayan vacando. putados puedan hacer las proposiciones convenientes. A la comisión de Hacienda una solicitud de D. Miguel Sánchez, El Sr. Canga retiró la parte de su* proposiciones que se referían al capitán de inválidos de Granada , reclamando -el pago de sus sueldos examen que debe hacerse del estado de la Nación, por haberse apro atrasados. bado la proposición que sobre este asunto h…</t>
  </si>
  <si>
    <t>…tes ordinarias. tín Torrecilla, D. Raimundo Provedo, D. Francisco de Lleno, Don El Sr. Argíielle* manifestó que no pod an las Cortes acceder á esta Anastasio Nava*,IX Andrés Gafo, D. Miguel Sánchez, D. Octavio exposición, por cuanto el asunto 4 que se refería era un testimonio da Pastor, presbítero, D. Joaquín de Iberas, D. Josef Marín Coronado, la gratitud nacional; y que no siendo tampoco decoroso el decir que D. Josef Maten y D. Vicente Verga». ao ha…</t>
  </si>
  <si>
    <t>Sánchez, Miguel Vicente</t>
  </si>
  <si>
    <t>Miguel Vicente Sánchez</t>
  </si>
  <si>
    <t>…del denodado gefe político d- Gerona, La comisión Eclesiástica, en vista de la solicitud de D. Josef Al que había salido para ponerse á su frrnt?, y no dib, dudarse que no fonso, D. Miguel Vicente Sánchez y D. F.ancisco Rico, vicarios descansaran hasta que hayan aniquilado las ut&lt;mas reliquias de tan exe eclesiásticos de N .vslda, manifestando que con rste título eran unos craba facción; pero si estas fuerzas, y las que nuevamente se han des verdaderos curas pirrocos…</t>
  </si>
  <si>
    <t>Sancheza</t>
  </si>
  <si>
    <t>…rse en esta congrua los derechos llamados sidente que estos derechos se recaudaban como estaba mandado. de estola Estos derechos se pueden considerar reducidos á la nulidad , y El Sr. Sancheza, El motivo principal por que los extrangeros no con aunque se pagasen como antes sucedía, debían utilizarse de ellos los pár curren á nuestros puertos es por el actual sistema de aranceles, es de rocos. Si ascendiesen á goo millones, como se ha dicho hace poc…</t>
  </si>
  <si>
    <t>Sancho</t>
  </si>
  <si>
    <t>…s qué estah todavía, en poder de los turcos. cuerpo»-pueden representar por si 6 por el conducto regular. Patrás está en vísperas de capitular, y se asegura que la capitulación El Sr. Sancho manifestó que varios regimientos habían representado propuesta por el comandante turco (en ausencia de JusuJ-bajá, que en cuerpo á las Corles , y que la resolución que habia recaído era la de ■ - está en Lepanto) ha sido desechada por el arzobispo Germano, i…</t>
  </si>
  <si>
    <t>…misión de Hacienda la siguiente proposición tos , como también los procuradores y los Sftntes con título.** del Sr. Sierra Pambley: * Pido á las Cortes declaren que los censos, El Sr. Sancho dijo que habis una clase de empleados públicos, cuya reducción se autoriza por el decreto de r8 de Diciembre de s8az cual era la de los dependientes del Crédito público, que tenían nombra 4 créditos de capitalizaciones, ton únicamente lo* que ra expresan en e…</t>
  </si>
  <si>
    <t>…ermine el cCJigo de -¡pro— que se discutía, y no había mas que leerlo y leer el artículo de la tedimientoj. Constitución que trataba de este fuero para convencerse de Jo contra Ei Sr. Sancho dijo que mediarte á que muchas observaciones da rio; que según otros Sres. habia una declaración de menos valer , al tas que se habían hecho respecto del código penal por varios informan paso que ya se habia declarado por las Cortes que para los delitos en te…</t>
  </si>
  <si>
    <t>…juramento á la Constitución, y representado i S. M. para que cación. accediese á la insinuación de las Cortes. Temamos ya extendido el precedente artículo cuando nos envían de El Sr. Sancho presentó la siguiente proposición ,que quedó admiti la secretaría municipal el siguiente estado. Aplaudimos las miras dé da á discusión: « Pido que esta exposición y las demás que tienen re S. E. en publicarlo. lación con ios asuntos de Cádiz y Sevilla, que e…</t>
  </si>
  <si>
    <t>…te k ocuparán tus ' fétidas consiste en el modo de provocar á la inobservancia de la Cons temporalidada.* titución : si es con un discurso didáctico, se le impone una pena ma- El Sr. Sancho: Tengo un. inconveniente en aprobar ate artículo, ‘ yor que con sátiras, sirca mos ó invectivas irónicas. Asi púa me parece y a que extrafiando del reino á un prelado puede hacer mas daño des que no se ha regulado bien por los Sra. de la comisión cuánto sirve…</t>
  </si>
  <si>
    <t>Se concedió «I permiso que solicitaba el Sr. D. Joaquín Medina, El Sr. Sancho manifestó que las proposiciones del Sr. Lobato no diputado por Nueve*Galicia, para parar á otro clima mas cálido con podían admitirte á discusión , porque eran contrarias i la Constitución motivo de ui achaque*. misma, y en muy extrafio que S. S. empezase su…</t>
  </si>
  <si>
    <t>…l art. t.° verter sangre; y no había duda que estos castigos extraviaban la opi de su dictamen aprobado en esta sesión y á las de Hacienda y Crédito nión pública. público otra del Sr. Sancho al art. 1.' aprobado también en esta aesion. El Sr. Calatrava dijo que la comisión no hablaba de los delitos de El Sr. presidente dijo que mañana á primera hora continuaría te lesa majestad divina ni de penas de sangre, y solo se habiabn de re discusión del c…</t>
  </si>
  <si>
    <t>…» Pan evitar k» inconveniente* que ofrece la índemaizs- demnización de los diezmos de que te componen.” aion por medio de adjudicaciones, dar mayor valar i lo* bienes destina- El Sr. Sancho observó que la primera parte de este artículo «e de dot á ella , y proporcionar á loa partícipes el medio de adquirirlos don bia referir á los patronatos pasivos; porque en »u concepto no creia quu de mas les convenga, se Tenderán i pública subasta entre ello…</t>
  </si>
  <si>
    <t>…trie! ¡ Héroes de ls nación! No: no escuchéis jamas ba ei tener libros prohibidos con arreglo á las leyes. otra voz que la de la ley sagrada que alrededor de vuestra bandera ha El Sr. Sancho opinó qac el artículo estaba en los términos necesarios béis públicamente jurado. La ignorancia y la malicia caminan de común para surtir el efecto deseado, á pesar de que es bien sabido que ningu acuerdo para sorprenderos, dividiros y perderos. Aquella aborr…</t>
  </si>
  <si>
    <t>…amente del que expresaba el art culo: que Cualquier otra pena que merezca por la violencia cometida.” aun en el caso que había puesto el Sr. prenpinant;, el Gobierno sabría - • ¿1 Sr. Sancho dijo que en su dictamen no d bra perjudicar en nada muy bien el modo de dar una satisfacción sin necesidad de que se de lo que este artículo expresaba á lo prescripio en la ordenanza militar, clarase la guerra; pero que s n embargo podría el Sr. preopinante h…</t>
  </si>
  <si>
    <t>…ia vida de cualquiera de estas péñoras cuenco de diezmos , fueron de dictamen: se hallen cgtteierdo sus función:*, ó por razón di su ministerio, su i .* Que las tres adiciones del Sr. Sancho al att. x.° deben apro frirá por solo este atentado, aunque no llegue i herir ni á consumar barse en esta forma. Después de las palabras dtl citetlo decreta con que el delito principal , la p na de cuatro á ocho años de presidio ú ob.as finaliza dicho articul…</t>
  </si>
  <si>
    <t>…cncias. de (os Sres. Ramonet y Giraldo, del cual habia hablado el Sr. conde Art. 4.0 » Los reparos de las cárceles y de ias audiencias se satis de Toreno, ni en la proposición del Sr. Sancho habia la mocion de farán acreditando su necesidad por certificación de peritos; y en el caso que hablaba el decreto de las Cortes de 1813, porque no te habie de ascender su coste á 89 rs., se consultará i la dirección general de hecho ningún cargo, y el decre…</t>
  </si>
  <si>
    <t>…ecimientos, consejos, engaños 6 que ir á comprar estos instrumentos mas al extrangero; y habiéndola Iacción , ya proporcionándoles á sabiendas casa i .otro auxilio para apoyado el Sr. Sancho, sosteniendo que esto seria tener menos liber fabricante que en tiempo un artista y todo del despotismo, se des sufrirá la misma pana rrpauli an la primera parta dal articu tad y se á le comisión. el artículo aprobó mandó volver Aprobado.So,lo anterior.” EN L…</t>
  </si>
  <si>
    <t>…ovocaciones que sufrian mente han perecido 33 , 29 y 24 enfermos. los milicianos legales en algunos pueblos por parte de algunos que te nían exceso de patriotismo. Estadística. Ei Sr. Sancho dijo que no porque se hubiese concedido amnistía á Nacidos : varones 281: hembras 296: total 377. Muertos : varones los facciosos de Salvatierra se debía conceder con las mismas condicio 427: hembra: 231: total 6?8. Matrimonios contraídos en dicho tri nes á l…</t>
  </si>
  <si>
    <t>…uales te lo estregarán partícipes legos. Se mandó quedar sobre la mesa. directamente para ser invertido* en la compra y redención de lar rea Se aprobó la siguiente proposición del Sr. Sancho, que decía así: ta* constituidas en el gran libro. Esta operación se lihá todos los día*, » Para que las Cortes puedan entrar con todo conocimiento en el exa excepto los festivos, por porciones iguales , de orden dei director , en men de los abusos de la libe…</t>
  </si>
  <si>
    <t>…Matías López de Frías, abogado de los tribunales nacionales y del de un arresto de ocho á veinte diss.” ilustre colegio de esta corte. Y se hace saber al público con el objeto El Sr. Sancho: No se debe permitir pregonar por la calle los pape de que los impresores pasen al dicho fiscal un egemplar de todas las les impresos, pues pare venderlos hay puestos públicos y librerías, y se obras ó papeles que se impriman en esta provincia, bajo la pena q…</t>
  </si>
  <si>
    <t>…echas á los artículos que sobre este asunto están apro las piezas que cada uno tiene, creo que no puede menos de mandarse bados por las Cortes, y dijo que se conformaba con la del Sr. Sancho, que se resellen. Este negocio es sumamente sencillo; la com;síon ha y que se dJúa poner después de la palabra jarymtas en el art. 1. la de examinado todo el expediente con la mayor escrupulosidad; y si se hu cilus ,- pero no asi respecto de las demás adicion…</t>
  </si>
  <si>
    <t>…zanjaba todas las dificultades que se habían suscitado, y por lo mismo Don Fernando vn por la gracia de Dios y por la Constitución de las Cortes no podrían menos de aprobarlo. El Sr. Sancho impugnó el artículo nuevamente presentado, por la* la Monarquía española. Rey de Jas Espafias, á todos los que las presen mismas razones que expuso ayer, añadiendo que el Gobierno (pudien- ta vieren y entendieren, sabed: Que las Cortes extraordinarias han de…</t>
  </si>
  <si>
    <t>…erzas, de las a mas ó de cualquier otro auxilio para facilitar el la tercera circunstancia del artículo 6:9 asesinato, ya empeñándola en una riña ó pelea provocada por el asesi El Sr. Sancho se opuso a este artículo opinando que no se debía im no con ventaja conocida de paite de este, ó ya usando de cualquier poner castigo alguno al que admitiese un desafio 1 y después de una cor otro artificio para cometer el delito con seguridad ó sin riesgo de…</t>
  </si>
  <si>
    <t>…an Martin. envíen los mismos. Se dice que esta medida et inútil porque ya se ha Se suspendió esta discusión. tomado en otro tiempo; yo digo que la que se propone ahora no se ha El Sr. Sancho pidió que siempre que se continuase fuese con •sis. tomado nunca, porque los comisionado* que iban antes no llevaban tencia del Sr. ministro de la Gobernación de Ultremar; y el Sr. presi otras instrucciones sino romances, reducidos á manifestar que seguirían…</t>
  </si>
  <si>
    <t>…plimien ofrecía á los botadores el modo de hacerla*, no mezclándose en tilas to del decreto de 4 del corriente sobre supresión de las contadurías parta litigiosa. de propios. . Ei Sr. Sancho impugnó el dictamen de las comisiones, manifestan Se acordó tener presente en la discusión sobre libertad de im do que en el cato presente no se trataba de otra cosa que de la aplica prenta la nota de los expedientes que existían en las secretarias del Des ci…</t>
  </si>
  <si>
    <t>…eque á unos y áotroe de libertad de impreo:» celebrados en esta corte desde que se estable se aplique la multa prescrita en el art. 91.” cieron los jurados. Art. 111. (Adición del Sr. Sancho.) » Será extrafiado del reino Las Cortes quedaron enteradas de un oficio del Sr. secretario de la pera siempre, 6 sufrirá una prisión de ti á 14 años en alguna fortaUza Guerra D- J«sef Cienfuego», en el que participaba haberle concedido ile las islas adyacent…</t>
  </si>
  <si>
    <t>…uces da Carlos m é Isabel ia Católica :o9 Se mandó unir al expedienta de reforma del Crédito público una reales.” moría da D. Fermín María de Uria Nafartondo sobro dichos esta Del Sr. Sancho: » Que se sefiale una cuota de 6 á 89 rs. á los que blecimientos. pidan dispeas» «le las pruebes que se exigen para obtener las cruces de Se leyó d dictamen de le comisión sobro arreglo de casas de mo Carlos nt y las órdenes militaras.” nadas acerca de la pro…</t>
  </si>
  <si>
    <t>…haber pade algunos documentos de la junta suprema de censura, no te han podida cido el Sr. preopinante. examinar por los Sres. diputarlos, y solo se sabe rae se han fallado na El Sr. Sancho dijo: Yo convengo en que hay abusos y que deben tas causas en pro y tantas en contra; el informe del consejo de Estado remediarte; «quién negará que debe reprimirse y castigarse la disfama- no da ninguna luz- porque en lo que dsca fue eiJueml á «stsMb Jet Cio…</t>
  </si>
  <si>
    <t>…mitía i discusión , se viando á su casa fuerza armada en gran número para oponerse á cual tesóle ió que no. quiera tentativa; y annque había pedido encarecidamente que se reti F.l Sr. Sancho dijo: Con mucho sentimiento tomo la palabra para rase, porque no temía esperar á los sediciosos en su mismo ¡echo como hablar de una ocurreqda tan desagradable , en la cual han sido ¡mul lo h.:bia hecho otra vez , las autoridades no quisieron permitirlo. Pero…</t>
  </si>
  <si>
    <t>…ual debo confesar que Habiéndose concedido la palabra al Sr. Calatrava, dijo este: fas estaba muy aturdido. circunstancies actuales hacen que crea comprometida mi delicadeza ea El Sr. Sancho dijo: Nueva admiración me causan las virtudes de hablar en este asunto: nada me importa hacer un sacrificio de mi amor lo* Sres. conde de Toreno y Martinez de la lUcsa. ¡ Puede haberlas en propio , porque mis opiniones son bastante conocidas; pero mi opi mayo…</t>
  </si>
  <si>
    <t>…A DE MADRID. JUEVES 7 DE FEBRERO DE 182 a. NOTICIAS DE ESPAÑA. el Sr. presidente para la comisión formada ayer í consecuencia de la Madrid Mi: reales 6 de Febrero. proposición del Sr. Sancho al Sr. Alvarez Guerra por indisposición oSS. MM. y A A- continúan sia novedad en su importante talud.” del Sr. Calairava. Se mandaion repartir los egemplares remitido» por el Sr. secretario la» noticia» de Lisboa hasta el i.° del corriente no dejan de ser de…</t>
  </si>
  <si>
    <t>…e se prescribe» pan los impresos «n la ley de z a de aprobarse el artículo. Octubre de . 810 y en la actual.” El Sr. Navarro (D. Felipe) dijo que estaba persuadido del carácter El Sr. Sancho dijo que debía suprimirse la palabra caricatura, y sus de inviolabilidad del Rey, por el cual era acreedor á todos los respe tituir pinturas &lt;t dibujos. tos debidos á su alta dignidad , de lo que todos estaban persuadidos, y El Sr. S. Miguel, corno de la comi…</t>
  </si>
  <si>
    <t>…. Miguel dijo: Sin que trate de sostener el dictamen de I» día llegar el caso de ser ilusorio el castigo. comisión, debo manifestar las razones que esta ha tenido para proponer El Sr. Sancho opinó que la pena debía ser general, como estaba el artículo que se discute. La comisión desde luego deja vigente la dis prescrito, sin hacerse diferencia de militares, eclesiásticos y paisanos; posición de que habla el artículo correspondiente de la ley de u…</t>
  </si>
  <si>
    <t>…de. ES Rey &gt;c o* »¿i v iuouiaüd-í con moti vo d ei fallecimiento deS- A, R. sus anteriores discursos. el Sr. Príncipe Clemente de Sajonia, que la corte vista luto por 15 dias, El Sr. Sancho: El fiscal tenia antes una obligación de denunciar los á contar desde el jueves y del corriente; adviniendo que los 10 prime escritos subversivos, porque deber es tener obligación de egecutar una ros días debe Mr luto riguroso. Es asimismo la voluntad de S. M…</t>
  </si>
  <si>
    <t>…uesta manifestó que la comisión había encontrado inconvahabitantes. :, . s.1 '. asentaa-ea variar d art- ao. He aquí el resultado de la* noticias que hen dedo lo* comercien tes El Sr. Sancho manifestó que la declaración de ayer de las Cortea que h*n podido salvar su trida, aunque i costa de sus bienes, y que an de estar suficientemente discutido este artículo había sido en la intelidan buscando socorros en la* ciudades marítimas da Italia, y mici…</t>
  </si>
  <si>
    <t>…o reformaba emeEl Sr. Omti: Ea peceño ao confundir lo que ca un juicio de Cen tameate el jh del decreto da oa de Octubre; y como so estaba aprotura, coa lo que lis aisaifcatado el Sr. Sancho , que e* una calumnia. báda la inutilidad de aquel, opinó que las Cortes no debían aprobar este, Et primero k puede egercer por d último ciudadano, no digo respecto en el cual se bacía un desaíre á lúa ay untamientos con*:, usetonales y a de funcionario» públ…</t>
  </si>
  <si>
    <t>…que se hiciese esta declaración ; siempre bl.cas, sino acerca de lo. objetos de su respectivo instituto.” que se la separas» de esta ley, pira que no fuese á la sanción Ketl, y El Sr. Sancho preguntó si por este artículo se prohibía que el ayunta* deb:endo set sin perjuicio de lo que en adelante se previniere en las or miento de un pueblo pudiese representar á las Cortes para que estas su denanzas. plicasen á S. M. que convocase á Cortes extraord…</t>
  </si>
  <si>
    <t>…prevenido en esta ley, pena de perdimiento de empico.*’ y hora de las 12, en la sala de ayuntamiento de ata villa se celebra Se mandó pasar i la comisión la siguiente adición del Sr. Sancho rá el segundo y último remate con arreglo á los decretos de las Corta. al art. 9.’ » Entendiéndose esto sin perjuicio de 11 facultad que tienen nota. En la gaceta del 10 de Febrero , col. g.', lín. 88 , donde di las Cortes y la Diputación permanente de pedir…</t>
  </si>
  <si>
    <t>…de las provincias de Ultramar me acerca de la minuta de mensage de S. M. admitía la adición he la libeitad absoluta de trasladar y disponer de sus personas , familias y cha por el Sr. Sancho al art. 9.'; y opinaba que podría ponerse'en estos propiedades como mejor les convenga, sin oponérseles para ello nin términos: » No se comprend-n en esta disposición las Cortes ni la Di gún obstáculo ni medida que resulte en menoscabo de sus fortunas. putaci…</t>
  </si>
  <si>
    <t>…de votos. impona en virtud de le calificación.” Aprobado. Igualmente quedó aprobada por unanimidad la siguiente adición Dopua del párrafo 6." proponía b comisión el siguiente: del Sr. Sancho: » Que se haga extensiva esta propoaicion 4 toda la fuer 7-° » Loa pápela injuriosa en que se injurie levemente alguna pa za armada nacional.” tona , conforme 4 lo declarado en dicho capítulo 1 de la segunda parte: La comisión del código de Procedimientos pre…</t>
  </si>
  <si>
    <t>…ue le do pensamiento de la comisión , porqu.* registrando esta el código pe corresponda por tus años de ser vicio, aunque no lo haya solicitado, nal , se halló con una adición del Sr. Sancho, de que no se dió cuenta, siempre que se compruebe qoe carece de la aptitud finca necesaria para acaso po-que se trispapeió; p-ro la comisión Ja ha creído adaptable. Es el desempeño de las funciones de su empleo.” te párrafo es el que debe discutirse, y no lo…</t>
  </si>
  <si>
    <t>Sancho, Manuel</t>
  </si>
  <si>
    <t>Manuel Sancho</t>
  </si>
  <si>
    <t>…............. 152,058. 672 - Mateo Lambía, gob.mador en 1 &gt; Zrnguangua, y del estado de su t ¡. Orense..................................... 300,870. 801 lamentaría, la comunique á D. Manuel Sancho, poital de manguite Oviedo.................................... 367,501. 979 ros, ó á I&gt;. Manuel d Prado, comerciante , calle de Atocha, esquina í Falencia.............. 128,697. 343 la de la Conc-pcion Geronima de esta corta, pues por falta de ella ss Palma..…</t>
  </si>
  <si>
    <t>Sancho, Vicente</t>
  </si>
  <si>
    <t>Vicente Sancho</t>
  </si>
  <si>
    <t>…adier D. Josef Martínez de San Mar vincias. tin , que lo es actualmente de la misma: para la de Barcelona al cor A la comisión de Guerra se pasó un» representación de D. Josef nel D. Vicente Sancho : para interino de la de la Coru'.a al t^n.er.te Manuel Jorges .solicitando se le concediese la jubilación. c ror.el D. Antonio Loriga, que actualmente lo es mter.no de ía ds A la de llicienda una instancia de Doña María Machurra, pidiendo Galicia: para la de…</t>
  </si>
  <si>
    <t>El Sr. Zulueta: Pido &lt;T*« *• observe e! reglamento, y que se abra la Octave distrito mildar. (Valencia). El Sr. D. Vicente Sancho su discusión. po en Mora de Rublelos qu: una corta gavilla reconocía los pueblos £1 Sr. Canga : Las comisione» no pueden extender los decretos sin da Manzanero, el Toro e inmediato*, reuniendo la gente que según autorización para ei caso ; esto se verificó co…</t>
  </si>
  <si>
    <t>Sandalio, Antonio</t>
  </si>
  <si>
    <t>Antonio Sandalio</t>
  </si>
  <si>
    <t>…juroguiente»'. D. Cayetano Romero i D. Bernardo Asenjo; O. Josef María de 160,714 mri. sobra laa alcabala» de Ecija á favor da D. Pedro Lo.fuente; D. Pedro Metate; D. lino Campos; D. Antonio Sandalio de pez Portocarrero, á 13 de Marzo «la 1J64.—.Otro da un juro de &gt;6) Arias» D. Francisco Lopes de OlararrieU; X&gt;. Metiee Cuero y Don maravedises sobre las alcabala» de Cuenca, a favor de Doña Teresa Car Francisco Martínez Marina. rillo «fe Mendoza, en Búrgos…</t>
  </si>
  <si>
    <t>…En su vista se reunió el jurado compuesto de los Sres. siguientes: de 11 individuos de las Cortes en 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marques de y patriarca de las Indias, bautizó e…</t>
  </si>
  <si>
    <t>Sandoval, Cristóbal Gómez da</t>
  </si>
  <si>
    <t>Cristóbal Gómez da Sandoval</t>
  </si>
  <si>
    <t>…e la Real mano.sEa Pala 1617 1 d: i.jos) mrs. , en alcabalas de Sevilla, ds donde fueron mu cio á ay de Noviembre de 1821. dados i las satinas de Galicia y Asturias , en cab.za de D. Cristóbal Gómez da Sandoval, los cuales posee y pertenecen al Excmo. Sr. duque El Gobierno ha recibido los partes siguientes* de Osuna; se agradecerá á Ja pereona que ¡o* entregue ó dier: razón de • Exento. Sr.: A una misma hora hemos salido esta mañana de Sort ellos á D Josef Antonio B…</t>
  </si>
  <si>
    <t>Sandoval, Josef de</t>
  </si>
  <si>
    <t>Josef de Sandoval</t>
  </si>
  <si>
    <t>…e dei regimiento infantería do infantería de Ordenes militares, con 570 rs. k Corona , con 570 tt. Betanzoa A D. Josef Carrero , teniente del regimiento infantería de Piasencia al capitán D. Josef de Sandoval, teniente de infantería y León , con 570 ra. del batallón de la milicia activa de Granada, con 450 rs. al mes. Baeza A D. Andrea Godino, teniente del regimiento infantería de Patencia á D. Luía de la Peña y Medrano, teniente de infantería y la Reina , con 570…</t>
  </si>
  <si>
    <t>Sane, Antonio</t>
  </si>
  <si>
    <t>Antonio Sane</t>
  </si>
  <si>
    <t>…nua, ó el Manchuclo, se 1a i la izquierda , núm. 38, cuarto segundo. absuelve de la ¡nstsncia, con reserva de nueva acusación ,*i hubiere lu Se rende el monetario que perteneció á D. Antonio Sane, impre gar á consecuencia de las declaraciones del cura D. Domingo de Guo- sor de Cámara que fue «le S. M., compuesto de medallones, medalla* sala y Teresa de Iturralde, prófugos, cuya causa se sigua por separado; y monedas antiguas y modernas de diferentes m…</t>
  </si>
  <si>
    <t>Sangenis, Josef</t>
  </si>
  <si>
    <t>Josef Sangenis</t>
  </si>
  <si>
    <t>…r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putados. to* Sres. diputados. Aprobado. Valladolid. Sr. duque del Parque, Sr. conde de…</t>
  </si>
  <si>
    <t>Sanjnrjo, Rodrigo</t>
  </si>
  <si>
    <t>Rodrigo Sanjnrjo</t>
  </si>
  <si>
    <t>…ue habla el decreto de g de tos por la ley, y calificado loa Sres. D. Fernando de Zurita, D. Josef Aborto de i8ao, facultando á la diputación provincial para que ha Fetez de León, D. Rodrigo Sanjnrjo, D. Josef Miro, D. Miguel Mo bilite cata introducción cuando el trigo excediere de 8o r*. la fancga( reno , D. Alfonso Carrera, D» Gabriel Rodríguez, D. Francisco 7 la harina de i so rs. el quintal. Montoro,D. Vicente Martina Gómez, D. Antonio María Cuatre El…</t>
  </si>
  <si>
    <t>Sanjurjo, Rodrigo</t>
  </si>
  <si>
    <t>Rodrigo Sanjurjo</t>
  </si>
  <si>
    <t>…débitos sean posteriores al votado por la afirmar vi D. Josef Anima, D. Félix Albao, D. Josef ello de 1813. Pero si fuesen anteriores al afio 14, aquellos pueblos que María Tixe, D. Rodrigo Sanjurjo y D. Francisco de Paula Dhcrvc*. hubiesen renunciado á la liquidación y cobro de suministros en confor midad del decreto de 17 de Agosto de 1815, no serán incomodados por ANUNCIOS. el indicado exceso; mtt ti no hubiesen optado la renuncia, deberán pa Se venden £ dinero metálico, 6 se permu…</t>
  </si>
  <si>
    <t>Sanmartín, Juan</t>
  </si>
  <si>
    <t>Juan Sanmartín</t>
  </si>
  <si>
    <t>…............ 2.129,$5 6.*t 1 ¿ Igual. .....a. Madrid 28 de Febrero de i82 2.=Antonio Martinez^=M. el conde «le Ibangrande.=Josef Moreno. D. Melchor Castalios, al auditor de guerra D. Juan Sanmartín, y al CORTES. consejo de oficíale* generales que sentenció esta causa, incluso el mar ques de Casa-Sarria; y que no hallaba mérito p&lt;ra exigir la responsa faaSIDBNCIA DEL llRol IIICO. bilidad al coronel del regimiento del Príncipe D. Josef María Cueto, Sesión…</t>
  </si>
  <si>
    <t>Sanmartín, Matías</t>
  </si>
  <si>
    <t>Matías Sanmartín</t>
  </si>
  <si>
    <t>…amianjr, comandante del regimiento de caballería del dia 13 del corriente los Sres. D Jos f Sa-,,*»» , Soler, D. Francisco Rey, primero de coraceros ,yíD. Cayetano Ansiut. Arólas, D. Matías Sanmartín, D. Juan Bautista Antoni, D. Joaquín La comisión Eclesiástica, en vista de la exposición de Fr. Basilio Romaguera, D. Pedro Cordobés, D. Pedro Pascual Liob-t, D. Re Larraita, carmelita descalzo en Vizcaya , quejándose de no habérsele non Gascón y D. Vicente ¿…</t>
  </si>
  <si>
    <t>Sanmartín, Santos</t>
  </si>
  <si>
    <t>Santos Sanmartín</t>
  </si>
  <si>
    <t>…organizada no podrí dis- Para ia de Barcelona los Sres. D. Vicente d-í H "Tro, I) P J-o ¡ c:i r , purs que no podrá obligar á nadie al servicio sino tiene con Barr-ra y C nt:l a y D. Santos Sanmartín , y fue e.ecto el ir. ii.,;ro qu-: psgirirs i pero la comisión ha dicho que con los alcances que tiene por 66 votos de o a. e; ministerio di Marina por los presupuestos de los años anteriores, Para -a de Cacere* los Sres. D Manuel López Varo , D. Manu-l v i)i…</t>
  </si>
  <si>
    <t>Sans</t>
  </si>
  <si>
    <t>…s lados se tiene bu -na opinión ; Bmguera ,comandante del regimiento de Ara tiene el camino, emboscándose para salvarse en los montes inmediatos gón ; el coronel de artillería; el general Sans 1 Chavarri, comandante de derecha é izquierda. del tercer batallón de milicias , sugeto rico, conocido por buen patrio» Entre tanto mandé avanzar la infantería por el costado izquier la, 7 que no lo ha manifestado solamente de pa’abra, sino con las do , manda…</t>
  </si>
  <si>
    <t>Sans, Narciso</t>
  </si>
  <si>
    <t>Narciso Sans</t>
  </si>
  <si>
    <t>…cipios y en el texto de ambas leyes , juz fi los sugetos siguientes: 1&gt;. Josef Antonio Sans ysu hijo, cx.guard.a, go que en este proceso debió haberse hecho constar todo lo concer D. Narciso Sans yRius, D. N., rector de Orta, D. Agustín de Fiva- niente a la existencia de la conspiración en que Balda trabajaba con su ller ,canónigo de la catedral, O. N. Bla, ex-secretario de la inquisi partida, a los atentados, violencias y atr.ipeliamientos comet dos…</t>
  </si>
  <si>
    <t>Sans, Ramón</t>
  </si>
  <si>
    <t>Ramón Sans</t>
  </si>
  <si>
    <t>…escriturarios, acudan con ¿10 del mismo m*s , 7 firmada por J. G., denunciado por injurioso lo* respectivos documentos de donde dimanan sus créditos fi los síndi por el procurador D. Ramón Sans á nombre de D. Jos;f Mas 7 Pa- cos D. Juan de Dios Landabusun 7 D. Josef González Bulnes, para ges, a'calde primero constitucional de dicha villa , han declarado uná que esto» puedan formar y presenten en junta que ha de celebrarse fi nimemente haber lugar á…</t>
  </si>
  <si>
    <t>Sant</t>
  </si>
  <si>
    <t>…ns, que mandaba la columna, dispuso en el pu'cta as asiáticas de las que debían salir da los principados no han querido de Scgovia que el valiente brigadier inspector dscabiiiería D. Sant aga ace/lo. Wall se encargue del ala izquierda, sostenida por el etcuadron de mi De Odasa el 18 de Junio decían que al conda da Capo d* Istria sa mando. El regimiento de Almanta cubría la derecha. - En esta disposición avanzó el escuadrón siempre con el m^jor…</t>
  </si>
  <si>
    <t>Santacana, Joscf</t>
  </si>
  <si>
    <t>Joscf Santacana</t>
  </si>
  <si>
    <t>…sta apología se J'ran.- seo M.rtin-z fio. D. Vanuel Gunzaúz 80 D. Vicente de Vera acordase de ia América, y de las mvect vas que habría leído en algu 80. D. Juan Pcdto Morales 80. D. Joscf Santacana 80. Total io0 rs. nos autores poco ve rae s conira sus d scubridores y conquistadores, en quienes no suponen mas cualidades que la de una vil i insaciable codi VARIEDADES. cia; error vulgarísimo que no merece refutarse, porque los españolea Vindicación de la…</t>
  </si>
  <si>
    <t>Santafa</t>
  </si>
  <si>
    <t>…e puede haber dirá que en un país en que hay géneros estancados, y que por una mi delitos da conspiración. serable Lbra de tabaco ae puede registrar uso casa, ao debemos miase- El Sr. Santafa: Debo nú existencia á la provincia da Aragón , da la</t>
  </si>
  <si>
    <t>Santafe</t>
  </si>
  <si>
    <t>…, Fernandez .Cid, Arguelles, Canga Arguelles y Lillo. caso presente solo habia satisfecho á su delicadeza; y como habia teni Habiéndose procedido al sorteo de fiscal, recayó en el Sr. Santafe. do razón su señoría en decir que no estaba prevenido por la Constitu Se levantó la sesión á las diez y cuarto, señalando el Sr. presidente ción ni por el reglamento el orden con que dvbian leerse las memorias, para mañana sesión extraordinaria para completar…</t>
  </si>
  <si>
    <t>…vocación, ss devolvería al Gobierno tienen ínteres en sostenerla. al efecto. Asimismo hacia una ligera reseña de las utilidades de las socieda Se leyó la siguiente proposición del Sr. Santafe: » Pido que las Cor des patrióticas , donde los ciudadanos se comunican sus ideas políticas, tes se sirvan acordar que la exposición leida por el Sr. secretario de de las cuales se puede sacar un partido ventajoso; y de los sarcasmos í Gracia y Justicia, y el…</t>
  </si>
  <si>
    <t>…iese á las Cortes á fin de resolver definitivamente este expediente. forma y duración se prescribe en los artículos siguientes:” Después de una ligera discusión quedó aprobado. El Sr. Santafe dijo: Si se tratase de una visita particular, desde lue La misma, en vista del 1 ibro que te le pasó intitulado Reglas y le go suscr.birla á ella; pero no, tratándose de una visita general como Id yes del juego ortográfico de la palabra, para el uso de los ni…</t>
  </si>
  <si>
    <t>…ictamen. El Sr. aanufé juz mor , y al misino tiempo dé al poder judicial toda la fuerza mo ga que este proyecto de decreto es depresivo de la autoridad jud.cial, ral que quiere el Sr. Santafe,y que no tiene en la actualidad! poco decoroso á las Cortes, inútil é ineficaz para lo que se propine. Se dice que se excite al Gobierno para que mande verificar por si Depresivo del poder judicial no creo que lo sea , porque no puede ata la visita; ¿pero i q…</t>
  </si>
  <si>
    <t>El Sr. Santafe: En m¡ Opinión se ha confundido en la inteligencia egempio, y según la opinión del Sr. preopinante el dueño del ter del decreto de 6 de Agosto de i8(i el dominio con el señorío; loque reno se quedaría sin él, pues se dudaría si aquel canon era ó no feu ha hec…</t>
  </si>
  <si>
    <t>Santafé</t>
  </si>
  <si>
    <t>…sen ventajas los grandes ta dito público, bajo su responsabilidad, dé las órdenes convenientes pa lentos. ra que se paguen á los religiosos secularizados sus respectivas asigna El Sr. Santafé pidió que los Sres. de la comisión reformasen e! : rciones con !a posible brevedad, y con preferencia á otras atenciones tículo en términos que no se exíg’ese i los alumnos mayor cuota de la menos urgentes y recomendables; y para que se proporcione que estos…</t>
  </si>
  <si>
    <t>…y habiendo los facciosos atacado en i.~ del cor También se mandó pasar á la comisión respect va una adición de riente al pueblo de Bimbodi, que saquearon, incendiando ademas.algu Sr. Santafe á la proposición de los ires. Veiasco y Uil de Orduña pa • nas casas, corrió á socorrer a sus habitantes, los cuales, á pesar de su ra que no se entienda lo que se pide en ella con los establecimien resistencia, ibin á ser víctimas del furor de aquellos bárba…</t>
  </si>
  <si>
    <t>…para asegurar de todo riesgo conformaba con esta adición , y quedó aprobada. 6 invasión les provincias fieles de América, señaladamente las islas de Se leyeron siete adiciones del Sr. Santafe: la primera para que en Cuba y Puerto-Rico, y para sostener comunicaciones mas frecuentes todas las causas de los tribunales eclesiásticos lo* pedimentos de rebel con todas ellas , á fin de que la correspondencia del Gobierno y de los días y apremios se escri…</t>
  </si>
  <si>
    <t>…ente atentaren contra el aistema, podrá ser arrestada con ar necesitan. reglo 4 la restricción s 1.a da la autoridad Real; y convencida que sna Una de las ccois qu* ha indicado el Sr. Santafé es que pud. ra de por prtubas suficientes, será entregada i la autoridad militar mas próxi cretarse *1 secu.stro de los bicnr* de aquí.lo* que *? ha.an e n o» facma para que lo juzgue dentro del término de tres días.” cioaos, ó que los dirigen O cobi-rnau ; p…</t>
  </si>
  <si>
    <t>…lio á Francia. En París corrió la voz de que «¡ Gabinete francés no crt-.u los facciosos qu dase suprimido. en ia indisposición del lord Weliiogton, v que su» achaque* y su len El Sr. Santafe dijo que el Gobierno no habia propuesto esta medi titud en el viage eran ardides político*. D c.ase en dicha espita, qu: da; á lo que contestó el Sr. Canga que el Gobierno decía - por último habia llegado de Londres un correo con noticas de la mavor impor el…</t>
  </si>
  <si>
    <t>…Noriembre un que tengan tn-dios para subi.st r. Y p-.vjntj \n , c. ' J en próximo entra'án en la suene.” trimonio se contrae por el .'cai'»r..;n n;, - ¡.;&gt; err,. .e - I n ele) Fl Sr. Santafé manifestó que en algunas provincias no hab-an ve de la quinta , ¡ cu.ii será su restiltíio " '• I sa't r iofi : &gt;&gt; d . p* -rificado todavía el reemplazo de este año, y que se debería tener pre porcionat mi escanda!, s , y po: ú.t.mo h-,. r una p-, . ... c ■ -…</t>
  </si>
  <si>
    <t>…vieron casi en ei hoiribl- compromiso de estas autoridades. Asi que , me opongo á esta parte del articulo. hacerse fuego unas á otras, 7 en semejante é incvitab e confusión hu fil Sr. Santafe: Se ha dicho que no hay ni puede haber una Con*- bo de mandarse cesar el fuego, mas bien que exponer á nuestros va tiucion en el mundo que permita el reconocimiento de que se trata. lientes á fusilarse unos á otros. En esta parte responderé al Sr. Valdés que…</t>
  </si>
  <si>
    <t>…ios artículos si por 62 votos de 111. guientes. Pan vice-presidente quedó elegido también en primer escrutinio el Art- t.° » Las tropa» harán ia guardia en las plazas de armas, *n Sr. Santafé, por 65 votos de tai. los puntos fortificados y cuarteles , y serán relevados cada ve nte y Para secretario quedó elegido también en primer escrutinio el sefioc cuatro bcras. Valdés (D. Dionisio) , por y\ votos de 13». Art. 3.° « Ademas de las guardias habrá…</t>
  </si>
  <si>
    <t>…icios en tiempo de la guetra de ia independencia., cn pnv nido en el art. ó. del capítulo sntcnor.” especialidad en la defensa d ■ aquella plaza , y u t-n.ain ute ei tcnet tres Et Sr. Santafe : No puedo conven r con este articula, porqae coahijos sirviendo en el egército, sop ic.ba á las Cort.s que a su cuarto y sidero que la Nación t.ndria qu: hacer muchísimo* sacrificios pata paúltimo hijo se le exonerase del sorteo, be miado pasar á la comisión…</t>
  </si>
  <si>
    <t>Santafé, Pablo de</t>
  </si>
  <si>
    <t>Pablo de Santafé</t>
  </si>
  <si>
    <t>…El .Sr. Adan expuso varias razones en apoyo del dictamen de la tado i la Diputación permanente los Sres. D- Josef Luis Septien , di comisión. putado por la provincia de Cataluña, D. Pablo de Santafé, primer su El Sr. Somoza dijo que todos los artículos de la Constitución no plente de Aragón,y D. Melchor Moran ,primer suplente de Valencia, tendían á otra cosa sino al acicito, y asi es que hablando de las juntas cuyos poderes habían pasado í la comisión. p…</t>
  </si>
  <si>
    <t>Santaíe, Pablo</t>
  </si>
  <si>
    <t>Pablo Santaíe</t>
  </si>
  <si>
    <t>…cientemente discutido, jr lies, por la di Asturias; D. Josef Canga Argüsiics, por ia misma; y quedó aprobado el dictamen de la comisión. D. Pablo Lillo, por la de Jaén. j." El ;r. D. Pablo Santaíe, diputado .Se nombró á los Sres. Nuñez, Ruiz de la Vega, Becerra, Meló y por la provincia de Aragoo, ejercerá en di.ho tribunal ¡a» funciones de González ( D. Diego) para ia comisión especial que ha de examinar flaca'.” Madrid 6 de Marzo de 1822. las proposic…</t>
  </si>
  <si>
    <t>Santal</t>
  </si>
  <si>
    <t>…n pasado a los Tránceles durante la gu rra d. ¡a ndelos daños y perjuicios que ios faccio.es les ocasionan ” pendmeia, previnieron en un artículo que se l i levantase ei secues El Sr. Santal;; « De ningún modo puedo aprobar sata medida, por tro Esta Operación ra nada s? opon? a :a lev funnjrr.muí , pu s el que la considero como inútil, insuficiente y nula. Esta es » mi antender art. 4 a dice que ia Nación está ubi.vida * cons-rvar y protrg'r ¡a l…</t>
  </si>
  <si>
    <t>Santander, Milano</t>
  </si>
  <si>
    <t>Milano Santander</t>
  </si>
  <si>
    <t>…ir armonía. En Londres ss Para la d - Aragón sr proponían :os Sr-s. D. Ruperto C“-ezi, ^ot» han visto ¡os m irnos efe-tos qu: rn per., e". s f-irdos púb icis, coa Miguel M-igar y D. Milano Santander; y fue electo el rt. D. Juan mat v » d: 'isrumcrcs propagado,: omi r. T ha salido a ia pa*-sFernandez Arpona por 58 votos de til. t'j .1 smir.tierid.’Ios. Cv 11 1 .f ; 1 vaca v . cr-.b e , dic: un p?Se susp.r.dió e: i.i - lección ; y ct 'r. presidente anunció…</t>
  </si>
  <si>
    <t>Santayana, Manuel de</t>
  </si>
  <si>
    <t>Manuel de Santayana</t>
  </si>
  <si>
    <t>…c»te asunto, haya de verifi dcAlgeciras, haciendo presente el excesivo contrabando que se hace carse con presencia al menos del br. secretario de Hacienda. «n aquella costa: el de D. Manuel de Santayana jr otros vecinos de El br. Canga: La comisión, lejos de huir del ministerio, le provoca esta corte, reclamando contra la Real orden de 9 de Mayo de 1820, y d- s*a que venga á la discusión. Ahora se trata de adoptar bases, que y pidiendo que se forme causa al…</t>
  </si>
  <si>
    <t>Santiago</t>
  </si>
  <si>
    <t>…gloria, adorado de sus afibditos, temido de sus vecinos, y respetado atención de todos los ves«laderos amanta de .fe Constitución. Cree en todo el universo. mos que con efecto el señor Santiago , que la ha emprendido , ha hecho un venfedero servicio á fe Nación por medio de su Cons ARTICULO DE OFICIO. titución grabada. Lleno de fea nobles idea que no puede menos El Rey se ha servido dirigir en este dia al Sr. secretario del Despa de inspirar 4 los a…</t>
  </si>
  <si>
    <t>…n conseguir los malvados, y por los Sres. secretarios de la* Cortes , y remitiendo los pasaportes pan que celebrarían los ilusos. que vayan al sitio de Amnjuet los Sres. diputados D. Santiago bedel* Que conforme se les acaben ó se les atajen unos recursos inventen y D. Hilario Jiménez , nombrados por la* Cortes á asistir al reconocí* otros los agentes, mudando de carácter, y haciendo cuantos papeles miento del aillo que dé á luz la Scrma Sra. Doña…</t>
  </si>
  <si>
    <t>…e ios cuerpos, y de Los jueces de hecho que fueron de esta opinión son D. Francisco Hi los del comisario de guerra respectivo. dalgo , D. Antonio Cortés y Coll, D. Francisco Puga, D. Santiago de 4. * Será de cuenta de ios asentistas la totalización en fin de cada la Azuela y D. Francisco Robles y Benitez: los otros cuatro U. Ni mes de los recibos del suministro que practique, para que presentándo colás Iraola, D. Bernardo de la Peña Diaz , D. Juan…</t>
  </si>
  <si>
    <t>Santiago, Joatf María</t>
  </si>
  <si>
    <t>Joatf María Santiago</t>
  </si>
  <si>
    <t>…u salud. recursos será nulo el que tenga , y por lo mismo creo que debe apro La comisión de Bellas Altes, en vista de la Constitución grabada barse el dictamen de ia comisión. por D. Joatf María Santiago, manifestaba que solo había tenido que Se declaró este aiunto suficientemente discutido, jr quedó aproba enmendar una leve falta en la poitada, en lo que había convenido el da la medida 7.1 mismo Santiago , y por lo mismo opinaba que las Cortes podían admi As…</t>
  </si>
  <si>
    <t>Santiago, Josef de</t>
  </si>
  <si>
    <t>Josef de Santiago</t>
  </si>
  <si>
    <t>…itución política de la monarquía española , y teniendo á la vista vincia, salvo si se prueba el hecho de que no tomó medidas enérgica* la exposición que hizo el grabador dé Cámara D. Josef de Santiago , ma para evitar los desórdenes ocurridos en Lorca, ó si se manifiesta que nifestando que se le habia concedido á él este permiso por las Cortes, por providencias indirectas ¿ ineficaces no las evitó: esto no se pueda opinaba qu: no se estaba en el caso de ac…</t>
  </si>
  <si>
    <t>Santiago, Juan Manuel</t>
  </si>
  <si>
    <t>Juan Manuel Santiago</t>
  </si>
  <si>
    <t>…tasen al secretario del mismo D. Martin En la ciudad da Logroño, reunidos en jurado da acu «ación los to* Carnicera con loa documentos que lo acreditasen; te ha acordado vol Sores D. Juan Manuel Santiago, D. Agustín Tricio, D. Ventura Cha ver á citar y emplazar é loa que aun no te hayan presentado, para que cón, *f&gt;.'Canteo Benito del Valle, D. Manuel Velaaco, el- Lie. Don en el término de ocho dias , contados desde esta fecha, que por tercero Joaef Jorga Sae…</t>
  </si>
  <si>
    <t>Santibañez, Francisco Iñigo de</t>
  </si>
  <si>
    <t>Francisco Iñigo de Santibañez</t>
  </si>
  <si>
    <t>…itucional. Legarra era un eclesiástico que por La p’rsona que tuviese noticia de los herederos ó testamentarios su mismo estado tenia mas conocimientos y mas motivos para obrar de D. Francisco Iñigo de Santibañez, del comercio de paños que fue con reflexión; era un pastor de almas, é quienes no debía dar «1 escán en esta corte por los años de 1790, ss servirá djjar la razón en Ja libre dalo funesto de emprender una expedición sanguinaria, en que no se ría de Barco, é…</t>
  </si>
  <si>
    <t>Santisteban, Manuel de</t>
  </si>
  <si>
    <t>Manuel de Santisteban</t>
  </si>
  <si>
    <t>…en el mismo." La comisión de Hacienda en vista de lo expuesto por Doña María Art. 11. i) Dispondrá también el Gobierno sean exhumados los del Cármen Monserrat, viuda del cirujano D. Manuel de Santisteban, restos del benemérito Comunero obispo de Zamora D. Antonio Acu sobre que se le concediese una pensión que debió disfrutar por el mon ña , enterrado en Simancas , y sean trasladados 4 aquella santa iglesia, te pío militar; opinaba que no ae hallaba el erario…</t>
  </si>
  <si>
    <t>Santistehaa, Joaquín</t>
  </si>
  <si>
    <t>Joaquín Santistehaa</t>
  </si>
  <si>
    <t>…as resultas. El poder egecbtivo está mal combinado con el Trujillo i D. Francisco Mogollón, id. legislativo y el judicial: carece de las facultades mis indispensables pa Málaga.*! coronel D. Joaquín Santistehaa , id. ta hacer observar las leyes, y mantener el buen orden en el país, y no SigíLnza i D. Joan Manuel Iglesias, id. existe y domina tino por continuos esfuerzos y manejos de una políti Plateada i O. Claudio Viauesa, id. ca astuto y seductora, cuyo objeto ea…</t>
  </si>
  <si>
    <t>Santo, Josef</t>
  </si>
  <si>
    <t>Josef Santo</t>
  </si>
  <si>
    <t>…nal competente. para que se disminuyan los derechos de introducción en los puertos lla Aprobado. mados menores de la isla de Cuba. La misma comisión , en vista de la exposición de D. Josef Santo* Otra de los Sres. Casas, Merced, Manso y Trujillo, para que se y otros tres monges legos de la Cartuja de Sevilla, solicitando aumen refundan en una las cuatro cancillerías ó registros existentes en esta to de pensión, opinaba que esta solicitud era contrari…</t>
  </si>
  <si>
    <t>Santoe, Josef Pío</t>
  </si>
  <si>
    <t>Josef Pío Santoe</t>
  </si>
  <si>
    <t>…ayctaao Valdrá, pre»identc-=Juan Oliver y Oaicta, dipo- D- Nicolás Alonso , D. Antonio R«gm, P. Martin Miguel de Goicoetrdo arctclario^sViccáte Salvá , diputado secretario.” ebeay D. Josef Pío Santoe. Habida la conferencia, y bache Votación noPor tanto mandamos á lodos los tribuales , justicias , gefr», gober misal, resultó haber lugar á b bnMdta da cama me lm ocho votos nadores y demás autoridades, asi civiles, como militare» y eclesiásticas, siguientes.…</t>
  </si>
  <si>
    <t>Santofia, Félix</t>
  </si>
  <si>
    <t>Félix Santofia</t>
  </si>
  <si>
    <t>…ha de gt do Diciembre de t8ir. Según pasar á la dirección de estudio*. Aprobado. ae no» aaegura. por la» corta» del Sur hay aua turbulencias: no quieren Otro sobre la solicitud de D. Félix Santofia y D. Ramón Padrote al Gobierno mejicano; y cato cada »ez cómate mas desaciertos, pue» ra que se les permitiese establecer una escuela de primeras Ht» cu que aegun aseguran por el último correo te ha mandado que no ae den parroquia de Santiago de Alonso , obispado de Mondofiedo,…</t>
  </si>
  <si>
    <t>Santomá, Benito</t>
  </si>
  <si>
    <t>Benito Santomá</t>
  </si>
  <si>
    <t>…o los que lleven dos años á lo me un frare de Ahnrina y papes anomenat Nafre, denunciado por el fis nos de vecindad, y pasivo los que hayan cumplido cinco años. Ade cal de censura D. Benito Santomá , declaran á unanimidad de votos que mas se exigen en uno y otro caso las circunstancias de hallarse en el no hi lugar á la formación de causa. Barcelona 2¡ de Marzo de 1822.= cgercicío de ciudadano, y ser mayor de ij años: 3.° Que serán ele Juan Evaristo de…</t>
  </si>
  <si>
    <t>Santos, Antonio Díaz de</t>
  </si>
  <si>
    <t>Antonio Díaz de Santos</t>
  </si>
  <si>
    <t>…dicato, y en que parece discordaron plazos que mas le acomode. Se dinjirán al secretario de dicho apunta también del parecer de sus cinco compañero*, dijeron que • esto* se miento D. Antonio Díaz de Santos en el término de 30 dias, contados convencieron de que no podía pasarte 4 redactarle sin saber las bate* desde este anuncie. sobre que debía extenderte , porque como la Constitución, posterior al El terrible para todos: núm. 4 0 de los déspotas de Europa p de…</t>
  </si>
  <si>
    <t>Santos, Francisco</t>
  </si>
  <si>
    <t>Francisco Santos</t>
  </si>
  <si>
    <t>…smo fin, los, D. Josef Toribio Rodríguez y D. Josef Pereira. En comosgrafia los que es ia libertad de la patria, y la consolidación del sistema consti dichos Vázquez, Soto,Chalus, D. Francisco Santos, D.Manuel Díaz, tucional. D. Francisco González Calderón r D. Manuel Rodríguez Almeí^a. Conseguida esta intima unioo entre lo* verdadero* amigos de le En geografis el referido Soto, D. Crispiniano Briset y D. AttonioPa- libertad, dcca.rán de ánimo sus mas obs…</t>
  </si>
  <si>
    <t>Santos, Joscf Pió</t>
  </si>
  <si>
    <t>Joscf Pió Santos</t>
  </si>
  <si>
    <t>…s des os di los que hoy se han lisonjeado con noticias de mayor para su gobierno, y quedaroo elegidos ios Sres. D. Manuel María de entidad. Goiri , D. Timoteo Rodríguez Carrillo , D. Joscf Pió Santos, Don _No hay género de atllficio, por pérfido que sea, que no empleen en Josef Garay, D. Francisco López de Olavarrieta, D. Francisco Iz daño de la patria Jo* que se han declarado sus enemigos. No les ha quierdo y D. Pedio Gañido , quienes deberán presentar s…</t>
  </si>
  <si>
    <t>Santos, Josef Pió</t>
  </si>
  <si>
    <t>Josef Pió Santos</t>
  </si>
  <si>
    <t>…....................................... aooo D. Marcos Izquierdo , D. Francisco Travesado, D. Antonio Dazdel Los honorarios deberán satisfacer lo mismo,, incluyéndose en el Moral, D. Josef Pió Santos, D. Pedro Matute, D. Miguel Hipa y pago de lo* grados anteriores, si no lo* hubiere satisfecho, por cgem- D B n.to Ortega Romanillo*. plo: Un juez de primera instancia á quien se conceden los honores da Hab da la conferencia resultó haber lugar á la formación…</t>
  </si>
  <si>
    <t>Santos, Manuel</t>
  </si>
  <si>
    <t>Manuel Santos</t>
  </si>
  <si>
    <t>…a =ÍXoni*io Ca paz.=Ardoin Hubbard y com que te sepa tn paradero, se rrpite rite aviso pira noticia de los int.re pañía. = Es copia. = Ég- a.” tados siguientes: D. Josef Fontales, D. Manuel Santos, D. Ildefonso Dirección gen/ral de contribuciones dv ectar. Atoca , D. Antonio Cacío , D. Antonio Hidalgo, D. Juan Josef Ló Resulta en la dirección general de contribuciones directas que las pez , D. Diego Moraleja , D. Antonio María Quintana, D. Antonio Cort…</t>
  </si>
  <si>
    <t>Santos, Pió</t>
  </si>
  <si>
    <t>Pió Santos</t>
  </si>
  <si>
    <t>…espacho de la Gobernación de Ultramar dice go Fernandez Angulo, D. Manuel Fstéban Caíala, D. Mariano Zotal de Gracia y Justicia dada el Real «¡tío de AranjuCz con fecha de nquin , D. Pió Santos, D. Francisco Travesedo y D. Pedro Matute. ayer lo que sigue: llab'da la conferencia, declararon por unanimidad haber lugar i n El Rey (qne Dios guarde) sigue con notable mejoría. S. M. la la formación de causa. Reina y Sres. Infantes continúan sin novedad en…</t>
  </si>
  <si>
    <t>…es da Velada, en 18ca'umnioso, se reunió el jurado, compuesto de los Sres. siguientes: Don de Octubre da 1606__.Otro de un juro de 30,05 a mrs. sobre las alca-Valentín de Nicolás; D. Pió Santos; D. Juan Antonio López; D. Higi- balas de Ocaña á favor de Doña Isabel de Herrera—Otro de un jura denia Antonio Lorente; D. Domingo Fernandez Angulo; D. Mariano 441,534 mra. sobre el segundo 1 por 100 de Sevilla á favor dal marZorrequia; D. Antonio María Espe…</t>
  </si>
  <si>
    <t>Santos, Pío</t>
  </si>
  <si>
    <t>Pío Santos</t>
  </si>
  <si>
    <t>…o.... 80 Francisco Martínez Marina, D. Mivuei Ripa, D. Jaime Ruiz Abreu, g.a id............................................... 90.... 60 D L ino Campos, D Hifiiio Antonio Lócente, D. Pío Santos, Don 4.* id..................... do.... 40 Nicolás Alonso y D. Manuel Carnicero. Habida la conferencia, testilló §.* id............................................... go.... ao por unanimidad no hatee lugar i la fermenten dt crema. EN LA IMPRENTA NACIONAL.</t>
  </si>
  <si>
    <t>Sanz, Claudio</t>
  </si>
  <si>
    <t>Claudio Sanz</t>
  </si>
  <si>
    <t>…arle, si no llega a! que En el juzgado de primera instancia del Sr. D. Ramón de Argos, y les corresponde por la pensión y cóngrua, y algunos otros, por los escribanía de número de D. Claudio Sanz, penden tos autos de t.stacuaies no puede pagárseles con la puntualidad que á ios demas.” m.nuría de Daña María Luisa Caro y Ugaite, de estado soltera, na tura' y rrfina que fue de esta corte , hija de D. Josef Caro Gsrcía y Se hace saber al público que parte…</t>
  </si>
  <si>
    <t>Sanz, Eugenio</t>
  </si>
  <si>
    <t>Eugenio Sanz</t>
  </si>
  <si>
    <t>…de 30 días, contados des dos de 6 í 8 de la noche. _ El miércoles 9 se abre la cátedra da fiande la fecha de este tratado, garantías para seguridad del mismo legal- cea á caigo de D. Eugenio Sanz fiitdma. Sarán dias de lección los lu mente otorgadas por las casas de los Sres. J. Lafitte yr compañía de Pa nes, miércoles y viernes de 8 á 9 de la noche._ Los teñeras que quie rís, y A. F. Ha diroand ¿ hijos de Lóndres, agregándose entretanto al ran obtene…</t>
  </si>
  <si>
    <t>Sanz, Joaquín</t>
  </si>
  <si>
    <t>Joaquín Sanz</t>
  </si>
  <si>
    <t>…/raián por la calle nueva de las Platería» á sus un pistoletazo en una mano, batiéndose cuerpo á cuerpo cor: un cabe cuarteles. cilla , á quien mató y cogió el caballo, el bizarro D. Joaquín Sanz de 17. Se mandará iluminar toda la carrera de la vuelta de las tropas M.-nd ondo, sobre quien llamaba la atención de V. S. en mi parte de y la plaza de la Constitución. anoche; y ahora puedo extenderme á decir que su valor , unido al de i3. Retirada la tropa,…</t>
  </si>
  <si>
    <t>Sanz, Junan</t>
  </si>
  <si>
    <t>Junan Sanz</t>
  </si>
  <si>
    <t>…'o.__11 l arras » S noble me es que hayan sido heridos los bravos oficiales D. An- y barretones p ata__Un cajón p ata ¡abra’a._ Me Cuba—125 picas toei &gt; 6 n, ayudante d: Astúrias, D. Junan Sanz, subt niente d: S-- a godon__jr&gt;5 sacos cacao Caracas----349 barriles y 37 r .:cs ccíc__ pii-m y D. Ferx de Hi'i, subteniente del mismo , todos de arma Un tercio cera.—534 cueros.—441 cajas y ¡01 tercios tabaco. blanca, y fuertemente contuso el espitan del pr…</t>
  </si>
  <si>
    <t>Saocbez, Manuel</t>
  </si>
  <si>
    <t>Manuel Saocbez</t>
  </si>
  <si>
    <t>…te suena de 12 es de 14, y entre ellos Mosen Manuel Oroz, uno Ferrol iS de Noviembre. de los cabecillas de la sublevación de Caatojud, Fr. Manuel Ben to religioso mercenario, y un D. Manuel Saocbez, que te dice capitán’ Entró n esta I» fragata d: guerra de la marina nacional la Arttu- antes boticario de Atrenzi, y complicado en la facción de Sgüenza. eat procedente de Vigo; pero ui comandante no malició por desgra Los que lograron fugarse son Ad.n Truj.…</t>
  </si>
  <si>
    <t>Saotafé, Pabio</t>
  </si>
  <si>
    <t>Pabio Saotafé</t>
  </si>
  <si>
    <t>…Mariano Moreno, han sido elegidos, para presidente el señor D. Juan O.iver y García, diputado por la provincia de Milaga; para Continúan los juro* de ayer. vice-prasideate el Sr- D. Pabio Saotafé, diputado por la provincia de i/* Ocho mil soldados de Sevilla, juro 1.299,680 maravedises, quedó Aragón, y pata secretario el Sr. D. Dionisio Valdés, que lo es por la en 1.049,680, en dicha cabeza—t.“ Segundo medio por ciento de Se de Madrid. villa, ¡uro de…</t>
  </si>
  <si>
    <t>Sar, Isidoro</t>
  </si>
  <si>
    <t>Isidoro Sar</t>
  </si>
  <si>
    <t>…njqu n Ferrrr . D Juan Diez Valentín , D. Fer las fu-r/ .s &lt;|ii ■ hay en las provi .-..ias fronterizas de Turquía , por h.i!&gt;-r nando Koilr'gu-z ó : .av Ca-as, D. Joaquín Soinnza, D. Isidoro Sar sido r.i.nih 1 lo comandan! - g-n-n! de todas las tropo situadas en Li jas, D. L-r ro G--liza --z, D l&gt;:-ro -\ ’d- Ain-aga, P }t-murrio tuana. 01 3,&lt; luere , como es de ..r.siimr , lambí rr estaría hijo su, nr- B&lt;1 año, |». l.-n.i. I &gt; M I .-»•&lt;!» y D. (Vivió…</t>
  </si>
  <si>
    <t>Sar-via</t>
  </si>
  <si>
    <t>…dot debían re Debe tenerse presente que los males se reproducen si no se cortan ducirte mocho matde lo que proponía la comition , en atencon al de ra&gt;z Respecto dé la objeción del Sr. Sar-via d¡.bo decir que .os grande aumento de va’or que por tu etcasez había recibido el numera sueldos se piuan por nóminas mensuales, de modo que lodo el trabajo rio , y la ba|a proporcional que habían experimentado en aut precios consiste en hacer la liquidación e…</t>
  </si>
  <si>
    <t>Sarabia</t>
  </si>
  <si>
    <t>…s aulas las elecciones de Segovia. tres electores parece que estaban en tu favor; pero sea cualquiera el El Sr. Villanueva dijo que constaba en el expediente que habién Motivo, el Sr. Sarabia ha tenido la poca delicadeza, por no decir otra dose agolpado mucha gente en la junta electoral, los electores ó justa cosa, de venir i engañar al Congreso presentando un poder que no le ó injustamente, parece que se intimidaron por algunas voces que se tiene…</t>
  </si>
  <si>
    <t>Sarabia, Julián González</t>
  </si>
  <si>
    <t>Julián González Sarabia</t>
  </si>
  <si>
    <t>…ente para el zecibo de los refe- Jaime Sola , D.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 Hilario Brihuega, cargada de la recaudación de lanza* y media anata, que el título de Cas D. Antonio Bravo,…</t>
  </si>
  <si>
    <t>Sarabie</t>
  </si>
  <si>
    <t>…ión. Alonso por 6a votos de 111, teniendo el Sr. Herrera Bnttamante $3 En Real arden de ai de Setiembre último expedida por el minit:votos, el Sr. Romero uno, el Sr. Belda nno, el Sr. Sarabie uno, u riodeGueft*,que ha comunicado á esta tesorería general en 17 del mis Sr. Sotos uno, el Sr. Trjeiro uno', y el Sr. Znlneta uno. mo el Sr. secretario del Despacho de Hacienda, se ha servido el Rey F.n la primera votación para segundo secretario reunió el…</t>
  </si>
  <si>
    <t>Sarasa</t>
  </si>
  <si>
    <t>…, y aun con asignación de sueldo, le prometía nio de facciosos. En el acto de la aprehensión trató también de sor Balda que se le despacharía por la junta. prender la buena fe del capitán Sarasa, fingiendo ser un cura que iba á Cuál sea el valor de todas estas excepciones se manifiesta bastante decir misa en tu ermita; y solo después que se rió muy comprometi mente á primera vista; pero absteniéndome por ahora de todo racioci do , porque Sarasa trató…</t>
  </si>
  <si>
    <t>Sarasa, Félix</t>
  </si>
  <si>
    <t>Félix Sarasa</t>
  </si>
  <si>
    <t>…ra el Gobierno constitucional, en que sión te hace tanto mas notable , cuanto una circunstancia declarada por tuvo parte 1&gt;. Miguel Antonio Legarra. Que se había manifestado esta, D. Félix Sarasa, primer testigo del sumario, y gefe de la partida que ó mas bien que se levantarán partidas de facciosos con este designio aprehendió á Legarra, hacia mas necesarias aquellas diligencias. •n varios puntos de la prov ncia de Navarra; era sin duda un hecho Sara…</t>
  </si>
  <si>
    <t>…z.de.primera instancia , y Iga), dudando s Seria necesario expedir exhoitoaotra p.rte para a Je- absolví., á D. Migue. Antonio Legarra, presbítero , abad del lugar de claiacion de D. Félix Sarasa, conipr nd.do en ia lista de t.siieo» que G-.ularaz, preso en las cárceles nacionales de Pampón*, de la acusa presentirá el promotor 6&gt;cal, esta cuda podna ii.b.ra siempie , como ción d.i promotor fiscal del tribunal de primera instancia, impon éntambién resp…</t>
  </si>
  <si>
    <t>Saravia</t>
  </si>
  <si>
    <t>…,r tar a de Guerra al brigadier L&gt;. Felipe Montes, gefe de sección dice •&gt; Se levo por primera vez una proposición del Sr. González Ron,” nía. anl guo de m misma. añádase - y del Sr. Saravia.” EN LA IMPRENTA NACIONAL.</t>
  </si>
  <si>
    <t>…mismo había publicado sobre su con Noticia de los pueblos donde han cabido los premios mayores de ducta en aquella provincia. la lotería moderna nacional en el sorteo de ayer. El Sr. Saravia apoyó el dictamen de la comisión en su primera par Húmeros. Premiot. Administraciones. te, manifestando que aunque Puente haya sido separado de su destino de gefe político, no por eso podían desconocerse su» servicios. 1169a...... 10000 pesos fuertes. En Cádi…</t>
  </si>
  <si>
    <t>…nte divisibles entre los días de ca siempre ha merecido mi aprecio; llegó á Pamplona, y tomó parte en da mes. las ocurrencias de aquella ciudad lo mismo que lo* demas. Es n-cesaEl Sr. Saravia manifestó que el objeto de estas proposiciones era el rio pues que aquí haya alguna cosa oculta , y subte esto llamo la aten de simplificar las cuentas, tanto la* generalas de los presupuest a 1 como ción del Congreso, bienio tener que hablar de estos casos ,…</t>
  </si>
  <si>
    <t>…El Sr. Surra dito que como individuo de la comisión ro retiraba •probarse el dictamen de la comisión. por su parte el articu'o, porque rso le creía h útil , atendiendo á que el El Sr. Saravia manifestó que so o te oponía al dictamen de la comi fondo para gastos imprevistos debía «star destinado para ¡os que fue sión , por cuanto en la escala no se había guardado una proporc.on sen verdaderamente urgentes, y era preciso que se d:; se que m e! Cu ex…</t>
  </si>
  <si>
    <t>Saravia, Fernando</t>
  </si>
  <si>
    <t>Fernando Saravia</t>
  </si>
  <si>
    <t>…lecto de Mechoacan , para el obispado de Torios», Alcalde, D. Josef Santiago y Muro, D. Joaquín Nuilez Faicon , Don vacante por muerte de D. Manuel Ros de Mcdrano. Domingo Cortés, D. Fernando Saravia , D. Francisco Henriquez, Don Manuel Llórente, D. Josef Fernandez Cid y D. Josef Taboada Mon- El Rey, en vista de las propuestas que respectivamente ha hecho su dragon. Aprobados los poderes de estos Srcs. como proponía la co consejo de Estado, se ha dignado…</t>
  </si>
  <si>
    <t>Saravja</t>
  </si>
  <si>
    <t>…las minas, y seríamos mas fe Ecija, se reuniría á aquel la columna que salía de esta plaza mandada lices , porque es sabido que las Naciones agrícolas duran siempre, y las por el coronel Saravja, reforzada por el regimiento de caballería de Al romeras acaban cuando la* minas. cántara; y probablemente, según dice el mismo comandante de armas Dice el art. i.l&gt; que habrá dos Congresos; ¿y es este el modo de de Ecija, estarán ya derrotados completamente…</t>
  </si>
  <si>
    <t>Sarchfz</t>
  </si>
  <si>
    <t>…abía propuesto S. St. . . ' Se layó por, agenda va y mandó pasar á I* comisión de Hacienda Discutido el punto sufic¡entcmjnte, se'»«tóí el artículo por partes, una proposición del Sr. Sarchfz para que la comisión de Hacienda pro quedando aprobada la primera hasta la palabra rumana : la segunda ponga á la mayor brevedad la bases de un reglamento general para el parte, que comprendía hasta-la palabra dr/rn/ao, la-retiró la comisioa . resguardo, de m…</t>
  </si>
  <si>
    <t>Sarmentó</t>
  </si>
  <si>
    <t>…bino 7 Kan». ... *97,000 4® ceras parre* de los diputados.” *• de Ai 160,000 3; El Sr. Borge* Carneiro y otro* Sres. diputados hablaron en favor .. 99,000 l8 del artículo; pero el Sr. Sarmentó manifestó que la facultad qu- en ... 164,000 33 él se daba de poder suspender las formalidades proscriptas para la Idem de Mácente.......... t8a,ooo 37 rision de los reos era la bese mas sólida dal despotismo: que eta nglaterra se ba suspendido algunas veces…</t>
  </si>
  <si>
    <t>…nadre , se dirigió el 14 á los pueblos de Palíamelo y Lanijj, pués de leída se mandó dejar sobre la misi. derribó las lápidas de ta Constitución, recogió todas las armas que en El Sr. Sarmentó recordó que había sido el primero que había ha- contró y uno ó dos caballos, y siguió á Penal veta, que son unos ma ses de los labradores de Lanaja, distantes una legua de ella; pidió ra (1) El Espectador oriental de Stnirna, los periódicos franceses ultras,…</t>
  </si>
  <si>
    <t>Sarmiento, Diego Gómez</t>
  </si>
  <si>
    <t>Diego Gómez Sarmiento</t>
  </si>
  <si>
    <t>…lteriores mrs., puestos por salvados, sobre las alcabalas y tercias de la villa d* podría trastornar la tranquilidad general da Europa, a/ Exigir de la Miranda de Ebro, á favor de D. Diego Gómez Sarmiento, conde de Turquía ciertas seguridades con respecto á las venganza* fanática* y ex Salina*. En Valiadplid á 18 de Agosto de 14155—Otro jaro de t8o9 ceso* que podrá Cometeé un populacho extraviado; mrs., los too9 mis. á favor de D. Diego Gómez Sarmiento, conde…</t>
  </si>
  <si>
    <t>Sarmiento, María Agustina</t>
  </si>
  <si>
    <t>María Agustina Sarmiento</t>
  </si>
  <si>
    <t>…nero de 1448: otro de 361,500 mrs. de p-ine pa! , situado en alcabalas de la ciudad y reino El Sr. secretario del Despacho de la Gobernación de Ultramar dice de Sevilla á favor de Doña María Agustina Sarmiento, en Madrid á con fecha de ayer desde el Real sitio de Aranjuez lo que sigue: 13 de Enero de 1666; y otro de 96,100 mrs. al quitar á ao del millar, , *S$. MU. y A A. continúan sin novedad en su importante salud.*’* situados en la renta del servicio ordinario y…</t>
  </si>
  <si>
    <t>Sarmiento, Rodrigo</t>
  </si>
  <si>
    <t>Rodrigo Sarmiento</t>
  </si>
  <si>
    <t>…erido duque de Hijar, de 188,924 mrs., fecha 26 de Agosto de 1648 .- otro comandante publicar el bando de indulto, 6|ando el término de dos millones de Toledo, en cabeza del mismo D. Rodrigo Sarmiento de dias para su presentación, de cuyas resultas se presentaron 17, creyen Silva, de 51,338 mrt., fecha 29 de Noviembre de 1637: otro primero do lo verificarían todos por andar errantes sin saber donde esconder 1 por 100 de Antequera , en cabeza del dicho D. R…</t>
  </si>
  <si>
    <t>Sarrapio, Fiancisco Javier</t>
  </si>
  <si>
    <t>Fiancisco Javier Sarrapio</t>
  </si>
  <si>
    <t>…legua y media de esta corte , se halla va d- l adrón 4 D. Faustino Rodríguez Monroy; para el de Cambados á cante ei partido de médico con fija residencia: su dotación es la de 20 D. Fiancisco Javier Sarrapio; para el de Pontevedra á D- Josef Paz y reales diarios, cobrados por la justicia, y casa para su habitación: su Rodríguez , y para el de Redondela á D. Francisco de Berra y Briones. vecindario se compone de 160 habitantes poco mas ó menos. Los pre Se prev ene…</t>
  </si>
  <si>
    <t>Sarratea, Manuel</t>
  </si>
  <si>
    <t>Manuel Sarratea</t>
  </si>
  <si>
    <t>…de nuestra salida, he marchado 3 Jas cinco de ber: D. Carlos M. Alb-ar, D. M'guel E. Soler, D. Manuel Dorrego, la mañana con las tres compañías de cazadores de ¡os regimientos de D. Manuel Sarratea, D. Pedro Josef Agrelo, D. Manuel V. Pagóla, Jaén , Ord.nes militares, voluntarios de Castilla , la segunda compa D. Josef ¿ares, D. Manuel Rodríguez y D. Juan Balagué. ñía de pontoneros, y los granaderos de Ordenes Militares y Castilla : y Se está imprimiend…</t>
  </si>
  <si>
    <t>Sastre, Jaime</t>
  </si>
  <si>
    <t>Jaime Sastre</t>
  </si>
  <si>
    <t>…público, exceptuando 'las de Almadén, bs qne podia aprobarse dicha enagenacion. Aprobado. que por su naturaleza no deben pasar á empresas paiticuiarea.” Otro tobre la solicitud de D. Jaime Sastre, escribano de la isla de El Sr. Lagasca se opuso á este articulo, 7 después de una corta dis Menorca, pidiendo se le habilitase para egercer la profesión de abogado ensión con lo* fires. Isturiz, Marau 7 Salva, te div.dió el artículo en en los negocios en que…</t>
  </si>
  <si>
    <t>Satcho</t>
  </si>
  <si>
    <t>…cer la mocion , y á mas de las red i ones del ir conde d. To ser ios responsables, y no d-b: haber uno condenado y otro no. l’ero rteo puede aliad rs- que basta la proposic.on del Sr. Satcho par, qu« prescindiendo de las lepes de Part da (aunqa: mientras no estén de» la baja. Lo mas sm.u.ar es que la com.sion d c: en su informe qu. en rosadas son las del remo), ¡ei un dentó suspender la egrcucon da la representación no parece criminalidad, es dec…</t>
  </si>
  <si>
    <t>Sativ</t>
  </si>
  <si>
    <t>…ndría que los Sres. diputados que gando todos ios que hasta aquí s; hacían, conforme á la prepuesta impugnaban ct dictamen presentasen otra escala mas proporcionada, ai por el hr. diputado Sativ a en la proposición que acompaña;} aproba la hallaban fundando sus observaciones en hechos para que la comi da se logra economizar molestia» i los interesados, brazos á la» oficinas, sión pudiese hacerte cargo de ellas. y facilitar los a usté» y la rendición…</t>
  </si>
  <si>
    <t>Satnz, Manuel Alaria</t>
  </si>
  <si>
    <t>Manuel Alaria Satnz</t>
  </si>
  <si>
    <t>…r go 2, debían aprobarse. Quedó aprobado el dictamen de la comisión. Toledo, opinaba que debían aprobarse , á pesar de la ligera falta de ha Toledo. D- Gregorio *nz de Villavieja, D. Manuel Alaria Satnz berse celebrado aquella elección en el sábado i.° de Diciembre, debien de Buruaga y D. Franc seo Bas Garba. Fueron aprobados ios poderes do haberlo hecho en el domingo 2. Después de una ligera discusión de estos ares, como se proponía. fue aprobado el dictame…</t>
  </si>
  <si>
    <t>Saturnino</t>
  </si>
  <si>
    <t>…25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marques de y patriarca de las Indias, bautizó en la Real parroquia de S. M. Don Cusano. Manuel María Ochoa , cx-director de los caballeros Pa…</t>
  </si>
  <si>
    <t>Saucbo</t>
  </si>
  <si>
    <t>…ne peoa de muerto conforme con la ley de infracciones de Constitución. ul fu hiciera alguna tentativa para disolver la Diputación permanente Se aprobó la siguiente proposición del Sr. Saucbo: ■ que vuelva es éo Cortes, ó para impedirla el Ufare egercicio de tus funciones. No me te capitulo i la comisión par» que haga las observaciones que juzgue drtrnrfrf en examinar la cuestión de si en este caso seria justo castigar oportunas.* la tentativa con…</t>
  </si>
  <si>
    <t>Saugar, Francisco</t>
  </si>
  <si>
    <t>Francisco Saugar</t>
  </si>
  <si>
    <t>…curso, y labrillantez y buen orden nota de injurioso en primer grado. En su consecuencia ha sido condena de las tropas de esta guarnición , batallones de zapadores y milicia na do D. Francisco Saugar, responsable de dicho artículo i ia pena de cional local que se hallaban formadas en batalla desde la puerta de seis meses de prisión y i Ja multa de 1500 rs., debiendo ademas pa Atocha hasta la de Recoletos, hacían majestuosa y magnifica esta so gar las cost…</t>
  </si>
  <si>
    <t>Sauz, Claudio</t>
  </si>
  <si>
    <t>Claudio Sauz</t>
  </si>
  <si>
    <t>…u.rza auxiliar del egér- meses desde este publicación en el juzgado de dicho Sr. Argos , y por clto pata el año económico da i3i* á 1823 las economías que expresa la escrib&gt;nía de D. Claudio Sauz; apercibidos de que pasado dicho tér el calado siguiente: mino te procederá á lo que haya lugar. Reales vn. Por providencia del tribunal del consulado de corrí-reio de Cádiz sí cita, llama y emplaza i cuantos te crean con derecho contra el alma En la secretar…</t>
  </si>
  <si>
    <t>Sauz, María</t>
  </si>
  <si>
    <t>María Sauz</t>
  </si>
  <si>
    <t>…el Congreso D. Francisco Casavaño, teniente de Rey de Puerto-Rico. no ha perdido un momento, y que todos sus individuos sabrán morir A la misma otra solicitud como la anterior de Doña María Sauz, si fuese menester pira llenar exactamente ios sagrados deberes de sus viuda de D. Manuel Fernandez, capitán retirado. encargos. Pido que se haga esta declaración para que se sepa que no so Las Cortes oyeron con agrado el donativo que en favor de la Na lament…</t>
  </si>
  <si>
    <t>Sauz, Tomas</t>
  </si>
  <si>
    <t>Tomas Sauz</t>
  </si>
  <si>
    <t>…tuario y monturas. vención de que concurra á ella precitamente el deador común y d » Resuelto á no rendirme jamas, no quito contestar, y en la.larde síndico administrador judicial D. Tomas Sauz; apercibidos que tu su del 4 mandó el gefe de los facciosos , viendo mi tenaz resistencia, i defecto, y de haber necesidad de la convocación é otra junta, serán de tres mugeres decentes del pueblo para que me hiceten señales coa usos tu cargo y cuenta cuanto*…</t>
  </si>
  <si>
    <t>Scbastiani</t>
  </si>
  <si>
    <t>….’mun.a, D. Anselmo Ibañcz, mil.c aro vo El ministro del Interior respondió á todos los puntos expuestos por luntario de Bfagos y D. Jonf Tabarrs, vecino de esta villa, que con el general Scbastiani, y particularmente al de España , diciendo que ni el mayor entusiasmo se presentaron con sus caballos y armas. L&gt;;spuc» á un solo español se había recibido en Francia sin haber dejado antea de algunas horas de marchar logró la tropa avistar a los face oso» ,…</t>
  </si>
  <si>
    <t>Schcídizagel, Joaquín</t>
  </si>
  <si>
    <t>Joaquín Schcídizagel</t>
  </si>
  <si>
    <t>…el de Biesa, teniente del regimiento infantería Monterrey á D. Josef María-Pruna, teniente del regimiento in—• de la Corona, con 570 rs. Cantería de Galicia, con 570 rs. AlcaSu al capitán D. Joaquín Schcídizagel, teniente del regi Mallorca al capitán D. Pedro Mariano Fabregnes, teniente de inmiento suizo núm 4.a, con 570 rs. fanteiía y ayudante supernumerario del batallón de le milicia active da Badajoz A D. Josef María Caodalija, teniente do infantería auper- Palma,…</t>
  </si>
  <si>
    <t>Schuoriquer, Domingo</t>
  </si>
  <si>
    <t>Domingo Schuoriquer</t>
  </si>
  <si>
    <t>…a D. rece ion general del quierdo con el fin de entretenerlos, y cuatro compañías de la mis ramo por el término de 30 dias; debiendo dar los que las obtengan las ma al mando de su comandante D. Domingo Schuoriquer por la correspondientes fianzas, y tener las circunstancias prevenidas por los derecha con igual objeto. Inmediatamente mandé que la séptima com- decretos y órdenes acerca de empicados. pafiía del primer batallón de movibles, al mando de su bizarro es pitan D…</t>
  </si>
  <si>
    <t>Sclilc, Miguel</t>
  </si>
  <si>
    <t>Miguel Sclilc</t>
  </si>
  <si>
    <t>…nes / fran carta de ciudadano á D. Gerónimo Casimiro Marques y á D. Pablo ceses acerca de una opinión pública y de un mooimimto nacional que obli Priscini, y carta de naturaleza á D. Miguel Sclilc, según lo solicitaban garán al Gobierno á tomar tal ó cual determinación. Lo diseminado que diches intensados. Aprobado. te halla el pueblo ruso, la lucha habitual entre Petersburgo / Moscow, Se leyó nn oficio del Sr. secretario del Despacho de Gracia y Jus l…</t>
  </si>
  <si>
    <t>Scmoza</t>
  </si>
  <si>
    <t>…a que las Cortes podían admi Asimismo se aprobó la 8.* tir la dedicatoria hecha por el interesado. Aprobado. El Sr. Galiano hizo una adición , relativa i » que toda negociación El Sr. Scmoza leyó una exposición del Sr. diputado Riego, en la •c entendiese sin admitir mediación de potencia extrangera;” y pata que manifestaba que ia connsicn de Casos de responsabilidad no había apoyarla dijo: Los motivos que me mueven á hacer esta adición son ca pre…</t>
  </si>
  <si>
    <t>Scoan</t>
  </si>
  <si>
    <t>…l Gobierno, para que comisión. Y así se acordó&gt;. •y ,ndo al consejo de Est|do propusiese lo mas conveniente. Varios militares preso* igualmente en las cuatro torres de la Carra El Sr. Scoan: dijo, que con este motivo no podía menos de reco• ca por los mismos sucesos hacían presente que su delicadeza y pundo Dtendar á las Cortes los establecimientos literarios, muchos de los cua nor les obligaban á manifestar que sus deseos eran que !a causa se c…</t>
  </si>
  <si>
    <t>Scoane</t>
  </si>
  <si>
    <t>…bjeto de atender á la dotación del clero y del culto. Por lo dornas, donde, á pesar de qne la junta diocesana satisfizo cerca de 20c 9 rs. del aun cuando sea exacta la opinión del Sr. Scoane , debe sin embargo te primer tercio, y no habiendo cumplido el segundo, se embargaron por nerse entendido que este artículo está enlazado con los dcinas del pro él intendente de la provincia 31,651 (anegas de trigo, 19$ de cebada yecto, y no se le puede consi…</t>
  </si>
  <si>
    <t>…la elección de secretario tuvieron en primer escrutinio el seCor vincia entera en defensa de la Constitución ti amenazase un peligro Florcz Calderón 70 votos, el Sr. Benito 71, el Sr. Scoane uno, el se que exigiese medidas extraordinarias. ñor Brida otro, y el Sr. Soria otro; y no habiendo obtenido ninguno Calataytid tt Ae Atril. de dichos señora la mitad y uno mas del total 144.a procedió 4 seEl Sr. gefe político de esta provincia nos ha dirigid…</t>
  </si>
  <si>
    <t>…e la Gobernación de la Península, contrayéndose comisión informase con especificación de dichos productos. al ramo de Bellas Artes, dijo que la Nación española era acaso una de El Sr. Scoane opinó que podían darse al ministerio los dos millo las mas ricas de Europa en esta dase de monumentos, 7 que atendien nes que pedia ; y dijo que aunque los derechos de unidad importaban do al estado en que se hallaban actualmente sin haber quien cuidase de mu…</t>
  </si>
  <si>
    <t>…cruz la conducta con 80:9 pesos que es sorteo decidiese cual debía ser suprimido según proponía la cominon. taba detenida en Ja ip, por cuyo motivo te detendrían las corbetas y El Sr. Scoane expuso que en su concepto no deb a suprimirse eJ es al Aquilet, que te trata siga á esa—El Campeador tale dentro decinco cuadren de 5. Fernando, en lo que los demas convendrían gustosia dias con la Motezuma y otros buques—H.«n entrado de Tampico dos por los m…</t>
  </si>
  <si>
    <t>…t« j relaciones en aquel contorno podía ir á cualquier pueblo inmediato mandados poner en libertad, sin que tato les perjudique en su buen; sin necesidad da pasaporte. opinión. El Sr. Scoane manifestó que siempre era bueno que te estableciese Creemos digno de publicarse lo que con este motivo dice el fiscal que todos los que pasasen de un pueblo á otro lo hiciesen con pasa *1 Sr. gefe político : » Lejos de mí aquella tiránica idea de general ¡«r…</t>
  </si>
  <si>
    <t>Scoane, Antonio</t>
  </si>
  <si>
    <t>Antonio Scoane</t>
  </si>
  <si>
    <t>…senda seno en tercer grado, por los Sres'. conde de Totrefresno, D. Marcos de la franqueza : fiel observadora da las leyes, nada debe ocultar á los Meneo, D. Zoilo Goinez Casero, D. Antonio Scoane, D. Isidro pacíficos ciudadanos para restituir la tranquilidad y dulce calma i sus* Merino, D. Amonio Díaz del Moral, D. Josef Kives Queraltó, Don hogares: os hize en mi último anuncio del 1 una promesa, y voy á Juan Luque , D. liarlos González Llanos y D. Jo…</t>
  </si>
  <si>
    <t>Scpúlveda</t>
  </si>
  <si>
    <t>…uera del cuartel deGrcen- la guarnición «leí castillo de 5. Jorge hasta poderlo hacer coa datos ana ■aguros. WICEste otado presenta na excedente «a U» ingresos de 3-133$ librai El general Scpúlveda tuvo noticia de que algunos soldados éet re esterlinas, el cua: se colocará en el primer articulo de ios inareso, de gimiento núm. 24, con pretexto de pedir sus licencias, intentaban 1823, cuyo presupuesto que ha de constar de los mismos art-.cuios de amotina…</t>
  </si>
  <si>
    <t>Scr-suiu, Miguel Torres</t>
  </si>
  <si>
    <t>Miguel Torres Scr-suiu</t>
  </si>
  <si>
    <t>…la D. Joaquín Sanz de Mendiondo , que viene voluntar,o, aban iezi impone á 11» naciones para que no sufran la injusticia de las demas, donando su ca»a é intereses, como &lt;eua!mente D. Miguel Torres Scr-suiu para cualquier Estado el derecho de no consentir se le prive da ianot, capitán retirado , vecino de Bliñano; los servicios de estos pa ninguno de los que go2a, ni de nada que le pertenezca legítimamente; triotas exigen de justicia el reconocimiento de los bue…</t>
  </si>
  <si>
    <t>Scrrcño, Benito</t>
  </si>
  <si>
    <t>Benito Scrrcño</t>
  </si>
  <si>
    <t>…o muchas mas, pue&gt; que genera!: le. mismo han padecido, aunque s n pr.sion, D. Antonio (Jeestaba declarada en estado de sitio; y las Cortes tuvieron á bien dar un reda y tu h:jo , D. Benito Scrrcño y su hijo, el pací: Castillo y otros bando, por el que se le dabe al grbernador una autoridad p ena. Asi varios. pue» cr.oqueel artículo es de absoluta necesidad, y que d:bi aprobarse. —Un periodista de esta capital publica boy noticias de París hasta el si;…</t>
  </si>
  <si>
    <t>Scuftert</t>
  </si>
  <si>
    <t>…lico y la de Peticiones- El ir. de bchrenck , consejero » Por último, no precipitéis la sanción de las leyes que se os del ministerio, fue elegido presidente, y vice-presidente el Sr. Scuftert, presenten, mayormente cuando te refieran á la policía ó á la hacien consejero de Estado; y al dar las gracias por sus respectivos nombra da, porque estos dos ramos son las bases en que estriba la felicidad ó mientos encargó el primero la mas fiime adhesión á…</t>
  </si>
  <si>
    <t>Sdsate, Rafael</t>
  </si>
  <si>
    <t>Rafael Sdsate</t>
  </si>
  <si>
    <t>…negocios domésticos, En la ciudad .de Tarragona, reunidos los Sres. jueces de hecho y también es cierto que notamos en dos periódicos, uno ingles y otro Don Josef Antonio Bertrán, D. Rafael Sdsate, D. Ar.tonio Gutiér francés, «n lenguage di veno del que antes usaban .* enemigos irreconci rez de Pando, D. Guillermo Olivrr, D. Pablo Sauri y Ern, Don liables da la Espada, invocéban contra nosotros todo el poder da la santa Juan Olivclla, D. Josef Pujol, D…</t>
  </si>
  <si>
    <t>Se, Baltaisr</t>
  </si>
  <si>
    <t>Baltaisr Se</t>
  </si>
  <si>
    <t>…dicó por mitad á Francisco Salas y Anto gue un test manió de dicha sentencia, suplica á la persona que tenga nio Oliver. noticia del paradero de la referida causa lo manifieste fi D. Baltaisr Se n.mlaó í continuscion un crecido número de alumnos de 1a* Doncel, agente de negocios, calle da Relatores, núm. 15, cuarto 1“ clas-s de matemáticas que dirige la sociedad, los que manifestaron su- El sitio de la Rochela , ó el triunfo de la conciencia en la de…</t>
  </si>
  <si>
    <t>Se, Cayetano Ro</t>
  </si>
  <si>
    <t>Cayetano Ro Se</t>
  </si>
  <si>
    <t>…bruto: hechos extraños, de Mayo último, como injurioso á la persona d* su padre D. Juan ; f Que nos oculta el velo de los años. habiéndose reunido el jurado, compuesto de losSeet. D. Cayetano Ro Se venden ios dos primeros cantos, y el tercero intercalar (qo* a mero, D. Marcos Izquierdo , D. Mamerto de Landaburu, D. Josef de •1 original del autor ) «n la librería de Cruz. han M.llan, D. Jo,ef Gómez Albacete, D. Julián de Fuent.s, Dea ANUNCIOS. Francisco…</t>
  </si>
  <si>
    <t>Se, Correa de</t>
  </si>
  <si>
    <t>Correa de Se</t>
  </si>
  <si>
    <t>…Alcañíz, desde Calanda á 1” del comente. Bes por los ordinario* arte loa cuales se hubiese verificado el concurso.” n Los faccioso» en núm-rode 300 a! mando del infame Royo se El Sr. Correa de Se abra dijo; Este artículo habilita i lo* religioso* atrtv.ercn i insudarnos en esta, y después de ua vivo fuego han sido que permanecieren en el claustro para obtener por concurso cualquier desalojados y obligados á huir vergonzosa y precipitadamente á la bene…</t>
  </si>
  <si>
    <t>Se, Hcnrique Pimcntel</t>
  </si>
  <si>
    <t>Hcnrique Pimcntel Se</t>
  </si>
  <si>
    <t>…ento segundo de aquel cuerpo Felipe Gutiérrez, y i los milicia tualmente existen ; por consiguiente es muy distinto un caso de otro. nos voluntarios de Burgos D. Anselmo Ibafi-z , D. Hcnrique Pimcntel Se ha dicho que la comisión camina en el supuesto falso de que los Y D. Vicente CoiUntes, al de A randa D. Francisco Fernandrz Caricesantes de que se trata están inclusos en el decreto de las Cortes que hatiós , a*, de Villarcayo D. Lucas Martínez j y i los de P…</t>
  </si>
  <si>
    <t>Se, Isidro</t>
  </si>
  <si>
    <t>Isidro Se</t>
  </si>
  <si>
    <t>…iscusión era vaga, no tema origen y de nada mingo Fiz: el a.° i P tosef Metiche , teniente coronel de los ejérci servia. tos nacionales, y ag },do al E. M. de esta plaza: el g.° á D. Isidro Se hizo la pregunta propuesta por el Sr. Arguelles, y tas Cortes tePacha, romano y domiciliado en Pa'ma de Mallorca: él 4.0 í D. Ni solvieron que se leyese. colás Munusid, teniente coronel retirado: el 5.0 á D. Juan de Broche, El Sr. secretario del despacho de H…</t>
  </si>
  <si>
    <t>Se, Jo</t>
  </si>
  <si>
    <t>Jo Se</t>
  </si>
  <si>
    <t>…sidente agregó ¿ la comisión de Caminos y Canales al se- D. Marcos Antonio Menezo, D. Antonio Alcázar, D. Gregorio Sor Ojera Mendivii, D. Andrés Moya Luzunaga, D. Gaspar Aguilera, D. Jo Se leyó tina adición de lo* Sres. González Alonso, Serrano y LiUo sef María Puente, D. Ventura Rubio, D. Juan Fernandez-Casariego, al dictamen aprobado anteriormente para que las autoridades políticas D. Francisco Travesedo. bajo su responsabilidad remuevan lodo…</t>
  </si>
  <si>
    <t>Se, Joscf Montalbo y</t>
  </si>
  <si>
    <t>Joscf Montalbo y Se</t>
  </si>
  <si>
    <t>…no armada en loe asuntos de la Península. ciudad ; y lo» cobard.s, que lot esperaban entre las grietas de sus ás Mdlmg* ao de Agosto, peras breñas, veitieron le inocente sangre de D. Joscf Montalbo y Se han publicado en esta capital las noticias siguiente*: D. Josef Gil; murieron , sí, murieron; p;ro serán eternos en la memo D. Manuel «le Lancha, teniente coronel «le los egércitoe nacioaa» ria de lot buenos , y tus manes, que nos piden la venganza , nos ense…</t>
  </si>
  <si>
    <t>Se, Josef Antonio</t>
  </si>
  <si>
    <t>Josef Antonio Se</t>
  </si>
  <si>
    <t>…no debían las Corles ac con 10 tablas: su precio 8 rs. vn. Se hallará en la botica de D. Fran ceder á esta solicitud. Aprobado. cisco Villegas , portal de Manguiteros; y en la de D. Josef Antonio Se leyó la lista de los expedientes pasados en el dia de hoy A as Oíiez , calle de Postas: en Santiago en la de D. Pedro Romero : en Sa respectivas comisiones. lamanca en la de D. Marcelino Sánchez: en Oviedo en la de D. An El Sr. presidente señaló para discutir…</t>
  </si>
  <si>
    <t>Se, Josef Caro Gsrcía y</t>
  </si>
  <si>
    <t>Josef Caro Gsrcía y Se</t>
  </si>
  <si>
    <t>….stacuaies no puede pagárseles con la puntualidad que á ios demas.” m.nuría de Daña María Luisa Caro y Ugaite, de estado soltera, na tura' y rrfina que fue de esta corte , hija de D. Josef Caro Gsrcía y Se hace saber al público que parte de la correspondencia de As de Doña Paulina Ugarte y Herí fio, naturales que fueron el primero turias, que debió llegar á esta corte ayer 17 del corriente, fue inter de la villa de Valdemoro, y la segunda de la ciudad de Valenc…</t>
  </si>
  <si>
    <t>Se, León Ama-</t>
  </si>
  <si>
    <t>León Ama- Se</t>
  </si>
  <si>
    <t>…si ó por pro curador , dentro del termino de 30 dias, contados desde el de hoy. atrayendo para siempre esperanzas siniestras.” La imprenta de la carrera de b. Francisco, propia de D. León Ama- Se ve muy bien que todo va á quedar en regla y en reposo ; pero tqné utilidades sacarán los pacificadores! » La Rusia no recogerá mas rita, y el despacho principal del Censor y del periódico de las Damas, se han trasladado á la plazuela de Santiago, casa núm. i.…</t>
  </si>
  <si>
    <t>Se, Manuel María Melga</t>
  </si>
  <si>
    <t>Manuel María Melga Se</t>
  </si>
  <si>
    <t>…ción que hicieron los alumnos mismos para los tres pre mios qu* debían darse á los mas sobresalientes, y realizada con ia debi AVISO. da formalidad resultó adjudicado el primero á D. Manuel María Melga Se hace saber á los Sres. partícipes legos de diezmos qne el día 1) res, el segundo 4 D. Juan Bautista del Rio, y el tercero á D. Mariano del corriente me* de Julio se instaló en la ciudad de Vitoria la junta Gudal, á quienes se entregaron ios egemplares de ia o…</t>
  </si>
  <si>
    <t>Se, Mercedes Vi-</t>
  </si>
  <si>
    <t>Mercedes Vi- Se</t>
  </si>
  <si>
    <t>…y fines correspondía, suplicaba á las Cortes determinasen á qué juzgado habia correspondientes. Madrid 7 de Marzo de 1ÍÍ12. de acudir. A la comisión de Hacienda una exposición de Doña Mercedes Vi- Se halla vacante la plaza de administrador depositario de la adua llaurruria , en solicitud de que se la conceda una pensión. na de Tarifa, habilitada de cuarta clase, y dotada en 5500 rs. anuales; A la de Legislación un expediente dirigido por el secretario del…</t>
  </si>
  <si>
    <t>Se, Pe</t>
  </si>
  <si>
    <t>Pe Se</t>
  </si>
  <si>
    <t>…nguna; y que el artículo debería decir: » Un mismo in dividuo pu.de ganar uno ó muchos cursos &amp;c.” Sesión ordinaria del te. El Sr. Seoane apoyó lo manifestado anteriormente por el Sr. Pe Se leyó y aprobó el acta de la anterior. dralvez. Se dió cuenta de una exposición de D. Vicente Bcltran de Lis, en El Sr. Garoz se opuso á que se hiciesen pagar tantas cuotas cuantos que manifestaba que penetrado de la necesidad de fomentar la marina eran los cu…</t>
  </si>
  <si>
    <t>Se, Rie</t>
  </si>
  <si>
    <t>Rie Se</t>
  </si>
  <si>
    <t>…art. too del regla cada uno; dos i expensas de la reunión patriótica , 7 uno á nombre de mento, no ae admitió i discusión. un digno militar; y se presumía que este fuera el m.imo general Rie Se mandaron pasar á ia coni'tioñ especial nombrada para examinar go. El iq salió este general para Carmone „KI die 4 y 5 había estado la memoria del Sr. secretario de la Gobernación de la Península las el general Riego en Tarifa; recorrió las nuevas obras nechas…</t>
  </si>
  <si>
    <t>Se, Sánchez</t>
  </si>
  <si>
    <t>Sánchez Se</t>
  </si>
  <si>
    <t>….£c-cic&amp; del -:-n_.l general 7 de las bases orgáni civil, pues siempre tenia el carácter de una verdadera pena. cas de los mismos. El Sr. Quiroga impugnó igualmente le opinión del Sr. Sánchez Se dió cuenta de una exposición del coronel D. Gregorio Piquero Salvador, manifestando que según el espíritu del Congreso y el tenor Arguelles, manifestando la agitación en que se hallan los bah tintes de lo literal del decreto orgánico del egército no podia ser…</t>
  </si>
  <si>
    <t>Se, Soria</t>
  </si>
  <si>
    <t>Soria Se</t>
  </si>
  <si>
    <t>…ario de lo que deseaba, pu.-s ya se ve que tos tenedores tienen un de asunto de bastante importancia ; y asi se acordó. recho á la posesión; aunque es verdad que también añadió el Sr. Soria Se aprobó un dictamen de la comisión de Hacienda, conformándo que á la sombra de estas concesiones se cometieron usurpaciones y otras te con el que había dado la especial de causas de estado del año 14 de injusticias; pero si su señoría tuviera presente el porme…</t>
  </si>
  <si>
    <t>Sea-, Correa de</t>
  </si>
  <si>
    <t>Correa de Sea-</t>
  </si>
  <si>
    <t>…e ciudadanos que abandonan los quehaceres de sus los párrocos. casa» para defender la libertad de la patria. Muchos creían que no sa Habiéndote leído lo» mencionado» artículo*, el Sr. Correa de Sea- liera de Barcelona, 7 se había tratado de desacreditarle; pero la expe bra dijo que iba á perderte inútilmente mucho tiempo en esta dtcu- riencia ha manifestado que los barceloneses, como verdaderos aman sion ti el Sr. presidente no señalaba para ella un artí…</t>
  </si>
  <si>
    <t>Seavedre</t>
  </si>
  <si>
    <t>…Francisco Serrano, coronel del regimiento de Salva sobre el arreglo del clero. caballería de Sagunto, D. Florencio Ceruti, teniente coronel del mismo A la de Legislación otra del Sr. Seavedre sobre que ningún extrancuerpo, y el capitán D. Agustín Chinchilla, sobre varias infracciones gero mande cuerpo, plaza ó prov íncia sin tener dispensación particular de Constitución y ley cometidas en la cause que se les formó á conse de las Cortes para ello.…</t>
  </si>
  <si>
    <t>Sebas</t>
  </si>
  <si>
    <t>…venta final ; avisando con oportunidad al (gobier el Sol. no si llegase el caso de reunirse en gran número, para acordar las Señores que declararon no haber lugar: D. Pedro Calvo, D. Sebas providencias que se estimen convenientes. Al mismo tiempo, y para tian liadles, D. LuisOiiag y D. Miguel Sanchis. dar á la recaudación de los impuestos el impulso debido , ha tenido ¿ Hab'éndose denunciado a! Sr. a&lt;caide constitucional de esta corta bien S. M…</t>
  </si>
  <si>
    <t>Sebastian</t>
  </si>
  <si>
    <t>…tido de Ordiba el ajo del código penal. 10 del corriente para encargaría de este destino, á consecuencia de ua Continuó la discusión de dicho código. oficio que le había pasado ti brigadier Sebastian. Continuéndo,e la discusión pendiente , dijo el Sr. Calatrava que la (i) Esto tiene apariencias de ser una grandísima mentira. ¡ Los tur comisión *e había fundado al proponer el artículo en la iey que se di ó co, restituir las riquezas robada, á lat iglesias…</t>
  </si>
  <si>
    <t>…alparaíso, le acogió en su buque, auxiliándole en social para con toda la Europa Stc. 8ec.” un todo, no solo á él, sino también al coronel de Búrgos Sr. Biza j En seguida habló el general Sebastian!, y dijo que no tanto estaba su familia, á la viuda del desgraciado Sánchez, al mayor Gonzá deliberando la Cámara sobre verdaderas leyes, cuanto sobre intereses de lez , al oidor de Lima Cupe y al capitán Arias. partido. Por otro conducto no menos respetable…</t>
  </si>
  <si>
    <t>…todos, y especialmente para la de un sugeto La Cámara aprobó al articulo y descebó una adición propuesta por el que nos comunicó un articulo sobre el particular, que om. timos por general Sebastian». hab- r sabido que se había tomado en consideración. La discusión de lo* articulo* del titulo de procedimiento* quedó se _EI día 16 se instalaron en el salón de Ciento de las casa* con ñalada para el lunes siguiente; y te levantó la sesión. sistoriales las c…</t>
  </si>
  <si>
    <t>Núm. i¿s- (/coarto».) 879 GACETA DE MADRID. SABADO 8 DE JUNIO DE i8aa. La comisión de Hacienda, informando sobre las solicitudes da NOTICIAS EXTIL A NG ERAS. D. Sebastian triarte y de D. Antonio Benito y Martínez, para que puedan ser empleados sin que obate el no gozar sueldo ni haber sobre avara. el erario, opinaba que en atención á los méritos de cada nao de loe Odesa aS dt Abril. interesados podía accederse á sus solicitude…</t>
  </si>
  <si>
    <t>…deponer al magnánimo Rey L). Juan vi , y en su lugar Art. 6.° w Dicha comisión presentará cada seis meses a tas Corte* formar una Regencia, á cuya cabeza estuviese el sr. Infante D. Sebastian; ó á la Diputación permanente nota del número de las cuernas presen asesinar á algunos diputados y ministros; y en una palabra envolver tadas ó por presentar , pendientes ó fenecidas , con expresión del esta toda la nación en una guerra civil que 1. bañase en…</t>
  </si>
  <si>
    <t>…administrador D. Jac nto García de la Torre, director nu'os ó ridículos los frutos de la Con titucion. Este sisi-ma lleva en sf de contribuciones directas de Taicncia. Interventor D. Sebastian da todos los principos del bizn y de la jusl.cia. l.o* pu-b'ss mas oprimi Se«nper:, administrador de Rioscco. dos y en.arados por ‘os falsos apóstoles y prof.ias Legar n á conocer Palease» interventor D. Juan Bautista Eirafiaeo, contralor de la la, amar'a y b…</t>
  </si>
  <si>
    <t>Sebastian, Salvador</t>
  </si>
  <si>
    <t>Salvador Sebastian</t>
  </si>
  <si>
    <t>…cuela, que presidirá el acto cuaodo de la comandancia general de Anda’ucía, el día 9 del actual, el so asistiere el subinspector, de lo* gefe* del regimiento y cuatro capi igadier D. Salvador Sebastian, á quien sa la había conferido por Real tanes mas antiguos del mismo , de los demas gef.» del departamento y •roes da so da Diciembre último. del profesor y apodante de la escuela fabrico-práctica. Estos últimos harán las preguntas que estimen convenientes ,…</t>
  </si>
  <si>
    <t>Secan</t>
  </si>
  <si>
    <t>…tes decretos en los expedientes particu po las diversas obligaciones de cada uno de estos facultativos. lares. Las actas se firmarán por el presidente, un diputado y el secreta E. Sr. Secan.: La comisión no ha fijado citas obligaciones, porque rio. Los decretos lo» rubricare el presidente, y los firmará el secretario.’* esto es propio de los reglamentos respectivo*. Después d: una ligrra discusión quedó aprobado hasta la* palabra. Tambtm es cier…</t>
  </si>
  <si>
    <t>Seco, Pascual</t>
  </si>
  <si>
    <t>Pascual Seco</t>
  </si>
  <si>
    <t>…orario de la audiencia territorial, y juez da primera instancia de Luis Martinez.sV¡ccnte Sahr.T-Gerónimo Blasco. esta'M. H. villa , por su auto de 29 del corriente, refrendado de Don Pascual Seco, escribano del número de la misma, ha señalado para ci Exposición que je cito en la anterior representación. primar remate de cinco casas pertenecientes al Crédito público , proce dentes del suprimido convento de Sto. Tomas de esta corte, cuya su A. la diputa…</t>
  </si>
  <si>
    <t>…la vis diencia territorial, 7 juez de primara instancia da esta M. H. villa, por ta de sus majestuosos obeliscos, de loa soberbios monoiithos que ador la escribanía «leí número da D. Pascual Seco; en el conoepto de quera naban loa templos, da laa enormes esfinge» que guardaban la entrada el caso de hacerse alguna de la» referidas mejoras, se ha de celebrar d 7 en fin de Unta estatua colosal, de tantos bronces y tantos mirradies; segundo remate «1 últi…</t>
  </si>
  <si>
    <t>Sed-fio</t>
  </si>
  <si>
    <t>…se el estado de la tranquilidad Im propuesta» hecha* últimamente y damas antecedentes que existan, pública. cnanto crea conveniente á conseguir aquel ia con mas celeridad y eco El Sr. Sed-fio dijo que no prosperaba ningún na» de la felicidad nomía. Stdcciaró por de primera lectura. pública por las muchas turbulencia* que sobrevenían , .y por lo mismo he leyó una proposición del Sr. Lepes del Balo, relativa á qae lee tocaba al legislador dar las pr…</t>
  </si>
  <si>
    <t>Sedefio</t>
  </si>
  <si>
    <t>…ue era de opinión Huelva............ *39.8*7............. 99.* que debia votarse este reemplazo de que tanto necesitaba la patria. Huesca.............. 182,845-.......... 119,6 El Sr. Sedefio observó que calculándose la población de la provin Jaén.................. *74,93°............. 195.0 cia de Avila en 113,135 almas, y la de Segovia &lt;.n 145,985 , locaban Játiva................ 161,257............ 1*4.4 £ la primera 80 hombres y á la segunda 1…</t>
  </si>
  <si>
    <t>Sedefto</t>
  </si>
  <si>
    <t>…re una exposición del di nio tuvo el Sr. Velasco 68 votos, el Sr. Castejon 65 , el Sr. Calderón rector general del impuesto del registro , opinaba que se debía, tenar pro» uno, el Sr. Sedefto uno y el Sr. Alava uno; y no habiendo reunid» •ente para cuando se trate de la* rentas y su administración. Aprobado. ninguno de los Sres. la mitad mas uno de los votos; no hubo elección. La de Guerra en la instancia del capitán retirado D. Pedro Serra Habién…</t>
  </si>
  <si>
    <t>Sedeño</t>
  </si>
  <si>
    <t>quedó mucho que no. El presidente concedió le palabra i Mr, Manuel, El Sr. Sedeño dijo-. Qie en las elecciones de que se trataba no ha que propino sa suprimiese en el aitículo todo lo lelihro i los b enes bía ninguna infracción de Constitución, puesto que la suspensión o» nacionales, y apoyó su proposición con un largo y elocuente discurso…</t>
  </si>
  <si>
    <t>…ió esta discusión , y el Sr. presidente dijo que mañana as demás que te echa da menos en los artículos referidos. continuaría, y se daría principio á la del código de policía. F.1 Sr. Sedeño contestó que precisamente estaba expreso en el arti Se levantó la icsion á las tres. culo que sa'discutía todo lé que el Sr. preopinante habia echado de menos, Extracte dt ¡os feriéJicos dt Earttlena^JEttot alcanzan hasta el 8 . Ei Sr. Argliellesi-M* permitir…</t>
  </si>
  <si>
    <t>…i la S; acordó que v./.viese ei ar/cu'o í la .-vnision. prudencia del general el calcular si al pueblo ha podido ó no defenderse, Se mandaron pisar á ¡a moma dos adviene», una de! Sr. Sedeño, y en o.o de que sea asi, debería expresarse del mismo modo en el artí que decía asi : « pido que a la tr.ci.da 5/ Sí añadan las palabra, espe culo. Ademas la fuerza militar que debe mantener un pueblo por do ha cialmente a los militar:! retirados,” y ía otra…</t>
  </si>
  <si>
    <t>…la medida propuesta por el corporaciones, y que conozco que existen; per » de n.ngun modo esta Gobierno, y qu: de este modo no habría lugar ¿ dudas. que altera la Constitución. El Sr. Sedeño preguntó si en esta medida estaban también inclu El Sr. Ruiz de la Vega: Kn el artículo que se discute ha de haber sos los secretarios de los ayuntamientos ; á lo que contestó el Sr. Olipor fuerza una razón que sea la motriz en el ánimo de la comisión para ve…</t>
  </si>
  <si>
    <t>…os i ningún consejo amistoso, y vo el Sr. duque del Parque 41 votos, el Sr. Gener 45, el Sr. Ci'.deroa en no admitir ni aun ia sombra de una intirvencion a favor délos grie 39, el Sr. Sedeño uno , el Sr. Back otro, el Sr. Hen-iquez otro, ei se gos. Ais-una» cartas fidedignas que llegaron ayer á esta capital dicen qu* ñor Vaidés Bustos otro, el Sr. Villaboa otro, al Sr. Infante otro, v el el Emperador Alejandro , cansado de tanta altivez de parte…</t>
  </si>
  <si>
    <t>Sedeño, Santiago</t>
  </si>
  <si>
    <t>Santiago Sedeño</t>
  </si>
  <si>
    <t>…ia. La comisión había reconocido el acta de las elecciones do ñor, que en las juntas parroquiales pueden retirarse los compromisarios: esta provincia y los poderes presentados por D. Santiago Sedeño, obis es verdad; pero no se disuelve por esto la junta, sino que la junta que po electo de Coria; y D. Pedro Bartolomé; y no hallaba mas defecto da instalada, y se retira , porque asi lo expresa la Constitución. que haber mandado despejar la pieza en que te h…</t>
  </si>
  <si>
    <t>…las riendas dei Gobierno; cuando el regi Lerda y aprobada el acta de la anterior, se diói cuenta de un oficio miento del Infante D. Cirios con lot demas cuerpos del egército na de D. Santiago Sedeño y D. Hilario Jiménez, en que participaban des cional tocaba bien de cerca la conclusión de una desastrosa guerra, que de Aranjuez i los Sres. secretarios de las Cortes haber llegado á aquel cubrió de sangre lot campos de Anahuac; y llamado de la provincia sitio, á fin de desempeñ…</t>
  </si>
  <si>
    <t>Sedeño, Vicente</t>
  </si>
  <si>
    <t>Vicente Sedeño</t>
  </si>
  <si>
    <t>…D. Anastasio Aiduseo militar. - . ' , do, id em. D. Poiicarpo Fernandez, idem., D. Francisco López Novi ». A las ttefde la madrugada del diá de hoy me atacaron los ene llo, idem. D. Vicente Sedeño; contuso; D. Antonio María Iba trola, migos- por la calle del Arenal &gt; parroquia de S. Ginés , rompiendo el herido. fuego mis avanzadas, y replegándose á este punto: los enemigos si Cazadores. D. Claudio Estéban, herido. guieron su marcha'en dos columnas, ata…</t>
  </si>
  <si>
    <t>Seeane</t>
  </si>
  <si>
    <t>…sente año eco dría resultar de su aprobación; añadiendo que en el debería compren nómico. derse á ios c- lonos. Art. a.9 »No se entiende por el artículo ant nor que los efe.tos El Sr. Seeane opinó que seria mas conveniente el dejar que loa mencionados quedan estancados, sino que no podían venderse Ubíc avuntamientos a.tua es y los del año anter.or, juntamente con Jos elec aseme por exigirlo asi la tranquilidad pública. tores d-- cuaiqui ra de ell…</t>
  </si>
  <si>
    <t>Segaría, Jostf</t>
  </si>
  <si>
    <t>Jostf Segaría</t>
  </si>
  <si>
    <t>…randa , pidiendo que s« declarase re - El día 6 fueron batido» en Oliete por la columna del mando del belde al Gobierno de Rio-Janeiro, y traidores á todos loa que le obe teniente coronel D. Jostf Segaría , &lt;1 Gitano, Le. a y d inas facciosos deciesen ; y te levantó la sesión. que estuvieron en Belcbitc; no habiendo logrado la ¿ei tcni-.rte coro Idem del a de Setiembre. nel Cerillo* envolverlos como se proponía , por haber interceptado lo* Se continuó la últim…</t>
  </si>
  <si>
    <t>Segarra, Jaime</t>
  </si>
  <si>
    <t>Jaime Segarra</t>
  </si>
  <si>
    <t>…es en dichos actos para cono^ plaza á ios que se crean con derecho á los bienes de la obra pía , fundada cimiento de los licitadores en loa artículos que deben tenerlo; siendo por D. Jaime Segarra, para que dentro del término de 40 días, ceñu de cuenta de los asentistas los derecho* ó gastos de la escritura de obli dos desde el 26 de Abril del presente año , acudan á deducirle por medio gación. de la escribanía de D. Andrés Benito Granado, escribano de…</t>
  </si>
  <si>
    <t>Segorve</t>
  </si>
  <si>
    <t>…i infrascritos jueces da hecho, habiendo examinado el impreso que ex Santiago............................ 894,081 presa la denuncia hecha al Sr. alcalde constitucional primero por Don Segorve............................. 80,333 Luis Montejia, teniente del egército pismontes, titulado » Derrota de Segovia............................. *P*.4S4 Moten Antón, ó sea segunda parte del mismodeclaran i unanimi Sevilla..».......................... 1.264,833…</t>
  </si>
  <si>
    <t>Segovia, Josef María</t>
  </si>
  <si>
    <t>Josef María Segovia</t>
  </si>
  <si>
    <t>…y Etcusado el modo por el erario.” de cobrar desde luego las cantidades que aun deben al erario. Art. a.° Ejecutada la transición darán cuenta a las Cortes con el expediente ori A D. Josef María Segovia , oficial cesante de la secretaría del Des ginal que se formare á cada uno. Madrid 15 de Junio de i8za.=:AI- pacho de la Guerra, se 1c destina á cobrar su sueldo al Ferrol. varo Gómez, pretidente.mjotef Melchor Prat, diputado secretario-es A D. Ignacio Úncela…</t>
  </si>
  <si>
    <t>Seguera</t>
  </si>
  <si>
    <t>…orto* restos de El Sr. presidente nombró para la comisión de Guerra al Sr. Puma- Bordalva, que creyéndonos de lo* suyo*, »e mantuvieron , aunque fuera rejo , por indisposición del Sr. Seguera: anunció que mañana se discu del pueblo, á quema ropa de mis guerrillas, respondiéndose uno* á otro* tiría el dictamen de la comisión de Hacienda sobre varias dudas pro el grito de viva el Rey absoluto, hasta que avanzando la cabeza de la puestas acerca de la…</t>
  </si>
  <si>
    <t>Segui</t>
  </si>
  <si>
    <t>…rtador del Perú habia deliberado seriamente presentantes en el «aercicio de sus funciones. Corre la voz de que el resignar el gobierno de la provincia en S. S. honorable__En &gt;8 ss doctor Segui, secretario del llamado gobierno , se disponía á bajar á le contestó no se le admitía; pues no estando aun sancionada la ConsBuenos-Aires. titución, ni establecidos los tribunales para regir la provincia, podra Entrenos—Nada se ha adelantado en cuanto á las ú…</t>
  </si>
  <si>
    <t>Segundo, Antonio</t>
  </si>
  <si>
    <t>Antonio Segundo</t>
  </si>
  <si>
    <t>…la barbarie y la miseria; consecuencia forzosa de la esclavitud á qu* que podía accederse i 10 que solicitaba. Aprobado. Un inconsideradamente aspiran. Otro sobre la solicitud de D. Antonio Segundo para que se le exí Zaragoza 9 de Junio. ma de depositar la cantidad de 400 ducados que debe depositar en la tesorería general para recibir un ciado en la carrera de jurisprudencia. Los pueblos de esta provincia siguen disfrutando de la mayor tranLi comisión o…</t>
  </si>
  <si>
    <t>Segura, Miguel de</t>
  </si>
  <si>
    <t>Miguel de Segura</t>
  </si>
  <si>
    <t>…alguno, y solo 4 V. que las compañías de cazadores primera y segunda , al mando del un pequeño refresco que ios patriotas dé Figueras se apresuraron a por- Capitán de esta última D. Miguel de Segura, hicieron prodigio, óe ' &gt;• ña á llevarles en un corto descanso que tuvieron antes de ocupar la al lor y entusiasmo, imitando á sus oficiales y sosteniendo serenain-nts tura de Alfar. ia retirada. La caballería buscaba al enemigo ; pero jamas logró ver rea *»…</t>
  </si>
  <si>
    <t>Sehri</t>
  </si>
  <si>
    <t>…enido en los dos párrafos precedentes la* caso de que dicha comunicación no se haya hecho con exactitud. cruces militares extrangrras concedidas por accione* de guerra. Por lo* El Sr. Sehri: El Gobierno duda' si la elección debe empezarte des honores d;l consejo de Estado 69 rs. Por los de intendente de ejerci de las juntas electorales de provincia ó de partido, porqu- hay difi to g9. rt. Por los de intendente de provincia &gt;9 rt. Por los de magi…</t>
  </si>
  <si>
    <t>Seijas, Josef María de</t>
  </si>
  <si>
    <t>Josef María de Seijas</t>
  </si>
  <si>
    <t>…que signe: pongo en noticia del público que por el ministerio de la Gobernación n Las Cortes, en vista de la duda consultada por el «efe político de de Ultramar se ha concedido 4 D. Josef María de Seijas, establecido Galicia sobre la 'ocurrida al gefe político subalterno de Lago, acerca de ea ia nueva población de S. Fernando de Nuevita» de ia isla de Cuba, si la guardia dd principal que cubría la milicia nacional en aquella ciu *1 competente certificado por…</t>
  </si>
  <si>
    <t>Selim-bijá</t>
  </si>
  <si>
    <t>…n la última nota que el mm.st:rio otomano mando entregar a ra Silistria, acompañado* de dos tnihmandares. Alti S. E. Mehemednuestro ilustre amigo el conde de Lutzow, internuncio y ministro Selim-bijá , gobernador general de esta ciudad y de las dos orillas del Danubio, publicará los nombramientos, pondrá el cj/ían i los nom plenipotenciario de Austria, se le daba parte da que la Subum; 1 cer brados, y hará las demas ceremonias; y cuando esté reunida toda…</t>
  </si>
  <si>
    <t>Selles, Jos-f</t>
  </si>
  <si>
    <t>Jos-f Selles</t>
  </si>
  <si>
    <t>…empleo de provisión del Gobierno será da de! intendente de esta provincia acerca de lai proposiciones que hace muy especial recomendación el servir en la milicia nacional volunta D. Jos-f Selles, comandante de la paitida de milicianos votuntatios ria.” Aprobado. de esta corte , destinada en persecución del contrabando, para la ex Se suspendió esta discusión. tinción d i mismo. Se d¡ó cuenta del dictamen de la comisión de Guerra acerca de ua Se admiti…</t>
  </si>
  <si>
    <t>Selles, Josef</t>
  </si>
  <si>
    <t>Josef Selles</t>
  </si>
  <si>
    <t>…ados uno por su parte, y otro por la Habiéndose denunciado a! Sr. alcalde constitucional D. Ramón Cade Ja Haciende nacional, y en caso de discordia, nombrará este terce sellas por D. Josef Selles, vecino de esta corte, el impreso titulado ro; siendo ds cuenta de los asentistas la pérdida de los que se desechen, Jluin.t del comercio interior de España , en concepto de subversivo , se y reponer otros de la calidad correspondiente. dicioso é incitador á…</t>
  </si>
  <si>
    <t>…rs. al constitucional D. Vicente Bertrán de Lis-! artículo inserro en el Uni mes por el preciso é indispe nsable tiempo que se los ocupe. Madrid 26 versal núm. 159, que empieza: »D. Josef Selles” y se firma con las de J unió de 182 i.rcA. varo Gómez, presidente, s Josef Melchbi Fiat, iniciales h. P. diputado secretario, ss Angel de haavedra, diputado secretario. Reunido el jurado, compuesto de los Sr-s. D. Valentín de Nicolar, Por unto mandamos a tod…</t>
  </si>
  <si>
    <t>Selles, Luis</t>
  </si>
  <si>
    <t>Luis Selles</t>
  </si>
  <si>
    <t>…o regimiento; ui mar.scal de campo D. Joaquín Ibarra, sibm»Octavo distrito. Para comandante general de él, que se compone de pector de aitillena; D- Vícente Ravana.s, presbíuro, y D. Luis Selles, las provincias ¡de Alicante, Castellón , Chinchilla, Játiva , Murcia y abogado; declararon por unanimidad haber lugar á formación de cauto Valencia, al brigadier conde de Almodovar, que desempeña actual contra el autor del papel titulado: Teoría de una Const…</t>
  </si>
  <si>
    <t>Selvá</t>
  </si>
  <si>
    <t>…o libras), cubieru de un barniz ne Visita del Crédito público, siendo asi que lo debían hacer las Cortea, gro y bituminoso , y que tenia en cierta parte oler de azufre. Fue pre El Sr. Selvá dijo que muy fácilmente podía haberse equivocado la ciso romperla pan sacarla; pero todavía quedó un pedrusco de 45 kiló- mesa en le liste de lo* diputados que habian prestado juramento; pero gramos (unas 130 libras). esta equivocación no en de trascendencia…</t>
  </si>
  <si>
    <t>Sempere, Juan</t>
  </si>
  <si>
    <t>Juan Sempere</t>
  </si>
  <si>
    <t>…ite, se remi nales. Véndese en las librería* de Áotona y de Drené. ta integro i la junta de inspectores con inclusión de las solicitudes Historia de los vínculos y mayorazgos, por D. Juan Sempere f que hubiese entablado, á fin de que con arreglo ¿ las atribuciones que Guaríaos. So vende en la librería de Sancha. Ja da el decreto orgánico del egército en el art. 148, califique su mér to, Cuestión importante -. i Lo* diputados de nuestras Corte* son inv…</t>
  </si>
  <si>
    <t>…cho señor , que vive Primer distrito militar. (Madrid.) Sin novedad. calle de la Montfra , rúm. 12 , cuarto 2 0 Extracto de noticias extranjeras. Historia del Derecho español, por D. Juan Sempere: cuidemos 3.0 Solamente hemos recibido los periódicos de París del 13 y 14, cu y 4. Estos cuatro cuadernos de ia historia del Derecho español, anun yas principales noticias hemos publicado ya. Por ahora te ve ya 4 la ciada con la gaceta del día 2 del corrient…</t>
  </si>
  <si>
    <t>Sena, Gaónuno</t>
  </si>
  <si>
    <t>Gaónuno Sena</t>
  </si>
  <si>
    <t>…rriie,en sidoli: 50,680 , de Ronda, en la de Juan Cirios Itr,pénale: 461,25o, la de C-s.r justiniano: 314,285, cuarto medio por 100, de Se.ovia, de Jerez de la Frontera , en la de D. Gaónuno Sena: 3508, ds ea la de juüan Díaz: 2509, cuaito medio por 100, de Toledo, en Mti'cii, en la del marques Juan Biut.su ierra: 274.787, d :l campo ia de Marcos Antonio Grillo: 104,633, id., de Sevilla , en ta de Ma de OiUtrava, en cabeza del mismo: 131,250,06 Carmen…</t>
  </si>
  <si>
    <t>Senane</t>
  </si>
  <si>
    <t>…:no . O los sccretmcs de ayuntamiento han de tener artículo en los términos propuestos por el Sr. Marau- tina dotación suficiente p.va poderse sostenar , ó es preciso que no se E1 Sr. Senane apoyó el articu o, manifestando que la obligación en ez-ja tal condxion , y qu; puedan tener otra* oeupac ones: como «yle qu- s; constituía á los ayuntamientos de tener que acudir á le* diputa general no pued: aprobar*: e»t: citiculo, porque los ayuntamientos…</t>
  </si>
  <si>
    <t>Senmanat, Eduardo de</t>
  </si>
  <si>
    <t>Eduardo de Senmanat</t>
  </si>
  <si>
    <t>…señor juez por tar á esta clase de destinos dirigirán sus solicitudes al cirujano mayor la citada escribanía. de los egército* nacionales. Lo* batallones de dicha arma que tienen D. Eduardo de Senmanat, teniente de infantería y alférez del ba vacaste el empleo de cirujano ton lo* siguientes; tallón provisional de Guardia* , hago saber: que habiéndose ausen tado de una de las torrea del cuartel del extinguido estopo de guar Alictnte. Castellón. Lérida. Tarra…</t>
  </si>
  <si>
    <t>Señores</t>
  </si>
  <si>
    <t>…Gómez Becerra, O'a.ie y f — aran elegidos los diputados á Cortes no puedan ser lucrados sino por covedo: total 6a. el tribunal de erras; y estando reconocido como ta! diputado el señor Señores que la de-aprobaron : R - to , VaHes ^D. C-v.rin- . \rGaliano por la reso uc on de la junta preparatoria , es claro que soto el íielles. Cuadra , Taboud» , F.u r f iA Antón.o' , Me-ced , ir-.-, tr bunal de Cortes pu de juzzarie. Esto no solo se desivna con to…</t>
  </si>
  <si>
    <t>Senosiain, Josef Antonio de</t>
  </si>
  <si>
    <t>Josef Antonio de Senosiain</t>
  </si>
  <si>
    <t>…fin á Lon crita en francés por el abate Eaudran, y traducida al español con al dres, no pudo ver con indiferencia la opinión que en todas partes rei gunas ligeras correcciones por D. Josef Antonio de Senosiain.. F.n ro naba respecto de los napolitanos, y deseoso de vindicarla escribió de su dos tiempos se han dado ¿ luz diferentes libros en que se encuentran propio pufio la memoria que anunciamos. El conocido carácter del lecturas, sentimientos y egercicios piadoso…</t>
  </si>
  <si>
    <t>Sentían</t>
  </si>
  <si>
    <t>…Ura* mas ni an igual grado que para calificar el dentó. Redactado el artí impresos de ellas. culo de este modo: todos lo* facciosos , todos los que los srtsticmn, y A parición del Sr. Sentían sa leyeron las medidas citadas, y i peti todos los que los dirigen, sea dentro ó fuera de España, quedan res ción del Sr. Piat se mandó pasar todo el expediente á la comisión en ponsables a la satisfacción mancomunal da los danos y p rjui.ios cau cargada de p…</t>
  </si>
  <si>
    <t>Sentmanat, Eduardo</t>
  </si>
  <si>
    <t>Eduardo Sentmanat</t>
  </si>
  <si>
    <t>…e los enemigos ha huido en de sus géneros. una completa dispersión por distintas dirección » , de modo que no se reunirán en ocho diaa._P. D. Los paisanos de Villareal, encargados D. Eduardo Sentmanat, teniente de infantería y alférez del batallón de reconocer el número de muertos, avisan han recogido 95, y que lea provisional de guardias. quedaban algunos punto* que examinar.’’ Habiéndose ausentado de una de las torres del cuartel del extingui „ Lo que an…</t>
  </si>
  <si>
    <t>Seoan</t>
  </si>
  <si>
    <t>…iesen las dudas sobra ticular los movimientos y evoluciones que practique el batallón, para las elecciones. convencerse de su agilidad ó instrucción en esta parte. De cualquara El Sr. Seoan: contestó que el artículo estaba conforme con el espí falta ó alteración que notare en la egecucion de todas las partes de que ritu de la Constitución , porque resolviendo ias Cortes las dudas ocurri se compone ia instrucción hará «evero cargo al comandante y…</t>
  </si>
  <si>
    <t>Seoan-</t>
  </si>
  <si>
    <t>…érito palr ota el coronel Costa y á otros A la comisión de negoc o» Eci'.si &gt;»t eos se pasó la seguiente propo» ciudadanos rcspttabl-s por ios sucesos del 14 del pasado. c. nn del Sr. Seoan- : •» En atención á qu - las benéficas miras de las Estas mismas autoridades que en el dia 21 estuvieron tan quietas, G rtes a.erra deque fu-s.n competent mente dotados los párrocos no en el dia 24, porque algunos nul cíanos dijeron iha Costa, los ultra han po…</t>
  </si>
  <si>
    <t>Seoana</t>
  </si>
  <si>
    <t>…manifestó qne si algunas juntas diocesanas no habian las existencias que actualmente hubiere recaudadas. pagado la parte correspondiente del subsidio, habría sido porque no h*. El Sr. Seoana: He tonudo la palabra solo para decir que el artículo bian podido , mediante 4 las muchas razones que ha habido para que cu no pueda llenar el objeto, i lo menos en muchas diócesis, en donde las se recaudase el medio diezmo como era de desear. Bajo este princ…</t>
  </si>
  <si>
    <t>Seoanc</t>
  </si>
  <si>
    <t>…quinta que la votación fuese por partes. Se aprobaron los poderes de los seño parta con ínteres, y las tres restanta sin él, conforme al decreto de las res conde de Ada ñero y el Sr. Seoanc. En seguida se procedió á la vo Corta de 29 de Junio del año próximo. tación de los del Sr. duque del Parque, y fueron aprobados por 6j vo Se halla vacante la plaza de cirujano de la villa de Ciempoztielos, tos contra jy. distante de Madrid cinco legua, y com…</t>
  </si>
  <si>
    <t>…a ia riipumc on cor» la j-.-.iic.^ac on d'b.c*. Jen ariur nía con lo que prescribe la Constitución. *** ^ • podrá «a «lipüUc o ti dup ir c i-, a,.si ¡-. ia por ti: n po detef* E- Sr. Seoanc: Ei ór. Romero ha impugnado este artícu'o, porque m naJj o íu.intra» du c rv s. rn ia cep ral nú» no le enc i-nt a en armnnís con la ley úmdammul , y porqu- daña DlCf j coOipTtcratc di diputar!./» para tunuar d■ - ai'Ci&gt;&gt;n, purs co se lugar á ques: molestase…</t>
  </si>
  <si>
    <t>Seoane</t>
  </si>
  <si>
    <t>…eradamente en refuerzo de ron el Sr. Castejon por 77 votos de 119, Fiorez Calderón por 64 de los contrarios. En seguida se dispuso y realizóla expedición de les na: . s 120 , y el Sr. Seoane por 68 de tzo. de línea S. Telmo y Alfj.tn.iro con la fragata Prueba, que zarparon del El Sr. presidente citó á los Sres. diputados para el dia 20 á las 10 mismo puerto el 11 de Mayo de 1819refuerzo poderoso , que si hu de la mañana, en el que debía celebrars…</t>
  </si>
  <si>
    <t>…cual se efectuó la elección en público. La comisión entendía que no es •probarse el dictamen de la comisión. tando literalmente prohibido por la Constitución este caso no debía El Sr. Seoane dijo que seis electores de los nueve que componían anularse el acta; y por lo mismo debían aprobarse los poderes. aquella junta se habían quejado, y no debía prescindirse del modo ern Se leyó el voto particular del Sr. Benito, en el que decia que lo íe había…</t>
  </si>
  <si>
    <t>…ó deben concluirse; y por lo mismo, considerando muy oportuna coso de Altamisa.” la proposición , debe aprobarse. Hoy 7 del corriente se pagirá en la casa nacional de moneda de £1 Sr. Seoane manifestó que la misma razón que había para dar á diez é dos de la tarde á los sugetos que hayan presentado medios luises la marina el presupuesta que se la habia concedido existía también pa para el resello, y tengan los billetes numerados desde el yij al 95…</t>
  </si>
  <si>
    <t>…mez Becerra, y uno cada uno de los Sres. Muro, Cano, Buey, lación. Jaime y Lamas. Total 95. El Sr. Saenf de Buruaga dijo: Siento qua la comisión no haya to En la segunda lo fue el Sr. Seoane por 70 votos, teniendo 8 el se cado este punto como corresponde, porque nadie puede prescindir de ñor Villaboa , 4 el Sr. Marchámalo, 6 el Sr. Benito, s el Sr. Taboa- ue el Sr. Escovedo es diputado legítimamente electo, como que en el da, y uno cada uno de lo…</t>
  </si>
  <si>
    <t>…el pueblo hasta que he sa'ido de él para venir a este augusto ser sobre asuntos de diferente naturaleza. lugar, estoy enterado á fondo de todas las cosas que allí han pasado, y El Sr. Seoane: Por les informes que han dado los Sres. secretario* creo que cualquiera se podía convencer de la imperiosa necesidad que del Despacho, y por las noticias que respectivamente tenemos de las hay de tomar providencias muy enérgicas; y ya que el Sr. secretario p…</t>
  </si>
  <si>
    <t>…nombrase una comisión especial, pagando una pensión de 8 rs. diarios que le concedió la junta de ó que se encargase el examen de este asunto á la que está ya nombrada. Galicia. El Sr. Seoane dijo, que era tal la indignación que le habian causado A la del Crédito público una exposición de D. Benito Berenguer, las noticias de las ocurrencias de ayer, que se abstenía de hablar de ellas, teniente retirado en dispersos de Cartagena, en la que hacia pr…</t>
  </si>
  <si>
    <t>…ra vez en la sesión del taría , los cuales podrán informar de lo que haya ocurrido poste 3 de Marzo. riormente. Asimismo se pasó i dicha comisión la que se leyó en la expresada El Sr. Seoane: Cuando llegamos á palacio y manifestó este patriota sesión del Sr. Fernandez, acerca de la moneda. lo que hab.a sucedido si dieron las disposiciones convenientes para que No se admitieron á discusión las del Sr. González Alonso leída se acudiese al sitio don…</t>
  </si>
  <si>
    <t>…ión an la época memorable en que vivimos. Dos afios habéis dado de lección;» terior.') importantes, y dos afios de satisfacción y de gloria al ayuntamiento Leído este dictamen, el Sr. Seoane, como individuo de la comisión, constitucional que os representa. Circunstancias dificiles os han rodeado. dijo: Que la comisión había tenido por conveniente retirar la parte del Si amenazaban aquellos sacudimientos espantosos que han sido muchas dictamen en…</t>
  </si>
  <si>
    <t>…ma, relativo á la solicitud de la diputación provincial misión que entiende en examinar el estado del reino de Málaga, que pide se le conceda permiso para hacer un reparto veci El Sr. Seoane leyó el dictamen de la comisión de Prem'os, la nal en los puebles donde no hay propios ni arbitrios, á fin de armar cual habiendo reconocido el de la comóion de las Cortes anteriores, á la mll.cia nacional de los mismos pueblos. La comisión opinaba que encard…</t>
  </si>
  <si>
    <t>…ento de los decretos generales de ha Corto , manifestando en su Se lepó la cuarta. ( Viste is mitms gsetis.) caso las razono en que se apoya el entorpecimiento de los que te ha El Sr. Seoane se opuso i esta medida, manifestando que no debia de llaren sin ejecución.” cirse que se exigiese la responsabilidad, siso exigirla desde luego i El Sr. secretario de Estado manifotó que lo mismo qué te propo quien hubiese lugar. nía en h indicación del Sr. C…</t>
  </si>
  <si>
    <t>…gastar á m dida de su : rl ínteres individual es bastante estímulo para perseguirlos , y ya para deseo. í evitar los fraudes á que han dado ocasión los premios pecuniarios que El Sr. Seoane dijo que era necesario advertir que los ayuntamientos ¡ s: daban por la presentación de estos animalei; y 3.' que se aprobase el estiban autorizados para pagar varios gastos en días determinados: que citado reglamento. muchos pueblos, particularmente en Casti…</t>
  </si>
  <si>
    <t>…intendente de la provincia 31,651 (anegas de trigo, 19$ de cebada yecto, y no se le puede considerar separadamente. Las otras dificultades y 4354 de centeno. que ha presentado el Sr. Seoane no son de este momento, y podrán El Sr. Arguelles -. La dificultad qne ha manifestado el Sr. Ojero venir bien cuando se trate de la rebaja del subsidio. Sin embargo, cual tendría lugar si el art. i." quedase aprobado aisladamente; pero no asi quiera que sea l…</t>
  </si>
  <si>
    <t>…que sea necesaria obligaciones, pagando sus cupos, y ale premiar á los que han sialo mo en cada obispado.” rosos y que han dejado de hacerlo , anima las esperanzas de todos tos El Sr. Seoane: Conforme con todos tos sentimientos que be mos pueblos y de todos la» contribuyentes, disminuyendo el número de Im trado tan abierta como francamente la comisión acerca de aliviar fieles ejecutores de las leyes, r aumentando el de los que no lu cum la suerte…</t>
  </si>
  <si>
    <t>….¡.o r.. tufo motivo pedia se satisficiese i dicho banquero por la tesorería ge la determinada por la ley. neral} opinaba que debiendo mirarse este caso como extraordinario, en El Sr. Seoane dijo ; La propiedad de que habla el artículo se reduce vela comprometido el honor y el decoro de la Nación, podía únicamente á que el empresario solo pueda imprimir el Diario , y ven satisfacerse por la tesorería general con la mayor brevedad la deuda derlo d…</t>
  </si>
  <si>
    <t>…odas las cosas que en el día se imprimen , porque el articuló, tal coáio cití expresado, no puede aprobarse. efectivamente son inútiles. Asi pues, considerando que el medio que El Sr. Seoane: La comisión cuando tuvo que tratar de este asunto se propone es el mas adecuado, y mientras no se haga ver que hay se halló ya con un decreto y una orden de las Cortes de los años 13 y otro que sea menos gravoso y mas económico que el de que se trata, 20, ór…</t>
  </si>
  <si>
    <t>…ei sueldo de 309 rs. líquido» para instrucción, 7 no se encontrará con tanta facilidad si no esta compet.alos oficiales mayores de las secretarías del Despacho. támente dotado. El Sr. Seoane: A la comisión no la ha sido posible hacer lo que el He dicho el otro dia, y repito hoy, que las economías consisten sefior preopinante ha manifestado. El Gobierno pregunta si á los ofi principalmente en que si un establecimiento tiene 30 empleados, y pue cia…</t>
  </si>
  <si>
    <t>…levantó la sesión á las once y media. no contenía ninguna; y que el artículo debería decir: » Un mismo in dividuo pu.de ganar uno ó muchos cursos &amp;c.” Sesión ordinaria del te. El Sr. Seoane apoyó lo manifestado anteriormente por el Sr. Pe Se leyó y aprobó el acta de la anterior. dralvez. Se dió cuenta de una exposición de D. Vicente Bcltran de Lis, en El Sr. Garoz se opuso á que se hiciesen pagar tantas cuotas cuantos que manifestaba que penetra…</t>
  </si>
  <si>
    <t>…de Totines que ha contraído en el Perú y Chile D. Vicente Navas, se le recomien sobre el Duero. de al Gobierno. Se leyeron por primera vez varias proposiciones, que en extracto El Sr. Seoane leyó la cuarta parte del código sanitario , y se acordó son las sisuicr.tss: K imprimiese. Una dei r. Zulueta sobre que sr admita en pago de las firucas ma- El Sr. Inláate leyó la'segunda-parte de la ordenanza militar. cional s toda clase de créditos indistin…</t>
  </si>
  <si>
    <t>…ados, deberá decirse que los ayuntamientos se atcn- cesario el reemplazo por haber habido el alio anterior v. g. ;o) hom ganá loa vigentes. bres , y rádaeirse aquel á 40 6 ¡o9. El Sr. Seoane contestó que no podía hacerse esta variación en el ar El Sr. Valdét ( D. Cayetano) contestó que en aquel alio no habia tículo , porque se podía decir que no habia reglamento alguno dé sani necesidad de poner en práctica el'artículo; pero que no por eso debiu…</t>
  </si>
  <si>
    <t>…multiplicarte cuando eran relativas á un ma Us tropas que se hallan en las inmediaciones de Tárrega. mo objeto. F1 comandante Gati se dirigía con los valientes de su división 4 El Sr. Seoane contestó que eunque era cierto que en el código sa los pueblos de las faldas de Momcrrate para batir á los facciosos que en nitario se establecía esto mismo , debía tenerse entendido que en el ac ellos existen__ El Trapeóle ae halla en Monmancu con los reatos…</t>
  </si>
  <si>
    <t>…r a &gt;rs 011 xnaor,linar a a a'cald primero , sino ai que tuviese la arts. 113 y 334 de la Constitución. presid -ncia , r. ia .i .-n.'a de aque ; y que en cuautu 4 la última par El Sr. Seoane manif.-st &gt; que la comisión habla remediado el in te de. rr -uo, il.tu colocaría cu una de lo» antenotes para mayot conveniente expresado por el Sr. Valdés en los arts. 144 y 145., qu. sc claridad. habían leído, de la man.ra que creta mas conforme á ia Const-…</t>
  </si>
  <si>
    <t>…l párrafo a.° de ia restr ccion 11.* terrenos baldíos; por todo lo cual no podía ser admitido este aitícu o. drt art. ira de la Constituc on, y el art. ao de decreto de i] de JuEl Sr. Seoane contestó que la comisión, ateniéndose a las conti n-o de 1813. (&gt;e leyeron esto, artícu o&gt;.) Y el orador continuó di— nuas redamaciones d&gt;: varios individuos del egército de S. Firnand', ci’ndo : Por el I.” de estos artículos se re que los gefes políticos , c…</t>
  </si>
  <si>
    <t>…0 en la primera y 100 para alternar con el egército permanente , ó para obrar en unión con él en la segunda. á vista del enemigo, y asi no se debía suponer el caso de que habia El Sr. Seoane se opuso á esta parte del dictamen de la comisión, hablado d Sr. Infante. Por otra parte , añadió , que las penas en el respecto á la clasificación de pueblos de ic&amp; almas'y pueblos de menos egército permanente debían ser mas rigorosas , porque sus individuos…</t>
  </si>
  <si>
    <t>…60 en ia primera y too en la se ins-rtaba uno del c-fe poi tico de li .ba 1 , qu n mir f.st ¡&gt;a ¡ue tetunda en usneion á ¡as r.currenc ia* de la vil.a de Brinco raba a-O'-.a ao £1 Sr. Seoane: Vo puedo deiar d- volver i impugnar este dicta fijar alú un d st".cana:uto de 25 hombro, y mandado pa&gt;ar a&gt; |c z di men, no ya por la maia distribución que se ha hecho de la» ciases de p imtra instanc a partido para formar ia competente simrM de población, s…</t>
  </si>
  <si>
    <t>…mun mirarían con la confianza que tan necesaria era para tales cargos. do; y por lo mismo aunque la medida de que se trata se suavice al El Sr. Ranrrez de Arellano convino con el Sr. Seoane en que muchos gún tanto, creo que debe aprob rse. de los jueces no habían correspondido i los deseos de la Nación; pero El Sr. secretario de Estado-, el Sr. preopinante ba defendido la me opinó que ’a medida de trasladarlos a otros puntos era inútil para re d…</t>
  </si>
  <si>
    <t>…ase todos los medios ay. » Todo pueblo en donde loa facciosos quemaren ó destruyeren necesarios á este fin. la propiedad de algún ciudadano, resarcirá el daño por repartimiento El Sr. Seoane apoyó esta exposic'on , y dijo que supuesto que la vecinal.” Nación española era de las di Europa la que per desgrac-a mu sufría de El Sr. Argiielles: Siempre que la comisión me convenza de que esta plaga, debía ser la primera que hiciese experimentos soH-e l…</t>
  </si>
  <si>
    <t>…residen» Notas. En le gaceta del 20, píg. 951, col. a.*, Ifn. 14 dice: « Se te.sjoaef Melchor Prat, diputado tecretario.=Francitco Benito, dipu mandó pesar' á este Una adición del Sr. Seoane para que *e tome tado secretario.=Por tanto mandamos á todos los tribunales , justicias, debe decir « Ser mandó pasar á esta una adición del Sr. Seoane, en que gefes, gobernadores 7 demas autoridades, tsi civiles como militares 7 Tedia s* encargara al Gobiern…</t>
  </si>
  <si>
    <t>…y prudencia que los dos señores diputados que han hablado Cortes deben votarle tal cual está extendido. y pertenecen á esta catrera, aprobaría el articulo ; pero no sucede asi, El Sr. Seoane: Yo convengo hasta cierto punto , porque lo ha de y en Castilla se han visto algunos ayuntamientos atropellados con este mostrado la experiencia, en que los ayuntamientos tienen mucha motivo: muchas familias se lian visto perdidas con motivo de haberles culpa…</t>
  </si>
  <si>
    <t>…tículo. cíon , y i pesar de la opinión de muchas personas que opinan que Aprcb.do. una décima parte está dispuesta á sostener el Gobierno de la metrópoli, Acerca de la adición del Sr. Seoane al art. 18 , que dice: » Pido se fio podremos menos de convenir que en aquellas provincias hay mu encargue al Gobierno que tome medidas enérgicas paia remover los obs chas personas comprometidas y empeñadas en sostener la independen táculos iju-' causa a I. c…</t>
  </si>
  <si>
    <t>…ocedido cuando la diputación provincial juzgue que pueda verificarse sin grave con morosidad en este com.tido. detrimento del país.” La comisión op.naba que siendo mas fácil en El Sr. Seoane dijo que era preciso que los pueblos no sufriesen por aquellas isla* la reposición de los arbolados, no había motivo justo mas tiempo las tarifas de los derechos que cobraban les audiencias, las para admitirse la excepción que ae proponía. No te aprobó este d…</t>
  </si>
  <si>
    <t>…os monumentos de sus cubriendo estas con maderos 7 los carros que proporcionan las obras que progenitores. Andad, volved con el favor de los putbios y de los P.e- hay en ellas. Al coronel Seoane le destiné A mi lado; y para poder se yes bacía los campos de vuestros ascendientes, donde tantos recuerdos guir mi plan de batir 4 los enemigos que subsistían en la Puerta del os dirán lecciones y egemplos, dónde descansan las cenizas de vuestros Sol, sin de…</t>
  </si>
  <si>
    <t>…íon de tal 120, reuniendo el Sr. Belda 31, el Sr. Romero dos, el Sr. Her ternera fina para lat Reales servidumbres de SS. MM- y AA, y en rera Bufamente uno, el Sr. Infante uno, el Sr. Seoane uno, el ae- virtud de resolución del Excmo. Sr. marques de Sta. Cruz, mayordomo fior Zu'ueta uno, y el Sr. Abren uno. mayor de S. M.; se hace saber al público para que la persona ó personas Finalmente fue electo para cuarto secretario el Sr. Zulueta por que q…</t>
  </si>
  <si>
    <t>…s en sus casas lo* Sres dipu cia una relación larga de la conducta que las naciones est-a-gnas ob tados. servaban con España de^ru.s de su regeneración po.itica; y ichnendt.-se El Sr. Seoane expuso que si te debían imprimir los estado* se tar á la Francia, manifestaba que el Cloo erro de esta racicn procedía de daría muchísimo por pronto que quisiese hacerse la impresión ; y por un modo nada conforme c.rn la amistad y armón a qu: dice hiv ertre l…</t>
  </si>
  <si>
    <t>…bien inst~:.¿Jo en la Constitución, entu» distinguidos. siasma.iu por ella , y dispuesto a defenderla. Art. a8. *» Las obligaciones generales de nn oficial digno de este Otra del Sr. Seoane al art. i.° del cap. 19, que decía: » Pido qua nombte no pueden prefijarse todas. Amor á la patria, respeto é la ley, la propuesta que ha de hacer la junta de que habla el art. t.°, cap. 19 odio á loa vicios, subordinación respetuosa al superior, constancia e…</t>
  </si>
  <si>
    <t>…ización como paite de la ta de ce fes del cuerpo en que hubiese una capellanía vacante propusie ordenanza.” se aquellos que creyesen inas convenientes, pues como inte e.ados ea El Sr. Seoane manifestó los motivos en que se apoyaba su propo la elección, siempre procurarían que esta fuese la mejor pos.ble. sición, y en seguida se declaro comprendida en el ait too del regía- fie acordó que este ailículo volviese i la comisión. memo. Art a.® «ti pret…</t>
  </si>
  <si>
    <t>…e establecido. Resulta de lo digasca, Seoane, Montesinos, López del Bailo, Tomas, Trujólo y Pucho , que si se considero la proposición bajo el primer punto de viste que marejo. El Sr. Seoane dijo que edemas del proyecto presentado por el Go he indicado, m perjudicial, y si se considera bajo el aguado es inútil, bierno, á que te referia el anterior oficio, había otros dos formados por por lo cual de ningún modo es adoptable. El Sr. Munarriz apoyó…</t>
  </si>
  <si>
    <t>…l objeto de recoger los caballos que húbo el art. 8 ° del decreto de t8 de Noviembre de Sai á rué se rrfirre. se, se había mandado que en las provincias comprendidas en el ¡i’, El Sr. Seoane: Se dice que este articu'o y el 8.: del decreto 4.°, 5.0, ó.'1 y 7.a distritos militares se procediera á la requisición de citado son contrarios á la población , y yo los considero per el con caballos útiles para el servicio militar ; pero que habiéndose prop…</t>
  </si>
  <si>
    <t>…los demas que quieran siislir." Aprobado. de tres ó cuatro sugetos solamente; pero no en el modo que se propone. Art. ia. » Los ayuntamientos darán rsolucton terminante á cada El Sr. Seoane: Prescindo de la observación del Sr. preopinante, redamación , sin remitir ninguna i coisu'ia de la diputación , y al in porque he pedido la palabra en pro para contestar únicamente á la del teresado se dará por el secretario del ayuntamiento c.-rtifi .ación,…</t>
  </si>
  <si>
    <t>…a á la comisión lo tuviese preque se había de acreditar, 7 por lo mismo estaba bien redactado el acct artículo. El Sr. presidente dijo que esto podía aer objeto de una adición. £1 Sr. Seoane dijo: Yo creo que esta parte del artículo va á cau Qu.-dó aprobada esta excepción. sar muchas dudas, porque dice impasibilidad fisica permanente , y h»7 8. * x Los matriculados para el servicio de la armada , que lo esten imposibilidades fincas que no son per…</t>
  </si>
  <si>
    <t>…ue el labrador y el artesano esta porque de lo contrario seria incurrir en una contradicción. ban comprendidos. El Sr. Casas sostuvo que aprobando el dictamen no se incurría en El Sr. Seoane hizo presente que aunque habrá doctores que no sean ninguna contradicción, puesto que cuando se aprobó que quedasen doctos, los que obtienen este título generalmente son hombres muy ins exentos los labradores que tenían un par de muías, no se dijo que lo trui…</t>
  </si>
  <si>
    <t>…representativas del comercio, de que nació que siendo ricas, sin que ruda les costase, hacían anticipaciones al Gobierno; pero lue llos i los objetos á que estaban destinados. El Sr. Seoane: En Castilla, al paso que los facciosos se servían de go imponían un tanto por ciento sobre los géneros ó frutos; y de esto rastillo que habiéndose establecido un préstamo sobre los consulados buenos caballos, los j ó q regimientos que habia en ella estaban e…</t>
  </si>
  <si>
    <t>*7T 1 de iquilla plaza m Tepérmíta ibutrceru de ganados utrupioi por el El Sr. Seoane: . Que el Gobierno tiene la iniciativa en erte a? un tiempo que dure» In actuales circunstanciis. to no queda duda alguna. &amp;Z verdad que la Constitución en las faculta Entró á jurar y tomó atiento el Sr. Rubinat. des que «naced: al Rey n»«apresa esta; pero ha…</t>
  </si>
  <si>
    <t>…eferencia al cuerpo de artillería, y no al de ingenieros; por lo nientes á la seguridad , ateo y maniobras del buque, sin que le sea lí demas, en cuanto i lo que ha manifestado el Sr. Seoane , diré que loa cito á individuo alguno el contrariarlas; antes bien deberán los oficia médicos y cirujanos corresponden á la plana mayor de las div.siooes, les prestarle cuantos auxilies les pida y puedan contribuir al mejor ser y no á la de! egército. vicio…</t>
  </si>
  <si>
    <t>…do el total 86. estudios y el profesor primero. La comnion de Hacienda presentó su dictamen sobre la adición del 8. a &lt; Quién habrá de poner las notas de los subalternos de los ba Sr. Seoane, «le que se había dado cuenta en esta ssalón. tallones del tren? Solución. El director de maestranza, el capitan co Habiendo pedido vario» sabores la palabra, 1: preguntó si te pro- mandante y ei espitan ayudante mayor. rogaría la sesión por una hora mas, y s…</t>
  </si>
  <si>
    <t>…funcio a .del claro. . . nes de tales , opinaba que aunque recoce.. 4 la importancia de los ser Se so la comisión de puso en discusión el dictamen de Hic enda^ bre la adición del Sr. Seoane y otros Sres. diputados al art. &gt; del vicios que prestaba esta milicia ,asi como las demás de la Nación , no debían ser exceptuados sus individuos del sorteo Aplobado.dictamen de la comisión de este raro* , reducida i qu? no P'r;u fqie lo acordado por las Cor…</t>
  </si>
  <si>
    <t>…siones en las creto de las Cortes d• 6 de Abril de este año , podra de.linar para di poblaciones pequeñas. cha eseue a uno d- los conventos suprimidos que crea mas a propósito. Ft Sr. Seoane: L- comisión no ha tratado de que loa ayuntamien 3.° Las Cortes seña.an para el sost nnn ento de la escuela de equi- tos de los pueblos pequeños hayan de cr*ar estas comisiones, sino que ta,.-in 57,840 rs. anua' 1, pagaderos por la tesorería general, y para l…</t>
  </si>
  <si>
    <t>…perdonrs, y el Gobierno ha propuesto algunas dudas sobre este Cortes para conceder ó nrgar la dispensa. asunto , las cuales es preciso resolver. Se dice que por qué la comisión El Sr. Seoane dijo que las Corres solo deberían determinar y resol ao ha propuesto que se concedan estas facultades á las diputaciones ver sobre asuntos generales, y con tanto mas motivo cuando tenían el provinciales; la comisión no lo ha propuesto porque ha creído seria e…</t>
  </si>
  <si>
    <t>…o regrese á la provincia: por unto me El St. presidente anuncio que mañana ve ..orí nuaria ¡a discusión pendiente , y levanto la sesión á las ir : y cuatro. opongo al artículo. El Sr. Seoane: La comisión al redactar este artículo ha tenido presentes todas las objeciones que se podían hacer: pero desde luzco manifiesta que en su concepto no halla otro modo mejor d: que sean Primer AistrHú "j V/.rr. (Madr.d.' Sin rereded. reemplazados los gefes pol…</t>
  </si>
  <si>
    <t>…no mereció estar por sus faltas ó por tu mala con cuando voluntariamente hagan renuncia de tu ministerio. ducta cn la clase á que ha pertenecido, fisto me parece muy injusto; y El Sr. Seoane : Se ha impugnado este artículo , fundándose en que por lo mismo , que debería fijarse el artícu'o solo para aquellos oficíales los párrocos castrenses no hacen un servicio tan penoso como los ofi que por tu imposibilidad lisies no pudieran servir. ciales , y…</t>
  </si>
  <si>
    <t>Seoane, Antonio</t>
  </si>
  <si>
    <t>Antonio Seoane</t>
  </si>
  <si>
    <t>…u defensa, y dejaron suspensas estas taban señalados con el mayor orden y con una prontitud admirable. El tareas literarias. Los griegos no habrán menester libros si vuelven 4 ser coronel D. Antonio Seoane, que se me había unido desde las once y «clavos, y ahora no es la ocasión de tratar de los esfuerzos que hacían medie de la noche, y y o, recoi 1 irnos en este primes momento todos ios para ilustrar su entendimiento y purificar su lengua, porque es de mayor p…</t>
  </si>
  <si>
    <t>Seoane, F.</t>
  </si>
  <si>
    <t>F. Seoane</t>
  </si>
  <si>
    <t>…después donde se Resumen general. veia mayor el ataque para rechazar los enemigos. También sé halla En el primer batallón 19 heridos y 9 contusos. ‘ ron en la acción los coroneles D. F. Seoane y D. F. Mateos, y los En el segundó 2 muertos, 12 heridos y 3 contuso*.. oficiales de la guardia Rid de infantería D. Felipe Bros; O. Ramón En el tercero j muerto, 10 heridos y 5 contusas. Fábregas, D. Joaquín Marte!, D. F. Garoz el» el segundo batallón; y Total, 3 muertos,…</t>
  </si>
  <si>
    <t>Seoane-</t>
  </si>
  <si>
    <t>tasto yo creo que (i el Gobierno et que debe conceder estas moratorirs. Primer eiistrit'. mi: tur. ^Madrid.) Sin novedad. El Sr. Seoane-. Es indudable que muchas veces hay cautas )us-.&lt;¡s pa Diiimo Mstr.t', mi..tur. (*cv.;:a.) S.n nev d«d__ En Cádz se verificó ra conceder iat moratoria» de que se trata; y habiéndolas, no pueden el d a 8 el r-n.ur¿norrio dri na- .o ayuntact:-nto. ■&gt;« confirmaba…</t>
  </si>
  <si>
    <t>Seoar</t>
  </si>
  <si>
    <t>d.-ro dtjia'; y no sé como los ’.i f»»zi?o m»n que d» ’cs 134 mülo- F1 Sr. Seoar*.: V 1 erro qu: en los í’-a-.o» corroí' r : r-•; . .. fni1. no apar-:zc iu uc-lirO; s ..-.■ :..j. E. ír.íj- T'i, e'.iiio se pue Sll. uesto d : 1&gt; (_r u I . ; n . us :o -s 3! c o, ..r - -,o - -s Ji de ver por ia memoria &lt;!-' -i. de llici.:. i, h,c- v-r si ri-.…</t>
  </si>
  <si>
    <t>Seoene</t>
  </si>
  <si>
    <t>…hacer triunfar el sistema que habían proclamado. Por lo tanto mandaban llevar é efecto en el decreto. afiadió que en ai art. a.° seria donde te podría discutir este particular, El Sr. Seoene dijo que las objeciones que se hacían al dictamen lo haciéndose las modificaciones que pareciesen oportunas. eran mas bien al decreto de i s de Setiembre; y que ai este se había de El Sr. Alix hizo presente que muchos pueblos, como el de Cartage llevar á efec…</t>
  </si>
  <si>
    <t>Seoine, Antonio</t>
  </si>
  <si>
    <t>Antonio Seoine</t>
  </si>
  <si>
    <t>…n Valpa capaces de inspirar la mayor confianza, y que emulando el valor, la raíso." actividad y el zelo de las pocas que teníamos, y que tanto y con un — Habiendo sido oficiado el coronel D. Antonio Seoine por el buen éxito se han esmerado en contener á los facciosos, sabran desple teniente de la segunda compafiía de granaderos de la milicia nacional gar todo tu patriotismo para terminar cuanto antes esta escandalosa lu de esta heróica villa D. Manuel Van-Halen…</t>
  </si>
  <si>
    <t>Sepilen</t>
  </si>
  <si>
    <t>…rimidos, pudieran reba se discute! boy en un todo de la opmion del Sr. preopinante: primero jarse 7c9 rs. debemos pensar en lo necesario, y después vendrá lo útil; por lo tanto El Sr. Sepilen como individuo de la comisión, dijo, que entre apruebo el parecer de la comisión. las muchas razones que había esta tenido para proponer rebajas de esta El Sr. Lagatca: No hubiera tomado la palabra*! no estuviera per clase , podía citarse solo una que merecía…</t>
  </si>
  <si>
    <t>…a que infor con , y se aprobó la primera hasta donde dice dt ios fredioi t-aiams y mase sobre la fundación de la obra pia que motivaba dicha expo- dt rrofior. siciou. Aprobado. El Sr. Sepilen tomó la palabra y d jo : Por el correo úiraao tura La misma comisión, informando sobre la exposición de un vreno nót elas di los sucesos ocurridos en Cata'uña; y sin embarco he que de Segovía, para que se le admita en pago de las cantidades que adeuda rido te…</t>
  </si>
  <si>
    <t>Seplien</t>
  </si>
  <si>
    <t>…n tu noso y perjudicial para cualquier Esta leí Mitos de la Nación, pues de otro modo no se conseguirá. do. Nadie ignora que -los gastos no pueden, pasar de las facultades que ¡1. Sr. Seplien : Creo que se ha extraviado Ja cuestión fundamental. baya', y todo lo que sea salir de este principio no creo que puede ser AI,mnos de los Sres. preopinantes han discutido et dictamen de la co- étai. Por otra parte convengo en que la Nacon tiene gtutus partic…</t>
  </si>
  <si>
    <t>…había sido muy oportuna, pues si costasen menos en las cuentas se D-ciarado el punto suficientemente discutido, quedó aprobado el vería. artícuio , é igualmente los siguientes: El Sr. Seplien manifestó ademas de las razon-s que h’b.a dado el Art. 1.- » Utensilios. Para el de los 19,973 hombres á 15 reales Sr. Sánchez , que en muchas Cuas de España se compraban c;b 1. s mensuales hacen en cada uno449,¡95, y en ¡u&gt; s-te meses 3.147,165. por la mitad…</t>
  </si>
  <si>
    <t>…y sosten de un sistema, cuyas ventajas admiran hoy, j la palabra expediente te añada: oyendo al ayuntamiento respectivo. ya nos envidian todos los hombres libres de la Europa. El Sr. Seplien: Los señores que defienden el artículo ban convenido anfque es susceptible de muchos abusos; conviniendo en este principio, Madrid Lurte116 de Diciembre. •reo que el artículo es perjudicial, y de consiguiente las Coites se ha S. M. el Rey y SS. AA. siguen sin…</t>
  </si>
  <si>
    <t>Septi</t>
  </si>
  <si>
    <t>…iona: advirtió que s endo una can o de la qu: fuesen. tidad tan corta no d. jaba c^trip.i para muchas Civ&gt;s on-s. Art. 44 » En el mes de Setiembre de cada año se nombrarán ante El Sr. Septi n ape yó esta ultima idea, añadiendo que c-m- r-t- ts el ayuntamiento ó ante la comisión de su seno los vocales para el con un sciv cío puramente petsona! ,dtbian ledos coctr.buir á ti 1eu3.1r.tr.sejo de disciplina en la forma siguiente: uno por cada diez ind…</t>
  </si>
  <si>
    <t>Séptica</t>
  </si>
  <si>
    <t>…acerca de la recaudación del medio diezmo. La tando la necesidad de ocuparse las Cortes en este asunto. comisión manifestaba que el primero de los siete artículos que contenia El Sr. Séptica dijo que 4 principios de este mes dijeron los señores dicho voto variaba muy poco de lo que ya se habia aprobado , y que de la comisión que 4 los 13 dias ptesentarian su informe, y que ha los seis restantes versaban sobre reglamentos , en los que no debía ocu…</t>
  </si>
  <si>
    <t>…se destina su importe, y el decrete de Un Certet coa pe este te eem~ dían eatrar ea loa portarnote» que contenia. torizaj y he aquí pues que las Cortes están p«a intervenir en El Sr. Séptica, como individuo de le comisión dijo, que el pro al modo de hacer estos pagos; ademas da qua por otro articulo da la cedimiento del ex-sccretario del Despecho Vallejo amalgamando la Constitución pertenece á las Cortes conocer de todo lo conmrniente al deuda de…</t>
  </si>
  <si>
    <t>Septicn</t>
  </si>
  <si>
    <t>…fúb'.U.i incluí v;, y se d.-sapio- Nación y del Gobierno cons rvar'a por rr'r.'r que son b ;n noto: as. btí la s-pnnda que es lo restante del art'cuio ; con cuyo inji.ro se pre El Sr. Septicn contestó qj? no hab.a inconv.n ente en qu- se ¿ guntó si esta parte volvería á la comsion. jese en e! artícu'o qu; d hr-an parrarse con pr f r nc'a y relíeos djd El Sr. Canga: Yo quisiera pr guntar á que ha di vo'ver este articu las sales qu; se lomas.-n á ps…</t>
  </si>
  <si>
    <t>Septien</t>
  </si>
  <si>
    <t>…l Sr Adan dijo que según lo que hab a manifestado e! Sr. secre de los reintegros. ( Véase ¡a ¿aceta dtl j de Mayo.) tario , no itabia neces did de la cantidad que se seriaíaba. El Sr. Septien dijo que estas pensiones por cuerna de las cajas de El Sr. Canga hizo presente cue r.o eran solo e.tos ..etc mil ores los México no eran reintegrables por el estado en que se hallaba aquel rei que se señalaban para los presid.es , pues en ei presupuesto de Gu…</t>
  </si>
  <si>
    <t>…ó que este se ha Ademas puesta en planta la obra de este canal de riera resultarían llaba en igual caso. beneficios conocidos á las provincia* limítrofes. Ultimaurcnte, este ca El Sr. Septien dijo que se había extraviado la cuestión, y que al nal no tiene empleados ningunos, ni ninguna clase de fondos super fin se vendría á parar en que seria preciso dejar á la discreción del finamente destinados, pidiéndose solamente una cantidad muy módica Gobie…</t>
  </si>
  <si>
    <t>…ayetano) hizo algunas ligeras reflexiones en que pesaban sobre ellos, y que por lo mismo no debía comprendérseles contra de io que proponía la comisión. «n la rebaja de escala. Ei Sr. Septien dijo que solo tomaba la palabra para hacer una ob El br. secretario del Despacho en su discurso decía igualmente que servación , a saber, que según iban las Cortes aprobsudo Jos presupues no debían ser comprendidos en la rebaja de escala , pues reman muchos t…</t>
  </si>
  <si>
    <t>…ue la comisión ha En seguida se declaró este asumo suficientemente discutido , se leyó bia procurado remediar estos males haciendo entrar á componer las jun el voto particular det Sr. Septien , v quedó aprobado el art. i supri tas diocesanas autoridades populares que merecían la confianza , y de miendo á petición del Sr. Gómez (D. Manuel) el art. 16 que se cita bian tener un ínteres en la buena recaudación del medio diezmo: por ba en d.cho articul…</t>
  </si>
  <si>
    <t>Septíen</t>
  </si>
  <si>
    <t>…vigentes si no estaa conforme» Xa misma comisión, en vista de la exposición de D, Juan Félix * las leyes. Hurtado, vecino de Estepa (Sevilla), en la cual hacia presente que no Ei Sr. Septíen manifestó que la comisión de Hacienda se ocupabasabia cómo extinguidas por las Coites ¡as cuatro Ordenes militares , in •ttualmrnte en el plan administrativo , y entre otras cosas se había proclusa la de S. Juan, continuaba un tribunal que tenia la misma, lle…</t>
  </si>
  <si>
    <t>…de la co La comisión primera Eclesiástica presentó los siguientes dictámenes: misión , lo cual probaba que no babia imposibilidad de presentarlo, Uno sobre el voto particular del Sr. Septien, individuo de la comisión porque si asi fuese no podría haberlo anticipado. Concluyó im«ífnprimera de Hacienda, acerca de la recaudación del medio diezmo. La tando la necesidad de ocuparse las Cortes en este asunto. comisión manifestaba que el primero de los…</t>
  </si>
  <si>
    <t>…t.dil en el pr.supuesto ds Kl Sr. B-ldi se opuso al dictamen, manifestando qu-- de manera al su ramo. guna se llevaba á efecto la Irtene on de las Cortes al d-crctar cor. techa El Sr. Septien añadió á esto qu ; !a comVoi no t-ni* la cu’tn da de 1 1 de N || mbre que ¡os que hubiesen tenido una parle act.va en el que po ve huh ese pua»to esta c.iui.dad en el pre:upueslo del m n »ler o ic¡.ia'm;c:m:ento del sistema fu.scn premiados con terrenos ba.d.…</t>
  </si>
  <si>
    <t>…a á Goatemala algunos dispersos. De resulus de es taba en el ca,o d: resolver antes de publicar la votación. te acontecimiento tomaron los republicanos el puerto de Sonsonate y El Sr. Septien dijo que en el primer afio de la Diputaron general algunos puntos mas: se ignora la pérdida que tuvieron aquellos, aun ningún diputado tiene aprobados sus poderes , y sin embargo todos ti» que no falta quien diga perecieron mas de la mitad. Los puertos de nen…</t>
  </si>
  <si>
    <t>…que era el qu: habían fijado rio se le había dado últimamente el de egército de obauración; lo la* Cortea. que en realidad era darie un* actitud hostil; y al paso que por la su El Sr. Septien dijo que te Habrían sorprendido acato alguno* *efio- blevación de una parte de la Catalufia, fascinada por unos hombres re* diputados de que hubieie tomado la palabra contra el dictamen; malvados , habia sido necesario destinar allí muchas tropas: qu- por per…</t>
  </si>
  <si>
    <t>…una construcción expresamente mi dia y á todos los demas objetos secundarios, no se atreve á inclinar á litar. las Cortes á que acuerden dichos 36 millones de rs., considerando El Sr. Septien : La comisión cree que debe ser por contrata la ad también la dificultad de que simultáneamente se emprendiesen y lleva quisición de carros y muías; porque de este modo se pueden gastar so sen i cabo tantas y tan considerables obras; sin embargo, para que no…</t>
  </si>
  <si>
    <t>…rifi señalado lo necesario al egército para una fuerza de 61D hombres , na cado por no gastar diez millonea mas. pasados cuatro meses próximamente del año económico, y so o tie El Sr. Septien: La plaza de la Seo de Urgel que ha puesto por ne hoy la de 51&amp;1 por no haberse hecho aun el reempazo corriente , ni egemplo el Sr. preopinante no airve de tal en esta cuestión: esta plaza completad ose el del año anterior ; y por tanto no opina por ia conce…</t>
  </si>
  <si>
    <t>…pero en el código penal se trata del de mente á los de 450, casi tocaría un religioso por cada familia. lito de deserción jjr de los delitos comunes que cometan los militares,y El Sr. Septien apoyó «ta idea , haciendo varias observaciones sobre esto es lo que no hace la comisión ed este articulo, es decir, no da la* la necesidad de reducir el número de conventos, porque la experiencia reg ts para discernir los casos en que deba ser juzgado el mili…</t>
  </si>
  <si>
    <t>…e los que han cometido un produce la memoria presentada por «1 secretario de Estado de Marina.** delito menor. Habiendo manifestado el Sr. Valdés (L&gt;. Cayetano) que desearía te El Sr. Septien: He tomado la palabra no solo para apoyar la mo presentase el Sr. secretario de este tamo cu la discusión, se suspendió dificación propuesta por el Sr. Infante, sino para demostrar también esta. que será imposible llevar á efecto lo que propone la comisión. S…</t>
  </si>
  <si>
    <t>…s en las prosélitos en una provincia miserable : para evitar todo esto repito qu: (taciones extrangeras. me conformo con la propuesta del Gobierno. Quedó aprobada esta pattida. El Sr. Septien: Kl Sr. preopinante ha manfitsdo la necesidad que Segunda. Pide el Gobierno 8oo9 rs. para el pego de las consigna hay de fomentar la industria de ias provincias ; pero aquí se trata úni ciones concedidas i los emigrados franceses é italianos. La comisión re c…</t>
  </si>
  <si>
    <t>…al de Castilla; á que los gastos hechos en ella empiezan i pro concederse la suma pedida por el Gobierno. ducir réditos desde luego, y i que las provincias de la misma Castilla El Sr. Septien: La cuestión no es si es político y necesario conce ton las que ban de participar menos de las otras cantidad» extraordi der la suma que pide el Gobierno, sino si es posible el concederla. narias que te van á invertir, opina la comisión que se conceda un mi L…</t>
  </si>
  <si>
    <t>…stos sueldos como para el pago de las pensio Monte de piedad. nes concedidas á las viudas , i los huérfanos &amp;c. Se piden por el Gobierno 93,^79 rs. 10 mrs. vn. por lo que te sa El Sr. Septien: No es del caso esta cuestión, ni á la comisión se la tisface i este establecimiento piadoso en virtud de Real orden de 3 de purde inculpar por no haber borrado ó eliminado de los gastos de la Abril de 1813. La comisión opina que siendo este un esiab'ecimient…</t>
  </si>
  <si>
    <t>…ombre del cupo que le corresponda en el reem £1 Sr. Marau: La comisión los destina solo á la tropa de marina. plazo inmediato; y cuando el aprebensor sea alguno i quien baya ca El Sr. Septien: Creo que no debe señalarse el término de cuatro- bido la suerte de soldado , quedará este libre conforme al sentido lite años , como se prefija, sino el de seis , lo mismo que se hace con loa ral del art. 54 de la ordenanza de reemplazos de i8co. De acuerdo…</t>
  </si>
  <si>
    <t>…que deben concurriendo también el gefe del estado mayor , para que cada uno en gravitar sobre los pueblos. su ramo cuide de lo que á su respectivo encargo ó ministerio corres* El Sr. Septien manifestó que entre los cesantes habla algunos que ponda; y por regla general te observará que tanto en campafia como habían sufrido ur.a rebaja en sus sueldos d: un 50 por roo , v ¡¡ 1- as en tiempo de paz recogerá siempre ios papeles de todo militar que mué…</t>
  </si>
  <si>
    <t>…ños económicos anteriores, y por el’ menos valor de las jo la fecha; pero será de cosa de mes y medio atrás. rentas. En cuanto al primer punto diré que cuando el Gobierno se re El Sr. Septien: Hace mes y medio que no había mas que 14 pue conoce acreedor de la Nación , y cuando el Gobierno tiene en tus ma blos libres en la provincia de Tarragona, y en el dia no habrá mas nos los medios de hacerse pago, de ningún modo debe tratarse ahort que 14 insu…</t>
  </si>
  <si>
    <t>…en que no hubiere de formarse las circunstancias de la Nación.’’ una compañía por cada partido se reunirán dus ó mas para la formación(i) Se leyó en seguida el voto particular del Sr. Septien, individuo de la comisión , en el que disentía del dictamen de la mayoría en el ar (i) Muchos tiempos hace que acaso no ts ha dicho una heregía tículo 2.’, opinando d*bia aprobarse en estos términos: política mu escandalosa para todo el mundo culto, ni mas in…</t>
  </si>
  <si>
    <t>Septien, Josef Luis</t>
  </si>
  <si>
    <t>Josef Luis Septien</t>
  </si>
  <si>
    <t>…Constitución, y él de Cataluña. La comisión opinaba debían aprobarse los poderes pre cia que era opuesto at espíritu y á la letra de la misma; porque si la sentados por los Sres. D. Josef Luis Septien y D. Magin Torner, di Constitución decia que debía procederse sin interrupción , no debía in putados por dicha provincia, advirtiendo que el acta fue ya aprobada terrumpirse ni un solo momento: un miembro de esta junta era el geen la última junta preparatoria. Quedaron aprobad…</t>
  </si>
  <si>
    <t>Septlen</t>
  </si>
  <si>
    <t>…se pueden sal podia suprimirse mientras no se designase otra cosa con que sustituirle; var de otro modo. y asi que la comisión solo habia tratado de perfeccionar en lo posible Ei Sr. Septlen manifestó que cuando la comisión de Hacienda la su recaudación , pareciéndole infundada la desconfianza que se suponía bia examinado el proyecto de que se trataba habia hecho su voto par habia con respecto ¿ las juntas diocesanas : que era indudable que el ti…</t>
  </si>
  <si>
    <t>Septum</t>
  </si>
  <si>
    <t>…on. ir.dante V,ver con la dri j&lt;-p deis Fstars cer.a da ción,” y se aprobó j,-'-- 66 voto, ce ni a 53 II ut d- .\í ,m. t i ctr..*t2i ña ex g.do uní fuerte coaSribucu-n rr estes El Sr. Septum : Yo como diputóle», y con arreglo al art. 35!? de lu.ari», en que os fsec-"» s eran recibidos con s-,brida afib.i dad. la Constitución , pido que la» Cotes fii n el número d- buqti -s qi. ha ( ! n !a ¡..ceta de. ’.r ee fu ’-iied el r.trte de estas .1.. ) de…</t>
  </si>
  <si>
    <t>Ser</t>
  </si>
  <si>
    <t>…s motivos que hemos tenido para hacer esta Aguirre por 66 votos de 94, el Sr. Romero por 67 votos de 91 , el proposición es que en los Gobiernos representativos el poder egecutivo Sr. Ser a ni por 70 de 96, el Sr. Villanueva por 75 de 105 , el señor tiene siempre una natural tendencia á ampliar sus facultades, y hacer Navarro Tejeiro por 74 de 103, el Sr. García Domenech por 68 de algún ataque para usurpar terreno; y como el asunto de que se t…</t>
  </si>
  <si>
    <t>Sera</t>
  </si>
  <si>
    <t>…Nogues, d-clararon que no ha lugar á la formación de causa va , presiden te.=Angel Ssavcdra , diputado aecretario-sFranciaco Be por loa votos de D. Jaime Bosch, D. Ramón Maresch, D. Sera fin Banito , diputado- secretario.” - cígalupi y D. Miguel Piando!it; y habiendo votado que ha lugar Don Por unto ttubdamos i todos los tribunales, justicias, gefes, go Magín Coraminas, D. Joaquín Vifials, D. Isidro Gallarda, D. Fran bernadores y demás autori…</t>
  </si>
  <si>
    <t>Serafina</t>
  </si>
  <si>
    <t>…que contuvieron á los que empezaban de nuevo tamen. á tirarle piedras , y pudieron salvarle la vida, habiéndose visto obligado La comisión de Hacienda, en vista de la solicitud de Doña Serafina á refugiarse en Lumbreras : que en seguida habia entrado la muchedum Endel, viuda del mariscal de campo D. Alejandro Hore, en que pedia * bre en su casa, y la despojaron de todo lo qué en ella había, (levándose ae la dispensase de la residencia del pueblo en…</t>
  </si>
  <si>
    <t>Seró, Juan</t>
  </si>
  <si>
    <t>Juan Seró</t>
  </si>
  <si>
    <t>…me que vuelvan segunde pueblo cuando la tropa nacional se hallaba en Calería. vez 4 invadir esta villa , 4 la que pidieron una contribución de 800 El comandante de armas de Mataró D. Juan Seró ha exigido tam duros, que no siendo é la fuerza no se hallan en ínitno de entregar. bién $0 libras de multa al ayuntamiento de Sta. Cruz de Cabrita • Los facciosos que cercan la plaza de Cardona cortaron el agua de por no haber dado aviso de la entrada que hi…</t>
  </si>
  <si>
    <t>Serra, Josef</t>
  </si>
  <si>
    <t>Josef Serra</t>
  </si>
  <si>
    <t>…to público desde el día 7 de S.tambre Agustino, y la tercera del segundo de movibles, al mando de su ca próximo pasado hasta el 11 inclusive del mismo , acudirán el lunes 28 pitán D. Josef Serra, pasando por el camino mas corto fuesen á to del corriente y siguientes desde les diez de la mañana á la una á reco mar el pu blo, y batir mas de i9 vándalos que se encontraban en él gerlos con sus libramientos de intereses ds la parte ds metílico, y do con u…</t>
  </si>
  <si>
    <t>Serrano</t>
  </si>
  <si>
    <t>…que hoy m imo se nombrase ia comisión. desobediencia, exigiendo la responsabilidad á quien correspondiese. Fl Sr. Saenz da Buruaga manifestó que la proposición podía apro Otra del Sr. Serrano, relativa á que tiendo mas amplia* da lo quv barse , porque ers una da la» cosas mas interesantes, y ao era ea nin cooven ia laa Escollada de los gefes políticos; pedia que el reglamento gún modo restrictiva de' las facultades del Gobierno. que regia en este…</t>
  </si>
  <si>
    <t>…ia, ción de un sr. diputado, como igua.mente la sentencia que dió el con Reillo, Busafia , Cortés , Alcalde, Lamas , Rey, B irtolomé , Sedeño, sejo de guerra , y la exposición del brigadier Serrano á la Diputación Casas, Martí, Rom, Pedralvez, Lodares, Ruiz del Rio, Manso, permanente de Cortes Garoz , Valdés (D. Dionisio), Benito , Sotos, Paterna, Alvarez Gu Se d-claró haber lugar i votar sobre la totalidad del dictamen por tiérrez , Quillones, Isturiz,…</t>
  </si>
  <si>
    <t>…se decidiese 4 que mi Mu la quinta qu dó elegido el Sr. Benito por.84 votos , teniendo nisterio pertenecía la imprenta nacional; opinaba que tierdo una finca 7 '■r. Velasco, 6 el Sr. Serrano, 4 el Sr. Muro , 1 los Sres. Calde del Estado pertenecía al ministerio de Hacienda, al cual debia pasar rón , G. roz, Miran, Ruz de ia Vega y Saavedra, y uno los Sres. In inmediatamente, exigiéndose la responsabilidad al que lo entorpeciera. fante, Villanueva…</t>
  </si>
  <si>
    <t>…stino alguno, ni aun en no 60 votos, el Sr. Zulueta 49, el Sr. Rico uno, el Sr. Belda uno, comisión, por ningún gelfi del ramo de Hacienda sin previa Real reel Sr. Sarabie uno, el Sr. Serrano uno, el Sr. Tejeiro nno, el Sr. Ro aolucion. Lo que servirá de gobierno á los militares que soliciten em mero tres, el Sr. Butafia uno , el Sr. Flores Calderón uno, el Sr. Ma- pleos dependientes de la tesorería general; en la inteligencia de que en rau uno, y…</t>
  </si>
  <si>
    <t>Serrano, Francisco</t>
  </si>
  <si>
    <t>Francisco Serrano</t>
  </si>
  <si>
    <t>…dos adiciones. ciedades patrióticas. La comisión de Casos de Responsabilidad, en el expediente promo A la Eclesiástica otra de los Sres. Villanueva, Infantes, Canga y vido por el brigadier D. Francisco Serrano, coronel del regimiento de Salva sobre el arreglo del clero. caballería de Sagunto, D. Florencio Ceruti, teniente coronel del mismo A la de Legislación otra del Sr. Seavedre sobre que ningún extrancuerpo, y el capitán D. Agustín Chinchilla, sobre varias infra…</t>
  </si>
  <si>
    <t>…ermiso de las Cortes, comisión de examen de Casos de Responsabilidad acerca del expe aya pedido una causa que está pendiente; y así esta causa ha venido de diente promovido por el brigadier D. Francisco Serrano, el tenkate un modo ilegal. Si la comisión creía absolutamente necesario examinar coronel D. Florencio Cénit i y el capitán D. Agustín Chinchilla. los autos originales, debía haberlo expuesto al Congreso, y p.oceder El Sr. NuBez Faltón: Este expediente es sum…</t>
  </si>
  <si>
    <t>…o la guerra ó desmintiéndola, según conviene á sus in Leída y aprobada el acta de la anterior, continuó la lectura de la tereses y i los de algunos Gobiernos. cansa formada contra D. Francisco Serrano , IX Florencio Gcruti y Don Así como Francfort es el centro de las noticiar, de virios diplomá- Agustín Chinchilla hasta concluir la* declaraciones de los testigos: se ' ticos defensores de la medía luna, también lo es (Mesé de las noticia» leyeron después 4…</t>
  </si>
  <si>
    <t>Serrano, Josef</t>
  </si>
  <si>
    <t>Josef Serrano</t>
  </si>
  <si>
    <t>…ianza ilimita verificó asi, y con la infantería y ao caballos del regimiento de Aigarda. La patria coronará de laureles vuestra frente, y morirá gustoso be, al mando de su alférez D. Josef Serrano, tomé nuestra izquierda, con vosotros por la libertad vuestro comandantes Felipe Tolosana." haciéndolo de la derecha el coronel Jáuregui, con toda su caballería y los s 4 nacionales voluntarios de esta capital. En esta dirección con Barcelona Jl de Agotto. ti…</t>
  </si>
  <si>
    <t>Serrano, Juan Antonio</t>
  </si>
  <si>
    <t>Juan Antonio Serrano</t>
  </si>
  <si>
    <t>…(D. Joaquín), sobre que el presupuesto que se selialase para el fomento támenes. «le la milicia nacional se invirtiese precisamente en ia fabricación de Uno sobre la solicitud de D. Juan Antonio Serrano, presbítero, so fusile», opinaba que tiendo «le la mayor importancia ei obj.to de la licitando que no se provean notarías eclesiásticas, sacristías áte. sino en proposición, debia llevarse á debido efecto, encargándose al Gobierno pr. sbít ros secularizados,…</t>
  </si>
  <si>
    <t>Serrano, Lucas Antonio</t>
  </si>
  <si>
    <t>Lucas Antonio Serrano</t>
  </si>
  <si>
    <t>…po del delito Jiménez, calificaron con la nota de injurioso en tercer grado el impreso y por la confesión del reo, ó por el dicho conteste de testigos presen titulado Respuesta de D. Lucas Antonio Serrano á ia acusación ¡pie le ciales, de modo que se pueda dar cierta sentencia, debe terminarse el puso el cura de S. Pedro en Murcia , d nunc.ado por ei mismo cura suinano, y prociderse ai plcnario desde luego.*’ Y en ia de 17 de Abril £&gt;. Antonio Sánchez de León;…</t>
  </si>
  <si>
    <t>Serrano, Martin</t>
  </si>
  <si>
    <t>Martin Serrano</t>
  </si>
  <si>
    <t>…demostrado que no Valtncüt. La comisión opinaba que debían aprobarse loe pódate de tenia empleo en palacio, cuanto porque no había habido reclamación los Sres. D. Vicente Gisbert, D. Martin Serrano, D. Lorenzo Villaalguna contra esta elección. nueva, D. Vicente Navarros D. Bernardo Falcó, D. Manuel Beltran El Sr. Galiano manifestó que debía observarse á la letra la Consti de Lis, D. Jaime Gil Ordnfia, D. Juan Rico y D. Francisco Belda y tución respecto…</t>
  </si>
  <si>
    <t>…veer nuestras fábricas nacionales. delación contra uno de la periódicos del afio de 14, llamado el FerDiscutido este punto suficientemente, á petición de un Sr. diputa nandino, el Sr. D. Martin Serrano, actualmente diputarlo, y juez da do te leyó el artículo 73 del reglamento de milicias, y en seguida que primera instancia en aquella époa, motivó esta ansa, y encootró aa do aprobada la primera medida de la comisión, y la proposición de la nn principio que E…</t>
  </si>
  <si>
    <t>…iia- D. Diego González Alonso , que lo ;* por ia p-ov ncia de Extrema Huí , D. Ct tón mo ViI’jiti'' , D J , f Rano n Mi o, D. Manuel dura , a D. Mar ano Momo, por :a de Cuenca . i D. Martin Serrano, Agreda, D. Juan M chau. , D J -,-f Ani 10 i az- , ID J&gt;»s*f María por la de Valencia, y a D. Pedro Juan de Zuiueta , que io es por la Icaza, I&gt;. Juan Baut sta Lob 1 , D. Ant n &lt;-G uai" , D. M gu-l Or de Cádiz. la , D. Josef Mana Ztrd-n la, t n-ni c rom D. G…</t>
  </si>
  <si>
    <t>Serrano, Pedro Diez</t>
  </si>
  <si>
    <t>Pedro Diez Serrano</t>
  </si>
  <si>
    <t>…u v.-z de la sangre y sudor de los pueblo* con tanta tranquilidad 7 dis politice de Huelva. tracción como el Emperador romano que se divertía en cazar moscas; Zamora administrador D. Pedro Diez Serrano , nombrado antes do ai hubo tiempos en que los hombres se dividían en señores y esclavos, ahora. Interventor U. Tadeo de la Fuente, oficiai de la contaduría de ¡no s design o de D.os que ahora zoce el pueb‘o español, y tal vez León todos tas de z tirrra, d -…</t>
  </si>
  <si>
    <t>Serri, Bartolomé</t>
  </si>
  <si>
    <t>Bartolomé Serri</t>
  </si>
  <si>
    <t>…siguientes lo» b'cnes de capellanías de sangre, muertos los actuales po^eedo e» dictámenes. Asimismo se leyó por segunda vez, y se mando pa^ir a la corriUno sobre la exposición de D. Bartolomé Serri, individuo de la di sion Eclesiástica, una proposición del muinoSr. diputado, pata que no putación provincial de las islas Baleares , solicitando se le ex &gt;n¿ra»e de se apliquen á la indemnización Ce diezmos legos 10» pred.o» ru-ucos y aquel encargo por varia…</t>
  </si>
  <si>
    <t>Sesé</t>
  </si>
  <si>
    <t>…instancia y dema» correspondientes 4 la audiencia mas inmediata. que es el abrigo de todos los patriotas del partido. Madrid 29 de Junio de 1II2:.” „ Se sabe positivamente que el comandante Sesé cayó sobre Cervera; Por tanto mandamos i todos los tribunales, justicias, gefes, go atacó á los facciosos que la bloqueaban, y los derrotó ,causándoles una bernadores y demás autoridad.s, a,1 civiles como militares y eclesiás pérdida muy considerable: hácia e…</t>
  </si>
  <si>
    <t>Sesé, Manuel</t>
  </si>
  <si>
    <t>Manuel Sesé</t>
  </si>
  <si>
    <t>…l se veria en la precisión de renunciar el juzgado, y por lo tanto las trepas.” tl menos no se les debía privar del honor de servir en esta milicia El capitán graduado de teniente coronel D. Manuel Sesé en ua yundo quisiesen hacer voluntariamente este servicio. pane del a de Junio comunica haber emprendido la marcas hacia Pon £1 Sr. Valdés (D. Cayetano) dijo que como miliciano podría en- tón s y Torreilat el a8 de Mayo , con el objeto de batir i los faccioso…</t>
  </si>
  <si>
    <t>…esto que los heridos por el teniente coronel D. Agustín Col!, y la otra por el capitán del de que trata el pane anterior sean asistidos y curados con el mayor es Rey de infantería D. Manuel Sesé. La primera columna al rayar el dia mero, costeando los gastos 'que ocasionen de su bolsillo si en el pueblo encontró i los enemigos en Maipujo!, y trabó un combate largo y obs donde se hallan no hubiese fondos para ello. tinado con un número de &gt;9 á g9 facci…</t>
  </si>
  <si>
    <t>Sesión</t>
  </si>
  <si>
    <t>…nstitución que hemos CKSSibbmcia sai iiíot ario*.jurado , y de las libertades públicas que por ellas nos están concedidas, i» Que ha podido muy bien afirmar, como lo hiao el digno diputado Sesión del *9 dt Marta. y benemérito ciudadano el Sr. Infante, que ni los militares de que so trata , ni otro alguno da los que componen el mismo cuerpo dejarán de Se lité y aprobó el acta de la anterior. oir y repetir con igual satisfacción y entusiasmo que todos l…</t>
  </si>
  <si>
    <t>…ha procedido bien VKBSIDBMCIA OBI $B$OX SALVATO. ó mal . n hab.ría puesto sobre la&gt; armas, y tras adado algunos cuerpos ¿ diferentes pro v mea* como lo refiere la memoria d:T Sr. secretario Sesión de! dia rj. * del Despacho de la Guerra. Leída y aprobada el acta de la ani rior se mandó agregar i ella el Ei Sr. secretario del despacho de la Guerra contestó que creía qu*voto particular de los Sres. Luque, Oiiver y Cuevas, contrario á la no hab.a mas de 1…</t>
  </si>
  <si>
    <t>Sessé, Manuel</t>
  </si>
  <si>
    <t>Manuel Sessé</t>
  </si>
  <si>
    <t>…mentó desda lencio el distinguido mérito que contrajo el capitán comandante del que llegaron mas de 100 caballos procedentes de UrgeL Conociendo yo betallon expedicionario del Rey D. Manuel Sessé, que como gefe in cuan interesante era al bien de la patria batir estas fuerzas reunidas en terino del E. M- de esta división se halló siempre en lo mas fuerte de Montblanch determiné juntar todas las ttopaa disponibles en la provin la acción unido á la Coron…</t>
  </si>
  <si>
    <t>Seté, Josef Alfonso Clavero y</t>
  </si>
  <si>
    <t>Josef Alfonso Clavero y Seté</t>
  </si>
  <si>
    <t>…guna de las Emprístito nacional. cuatro vinculaciones que fundaron D. Francisco Henriquez de Estrada y Los interesados en ¿I, cuyos resguardos interinos tengan los nú Zúfiiga, Fr. D. Josef Alfonso Clavero y Seté , D. Pedro de Peflalrer, meros desde el 18 al )t inclusive, se servirán concurrir á recoger sus presbítero, y el Dr. D. Juan de Pefialver,comparecerán por tí ó por sus acciones y documentos de intereses el martes 16 del corriente desde las apoderados en el ju…</t>
  </si>
  <si>
    <t>Setiembre, Jostf Fernan Madrid Martes JO de</t>
  </si>
  <si>
    <t>Jostf Fernan Madrid Martes JO de Setiembre</t>
  </si>
  <si>
    <t>…íc__ pii-m y D. Ferx de Hi'i, subteniente del mismo , todos de arma Un tercio cera.—534 cueros.—441 cajas y ¡01 tercios tabaco. blanca, y fuertemente contuso el espitan del propio D. Jostf Fernan Madrid Martes JO de Setiembre. dez , aunque les haya si lo sst sfactor o derramar su sangre en def;n»a de la niaure patria. También han sido bar dos un soldado dt caba l ría S. \f. el Rey y SS. AA. continúan sin novedad en su importan» d- Lus-iania , otro de Alcázar y contuso ei cabo de g…</t>
  </si>
  <si>
    <t>Setos</t>
  </si>
  <si>
    <t>…s deben aprobarla. El Sr. Romero manifestó que la distribución de las existencias por El Sr. Surra: Todo el mundo conoce muy bien cuál es el estado el método que habia indicado el Sr. Setos en la sesión de ayer no sa actual de nuestra marina, y nadie dudará que es preciso buscar un re podía admitir , y que en su concepto el mejor medio que se podía adop sorte ó un remedio para ponerlo en el pie que debe estar. Si se aprue tar era el de dar 300 d…</t>
  </si>
  <si>
    <t>Sevillano, Pedro Nolasco</t>
  </si>
  <si>
    <t>Pedro Nolasco Sevillano</t>
  </si>
  <si>
    <t>…Areclicva ta que la servia. Último d todos ellos. En la provincia d- Guadalajara la de Cogoüudo, por renuncia da \rt. 8/ - Se presentará en las listas y en cuantas reuniones se ve D. Pedro Nolasco Sevillano. rifiquen de tambores , cornetas , pífanos ó trompetas ; inspeccionará si Eti Valencia la de Gandía, por d'tnis-on de D. Ju'ian G»ol-ta. se i-alian con la compostura y aseo correspondiente , sin llevar prenda fie adin ten memoriales para cada una de estas pla…</t>
  </si>
  <si>
    <t>Sezi, Josef María</t>
  </si>
  <si>
    <t>Josef María Sezi</t>
  </si>
  <si>
    <t>…plirá in— lencia , que les dará razón de asuntos que les interesan. defe t b am nt* vu stro comandan!: in ¡ taf=H «norato Dub aisel. Contestación al manifiesto que dio á la Nación D. Josef María Sezi 11. El ■ 1 entró en esta cmd-d el g neral Riego, y fue recibido Puente, ez.gefe político de Galicia, 7 actualmente ministro rr-tr/no d nido mi solemn- y satisla; toro. E periódico int tu lado el Aten del tribunal especial de Guerra y Marina : por el Dr. D. Sa…</t>
  </si>
  <si>
    <t>Sezuera</t>
  </si>
  <si>
    <t>…lería de Lusitania, ¡r que á los voluntarios de etia desearía el Go esta partida con dos millones mas. bierno se les dejase la facultad de pasar al egército, dejando á otros el Ei Sr. Sezuera manifestó que no podia conformarse con que rn so sueldo que t mían , en atención 4 su corto número. dejase á arbitrio del Gobierno el emplear esta cantidad srgüri i0 cr,-. íe El Sr. Ferrer contestó que como en el estado del Gobierno número conveniente , pues…</t>
  </si>
  <si>
    <t>Shnuricrr, Domingo</t>
  </si>
  <si>
    <t>Domingo Shnuricrr</t>
  </si>
  <si>
    <t>…i la cuna de la Monarquía para coope __El comandar.t* del primer batallón de la milic'a movible d* Cata rar i nuestra gloriosa empresa , no puede tener garantía mejor qur esa luña D. Domingo Shnuricrr dió parte en 1. del cc-r ente al coman misma firmeza con que he observado las bases que he jurado, manifes dante principal D. Antonio Bag s de hah*r bar do y d spenado i los tando la sinceridad de mis palabras y la pureza de mía intenciones. face‘osos, que en…</t>
  </si>
  <si>
    <t>Si, Argüellui</t>
  </si>
  <si>
    <t>Argüellui Si</t>
  </si>
  <si>
    <t>…tes se hallan en el caso de haber opiniones encontrada entra dos corporaciones respetables como la comisión y al tribunal Supremo, era indispensable va la opinión ikiiprobifíif El Sr. Argüellui Si yo hubiera creído que se trataba en esta pro de cada nno para decidir con el lleno de luz necesario. posición da coartar en lo ma mínimo la facultada del Congreso, ma El Sr. Alonso dijo que se trotaba de bacer una especia de privile hubiera opuesto é ella; pa…</t>
  </si>
  <si>
    <t>Si, Gentil</t>
  </si>
  <si>
    <t>Gentil Si</t>
  </si>
  <si>
    <t>…anente afiadiri prender el castillo de Saumur. Habiendo tenido noticia de este proyec ademas de eso «que entregará el gobierno luego que el sucesor de ln to e| general Jamin por d general Gentil Si. Alphonse, salió de An corona llegue á ser major de edad, ó cese la imposibilidad del Rej.” jees en la nubnt del *g, 7 se dirigió á Saumur con dos compafiía* Art. la8. » La Regencia permanente egercetáia autoridad Real, Id regimiento 44 de línea; pero habiend…</t>
  </si>
  <si>
    <t>Sí-tse</t>
  </si>
  <si>
    <t>…r hecho varias observaciones el orador so de sdem.) bre este aiunto, manifestó que debía desaprobarte la preposición de qu# Decreto de S. M concediendo el uso de la media firma al Sr. Sí-tse trataba. «a Pambley, secretario del Despacho de este ramo. (Gaceta del 9 Se declaró este asunto por suficientemente discutido, y habiéndose de idem.) Leído la propoejtion, se suscitó una ligera discusión acerca de si tn Resolución de las Cortes cediendo por u…</t>
  </si>
  <si>
    <t>Sicilia, Mariano</t>
  </si>
  <si>
    <t>Mariano Sicilia</t>
  </si>
  <si>
    <t>…ra causan contra el autor del número segundo del periódico titulado el Verda los malvados, llevados de su torpe fanatismo ,y guiados por la ingrati dero Observador, denunciado por D. Mariano Sicilia, dignidad de tud y perfidia de su caudillo. prior de la santa iglesia de Baza. n La quinta división siguió á Talarn, cuyo punto cubre hoy, que En la ciudad de Tarragona, reunidos en jurado de acusación loa dando yo en este con las dos restantes, ocupándome en…</t>
  </si>
  <si>
    <t>Sicwatt</t>
  </si>
  <si>
    <t>…a me inserta de las conferencias entre los d piomálicos de Viena habían tenido una efieo i!ei que lo es de las fuerzas en persecución de facciosos, en que disputa bastante animada lord Sicwatt y sir Gordon con el mi se refiere que en el ataque que sufrió la partida de Zildivar por la va nistro de Estado de una gran potencia, de cuyas rau tas habían despaliente tropa de! coronel Ordofiez se advirtió que en el campo de ba chado aquellos un correo á L…</t>
  </si>
  <si>
    <t>Sidmonth</t>
  </si>
  <si>
    <t>…s asambleas generales.—El Rey de Inglaterra te hallaba ya en tu pa lacio de Carlton: mucho* pares iban llegando á la capital, y se esperaba Madrid Jueves ¿I de Enero, el 17 que el lord Sidmonth dejase tu ministerio. ' m SS. MM. y A A continúan sin novedad en su importante salud.” Por cartas de Puerto-Príncipe (isla de Sto. Domingo ) de primerea de Diciembre se sabe que el Gobierno de aquella colonia ha armado La* noticias de los periódicos extranger…</t>
  </si>
  <si>
    <t>Sídmouth</t>
  </si>
  <si>
    <t>…dica debe ser libre como la sura. Ya se sabe de oficio que efectivamente ayer dejó el ministerio del Esta será una concesión hecha sin riesgo alguno por la fuern: pero Interior el lord Sídmouth, y le reemplazó bir Roberto Pee!. El Cou- en el día seria el mayor de todos los yerros cometidos sin razón yin rier hace un extenso panegírico del primero, y aun da esperanzas de necesidad. que dicho lord vu Ira en adeiante i entrar en el ministerio. Tales so…</t>
  </si>
  <si>
    <t>Sidmouth</t>
  </si>
  <si>
    <t>…enaza tado , al que asistieron los personages de mas influjo, sin que faltaran el da de una esclavitud para siempre, de una esclavitud irremediable. ¡Qué duque de VVellington y el vizconde Sidmouth, i pesar de haber salido te vean atropellados ios representantes por aquellos mismos que les ¡na del ministerio: el primero se fue después al departamento de artille dado los poderes 1 ría , donde estuvo trabajando mucho tiempo. Formábanse varias con Aseguro…</t>
  </si>
  <si>
    <t>…icas de su quitada.... Murmullo i la derecha.) correspondencia eon &amp; A. R. d duque de York, comandante en gefe Voto contra al art. a.° dd p*ráli. de los ejércitos británicos, y el vizconde Sidmouth, relativa á su ex En tosida: turnó la palabra el mmñtml Mr.daluw «o Isfrntu clusión del servicio del ejército- Mr. Hume pronunció un largo dis del artículo y dijo que el Sr. preopinante bebía atacado lo mas intrínse curso sobre el estado de las rentas pública…</t>
  </si>
  <si>
    <t>Siena, Felipe de</t>
  </si>
  <si>
    <t>Felipe de Siena</t>
  </si>
  <si>
    <t>…s pondréis se imprima, publique y circule.=Está rubricado de la Real7 rentas del Estado estará á cargo de las oficinas 7 establecimientos si mano. = Palacio 26 de Junio de 182a.=A D. Felipe de Siena rguientes: Pambky. EV IA CORTE. Dependencias del ministerio de Hacienda. Circulares del ministerio de la Gobernación de la Península. Dirección general de contribución* directas, lanzas 7 medias Los Sres. diputados secretarios de la» Cortes con fecha de 2 8 d…</t>
  </si>
  <si>
    <t>Sier, Ramón Antonio</t>
  </si>
  <si>
    <t>Ramón Antonio Sier</t>
  </si>
  <si>
    <t>…n da la comisión , siempre que las Cortes se sirviese* Aprobado. . aprobar. t.° Que por medio de un decreto se dictasen reglas claras y ter La misma , en vista de la exposición de D. Ramón Antonio Sier minante* que protejan y amparen en la posesión á los llamados seño ra para que se declare á qué partido pertenece una dehesa que posee en res respecto de lot terreno* y fincas que hasta ahora les hayan perte la provincia de la Mancha, opinaba, conformándose c…</t>
  </si>
  <si>
    <t>Sierra</t>
  </si>
  <si>
    <t>…cias se reducen é lo siguiente : cayendo los restantes, 36 en el Sr. Sánchez, 2 en el Sr. Florez Capu Los desórdenes de Irlanda continúan del modo mis escandaloso, y zón , 9 en el Sr. Sierra, y uno en el Sr. Ferrer. cada día causan mayor inquietud ; pero el Parlamento ha aprobido ya En seguida se retiró la Diputación permanente acompañada hasta las dos medidas que tiene por convenientes para restablecer el sosiego en la puerta de los Sres. secret…</t>
  </si>
  <si>
    <t>…bsidio que sea necesaria en cada diócesis. Lis juntas respec con ic millones por el subsidio del clero. tivas instruirán los expedientes con toda la exactitud necesaiia para po El Sr. Sierra : El Gobierno, al proponer esta.cactidad , Tuvo presen nerse á salvo de Jas reclamaciones que contra ellas puedan hacer los te que et c;ero en el actual año económico se habia aprovechado , ade partícipes de diezmos. mas de! medio diezmo, de sus bienes raíces…</t>
  </si>
  <si>
    <t>…ia de Comarco el Sr. Soberon; para la segunda de Ha duo, filándola al mismo tiempo en razón inversa de U mayor utilidad cienda el Sr. Alvarez (D. El.as); para la de Agricultura el Sr. Sierra; de la Nación; pues en su dictamen la mayor utilidad para el indivi para la de Instrucción pública el Sr. Moreno; para la de Libertad de duo suponía también mayor utilidad parala Nación , y de consiguiente imprenta el Sr. Arias; para la de Marina el Sr. Roig;…</t>
  </si>
  <si>
    <t>…sde el momento d: mi lle&gt;ada haber facciosos en Tiermas: á poco rato salí para Ecrdum, y habiéndo aiú podre participarla iV.É Dios gu-rds á V. E. mucho» años. Bur se adelantado el capitán Sierra con dicho interventor y c.nco soldados, deos y Junio i.° de 1811 ssF.xcmo. ür.=Vicent* d- Quesada." se hallaron con los facciosos en la entrada de Bcrdum al mom. nto se Dirección general ae rmrurítai indirectos y efectos estancados. me presentó Sierra con su…</t>
  </si>
  <si>
    <t>Sierra, Es</t>
  </si>
  <si>
    <t>Es Sierra</t>
  </si>
  <si>
    <t>…asó al Gobierno, acompasando las de otros varios individuos Sres. que la aprobaron: Salvl, Saavedra, Buruaga, Domenech, del mismo cuerpo , pidiendo que se promoviese á capitanes á D. Es Sierra, Pumarejo, Murfi, Infante, Ruiz de la Vega, Somoza , Lló teban Escalagoyo, D. Julián Fernandez y IX Vicente Genovés, tenien rente, Rojo, Riego, Rico, Gil Orduña , Canga, Septien, Baiges, tes de dicho batallón, y asimismo que se concediesen otras gracias á B.-…</t>
  </si>
  <si>
    <t>Sierra, Felipa da</t>
  </si>
  <si>
    <t>Felipa da Sierra</t>
  </si>
  <si>
    <t>…stado al menea por coo9rs. Art. 17. La 7 circule.sEsti rubricado de U Real mano.sEn palacio á ia de Julio elección se hará el domingo primero del me* de Agosto próximo. da 1813.mA D. Felipa da Sierra 7 Pambl*7. Art. 18. Esto* individuo* te constituirán en Madrid para el día 13 da Setiembre. Art. 19. Reunido* en jante pública, presidida por la co misión da Visita, nombrarán i pluralidad absoluta de votos los siete En la oficina de la redacción de la Gaceta…</t>
  </si>
  <si>
    <t>Sierra, Felipe da</t>
  </si>
  <si>
    <t>Felipe da Sierra</t>
  </si>
  <si>
    <t>…ndréis sa imprima, publique y circule. :=Rubricado de la Real ma trado honorario de la audiencia de Castilla la Vieja, y juez letrado de no. = En palacio á apde Junio de 181a. = A D. Felipe da Sierra y primera instancia d« esta villa y de la Hacienda nacional de la misma, Pambley. refrendada de su escribano del número D. Jacinto Gaona y Loechtrs, »e ha mandado sacar á pública subasta por término de 30 días , conta Don Femando vupor la gracia de Dios y por…</t>
  </si>
  <si>
    <t>Sierra, Felipe de</t>
  </si>
  <si>
    <t>Felipe de Sierra</t>
  </si>
  <si>
    <t>…dispondréis se imprima, publique y circu!e.=Rubricado de la Real dos han sido valientes á cual mas , y todos son igualmente digno* á la mano.=En Aranjuez á 18 de Mayo de ida a.«A D. Felipe de Sierra gratitud pública y á la consideración del Gobierno.” y Pambiey.” » Ciudadanos: Aunque había resuello no comunicaros esta ocurren D'recciou ¿eneral Je ei.iu.in.it y resguardos. cia hasta poderos manifestar el completo exterminio de la gavilla da Resumen de los…</t>
  </si>
  <si>
    <t>…4. La de cuarterón 11. La de dos onzas 6. 7 dispondréis se imprima, publique y circule.=Kubricado de la Real Botellas y latas dt rafí. mano.=sEn Aranjuez á 16 de Jumo de 1811.=: A D. Felipe de Sierra De una libra 31 rs. De inedia 16. De un cuarterón 8. La libra de 7 Pamble7. exquisito de saco 30 rs. y 4 mrs. La de fino de saco id. id. La de cuca rachero de taco id. id. La de palillos y graso de saco 40 rs. La de rapé El Rey se ha servido nombrar para el empl…</t>
  </si>
  <si>
    <t>…eriores un 2 por too sobre la y circule.=■&lt;stá rubricado de la Real mano.=En Palacio á 8 de Julio suma total de los cupos de las tres contribuciones territorial, de con de i8a2.=A D. Felipe de Sierra7 Pamb'ey. sumos y de casas. Art. 16. El importe de 2 por 100 que s: abonará á los ayuntamientos se repartirá como aumento de ius cup &gt;s. ivit. 17. DIRECCION GENERAL DE LOTERIAS NACIONALES. Cada ayuntamiento en su año está obligado á cobrar los cupos de la* No…</t>
  </si>
  <si>
    <t>…de ingenieros de exceso sobra sus compañeros. Rubricado de la Real mano. = Ea Palacio á 10 de Julio de iSuoA 7. a »» Los caballos del escuadrón de artillería ligera que se suprima D. Felipe de Sierra j Pamblej. se destinaría á cubrir las bajas de los cinco escuadrones restantes. 8. ° n Los caballos que faltan en los regimientos de caballería hasta Hallándote vacante la administración de salinas da Arcos, en la ti completo de la fuerza decretada por las Co…</t>
  </si>
  <si>
    <t>Sierra, Francisco de Paula</t>
  </si>
  <si>
    <t>Francisco de Paula Sierra</t>
  </si>
  <si>
    <t>…no habría mas razón para hacerlo que el ser la pe 5 e fiscales de la de Granada, con cuya provisión queda igualmente com na demasiado suave. pleto et número de todas sus plazas, á D. Francisco de Paula Sierra y El Sr. Golfin: El Sr. preopinante ha hablado contra un individuo á D- Antonio Fernandez Gallegos. que á pretexto del servicio militar ha totnado escandalosamente un des* tino; yo voy á hablar también con cierta gloria en este asunto, porque A consecuenciA de lo res…</t>
  </si>
  <si>
    <t>Sierra, Josef</t>
  </si>
  <si>
    <t>Josef Sierra</t>
  </si>
  <si>
    <t>…e lo qu; V. E. se ha li mañana del día go de Agosto último con 120 hombres del cuerpo servido prevenirme en su papel del a8 dei que fina, saldré de esta ma de mi mando, el espitan D. Josef Sierra,el teniente D. Matías Pcraha, ñana á las cinco de la madrugada, y llegaré á Dax enrr: to y r a a mas e! subteniente D. Josef Antonio Fernandez, y el interventor D. Do tardar de la mañana dsi lunes 3 del corriente, a 'onde podrá V. f. d mingo Aristiza. A ias d…</t>
  </si>
  <si>
    <t>…, se desor de Sta. Orosia , por s:r el punto mas interesante , con el capitán Don den; :;,n catepieranieutí. Peaje entonces fueron pcisrguidos por las Josef S erra y los tenientes D. Josef Sierra y D. Juan del Pino y el fii.rri.iic de an.bas columnas de cerro en cetro. La de Tolosana, desde subteniente D. Manuel Alegre, en la qu: no ha ocurrido novedad al que lomó la fald 1 de la s.cira, colocó una comp.ifiía en el olivar y cá gún 1, y de donde en la madrugada mandé sal…</t>
  </si>
  <si>
    <t>Sierra, Lorenzo de</t>
  </si>
  <si>
    <t>Lorenzo de Sierra</t>
  </si>
  <si>
    <t>…nente amagaba una nueva guerra, cuyo térmi sar á informe de la junta nacional dos expedientes promovidos , el pri no no podía dejar de aer su completa ruina y desolación. mero por D. Lorenzo de Sierra, lego secularizado de un convento da « Sabedor este cuerpo de que el coronel Iturbide tuvo la osadía de Alcalá , sobre que en atención i su avanzada edad se le concediese una plantear y declarar abiertamente una conspiración contra el Estado; pensión de aoo d…</t>
  </si>
  <si>
    <t>Sierra, Manuel</t>
  </si>
  <si>
    <t>Manuel Sierra</t>
  </si>
  <si>
    <t>…in haber ocurrido novedad. Colegio dt La comisión de Poderes opinaba que debian aprobarte lot presenta medicina y cirugía dt S. Fernando. Hay este afio 75 alumnos internos dos por D. Manuel Sierra, diputado electo por k provincia de Cuen y 39 externos matriculados para disfrutar de la cnsefienza de embaa pro ca , por estar conforme* coa lo prevenido en la Constitución. Apro fesiones.__Las clases en la actualidad ion las de patología y terapéutica, bado…</t>
  </si>
  <si>
    <t>Sierra, María</t>
  </si>
  <si>
    <t>María Sierra</t>
  </si>
  <si>
    <t>…mente por las consecuencias que los sucesos de ayer pue de Jo mismo que ia anterior. den traer, y por los demas que pueden ocasionar a la tranquilidad y á A la misma otra igual de Doña María Sierra. la patria ; pero de ningún modo porque creyese que tema que temer A la misma igual solicitud de Doña Amona María Cubo, viuda por su existencia. Para el Congreso es indilereute que el orden se baya de D- Pascual Ccivera, capitán de inválidos. turbado ayer, ó…</t>
  </si>
  <si>
    <t>Sierra, N.</t>
  </si>
  <si>
    <t>N. Sierra</t>
  </si>
  <si>
    <t>…mente un del batallón de 1» milicia D. Benito Marrasi, de su capitán D. Juan aspedículo inaudito en la historia del mundo, esto es, un pueblo que Baeza y del capitán de caballería D. N. Sierra, 4 los balcones de la está instruyéndose, engrandeciéndose y formándose en midió de las misma casa pura ofender desde ellos at enemigo, sí acaso lograba pene cadenas, de modo que ¡parece que se prepara para la libertad. Cuando trar en la plaza. Presentándose…</t>
  </si>
  <si>
    <t>Sierra, Víctor</t>
  </si>
  <si>
    <t>Víctor Sierra</t>
  </si>
  <si>
    <t>…lleros C de "odias contra el Rey , de que nasciese dado noticia al conocimiento de V. E. * lleno mi corazón del mayor gozo, á él £ á la tierra. pues los últimos panes del teniente coronel D. Víctor Sierra, coman Se dirá y convendré que tin embargo da ser exacta la calificación dante da la columna volante del occidente, refiriendo sus acertadas pro que hizo la sala, y de no proceder ci indulto, como dijo en su infor videncias para conseguir la destrucción de aq…</t>
  </si>
  <si>
    <t>Sigovia, Fern.ndo Marta</t>
  </si>
  <si>
    <t>Fern.ndo Marta Sigovia</t>
  </si>
  <si>
    <t>…ete ruso á las llamadas grandes potencias, concerniente Cartas de alguno* judío* portuguesa*, alemanes y polacos á Votá ios negocios da Turquía. taire , traducidas del francés por D. Fern.ndo Marta Sigovia. No Desde que el ministro ingles salió de Constantinopla los demas puede recomendarse el mérito da esta obra ds otra manera que mani ministros europeos sa han retirado á Pera, suspendiendo toda comuni festando al público el aprecio que ha merecido en «I origi…</t>
  </si>
  <si>
    <t>Sih</t>
  </si>
  <si>
    <t>…Calderón : Todos los (¡'potados deb-mos ser muy separa: orí , v por !»a 111 .‘oo rf ¡’1 . í ■, : -¡ v . puntuales en hacer que jamas s: comph m.tan .as facu tade» d • :as lici El Sr. Sih o Insisto :r q..e se ; *i: i a . . ■ , s p ó» a' ,e."cr tes , cooio tambicn que uo sa comprometan las que pertenecen ai Rey. pr.Sitíente qu; se jreeuntc * ias Corle» &gt;:». .» üj.u w ».u&gt; on.</t>
  </si>
  <si>
    <t>Siividor, Sánchez</t>
  </si>
  <si>
    <t>Sánchez Siividor</t>
  </si>
  <si>
    <t>…ra una orden del Gobierno, y el que conserve Se mandó pasar á la comisión la siguiente adición al art. 504 del reunida la tropa de su mando después de saber que la ley ó el Gobier Sr. Sánchez Siividor; » que comprenda el caso de que lo sepa oficial no tienen ordenado que se separe ó se la licencie, sufrirán la pena de mente, ó deba saberlo por habérsele comunicado, ya sea personalmen deportación.” Aprobado, añadiendo oficialmente después de saber. te ó de…</t>
  </si>
  <si>
    <t>Sil</t>
  </si>
  <si>
    <t>…Historia y de 5. Fernando; á D. Manuel González Nar- ó establecimientos que componen la armada naval de Espafia, propo ganet; á D. Josef Madrazo, de la academia de S. Fernando; á D. Sil niendo las reformas que la experiencia y la ilustración de nuestros tiem vestre Perez, de la misma, y á D. Josef Alvarez de la misma. Tcn- pos hacen necesarias, para que la Nación saque de su marina todas laa drsislo entendido, y dispondréis lo conveniente á…</t>
  </si>
  <si>
    <t>Siles, Antonio</t>
  </si>
  <si>
    <t>Antonio Siles</t>
  </si>
  <si>
    <t>…o López, de la academia de la Historia, y diputado en Cortés; á D. Francisco de Sales Andrés, colectar general de Espolios, y acadé mico supernumerario de la academia Espafiola; á D. Antonio Siles, En el Ateneo etpafiol se hace el dia y de Enero á 1» cinco y me magistrado de la audiencia de Madrid, é individuo de la academia de dia de la tarde la apertura de la cátedra de matemáticas, y proseguirá la Historia; al P. Fr. Antolin Merino, de la orden de S…</t>
  </si>
  <si>
    <t>Siles, Irene</t>
  </si>
  <si>
    <t>Irene Siles</t>
  </si>
  <si>
    <t>…ados, que se llaman representantes de una nación que qu- re ser libre, Aprobadle con qué odio tan profundo miran toda institución liberal, y con qué Otro acerca de la solicitud de Doña Irene Siles, viuda de D. An furor insano harían la guerra á la libertad de España, si estuviera en su tonio Muñiz, para que se Je conceda una pensión: la comisión (-pisa mano la disposición de la fuerza. ba que no debía accederse á ella. Aprobado. Otro sobre la solicitud…</t>
  </si>
  <si>
    <t>Silfito</t>
  </si>
  <si>
    <t>J4&lt;&gt; castigado. y cuando ao »ó» I* debía «totear tu i Se leyó otra proposición del Sr. Prat ,jftl*tiva 4 que habiendo dado El Sr. Silfito dijo que cuando m ni* por toda* pane* la terrible para en ¡as cm.inores un proyecta sobre caminos y ca «plosin* de «a volcan no te debía capuoer á la aactoo i lo* uitrage» nales , y i.er. lu necesario que jp actúales te ocupasen da este asunto, que ya había e…</t>
  </si>
  <si>
    <t>Silva, Ferreim de</t>
  </si>
  <si>
    <t>Ferreim de Silva</t>
  </si>
  <si>
    <t>…icada ante las Cortes.” de la anterior. Después de alguna discusión se aprobó el artículo y la siguiente adición La comisión primera de Hacienda, en vista del expediente promo del Sr. Ferreim de Silva. » Excepto los reelegidos de la legislatura an vido per la diputación provincial de Oviedo sobre establecer una im brica de cigarros en aquella provincia , opinaba que d.b.a estab roerse terior." También se aprobó la siguiente proposición: •» El diputado que…</t>
  </si>
  <si>
    <t>Silva, Juan</t>
  </si>
  <si>
    <t>Juan Silva</t>
  </si>
  <si>
    <t>…so por contrata que no por el método adoptado hasta ahora, les pararé el perjuicio que haya lugar. han acordado las siguientes bases para la empresa. Se desea saber el paradero de D. Juan Silva para participarle un 1.' Las Cortes cederán al empresario el derecho de imprimir, reim asunto sobre intereses procedentes de América, en la provincia de primir , publicar y vender el diario de sus sesiones por el tiempo que se Goaiemala ó Comayagua , pueblo l…</t>
  </si>
  <si>
    <t>Silva, Juan Tomas de</t>
  </si>
  <si>
    <t>Juan Tomas de Silva</t>
  </si>
  <si>
    <t>…rado no haber lugar Ala forma de botánica y agricultura i D. Josef Alonso QuintaniUa; en clase ele ción de cauta por cinco votos , habu ndo opinado que st cuatro , qu* interinos á D. Juan Tomas de Silva para la de moral y de derecho son D. Pascual Claris, D. Juan L!adó, D. Benito Plandolit y D. Ma natural, á Tomas Martínez Hortal para la de lógica y pramátea gene cario Riu. Barcelona 17 de Agosto de iSia.sJosef Angias.-li.— Maca ral , d-b endo encargarse ade…</t>
  </si>
  <si>
    <t>Silva, Manuel</t>
  </si>
  <si>
    <t>Manuel Silva</t>
  </si>
  <si>
    <t>…dote podido saber huta do Diez , D- Pedro Ruíz, D. Jacinto Rofil, D. B rnardo Rodríguez, ahora quiénes ton los poseedores d 1 estos títu'os, sin embargo de las D. Pablo haracibsr, D. Manuel Silva, D. Josef Tutor, D. Manuel muchas diligencias que te han practicado al cf cto, te avisa al público Trtcaño, D. Josef Urreta y D. Francisco Uriel. por medio de este periódico, para que si aLuno tiene noticia de los re ANUNCIOS. feridos poseedores se sirva mani…</t>
  </si>
  <si>
    <t>Silva, María del Carmen</t>
  </si>
  <si>
    <t>María del Carmen Silva</t>
  </si>
  <si>
    <t>…a Ha los periódicos que hasta ahora había recibido puntualmente de los de cienda pública, en. la cual habitaban los intendentes de Galicia: una partamentos del Oeste. solicitud de Doña María del Carmen Silva, portuguesa , para que se le Estaban para acabarte en París las misiones que tantas alarmas han continúe pagando una pensión de 4 rs. diarios: una exposición del co ocasionado en aquella capital. mandante general de Veracruz, recomendando á la viuda del capit…</t>
  </si>
  <si>
    <t>Silva, Rodrigo Sarmiento de</t>
  </si>
  <si>
    <t>Rodrigo Sarmiento de Silva</t>
  </si>
  <si>
    <t>…ltima piedra je las pirámides. 149,119 mrs., sobré el segundo uno por ciento de las alcabala» de Sevi La importancia de este monumento del talento francés no pueda lla, 4 favor de D. Rodrigo Sarmiento de Silva, conde de Salinas. ponerse en duda, p todo el que desee formar una idea exacta del Egipto Buen-Rctiro á 1 a de Mayo de 165 a—Un juro de 517,510 mrs., situa actual, p de la* reliquia* de sus antiguas maravillas, deberá consultar dos sobre las alcabala* «fe Cas…</t>
  </si>
  <si>
    <t>…itable no le presentaba la ocasión de en 29 de Enero de 1559 otro salinas de Galicia y su partido, en cabeza contrarle , á pesar de que habia tomado las avenidas de los caminos de D. Rodrigo Sarmiento de Silva, conde de Salinas de Rivado, mas principales, sin embargo juzgó por muy conveniente el referido duque de Hijar, de 188,924 mrs., fecha 26 de Agosto de 1648 .- otro comandante publicar el bando de indulto, 6|ando el término de dos millones de Toledo, en cabeza…</t>
  </si>
  <si>
    <t>Silveira, Jorge de</t>
  </si>
  <si>
    <t>Jorge de Silveira</t>
  </si>
  <si>
    <t>…Sevu.a, denarlas á ia miseria. despachado en cabeza de D. H.rnan López Ramírez, prunrcicnie al Animados dt estos principios luminosos y ds eterna verdad, for mayorazgo fundado por D. Jorge de Silveira, d: que es poseed.r Dan maron ios fundadores de nuestra sociedad ti feliz proyecto de reunir Nicolás Lorenzo de Silveira, marques de la Vega , se servirán envegar sus fuerzas y sus voluntades i las dt qtros propietarios, tan deseosos los á D. Miguel Martínez…</t>
  </si>
  <si>
    <t>Silvestre</t>
  </si>
  <si>
    <t>…e Don pasar al Gobierno pera que asi lo verificase. Aprobado. Jaime Fernandez y otros vecinos de Burnana para que se ¡es rebaje La comisión de Guerra, en vista de la exposición de D. Silvestre una parte del arriendo de la primicia, opinaba que no debía scc.de: se Escurra, pidiendo se le restituyese al servicio en clase de capitán que é ella. Aprobado. era en tiempo de la guerra de la independencia, y de que fue privado La moma , en vista de la expo…</t>
  </si>
  <si>
    <t>Simas, Francisco</t>
  </si>
  <si>
    <t>Francisco Simas</t>
  </si>
  <si>
    <t>…: y en el caso de co com zado. (Del convento suprimido.)__Fr. Juan Mercader, ex-prior del parecer dentro del término citado, les parará el perjuicio que haya iugir convento, id----D. Francisco Simas, cura párroco de Mahon.__ El conde de Torre-Saura. ANUNCIOS. Los ind’Viduos de la plana mayor de dicha plaza de Mahon quedan ar Tabtas cronológicas de los códigos y colecciones del derecho roma restados en Pa'ina de Mallorca u disposición del mismo fiscal__ •…</t>
  </si>
  <si>
    <t>Simó, Pedro</t>
  </si>
  <si>
    <t>Pedro Simó</t>
  </si>
  <si>
    <t>…imentados. Dt ia audiencia de Sevilla. D. Teot mo Escudero á la de Extrema 3." » Que i fin de conseguirlo el Gobierno i la mayor brevedad y dura. D. Josef de Mier a la de Granada. D. Pedro Simó á la de Ca con presencia de los reglamentos, órdenes é instrucciones vigentes, narias. proponga á las Cortes un proyecto comprensivo de las reglas sencilla* De la audiencia de Valencia. D. Francisco Gutiérrez Sosa á la y seguras con que deberán formalizarse l…</t>
  </si>
  <si>
    <t>Simón</t>
  </si>
  <si>
    <t>…a plaza de magistrado de la audiencia territorial de Castilla la prensa, y se entregará al tiempo ofrecido: continúa abierta la suscrip Nueva: á D. Fernando da la Torre y Heraa, á D. Simón de la Piaaa ción en todos los puntos anuncisdos. y Prado y i D. Miguel de Nájen para plana de la misma en la ele Arbol eucarístico de la vida , et sagrado corazón de J.sus sacra Canarias: á D. Aútbnió Ramón Gallegos para la judicatura de prime mentado. Compen…</t>
  </si>
  <si>
    <t>…n a la resultaren por los libros de las respectivas contadurías. de Extremadura. 5.0 » Se declara qua en pago da los referidos alcances , 6 léase des De ia audiencia Je Canterías. D. Simón de la Plaza y Prado á la cubiertos de los pueblos y fondos de propios á favor de las contribu de Valencia. D. Cristóbal María Falcon á la de V*lenc:a. ciones y rentas generales del Estado hasta fin del afio de 1819 , se les Regentes. El de la audiencia da Gal…</t>
  </si>
  <si>
    <t>Simón, Isidoro</t>
  </si>
  <si>
    <t>Isidoro Simón</t>
  </si>
  <si>
    <t>…incia fi excitación en la vega y sitio de la Mata, linde el Tramon del Rey, rio Jarana y del Sr. gafe político; han declarado unánimemente haber lugar á la tierra de capellanía de D. Isidoro Simón , de caber 11 fanegas, á 900 formación do causa. Barcelona ai de Setiembre de 1822.=: Josef Mi rs. cada una, 9900 rs. Otra en dicho sitio, linde con otradeD. Julián guel Corriols. = Juan Bautista Dotres. rs Juan Evaristo de Castellar. = Salustiano Fernandez d…</t>
  </si>
  <si>
    <t>Simonet, María Teresa</t>
  </si>
  <si>
    <t>María Teresa Simonet</t>
  </si>
  <si>
    <t>…itaban.. Aprobado. denes mayores. - La misma opinaba que no debia haber lugar á deliberar sobre la » Pido i las Cortes que á continuación de dicho artículo se añada*, solicitud de Doña María Teresa Simonet, viuda del teniente coronel también se declaran exceptuados Jos canónigos de la iglesia de S. Isi D. Pablo Ramón Hernández, pidiendo una pensión. Aprobado. dro de esta corte, y los prebendados de oficio de las catedrales y cole La de Instrucción pública , en…</t>
  </si>
  <si>
    <t>Sin, Pa</t>
  </si>
  <si>
    <t>Pa Sin</t>
  </si>
  <si>
    <t>…oa ó La sala de segunda instancia del tribunal especial de Cortes » ea separación. Pieza principal, folios 32 y 54. donde pende actualai -nt: la causa formada contra el presbítero D. Pa Sin embargo no resulta cuándo se separaron las causas no se colo blo Fernandez de Castro , uno de los 69 ex-diputados i las ordinarias có testimonio de la lista de los conjurados que se aprehmdió á Vmuesa, de 1814, que filmaron el manifiesto y representación á S.…</t>
  </si>
  <si>
    <t>Síntoma, Benito</t>
  </si>
  <si>
    <t>Benito Síntoma</t>
  </si>
  <si>
    <t>…iona á los título de carta de Talleyrand al Pontífice , denunciado como subversivo pueblos la multitud de fiestas prescritas en sus reglamentos y en vanas por e! fiscal de censura D. Benito Síntoma en 27 del presente Abril, órdenes de las mismas Cortes , sino también á los perjuicios que causa declaramos á unanim dad de votos que ha lugar á la formación de cau á los v reinos, separándolos de tus útiles trabajos, han resuelto lo si sa. Baicetona 29 de Ab…</t>
  </si>
  <si>
    <t>Sioane</t>
  </si>
  <si>
    <t>…a, para que de la Constitución que prohibiese que un gefe político pudiese salir se discuta mas adelante. elector de parroquia p presidir la junta, p que si no lo hubiese hecho El Sr. Sioane: No puedo menos de hablar en este asunto , y mas asi, se hubiera declarado infractor de la Constitución. Por estas razones considerando que algunos señores han impugnado el dictamen de U opinó que no se debía aprobar el dictamen de la comisión. comisión incul…</t>
  </si>
  <si>
    <t>Sióvi</t>
  </si>
  <si>
    <t>…había con vigentes: lo cual no podía hacerse ti no siguiéndose los tramites que I* tinuado y finalizado la lectura de la nvnuta del código pena'. misma Constitución estah'eo*. El Sr. Sióvi manifestó que habiendo las Corte» d terminado que el El orador hizo varias retí :xiones para demostrar qu: era mas nece proy’ct» de decreto sobre señor,os no se discút ese en ti.do este m’s, sario un cód¡go de procedimientos que ningún otro . v conclus o su s…</t>
  </si>
  <si>
    <t>Siraiski</t>
  </si>
  <si>
    <t>…ntajas que resultarían d. su __El buque de &amp;. M. Menas recibió á bordo el 14 de Abril en Puerto- aprobación con las modificaciones que proponía la comisión Luis (isla Mauricio) al príncipe Siraiski, uno ds ios gefes de Mada- La sustancia de los articulas es la siguiente: El 1.® decía que r,r&gt; ascar, cou un embajador ingles y un misionero, y los condujo y se podría publicar en adelante ningún nuevo periódico ó escrito de &gt; «embarcó el 19 en Jamitiva, uno…</t>
  </si>
  <si>
    <t>Sirera, Josef Ramón</t>
  </si>
  <si>
    <t>Josef Ramón Sirera</t>
  </si>
  <si>
    <t>…spaña*, á todos los que las presen el decreto de las Corte* de &gt;9 de Junio último. tes vieren y entendieren, sabed: Que las Costes han decretado lo si ' Dt la audiencia dt Aragón. D. Josef Ramón Sirera á la audien guiente ¡ Lac Cortes, usando de ia facultad que se lea concede por la cia de Navarra. D. Josef María Pufg á la de Valencia. Constitución , han decretado : Déla audiencia dt Astúrias. D. Nicolás Gómez Villaboa á la de i. a «Que todos los créditos p…</t>
  </si>
  <si>
    <t>Sistemes, Pablo</t>
  </si>
  <si>
    <t>Pablo Sistemes</t>
  </si>
  <si>
    <t>…s, reptiles y plantas venenosas." los que se crean con derecho á suceder en el vínculo fundado por Don TITULO QUINTO. Melchor Sisteme* de Obiíl-s en los capítulos matrimoniales de Don Pablo Sistemes, tu hijo, ante Vicente Gassul en 4 de E, boro de sógfi, jOs ¡os delitos contra la ft púélica. y en sus agregaciones, pi'i que dentro del plazo de dos años comparez can en dicho tribunal a deducir su derecho por tí ó por sU&gt; apod-radas; baja apercibimiento que…</t>
  </si>
  <si>
    <t>Site, Josef</t>
  </si>
  <si>
    <t>Josef Site</t>
  </si>
  <si>
    <t>…tas del consejo de hstado, y Gorm e Becerra se aprobó este dictamen. relativas 1 lo acordado por las Costes á consecuencia, de una proposiciota he &lt;iió cuesta de una exposición de D. Josef Site?, ciuJadano espa del Sr. Romero Alpuente acerca de los consejeros (fe Estado que ha ñol, en la que teiteraba uní solicitud que hizo i las Cortes anteriores, bían entendido en las causas formadas ¿ los patriotas constitucionales y hacia presente que el Gobiern…</t>
  </si>
  <si>
    <t>Siunador, Estanislao</t>
  </si>
  <si>
    <t>Estanislao Siunador</t>
  </si>
  <si>
    <t>…. Pedro Easetño Bardsjí r Ajeara, del de jflstadb; Dt Ramón Feliu, de le Go del Portille , alcalde primero constitucional de esta ciudad, que por abo* bernación de la Pfcnfnsals ¡ D. Estanislao Siunador, de Guerra, y Don ra obra en mi poder &gt; * que me remito. Y paca que conste, cumpliendo Angel Vallejo , encargado de) de Hacienda, me kan hecho repetidas con lo mandad» en cabildo celebrado én este día , firmo to presente ea renuncia» de tus destino», y muy'ef…</t>
  </si>
  <si>
    <t>Sivil, Fiancisco</t>
  </si>
  <si>
    <t>Fiancisco Sivil</t>
  </si>
  <si>
    <t>…La dirección general de estudios del reina en 5 de Noviembre úl Se nombró para ta comisión del día i.° de Enero á los Sres. Rie timo ha declarado al coronel disperso ds infantería D. Fiancisco Sivil?, go , Sslvato, Alava, Ruiz de la Vega, Gal ¡ano, Seoane, Infante, residí nte en Cartagena ( provincia de Murcia), por profesor autoriza .0 Alonso, Saavedra , Muro , Grases y Valdés ( D. Dionisio.) de m.itemat'cas puras y mixtas, y cuyos cursos de la prenotad…</t>
  </si>
  <si>
    <t>Sixto, Cayetano</t>
  </si>
  <si>
    <t>Cayetano Sixto</t>
  </si>
  <si>
    <t>…ón de Min- ner como á bien tenga. go» pieza de Valdemoro, folio 193 ; y de ella resulta que D. Anto ANUNCIOS. nio Sánchez era uno de ios conjurados, y en su casa se celebraban lat D. Cayetano Sixto, actualmente catedrático de literatura é historia juntas: que Salas no solo concurría á ellas , sino que llevaba la voz y •n la universidad central, abrirá un curso, particular de lengua latina recibía el juramento á los demás: que Podio y el oficial de Almag…</t>
  </si>
  <si>
    <t>Sixto, Gregorio</t>
  </si>
  <si>
    <t>Gregorio Sixto</t>
  </si>
  <si>
    <t>…rein Ignorando la dirección g-netal de loterías nacionales el paradero tegra ai P. Solchaga en la plena posesioo 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t>
  </si>
  <si>
    <t>Skee</t>
  </si>
  <si>
    <t>'36V Jantes para con tos que abriguen en sus sanos intenciones siniestras al sm Ncbot, el Sr. Skee facilitó buque y todo lo demás que fue necesario bienestar He Jos pacíficos y a la estabilidad de nuestro preciosa Código. para efectuar este viage : dispuesto ya todo de este modo, nos vimos pre » Delatádmelos si los descubrieseis, y vereis que todos los rig…</t>
  </si>
  <si>
    <t>Sleal, Francisco</t>
  </si>
  <si>
    <t>Francisco Sleal</t>
  </si>
  <si>
    <t>…ue componen la columna de Gurrea, y á une compañía del segundo eta y oficiales existentes en los cuerpos de milicias de resultas de la de Ordenes, al mando del teniente coronel el capitán D. Francisco Sleal orden de 18 de Noviembre de 1814, y que pueden optar á los Press».zese han encontrado mas de too fusiles, varias fornituras y mu empleos de plena mayor en estos batallones. (Geertc del aj.) niciones que las han arrojado, huyendo .en trage de painnos.cnDios De…</t>
  </si>
  <si>
    <t>SlrogonofF</t>
  </si>
  <si>
    <t>…ce que se manifiesta mas orgulloso, pretendiendo ahora expediente de remate que habían de pagarse con esta clase de créditos que la 11 usia desapruebe la conducta de su enviado el Sr. SlrogonofF. para no ofender la buena fe de los contratos. De orden d: las misma* __Se habla de mudanza en el Gabinete ruso, y que el griego Sr. Capo lo comunicamos 4 V. E. para que se sirva ponerlo en noticia de S. M. de Istria será separado de los negocios ; y no seria…</t>
  </si>
  <si>
    <t>Snb.ron</t>
  </si>
  <si>
    <t>…pro los presupu stos de los gastos públicos del inmediato año económico, barlo se seeuTian males de grande trate;ndneia. y i que &lt;1 Congreso debe cerrar muy luego sus sesiones. El Sr. Snb.ron presentó la siguiente proposición: » Pido á las Cor 7. Que este expediente se pase 4 la comisión de Casos de respon tes se sirvan declarar que la comisión especial que se nombró á princi- sabilidad para que proponga lo conveniente sobre exigirla 4 los funcio…</t>
  </si>
  <si>
    <t>So</t>
  </si>
  <si>
    <t>…jurado? Yo no lo entiendo. En este estado no comprendiera en la rebaja general de sueldos. Las Cortes lo oyeron coa puedo menos de mirar la cuestión bajo el aspecto que lo hizo el Sr. So lía. S. S. en el dit pasado apuró de tal maaera esta cuestión, que de agtado. El Sr. Grases presentó otra igual exposición de los oficiales del 4.0 mostró hasta la evidencia que las Cortes, en el caso de manifestarse regimiento de artillería, sobre la que rec…</t>
  </si>
  <si>
    <t>…a ,o» ya ' Quedó aprobado como había propu-vto el Sr. Solos biesen sido inutilizados en detensa de a p,:1 v Art- i$. *E1 distinto modo de disfrutar de los derecho* poli ticos. h¡ Sr. So moza apoyo el articuo, ¿ -..¡id. qct :a c!a»c de ».» '.*re</t>
  </si>
  <si>
    <t>So, Benito</t>
  </si>
  <si>
    <t>Benito So</t>
  </si>
  <si>
    <t>…la, opinaba que debía tenerlo.” accederse í ella. Aprobado. 4-1 ” Exigir la responsablidad á cuantos hayan detenido, entorpeci La comisión de Hacienda, en vista de la solicitud de D. Benito So do ó dilatado el cumplimiento de los decretos de las Cortes, y hacer lano, vecino de Molina , en Aragón, para que se le perdone la canti que los que están sin cumplir se lleven á efecto dentro de ocho dias.” dad de 289 rs. que adeuda por el arriendo de la pri…</t>
  </si>
  <si>
    <t>So, Domingo</t>
  </si>
  <si>
    <t>Domingo So</t>
  </si>
  <si>
    <t>…maciones que te habían he cho , opinaba debian aprobarse- Aprobados. Por resolución, i consulta del consejo de Estado de ij del corrien Galicia. D- Josef Pumarejo, D. Vicente Rey, D. Domingo So te, se ha servido S. M. nombrar al Exento. Sr. D. Manuel Abad y moza , D. Josef Pedraloez, D. Ramón Limi» y Méndez, D. Josef Queipo, obispo electo de Mechoacan , para el obispado de Torios», Alcalde, D. Josef Santiago y Muro, D. Joaquín Nuilez Faicon , Don va…</t>
  </si>
  <si>
    <t>So, Jacobo</t>
  </si>
  <si>
    <t>Jacobo So</t>
  </si>
  <si>
    <t>…steves, D. Josef Moreno Montea, D. Josef Armada», D. Diego encuentra á la mano izquierda, y á la derecha había ct¡os adorno, de Mosquera, D. Domingo Sancha , D. Félix de la Riba , D. Jacobo So* menos importancia. El centro lo ocupaba una fi.ura de muger, 1 Ir bregra , D. Ramón Capóles, D. Josef Marín Quiroga , D. Antonio cual los autores de la descripción llaman una hit, que tenia las piernas Rodrigues, D. Vicente Torrea , D. Manuel García Riobó, D…</t>
  </si>
  <si>
    <t>So, Julián de</t>
  </si>
  <si>
    <t>Julián de So</t>
  </si>
  <si>
    <t>…cionistas que habiendo concurrido calle de la Almudent, número 1 , manzana 183, y continuado en el á la primera sesión , celebrada en 16 de Diciembre de 1820, no se ha juzgado del Sr. D. Julián de So jo, juez de primera instancia que fue yan désprehdjdo de la» acciones que exhibieron , ó que continúen po en esta villa y de los negocios contencioso» de la Hacienda pública, y seyendo jo menos el número de 20, acudirán i la sccieiaría de la com- escribanía d…</t>
  </si>
  <si>
    <t>Soatea</t>
  </si>
  <si>
    <t>…tro deber, sabemos hocemos Srrmn At Certss Atl ij. dignos «le laNacioná que no* gloriamos de peitcnecer. Las privacionmque Se continuó la diacusion de loa asuntos del Brasil, y el Sr. Soatea padecemos son increíbles; sin un real, y á vera limitada te manuten Franco pidió que se leyese la representación de la jante de S. Pablos ción á yuca y plátano guineo. Si por fortuna acabasen de llegar loa pero vatios Sres- diputados, que simultáneamente pidi…</t>
  </si>
  <si>
    <t>Sobaron</t>
  </si>
  <si>
    <t>…iásticos. La co Se leyó la siguiente proposición del Sr. Gil Ordufia: » Pido qoe el misión Iss aprobaba , y se mandaron quedar sobre la mesa. tiempo de que trau la proposición del Sr. Sobaron sea el preciso de tres Otro sobre una exposición de los curas de Ecija, pidiendo se au días.” Aprobado. mentasen las parroqutas de aquella ciudad huta el número de ta. La Se principió la discusión del dictamen de la comisión de Hacienda comisión opinaba que d…</t>
  </si>
  <si>
    <t>Soberon</t>
  </si>
  <si>
    <t>…este negoció , 7 yo dará mi t dictamen. Es in También lo fue el da la de Poderes sobre qué a* aprobasen lm del dudable; por lo.que so he dicho , que *• bollan en Ruma 69 bulas de Sr. Soberon, gefe político da Canarias, diputado nombrado por la pro tenidos ; peto probablemente no toa teda» de matrimonio, cotno ae ha vincia de Bfirgos. supuesto, asno de diCmqlm cimas, 7 en cato be pe darido una equivo Se continuo la discusión 4et dictamen 4a la com…</t>
  </si>
  <si>
    <t>…as por ia Nación. menos podemos satisfacer las pensiones que gravitan sobre las cajas de Se auspenasó esu parte: igua’mentese suspendió la siguiente: América. 11. Im -relictos. Ei Sr. Soberon: La cuestión está reducida á si estas pensiones que te satisfacen al conde de Motezuma Scc. por cuenta de las cafas de Mé Se piden para su pago io.oco.ojo xico se han de pagar en la Península; pero mi opinión es que deben La comisión se o jpa seríame r.- . ‘…</t>
  </si>
  <si>
    <t>…ue se die Fueron nombrados para la comisión Eclesiástica los Sres. Lapuerta se por base para la graduación de la cuota la mayor utilidad del indivi y Alonso; para ia de Comarco el Sr. Soberon; para la segunda de Ha duo, filándola al mismo tiempo en razón inversa de U mayor utilidad cienda el Sr. Alvarez (D. El.as); para la de Agricultura el Sr. Sierra; de la Nación; pues en su dictamen la mayor utilidad para el indivi para la de Instrucción públic…</t>
  </si>
  <si>
    <t>…arquía quisiese proclamar la inde pediente relativo ai segando diputado por' le proviheiide'Guipúzcoa. pendencia. El Sr. Romero contestó que la comisión se ocupaba en él, y pre El Sr. Soberon apoyó las ideas del Sr. preopinante, refiriendo las sentaría su dictamen i ia mayor brevedad/ ' _ causas que habían dado motivo á algunas inquietudes en aquellas islas, El Sr. Adan dijo que ayer ac habia derogado de hercio ti iiy ai y manifestando el buen est…</t>
  </si>
  <si>
    <t>…ba evidente de ia religiosidad con que trato Sr. Murfi, «n el que disentía en la segunda parte del anterior. de cumplir mis ofrecimientos, y á fin de poner expedito el paso qué El Sr. Soberon, individuo de la comisión, leyii también ?u voto media del crimen á la virtud, graduando ct tiempo necesario según particular, conformándose en cuanto á que el expediente estaba bastante las instrucciones que por separado doy á todas las justicias de esta pro…</t>
  </si>
  <si>
    <t>Sobirachs, Francisco</t>
  </si>
  <si>
    <t>Francisco Sobirachs</t>
  </si>
  <si>
    <t>…o aer la enseñanza gratuita 1. lo» pre causa, habiendo opinado que sí D. Magín Coraminas, D. Isidro Ga tendientes presentarán sus memoriales en el término lie 15 días, con llarda, D. Francisco Sobirachs 7 D. Juan Lladó. Barcelona 28 de Se tados desde esta publicación. ... tiembre de i8n.=Macario Riu.rrPablo María Vcrdalei.=Francisco Baraja constitucional, política 7 militar, siguiendo el orden de los Subirachs.=Francisco Malas de Maresma.=M. Piandolit.=Franc…</t>
  </si>
  <si>
    <t>Sobre, Joaquín</t>
  </si>
  <si>
    <t>Joaquín Sobre</t>
  </si>
  <si>
    <t>…ada. Se mandaron pasar á la comisión de principalmente en aquellos mismos que tanto reclaman contra los tri B blioteca. bunales. La comisión de Hacienda, en vún de la solicitud de D. Joaquín Sobre la primera debo decir que es una verdad tan conocida, y D. Mamad del Riego , opinaba que se les d'.bia continuar la pen que nadie puede dudar dedla: la oscuridad y multitud de las ley -s sión de 4 rs. diarios que gozaba su madre hasta que cumplí n la edad de…</t>
  </si>
  <si>
    <t>Sobrearante, Radial de</t>
  </si>
  <si>
    <t>Radial de Sobrearante</t>
  </si>
  <si>
    <t>…duanas y recuerdos. fcacioa honorífica con que pudiesen acreditar tu aplicación y adr’aalamiento cp el «gradio.de dibujo de adorno y dis;c*do de anima lea. - Habiendo hecho maneta D. Radial de Sobrearante, rocino de La sociedad se conformó con el dictamen de la com sien ; en cu -Madrid, y D. Jewf de Pedros* y Bracamonte, que lo esdeta ciudad ya consecuencia el Sr. presidente de !a misma entr-có en jurta ord nade Awtequera , el primero del título de usaequaa-de…</t>
  </si>
  <si>
    <t>Sobrino, Manuel Prudencio</t>
  </si>
  <si>
    <t>Manuel Prudencio Sobrino</t>
  </si>
  <si>
    <t>…cul á D. Josef Vera y Pantoja; y para el de Trujillo, vacante por renun tad que te les concede por la Constitución, han decretado: Art. i." cia de D. Ventura Martínez Carvallar, á D. Manuel Prudencio Sobrino. Lo prevenido en el art. 6t del decreto orgánico del egército no priva al Gobierno de la facultad da conceder 4 cualquiera oficial ó gefe sin Debiendo proveerse la administración de la salina de Villaverd-, formación de causa el retiro que le corresponda por…</t>
  </si>
  <si>
    <t>Socaparte</t>
  </si>
  <si>
    <t>…que de esto . sufren los ciudadanos • Cuando en &gt;799 el egército francés invadió, el Egipto bajo el bontados y pn'lt't , y aun cierta clase determinadamente , son la cau mando del general Socaparte, loa sabiosy lo* artista* agregados á la sa principal da loa aaovimiantoa que ae notan por desgracia ea varios expedición subieron el Nilo arriba para visitar lea ruina* dora fama»» atos. Él Rey distingue muy bien loa nobles virtuosos sentimientos Tebaa ,y .e…</t>
  </si>
  <si>
    <t>Sociats, Juan</t>
  </si>
  <si>
    <t>Juan Sociats</t>
  </si>
  <si>
    <t>…talentos da nues «le Marzo de 1811. r= Por tí. y á nombre de todo el cuerpo, el direc tro general en gefe el Excmo. Sr. D. Pascual de Lifian. Mantened in tor subinspector interino coronel Juan Sociats.” deleble en vuestro pecho el amor á la Constitución, que nos da leyes NUMBKO y.® benéficas y justas, y é nuestro Rey constitucional: amad al pueblo, Oficio del ayudante mayor de Us compañías de marina D. Joaquín resp.-tad al ciudadano y sus propiedades, y us…</t>
  </si>
  <si>
    <t>Soiiverts, Gaspar</t>
  </si>
  <si>
    <t>Gaspar Soiiverts</t>
  </si>
  <si>
    <t>…las salinas da Poza i Habiéndose denunciado al Sr. alcalde constitucional de esta M. IL favor de D. Luis Fernandez Manrique, á ag de Diciembre de 1578— villa D. Cayetano Rubio por D. Gaspar Soiiverts el papel titulado: Otro de un juro de 337,847 mrs. sobre la renta de naipes de Toledo, Otvrrmtiat que ha haii.ia aytr tu la Moncha &lt;¡re., como injurioso y despachad» á favor de D. Gómez Dávila , marques da Velada, en 18ca'umnioso, se reunió el jurado, compues…</t>
  </si>
  <si>
    <t>Soinnza, Joaquín</t>
  </si>
  <si>
    <t>Joaquín Soinnza</t>
  </si>
  <si>
    <t>…a» Josrf Ntiñez, D Jnjqu n Ferrrr . D Juan Diez Valentín , D. Fer las fu-r/ .s &lt;|ii ■ hay en las provi .-..ias fronterizas de Turquía , por h.i!&gt;-r nando Koilr'gu-z ó : .av Ca-as, D. Joaquín Soinnza, D. Isidoro Sar sido r.i.nih 1 lo comandan! - g-n-n! de todas las tropo situadas en Li jas, D. L-r ro G--liza --z, D l&gt;:-ro -\ ’d- Ain-aga, P }t-murrio tuana. 01 3,&lt; luere , como es de ..r.siimr , lambí rr estaría hijo su, nr- B&lt;1 año, |». l.-n.i. I &gt; M I .-»…</t>
  </si>
  <si>
    <t>Sojo, D Julián de</t>
  </si>
  <si>
    <t>D Julián de Sojo</t>
  </si>
  <si>
    <t>…ón j Armada. y fomento de las rentas del Estado , y con las precauciones sanitarias. ANUNCIOS. An. it. — Hasta que se cumpla lo dispuesto en el anterior artícu Por prov d’ncia del Sr. D Julián de Sojo, ministro honorario da lo sa autoriza al Gobierno: t.° Para resolver lá* dudas que pudan la audiencia territorial, y juez de primera instancia de esta M H. vi ofrecer los aranceles por equivocaciones ó omisiones inadvertidas que lla, refrendada por D. Martin…</t>
  </si>
  <si>
    <t>Sojo, Die de</t>
  </si>
  <si>
    <t>Die de Sojo</t>
  </si>
  <si>
    <t>…e ha dignado nombrar para una de las judicaturas misión. de primera instancia de Madrid, vacante por promoción de D. Julián Granada. La comisión, habiendo examinado los poderes de D. Die de Sojo i una plaza de fiscal de la audiencia de Catalufia, i D. Ramón go Entrena, electo diputado sup'ente por esta provincia, opinaba que de Argos; para la del partido de Soria, vacante por fallecimiento de no debian ser aprobados, en razón de no tener el tiempo su…</t>
  </si>
  <si>
    <t>SoKs, Bartolomé</t>
  </si>
  <si>
    <t>Bartolomé SoKs</t>
  </si>
  <si>
    <t>La miimi, en Vísta de la* exposiciones de D. Bartolomé SoKs y Don Ha dicho S. S., repito, qne sentía que el Congreso no hubiese ci Cristóbal Dámaso García, licenciad*» de la universidad de Salamanca, tado al Gobierno para que asistiese á esta discunon; pero debemos ha para que cesen ó te reduzcan á una pequeña cantidad las pro…</t>
  </si>
  <si>
    <t>Sola, Joaquina</t>
  </si>
  <si>
    <t>Joaquina Sola</t>
  </si>
  <si>
    <t>…ría Manuela Fernandez, tro encargo. viuda de un teniente, solicitando una peDsion. F.l Sr. Galiano : F.l Congreso se ha ereido obligado a tomar esta* A la misma otra exposición de Doña Joaquina Sola en solicitud medidas , únicamente por las consecuencias que los sucesos de ayer pue de Jo mismo que ia anterior. den traer, y por los demas que pueden ocasionar a la tranquilidad y á A la misma otra igual de Doña María Sierra. la patria ; pero de ningún modo…</t>
  </si>
  <si>
    <t>…e la admitiesen en pago de una cantidad que debía satisfacer varios Aprobado. créditos qiie pertenecían i sus hijos en el Crédito público, opinaba que La misma, en la instancia de Doña Joaquina Sola solicitando una la interesada debié acudir al Gobierno. pensión, opinaba que no te podía acceder a ella por la titnacioo dél El Sr. secretario Saavedra manifestó que hallándose casada esa in erario público. Aprobado. teresada , y no habiendo presentado poder…</t>
  </si>
  <si>
    <t>Solana, Antonio</t>
  </si>
  <si>
    <t>Antonio Solana</t>
  </si>
  <si>
    <t>…éxito de la empresa. go, núm. 43 , denunciado como subversivo y sedicioso; en cuya con » El coronel retirado D. Francisco Arnedo, concurriendo á igual secuencia la ley absolvió á D. Antonio Solana, responsable de dicho objeto, como lo hace á nuestras filas en todas las alarmas no obstante impieso; y se canceló el recargo que por esta c.usa se le impuso de la su edad de 74 años, fue hecho prisionero ; pero dichosamente se esca prisión que sufre en la cá…</t>
  </si>
  <si>
    <t>…e hasta una hora después de ama lentísimo Sr. D. Evaristo S. Migu.l; en cuya cor.s.cuencia )a ley con necer , y en cato de bailara* reunidas á dichas horas sa disolverán, ó denó á D. Antonio Solana, responsab.e de d cho impreso, a la pena de no hacerlo serio consideradas en estado de desobediencia á la ley. de tres m.ses de prisión y una mu ta d: 1502 r»., deb.tíndo sufr-c Art. 6.a Estas sociedades no tendrán carácter de tales ante la ley, ni aquella en…</t>
  </si>
  <si>
    <t>Solana, Pabío</t>
  </si>
  <si>
    <t>Pabío Solana</t>
  </si>
  <si>
    <t>…4.a marquilla, á 5 ra. en papel y 6 Juan Nepomuceno González , D. Lorenzo del Castillo, D. Tomit de en rústica—Ernesti, metaphisica et lógica, 8."marquilla, á 9 rs. en la Fuente, D. Pabío Solana, D. Diego María López, D. Juan Jimé rústica.—Eximeni, instituciones phitosophicae et mathcmaticae: dos nez de Enciso, D. Josef Fermín de Jáuregui , D. Joaquín Henriquez tomos 8 ° marquilla, á *8 rs. en papel y 38 en pasta.__Idem, de studiis y D. Eugenio de La…</t>
  </si>
  <si>
    <t>Solano</t>
  </si>
  <si>
    <t>…iembre una nota, y el Leída y aprobada el acta «le la anterior, se mandó agregar 4 ella el 4 la remitió i los ministros de Inglaterra y Austria. Eu la tal nota voto particular del Sr. Solano! sobre no haberse admitido á discusión (s&gt; tal nota hay) diz que está conforme el divan en aceptar el ultimá la proposición del Sr. Gaseo y otros Srcs. diputados, de que se diú tum de Rusia; pero sin dejar de insistir acerca del castigo de los grie- cuenta en…</t>
  </si>
  <si>
    <t>Solano, Francisco</t>
  </si>
  <si>
    <t>Francisco Solano</t>
  </si>
  <si>
    <t>…el orden siguiente: A pesar de haber redoblado su marcha no llegaron á tiempo. He dis Las compañías de granaderos del provincial de Toledo, las de Guapuesto que la mandada por el capitán D. Francisco Solano se sitúe dalajara y las de la M. N. L. han formado, apoyando su izquierda ia en Navas, hiela donde parece se halla otra gavilla de facciosos, mien primera en la esquina que á la calle de Luzon hace la casa del Sr. du tras yo paso á Viergol á dar un pequeño de…</t>
  </si>
  <si>
    <t>Solanof.en</t>
  </si>
  <si>
    <t>…r nier dictamen y del segundo que acaba de presentar la co te alguna de las Americas. misión 5 creo que en estas idias calaran conformes todos ios bres. di be leyó un discurso del Sr. Solanof.en el qu: ponderando la gran putados por Amer ca , y si no ¡oíala me engañara! ;Y qué seir.fi-re di de importancia de este asunto, y lo much &gt; que conv:ndna su resolu aquí: One el dictamen quería dec.r otra cosa, que no se ha creído, ción , decía que aunque la E…</t>
  </si>
  <si>
    <t>Solanot</t>
  </si>
  <si>
    <t>…cultare el verdadero nú be mandaron quedar sobre la mesa. mero de éstos , ó loa trasladare fraudulentamente á otras manos, paga Se mandó insertar en el acta el voto particular del Sr. Solanot, con rá la multa del valor en venta de 500 egemplares del impreso. trario á la amnistía concedida á los facciosos de Navarra. » Si con noticia de que este estaba mandado recoger , ó después de El Sr. presidente dijo que en la sesión de msúana se discutirían l…</t>
  </si>
  <si>
    <t>…ción. En la mañana del día siguiente se ocuparon en saquear, asolar y Art. &gt;8. » Si para asegurar mas la elección de los propuestos la extraer el trigo y demas efectos de casa del Sr. Solanot, aprontando para junta necesitase examinar aiguno de ellos, podrá solicitar del gefe del ello los carros y caballerías del pucb’o, y también ios de la Almoida, cuerpo que se presenten al efecto, y el gefe no podrá negar esta Peña!va, Balfa.la, Castejon yCanda…</t>
  </si>
  <si>
    <t>Solar, Bernardo</t>
  </si>
  <si>
    <t>Bernardo Solar</t>
  </si>
  <si>
    <t>…ía , en la de Ge ANUNCIOS. rónimo Serra: 168,750, de Andalucía, en la de Pablo Francisco Do ria: 269,282,de Murcia, en la de fideicomisaria de Lucas Negron: Continúan los juros dt D. Bernardo Solar!. 112,500, de Andalucía, en la de Jacome Navio: 134,719, de Cuenca, Uno de 78.934, de Uceda, en la del hospital de Pamaton: 14,977, en la Antcnrc Bel vi: 31,688 , de Andalucía , en la de Juan Chigali: de Crzorta, en la d 0¡rr k¡ Cataneo 248,665, de Si.iienzs,…</t>
  </si>
  <si>
    <t>Solará, Bernardo</t>
  </si>
  <si>
    <t>Bernardo Solará</t>
  </si>
  <si>
    <t>…ravedises A1,457, sobre id., en cabeza de Peretta Bassadoli. Quien tu lo que ha hecho en mi concepto la audiencia, porque ademas de no viere noticia de ellos se servirá avisarlo á D. Bernardo Solará, calle de haber hallado en el proceso la prueba con la claridad que la misma ley las Infantas, núm. it , cuarto principal. previene , ha juzgado sin separarse de ella , sentenciándole en la pena . Continúa el catálogo de esta imprenta Nacional__ Hergenn, des…</t>
  </si>
  <si>
    <t>Solari, Bernardo</t>
  </si>
  <si>
    <t>Bernardo Solari</t>
  </si>
  <si>
    <t>…,9 21, sobre millones de Murcia, en cabeza de Luis Baez. arbitrios pare los gastos de la egccucion interinamente, dando cuenta Quien tuviere noticia de ellos se servirá avisarlo á D. Bernardo Solari, á tas Cortes. Cuarto: á auxiliarse de personas de su confianza para calle de las Infantas, núm. 11, cuarto principal. examinar los expedientes. Quinto: á dar las instrucciones que tengan por conveniente para la mas pronta egecucion de lo mandado. Artícu ANUN…</t>
  </si>
  <si>
    <t>…alcabalas de Zorita, en cabeza de Francisco Franchi. Quien tuviese derrota de la escuadra turca han apresado los griego* una fragata, (ür noticia de ellos se servirá entregarlos á D. Bernardo Solari, vecino de continuará) esta corte. ARTICULO DE OFICIO. El templo de Gnido, ó sea del Amor, escrito en francés por Mr. de Montesquieu , y traducido al castellano por D. Cándido Amador. Este Ministerio de la Guerra. poemita en prosa,, dividido en siete cantos,…</t>
  </si>
  <si>
    <t>…n cientes á los ma donde dice continúan ios jurut pendiente1 en ¡a faceta de ayer , añáda yorazgos qu- posee el F.x.mo Sr. duque de liijar conde de Aranda, que se pertenecientes á D. Bernardo Solari , J suprímase al fin el ( Se con á continuación te expresan: tinuará. ) EN LA IMPRENTA NACIONAL.</t>
  </si>
  <si>
    <t>Soler, Andrés</t>
  </si>
  <si>
    <t>Andrés Soler</t>
  </si>
  <si>
    <t>…sponda. ANUNCIOS. (trujanos &amp;c. agregúense ¡as siguientes: naturalistas y establecimientos de educación donde se conserven en colección &amp;c.; y cato se entienda Por providencia del Sr. D. Andrés Soler, juez de primera instan cia de Valencia, te han mandado fijar edictos, y llam-r v emplazar á también de insectos, reptiles y plantas venenosas." los que se crean con derecho á suceder en el vínculo fundado por Don TITULO QUINTO. Melchor Sisteme* de Obiíl-s en…</t>
  </si>
  <si>
    <t>Soler, Francisco</t>
  </si>
  <si>
    <t>Francisco Soler</t>
  </si>
  <si>
    <t>…on , í D. Jo.ef Suar z Cu-nilas , y para el de L unes, en la de Astu Bmaña; D. Ramón Díaz de Ortegaí D- Josef Mortero de Vizodit; rias, a D. Gonzalo Valdet Posada. D. Fe ix Illas; D. Francisco Soler; D. Ma.ln Coro mi ñas: D. Francis co Subirachs; D. Salvador Manzanares; ü. Agustín Jaumeandrcu; Don Por tras'ación de D. Mrnuel Vidaurre y Encalada y de Don Félix Janer y D. Josef AngtaseM. Agustín kidnfuz Bañan oíd., magi Irados de la audiencia de ANUNCIOS.…</t>
  </si>
  <si>
    <t>Soler, M'guel E.</t>
  </si>
  <si>
    <t>M'guel E. Soler</t>
  </si>
  <si>
    <t>…ca, y aun el sonas » quienes se habia suspendido la entrada en la provincia: á sa que entrasen aquí después de nuestra salida, he marchado 3 Jas cinco de ber: D. Carlos M. Alb-ar, D. M'guel E. Soler, D. Manuel Dorrego, la mañana con las tres compañías de cazadores de ¡os regimientos de D. Manuel Sarratea, D. Pedro Josef Agrelo, D. Manuel V. Pagóla, Jaén , Ord.nes militares, voluntarios de Castilla , la segunda compa D. Josef ¿ares, D. Manuel Rodríguez y…</t>
  </si>
  <si>
    <t>Solera, Agustín</t>
  </si>
  <si>
    <t>Agustín Solera</t>
  </si>
  <si>
    <t>…brigadier me dice hab-rse distinguido en la accioD los oficiales del renta del servicio ordinario y extraordinario de las ciudades de la Co regimentó de Villaviciosa , el ayudante D. Agustín Solera, el te rulla y Betanzos, en cabeza ds! Dr. D. Juan de Ponte y Andrade y men- D. Antonio Perez, el alférez D. Andrea Baranda y el cadete Do'a Antonia Saavedra, su muger, perteneciente al mayorazgo que D. Donato Torro», y yo los recomiendo á V. E. por el mérito…</t>
  </si>
  <si>
    <t>Solera, Josef</t>
  </si>
  <si>
    <t>Josef Solera</t>
  </si>
  <si>
    <t>…irmarse, podrían ocasio ( el Moreno) teniente coronel; el teniente D. F. Tarazona, ó Díaz, nar disensiones harto serias. L&gt;. F 1 ancisco Moso , oficial de la curia eclesiástica; y D. Josef Solera, presbítero, capellán de las comendadoras de Santiago en esta corte; ARTICULO DE OFICIO. comprendidos todos en las causas seguidas en dicho juzgado contra Circular del ministerio dt Hacienda. D. Manuel Hernández (alias el Abuelo), D. Josef Mingo Otalora, El R…</t>
  </si>
  <si>
    <t>Solís, Luis María de</t>
  </si>
  <si>
    <t>Luis María de Solís</t>
  </si>
  <si>
    <t>…l como en lo criminal. (Sr cutitinuará.) egecucion de este auto quedó suspensa en su primera paite hasta el dia &gt;8, y hasta el 1.a de Marzo en la segunda ( fot. 18 J vuelto dtl El brigadier D. Luis María de Solís, estimulado de su decidido proceso). patriotismo, ha hecho ai Rey la oferta de un caballo para el servicio Por auto de tg de Marzo se mandaron practicar nuevas diligencias da la artillería de esta plaza; y al admitir S. M. este donativo ha te i petición d:í p…</t>
  </si>
  <si>
    <t>Solo, Juan</t>
  </si>
  <si>
    <t>Juan Solo</t>
  </si>
  <si>
    <t>…diesen &gt;9del próximo pasado lo siguiente. Excmo. br.: ,,E1 coronel co « h.¡ cambio para estas opvraci -nes ss S;a desde lueco en dine mandante de la columna móvil de esta piovmcia D. Juan Solo en oficio ros snbri Le r.dr.s,y l(í libras 5'bre París. de 38 del actual me dice lo que cop'O. En cumplimiento i la orden Art. 6.° v hl Gcbierno d spondrá que en cambio ó eqa'vaisnc't de V. S. emprendí mi marcha el 16 en ¡a noebe para ir i buscar los d.-l ext…</t>
  </si>
  <si>
    <t>Solos</t>
  </si>
  <si>
    <t>…* art*. 70 y 1*4 de lá Cons gozarían hijo el cetro ruso de nna libertad civil, religiosa y mercan titución. til , tan segara como la que ahora tienen; pues no disfrutando de la El Sr. Solos manifestó que en algunos casos no te habia exigido libertad política, ni teniendo parte en los negocios p&amp;blicot, no toma el cumplimiento literal de los artículos de la Constitución que trataban rían estas naciones con tanto tesón como pudieran su defensa con…</t>
  </si>
  <si>
    <t>…lo . pero rnsnfti!.1 qu’ r- -. . » •,mas razones qu- había anunciado anirr ormente. to debería concederse tamben ests p-e‘ r.r. j a ,o» ya ' Quedó aprobado como había propu-vto el Sr. Solos biesen sido inutilizados en detensa de a p,:1 v Art- i$. *E1 distinto modo de disfrutar de los derecho* poli ticos. h¡ Sr. So moza apoyo el articuo, ¿ -..¡id. qct :a c!a»c de ».» '.*re</t>
  </si>
  <si>
    <t>Som</t>
  </si>
  <si>
    <t>…a escribanía mayor de D. Manuel de Re dios oportunos y eficaces para que se Heve á efecto dicho decreto.” tes, se han denunciado varias fincas, sitas en el lugar de Cala mocha, El Sr. Som iza la apoyó, manifestando que después de haberse pa partido de Daroca, reino de Aragón, y en la villa de Brúñete, seis le sado 10 años, en los cuales se babian hecho grandes obras , era muy guas distante de esta corte, que antes correspondieron al Dr. D. Jua…</t>
  </si>
  <si>
    <t>Somar, María</t>
  </si>
  <si>
    <t>María Somar</t>
  </si>
  <si>
    <t>…el mérito que en general tenían los que estaban derse i ella. Aprobado. actualmente destinados en dichas secretarías, y concluyo man f-srsndo La misma, en vista de la solicitud de Doña María Somar, viuda de que el díctimen déla com.síon era contrario al decreto de las O.'tcs, D. Rafael Mecuela, preceptor que fue de gramática latina en Burgos, por el cual se suprimían las contadurías de propios; pues U preferencia para que se le concediese una pena on d…</t>
  </si>
  <si>
    <t>Somcza</t>
  </si>
  <si>
    <t>…ue se mande efe-tuar dicha di-.trifcccúm, jeto era el que no estuviese decaída la marina por ma» tiempo. o... Indo ia 1 .»po.habilidad á quien cuiicspcndu á la ¡r..cor omisión E.i Sr. Somcza apoyó la proposición, y 0.|O que r.o se d.bia espe que iiry.r. rar .1 los resultados de la responsabilidad para qus de este cuerpo mori El sr. Seriar-': Vi creo que para decir esto no se necesita mar cu; bundo la última boqueada, segun el estado en que se hal…</t>
  </si>
  <si>
    <t>Somo</t>
  </si>
  <si>
    <t>…su pe anticipaciones que hizo á ta junta superior Gobierno. de Cata’uúa en el año 1811, y sobre cuyo negocio recayó una senten La misma comisión, habiendo examinado la adición del Sr. Somo cia dei supremo tribunal de Justicia, en que se deciara debían admi za al párrafo 6.a del presupuesto de la Gobernación de la Península, tirse dichos c,¿ditos en pago de la mitad de los derechos de aduana que relativa á-que á los establecimientos de beneficen…</t>
  </si>
  <si>
    <t>Somoza</t>
  </si>
  <si>
    <t>…s en apoyo del dictamen de la tado i la Diputación permanente los Sres. D- Josef Luis Septien , di comisión. putado por la provincia de Cataluña, D. Pablo de Santafé, primer su El Sr. Somoza dijo que todos los artículos de la Constitución no plente de Aragón,y D. Melchor Moran ,primer suplente de Valencia, tendían á otra cosa sino al acicito, y asi es que hablando de las juntas cuyos poderes habían pasado í la comisión. parroquiales decia que los…</t>
  </si>
  <si>
    <t>…horas que que obraban en la secretaría, se dijo por equivocación que estos eran prev.enc el reglamento..” i(5 o o , y debía manifestar que habiéndose hecho el reconocimiento úl El Sr. Somoza pidió que las Cortes acordasen que habían oído con timamente resultaban aaoo. agrado estas proposiciones» Un Sr. diputado se opuso i que se aprobasen las proposición.-*, El Sr. Infante: EL ejército que tantos servicios ha hecho i la causa porque según ellas l…</t>
  </si>
  <si>
    <t>…para el efecto se deben tener presentes e% el mismo que previene la propios estos premios. cédula del año 98 , i saber, que se custodien las pieies de los animales A petición del Sr. Somoza se leyó la orden de las Cortea de 19 de que se hayan matado. Por lo mismo creo que no debe aprobirse el Julio de 1813. dictamen de la comisión, sin perjuicio de que se dicten las medida* Se suscito la cuestión de ti este dictamen se discutiría por partes ó co…</t>
  </si>
  <si>
    <t>…o añadiendo el proyecto de decreto lerir estos curatos, opino que las Cores no deben aprobar este artículo. presentado por la comisión sino que no se ordene á título de cura de El Sr. Somoza,: El argumento qui mas vece* se ha repetido al tra almaa, yo creo que debería hacerse cumplir el decreto de les Cortes tar de este asunto , ha aido el de que lo obispos no tendrán en alguna* de 8 de Abril da i8ai ; y para quitar el aliciente que puede haber p…</t>
  </si>
  <si>
    <t>…rru: Ha asegurado el Sr. preopinante que es pernicioso mos terrn nos qu. propone la mayoría d: la comisión. el resolver estas dudas; mas yo creo al contrario, que cuanto mas se Ei Sr. Somoza sostuvo que el art. 19 de la 1 y de 9 de Octubre de aclaren las leyes mas recta será la administración de justicia, y-los jue 1811 hala 3 de las ausencias necesarias y no voluntarias, que era preci- ces , una Vrz aclarada la ley , no podran alegar duda alguna…</t>
  </si>
  <si>
    <t>…roposiciones se mandaron pasar a la comisión Ecles ást ca. cusado. A la de Casos de responsabilidad una instancia d i avuntamiento l.ua* resolución recayó sobre la proposición dtl Sr. Somoza, leída de Aza da (Navarra), para qu se ex.¡a !i responsabilid.ul al ¿:U polí también por segunda vez , reducida á que se b cíes-* esieccvo a ¡o» con tico y diputación provincial de la maitu , por haber separado al secre ventos de religiosa» ¡o dispuesto *n lo…</t>
  </si>
  <si>
    <t>…ar esta medida, que no es judicial, como s- supone , sino pu Se declaró el purto suficientemente discutido. ramente gubernativa; ni tampoco por ella se dan á los obispos mas fa El Sr. Somoza dijo debtria añadirse en el artículo qoese hiciese ex cultades que las que tienen. Asi creo que debe aprobarse la medida que tensiva esta medida respecto de las catedrales. ac discute. El Sr. Arguelles pidió que te hiciese extensiva también 4 las misio El Sr.…</t>
  </si>
  <si>
    <t>…contribuciones que gravitan so Atirnzs, Salva, Alix , Ga.iano, Abreu, Olivcr , Jiménez, Nuñez, bre la industria. R)ra;ro, Layases, Pacheco, Serrano, Lillo, Meca, Alonso, Velas El Sr. Somoza se opuso al dictamen, manifestando que era odioso, en, Sedeño, Viilsvieja, Fuentes det Rio, Adan, Calderón, Baño, porque te trataba de restablecer al clero en sus antiguos privilegios; an Melendez, Aillon , Ovalle é Infante. ticonstitucional , porque el art.…</t>
  </si>
  <si>
    <t>…un extracto de sus itrvu.ci, mo corresponda.” Aprobado. y el lugar qu* tenga cadi uno en ia escala de antigüedad , lodo con Se mandaron pasar á ia comisión dos adiciones : una del Sr. Somoza forme al modelo señalado núm. al att. j.° del cap. 4.15, que decía que en las vacantes de tenientes vi Art. 14. « Luego que dicho gefe hava formado la lista de que ha carios castrenses se hiciesen las propuestas por el comandante general ce mérito el artículo…</t>
  </si>
  <si>
    <t>…ramo de beneficencia; puts si bien e» verda J que acuerden los 11 millones que se piden per* este ramo. las Cortes ordinarias decretaron a este fondo todo lo suficiente, lo es E( Sr. Somoza: La mayor parte de Jas cuas da beneficencia del rei también que la* circunstancias que hau sobrevenido han producido la no te Hallan en el mas deplorable estado de abandono por falta de so necesidad de echar mano de los fondos mas cuantiosos del Estado , y co…</t>
  </si>
  <si>
    <t>…ataba de adquisición, fortuna de la persona y familia del que lo pide; por tanto el artículo sino de dar á censo , que es muy diferente. ao puede aprobarse como está redactado. El Sr. Somoza dijo que te oponía á que el Gobierno pudiese resol El '-r. Becerra: Las razones que se han alegado contra el artículo ver lo que expresaba el artículo, porque esto era una dispensa de ley, y •i prueban algo será que tío debe haber este perdón; pero las ordena…</t>
  </si>
  <si>
    <t>…los acaldes tuvieren noticia de que en el término r.f.r di en el a!tí-u¡r&gt; , me parece que po fría aprr-bar.e. de su pu-bo se ha cometido aiguu robo ú otro delito, ó de que sí Ei Sr. Somoza: Ei arríenlo &lt;j.~ de ia ley te 9 de Octubre dice quí han presentado ;adroo » ó malhechor:* , d.spoudián inmediatamente los alcaldes de ¡o» pu Wo$ donde no hub e»: jareis de primera restan* que sa ean parfdas de la milicia local, ü otros vecinos armado., en cí…</t>
  </si>
  <si>
    <t>…mismo trabajó mas en aquella tias de i.° de Enero de t8ao: este dia es de la patria, de la gloria y época. de la posteridad; pero no debemos considerar bajo este punto da vista XI Sr. Somoza: Desearía saber si en esta testimonio de gratiiud i la cuestión. El Gobierno ha propuesto dar una recompensa á Jos héroes los héroes del 7 de Julio está comprendido también el inmortal Landel 7 de Julio, de aquellas que tanto se estiman en una nación libre, y…</t>
  </si>
  <si>
    <t>Somoza, Joaquín</t>
  </si>
  <si>
    <t>Joaquín Somoza</t>
  </si>
  <si>
    <t>…r esta Francisco Jimana, D. Cirio* Marrngal, D. Rafael Cu&lt;d, D- Juan porbio, émulo de vuestras eminentes virtudes i incomparab'es glorias. Francisco Alomo, D. Cristóbal Navarro , D. Joaquín Somoza , D. Jo Vencisteis: llenasteis de asombro í todos los espectador:* por vu-stra sef CaamaSo, D. Mate© Vnlaeco , D. AgutíaMuio 4c la* Hcra*, Don amble fidelidad nacional; pero no os entr-gueit a las delicias deCapua: Celedonio de Salazar , D. Josef Blanco, D. J…</t>
  </si>
  <si>
    <t>Son</t>
  </si>
  <si>
    <t>…er la propuesta del referido «festino. quiera otro buque en comisión del Gobierno. Madrid a 1 de Junio «le Consejo de Estado182a. a Alvaro Gómez , presidente.=José f Melchor Prat, diputado Son mucha la gracias de ciudadano» «pallóla y de naturaleza secretar¡o.aDomingo Ruiz de la Vega , diputado secretario.** concedidas por las Corta i extraageros domiciliados en la provincias Por tanto mandamos i todos los tribunales , justicias, ge fes, go de la P…</t>
  </si>
  <si>
    <t>Sonano, Josef</t>
  </si>
  <si>
    <t>Josef Sonano</t>
  </si>
  <si>
    <t>…a.® Respecto á que b Manuel López ; reunidos en las casas consistorial* el dia 11 del cor guarnición de aquella plaza cobra de los caudales de la tesorería de Cá- riente los Sres. D. Josef Sonano, presbítero; el marques de Fuente el dix , pido que queden desde luego extinguidas la contaduría y tesorería Sol; D. Honorato Piera, abogado; D. Joaquín Ibarra, subinspec de cgército de dicha plaza, estableciéndose en ella un pagador , con tor de artillería;…</t>
  </si>
  <si>
    <t>Sor</t>
  </si>
  <si>
    <t>…ieciese á los cesantes de la Hacienda publica que existen con sueldos proyecto sobre caminos y canales. es las provincias , mientras se establecen los o bradores según está man El Sr. Sor!» dijo que esta era otra s-gunda reconvención q ie se hidado. La comisión era de parecer que se pasase al Gobierno el expe cia á la comisión: que una se la haba h—ho porque no p,., a !• - o diente , á fin de que tomas» las disposiciones convenientes sobre el…</t>
  </si>
  <si>
    <t>Sor.', Miguel</t>
  </si>
  <si>
    <t>Miguel Sor.'</t>
  </si>
  <si>
    <t>…entas públicas , y por otra un aumento de gas!'» por las sobre L'rre-l a p&lt;ir la irquerds d ■' .-n-m , a - - -n ocurrencias que debe producir el nuevo orden de cosas , propone que D. Miguel Sor.'» , v la ott» por &gt;a fa¡ la 4.1 m n ni t - . r,f&gt;r p ♦ se señalen congruas 4 loa arzobispos, obispo* y prelados de las ordenes el frente,al apr.vimar.e 4 la uüi av.stc a ios vr..ai ¿o,, que í.abi.ndo</t>
  </si>
  <si>
    <t>Sorda, Luía</t>
  </si>
  <si>
    <t>Luía Sorda</t>
  </si>
  <si>
    <t>…a casa principal, siu en esta cor 7 círcule.=Rubricado de la Real mano.neEn Palacio á z8 de Enero de te 7 tu calle de Alcalá , tehalada con el núm. g «le la manz. 177 , que iln.sA D. Luía Sorda.” comprante 36,1(5 | pies cuadrados superficiales, inclusos los gruesos de sus paredes medianeras, tasada en 1.035,160 rs.: otra casa baja, conti Los dueños de vales «le las nueve clases de la creación de Enero, gua, con fachada á la fuente de la diosa Cibele…</t>
  </si>
  <si>
    <t>Sorel, Luía</t>
  </si>
  <si>
    <t>Luía Sorel</t>
  </si>
  <si>
    <t>…mento. entendido para su cumpimiento, y dispondréis ..se imprima, pubai4)ue y circule. —Esli rubrícado de la Real mrnr&gt; —:En pasaeso ¿ 4 dé ARTICULO DE OFICIO. ■Febrero ále itrimA D. Luía Sorel*. ................ El Rey ha expedido el decreto siguiente: . Habiéndose.ofaserraiio los trámites prncr itos. perla ley, y califica Don Fernando vii por le gmeia de Do* y por le Constitu do los jueces- de hecho coa la nota de byurb so eu primer jirado ti arti…</t>
  </si>
  <si>
    <t>Sorel, Luis</t>
  </si>
  <si>
    <t>Luis Sorel</t>
  </si>
  <si>
    <t>…cribano dei número D. Jacinto Gaona y Loeches, ha ubricado de la Real nunoaEo Palacio á 16 de Enero de i8ia.sA mandado se lleve á efecto en todas sus partes el decreto de dicho se Don Luis Sorel*. ñor intendente, debiéndose contar el término para cada una de dichas Circular del minii Itrio de Hacienda. tras mejoras desde 15 del corriente; y ha señalado para au segundo y « A consecuencia de una exposición del intendente de Jaén consul último remate el…</t>
  </si>
  <si>
    <t>…ner el.orden general. del decreto de la* Corte* de 19 da Junio último, (/i, de id.) » £1 interes de la Inglaterra exige sobre iodo que la Turquía con Decreto de S. M., nombrando á D. Luis Sorel* director general'del serve esta posición relativa; y nuestra verdadera.política consiste en derecho de registro , bula*, papel reliado y pena* da Cámara. (Idem dejarla aquel grado da fuerza que ,hoy dia tiene; y este ha aido siempre dei 36.) el objeto de nue…</t>
  </si>
  <si>
    <t>…dispondréis sa imprima, publique y citcule.sRubiícado de la cina , cirujía y farmacia de los ejércitos nacionales, que parece que tam Real auonsEa Palacio á 4 da Febrero de i8r «i D. Luis Sorel*. bién han solicitado, por razón de que tiene á su cargo la dirección de la enseñanza de lastre* facultades de curar; por la misma razón habría Los Srea. D. Agailiu Frutos y D. Agustín Josef Mestre, cirujano también de intervenir en loa exámenes y demas de lo…</t>
  </si>
  <si>
    <t>…-Españat, á todo* los que publique y circule. = Rubricado de U Real mano, se Palacio 8 de les presentes vieren y entendieren, sabed: Que las Cortes extraordina Febrero de 1821.= A D. Luis Sorel». rias fian decretado lo siguiente: •&gt; Las Cortes extraordinarias, usando de Circular del ministerio de Hacienda. la facultad que se les concede por a Constitución, han decretado lo si guiente: Art. I.J Para desempeñar las funciones que por ios arts. y «El Re…</t>
  </si>
  <si>
    <t>Sorela, Luis</t>
  </si>
  <si>
    <t>Luis Sorela</t>
  </si>
  <si>
    <t>…ado, y no eran con de Hacienda, que repetidas veces había hecho D. Josef Imaz , y en su venientes, porque si debia entenderse del modo que lo proponía la co consecuencia nombrar á D. Luis Sorela, director general de bulas, papel misión , nunca se haría en España una refutación de las obras que estu sellado y registra. Las Cortes quedaton enteradas. viesen prohibidas t siendo asi que este seria el mejor modo de que no Se continuó ia discusión del dict…</t>
  </si>
  <si>
    <t>…teaba la Nación, y se El Rey ha expedido los decretos siguientes .- le continuase pagando una pensión que disfrutaba por razón de la mis » Eu atención á los méritos y servicios de D. Luis Sorela, mi se ma cátedra. cretario con egercicio de decretos, y oficial mayor de la secretaría de Continuó la discusión del código penal. Estado y del Uespacho de Hacienda; he venido en nombrarle director I.a comisión presentó de nuevo el artículo 603 redactado en e…</t>
  </si>
  <si>
    <t>…ede reputar por este acto; el cual y «ircule.=Rubricado de la Real mano.=En Palacio á 16 de Enero en América no tiene tal vez nada de particular, y en Alemania es un de 181 a .:=A D. Luis Sorela. acto de ceremonia. Por esta razón quisiera yo que se moderara en al gún modo este pírrafo segundo. Oficina general de Renovación y expedición de documento/. Después de haber apoyado el Sr. Calatrava el articulo, se declaró Los dueños de mas de ja9 Vales de l…</t>
  </si>
  <si>
    <t>…esor de Fenetado el secretario de la de la Gobernación de Ultramar D. Ramón ion , de liossuet y de los demas grande* pesiados que huí sido el con. López Pelegrin, y la de Hacienda D. Luis Sorela , oficial mayor de suelo y la gloria de la iglesia galicana en otro* tiempos. la misma, en los mismos términos que lo han hecho hasta ahora. Ten- ANUNCIOS.dreislo entendido, y lo comunicareis á quien corresponda.” Y de orden de S. M. lo traslado á V. para su…</t>
  </si>
  <si>
    <t>…el del de Gracia 7 Justicia , D. Josef Cienfuegoa del de la Guerra, sistirá que no se han llenado completamente sus legítimas esperanzas! ves D. Francisco Osorio det de Marina , y D. Luis Sorela interino del Un número tan corto de sucriptores no le podrán indemnizar muy de Hacienda; be venido en nombrar para el de Estado á D. Francisco ventajosamente de sus calosas anticipaciones. ;Y será posible que cuan Martínez de la Rosa, para «1 de la Gobernació…</t>
  </si>
  <si>
    <t>Sorele, Luis</t>
  </si>
  <si>
    <t>Luis Sorele</t>
  </si>
  <si>
    <t>…imprima, publique te , núm. 15, cuarto principal, quien dará mas señas y un rstnifit—** y circule.c=Rubricado de la Real mano.=En Palacio 4 i.° de Febrera hallazgo. de 1822. =z A D. Luis Sorele. Historia de Zorrastrones, ó descubrimiento interesan» de las fina y El Rey, 4 consulta del consejo de Estado, te ha servido nombrar diabólicas astucias de los caballero* de industria, rateros y estafadores para plazas de jueces letrados de partido en esta fo…</t>
  </si>
  <si>
    <t>Soret, Víctor</t>
  </si>
  <si>
    <t>Víctor Soret</t>
  </si>
  <si>
    <t>…e loa de la milicia legal que te hallaren A la misma comisión se pasó un estado presentado por el teso en servicio; y ti todavía excediesen , gozaran de este beneficio los de rero D. Víctor Soret de las cuentas del afio 18, y una exposición del más vecinos del purb'o, incluyendo en estos á lo* inscritos para la mi mismo , en la que hacia varias observaciones acerca del referido estado. licia legal que no hagan servicio.** Aprobado. La comisión de Inst…</t>
  </si>
  <si>
    <t>Soria</t>
  </si>
  <si>
    <t>…Negocios de España, y pasarla á una coaaision, ó decir que las Cortes Escudero y Marchámalo. quedaban enteradas. Varios Síes, diputado* hablaron cu pro y en con Lo fue después el Sr. Soria por 78 votos de ti 2 , repartiéndose los tra, y por úitimo se resolvió que pasase á una comisión, la cual nom restantes entre los Sres. Gómez Becerra , Seoane, Fernandez Cid, du bró el Sr. presidente. que del Parque, Marchámalo, Gómez Viliaboa, Garoz, Romero,…</t>
  </si>
  <si>
    <t>…ana Becerra, Lodares , Albcar y Manso. Total 86. ó pasado mañana presentase su dictamen en estado de discutirse. En la sexta quedó elegido el Sr. Grases por «6 votos de 78 , te ti Sr. Soria dijo que habla encontrado aprobada el acta de las elec niendo 5 el Sr. duque del Parque , 4 cada uno de los Sres. Villaboa y ciones de la provincia de Toledo, y los poderes del Sr. Escovedo a;re Valdés, a el Sr. Manso, y uno los Síes. Blake, Buey, Becerra , C…</t>
  </si>
  <si>
    <t>…os del egército de te Isla, en el repetido los oficios que anteriormente paaó dichacomisión-al Gobierna cual quedó herido é inutilizado , y pidiendo se le conceda el retiro con El Sr. Soria contestó que el motivo de 1a proposición era el ver pt •i sueldo entero de tu clase, como i militar inutilizado en campana, el estado de la Nación se agravaba diariamente, como Jo demostraba opinaba que esta solicitud debía pasar al Gobierno para que procedie…</t>
  </si>
  <si>
    <t>…e del gefe político , y de citar los arta. 343 y 301 de la Constitución, va el dictamen de la comisión. rios artículo* de la ley de 9 de Octubre de 181a, y el art. 17, cap. *.° El Sr. Soria dijo que puede exigirte la responsabilidad á nn funcio de la de 14 de Marzo de 1Ü13 , opina que en vista de todo debe decla nario público por moción de algún Sr. diputado, ó por alguna queja que rarse haber lugar i la formación de causa á D. Francisco Piase o…</t>
  </si>
  <si>
    <t>499</t>
  </si>
  <si>
    <t>…a exigirán á alguna manera el curso de esta causa. él mismo. Por tanto »p&gt;yr&gt; la pro posición del Sr. Va’des. Por lo demas, no te diga que se trata de ver ti se han observado ó El Sr. Soria: No tiene otro fin la proposición que el de manifestar no los tramites en la mater.a para imponer i los prs.intos reos el coa que aunque la causa se halle concluida , le fa’tan todavía ciertos tremí- tí.en» castigo: este seria ei modo de mar.it.star arbitrari…</t>
  </si>
  <si>
    <t>…la sesión por una hora Saavedra, Gatuno, Melcodez , Gómez (D Manuel), Jiménez, La anas por 70 votos contra 56. gasca, Romero, Aguirre, Soria , Marau , Lilio , Serrano , Meca, ViEl Sr. Soria: El mayor freno que pone la Constitución i la arbitra Uarieja, Adan, Calderón, Baño , Arellano, O valle y Sr. presidenteriedad de las autoridades es el de la responsabilidad, y al mismo tiem Sres. que la desaprobaron. po impone á las Cotíes Ja obligación de b…</t>
  </si>
  <si>
    <t>…. D. Antonio González del Castillo, diputado electo por la provincia de Puerto-Principe, y el El general ea gefe del egéreiio expedicionario de Costa-firme Don voto particular del Sr. Soria. Miguel de Latorre participa al ministerio de la Guerra io siguiente Se levantó la sesión á las cuatro. desde su cuartel general de Sta. Ana en 18 de Diciembre último. » Excmo. Sr.: No habiendo tenido los efectos que me propuse en ARTICULO DB OFICIO. la exped…</t>
  </si>
  <si>
    <t>…ola los regimientos de Valencey, Imperial Alejandro y otros militares elección y los poderes del electo. existentes en Búrgoa, y de la milicia nacional de ambas armas de Aran- El Sr. Soria dijo: El art. 83 de la Constitución no admite íhterjuez, manifestando sus sentimientos patrióticos con motivo de las últi prefaciones, pues está muy claro, y en él me be fundado principtlmas ocurrencias de Pamplona. mente para disentir del dictamen de la comi…</t>
  </si>
  <si>
    <t>…creo qu: las Corte* no lo dice la Const tuclon, lo díc- sí il decr. to de 24 de M arzo de lo drsaprobar n. 1813, con objeto de que por este m.dio se concibe la extensión que se Ei Sr. Soria Los principales argumentos de lo» Sr;». preopinantes da al poder judic:al en la Constitución, cuya bise no se res.ente d que que hrn impugnado ei d.ctamcn de la com.sion se reducen a 1 oSar asistiesen magistrados á la formación de la ley fundamental la base que e…</t>
  </si>
  <si>
    <t>…ones que te han alegado yo no encuentro motivo para tratar «leí asunto. «ponería é la modificación del Sr. Becerra. EI Sr. Prcdo continuó: Me es muy doloroso entrar de nuevo ea El Sr. Soria dijo que nadie te habia opuesto á que d códigopetate una discusión, que ha llamado muchísimo la atención pública; y es á la sanción Real, y tolo había sido objeto de discusión la especie de to suceder! siempre que se propóngan á U deliberación del Congreso ai…</t>
  </si>
  <si>
    <t>…22. decreto citado , ha presentado su dictamen en los términos que ha oído Producto por mercaderías extrangeras introducidas en la Península 6.119,943 rs. y a mrs. el Congreso. El Sr. Soria manifesté qne la comisión debía dar sn dictamen ter Producto por mercaderías nacionales exportadas al extrangero minantemente sobre este negocio, pues que de otro modo era volver a 478,34a rs. y 10 mrs. entrar en la discusión, que por dos veces se habia susci…</t>
  </si>
  <si>
    <t>…pagrr el raed.o diezm-s, la contribu sión se acomodase en esta parte a Jas ideas que dejaba manifestadas. ción de consumos, la directa y los gastos municipales ; con cuyas car El Sr. Soria: No hay quien ignore el estado actual ce la Nación, gas , y lo que ba empleado en ¡a recolección y cu.t vo, viene i quedar y muchos Sres. diputados han clamado con razón por las economías, reducido á una miserable subsistencia, en términos que casi nunca porq…</t>
  </si>
  <si>
    <t>…código 4 la sanción; y acordado que esto te verificase asi, fue pre Se prorogó la aetion por una hora mas. ciso traer este expediente llamado código penal. Pero en él, al paso El Sr. Soria : Yo considero siempre útil que haya de procederse con que existian algunas piezas que le denominaban tal, no aparecía la lla conocimiento de causa , y creo que es lo mas arreglado al sistema cons mada minuta original. Con este motivo se formaron varias opini…</t>
  </si>
  <si>
    <t>…o haberse presentado todos tres, y pregun mtwo me veo en el caso de contestar á algunas observaciones que se tando con cuál de ellos se conformaba el Congreso. acaban de hacer. El Sr. Soria ha dicho que estos oficiales eran amovi Habiendo trascurrido la hora de próroga, se preguntó si la sesión bles ; y S. S. debe saber que no es asi, porque las Cortes hacen su nom seria permanente hasta concluir este asunto , y se acordó que no. bramiento con t…</t>
  </si>
  <si>
    <t>…y extractarlos de muchos papeles, no es tan ISBIOIMIl Otl suftoa V AI DBS ( DOM CAYRTAKO). fácil presentar el dictamen , como han creído algunos Sres. diputados. Sttion del 97. El Sr. Soria: La proposición se reducá ¿ excitar el zelo de la comi Leída y aprobada el acta de la anter.or, entró i jurar y tomó asien sión. Yo bies conozco las grandes dificultades que hay en presentar el to el Sr. D. Oraciliano Alfonso , diputado por las islas Cananas.…</t>
  </si>
  <si>
    <t>…defensa de la Constitución ti amenazase un peligro Florcz Calderón 70 votos, el Sr. Benito 71, el Sr. Scoane uno, el se que exigiese medidas extraordinarias. ñor Brida otro, y el Sr. Soria otro; y no habiendo obtenido ninguno Calataytid tt Ae Atril. de dichos señora la mitad y uno mas del total 144.a procedió 4 seEl Sr. gefe político de esta provincia nos ha dirigido una procla gundo escrutinio entre los Sres. Calderón y Benito , en el cual obt…</t>
  </si>
  <si>
    <t>…r el ar la voz de todas las nación.s cristianas se levantaría contra tan chocante tículo de que se trata. resolución; la nación inglesa propiamente tal la rechazaría indignada, Ei Sr. Soria: Para determinar esta cuestión seria preciso no invo aun cuando no se hallasen tan exhaustos los recursos de la Hacienda pú lucrarla con las demas que deben ser obj. to de esta discusión , y apro blica. ¿ Y qué dirían los americanos si la Inglaterra se apoder…</t>
  </si>
  <si>
    <t>…los antecedentes de que se habia hecho mérito, y se declaró El Sr. Salva pidió que se leyera la consulta del tribunal supremo de por la negativa. Justicia ; y asi se verificó. El Sr. Soria: Se trata de que el tribunal supremo de Justicia n* El Sr. Manso: Sin duda que el Congreso se ha penetrado de la gran ha dado cumplimiento á las órdenes de las Cortes sobre que remitiese de importancia de este asunto, el cual llamó la atención del supremo al…</t>
  </si>
  <si>
    <t>…* £1 Sr. Argíielles: Si los Sres. que han hecho la proposición hu elecciones de ayuntamient» de la ciudad de Luc-na por razones que bieran tenido presente lo que ha manifestado «1 Sr. Soria, d-sde luego tuvo para elio , nadie apareció reclamando contra esu pr .v.d.rvcia , has estaría decidido este asunto. Pero ¿agraciadamente en los términos en ta que el anterior ministerio anuí ció que había una reclamación , y el que está concebida no puedo ap…</t>
  </si>
  <si>
    <t>…ucida á corno se ha de adoptar tes. bienio no poder recordar las razones que sobre este punto dió el se el plan de resguardo de las costas, segura la comisión de que producirá ñor diputado Soria; sin embargo lo procuraré en cuanto me lo permi este resguardo al erario nacional muchos productos; y asi viendo por ta raí memoria. S. S. esforzó sus razones hasta un punto que prueba de otra parte que el Gobierno no presenta ninguna oposición i este méto ma…</t>
  </si>
  <si>
    <t>…l de los damas señoríos que ten fado te ha dado una cosa que no pudo darse, como se ha manifestado gan otro distinto origen. El Sr. secretario «le Gracia y Justicia ha coin por el Sr. Soria. No hay tal cosa: habrá sido injusto, impolítico y lodo cidido en esta doctrina, y aun e! Sr. Arguelles en su voto particular lo que se quiera; pero no lo resiste la naturaleza de la cosa misma. Por parece que manifiesta lo mismo. Pero el decreto citado no se…</t>
  </si>
  <si>
    <t>…pueblos d: llevarse á efecto el de tiempo pa?a ello, y so o se procedía al secuestro por vía de apremio. creto de que te trata , puer una parte de las fincas se aplican al C ed El Sr. Soria: Veo que se han repetido por los señores que im to público, y otra á lo* propios de ios mismos pueblos; y esta lo será pugnan este articulo tos mismos argumentos que se hicieron en la dis- . en la forma determinada ya por la» Cortes. Pero yo creo que hay que…</t>
  </si>
  <si>
    <t>…Voy pues á contraerme á las infracciones cometidas por el tomar ías providencias convenientes si la tuvo. gefe político. Solo una circunstancia podía disculparle, i saber, que El Sr. Soria : Y’o creía que estaban bien marcadas las funciones de no hubiese tenido noticias anticipadas de los acontecimientos que se los gefes políticos en la Coustitucit* y en ¡as luyes qu- emanan de ella: preparaban en aquella ciudad; pero de todos modos ss le encue…</t>
  </si>
  <si>
    <t>…ha, para que pa uiti Us cantidades que res luego sacó la información sumaria del juez de primera instancia. pectivamente se les señalan con prdermcia i ¡ocias las cbllg&lt;ciones fcl Sr. Soria: Estoy conforme con las ideas de los Sres Arguelles y que tengan, inclusas las de los sue.dos de .0, empleados en ¡a adm,Dis Castejon , y únicamente sostengo el dictamen en cuanto á que las Cor trae ion. tes pueden hacer efectiva la responsabilidad á lodo inf…</t>
  </si>
  <si>
    <t>…n que está ya en Puedo decir que en mi pueblo se puso 4 predicar el cura párroco la mitad de su carrera. únicamente del art. ia de la Constitución, y después de alio y medio no El Sr. Soria: A petar, de que las riendas dei Gobierno están en per hemos podido sacarle de este artículo ¡ mes ¡cómo hablaba sobre ¿I i Con sonas en quienes está depositada la confianza pública, sin embargo te díatrívas y con sarcasmo* que recaían robre los patriotas, y…</t>
  </si>
  <si>
    <t>…cesidad de mrdides vi apoyarla s y confie» que osa valdré de distintos medios que de los que gorosas y constitucionales: nadie-mejor que yo. está.convencido de que se ha valido el Sr. Soria, porque no hablaré dé las distintas cuestiones existe un principio de insurrección dentro de nosotros t principio qae eá de que ha hecho mérito S. S- Yo hasta ahora no pido leyes de ningu Sr. Gaiiano y todos los densas Sres. diputadas no pueden menos de reco…</t>
  </si>
  <si>
    <t>…Argiielles, que para mí es muy El presidente del tribunal supremo de Justicia me dice el 6 del cor apreciable. Si no, me refiero 4 las notas taquigráficas. viente lo que sigue: El Sr. Soria manifestó que las Cortes habían y* acordado que se » Habiéndose visto en la sala primera de este supremo tribunal de enviase un mentage 4 S.M., 4 fin de que se tomasen medida* por parte Justicia la causa que en virtud de lo declarado por ia* Corres genera del…</t>
  </si>
  <si>
    <t>….® •&gt; Todos los facciosos de cualquiera clase, estado y condi en sus proyectos, sedujesen á los habitantes. ción que sean , que reunidos ó armados conspiraren directamente ó de El Sr. Soria dijo que la comisión sabia bien que el Gobierno hab'l hecho á destruir «'&gt; atacar la Constitución política de Ja Monarquía, y tomado las providencias que estaban á su alcance, entre ellas la de en que pasadas q3 horas después de la publicación de este decreto…</t>
  </si>
  <si>
    <t>…o el artículo que acaba de citarse, y pidiendo en solver , concluyó diciendo, que aunque estaba confoime en un todo consecuencia que se exija la responsabilidad. con las ideas del Sr. Soria , había pedido la palabra en contra para ha Tenemos pues marcado el hecho, por el cual se suspendió dicha re cer una manifestación pública de la estrañeza que le causaba el silen unión , de modo que las Cortes no pueden prescindir de examinar si la cio del Go…</t>
  </si>
  <si>
    <t>…ordenanzas muni Ei Sr. pjito manifestó igualmente que había ciertas cosas que loe cipales y las de policía. ayuntamientos debian desempeñar por medio de otras personas como su El Sr. Soria , contestando á las observaciones d :l Sr. Romero , dijo cedía en las obras públicas, cuya egecucion tenían que encargar á sugeque el pedir informe á las corporaciones, ademas de ser obra de mucho tos inteligentes, aunque reservasen en sí la intervención de e…</t>
  </si>
  <si>
    <t>…áximas. Declarada comprendida en el art. too del reglamento, te admitió á discusión. MdJriJ Miércoles xa J* Mayo. Pidieron la palabra en pro y en contra varios Sres. diputados. El Sr. Soria dijo que lo* Sres. que habían pedido la palabra, tanto CORTES. para apocar como para impugnar la proposición , ofendían , aunque in rxnsiDUxciA nmt sf.So* alava. voluntariamente, la delicadeza de la comisión. Esta ha propuesto (aña dió) cuanto ha creido conve…</t>
  </si>
  <si>
    <t>…umente esta asignación: la comisión , penetrada de lo, apuros en que y manifestaba su op nion en la materia. se halla el Crédito público, opinaba que no d.b» haber lugar i deli Et Sr. Soria man.festó que la comisión i quien te había pasad ' la berar; pero que se excitase al Gobierno paia que zele incesantemente el tnemor a del ministerio de ia Gobernación de la Pemcsu.a para que .a cumplimiento del decreto de las Coitcs relativo al acomodo de lo…</t>
  </si>
  <si>
    <t>…as infrsrrinora qos en él sa procedido con poca del ¿cadera en este atonto; porque la comisión no notan había dicho que retiraba el artículo, sino solo que no se debía rotar; y El Sr. Soria: Yo reconozco como el primero loa grandes vicios de que tampoco había dejado de reconocer la misma lea infracciones que que adolece este empréstito, y los grandes perjuicios que se seguirán se habían cometido en el tratado, ni los perjuicios que de ¿1 te segu…</t>
  </si>
  <si>
    <t>…jurado para la correspondiente calificación, y se cular en el fol- 5. del att. 15 de la ordenanza de ilioo. gún parecía los nueve primeros jueces de hecho no se atrevieron á co El Sr. Soria apoyó entre otros la adición, pareciéndole tanto mas nocer de este asunto por considerar que no estaba en sus facultades; pe necesaria cuanto que se había ya verificado el caso de incluir á un mo ro el alcalde fue sacando nuevas suertes hasta que logró reunir…</t>
  </si>
  <si>
    <t>…on en faror de las ber , cuestión de legitimidad, y cuestión de conveniencia. D -pan de diputaciones provinciales; por To mismo quisiera que las Cortes ss ocu haber oído hablar al Sr. Soria parece imposible decir mas para p-.-rsu.pasen ahora mismo de este asunto, ó que se dcctaiase que no había lu dír la legitimidad del tratado , asi por no haberse excedido el secreta gar á deliberar. rio del Despacho de las facultades que se le dieron , como po…</t>
  </si>
  <si>
    <t>…o ó de otro; pero que deseaba que el Sr. preopinante A petición del Sr. Castejon ra leyeron los arts. 1, a y g de la ley le dijese á qué tribunal debia acudir. de infracciones. El Sr. Soria dijo que la Constitución tenia sefialado i quién corres Discutido el punto suficientemente, no hubo lugar 4 votar sobre la pondían las informacionea sumarias sobre cualquier materia, y que los petición del Sr. Beltran de Lia. Sre*. diputados estaban sujetos á…</t>
  </si>
  <si>
    <t>…ernando, mandasen llevar i efecto d decreto d mando de las provincias leu bombees mas adictos al sistema. de las anteriores pera el repartimiento de baldíos á estos individuos, El Sr. Soria contestó que no crcia se hubiese impugnado esta peti dtsaprobándote absolutamente el medio de las capitalizaciones que pro ción dd Gobierno, pues que estaba persuadido de que todo el Congre ponía la comisión. so no dejaría de cormeer que en las circunstancias…</t>
  </si>
  <si>
    <t>…s defensores de la libertad, y hasta identifica que cuando se teatio reunidos no se presenten á las Curtes. da la existencia de algunos con ella, creyeron que esta peligraba, y El Sr. Soria i Yo estoy viendo que en este dictamen, cuya discu manifestaron su opinión sin rebozo , extendiendo sus sospechas hasta sión tiene un carácter raro, se presentan una multitud de medidas sobre aquellos mismos que igualmente decididos á sostenerla , y no que to…</t>
  </si>
  <si>
    <t>…rios pú- en la que aparecían complicado* algunos magistrados de la referida au bl ice», y el Gobierno tiene facultades para removerlos: venga aquel diencia. Se concedió permiso al Sr. Soria para que pudiese regresar 4 su aancionado , y entonces la comisión retirará la medida. Ademas esta es provincia antes de concluirse la presente legislatura 4 fin de restable como una especia de correctivo de la anterior , porque claro es que si nn obispo tien…</t>
  </si>
  <si>
    <t>…eneral. Aprobado. llon , Saavedra, B.Certa , Sedeño y Grases: total 114. Se leyó la siguiente proposición del Sr. Isturia , que te declaró com Vara prim.r sup ente salió electo el Sr. Soria por 84 votos, tenien prendida en el art. too del reglamento, y se admitió á discusión. do s el Sr. Aivar.z Gutiérrez, 2 los Sres. Eseovedo , Infante y Sálva ••Pido que no se declare ningún a.unto por b star.t; discutido lo , y uno los '-re*. C'sas, Abreu, Góm…</t>
  </si>
  <si>
    <t>…odía pasar el oficio á moria correspondiente al suyo respectivo. la coi» sion que si nombrase, y que esta pata dar su dictamen podría Concluida U lectura de esta memoria , dijo el Sr. Soria que en ella pedir al Gobierno las revistas ó cualquiera otro documento que tuvie se notaban hechos y pedidos que debían llamar la atención de las se por oportuno. Cortes, y hechos que no se habían tenido presentes por el Gobierno El Sr. Buruaga manifestó que…</t>
  </si>
  <si>
    <t>…petar la Nación , cuando ae trata de contoiidar tu satisfecho de hal ar en estas la debida cooperación: libertad , »u gloria y tu dicha, su* representante* citan acorde* en lat El Sr. Soria dijo que este asunto exigís el iminarse con la nupr idea*. detención , aunque había creído que era d: aquellos en que no de El Sr. Romero dijo qu? al pato que acordaiea la* Cort*s la fuerza bían presentarse ningunas dificultades. Que también habsa creído qu:…</t>
  </si>
  <si>
    <t>…a señala en nin miento que mostró el ministerio anterior, negándose á admitir los en guno de sus artículos. sanches que se querían dar i sus facultades: egemploadmirable,que de El Sr. Soria : Después de haber contestado mi digno compañero y bió cubrir de corfusion á la comisión. Pero he aquí la apología de la amigo el Sr. Galiano á las objeciones que ar han hecho contra esta comisión, y es el verse precisada í hacer el sacrificio doloroso de sus…</t>
  </si>
  <si>
    <t>…n en la* sut han teñirlo motivo de acreditar nuevamente sus virtudes estas tropas criticas circunstancias. benemér tas, de las que mucha parte no tiene capotes. Las noticias di El Sr. Soria opinó que debía pasar i la comisión de Legislación, rectas qu- t -nge de Huesca son de anteayer , y confirman la entrada de atendiendo a que la providencia en i consecuencia de una causa ya for los facciosos en barbastro; pero varían sobre la situación del Tr…</t>
  </si>
  <si>
    <t>Soria, Francisco de Paula</t>
  </si>
  <si>
    <t>Francisco de Paula Soria</t>
  </si>
  <si>
    <t>…di tinos en pa'acio, no los que los han tenido ni los que los puedan te viduo como opinaba la comisión. ner. Yo no sirvo empico ninguno en palacio , luego no hay duda que Granada. D. Francisco de Paula Soria , D. Pedro Alvarez Gutiér puedo ser d putado de Corles. La misma lista de que ha hecho mérito rez, D. Pedro López de Luque y D. Antonio Segura. La comisión el Sr. preopinante me servirá para demostrar lo contrario que ha creído después de haber examinado lo*…</t>
  </si>
  <si>
    <t>Soria, Manuel</t>
  </si>
  <si>
    <t>Manuel Soria</t>
  </si>
  <si>
    <t>…ligero): pira primer comandante á D. M guel Irr barballería del Príncipe. ren, comandante de escuadrón del regimiento de Borbon Astorga: para primer comandante al coronel graduado D. Manuel Soria: para coronel al coronel vivo de infantería D. Ramón Diez Ehsrduy, teniente coronel del regimiento de la Reina, caballería de Ulzurrun y Eraso, teniente coronel mayor del regimiento de Sevilla. línea. . Segorve: para primer comandante al coronel graduado D. A…</t>
  </si>
  <si>
    <t>Soria, Mariano La-</t>
  </si>
  <si>
    <t>Mariano La- Soria</t>
  </si>
  <si>
    <t>…pe los poderes del br. diputado suplente. Quedó aprobado el dictamen de zaron á leer los primeros en la forma siguiente: la comisión. Aragón. D. Manuel JLatrc , D. Jaime Lapuerta, D. Mariano La- Soria. D. Manuel Casildo González, D. Feliz María Manso, Don gasca, D. Josef Sangenis, D. Baltasar López de Cuevas, D. Hilario Manuel Ruiz del Rio. be aprobaron lo* poder» de estos Sres. di Jiinrnez: ia comisión opinaba que debían aprobarse los poderes de es putado…</t>
  </si>
  <si>
    <t>Soria.'</t>
  </si>
  <si>
    <t>…, o que son de cor.d c oobservarán las reglas siguientes.” (1' es precisamente ¡a sslser ración prin nes no cump'idas: El mismo art culo lo dice tcrm.nantemrnre , le que cipal drl Sr. Soria.') resultará de los tdu'us de adquisición ■■ y de aqui se deduce que U ey las prestaciones de servicio persona! y tas reales que sean iguales exige la previa presentación de los titules para ver si son ó no rever en todos los vecinos de un pueblo , ó reguladas…</t>
  </si>
  <si>
    <t>Soriano, Josef</t>
  </si>
  <si>
    <t>Josef Soriano</t>
  </si>
  <si>
    <t>…es ao millones; opinando que debía aprobarse esta Molina;, para que en el término de 15 días, contados desde este anun •d:cion. cio, acuda al referido juzgado por la escribanía de D. Josef Soriano El Sr. presidente anunció que mañana se discutiría el dictamen de Fernandez de Laguna á deducir el derecho que crea tener sobre la divi la com sion especial sobre la exposición del ex-ministro Garelly , y en sión del referido vínculo. seguida ei proyecto de la orde…</t>
  </si>
  <si>
    <t>Soriano, Miguel</t>
  </si>
  <si>
    <t>Miguel Soriano</t>
  </si>
  <si>
    <t>…del Sr. Infante, añadiendo que en su La comisión especial de Hacienda,’en la solicitud de D. Bartolo concepto debían nombrarse los examinadores anualmente como se ha mé Colomer y D. Miguel Soriano sobre el remate de una finca, opi hecho hasta aqui en varias universidades; y que ademas debía fijarse al saba que debía procederse á este por el método adoptado en la actua máximum del tiempo que habia de durar el examen para evitar toda lidad. Aprobado. esp…</t>
  </si>
  <si>
    <t>Soroa</t>
  </si>
  <si>
    <t>…-*« n&gt;H das 7 vino ; ni; presumo .hapa mas muertos por los bosques 7 algunos mal mas que los miamos frailes, si consulttn bien sus prcp.os : 1 resé». El heridos. ifi as hallaba el capitán Soroa con sua vo'únanos pa?a'os par la » Esta noche pasaré en esta para dar descanso é la tropa 7 heridos, provincia situado m Viilareal hasta nueva orden del coronel Jáuregui, 7 trataré «le averiguar cual sea la verdadera dirección de los facciosos, pera atender e…</t>
  </si>
  <si>
    <t>Soroa, Miguel</t>
  </si>
  <si>
    <t>Miguel Soroa</t>
  </si>
  <si>
    <t>…proyecto de invadir la Pe didos , desplegando la bandera en su nombrado batallón de Vizcaya. nínsula. Desde este alto entró ta total dispersión de la canalla en todas direc __ El capitán D. Miguel Soroa, que lo es de ana de laa compañías da ciones, dirigiéndose el mayor grupo por el camino de Sta. Marina, los voluntarios sostenidos por esta provincia, dando cuenta al Sr. gefe po que fueron destruidos y perseguidos en todas las posiciones que sucesi lítico de…</t>
  </si>
  <si>
    <t>Sorra</t>
  </si>
  <si>
    <t>…n en esta materia, ó que hay un partido ó una facción que ¿ia propuchtu Id comisión anterior. contribuye á que las elecciones te hagan mal. U.spues de haber apoyado el dictamen el Sr. Sorra se declaró este Me toca examinar la razón d: política : por una casualidad he leido suficient. ir-entr diítavdo, y quedó aprobado. un artículo publicado en el Espectador de ayer sobre este asunto, y croo La com.sicn de Hacienda con moti 10 de un oficio del Sr…</t>
  </si>
  <si>
    <t>…n de hacer ,-porque hasta ahora no te sabia secretos le parecía conveniente se sacasen del fondo general de gastos sobre qué objetos habían de recaer precisamente. imprevistos. El Sr. Sorra volvió á insistir en que abonándose para gastos de casa Declarado el punto suficientemente discutido, se desaprobó la pane mesa 1 a9 rs. á la legación de Comtaotinopla, otros 1a9 á la de de que te trataba por 74 votos contra 50. usía, y otros 119 á la de Vien…</t>
  </si>
  <si>
    <t>…so podris reclamar topees ser admitid» ó desechad*».” Aprobado. contra él; pero que las circunstancias de la Nación habían sido la cau Se mandó pasar i la comisión una adición del Sr. Sorra, en la que sa; y no pudiéndole indemnizar dicho marques , no se debie extrallar pedia i las Cortes se encargase al Gobierno que en la memoria dei mi se acogiese con este objeto é&lt;la representación nacional , y que aquella nistro de la Gobernación de la Peníns…</t>
  </si>
  <si>
    <t>…d» todas 1» precauc on» que prescribía ia mis bargo de haber pasado á segundas nupcia-. La como on op naba que an ley. podía accederse i lo que ped:a esta int.-r sida. Aprobado. H Sr. Sorra apoyó el voto del Sr. Roset, por comdrrtr'o muy ar Y rtro sobre la solicitud del adm n.itrador del hospital de Naraireglado á justicia , y pañí é hacer algorra* observaciones sobre los de» carneto para que te declarase que en los asuntos contenciosos p-rt nep…</t>
  </si>
  <si>
    <t>…que no De todos modos entiendo que no se debe A jar i los ayuntamiento* debia admitirse en su totalidad. el aibitrio de cargar á una y aliviar á otra, porque esto siempre daria El Sr. Sorra contestó que loa principales argumentos del Sr. preopi lugar á sospechas de parte de los mismos vecinos, y se debe también nante se habían dirigido á impugnar la cuota de lo* «50 millones de la evitar el embarazo de que los ayuntamientos tengan que hacer tres…</t>
  </si>
  <si>
    <t>…la comisión Eclesiástica sobre repartimiento del mediopara plantar y propagar en lo poeible diche semilla. j* Que por el ministerio de la Gobernación de la Península ta diezmo. Ei Sr. Sorra dijo que la comisión no hacia mas que repetir el arapliquen del presupuesto de gastos imprevistos jb9 rs. por una vex tículo 4" de 19 de Junio, y que cuando las Cortes tomaron aquella dispáralos que se causen en dicho establecimiento; sefufándosele» otros pos…</t>
  </si>
  <si>
    <t>Sos-</t>
  </si>
  <si>
    <t>…ba cao larga discusión se decidió que no se leyese. • carga de cacao y tabaco y 14 marineros de tripulación; que el lo del Se empeió la discusión del dictamen de la comisión; y el Sr. Sos- presente fue apresado á distancia de seis leguas de este puerto por el bar* res Franco habló en contra de él, manifestando que la citada represen gantin insurgente nombrado La ímAtftnAtucia Atl Sur, armario con ió tación era obra de un puñado de facciosos, y…</t>
  </si>
  <si>
    <t>Sosa</t>
  </si>
  <si>
    <t>…eneral a que debería atenerse en estos casos. En r -ta ministración de sacramentos i que con este objeto estaban destinados de dicho expediente, y teniendo en consideración que el coronel Sosa vatios eclesiásticos para la cura de alma* , porque era imposible que uno se halla ets un caso muy particular y diferente de todos los empleados solo pudiese en aquella catedral , asi como en las demás de España en para quienes se exige aquella declaración, p…</t>
  </si>
  <si>
    <t>Sosa, Francisco Gutiérrez</t>
  </si>
  <si>
    <t>Francisco Gutiérrez Sosa</t>
  </si>
  <si>
    <t>…e Ca con presencia de los reglamentos, órdenes é instrucciones vigentes, narias. proponga á las Cortes un proyecto comprensivo de las reglas sencilla* De la audiencia de Valencia. D. Francisco Gutiérrez Sosa á la y seguras con que deberán formalizarse las liquidaciones, compren de Valladolid. D. Pedro de la Puerta á la de Extremadura. D. Josef diendo en sus artículos todas las providencias que parecieren masé pro Cartagena á la de Sevilla. D. Fernando Josef de To…</t>
  </si>
  <si>
    <t>Sosa, Luía de</t>
  </si>
  <si>
    <t>Luía de Sosa</t>
  </si>
  <si>
    <t>…ue con una o do» censuras del jurado a; La comisión especial de Hacienda, en vmi de la exposición del co concede mas protección á la libettad de imprenta qua aunque se multi ronel D. Luía de Sosa, administrador de rentas , opinaba; plicasen cien censuras por otros tribunales.</t>
  </si>
  <si>
    <t>Sosa, Luis de</t>
  </si>
  <si>
    <t>Luis de Sosa</t>
  </si>
  <si>
    <t>…epto le V. t, para la conveniente resolución de las Cortes, el expediente ins consideraba muy arreglado i justicia ; pero que se debería hacer alguna truido sobre la solicitud del coronel D. Luis de Sosa, administrador del excepción respecto de aquellos curatos en que por su crecida feligresía Excusado y Noveno del partido de Mansilta, diócesis de León, de qu: no pudiese atender el cura párroco al desempeño de su ministetio. se le concediese su jubibeion con…</t>
  </si>
  <si>
    <t>…, y en los de infantería de Murcia y Soria hasta del 10 dt id.) los empleos de coronel y brigadier, en cuya clase obtuvo agregación al Decreto de las Cortes sobre una instancia de D. Luis de Sosa, y so ejército de la isla de Cuba en 1800, habiéndose hallado en la expe bre e! sueldo que deben gozar los cesantes cuyo» empleos no tenian mas dición y desembarco de Argel de 1775; en la del Rio de la Plata y asignación que la de un tanto por too. (Gaceta de…</t>
  </si>
  <si>
    <t>Sot</t>
  </si>
  <si>
    <t>…ncias respecto de los que te propusiese el modo de verificar estas oposiciones. Yo veo por demás opositores. los art ículot que te han leido que no se ha hecho mas que suprimir Ei Sr. Sot t manifestó que no se expresaba en el artículo con la cla ia palabra capellanes, y. mandar que se obtengan por oposición las pla ridad correspondiente el modo de hacerse las propuestas, puesto que no zas de piriocos castrenses; pero no se ha designado quiénes…</t>
  </si>
  <si>
    <t>Sotcuiuyor, Martin Alvarez</t>
  </si>
  <si>
    <t>Martin Alvarez Sotcuiuyor</t>
  </si>
  <si>
    <t>…vincias de Santander y Sevilla, por renuncia que han hecho los propio* to hecho en las Cabez.is, y el amor que profesan á los apoyos de la liber tarios D- Josef Manuel de Tagle y D. Martin Alvarez Sotcuiuyor. P** tad. Es un principio grande de los Estados libres y moderados el pre lacio ig de Matzo de 1822. EN LA IMTRENTA NACIONAL.</t>
  </si>
  <si>
    <t>Sotela, Luis</t>
  </si>
  <si>
    <t>Luis Sotela</t>
  </si>
  <si>
    <t>…onga á estos la pena correspondiente.” y circule.=Rubricado de le Real mano.^En Palacio á 16 de Enero de Quedó aprobado suprimiéndose del primer párrafo la palabra igual, 1821.= V D. Luis Sotela. y sustituyendo en lugar de mitma pena las siguientes palabras: pena d* 4 á 10 duros ft de un arresto dt 8 d 20 días, y sustituyendo en el pár Oficina general de Renovación y expedición de documentos. rafo segundo en lugar dei áejio siguiente: pena es,piteada…</t>
  </si>
  <si>
    <t>…cado y copiado publique y circule— Rubricado de la Real mano de S. M.=En Pala de otra parte, por el que se demuestran las intenciones de los que le es cio á 25 de Enero de 182a~A. D. Luis Sotela. criben. Se dice que el Gobierno no tiene derechos, y solo obligaciones. Esto es lo mismo que si se dijera que en un régimen constitucional Don Fernando vu por la gracia de Dios y por la Constitución había ciudadanos é iliotas. En toda nación constituida haJÉ…</t>
  </si>
  <si>
    <t>Sotelo, Bartolomé</t>
  </si>
  <si>
    <t>Bartolomé Sotelo</t>
  </si>
  <si>
    <t>…de ser unos 400 hombres; pero solo salieron roo la noche del 6 , al mando út l á la patria , y de sostrner su lib.vdad recuperada 4 coata de tantos del t tiente coronel de Toledo D. Bartolomé Sotelo. A la mafiana si sacrificios y afan t. Dio* guarde á V S mucho» año*. Cádiz 4 de Agen guiente se encontró en efecto con todo el grueso de Quetada en Subiza to de 1811, abo tercero de Ja restauración de la libertad de lasBapná doa leguas da Pamplona, contra.qu…</t>
  </si>
  <si>
    <t>Sótis, Sebastian Vicente de</t>
  </si>
  <si>
    <t>Sebastian Vicente de Sótis</t>
  </si>
  <si>
    <t>…s proposiciones del Sr. Sánchez: » Debien calde int riño constitucional D- Pedro Barreda Centelles por parte ddo decretar laa Corte* cuantas economías sean posibles, pido: i.® Que D. Sebastian Vicente de Sótis un papel canmntoso a su persona, im b comisión Eclesiástica examine si es absolutamente necesaria la conti preso en Alicante por Josef Carrataiá , y reimpreso en Valencia por nuación del obispado y cabildo de Ceuta; y a.® Respecto á que b Manuel López ; reuni…</t>
  </si>
  <si>
    <t>Soto</t>
  </si>
  <si>
    <t>…politice de la Monarquía española: y en La comisión Eclesiástica presentó su dictamen acerca de la adición ella pronunció nn elocuente discurso al presbítero D. Juan Martínez, del Sr. Soto* al dictamen aprobado sobre la suspensión de conceder ór probando con razones sólidas, deducidas de las actas de la* antigua* Cor denes mayores: la comisión la hallaba fundada, y era de parecer que en tes y de laa leyes patrias, que nada contiena la Constituc…</t>
  </si>
  <si>
    <t>…yan contribuido, ser destinados al mando de cuerpos militares ó á otros empleos conApe- debiendo todos reunir las calidades que las Cortes prescriban para su ad traites. ision. El Sr. Soto* manifestó qus en su opinión era menester adoptar al- El Sr. Castejon m opuso al artículo opinando qus si se hacia re-</t>
  </si>
  <si>
    <t>…pesar de que ta dijo qua contrariaba lo muy temprano para que se disolviesen estas reuniones, y que se podía resuelto por las Cortes, quiso S. S. que sa leyese. dar mas tiempo. El Sr. Soto dijo que esta era una adición; 4 lo qua contestó al se El Sr. Galiano contestó que la comisión habia creido muy conve ñor Canga diciendo que no lo era, puesto que contrariaba la medida niente el fijar esta hora, que era en ia que algunas veces se cerraban lo*…</t>
  </si>
  <si>
    <t>…tado por uno de Cu pañol no pueden servir extrangeros, y que en cuanto á la modificación tos militares , seria necesario conferírsele, aunque hubiese otros preten propuesta por ei Sr. Soto* no la creía necesaria, porque era claro que lo* dientes muy aptos para el caso, cualesquiera que fuesen ias c rcunsta ’militares que no reunieten las circunstancias ó cualidades que la Cons cías de estos, y por lo mismo era de parre r que se dqrse en el a-v.…</t>
  </si>
  <si>
    <t>Soto, Alfonso Josef de</t>
  </si>
  <si>
    <t>Alfonso Josef de Soto</t>
  </si>
  <si>
    <t>…artido de Man fanta Doña Maria Francisca. zanares , provincia de la Mancha, que se halla vacante por renuncia da Se leyeron dos minutas de decreto revisadas por la comisión de Cor D. Alfonso Josef de Soto. rección de estilo: la úna sobre la fuerza del egército permanente para el presente año, y la segunda sobre ei reemplazo del ejército. E.’ día 13 del corriente saldrá del pu'rto de C 'diz para Ultramar la Se mandó pasar á la comisión de Hacienda una adición a…</t>
  </si>
  <si>
    <t>Soto, Bernardo de</t>
  </si>
  <si>
    <t>Bernardo de Soto</t>
  </si>
  <si>
    <t>…curado deprimir á todo el que no piensa co los mencionado* Vázquez, Rodríguez Romero, Casal, D. Batasar mo eilos aun en cosas muy subalternas. Estas denominaciones suponen Cerezo, D. Bernardo de Soto, D. Bernardino López, D. Vicente Cha partidos que r.alm-nte no existen, pues todos vamos á un mismo fin, los, D. Josef Toribio Rodríguez y D. Josef Pereira. En comosgrafia los que es ia libertad de la patria, y la consolidación del sistema consti dichos Vázqu…</t>
  </si>
  <si>
    <t>Soto, Ignacio Pérez de</t>
  </si>
  <si>
    <t>Ignacio Pérez de Soto</t>
  </si>
  <si>
    <t>…dida, tiendo la nuestra de cinco heridos, y habiendo cogido que vive calle del Escorial, núm. 16, cuarto z.° en la acción dos individuos de Caragol. Que la otra columna, al insudo D. Ignacio Pérez de Soto, vecino de esta corte , remitió por el del comandante D. Pablo Viver , compuesta de los miqueletes de Puig- correo del 6 del corriente i D. Lorenzo Valdés Il.-via , de G jon, en cerdi y el baiallon de Canarias, sostuvo la noche anterior la acción que dosados…</t>
  </si>
  <si>
    <t>Soto, Jotef Serrano</t>
  </si>
  <si>
    <t>Jotef Serrano Soto</t>
  </si>
  <si>
    <t>…e ha h¡ccho.__El Austria ha prohibido a los bu Corrección de estilo. ques extrangeros, y aun á los austríacos , si no están bien autorizados, Se concedió el permito que solicitaba D. Jotef Serrano Soto , juez que se acerquen con cargamento de sal y tabaco á tiro de cañón de las de primera instancia de Jaén , para jurar ante el gefe político, median costas de Dalmacia, imponiendo á los contraventores la pena de con te haberle sido concedidos los honores de m…</t>
  </si>
  <si>
    <t>Soto, Juan de</t>
  </si>
  <si>
    <t>Juan de Soto</t>
  </si>
  <si>
    <t>ICO* aider, D. Fflticisco Octavio de Toledo, D. Josaf T.sjarin, D Anto objeto de los sumarios es y debe ser la averiguación de la verdad , ave nio Narciso Sánchez, D. Juan de Soto, D. Jo».f ^rron i¡fD, Josef riguada que sea plenamente por la comprobaciou del cuerpo del delito Jiménez, calificaron con la nota de injurioso en tercer grado el impreso y por la confesión del reo, ó por el dicho conteste de testigos presen titulado Respuesta…</t>
  </si>
  <si>
    <t>Sotomavot, Martin Alvérez</t>
  </si>
  <si>
    <t>Martin Alvérez Sotomavot</t>
  </si>
  <si>
    <t>…Tomas dos por las leyes. Art. 4.0 Son libelos infamatorios, con arreglo al ar Díaz Rodríguez. tículo 16 de la ley de 11 de Octubre de 1820, los escritos en que te Por renuncia de D. Martin Alvérez Sotomavot ha quedado vacan vulnera la reputación ó el honor de los particelaMs, tachando ku «oa- te la judicatura de primera instancia de Fregenal de la Sierra , en la ducta privada, aunque no.se les designe con sus nombres , sino pee provincia de Sevilla: y para tu pr…</t>
  </si>
  <si>
    <t>Sotomayor, Alvarez</t>
  </si>
  <si>
    <t>Alvarez Sotomayor</t>
  </si>
  <si>
    <t>…rafo 1.“: ..Que en lugar de 10 á i» la comisión: años se diga de 6 á si años de obras públicas.” Aprobada. i.J •&gt; Que las Cortes declaren qne el llamado tratad -&gt; de Córdoba, D.-l Sr. Alvarez Sotomayor al 637: n Que si dentro del término de celebrado entre el general O-Donojú y el gefe de los disidentes de Nue 60 días siguientes al en que se dió la sustancia venenosa ó nociva re va-España D. Agustín Itúrbide, lo mismo que otro cualquiera acto ó sultare por…</t>
  </si>
  <si>
    <t>Sotomayor, Angel Aivarez</t>
  </si>
  <si>
    <t>Angel Aivarez Sotomayor</t>
  </si>
  <si>
    <t>…eas que lleva consiga tal del regimiento infantería de América al entregar el mando al te toda calamidad pública , debe sin embargo anunciaros que el Gobierno niente coronel mayor D. Angel Aivarez Sotomayor, ha dirigido lapa- tiene medios para atajar tales abusos, y para exterminar , si fuese preciso, a los soldados es la orden del cuerpo , exhortándolos á imitar !s: á los que obscureciendo vuestra gloria, y turbando !a tranquilidad y el Virtudes de su nuevo gef…</t>
  </si>
  <si>
    <t>Sotomiyor, Agustín Sarmiento de</t>
  </si>
  <si>
    <t>Agustín Sarmiento de Sotomiyor</t>
  </si>
  <si>
    <t>…ervicio ordi ARTICULO DE OFICIO. nario y extraordinario de la ciudad de Guadalajara y su partido, en Hallándose vacante la plaza de fiel interventor de la fábrica de tal cabeza de D. Agustín Sarmiento de Sotomiyor , vizconde de Portillo. de S. Josef, en ia provincia de Jaén, cuyo destino está dotado con Se suplica á la persona que tuviese noticia de su paradero se sirva dar 1200 rs. de vn. al año, se anuncia al público , dn d: que tos emplea aviso en la casa núm. 16 y…</t>
  </si>
  <si>
    <t>Sotos</t>
  </si>
  <si>
    <t>…cciones se observaba que sal aa Aprobada el acta de la anterior , se mindí insertar en ella el voto eíect res de parroquia y de partido algunos empleados en los p;:eparticular del Sr. Sotos, contrario a ia desaprobación de los poderes de b'os; requirén fose también para este encargo la residencia de cumio lo* diputados de Cuenca. número de aííos. Respecto a los poderes del Sr. Posadas fue de opinión Se leyó la lista de los Srrs. diputados que po…</t>
  </si>
  <si>
    <t>…llos ben , sabiendo por las cartas y papeles impresos del correo de hoy, y el límite de los gastos públicos. oficialmente por una exposición que el ayuntamiento de aquella capi El Sr. Sotos preguntó si se principiaba pot determinar la cantidad tal dirige por sus manos á las mismas los lamentables sucesos ocurridos que se había de exigir por todas contribuciones, ó por arreglar los ru «n ella el del corriente, y la consternación en que quedaban s…</t>
  </si>
  <si>
    <t>…o el Sr. Buey para que las Cortes desaprueben el artí.ulo que se dis culos iba envuelta esta misma idea. cuteSe declaró en seguida suficientemente discutido este asunto , y que El Sr. Sotos: Para aprobar el artículo que la comisión ptesema » dó aprobado el artículo t.J preciso atender al estado de muchas diócesis, á la diferencia de parro Art. 2.a » Se entenderán por el mínimum de la debida y decente quias , y i otras infinitas cosas que reclama…</t>
  </si>
  <si>
    <t>…bería dar si tuviese que comprar los comestibles por mayor. de 1814; se ha servido b. M. mandar pr&gt;r Real orden de 3 del cornea, Por otra parte, aunque la operación que prop ne el Sr. Sotos fuese te mes de Abril que esta contrata se publique en les papeles de ent tan sencilla como se quisiera , es necesario no perder de vista que lle corte y plazas principales de comercio por término de 1 e dias, por á va en sí misma bastante complicación; que e…</t>
  </si>
  <si>
    <t>…uos egerzan todos indistintamente la cura de almas. tamiento constitución^' , iuyos únicos desvelos dirige solamente á vues- Asimismo se mandó pasar i la comisión otra adición del Sr. Sotos tia felicidad , ha recibido con el mayor dolor la infausta noticia de al art. a.° del mismo dictamen , relativa á que se exceptúen tam que ni coronel Itúrbide ba proclamado la independencia por el rumbo bién de lo preven-do en el 1.' los opositores a curatos…</t>
  </si>
  <si>
    <t>…de Corrección de estilo presentó la minutarle decreto De la misma cap tal dicen el 30 haber, llegado correo de Constan- sobre suspensión de óidenes eclesiásticas y dimisorias. El Sr. Sotos reclamó una adición que tenia hecha, de la cual no se tinopia; pero que no se habla entregado la corresponden; a. Los asuntos da Italia se cubren con cierto velo, que no deja lujar hacia mérito en esta minuta. mas que i conjeturas. Parece que sí han enviado o…</t>
  </si>
  <si>
    <t>…volviese 4 le comisioa. ao sobre suspensión de órdenes mayora, en el cual era de paseea que Le comisura primera de Haciende, informando «abre la solicitud de debía aprobarse la dd Sr. Sotos , afiadiendo al art. a.a dd citado decre Ja diputación provincial de Guipúzcoa, en que solicita se aplique al to lo que sigue ¡ •» y lo* opositare* que an lo tocaivo fuetea aprobados pago de ios intereses de le deuda pública de aquella provincia, con ,»lo teq…</t>
  </si>
  <si>
    <t>…entre ellos un fermento de división 7 de tes debian agradecer el zelo de este interesado. Aprobado discordia. Otro sobre ls solicitud de Dofia María Albcar, viuda «leí alférez El Sr. Sotos dijo que asi como un ayuntamiento dando vecindad 4 de fragata D Felipe García, p¡dien«lo te le diese el sueldo entero que un particular le concedía el derecho de entrar á disfrutar de todos los disfrutabs tu marido, el cual babia fallecido en una acción de gu…</t>
  </si>
  <si>
    <t>…l fondo de venga ya instruida t informada por la dirección general de estudio* luces que pudiera desearse. conforme á estas reglas, 7 se devolverán las que actualmente existen, El Sr. Sotos dijo que era preciso exigir la asistencia á las cátedras para que instruidas en los términos prescritos sean respectivamente des para que te concediese la dispensa: que la comisión no ignoraba que al pachadas por la dirección, ó remitidas á las Cortes para tu…</t>
  </si>
  <si>
    <t>…Arias; para la de Marina el Sr. Roig; para la de Mi debía calcularse la cuota en razón directa de a'nbis utilidad.s. licias el Sr. Belmont:, y para la de Policía el Sr. Mar.so. El Sr. Sotos contestó que podía haber profesiones que fuesen muy La comisión de Gu;rra , en vista de una consulta d.l Sr. secretario útiles al que las abrazase, y no lo fuesen tanto á la N í.iuu por el núme del Despacho de este ramo , acerca de varias duda» ocurridas sobr…</t>
  </si>
  <si>
    <t>…estaban en que se halla allí ha sufrido los mismos insultos por sus conocidas . igual caso con las demas. ideas liberales, y para evitarlos ha tenido que poner una guardia á Ja El Sr. Sotos dijo que todas las dificultades que proponía el Sr. pre „ puerta de su casa; y últimamente han llegado las cosas al extremo de opinante estaban vencidas con los artículos anteriormente aprobados y asesinar á un sargento y i varios soldados del mismo batallón.…</t>
  </si>
  <si>
    <t>…usa caudación debía hacerse por pane de lo*comendadora»: que al Gobier contra dicho juez de primera instancia. no había opinado del mismo modo; y que la comisión en vísta de lo El Sr. Sotos pidió la palabra en pro del dictamen de la comisión; dispuesto por el ait. tó, de que se ha hecho mérito, había sido tam pero no habiendo nadie que la pidiese en contra, la renunció, y quedó bién del mismo parecer, prescindiendo de si estaba bien ó mal hecha…</t>
  </si>
  <si>
    <t>…. 6." » Cuando no decreten las Cortes que el reemplazo del egér do ; tambor ; pífano; corneta y trompeta. cito te verifique déla milicia nacional activa, cada provincia cubrirá El Sr. Sotos preguntó qué se debía hacer con los actuales brigadieres, dentro de un término fi'o, y del modo que le sea menos gravoso, el cuya clase se suprimía. cupo que le pertenezca, quedando responsables á reponer las baj is qus El Sr. Infante contestó que continuaría…</t>
  </si>
  <si>
    <t>…, jr no se El Sr. Buruaga presentó la siguiente adición al art. 10, sobre la que aprobó la adición. no recayó resolución : » Pido á las Cortes se excite á S. M. á que con Otra del Sr. Sotos para que se declare que se rebaja por crgla gene voque Cortes extraordinarias, á fin de discutirse los proyectos de có ral la tercera parte de ta contribución de patentes en los casos acorda digos civil y de procedimientos, arreglo del clero, leyes sanitarias…</t>
  </si>
  <si>
    <t>…ai de Setiembre último expedida por el minit:votos, el Sr. Romero uno, el Sr. Belda nno, el Sr. Sarabie uno, u riodeGueft*,que ha comunicado á esta tesorería general en 17 del mis Sr. Sotos uno, el Sr. Trjeiro uno', y el Sr. Znlneta uno. mo el Sr. secretario del Despacho de Hacienda, se ha servido el Rey F.n la primera votación para segundo secretario reunió el Sr. Moro- mandar que en lo sucesivo no se confiera destino alguno, ni aun en no 60 vo…</t>
  </si>
  <si>
    <t>…a que te sepa cuál es el tuyo, que decidirá la en que ocurría la vacante. alcccion en caso que haya empate.0 Ei Sr. Infante contestó que el artículo mismo destruís la objeción, El Sr. Sotos te opuso á este artículo , opinando que el voto del pre pues no había razón pata que se perjudicas* en la antigüedad al ascen sidente debía ser igual al de los demás vocales, y solo en el cato de dido, máxime cuando el retraso que pudiese haber en la elección…</t>
  </si>
  <si>
    <t>…nida para cooperar á ningún acto del servi te no debía ser mandado por un teniente dei ejército permanente. cio, sino meramente para su instrucción particular; y la razón de po El Sr. Sotos opinó que el artículo debería volver a li cornis ón, nerte ¡o que tus puede reputarte un arta de servicio ha sido porque etl fundándose en las mismas observaciones que había expuesto el señor España han ocurrido mil disputas entre los cuerpos del egército per…</t>
  </si>
  <si>
    <t>…o que aa lea presen qua se atacan por ella lu atribuciones drl Gobierno: a." que es intaba, y después se sujetaba i discusión con su dictamen. Se leyó le siguiente proposición del Sr. Sotos: » Pido á lea Cortea útil; y g.° que es opuesta al decoro de las umi:». Se atacan por la pro posición las facultada del Gobierno, «binándole * que cuando su)-teque se impriman pata repartir entre los Sres. diputados las obsarvacio nes que ba dirigido el supre…</t>
  </si>
  <si>
    <t>…a la pueblo , y de si pudo ó -o d-f-nderse. Por consiguiente cr=o que las utilidad que debe producir ei artículo , ias Cortes deben aprobarlo. Cortes deben aprobar el urt cuio. Rl Sr. Sotos i En los términos en que se propone esta medida no Ei Sr. Canga: Pudieiu decirse que este art eu’o volviese á la ¿emi debe ser aprobada. El Sr. Arguelles ha demostrado hasta la evidencia la sión para que lo leriaclj-.r de r.-c.vc , tu.s no d.;3n de habrr hecr…</t>
  </si>
  <si>
    <t>…estatan conformes cota declaró en seguida que no se admitía á discusión. la medida; pretenderán que solamente se extienda a Cataluña y Se mando pasar á la comisión une adición del Sr. Sotos á la me dnmts provincias en donde haya facciones; mas ¡qué pro» nca da dida 8.a España es en la que no hay conspiradores ni agentes del despot smo Continuándose la discusión de la medida 9 ’, pidió el Sr. Remero parciales y seducidos: Todas, sió r, e»tan iuf;…</t>
  </si>
  <si>
    <t>…sion ha propuesto de - ste modo el articulo, . cb: en - derecho de volverse .1 ¡untar pisados t.-js chas." tend r&gt;- que sr r fi-r- &lt; aquella det.ncion que haya por causa de las El Sr. Sotos impucr,.' este a-t .uio, rr.enit.standa que b en «cb a que diputaciones prov ocíales. las leyes no podan prevenir todos los casos: p:ro qu; pd ) suc de: El Sr. O .ver: a.n duda qu- las d putacion-s provinciales, como que no conviniese la reunión dentro de tre…</t>
  </si>
  <si>
    <t>…«pañol» que cometan tal y cual delito el-dictamen de la comisión. quedan sujetos al fuero militan y asi creo que no hay ornt vo para que Tampoco creia que dibiera aprobarse la del Sr. Sotos i la misma vuelva á la comisión ; sin embargo se puede quitar La palabra acanto medida para que al fin de ella se añadiese » y según el orden que se- namiento , si se cree que puede dar motivo á dudas. Salan las lepes." Aprobado. Se leyeron los arts. saa y 12…</t>
  </si>
  <si>
    <t>…aría lugar i mil in dajoz , y verá lo que dice sobre conventos, y basta qué punto se extien terpretaciones. de la suprema potestad temporal; ¿y *e dirá al cuerpo representativo El Sr. Sotos dijo que podía extenderse este artículo con ma* clarisa I. que estas son usurpaciones y, atentados! Yo creo que este es un exceso El Sr. Romero: Esta última parte del artículo creo que está en de zelo; pero permítame S. S. que le diga que la Nación tiene ub d…</t>
  </si>
  <si>
    <t>…de la disci este las impugnaciones del Sr. preopinante, cuyos argutrer t'-s j-L.-.-.a plina militar.” •er útiles para otro articulo. Por este se establece una bis- s-.-eia , ea El Sr. Sotos opinó que debería decirse en el artículo que disfruta la que se explica el modo con que los militares podrán d.s'r .tat úe ..s ran de los derechos que la Constitución concede i lo* ciudadanos es derechos políticos. Es preciso no confundir el fuero con Jos c r…</t>
  </si>
  <si>
    <t>…países extrangeros, 7 durante su permanencia en ello* tiene nal de los alcances ó deudas que Inyan contraído loa militares. Cual hijos, estos deben considerarse como españoles. El Sr. Sotos: Yo aprobaría el artículo si se sustituyesen las palabtai quiera que sea el perjuicio que se siga al erario nacional es muy mez quino con respecto á ia consideración que se merece una mugar; y asi, » los tengan en países extrangeros,” en lugar de las palabras…</t>
  </si>
  <si>
    <t>…ntados en él los cálculos ta la hora presente no ha tenido lugar suficiente para enterarse de de la comisión. su contenido; pero como este informe está sentado sobre la memoria El Sr. Sotos manifestó que el dictamen de la comisión no era ad de S. S., y como ademas ha tenido S. S. la bondad de asistir á la comi misible , porque existía una equivocación acerca del verdadero déficit. sión , es claro que viene suficientemente instruido en la materia…</t>
  </si>
  <si>
    <t>Sotos, Bonifacio</t>
  </si>
  <si>
    <t>Bonifacio Sotos</t>
  </si>
  <si>
    <t>…baba que estuviese en el eger-.cío Murcia. D. Josef Rodríguez Paterna, D. Juan Alix, D. Anto de su destino, pues lo hizo como consejero de Estado, / únicamente nio Peiez de Meca , D. Bonifacio Sotos y D. Ramón Reillo. para servir como una especie de testigo de aquel acto, del mismo mo La comisión, después de haber examinado los poderes de estos in do que ios que teman honores de consejeros de Estado lo habían hecho dividuos, como asimismo algunos recursos de nulidad de es…</t>
  </si>
  <si>
    <t>Sotos-</t>
  </si>
  <si>
    <t>…ligera &amp;c.” -Se leyó el art. 186 del código pedal á petición del Sr. Infanta, y Art. 10. » Ni en campaña ni en tiempo de paz podrá ser juzga al 187 del mismo código á petición del Sr. Sotos- do ningún militar por ninguna comisión, sino por el tribunal competen Kl Sr. Infante: Las Cortes han visto que la primera parte de este te determinado con anterioridad por la ley.” Aprobado. artículo está copiada literalmente del articulo del código penal que…</t>
  </si>
  <si>
    <t>Soublette</t>
  </si>
  <si>
    <t>…epresentando en la repú extraordinariamente, y se manifiesta muy í las claras en todas partes la resolución de oponerse vigorosamente á 1» miras del Gobierno. blica de Colombia—El general Soublette, que salió de Valencia con Hay una carta de comercio que da la noticia siguiente : las tropas destinadas contra Coro y Maracaibo, tenia su cuartel general n El Gobierno ingles ha pasado una nota al francés pidiendo ia en Barqmsimcto; siéndole propicia la fort…</t>
  </si>
  <si>
    <t>…por patriotas del pueblo , y ras de los batallones , toda la correspondencia particular , pública y 10 caballos de la M. N. de esta arma, para que unidos marchen i in militar del general Soublette. El batallón de Eocaya ha sufrido mucho, corporarse con el coronel Ordofiez, recorriendo al paso los sitios en y muy pocos han escapado.” donde pu-dan h»b‘r buscado asilo ¡os infame» disperses ,y con el obje t.xtracto de cartas particulares. to de r-poner la…</t>
  </si>
  <si>
    <t>Soult</t>
  </si>
  <si>
    <t>…aciones habían llegado cuatro generales de dichs nación.—El Diario siguiente: ** Las Cortes, usando de la facultad que se les concede por la de Comercio insinúa el rumor de que el mariscal Soult debe tomar el Constitución, han decretado lo siguiente : Art. 1." La brigada de cara mando del cordon sanitario.__Fondos públicos en Londres el ai de bineros quedará suprimida precisamente el día primero de Julio próxi Mayo. Billetes del banco 140: 3 por too…</t>
  </si>
  <si>
    <t>…nom Fl Sr. pr&gt;sid nte manifestó que sobre este artículo no podia recaer brado el famoso Donnadieu para general en gefe de un cardón: mañr.ia r.solución al.una. ya te reemplaza el mariscal Soult: al siguiente día es el nombrado el El Sr. l.tur z mmifastó la necesidad qie habia de que *e resolviese general Bclliard; al otro día ya debe ser el mariscal Suchet ; al quinto este &gt;-xídient ■, qu.* ya estaba sobre U mesa, cuauto antes fuese posible; día nin…</t>
  </si>
  <si>
    <t>Spencer</t>
  </si>
  <si>
    <t>…recelo aquello mismo que los pervierte. Dicho brigadier Ricafort elogia sobremanera la conducta del gene n Después de la obligación de librarlos de esta lamentable seducción, roso capitán Spencer, en quien ya por dos veces había hallado toda la universalidad de nuestra lengua impone al Gobierno una obligación protección, pues inmediatamente que supo la situación de Ricafort todavía mas severa.....La licencia de los escritos de París es un crimen en el…</t>
  </si>
  <si>
    <t>Spenscr, Hononb</t>
  </si>
  <si>
    <t>Hononb Spenscr</t>
  </si>
  <si>
    <t>…, y que si se quisiese que los periodis* Hoy hz fondeado en este puerto la fragata de 5. M. B. Ower Glrn, tas fuesen los doctores de los pueblos, seria preciso escogerlos en lugar capitán Hononb Spenscr, salida de Ancón ei 13 de Setiembre, y de de permitir que ri primero á quien se le antojase se entremetiese i ense Valparaíso el 10 de Octubre, y trae de pasageros á los señores general bar la mas importante y difícil de todas las ciencias. Ricafort, D. Anton…</t>
  </si>
  <si>
    <t>Spina</t>
  </si>
  <si>
    <t>…asar á la comisión di Htcienda una a-licon del Sr. Me- moni irá al y,or.greso. lend'i a .a partida prim-ra para qu- s- rectifique a cantidad de toj'i Estados roirue..;. Ademas del cardenal Spina y de Monseñor Máz reales que en ella se seña an , ' se d»c.are que los sue.dos de estos ce alo , también asistirán al Congreso lo» nuncios de b. S. que estaban en santes están exentos de toda r bija ó descuento. Viena y Turin. Por lo» Estados romanos era cont…</t>
  </si>
  <si>
    <t>…infalibles y segures del triunfo de las ar barcado diputados griegos en Liorna que iban á Verona protegidos por mas de la patria , exho-ta en ios termines mas enérgicos á todos el cardenal Spina—De Francfort el i a desmentían los rumores de guer los españoles t que se r-unan para rechazar (en caso necesario) una in ra. En Lóndrei i pesar de experimentarse los mismos efectos que en tervención armada, prefiriendo antes morir que consentir en eiía. Parí…</t>
  </si>
  <si>
    <t>Spínola, Pedro Lucas</t>
  </si>
  <si>
    <t>Pedro Lucas Spínola</t>
  </si>
  <si>
    <t>…=Pedro Domin¿uaz.=Per mandado de su Señoría , Antonio Cuervo , escribano de Guerra. AVISO. ANUNCIOS. Según las noticias «Jadas por el D.ariode París del 5 de Mayo pró ximo pasado, D. Pedro Lucas Spínola , hijo del difunto Luis Fiancisco, Mapa geográfico, híitórico y mercantil, que contiene los límites, ex capitán que fue del regimiento de iínia , núm. ga , fue declarada con tensión , población, Ciob erno, soberanos, divisiones, capitales, princi fuir az -n l…</t>
  </si>
  <si>
    <t>Sr</t>
  </si>
  <si>
    <t>…tar ua que las contribuciones sean proporcionadas i estos. Por el mismo ar destino correspondiente ¿ su carreta, opinaba que debía aprobarse. Asi tículo que ha citado el dignísimo diputado Sr. Canga no se contradice se acordó. este principio , y por el gap se previene que las-contribuciones se im La comisión de Milicia, en vista de la exposición déla voluntaría pongan con una igualdad legal, y con arreglo á las facultades que cada local de Badajoz…</t>
  </si>
  <si>
    <t>…poseerlos bajo ningún título. De otro modo es un ataque di con motivo de celebrarse el aniversario de las víctimas del Dos de Ma recto á la posesión. He aquí por que el dignísimo diputado Sr. Argue yo : que después de dsrse cuenta de varios dictámenes de comisiones, se lles en el roto particular que dió, presentó por primera base el amparo discutirían los artículos presentados por la comisión sobre la visita de en la posesión de los terrenos que…</t>
  </si>
  <si>
    <t>…o lo do que hubiese faltado al cumplimiento de sus deberes, no quedara im L 1 dicho bien terminantemente. El efecto de la visita es que el visita pune. Asi lo eaplicó el dignísimo diputado Sr. Arguelles en contes dor saque nota de aquellas causas en que crea que no se han cum tación al Sr. García Herreros en el referido año de 13; de modo que plido las leyes, y las envíe á las Cortes para que vean si son ó no ai hubiera una queja documentada, ao h…</t>
  </si>
  <si>
    <t>Sr, Antonio</t>
  </si>
  <si>
    <t>Antonio Sr</t>
  </si>
  <si>
    <t>…sco y otros. tiese inscribir este nombre en sus insignias. Se nombró para la comisión de Corrección de estilo , en lugar del La comisión de Hacienda , en vísta de la exposición de D. Antonio Sr. Saavedra , al &gt;r. Galiano ; para la de Guerra al Sr. Infante; para la Izquierdo, vecino de Cádiz , sobre el pago de cierta cantidad qpe la de Milicias nacionales al Sr. Riego; para la especial encargada de exa debía el Crédito público, opinaba que no debía v…</t>
  </si>
  <si>
    <t>Sr, Arguelles y</t>
  </si>
  <si>
    <t>Arguelles y Sr</t>
  </si>
  <si>
    <t>…s que dejo manifestados. Asi pues he expuesto mi opinión, fundán Kacion todos sus alcances desdé r.J de tinero de r8o8 basta el ano l8iy. dola en la le los dos dignos legisladores Sr. Arguelles y Sr. Martínez Las Corles lo oyeron con agrado, y mandaron pasar esta solicitud al Go de la Rosa. Ei Sr. Vega : Me parece" que no se puede decretar la visita, como bierno. Diferente! patriotas de Cartagena se quejaban de la entrada hostil no sea para una causa det…</t>
  </si>
  <si>
    <t>Sr, Casht</t>
  </si>
  <si>
    <t>Casht Sr</t>
  </si>
  <si>
    <t>…scusión , quedó aprobada la primera parte con la cargas i la Nación para atender a la pacificación da las América». cláusula siguiente ten la pasible preferencia, propuesta por el Sr. Casht Sr. Itifautít La única dificultad que hay en la aprobación tejon, y las otras dos las retliaron loa br:». que habían firmado la propo de esta medida es la falta de medies para Henar los gastos que ñeca* sición. seriamente van á resultar; pero ya quisiera que no…</t>
  </si>
  <si>
    <t>Sr, Ei</t>
  </si>
  <si>
    <t>Ei Sr</t>
  </si>
  <si>
    <t>…osa que ex-.to ai br'gadier Palarea á capitular, por lo qu* mi op nion es que no se les debo comprender en U sracii. qu fue e que r.o ,e engrosasen ios facciosos de Sigú ir.zj. El brigadier Ei Sr. Arguelles; Pocas refl-xiODcs me parece qu; b rar.r. pan I'a arca -n este caso capitula , no cabien Jóle duda de que, bl:n fuvs; el probar que el artícuio que se discute esti fundado en princip :s d- re— G bierno ó b.-en las Cortes, sost.-ndrian su palabra; y…</t>
  </si>
  <si>
    <t>Sr, El</t>
  </si>
  <si>
    <t>El Sr</t>
  </si>
  <si>
    <t>…cono- &lt;1 Rey, 4 propuesta de tu consejo de laudo, te ha servido nom ponde ai decoro de la Nacioa que representamos. brar are tres plaza de ministra de le audiencia de Catetulto, 4 Don El Sr. Calatrava: Le comisión se veooofandida al va una iocul- LuisMoxó, D. Francisca Eatalelia y D Vicente Aden; v pera toada pociona que le hace nao de sus individua, y que ha concurrido 4 te- fiscalíadal propio tribunal AD. Angel Castellana y D. Julián deSojo. d…</t>
  </si>
  <si>
    <t>…es de las que habia manifes pez Pooce, para el de Campo de Ciso; i D. Lu.s d rara el de la Pola da Lena ; i D. Febx Fernandez Tel’ez . psra el dstado en su anterior discurso. -. á Don El Sr. conde de Tareno dijo que habia sido uno de los que habían Teberga; i D. Sebaitian Rodríguez Alvarez, para d de Giado contribuido á que se pusiese el artículo que reclamaba el Sr. Martel, Diego López longoria, para el de Sala,; j D. Franc-.sco Rodrigues Espin…</t>
  </si>
  <si>
    <t>…medidas que haya tomado para que as La gaceta de Francia , siempre firme en su propósito de publicar se repitan." cuanto sea contrario á los griegos, refiere que en Viena era voz general El Sr. Cepero dijo: Sin perjuicio de que las Cortes no admitan ttii que los turcos se habían apoderado por asalto de la ciudadela de Jani- proposición como la presento (que no hubiera hecho á saber lo qut na, y que había muerto Alí; pero el Constitucional aclara el…</t>
  </si>
  <si>
    <t>…pregunta no puedo des royo : después de abolida la Constitución apareció bajo el. carácter de envolver mis ideas. alcalde mayor , que era la denominación que se sustituyó i la de juez El Sr. secretario de la Gobernación: F.l actual ministerio no se ha- de segunda instancia, y en el dia me consta oficialmente, á no poderlo lia en estado de satisfacer á S. S. sino de lo que haya ocurrido desde dudar, que se halla de juez de primera instancia en Mu…</t>
  </si>
  <si>
    <t>…o qtíe hubiese recaído la resolución de las Cortes tan completa tranquilidad como pretende S. S. sobre la proposición. El señor secretario: No puede ocultarse i la penetración del señor El Sr. González Alonso pidió que se leyese el art. 138 del regla Florez Calderón la grande dificultad que bay en exterminar una gavilla mento interior que trataba del modo cómo debían hacerse las proposi de to á ti hombres, sean facciosos ó ladrones, como serán pro…</t>
  </si>
  <si>
    <t>…e asimismo se exigiese la responsabilidad al comisión de casos de responsabilidad para que manifieste su parecer.** efe político D. Juan Munarriz y al gobernador de aquella p'.aza Don El Sr. secretario de la Guerra expuso que el Gobierno consideraba 5 oaquin Ruiz de Porras; al prime’ro por las prorid.ncias que había da li actual planta de la secretaría de su cargo como mas costosa y sujeta do, y al segundo por haber mandado á ia tropa que hicies…</t>
  </si>
  <si>
    <t>…ión Compusieron el jurado los Sres. D. Estébao Echeniqne» D. Valen de go del mismo pan las actuales Coartes ordinarias. tín Torrecilla, D. Raimundo Provedo, D. Francisco de Lleno, Don El Sr. Argíielle* manifestó que no pod an las Cortes acceder á esta Anastasio Nava*,IX Andrés Gafo, D. Miguel Sánchez, D. Octavio exposición, por cuanto el asunto 4 que se refería era un testimonio da Pastor, presbítero, D. Joaquín de Iberas, D. Josef Marín Coronad…</t>
  </si>
  <si>
    <t>…de Sta. Ana en 18 de Diciembre último. » Excmo. Sr.: No habiendo tenido los efectos que me propuse en ARTICULO DB OFICIO. la expedición que sobre barlovento puse i las órdenes del brigadier El Sr. secretario del Despacho de la Gobernación de Ultramar dice D. Francisco Toma* Morales, y deseando desahogar la plaza de Huer •1 de Giacia y Justicia desde el Real siuo de Aranjuez con esta fecha to-Cabello de las tropas sobrantes, que consumían inútilmente r…</t>
  </si>
  <si>
    <t>…mmieterio de Gracia y Justicia á lodos loe dio cesanos. Valentín de Torrecilla, D. Joaquín lbaira, D. Joaquín Llombart, D. Josef Vecino, D. Félix Mora, cl marques del R o Florido, Don El Sr. secretario de Estado con fecha 7 del corriente tac dice lo Antonio Casanovas , D. Octavio Pastor, presbítero, D. Pedro Cotdoque sigue: bés y D. Mariano González. » En consecuencia del oficio de V. E. de ttf del próximo parado D. Máximo £as lo declaró injurio…</t>
  </si>
  <si>
    <t>…hacerle desaparecer de la lista de los cuerpo* del egército» que este cuerpo sirviese de base para dicha guardia. «Se ha de adoptar esta medida coa un cuerpo que salvó la vida al señor El Sr. Galiano dijo: Me es doloroso tener que hib'ar de persona ó D. Carlos 111 , y con un cuerpo tan acreedor á la gratitud nacional! corporación alguna; y siento mucho que haya quien crea que esto me es &lt; Por qué descontentar á individuos tan beneméritos , amante…</t>
  </si>
  <si>
    <t>…ando que pasase i la comisión de 30 del provincial de Salamanca, y en Tolosa le aguardaba otro desta Constitución. camento mas fuerte de tropa y de aquella milicia voluntaria. F.l señor El Sr. Braaocamp dijo que ¡no sabia ni podía entender cómo podie enviado, ¿ quien sin duda le dieron en Bayona noticias muy exagera ser que algunos Sres. diputados del Brasil trajesen á mas de sus poderes das de los riesgos del camino, limpio ya en realidad de las…</t>
  </si>
  <si>
    <t>…ertificación de bautismo, confirmación , casa el llamar á dicho* capellanes párrocos castrenses de los regimientos. miento ó muerte, deberán dor ia gratis, con la intervención del teniente El Sr. Canga dijo que la dificultad estaba en el modo de ver las co coronel mayor y visto-bueno del coronel ó comandante del cuerpo, sien as ; pero que los que sabían mas que él convendrían en que era , co do el papel de cuenta de los interesados.” Aprobado. mo se…</t>
  </si>
  <si>
    <t>…mo lo había ve Rey exclusivamente la facultad de maoifasMr é las Cortes extraordi rificado la comisión de aquella Cortes naria los asuntos de que han de ocuparse; al Gobierno m el juez El Sr. Prat expuso que en la anterior legislatura extraordinaria se exclusivo que califica estos negocios, y da consiguiente las Costa en había agitado ia misma discusión con respecto á las observaciona que ate caso no pueden entender ma que en aquellos que el Gobi…</t>
  </si>
  <si>
    <t>…n un iodo con Jo expuesto par'al señor grato en los cuerpos hasta que hayan cumplido 1 6 años, ni gozarán preopinante. «« ant'gü-dad basta que el inspector general de su arma y el coronel El Sr. Velasco: El Sr. Falcó no d-jjri de convenir con mi yo *u ó comandante del cuerpo «tu aatafeche* de *u capacidad , aptitud qne anta mejor recibido tai un individua que s*a elegió? para pétvn-</t>
  </si>
  <si>
    <t>…amp, tendrá su cuartel general en Biyona; la división sión por sus méritos, debe saber que esta la disfruU íntegra. dal centro , del mando del conde Lijer-Belair, en Tolosa , y el conde El Sr. Melcndez se opuso al artículo; y entre otras cosas dijo que Curial, que mandará la división de los Pirineos orientiles , residirá lo que en él se establecía no debería en su concepto hacerse extensivo en Perpifian. i ios militares retirados, y mas cuando muc…</t>
  </si>
  <si>
    <t>…que deberemos aprovecharnos de sus mentiras para no adormecernos. ber lugar á votar sobre la totalidad del dictamen. __Publicamos en la gaceta extraordinaria de ayer el parte del general El Sr, presidente anunció que malsana se continuarla la discusión Mina sobre la toma de Castclifolüt. Hoy se han recibido periódicos pendiente, y si hubiese tiempo el dictamen de la comisión de Hacien de Cataluña qu: alcanzan hasta el 26 de Octubre inclusive, y pub…</t>
  </si>
  <si>
    <t>…Península , y » Con esta lecha digo al &gt;r. general en ge fe lo que sigue: Según dije *e leyó el dictamen de la comisión. á V. S. desde S. Celoni, recibí un oficio del Excuso. Sr. comandante El Sr. secretario de la Gobernación de la Península: El Gobierno general del distrito, en el que me anunciaba la reunión general de los conoce que según la situación actual de la Nación te está ea el caso de facciosos de toda esta comarca sobre Vich , con el objeto…</t>
  </si>
  <si>
    <t>…operaciones. En cuanto i la segunda objeción la co Se continuó la lectura del tir. 8 ** da Isa ordenan?is d:l r«-c:to. misión no tiene inconveniente en qus s: diga, •&gt; comandante general El Sr. presidente anunció que mañana sodi-cutina el d.&lt;.'*naea da de artillería &amp;c.y en cuanto á la tercera objeción sobre qus se in la comisión de Hacienda sobra el presupuesto de Mentía , v se crr.ticluye en el estado mayor á los gefes y oficiales de artillería ó…</t>
  </si>
  <si>
    <t>Sr, Et</t>
  </si>
  <si>
    <t>Et Sr</t>
  </si>
  <si>
    <t>…sta que llegase este caso, debian arreglarse aquellas elecciones al gre»e asi. modo con que hasta ahora te habían hecho. La comisión de Poderes habiendo examinado los de los Srei. Don Et Sr. Melendez dijo que hs Cortes no podían resolver este asna* l ilix Várela , D Tomas Jener y D. Leonardo Santos Suarez, diputa to con el acierto que era de desear, i menos que no se presentase el ac dos e’ectos por U isla de Cuba , opinaba que podían aprobarse…</t>
  </si>
  <si>
    <t>Sr, H</t>
  </si>
  <si>
    <t>H Sr</t>
  </si>
  <si>
    <t>…ó parte defensora del tribunal de Guerra y fermedad que padecía D. Manuel de la Bodega le había impedido pres Marina. tar el juramento de estilo, y tomar posesión de su destino de ministro H Sr........ dijo que aquí no habia mas datos que el informe d.’ la de la Gobernación de Ultramar, y respecto i que esta detención po comisión; y nombrándose otra, acaso adqu.r r:a algunos conocimientos dría ser muy perjudicial al bien del Estado, había tenido a b…</t>
  </si>
  <si>
    <t>Sr, Luis María Ciatué del</t>
  </si>
  <si>
    <t>Luis María Ciatué del Sr</t>
  </si>
  <si>
    <t>…el reglamento propuesto por el Gobierno. de Sevilla, y comandante de infantería. Se aprobó el dictamen de la comisión de Hacienda tabre la adición Huesca (ligero): para coronel al brigadier D. Luis María Ciatué del Sr. Rojo para que te aclarase si los sueldos de r». abajo estaban barón de la Mrnglana, coronel de infantería y del batallen de la mili comprendidos en las rebajas anteriores á la adoptada por las Cortes; cia activa de Soria. opinando la com sk»n que no había ne…</t>
  </si>
  <si>
    <t>Sr, Manuel ValEl</t>
  </si>
  <si>
    <t>Manuel ValEl Sr</t>
  </si>
  <si>
    <t>…bia enten que la muerte de Ca imano no podía haber llegado a noticia de los tíre der , y ha prescindido de todo lo demas. te res de partido de Sevilla, debía entrar á reemplazarle D. Manuel ValEl Sr. Seo.ine: No es extraño ni culpable el que los tesoreros hayan cárcel, pui.cn :o asimismo que para la resolución de este asunto se tu incurrido en esta falta , pues estaban escudados con una Real orden viese píeseme lo acordado por las Coi tes con motivo de h…</t>
  </si>
  <si>
    <t>Sres</t>
  </si>
  <si>
    <t>…motivo se prendieron varios sugetos, á los cuales Hemos visto por una parte que se han hecho varias preguntas á los se les estaba formando causa: en esta atención preguntó al Sr. ministro Sres. secretarios del Despacho, que han contestado á ellas para mí al ele Gracia y Justicia el estado de dichas causas , y si eran motivadas menos de un modo mas ó menos satisfactorio. He visto asimismo que por orden del Gobierno ó á petición de particulares. la a…</t>
  </si>
  <si>
    <t>Sres, Ber</t>
  </si>
  <si>
    <t>Ber Sres</t>
  </si>
  <si>
    <t>…do, D. Joaquín Ceva!los,D. Gonzalo Cárdenas , marques de tes D. Cárlos y D. Francisco de Paula, y resolver que se retiren los Cusano,D- Josef Larreitepui, D. Antonio María Espejo, D. Ber Sres. J menez y Sedeño á desempeñar sus funciones, por exigirlo asi nardo Asenjo y D. Matías Pinílta. Habida la conferencia , resultó por la economía.” unanimidad haber lugar á la formación de causa. A petición del Sr. Murfi se leyó el art. 184 del reglamento, y e…</t>
  </si>
  <si>
    <t>Sres, Los</t>
  </si>
  <si>
    <t>Los Sres</t>
  </si>
  <si>
    <t>…ltura para que la tenga pre solución ea la gaceta para noticia del público.” sente.” Circular del minijtrrio de Hacienda. La de Hacienda habiendo visto el expediente promovido por Don Los Sres. diputados secretario* de la».Cortes me dicen con fecha da Joaquin Villalba y otros sobre el adeudo de derechos correspondientes ij del corriente lo que sigue: i nn* porción de cacao procedente de Guayaquil, que introdujeron en » En vista de lo expuesto por e…</t>
  </si>
  <si>
    <t>…dzz.= \ D. I) ego Cicoieiicin. s rvirú.i cnvi ir sus apoderados á la m.tma intendencia, donde so les íntC;i. ul.tr drl mmij tirio de Hacienda. ttuira de las criadas ordints. Fiemo Sr. Los Sres. diputados secretarios da la* Cortes con fecha D .que de A modovar del R'o, marques de lot Soidos, marques da &gt;p del mes príximo psado me dicen lo simularte : Clar.lu ite, marques d; Mo: Ura y Olías, conde de Oiopesa, mar •» Las Cortas, habiendo tomado en con…</t>
  </si>
  <si>
    <t>Sres, Romero Al- los</t>
  </si>
  <si>
    <t>Romero Al- los Sres</t>
  </si>
  <si>
    <t>…, no debía caber duda en que el hecho de que te trataba era Cortes, por la cual no se había votado por partes el art. l.°; y el de subversivo, como lo decía 4a comisión. Aunque el Sr. Romero Al- los Sres. Gaseo, Navarro (D. Felipe) y Palarca, contrarios á la apro puente había supuesto que podía llegar d dato en que el Rry se decla bación de los tres primeros artículos. rase imposibilitado; y que esto fuese asi, no era libre cualquier ciuda El Sr. presidente d…</t>
  </si>
  <si>
    <t>Srits, Josef María</t>
  </si>
  <si>
    <t>Josef María Srits</t>
  </si>
  <si>
    <t>…io. Aprobado. quilinos , y no por los duefios de las catas. Se mandó pasar á la comisión de Diputaciones provinciairs una El Sr. Alonso se opuso también al artículo. exposición de D. Josef María Srits, vocal de la diputación provincial El Sr. Sánchez se conformó con lo dispuesto en él, mediante la de S. Sebastian , sobre que te tiat!ad:n 4 aquel punto las autoridades de gran baja ó reducción que se habia hecho en la contribución sobre ca la provincia mient…</t>
  </si>
  <si>
    <t>Srnt</t>
  </si>
  <si>
    <t>…í" tute, D. Andrea Alton, D- Joaquín Ro-z , D. G-spar Aaul.era, Don das aprobadas por las misma* para ocurrir al estado actual de la Na Isidoro de Moyos, D. Josef Anton o Ponzoa y D. Srnt a.o De'cado. ción. (Gaceta del j.) Habida la conferencia, resu uó por unanimidad haber lugar áia for Decreto de la* Cortes en que te comprenden ocho de lu medidas mación de cesuses. aprobadas por las mismas para ocurrir al estado actual de la Nación. ('Gaceta…</t>
  </si>
  <si>
    <t>Sroane</t>
  </si>
  <si>
    <t>…la comisión este artículo no fue su-ánimo dar una ley tan dura podía trasladarle adonde hiciese mas falta. como se supone: según mi mente el artículo quiere decir que esta per El Sr. Sroane apoyó la medida, fundándose en que una gran parta secución contra los pueblos que auxilien á los facciosos, sea por medio de magistrados y jueces tío habían correspondido a los fines de su de procesos militares; y que los que resulten reos sean castigados con…</t>
  </si>
  <si>
    <t>…l Sr. Bu:y de que deben llamarse párrocos y no capellanes, cias necesarias. nada importaba el que fuesen denominado* de una ó de otra manera, S-- leyó la siguiente proposición del Sr. Sroane: siempre que sus oblgac iones estuviesen bien d. talladas. » Pido á las :.ort-s que debiendo ser parte de la organización del El ir. Vareta propuso se hiciese alguna variación en el artículo. egército el orden de asetnsos de los lacu tal.vos que se le &lt;kst.n¿…</t>
  </si>
  <si>
    <t>SS</t>
  </si>
  <si>
    <t>…ital,‘refrendada del escribano cartulario D. Valdnme«Tengo la satisfacción de enunciar á V. E. de Real órden que ro Moraleda, au fecha 7 del corriente, dada á instancia de la Sra. Doña SS. MM. y AA. continúan sin novedad en su importante salud.” María Amalia de Acostz y Obierne, de esta vecindad, actual marquesa de Salas, y poseedora de dos de los mayorargos fundados con aproba Por el ministerio de la Gobernación de la Península ha resuelto ci…</t>
  </si>
  <si>
    <t>Ssavcdn, Juan Josef</t>
  </si>
  <si>
    <t>Juan Josef Ssavcdn</t>
  </si>
  <si>
    <t>…pi yauúo el dictamen de la mayoría de la comisión. primita Eclesiástica. Api' bada ¡se declaro ct. .1 nulo s-añei.ntcuicnts üiscut do, y quedó aprobada Otro sobre la exposición ds D. Juan Josef Ssavcdn para que se le la resol .u. on a la j: mera duda, ¡educida á que en el caso de que un dé la co'acion de una capellanía en que fu: provuto. La comisión opi juez de pr.mera i.ist.uicia haya sido electo diputado, suspendido por naba que deb a accederse á esta so…</t>
  </si>
  <si>
    <t>Ssncnez</t>
  </si>
  <si>
    <t>…que hubieren de subnr lo» nababos. Ei mayor &lt;L- la. bi.yad.i ¡c ingenieros y el gef* de trinchera con sus ayudant.» gu-ai.u a. ir. . .sión del proyecto de ordenanzas militares, el Sr. Ssncnez obturo la pa labra, y dijo: Las Cortes se ocupan casi constantemente en dar a» ejer al parag- que se hub.ere d.ipu.sto. 1cito unas ordenanzas que eslen en armonía con el actual sisf n.s de Art. 39 - -leguira el rssto de la infantería, l' v»ndo i la cib r Gobi…</t>
  </si>
  <si>
    <t>Ssrt</t>
  </si>
  <si>
    <t>…as propiedad-* de los c udadano» , y r p, 1 ¿i do .on la los daños causados por el delito todos ios que la han perpetrad.'; y ** fuerza i los que la; atacan con ella. Pero como ei Sr. Ssrt ifc no se innegable tamb.cn que cuando no sa puede iudagar fijammu qu.cnei ha opufbls) di aitcu.o, hin.» quísolo hj¡ propx.it&gt; aLu:vt r,;.:v &gt; ion los qu* mas inmediatamente le hao caucado, todos manvonauoa- lie*, to in&lt;&gt;i»Mjrt? ¿i CortT'uy o, J&gt;d&gt;r* ^. r: n…</t>
  </si>
  <si>
    <t>St, El'</t>
  </si>
  <si>
    <t>El' St</t>
  </si>
  <si>
    <t>…ueua provincia «I fringido la Constitución, era necesario que precediese el dictamen de indulto que se solicitaba. la comisión de Casos de responsabilidad, que entonces diría cada señor El' St. Oüver dijo qu* el Rey podía indultar con arf-g'o á las le diputado lo que le pareciese ; pero que ahora solo se debía tratar de á yes á los delincuente^; pero que estas no te concedían la facultad de qué comisión había de pasar cata exposición, pues era indu…</t>
  </si>
  <si>
    <t>Sta</t>
  </si>
  <si>
    <t>…lorioso es para ella un hecho semejante! ¡ Y cuán á propósito para del imperio. encender aun en los mas fríos corazones el fuego santo de la libertad Veracruz Octubre 14. El nuevo gobernador Sta. Ana envió comi ue asi los dispone í la piedad y á la práctica de las virtudes! Honor sionados al castillo proponiendo al Sr. Dávila que permitiese entrar en la villa de Dos Barrios, á su ayuntamiento , á su milicia y i su be al puerto los buques de guerra im…</t>
  </si>
  <si>
    <t>Sta, Josef Saenz de</t>
  </si>
  <si>
    <t>Josef Saenz de Sta</t>
  </si>
  <si>
    <t>…s para los oficiales los curas y llos , en la que murió gloriosamente el caballero cadete de la Consti gente que quedaba aquí, y dicen que marcharán hoy todos para S. Juan. tución D. Josef Saenz de Sta. María. ¡ Desgraciado joven ! Al princi Zaragoza 13 de Julio. pio de su carrera militar, tu valor y sus virtudes hacían prometer á la Las noticias que se recibieron aquí del resultado de la audaz em patria los mas importantes servicios. Pesino en cumplimiento…</t>
  </si>
  <si>
    <t>Stbastían</t>
  </si>
  <si>
    <t>…nteriores, y sí solamente que se disponía á salir de aquel b rgani ne*, esli regularmente en las aguas de Cartagena, Vcracruz, puerto el dia 18 de Julio el correo marítimo Infante D. Stbastían. Puerto-Cabello, la Guaira, Curazao &lt;Scc. Se ha observado que esto* Pragun rósele por la Familia Real, y dijo que todos gozaban da la me bu .ues, en lugar ds perseguir i los piratas ó de proteger nu-stro co jor salud (1). Bergantín portugués Pensamiento Veliz…</t>
  </si>
  <si>
    <t>Stc-, Felipe Arco-Agüero</t>
  </si>
  <si>
    <t>Felipe Arco-Agüero Stc-</t>
  </si>
  <si>
    <t>…oluntaría pongan con una igualdad legal, y con arreglo á las facultades que cada local de Badajoz, sobre que se declarase capitán perpetuo de la msnu uno tenga. al malogrado héroe D. Felipe Arco-Agüero Stc-, opinaba que en la» El Gobierno pide que se imponga una contribución, y las Cortea dos banderolas se inscribiese el nombre de D. Felipe Arto-A¿ütn, lo primero qus deben examinar es si esta contribución es necesaria. Su defensor de la libertad, teniéndole por…</t>
  </si>
  <si>
    <t>Stewart</t>
  </si>
  <si>
    <t>…h ha concurri — En el diario de Ñipóles se lee la siguiente orden del ministro da do por el Austria, el Sr. de Tat¡sch&lt;.iF por la Rusia, el Sr Gordon policía general: (en lugar de lord Stewart) por la Gran-Bretafia, Mr. deCaraman por » La frecuencia de cieru especie de delitos, y les contravenciones la Francia, y el principe de Hatxfeld (en lugar d*V general Kruse- que diariamente cometen en esta grande y populosa ciudad algunos marek ) por la Prus…</t>
  </si>
  <si>
    <t>Stewoxt</t>
  </si>
  <si>
    <t>…ico que deja i cada uno vasto campo para formar conjeturas. El 18 de Ju descansando y reponiéndose de topa; nuestras tropas en Aribe y sus lio se despidió del Rey de Inglaterra el lord Stewoxt, embajador ingles contarnos; Juanito con alguna gente bácia Sangüesa, y Balda con Ja cerca de la corte de Austria: á ia audiencia de despedida estuvieron suya pasó por Larrainzar, Zubíri, Eugui con dirección á Irati. ._En Ja tarde del i.' del corriente fne de…</t>
  </si>
  <si>
    <t>Sto</t>
  </si>
  <si>
    <t>…dad un semanario cristiano, político, religio do toda la gente, y se está trabajando en salvar la carga----El místico so y eclesiástico, cuyo autor ha merecido que el limo, y Rmo. Sr. Don Sto. Cristo de ¡a Salud , patrón Antonio Valentín , que salió de G¡Fr. Josef de Jesús Muñoz , obispo electo de esta diócesis, en carta de braltar el dia ij por la mañana con destino á este.puerto y con carga 9 del corriente le haya manifestado haberle leído con t…</t>
  </si>
  <si>
    <t>Stolle, Antonio</t>
  </si>
  <si>
    <t>Antonio Stolle</t>
  </si>
  <si>
    <t>…el temor de núm. &lt;$$: en Santander en la botica de D. Antonio de la'Cuesta y los desastres que comunmente lleva consigo este fenómeno terrible. En Ontafion: en Santiago en casa de D. Antonio Stolle, del comercio, ca la presente erupción la lava se dirigió por terrenos abrasados y ente lle de Preguntoiro. ramente desiertos, de modo que no ha causado perjuicio alguno 4 las Las Noches romanas en el sepulcro de los Escipíones, traducida, propiedades. Parece…</t>
  </si>
  <si>
    <t>Storti, Vicente</t>
  </si>
  <si>
    <t>Vicente Storti</t>
  </si>
  <si>
    <t>…e niente coronel D. Juan Barrera, el capitán de milicianos de Costa Don ra un precepto divino. Sus vicios son por consiguiente tu Dios único, Josef Clarct, y ei teniente piamontés D. Vicente Storti. Har. debido su cuidad, su patria y su Rey. igualmente entrar por la parte de San Girón* D. Lucas Velasco, capi No hay ea un Estado persona alguna que no pueda ser'* útil de uno tán de zapadores, y ayudante de estado mayor ; D. Mariano Foncillas, ú otro modo,…</t>
  </si>
  <si>
    <t>Strang-</t>
  </si>
  <si>
    <t>…ara la evacuación de la Valaquia y Moldavia, y el ha dores de Córdoba que habían salido para B*sa!ú, á fin de que reforza ber resuelto el divan seguir en adelante los consejos del lord Strang- dos con la milicia de Amer, existente en la Barsoca, pudiesen cortar ford y del conde de Lurzow. Sin embargo, como no hay mudanza al la retirada á Misas, ó por lo menos escarmentarle. guna en el ministerio otomano, no parece decisiva la victoria de los Los ha…</t>
  </si>
  <si>
    <t>…uerta ha recibido la nota oficiat que el Sr. embaja» ralla donde te estrellen las maquinación** que contra él intenten loca dar extraordinario de b Gran Bretaña el muy distinguido lord Strang- mente sus enemigos, como ha sucedido á lo* batallona* de la guard.a fibad , nuestro «migo , le ha pasado el 30 de Marzo último acerca de loa Real, y sucederá á cuanto* tengan la misma osadía: asi pues imitemos dos principados; y después de Haber leído la trad…</t>
  </si>
  <si>
    <t>…ro ingles y el reis-eifendi iban tomando cierto nitario debe retirarse enteramente el 15 de este mes, y que ya se nota carácter de descontento, y esto tal vez dará motivo á que el lord Strang- ba en Bayona algún movimiento. NaJa podemos asegurar sobre este ford tome nuevas medidas. Se decia que en la última conferencia que el punto; pero sí que es ya tal el escándalo que ha causado en los pueblos lord tuvo con el favorito del Gran Señor Halcb-Effén…</t>
  </si>
  <si>
    <t>Strangford</t>
  </si>
  <si>
    <t>…Apenas entraron en ellas, cuando se presentó el pueblo en la calle ¿ llenarlos de ultrajes Todo el resto del día las puertas y ventanas de I* Viena t£ de Noviembre. habitación de lord Strangford fueron acribilladas á pistoletazos. En vm&gt; Los progresos de los persas continúan. La mayor parte de !a Arme no envió el Sultán varios oficiales para apaciguar á los alborotado»: nia está ya en su poder, á pesar del Siman de declaración de guerra fe los geníza…</t>
  </si>
  <si>
    <t>…por eldivan; pero hoy suponen que aunque es te no ha aceptado nada, se manifiesta sin embargo meso, hostil, y da LéS.Oti dé I*.. .... y ■ mas favorab.e acogida á las instancias de lord Strangford y del internun Se continuó la discusión sobre si habí* de haber jueces de hecho cio de ri ustna. Mientras que por una parte se sabe con evidencia que en las causas civiles y crimínale»; y después de darse por suficiente la Puerta trata de reunir los dos princ…</t>
  </si>
  <si>
    <t>…sponsabilidad, 7 ra. Sabíase en dicha capital por cartas de Constantinopla, que la esposa estando d-p'vtala ia del poder judicial en el supremo tribunal de jus del ministro ingles lord Strangford habla sido brutalmente mal tataticia era imposible que hubiese dos. da por un turco; pero que á poco tiempo de haber sido preso, se le in El Sr. Lino Coutinho oponiéndose al preopinante comparó lo que dultó por hallarse demente, y en virtud de un versículo de…</t>
  </si>
  <si>
    <t>…allaba elementos pira suscitarla , sino que salió de loe lími d g del corriente: tes de tu territorio, moviendo disturbios en toda* partea» 7 sumiendo a* n A fine* de Febrero tuvo lord Strangford une conferencia con la miseria á nuestros desgraciados subditos, prendas confiadas á nuestro et reis-effendi, 7 le persuadió i que admitiese sin modificación al cuidado por el Juez Supremo 7 Todopoderoso. A uno* despojó de su* guna ti ultimátum de la Rusia, p…</t>
  </si>
  <si>
    <t>…una des sigu ent. s , tan expuestas i dudas como tolo lo que sobre el parti provincia sabré ia que tenia Portugal tcr.: -s derechos fundados en r-ucular se publica. » Dicen que el lord Strangford lia .logrado al fin t idos, v desamparar á lo, pa blas que con la mayor confianza s* ha inclina* :i la Puerta á ceder en algunos puntos 1 cosa q ; el conde d« bían e.hido en su, brae ,-s ; y conc.uyó ni discurso diciendo, qu; en Liitei w no pulo ¡amas consegu…</t>
  </si>
  <si>
    <t>…partido de Berga ; para lo cual enviaban ceñios habla de algunas ventajas del momento que ha conseguido el partido amenazadores á los alcaldes constitucionales de los pueblos. del lord Strangford; peto esto no son mas que intrigas del serrallo. Se -* Ooitdo 14 dt Junio. Pronostica sin embargo que proato habrá otras novedades, que regular Los milicianos nacionales voluntarios de esta ciudad han puVcamente serán muy importantes. do y dirigido á sus comp…</t>
  </si>
  <si>
    <t>…e «on sus ramas la saperficia zarse. Es probable qu: se apoyen en los buenos resultados que ba con oel globo. Dio* c* el autor, su palabra la iey, y el coraron y discemiseguido y* lord Strangford, y en los que aun espera conseguir. pirsto 4(1 hombre &gt;u fuerza «resistible. La conjuración de que se tra Para la inteligencia da esto.debe saberse que en e) serrallo Jiay dos ta a la dd bien contra al mal j todo el mundo te conmueve cuando partidos muy marca…</t>
  </si>
  <si>
    <t>…enes públicos para aprovecharse de Stewart á Viena- el duque de Wellington asistirá también ai Congre eilos, no» han obligado 4 tomarlas medidas mas activas y eficaces, las so; el lord Strangford y el Sr. de Lutzow concurrirán igualmente, co cuales servirán como de complemento á los reglamento# de pol.ca que mo también los píen potenciarlos extraordinarios de Francia y de In hemos presentado i S. M. glaterra , y el Sr. de B rnstoiff, ministro de Estad…</t>
  </si>
  <si>
    <t>…tinopla para pasar al lugar de su residencia, y se es embajador de Inglaterra cerca de la Puerta otomana, nuestro dis pira que llegara á Jassi de un día á otro. tinguidísimo amigo lord Strangford, manifestó que animada de los de Todos saben que el v/age de un nuevo príncipe que sale de Cons- seo» que ha tenido en todos tiempos de conservar la paz y una sincera tantinopla para Jassi es por lo general una especie de caravana. Se dice amistad con la Rusi…</t>
  </si>
  <si>
    <t>…............ .................. *,500 Turquía. Continúan los turcos burlándote de los diplomáticos cris Al préstamo de 100 millones por tianos. Ante* de salir de Constantinopla el lord Strangford sufrió nue intereses........................................ 114,400 vos desaires, y el diván no usa muchos cumplimientos: sus respuestas Al nacional de 341.88.9 r». por son tan secas y negativas, que rayan casi en desprecio. Aseguran que capital y réditos— ~…</t>
  </si>
  <si>
    <t>…ento constitucional de la ciu cho ningún caso de tales amenazas. U tintamente al partir de Constan dad de Toledo el expediente general para proceder al repartimiento ds tinopla el lord Strangford , sin poder conseguir d:1 divan la menor es las tierras de propios con arreglo al decreto de las Cortes de 29 de Ju peranza de inclinar á la Turquía á alguna condescendencia , le decia el nio de este año de 1822 ; y siendo indispensable antes de verificar el…</t>
  </si>
  <si>
    <t>…drid, por que ya iban marchando desde la Bcaarabia hacia la Tesalia... Antes de todas partes se hallan algunas personas empeñada, en alucinar y &gt;-r ca partir de Constatitinopia el lord Strangford tuvo vivas contestaciones ñar par este med.o. S: no hay noticias, las inventa:» s-gun Us place: con el reis-.ft'nndi, con motivo de dos barcos ingleses que habían pa si las hay contrarias á sus p.rversos designios, las comentan a su a ói- decido vejaciones de…</t>
  </si>
  <si>
    <t>Strangforo</t>
  </si>
  <si>
    <t>…lia, xarot, el pueblo lo* insultó groseramente, y san se dispararon alguno* es muy probable que si no se retiran pronto sea aquel país su sepultura. pistoletazos contra la casa de lord Strangforo. Se dice qoe el Sultán ha Si los españole* consiguieron con esta gueria de partidas inutiliza;, procurado inútilmente hacer que cesen estos desórdenes, y que los gey aun destruir las falanges del mejor egéreito que han visto los tiempos nízaros han echado mil…</t>
  </si>
  <si>
    <t>Strangfort</t>
  </si>
  <si>
    <t>…edio que los 30 hombres que hemos di cementerio. Ha sido tan rápida esta catástrofe, que según opinión de cho de caballería hicieron una salida; y habiéndose adelantado un muchos, lord Strangfort ha instado al Sultán para que tetminese este poco mas de lo regular , entraron en la cerca de una casa de campo asunto antes de la apertura del Congreso. para descansar. En esta posición te hallaban cortados sin saberlo por Los griegos que se hallan aquí cons…</t>
  </si>
  <si>
    <t>Strar.KÍord</t>
  </si>
  <si>
    <t>…25 del mismo no había respondido aun rl rcis-ifEmcií á la ro ce preientes actua'mente los muchos met vos que ha tenido para con ta de los ministros mediadores- hn las visitas que lord Strar.KÍord hab a ducirse de rste modo, ¿será posib’e, considerándolo todo at-ntamente, heclto al gran visir y al reis-eflendi trato de persuadirles á que accedie que su amistosa petición de un corto término, para llevar á efecto la sen al uUinatwn ; pero le responda* ei…</t>
  </si>
  <si>
    <t>Stratigford</t>
  </si>
  <si>
    <t>…iembre. Esta capital es teatro de los desórdenes mas horrorosos. Se ra se fiaI para vengar de un modo terrible la suerte de sus infelices her gún se afirma por cartas auténticas , lord Stratigford y el conde Lutzovr, manos de religión, que tan oprimidos se hallan; pero la vista perspi internuncio de Austria, hablaron al reis-efifsndi para determinarle á caz del Emperador ve con anticipación la carnicería horrorosa que aceptar el ultimátum de la Rusia.…</t>
  </si>
  <si>
    <t>Strauch</t>
  </si>
  <si>
    <t>…eda Idem ¿. contar con una fuerte división que contrareste á los malvados. A las siete y media de esta tarde ha sido con i-acido á esta el obispo Barcelona £ de Noviembre. de Vich Sr. Strauch con otros varios sugetos. M entras el poder judi Nurstros periódicos publican las siguieutes noticias: cial no declare la causa de su pri.ion en las cr ticas circunstancias del Esta noche se ha tomado una providencia que indica cuín terrible día, nada diremos…</t>
  </si>
  <si>
    <t>Strauch, Raimundo</t>
  </si>
  <si>
    <t>Raimundo Strauch</t>
  </si>
  <si>
    <t>…ión de línea que ocupaban y por haber sobre cado con al secretario entiéndase qu* ** habla dei obispo de V ich ven d&lt;&gt; la noche. Es digno de atención que entre sus muertos de caba D. Raimundo Strauch y tu secretario. Dicho coronel no fue tampoco llería se encontró uu extrangero y otro con armas y uniforme de guar el da Zamora tino «1 de Zaragoza__Fo la misma , col. 14 , lía. 15, dias de Corps. donde dio* Dia 10... , debe »:r i'y, tegua lo publica el perió…</t>
  </si>
  <si>
    <t>Strengford</t>
  </si>
  <si>
    <t>…nada contra él. Los castigos que hoy se im extraordinario de le corte de Inglaterra cerca de la Puerta otomana, ponen solo alcanzan á los que rebelándose abiertamente, rehúsan la lord Strengford, nuestro amigo, ha dado á tu intérprete, cuyas notas amnistía; pero es sabido que continúan siendo protegidos los que no presentada* de antemano, y ahora por última vez á la Puerta, han con han levantado el estandarte de la rebelión; luego que esta cese cesar…</t>
  </si>
  <si>
    <t>Strogo-</t>
  </si>
  <si>
    <t>…tas los bienes y vidas de sus súbditos; y nuestro ministerio hijos. Sin embargo no creeremos qua á la Rusia la contenga en un romha recibido demasiado buenos informes por mano del ministro Strogo- p miento con la Turquía el temor del resultado de sus armas en aque »off para no considerar una guerra con la Turquía , en las actuales cir lla parta de Europa. Si la Rusia y demas potencias continúan sofriendo cunstancias, con toda la atención que se merece…</t>
  </si>
  <si>
    <t>StrogonofT</t>
  </si>
  <si>
    <t>…tos, ya para tomar qu: pudiera contribuir á creer que abandonaba los principios expresados víveres , ya para implorar protección contra los piratas &amp;c., seria cas en las notas del Sr. StrogonofT. Para la renovación de sus relaciones con tigar con unos derechos adicionales unos actos de necesidad que la hu la Turquía exige: i.° Que la Puerta realice seriamente las disposiciones manidad reclama. Asi pues, no debiéndose considerar que toca en un favorab…</t>
  </si>
  <si>
    <t>Strsnqford</t>
  </si>
  <si>
    <t>…de un sa na para la misma época poco mas ó menos.” queo general en caso de que la Rusia declare la guerra. &gt;e asegura que Una carta particular de Vieua de 30 de Marzo dice asi .el lord Strsnqford tiene noticias positivas de que la escuadra rusa de Ni- •» El Sr. de Tatischef, sobre quien tiene puesta toda su atención el colaiexv •-»«» comp'etsmente equipada, y que si se desechase el tdtima- púb.ico de nuestra capital, se detendrá algunos días mas, y se…</t>
  </si>
  <si>
    <t>Strttltma, Miguel Tor</t>
  </si>
  <si>
    <t>Miguel Tor Strttltma</t>
  </si>
  <si>
    <t>…dn toda aquella ve _E1 Sr. gefe polltien da asta peorincia ba racibido dal da Hmaead is victoria de **§f*f» tigllMSIt: la dala • Este tarde ba'entrado aqui el infatigable patriota D. Miguel Tor Strttltma i« dt Nt/timirt. re* áe Sdanot, trayendo prisioneros 11 facciosos, qno se custodian en Ñamo» periMicoi pallte m Mpiau i este fuerte, entre ello* su eabsdlkCeterile, á quienes cogió , sis pér Ondra gaartjl dd ii da Weviambc» do i8ts.dida ninguna en Akubiert» y…</t>
  </si>
  <si>
    <t>Su, Miguel de</t>
  </si>
  <si>
    <t>Miguel de Su</t>
  </si>
  <si>
    <t>…ión parece oponerte, y sepa también que no ha sido otro que el choque de los partidos de la corte de nuestros antiguos Reyes. - Habiéndose denunciado al Sr. alcalde constitucional D. Miguel de Su objeto es verdad, ha silo el de atajar la prodigalidad de algunos da Nájen, por el Sr. fiscal de imprenta el papel titulado: Letanía consti dichos Reyes; pero han sido dictad» por los mismos que querían ob tucional, en concepto «le subversivo y sedicioso, te…</t>
  </si>
  <si>
    <t>Su.-ra</t>
  </si>
  <si>
    <t>…aibitrio no siendo repugnante á los pueblos, como acostumbrados á prácticas y rutinas del régimen antiguo. lo aseguraba la diputación provincial. Quedo aprobado después de una El Sr. Su.-ra expuso todos los trámites que habia llevado este asun ligera d'scusion. to, y ias razones en que se había fundado la comisión, manifestando La misma, en vista de la solicitud del ayuntamiento de Herrera del últimamente que la prefeiencia que esta establecía á…</t>
  </si>
  <si>
    <t>Suai.mPor, Simón</t>
  </si>
  <si>
    <t>Simón Suai.mPor</t>
  </si>
  <si>
    <t>…e(37 de la colección) de las Martin.=Porr,el primer batallón de voluntarios por la compañía de Décadas de medicina y cirugía prácticas, el cual contiene: t.° La pri granaderos: el teniente Simón Suai.mPor la 1.* compañía de fusileros: mera parte de una interesante memoria sobre las neuralgias. a.° Un n teniente Gaspar Dotres.sPor la 2.* compañía Josef María Cala- método antivenéreo del doctor Hufeland, médico del Rey de Prusia, y bu¡g=Por la 3/ compañía Ramón…</t>
  </si>
  <si>
    <t>Suar, Jo.ef</t>
  </si>
  <si>
    <t>Jo.ef Suar</t>
  </si>
  <si>
    <t>…roceso se cargaron al denunciador. J). Bunifac o -Vmori'is y Orozco ; pura el d: Omafia , en la prov ncia ds Señores que compusieron el juradoi D. Juar de Valle; D. Jaime L on , í D. Jo.ef Suar z Cu-nilas , y para el de L unes, en la de Astu Bmaña; D. Ramón Díaz de Ortegaí D- Josef Mortero de Vizodit; rias, a D. Gonzalo Valdet Posada. D. Fe ix Illas; D. Francisco Soler; D. Ma.ln Coro mi ñas: D. Francis co Subirachs; D. Salvador Manzanares; ü. Agustí…</t>
  </si>
  <si>
    <t>Suarez, Gregorio Santos</t>
  </si>
  <si>
    <t>Gregorio Santos Suarez</t>
  </si>
  <si>
    <t>…taros del Asia, los anglo co Brirgas , por Nueva-Segovia, de la misma; D. Félix Varela , Don americanos y las tribus de indios gentiles de nuestra vasta frontera, se Tomas Jcncr y D. Gregorio Santos Suarez, diputados electos por la preparan a invadir el terrirorio mexicano.” En sevuida expuso que ó provincia d: la Havana. eran ciertas las especies referidas, y entonces no había poder humano En seguida se procedió á nombrar la comisión de cinco individuoa en el…</t>
  </si>
  <si>
    <t>Suarez, Juan</t>
  </si>
  <si>
    <t>Juan Suarez</t>
  </si>
  <si>
    <t>…mbre de 1571 : otro de id., en cabizadel mismo Garci Suarez da Comandancia general del 8.° distrito militar. = Excmo. Sr.= » Por Carvajal y los sucesores en el mayorazgo que fundó D. Juan Suarez noticias que tuvo el comandante de una partida situada en Chelva , de de Carvajal, obispo qua fue de Lugo, de 489 mrt., fecha 8 de Junio que una horda de facciosos como de 30 á 40, dirigida por el tintorero de lóió : otro dichas alcabalas de Talavera, en cabe…</t>
  </si>
  <si>
    <t>Suarez, Leonardo Santos</t>
  </si>
  <si>
    <t>Leonardo Santos Suarez</t>
  </si>
  <si>
    <t>…ra te habían hecho. La comisión de Poderes habiendo examinado los de los Srei. Don Et Sr. Melendez dijo que hs Cortes no podían resolver este asna* l ilix Várela , D Tomas Jener y D. Leonardo Santos Suarez, diputa to con el acierto que era de desear, i menos que no se presentase el ac dos e’ectos por U isla de Cuba , opinaba que podían aprobarse sin per ta de elección, lo cual se previene en la ley fundamental: que adema* juicio d- qir; después se examinasen la…</t>
  </si>
  <si>
    <t>Suarez, Santos</t>
  </si>
  <si>
    <t>Santos Suarez</t>
  </si>
  <si>
    <t>…buques menores que para los mayotes, porque en be mandó pasar i la comisión de Marina la siguiente ad cien d-1 nuestros arsenales se pueden construir mejor buques nienotes que ma Sr. Santos Suarez al art cu'o 4.' del d:cttmen de la m s-tj : Y o yores, por la facilidad de adquirir las maderas y todo lo necesario para que s: añadan al final de este ártico.o la; siguientes pal.L-r: - . V el equipo de ellos en poco tiempo. raudo el (¡oliemo que se remitan…</t>
  </si>
  <si>
    <t>Suasuabal, Félix</t>
  </si>
  <si>
    <t>Félix Suasuabal</t>
  </si>
  <si>
    <t>…itán da la presencia de los valientes ¡nilicianos. la Reina D. Fenx Miranda con el desta amento de su cuerpo, pase fi Chillan* 34 de Agosto. Alcalá de losGazules; el da S. Marcial D. Félix Suasuabal con el suyo Vada hemos omitido por festejar en cuanto hemos podido á la y el de la Princesa queden en Algar, ocupando uno y otro los puntoa co’umna de la mi’icia de esta provincia. Con la mas cordial amistad que crean convenientes, con presencia de las notici…</t>
  </si>
  <si>
    <t>Subricr, Juan Manuel</t>
  </si>
  <si>
    <t>Juan Manuel Subricr</t>
  </si>
  <si>
    <t>…e se pierde diariamente al dar cuenta de los de Vilbifuettes, que lo es de la'de Guipúzcoa: para ja de He.¡va expedientes para que pasea á las comisiones; y no habiendo artículo á D. Juan Manuel Subricr para la de Logroño a D. Manuel San alguno de la Constitución que diga que las Cortes deben hacerlo por sí tiago Calderón y Fonlecha . para la de Huesca á D. Jase: Cantolla, mirillas, pido se sirvan habilitar á la mesa o á una comisión para que auditor de guer…</t>
  </si>
  <si>
    <t>Sucarana, Josef</t>
  </si>
  <si>
    <t>Josef Sucarana</t>
  </si>
  <si>
    <t>…o* citados too® reales. Y no Gitpcrt, D. Pío Guas, D. Manuel Heredia , D. Felipe Goyos, Don hab endose personado el interesado con el fin de hacer la entrega, ni Juan Manuel Lnrr, D. Josef Sucarana, D. Josef Morales, D. Ma hecho otra gestión, é ignorándose su residencia, se le avisa por medio nuel Melero , D. Josef Perez, D. Antonio Pereira, D. Antonio Por de ote periódico con el mismo objeto, en el concepto de que por la ta, D. Vicente Ramón, D. Manuel…</t>
  </si>
  <si>
    <t>Suchet</t>
  </si>
  <si>
    <t>…de cia , en donde se les hizo prisioneros de guerra. Ai tiempo de la ren ración Se empicaban igo9 toneladas de embarcación para América, dición de aquella plaza, cuando la tomó el mariscal Suchet se encon sin contar con el cabotage, y *5 á 33!} marineros. traba el uno en ella, y el otro enfermo «n el hospital militar de S. Fe Desde aquella época ha padecido la Nación española pérdidas de lipe de Játiva; y no habiendo regresado con los demas prisionero…</t>
  </si>
  <si>
    <t>…te reemplaza el mariscal Soult: al siguiente día es el nombrado el El Sr. l.tur z mmifastó la necesidad qie habia de que *e resolviese general Bclliard; al otro día ya debe ser el mariscal Suchet ; al quinto este &gt;-xídient ■, qu.* ya estaba sobre U mesa, cuauto antes fuese posible; día ninguno de estos generales mandará, sino un alto personage &amp;c. &amp;c. á 'oqu* contestó el Sr. presidente que es o no p*nd&gt;a precisamente de i Qué puedecre rse de todo esto…</t>
  </si>
  <si>
    <t>Sueldos</t>
  </si>
  <si>
    <t>….. 775 eu puntual cumplimiento.” RdO|CrOts*«,t**s*«e* ****•*••» 150 Juicio de Jurados. Tabernas.......................... i)6 5 0 • D. Manuel Sainz Gómez del Campo denunció al Sr. alcalde Don Sueldos de empleados en las- oficinas det Ramón Casellae un artículo firmado por D. Joan Gallego, é inserto en Exento, ayuntamiento constitucional. el Universal núm. ai ó, como injurioso á su persona en valias expre Secretaría, archivo, le siones. trados consistorial…</t>
  </si>
  <si>
    <t>Sufra</t>
  </si>
  <si>
    <t>…dían tomarse lue nor , y precediendo el recurso de habilitación, como una consecuencia go por empresa. de aquel, no había lugar i la declaración que solicitaba esta interesada. El Sr. Sufra como de la comisión manifestó que esta habia fundado Después de haber hecho varias observaciones el Sr. Becerra contra su dictamen en el convencimiento que tenia de que el ínteres personal el dictamen, y contestado el Sr. Homero como de la comisión, quedó era…</t>
  </si>
  <si>
    <t>…irá únicamente para envolver npecias! Al fin ai en «te tria bía dado al Sr. Vallejo, lo cual se verificó. do se aumentase solo el capital de los empresarios, y la inmansa deuda El Sr. Sufra: De acuerdo con las doctrinas que ha tentado el sefior fuese por cuenta da .'tos, convendría con ¿I hasta cierto punto; pero Soria no puedo menos de contradecir algunos principios que se han reunir en una misma deuda una porción de inscripción» de otra natu t…</t>
  </si>
  <si>
    <t>Suira</t>
  </si>
  <si>
    <t>…ar por los premios y ascensos ;i que se podían hacer bución de patentes, y poderla cobrar con mas igualdad. acreedoras en &gt;u misma carrera; siendo asi qu: ¡os ind virluos de la El Sr. Suira contestó que no solo había que atender á la clasifica milicia local no teman en este concept • mas que d,b res con que cum ción de ao9 almas , sino a la circunstancia expresada en lo aproba plir, y sin n n/un derecho á premos ó rrcomp’tins jamas saltan de do…</t>
  </si>
  <si>
    <t>Sun</t>
  </si>
  <si>
    <t>El Sr. Sun* alhdió que fuete con urgencia. A»i te acordó. Se leyó ana proposición de los Sre;. Canga y Musfi, relativa-i quv El Sr- presidente nombró á los Srea. Castejon, Navarro Tejeiro, las Cortes declarasen si los diputados de.las provincias de Ultramar que Grases.…</t>
  </si>
  <si>
    <t>Suna</t>
  </si>
  <si>
    <t>…o que la cantidad de que te trata debe abonarse por el im dinario* que exigen las circunstancia* actuales. previsto , porque no corresponde a otro fondo. No se diga que este im El Sr. Suna: A pesar de que está estampada mi firma en este dic previsto ea aereo, porque solo estamos en el primer trimestre de este tamen , yo no la he puesto. ( El Sr. Ferrer advirtió que esto seria por ■fio, y no puede saberse tu resultado. una equivocación.) De ning…</t>
  </si>
  <si>
    <t>Sur</t>
  </si>
  <si>
    <t>…ninguna injusticia, s.no autorizar competentemen das por la misma. Como esta noticia ha podido cundir en otras pro te al Gobierno para que pueda transigir con eiios. lia dicho el Sr. Sur vincias por los mismos siniestros medios de que se baya valido el in ra que tienen que retener estos para el fondo de amortización dos mi fame autor, dicha diputación se ha creído obligada á desmentirla á la llones de Junio, dos de Agosto y dos ds Setiembre;…</t>
  </si>
  <si>
    <t>…iente so trata se aplique con preferencia á los establecimientos científicos ó li bre ellos. terarios; debiendo antes de proceder las Cortes á la derogación de este A p tlcion del Sr. Sur» se leyó el presupuesto de gastos para el a£o derecho, tomar providencia» para que te atienda á los gastos de cstoa económico d: 8aa en la parte relativa á instrucción pública. establecimientos, ya sea por la dirección de estudios, ó por el ministe El Sr. Gen…</t>
  </si>
  <si>
    <t>Sure, Juan Bautista</t>
  </si>
  <si>
    <t>Juan Bautista Sure</t>
  </si>
  <si>
    <t>…. dalo con su gente 4 un falucho pescador, que los condujo é «te puer El Sr. Pereira do Carmo pronunció un largo discurso, manifestan to- La polacra española las Almas, su espitan D. Juan Bautista Sure do cuan delicado era el hablar en el Congreso, y soltar especie* j ste , que salió de este puerto para ¡a Corufia cargada de vino el 6 del proposiciones como lu que se habían oido, porque lu palabra» desme pasado, fue apresada á distancia da cinco leguas al 5…</t>
  </si>
  <si>
    <t>Surra</t>
  </si>
  <si>
    <t>…va ción de un ciudadano de Zaragoza respecto de las elecciones de los di rios artículos d* la Constitución. putados i Cortes por Aragón ; piro que no se habia hecho mérito por El Sr. Surra se ouuso a. dictamen déla comisión, y manifestó entre haberse remitido 4 la comisión en el día de ayer. otras cosas que la junta preparatoria solo debía examinar los poderes, y El Sr. presidente dijo que pasado mañana ae celebraría la cuarta jus que mas adela…</t>
  </si>
  <si>
    <t>…Gobier ramo se ve que el presupuesto asciende á 8fíi millones , y asimismo no, sino la de un part cuiar. que lo que se podrí pazar son 66g m.’l.ones , que es lo que producirán El Sr. Surra dqo que el señor ministro no respondería de las opi las rentas; y en este supuesto se hace también ía cnum ración del valor niones, pero sí de los hechos, porque el Gobierno debía dar datos, y de estas rentas. El déficit es de 197' mil ones ; y si e: Gobierno…</t>
  </si>
  <si>
    <t>…ea: Jamas creería que se pusiera al Congreso nacional en termina el reglamento, se prorogó esta por una mas. el de decidir una cuestión metafísica; y asi es que si se adopta re El Sr. Surra manifestó que por las observaciones que te hahiau he ír- rr ii 'o, nada ad-Untaremos, Se dice que la Constitución no habla cho parecía imp tibie el poder determinar el asunto en cue»t&lt;on. Si d- ministros n&gt; d- Gobierno, y qua por lo mismo los secretarios actú…</t>
  </si>
  <si>
    <t>…contra suya, pues que ningún Sr. diputado estaba encargado d rectamen y prosperidad de aquel ia provincia.” te de examinarlo. Por otra parte el dictamm sobro el expediente que Del Sr. Surra: » Atendiendo a los gravísimos perjuicios que se si ahora acaba de leerse hace ocho meses que se extendió; y asi co-r.o gnen de no hallarse aun fijada definitivamente la car.t'dar a qu: ascien otros muchos de esta naturaleza versa sobre materias de política e…</t>
  </si>
  <si>
    <t>…que contra el autor de un papel impreso en la ciudad de Cartagena, que una comisión del Crédito público. con otros á que se refiere habia sido denunciado por el Sr. intendenta El Sr. Surra expuso que respecto del Crédito público debia haber general de marina de aquel departamento. una comisión especial que entendiese en los infinitos negocios de este ANUNCIOS. establecimiento; y que no estando determinado en el art. 85 del regla- Viage literari…</t>
  </si>
  <si>
    <t>…de aquellos acerca de los dá¡ Sr. D. Manuel Valcarcel , suplente por la provincia que tienen causa pendiente. de Sevilla , á causa del fallecimiento de D Ar gel Caamaño: ’ ta coEl Sr. Surra, como de la comisión contestó: aqui se trata de la ren misiones opinaban que en atención al espíritu del art 90 de Ja t.oj „t dición de cuentas, no de clasificación de personas: si entre los funcio tucion, y haber fallecido dicho Sr Caainaño ur.trs de haber s…</t>
  </si>
  <si>
    <t>…nde patriotismo de cu Real capilla; y habiéndose instruido el competente expediente, se hi este pueblo. mandado á instancia del fiscal de dicha Hacienda pública, fijar los edic El Sr. Surra manifestó que el ayuntamiento de Madrid no habia po tos prevenidos por la instrucción del ramo d« mostrencos. En su con dido hacer esta obra, no tolo por la falta de caudales, sino también por secuencia, por el presente se cita, llama y emplaza á todas las pe…</t>
  </si>
  <si>
    <t>…después de Un Sr. diputado pidió que se expresase con su nombre y apellido cubrirlos con aquellos impuestos que parezcan menos gravosos. el sugeto de quien se hacia referencia. El Sr. Surra : Se dice que no se pueden fi jar los datos por donde se ha £1 Sr. secretario del Despacho de Estado dijo que aunque respe* de calcular la riqueza pública; pero la comisión entiende que si no se taba mucho la opinión del Sr. preopinante, le parecía sin embarg…</t>
  </si>
  <si>
    <t>…trata tiende tículo i.° ( Véaje la ¿aceta He ayer.) directamente á eso, creo que las Cortes deben aprobarla. El Sr. Romero manifestó que la distribución de las existencias por El Sr. Surra: Todo el mundo conoce muy bien cuál es el estado el método que habia indicado el Sr. Setos en la sesión de ayer no sa actual de nuestra marina, y nadie dudará que es preciso buscar un re podía admitir , y que en su concepto el mejor medio que se podía adop so…</t>
  </si>
  <si>
    <t>…dad de la Nación para soste ñoles), dicen que calculando con bastante solidez podemos pagar h-sner la t- ta 800 millonea. Esta aserción parece que ataca los principios de la co El Sr. Surra contestó que la comisión no se había propuesto pre misión hasta un punto del cual puede desentenderse. Pero cortrayéndosentar un estado de sueldos fijos, sino solamente una ¡ sea!a de impo me á lo que ha manifestado el Sr. Prado, diré que los individuos de la…</t>
  </si>
  <si>
    <t>…las Cortes , y dijo que esta mecida deb a ser general, ni exceptuarles de sufrir ¡a r baja correspce ü-ntJ. incluyendo en ella toca clase de sueldos, pens.ones y demas; y la co El Sr. Surra contestó que esto, nd:v:du-&gt; tcnun que &gt;ubv-r.ir j infi misión del Gobierno es la que ha hecho esta excepción respecto de los nitos gasto» por ta cías - que pertr.n c un y por la cates : 1 de ’.os sueldos de los secretarios del Despacho, loscuales tamb&lt;m los…</t>
  </si>
  <si>
    <t>…un valor mucho mat considerable para adquirir cualesquiera dó aprobado el d ctamen de la comisión. otros géneros. be leyó la otra parte del dictamen de la misma , que dice asi El Sr. Surra sostuvo él dictamen de esta, manifestando entre otras Hasta aquí ha satisfecho la comisión 1 lo» pumos que el o.DIttcosas que los grandes sueldo* eran muy pocos respecto de lot medianos no pr. lenta i ¡a deliberación del Congreso; pero no creería completar y…</t>
  </si>
  <si>
    <t>…er si ae nota una dift ri noa de 6y69 rs. en el segundo presupuesto resp vio Ks r, bijas son i) tío fundadas del primero; y esta* dos diferencias componen ya una baja di 1.827J Ei Sr. Surra hizo varias observaciones acerca de lo que acababa di realts. Esto es lo que aparece; peto realmente no es asi, como voy á exponer el Sr. secretario del Despacho de Estado, mar..testando que la derruí- tiar. comisión estaba conforme con las Ideas del Gcb-emo…</t>
  </si>
  <si>
    <t>…e discute fue de opinión quedebia mo soy ds opinión que no debe haber lugar á deliberar sobre este punto. dificarse, diciéndose que se autoriza al Gobierno, á fin de que admita El Sr. Surra: Yo no he hablado mas que del costo de este resguardo, la» contratas en la parte prtiiia pata establecer inmediatamente el res ElSr. Ferrer: Algunos opinan por el sistema de proh.bicion , y ciu* guardo marítimo, pues en cadi costa se necesitan diversa clase d…</t>
  </si>
  <si>
    <t>…Acevedo , opinaba que atendiendo á los El Sr. Meló: Estoy muy conforme en que se apruebe la proposición mé tos de este heroico individúo , como á las circunstancias que en él del Sr. Surra, porque estoy muy interesado en qua se atienda con bre se reunieron de ser el principal caudillo en la insurrección patriótica vedad á un asunto de tanta consideración. Solo he‘pedido la palabra de Galicia, y el mas acérrimo defensor de la Constitución, lleva…</t>
  </si>
  <si>
    <t>mi» idus del Sr. Surra bago cita ligera observación para contestar i nuestras relaciona con el Gobierno francés ■ o pueden »rr mrjores , ,\ ¡0 lo que ha manifestado el Sr. Sal vi, y para que vean las Corúa el esta- veo que ritas partidas de facciosos se aument an , que tienen »u a-…</t>
  </si>
  <si>
    <t>…r muchos votos particulares; el uno de los Sres. Feries y Ovalle, el otro del se— diis: yo sé lo que son impresiones, porque ent« de ser empleado he flor Isturiz, y el tercero del Sr. Surra. Se acordó que se imprimiese el sido por mi desgracia ó por mi fortuna escritor público, y sé lo que dictamen da la mayoría con los votos particu ares y demas documentos. cunta «to. Se trata pues de que se instruyan los Sres. diputados de este El Sr. secretar…</t>
  </si>
  <si>
    <t>…esta son reputados por la Constitución como españoles. íntegras en el diario de las misma». \n se acordó. El Sr. Brida se opuso á que se dijese en el artículo ¡¡ue n» estén ca El Sr. Surra presentó una exposición de la segunda compañía del sados , por cuanto podría llegar el caso en que fuese necesario echar primer bita!Ion de la milicia nacional voluntaria de esta corte , y djo mano de los casados sin hijos. que*no podía menos de mmifeslar á l…</t>
  </si>
  <si>
    <t>…s para que se pause al Gobierno la instancia de tratantes , y que de lodo e lo se dé noticia á las Ccrt.s.” D Juan Joscf Fraile , sobre que se le admita en dpsisilo la mitad de El Sr. Surra hizo varias reflexiones contra esta proposición. un crédito que tiene contra el Estado paia poder obtener Ir revalida de El Sr. Romero d jo qu: la comisión d.bia haber fijado su atención cirujano, á lo que se habla rehusado la junta del proio-medicaio. princi…</t>
  </si>
  <si>
    <t>…o , . no es una vmiaja haber absueito a la Nación de la obligación de palabra para ilustrar ¡a discusión. reintegrar estos capitales con solo la obligación de pagar los réditos Ei Sr. Surra: Antes de entrar en la cuestión séime lícito hacer una anuaici! ; No es e&gt;ta una vrnttja considerable para una Nación sin re breve reseña sobre los empre,titos El origen de estos prov ea: d- no cursos en c.rcunstancias en que todavía no puede establecer sus c…</t>
  </si>
  <si>
    <t>…e* guna manera debe ser un obstácu.o para su reconocimiento. suvo ! Seguramente que no: el Gobierno al contrario tiene ya resuel L&gt;. 1 mismo modo que yo lo he hacho ha d.v dido el Sr. Surra la to no aprovecharte en ningún tómpo ni en ningunas circunstancias, cuestión en dos partes, a saber, la nul dad &lt;• legitimidad del contrato, por apuradas que sean , de ese dinero. y su conveniencia ó desventaja; pero nada ha dicho sobre la pr mera Ha dicto t…</t>
  </si>
  <si>
    <t>…n.” Aprobado. calde, Taboada , Llorent: y Nufiez Falcon para que se declare á Va Se puto á discutios el roto particular de los Sres. Atrarez, Rojo go puerto de depósito : otra del Sr. Surra para que se haga igual decla y Ojero, que decía ati t ración en favor de Tarragona otras dos del Sr. Eacovedo á los arta. 9 Aunque suscribimos gustosos al precedente reglamento, no podemos y 10 de cate reglamento; y otra del Sr. Afonzo pera que se declara ■en…</t>
  </si>
  <si>
    <t>…por tan srs, puerto que rst"s no pueden entrar sino como pasta: en el día no to que aprobaba el dictamen. pue.'er. cir.u sr nndios luises, ni aun luís:*- Pueden muy bien hacer El Sr. Surra manifestó que el modo de continuar las obras púb'i- se fai» fi.acii'i es; p ro esto mismo puede suceder respecto de las cli cas de que se trataba podía ser objeto de un convenio particular dei Go ma n-.. n:,Jas españolas, y siempre será una contravención á la…</t>
  </si>
  <si>
    <t>…por bueno que fuete no podría interesados que dirían - el papel me vale algo, pero las promesas nada.** contrariar las intenciones de loa faccioso* sin echar mano de la fuerza El Sr. Surra hizo algunas observaciones sobre este artículo, mani armada. Que los facciosos de Catalufla ni te exterminarán ai se destruí- festando que era muy dificil resolver esta cuestión,' porque realmente fin nunca, mientras no haya una división ó egército formal que…</t>
  </si>
  <si>
    <t>…seque es una verdad incontestable que Gippini no estuvo mas asi pues apruebo el dictamen de la comisión. que en calidad de detenido ( y que de consiguiente la queja de este in El Sr. Surra dijo que el alcalde constitucional habia obrado como teresado sobre infracción de varios artículos de la Constitución no ea tal, y no como un esbirro. fundada. Como la comisión se contrae solo al a87 y al decreto de ti Se declaró este asunto suficientemente d…</t>
  </si>
  <si>
    <t>…ninguno otro réditos se pagasen con puntualidad, no se lograría acreditar el papel con mejore* esperanzas. mientras no se corrigiesen los vicios radicales del establecimiento. El Sr. Surra: Ha dicho el Sr. Argttellea que por desgracia desde Ei Sr. secretario de Hacienda dijo: Los objetos principales que de que las Cortes extraordinarias de Cádiz principiaron á tratar del Crédi ben proponerse en un proyecto de arreglo del establecimiento del Cré…</t>
  </si>
  <si>
    <t>…depósito. Quedó aprobado el dictamen de la comisión. puestos de gastos, pues parecía contra el orden natural de la» c-eas el Las mismas comilones, en vista de una proposición del Sr. Surra que se tratase de las contribuciones sin saberse antes a cu;nt'-&gt; isc-nd 11 para que se d -clarase puerto de depósito al de Tarragona , opinaban lo» gastos que con squellas te habían de cubrir. Otros señores in».»t.eque no había motivo para variar su anterior…</t>
  </si>
  <si>
    <t>…ue necesariamente ba de resultar se ha de llenar coa otra cía contribución los absorveria todos, y «I resultado seria siempre la rui se de contribuciones. na del contribuyente. El Sr. Surra sostuvo con varias observaciones el articulo de la co El Sr. secretario de Hacienda: De dos clases son loe argumentos que misión en la parte relativa á la contribución directa jr á ia de consumos, se han hecho; los unos contra la naturaleza de la contribución…</t>
  </si>
  <si>
    <t>…ignada Mol'no de aceite, por cada v ga ó prensa 100 rs. por cada burro 14 rs., y tolo 3 por cada mu!a de cabaña. Quedó aprobada con una modificación drl Sr. Paterna para que no El Sr. Surra contestó que las cabañas de muías no estaban en con ae comprendan en ella los molinos particulares, como son los de tos tinuo servicio como los burros, sino que solo hacían viage* durante el cortijos. tiempo de los pastos. Quinta especie. be declaró el punto…</t>
  </si>
  <si>
    <t>…plateros, diamantistas, lapidario* , abri El Sr. Melc dc; hizo varias obs’rvacion-s, á las qu; contesté el llantadores, esmaltistas, y demás artífices que trabajan en piedras o me Sr. Surra; y habiéndose d-córa do el punto suficientemente d-sculid-^ tale* finos, con tienda ó sin ella, con tal que no vendan mas que lo quedó aprobada 'sta parte del dictamen de la comis.on en los lérm.no» que fabriquen ó arreglen, pues si no fuese fabricado ó arreg…</t>
  </si>
  <si>
    <t>…er que deberian recargarse mas tanto las patentes.” Aprobado. casas de juego como los mesones, posadas y demas. Art. 2.a » Se formarán gremios de cada clase con el único objeto El Sr. Surra contestó que era preciso tener presente en cuanto á la de repartir y cobrar la contribución de patentes.” Aprobado. primera observación del Sr. preopinante las quiebras que tenían los due Art. 3ó’ n Se deja en libertad á cada gremio para designar la paten ños…</t>
  </si>
  <si>
    <t>…osiciones hechss antes del indicado decreto. Aprobado. partido quedasen incomunicados por razón de contagio. Aprobado. Se continuó la discusiou sebre el plan de contribuciones. El Sr. Surra leyó un dictamen de las comisiones reunidas de Ha Tabacos. cienda y Crédito público sobre los medios para dar impulso al crédito Art. t.° » Desde t.° de Julio det corriente afio de 1811 hasta el nacional. dia 30 de Junio de 1813 se hará exclusivamente de cuen…</t>
  </si>
  <si>
    <t>…clases pueda cil el contrabando, según había acreditado la experiencia, no obstante tener aprovechamiento para tripas ó picado 1. Por la de tabaco picado, la rezón expuesta por el Sr. Surra. Concluyó diciendo que no debía pa suelto ó en cigarrillos de papel , siendo de buena calidad, id. Por ia de sar la fanega de 10 i 1 a rs. tabaco inútil que deba quemarse de todas las clases referidas 17 ñus. El Sr. Canga dijo que hallándose presente el cr. s…</t>
  </si>
  <si>
    <t>…que s- rebátase de .os mismos arance nómica administración de esta renta dei Estado en su fabrica, siptidi- les , ya fuese ura quinta ó una i rta parre. cion y uso.” Aprobado. El Sr. Surra : Las aduanas s empre s- i.sn cons-dera^o como u-a ren Letras de cambio. ta, V no bajo el punto de vista qu *e d be: pu-s sor. en r a i1 *: ana Aunque el importe del sello solo ha sido de 119,074 rs. en seis esprc.r a.- medio de fomento, par» ver en que .nado…</t>
  </si>
  <si>
    <t>…ue este se aprobase; antes por el contrario, lo que este cuesta 4 por 100, y el extrangero 5 por 100: el extranjero no apoyaba, y que en tu día contestaría á laa observaciones del Sr. Surra. cuesta de comisión sino el 4 por 100 sobre parte del empréstito, no so El Sr. Ferrer (D. Joaquín&gt;dijo: Yo me quejo de la comisión y bre el todo , y el nacional sobre el todo; por consiguiente lejos de ser del Sr. secretario de Hacienda, por haber comparado c…</t>
  </si>
  <si>
    <t>…y, la en mi opinión el Rey constitucional no debe tiner mas guardia Real fuerza que se propone ts suficiente. que la de todos los individuos d-t egército, asi como sucede en Ho El Sr. Surra se opuso a: dietzm-n manifestando qae no podia con landa. Asi pues no soto el egército , sino lodos los ciudadanos españo venir en que la guardia Real formase un cuerpo separarlo del egército; y les somos guardia Real, y asi. lo deben declarar las Cortes, y o…</t>
  </si>
  <si>
    <t>…nza que se tiene en el , ni que luya deiado tema const tucional , y abrir las fuentes de ¡a riqueza páo.sca. de trabajar cuanto ha podido para acordar las modificaciones nm con K1 Sr. Surra rectifico algunos hechos. venientes i ia Nac.on con esos negociadores , que por su posic.on ven K1 Sr. lst uní: Cutndo ia* borres ac^rdarcr* sin rfsolrft rada trhr® tajosa han querido dar la ley a la Nación. Cuando se Lato de este la tproHacioft ó desaprobaci…</t>
  </si>
  <si>
    <t>…ue se ptoponin en este edición, no debía del Crédito público que debis reemplazar al Sr. Isturiz. En primer es adoptarte. crutinio tuvo j8 votos el Sr. Valdés (D. Dionisio), 63 el Sr. Surra, Los Sres. Casas y Lodaret presentaban voto particular sobre esta a el Sr. Lasala, y uno cada uno de loa Sres. Ruiz de la Vega, Oliver adición , opinando en él que debía admitirte, y en su consecuencia y Scptien. Total 126. No habiendo reunido ninguno de dich…</t>
  </si>
  <si>
    <t>…manteniéndose con loe producto* Las comisione* primera de Hicienda y Marina reunidas, informan de le» demás. do sobe: la» proposiciones hechas por D. V.cente Le.i.ai de LA, opi El Sr. Surra, en apoyo del dictamen de la comisión, dijo que es naban que se debía abrir en ei gran libro de la deu la un crid.to de go ta había propuesto se concediese lo que pedia el Gobierno i Jo qual era miilonc» de rs. á favor de! ministerio de Marina con -apresa apl…</t>
  </si>
  <si>
    <t>…to do vincias: la de repartimiento de terrenos baldíos: la de la contribución tos Sres. Abreu y Zulueta. sobre la renta de la sal: la del decreto c necmiente á las provid ncias El Sr. Surra apoyó lo dicho por el Sr. Roset, afiadiendo que en para asegurar la tranquilidad interior del reino: la del medio de su Europa no se conocían real y verdaderamente mas puertos francos que plir el Jéjicit que resu te para cubrir las cargas del Estado: la de rr…</t>
  </si>
  <si>
    <t>fes militare* can arreglo i las circunstancias, gravedad y trascendencia nor ále presentar á las Cortea he J»*cho presentólo que acaba de tn..¡vde la culpa. Testar el Sr. Surra. Cons-ig» cute á rtlo he propuesro como ontr bocicn Octava. El Gobierno podrí suspender í propuesta de los gefes po que debe imponerse para cubrir la cantidad que he creído nrcr-jrii líticos á lot ayuntamiento* , reemplazándolos coa individuos que hu para ate…</t>
  </si>
  <si>
    <t>…ados y á las poblaciones pequeñas, porque en proyecto de decreto , que por separado presenta la comisión." ellas tienen los religiosos mucho» mas medios de hac-r mal , y las au El Sr. Surra dijo que esta medida no se podía votar, pues que se toridades mucho» mno» de impedir este m*l. No sucede esto u timo referie á un proyecto de decreto que no se habí* puesto aun en discu en las poblaciones grandes; en ella», aunque existan conventos, las au si…</t>
  </si>
  <si>
    <t>…laa rarían sumas de consideración, y de lo contrafio lo que sucede es que cortas sumas qu: les pertenecen. estos carruages ocupan una maestranza, y cuando no son necesarios sa E: Sr. Surra preguntó si el Gobierno tenia existencias de grano* necesitarían todos los almacenes de la Nación para guardarlos. con las cuales pudiese proveer de víveres alguna* plazas. El Sr. Grases manifestó que era absolutamente indispensable la El Sr. secretario de Ha…</t>
  </si>
  <si>
    <t>…o opinó debía aprobarse do la palabra para rectificar una suposición falsa, y en ia cual se fun el articulo. dan los señores de la comisión para no conceder la suma qu* pide el El Sr. Surra: La construcción de canales et una de las cosas que Gobierno. ni¡s deben llamar la atención de las CorLs , porque en E&gt;pióa se pier Creen los señores de la comisión que tiene el ministerio i su dispo den muchas cosechas por falta de salida. sición 13 millones…</t>
  </si>
  <si>
    <t>…ón. El Sr. Roset: La comisión no ha podido decir otra cosa en su dic _-Congreso de Verana. El 19 de Octubre no habia comenzado. Se tamen sino que se justifique la propiedad; si el Sr. Surra se sirviese in señalaba el día ic para su apertura. El 18 aun estaba el duque de dicar otro ni. dio, la comisión desde luego lo adoptaría. VVeilington en Venecia. Se decía que en Verona se preparaba aloja El Sr. Istunz i La comisión ha reconocido la necesidad…</t>
  </si>
  <si>
    <t>Surrá</t>
  </si>
  <si>
    <t>…erno acerca del verdadero déficit que hay que Cubrir, y por 1* 160.933,32a rs. y 11 ñus., y no en la cantidad que lo calcula la co mismo no puede aprobarte el dictamen. misión. El Sr. Surrá: Estas cuestiones ton tanto mas difíciles cuanto que gi El Sr. Muro ¡ Deseo saber la fecha del oficio del S«. intendente de ran sobre números , sobre cantidades, y algunas veces sobre cálculos. Tarragona que ha citado el Sr. secretario de Hacienda. El déficit…</t>
  </si>
  <si>
    <t>…e asunto, la cual eta de 19 de Junio tiva 56 señores, y por la negativa $7, se procedió á nuevo recuento, de este año. y te declaró haber lugar á vetar por 59 votos contra $7. El .Sr. Surra pidió que se leyese el final del ioforme de la comisión Habiendo pedido algunos señores diputados que se contase nueva de Hacienda de la legislatura anterior. mente, por haber entrado en el Congreso algún br. diputado, se con El Sr. Arguelles : Por mas protes…</t>
  </si>
  <si>
    <t>Surri</t>
  </si>
  <si>
    <t>…a comisión de «te ramo, la m.sma res.-ciu del presupuesto extrsordinas o ; y de aqui cace ia leído antes. confusión, ¡si .as Corte» se cqu.vocaron en el presupuesto anterior ds El Sr. Surri: No puedo menos da oponerme á «te dictamen , por la fuerza nava , á a legislatura ordinaria es a la que corresponde mo que los subsidios y medios que adoptan las Cortes para casos extraor dificarlo; y as Cort.s extra ud.aar.as d.ben ceñirse solamente 2 esta d…</t>
  </si>
  <si>
    <t>Surta</t>
  </si>
  <si>
    <t>…sto en prác de cada ministerio, quedando reducida* al número de empleados nece tica en el actual sistema. sario* para el detempefio de su* encargos; y de ios individuos resumes El Sr. Surta contestó que la palabra líquidos ara tanto ma* ne da aquellas oficinas generales te destinarán los precisos á las pagadurías cesaria en-este artículo, cuanto era la base fundamental del artícu é intervenciones de las secretarías del Despacho." Aprobado. lo an…</t>
  </si>
  <si>
    <t>…sión estará pronta á presentar to las órdenes oportuna, pata el electo das las noticias que puedan producir este resultado; sin embargo de que Se leyó la siguiente proposición del Sr. Surta: en mi concepto las circunstancial en que se* encuentro aquella provin » Pido i las Coites que atendiendo al estado actual de Catalufia se cia reclaman una medida pronta, cual et la de enviar tropa, adoptando ■irvan nombrar u a cctmsion espfcia , puraque reun…</t>
  </si>
  <si>
    <t>…ongo a la medida que *4 española, ultrajado en el sentido del Sr. secretar.o de Estado por los ex» discute. trangeros. Cuando tomé ayer la palabra sobre este asunto, uno de los El Sr. Surta manifestó que miraba la cuestión bajo distinto pun objetos que me propuse eu mi discurso fue pr.chámente este. 11; pasa to de vista que los Sres. de la comisión de Ascienda , esta es, no por do una parte de mi vida en las América*: he visto pot mi d.sgiacia n…</t>
  </si>
  <si>
    <t>…e en el arancel general, algunos de ios cuales La comisión manifestaba no poder conformarte con la adición del eran nuevos, y se habían presentado nuevamente en las aduana-, opina Sr. Surta para qu: s: subsanasen de algún modo los perjuicios sufridos ba que d ba quedar pendiente este asuuto hasta la proxiiua legislatu por los pr meros tenientes; pero que el Gobierno cuidaría de verificar ra. Aprobado. de algún modo el deseo de este Sr. diputado.…</t>
  </si>
  <si>
    <t>Surz, N.</t>
  </si>
  <si>
    <t>N. Surz</t>
  </si>
  <si>
    <t>…entó en vano sobornarle con ¡a oferta de unas cuantas onzas los crímenes contra Dios y c ntra los hombres. de cío-, y el llamado D. N. Estrella cogió asimismo al teniente coro nel D. N. Surz, que venia en las filas enemigas. Om&lt;to la relación de Madrid M ercóles 17 dt Julio, otros mas prisioneros de la clase de tropa, como asimismo la captura SS- MM. y AA- continúan sin novedad en su importante talud. de muchos fusdt-s y mochilas. Yo quisiera, Kx…</t>
  </si>
  <si>
    <t>Sut</t>
  </si>
  <si>
    <t>taldo, D. Sut‘19) Catrera, D. Salvador Campo* y D. Juta Pifitir». grande, recibid el beso de amor, el abrazo de grat:tud y los traspor Tmintes. D. FiaQciscéPArazonéi, D." Anrel del Ostillo, Don tes de admiración que os ofrece el ayuntamiento de la Coruña r esta Francisco J…</t>
  </si>
  <si>
    <t>Sutri</t>
  </si>
  <si>
    <t>…cap. 21 del tit. 8.l’de las ordenanzas mil.tares,hecha por los seño la aesion del i.° de este mes. res Zuiueta é Isturiz , rc'ativa á que lo dispui sto en est ■ artículo no se El Sr. Sutri: El Sr. Canga ha manifestado ya suficientemente cuan entendiese con r.sp-cio a. caso de presentarse ceica de una p aza marí tas razones ha tenido la comisión para reducir los pedidos d-i ministe tima buques de guerra qu. no fuesen sufr i óles para bloquearla,…</t>
  </si>
  <si>
    <t>Suttá</t>
  </si>
  <si>
    <t>…s conduc'rá i c.ts- s..‘.'.p.-: c o r loque le pareciese , i fin de que estas resolviesen l.&gt; mas coor mente. dos i todas las vicisitudes d: Ir* tremo,-: , y a Trc • fe. . r: 1-1« Sr. Suttá manifestó que de ningún medo poda conformarse con lluevo, si fuere neccs-1.0, que sincere : .11, e-pañol ; ui- . qu: si metiese su proyecto ediciona! al informe del G’*!»erno , pues eeotiri en verse abatido por H política «st ' , r o cu. 1 : ■ o ira esto ser.…</t>
  </si>
  <si>
    <t>Suvedra</t>
  </si>
  <si>
    <t>…tando ni Congreso por laa medidas tomadas para extil» astado de su salud petm ta á V. M. salir de! territorio portugu s, ce par los males de la Nación, cuya exposición presentó el Sr. Suvedra, sando desde hoy el goc* de lot derechos da V. M., de qu. se halla pri ’ otra, que presentó el Sr. GomezfD. Manual), en la cual felicitaba i vada por no habar querido adherirte a! pacto social. Dios yuaide á Ías Cortes por tu instalación y sus disposiciones l…</t>
  </si>
  <si>
    <t>Suzzo</t>
  </si>
  <si>
    <t>…o las armas en Valaquia y Moldavia, y que después se han refugiado __La próxima legislatura será una de las mas interesantes que de mo á territorio ruso Pide ademas la persona del príncipe Suzzo y las de chos años á esta parte ha habido en Inglaterra. En primer logar se tra todos los que han auxiliado á Alejandro Ipsilanti en sus empresas, y tam tará de la reposición de Sir Roberto Willson, y después de la causa de bién pon* mil dificultades para la…</t>
  </si>
  <si>
    <t>…se le puede echar en cara que se ha equivocado, j reducida á que la Leída y aprobada el acu de la anterior , se mandaron repartir va Puerta renuncia interinamente á la entrega del príncipe Suzzo y al cas rios egemplares de circulares remitidas por el ministerio de Hacienda, tigo de los demas «efe* (que no están en su poder ), y que evacuará relativas á decretos de las Cortes. con gusto la Moldavia y U Valaquia , si se le aseguran aquella* pro Se proc…</t>
  </si>
  <si>
    <t>…al i la ta. No se sabe aun el efecto que ha producido la nota del reis-effendi, de la formación del departamento de Hacienda, el secretario da á menos que no sea la separación del príncipe Suzzo de las fronteras de dicho ramo presenta respetuosamente el sígueme informe: Turquía. Esta es sin duda una nueva prueba que el Emperador Alejan dro quiere dar á los turcos para hacerles ver que no tiene intención de i.° De lat rentar. fomentar la revolución de…</t>
  </si>
  <si>
    <t>…os de 117, recayendo los res mado con dirección á Liorna, donde debe hallar al príncipe Karadscha tantes entre los Sres. Gómez Becerra, Villanueva, Marchámalo, Gon y á su yerno el príncipe Suzzo, antiguo hospodar de Moldavia, cuyo zález Alonso y Soria. regreso i la Motea de vuelta de Rusia se espera con la mayor impa Lo fue después el Sr. Florez Calderón, por 85 votos de 113, re ciencia. partiéndose los restantes entre los Sres. Gómez Becerra, Marchá…</t>
  </si>
  <si>
    <t>…e á lo» hetiiriitu reunidos en Besarabia *e le» na enriado bería decirse, porque seria poner trabas á les futuras Cortes cuando á lo interior de la Rusia después de la partida del príncipe Suzzo, y ^uisieern bacer alguna alteración en ello, paralas «cris preciso recurrir actualmente se bailan acantonados á la orilla izquierda del Niester. Fita • lacortfc de-Roma. providencia hizo at principio mucha sensación; pero luego que se tu Vario*bres. diputado…</t>
  </si>
  <si>
    <t>Suzzoi</t>
  </si>
  <si>
    <t>…todo lo mas que críen es que la ¡mera ce ha consideración mas. juj^enai io. La infantería se está diariamente recargando de gefes, pues que — La lUiit dejó en libertad al hospodar príncipe Suzzoi d Austria le vienen militares de América en gran número, y todos el o, no re ha detenido en su viage á Pisa, y le ha señalado a ojamiento en la fluyen sobre otra arma qua sobre ia infantería Tienen derecho lam íoita cza de Oratz, aunque no sea á gusto suyo. R…</t>
  </si>
  <si>
    <t>Swsh</t>
  </si>
  <si>
    <t>ailiratt idicHW &lt;M Sr. Swsh» al art. te tes palabra» «nfrucrite* de te vi|te te Terra»», «o la provincia de Gaulufi-, túrne o satrasimio «ÍW reiné , líiditi í íest nlj i ISIS rrc i tiioit." el honor de dirigir á las superiores japnot de V. E la aejtmta expedi N) m aprobj li tijuitnu pop…</t>
  </si>
  <si>
    <t>T, Diego Fernandez</t>
  </si>
  <si>
    <t>Diego Fernandez T</t>
  </si>
  <si>
    <t>…adrid. de ijoD , en cabeza de la misma Doña María , situado en alcabalas de Aproas til flato benéfico dt la libertad extendió sus alas sobre Toledo; otro de 349,600 , en cab;za de D. Diego Fernandez T.noco, nosotros aparecieron an e&gt;u capital la gran empresa de seguros gene situado eu papel ttLado de Córdoba: otro da 51$ , en cabeza de Don rales de Francia, jotras dos nuevas, aunqu: con distintas bates, ofre Diego Carrillo, situado en seivicio y montazgo: o…</t>
  </si>
  <si>
    <t>T, Felpe</t>
  </si>
  <si>
    <t>Felpe T</t>
  </si>
  <si>
    <t>…ale una co sado en mi alma las odiosas imputaciones del preopinante. (Vivos mur lumna de infantetía y cabal'¿ría de Alcañ.z, al mando del teniente co mullos i la izquierda.) ronel D. Felpe T»U&gt;*aiia, »obre Rambla, que se ha Isba en Vade ro ( \ la derecha, sí, sí, odiosas!__ A la izquierda: odiosas para bles. iambíen yo emprendo esta madrugada ur. movimiento. vosotros qu: aborrecéis la verdad!) •• Dios guarde á V. .1. muchos arios. Cuspe 30 dejuii…</t>
  </si>
  <si>
    <t>T, Josaf</t>
  </si>
  <si>
    <t>Josaf T</t>
  </si>
  <si>
    <t>ICO* aider, D. Fflticisco Octavio de Toledo, D. Josaf T.sjarin, D Anto objeto de los sumarios es y debe ser la averiguación de la verdad , ave nio Narciso Sánchez, D. Juan de Soto, D. Jo».f ^rron i¡fD, Josef riguada que sea plenamente por la comprobaciou del cuerpo del delito Jiménez, calificaron con la nota de inj…</t>
  </si>
  <si>
    <t>T, Santiago Jrsrf</t>
  </si>
  <si>
    <t>Santiago Jrsrf T</t>
  </si>
  <si>
    <t>…las ron nombrado* proa ella D- Josef M ría Vadillo, D. h.b.srian Alearmas el segundo'y tercer batallón de la milicia nacional voluntaria. jindro P.’ñasco, D. Fiancisco Iribarren, D. Santiago Jrsrf T rri, Don U no de los alcaldes pisó al curttei de dicha milicia con el fin de aren Pablo Matheu , D. Alrj.indro B.'u.cia y !•&gt;. Joaqu.n de Erras. Entera gar á los voluntarios qu; se reuniesen , inspirándoles ideas de orden y dos de esta disposición los bát ilí…</t>
  </si>
  <si>
    <t>T-buenta</t>
  </si>
  <si>
    <t>…i8aa._El marques de Castciidosnus. Total............... • 35-185 » Se.’un parte del comandante general del 6." distrito, una corta fueizi de ia columna de tropas á las órdenes del coronel T-buenta, fal Número suficiente para evitar la introducción de un contagio que ta de noticias, ha sido atacada por considcraL-e número de facciosos, BO existe; pero que no basta para impedir que los facciosos entren y sal* qu: se presume trataban de penetrar á Navarra…</t>
  </si>
  <si>
    <t>T-ieiro, Navairo</t>
  </si>
  <si>
    <t>Navairo T-ieiro</t>
  </si>
  <si>
    <t>…por Id» secretes que tal vez podrían publicarse sm inconvrnierr-. francamente en est* particular. Bu especia de fanatismo con que ee ha Después «le haber apoyado la preposición ei Sr. Navairo T-ieiro, querido mirar en hrancia por las personas públicas no totola Consti tt suspendió esta discusión , y se continuó ia del dicia.-n n de !¿ comi tución española , sino sus principios , ha coatribuido i que ae involucre sión de Casos de responsabilidad acerca de…</t>
  </si>
  <si>
    <t>Ta</t>
  </si>
  <si>
    <t>…ercer secretario el Sr. Salvé por 74 votosds 1 29, servicio; lo que de hecho no producirá mas aumento á la fuerza mili recayendo los restantes, 14 en favor del Sr. Sánchez, 27 del Sr. Ta tar existente que de 159 hombres en toda la Francia. boada, uno del Sr. Navarro Tejeiro, uno del Sr. Calderón, uno del Sr. Tomas, y otro del Sr. Alcántara. Se han recibido periódicos extrangeros , cuya* mas interesantes no Quedó elegido cuarto secretario el S…</t>
  </si>
  <si>
    <t>…na de Alemania comunican las noticia» «guíente»: cas voces que se oigan salir de vuestros Lbics , y las sola» imágenes „ Se da por muy cierto que el verdadero objeto del viage del Sr. Ta* que halaguen á vuestro corazón. tischeffá Viena e* el saber cual seria la determinación y partido que to » A ello os obliga la inmaculada religión que profesáis, religión aran» este Gobierno en caso de guerra ; pero parece que te abstiene de divina que jamas…</t>
  </si>
  <si>
    <t>Ta, Juan Antono</t>
  </si>
  <si>
    <t>Juan Antono Ta</t>
  </si>
  <si>
    <t>…ap- Prsionercs: oficiales 11, tropa 53. lotal. Oficiales 18: tropa 101. merosa gavilla, que ademas de hacer no fuego horroroso, pretend a con Wota. . Vi-mas ha sido prisionero el coronel D. Juan Antono Ta su caballería ponerse á la retaguardia por el costado derecho , sin des buenca , y sufrido la misma suerte y herido gravemente el gefe de la atender el izquierdo que cubrían una infinidad de guerrillas. Las a’turas plana mayor D. Lúeas de Velasco; habiéndose…</t>
  </si>
  <si>
    <t>Tab-rrní, Josef</t>
  </si>
  <si>
    <t>Josef Tab-rrní</t>
  </si>
  <si>
    <t>…as tropa- nacionales sea P. Cirios Carafell de 5. Felipe Ne.-i, prepósito—D. J OS.f ClUll'li, saquea ;o, quemado y arrasado, á cuyo efecto di orden al comandante coronel retirado__D. Josef Tab-rrní, teniente coronel del primer re- laili, y aun que me av.»a»e para (tasar yo personalmente á presenciar imiento de artillería—D. Ventura Mena, mayor de la plaza.__D .n la ly ueon, osmo en este momento que acaba de regresar dicho cu f rancisco Cemprodon, de la…</t>
  </si>
  <si>
    <t>Tabares, Manuel de</t>
  </si>
  <si>
    <t>Manuel de Tabares</t>
  </si>
  <si>
    <t>…en nn mismo campo al intervenciones de efectos cúretelos vacantes, á ios sugetos siguientes: triunfo no bien conocido del gran dia 7 de Julio de &lt;8aa, mayor aun Madrid interventor D. Manuel de Tabares, director interino de que el famoso y terrible Dos de Mayo. indirecta-, de la misma provincia. * Madrileños: vuestro valor y virtud exceden i cuantas alabanzas Villafrtnca administrador D. Ramón A'onso N« riega , adminis puedan prodigarse: lo* mayores héroes…</t>
  </si>
  <si>
    <t>Tabarie</t>
  </si>
  <si>
    <t>…anceses. columnas del actual ministerio , y se dice que va i ser nombrado direc Si á tales escritores moviera la buena fe, ao publicaran ——i—f— tor general de correo» y postas. El vizconde Tabarie, que estaba en la imposturas; y si couciliaran la franqueza con la buena fe, publicarían secretaría de la Guerra en tiempo del duque de Peltre, va i ser colocado también loa párrafos de periódicos franceses y belgas, en que se des en el mismo empleo. Se anunc…</t>
  </si>
  <si>
    <t>Tabarrs, Jonf</t>
  </si>
  <si>
    <t>Jonf Tabarrs</t>
  </si>
  <si>
    <t>…a, capiun de Gactta.') caballería retirado en la A.’mun.a, D. Anselmo Ibañcz, mil.c aro vo El ministro del Interior respondió á todos los puntos expuestos por luntario de Bfagos y D. Jonf Tabarrs, vecino de esta villa, que con el general Scbastiani, y particularmente al de España , diciendo que ni el mayor entusiasmo se presentaron con sus caballos y armas. L&gt;;spuc» á un solo español se había recibido en Francia sin haber dejado antea de algunas horas…</t>
  </si>
  <si>
    <t>Taboa-</t>
  </si>
  <si>
    <t>…da lo fue el Sr. Seoane por 70 votos, teniendo 8 el se cado este punto como corresponde, porque nadie puede prescindir de ñor Villaboa , 4 el Sr. Marchámalo, 6 el Sr. Benito, s el Sr. Taboa- ue el Sr. Escovedo es diputado legítimamente electo, como que en el da, y uno cada uno de los Sres. Becerra, Alava, Manso, Jaime y Buey. 3 ia 3 de Diciembre de 1821 en que fue elegido era ciudadano español Total 95. en el egercicio de sus derechos, y las órde…</t>
  </si>
  <si>
    <t>Taboada</t>
  </si>
  <si>
    <t>…patrióticos. clase de subversivo y se ,cioso. A la comisión de Instrucción pública se pasó una proposición del En su vista se procedió si torteo de los jueces que debían declarar Sr. Taboada, sobre que las Cortes decreten la supresión de la* vacacio ti había ó no tugar a la formación de causa, y salieron los Sres. si nes que con nombre de fiestas hay en la* universidades. guientes : El Sr. presidente agregó ¿ la comisión de Caminos y Canales al s…</t>
  </si>
  <si>
    <t>…Toa gXget, alojamientos y demas. Por estas razones me opongo á que se regimientos de infantería sn clase de supernumerarios.” apruebe en rsta paite el d efamen de fa cr.mision. El Sr. Taboada hizo algunas observaciones contra el primer artícu Ei Sr. Grases manifestó que no tenia luda que ver el que te trata lo; y el Sr. Garoz habló en favor del mismo. se de tomar una medida interina con que la comisión de Hacienda proEl i r. Vega dijo que exigir d…</t>
  </si>
  <si>
    <t>Taboada, Joscf Cagide y</t>
  </si>
  <si>
    <t>Joscf Cagide y Taboada</t>
  </si>
  <si>
    <t>…untamiento aoo. mi jor que lo dice, vuestro gefe y compañero de armas. 13 de Agosto y.° n El que prestare arma* i lo» faccio»os será castigado como tras de 1821.SEI coronel primer comandante Joscf Cagide y Taboada.” dor á Ja patria. 8. J n El faccioso que prenda ó quite la vida á cualquiera de lo» ca Zaragoza i~ Je Agosto. bezas de su cuadrilla se me presentará, y pediré al Gobierno le indul Oficio del Se- comandante Je la columna en pertecucion de facetosot ta de toda…</t>
  </si>
  <si>
    <t>Taboada, Ramón</t>
  </si>
  <si>
    <t>Ramón Taboada</t>
  </si>
  <si>
    <t>…ea (matos aislados, y demasiado distante* míos de otros, no León á D. Josef de Im Cate» y Alcali, id. Han podido aun chocarse; pero desde el momento en que se aumente, Santiago á D. Ramón Taboada , id. te reúna y forme una masa grande y compacta en el país , loa choques Lugo i D. Josef Valcarcel, id. y convulsiones Serán inevitables. El Gobierno federal ó general no tie Valladolid i D. Fetik Blanco y Vitoria ,id. ne fuerza bastante para mevebir y disi…</t>
  </si>
  <si>
    <t>Taboas, Dionisio Rodríguez</t>
  </si>
  <si>
    <t>Dionisio Rodríguez Taboas</t>
  </si>
  <si>
    <t>…tuvo acaso mas parta al temor &lt;]•»» 7 Aparicio 112 rs. 7 7 mrs__La «le D. Ignacio Maurifio 1665 que lajosolencia. ® uniente Laxmann, que había ido anteriormeate l, 7 7 mrs__ La de D. Dionisio Rodríguez Taboas 119a rs. 7 4 mrs. de Kamstchatka, había obtenido un puntúo pera loa tusos de arribar al jXt de D. Pedro Lince de Bcrústegui 1476 rs. 7 4 mrs__ La de Don Jepon^ penque si Gobierno de este país peasó quizá que aquellas gen grano Sano* 1J3 rs. 7 7 mrs—La de D. J…</t>
  </si>
  <si>
    <t>Taboeda</t>
  </si>
  <si>
    <t>…spués de trabajar un año en las minas del azogue.” Aprobado. Se pasó a la comisura de Ai.ucias provinciales una prop sicion da be leyó por primera vez la siguiente proposición del Sr. Taboeda ¡ los Sres. Llórente, K-y , Alca.de , Coi tés, P«draiv«z , Lamas, Henri» Pido á las Cortes se sirvan decretar la supresión de las vacaciones que quec, Pumarejo y romoza, que decu asi: ■» Por el adjunto manifiesto con el nombre de fiestas de consejo y otras se…</t>
  </si>
  <si>
    <t>Tabouda</t>
  </si>
  <si>
    <t>…sión de milicias nacionales, tomando en coas¡deracioa to med latamente , y promuevan su pronta instrucción." dos esto* antecedentes, propusiese un nuevo reglamento, y por consi El Sr. Tabouda dijo: Que tomaba la palabra, no para impugnar es guiente que asta medida te patas* á fe misma comisión. ta medid*, sisi para manifestar que en *1 decreto de 4 d« Mayo da El Sr. Bartolomé hito varias obacrvaginar* sobre 1a a-cetidad da &gt;8at se provee á cnanto…</t>
  </si>
  <si>
    <t>Tabú, Juan Antonio</t>
  </si>
  <si>
    <t>Juan Antonio Tabú</t>
  </si>
  <si>
    <t>…cmo. Sr. comandante general de este segundo distrito militar,’' 150 caballos y 1500 infantes al mando de I&gt;. Manual Garrea la caba Valientes dt la milttia aetha dt Tuy. llería^ de D. Juan Antonio Tabú enea la infantería, dirigiéndose am » La patria os llama para que vuestros robustos y leales brazos des bos , después de la total derrota que sufrió dicho Saiabcrri desde Tílde truyan de una vez los infames designios de los enemigos de nuestra la hasta Carcas…</t>
  </si>
  <si>
    <t>Tabucnca</t>
  </si>
  <si>
    <t>…iosos de Catalu- realizó en el palacio R.aJ. ba, como los de Navarra y país vascongado. • La escasa fuerza del egército permanente pare atender 4 todo* loe Según parte dado por el coronel Tabucnca desde Roncal con fecha puntos necesarios, y el deseo de la milicia de ayudar á tan digno* ciuda del g í media noche, Quitada con 1600 de loa suyos fue alcanzado en danos en la fatiga militar, y de ser participt t de aus glorias, son también dicha villa, i pes…</t>
  </si>
  <si>
    <t>…ecre Aragón.” taría de ia inspección general ? Solución. La compondrán el secretario y Se habían celebrado en Zaragoza unas solemnísimas exequias al demas gefes de ella. malhadado coronel Tabucnca. La urna en que se suponían depositados «5- ¡Quién pondrá las notas i los capitanes, comandantes y ayu los restos del difunto estaba colocada debajo de la lápida de ta Cons dante mayor de los batallones del tren ? Solución. Al ayudante mayor titución , en cuy…</t>
  </si>
  <si>
    <t>Tabucsea</t>
  </si>
  <si>
    <t>…os un espiran, 3 subalternos , un sargento y ¡6 ca ros y cazadores, cargadas por fuerzas tan superiores, tuvieton que reple bos y soldados. garse, apoyándose a las que conducía el coronel Tabucsea, quien ha Asturias. Muertos 1 soldados: heridos 3 cabos y soldados - prisio bía llegado á una ermita y alturas, camino medio entre Tolva y B-na neros un sargento y 4 soldados. ba rre, cuyo costado izquierdo cubría el gefe de la plana mayor Don Jaén. .Muertos…</t>
  </si>
  <si>
    <t>Tabueaca</t>
  </si>
  <si>
    <t>…a , comandante gene dtl 3J.) ral 4el j.° distrito militar desde Vitoria con fecha jo de Julio. Decreto de las Cortes en que se reparten 100 millones de reales ■ Copia del paru del coronel Tabueaca, dirigido al comandante mi sobre consumos. {Gaceta dtl 15.) litar de Pamplona. Resolución de tas Cortes adoptando alguna medidas para poner • Distaron solante: Según manifesté i V. S. esta mañana i mi sali término al contrabando en Im fronteras de Francia. {G…</t>
  </si>
  <si>
    <t>Tabuenca</t>
  </si>
  <si>
    <t>…argentos y 13 cabos y so.dados. ti lzría a la posición de la citada ermita. Los primeros ataques a la ba Ordenes M.l ¡tares. Muertos un subalterno , un sargento y- g ca yoneta del coronel Tabuenca bien pronto cambiaron ei aspecto de bos y soldados: heridos 3 subalternos y 8 cabos y soldados: pr,iuñe la acción, pues atrollados los enemigos hasta sus res.rvai, pagaron con ros 16 cabos y soldados. la pérdida de muchos su temerario arrojo; pero no pudiendo…</t>
  </si>
  <si>
    <t>Tabuenca, Juan Antonio</t>
  </si>
  <si>
    <t>Juan Antonio Tabuenca</t>
  </si>
  <si>
    <t>…litar de esta provincia lo Se proviene i los interesados, qu- di-otro def tírnvro de 1; d ,» acudan á solic'tar la expedición di su» correspondí -t-s t tulrii ru s iiguictde: - El coronel D. Juan Antonio Tabuenca, comandante de la co de !o contrario se da:án por vacante* dichas plazas, f alacio 28 de A^oslumna móvil rn persecución de facciosos, &lt;n f.cha de ayer me da to de 1822. el parte que siguí: La columna de facciosos que ma-¿fe&lt;té i V. S. se TXISCNALPS. dirigía á…</t>
  </si>
  <si>
    <t>…en el modo de abrirso _ Los desagradables rumores esparcidos por esta ciudad sobre el asesi las Cortes- Poco tiempo hace que nos separamos, habiéndonos dicho el nato del valiente coronel D. Juan Antonio Tabuenca, del capitán Rey y los ministros que las Cortes habían autorizado suficientemente al D. Lucas Veiasco y algunos otros o&amp;ciales, que d.-spues de haber dado poder eecut.vo para llevar adelante el progreso del sistema constitu á su patria infinitos días de gloti…</t>
  </si>
  <si>
    <t>Taliniri</t>
  </si>
  <si>
    <t>…iosa la noticia de que contra una partida de qumet te destaca bierno podía abusar de esta facultad, asi como se le acusaba de haber ron qumvntoi hombrea. Decías* en Ñipóles que el cardenal Taliniri* abusado de otras, siendo ato muy perjudicial é la sociedad- Después de Rutto serie nombrado ministro de Hacienda. otras varia observaciones sobre les razona manifestadas por el ¡&gt;r. Ca Franela. Ademes de la conjuración descubierta en Saumnr contra latrava ,…</t>
  </si>
  <si>
    <t>Tamariie, Mariano</t>
  </si>
  <si>
    <t>Mariano Tamariie</t>
  </si>
  <si>
    <t>…-. . i. r tada por Id. Antonio Ignacio Soler, opinando qu: dcb.a archivar&gt;e. ti 9 de Noviembre de ítícu , tespcctivc-s a cu, tales Ce f-r.Jucx ¡ ., r..e Otro sobre la solicitud de D. Mariano Tamariie para que se le recom caducaron. Aprobado. pense cotí aistun premio por tres memorias qt:e tiene presentadas r.lati- 8 ‘ Que el cxujnin de! expediente de la deuda sin i. * re; rr.•*cevas á la agricultura: la comisión derla que por no Oslar unidas al expe dente…</t>
  </si>
  <si>
    <t>Tamas</t>
  </si>
  <si>
    <t>…podría seguir marchando por este camino, y que mudaría de con han podido. ducta. No, no mudaré , y el esperarlo seria un error, poique todas las Mientras esto sucedía, el llamado capitán Tamas de la facción qua cosas deben guardar consecuencia consigo mismas; y pueiso que se tie fue del cura robó también lo* caballo* da las postas de Sarracín, ne ínteres en restablecer al iinpctio del Gobierno absoluto, *1 impe Madrigalcjo y Barbón, desapareciendo…</t>
  </si>
  <si>
    <t>También</t>
  </si>
  <si>
    <t>…ar sición del Sr. Aionzo, para que se suspenda por ahora la provisión del tículo is de ¡a ley de 17 de Abril de 1821. nuevo obispado de S. Cristóbal de la Laguna hasta el arreglo general También se leyó el oficio con que el brigadier D. Josef Manso, que del clero , opinaba que debía aprobarse. Aprobado. habia recibido la representación de Coll, la r.mitia ai gcfc político «le La comisión da Visita del Crédito público, en vista del expediente Barcelon…</t>
  </si>
  <si>
    <t>…t8aa.=sEl capitán comandante Manuel Martínez de Morentin.=M. I. Sr. gefe superior político de esta provincia.” Fn la muy heróíca villa y corte de Madrid , rmnidos los jueces de P. D. También concurrió á la defensa armado de su fusil el pa hecho, calificaron con la formula de absuelto ei art'cu o inserto en el triota O. Pedro Gainza; y me consta que otros varios concurrían, y periódico titulado Imparcial, número 167, que principia: ■» Nos apre tuv…</t>
  </si>
  <si>
    <t>También, Angel Fernandez de</t>
  </si>
  <si>
    <t>Angel Fernandez de También</t>
  </si>
  <si>
    <t>…scutido este artículo , y quedó apro que perteneció al extinguido convento de PP. Agonizantes de la calle de bado por 69 votos contra 34. Atocha de esta corte, por providencia del Sr. D. Angel Fernandez de También quedó aprobado el art. 11, que decía asi: los Ríos, juez en primera instancia de ata M. H. villa, refrendada de Art. 11. «Ningún secretario del Despacho ni otra autoridad dará su escribano del número D. Jacinto Gaona y Locches, se ha mandado curso á las repre…</t>
  </si>
  <si>
    <t>También, Manuel Gatcía</t>
  </si>
  <si>
    <t>Manuel Gatcía También</t>
  </si>
  <si>
    <t>…tos: otra del ayuntamiento constitucional de Santiago, relativa (los cgércitos) pasarían pronto en grandes masas las fionteras. á los sueldos de los empleados municipales: otra de D. Manuel Gatcía También se sabia en Odesa que el egéteito persa ha tomado cuar Hidalgo, vecino de los Palacios en la provincia de Sevilla, para que se teles de invierno cerca de Bagdad y de Erzerum, y que se hallaban en le perdonen 160 fanegas de trigo que adeuda á los propios de su…</t>
  </si>
  <si>
    <t>Tambley, Felipe Sierra y</t>
  </si>
  <si>
    <t>Felipe Sierra y Tambley</t>
  </si>
  <si>
    <t>…adiciones que se han de po ra su cumplimiento, y dispondréis se imprima, publique y circule.Rubricado de la Real mano. = Aranjuez á 13 de Marzo de 1822.= ner en el codigo penal. A D. Felipe Sierra y Tambley. A la comisión que entiende en examinar la proposición del señor Prai, relativa á los cánones, se pasó ia proposición del Sr. Prado que trata de este mismo asunto , leída en la sesión del 14 dei corriente. El 20 del corriente pagará la casa nacional de moneda…</t>
  </si>
  <si>
    <t>Tapia</t>
  </si>
  <si>
    <t>…dano español de publicar un libelo contra el Rey. vantó la sesión i las tres y media. Habiéndose declarado este punto por suücié Me meóle discutido, le AP.T1CULO DE OFICIO. yó el Sr. Tapia á petición del Sr. Gol fin el art. 28.3 del código penal. En senuida se pidió que la votación fuese nominal, y las Cortes resol El teniente general marques de Campoverde, comandante general vieron que no, é igualmente que el artículo no se volase por partes :…</t>
  </si>
  <si>
    <t>Tapia, Eugenio</t>
  </si>
  <si>
    <t>Eugenio Tapia</t>
  </si>
  <si>
    <t>…del territorio cipe de Anglona, consejero de Estado, de las academias de la Historia etpafiol sobre le píente del gobierno superior político de les provincias. y de S. Fernando; á D. Eugenio Tapia, director de la imprenta Na Se vende en le librería «le Hurtado á a rs. cional , individuo de la academia Espafiola,y diputado en Corte»; á Don Juicio crítico de la marina militar de Espafia. Esta obrita, dispues Manuel López Opero, de la academia de S. Feman…</t>
  </si>
  <si>
    <t>…aspiren á ellas, y reúnan las circunstancia* pre dia*, que empezarán i correr desde esta fecha. venidas en los decretos de la* Cortes y órdenes de S. M., presenten por Poesías de D. Eugenio Tapia, diputado en tas actual,-,s Co-t^s. Con conducto de sus gefes en el término de un mes sus solicitudes al inten tiene esta colección lo siguiente: varias comroóciones morales y fi dente ó intendente* de ls* respectiva* provincia*, para que las tenga* losóficas…</t>
  </si>
  <si>
    <t>Tapia, Eugenio de</t>
  </si>
  <si>
    <t>Eugenio de Tapia</t>
  </si>
  <si>
    <t>…e te remiten mensualmcnte mente la ley de 14 de Marzo, y aun el proyecto que ha presentado la i s. M. comisión ; pues de otro modo hubiera visto á. S. que hay muchos ca Porcias de D. Eugenio de Tapia, individuo de !* academia na sos en qu: se puede abu.ir de esta facu.tai, y otros tantos motives cional. Esta colección contiene varias composiciones filosóficas, otra* para exigir la responsabilidad. satíricas, publicadas en 1820 bajo ti nombre del licenciad…</t>
  </si>
  <si>
    <t>Tapia, Vicente</t>
  </si>
  <si>
    <t>Vicente Tapia</t>
  </si>
  <si>
    <t>…pr.mera instancia dei mismo p. tti.o , y un av unum.uit. de aquel entrado en la Armenia. Parece tauabien que el plan de campaña de los partido: y otro se bre ia queja dada contra D. Vicente Tapia, aí.a.ue persas haba variado mucho ; aunque á la verdad es muy dib.il tener constiiu.ionai en ei año ao dei lugar de Viliar.no, prov.n.ia de ba» noticias positivas de la Turquía anatica, porque la Puerta nada pu laman.a. blica sobre unos sucesos que van siend…</t>
  </si>
  <si>
    <t>…diputación provincial de Salamanca sobre la qu ja dada por D. Fran esta y vengar tamaño atentado. El mismo D. Joscf Muñoz hizo poner cisco Hernández contra el alcalde de Viliarino D. Vicente Tapia por •n el sitio de la lápida el correspondiente letrero, mientras se coloca Jiaberic puesto preso con grillos, sin tomarle declaración alguna hasta interinamente una lápida de madera. pasados cinco días, mam listaba que en vista de todos los documento* é info…</t>
  </si>
  <si>
    <t>Tapie</t>
  </si>
  <si>
    <t>…a i Art. 450. o Igual pena sufrirá el que se finja sacerdote, diácono ó las Cortes para que resolviesen lo mas acertado. aobdiáconn.” Aprobado. Se leyó dicho proyecto de ley, y el Sr. Tapie hizo presente que la Art. 4gt. » Los que searroguen cualquier otro título que no ten» secretaría lo acababa de recibir en aquel instante, y había observado ga legítimamente , ó usen de cualquiera otra insignia, uniforme, há que al fin se decía ts copia. x bit…</t>
  </si>
  <si>
    <t>Tarazona, F.</t>
  </si>
  <si>
    <t>F. Tarazona</t>
  </si>
  <si>
    <t>…os dro Tellez, agonizante en et convento de Alca'á, D. Josef Alejo MLde estos sugetos, confundidos entre tos tenidos generalmente por des ralbat (el Moreno) , teniente coron 1, el teniente D. F. Tarazona ó Díaz, afectos á la buena causa, y entre ellos es uno el mencionado secretario D. Francisco Moso, oficial de la curia eclesiástica, y D. Josef bolera, del ayuntamiento, autor de los himnos de libertad, libertad sacrosan- presbítero, capellán di las comendado…</t>
  </si>
  <si>
    <t>…da gratas Hez, agonizante en ei convento de Alcalá; D. Josef Alejo Mirabal, para la Gran Bretafia, y que ai llegan fi confirmarse, podrían ocasio ( el Moreno) teniente coronel; el teniente D. F. Tarazona, ó Díaz, nar disensiones harto serias. L&gt;. F 1 ancisco Moso , oficial de la curia eclesiástica; y D. Josef Solera, presbítero, capellán de las comendadoras de Santiago en esta corte; ARTICULO DE OFICIO. comprendidos todos en las causas seguidas en dicho juzga…</t>
  </si>
  <si>
    <t>Tarias, Vega</t>
  </si>
  <si>
    <t>Vega Tarias</t>
  </si>
  <si>
    <t>…e nos reservábamos publicar al tiempo de su tercera lectura; pero su dictamen. que creemos conveniente publicar actualmente por haber salido ya á luz Des pues de haber expuesto el Sr. Vega Tarias razones en favor da en otros periódicos. la proposición, manifestando la utilidad que en general debía producir Proposición: »Dependiendo la felicidad de las provincias de la á la Nación la marina, y asimismo lo desatendida que hasta ahora ha buena elección d…</t>
  </si>
  <si>
    <t>Tarifa, Antonio</t>
  </si>
  <si>
    <t>Antonio Tarifa</t>
  </si>
  <si>
    <t>…, i que ascendían los tres documentos que acompañaba. trncia que hay gefe político ; pero también los hay en la Carolina yen La comisión de Poderes en vista de loa presentados por D. Antonio Tarifa, y sin embargo no son provincias; en fin, los argumentos dd del Valle Castillo, diputado electo por la provincia de Puerto-Prínci Sr. Meló son todos negativos, y nada valen cuando hay uno positivo. pe, y el acta de su elección, fue de parecer que la elección…</t>
  </si>
  <si>
    <t>Tarín, Isidoro</t>
  </si>
  <si>
    <t>Isidoro Tarín</t>
  </si>
  <si>
    <t>…D. Matías López de Friaa á causa de tu quebrantada salud , 7 ha Se halla vacante el partido de médico titular de la villa de Almonombrado al m amo tiempo para que lo desempefie á D. Isidoro Tarín, rox, provincia de Toledo su dotación et de 600 ducados y cata fran abogado también del ilustre colegio de esta corte. ca, pagados por la justicia por meses ó tercios. Se dirigirán los memo ANUNCIOS. riales al ayuntamiento por medio del procurador síndico. En…</t>
  </si>
  <si>
    <t>Tarrago, Tomas</t>
  </si>
  <si>
    <t>Tomas Tarrago</t>
  </si>
  <si>
    <t>…sta jornada han tarios d; Alcafiiz, a! d:i sargento B as losa, y otra ele ios m. c .nos de sido muy gratas á 1* justa e-u.a de la patria, habiéndose hecho conocer Viiialbi, al del teniente D. Tomas Tarrago; la partida de c.ba i-r a de i ios ¡-usos que son irresistibles las armas que manejan la razcn y ia Viüaviciosa, al dei teniente D. Manuel Laborda, y del aüer-.z D. I ju-ticia, y que todos los esfuerzos son impotentes para contener sus pro d.fonso Marchante,…</t>
  </si>
  <si>
    <t>Tarragona, Mariano Mo de</t>
  </si>
  <si>
    <t>Mariano Mo de Tarragona</t>
  </si>
  <si>
    <t>…a dirección se sitia.por ahora en la cata nútn. 8 de la sistema constitucional, asi de la pasiva como de la activa del común calle dei Príncipe, manz. 11 z,'cuarto bajo, que ocupa D. Mariano Mo de Tarragona, y proceda á su liquidación, con arreglos las disposicio nasterio y Zulueta. nes legales que rigen en esta materia; consulte al ayuntamiento las du *•" Qua los individuos suscritos se sirvan concurrir i formalizar das que le ocurran, y presente y acompañe los…</t>
  </si>
  <si>
    <t>Tarsis, Juan de</t>
  </si>
  <si>
    <t>Juan de Tarsis</t>
  </si>
  <si>
    <t>…cer el alivio de sus fatigas, no 27 de Agioto de 166'í; y otro en las salinas de Badajoz de 37^9 en halla ni puede hallar en los que huyen de él sino el signo del odio y cabeza de D. Juan de Tarsis , su fecha 8 de Marzo de 1601. Quien tu del delito. piere de su paradero se servirá avisarlo en la contaduría de dicho Ex n Conqueses del Tremp, abrid ya los ojos í la luz de la propia expe celentísimo señor. riencia: no os alucin .1 m dejets engañar mas tiem…</t>
  </si>
  <si>
    <t>Tarto, Anto</t>
  </si>
  <si>
    <t>Anto Tarto</t>
  </si>
  <si>
    <t>posiciones; una de seis individuos de la milicia de Villareal, y otra de Huelva: para coronel al coronel graduado de infantería D. Anto Tarto* de la de Valencia, manifestando lo» i neón verlíente* que *e se- nio Moreno , coionel supernumerario del batallón de la milicia activa guirian de adoptarte el reglamento propuesto por el Gobierno. de Sevilla, y comandante de infantería. Se aprobó el dictamen…</t>
  </si>
  <si>
    <t>Tas</t>
  </si>
  <si>
    <t>…Rie su parte no habia incurrido en ninguna falta. go » Pedimos á las Cortes consideren con»'negocio urgente el formar El señor presidente contestó que no había querido inculpar al señor Tas ordenanzas del egército.” preopinante, y que lo que habia dicho habia sido solamente porque En seguid* se declaró esta proposición y ladel Sr. Canga com creía que las memoria* de los ministerio* debías leerse según el orden prendidas en el art. i«o del reglam…</t>
  </si>
  <si>
    <t>Tatischcff</t>
  </si>
  <si>
    <t>…crédito, da motivo á alguna» seria» rcflxionrs; su contenido se redu ellas habrá una relación auténtica copiada de la matricula general. ce i k&gt; que sigue: » Se esté esperando al Sr. Tatischcff. Se asegura que También habrá un cuaderno rubricado por el presidente, en que se es el Emperador Alejandro obraré da acuerdo con las demás cortes en to cribirá el acto de la votación.” do lo relativo á los negocios de Turquía, y que la llegada del nuevo Se im…</t>
  </si>
  <si>
    <t>Tatischeff</t>
  </si>
  <si>
    <t>…los cam ciando que' se había señalado el término de otros dos m.os mas para pamentos. En pocas horas se formó en Smirns un regimiento de 700 continuar las negociaciones , y qne el Sr. Tatischeff debía volver á Vie hombres equipados á sus expensas: al punto salió para Chismé: apenas rta para él de Junio, á fin de asistir á un Congreso que se habia de parte un regimiento se forma otro &amp;C.&amp;C.” De manera que cada celebrar en dicha capital. uno por su par…</t>
  </si>
  <si>
    <t>Tatischtff</t>
  </si>
  <si>
    <t>544</t>
  </si>
  <si>
    <t>…litar, tendría por franco y medio cada día y 300 dias útiles. infinitos motivos muchísimo que perder sin ganar cosa alguna si nos __ Va descubriéndose algo el objeto del viage del Sr. Tatischtff i Viedeclarase la guerra, pues se arruinaría su comercio, y los productos de na. Dicen que en Petersburgo te recibió con sumo disgusto la nota éá su industria serian presa de nuestros corsario*, mientra* que loa de la divan de 2 de Diciembre. El Austria fue l…</t>
  </si>
  <si>
    <t>…a guerra no ha bo medio; el mastelero de proa Meneo con su gavia; el palo de enmedio cho mas que dilatarse.” con cangreja y escandalosa. Un periódico francés dice beber llegado el Sr. Tatischtff i Vienn El cónsul de Espada en aquel mino ha pedido i S. M. que se sirva el día 10 de Junio, y funda en esto algunas esperanzas de pez. En Leipenriar fuerzas natales para que cruzen en la recalada de los cabos de *'kc se dan pocas esperanzas de paz , según re…</t>
  </si>
  <si>
    <t>TatisEn</t>
  </si>
  <si>
    <t>…e espontáneamente se ofreció á entregarle.—Parece que los turcos e»&gt; Vían muchas fuerzas hacia el Danubio. Parts 36 dt Marta. Según noticias de Vien# del 17 de Marzo parece que el Sr. TatisEn una carta de Zante del (9 de Febrero se dice lo que sigue: » La cheff estaba ya próximo á volverse i Petersburgo. Se suponía que su escuadra turca , que el 3 de Febrero salió de ios Dardanelos , se ha diri comisión era de la mayor importancia; pero ni aun rum…</t>
  </si>
  <si>
    <t>Tauste, Marín</t>
  </si>
  <si>
    <t>Marín Tauste</t>
  </si>
  <si>
    <t>…obarte el dictan*.n dé la co Ri.bao, solicitando que 1: les permita introducir dos partidas de cacao misión. de Guayaquil en buques extrangeios, pagando solo ios derechos de bu El Sr. Marín Tauste contestó á las obaervacíon-s del Sr. Allende, que nacional. . . manifestando que no podía de modo alguno tener efecto rrtmact'vo ia A las comisiones d* Hacienda y Comercio con urgencia ae pasó suspensión de capitalizaciones qu&gt;* estaban entib'adas ante, de ac…</t>
  </si>
  <si>
    <t>…Cuesta aceres sueldo en corachas de tabaco. de los comendadores de las ordenes y párrocos de les iglesias; una del A las de Hacienda y Visita del Crédito público se pasó una con- Sr. Marín Tauste , y otra del Sr. Doúrca, 1 dativas al decreto sobre in snita del Gobierno sobre las instancias de varios títulos de Castilla demnización de diezmos. acerca de la redención de lanzas y medias anatas. Continuó ia discusión del código penal. Dua'rúente se les pa…</t>
  </si>
  <si>
    <t>…iásticas que administrase el Crédito en el estado que se remite por el intendente de la misma provincia. público. Art. 3.° » Que el Gobierno procure que se multipliquen en todo El Sr. Marín Tauste contestó que el artículo que se proponía no lo posible las oficinas del resello, especialmente si se pudiera hacer sin era de modo alguno contrario á lo dispuesto en el decreto de ay de dispendio de las casas de moneda." Junio, sino que era una medida interin…</t>
  </si>
  <si>
    <t>Tavares, Mcniz</t>
  </si>
  <si>
    <t>Mcniz Tavares</t>
  </si>
  <si>
    <t>…se notará basta en las resoluciones mismas del divan. Ya en huellas hasta que pudiese prender a los conjurados Belgrado corre la voz de que el gran visir Semlin-Bajá se puso en El Sr. Mcniz Tavares dijo que no comprendía cómo pod a comVmarcha el 11 de Febrero con todo el egército que estaba acampado de tsazse una conspiración oculta con una decisión pub .ca dei Lor.¿:o.; lante de Andrino polis, y que se dirigía hacia ei Danubio." ni tampoco ei que no te…</t>
  </si>
  <si>
    <t>Tavira, Luis Amonio</t>
  </si>
  <si>
    <t>Luis Amonio Tavira</t>
  </si>
  <si>
    <t>…: El mas curiales que han intervenido en ella, y devolviéndolos si lo, hu barón de Carondelet ha pasado á Maella persiguiendo á los facciosos biesen percibido, siendo uno de ellos D. Luis Amonio Tavira, é ig. después de la derrota que estos sufrieton en Caspe. Al mismo tiempo el Dorándose su paradero , en conformidad á lo mandado por ;a sala se brigadier D. Josef de Torres persiguiendo constantemente á los de gunda del crimen, en D que, y escriban a de C/rn…</t>
  </si>
  <si>
    <t>Tayii, Cristóbal</t>
  </si>
  <si>
    <t>Cristóbal Tayii</t>
  </si>
  <si>
    <t>…ós , do v.r.go en u antecedente orden. IDios guarde á V. muchos años. Geminico , id._P. Josef Planas, franciscano, gu.rdiaii.__P. Jos-.f de Cer ron.: 2 de s-it:nr.bre de 1822—:sr. D. Cristóbal Tayii. rera , capuchino, id__P. Jaime Curunnas, mínimo, corrector__P. H ait. 7/’ que cito en ia anterior orden mía es contentivo á que Bruno (¿sais , trinitario, ministro.—P. Juan Ptí , agustino calzado.— en e. caso de que a:gua pueblo haga fuego á las tropa- nacio…</t>
  </si>
  <si>
    <t>Tbarra</t>
  </si>
  <si>
    <t>…y Somoza, relativa á que quedasen algunas comís ones'en el aquí darán un día de gloria á la patria. Sin embargo deseáramos vinie intermedio de una á otra legislatura ; y otro deT Sr. Tbarra, cont-ar o á se alguna tropa á nuestro socorro ; pues no cabe duda en que Misas ha lo resuelto sobre el icfotme dv la ccmi-ion encargada de examinar la engrosado mucho su gavilla. Dicen algunos que Lloberm les va al alcan memoria del Sr. secretario ds Ultrama…</t>
  </si>
  <si>
    <t>Tbav</t>
  </si>
  <si>
    <t>…t-s. pues en este Se leyó v aprobó el a;ti d* la aoteóor. caso hub eramos cocido á l'.i da y Navarro que han 'do como a¡mas Asirn-emo se levo v 4.-robo la s cu -’nte proposcon del Sr. Tbav— qu • tUva el d »!»'&lt;», v l v nd.-vos a uno- tr s pasos por mas de m d-a ta : - Pido a tas Cortes que antes de c rrar sus tes ones se discuta el m1 -na : pero por fin han qu -dado H-rr-tados y - n una plena y como eta form ■ de la conus nn de Ctravisr , sobre…</t>
  </si>
  <si>
    <t>Tbomas, Fernandes</t>
  </si>
  <si>
    <t>Fernandes Tbomas</t>
  </si>
  <si>
    <t>Núra- 6g. C 7 cuarto*.) 361 GACETA DE M ADR I D. VIERNES 8 DE MARZO DE j8»a. .i. .-.vi, ■--------- ** •“ 11 i—t» '•SNOTICIAS EXTRANGERAS. El Sr. Fernandes Tbomas dijo que para pedí rías bolas 4 S. S. no era necesario exponer tantas razones, y que bastaba manifestarle que las ABiTlIA. rentas dé la-patriarcal se bebían destinado parada congrua de los párro Hrrmamtsdt (TraneUvanid) gt de Enero. cos y decencia de las igle…</t>
  </si>
  <si>
    <t>Tchincctf</t>
  </si>
  <si>
    <t>…evitar 1** competen que formaban en todo ao familias y 46a individuos, descendientes de cias de fuero; y después de discutido se aprobó con algunas variaciones. los compañeros del capitán Tchincctf, que hasta entonces se creyó NOTICIAS DE ESPAÑA. que hab.an p recido. Extiendo pues tales títulos pan justificar los derechos que recla Trtbugena dt Junio. ma la Runa , V. E. mismo confesará que es una cosa absolutamente El dia 19 del mes pasado el maestro de…</t>
  </si>
  <si>
    <t>TchiricofF</t>
  </si>
  <si>
    <t>…aución, que se dirige exclusi descubro en el dia de la festividad de aquel santo; y su segundo co vamente contra las criminales empresas de los aventureros de otras 1.1mandante el capitán TchiricofF llevó sus descubrimientos hasta los c onfs, los cuales no contentándose con hacer ea las costas expresadas 49 grados de latitud norte. un comercio ilícito, muy perjudicial 4 lo» derechos que están 1 xc!us¡Las primeras expediciones particulares despachadas á l…</t>
  </si>
  <si>
    <t>Tcilo, Juan</t>
  </si>
  <si>
    <t>Juan Tcilo</t>
  </si>
  <si>
    <t>…caballos de Santiago, con Extracto de una proclama d:l gobernador de Coro.= Acabo de re esperanza, por parte de los que observa!).n , de que serian alcanzados cibir un oficio del coronel D. Juan Tcilo del tenor siguiente: »Co los indignos. Que entraron en Pueito-ñerrano 6 caballos de ios faccio mandancia general: á las cuatro d: la madrugada. En este momento sos conducidos por una partida de caballería de santiago, entre los cua acabo de sorprender este pu…</t>
  </si>
  <si>
    <t>Tcjeiro, Navarro</t>
  </si>
  <si>
    <t>Navarro Tcjeiro</t>
  </si>
  <si>
    <t>…da del res del edicto da aqu: 1* diputación provincial , en el que, de:pues de modo expresado en el art. 13. mandar se pusus n en práctica varas medidas para Ja defensa de aque El Sr. Navarro Tcjeiro dijo que el que tenia una imposibilidad fí lla provincia, decía rabí libres del sorteo por este año á los miliciano* sica estaba exento del servicio; que esto era una verdadera excepción volúntanos de toda la provincia , 7 pedia á la comisión lo tuviese prequ…</t>
  </si>
  <si>
    <t>Tcjíiro, Navanu</t>
  </si>
  <si>
    <t>Navanu Tcjíiro</t>
  </si>
  <si>
    <t>»8*8 Se suspendió fita discusión. da de S. A. R. el duque de Angulema á lo* pirineos es otro de lo» F.l Sr. Navanu Tcjíiro dijo que había recibido una exposición de embustes que han propagado lo» ultras , 7 tamb.en han quedado des vario» oficíale» de ia milicia activa de León en Alcaftiz , por la cual mentidos. Ir abajaran , si , para ello; pero hasta ahora no lo h.n po fe'iciuhi…</t>
  </si>
  <si>
    <t>Tcran, D Antonio</t>
  </si>
  <si>
    <t>D Antonio Tcran</t>
  </si>
  <si>
    <t>…. D. Isidro Igna cio de lcaza. Gentileshombre* de cámara con egcrocio; mariscal En el presente día 3 de Octubre se han corst‘luido las Cortes ex-' de Castilla cond- de fi. M .t o, coronel D Antonio Tcran , id. D. Pe traord narias convocadas en 6 de "ct embre p:&lt; ximo pasado , v han ele dro Ac.vedo, td. D- Juan Corvantes, marqu s d- '• C-eena; ten en gido para su presidente al fir. ID. Ramón Sjirjjo, d pulido por la pro te coronel ID Juan I ráelo Gurr a, D. Jo…</t>
  </si>
  <si>
    <t>Tcri'jc.s</t>
  </si>
  <si>
    <t>…nto entu *rríglar la primera div-non Ce! egerc.to q;.r me esta encarga ,» . G siasmo , valor y bizarría han sostenido nuestras tropas contra los malé el mand - interino de e.la al general Tcri'jc.s, v crmurtic r.v o a hxvolos , sin embargo del número inferior de fuerzas a la de los ma!vados cel.-ntisimo Sr. secretario re. LVsp.c.10 de ia Guerra para u ap..-haque batieton , han tenido estos la perdida de 14 muertos i infinitos he C on de M. El ig me puse…</t>
  </si>
  <si>
    <t>Tcrr.jc</t>
  </si>
  <si>
    <t>…primer intento, habién Cárdena» v Camarasa v *j cabaiioi del Tr-nc-pe e Ir,:', r.:.-. d. ,--do dosele frustrado, quiere reiterar su, punes contra esta plaza : con -uyo iííi.pug ai general Tcrr.jc», para que cose! resto de ta tropa &gt; gu;a*í</t>
  </si>
  <si>
    <t>Te, Josef</t>
  </si>
  <si>
    <t>Josef Te</t>
  </si>
  <si>
    <t>…u-dan hacerse estas dihcenc-as, y por Piedrahita lü dt Octubre. eso la comisión dice en el artcu'o que lo mas que podrá ser dete La milicia voluntaria Je Piedrah ta ha dirigido al Sr. D. Josef Te nido el arrest.&lt;ío á disposición del pete político son ?o días; y obüjero, obispo electo de Avila, el siguiente escrito: gacico de este e» el poner;* cuanto antas eo présanos del juca.</t>
  </si>
  <si>
    <t>Te, Navarro</t>
  </si>
  <si>
    <t>Navarro Te</t>
  </si>
  <si>
    <t>…do por la concurrencia d-. banco, apenas hubiera pasado Se leyó y se mandó quedar sobre la mesa el dictamen de la comi de uno. sión primera de Legislación sobre la proposición del Sr. Navarro Te— fl orador expuso &lt;-n seguida los b-n-ficios que tenia hechos i la jeiro y otros señores, relativo á que se aclarase el decreto sobre sol. idaNación ei banco nacional de b. Canos; anadiendo , que á no hallarse des patrióticas en cuanto á lo* casos en que debí…</t>
  </si>
  <si>
    <t>…ta m.c.ci. h ■ i:t:.u o que propi; ■ 1, co preparando mdirrctam-nte , f.t tsndo a sus mas sagrados deberes. rrí sien dis: que el Gobierno puede suspender libremente a .j&gt; :o:iviEl Sr. Navarro Te jeito solo ha encontrado un inconveniente pata apro dúos d: ayuuttm ent &gt;, y por ma. que s: alegue ¡a i’u rzi de i*, cir bar la medida , á saber, que no se exige en ella que antes de pío. edet el cunstancias, y que esta medida r.o s: opone a ia C.ir.stitucon…</t>
  </si>
  <si>
    <t>Tejada, Juan del Pozo y</t>
  </si>
  <si>
    <t>Juan del Pozo y Tejada</t>
  </si>
  <si>
    <t>…que practique, para que presentándo colás Iraola, D. Bernardo de la Peña Diaz , D. Juan Francisco E*pelos en contaduría con ia correspondiente relación demostrativa proce losin y D. Juan del Pozo y Tejada dijeron en sentido opuesto. da á su liquidación , y expida el libramiento de su importe, para que la tesorería lo satisfaga. Habiéndose denunciado por D. Manuel Bsrmudez al Sr. alcalde 5. * Al fin de los do* primero* meses de principiado el suministro, consti…</t>
  </si>
  <si>
    <t>…ntestando á un oficio de esta comisión de Vs— de los señares D. Joaquín Mana Goñ', D. Ación o ce L .arara, Don aita, dice con fecha a a del actual lo que sigue: Francisco Ignacio, D. Juan del Pozo y Tejada, D.^Mait n fe-taanC-z — Mi primer cuidado al encargarme de la couvsion especial de in Elias, D. Francisco Escudero, D J .an Bautista \ ea Muren.j , Don corporación , venta y extinción de la deuda pública, fue examinar el Francisco de Pugas y D. Francisco P-yo…</t>
  </si>
  <si>
    <t>Tejada, Pedro Muñoz de</t>
  </si>
  <si>
    <t>Pedro Muñoz de Tejada</t>
  </si>
  <si>
    <t>…cación anual del reemplazo Los que ae crean con derecho fi la mitad de la vinculación que po en la capital de cada provincia. Art. ia. En todo lo demás se verifica seyó el difunto D. Pedro Muñoz de Tejada, vecino de Huesear ,y fun rá el reemplazo con arreglo á la ordenanza de 1800, i su adición de daron Juan López Móntenle y Mari-Velez, vecinos que fueron dd 1819, y decreto de las Cortes de 14 de Mayo de 182f. Madrid 8 de lugar de Mariana , partido de Cuenca,…</t>
  </si>
  <si>
    <t>Tejada, Santiago</t>
  </si>
  <si>
    <t>Santiago Tejada</t>
  </si>
  <si>
    <t>…tan triste si El domingo 8 del corriente á las 7 de la noche se abre una cá tedra tuación. De Real orden lo comunico á V. E á los efectos oportunos. de derecho natural á cargo de Don Santiago Tejada. Los Sres. que Palacio 29 de Noviembre de i8a2.=Mauano Egea.=ir. director ge quieran aprovecharse de esta enseñanza acudirán á la secretarla del esta neral de aduanas y resguardos. blecimiento á recoger la papeleta de entrada El general en gefe del egército d…</t>
  </si>
  <si>
    <t>Teje</t>
  </si>
  <si>
    <t>…faltase caso de la excepción , á menos que por razón de oficio resida fuera del el cstímu'o de la excepción. domicilio de sus padres. Entendiéndose por hijo único aquel que no El Sr. Teje ro dijo que no debían quedar exceptuados del sorteo, tiene otro hermano mayor de 14 años, ó que teniéndole sirr* en al pu s el prado de doctor que se considetaba como un premio, probaba ejército.” mas bien las facultades que la suficiencia del que lo obtenía,…</t>
  </si>
  <si>
    <t>Tejedor, Ana</t>
  </si>
  <si>
    <t>Ana Tejedor</t>
  </si>
  <si>
    <t>…cho de Marina con fecha de ayer dica que se crean con derecho á los bienes de la capellanía colativa que en desde el Real sitio de Aranju-z lo que sigue: la villa de Mémr.da fundó Doña Ana Tejedor, vacante por fallecí» S^- MM. y AA. siguen sin novedad en su importante salud." mi.nto de su último pos.edor D. Miguel Rodríguez , á fin de que comp rezcan en el término de 30 días, contados desde esta publicación, El R y se ha servirlo conferir el gobierno d…</t>
  </si>
  <si>
    <t>Tejei-</t>
  </si>
  <si>
    <t>…de nuevo, pues eatabu en un lodo confortr con el decreto de Ei .sr. Ryn.ru La cominos por esta artículo cierra la puerta é 19de Junio de i8i|. Con respecto á lea observaciones del Sr. Tejei- los etcribsuo, para que no puedan ser elegidos secretario* de ayunta— ro dijo qus realmente se dirigían contra el decreto citado; pero que numt 1: p-ro yo pregunto, ; en una aldea ó en un pueb o de 50 vecino* para conocer la justicia de las disposiciones de e…</t>
  </si>
  <si>
    <t>Tejeiro</t>
  </si>
  <si>
    <t>…o de 29 de Junio anterior , ó según tos 2.0 y 7.° da lase determinadamente la persona á quien dcb.a exigirse* la ley d: 22 de Agosto de 1813; y que asimismo se prefije un térmi El Sr. Tejeiro: No he tratado de inculpar al actual ministerio, por no preciso para que la presente. que no puede contestar sino á lo que ha hecho desde el día i.*' de F.l -sr. Surra manifestó que se trataba de una cuenta que era impa Marzo. Los mismos Sres. secretarios man…</t>
  </si>
  <si>
    <t>…vían en ¡as caled.*íes, CORTES. y por lo mismo debía atenderse á los músicos de las mismas en propor ción á Tos demas ministros. r*BS!DENClA DSL $K$OX VAI.DBS (DOH CATF.TAKO ). El Sr. Tejeiro dijo que á los músicos de las iglesias, que habisn ob Stiiott dtl so dt Air i!. tenido su plaza por oposición , se les debí» cumplir la contrata, tanto Se leyó y aprobó el acta de la aatenor. mas cuanto eran unos ministros del cuito, que llevaban el p-so del…</t>
  </si>
  <si>
    <t>…vendrá tiempo en que se pueda tratar de los ob no podía esta hacer anticipaciones, por lo cual era preciso descargar jetos útiles. del presupuesto la partida de que se trataba. El Sr. Tejeiro: Es ciertamente doloroso tener que desatender obje El Sr. Argü-.lles dijo que supuesto que se oponía este último arre tos de cuya utilidad estamos todos convencidos; pero no hay otro ar glo á Jas anticipaciones , y que en Cuba se cobraban 709 rs. para el se b…</t>
  </si>
  <si>
    <t>…e de toda contribución á los caballos padres, asi coma Tercera especie. las caballerías empleadas en 1» labranza. Fábricas de aguardiente, por cada una 100 n. Por i9 arrobas dn El Sr. Tejeiro contestó que las caballerías destinadas á la labranza vino que se conceptu: destilar de aumento, y por su equivalente en estaban ya relevadas del pago de contribución , y que en el artículo se •rujo, too. Aprobado. trataba solo de las caballerías destinadas a…</t>
  </si>
  <si>
    <t>…a de fondos, causa que hab&gt;.i &lt;.L&gt;. Sr. Balda al Sr. del por art. objetos muchas vrces desatender muy preciso-, al Gobierno á i.9, otra Munarriz al párrafo 8.° del art. 6.°i Í;ado Sr. Tejeiro 4.0 Aprobado. al art. dal otray hubiese como que no se extrafio ocurrido corresp-rd.a o que no era al armamento de la milicia, aunque podía asegurar que en t guna ¿pa TtTOtO X. ca despu 1 del restablecimiento dei sistema sr había procutj.h. muy AutorUadtt de…</t>
  </si>
  <si>
    <t>…en no 60 votos, el Sr. Zulueta 49, el Sr. Rico uno, el Sr. Belda uno, comisión, por ningún gelfi del ramo de Hacienda sin previa Real reel Sr. Sarabie uno, el Sr. Serrano uno, el Sr. Tejeiro nno, el Sr. Ro aolucion. Lo que servirá de gobierno á los militares que soliciten em mero tres, el Sr. Butafia uno , el Sr. Flores Calderón uno, el Sr. Ma- pleos dependientes de la tesorería general; en la inteligencia de que en rau uno, y el Sr. Diez do*. To…</t>
  </si>
  <si>
    <t>…, pues te han rebajada El Sr. Romero apoyó el dictamen de la comisión, ampliando las los derechos que en ellas se pagan. El repartimiento de los baldíos lo ideas propuestas por el Sr. Tejeiro, y en seguida quedó aprobado. deben los pueblos también á las leyes dectetzdas después del restableci Se proced í á la discusión del dictamen de la comisión Je Hacienda so miento del sistema. bre el presupuesto extraordinario de la Guerra. Esta y otras ventaj…</t>
  </si>
  <si>
    <t>…l Sr. Adan dijo que las Cortes debían ser consecuentes en las ex tomar estado. cepciones, y supuesto que habían dispensado del servicio i los magis El Sr. Cano apoyó las ¡deas del Sr. Tejeiro con respecto i la des trados , jueces de primera instancia , labradores con yunta propia y igualdad que se quería establecer entre los doctores de universidades y otros, debían también dispensar i los sugetos de que se trataba, puci lo* abogados, y en cuanto…</t>
  </si>
  <si>
    <t>…de valor, pues donarlas; y una muger abandonada en cualquier pueblo; véase á que aunque dichas pensiones no tienen el carácter de sueldo, deben no (dis peligro* está expuesta. El Sr. Tejeiro ha dicho que los militares casa tante estar exentas como aquellos de las cargas expresadas. dos tendrán mas patriotismo; cato seria bueno si la patria diese una El Sr. Oliver; Lo que propone la comisión en este articulo me buena recompensa á la muger r á los…</t>
  </si>
  <si>
    <t>…tm tir como realidades Sr. Grases por 74 votos, habiendo obtenido 49 el Sr Bcida , 2 "el se nu '.tros dcsios, nos c-ñimos á referir estas noticias tales como corren ñor D.ez, 1 el Sr. Tejeiro, y uno cada uno de los Sre». íurra , Adán, en París entre personas muy ag-na» H* toda idea revolucionaria, aun» Calderón , Soria, Guevara, Bustamacw, Vega , López Cuevas , Cjeio, qu : afectas 3 la causa de los griegos. Por otra parta saben muy bien ¡os Jiméne…</t>
  </si>
  <si>
    <t>Tejeiro, Argel</t>
  </si>
  <si>
    <t>Argel Tejeiro</t>
  </si>
  <si>
    <t>…te presbítero, abad de tíoidaraz, des Habiendo sido robado en el camino de Cabra á Córdoba á últimos pués de haber dado entrada i Balda en su propia casa en dos distintas de Julio D. Argel Tejeiro , oficial de la armada nacional, entre loa ocasiones con al intervalo de 10 ó is días, se marchó con él y con su efectos robados lo fueron dos certificaciones di liqu dación de sueldos gavilla voluntariamente, y sin que para elle le hiciesen ninguna fuerza; l…</t>
  </si>
  <si>
    <t>Tejeiro, Luciano Antonio Escanti Navarro</t>
  </si>
  <si>
    <t>Luciano Antonio Escanti Navarro Tejeiro</t>
  </si>
  <si>
    <t>…sar á las respectivas comisiones en la forma si Seoanr , Buiafta y Alix. guiente : Libertad de imprenta. Sres. Galiano, Meca, Garroz, Montesinos, A la de Poderes una exposición de D. Luciano Antonio Escanti Navarro Tejeiro, González Aguirre y Saavedra. lla, electo diputado por la provincia de Extremadura, manifestando Marina. Sres. Valdés ( D. Cayetano ), Pumarejo, Sánchez ( Don que después de haber llegado á esta capital, el estado de su salud no le Juan Josef), Muro, Roix, Ve…</t>
  </si>
  <si>
    <t>Tejeiro, Nanrro</t>
  </si>
  <si>
    <t>Nanrro Tejeiro</t>
  </si>
  <si>
    <t>…la ptopoaiciondd Sr. Canga p otros safio- miento»-. p tanto «teatro A Ala como casada an avanzan par ln 1 re» dipatado*. che dependerán umbica A lm gcfim A din qm ca ln «dan | El Sr. Nanrro Tejeiro presentó una exposición de la milicia lo estuvieren nombrado*. cal voluntaria de Montarte de Alicante, felicitando A las Cortea por laa medida» txtraordinari»» qna habían aprobado. La operoo con CAriTcio rvtr. agrado. Dt lm drtrArin dtl M*ts y otdm jmrreL Igu…</t>
  </si>
  <si>
    <t>Tejeiro, Navario</t>
  </si>
  <si>
    <t>Navario Tejeiro</t>
  </si>
  <si>
    <t>…to al reparo punto por el Sr. Buruaga, diré to a- tinciones á estas personas multasen indignos de ellas. aserte q e hacer aquí una distinción seria hacer un juicio desde luego, El Sr. Navario Tejeiro: A mi modo de ver no solo este artículo, no creo que ésten la comisión ni las Cortes autorizadas para esto, sino todo el d.ctamen, excluye de la gracia de que en él se trata á los stan comprendidas en el artículo todas las personas que en la ma dos mencionado…</t>
  </si>
  <si>
    <t>Tejeiro, Navarra</t>
  </si>
  <si>
    <t>Navarra Tejeiro</t>
  </si>
  <si>
    <t>…ndividuos dd CORTES EXTRAORDINARIAS. ayuntamiento , A menas de que lo exija asi la cortedad del vecinda rio, á juicio de la diputación provincial.” rassioxaciA mi salto* ouva*. El Sr. Navarra Tejeiro se opuso á este artículo , fundándose en qu: Serien del dia ia. la* ley** tenían previsto el caso en que no hubiese personas capaces de Sa leyó y aprobó at acta de la anterior _ desempeñar el cargo de secretario, porque tenían dispuesto que podía Se mandó pas…</t>
  </si>
  <si>
    <t>Tejeiro, Navarro</t>
  </si>
  <si>
    <t>Navarro Tejeiro</t>
  </si>
  <si>
    <t>…o no producirá mas aumento á la fuerza mili recayendo los restantes, 14 en favor del Sr. Sánchez, 27 del Sr. Ta tar existente que de 159 hombres en toda la Francia. boada, uno del Sr. Navarro Tejeiro, uno del Sr. Calderón, uno del Sr. Tomas, y otro del Sr. Alcántara. Se han recibido periódicos extrangeros , cuya* mas interesantes no Quedó elegido cuarto secretario el Sr. Prat por 76 votos de 124, re ticias se reducen é lo siguiente : cayendo los restantes…</t>
  </si>
  <si>
    <t>…erá trabajar este. • on dicho motivo pasó el renunciado i sus poderes.” Sr. fijrata á la casa antiguamente llamada de los Consejos para propor Se leyó la siguiente proposición del Sr. Navarro Tejeiro : «* Habien cionar sitio correspondiente. De aquí resulta que este expediente se ha do notado el Congreso que á las memorias de los secretarios del Des retrasado muchísimo, y yo en obs quio de la verdad he hecho esta pacho no acompañaban las cuentas que los m…</t>
  </si>
  <si>
    <t>Téjeiro, Navarro</t>
  </si>
  <si>
    <t>Navarro Téjeiro</t>
  </si>
  <si>
    <t>…stro; á quien Correspondía-dsY una que un camino, quéés él que le demarca la ley, y el que siempre seguirá. contestación satisfactoriá al ayuntamiento dé Valencia, no ha'renfdó El Sr. Navarro Téjeiro manifestó que á pesar de haber ¿ido por presenté lo que dijo tino de los Sres. secretarios del- Despacho eñ. 1* se los partes que se habián. leído , que las ocurrencias de Valencia no ha sión extraordinaria de la otra noche ; en la cual contestando-TTajf re b…</t>
  </si>
  <si>
    <t>…tarios, pues esto cautas de que se trata. Por consiguiente el Gobierno en etu parte según era muy urgente. las facultades que tiene no puede hacer mas que lo que dejo indicado. El Sr. Navarro Tejeiro dijo que no se.oponis á que esta msdida pe El Sr. Ada manifestó que la.comisión no quería que el Gobierno sare á la comisión de Milicias; pero que siempre ere necesario tomar te excediese de sus facultades, tino únicamente qué cooperas* por can alguna* dispos…</t>
  </si>
  <si>
    <t>…t s al «norte pió. Aprobad . Leída y aprobada el acia de la anterior, se mandó agregar i ella el La eon-sion de Frcmics, informando sobre ¡a proposi.ion de ¡os voto particular del Sr. Navarro Tejeiro, contrario á haber declarado Síes. Oí Juña , Belda, verrar&gt;o y Salva, para que el rombre de Dilas Cortes no haber lugar á votar sobre el d clamen de la comi.-ion de Joaquín Vidal, dcilarado benen-erito d; la patria , fuese inscrito en el Hacienda, relativo á…</t>
  </si>
  <si>
    <t>…re lo cual hizo algunas obser ra que sea el estado de un negocio de esta clase, siempre será una can vaciones. sa mas ó menos adelantada. Por lo mismo el Gobierno desea que las El Sr. Navarro Tejeiro dijo: Creo conveniente la extensión del tér Cortes declaren cómo cualquiera de los dos poderes, sin avocar á sí una mino que se propone, porque si solo se Jijasen las *4 horas que algunos causa pendiente , han de tener un testimonio de su resultado, cuando Sr…</t>
  </si>
  <si>
    <t>…tos que por tanto debe tratarte de que los maestros sean los mejores para ins se creyesen convenientes. truirlo*. También me opongo á que estas dispensas se* concedan por medio El Sr. Navarro Tejeiro: No té por que I* comisión ha de sujetar i de algunos maravedises , porque el resultado será que el pobre con ma estas.reglas á aquellos jóvenes que por sus talentos, aplicación ó buena yores Ofrecimientos no podra reunir la cantidad que te exige, y se que di…</t>
  </si>
  <si>
    <t>…spensas de cursos y grados académicos. bien clara, y que por lo mismo no había necesidad de ninguna adición. Continuó la discusión de la base cuaita .presentada por la comisión El Sr. Navarro Tejeiro dijo que no estaba de acuerdo con la comi de Instrucción pública sobre dispensa de cursos literarios. ( Véase la ga sión en cuanto á que no se volviese el dinero depositado al examinado ceta de 6 del corriente.) que hubiese salido reprobado, porque en su conc…</t>
  </si>
  <si>
    <t>…ayendo los que están completos, é introduciendo medios luises que medio de hacerlo del mejor modo posible. ésten faltos. Respecto de los emigrados de Ultramar debo decir que no Ei Sr. Navarro Tejeiro expuso que nunca podría considerarse esta se neces ta mucho dinero para este objeto, en atención á qu* la emigra obra como de común utilidad al reino ni á sus gastos públicos; y asi no ción es mas aparente que real y verdadera; y aun se puede decir que encont…</t>
  </si>
  <si>
    <t>…que un juez de pri- paso, respetado siempre por las tropas mas valientes. La sección siguió pera instancia. la marcha con el mayor orden, no obstante la fragosidad del terrero, El Sr. Navarro Tejeiro dijo que comunmente iban los mismos jue- y las guerrillas, mandadas por bizarros y dignos oficiales, atacaron á loa os á efectuar las prisiones, y que si valiese el inconveniente que habia facciosos con tanto denuedo , que causaba admiración ver la velocidad…</t>
  </si>
  <si>
    <t>…rruinado ción det Si. Escovedo al art. r.° del reglamento: otra del Sr. Tiujillo para establecer fabricas de 10&amp; clase de paños, ofreciendo entregar al mismo artículo , y otra del Sr. Navarro Tejeiro al art. 4.0 dentro de ocho años 11O varas de paño para vestir el egerc.ro. opi Don Baltisai Yalcarcel, primer ayudante del estado mayor, pedia naba que no debía haber lugar á la cesión del molino por ser una su se le recomendase al Gobierno para que lo emplea…</t>
  </si>
  <si>
    <t>…das que se proponen, no bab endose ajustado en todas sus part;s á nientes sobre cada una de dichas medidas. d c*-o preámbulo. De esta rareza, que encuentro en la man ría que se El Sr. Navarro Tejeiro: He pedido la palabra en contra , á pesar de discute, nace .a rar'za de que yo tenga que pedir ia palabra en contra, que no me opongo al dictamen de la comisión , en el que encuentro estando dispuesto á aprobar la mayor parte de las medidas; extendién una por…</t>
  </si>
  <si>
    <t>…egidos sin y emen-es, ar.t s de hac.rse estas, el ayuntamiento exi.n6uirá las que el intervalo de dos años.” resulten de txc.so, incorporándolos individuos ex.siente» en las do El Sr. Navarro Tejeiro expuso que le parecía que este artículo po rnas.” Aprobado. día ser perjudicial por las razones que acerca del art. 32 había expues Art. 2b. &gt;. Para precaver el caso expresado en el artículo anterior to et Sr. Infante, pues ademas de no ser fácil que en una c…</t>
  </si>
  <si>
    <t>…en continuar sus deli por todos los individuos de ella, á pluralidad absoluta de estes, cin tos. Gerona 9 de Junio de 18221.3 Jocef Perol.” co electores.” v Ctida 11 di Junio. El Sr. Navarro Tejeiro dijo que la forma de elecciones para el En una carta de la Havana de 28 de Abril se dice lo qtie sigue: nombramiento de diputados 4 Cortes y de ayuntamientos no era ne n Han entrado el bergantín correo A.juilet y las fragatas Fama y cesaria para las de los of…</t>
  </si>
  <si>
    <t>…una misma clase de contribución, cuya igualdad no aera solo con res duos , con la economía correspondiente.” pecto al cupo individual, sino también coa relación á los avalúos ó El Sr. Navarro Tejeiro fue de parecer que el artículo estará mejor justiprecios de la riqueza, á fin de que todos paguen en una misma pro redactado diciéndose: » Los gefes procurarán que cada miliciano tenga porción, y se corte el abuso de cargar á lo* propietarios forastero* mas e…</t>
  </si>
  <si>
    <t>…proyecto de decreto que se una coro non especial , y que las Cortes se sirvan tener en considera discutía. ción los mucho, trabajos que ocupan a la comisión de Gueria , ia cual El Sr. Navarro Tejeiro indicó que seria muy conveniente el que no podra d scmpeñai este. Ja comisión retirase los artícu.os sobre el modo de verificar la quinta, Ei br. Zu u la manifestó que aunque deseaba pasas: esta preposi porque deberim derogarse una multitud de excepciones que…</t>
  </si>
  <si>
    <t>…» calidad de este , y F.I Sr. Bertrán de Lis preguntó) si la comisión adoptaba la modifi tercero lo qu: ofrece la experiencia respecto de la impunidad qu: cación pres ntada por el Sr. Navarro Tejeiro. hasta ahora han tenido los conspiradores centra el sistema. Por el arEl Sr. ídliver contestó que la comisión estaba conforme en qu! an tculo ¿87 d: li Constltucon s: previene que ningún español podrá tes de susp-nd-r á un ayuntamiento se pidiese informe á io…</t>
  </si>
  <si>
    <t>…estoy conforme con patria. Se quiere que haya de preceder previa formación de causa para ella. que sea plisado de su destino el empleado público ó civil, 6 se le re A petición del Sr. Navarro Tejeiro se volvió á leer la medida. cojan los despachos si fuete militar, cumdo se nieguen á ocupar el nue El Sr. Canga : Yo como diputado no sé nada acerca de la conducta vo destino que en sus respectivas carrera* le diere el Gobierno', pero, del comandante general…</t>
  </si>
  <si>
    <t>…ntecedentes. Esta determinación, al paso que disminuye, co ción , la comisión la adoptaré si le partee justa. mo he dicho, la repugnancia de loe pueblos, está en un todo confor El Sr. Navarro Tejeiro: Me atrevo á hacer una adición, que me me con el artículo 9 de la Constitución , en el cual se previene que parece puede salvar los inconvenientes que se han propuesto, y es que todo espafiol está obligado á defender la patria con las armas cuando sea se diga…</t>
  </si>
  <si>
    <t>…el mes de Agosto fueron Leída y aprobada el acta de la anterior , se mandó agregar á ella acometidos de sarampión varios jóven.s de ambos sexos, entre ellos el voto particular dei Sr. Navarro Tejeiro, contrario á la aprobación de algunos de gravedad, curaron perfectamente, sin haber ocurrido dss- la exención 10 del art. 15 del dictamen de la comisión de Guerra, oracia ni novedad alguna de otra especie. sobre el reemplazo del egército. * Salud púilie a. Se…</t>
  </si>
  <si>
    <t>…a la adicion¡qua había propuesto. en un despotismo horroroso. El Sr. Buey apoyó las ideas del Sr. Pedralvez. No quiero recorrer nuestra historia en estos seis años que el despo El Sr. Navarro Tejeiro dijo que en el dictamen de la comisión se tismo estuvo gobernando en España en la plenitud de tu fuerza: basta atendía i un mismo tiempo i la necesidad de fomentar las ciencias, y decir que en ellos se violaban con el mayor descaro las promesas que i la de au…</t>
  </si>
  <si>
    <t>…, 723, 479 Una persona, de que hablaré i su tiempo, y que solo se designó con y 3 r 1 del código penal. el destino de fiscal militar de una causa célebre, ha procedido al arres El Sr. Navarro Tejeiro: Mi digno compañero el Sr. Salva ha indi to d- uno que fue secretar.o del Despacho. Si no consta de una manera cado ya el conflicto en que se encontró la comisión cuando se le pasó auténtica este hecho, reclamo la atención del Congreso , y digo qu: el la expo…</t>
  </si>
  <si>
    <t>Tejeiro, Navsrro</t>
  </si>
  <si>
    <t>Navsrro Tejeiro</t>
  </si>
  <si>
    <t>…fames no desean otra cosa que fanatizar ó seducir á los infelices Se prorogó la sesión por una hora mas. de lo* pueblos, cuando deberían ser los que debian dirigirlos en la ver £1 Sr. Navsrro Tejeiro: Hace pocos diasque el dígnísimo'Sr. dipu dadera opinión de amor á Ja libertad. ¡Bastante expresa cuando dice que tado Septicn , justamente conmovido por la ocurrí-cias de Cata'uña, rezando el rosario cometen los mas atroces asesinatos ! Ei autor de esta pres…</t>
  </si>
  <si>
    <t>Tejeiro, Nivarro</t>
  </si>
  <si>
    <t>Nivarro Tejeiro</t>
  </si>
  <si>
    <t>…de sus prop.os bie yéndose con su constancia el trato mas infame por parte de los turcos: nes. Aprobado. muchos griegos han matado á sus esposas por no verlas presa de la Otra dei Sr. Nivarro Tejeiro al art. 11 de la renta del pipel se’lab utilidad de aquellos, entre quienes ha habido varios que compraban en do para que el de ios libros parroquiales se costee por las fabr e-s de Const intinop'a mugervs griegas para degollarlas , creyendo en su horro las i…</t>
  </si>
  <si>
    <t>Tejeiro, Vicente</t>
  </si>
  <si>
    <t>Vicente Tejeiro</t>
  </si>
  <si>
    <t>…ándome en las disposicio señores jueces de hecho D. Nicolás Villacampa, D. Francisco Rodrí nes y medidas que las felices circunstancias dictan, y de suyo exige el guez de la Vega, D. Vicente Tejeiro, D Josef de Torres , D. Al estado en que he encontrado este pais.=EI tiempo es frió; pero despe berto Arnet, D. Antonio de Marti, D. Ramón Feliu , D. Francisco jado y hermoso, sin embargo de ¡o adelantado de la estacion.=Dios María Guell y D. Josef Busqu.ts,…</t>
  </si>
  <si>
    <t>Tejeiro-</t>
  </si>
  <si>
    <t>…ia el que no la tuviese, los pasarán los gefes que te veían por la necesidad de mantener á tu muger é hijos. con su informe acerca de la legitimidad de los documento* al Gobier El Sr. Tejeiro-. Me sorprende que al militar i quien se obliga á no , para que proceda á la declaración de la opcion correspondiente al hacer el sacrificio de dejar tu cata y perder su vida se le quiera privar que la tenga, y queden después archivados.” por algún tiempo de l…</t>
  </si>
  <si>
    <t>Tejero, Navarro</t>
  </si>
  <si>
    <t>Navarro Tejero</t>
  </si>
  <si>
    <t>…am:n« ta casa del arrestado, se i: da fi°r« la lectura de varios artículos de la Constitución . qu: se leveron. una extensión infinitamente nnyor. Quedan por lo que llevo dicho El Sr. Navarro Tejero : Yj desearía qu: el Sr. autor de la propo desenvueltas las razones que ha tenido el Sr. Canga para hacer esta sición me dijese si esta abraza no solo la medida , por la cual so po proposición. Asi prescindiendo de los demas ait culos, creo necesaria drá tene…</t>
  </si>
  <si>
    <t>Tejerro</t>
  </si>
  <si>
    <t>oes, su esclavitud, y ta responsabilidad i que están sujetos. : Pero es El Sr. Tejerro deshizo alguna* equivocaciones, que dijo había pade tas cualidades las tienen ahora, ó las tenían igualmente cuando dis cido el Sr. ptvopinantr. frutaban Iip9 rs.! No habiendo variado estas ocupaciones, yo creo que El Sr. Canga: La propuesta de la comisión de…</t>
  </si>
  <si>
    <t>Tellez, Jostf</t>
  </si>
  <si>
    <t>Jostf Tellez</t>
  </si>
  <si>
    <t>…se le alzase la confinación que se le im y emplaza á D. Ramón Fernandez, maestro cuchillero en esta corte, y puso en 1803, ó al menos que se le oyese cu justicia: enterado S. M. i D. Jostf Tellez, vecino de la ciudad de Guadalajara , y caso que de todo , y de que el tribunal tiene suficientes motivos para creer que hayan fallecido, á tus herederos y sucesores, para que dentro de ocho Albacete fue cor-finado sin ser oído ni vencido en juicio, como medi…</t>
  </si>
  <si>
    <t>Tello, Juan</t>
  </si>
  <si>
    <t>Juan Tello</t>
  </si>
  <si>
    <t>…itantes de esa ciudad.=Dioi &amp;c. Zarsarilla 8 de Junio de i3ai.=Juan facciosos. Te! lo.” » Espero con ansia el parte oficial de Ordoñez, en el que me avisa Extracto de un oficio de D. Juan Tello al general en gefe en Puertorá detalladamente las particularidades de la acción y su resultado, para Cabello.=» Entre los artículos cogidos en el campo de baiaiia en la rem tirio á V. E. sin pérdida de momento. Por lo pronto he hecho sa brillante acción pasad…</t>
  </si>
  <si>
    <t>Tel’ez, Febx Fernandez</t>
  </si>
  <si>
    <t>Febx Fernandez Tel’ez</t>
  </si>
  <si>
    <t>…o; i D. J -,;f Ló • U Ves» Cocán», El Sr. Martel reprodujo alguna» razones de las que habia manifes pez Pooce, para el de Campo de Ciso; i D. Lu.s d rara el de la Pola da Lena ; i D. Febx Fernandez Tel’ez . psra el dstado en su anterior discurso. -. á Don El Sr. conde de Tareno dijo que habia sido uno de los que habían Teberga; i D. Sebaitian Rodríguez Alvarez, para d de Giado contribuido á que se pusiese el artículo que reclamaba el Sr. Martel, Diego López lo…</t>
  </si>
  <si>
    <t>Temando</t>
  </si>
  <si>
    <t>…nte los progresos que hace el Angel Vallejo. arte de la destilación de aguardientes, especialmente en Cataluña y otras provincias, pudiéndose citar la villa de Rcus como un modelo D. Temando vu por la gracia de Dios y por ta Constitución de de actividad é inteligencia en este ramo, y el establecimiento de As- laMonjrquía española, Rey de las Españas, 4 todos los que las presen . cor be en la Rio-a. tes vieren y entendieren, sabed: Que las Cortes…</t>
  </si>
  <si>
    <t>Temas</t>
  </si>
  <si>
    <t>…al , y que esta noche habría sesión extraordinara para y acordando como base la rectificación del tratado. continuar la discusión del reglamento de puertos de depósito; que se f I Sr. Temas dijo que renunciaría la palabra, si los demas tañeres discutiría el dictamen de la comisión de Hacienda sobre liquidación de que la h.ban tomado hacían lo mismo, porque no podía decirse suministros, y se leería parte del código penal; con lo cual te levantó m…</t>
  </si>
  <si>
    <t>Tena, Manuel de</t>
  </si>
  <si>
    <t>Manuel de Tena</t>
  </si>
  <si>
    <t>….................. En Madrid. D. Juan Mart n el Empecinado, al coronel comandante de irgenieros 1 regimiento 14487...... loco...................... En Cádiz. de la plaza de Zamora D. Manuel de Tena, ai teniente d 28181..... 1000...................... Er. Ocaúa. de infantería de Vitoria D. Máximo Remoto, a. asesor D. Bernardo 18245..... 1000...................... En Madrid. Peinador, y al juez de primera instancia D. Diego Antonio Gon zález Aionso, actua…</t>
  </si>
  <si>
    <t>706</t>
  </si>
  <si>
    <t>…d declarada. El manifiesto delincuente de i'iat por el coronel comandante de ingenieros de la p!aza de ¿'ino obra el mal 3 la descubierta, y á nadie engaña; el h pócriu obra el ra D. Manuel de Tena, r lativa á la exhumación de los restos de ios mal, y seduceprocuradores de Castilla Padilla, Bravo y Maldonado, impresa por » l’or desgracia de la provincia de Cádiz no son nuevas en ella las disposición del Gobierno á consecuencia de lo acordado por las Cor…</t>
  </si>
  <si>
    <t>Tenet</t>
  </si>
  <si>
    <t>…tas del presupuso del extinguido cuerpo de guardias á petición lo que cree la comisión se pueden eco nc mi zar ;oc9 rs. del Sr. Busbuante, y quedaron aprobadas en su totalidad. II Sr. Tenet dijo que atendido el gran número de oficiales y aun jidminii tracion militar. de ministros sobrantes en este establecimiento, se {odia hacer en é&gt; In la administración militar cuesta á la Nación la suma de 9.131,829 tebaja que se proponía. reales. El consejo…</t>
  </si>
  <si>
    <t>Tenue, Manuel Fernandei</t>
  </si>
  <si>
    <t>Manuel Fernandei Tenue</t>
  </si>
  <si>
    <t>…verdaderamente ta) , no hay duda qr* el __ti jia 19 entra d'*a 7 once de la ñocha falleció en esta cieiad el Rey podría concedérsele; pero no se trata aquí de insulto; este se con Sr. Manuel Fernandei Tenue, «x-diputado de las Cortes constituyen cede á personas que tien n cima» determinadas, y trcae siempre des tes , á los c 1 aftas de edad. Este ■ patriota, siempre benemérito , tanto pués de ta sentencia: lo que aquí se trata es de una trar.&gt;aclr&gt;n h cha en la…</t>
  </si>
  <si>
    <t>Teot</t>
  </si>
  <si>
    <t>…a egecucion reglas ciertas y rigorosas, que eviten los graves daños y per gón. D. Felipe Ba&gt;absr á la de Valladolid. juicios hasta aqui experimentados. Dt ia audiencia de Sevilla. D. Teot mo Escudero á la de Extrema 3." » Que i fin de conseguirlo el Gobierno i la mayor brevedad y dura. D. Josef de Mier a la de Granada. D. Pedro Simó á la de Ca con presencia de los reglamentos, órdenes é instrucciones vigentes, narias. proponga á las Cortes un…</t>
  </si>
  <si>
    <t>Terabio</t>
  </si>
  <si>
    <t>…on ta breve Atienza , Guevara, Alix, Abreu, Galiano, Valdés (D. Dionisio), dad que era de desear por falta de datos; y que previniéndose por el Olis'cr, Sautafe, Lagaica, Nuúez (, D. Terabio), Romero, Aguu- art. 34* de la Constitución que el secretario de Hacienda deba pre</t>
  </si>
  <si>
    <t>Teran, Francisco Mier y</t>
  </si>
  <si>
    <t>Francisco Mier y Teran</t>
  </si>
  <si>
    <t>…ecretario de Hacienda, con el cual remi Juan de Cea Villaroel; y para tres plazas de magistrados de la misma tía de orden de S. M. un proyecto de ley sobre recaudación y adminis i D. Francisco Mier y Teran , D. francisco Javier Otal y Palacin y tración de tas rentas del Estado. D. Felipe Masieu y Masieu. Después de leerse varios artículos de la Constitución y de una lige Se previene á los interesados que acudan á sacar los títulos corres ra discusión, se declar…</t>
  </si>
  <si>
    <t>Terrea, Joscf</t>
  </si>
  <si>
    <t>Joscf Terrea</t>
  </si>
  <si>
    <t>…no piensa ir á aquella capi En la ciudad de Tarragona, reunidos los Sres. jueces de hecho Doa tal , aunque todavía sostienen que irá al Congreso de Veror.a. Los nego Ramón Frliu, D. Joscf Terrea, D. Baltasar Morct, D. Josrf Vidal y cios entre rusos y turcos no se dan por acabados. En Constantmopla, y iarriga, D. Francisco Ignacio Pelleja, D. Joscf Antonio Bertrán, aun en el mismo divan , continúa reinando ia mayor desconfianza bree D. Josrf Martí, D.…</t>
  </si>
  <si>
    <t>Terreros, Cosme Joaquín de</t>
  </si>
  <si>
    <t>Cosme Joaquín de Terreros</t>
  </si>
  <si>
    <t>…ne por desgracia muchas tancia de Cádiz, se cita á los que se consideren acreedores á los bienes veces á nuestra Opinión; mas do por eso debe creerse qne la Inglater mortuorio* de D. Cosme Joaquín de Terreros, para que acudan á Dora deja de tener ciertos sentimiento* de simpatía y conmiseración en fia María de Jesús Menife, viuda y albacea de D. Joaquín de La bar tveor- de U Grécía. Acaso la -rueda' de la fortuna podrá poner á la rida , que fue del comercio de Cád…</t>
  </si>
  <si>
    <t>Terret, Antonio Dionisio</t>
  </si>
  <si>
    <t>Antonio Dionisio Terret</t>
  </si>
  <si>
    <t>…que corría muy valida en por siete votos; lubi-ndo opinado que sí dos, que son D. Jos*f An esta capital la voz de que el Gobierno francés había remitido ya varias tonio Balceils y D. Antonio Dionisio Terret, Barcelona a o de Nopropuestas al Gabinete espabol pata acabar de entenderse y consolidar viemb-e de 182a. Pedro Mane lia, Josef Francisco Poup'ana , Joa la confianza pública. Se exponen en regla todos los artículos; y al quín Ruin y Lacrtu, Josef Antonio Bal…</t>
  </si>
  <si>
    <t>Tesorería, González</t>
  </si>
  <si>
    <t>González Tesorería</t>
  </si>
  <si>
    <t>…nal. mero , uno el Sr. Buruaga, uno el Sr. Flore* Calderón, uno el Sr. Al ARTICULO DE OFICIO. var» Gutiérrez, y uno el Sr. Bleke. En la elección de primer sectetario fue electo el Sr. González Tesorería general dt ¡a Nación. Alonso por 6a votos de 111, teniendo el Sr. Herrera Bnttamante $3 En Real arden de ai de Setiembre último expedida por el minit:votos, el Sr. Romero uno, el Sr. Belda nno, el Sr. Sarabie uno, u riodeGueft*,que ha comunicado á esta tesore…</t>
  </si>
  <si>
    <t>Texeidor, Mi</t>
  </si>
  <si>
    <t>Mi Texeidor</t>
  </si>
  <si>
    <t>…entes se han restituido á le ciudad, en la que se han en becillas Josef Bosoms, por otro nombre Jtp deis E»uuis, Mcnuner, contrado bastantes granos. Este mismo dia al amanecer, el general Mi Texeidor , Qucialt de Matsró y otros. na con los batallones ligeros de Tarragona y Barcelona, y algunas com Idem 30. pañías de Cantabria y Zapadores y ia caballería te trasladó á Bellver, en la Gerdafia, colocándose de este modo en un punto de fácil contacto A las tre…</t>
  </si>
  <si>
    <t>Thielman</t>
  </si>
  <si>
    <t>…a de Hacienda un plan sobre la misma, presentado por D. N. 'Prnsia , se tralabi de rcu nr dos egércitos prusianos, uno de ellos en Lop z. las provincias de XVe.tfa.ia a! mando del general Thielman, y otro be continuó la discusión del presupuesto del ministerio de la Güeña. en las provincias orienta.t s al d-1 cor.de Tauenzien. Ya estaban desig Fortificación e.tai.e y permanente. nados los regimientos que han de componer este ultimo, y ambos que No sien…</t>
  </si>
  <si>
    <t>THomas, Fernandez</t>
  </si>
  <si>
    <t>Fernandez THomas</t>
  </si>
  <si>
    <t>…n contra del dictamen, y entre secreta fermentación de los ánimos te mantiene ennstantemente por laa providencias impolíticas, que multiplicando el niirn.ro de los descon ello» el Sr. Fernandez THomas, e! cea! dijo en un largo d,»cu*»&lt;i que sin duda la comisión no había dado su dictamen porque ia ha tentos , no alcanzan nunca á los gefes que m.s podun temer. La Sicilia principalmente es .hgn» de compasión. Esta isla se habí* bían sorprendido las noticias q…</t>
  </si>
  <si>
    <t>Ti, Ramona</t>
  </si>
  <si>
    <t>Ramona Ti</t>
  </si>
  <si>
    <t>…islas Canarias. ápiiioa del individuo en desempeñar el empleo que oblen.a. Aprobado. Se leyeron por primera vea las siguientes proposiciones. La misma en t'iti de la solicitud de Doña Ramona Ti sangei», Una de los Sres. Rico, Belda , Aiix y otros, reducida á que en viuda del coronel D Juan Qu&gt;roga , pidiendo te concediese una p-ns on atención á que los dias de fiesta perjudican a la agricultura, industria y á tus hijos, opinaba que por ahora no deba…</t>
  </si>
  <si>
    <t>Tía, Josefa</t>
  </si>
  <si>
    <t>Josefa Tía</t>
  </si>
  <si>
    <t>…n pagados por temporadas. Aprobado. bía obtenido, y que no debía haber lugar á votar sobre la última soli El Sr. Falcó reclamó una adición que había presentado reducida á citud de Doña Josefa Tía ver. Apribado. que al art. 7.0 se añadiese después de las palabras 6 quien Us substituya, La de D petac ones provinciales opinaba que debia pasar al Gobier las siguientes , donde no resida 6 se halle el gefe político. La comisión no la adición d.i Sr. Roig ,…</t>
  </si>
  <si>
    <t>Tige, Josef María</t>
  </si>
  <si>
    <t>Josef María Tige</t>
  </si>
  <si>
    <t>…arroyo fi oua línea semejan juramento con arreglo á la ley , declara ion no haber lugar á la forma te, tengan dos ayuntamientos y la consiguiente separación en el go ción de causa D. Josef María Tige, D. Josef María Domínguez, Don bierno civil. Art. 7° Las respectivas diputaciones provinciales dispon Diego Ovando, D. Diego Fernandez Mufioz y D. Joaquín Medina; drán la reunión, y darán al efecto las órdenes y disposiciones oportu habiendo votado por la afi…</t>
  </si>
  <si>
    <t>Til, Fernando</t>
  </si>
  <si>
    <t>Fernando Til</t>
  </si>
  <si>
    <t>…en la fábrica da csA Don A i^d Vallajo. Sevilla, i9 en la de Alicante y *9 en la de la Pai'.oza, y cada )9 uintales dividido* en tres partidas iguales para entregar la primate en D. Fernando Til por la gracia da Díoe y por ta Constitución de Q n de Febrero, la segunda en fin de Maro, y la tercera en fin da Abril la Monarquía española, Rey de la* Bspabat, i todos los que la* pre del presente alio. Lo que paitiopo i V.S para tu inteligencia , y qua sen…</t>
  </si>
  <si>
    <t>Tille, Cristóbal</t>
  </si>
  <si>
    <t>Cristóbal Tille</t>
  </si>
  <si>
    <t>…trabajos, aprovechad la cosecha , y ¿j Rute, D. Francisco María Cte*po, O. Fermín Alcega , D. Antonio no omitáis medio m fatiga para consumar ‘a grande obra de la Nación Carriola, D. Cristóbal Tille: , D. Pedro dala Liare, D. Jo*ef Aba etpaño a, !* segundad del sisteme y ei desengaño de los mas extraño* llan y D. Félix Cetndla*. ilusos. Este pueblo será vuestro apoyo en toras ocasion e. Los s-gio* Subímitnlts. D. Bernardo Fernandez, D. Diego Llórente, D.…</t>
  </si>
  <si>
    <t>Tillo, Manuel Pérez</t>
  </si>
  <si>
    <t>Manuel Pérez Tillo</t>
  </si>
  <si>
    <t>…ón d« quinien que ha fallecido. También alcanza 613 rs. y 5 mrs. el sargento iMyor tas plazas: la infantería ligera constará de 14 batallones con igual fuer que fue de dicha plaza D. Manuel Pérez Tillo, que obtuvo retira as que los de línea; en lo demas conservarán unos y otros'la organiza de disperso* para Toledo, y se ignora su paradero. Los que se crean con ción que tienen actualmente. Art. 3“ Habrá 10 regimientos de caba derecho á la herencia de uno ú o…</t>
  </si>
  <si>
    <t>Tío, Jaime</t>
  </si>
  <si>
    <t>Jaime Tío</t>
  </si>
  <si>
    <t>…o cual sucederá indudable Por el correo que salió de esta corte para Barcelona el 10 de Ju mente en el caso en cuest on : pues si bien la villa de Herrador será lio último remitió D. Jaime Tío é Ivars á D. Antonio Canats, ve acreedora 1 alguna rebaja , nunca podrá ser la que juzga el gefe político, cino de dicha ciudad, cuatro certificaciones de crédito , procedentes de y al 1-so:verse la instanca el odio y resentimiento se dirigirá contra el prést…</t>
  </si>
  <si>
    <t>Tío, Pablo</t>
  </si>
  <si>
    <t>Pablo Tío</t>
  </si>
  <si>
    <t>…el de Velatco. = Excmo. Sr. secretaría del Despacho tomarlo ; pero que un vivo fuego de fusilería y del callón que tenían de la Guerra.” dirigido por el teniente da aquella legión D. Pablo Tío les impuso tal miedo, que tuvieron el placer de verlos retirarte desordenada menta; » Sexto distrito militar.sComandancia de la provincia de Haesca.zz mas que reunidos en las alturas da S. Juan y Sta. Bárbara , segundaron Tengo el gusto de participar á V. S.…</t>
  </si>
  <si>
    <t>Tirado, Jacinto Sánchez</t>
  </si>
  <si>
    <t>Jacinto Sánchez Tirado</t>
  </si>
  <si>
    <t>…cubrir su alcance; y como no se ha Murcia. Santander. Valencia. yan presentado á redamar tu derecho los referidos D. Ventura y Do* Salamanca. Soria. Zamora. I.nac o de Obregon ni D. Jacinto Sánchez Tirado, se les cita y em Sevilla. Valladolid. Y las Idas. plaza para que en el ptecito término de ao dias, contados desde la ptaContribuciones so&lt;re consumos. bl •caeion de este anuncio , lo verifiquen ante el propio Sr. ju^z y escri banía ; pura de lo contrario les…</t>
  </si>
  <si>
    <t>Tirado, Josefa</t>
  </si>
  <si>
    <t>Josefa Tirado</t>
  </si>
  <si>
    <t>…dyuvado á adquirir.!, no p ede m.nos cau-4 de la N*c on , cupo en la su.rte d.l o- m r t\: - d i . «Je l.:,..',:Ticaa tan fausto motivo, y rep to ndo sus juramentos os ase- d .• a Doña Josefa Tirado , hita ce l&gt; Jo»cf...r: yirj á ia lae de ia Nación cnteta que identificados *u&gt; individuo* en m.znto de Iviremacura, rrurtto en on de _u n.</t>
  </si>
  <si>
    <t>Tirig, Demetrio</t>
  </si>
  <si>
    <t>Demetrio Tirig</t>
  </si>
  <si>
    <t>…se adelsntó de la guerrilla , y con su carabina dió muerte ¿ un &lt;1 Habiendo emprendido esta mañana la marcha con dirección á faccioso; como igualmente el sargento primero retirado D. Demetrio Tirig (como manifesté á V. S. en mi último parte desde las Cueva.), Villanova, el que con 10 cazadores desalojó á los del convento. Du al llegar á sus inmediaciones nos dió noticia un paisano de qu- te ha rante la acción resonaban vivas é himnos i la libertad nacio…</t>
  </si>
  <si>
    <t>Tirrega, Isidro</t>
  </si>
  <si>
    <t>Isidro Tirrega</t>
  </si>
  <si>
    <t>…us hombros y se los habitantes, milicia y guarnición de Reus, entre lo» cuales cita al collevaban. Por nuestra parte ha muerto un cabo de la tercera compañía mandmt: d: artillería D. Isidro Tirrega, que con su valiente partida del primer batallón ds la mllic;a movible, y hubo 9 heridos, entre ello* voluntaria contribuyó á la destrucción de albu los facciosos , y mas par dos de mucha consideración, y algunos contusos: se han cogido varias ticularmente al…</t>
  </si>
  <si>
    <t>Tiujillo</t>
  </si>
  <si>
    <t>…ón de Milicias nacionales se mandaron pasar una adi cediesen algunos edificios del Crédito publico y un mor.no arruinado ción det Si. Escovedo al art. r.° del reglamento: otra del Sr. Tiujillo para establecer fabricas de 10&amp; clase de paños, ofreciendo entregar al mismo artículo , y otra del Sr. Navarro Tejeiro al art. 4.0 dentro de ocho años 11O varas de paño para vestir el egerc.ro. opi Don Baltisai Yalcarcel, primer ayudante del estado mayor, ped…</t>
  </si>
  <si>
    <t>Tni</t>
  </si>
  <si>
    <t>…y fueron rrbajstío* A la comisión de Bnhcencia se pasó una expo.icíon del ayunta en el informe anterior. miento de B"bao, solicitando se concediese i un establecimiento «le la Fl Sr. Tni¡¡l:o dijo que el colegio de ciruzía de Cádiz d-hería niir misma villa le huerta del extinguido convento de S. Francisco. bajo el gob-erno «le la d rxcwn g-n.ral de estudios, por ser un --tal» -A la cornis ón primera de Hacienda se pasó un eficio del Sr. se ci…</t>
  </si>
  <si>
    <t>To</t>
  </si>
  <si>
    <t>…cibieron con tjtiado, y mandaron que pasase i la comi El Sr. Calatrava dijo que las audiencias de Granada y ValiadoUd sión de Visita de! Crédito público una memoria presentada por D. To habían hecho observaciones acerca de este artículo. mas Gómez, natural de Alicante, que trata del modo de mejorar el El Sr. Cortés dijo que despees de las palabras culto telipoto debe Créd to público. ría añadirse generalmente reconocido, pues si no se añadía…</t>
  </si>
  <si>
    <t>…e y de trasporte i varios individuos. Igualmente ha dado leyes me permiten dispensaros; dejad á esos seductores , i esas cabezas hoy fondo Ir fragata española nueva Veloz Mariana, capitán D. To de la insurrección , sobre quienes pasa todo el rigor de la justicia y to mas Sobrado , de Verteruz y la Havana , en jo dias del primer puerto dos los males que os han hecho sufrir; no desoigáis esta vez la voz pa y 31 del segundo, en donde no estuvo mas que…</t>
  </si>
  <si>
    <t>…este silencio, y fina mente de: ú t-mo tese t.rij que tuvo tarto ca impond-rabies que á su consecuencia ha de padecer sndefectiblenunt# llar y tanta reserva. Esperamos que nuestro general To r ) s sea aa mismas huellas que el general Mina, y qu. no gaste po.rora tu u.m- el género humano. v*A*eiA. po en pcqurñecesv Parir i£ Je Diciembre. be sab.- que el 12 entró el genera! Torrijos en San. Cresa , yO-Dor.rlI el Una prueba de la opinión que seguía…</t>
  </si>
  <si>
    <t>To-o, Ramón</t>
  </si>
  <si>
    <t>Ramón To-o</t>
  </si>
  <si>
    <t>…e r-te e/icla, 4 Ceruti , en que le mini6..&gt;u que habiendo salido una partida de dicho dar los descargos y det'cnsis, y de no come ¡r-cer en el r.f r do p azo cuerpo, al cargo d-l teniente D. Ramón To-o , y otras dos en persecu se seguirá la ciuti, v se sev.t ncian en t.bj día por ó- to qu ir. ción del faccioso P nquillo, anuí d.h solio ai a1 a'feiez del mismo r.zca mas pena enir; e! de la faca n *’ de que es acusa-o, ceciznao cuerpo D.Andrés Gom.z, que se h…</t>
  </si>
  <si>
    <t>Tobar, Josef García de</t>
  </si>
  <si>
    <t>Josef García de Tobar</t>
  </si>
  <si>
    <t>…. io..-. Importantes 69 raciones de paja, su* El Excmo. Sr. gefe político de esta provincia D. Josef Martínez de ministrada» en Octubre A jo mrs. 60..... S. Martin, y en su nombre D. Josef García de Tobar, denunció al se Cor *» 44*.• I- alcalde constitucional D. Ramón Casillas un párrafo del Diario Nuevo de Madrid, núm. 195, en concepto de injurioso. En su vista se reunió Nota. Las liquidaciones de que tratan lot dot últimos casos se en el jurado, compuesto de…</t>
  </si>
  <si>
    <t>Todoa, Marau.-</t>
  </si>
  <si>
    <t>Marau.- Todoa</t>
  </si>
  <si>
    <t>…cumplimiento, ó por advestirse otros defectos , porque pue de declarar haber lugar 4 votar sobre su totalidad. den cometerse algunas taitas ó defectos por los ayuntamientos sin Ei Sr. Marau.- Todoa loa.Sret. que han hablado sobre cate proyecto malicia y sin cuipa ninguna, y donde no hay criminalidad no puede han convenido en la necesidad de. tener una fuerza disponible, tanto haber castigo; por todas esta* razones no pueden aprobarse ¡as dos úl para con…</t>
  </si>
  <si>
    <t>Todos</t>
  </si>
  <si>
    <t>…tencia, y se ba visto precisado el ayuntamiento 4 sucumbir 4 los Han sido rescatadas las muías de la diligencia. pedidos, menos 4 la soltura de los presos, porque noticioso el Sr. juez Todos han demostrado en la acción srr unos verdaderos constitu de primera instancia por el alcaide de las cárceles y aviso del ayunta cionales, cuyo nombre solo abraza todas las alabanzas que pedamos miento de la tenacidad del comandante en quererlea dar libertad ,…</t>
  </si>
  <si>
    <t>Togado</t>
  </si>
  <si>
    <t>…ecreto de tétenos protege 4 tus po En la villa de Madrid Í 23 «le Abril de 181a: El Sr. D. Ramón seedores, y «oto dice ae verifique la abolición de lat prestaciones seno de Argos, juez Togado de primara instancia: Hebtéralaae observado en riales. No he tratado poca de preaentar ningún medio dilatorio, tino este juicio lodos los trámites prescritos por la ley, y calificado Ira ir aolo de manifestar ani opinión francamente al ver el verdadero despoj…</t>
  </si>
  <si>
    <t>Toiosana</t>
  </si>
  <si>
    <t>…os. Huesca y Agosto a de i8ai-=Fclipe Perennal ayudanta supexnumerario del reg m.eato infai.t.r.a de ü.. cu, -en Sr. comandante gen.ral del rt.° distrito militar." fijo rs. z D. 1 comandante Toiosana al comandante general del 6." distrito Talaven al capitán D. Joaquín V c¡n González , arud.irt- Hela mtlirar. ext ti uida prim-ra d visión de grat -d..c- p,. vi-.cia .s . c. - '-o rs. Comsndinci» de la columna móvil d-l bajo Aragón. V.ch a D. Josef Courtos, s…</t>
  </si>
  <si>
    <t>Toiovana</t>
  </si>
  <si>
    <t>…ta der tra copio. rota y dispersión al enemigo en todas direcciones. Lo persiguen con » A mi salida d:i pu;b’o de Alcubierre tuve aviso de que una calor las valientes columnas del comandante Toiovana y cap,tan de partida de facciosos se hallaba en Poteñino y otra en Lalueza: al mo Villaviciosa Azcuénaga, quienes i esta hora estarán mas allá da mento dispuse que el ayudante de Lusitania O. Ped o Aniunez con 20 Maella. caballos de Aimansa y Lus tañía y 15 c…</t>
  </si>
  <si>
    <t>Tojor, Juan</t>
  </si>
  <si>
    <t>Juan Tojor</t>
  </si>
  <si>
    <t>…endencia, y de que fue privado La moma , en vista de la exposición de D. Franc:sco Perez Alonso, por srr hijo de cortador, opinaba que debía volver al servicio con el apoderado de D. Juan Tojor», para que en la liquidación de uno; cré empleo que obtuvo por tus méritos en la citada guerra; y que las Cor ditos de Felipe v que este tiene á su favor, se abrace no solo el captes podían declarar que ningún español puede ser expel.do del servicio tai , tus…</t>
  </si>
  <si>
    <t>ToJosana</t>
  </si>
  <si>
    <t>…an, y tomaron el partido de do lev mente herido, y un peón de albañil y un carpintero contusos. entregarse. El go i petición del pueblo, y con consentimiento del Gobernador, se El comandante ToJosana ha tenido una brillarte acción , sostenida fortificó el mesón del puente, con el objeto de alejar de las huertas i la en Oclas, y cuyos pormenores publicaremos otro dia. vil caterva que intentaba privarle* del auxilio de la verdura , y poder Por los contornos…</t>
  </si>
  <si>
    <t>Toledo, Fernando Josef de</t>
  </si>
  <si>
    <t>Fernando Josef de Toledo</t>
  </si>
  <si>
    <t>…iones, compren de Valladolid. D. Pedro de la Puerta á la de Extremadura. D. Josef diendo en sus artículos todas las providencias que parecieren masé pro Cartagena á la de Sevilla. D. Fernando Josef de Toledo á la de Arapósito para el objeto. on. D. Josef Ayuso y Navarro á la de Granada. D. Josef lañe y 4.0 » Que se fije un plazo itnprorogable da seis meses, dentro del f.opez á la de C.cere». D. Pedro Jacobo Pizarro, fiscal, a la de As cual los pueblos hayan da pr…</t>
  </si>
  <si>
    <t>…ienen comunicadas. rarse ni en los medios ni en los resultado. Estas dos das.s de hombres son los encargados de dirigir la política respecto de España •• luchan en Por renuncia de D. Fernando Josef de Toledo ha quedado vacan tre sí, 7 el vencedor de estos dos partidos sera el que decida si habri guia te en la audiencia de Aragón una plaza de magistrado, para la cual se ra ó se conservará la paz: si triunfa el de ios energúmenos preparémo admiten memoriales acompa…</t>
  </si>
  <si>
    <t>Toledo, Fflticisco Octavio de</t>
  </si>
  <si>
    <t>Fflticisco Octavio de Toledo</t>
  </si>
  <si>
    <t>ICO* aider, D. Fflticisco Octavio de Toledo, D. Josaf T.sjarin, D Anto objeto de los sumarios es y debe ser la averiguación de la verdad , ave nio Narciso Sánchez, D. Juan de Soto, D. Jo».f ^rron i¡fD, Josef riguada que sea plenamente por la comprobaciou del cuerpo del delito Jiménez, calificaron con l…</t>
  </si>
  <si>
    <t>Tolo, Fciipe</t>
  </si>
  <si>
    <t>Fciipe Tolo</t>
  </si>
  <si>
    <t>…el teniente coro por conducto del comandante militar del bajo Aragón, ios siguientes nel marques del I’a'acio, por hallarse la restante de gu-rríHa , formaran partes del teniente coronel D. Fciipe Tolo sana y espitan D. Josef Be en balaba en la maceta de la altura , y la caballería de Villavic osa, ai rnia Azcuénaga, que detallan la acción gloriosa en que á las inmedia mando del primir ayudante D. Manuel S. Román, permaneciere en ciones de Caspc el 25 últim…</t>
  </si>
  <si>
    <t>Tolosa, Felipe</t>
  </si>
  <si>
    <t>Felipe Tolosa</t>
  </si>
  <si>
    <t>…bajo Aragón y ds las armas de Alcafnz , remite á dicho se F.i teniente Córdoba , el sargento Balsia y los demas de Aimansa y Lu- ñor comandante general la copia del parte dado por D. Felipe Tolosa sitana han llenado completamente su* deberes; pero no puedo dejar de na , y añade entre otra* cosas lo que sigue: recomendar á V. S. el entusiasmo y valor con qu: se han conducido Columna motil del bajo Aragón. « ¡Viva la Constitución! A una en esta jornada l…</t>
  </si>
  <si>
    <t>Tolosa, Ramón</t>
  </si>
  <si>
    <t>Ramón Tolosa</t>
  </si>
  <si>
    <t>…ón del regimiento de infantetía Ordene* mandante del primer batallón del regimiento infantería Imperial Ale militares. jandro. Barcelona: pan primer comandante al coronel graduado D. Ramón Tolosa (ligero): para coronel al coronel títo de infantería Don Fesí, teniente coronel del regimiento de caballería de Numancia. Francisco Ignacio Amura, supernumerario del regimiento de Fernan Bilbao (ligero): para coronel al coronel vivo de infantería D. Juan do V…</t>
  </si>
  <si>
    <t>Tolosana</t>
  </si>
  <si>
    <t>…que se descubrían algunos fac » Mañana probablemente darán i V. S. un parte detallado de toda ciosos, y salí con la caballería é infantería; pero como el convento es la acción el comandante Tolosana y el capitán Azcuénaga, pues á mi ta situado en aito vieron pronto mi movimiento, y ya no me quedaba me es imposible hacerlo por la razón que dejo expresada. Entretanto otro recurso que dividir los ¡o hombres que d: ambas armas llevaba, debo manifestar i V. S…</t>
  </si>
  <si>
    <t>…esen variaciones. coronel Ceval los se hillaba el 8 con su columna en Calanda en reipcica E Congreso decidió que la comisión de Constitución y la de Re con el coronel Barrena y el comandante Tolosana , cuya co¡ enana , des dice on de leyes acabasen de redactar la Constitución á fin de presen pués de haber perseguido i los restos de Capapé fusta lo mas i. a .oso da tar! I a Gobierno, y que la primera se encargase de designar el día J las montafias, estaba…</t>
  </si>
  <si>
    <t>…conte tivas habían cargado los facciosos en fuerzas excesivamente superiores nidos en su texto , y principalmente de los relativos á la autoridad de sobre la columna del mando del comandante Tolosana, quien se había los obispos y de los Príncipes en la iglesia, y á los límites de las dos replegado á tres leguas de dicha villa, y que los facciosos entraron en 1« potestades espiritual y temporal. Esta obra, singular y clásica en su lí de -Viaclta. Aunque no…</t>
  </si>
  <si>
    <t>Tolosana, Felipe</t>
  </si>
  <si>
    <t>Felipe Tolosana</t>
  </si>
  <si>
    <t>…ensillados, 4 tU!r:.¿ionit.s¡.podil a Alufiia./.tu pan do, determiné qu: ia colum sabl.s, una caja de guerra, 3 mu-reos , 4 presos, entre ellos et segundo na nií'iv.i .¡ue nidada D. Felipe Tolosana dejase ti punto de v.a aceita Comandante que esta herido y ciego por haberse ocultado entre cal viva: que ocupaba, y Si sitiase en Vlldea'gorfa; pero teniendo noticias poste- a! pueb'o abrigó muchos que no pudieron encontrarse. Llamo la aten r..r.s &lt;1 .¡ is e…</t>
  </si>
  <si>
    <t>…dependen. Las que faltaren i esta sagrada boy por ios valientes que forman la columna del b earro cornandinre oblación serán multadas ó procesadas con arreglo á ht citcunstancias D. Felipe Tolosana, i quien, como dije á V. S. en este di*, d •*.-)- 'a y i la trascendencia y gravedad de la culpa, según lo tanga i bien el Fresneda la había dado orden para que con dicha columna se .iirir-ie»í general en gafe del ejército, donde lo baya, y en su defecto el c…</t>
  </si>
  <si>
    <t>Tolosma, Felipe</t>
  </si>
  <si>
    <t>Felipe Tolosma</t>
  </si>
  <si>
    <t>…ue. » Sexto distrito militar. Comtndancia dei bajo Aragón. El coman »■ Bien conocí que dirigiéndome sobre el frente y cammo de Maelia dante de la columna expresada del Urjo Aragón D. Felipe Tolosma des con la reserva, lograría aterrar a i o* enemigos y b-tr, os computan» ri de Maeüa con fecha del a6 , que hoy ha llegado á mis manos , me di te. Con efecto mandé á Extremadura formar la columna cerrada, v es ce lo que á la letra copio. Coiumna móvil del ba…</t>
  </si>
  <si>
    <t>Toma</t>
  </si>
  <si>
    <t>…es relativas al modo Lino Coutinho el dictamen de ia comisión Diplomática sobre los espa de proceder en estas causas, cuyo conocimiento se quitaba al jando. ñoles presos en Oporto D. Toma* Bianc y D. Ramón Oc-ron , según La discusión del aitículo y de las adiciones hechas por la comisión el cual, y á consecuencia de los tratados existentes entre las dos nacio y por algunos otras vocales duraron hasta el día 6 ( 1 ), y dieran nes, debían entreg…</t>
  </si>
  <si>
    <t>…rados de la sala segunda del tribunal supremo de Justicia. por lo que habia ocurrido á las Cortes; r que correspondiendo á estas Algunos Sres. diputados pidieron la palabra , y el Sr. Toma* recla el resolver sobre este punto , drb a pasar la exposición a la comisión qua mó de nuevo el reglamento. Se preguntó é qué comisión pesaría esta entendía en tes n-gocio» de Cataluña. exposición, y se resolvió que á la de Casos de responsabilidad por 68 De…</t>
  </si>
  <si>
    <t>…res Ayumtamisnto. En oficio de hoy nos dice el Sr. comandante gene bítero D. Domingo Moral te , teniente ciara «le Algatocm, capellán del ral de esto provincia lo que sigue : * El brigadier D. Toma* Retortiegército de 1* fe, y el que llevaba la bandera blanca con la cruz roja lio , comandante de armas de Aigcciras , con fecha id de este mei mo en el centro entre ia turbe de lot miserable* ilusos y supersticiosos.*' dice lo siguiente: Ei coronel D. Joaqu…</t>
  </si>
  <si>
    <t>…os ó certificaciones de sus servicios y de su adhesión armas de Ouadalajara , enaguada de goao y entusiasmada por vu stro va á la Const.tucion al secretario de la misma diputación D. Toma* lor , os tributa su adm ración y tu reconocimiento. Vuestro noble y siem SanJi z del Pozo, francos de porte; en inteligencia que serán preferi pre memorable egemplo inflama el civismo eo nuestros pechos, y loa ha dos tos c-xced.ntes de propios, ios cmp.eados…</t>
  </si>
  <si>
    <t>Toma, Francisco</t>
  </si>
  <si>
    <t>Francisco Toma</t>
  </si>
  <si>
    <t>…efectos que me propuse en ARTICULO DB OFICIO. la expedición que sobre barlovento puse i las órdenes del brigadier El Sr. secretario del Despacho de la Gobernación de Ultramar dice D. Francisco Toma* Morales, y deseando desahogar la plaza de Huer •1 de Giacia y Justicia desde el Real siuo de Aranjuez con esta fecha to-Cabello de las tropas sobrantes, que consumían inútilmente raciones 10 que sigue: que costaban grande» dificu'tad« adquirirías, resolví au…</t>
  </si>
  <si>
    <t>Tomaat</t>
  </si>
  <si>
    <t>…A A., continúan sin novedad en su importante salud.” escrutinio el Sr. Riego por 7 a votos de 130, recayendo los $6 restan tes en el Sr. Va des, uno en el Sr. Salva, y otro en el Sr. Tomaat __Como hay gentes que por error de concepto, ó con designio mali Quedó elegido vice- presidente el sr. Salvato por 73 votos de 117, cioso , exageran ó desfiguran los hechos mas sencillos, no será malo repartiéndose los restantes en esta forma, goal Sr. Goaérf…</t>
  </si>
  <si>
    <t>Tomas</t>
  </si>
  <si>
    <t>…stado *1 §r. Adan , opinó que d.b a La comisión encargada de exam nar los poderes de los c'rc-i indi aprobarse. viduos que componen la de Poderes presentó su dictam*n acerca de El Sr. Tomas se opuso al dictamen de I* com's'on , y manf aló los del Sr. D. Pedro Bartolomé; y habénloos encontrado arreglados que un tmp'eado podía hacer la renuncia de su d st no cuando no qui 4 la Consttucon, opinaba qua d-hian aprobarse- asi se verifico. siese s'tv r…</t>
  </si>
  <si>
    <t>…en Francia un 20 al Sr. Vaidés, uno al br. Septien , uno al Sr. Castejon , uno al se decreto para levantar 409 hombres. Debe saberse que el egércilo francés ñor Infantes, y uno al Sr. Tomas. Total 117. está en una baja efectiva de 30 i 409 del pie de guerra. Este plan se Quedó elegido primer secretario el St. Infantes per 75 votos de 130, adopto por vía de prueba con el objeto inmediato de la economía. El recayendo los restantes, 30 en el Sr. Sá…</t>
  </si>
  <si>
    <t>…, 4 D. Alfonso García Vergara para la tercera, • Don hace alusión á persona ó personas determinadas, 6 á cuerpeo reconoci Juan García del Pozo para la cuarta; y para la fiscalía 4 D. Tomas dos por las leyes. Art. 4.0 Son libelos infamatorios, con arreglo al ar Díaz Rodríguez. tículo 16 de la ley de 11 de Octubre de 1820, los escritos en que te Por renuncia de D. Martin Alvérez Sotomavot ha quedado vacan vulnera la reputación ó el honor de los p…</t>
  </si>
  <si>
    <t>…io = D os guarde á vmds. muchos afios tzl’amp ona 30 de Marzo dernal , lo estaba también la loes ú'ia de los densas países extranjeros, I de 1811. =eMi?u-1 López de Baños. = Sres. D. Tomas d- Gana, co la comisión op naba que» . Aprobado. mandante de la milicia nacional vo'untaria d nfantera , y D. Eus- La misma comisión op'naba que la sob: tud d i brlgid.er O. Jo* uquio de Bengoa , comandante de la de caballería de Bilbao.” sef María Meneos , c…</t>
  </si>
  <si>
    <t>…ia comisión de Casos de responsabi El Sr. Casrejon: Lo que ha manifestado ei Sr. Gziano no tiene lidad. contestación, y asi las.Cortes no «febea ocuparse en u :a exposición so El Sr. Tomas reclamó el reglamento por haberte entrado en discu bre la cual es el Gobérno quien debe reso.ver ; p. r o qje p do a) se sión sin preceder proposición , dictamen de comisión ni otro alguno ñor presidente haga preguntar si pasará dicha exposición al Gobierno.…</t>
  </si>
  <si>
    <t>…occidentales ingleas y el continente , á fin de estar pronto dictamen, se procedió á la discusión del art. t.° para cuando nosotros demos entrada á los buques americanos en los El Sr. Tomas dijo que este expediente no ten-a mas instrucción qua puertos de las expresadas islas. La política de los Estados-Unidos es muy la exposición del ayuntamiento de Guadalupe, y no le parecía bastan sencilla en lo perteneciente al comeicio extrangero ; conceden…</t>
  </si>
  <si>
    <t>…han llamado la de Castilla la Vieja, juez de primera instancia en esta cap.tal, por ia atención de Ü. M. hacia ua objeto de tanta importancia y trascenden escribanía da número de D. Tomas de hancha y Prado, donde se admiti cia. Nada hay en efecto mas perjudicial en el estado da hostilidad en rán las que se hagan siendo arregladas, en el término de 39 días, coñ que por desgracia se halla una parte, aunque pequ fia, de Ja Nación, udos desde el e…</t>
  </si>
  <si>
    <t>…u vida con la fu^a , sin que toda brando yira el de Hacienda al Sr. Med:ci; para el de Gracia y Justicia vía se sepan los ulteriores resudados de aquefns disiurbios: acusábanle al Sr. Tomas:; para el de Estado al comendador D. Alvaro Ruff -; pa de traidor por haber aconsejado las providencias pacíficas—be esperaba ra el del Interior al príncipe Carditto; para el de Guerra al principe en Constan!mop a que antes del Ramadan , que enipzaba en 22 de…</t>
  </si>
  <si>
    <t>Gaceta de Madrid n.º 210 (extraordinaria)</t>
  </si>
  <si>
    <t>…o acabe de recibir el siguiente parte: i» Escaso. Sr : Tengo la dulce satisfacción de participar é V. E., M* fon parte ofical que he recibido en cata andana del unriacal de cam po D. Tomas 0*Donojé , comandante general del décimo diatrito mi litar, que la extinguida brigada de Carabineros y milicia activa da Córdoba, que obedecían las órdenes del coronel D. luán Espinosa da loa Monteros, se lia rendido sin condiciones á las fueras reunidas da A…</t>
  </si>
  <si>
    <t>…dole* alguna pérdida. Para vice-piesidcntc fue elegido el Sr. Domenech por 63 votos de — La dipnradon provincial de Barcelona intenta formar un cuerpo ex 110, teniendo 40 votos el Sr. Tomas, dos el Sr. Letre, uno el Sr. Ro pedicionario de In milicia nacional. mero , uno el Sr. Buruaga, uno el Sr. Flore* Calderón, uno el Sr. Al ARTICULO DE OFICIO. var» Gutiérrez, y uno el Sr. Bleke. En la elección de primer sectetario fue electo el Sr. González T…</t>
  </si>
  <si>
    <t>…Sr. Salvi: Es evidente que la mayor parte de los cesante* be corresponder al ministerio de Grscia y Justicia. deben su origen al restablecimiento de la Constitución , habiéndo El Sr. Tomas: Mientras que la Real orden por la cual se conce seles separado de tus destinos por desafectos á ella , á no ser aque dieron á este establecimiento en 3 de Abril de 813 los 93,179 rs. y 20 llos que lo han sido por la supresión de algunas oficinas que h.n de m…</t>
  </si>
  <si>
    <t>Tomas, Fernandez</t>
  </si>
  <si>
    <t>Fernandez Tomas</t>
  </si>
  <si>
    <t>…ia, y tienen que reducirse a! mísero egercicio de envidiar, aborre nerse de togados , sino indistintamente de toda clase de personas, dijo cer , maquinar y deshonrarse en vano. el Sr. Fernandez Tomas: » Me parece que se quiere poner esto tan á la » Hoy empezáis á cgerccr vuestras augustas funciones, y hoy em moderna, que yo no lo entiendo; se trata de foimar un supremo tribu pieza también una nueva época en la historia memorable de nuestra id de Justicia,…</t>
  </si>
  <si>
    <t>…é el rumor que había habido en las gale rías, no se reputaba ya «orno diputado de Corles, y que asi no volvería rxssiDUMciA nxi Sx. Vaidzs (Don Catktavo). mas el Congreso; pero el Sr. Fernandez Tomas le dió teles y tan con vincentes razones que pudo sosegarlo , y continuó en su asiento. SrtioH del |.° Se leyeran «los dictámenes de comieiones sobre los expedienta que Leída y aprobada el acta de la anterior, se procedió é las de presidente, v ice-presiden t…</t>
  </si>
  <si>
    <t>…y propusiese la tenido á la letra y por orden de fechas es como sigue : resolución que debía tomar el Congreso. Comandancia militar de Bianes. Al cabo de seis dias y noches da El Sr. Fernandez Tomas pidió que las cartas del Príncipe te impri continuo* trabajos, ansiedades .7 desvelos hemos conseguido por fio miesen en el mismo día; y el Sr. Borges Cirneiro apoyó la proposi que todas las facciones de la provincia de Gerona nos viniesen á ata ción , dicien…</t>
  </si>
  <si>
    <t>…ontraviniere á estas disposiciones será juzgado y casti quilla entregada á las implacables ondas del mar. gado con torio el rigor de las leyes militares; y á fia de proceder al El Sr. Fernandez Tomas, después de impugnar algunas razones da registro de todas las casas que sea conveniente , queda nombrada una las expuestas por el Sr. Ribsiro d« Andrade, pasó i tratar del articu cornis ón de los individúes del ayuntamicnio y dos ciudadanos minia lo , y expus…</t>
  </si>
  <si>
    <t>Tome</t>
  </si>
  <si>
    <t>…Ramón da Argot, la é iala* adyacente* « da dtl y) y escribanía cartulina de D. Valdotnero Moraleda, se han promovido Decreto de S. M. is cuerpo* se hagan con auto* á pedimento de D. Tome* de Velatco como heredero de DoBa arreglo i lot «fio* ecc María Marta Ruiz, sobre redamación de ag vales Reales: ig d* 150 Decreto de la* O &gt;en la causa de lo* reo* peso*, 4 de ó00 y 6 de goo, en lo* cuales te ha mandado se pro de Cádiz del 10 de 1 fel 16.) c…</t>
  </si>
  <si>
    <t>Tomé</t>
  </si>
  <si>
    <t>…riódico que se publica en esta capital con el títu buirse á sucesos inesperados y á causas anteriores, cuyos efectos no po lo de Zurriago, denunciado en 1 tf de Octubre último por D. Tomé* día evitar la prudencia humana mas consumada. La regeneración de los Fernandez Vallejo y D. Josef Joaquín Sagarzurieta, procuradores estados no es obra de poco tiempo, y mucho mas cuando hay tanto dicos de asta M. H. villa; la ley condena i D. Félix Megía ,…</t>
  </si>
  <si>
    <t>Tomé, Gaspar Herrera</t>
  </si>
  <si>
    <t>Gaspar Herrera Tomé</t>
  </si>
  <si>
    <t>…rva ele instancia de la ciudad de Búrgos, se cita, llama y emplaza a todos lo* varla al alto conocimiento de S. M. con tas mas positivas recomenda interesados en el abintestato de D. Gaspar Herrera Tomé , vecino qua ciones de la bizarría y buen porte de estos oficiales y soldados que ten fue de dicha ciudad, que falleció repentinamente m el 30 de Agosto go el honor de mandar. Dios guarde á V- E. muchos años. Cuartel ge de este pr.'sente año, para que dentro…</t>
  </si>
  <si>
    <t>Toméis, Jotarios Miguel García y</t>
  </si>
  <si>
    <t>Jotarios Miguel García y Toméis</t>
  </si>
  <si>
    <t>…ll, é icmcdiaumerte saüó para aquel purlo una v*. D. Jotef Font, todos estos de su compañía , y de infantería los volun liTt.’ compañ'* de catadores de m ntaña al mando del captan D. Jotarios Miguel García y Toméis, y J &lt;¡:f García , este crido del expre f Gara , que los desalojó en un momento : pero impsn.»djiurntc d.ó sado sargento, con objeto de co'ocar la lápida en Blesa, y vencer cuan con una columna de 70o facciosos, á cuyo frente s* hallsbi ei ex cartos obstdcu'o…</t>
  </si>
  <si>
    <t>Tomit</t>
  </si>
  <si>
    <t>…dad de Milaga, reunidos los Sres. jueces de hecho Don de loa jóvenes en la carrera militar, 4.a marquilla, á 5 ra. en papel y 6 Juan Nepomuceno González , D. Lorenzo del Castillo, D. Tomit de en rústica—Ernesti, metaphisica et lógica, 8."marquilla, á 9 rs. en la Fuente, D. Pabío Solana, D. Diego María López, D. Juan Jimé rústica.—Eximeni, instituciones phitosophicae et mathcmaticae: dos nez de Enciso, D. Josef Fermín de Jáuregui , D. Joaquín He…</t>
  </si>
  <si>
    <t>Tonb.o</t>
  </si>
  <si>
    <t>…Adan, Munarriz, Canga, Afonzo, Saavedta, Alix, Gaiiano, Kuiz da el poder egecutivo puede tener los datos necesarios para formar una ia Vega, Abreu, Atienza, Jiménez ,Sanufe, Nunca(D. Tonb.o), Ro idea exacta de la conducta de cualquier empicado, y para saber si se mero, Pacheco, Aguirre , Sangenis , Gi,bert , Meca .Sequera, Domedebe ó no trasladarle á otro punto distinto de aquel en donde resi nech , Velasco , Sedeño, Escovedo, Villavisja , Fuent…</t>
  </si>
  <si>
    <t>Tonbio</t>
  </si>
  <si>
    <t>…pués al Sr. Salvato por 90 votos de s»8, repartiéndose en el día á una sola petición, que es la de quedar libres del yugo oto- lo* restantes entre los Sres. Gómez Bccetra, Nufiez (D. Tonbio) , Al calde , Henriquez, Cano , Ladrón de Guevara y Marchámalo. : Acaba de ser litografiado el famoso zodiaco de Denderach por e! cé Fue elegido también el Sr. Ruvinat por 75 votos de *17, repar lebre Mr. Aubry, quien ha bosquejado al mismo tiempo el monumen…</t>
  </si>
  <si>
    <t>…ne hallarse entre fea muerto* el mismo cabeci i.* Dt Constitución. Mendiola, Fagoega, Guridi y Alcocer,Goalla -.Urania con su gente pidió ayer desde Lascano repetida* vecra xelez (D. Tonbio), San Martin, Cantarides, Castdlo (D. Florando), raciona al pueblo de Viltafranca ; tus autoridades y vecindario se oeMíien, Erara, Godoi, Ibaraa, y Odoardo. - mroo con iudiguaciou; Uraaga los atacó por la tarde, y los viltafrao- Dt Podtr egecutioo. Horbegoso…</t>
  </si>
  <si>
    <t>…tamante, Soberon , Prat, Salvé, Infante, Siiva, Montesinos, Rojo, esta última para Burga no salieron mas que cuatro hombres—La rr. liHenriquez, Sarabia, Tomas, Trujillo, Nuíiez ( D. Tonbio ) , Mu* cia de San Peder cogió el 14 é un cura muy gordo del mismo pue narriz, González Rom , Oralle, Cuadra, Fuente del Rio, González blo en el de Catltus; después estuvieron en aquel punto los facciosos, Aguirre, Marchámalo, Benito, Potada, Marau, Escobedo,…</t>
  </si>
  <si>
    <t>…tienen r c.s d¿J re Ruiz de la Vega, Galiano , S.ilvato , Alienta, Abreu , Ji.-nenez, ella; He aquí la cu st on que había que r-sov-r, necesitando a» Cor Santal:, Lagasca , Nuñez(D. Tonbio) , Pacheco, Aguirre , Seguera, tes entrar en una rfiscu» on muy prolija. Sin ?n.b:ry de esto yo piso Mecí, Luque, Alix, Escovedo , Veiasco, Viílanueva, Molendaz, mas adelante, y sup..co al ¡&gt;r. secretario lea la p.iopca:. on qu: ac:b»o: Calderón, López del Ba…</t>
  </si>
  <si>
    <t>Tonillo</t>
  </si>
  <si>
    <t>…ermosa* flores, cuyo tículo se haga por escrito d. j Mninan.-io los caeos y las personas. cu tivo explica , pues fue considerado como superior á cuentos conoce Otta dil Si. Nuñvz (D. Tonillo) al art. 6. para que e! sumario mos en España. Precede á este tratado una breve descripción de dicha h:s&gt; instru í n. que formare a gtle político en lo* delitos de Con-piracmn la cívica, y un soneto i la autora de nuestro incomparable Inarco Céle t!'. trriui:…</t>
  </si>
  <si>
    <t>Tor, Juan de</t>
  </si>
  <si>
    <t>Juan de Tor</t>
  </si>
  <si>
    <t>…Ponte ; se suplica á la persona en cuyo poder exista han contraído , y por la g'ona de haber contribuido tan eficazmente al ó sepa su paradero se sirva avisarlo al actual poseedor D. Juan de Tor logro de tan distinguida acción. res , que vive calle déla Gorguera, casa núm. 14 .cuarto principal. Habiéndose extraviado los privilegios de los cuatro juros siguien Se halla vacante la judicatura de Reut por haber admitido D. Pau tes : uno de 51,314 rars.,…</t>
  </si>
  <si>
    <t>Tor.bio</t>
  </si>
  <si>
    <t>…alta nctabie. las medidas propuestas por el Gobierno sobre ia adición al art. 6° de » El general Mina previo sus intención?» 7 planes, 7salió de sa cuar su dictamen del Sr. NuAei (D. Tor.bio); y habiendo pedido vario» se tel general de la Cataf á las 3 de la mañana del 26 con la fuerza como ñores la palabra, y pasado el tiempo presento por el reglan» :nto para de unos agoo hombres, y tomó posición en las inmediaciones de Casla duración de las ses…</t>
  </si>
  <si>
    <t>…l de ¡as noticias supuestas, para hacerse lugar, sión especial encargada del examen de ia mira tu del G bremo so ó á lo menos para su ¡citar dudas. bre una adición del Sr. Xuftez (D. Tor.bio) al provecto .c decreto x Un vrie.’o muv distinguido, mas persuadido que nosotros de la po- sobre el modo de proceder al arresto de los conspiradores contra el sbüidad de una mudanza en la política de la Ruda, ha aprovechado sistema. e¡n covuntur para ahogar…</t>
  </si>
  <si>
    <t>Toreno</t>
  </si>
  <si>
    <t>…rece lancia de las autoridades,” cayo ceso era el de que trataba ia ley de der para cualquiera da los casos expresados en el párrafo a.° del artícu Partida de que habia hablado el Sr. Toreno. lo 162 y en el 187 de la misma Constitución, sufrirá la pena de tra El Sr. Opero dijo que en el artículo veia dos partes, en la segun bajos perpetuos.” Aprobado. da de las cuales convenía, pero no en la primen. La primera parta CAPITULO III. que decía: * Tod…</t>
  </si>
  <si>
    <t>…revenia el decreto de 14 de Mayo de 1813, la cornisón la hubie que él cree no podrá impedir, y esto no es delito, porque á lo mas es ra tonudo en consideración; pero que lo que el Sr. Toreno calificaba de un error. Siguiendo mas adelante de la representación de Jáuregui, se mocion, la comisión no lo habia tenido por tal, porque no era confor observa el lenguage de un hombre de bien, porque conoce que es un me al art. 16 del expresado decreto; que…</t>
  </si>
  <si>
    <t>…l Sr. Martinez de la Rosa los demas. desprecia la popularidad: ¡estos son sentimientos dignos de un diputa Por otra parte, se quiere que los jurados sean nombrados por otra do! El Sr. Toreno ha manifestado una noble entereza, y ha dado una corporación que la que basta ahora lo ha hecho: ¡y quién mejor que prueba de que el defecto no estaba en las autoridades; luego está en los ayuntamientos lo pueden hacer! ; No es este el voto general década otr…</t>
  </si>
  <si>
    <t>Toreno, Conde de</t>
  </si>
  <si>
    <t>Conde de Toreno</t>
  </si>
  <si>
    <t>…ara esto sena mejor establecer un que la religión di D os no era como la de ios hombres; lo se tribunal especial. gundo que este modo de proteger la religión no parecía un modo El Sr. Conde de Toreno dijo que desearía que en este articulo se hi justo, porque se imponía una pena desproporcionada al delito, por ciese alguna modificación, porque aunque debían ser castigados con ri que un judio o un mahometano podia venir aquí á estab’ecer su re gor los delit…</t>
  </si>
  <si>
    <t>Toribio</t>
  </si>
  <si>
    <t>…erte de D. Jos.f Eclesiástica. Sres. Mclendez, Fernand-z, ArgiieiK ?. Sedeño, Gó Rodríguez de Casal; y finalmente en ia Diputación permanente por fa mez (D. Manuel), Maní, Nufiez (D. Toribio), Vs.ai.u, Gil, Or- llecimiento de D- Josef Gutiérrez de Teran entró D. Josef Miguel dufia y Silva. Ramírez. También manifestaba la Diputación sus procedimientos en el Guerra. Sres. Craces, López, Luque, Btak, Liiio, Seguera y Lló asunto de la convocación de…</t>
  </si>
  <si>
    <t>…dictamen acerca de ua escrito del reverendo obispo de Cci^r, w El Sr. Prat propuso que te nombrase una comisión especial que en* nombró para ia misma á los Sres. Somoaa , Nufiez (D. Toribio } , Saa- _ tienda en el ramo de milicias, y asi se acordó por las Cortes. vedra, Villanueva y Alix. Se dió cuenta de una exposición del ayuntamiento de Pamplona, Se leyó ia siguiente proposición del Sr. D. Alvaro Gómez: en la que manifestaba el sentimiento qu…</t>
  </si>
  <si>
    <t>…Grases, Zulueta , Abren, Muro, paña en Gibraltar. Declararon por unanimidad abstulto á tu autor. Atienta, Cano, Guevara, Galiano, Alia , Surra,.Melendez, Santa- ANUNCIOS. te, NuVz(D. Toribio), Marau, Romero, Aguirre,Pacheco, Jai En la villa de Brihuega, provincia de Guadal*jara, se han fundado mes, López Cuevas, Lasala, Gisbert, Serrano, Litio, Meca , Barto con orden superior do* escuelas de primeras letras coa U dotación de lomé, Aonso, Oliver,…</t>
  </si>
  <si>
    <t>…narriz,Vega, Alix, Abreu, Galiano, Valdés (D. Dionisio), Olibilidad al gefe político, y para esto es preciso se pruebe antes que esto ver.Diez, Lapuerta, Sanlafé, Lagasca, Nuñez (D. Toribio), Ro funcionario no tomó las providencias que debía: el expediente está mero, Aguirre ,Pacheco, Sangenis , Jaimes, Lasala , Gisbert, Serra desnudo de todo documento que pueda ilustramos para esta declaración, no, Bartolomé, Lillo, Alonso, Meca, Arcilano, Vela…</t>
  </si>
  <si>
    <t>…a ella por haber cum sentado mes que una parte de él. plido 40 a líos, tanto mas cuanto que habían estado sufriendo las con Después de una ligera discusión entre los Sre*. Nufiez (D. Toribio), tribuciones personales, principalmente la de servir en la milicia. Lillo y Becerra, se acordó que se procediese á la discusión de la pri El Sr Vega manifestó que el objeto de la comisión era d que no mera parte de las ordenanzas, que se había presentado por…</t>
  </si>
  <si>
    <t>…és (D. Dionisio), ha de interrumpir de esta manara I Oliver, Diez, Buey, Latre , La puerta , Jiménez', Santafe, Nuñez Sintiéndose sumamente conmovido manifestó que no podía conti (D. Toribio), Romero, Aguirre , Pacheco, Ligasca, Sangras, La nuar por el momento, pero que no renunciaba la palabra; y salió del nía, Jaime, Gisbert, Serrano , Bartolomé , Lillo , González Alonso, salón sostenido por otros Sres. diputados. Mecz, Velasco, Arellano, Sedeñ…</t>
  </si>
  <si>
    <t>…acción un oficio del Sr. secreteé? di las condiciones del tratado. la Gobernación de Ultramar, en el que desde Aran juez part-.c .'aba ■ i¿ :d. También se leyó otra del Sr. NuBíz (D. Toribio), relativa i que que SS MM. y AA- continuaban sin novedad en &gt;u importan; en atención i todo lo expuesto por el Gobierno se suspendiese la dis El Sr. presidente anunció que mañana no habr'a sesión corlo; ir, al cusión del dictamen de ia comisión de Hacienda s…</t>
  </si>
  <si>
    <t>…, Munarriz , Vega , Alvarez(D. Manuel), Buey, Diez, nancia que podrá dejar el trafico, ¡ Pero el intere» del consumidor , el Latre , Lapuerta, Jiménez, Santafe , Lagasca, Nufiez (D. Toribio), interes de los pu&gt; blos estará en que en lugar de monopolizar este género Romero, Pacheco, Sangcnis, Jaimes, Lasa’a, Quiñones, G'sbert, estancado, que produce Ao , yo ó mas millones , se ponga en su defec Sedeño , Escovedo , Fuentes del Rio , Falcó, Seguera…</t>
  </si>
  <si>
    <t>…ae encontraban, y hallarse obligados á otros gasto* ro , Va'des (D. D.on s o) , Saavedra y Lop z del Biño. Total 115. extraordinarios. En la sép.ima resultó e&gt;e«ido el sr. Nuñez ( D. Toribio) por 87 La comisión opinaba que en lugar de los cinco real» diarios tefia- ■ votos, t nirn !o 5 ei Sr. scptien , 4 el Sr. Valdés (O. D.onisio), 3 los lados á cada miliciano se les concediese el prest de soldado y aloja Sres. Ruiz de la V ga y Fa cón , a el Sr…</t>
  </si>
  <si>
    <t>…nzar en lat alturas de S. Julián el a 1 la 117, habiendo tenido ¿a votos el Sr. Florea Calderón, uno el Scfior banda de Moten Antón, compuesta de unos 400 hombres, que dis Nuñez ( D. Toribio), y uno el Sr. Romero. persó completamente, causándole* alguna pérdida. Para vice-piesidcntc fue elegido el Sr. Domenech por 63 votos de — La dipnradon provincial de Barcelona intenta formar un cuerpo ex 110, teniendo 40 votos el Sr. Tomas, dos el Sr. Letre,…</t>
  </si>
  <si>
    <t>…menos de hacer presente 4 las Cortes la ex- nueva, González Aguirre, Oliver , Navarro Tejeiro, Aillon, Nuñez tiañeza que me causa el ver que cuando estas al decretar el reemplazo (D. Toribio), Soria y Baixes. d«l egército procedían bajo el supuesto de que este ascendia 4 6g9 Comisión de Política. Sres. Canga , Alava, Galiano, Salva , Ruiz hombres, se. un oficios del Gobierno, aparezca ahora que lejos de de la Vega,duque del Parque, Isturiz , Saav…</t>
  </si>
  <si>
    <t>…v: podrían hacer ias adiciones que tuviesen á bien ios seño Tomas, Cueva* , Vírela, Cano, Prado, Escudero, Huíate, Munarriz, res diputados. Vega, Janer , Suarez , Latre , Nufiez (D. Toribio), Romero, SanEi Sr. Podada : Después de lo que se ha hablado sobra esta materia genis, Jaimes , Lasa la , López Cuevas, Quifionrs , Gisbert, Salvé, Casd beria renunciar la palabra , y lo haría asi, si no se tuvies-r que hacer tejón , E'a'có, Diez, Ca derón, L…</t>
  </si>
  <si>
    <t>…lizadas entre nosotros; pues para mí basta en compro das voto contra el dictamen de la comisión. bación de esta verdad que de 10 millonea de habitantes que tsndn Es El Sr. Nuñez ( D. Toribio ) manifestó que en la discusión del có paña , acaso los siete no sepan leer y escribir. Por lo menos, señores, digo de procedimientos a; ocuparían muchos días , y que es júralo qus tal es nuestra situación ; y si olvidando por un momento lo poco que ahora se…</t>
  </si>
  <si>
    <t>…ñaba para que esta Eulate , Munarriz , López Cuevas , Alvarez, Suarez, Gener, Garoz, pasase á las Cortes extraordinarias, ¿qué podía hacer este Gobierno? Latre, Lapuerta , Nuiíez (D. Toribio), Romero, Aguirre , Sangenis, i Pudo declarar mas sus sentimientos y su verdadera propensión á pro Lasal a, Quiñones, Gisbert, Villanueva , Santafé , Calderón , Tejeiro, teger este negocio que dándole curso, y con la aprobación del Rey pa Sa'v.i , Sequera, Es…</t>
  </si>
  <si>
    <t>Toribio'</t>
  </si>
  <si>
    <t>…Cortes , y tario del D spacho de ia Gobernación de la Península en la discusión fueron electos en esta forma. sobre el orden cíe Ic t las memorias del ministerio.” El Sr. Nuñfz ( D. Toribio') por 60 votos de 87 , el Sr. González El Sr. Isturiz dijo: Los motivos que hemos tenido para hacer esta Aguirre por 66 votos de 94, el Sr. Romero por 67 votos de 91 , el proposición es que en los Gobiernos representativos el poder egecutivo Sr. Ser a ni por 7…</t>
  </si>
  <si>
    <t>Torito</t>
  </si>
  <si>
    <t>…considerarse como egército de operaciones el Se verificó la segunda lectura del proyecto adicional sobie delitos cuerpo de reserva. de conspiración, presentado por el Sr. Ñafies (D. Torito) , ei cus! ha También advierto la falta de la palabra general en los dos párrafos biéndose admitido á discusión, se mandó pasar a ia coiins.ua que ha en que dicen: •&gt; comandante de artillería,” ** comandante de ingenieros;” tendido en este asunto para que pre…</t>
  </si>
  <si>
    <t>Torivio</t>
  </si>
  <si>
    <t>…Gsliano preguntó si con esto quedaba decidido que se vota francés por Pedro B anchard, y traducida al castellano por D. Ignacio se el proyecto , £ lo cual contestó el Sr. Nuiles ( D. Torivio) que la García Malo: 7 tomos ea 1 . mayor. Se hallarán á 77 rs. en pasta en comisioncreia que d.ba discutirse artículo por artículo. las librerías «le Hartado y de Orea. Se leyó el art. 148 de la Constatación á petición del Sr Riego, y Se he extraviado una ce…</t>
  </si>
  <si>
    <t>Torna</t>
  </si>
  <si>
    <t>…ía padecido una equivocación con El .Sr. Isturiz: La comisión únicamente ha tratado de ver el modo respecto á su proposición; pero que estaba seguro de que á la comisión de que el Sr. Torna pudiese presentar su cuenta con arreglo á la lev y de Hacienda se hab a pasado una exposición del tesorero general, hecha á la mayor brevedad. Si es ó no malversador de los caudales públicos, ai scuiente día de haber tomado las Cortes la resolución de que se…</t>
  </si>
  <si>
    <t>Tornjoi</t>
  </si>
  <si>
    <t>…o , y si se quiere en ridículo , la* embaucando a los ment.catos que creen sus embust s. Después de ma conocidas ex-nciones qua la Constitución da é los diputados! Pues qué tar ai general Tornjoi -n Castr.lfollit (donde no estaba'), acaba de ar¿ acaso porque el Sr. Prado crea que ya está provisto en la* leyes el re cabuc-ar por mano d - Zi divar al general Riego (que caté en Madrid) medio competente, esto es, porque el código penal sancionado tiene cu…</t>
  </si>
  <si>
    <t>Tornjos, Josef María</t>
  </si>
  <si>
    <t>Josef María Tornjos</t>
  </si>
  <si>
    <t>…a de un periodista , que abusando da «¡ue siguen acabo de recibir , conforme á lo dispu.'sto p r et bngader su profesión, en iugar de escribir verdades útiles á ios hombres, propa D. Josef María Tornjos , comandante de esta columna ; panro en no ga con una infernal malicia las mas eno.mc* fa'sedades. No perderán os ticia de V. S. literalmente lo que coa esta fecha dice al comandanta el tiempo en refutar las calumn.as de este escritor, dedicado expr ageneral…</t>
  </si>
  <si>
    <t>Toro, Eustaquio Martínez de</t>
  </si>
  <si>
    <t>Eustaquio Martínez de Toro</t>
  </si>
  <si>
    <t>…sup'ente por esta provincia, opinaba que de Argos; para la del partido de Soria, vacante por fallecimiento de no debian ser aprobados, en razón de no tener el tiempo suficiente de D. Eustaquio Martínez de Toro, i D Josef Eladio Garcés; para la del residencia en la provincia. de Sedaño, en la provincia d- Burgos, á D. Gabriel Gutiérrez; para la Después de una ligera discusión, y de haberse leido un documento del de Ateca, en la de Aragón, vacante por fallecimiento d…</t>
  </si>
  <si>
    <t>Toro, Faustino del</t>
  </si>
  <si>
    <t>Faustino del Toro</t>
  </si>
  <si>
    <t>…utación provincial de esta isla. _Certi6co: que en sesión ce consulado de Veracruz de la balanza general de comercio desde el año lebrada en 18 del corriente por el Sr. presidente D. Faustino del Toro, 1796 al de 1820. Sr. i otendente interino D Juan de Guillcrmeti, 7 Sres. diputados Don A la comisión de Agricultura se mandaron pasar un proyecto de Josef Luciano Ortiz Renta, D. Buenaventura Quillones y Dr. D. Fé ley remitido por el Sr. secretario de la Gob…</t>
  </si>
  <si>
    <t>Toro, Josef</t>
  </si>
  <si>
    <t>Josef Toro</t>
  </si>
  <si>
    <t>…comandante al comandante de infantería Don de cazadores de Bar batí ro. Tomas de Lira y Monroy, sargento mayor del mismo batallón de Castellón: para primer comandante al teniente coronel D. Josef Toro. Marty, primer teniente del primer regimiento dé la Guardia Real de Vich (ligero): para coronel al brigadier D. Josef Marcos de Sainz, infantería. coronel del regimiento de infantetía Voluntarios de Castilla. Chinchilla: para primer comandante al primer coman…</t>
  </si>
  <si>
    <t>Toro, Pedro Rodríguez de</t>
  </si>
  <si>
    <t>Pedro Rodríguez de Toro</t>
  </si>
  <si>
    <t>…smo las f ortes deben ocuparse en examinar hio Antonio Lorcnte, D. Cirios González Llanos, D. Rafael Costa, detenidamente el proyecto de decreto que acaban de oir. D. Juan Cortés, D. Pedro Rodríguez de Toro, D. Josef Radon , Dos A h unos tabica escritores han dicho que el considerable número de Josef Demetrio Rodríguez, D. Juan Isidro Perez y D. Antonio Suindividuos de 1 itero se opone á la población, y que al paso que aquel Helio de Arias. se aumenta , sucede l…</t>
  </si>
  <si>
    <t>Toron, Juan</t>
  </si>
  <si>
    <t>Juan Toron</t>
  </si>
  <si>
    <t>…nos de Madrid! Vosotros habéis devorado, como de la adm'niscracion gen ral de Salinas. el fue.'o a una paja, las huestes conspiradoras del despotismo. ¡Glotis Zaragoza interventor D. Juan Toron, administrador genera!, cesarte. á voi y i las prendas de vuestro corazón y existencia por tanto heroís Ciceres administrador D. Lorenzo Cortijo, cantador subdrlcg ado de mo patriótico! Habéis abandonado resueltamente los afanes é mtrresea rentas de Mérida. I…</t>
  </si>
  <si>
    <t>Torr-s, Domingo de</t>
  </si>
  <si>
    <t>Domingo de Torr-s</t>
  </si>
  <si>
    <t>…ecursot necesarios para que en fuere nec-sario a las reglas anteriores, presentarán las suyas a’ m-ncrael seno de la tranquilidad y del sosiego que habremos restablecido, los nado D. Domingo de Torr-s para el dia i.- de Dic- mbre venid ro. ilustrados é industriosos catalanes vuelvan é tus trabajos, hagan fruc 8.a Este tesoreto general dirá un cuenta adicional á ‘a particular tificar sus campos, florecer sus talleres, sus fébricas, su comercio-, de caja, qu…</t>
  </si>
  <si>
    <t>Torra, Ildefonso</t>
  </si>
  <si>
    <t>Ildefonso Torra</t>
  </si>
  <si>
    <t>…el licenciado en cirugía-médica D. Baltasar Hermotilla , acompañada to» turco» y ruto» te pongan en movimiento luego que le estación lo del profesor aprobado en la misma facultad D. Ildefonso Torra, con permita, es decir, á últimos de ette etc* ó principio» de Mayo. «istencia del médico D. Gerónimo Navarro y los ayudanta necesarios, Examinando atentamente el ettadoda le Europa y el impulso de las «o te persona de Juana Antonia García , de esta vecindad,…</t>
  </si>
  <si>
    <t>Torralba, Inocencio</t>
  </si>
  <si>
    <t>Inocencio Torralba</t>
  </si>
  <si>
    <t>…on una lo, mi¡ cíanos infantes iban i las inmediatas órdenes del sargento prueba irrefragable. El capónenle no tiene mas patrimonio qu: el sa aTru va, y los de caballería á Jas de D. Inocencio Torralba de igual no que devenga en su oficio por el despacho de la carne qu: otro le Ciase. entrega. En fuerza de aquella prudente ^tonomía, qu: es tan r:cesít a „ \hora, que son las 1 a del día, acabo de recibir parte del tenierte en la casa del pobre, ha podido rcu…</t>
  </si>
  <si>
    <t>Torralves, Miguel</t>
  </si>
  <si>
    <t>Miguel Torralves</t>
  </si>
  <si>
    <t>…39 mrs., fecha is de Diciembre de de egército, cap tan de la primera compañía de la milicia activa de &gt;582: otro alcabalas de Piasencia, en cabeza del dicho Garci Suarez esa plaza D. Miguel Torralves, se ha presentado zeloso y voluntario de Carvajal, de (29,668 mrs., fecha 9 de Junio de 1568: otro dichas i este servicio, conduciéndose en todas ocasiones con el porte de alcabalas , en cabeza del citado Garci Suarez, de 3759 mrs., facha 30 un militar benemé…</t>
  </si>
  <si>
    <t>Torran</t>
  </si>
  <si>
    <t>…n consignados sus productos. Cuan urgen El Sr. Martínez de la Rosa: Ante todas cosas debo manifestar que el te é indispensable sea la cooperación de ese ministerio 7 de las autori Sr. Torran he probado sin mas que con un artículo de la Constitución dades que de él dependen, para lamejor y mas pronta recaudación da que aquí no se restringe el derecho que se da á los espsfioles, sino muy los impuestos, ya lo conocerá la penetración de V. E., y por…</t>
  </si>
  <si>
    <t>Torre</t>
  </si>
  <si>
    <t>El Sr. Infantes: El Sr. Torre» íto ha podido presentar su cuenta, lo siguiente: 1* Formarán el tribunal de las Cortes en sala de pr.me portille las de que depende esta no se han presentado; y con este ntoti- ra instancia los Sres. L&gt;. Jaquir. García Dornen-ch, diput.do y.: la vo pidió que…</t>
  </si>
  <si>
    <t>…puesto que el general que ha de formarse con este objeto da , no quedando reunidos mu que unos aó hombrea. te ha de componer de las cantidades pa.t.cu.arcs que cada ministerio El Sr. Torre dijo que se habían esparcido noticias muy equivocada* contemple necesarias para esta date de gastoe. con respecto á haberse turbado la tranquilidad en Vizcaya; que alli no El Sr. Canga contestó que la comisión procedía coa tal previsión que hab a habido facci…</t>
  </si>
  <si>
    <t>Entró í jurar y tomó atiento un Sr. diputado. nada* é indigentes; pero podrán ceder en su favor la mitad ó todo £1 Sr. Torre presentó tras esponsiones, ijue te leyeron en seguida; de su sueldo, con lo cual te evitarán ios inconvenientes á que esta una de la diputación provincial de Bilbao: otra de la milicia nacional idea pueda dar lugar. voluntaria y compañía sagrada de ancianos d…</t>
  </si>
  <si>
    <t>Torre, Feliz García de U</t>
  </si>
  <si>
    <t>Feliz García de U Torre</t>
  </si>
  <si>
    <t>49* NOTICIAS DE ESPAÑA. tonio Rius, D- Josef Luciano Ortiz Renta , D. Buenaventura Quiño nes 7 Dr D. Feliz García de U Torre, te trató 7 acordó entre otras Barcelona ao Je Marta. cotas lo siguiente: El estado de fuerza del cordonsanitario en Francia, según el diario El Sr. Rius después de leida el acta anterior, i cuya sesión no asis de León de 8 de este mes, es el siguiente: tió,…</t>
  </si>
  <si>
    <t>Torre, Juan Manuel</t>
  </si>
  <si>
    <t>Juan Manuel Torre</t>
  </si>
  <si>
    <t>…mismo ha tenido 4 bien nombrar S. M. para plazas de magistra bre 89 soldados de Toledo 4 pliegos 7, en cabeza de D. Josef de la dos de la de Mallorca á D. Juan de Dios de Aguilar, D. Juan Manuel Torre y D. Pedro de la Torre y Garces, de 4^6,400 mrs__ Otros dos de Junco, D. Francisco Calvet y Rubalcaba, D. Mariano de la Bode sobre millones de Toledo á pliegos 338, en cabeza de Manuel Ortiz y ga y M-sodío, D. Guillermo Moragues y D. Juin Antonio Delgado. ViJIisante, Du…</t>
  </si>
  <si>
    <t>Torrea, Juan Bautista</t>
  </si>
  <si>
    <t>Juan Bautista Torrea</t>
  </si>
  <si>
    <t>…los alcances d - su, haberes resultasen en favor suyo, pre teresados. Aprobado. sentando por de pronto no crédito ya liquidado de «*.694 rt- y seis ma La misma en una instancia de D. Juan Bautista Torrea, espitan dn ravedises. be declaró que la» Corles habían recibido con particular apre infantería retirado, era de parecer que debía pasar aá Gobierno pac» cio esta ofrenda patriótica. que tome la providencia que estime justa. Aprobado. La comisión de Hacienda…</t>
  </si>
  <si>
    <t>Torrea, Vicente</t>
  </si>
  <si>
    <t>Vicente Torrea</t>
  </si>
  <si>
    <t>…cupaba una fi.ura de muger, 1 Ir bregra , D. Ramón Capóles, D. Josef Marín Quiroga , D. Antonio cual los autores de la descripción llaman una hit, que tenia las piernas Rodrigues, D. Vicente Torrea , D. Manuel García Riobó, D. Ma 'untas, los brazos levantados, la cabeza hacia la entrsda de la sala, y nuel Montero y D. Pedro Perez, que acreditaron adelantamientos da S os pies á la parte opuesta."Esta figura tiene mucho relieve, es d-cir, consideración en…</t>
  </si>
  <si>
    <t>Torrecilla, Teodoro</t>
  </si>
  <si>
    <t>Teodoro Torrecilla</t>
  </si>
  <si>
    <t>…ía con el banco nacio Se mandaron pasar á la comisión varias adiciones. nal de S. Cirios, no entendiéndose por esto que las compañías estable Se concedió el permiso que solicitaba D. Teodoro Torrecilla, es cidas por los extrangeros quedasen libres de este derecho. En mi con cribano ds Baibastro, para prestar el juramento correspondiente ante cepto (continuó) me parece justa esta imposición, porque cuando hay aquel juez de primera instancia. una reunión de g…</t>
  </si>
  <si>
    <t>Torrecilla, Valentín</t>
  </si>
  <si>
    <t>Valentín Torrecilla</t>
  </si>
  <si>
    <t>…o en que so inserta una contestación del hacendado; D. £ non Gascón, presbítero; D. Vicente Vergara y MesSr. nuncio de S. S. sóbrela secularización do una monja de Mallorca. tic y D. Valentín Torrecilla; después de haber examinado el impreso ( Gaceta átl zp át id.) y la denuncia, declararon por unanimidad de rotos haber lugar á In Circular del ministerio sobre la próroga do seis meses para la secu formación de causa. larización de los regulares. (Gaceta ¿ti…</t>
  </si>
  <si>
    <t>Tórremepor, Pedro y D- Josef</t>
  </si>
  <si>
    <t>Pedro y D- Josef Tórremepor</t>
  </si>
  <si>
    <t>…l mis danía, opinaba que debía concedérsele solo la primera. Apretado. mo dictamen, y dd fie. Garoz, contrario á la resolución de la* Cortes, La misma, en vista de ia solicitud de D. Pedro y D- Josef Tórremepor la cual quedan dotaciones mayores de 60Í rs. rales,en la que pedían se les habilitasen cierto, cuno; para la recepción Batid á jarar j tomó asiento el It. Sierra, diputado por la provin de grados en la universidad de Granada, opinaba que deba pasar í la cia d…</t>
  </si>
  <si>
    <t>Torrero, Mufioz</t>
  </si>
  <si>
    <t>Mufioz Torrero</t>
  </si>
  <si>
    <t>…anti que corriesen peligro laa vidas ni las haciendas de los españoles eurozándole del modo que se acordase- pet y americanos que en aquellos países hubiesen defendido 1a causa El Sr. Mufioz Torrero pidió que el autor de estas proposiciones lai de fe metrópoli, porque tino se respetase el derecho público y de gen retirme luego, porque no tenia prderes pata hacerlas, y si no, que los tes, fe España sabría muy bien lo que debía hacer; y contestando el mis…</t>
  </si>
  <si>
    <t>Torrero, Mulloz</t>
  </si>
  <si>
    <t>Mulloz Torrero</t>
  </si>
  <si>
    <t>…o domicilio, ó no presente persone abonada qne responda del cono nuncia del derecho que la concedía la misma 4 los diputados. cimiento del tutor ó edita del impreso.” Aprobado. El Sr. Mulloz Torrero biso se leyesen los arts. 119 y 130 de la . Art. 596. » La impresora que no pusieran en todo impreso sus Constitución , despua de lo cual se declaró no admitir 4 discusión la nombras y apellidos , y el tuga y año de b impresión, cualquiera que proposición ind…</t>
  </si>
  <si>
    <t>Torrero, Muñoz</t>
  </si>
  <si>
    <t>Muñoz Torrero</t>
  </si>
  <si>
    <t>…ue fuese subver inmortalulad del alma 3ct. dcc.; pero como estos pagaban este delito sivo á la religión. con una ; tna eterna, deseaba que cata no se les acelerase, y que no te El Sr. Muñoz Torrero apoyó el artículo, y ea seguida fue aprobado, eg'cutasen castigos sanguinarios , porque tratándose de la Inquisición y se suspendió esta discusión. en las Cortes de Cádiz se habia dicho muy bien que no era el verdade Se mandó pasar á la comisión una adición d…</t>
  </si>
  <si>
    <t>Torres</t>
  </si>
  <si>
    <t>…W pa tido por el Gobierno: y aun diré mas, está inhibido á las Cortes ex decido los Sres. preopinantes. traordinarias el tratar de él por S. M.; pues en el decreto de 19 de Oc F.l Sr. Torres expuso que ante tosías cosas debía averiguarse si el tubre anterior, expedido por S.M. en virtud de la facultad segunda que protiucto del medio diezmo bastaba para «1 culto slivino y dotación.-* le concede la Constitución, y por reclamación de varias iglesias…</t>
  </si>
  <si>
    <t>…gión, v en verdad que se han confundido dos cosas desiguales , porque gan la» fabricas de las iglesias y demas en todas las diócesis. Que es lo Ja religión no es el clero. Dice el Sr. Torres que la religión es un im mismo qu: decir i los comisionados: limiten vmds. sus operaciones á perio universal , á que debe cstai todo sujeto; pero el imperio de la reli formar las relaciones de los bienes; pero no pasen de ahí. Ademas d: gión es espiritual, y…</t>
  </si>
  <si>
    <t>…decir que el Rey ha tenido esta Aprobada el acta 4e le anterior, se mandó insertar en ella el voto Acuitad. Impúgnese enhorabuena el artículo; dígase que conviene ó particular del Sr. Torres contrario á la aprobación del art. 319 dal có no; pao no se diga que se propone una cora nueva, porque no a asi. digo penal. Ha padeculo otra equivocación grinde el Sr. preopinante en decir que Se dió cnenta de nn oficio del Sr. secretario interino de Haciend…</t>
  </si>
  <si>
    <t>…ismo pido á las Cortes exijan la respon manifestólo, sin embargo no puedo menos de d.cir que estoy enterado sabilidad a! que corresponda.” de las leves de la tesorería general. El Sr. Torres fue suspendido de re Después de haberlo apoyado su autor, manifestando lo importan sultas d.- la visita que se hizo, y en seguida acudió al Congreso pidien te que era el que no se invirtiese el orden que Ja misma Constitución do prrToga de tiempo para rendir…</t>
  </si>
  <si>
    <t>…se hallan en «I caso de El CtiurrisT de Lóndres te producía un me* há en término* nada aprobar este artículo. auavea con respecto al Gabinete tuso; pero en el die he mudado da El Sr. Torres manifestó que antes de aprobarlo seria convenien lenguage, y su* expresiones son afables y amistosas: de lo cual se infiate que el Gobierno informase sobre este particular. le que loa do* Gabinetes se han entendido y unido; y en cato de esta En seguida se dec…</t>
  </si>
  <si>
    <t>…misión. to.-ia de la independencia, no tiene mas rquezt que ias sa mas qu; co Se declaró este asunto suficientemente discutido. gen desde el muro hasta el término de ¡a curiad. El Sr. Torres pars votar preguntó ti ios Src». de la comisión reba Hay infinitos in dividuos qu ■ mant-enen sus familias con este cén — jaban el precio propuesio. ro de industr a , y aunque podían rstar poderosos*, no es a- , po-qua El Sr. Lturiz contestó que por tu parte…</t>
  </si>
  <si>
    <t>…dón sanitario francés de los exacto de los detalles de esta gloriosa acción'tan luego como me lo* Pirineos. Esta noticia ha producido alguna baja en lo* efectos públi remita dicho capitán Torres, á quien no puedo menos de recomendar, cos.” Los redactores del mencionado Diario en su nota añaden lo que como lo hago i V. E., por el extraordinario servicio que acaba de ha sirue: *» No podemos pronosticar qué resultados ocasionaran los aconte cer á Ja pat…</t>
  </si>
  <si>
    <t>…r; pero particular ble; y que aun se les iba persiguiendo y acuchillando cuantió daban esta mente merece recomendación el alférez D. Félix de Castro, por lo noticia á Zaragoza. El brigadier Torres, añaden, había deshecho com mucho que trabajó en medio de los mayores riesgos. Lo que traslado pletamente la facción que entró en Calatayud, (aduciéndola á muy po á V. E. para su conocimiento y satisfacción, esperando te dignará ele ca gente. (Véase el artícu…</t>
  </si>
  <si>
    <t>…ñana. • La gruesa gavilla de facciosos que invadió esta capital, persegui Ciudadanos, asi se desvanecen las turbas infames de los que ape da vivamente por la columna del mando del brigadier Torres, ha su llidándose protectores de la religión, son ei oprobio de los hombres frido pérdidas enormes: de resultas de la acción de Caiamocha, en que constitucionales y justos. Teruel i las once de la noche dei día 4 de les mató 20 , cogió; 14 caballos é hizoaó p…</t>
  </si>
  <si>
    <t>Torres, Baltasar de</t>
  </si>
  <si>
    <t>Baltasar de Torres</t>
  </si>
  <si>
    <t>…sísimas fuerzas que cubien este llano y del Arrtpurdan , con tar siempre con unos hijos tan predilectos, y estos están decididos a siste en la del capitán del regimiento d« Aragón D. Baltasar de Torres, darle muchos dias de gloria; y no hay duda en que sus deseos se ve comandante de la tropa que salió del cast lio, que á principio de la ac rán cumplidos constantemente si se considera el espíritu y honor qua ción salió herido, rcayendo por esta razón el mand…</t>
  </si>
  <si>
    <t>Torres, Catalina de</t>
  </si>
  <si>
    <t>Catalina de Torres</t>
  </si>
  <si>
    <t>…mientras que la caballería y el des nas dt Andalucía, tierra adentro, de 720,800 mrs. de capital, en ca tacamento del Infante D. Antonio flanqueaban la derecha de la posi beza de Doña Catalina de Torres , expedido en Madrid á 8 de Abril ción ; las restantes fuerzas en columna protegían el movimiento. La bi del año de 1644; y el otro juro sobre alcabalas de Puffonrostro en zarría de las tropa* puso al instante en huida al enemigo; lo* valiente* Toncjon de Vel…</t>
  </si>
  <si>
    <t>Torres, D- Josef Navarro y</t>
  </si>
  <si>
    <t>D- Josef Navarro y Torres</t>
  </si>
  <si>
    <t>…S. M. en vista de todo , deseando que Asimismo ha tenido á bien el Rey admitir la renuncia que ha he sin dejar de atenderse é las verdadetas necesidades de los esubVcimien- cho el coronel D- Josef Navarro y Torres de la tenencia de Rey de tos se cumpla con lo dispuestoen el reglamento general de beneficencia la plaza de Veracruz y de la comandancia del castillo de S. Juan da y circulares citadas , se ha servido mandar, que por la comisaría g-ner.il Ulua, y en atención…</t>
  </si>
  <si>
    <t>Torres, Domingo de</t>
  </si>
  <si>
    <t>Domingo de Torres</t>
  </si>
  <si>
    <t>…n general que haga la junta diocesana.” Se leyó el dictamen de la comisión de H cienda sobre la represen Se pasó á la comisión de Premios la siguiente proposición de los tación de D. Domingo de Torres, en laque exponía que las Cortes Sres. Infantes, Liiio , Zulueta, Abreu , Galano, Silva , Murfi , Prat, acordasen que los tesoreros y administradores de provincia rindiesen Grases é Isturiz: » Pedimos á las Cortes acuerden se erija un monu sus cuentas en la c…</t>
  </si>
  <si>
    <t>…encia y ber lugar á deliberar. Aprobado. efecto* correspondiente* á su cumplimiento, sefialando dos meses de tér La misma en el expediente de D. Pascual García Martínez, pi mino á D. Domingo de Torres. Dios guarde 4 V. mucho* a fie*. Ma diendo dispensa de edad para administrar sus bienes, opinaba que no drid a8 de Marro de i8aa. había lugar i esta sobe lud por los motivos que aparecen del expedien ANUNCIOS. te. Aprobado Ad.cioa del Sr. Ferrer al dictamrn d…</t>
  </si>
  <si>
    <t>…yan presentado me Hacienda. dios luisas al resello, y tengan los billetes numerados g al Circular del ministerio concediendo al tesorero general en cesación 1450, ambos inclusive. D. Domingo de Torres un término para rendir sus cuentas. (Gaceta ¿el a de id-) Circular del ministerio sobre el sueldo que deben gozar los emplea El dia a8 de Octubre de 1821 falleció en esta corte i la edad da 6fdos interinos antes j después de tomar posesión do Iñ destinos que…</t>
  </si>
  <si>
    <t>…bilidad da A la miama comisión se pasó un estado de la tesorería general, pre D. Félix Maeda; opinaba que debia exonerarse á los referidos sujetos sentado por el tesorero jubilado D. Domingo de Torres. del encargo de diputados de provincia, en atención 4 tas razones que Las Cortea oyeron con agrado una exposición de un gran número alegaban , y que se llamase á ios suplentes correspondientes. Ap-ob do» de Ciudadano» de Zaragoza y da individuos del egército…</t>
  </si>
  <si>
    <t>…ticia. de cunta y razón de ezérc to y marina; y ios dirigirán al tesorero ge ft Y vosotros, militares, 4 cuyo frente tengo el honor de ponerme, n-ral de dicho primer año económico D. Domingo de Torres, en tér «qué podré deciros ? ¿os pediré que continuéis siendo fieles á vu-stros jura minos que los unía este ec su poder el día i.~ de Diciembre inmedia mentos invariables en la gloriosa empresa que habéis acomende?; \h! Se to precisamente. ria el mayor agrav…</t>
  </si>
  <si>
    <t>Torres, Josef</t>
  </si>
  <si>
    <t>Josef Torres</t>
  </si>
  <si>
    <t>…pecial, para que, otros dictámenes de la misma comisión, por los cuales se concedió !a oyendo al Gobierno, proponga los medios convenientes para contener revalidación de abogado á D. Josef Torres, la dispersa de un año d« y cortar estos desórdenes verdaderamente escandalosísimos, y para evi edad para poder administrar sus bienes á D. Pedro Gómez , miliciano tar las funestas consecuencias que pueden tener, pues pronto se dirá en de Bilbao, y á D. Nicol…</t>
  </si>
  <si>
    <t>…En carta de Ibiza del 10 refiere un periodista de esta capital depositado en las hábiles maoos del distinguido general D. Manuel " que el benemérito patriota oficial de artillería D. Josef Torres , co Velasco el mando que el Gobierno ha fiado á sus luces y patriotismo, misionado por el Gobierno, hibia verificado la prisión de D. Luis 7 paño para mi nuero destino da ministro plenipotenciario de Lóndres. Herrera, gravísimamente índ.ciado en los ú11 mos…</t>
  </si>
  <si>
    <t>…cidas que osaren penetrar Zaragoza 8 de Dicitmbrt. en la ciudad de Ca atayud recibieron el justo castigo del valiente Comandancia general de la tercera división y del bajo Aragón. brigadier D. Josef Torres y su benemérita columna , los foragidos £;» Los facciosos Besieres, Miralles y el iáoyo en fuerza de 2500 hom sieres, Mirá i s y Royo , que con sus inmundas plantas hui.aron el bres ocupaban á Caspe desde el 3 por la mafiana. El convento de capu- suelo de Cas…</t>
  </si>
  <si>
    <t>…neral Mina de Putgcerdé con la prime desgracia les privó de la vida del capitán de la milicia de aquel pueblo ra división para la Seo de Urge!, dejando en la Cerda fia 500 hombrea D. Josef Torres, que murió con la espada en la mano durante rl ata del batallón de Laredo, i las órdenes del coronel D. Fernando Miran que, falleciendo también una muger, y quedando heridos algunos da. El 6 se colocó con la división en el lugar de Alia é media hora de milici…</t>
  </si>
  <si>
    <t>Torres, Josef de</t>
  </si>
  <si>
    <t>Josef de Torres</t>
  </si>
  <si>
    <t>…oportuno t Memoria médico-analítica del agua de ios baños llamados hervide lleva por objeto «m no venderlas-aino poco á poco, el lograr mejor ros de Fuensanta, en la Mancha , por D. Josef de Torres, médico ti precio por alias, y el estimulará los compradores. Si tomamos un pre tular de lot mismo*. Se hallará á 6 rs. en la librería de Tieso y en el cio nudio entes ios que hasta abocaba mantenido y logrado en tm van- puesto da Rosales , gradas de S. Felip…</t>
  </si>
  <si>
    <t>…uno de ellos D. Luis Amonio Tavira, é ig. después de la derrota que estos sufrieton en Caspe. Al mismo tiempo el Dorándose su paradero , en conformidad á lo mandado por ;a sala se brigadier D. Josef de Torres persiguiendo constantemente á los de gunda del crimen, en D que, y escriban a de C/rnaia de D. Joan An -Lean , y dirigiéndose por Montaiban i Aliaga, me avisa desde aquel ionio Almazan , se halla pendiente la mencióna la causa en gra to depueblo que los resto…</t>
  </si>
  <si>
    <t>Torres, Josefa de Gregorio de</t>
  </si>
  <si>
    <t>Josefa de Gregorio de Torres</t>
  </si>
  <si>
    <t>…rca, que salió de Chaires el 15 de Mayo, Dommgu-z, marquesa de Rincón-Gallardo, Doña Igoacia Rojo da y llegó a la Jamaica el 3 de Junio, pues por la v.a de Panamá se tenian Cacho, Doña Josefa de Gregorio de Torres, Doña Luisa Vicario de noticias en aquel pueblo de que el general Mourgeon vivia, de qile ha Morerfo. Camareras, Doña María Cervar tes , Doña Dolores Abarca, bía batido completamente á los colombianos, de que el batallón de Doña Manuela Cacho , D ña Antonia B…</t>
  </si>
  <si>
    <t>Torres, Juan Martinez</t>
  </si>
  <si>
    <t>Juan Martinez Torres</t>
  </si>
  <si>
    <t>….............................. 24,393— un criado: D. Diego Escandon, tesorero de Granada: D. Juan Martí A pensiones-............................ 34,299— 8 nez Pimllos, ex-guardia: D. Juan Martinez Torres: D. FranciscoCa A cesantes y jubilados......... 94,4a í— 3Í tarais, «x-guardía: D. Sebastian Artllano: D. Josef AguiUra: Tomas A 'dudas del Monte pío da lunar : Miguel Campillo: D. Manuel Andreu: D. Juan Ortega. Dan oficinas...................................…</t>
  </si>
  <si>
    <t>Torres, Manuel Salavert y</t>
  </si>
  <si>
    <t>Manuel Salavert y Torres</t>
  </si>
  <si>
    <t>…s gozan de muy buena salud, tenecientes el primero 4 D. Josef Pérez, el segando í D. Bles Riezu, y hay menos enfermos que en las plazas. Los cirujanos están encarga y el tercero 4 D. Manuel Salavert y Torres; se espera pues que dichos dos ds cerciorarse de esto, y de inspeccionar con mucha especialidad es interesados se presenten el lunes 18,de nueve 4 una, en la casa nacional te ramo. de moneda i presenciar el examen de dichos bultos, pues á la comi La primera d…</t>
  </si>
  <si>
    <t>Torres, Mariano</t>
  </si>
  <si>
    <t>Mariano Torres</t>
  </si>
  <si>
    <t>…des que le corres forme i lo que en él se previene. Aprobado. pondan , y en que se halle desnivelada con respecto á las demás atenciones La comisión de Hacienda en la solicitud de D. Mariano Torres, ofi del Estado, se empleen en aprestar y mantener en servicio activo los bu cial auxiliar en la oficie a que expresa, opinaba que debía remitirse al ques capaces de ser mas prontamente destinadoe, sin perjuicio de llevar Gobierno para que manifieste su parec…</t>
  </si>
  <si>
    <t>…, por el conducto de la es Se aprobó el dictamen de la comisión de Hacienda , relativ.o ¿ que cribanía del número de D. Jacinto Gaona y Loeches, á deducir dicha pueda ser colocado D. Mariano Torres v Solanot, á pesar de no dis derecho hasta el 3 de Junio próximo ■. bajo apercibimiento de que pasa frutar sueldo ni pensión por el erario público. do sin haberlo hecho se declarará vacante y aplicará al Crédto público. Se leyó la comunicación del Gobierno, e…</t>
  </si>
  <si>
    <t>Torres, Miguel</t>
  </si>
  <si>
    <t>Miguel Torres</t>
  </si>
  <si>
    <t>…s y valses hasta la una ó dos de ia noche , alternando como convengan han cargado i la cabeza de la caballería, se debe en gran parte este bri entre sí. llante suceso: el patriota D. Miguel Torres bolanot , con su valor y 19. Ihbrí un pequeño refresco para los músicos. entusiasmo, nada me ha dejado que desear. ia. La plaza de la Constitución estará bainda y bien regada á las Tres días de operaciones continuas, coronadas con fres combate» zo de la mañan…</t>
  </si>
  <si>
    <t>Torres, Miguel de</t>
  </si>
  <si>
    <t>Miguel de Torres</t>
  </si>
  <si>
    <t>…decivon y dmu-00 de los Talantes ds ha tuto v Madrid Lunes 16 de Setiembre. _Sij.it.miz» i coma igualmente el d:»t ngu&gt;do servicio uue hace a la causa de la libeitad el ciudadano D. Miguel de Torres, sumamente práctico S. M. el Rey y SS. AA. continúan sin novedad en su importante en el conocimiento del p»¡s. Viva ¡a Constituye». I o que con el ma salud. S. M. la Reina no ha tenido mejoría en tu indisposición. yor júbilo participo m V. S. para su conocimi…</t>
  </si>
  <si>
    <t>Torri</t>
  </si>
  <si>
    <t>…gan esta columna, y el distinra 3, sa sabe que á lea 11 de aquella maiiana habia llegado una divi- tivo que se le* tefiale para no confundirte con los facciosos. aíon al mondo del brigadier Torri jos á la vista de Solsona, y que muy 7-s n La misma sccc od dará las órdenes correspondiente* para que luego éntró ra dicha ciudad. cada ij días por anticipación sean satisfecho» los sueldo* por lo» medio* Jdtm 26. que juzgue ma- análogo» á las circunstancias…</t>
  </si>
  <si>
    <t>…alguna disposición posterior quie unos yioe hombres, y que atacados por agooinfant sy 200 caballos ran hacerse pan: en duha tcstamenutía, acudirán i deducir su derecho a mando del coronel Torri(os, hab.an sido aquellos d rielados con en el exprésalo juzgado y escribanía del número de D. Bernardo Dize pérdida de 1300 muertos, gran número de hetidos, y los dtmas dis de Antoñana en el preciso y perentorio término de 15 días , que por persos y dtty ator…</t>
  </si>
  <si>
    <t>…rían las fincas y rentas del Crédito público, pesarían sobre él mayores unos 5O hombres escasos, y gran parte de la caballería. obligaciones. I.a primera divisir n, que mandaba el Sr. Torri|Os , salió también El Sr. Canga expuso que era público el movimiento que había he &lt;!- C rt ri el 29 con dirección á Ler da. Pero el parque de artillería, cho el papel de España, Ul vez porque se han pagarlo algunas obliga b en refoTza-'o con las municones y p…</t>
  </si>
  <si>
    <t>TorrícuUs, Adriano</t>
  </si>
  <si>
    <t>Adriano TorrícuUs</t>
  </si>
  <si>
    <t>…l les hiciese. La cal le , y nos piez-s de artillería, mandadas por lo» cfi.uK» ce d-cl^ • Aunque no me hallaba expresamente autorizado psra coi-ceder lo arma :&gt; J &gt;sef Fucnt.-s y D. Adriano TorrícuUs , dejaneo ta r-s-rva y que me pedían , creí que las particulares circunstancias en que nos ha en disposición de obrar los batallones situado, ,n la Piara, pr-pj-e el llábamos en aquel momento, y cerrada la noche, ocupando tos ene ataque por la calle Mayor, pa…</t>
  </si>
  <si>
    <t>Torrijo</t>
  </si>
  <si>
    <t>…prebendas ó be esfuerzos de las tropas de este distrito en Tamarite , en Cataluña guia neficios; y de tu Real orden lo participo á V. para tu inteligencia j siempre sus pasos: el brigadier Torrijo» que las manda, escribe el 28 efectos correspondientes. Madrid ao de Mayo de 18a a. desde Soisona, que después de la acción ventajosa de Tuirana se dirigió sobre aquella ciudad , en la que entró con todo el aplauso imaginable, Por al ministerio de Hacienda te…</t>
  </si>
  <si>
    <t>…Austria se halla en una posición que so le permite ni querer, ni oblar. No le par. criia mal que otro Gobierno hiciese, hoy lo. que ella hizo Nuestro nuevo comandante general, el Sr. Torrijo», ha publicado r.o hace mucho tiempo. La Italia es un círculo vicioso, en que ha colo un bando, que contiene las P'ovidencias mas enérgicas para qu: en esto cado sus argumentos y sus soldados; potqué al fia, si- eUa tuvo dere distrito tomen un giro macho mas…</t>
  </si>
  <si>
    <t>Torrijoi</t>
  </si>
  <si>
    <t>…, resu haber sabido que los facciosos de Navarra han hecho movimiento so men del modo de cultivar ias moreras y de criar los gusanos de sida , á bre el valle del Roncal, y que el general Torrijoi se dirigía hacia a rs. en rústica.—Noiicia del cementerio del Real sitio de S. Ildefon ellos , y desde alli obrará según convenga, con arreglo i las instruccio so, á 3 rs. en rústica—finís , Mein .rn. 1/ y 2Ó sobre negociaciones nes y noticias que adquiera. D…</t>
  </si>
  <si>
    <t>Torrijos</t>
  </si>
  <si>
    <t>…ejado satisrece que hay muchas declaraciones contra él. Hoy espetamos á los fac fechas del modo posible todas las obligaciones del Estado, y de consiciosos que hizo prisioneros el brigadier Torrijos. gu ente se hallaba este en circunstancias muy felices. Asi se ve que Jteus ay de Mayo. cuando las Crrtes autorizaron al Gobierno y le ampliaron sus faculta Ayer tarde entraron en Cornudetia 500 facciosos al mando del des con la orden del 29, todavía el minis…</t>
  </si>
  <si>
    <t>…ñol. La insolencia ce estos no tiene Lérida H de Junio. En la tarde de ayer entró en Cerrera la cois,ni término; y solamente el brazo de la justicia podrá contenerlos en su na dei brigadier Torrijos, desalojando y dispersando á los faccio-cs, temeridad: el extravío de ios seducidos por ellos podrá ser corregido después de sufrir una oposición continuada en tedo el terrero desde &gt;u luego que lo permitan los obstáculos que los seductores oponen ; y con sa…</t>
  </si>
  <si>
    <t>…ara poner á cubierto la Conca se ha movido el general Prona con guno de alterar la tranquilidad pública, tampoco los verdaderos aman sus tropas sobre dicho punto, y It columna del brigadier Torrijos se tes de la Constitución y del Rey constitucional cesarán un momento aprox'mará al Segre ocupando á Agramont, para combinar con aquel de dedicarse enteramente á descubrir todas sus maquinaciones, é inu las cineraciones militares que sean necesarias. tilizar…</t>
  </si>
  <si>
    <t>…e patriotismo, decisión por la Constitución, dirección i Vallfogoaa. fraternidad y moderación que la caracterizan, manifiestan ¡os que ani —Con fecha de 18 de Beiga se sabe que el Sr. Torrijos ba socorrido k man á estos dignos patriotas y ciudadano*. Si el genio del mal suscitase bolsona. en esta provincia como en otras el trastorno del orden, bien podía es —Las cartas de Vich avisan la retirada de los facciosos por la parte de perarse que , lidies…</t>
  </si>
  <si>
    <t>…de la mafiana del ti del corriente llegó una división á la debe comunicarse con el Gobierno y con los ayuntamientos por me vista de Solsona, j e- tr&lt;i en ella. Se cree tea la del brigadier Torrijos. dio de I a persona que egerza las funciones de gefe político ; entena.en _EI ag salió á las fi de la mafiana dt Manresa una columna de tho dose todo por ahora, y basta que discutido el proyecto de la nueva individuos de Murcia al mando del teniente coronel D…</t>
  </si>
  <si>
    <t>…abe fias, llegó al mas alto punto cuando abandonada la patria 4 un pérfido que ha sido muy considerable. usurpador, turo que recurrir 4 sí misma para salvarse. Entonces se mani El brigadier Torrijos, por un parte del 19 desde Lérida, participa festaron los españoles tales como fueron en lo» tiempos heroicos de V iOtra derrota de loa facciosos. Una columna organizada de aaao inlan- riato y de Numancia , y él patriotismo hizo milagros; pero luego que tes c…</t>
  </si>
  <si>
    <t>…Antonio Remon Z rco del Vallc.= El dia '9 ya se supo en Lérida el resultado de este movimiento, y Excmo. Sr. secretario de Estado y del Despacho de la Guerra.” fue como sigue: «El brigadier Torrijos, mariscal de campo, da parte Intervención general del presupuesto del ministerio de Hacienda, desde C rvcra de haber encontrado i los facciosos entre la Cucillada y Mes de Julio de 1822. dicha c ud::d, en número de mas de 2800 hombre», que capitaneados por lo…</t>
  </si>
  <si>
    <t>…glorioso d¿ la li protegiesen su incorporación. Hago dar este aviso al público ínterin bertad; teníamos surcado un piélago inmenso, donde naciones menos ios partes detallados del general Torrijos nos instruyen del pormenor venturosas naufragaron; el poder constitucional contaba triunfos s. bre de los acontecimientos de S. Ramón. Barcelona a8 de Agosto de s8aa. todas las pasiones f todos loa partidos, cuando trióse repent.ñámente =M. Castclidosrius. en…</t>
  </si>
  <si>
    <t>…os promo graria en una hora, y penetraría detpuft, cuando Romanillos atacó la vedores de una rebeliou, que por ahora considero deshecha en estos al línea por diferentes puntos: el general Torrijos recibió lat considerables rededores. fuerzas enemigas con el valor y serenidad que le son características; pa » Mas adelante daré i V. E. el parte circunstanciado, para quo ro no pudo impedir que avanzasen por un punto hasta el convento. sepa la nación entera…</t>
  </si>
  <si>
    <t>…n sorpresa el si.jier.ta tres hrmosas d v&gt;s on s; ia pritn.ra esta á las órdenes de Gurrra , la párrafo. secunda á las de Asura, y a trrc.ra á las del coronel Montenegro: to •» El general Torrijos llegó i Cervrra. que reforzó con 1. c homdas comoonen m.t» de infantes y 430 cabido»; vamos á saiir hacia s* br.» , y i.a depos.tam a. 1 un c nsiceratve .orv.sy ha ma'c' a o en Brnabarre , que vs donde se hallan los facciosos: ¡d.sgnciido» de dio* „ sega é» a…</t>
  </si>
  <si>
    <t>…eralt avisan con fecha del at que en los •e imponían de las providencias de seguridad que estaban tomadas, y puntos de Cervera y Tárrega habría unos a9 infantes y 300 caballos, «1 general Torrijos entró en Cervera entre 11 y 1 a del referido día todos del egército permanente : en Lérida habían quedado 700 hombres 14. Aquella larde se me avisó que los facciosos habían abandonado el de milicias provinciales. » Esta mañana (dicen) ha salido de Cervera fue…</t>
  </si>
  <si>
    <t>…* : irruiré. CORTES EXTRAORDINARIAS. Nuestros periódicos pub.tcan las noóc.u* s calentes: rKBsiD*.vctA uní sfSox ru'oi'E usi r.\«c:s. A los habitantes del 5.'’ di.trito m litar el general Torrijos. » Ciudadano» ¡ nombrado por el R y comandan! - generó de esta Ji jen del d:.l 13. distm», y en gcf‘ del egercitj de npiracmn v-ngo 1 r-stabl-ver en l eída v .'probada rl a.ta de la anl.tor. se d.o cuenta de hs rtex»estas ¡orillea provincias la par y du c ct…</t>
  </si>
  <si>
    <t>…o la Alara , ccn el objeto de tuquiar aqurüa capital. No soban ».n dura que voz de este mismo pueblo , he convocado una asamblea constituyente acababa de llegar á el:a el valiente general Torrijos con fuerza suficien y legislativa (1) para que ae dedique i establecer la felicidad perma te para escarm-mur á aquellos temerarios, cuy-s esperanzas están ya li nente de la nación. bradas en ¡os robos con que animan el devánente que cio-n.na a sus a&lt;a» Asi es…</t>
  </si>
  <si>
    <t>…agada de lo: fondos públicos de esta. facciosos de Navarra retirándose hacia el valle de Roncal perseguidos El Sr. Romero opinó que seria conveniente que en las secretarías por el general Torrijos: con este motivo he dispuesto pase súbitamen de las diputaciones provinciales te dividiesen los negocios por seccio te una columna de aoo infantes y 30 caballos al partido de Cinco-Vi- nes, y se nombrasen para cada una los empleados correspondientes. llas , á…</t>
  </si>
  <si>
    <t>Torrijos, Josef María</t>
  </si>
  <si>
    <t>Josef María Torrijos</t>
  </si>
  <si>
    <t>…sboa % $ de Mayo. El brigadier D. Josef María Carrillo de Albornoz entró en la no che del 14 con su columna en Cardona, y en ñolsooa en la del r g el Concluye ti artículo do ayer. brigadier D. Josef María Torrijos , habiendo sostenido ambos durante La Nación dice licitamente á cada uno de los individuo* que la su marcha a los citados puntos un fuego bastante vivo con los somate componen: obedece i las leyes, y la Nació* te defenderá. E*to es lo nes. Los milicianos de S…</t>
  </si>
  <si>
    <t>Torrijot</t>
  </si>
  <si>
    <t>…n de es la verdadera persecución que debe organizarse. intereses que d vid: a 'os d.-scont mos causara en la masa d:l pueblo, — Hace pocos días avisaban personas fidedignas que el general Torrijot si por mas tiempo s- dej.se rxpu.sU al contagioso soplo de las pasiones se había apoderado dz mas d: 33 fanegas de granos que O-Donell la mas inconciiiablr» y rnemigas. bia reunido en Lumbier. Esi:, siempre consiguiente á las instrucciones ’&gt; En ta es circuns…</t>
  </si>
  <si>
    <t>Torrjos</t>
  </si>
  <si>
    <t>…contecimientos de Madrid. da el parte siguiente que le d:rige ei gefa del estado mayor de la co Es impo.ib.e leer este monstruoso conjunto de mentiras sin lamen lumna dd mando Jet brigadier Torrjos: tarse de que asi s: tome por jugute la impeture, y sin asombrarse al 0 Remito áV. i. el parte que este momento en los término* Ver basta qué punto llega ia perfidia de un periodista , que abusando da «¡ue siguen acabo de recibir , conforme á lo dispu.'sto p…</t>
  </si>
  <si>
    <t>Torro, Donato</t>
  </si>
  <si>
    <t>Donato Torro</t>
  </si>
  <si>
    <t>…zos, en cabeza ds! Dr. D. Juan de Ponte y Andrade y men- D. Antonio Perez, el alférez D. Andrea Baranda y el cadete Do'a Antonia Saavedra, su muger, perteneciente al mayorazgo que D. Donato Torro», y yo los recomiendo á V. E. por el mérito que fundó dicho Dr. Ponte ; se suplica á la persona en cuyo poder exista han contraído , y por la g'ona de haber contribuido tan eficazmente al ó sepa su paradero se sirva avisarlo al actual poseedor D. Juan de Tor…</t>
  </si>
  <si>
    <t>Torrvro, Diego Muñoz</t>
  </si>
  <si>
    <t>Diego Muñoz Torrvro</t>
  </si>
  <si>
    <t>…i á este ni a&lt; propi- tario D Jo. f de Esp ga y (ladea , D. Juan Alvatez Guerra , D. Marcial los conozco; y que no tengo otro ínteres sino el de que la provincia de A. tomo Lop-z, D. Diego Muñoz Torrvro y D. Angel Vallcjo, pa Sevilla se halle legalnvnt- representada. ra que forir.se un proy cto de le y para que en lo sucesivo se evitasen El Sr. Moreno : I.a razón que me mueve i adherir al dictamen de las con p t ruias Acompañaba el dctam.n de dicha comisión, y el la mayoría de…</t>
  </si>
  <si>
    <t>Tortbio</t>
  </si>
  <si>
    <t>…sin embargo dire qne eos y por consiguiente se debe dar otra forma alHtirtículo que se discute. el medio diezmo hay suficiente cantidad paré pagar la contribucioa. El Sr. Nufirz (D. Tortbio) manifestó qne la comisión se había Antes de la reducción del medio diezmo, cuando se pagaba por entero, abstenido de señalar dotación á los demas partícipes de diezmos, por sufría este las cargas del noveno, escutado, las tercias, los diezmos que la mayor pa…</t>
  </si>
  <si>
    <t>Tortijos, Josef María</t>
  </si>
  <si>
    <t>Josef María Tortijos</t>
  </si>
  <si>
    <t>…esentarán con los do misma provincia. cumentos que lo justifiquen 4 D. Francisco Antonio de Corral , que vi ve en Madrid, carrera de S. Gerónimo, núm. 13 déla manz. 265, frente £1 brigadier D. Josef María Tortijos, gefe de la columna expedi de la Fontana de Oro , quien les instruirá de un asunto que les interesa. cionaria , dice al comandante militar de la provincia de Lérida desde A últimos de Setiembre ó principios de Octubre del año próximo Tuirana con fecha de 23 d…</t>
  </si>
  <si>
    <t>Tortosa, An De</t>
  </si>
  <si>
    <t>An De Tortosa</t>
  </si>
  <si>
    <t>…H. villa de Madrid, se c.ta, llama y em de nuestras libertades patrias, buscaron un asilo en este baluarte de ellas. plaza á D. Juan García halas , comisario de guerra honorario ; D. An De Tortosa el día 10 avisaban que la milicia voluntaria iba toman tonio Sánchez, pintor de cámara de S M.: D. Lorenzo Gómez , ad do pie, pues en lugar de los 18 ó ao que eran, ya el 3 del actual se ministrador de la Moncloa. Doña María Gerónima Carbonel, ame juntaban ma…</t>
  </si>
  <si>
    <t>Tortosa, Miguel</t>
  </si>
  <si>
    <t>Miguel Tortosa</t>
  </si>
  <si>
    <t>…rindad dshacer la revolución, y proclamar de nuevo la libertad y la Constitución.” Monzon y otras ¿ favor de Juan Martínez de Rojas, á 2 de Noviembre Sres. que formaran el jurado: D. Miguel Tortosa, D. Josef Villaver- de la era 141 a', año 1374._-.Otro de un juro de 39 tan. aobte el porde, D. Josef Mariano Pulido, D. Francisco Montenegro, D. Mariano tazgo de Pancocvo i favor de Juan Mattinez de Rojas, á 5 de SetiemRniz de Navamuel, D. Josef Fernandez Gu…</t>
  </si>
  <si>
    <t>Total, Polo de On</t>
  </si>
  <si>
    <t>Polo de On Total</t>
  </si>
  <si>
    <t>…Pane que corresponde í Mayo según prorateo......... . 8-333,546»a9 dad de Cuenca, en cabeza de Doña G-rónima Ondegardo: otro de 36,566 id. sobre alcabalas de Granada, en cabeza de D. Polo de On Total débitos......... ........ 49.616,018..18 degardo: otro de 68,695 id. sobre el servicio ordinario y extraordina Recaudado en el mn de Mayo........................................... 5.71 2,105.-30 rio de la Corufir y Betanzos , en cabeza de D. Gonzalo de Valla…</t>
  </si>
  <si>
    <t>Totrijos, Josef María</t>
  </si>
  <si>
    <t>Josef María Totrijos</t>
  </si>
  <si>
    <t>…de &lt;n destruida dominación; y. El Rey se ha servido promover é mariscal de campo de loa ejérci conocían también que aquello» Monarca» que no riesen su poder apo tos nacionales al brigadier D. Josef María Totrijos , coronel del regi yado et&gt; el «Mor de sus pueblo» y en la rectitud de su administración, miento de infantería de Fernando vn , en atención i sus notorios ser •o petdo narran medio alga tro para interrumpir nuestra marcha consti vicios, acreditado patriotismo…</t>
  </si>
  <si>
    <t>Tr</t>
  </si>
  <si>
    <t>…m-, tu-o rta impidiese la entrada d- los facciosos en el bo.que mientras so ..o ■». que v-st. nerse hasta que y ’ a la «ab 1 de tt s cabal:os , 1 c:..cio c. n pañado del ayudante D. Tr inis X.iurd, y con 1 .. caballería de ¡ .me ei.a, p sí el puerte y ano. e ai en.migs en todas d rece on s , el que ro , socaba! os del Prínc.pe ai mineo del cap tan ' Jos f F 10 .1, s* cr m. jn.i Je óoo in'ar.t-s y 100 c.ba i. s , que h euron una t--,z Cargab…</t>
  </si>
  <si>
    <t>Trapito</t>
  </si>
  <si>
    <t>…io de la Gobernación de en las inmediaciones de Conslantinopla , y debe pasar a. Danubio. Otras la Península. muchas tropas han sido llamadas de diferentes provincias de! As.a. El Sr. Trapito llamó la atención de las Cortes sobre una proposi n La Puerta da muy poca importancia á sus reiaoones con la Per- ción que tenia presentada, para que se consrdera»;n comprendióos en a tia , de cuya nación manifiesta hallarse satisfecha. tabla general de rebaj…</t>
  </si>
  <si>
    <t>Trarcsedo, Francisco</t>
  </si>
  <si>
    <t>Francisco Trarcsedo</t>
  </si>
  <si>
    <t>…blos , liber Señores que compusieron el jurado: D. Angel Bonalto, D. Joa tándoles del yiigo ominoso que hasta ahora han sufrido, y debemos quín Huerta Cevallos, D. Andrés Navarro, D. Francisco Trarcsedo, procurar hacer conocer al pueblo las ventajas del sistema. No nos de D. Santiago Delgado, D. Manuel Gallego, D. Isidro Merino, Don tengamos para esto en un principio mal aplicado y equivocado. Las Cor Cárlos Romeral, D. Juau Labio Pascual, D Lino Campos, D.…</t>
  </si>
  <si>
    <t>Trasugetos, Francisco</t>
  </si>
  <si>
    <t>Francisco Trasugetos</t>
  </si>
  <si>
    <t>…o é incitador á la desobediencia; se reunió el jurado compuesto y.14 Para la seguridad y cumplimiento de este asiento el sugeto ó de los señores siguientes : D Tomas María Zanon , D. Francisco Trasugetos á cuyo favor quedaren rematados presentarán en clase de fian- vesedo, D. Juan Paz, D. Santiago Delgado, D. Carlos Romeral , Don za un mes de existencias en tos almacenes de los artículos de que Andrés Navarro, D. Mamerto Landaburu, D. Isidro Merino y Don cons…</t>
  </si>
  <si>
    <t>Travanco, I. Manuel Fernandez</t>
  </si>
  <si>
    <t>I. Manuel Fernandez Travanco</t>
  </si>
  <si>
    <t>…dado lugar las órdenes y de reiro.es Manuel Florez. =Jos-f Montero .io la Pefia.s Jov-í Moscocretos del Congreso, las decisiones generales , y los actos del Gobier so. =P. s. del Sr. I. Manuel Fernandez Travanco. = Domingo Foano, desfigurados por escritores venales y desorganizadores, que inspi tan, secretario.» rados por el genio del mal se afanaban por dividir k los hermanos, y Ayer 16 el sub-inspector de este departimsnto D. Francisco No esperaban conseguirlo, seg…</t>
  </si>
  <si>
    <t>Travcsedo, Francisco de</t>
  </si>
  <si>
    <t>Francisco de Travcsedo</t>
  </si>
  <si>
    <t>…retirarse, y de no hacerlo se valdrá de Celestino Oiozaga , D. Manuel E teban Cató.1, D. .-rbasti.n An J.es y la fuerza. Art. 4.a El hsb r sido suspendida una reunión no priva del D. Francisco de Travcsedo, calinca-on por ur^n in d.d con ia nota de derecho de volverse i juntar pasados tres días, renovando el aviso á injurioso en primer grado el pasage d sde el folio 3 2 nasta la conclu lat autoridades prevenido en el art. 1." Art. 5.“ Estas teuniones na sión de…</t>
  </si>
  <si>
    <t>Traver</t>
  </si>
  <si>
    <t>…onores que conceda la corte de Ro El Sr. presidente nombró para esta diputación en lugar del Sr. San ma aV rs__ Por cualquiera otros honores militares, civiles y eclesiásti cho al Sr. Traver. cos de Hacienda , que no sean de rigurosa justicia ó no esten anejos al Se mandó pasar á la comisión la siguiente adición del Sr. Pajarea empleo, i9 rs.”Quedó aprobado. al art. i.° del proyecto adicional de libertad de imprenta:» Son igual No fue admitida á…</t>
  </si>
  <si>
    <t>…ar sobre la totalidad del dictamen por 91 votos contra 58. antes lo que quería decir la palabra individual, porque 4 su modo de Volvió la dipu’acion de palacio, y su presidente el Sr. Traver dijo ver era una restricción grandísima del artículo constitucional, porque se que S. M. había recibido á la Diputación con un singular agrado, y coartaba un derecho que tenían todos los españoles , aun en el tiempo r había contestado que asistiría el día 14…</t>
  </si>
  <si>
    <t>Traver, Antonio</t>
  </si>
  <si>
    <t>Antonio Traver</t>
  </si>
  <si>
    <t>…la Selva, el cual pagará prontamente sus delitos en un cadalso. milicia nacional activa. Entre muchas de las noticias particulares de los pueblos se compren Se concedió permiso á D. Antonio Traver, promotor fiscal del den las siguientes: juzgado de primera instancia de Badajoz , para jurar en ua pubis» de Barcelona 6 de Junio. A fin de aniquilar cuanto antes las gavillas aquella provincia, dispensándosele hacerlo en la audi.ncia. de facciosos se toman…</t>
  </si>
  <si>
    <t>Travesado, Francisco</t>
  </si>
  <si>
    <t>Francisco Travesado</t>
  </si>
  <si>
    <t>…00 guientes: D. Gregorio Migusl de Mendivil, D. Josef Rivcs Queraltó, Ascenso á presidente de él........................................................ aooo D. Marcos Izquierdo , D. Francisco Travesado, D. Antonio Dazdel Los honorarios deberán satisfacer lo mismo,, incluyéndose en el Moral, D. Josef Pió Santos, D. Pedro Matute, D. Miguel Hipa y pago de lo* grados anteriores, si no lo* hubiere satisfecho, por cgem- D B n.to Ortega Romanillo*. plo: Un juez de…</t>
  </si>
  <si>
    <t>…! exámenea públicos en loa rudimento* de En au víala se reunió el jurado, compuesto de los Sres. siguientes: la primera educación, reglas práctico-morales-políticas jotra*indispen D. Francisco Travesado, D. Benito Ortega Romanillos, D. Juan La sables para cimentar y consolidat en la niñez lo* verdadero* conoci que , D. Antonio María Espejo, D. Josef Gómez Albacete, D. Gon mientos de la existencia civil 7 derecho* naturales del hombre social zalo Cárdenas, D.…</t>
  </si>
  <si>
    <t>Travesedo, Francisco</t>
  </si>
  <si>
    <t>Francisco Travesedo</t>
  </si>
  <si>
    <t>…de lo* Sres. González Alonso, Serrano y LiUo sef María Puente, D. Ventura Rubio, D. Juan Fernandez-Casariego, al dictamen aprobado anteriormente para que las autoridades políticas D. Francisco Travesedo. bajo su responsabilidad remuevan lodos los obstáculos que se pongan Reunido el jurado, y habida la conferencia, *■ declavó por unanimi por lo* eclesiásticos á lo acordado por la* Cortes acerca de las cofradías dad haber lugar á la formación de causa. Madrid…</t>
  </si>
  <si>
    <t>…obernación de Ultramar dice go Fernandez Angulo, D. Manuel Fstéban Caíala, D. Mariano Zotal de Gracia y Justicia dada el Real «¡tío de AranjuCz con fecha de nquin , D. Pió Santos, D. Francisco Travesedo y D. Pedro Matute. ayer lo que sigue: llab'da la conferencia, declararon por unanimidad haber lugar i n El Rey (qne Dios guarde) sigue con notable mejoría. S. M. la la formación de causa. Reina y Sres. Infantes continúan sin novedad en su importante salud.” ANUNCIOS. Gradar de…</t>
  </si>
  <si>
    <t>…l Rey por una diputación En su vista se reunió el jurado compuesto de los Sres. siguientes: de 11 individuos de las Cortes en 25 del mismo, será jurada por aque D. Manuel Gallego, D. Francisco Travesedo, D. Antonio Sandalio llas Corres en i.° de Octubre. de Arias, D. Marcos Menezo, D. Francisco Colombo, D. Saturnino __FI dia 15 con licencia del Excmo. Sr. D. Antonio Allúe, obispo Lozano, D. Cayetano Romero, D. Santiago Vicente Les, marques de y patriarca de…</t>
  </si>
  <si>
    <t>Traveseó, Francisco</t>
  </si>
  <si>
    <t>Francisco Traveseó</t>
  </si>
  <si>
    <t>…ude 1). Francisco de la Carrera, D. Andrés Alcen, D. Antonio Quiroea, ro , Munarriz, Diez, Buey, Latre, Lapuerta , Santalé, Saogenis, Cue 1). Angel Bonalto, D. Martin de Zarandia, D. Francisco Traveseó», vas, Lasala, Vega, Castran. Falcó , Alcántara, Becerra, Jaimes, Gis- D. Miguel Dolz y D. Josef María Puente. Habida la conferencia, de bett y Valdéa (D. Cayetano). . _ , ,, clararon por unanimidad haber lugar á la formación de causa. Sres. que la desaprobar…</t>
  </si>
  <si>
    <t>Travetedo, Francisco</t>
  </si>
  <si>
    <t>Francisco Travetedo</t>
  </si>
  <si>
    <t>…nación de Ultramar con merto Landaburu, D. Joaquín Huerta Orvallos, D. Isidoro de Hoyos, beba de «ver dice desde el Real *¡tio de Araajuez lo que sigue: D. Antonio Díaz del Moral, D. Francisco Travetedo y D. Domingo » SS. MU. p AA. continúan sin novedad en su importante salad.** Villamil. Habida la conferencia, resultó por unanimidad haber lugar á la El Rey ha expedido lo* decretos siguientes: formación de causa. Don Fernando vit por la gracia de Dios p por la Constituci…</t>
  </si>
  <si>
    <t>Travieso, Josef</t>
  </si>
  <si>
    <t>Josef Travieso</t>
  </si>
  <si>
    <t>…to, en el concepto de que por la ta, D. Vicente Ramón, D. Manuel Ron, D- Francisco Rollo, Don propia dirección te dispondrá lo conveniente para el zecibo de los refe- Jaime Sola , D. Josef Travieso, D. 1 d fonso Tranche, D. Bernardo lidos too® reales. Joana y Vida1 , D. Gregorio Justo Grande, D. Martin Z-'nzano, Don Julián González Sarabia, D. Camilo Miguel, D. Francisco Azquria» Resultando en la dirección general de contribuciones d'rectas, en D. Manue…</t>
  </si>
  <si>
    <t>Trepat, Isidro</t>
  </si>
  <si>
    <t>Isidro Trepat</t>
  </si>
  <si>
    <t>…pus cvangél.ca no ha de hacer frente a la ignorancia, a ia superstición y de conseguir pasase dicha barca la guerrilla que mandaba el teniente al espíritu d. discordia! de Córdoba D. Isidro Trepat, compuesta de 13 sóida los de mi com Yo tío puedo menos de excitar el zelo apostólico de V. S I. para pañía y 10 de la de Córdoba. En este acto los facciosos, tocando una que se sirva cznortar enérgicamente con es|e objeto a los ceras pstzoc i caja, pito y vo…</t>
  </si>
  <si>
    <t>Trespaderne, Gregorio</t>
  </si>
  <si>
    <t>Gregorio Trespaderne</t>
  </si>
  <si>
    <t>…adonde en el caso de huir Beneficencia. podían dirigirse ; y habiendo en efecto salido á la hora acordada dicha Al alcaide de la cárcel partida de infantería al mando del alférez D. Gregorio Trespaderne , y de Corte por alcance la escuadra de la caballería al de dicho juez i la hora de las 4, se ade i su favor hasta fin de lantó dicho comandante alférez con los tres Soldados; y habiendo lle Diciembre de 1821 gado á la Granja de Valdencina después de las ti,…</t>
  </si>
  <si>
    <t>Trezel</t>
  </si>
  <si>
    <t>…n los mo Al viage de Mr. Jaubert acompaña una noticia de las provincias da zo, á d scargar las caballerías , i lavar los pies á los caballos, / si es Ghilan y de Mazinderan por el coronel Trezel, llena de observación*! por ei invierno á cuidar, para que no les haga mal el frío , de llevar importantes sobre la geografia física. El contraste de esta ribera marítima les á pasear por los alrededores del campamento , al principio corrien con lo interior d…</t>
  </si>
  <si>
    <t>Trias, Antonio</t>
  </si>
  <si>
    <t>Antonio Trias</t>
  </si>
  <si>
    <t>…uir á aquellos de los objetos pea que Jos piden , conviniendo entre al mes que disfruta en provincia. a( en el modo mejor ds Conseguirlo, y evitando toda arbitrariedad en Madrid á D. Antonio Trias, teniente coronel graduado y cap tan fatigar inútilmente al saldado; tiendo de la mayor importancia el que primer ayujante del regim entó ds zapadoras, con el sueleo que diste mantenga la mejor armonía y deferencia entre las autoridades que f.uta mandan en un…</t>
  </si>
  <si>
    <t>Tricio, Agustín</t>
  </si>
  <si>
    <t>Agustín Tricio</t>
  </si>
  <si>
    <t>…ismo D. Martin En la ciudad da Logroño, reunidos en jurado da acu «ación los to* Carnicera con loa documentos que lo acreditasen; te ha acordado vol Sores D. Juan Manuel Santiago, D. Agustín Tricio, D. Ventura Cha ver á citar y emplazar é loa que aun no te hayan presentado, para que cón, *f&gt;.'Canteo Benito del Valle, D. Manuel Velaaco, el- Lie. Don en el término de ocho dias , contados desde esta fecha, que por tercero Joaef Jorga Saenz, D. Pedro Perez,…</t>
  </si>
  <si>
    <t>Tricoso</t>
  </si>
  <si>
    <t>…tiempo es preciso confesar que su que la conspiración oculta era mas peligrosa q.ie la t.bel.0-1 d en.i». caida es un acontecimiento terrible para los griegos, especialmente si El Sr. Tricoso dijo que de ninguno de los dos casos debía b-ic-r-s las inmensas riquezas de aquel han caído, como se dice, en manoe mención; porque si la rebelión era declarada , ei Congreso la to:n.:r a de los turcos. Lo cierto es que la catástrofe de AU ha reanimado el es…</t>
  </si>
  <si>
    <t>Trigos</t>
  </si>
  <si>
    <t>…nopla hasta el 11 de Enero manifiestan cualquiera otra pena, liando cuenta al Gobierno de cuanto practicase. que hay mucho sosiego en aquella cap.fa!; lo que se atribuye al pro El Sr. Trigos.* manifestó que las causas de revista se juzgaban en fundo silencio que el divan continúa observando respecto de las nego las audiencias, con lo que estaba segura la libertad de los pueblos; pero ciaciones con la Rusia. Se trabaja con actividad en armar una n…</t>
  </si>
  <si>
    <t>Trigoso</t>
  </si>
  <si>
    <t>…por tanto deben esto* op fracciones da Constitución.**. tar al retiro desde aquella fecha conforme al sueldo que disfruten en el Hubo una larga discusión sobre este artículo; y el Sr. Trigoso pro distrito en que sirvan. Art. a.° Si alguno de los individuos que se reti fuso que se desechase , y se hiciese la siguiente adición al artículo 78: re en las provincias de Ultramar obtuviere el permiso del Gobierno n En cuanto á las causas criminales las C…</t>
  </si>
  <si>
    <t>…s principios no limitaría la libertad á las cuestiones lite discusión para continuarla en otra sesión. rarias; me inclino á extenderla aun á los negocios políticos, sin excluir El Sr. Trigoso leyó el dictamen de la comisión sobre los presos es ni la censura de las operaciones del ministerio: y y a que no está en mi pañoles D- Tomas Blanc y D. Ramón £¡ceron , el cual se reducía í mano ampliarla i todos los ramos del Gobierno, por lo respectivo al d…</t>
  </si>
  <si>
    <t>…tamen de ia la que la Puerta no evacuará la Moidav.a y la Va aqu a hasta que se comisión en todas sus partes. layan sujetado los griegos, y que por ahora, y sin que se entienda El Sr. Trigoso recorrió el origen de las primeras negociaciones en qur intenta perturbir la tranquilidad , se propone no entablar ninguna tre la España y el Portugi! sobre la importante e intrincada cuestión de pego.iacon ; que quiere hacer grandes mejoras en a¡u :l os dos…</t>
  </si>
  <si>
    <t>Trillo, Josef</t>
  </si>
  <si>
    <t>Josef Trillo</t>
  </si>
  <si>
    <t>…go pena!, y según le parecía, discu la que S- M. le destinó de cuartel á aquel punto. Mi ayudante el coro tían entonces el art. 330 , sobre el cual habían pedido la palabra mu nel D. Josef Trillo, portador de la ordena para lo* gefes de los ño chos Sres. diputados; y como no creia que estuviese ya discutido todo pos que c mponen la guarnición de la citada plaza, y deben salir poa d código, cuando se tratase de su dictamen , había tenido por conve lo*…</t>
  </si>
  <si>
    <t>Trinan</t>
  </si>
  <si>
    <t>…ículos del capítulo por el orden Este terror es efecto de la derrota evperimemada por un cuerpo de •o que e; ha lan y número que siguen." a8oo hombres que estaba á las órdenes del coronel Trinan i dos le Asimismo se mandó pasar i la referida comisión una adición al guas de Pisco. Esta fuerza, que habia sido colocada en aquella posición reglamento de policía de los Sres. Flores Calderón y A ilion , que de* para oponerse í la marcha de Caoterac, era mu…</t>
  </si>
  <si>
    <t>Trismadas</t>
  </si>
  <si>
    <t>…e hecha pedazos, y el que ha escapado del estrago lo de las fondas, mesones &amp;c., de que habla el art. 5.a, cuando esten to ha debido á la fuga. Entre este corto número te halla el coronel Trismadas por huéspedes particulares , que exclusivamente las habiten , no tan , que se dice está gravemente herirlo. Canterac ha continuado quedan suj-tas á las disposiciones que contiene el citado artículo." avanzando i imponiendo contribuciones; sn aproximación á Li…</t>
  </si>
  <si>
    <t>Tristan</t>
  </si>
  <si>
    <t>…n el cuerpo, los soldados que barla. Este es el resultado del paite que con fecha del 10 da d sde Ca deban ser excluidos de él por accidentados ó incapaces de continuar su ñete el general Tristan al supremo Gobierno , y de ia* demás noticia* servicio, lo ejecutarán puntualmente, y darán la certificación que de que se hm recibido. Los trasportes que se hallan en la costa de Pisco resultas de tu examen te les mande, arreglada al juicio que formaren hast…</t>
  </si>
  <si>
    <t>Triver</t>
  </si>
  <si>
    <t>…sen de alguna ley ó providencia legítima del Gobierno supremo.” del derecho de cada uno de los contendientes. .1 Tercero : matar, herir , prender dcc. ( vanándose la numeración El Sr. Triver dijo que la resolución de las Cortes debía limitarse á de los siguientes.) soto devolver el expediente al Gobierno, declarando no haber duda al » Cuarto: asesinar , herir , forzar ócc. guna de ley ni materia para aclarar las leyes existentes, en lo cual es «…</t>
  </si>
  <si>
    <t>Trjeiro</t>
  </si>
  <si>
    <t>…timo expedida por el minit:votos, el Sr. Romero uno, el Sr. Belda nno, el Sr. Sarabie uno, u riodeGueft*,que ha comunicado á esta tesorería general en 17 del mis Sr. Sotos uno, el Sr. Trjeiro uno', y el Sr. Znlneta uno. mo el Sr. secretario del Despacho de Hacienda, se ha servido el Rey F.n la primera votación para segundo secretario reunió el Sr. Moro- mandar que en lo sucesivo no se confiera destino alguno, ni aun en no 60 votos, el Sr. Zulueta…</t>
  </si>
  <si>
    <t>Trnjillo</t>
  </si>
  <si>
    <t>…de la Vega, Somoza • Llórente, Rojo, Alvarrz, decido el Sr. prcopinmie al referirse ^ su discurso de ayer. Roig , Orduña , Rico , Canga , Septtem , sierra , Vaigrs, Moreno , BziK1 Sr. Trnjillo: El legi s adoi jamas debe separarse en sus escritos inonte, Salvato, Villanuwa, Rubín t, Busutil, Tejero, Bu-afia, de ia xactitud y de ¡a verdad, y asi creo que d.be proceder el Con Tedio, Silva, Afonzo, Oírte», Aria,, I barra, l.is , K y, F rn.mgreso en el…</t>
  </si>
  <si>
    <t>Troncoso, Pedro del Paso y</t>
  </si>
  <si>
    <t>Pedro del Paso y Troncoso</t>
  </si>
  <si>
    <t>…tras caras esposas y tiernos hijos; opu nuel Velazquez de León. D. Manuel de la Bircena. D. Nicoias Bravo. sisteis á guerreros infames vuestros pechos de bronce, y loa aterrasteis D. Pedro del Paso y Troncoso. D. Vicente Simón González de Cosío. con vuestra decisión, valor y denuedo. Jamas olvidéis esta memora D. Florencio Castillo. D. Tomas Salgado. D. Nicolás O'aez. D. Rafael ble jornada que os inmortaliza, ni menos confiéis en la victoria. vs^—- u.i:...Zn n. Ma…</t>
  </si>
  <si>
    <t>Tronquer, Miguel</t>
  </si>
  <si>
    <t>Miguel Tronquer</t>
  </si>
  <si>
    <t>Santander, y el otro de le de Cataluña, solicitando'te les exonere de niente coronel D. Miguel Tronquer, solicitando una pensión para un 0te encargo en atención; al mal estado de su salud. hijo de entrambos. La comisión opinaba que las circunstancias actuales A la de Hacienda cinco expedientes remitidos por el Sr. secretario no permitían acceder á esta solicitu…</t>
  </si>
  <si>
    <t>Tru.ba, Joaquin de</t>
  </si>
  <si>
    <t>Joaquin de Tru.ba</t>
  </si>
  <si>
    <t>…le» y Benitez, D. Bernardo de la Pefia Diaz,dotes á cada uno de los expresados visitadores por gratificación 8o rs. diarios, que empezarán á gozir desde el día en que emprendan su D. Joaquin de Tru.ba, D. Miguel García Ortiz , D. Juan Bautista Beamurguia, D. Domingo Saizcbaga, D. Amonio Caaadell, Donviage para desempeñar sus funciones , que d berán pagarse por loque falta del presente año económico del fondo del imprevisto general. Francisco Pujol y D. Man…</t>
  </si>
  <si>
    <t>Truchsess</t>
  </si>
  <si>
    <t>…á Nesselrode y al d Capo de Istria, al príncipe de Hesse-Homburgo y al los defensores en el art. 1.“ del decreto de a a de Noviembre último, conde de Fiquelmont, á Mr. Oubril, ni conde Truchsess, al barón debe entenderse con la acusación fiscal, para que leyéndose del mismo R'imdorh, al barón de Vincent, al conde de BcrnstorfF, al príncipe modo que ia causa, puedan los defensores hacer en sus respectivos ex de Hardcmberg, al almirante ingles Moor, al…</t>
  </si>
  <si>
    <t>Truj</t>
  </si>
  <si>
    <t>…comisión de Hacienda, informando sobre ¡as adic-ones h-.hn en go da pensionistas que gozaban sueldo sobre el erario, presentó, un pro la aesion de ayer al referido dictamen por el Sr. Truj&gt;lío , op nata qnj yecto de decreto relativo á los que únicamente podían percibir d.cha* aunque esta adición estaba fundada en principios de justic-a, no pod.a pensiones, el cual se mandó imprimir. admitirse, porque los individuos que por ella se quieren compr…</t>
  </si>
  <si>
    <t>Trujillo</t>
  </si>
  <si>
    <t>…ion tarde ó temprano habrá libertad; pero de Cinónuó la discusión sobre las bases preliminares de Hacienda. la ignorancia no puede esperarse sino cadenas. Vergüenza es, pero et El Sr. Trujillo dijo; Respeto mucho las luces y conocimientos de menester decirlo, que en ios seis años ú timos en que la Nación su Ins ores. que componen la comisión de Hacienda , pero tengo ia d.sgra- frió el yugo del poner absoluto húbose en Vadrid tres cátedras públi c¡1…</t>
  </si>
  <si>
    <t>…imadamente cual es la fuerza del pueblo para después entrar en la misión , y en segundo lugar por ei raciocinio exacto que está á la viste reforma de los presupuestos ; por eso el Sr. Trujillo ha cometido una de todo el mundo. equivocación en decir que la comisión había faltado al orden geomé La Nación espafiola se encuentra con todas Us necesidades que tie trico. La comisión, repito, ha querido saber: primero lo que los pue nen las demás naciones;…</t>
  </si>
  <si>
    <t>Trujíllo</t>
  </si>
  <si>
    <t>…palabra literario después de teatro en vez de público. Aprobado. Se lepó el art. g.*- ( Véate la misma ¿aceta.) La m orna , en vista de la solicitud ds D. Juan López Rodríguez, El Sr. Trujíllo opinó que debía formarse ia escala de que trata este natural de esta corte, pidiendo que en atención á sus servicios se le artículo con presencia de dos circunstancias diferentes muy esenciales, ¿ declare bnemér.ode la patria, y se le concedan 2¡&gt; rs. que nec…</t>
  </si>
  <si>
    <t>…rismos, los cuales debían les y clérigos que han conocido esto, se valen de tan ridiculas é infa ser 6 y 8. mes imposturas para lograr sus depravados fines, y en efecto han con El Sr. Trujillo dijo que el conmutar un curso por otro podia traer seguido que í los milicianos voluntarios los tengan por hereges. ti gcte consecuencias funestas á la instrucción pública, y podían arrancarla de político de Córdoba ha pasado á Lucena con el objeto de concili…</t>
  </si>
  <si>
    <t>…muebles é inmu-bles de los conventos su Se mandó pasar * la comisión de Instrucción pública ana adición primidos pasen ai Crédito público con las carga» qne tuvieren: que sean drl Sr. Trujillo, para que las habilitaciones de curtos simultáneos ó pri extensivos.á las religiosas los artículos 14, 25, ai, 17, 28, 29 y 30 vados te concedan después de un examen riguroso sobre las materias de la ley de i.° de Octubre de 1820 sobre reforma de regulares, y…</t>
  </si>
  <si>
    <t>…tación de la público se comprendan en la rebaja que establece ia tabla de dcscucnti ■ compañía de Filipinas. aplicando las cantidades que produzca al mismo Crédito público para El Sr. Trujillo presentó una representación de los escribanos del atendei al pago de sus obligaciones; y con respecto á la adición de .os número de Bilbao, manifestando los perjuicios que causa el derecho de Sres. Alonso y Lodares dijo que ya había manifestado lo que había p…</t>
  </si>
  <si>
    <t>…e para evitar la ptopagacion de las enfermedades epidémicas Cortes declaren haber hi.ar á votar sobre él. el mejor in dio es el de la incomunicación , y esta es una de las prin El Sr. Trujillo : Hay muchas opiniones en favor de la tx st-ncla cipales bases que se proponen en el proyecto, p.ro sin privar i lo* del conugio. Cinco de los sus vocales de la junta de Parceiona han pu blus apestados de cuantos recursos sean necesarios. También se pro soste…</t>
  </si>
  <si>
    <t>Trujillo, Ramón</t>
  </si>
  <si>
    <t>Ramón Trujillo</t>
  </si>
  <si>
    <t>…Sr duque del T arque no estaba Quedó aprobado el dictamen de la comisión. en el caso que S- S. creia , pues que no hab a mas que ver lo que dec a Mancha. D. Miguel Sánchez Casas, D. Ramón Trujillo y Don el art. 95 de la Constitución , y examinar la lista de que se hab a he Rafael Casimiro Lodares. Fueron aprobados los poderes de estos seño cho mérito. Asimismo indicó que ei haber asistido á las bodas y caro res como te proponía. tulaciones del Rey e Infantes…</t>
  </si>
  <si>
    <t>Trujitlo</t>
  </si>
  <si>
    <t>…sto, como porque IÁida y aprobada él acta de 1a 'anterior, se mandaron agregar i ella los enemigos del sistema n han aprovechado de esta ocasión pota es lea uot#i particulares del Sr. Trujitlo, contrario i te resolución de las parcir voces de que esta economía llegaba hasta 4 los soldados. Cbtt&amp;7 phr la cual aprobaran 1a medida sexta del dictamen de 1a co- El Sr. Isturiz dijo: No pu do metros de decir que tes economía tbisío» especial nombrada con…</t>
  </si>
  <si>
    <t>Trujólo</t>
  </si>
  <si>
    <t>…edad , del estado del enfermo, y de mostrar que se había faltado al método d. ¡&gt;¡do; p.ro es prec.so que el otras muchas circunstancias: lo manió sucede á las Cortes si soto se Vi Sr. Trujólo tenga presente que se trata de ur.es base» geupraies, a 11 dice el remedio que i ju clo de la comisión debe aplicarse al estado cuales s: han de arreglar lo» gistes , viéndose obligada a esto por el económico de la Nación. Es menester mas; y sin presentar al…</t>
  </si>
  <si>
    <t>…se á los gefes los avisos de las centinelas , dispo conformaba con esta adición , y quedó aprobada. niendo entre tanto cuanto estuviese á su alcance para repe er al enemi Otra del Sr. Trujólo para que los empleados de casa lleal sean go , mantener su situación ó disipar el tumulto, el miliciano de cual comprendidos por sus sueldos en la nueva tarifa como si fueran em quier grado que huyese ó se retirase sin mandato ó consentimiento de pleados públ…</t>
  </si>
  <si>
    <t>…le segunda parte del art. del dictamen de la comi un escuadrón é cada uno da la regimienta bivaro» de caballería ligara.” sión de Comercio acera de arbitrios consular» no votó el Sr. Trujólo» El nuevo internuncio austríaco en Comuntinopla ha verificado ya habiéndose puesto equivocadamente entre 1» sedar» que aprobaron •u primera sndiencia del Gran Seda, quien parece tuvo con él un ra la parte del citado artículo. to de conversación en lengua ture…</t>
  </si>
  <si>
    <t>TrujóloPor</t>
  </si>
  <si>
    <t>…de mas autoridad que él sobre esta fu, rza; por toca del sistema constitucional, y nunca para otro fit..“ lo que creo no hay necesidad de insistir mas en manitísUt razones para £1 Sr. TrujóloPor este artículo parece que queda la milicia probar que este artículo no es admisible. nacional local independiente del poder egecutivo, cuando este por A petición del Sr. Garoz »e '.cyo el arf. 70 de este reg:artv nto. m.d.o de sus subalternos debe asegurar el…</t>
  </si>
  <si>
    <t>TstischeiT</t>
  </si>
  <si>
    <t>…co nes de obispos &amp;c. Para activar Itt negociaciones creyó conveniente d lorido; pero i lo menos escogía hombres, hijos del sistema , unido* Emperador Alejandro enviar á Viena al Sr. TstischeiT, á fin de qai con el sistema, y cuya existencia dependía del sistema. (Ñuño Diario). por el conducto de aquel Gabinete te hiciese saber al divan que ti •* » Esta misma facción incendiaria es la que ha dividido los ánimo*, cedía á la Rusia los principados, ape…</t>
  </si>
  <si>
    <t>Tsuitc, Marín</t>
  </si>
  <si>
    <t>Marín Tsuitc</t>
  </si>
  <si>
    <t>…dhesión análogo á la ilustración del siglo; tan fundado en los principios de la •1 sistema constitucional. verdadera caridad , y tan ventajoso i las costumbres. La primera difi El Sr. Marín Tsuitc manifestó que el donativo generoso que la ca cultad era la falta de edificio, pues aunque al hospicio por su extensión ballería española acababa de hacer i la Nación exigía un reconoci y proporciones tiene bastante espacio pata recoger los mendigos, la jun mi…</t>
  </si>
  <si>
    <t>Ttaaierra, Josef de U Tone</t>
  </si>
  <si>
    <t>Josef de U Tone Ttaaierra</t>
  </si>
  <si>
    <t>…do de tea un partido preponderante en el cuerpo legislativo. No tiene medios efi Siente coronel. caces para conseguirlo tino los de la corrupción en las elecciones, y los Laredo i D. Josef de U Tone Ttaaierra, sargento mayor. de brindar con los empleos y puestos de que puede disponer i los d¡Betanzos á D. Josef Ruiz, sargento mayor graduado de ÉenicaM ufados que adquieren mas influjo y mas poder en el Congreso. El píle coronel. lo conoce estos abusos , y declama c…</t>
  </si>
  <si>
    <t>Ttu</t>
  </si>
  <si>
    <t>…particular* efioaptuanda tan tola Quedó aprobada. . los que sufriendo continuamente enfirsmedades .rndémicas tn aquello* Se mandaron pasar i la comisión dos adiciones , la una del Sr. Ttu* países, por no aer de ninguna utilidad en ellos, y no santificarlo» inútil jitlo para que caten comprendidos en las rebajas de sueldos los emplea» mente , hayan sido remitido* á le Península, sobre lo que se encarga 4 dos en las escuelas especiales de medici…</t>
  </si>
  <si>
    <t>Tu</t>
  </si>
  <si>
    <t>…rebata de a o por 100. ción de causa. aV/«.». En la gaceta del 14, col. j.1, lín. 47 y 48, donde dice » qoa ducados que debe depositar en la tesorería genera! para recbír un urado D. Tu s d- 'a Torr- y Cu-ntra, vecino de esta corte, denunció al en la carrera de la jurisprudencia ” léase -400 rs. para ser examinado Sr. alca'de const luconaí I*. C-i* tino Jlub'O un art’Vu o inserto en el de maestro agrimensor.” F.n la misma , col 6.a, Un. 85,…</t>
  </si>
  <si>
    <t>Tud-s, Cañen</t>
  </si>
  <si>
    <t>Cañen Tud-s</t>
  </si>
  <si>
    <t>…, vacan const intein.-'-ie per -11." : h-imi't pbeado mi» av sos al descontento que ha’» a en algunas prov ,r,ci»s. p-r.. :a- Fspmr.sj , y algún. S me huí s r.o lite c pl .-los El Sr. Cañen Tud-s 'as m d da» aprobadas p,ir ¡as Ci-te» «vw•* hepirada» las fuerzas d -punb , s qu tn ¡ o c iiiim o de -as oril a» m-nte que s ran a tur as a muelo», y perdv-ncme e. » ,-r p e- 1del Cinca , Balonga con su facción se na acercado a Lamirite, y loa nantc que le di…</t>
  </si>
  <si>
    <t>Tuero, Juan Rafael</t>
  </si>
  <si>
    <t>Juan Rafael Tuero</t>
  </si>
  <si>
    <t>…de Diputaciones provine a.es presentó los dos s-guitntas sobre aislamiento, separación de almacén» y densas se hallan exac t» dictamen»: tamente tomadas. Uno sobre la instancia de D. Juan Rafael Tuero, capíian rct-rado, Opino ademas que por el artículo 9.a se entienda qu: de todos mo sobre que se le perdo -asen too fanegas de trigo que d.bia i los p»s tos dos los buques que conduzcan para el depósito géneros ó efectos prohi del lugar de su residencia. La c…</t>
  </si>
  <si>
    <t>Turblos, Pedro</t>
  </si>
  <si>
    <t>Pedro Turblos</t>
  </si>
  <si>
    <t>…ue destruyó á la opulenta Ale hubiese en poder del impresor. po el dia 13 de Agosto continuaba llenando de terror á diferentes pue Señores que compusi-ron el jurado D. Juan Basas, D. Pedro Turblos. El 5 de Setiembre repitió en Alepo y: acabó de destruir los po rientes, D. Juan Domínguez, D. Victoriano de U Puente López, cos edificios que aun quedaban. Mas de ao9 personas fueron víctimas D. Paulino Alegría de Quilchano, D. Francisco Saleta , D Manuel de…</t>
  </si>
  <si>
    <t>Tutor, Josef</t>
  </si>
  <si>
    <t>Josef Tutor</t>
  </si>
  <si>
    <t>…huta do Diez , D- Pedro Ruíz, D. Jacinto Rofil, D. B rnardo Rodríguez, ahora quiénes ton los poseedores d 1 estos títu'os, sin embargo de las D. Pablo haracibsr, D. Manuel Silva, D. Josef Tutor, D. Manuel muchas diligencias que te han practicado al cf cto, te avisa al público Trtcaño, D. Josef Urreta y D. Francisco Uriel. por medio de este periódico, para que si aLuno tiene noticia de los re ANUNCIOS. feridos poseedores se sirva manifestarla en la m…</t>
  </si>
  <si>
    <t>TVjeiro, Navarro</t>
  </si>
  <si>
    <t>Navarro TVjeiro</t>
  </si>
  <si>
    <t>…n favor de estos poquísimos es el artículo que ha bo de Sagunto Francisco Pérez, á quien le hirieron el caballo.** presentado la comisan. Pagaduría militar del primer distrito. El Sr. Navarro TVjeiro impugnó el artículo, manifestando entre Las viudas y huérfanos del monte pío militar, que no excedan de otras cosas que se aumentar.an considerablemente los gastos dé la Na IÓ30 rs. ai trimestre, y las pensionistas de guerra de todas clases, que ción por el n…</t>
  </si>
  <si>
    <t>Tvndieislo, Sanfago U-.oz.’’</t>
  </si>
  <si>
    <t>Sanfago U-.oz.’’ Tvndieislo</t>
  </si>
  <si>
    <t>…firac-s en «v?rigu?c’en de la reiideocrctaiías i sus oficial?* mi'or.s respectivos D. ‘Damián ds la anta y era de ios &gt; ií.&lt;r.» grandes d. España y títu os de castilla que á conti D. Sanfago U-.oz.’’ Tvndieislo entenado , y dispondréis io necesario nuación se expresa ;y no hab e rd lo conseguido, se les avisa por medio para su cumpi miento =Rcbricado de la Real mauo.rzEn palacio a 13 de c,te permd.uo , esp ranJo que en ib. quio del servicio nacional se de Julio de i…</t>
  </si>
  <si>
    <t>TWniH</t>
  </si>
  <si>
    <t>…e lo cual extendí la presente de ir.i letra y con mi tigno, que va sellada con el sello de mis armas en L»b,/a á 3 de Di jada, el duque di Abranles, Regidores. D. Joaquín Velasco, D. TWniH no G &gt;riza'-z d- 1? Pi ciembre de 1822 afio».__(L. S.) Manuel Cípiiano da Cosía. fia, D. Lorenzo i mtnet, D. o Juar-st , D Pab o Mari n Cu Decreto t.° po, D. Gregorio Entrambasaguas, D. Antonio Mir a P-rtz , D. Joa Habiendo la Reina por su espontánea y libre…</t>
  </si>
  <si>
    <t>TXIBl'NAIBS, Costa</t>
  </si>
  <si>
    <t>Costa TXIBl'NAIBS</t>
  </si>
  <si>
    <t>…interes, y ao. &gt;48,591 rancos cdbso unos *5 , qua pretendieron fugarse, y fueron fusilados por reales y 14 mrs. lo* de con ¿1. la escolta.”__La columna expedicionaria al mando del coronel Costa TXIBl'NAIBS. salió ya de Üabadell coa dirección á S. Feliu de Codines._El día 15 En la audiencia territorial de Castilla U Nueva y su sala segunda escríban deMartorell lo.siguiente: El 9 último, habiendo salido para del crimen se halla pendiente en gtado de segunda insta…</t>
  </si>
  <si>
    <t>TxracnAiK, Agustín Al</t>
  </si>
  <si>
    <t>Agustín Al TxracnAiK</t>
  </si>
  <si>
    <t>…edir al clero del continente una cuenta dado sobremanera complacidos de la exactitud y precisión de sus con estrechísima de su conducta.” testaciones. Terminados tos egerciciot el catedrático D. Agustín Al TxracnAiK*. caide pronunció un discurso en que manifestó su satisfacción por el buen desempeño de sus discípulos, y les exhortó á continuar en el es Por providencia del tribunal dal consulado de Cádiz se cita y em tudio de ciencia tan importante. El Sr. presidente pron…</t>
  </si>
  <si>
    <t>U, Mi</t>
  </si>
  <si>
    <t>Mi U</t>
  </si>
  <si>
    <t>…de 1811, firmado por Juan Sariol y F.bre, denuncia dad del ju'vn 13 del corriente mea de Junio, bajo el título El MuM- do por injurioso por D. josef Pedro B?rmud,.z, procurador de D. Mi U, a; declaró nu haber lugar i la formación de cauta por los lefio- guel Ballcster y Catabas, y D. Juan Roig yMila, alca'des constitucio te* |u-c-.s de hecho D. Marisno Alagues, D. Simón Viré», D. M¡- nales de la villa de Sitges, d.claran haber lugar i ¡a forma…</t>
  </si>
  <si>
    <t>U, Santiago</t>
  </si>
  <si>
    <t>Santiago U</t>
  </si>
  <si>
    <t>…z no seré arriesgado decir que en las circunstancia» en que se hallaba el espíritu público de la Nación , esta h.bna dido »n nuevo » t tendiendo i la imposibilidad en que te halla D. Santiago U oz, desengaño á todos los políticos, haciendo v-r que aun »u..u »ro que r-vun ha manifestado, de encargarte del Despacho interino d; la se. -:Madrid hubiese sucumb do al poder de los sublevano-, ei m -u &gt;o d- tir'a de l'srado , que por indisposición del secre…</t>
  </si>
  <si>
    <t>Uayct-Oo</t>
  </si>
  <si>
    <t>…no me opondría á ¿!, porque ten mismas diputación:» ptov.r.c.al.s, smo que c b „n ser :as Cortes dí ian i su cargo el exrm-n de estas cuentas y muchas manos ocu fii ¿ir. Valdc's ( D. Uayct-Oo^) dijo que hasta ahora se K»b:j enten pada* en este solo objeto; p-ro no asi las diputaciones prov.nciaics, que dido que esta autor.dad superior eran -o» geles pciíiicot, en unto que actualmente están muy sobrecargadas de negocios interesantísimo», que tilos…</t>
  </si>
  <si>
    <t>Uclda</t>
  </si>
  <si>
    <t>…rá gratis 130 egemplares de cada Se mandó pasar á la cornisón de D’putacónes provinciales una pliego del diario, en papel llórete para los Sr.s. ú.put idcs y dependien adición del Sr. Uclda , relativa á qu; se fi;e un ir.-u/rran de v c rdar ■&gt; tes. Aprobado. y distancia picprrcionada para los pu.bios qu; teniendo separados .1 » Art. 8.° r&gt; Si las Cortes ó el Gobierno necesitan ademas algunos ayuntamientos puedan rcun rs; egemplares, se pagarán a…</t>
  </si>
  <si>
    <t>Ucta, Zu</t>
  </si>
  <si>
    <t>Zu Ucta</t>
  </si>
  <si>
    <t>…o de que la tercera parte al menos pertenezca á la clase de terpersonas, no sucediendo lo omino cuando el núuicio de estas fuese ratenente* , formarán una junta.” considerable. El Sr. Zu Ucta opinó debía aprobarse la idea contenida en el artí Quedó aprobado el artfcuTo. culo: pero especificando en él, qué proporción debía guardar ei número El Sr. presidente suspendo * esta discusión. de individuo* de la junta con la población. La «omisión primera…</t>
  </si>
  <si>
    <t>Uczinsr, Alonso Perez de</t>
  </si>
  <si>
    <t>Alonso Perez de Uczinsr</t>
  </si>
  <si>
    <t>…admitirán Millones de Sevilla: m dos juros 2 669 57 , un,.; ur,or . ,..¿¡6 las posturas parciales que se hagan á cada una de dichas fincas,ó bien i y el otro 102,852, cu cabeza de D. Alonso Perez de Uczinsr;. ^s toda* ella* juntas, id Pata tu reusats te admitirán paúot y lienzos en continuara ) BK LA IMPRENTA NACIONAL.</t>
  </si>
  <si>
    <t>Udaeta, Marta Agustina de</t>
  </si>
  <si>
    <t>Marta Agustina de Udaeta</t>
  </si>
  <si>
    <t>…en su art. 5.0, 4 las que contiene el 12, donde se describen sus obli Francisco y Benito García. gaciones , jr al 40 que designa los objetos cometidos 4 su vigilancia, Esq’üvissj. Doña Marta Agustina de Udaeta ó Remirez de esta aegun se previno también en la circular de 10 de Marzo último. z.c Que ciudad. tas referidas juntas se ciñan por ahora en el gobierno de los estableci Valdepeñas. Juan Francisco Sánchez Vivar, Ctistóbal García Qui mientos piadosos á las regl…</t>
  </si>
  <si>
    <t>Uernaosilla, Antonio Ensebio</t>
  </si>
  <si>
    <t>Antonio Ensebio Uernaosilla</t>
  </si>
  <si>
    <t>…e Vicilvaíó han' publicarlo utí cer ra Garcero , ídem. D Marcelino Lúrtjide, herido. IX Ramón Calieja, tificado acerca de lá buena conducta que esta trepaba óbiervatió«luían ídem. D. Antonio Ensebio Uernaosilla, idem. D. Juan josef Mata, te tu petmaneocia cu aquel punto.</t>
  </si>
  <si>
    <t>Üerton</t>
  </si>
  <si>
    <t>…eces se ha hablado. Los periodistas de Londres han tenido por una •ntrega de una de esta, sesiones. fábula absurda este convenio; y vemos sin embargo que vuelve á ha Parece que el general Üerton y cuatro de sus compañeros han sido blarse de ¿l como si tuviera sólido fundamento. Afiádese á esto que el sentenciados i pena capital, y otros cuatro á igual pena en el tribunal ministro ingles en Constantinopla mira con bastante inquietud la con de la Roche…</t>
  </si>
  <si>
    <t>UgaLde, Clara de</t>
  </si>
  <si>
    <t>Clara de UgaLde</t>
  </si>
  <si>
    <t>…as referida renta del almojarifazgo, y de ellos p. Heneo. 11 al mayorazgo de gracias que desean. A beneficio de estas sabias medidas, que concillan Alonso de Peralta 04,993 mr». : Doña Clara de UgaLde por otro de los derechos de la Nación con el ínteres de los particulares, se persua 6 de Julio de 1598 , 329 mrs., situados en las alcabala» de Tuy y »u dió S. M. que nada quedaba por desear. Sin embargo ha llegado i en partido. Se suplica á la persona ú pers…</t>
  </si>
  <si>
    <t>Ugalde, Francisco</t>
  </si>
  <si>
    <t>Francisco Ugalde</t>
  </si>
  <si>
    <t>…mo dia 19; y volvieron á saur á ••Mientras, según dijimos en nuestro núm. iij, el comandante del las 10, Jlev ndo»? á un teniente co-or.el ret.railo.” destacamento de Arechavaleta D. Francisco Ugalde perseguía por ios Esta prov.nca, que ha ta ahora ha podido gloriare de no abrigar en montes de Achorroch á los de Cabías y Uranga, volvieron á entrar en su seno nng ina de las orda» que por tanto tiempo infestan á otras, á dicho pueblo 15 facinerosos, quien?»…</t>
  </si>
  <si>
    <t>Ugar, Josefa</t>
  </si>
  <si>
    <t>Josefa Ugar</t>
  </si>
  <si>
    <t>…orte, D. Agustín, Doña María Ugaite y Díaz y Dolía Ana Ma os que aspiren á matricularse. Los requisitos necesarios al efecto se ría, viciaos de Antequera, todos tres hermanos, y i Doña Josefa Ugar czpr-sarán en un edicto fijo en la puerta de la secretaría de la referida te, vecina de ia villa de Dos-Hermanas, para que en el término de escuela. Íio dias precisos y perentorios, contados desde esta fecha, comparezcan VARIEDADES. os susedichos, ó sus hered…</t>
  </si>
  <si>
    <t>Ugatde, Francisco</t>
  </si>
  <si>
    <t>Francisco Ugatde</t>
  </si>
  <si>
    <t>…ad. Cádix g dt Agmto. » Después de reunida la tropa disparo qao ana partida de 50 hom Nuestro gobierno superior político ha publicado lo que signe: bres , ni mando del subteniente D. Francisco Ugatde, pasase i recono- • Por diferente* conductos he sabido ea cate dia que ea algunos Car los caseríos de la falda da la pella de Aranzazu; y en el de Otadui- pueb os dt la serranía te han dsjaús ver varia* partida* de hombrea ar Chiquia M encontraron 6 arrobas d…</t>
  </si>
  <si>
    <t>Uiuu</t>
  </si>
  <si>
    <t>…los escribanos pu--d*n ser secretario* de tendrá por resolución final, ain lugar á otro recurso superior.” eiios. c-i la, Cortes dejan un hueco para que puedan introducirse lo* El Sr. Uiuu dijo que no estaba conforme con la restricción que se escribanos en los ayuntamientos, resultaran muchos males é los pue pon a en este artículo á la facultad que teman loa ayuntamientos para blo. , p.,rqu: habrá escr.baño qu: t-nga á su cargo tres ó cuatro se…</t>
  </si>
  <si>
    <t>Ulivarría, Francisca</t>
  </si>
  <si>
    <t>Francisca Ulivarría</t>
  </si>
  <si>
    <t>…los. Señoritas premiadas. te d ja de instar que tomemos todas las medidas de ataque y de defensa Conducta : Doña María Josefa Pciayo. Lectura : primero Doña Juana Du ran : segundo Doña Francisca Ulivarría, ambas de seis á siete años. K,tri (2) c¡4Yí no está alarmada por nuestra revolución, «cuándo lo es tura inglesa: primero Doña Teresa Uribarri: síiundo Doña Dolores tuvo: ¡y qué motivos tenia que ya no tiene? La revolución española Pareja. Id. española Doña C…</t>
  </si>
  <si>
    <t>Üliver</t>
  </si>
  <si>
    <t>…n leyeron el voto particular det Sr. dd Rio, en «1 qut se oponía i la unos diputado* qne deben dejar ia* paaicuw ú la puerta! ¡O queremos segunda paité da cate dictamen , p el del Sr. Üliver sobre que no te renovar los tiempos «leí feudalismo, en que si lo* Reye* mandaban era discutiese este dictamen antea de beber oido al Gobierno p á la junta haciendo convenios coa los''ae&amp;ores y loa pueblo*! Se dice que el Go directiva de casa* de moneda. bier…</t>
  </si>
  <si>
    <t>Ulloa</t>
  </si>
  <si>
    <t>…isma, y opinaba que no eran admisibles las del Sr. Buruaga fi luego si aquel recoge los despachos de los que no admiten loa destinos, la 3 ■*, la del Sr. Aillon i la misma, la del Sr. Ulloa i la 4.a y la del sera precisamente de amantes del sistema, lo que no concuerda con el Sr Sedeño á la 5/ Aprobado. objeto de las medidas, y sobre todo no está conforme el que se recojan Opmaba asimismo que debía pasar al Gobierno la de los señores los despach…</t>
  </si>
  <si>
    <t>Ultimamente</t>
  </si>
  <si>
    <t>…ngido un artículo tan esencial Cartagena no hubiese tenido la bondad de hacer esta declaración: el de la Constitución. auto de prisión te ha vjsto que no le hay: el mandamiento de juez Ultimamente se ha dicho respecto del conde de Cartagena que ha tampoco aparece; en fin todas las formalidades se hallan omitidas. aparecido como testigo y juez en esta causa. Este declaró en 3 de Oc Otra circunstancia concurre respecto del conde de Cartagena: á este tubr…</t>
  </si>
  <si>
    <t>Ultramar, Ramón Luis</t>
  </si>
  <si>
    <t>Ramón Luis Ultramar</t>
  </si>
  <si>
    <t>…Toribio), Ruiz de la Vega, Saritaíe , Somoza y Marón. provincia de Granada. Poderes. Sres. Silva, Cuevas, Gitbert, Soria y Alcaide. Se mandó pasar á la comisión de Poderes los de D. Ramón Luis Ultramar. Sres. Gil de la Cuadra, Valdés (“D. Cayetano) , Mur de Etcovedo , que devolvió la primitiva comisión á la secretaría des fi , Quiñones , Ferrer ( D. Joaquín ) , Cuevas é Ibarra. pués de haber concluido su encargo. Las Corte* quedaron cnteradai de una exposic…</t>
  </si>
  <si>
    <t>Unbarri, Teresa</t>
  </si>
  <si>
    <t>Teresa Unbarri</t>
  </si>
  <si>
    <t>…, y los españoles quieren ser García. Toda clase de calados: Doña María Josefa Pela}o. Bordados lrbr.s i ¡tul.-‘pendiente-., y que se respeten sus derechos como nación. al tambor: Doña Teresa Unbarri. La debilidad ó fu.rza de nuestros medios se verían cuando lo exi TX1BUNALBS. giesen las circunstancias, como sucedió en 1808. Bonapaite nos llama ba tamb-cn revolucionarios, y nos creía sin recursos, sin egército, sin Por providencia del Sr. D. Josef Eladio…</t>
  </si>
  <si>
    <t>Úncela, Ignacio</t>
  </si>
  <si>
    <t>Ignacio Úncela</t>
  </si>
  <si>
    <t>…e á cada uno. Madrid 15 de Junio de i8za.=:AI- pacho de la Guerra, se 1c destina á cobrar su sueldo al Ferrol. varo Gómez, pretidente.mjotef Melchor Prat, diputado secretario-es A D. Ignacio Úncela, teniente de rey de esta plaza de Madrid, te Francisco Benito, diputado aecretario.zzPor tanto mandamos á todos le ha concedido su traslación á la tenencia de rey tú la Cor uña, que se los tribunales, justicias, gefes , gobernadores y demas autoridades, asi h…</t>
  </si>
  <si>
    <t>Unida, Gregorio Vicente</t>
  </si>
  <si>
    <t>Gregorio Vicente Unida</t>
  </si>
  <si>
    <t>…ogar de Yévenes de 5 'oledo á la villa de Yévenes de S. Juan , han resuelto lo siguiente: nio Velasco, capitán de milicia* urbanas, y su hijo D. Antonio , te niente de las mismas. D. Gregorio Vicente Unida, sargento segundo Ait. i.° El lugar de Yévenes de Toledo y la villa de Yévenes de San que fue del regimiento de infantería de Sevilla. D- Magín Berga y Ve- Juan formarán en adelante un soto pueblo con el título de villa dt Yt- larde , natural de Tarragona, y…</t>
  </si>
  <si>
    <t>Unieres</t>
  </si>
  <si>
    <t>…, y lo único de que sa les privó fue 4 reduce este documento, que está firmado por el presidente Nuñez y el deliberar eú materias políticas. Dígolo esto pata que no se crea que sa secretario Unieres. negó á estos individuos en aquella época el derecho de petición. ■ mi¿ A pesar de que es indudable que e»te derecboie tienen lo» españoles, CORTES EXTRAORDINARIAS DEL AÑO INI 181a. observemos si tiene oportunidad. La España se declaró libre de un moa do sing…</t>
  </si>
  <si>
    <t>Unsarti, María</t>
  </si>
  <si>
    <t>María Unsarti</t>
  </si>
  <si>
    <t>…. por los medios que les dicte su zelo procures remos- r ios r.-i-icu os que nacen de las reclamaciones de lo» pucb.o, que se ban de u ir i..r-Aprobado. Otro sobre la solicitud de Doña María Unsarti, vecina de Sanlúcar ca de sus respectivos derechos , poniéndose e»ta dec ara-ion a co-t.nuade Barrameda, para que se le permite rifar una casa. La comisión opina cion de los artículos aprobados. Ap-obado. ba que no d.bia acccderse i esta solicitud. Aprobado.…</t>
  </si>
  <si>
    <t>Unsnue, Luis de</t>
  </si>
  <si>
    <t>Luis de Unsnue</t>
  </si>
  <si>
    <t>…able el término se Se dió coenta de un dictamen de la comisión segunda de Hacienda ñalado en el decreto de a9 de Jumo de 18a 1 para la presentación de •obre la solicitud que hacia D. Luis de Unsnue, oficial auxiliar de la los créditos contra el Estado para liquidarlos; y que lo» que no *e pre dirección general de registro , á fin de que no le comprendiese el de sentaren hasta el día 30 del próximo Junio inclusive queden amorti creto de 13 de Marzo últim…</t>
  </si>
  <si>
    <t>Unzaga, Raimundo de</t>
  </si>
  <si>
    <t>Raimundo de Unzaga</t>
  </si>
  <si>
    <t>…aderos pro los batallones que á continuación se «x?re»*n , crtif, m a ia rtiev» o-vinciales, id. ganizacion de ia milicia actisa, a ios actuales sargtnu» asayere, c. ella Gerona á D. Raimundo de Unzaga, mayor comándeme supernu que siguen : merario del regimiento infantería Infante D. Carlos, id. Chinchilla al coronel graduado D. Juan Perec da Lema, coman Guadalajara á D. Josef Risetl, espitan de infantería graduado da dante de infantería. teniente coronel y…</t>
  </si>
  <si>
    <t>Ur-</t>
  </si>
  <si>
    <t>…on la que concertará sus movimientos parj la persecu artillería y caballería qua salió ayar. Es digna de notarse la serenidad ción y exterminio de los malvados. Por olio paite del comandante Ur- que mostraron estos buenos hijos de la patria, en quienes ni la vista de r.-iztieta del 9 en Junena consta que la mayor reunión de tos face 19 la esposa, ni al clamor del hijo, ni el sollozo de. la madre pudieron sos era de ao hombres, que fugitivos se dirigí…</t>
  </si>
  <si>
    <t>Urafit</t>
  </si>
  <si>
    <t>…a al miserable estado á que han quedado Después de’ haber satisfecho el mismo Sr. Calatrava á una objeción reducidos los receptores de la misma con motivo de la supresión de es dd Sr. Urafit taü«iweb4tlra&lt;ticu!a. tos oficios, en que un, considerable rántio de familias cifraba su sub Art. 141. » Los qu# con alguna reunión tumultuaria , alboroto, sistencia; en cuyo caso se hallan también los de otros tribunales. Y te dcsaaato 1 Otro desorden, impid…</t>
  </si>
  <si>
    <t>Uraga</t>
  </si>
  <si>
    <t>…cular de los Sres. Lecumbcrri y Torres, contrario.! la apro » SS. MM. y AA. continúan ais novedad en tu importante salud.* bación del art. 186 del código penal; y asimismo ouo del Sr. Uraga, contrario á la aprobación del 189 del mismo. — Hablamos ya en el dia t.° de las imposturas, raras profecías Ice. de Las Cortes quedaron enteradas de un oficio del Sr. secretario de la varia periodistas extranjeros; y ahora vaina á aclarar algunas «le estas G…</t>
  </si>
  <si>
    <t>…e debe hacer1 el'cura ó prelado fue presida, sino im te séllala en la ley de infracciona de Constitución. pedirlo (Kmediatamínte t y de no hacerlo asi es criminal. Asi de niti- El Sr. Uraga hizo algunas aclaraciones respecto de las idea que ha un modo puede la c^mipon conformarse con que te añadan al ártico- bía manifestado; y el Sr. CáUtráva «matató 4 ella*. » las'palabra queha ‘indicado el Sr. Priego; porque creo que no hay El Sr. Zapata: Cuan…</t>
  </si>
  <si>
    <t>Uraj</t>
  </si>
  <si>
    <t>…e Periquillo, pues en Roa supe que traía su dirección para unirse Los coroneles gefes de las columnas con parte de su fuerza co tmua- con Merino: de todo lo cual queda enterado el comandante Uraj. ron e&gt;n embargo en su alcance ¡ pero muy entrada la noche tuvieron Lo que comunico a V. E. para su debido conocimiento , y qu: se suva que hacer ano en el santuario de Codes , después de conocer la inuti elevarlo al de S. M., consecuente á mi citado pare ant…</t>
  </si>
  <si>
    <t>Urbina</t>
  </si>
  <si>
    <t>…su salida , atravesaron el cam.no real por Sevilla, al mando del coronel Mugartegui, teniente corones ¿alcedo j Ormsistegui, donde maltrataron y Levaron al a caldr, y entraion ca capitán Urbina. Azpeitia a las 8 de ia noche dci mismo dia 19; y volvieron á saur á ••Mientras, según dijimos en nuestro núm. iij, el comandante del las 10, Jlev ndo»? á un teniente co-or.el ret.railo.” destacamento de Arechavaleta D. Francisco Ugalde perseguía por ios Esta…</t>
  </si>
  <si>
    <t>Urconsternación, Joaquín</t>
  </si>
  <si>
    <t>Joaquín Urconsternación</t>
  </si>
  <si>
    <t>…cio de hoy, que acabamos «le recibir , nos dice lo siguiente: - Coman tico D. Juan de Cozar, hijo de este mismo pueblo, que está en un dancia militar de la provincia de Cádiz. El coronel D. Joaquín Urconsternación extraordinaria con ul acontecimiento: maldicen á lot au reiztieta, comandante de une de las columna» de esta provincia en pertores «le la conspiración, que miran como lot seductores de este clé eecncion de facciosos, me dice desde Jubriquc en 13 del corriente…</t>
  </si>
  <si>
    <t>Urda, Pedro</t>
  </si>
  <si>
    <t>Pedro Urda</t>
  </si>
  <si>
    <t>…ia se cobrará un a por 160 sobre el valor i- los llo, 1). Andrés de Monti, D. Amonio Lucent, D. Joaquín Medina, Xq9 rt. que se regulan por sueldos y emolumentos. Por los de magiar D. Pedro Urda y D. Manuel de Jesús Carmona. Los seis primeros de irados de las audiencias se exigirá el 4 por too de la diferencia de clararon abtutlto dicho impreso, y loaseis último* subversiva en ter 149 i «69 rs. con que están dotadas estas plazas. Lo* regentes de las cer grado. audiencias pagarán…</t>
  </si>
  <si>
    <t>Urdanetm, Juan Itnrriza</t>
  </si>
  <si>
    <t>Juan Itnrriza Urdanetm</t>
  </si>
  <si>
    <t>…elaciones. 44917820.486.. . 26 Total de la deuda con ínteres. 2602.829,052... 29^ Total de deuda sin interes. Madrid t.° de Diciembre de 1822. ....................... go qtn fundó D. Juan Itnrriza Urdanetm y Doña Ana Menendez Ago niiüvms. nes, cura mitad posee en la actualidad Carlos Villanueva Potadas, Por edicto del Sr. D. Angel Fernandez de los Ríos se llama 4 tendrá la bondad de entregarlo* á su apoderado D. Ventura Fernandez las persona* que se consideren con. derecho á una c…</t>
  </si>
  <si>
    <t>Urdininea, Josef María Perez</t>
  </si>
  <si>
    <t>Josef María Perez Urdininea</t>
  </si>
  <si>
    <t>…ificará con la suma de 150 doblones nes sancionó el ceie d&lt; diciio gobernador Sánchez; resultando electa inmediatamente que se consiga de uno ú otro modo. por universal aclamación D. Josef María Perez Urdininea, quien adCádiz, ij de Setiembre. snitió á condición de que luego que avisase al pueblo de tu cese debe El Redactar general publica las siguientes noticias tomadas del ría este proceder al nombramiento de sucesor__ Con fecha de a * de Argos de Bieenbt- Aires .…</t>
  </si>
  <si>
    <t>Uri, Teresa</t>
  </si>
  <si>
    <t>Teresa Uri</t>
  </si>
  <si>
    <t>…er es Cayetana Martínez. Historia sagrada: Doña Manuela de Alday. Mú poique Ies extrangeros han hecho y están haciendo cuanto es posi sica: primero Doña Gerónima Lessenne: segundo Doña Teresa Uri ble p'M turbar t u stra tranquilidad interior, con el fin de hacer te.rible barri y Doña Benita Ochoa. Baile* primero Doña Manuela de Al y (dú o el s stema constitucional ; es porque han atizado con su oro, day: segundo Doña Carmen Crespo. Costura: primero Do…</t>
  </si>
  <si>
    <t>Uriarte, Manuel</t>
  </si>
  <si>
    <t>Manuel Uriarte</t>
  </si>
  <si>
    <t>…, Sueldos de loa individuos del cuerpo de mfidicot-cirujanot de loe comprendida en el partido de Espartanas de esta provincia, por falle tres departamentos 516,400 rt. cimiento de D. Manuel Uriarte, se hace saber al público para que loo Hospitales. empleados y cesantes puedan solicitarla dentro del término de un mes, Para sueldos y racione* de los empleados en los hospitales militare* señalado desde esta fecha ; siendo su dotación la de 7700 rt. anuales…</t>
  </si>
  <si>
    <t>Uribarri, Teresa</t>
  </si>
  <si>
    <t>Teresa Uribarri</t>
  </si>
  <si>
    <t>…mero Doña Juana Du ran : segundo Doña Francisca Ulivarría, ambas de seis á siete años. K,tri (2) c¡4Yí no está alarmada por nuestra revolución, «cuándo lo es tura inglesa: primero Doña Teresa Uribarri: síiundo Doña Dolores tuvo: ¡y qué motivos tenia que ya no tiene? La revolución española Pareja. Id. española Doña Carmen Crespo. Aritmética'. Doña María znanif- tó desde luego un carácter de moderación y de paz qus no ha Josefa Pdayo. Gramática castellana: p…</t>
  </si>
  <si>
    <t>Urrecha, Tomas</t>
  </si>
  <si>
    <t>Tomas Urrecha</t>
  </si>
  <si>
    <t>…vor.xer á usti benemérita clase. de Sevilla, en la que le incluía dos certificaciones de crédito dadas í Ei Sr. Arguelles: H» verdad que en estas juntas diocesanas se com favor de D. Tomas Urrecha , la una de 61,304 rs. y 17 mrs. vn., y la pone 'a mayoría d • curas párrocos; p.ro no se puede m.nos de reco otra de 13,30a rs. y 18 mrs., señaladas en la contaduría de provincia nocer la poderosísima influencia que tienen los demás individuos de con los nut…</t>
  </si>
  <si>
    <t>Urreirtieta</t>
  </si>
  <si>
    <t>…gún parte que ha recibido el Sr. comandante militar de la pro iresentarse en el peligro , de modo que con esta tropa habia motivo de vincia. Al mismo le da noticia desde Jimena el coronel Urreirtieta, fucirse cualquiera que la mandara, si encontrara enemigos que la hicie que manda las fuerzas que salieron de Algeciras, con referencia al co ran frente. La caballería con su capitán D. Miguel Armendariz á la ca mandante de armas de Estepona, que el 6 salía «…</t>
  </si>
  <si>
    <t>Urreizticta, Joaquín</t>
  </si>
  <si>
    <t>Joaquín Urreizticta</t>
  </si>
  <si>
    <t>…on la cruz roja lio , comandante de armas de Aigcciras , con fecha id de este mei mo en el centro entre ia turbe de lot miserable* ilusos y supersticiosos.*' dice lo siguiente: Ei coronel D. Joaquín Urreizticta me dice desde » Les anteriores noticias manifiestan claramente el fin que ha teni Gauain con fecha de ayer : Desde mi último parta núm. 7 del día da do la insurrección de la sierra, provocada por ios infames y temera ayer ao ha ocurrido nov-dad a'guna, y subs…</t>
  </si>
  <si>
    <t>Urreiztieta</t>
  </si>
  <si>
    <t>…a caballería á Villaluenga, indudablamente pondrá fin 4 su loca cuanto infame empresa, como lo por haberlas quitado hoy en estos pueblos los facciosos. Todo lo que afirma el mismo coronel Urreiztieta___En toda esta provincia no hay pongo en noticia de V. S. para su debido conocimiento; añadiendo que novedad alguna, ni he vuelto á recibir noticias respecto al faccioso al t empo de colocarse la lápida se publicará la ley marcial Dios guar Zaldivar; solo un…</t>
  </si>
  <si>
    <t>Urreiztieta, Joaquín</t>
  </si>
  <si>
    <t>Joaquín Urreiztieta</t>
  </si>
  <si>
    <t>…eso con otros cuatro mas.—Las au compuesta de las tropas que expresa el adjunto estado , todas al mando toridades de aquella provincia van destacando tropas en distintas direc del coronel D. Joaquín Urreiztieta, ge fe principal del regimiento de ciones, y me invitan i que contribuya por mi parte, dirigiendo algu la Corona; debiendo llevar por objeto la persecución y exterminio de nas fuerzas hacia aquellos puntos, lo que ya se hab a verificado antea la gavilla de il…</t>
  </si>
  <si>
    <t>…te militar de esta A las cuatro de la madrugada salió ayer de Arcos la columna ex provincia lo siguiente: pedicionaria, llegando al medio día al cortijo delClorrito , venciendo El coronel D. Joaquín Urreiztieta, comandante de una de las co con espíritu verdaderamente veterano cinco leguas mortales con un sol lumnas de esta provincia destinada fi la persecución de facciosos, da que abrasaba. A las siete de la tarde entramos en Paterna, cuyos mo parte desde Gaucin, co…</t>
  </si>
  <si>
    <t>Urreiztieta, Joaquín de</t>
  </si>
  <si>
    <t>Joaquín de Urreiztieta</t>
  </si>
  <si>
    <t>…n novedad en su importante Estado que manipe.ta la fuerza de que se compone la columna de salud. S. M. la Reina continúa en el mismo estado de indisposición. camparía al mando de! coronel D. Joaquín de Urreiztieta. Galicia: una compañía de granaderos, 3 a hombres. Corona 4 com _ lo» periódicos extrangeros recibidos hoy están muy escasos de no pañías de granaderos y cazadores, 100. Valencia y América dos ídem ticias. Sin embargo indicaremos lo poco que hay. El Sultán ha…</t>
  </si>
  <si>
    <t>Urreiztieta, Luis de Joaquín</t>
  </si>
  <si>
    <t>Luis de Joaquín Urreiztieta</t>
  </si>
  <si>
    <t>…. nuel Fernandez Rema, comandante del batallón ligero de S. Marcial. Vitoria (ligero) : para primer comandante al coronel graduado Don Fígueras: para primer comandante al teniente coronel D. Luis de Joaquín Urreiztieta, teniente cotonel mayor del regimiento de infante Viliadomar y de Castellarnau , primer teniente del a.° regimiento de ría de la Corona. la Guardia Real de infantería. Velez el Rubio: para primer comandante i D. Josef Donvngo de Gerona (ligero) para coronel a…</t>
  </si>
  <si>
    <t>Urreta, Josef</t>
  </si>
  <si>
    <t>Josef Urreta</t>
  </si>
  <si>
    <t>…1 estos títu'os, sin embargo de las D. Pablo haracibsr, D. Manuel Silva, D. Josef Tutor, D. Manuel muchas diligencias que te han practicado al cf cto, te avisa al público Trtcaño, D. Josef Urreta y D. Francisco Uriel. por medio de este periódico, para que si aLuno tiene noticia de los re ANUNCIOS. feridos poseedores se sirva manifestarla en la misma dirección, por Continúa el catálogo de tila imprenta Mac ¡onal.__Trátalo de las convenir mí á lo* intereses de la Nación. ob…</t>
  </si>
  <si>
    <t>Urrutia</t>
  </si>
  <si>
    <t>…ler , que con tanta maatria grabó en otro tiempo la Caza del tenida el Rey &amp; bien mandar que en su ejecución sa observen las reglM avatruz de Boucha, el S. Gregorio «fe Ribas y el general Urrutia prevenidas en la circula de este ministerio «le :j de Mayo «leí afio de Goye , he supaado felizmente las dificultades que ofrecía una compo próximo pasado, y que como adición á ella se tengan presenta las si- sición tan complicada como es la del prctcqtc asun…</t>
  </si>
  <si>
    <t>Urrutia, Ignacio</t>
  </si>
  <si>
    <t>Ignacio Urrutia</t>
  </si>
  <si>
    <t>…clase de negociación, preciso es que se la concedamos sacan sala del crimen de la audiencia territorial de Extremadura , y la de do en favor de la Penínsu'a las ventajas ponb'es. D. Ignacio Urrutia, vecino de Alcalá de Henares, contra el ayunta El orador hizo en seguida varias rcfLxiones en apoyo de su opi miento de aquella ciudad. Aprobado. nión , recordando i las Coi tes el egemplo de otras naciones que hallán La misma comisión, en vista de la queja d…</t>
  </si>
  <si>
    <t>Ursainqui, Agustín</t>
  </si>
  <si>
    <t>Agustín Ursainqui</t>
  </si>
  <si>
    <t>…de Santiago Manuel Sánchez y Josef Sagú ir re , y muy particularmente al que trata ¿1 cap. 4.'’ de este título, como también la de sus inferiores valiente alférez del mismo cuerpo D. Agustín Ursainqui, quien con y las p.culiaics s su empleo, que son las siguientes: los mismos se arrojó en medio da los facciosos, esparciendo el ter Art. 3/’ » Ningún cabo de tambores ascenderá i este empico sin ror y la musite, y continuó defendiéndose con su espada pie á ti…</t>
  </si>
  <si>
    <t>Urtusaustegui, Manuela Petronila de</t>
  </si>
  <si>
    <t>Manuela Petronila de Urtusaustegui</t>
  </si>
  <si>
    <t>…admiten memoriales hasta el último dia del ro 838, perteneciente entonces á D. Mateo Pablo Diaz de Lavandera y próximo Abril, y se dirigirán á D. Josef Gregorio de Castro, secreta Doña Manuela Petronila de Urtusaustegui, marqueses que fueron de rio de su ayuntamiento constitucional. Torrenueva, y en el dia á sus herederos-, y tiendo preciso acreditar la Se halla vacante la plaza de médico titular de la villa de la Bafiezi, pérdida de este documento para en tu consecuencia ta…</t>
  </si>
  <si>
    <t>Uruburu, Ildefonso</t>
  </si>
  <si>
    <t>Ildefonso Uruburu</t>
  </si>
  <si>
    <t>…radilla, son los sifuientes:'ancorvo,elD.capitánFelipeD-EguiliortD.Antonio de Arana:Nicolás losVillavaso,voluntariosD. D.DomingoSimeón BE IOS DELITOS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t>
  </si>
  <si>
    <t>Üsirm, Ramón</t>
  </si>
  <si>
    <t>Ramón Üsirm</t>
  </si>
  <si>
    <t>….............. 3.760,91/ que se insertó en la gaceta del 15 del comente, p'ana sea un da . colum Los del ministerio de la Gobernación de la Penín- na pnmera, ta smcnbi—o los bees. D. Ramón Üsirm j O. Francisco ‘ sutat»....................................................................... 31.448,028.16 B:a» Garoz. KN LA IMPRENTA NACIONAL.</t>
  </si>
  <si>
    <t>Uspiricba</t>
  </si>
  <si>
    <t>…u«Ja anta el Sr. D. Josef Moreno y Ra va , y debiendo pagar las costas de su defensa. Se multa é Francisca da mírez , magistrado honoitrio de la audiencia territorial de Castilla, juez Uspiricba en ocho ducados, previniéndola que en lo sucesivo dé cuen de primera instancia en esta capital, y por la escribanía «leí número qua ta í la» autoridades de cualquiera proyecto que le conste contra el ré ogercc D. Juan Raya, en la que se celebrará el remate el…</t>
  </si>
  <si>
    <t>Usu, Josef Diez de</t>
  </si>
  <si>
    <t>Josef Diez de Usu</t>
  </si>
  <si>
    <t>…nes ar Pallares, D. Josef Anima, D. Vicente Martines Gómez , D. Anto mó con los fusiles que 4 prevención sacó da Puerto-Cabello, con loe nio María Guillen, D. Antonio de Quesada , D. Josef Diez de Usu cuales y su fuerte marchó 4 sitiar 4 800 y pico de enemigos que ocu ren* y D. Josef da Goyonet*, jueces de hecho, con la nota de injurio paban el puerto de la Vele, fortificados en cinco fuertes: durante loa so en terter grado el último artículo comunicado en…</t>
  </si>
  <si>
    <t>Utunz</t>
  </si>
  <si>
    <t>…iene derecho á retirar sus capitales de esa privilegiada.” compañía s:n que se haya pagado antes a los acreedores. Se aprobó un dictamen de la comisión de Visita del Crédito pú El Sr. Utunz dijo que si la compañía de Filipinas no podía pagar blico, la cual, en vista da la exposición de Don francisco López de los , se manifestase en quiebra. Qmaña y otros «trios individuos soben la compra de bienes naciona El Sr. Munarriz observó que este estable…</t>
  </si>
  <si>
    <t>Uuri.i</t>
  </si>
  <si>
    <t>…ón:». La primer.1, qu* tendrá su cuartel geni-raí en otras circunstancias impertinentísimas y molesta, que para nadie eran Pcrpiáan , al mande dei u.i. jnle genri.i par del rancia conde Uuri.i, se ¿tiles; pero no subsistiendo estas nr¿ parece que deben vanarse en al llamará d.visión de Le» F.r.neosoriri.ulc» y de. Anda, y estar.n a sus gún tanto aquella^ formalidades: de otro modo, el test amento de un mi órdenes los mariscales de campo marqu s Je…</t>
  </si>
  <si>
    <t>Uxbridge</t>
  </si>
  <si>
    <t>…one» son las siguientes: las tropas otomanas no entrarán por sin embargo despedidos del servicio militar. ningún pretexto en el territorio de la Servia; y para evitar toda mala El lord Uxbridge, que en vista de las declaraciones de algunos tes interpretación, no se completarán ni se reemplazarán las guarnicio tigos había sido acusado de haber muerto de un pistoletazo 4 uno de nas turcas que se hallan actualmente: en las fortalezas de la Servil No lo…</t>
  </si>
  <si>
    <t>V'torica</t>
  </si>
  <si>
    <t>*7 El Sr. V'torica dijo que no comprendía cómo podía quedar abo Art. 190. * Las reglas prescritas en el artículo anterior te observa lido el fuero eclesiástico, porque no comprendía cómo pcdr;a á.jir de rán tespectivamente con cualqu.era otra p-rson* que por delitos cifc•er fue…</t>
  </si>
  <si>
    <t>V, Jcstf</t>
  </si>
  <si>
    <t>Jcstf V</t>
  </si>
  <si>
    <t>…ilaría en la historia de la ambición humana un egemplo que se le pa V. E. en la plaza dei m amo cuartel de S. G i, á excepción de una mi reciera. tad de compañía, qua al mando del teniente D. Jcstf V ton se halló Los periódicos extrangeroa recibidos boy noa confirman en la idea en la p'aza de la Constitución á las órdrnrs del general £a.Lateros. de las pocas esperanzas que deben tenerse de que no haya un rompí. » Esta mitad i* incorporó al resto del escua…</t>
  </si>
  <si>
    <t>V, Joaquín</t>
  </si>
  <si>
    <t>Joaquín V</t>
  </si>
  <si>
    <t>…del reg m.eato infai.t.r.a de ü.. cu, -en Sr. comandante gen.ral del rt.° distrito militar." fijo rs. z D. 1 comandante Toiosana al comandante general del 6." distrito Talaven al capitán D. Joaquín V c¡n González , arud.irt- Hela mtlirar. ext ti uida prim-ra d visión de grat -d..c- p,. vi-.cia .s . c. - '-o rs. Comsndinci» de la columna móvil d-l bajo Aragón. V.ch a D. Josef Courtos, secundo a» ueante del ba:a..-..i cero de - Consecuente á lo que dije a V…</t>
  </si>
  <si>
    <t>V, Josef de</t>
  </si>
  <si>
    <t>Josef de V</t>
  </si>
  <si>
    <t>…omendar 4 V- para que lo haga 4 la superioridad , tanto i este dicaba su retirada ; mas observado por el coronel Fons, tomó con su co como 4 lo» de su misma clase D Joaquín Guia y D. Josef de V .*a, lumna la a'tura de Alfar, desde donde destacó sus guerrillas, que in quienes al frente siempre de las guerr.llas mas avanzadas de la compicomodaron cuanto fue posible al enemigo hasta su entrada en los oliva fiía de cazadores 4 que pertenecen, se han dis…</t>
  </si>
  <si>
    <t>V, Josef Joaquín</t>
  </si>
  <si>
    <t>Josef Joaquín V</t>
  </si>
  <si>
    <t>…95 céntimos. las mismas circunstancias que dieron origen ¿ cita*. Entra astas produc ciones debe sin duda colocarse la traducción del poema da la Hcnriade, ARTICULO DE OFICIO. por D. Josef Joaquín V ¡rúes, asi por el mérito ae su trabajo como por el renombre del original. El Rey ha expedido el decreto siguiente : Compuso Voltaire esta poema en edad temprana, cuando todavía no Don Fernando vh por la gracia de Dio» y por la Constitu había podido adquirir s…</t>
  </si>
  <si>
    <t>V, Manuel</t>
  </si>
  <si>
    <t>Manuel V</t>
  </si>
  <si>
    <t>…aier 7Savar-primera instancia de esta corte 7 de la hacienda pública, aecita, llama din de Marsella 164 7 *6.__Viada da Robaut y compafiía de ia. 443 77 emplaza é lo* parientes de D. Manuel V ase! a, que falleció en la Cabo- 18—Viada da Hcasct de Ambere* 737.—Jioggar 7 compafiía da Ama*aerada Lalo, de la provi acia de Manila, en Ultmmar, pan queen el terdam 1039 7 14—De Bring Pontoy de id. 1033 7 10__ La societérmino de 30 dia* acudan ante al Se.…</t>
  </si>
  <si>
    <t>V, Matías de</t>
  </si>
  <si>
    <t>Matías de V</t>
  </si>
  <si>
    <t>…o Al mismo tiempo que formaba el juez Arias esta cauta, formaba que impidió seguramente que el Gobierno utilizase la mayor parte del también por desgracia la del capellán de honor D. Matías de V.nuetérmico que se te concedió para ella. Lo que comunicamos á V. E. d* sa por el mismo delito de conspiración; y encontrando que conve orden de las mismas para noticia de S. M. y efectos convenientes en nían en el plan , y en muchas de las personas, y que eran…</t>
  </si>
  <si>
    <t>V, Miguel Tonga</t>
  </si>
  <si>
    <t>Miguel Tonga V</t>
  </si>
  <si>
    <t>…obados. Asi se requiat a lo» nuevos vecinos y slutadcs, f s; celebre ia ñ;»ia ua d racordó. s.o::es y juegos prop es del pa s. La misma comisión , irfoimando sobre la sol c tud de D. Miguel Tonga V. b el tnivor ce,da loen qb? 'os plrroco* den I.astarria, diputado suplente que fue por la provincia d.l I\iú en ias mente a los ayununi er.tos .as 1,; t.s qu- s; pr.i .r.:n. » v j ■ . , . legislaturas de ao y 21, era de parecer que no debía acctdctse a dicha n…</t>
  </si>
  <si>
    <t>V, Mtautl</t>
  </si>
  <si>
    <t>Mtautl V</t>
  </si>
  <si>
    <t>…do la vanguardia los bizarros granaderos de la segunda, que en aquel continuos vivas á ta Constitución, ala libertad y fi la patria, inflaman acto conducía el teniente de la misma D. Mtautl V an-llaicn. do el espíritu de las tropas , pues hasta el bello sexo salió á las puerta* *» La acción me daba en este momento todas las ventajas que yo po de las casas á ofrecer alimento á los miliciano» heridos y fatigados. día desear. Los ilusos que habían pr…</t>
  </si>
  <si>
    <t>V, OI</t>
  </si>
  <si>
    <t>OI V</t>
  </si>
  <si>
    <t>d¿ i que en atención i la buena conducta de los capuchino» de AI- El Sr. OI V*r contestó que habiendo observado que toda* las obje cafi z , no se suprima dicho convento, aun cuando no tenga el número ciones que se hac.an al aitículo eran per no poderse egecutar en el suficiente de frailes; en cuyo caso deberán agregarse á él oír-s. 11…</t>
  </si>
  <si>
    <t>V, Vicente Girón</t>
  </si>
  <si>
    <t>Vicente Girón V</t>
  </si>
  <si>
    <t>…a, Fajando herederos, según parece, en Sta. Maiía de Sevilla , so serviles en ia mayor confusión. Conocen bien que no les servirán ya bre que se sigue expediente en el juzgado del Sr. D. Vicente Girón V.las mañas y arterías con que se han escudado hasta ahora; y á su des llaman.ios, juez de primera instancia de la ciudad del Puerto de Santa pee i o confiesan la sabia conducta del general en gefe , que solo apela Mana, y escribanía de D. Juan Josef Díaz Castel…</t>
  </si>
  <si>
    <t>V-raeruz</t>
  </si>
  <si>
    <t>…cartas de la Havana sintió en aquel pueblo un temblor de tierra de no muy momentáaei con f-cha 25 de Enero: duración, y que en algunas habitaciones parecía menearse las eatuas,iu D. V-raeruz con fecha.de 3 escriben lo que sigue: «Hasta 18 de paredes y ¡os techos; pero que no habia habido desgracias. D¡c nnbre tenemos noticia» de México, donde segun las apariencias no Un D- L. B. li. nos comunica una cura egecutada por medio de h tardaren los rebi…</t>
  </si>
  <si>
    <t>Va</t>
  </si>
  <si>
    <t>…sidente, y quedó elegido en primee n SS. MM. y A A., continúan sin novedad en su importante salud.” escrutinio el Sr. Riego por 7 a votos de 130, recayendo los $6 restan tes en el Sr. Va des, uno en el Sr. Salva, y otro en el Sr. Tomaat __Como hay gentes que por error de concepto, ó con designio mali Quedó elegido vice- presidente el sr. Salvato por 73 votos de 117, cioso , exageran ó desfiguran los hechos mas sencillos, no será malo repartié…</t>
  </si>
  <si>
    <t>…de celebrar de nuevo estas cl-ccion s debían sub mismo es lo que yo quisiera que se continuase egccutando. sanarse la* iafraccáooa» de Constitución con que se celebraron i empe El Sr. Va¡dés(JJ. Cayetano) dijo: Las comisiones de Us Cortes zando desdé las elecciones de partido. anteriores acabaron con ellas; nosotros no podemos pasar por lo qu$ Ei Sr. Alcalde« individuo de la comisión , formaba voto particular opinaron, pues en el dia no tenie…</t>
  </si>
  <si>
    <t>…las Cortes de todo, y se trató de que este empréstito y ha dicho: comparemos la conducta que ha observado en este asurro fu se nacional , y en el mismo día acudió á las Cortes ei ministro Va coa lodo lo qu: acordaron las Cortes sobre ¿I, y vista ia cuestión bajo llejo , manifestando que para llevar at cabo esta operación como se de este punto de vista ha propu sto lo qu: creyó conven!-, nt *. seaba era preciso establecer un gran libro, una caja d…</t>
  </si>
  <si>
    <t>…negativa absoluta de io que pretendía; siendo j el reglamento previene que ae presenten las pruebes; y ahora solicita digno de notar que bajo ningún concepto podía aprovecharle al Sr. Va el mismo Sr. diputado que para poder justificar la acusación certifiquen llejo ; porque el Rey no hizo uso de dicho decreto, en los poderes que los individuos de una comisión del resultado da una conferencia que le dió. Confia esa orden que se llama decreto,…</t>
  </si>
  <si>
    <t>…intereses; 9 de gastos , y 14 de amort z.cion: qu: nada d: - !n e* la falta de libertad en cualquiera de las partes contratantes ; y supo podido hacerse sin dar á los poderes del Sr. Va!ie;o una cua dad ¡ ,; niendo S. S. que el Sr. secretario del Despacho se v¡ó en un apuro tal no tienen , y sin gravar injustamente á un pueb oqu; es acre -i»,- que no le quedaba otro arbitrio mas que el de admitir cualesquiera consideraciones. El orador «lijo…</t>
  </si>
  <si>
    <t>…ad de loa los intendentes en los casos de vrcant-, enfermedad ó ausencia. baldíos llevando a pacer sus vanados. Tesorerías de provincia , donde mirar n d r cúnente los cupos da El Sr. Va dea (D. Ciy taño) hizo varias observaciones sobre est* contribuciones directas, considerándose como valores líquidos todos los artículo, reproduciendo varios de los arvum ntos d-. sr. Mere d , y productos de ella. convmi-ndo n que no s: podía egecuiar la que…</t>
  </si>
  <si>
    <t>…osef Gómez Albacete, D. Marcos Amonio Menezo , D. Antonio cunstancia relativa á un tal Baldwin, diputado distinguido del Con Puigblanc, D. Miguel Ripa , D. Higinio Antonio Loreme, D. Va greso por la parte occidental da la Pensilvsnia , el cual voló en cierta lentín Recio, D. Joaquin Vaga y Quintana, D. Santiago Vicente ocasión de un modo contrario á las instrucciones que se le habían dado. Leo y D. Antonio Regas. Luego que regresó á tu país…</t>
  </si>
  <si>
    <t>…cularmente Declarado el punto suficientemente discutido, quedó aprobado el en cuarteles ó guarnición , donde son menos sus ocupaciones que en artículo, aludiéndose á propuesta del Sr. Va dés (t&gt;. Cayetano) de&gt;campaña , en todas las plazas y cuarteles donde hubiere hospital militar pues de la palabra registro las siguientes extendido en papel común. ó civil en que se cure tropa asistir! á ¿1 un capellán en cada dia , al Art. 8.° ” Para hacer s…</t>
  </si>
  <si>
    <t>…a e'. corone, al Continuó la discusión de las ordenanzas militares. inspector general respectivo , para que elevándola á fi. M. pueda recaer au Reai nombramiento.” CABU'IU XX. F.I Sr. Va des ( D. Cayetano ) manifestó que teniendo est* articulo Modo en que h.tn de admitirse los capellanes, y sus obligaciones. una ,'nt ma re'acion con el precedente, creta oportuno pita no perdet A‘t. l.° „ La |unta de V'‘f:* del cuerpo en que núblese una vacant…</t>
  </si>
  <si>
    <t>…gos de trucos, villar , bochas y varios otroa permitidos.” que se dij »■ la milicia nacional local y la activa. El Sr. Alix: La comisión dice con atreglo 4 la Constitución qua El Sr. Va*c:é*(D Cayetano): Me parece que debe expresarse si las ca&gt;as de los españoles son inviolables , y ahora exceptúa los bode son los g fes los que'dcbcn prestar el auxi'io de que te trata , porque la gones , posadas, fondas &amp;c. Y pregunto yo, ¡estas casas no est…</t>
  </si>
  <si>
    <t>…aquellos hqos que no vivan constantemente en compañía á cinco pies menos una pulgada estando descalzos.*' d: sus padres ó madres desde seis meses antes del sorteo, ó desde qua El Sr. Va dés ( L&gt;. Cayetano ) dijo que la talla de cinco pies es llegó el caso d; la excepción: se entiende por hijo único aquel que na pañoles menos una pulgada era liba de tambares; 7 como la co tiene otro hirmano so itero mayor de catorce años.” misión hablaba de p…</t>
  </si>
  <si>
    <t>…ballos, y qu-unos salían á 19 rs., otros a 1800 : p° fe se trata de un ¡tasto conocido, no pidiendo mas el Gobierno que io otros muchos pasaban de ¡Q; y asi que la observación del Sr. Va des que necesitaba basta fin del año económico. había sido muy oportuna, pues si costasen menos en las cuentas se D-ciarado el punto suficientemente discutido, quedó aprobado el vería. artícuio , é igualmente los siguientes: El Sr. Seplien manifestó ademas de…</t>
  </si>
  <si>
    <t>…co.u di-fósir» distrito mil iar. (Birce'r ni.) l-r p*r¡ ;os , \r v y.,-.-, como ia que aquí se señala. recibido de este d atrito r.o contienen cosa i-igar.a de !a. -:.t •,.!.» Kl Sr. Va!d¿s ( O. Dionisio) : La comis'on cree haber concitado pedían espera-1»:, y n-aun indican ¡os ;o&lt;. r-v.• que ha'ar. - , los intereses de los visitadores con la estreche* en que se encuentra la cerse por el le !o de Ur.'el. Un per odi&gt;;a •! c- 1;rutitro r-.s -a…</t>
  </si>
  <si>
    <t>Va'dé</t>
  </si>
  <si>
    <t>…unio de 1821 el 4.0 del que expidieron en t de .'ctiembreda 1820, Riego; y concluyó aprobando la preposición. ha determinado S. M. en Real orden de 8 de Febrero de esta afio qm El Sr. Va'dé» ( D. Cayetano ) &gt; No te puede privar ana v«w da ale loa extremos qoe incluye el referido art. 4.' derogado principiea 4 te&gt; gría sino en ciertos ceses, y «tos loa deben graduar laa autoridades; st ner efecto desde el día 8 de D ciembre del expresado año de l…</t>
  </si>
  <si>
    <t>…alir p sicion del Sr Zu ueta para que entre tanto qu: se hace por el oonpor el cupo principa! ó de ent ros.” greso una reforma de las ordenanza de reemplazo, presente con urgen El Sr. Va'dé» (D. C&lt;y tino) hizo varia* reflexiones para minifes- cia la comisión de Guerra el proyecto oportuno para hacer el tncmp.atar que debería est.b ecerse un método distinto del que hasta aquí se zo con brevedad y just.cia. baba obs-rvado , en atención 5 haber muc…</t>
  </si>
  <si>
    <t>…r-s en 1.» ta,to, de la glcr.a militar francés. : b.en es que d--b* decirse lo hagan en papel sellado. verJ, í que coin , e-ti es &lt;■ parecer coa optraciwn pacifica , nt se nece El Sr. Va'dé» (D. Cayetano): El militar se halla muchas veces en sitan pon tgvcularla AníLcbs n Es.:tirr¡es. un país txtrang-ro luciendo la guerra, y no encuentra ni papel sellado — le remo, not:.':», na *. icna hasta c lo , y de la subida de les féti tu (Punco, y tiene q…</t>
  </si>
  <si>
    <t>Va'dés</t>
  </si>
  <si>
    <t>…S-oane contestó que para cate efecto tendrían sesiones ckgan á su mejora y progresos.” Aprobado. traoru. naris. El Sr. marques de la Merced observó que pudiendo pertenecer el mo M Sr. Va'dés (D- Cayetano) dijo qua convendría expresarse en tivo de la queja i la autoridad del ge fe político, se debería expresar en el artículo, que los ne-.ocios qu - d bian ventilarse en las sesiones ha qué casos te había de acudir á este y no á la diputación provin…</t>
  </si>
  <si>
    <t>…de sus raspéet eos gefes su 010, consultando en terna á ios sugetos que cons.deten ma&gt; dignos; periores." per i el coronel no procederá á dar á reconocer m poner en posesión de E&gt; Sr. Va'dés (D. Cayetano) manifestó que fu este tltu'o s- echa sus empleos a los el-g-do* hasta obtener aprobación del inspector gene ba de menos un articu o, en el cual se mandas: que iot gcf-s ant s do ral del arma.” Aprobado. tomar el mmdo que s* les hub -se conferido…</t>
  </si>
  <si>
    <t>Va'dobino, Josef María</t>
  </si>
  <si>
    <t>Josef María Va'dobino</t>
  </si>
  <si>
    <t>…agaban,quedó reducida á 300 hombres. D. Juan Guerra Manzanares, D. Juan Amable y Guerra , D. Agustín Desde Po payan i Cartagena no se Encuentra un soldado, y el pueb'o Castillejo, D. Josef María Va'dobino*, D. Francisco Perez Pafacios. se resiste á marchar: las milicias guardan i Rio Acha y a fita. Marta, Supernumerarios D. Josef María Gamboa y fiando bal, D. Josef Manuel y todos los movimientos indican que ha sido completa la derrota. Frías, D. Antonio Va.dés…</t>
  </si>
  <si>
    <t>Va'Jes</t>
  </si>
  <si>
    <t>…la:.: a disse aumentaba podía verse en el estado núm- 1." que había presentado pos.c on de; tr. imt ." «I Gob ierro. H or. E . i.s Ca derón: Sin embargo de que !• comisión ha rxEl Sr. Va'Jes (D. Cayetano) manifestó qu; la cuestión se reducía c ptuajo a au.uc.os de lo. ind.v;dv.&gt;.. compren de o* en la ajic n, i autorizar ..1 Gobierno para que pudiese comprar aquellos buques me su d .tira; r. no pr.s. nta tota, las garar.t s qu* yo descab: tuv-es n…</t>
  </si>
  <si>
    <t>Va, Angel</t>
  </si>
  <si>
    <t>Angel Va</t>
  </si>
  <si>
    <t>…las Cortea para lo primero, pero no para lo segundo, veniente ;* de suerte que yo veo que ia autorización de las Cortes tie porque no resulta de la autorización de las Cortes que D. Angel Va ne dos partes: una,■ que ea el decreto de 17 de Junio relativa á abrir llejo quedase habilitado para hacer el empréstito del modo que creyese un empréstito de 200 millones; y &lt; tia, que es el decreto de 39 del necesario. mismo relativo al modo de hacerle. Ade…</t>
  </si>
  <si>
    <t>Va, Antonio María del</t>
  </si>
  <si>
    <t>Antonio María del Va</t>
  </si>
  <si>
    <t>…ez Las C irles oyeron con satisfacción y mandaron pasar al Gobierno mos que pagaban anteriormente pertenecían á ¡a c ase de laicales, opi las exposiciones de 1). Carlos de Miguel, D. Antonio María del Va naba no haber habido razón alguna para que los perceptores legos d« lle y D. Juan Antonio Rodríguez de la Torre, manifestando sus sen du zrr.os y primicias que hasta ahora se hubiesen hallado sujetos a la timientos patrióticos , y pidiendo se les recomendase…</t>
  </si>
  <si>
    <t>Va-</t>
  </si>
  <si>
    <t>…a vd , s: con de que s: recibía cuenta cada 50 día-. viene, lo que er a mas oportuno; lo que ts todavía .en r.: . venera!; E; Sr. ministro de Hacienda quiso también pr. brr que el Sr. Va- y el secretario del Despacho de Hacienda en oque. p. vi, d broconllejo estaba plenamente autoriziuo. No iuy du ia ninguna de que el Se- sidrrarse mas autorizado que si se le hub-era d;.f'.« expr ojrn rte por la* fior Karata preguntó á las Cortes s&gt; le autoriz…</t>
  </si>
  <si>
    <t>Va.cárcel</t>
  </si>
  <si>
    <t>…o tucion, y haber fallecido dicho Sr Caainaño ur.trs de haber sitio e¡ ginarios de que se traía hay algunos que sean culpables de malversación do d puladn, no dina s r admitido el Sr. Va.cárcel, y debía ptoced.ió sospechosos por su conducta politca, es cosa muy diferente, y de se á ia elección de otro diputado. cuyo examen ha debido abstenerse la comisión. Esta solo habla en su Había un voto particular del Sr. Romero, el cual , fundándose en dictame…</t>
  </si>
  <si>
    <t>Va.dé</t>
  </si>
  <si>
    <t>…llav.ur mas la atención por su categoría. Asi pues no es la razcn tes, usando de la Lealtad que tes concede la Constitución, pued n Vcrs- que me obliga á apoyar la proposición del Sr. Va.dé» el que sean de tar la responsabilidad de cualquier empleado público que la merezca, esta clase las personas de que te trata: es sí el examinar si las Cor y que para este fin nombren una comiticn que Coime expediente ins tes , que deben ser exactas en dar ent…</t>
  </si>
  <si>
    <t>Va.dés, Antonio</t>
  </si>
  <si>
    <t>Antonio Va.dés</t>
  </si>
  <si>
    <t>…ias guardan i Rio Acha y a fita. Marta, Supernumerarios D. Josef María Gamboa y fiando bal, D. Josef Manuel y todos los movimientos indican que ha sido completa la derrota. Frías, D. Antonio Va.dés, D Jo,;f Antonio Bernal y Perez. Uziere* Para ocultar al pueblo y i los Gobiernos extrangeros este descala D. Juan Datan , D- Bruno Fragoso, D Antonio Zarate, D. J.srf Vibro se ha usado de esta estratagema particular -. el ministro de Santa Fe llalon. Ayuda d…</t>
  </si>
  <si>
    <t>Vaca, Francisco</t>
  </si>
  <si>
    <t>Francisco Vaca</t>
  </si>
  <si>
    <t>…aunque abun A la comisión de Premios se mandaron pasar una instancia de Do daba en las ideas del Sr. preopinante, no tenia por oportuno que este fia María Dolores Conde , viuda de D. Francisco Vaca , solicitando asunto pasase á una comisión especial , sino á la que está nombrada se declare la viudedad que le corresponde por los servicios de su mari para informar sobre el estado de la Nación, la que acaso tendrá ya re do; y una exposición del inspector g…</t>
  </si>
  <si>
    <t>…rables mortales. La comisión de Premios, en vista de la solicitud de Doña María de n F,c l oa sera elegir en esta alternativa , y tanto mas en un tiem los Dolores Conde , viuda de D. Francisco Vaca, secretario que fue de po en el que sois parte integrante de una Nación grande y generosa, la capitanía geni ral de Aragón , para que s; le declarase la pensión que que os reconoce libres; que resp la vuestros derechos; que une sus in- debía disfrutar , y otr…</t>
  </si>
  <si>
    <t>…e Log'oóo, acerca La comisión de Hacienda, en vista de la instancia de Dolía Mar a de que se erigiese aquella ciudad en »&gt;!¡a epis-opil , r la so!.citud de Dolores Conde, v uda de D. Francisco Vaca, secretario que fu: da la D. Gabriel Rafael Vazqner sobre que se suprimiese la colegiata de Je capitanía general de Aragón, sobre que te declarase la viudedad que rez de los Caballeros , en atención á que dicha comisión estaba ocupa le correspondía por lós mé…</t>
  </si>
  <si>
    <t>…800 hombres, y de estos se han inter da en 9 de Agosto último, de Dofia Masía de los Dolores Conde, viu nado en Francia p se hallan haciendo la cuarentena 700, habiendo ¡es da de D. Francisco Vaca, secretario que fue de la capitanía general de franceses quemado á nuestra vista en diferentes puntes de su territorio Aragón, solicitando se le declare la viudedad que le corresponde, p se 446 armas, que son las mismas que los rebeldes han introducido en le…</t>
  </si>
  <si>
    <t>Vadanno, Cióos</t>
  </si>
  <si>
    <t>Cióos Vadanno</t>
  </si>
  <si>
    <t>…contener tamaña osadía__D c an gos, a prop o tt'tr.pj que les t radores , i las órdenes de su va¡: r:: caqu; del i $ ai ao se esperaba en París al marques de Loníon i -rrr__ p tan D. Cióos Vadanno, y todos bajo la dirección del intrépido c »Odesa ha vuelto á declararse puerto franco , tegua publican los pe m.ndantí a.cider.tii del m.stno bata.:cn D. F-amon Qxrtaca . crea riodistas. ron por el centro y derecha, s-endo el resultado cogerles 400 tac.'.' e…</t>
  </si>
  <si>
    <t>Vadilio</t>
  </si>
  <si>
    <t>…de hecho en las capi tales de mayor población, por haberse aumentado el número de indivi ARTICULO DE OFICIO. duos de que antes se componían los ayuntamientos constitucionales. El Sr. Vadilio opinó que no debia variarse el modo de nombrar los Fl Rey ha expedido los decretos S’Cuirntes: jueces de hecho, porque consideraba que era muy á propósito lo fuesen Don Fernando vn por;a gracia de Dios y por ¡a Conít'fuc’on &lt;íe la por los ayuntamientos consti…</t>
  </si>
  <si>
    <t>Vadilio, Manuel</t>
  </si>
  <si>
    <t>Manuel Vadilio</t>
  </si>
  <si>
    <t>…: para interine de ¡a de ; licitando una pensión. Toledo al coronel graduado D. Salvador Linares: para ia de J. n i A la del Créd’to público una exposición de la junta nacional da D. Manuel Vadilio, que la es de la miarua : para la de Avila a D-a | este ramo , consultando varias dudas ocurridas con respecto á los que M anuel Dejuan, que lo e. de la misma : para ia de Castellón a te 1 disfrutan encomiendas de la orden de S. Juan- niente coronel L&gt;. Diego…</t>
  </si>
  <si>
    <t>Vadillo</t>
  </si>
  <si>
    <t>…stando que no podía aprobarse el ar modo qn: no Ha habido nación ninguna formada en sociedad que no tículo. Jo haya reconocido; y aun hasta los mismos gentiles lo teman Es cier EÍ Sr. Vadillo di jo que la Iglesia no podía tener un derecho de exi to (continuó)que ha habido en esto sanchos abusos; peen ¡qué in mir del castigo temporal á los delincuentes , y que m podía F.ih-rlo heconveniente habría ca qne se concediese en nuestro código siguí' asilo…</t>
  </si>
  <si>
    <t>…medios para dar su fianza de ca por el Gobierno, ó por la comunidad de las provincias ó pueblos, bien lumnia. con salario 6jo, bien con otros emolumentos, obvenciones, franqui Ei Sr. Vadillo contestó que respecto la primera objeción del Sr. Za cias ó derechos. pata no era el ánimo de la comisión el que se diese una misma fianza n También se comprenden los prelados y cuantos ejerzan jurisdic en las acusaciones contra los empleados públicos que en…</t>
  </si>
  <si>
    <t>…ual no debía apro por lo mismo las leves civiles debían respetarlo, y él estaba bien segu barse el artículo. ro que ninguno de los diputados que contribuyeron á la formación de Ei Sr. Vadillo contestó que el artículo 149 de la Constitución esta la Constitución podían tener la intención que proponía su señoría, pues blecía que el fuero de lo»eclesiásticos se arreglase ¿ las Ic7es, 7 el que se la Constitución decía que los eclesiásticos continuasen…</t>
  </si>
  <si>
    <t>…lo que algunos políticos han dicho en.descrédito de la Diputa perjuicio de seguirse la discusión del código. ción permanente de Cortes. No es un espantajo, como indecentemente El Sr. Vadillo dijo que de variar ate capítulo resultaría que no dijo uno de ellos; ni de poca utilidad, como pensaron otros; ni indeco quedaría correspondiente á la demás; por lo cusí opinaba , que me roso á la dignidad del Trono, ai que sea á propósito nara embarazar dian…</t>
  </si>
  <si>
    <t>…idor , y su ma en su nombre á algún súbdito de la potencia ó potencias enemigas, frirá la pena de muerte. iufnri una prisión de tres meses á un año, y una multa igual á la cuar El Sr. Vadillo contestó que la comisión no hablaba del caso en que ta pane del' valor de los daños y perjuicios que causare, ademas de hubiese hostilidades, sino únicamente del que expresaba el art culo: que Cualquier otra pena que merezca por la violencia cometida.” aun en…</t>
  </si>
  <si>
    <t>…pn la pena , y estuvieran particulares en los casos de seguros, ó de otros convenios privados." sujetos á e'la ¡o mismo que si estuviesen escritos en nuestro idioma. Aprobado. El Sr. Vadillo manifestó que el mismo daño se nos podia hacer con Art. 391. n Finalmente , todo el que sin justa excusa, después de un periódico escrito en francés que con otro cualquier pape!, de lo cual requerido por autoridad competente, se negare á prestar cualquier otr…</t>
  </si>
  <si>
    <t>diera lo mismo, y mac cuando las Cortes habían diotado leyes tan que se prohíba publicar por las calles estos papelee. El Sr. Vadillo apoyo el artículo, y después de haber hecho varias bilí sobre este punto. En seguida se declaró este asunto suficientemente discutido, y quo- observaciones concluyo diciendo que podría ponerse en estos término.; » Nadie podrá anunciar por laa callea libros ni…</t>
  </si>
  <si>
    <t>…rio á loa derechos de los ciudadanos espa Sr. presidente lo anqnció, jr esta fue 4 desempeñar su encargo. ñoles. El Sé. Sánchez Stlveldr: Las leyea.de cualquier modo qüe tna se El Sr. Vadillo dijo que detestaba los abusos como el que mas, y deben examinar teórica jr pricticanaeute. Para lo primero no tenemos mas que jamas habia entrado tino de paso en alguna sociedad patriótica; qué revishrlo'quehaocürndo en otro» paites en iguales circunstancias;…</t>
  </si>
  <si>
    <t>…a prisión de cuatro tan obligados á obedecer, recaía una pena sobre ellos; por cuyo moti meses á un año.” vo creyó que este artícu'o no debía existir en el modo que la comisión El Sr. Vadillo apoyó este articulo menos en la cláusula que dice': lo presentaba. » Ni hablar en nombre de otras personas aunque les hubieren dado po El Sr. Ezpeleta dijo que si creyese que el artículo estaba del modo deres para ello,'* la cual consideró que no debía aproba…</t>
  </si>
  <si>
    <t>…ado de él unos cuantos ayuntamiento*, provinciales como al orden y tranquilidad pública, debe aprobarse. lo que ciertamente era dudoso , y que se privase de este derecho á 15 ó El Sr. Vadillo: En todos tiempos he manifestado mi opinión fran i63 ayuntamientos que había en la Península, mayormente si se aten camente , y no he sido capaz de adular 4 nadie. Se ha dicho que los de día al estado de la Nficion; i que todo Gobierno caminaba siempre 4 rech…</t>
  </si>
  <si>
    <t>…Esto es tan antiguo como el componen estas corporaciones pueden representar individualmente; pe mundo; y siempre se ha' verificado, y debe verificarse que cuando un ro ha dicho el Sr. Vadillo que representando como corporación tendrá pueblo está en conmoción , se junten las autoridades para acordar loa mas fuerza esta. Pues esta fuerza es cabalmente lo que se necesita qui remedios que puedan aplicarse para que quede tranquilo. Pues ahora le tar. ¡…</t>
  </si>
  <si>
    <t>…, tino mas bien determinar, y por esta razón tad de imprenta ,y sí solamente%á las que hablan dt la responsabilidad de los empleados piíblicos. ae ha puesto en el artículo. ... El Sr. Vadillo opinó que podía aprobarse el articulo, poniendo en Igualmente admitía la comisión la adición del Sr. Palareaat art. t.°, él que podían reunirse las autoridades bajo los mismos términos que que podría expresarse al fin de él en la forma siguiCMe: San igualment…</t>
  </si>
  <si>
    <t>…e aprobado el senciaba el acto, prorumpiendo á continuación los batallones en rña de procedimientos. el gefe político. Recorrió en seguida los otros tres lados del cuadro, y ma El Sr. Vadillo contestó que la comisión en aquel tiempo solo había nifestó que no siendo orador, y hallándose muy conmovido en el mo dicho que no era necesario que estuviese formado el código de procedi mento , no podia repetir su arenga; pero que sus compañeros se la tras…</t>
  </si>
  <si>
    <t>…ropone en este voto, fcn efecto, si nosotros no la ción de América , y opinaba qoe debía pasarse al Gobierno. aprobásemos, y no se dijese en el dictamen que se declaraban nulos El Sr. Vadillo pidió que se leyera esta, y verificado que fue, hizo aquellos tratados , quedaría esto incompleto, y acaso produciría malos varias observaciones contra el dictamen de la comisión, y opinó qua resultados: por lo mismo debemos explicarnos con claridad para qua…</t>
  </si>
  <si>
    <t>…eto de S. M. encargando á D. Dionisio Capaz el despacho de religioso para secularizarse, no sea considerado como parte de comuni la Gobernación de Ultramar durante la ausencia del Sr. Vadillo. (Ga dad alguna para el efecto de completar el número determinado por la ceta del /o.) lep. ( Gaceta dei g ) Resolución de S. M. sobre las clases del egéreito sujetas á la esca Circular del ministerio para que vayan i tua respectivos destinos la de reducción…</t>
  </si>
  <si>
    <t>Vadillo, Josef Manuel</t>
  </si>
  <si>
    <t>Josef Manuel Vadillo</t>
  </si>
  <si>
    <t>…establecida en Granada &amp;c. ( Gaceta del 20.) Decreto de S. M. nombrando ministro de la Gobernación de Ul Circular del ministerio sobre el modo de publicar la lepe*. ( Ga tramar á D. Josef Manuel Vadillo. (Gaceta del 7.) rda del 39.) Decreto de S. M. nombrando ministro de la Gobernación da la Gracia y Justicia. Península á D. Josef Fernandez Gaseo. (Gaceta del 7.) Resolución de las Cortes , en que con motivo de una consulta he Resolución de las Cortes á favor…</t>
  </si>
  <si>
    <t>…ado acer comunicareis á quien corresponda. Rubricado «to la Real mano. En tadamente con lo que restaba de U sabiduría de los egipcios, quizá huPalacio á 4 de Setiembre de 18» 2.=A D. Josef Manuel Vadillo. b;era resultado de esta unión una potencia formidable, que no hubiera Circular del mmuterio de Hacienda. tenido mas límites que los del universo, ni mas término que el fin de Los Sres. diputado» sectewrio» de las Corte» me dicen en tg de Ju los tiempos. ....…</t>
  </si>
  <si>
    <t>Vadillo, Jossf Manuel</t>
  </si>
  <si>
    <t>Jossf Manuel Vadillo</t>
  </si>
  <si>
    <t>….................-............. . Idem. Decreto de S. M. autorizando al Sr. ministro de la Gobernación Valencia.............................................. 1 por ioo.de Ultramar D. Jossf Manuel Vadillo para que use de media firma. (Gaceta del 6.) Barcelona............................................. 1 p. too gana á pt. ............ • | pana. Hacienda. Bilbao.................................... Santander............................................. . { ídem…</t>
  </si>
  <si>
    <t>Vadillo, Rodrigo</t>
  </si>
  <si>
    <t>Rodrigo Vadillo</t>
  </si>
  <si>
    <t>…nen ANUNCIOS.que había tenido la comisioa primen de Legislación para que no se ne» cediese é la solicitud del interesado , que creía ciertamente que no solo Al mayorazgo que fundó D. Rodrigo Vadillo, vecino que fue de no había lugar á duales , tino que no era necesario exponer estas razo la ciudad de Sevilla, de qu: es actual poseedor D. Simón Antonio de nes ; que bastaba la lectura del expediente y del titulo’ ale adquisición, S. Pedro VHIamor y Vadillo…</t>
  </si>
  <si>
    <t>Vadíllose</t>
  </si>
  <si>
    <t>…s que los damas efec mas hizo varias observaciones respecto del caso en que uno se viese acotos comerciales. sado por un acreedor, y no teniendo con que pagarle, y movido de la El Sr. Vadíllose opuso fique te pusiese consentimiento en lugar de ira que producían en el las malas razones del acreedor, podía indiscre aprobación, pues si significaban una misma casa, era igual poner una ó tamente decir algunas blasfemias, y dar margen con esto fi que el o…</t>
  </si>
  <si>
    <t>Vadulo, Josef Manuel</t>
  </si>
  <si>
    <t>Josef Manuel Vadulo</t>
  </si>
  <si>
    <t>…. N. V. y habitantes del en calidad de tal secretario de Estado y del Despacho de la Goberna heróico pueblo de Madrid la oficialidad y demas individuo» del regi ción de U.tramar á D. Josef Manuel Vadulo. Tendréislo entendi miento infantería Imperial Alejandro. do &amp;c.“ n Ciudadanoa iluitre* y esforzados patriotas: Si la recompensa del mérito debe ser proporcionada á la utilidad que reporta la masa común » Accediendo á las repetidas instancias de D. Josef Marí…</t>
  </si>
  <si>
    <t>Vaeus, Josef Manual de</t>
  </si>
  <si>
    <t>Josef Manual de Vaeus</t>
  </si>
  <si>
    <t>…en quien por antigüedad debía recaer , y creyó el ayuntamien favor del sistema constitucional, harán en todo cato que se estrellen ett to conveniente encargar del mando político á D. Josef Manual de Vaeus murallas los pérfidos é insensatos proyectos de los que neciamente dillo; prro estando los dos ausentes, se rxpidü» á este ú!t mo et cor pr t.nden entronizar el despotismo, pudiendo asegurar asimismo que á respondiente oficio á Chklana, donde se hallaba, por…</t>
  </si>
  <si>
    <t>Vafdé</t>
  </si>
  <si>
    <t>…, sin hab-r encontrado un soio encnvgo._De Vich habían desapa arreglar el ataque ó asalto ** recido todos los rsügio o, carmel.tas calzado, que eran sacerdo'n , ex A propuesta de! Sr. Vafdé* (D. Cayetano ) re suprimió la cláusula cepte! el P. Mauro y otros tr.s individuos, cuyas opiniones s-.n fa desde donde «ücr : «Pedirá su dictamen &amp;c.” hasta laa palabras si vorables á ia justa cau.a. Los gobernadores eclesiásticos de Tortos* túenles: » Y al…</t>
  </si>
  <si>
    <t>Vahe, Andrés</t>
  </si>
  <si>
    <t>Andrés Vahe</t>
  </si>
  <si>
    <t>…. tés , D. Juan J.ssef Perez, D. Pedro Antonio Barena, gefe militar del A la comisión de Marina se pasó una consulta del Gobierno acer cordon; I). Josef S. Juan , I?. Amonio boro, D. Andrés Vahe , pirca de la pena que deberá imponerse á los desertores de segunda vez del recode Mequinenza, J&gt;. Estiban Dovon, cx-capuchino, D. Mar ano servicio de la Armada. Pascual de Alcañlz, D. Miguel Juan Garc’a, D. Juan Bautista Gan A la de Marina una solicitud de G…</t>
  </si>
  <si>
    <t>VaHes</t>
  </si>
  <si>
    <t>…stirgrey -u cr' hi p.rraio d:ce asi: da &lt;1 -svanacida ’a duda que tema el -r pr.op n.nte sobre este asunto. París 11 de iJi.iemrrr. Bar; ce »a corta la cor.s-rvacior» de la pac El Sr. VaHes ( D- &lt; ayr-iano): Las diputa:.on.-» pro-v.nc.a. », se entre i» Fcanca y u .p^fta Nc.,ot'&gt;» n » l.-.iftann» de no trner qus gur! la tic'istituc.on, se componen da md vittuo» dei G&lt; bremo y de ■□- ex.iminr m e‘ rt.rec &lt;j c c.i.- . o. 011, 1. a» . i^.siturtc» .,…</t>
  </si>
  <si>
    <t>Vaicarcel</t>
  </si>
  <si>
    <t>…para que se le repon.a en el dc.timismo caso se halia el acto de ScvilU. Yo pre,c&gt;ndo de tas cualidades no de capitán de caballería de que fue privado por sentencia del consa del Sr. Vaicarcel, y desearía que enltara en el Congreso; pero en mi jo de Gu.rra. concepto Ja ley no lo permite ; y por lo ruismo se dabe aprobar el dic Otro de la misma para que se desestime la solicitud de Doña Mar tamen de la comisión. tina Zamora , qu: pedia una pension.…</t>
  </si>
  <si>
    <t>Vaices</t>
  </si>
  <si>
    <t>…irzi d: que te trata m* pire- Fi Sr. A.:;!oo: El Sr. E-.covcd'j ha-contestado y* í t« objeción púac-r/qbe es demasiado obstáculo: «i el objeto da esta: partida» es pTs:~ ta por ei Sr. Vaices . y voy yo i cor.t.-star al Sr Zu.ucu. L. íin.ca obguie 4 lp* malhechores; yo convendré en que &lt;•» indispensable que ha jet 00 que ss ha hecho al dictamen e* que ia obligación que s: un^on: ya una fuere* político-militar, conao la llama la comis.oo; peto no c…</t>
  </si>
  <si>
    <t>Váida</t>
  </si>
  <si>
    <t>…comandante del regimiento que una vez en cada mes , y con mas orden eclesiástico, sino también el civil. frecuencia en la cuaresma, ya sea en el cuartel ó en la iglesia, según El Sr. Váida ( D. Cayetano ) dijo que cuando un militar se casa lo hallare conveniente, expliquen los capellanes la doctrina cristiana w ba con la hija de un vecino de un pueblo, en ate caso el asiento se el catecismo constitucional, reduciendo estas pláticas al tiempo de…</t>
  </si>
  <si>
    <t>Vaiderrama, Vicente</t>
  </si>
  <si>
    <t>Vicente Vaiderrama</t>
  </si>
  <si>
    <t>…rtería y del tnfant ríu del Pnnc pe, con 570 rs. batallón de la milicia activa de Ronda , con 450 rs. Ciinchilla .i D. Feliciano Sala zar, teniente del regimiento infan Santiago á D. Vicente Vaiderrama, t-nfants de infantería y profetería voluntados de Castilla , con 57a ra. sor de matemáticas del colegio militar de Santiago, con $70 rs. Ciudad-Real al cap tan D. Joaquín Ladrón de Guevara, teniente S. Clemente á D. Isidro López Denia, teniente del batal'on…</t>
  </si>
  <si>
    <t>Vaidés</t>
  </si>
  <si>
    <t>…hechos mas sencillos, no será malo repartiéndose los restantes en esta forma, goal Sr. GoaérfD. Airiiu), recordar aquí y acarar la noticia de haberse publicado en Francia un 20 al Sr. Vaidés, uno al br. Septien , uno al Sr. Castejon , uno al se decreto para levantar 409 hombres. Debe saberse que el egércilo francés ñor Infantes, y uno al Sr. Tomas. Total 117. está en una baja efectiva de 30 i 409 del pie de guerra. Este plan se Quedó elegido prim…</t>
  </si>
  <si>
    <t>Vaides</t>
  </si>
  <si>
    <t>…;ue las Cortes consideren in- El Sr secretario Salva preguntó si se I s tiamana p.ra esta misma d spensable; y se diga al Gobierno no se ascienda ninguno á los segun sesión; y el Sr. Vaides dijo que era necesario darlts tiempo pata que se dos hasta que esté reduc do á los correspondientes al número de las enterasen del estado de la Sacian cada uno en el ramo que le pertenecía. tropas que pueda mantener la Nación.” El Sr. Salvat 1 dijo: Yo creo q…</t>
  </si>
  <si>
    <t>…ido de Mansilta, diócesis de León, de qu: no pudiese atender el cura párroco al desempeño de su ministetio. se le concediese su jubibeion con el sueldo que corresponda á sus d El -Sr. Vaidés ( D. Dionvio) apoyó el articulo. tinguidos méritos y servicios: con cuyo motivo, y el de ctros cxr El Sr. Munarriz manifestó entre otras cosas que la catedral de dientes en que varios empleados piden señalamiento de sueldo por d-sBarcelona era parroquia de to…</t>
  </si>
  <si>
    <t>…o com men se designaban en ia distribución y recaudación del medio diezmo batidas pur el "r. Marau. y primic.a. Se ha dicho también que ya no existe la comisión; pero el regla- El Sr. Vaidés ( D. Cayetano) contestó que en el provecto de que nvn i) dice que la c. mis,e n qu - entiende de un asunto, entiende igual se trataba s; había propuesto ei medio , por e! eral se l.-virn que c,ra mente en cua quieta adición que se hiciere al mismo, es decir ,…</t>
  </si>
  <si>
    <t>…tículo del reglamento de asi sucesivamente. Cada escuadrón tendrá un comandante teniente co 31 de Agosto. ronel, un ayudante capitán, otro subteniente porta-insignia , y un bri El Sr. Vaidés (D. Cayetano) dijo que las faltas de dicho reglamen gada. La piaña mayor comprenderá también un capellán, un cirujano, to no debían trasladarse á esta ordenanza , sino al cornario corregirse un maestro armeto, un mariseal y dos forjadores donde los haya vo po…</t>
  </si>
  <si>
    <t>…ones de que se trata eu el termino de 18 mes» qua aquella los hay en castigo de sus rapiñas. está concedido. Declarado el punto suficientemente discutido , quedó aprobado este Eli Sr. Vaides (D. Cayetano) dijo que los apoderados resident** ea punto. M¿¡ co teman no solo que hacer las expediciones, s ao lamb.en qua La comisión opina por íiltimo que las Curtes no debian hacer no recibir las ordenes al efecto; para lo cual se había da pasar bastanta…</t>
  </si>
  <si>
    <t>…eda cada uno atender á tu puesto en el momen saria de jabón, el que se distribuirá en los dias de lavado. to , teniendo presente al hacer esta d.stribucion el no poner sobre cu El Sr. Vaidés ( D. Cayetano): supongo que la comisión será da bierta mas gente que la que sea necesaria para el servicio de los caño parecer que ci jabón que se use para el efecto indicado en el artículo sea nes y maniobras , cuando la distancia del enemigo sea mayor de ti…</t>
  </si>
  <si>
    <t>…piezas de campaña, según permitan laa circunstancias del terreno. (i mas cerca los reconocimientos, y levantaran los ingenieros un pla A consecuencia de algunas observaciones del Sr. Vaidés se aprohó no de loa alrededores de la plaza, por el cual el comandante general el artículo en esto» términos.- «Concluidos los preparativos paraei ata de ingeniero» pueda formar con exactitud loa vario» proyecto» de em- que , el comandante de ingeniero» prese…</t>
  </si>
  <si>
    <t>…ue ademas del examen Jr extracto que se debe ha cho hasta abo: a. cer de ellas tienen que sacarse otras tantas copias, por cuya raron es El &gt;r. Faicó: Es cierto lo que ha dicho el Sr. Vaidés; p-ro yo creo impasible que esto se ver 16que con la brevedad que debe procedí r»e en que la aprobación superior de que habla ia Const.tucion Ceben dar.» C.Us materias. Las Cortes aprobarán este artículo si lo tienen á bien; las Oortes , y en ningún modo Jes…</t>
  </si>
  <si>
    <t>VaIdom</t>
  </si>
  <si>
    <t>…do de los habi Por el juzgado de primera instancia del Sr. D. Ramón de Areor, tantes , qu - noticiosos de la llegada de los valientes te habian retirado y escribanía cartularia d- D. VaIdom:ro Moral.‘da, se citan siguiendo i los montes con los facciosos; pero qu: habiéndolos llamado, volvie autos á pedimento de D. Tomas de Velasco , como heredero de Doña ron muchos á sus casas, donde hallaron un recibimiento y trato pro- María Matea Ruiz, sobre…</t>
  </si>
  <si>
    <t>Vaijes</t>
  </si>
  <si>
    <t>…astellón a te 1 disfrutan encomiendas de la orden de S. Juan- niente coronel L&gt;. Diego Medrano: para la de Calatayu i al ten.entí j En seguida se leyó la siguiente proposición del Sr. Vaijes: »* Res- ccioucl L&gt;. Manuel Cubrirá Nevares : para la de S. Sebastian a1 renda ! pecto al mucho tiempo que se pierde diariamente al dar cuenta de los de Vilbifuettes, que lo es de la'de Guipúzcoa: para ja de He.¡va expedientes para que pasea á las comisiones;…</t>
  </si>
  <si>
    <t>Vaile-</t>
  </si>
  <si>
    <t>…en que se hallaba ia tesorería. Por consiguiente yo ma que resta basta el completo di los 203 mi.lunes, dardo cuenta a entiendo que el Sr. Barata se halló en mayores apuros que el Sr. Vaile- la» Cortes para su aprobación. ¡o. Ademas de que siempre qu: se hace un empréstito es precito que 4. J Que este expediente pase i la comisión d; Casos d; re-ponsabexista esa necet'dad , porque sin ella no se solicitarla, hntiendo por lo lidad para los efectrr…</t>
  </si>
  <si>
    <t>Vailester, Nicolás</t>
  </si>
  <si>
    <t>Nicolás Vailester</t>
  </si>
  <si>
    <t>…lado de este valiente oficial se distinguieron también lo» tres naciona- la fortuna de granjearse el cariño de sus nuevos dueños ■ no tardan en fes D. Vicente Camacho , Castellón, D. Nicolás Vailester y D. N. adquirir un gran dominio sobre ellos, y aun ha habido algunas que (sarcia de Vinaroz; sobre todo el segundo, que puede servir da mode han egcicido en ta corta ur.&gt;. autoridad casi ilimitada y sucede no lo 4 la rr. ts bravos y aguerridos veteranos. Las fuerzas…</t>
  </si>
  <si>
    <t>Vairfe</t>
  </si>
  <si>
    <t>…ponerse á incurrir en contradicción. guardar las cortas, e independiente de la de guerra. Concluyó diciendo que estas eran las razones que le habían movido ¿ Estoy contarme con el Sr. Vairfe» en que las operac.cnrs de lo* formar un voto paiticular- buques de guerra son puramente mil tares, y mas bien para perseguir a fel br. Surra contestó que Ja cuestión sobre lo» medio» de evitar el buques armados en 1 la tr.ar, é imped.r, si se quiere, ia intr…</t>
  </si>
  <si>
    <t>VAISISSAJOS</t>
  </si>
  <si>
    <t>…co Ana. Accésit á D. Jacinto Madrid y » D. JomX vee que son falsas, se repiten sin embargo de allí á dos días. Villa roe!. Octava clase. Lengua ¡atina, á cargo del mismo. Premio á Don VAISISSAJOS. J.nan Madrid. Accésit a Castro. Novena clase. Dibujo, i cargo de D. Castor Velazquez. Premio í.r Haya i.° de Enero. á Castro. Accésit i Co'ombo. Tos gastos de! presupuesto extraordinario para 1811 fttan fijados Decima clase. Mu.Ua de violin, i cargo de D. Ma…</t>
  </si>
  <si>
    <t>Vaivcrde, Julián Ramón</t>
  </si>
  <si>
    <t>Julián Ramón Vaivcrde</t>
  </si>
  <si>
    <t>…infanteríaDon fantería de Málaga. Ramón Julián de Mufiiz, sargento mayor del batallón de la milicia ac Talavera: para primer comandante al comandante de infantería tiva de Oviedo. D. Julián Ramón Vaivcrde, sargento mayor del batallón de la mili Calatayud: para coronel al coronel vivo de infantería D. Josef Ibar- cia activa de Toledo. ra, primer comandante de tropas ligeras, supernumerario del batallón Toro: para primer comandante al comandante de infantería Do…</t>
  </si>
  <si>
    <t>Val</t>
  </si>
  <si>
    <t>…as escandalosas infracciones que ha habido, y por lo Ley de laa Cortes sobre el uso y disfrute de la caza. ( Gaceta del mismo creo que ¡as Cortes deben desechar la ptoposicion del Sr. Val 00 de ít.) dés , y piar i discutir el dictamen de la comisión Ley de las mismaa sobre #1 descubrimiento y explotación de minas. El Sr. Lapurata: La comisión de la» Cortes no tiene suficientes fa (Gaceta del 20 de id.) cultades para pedir una cauta que el Gobi…</t>
  </si>
  <si>
    <t>…o* artículo que trataba 4* I* estatura, y presentarla rn la sesión íi;:o:- á rus respectivos 'ordinarios dentro de un mes los qu* te hallen den dieta , extendida según la idea del Sr. Val dé*. Ku cuanto á la - obter- tro de la Península , y dé seis kpqüe te hallen fuera de elle, y de lo vaciona del Sr. Becerra dijo que hasta aquí los capitanes aprobantes contrario te entienda que renuncian tos beneficios, ocupándote sus an habían tenido las mi…</t>
  </si>
  <si>
    <t>El Sr. Val dé» ( D. Cayetano ) dijo que la rebaja de castro persona* J un dictamen de f* eomíateii de Marine acetes de un-a proposiciones por cada matriculado mas bies era beneficiosa que perjudicial en las de los Sres. Muro y R jo. provincias litorales, pues aunque era…</t>
  </si>
  <si>
    <t>Val, Angel</t>
  </si>
  <si>
    <t>Angel Val</t>
  </si>
  <si>
    <t>…empréstito celebrado en j» de Noviembre de 8ti por el secretario in que se imprimiese et dictamen ai no se hubiese de gastar en ello mucho terino que fue dei Despacho de este ramo D. Angel Val le jo, con tres tiempo; pero aquí tengo un estado, y él solo se ha da llevar muchos votos particulares; el uno de los Sres. Feries y Ovalle, el otro del se— diis: yo sé lo que son impresiones, porque ent« de ser empleado he flor Isturiz, y el tercero del Sr.…</t>
  </si>
  <si>
    <t>…o para su aprobación. del comercio &lt;te esta corte, haciendo varias observaciones acerca del б. ° El Gobierno procederá en todo con la mayor brevedad, res préstamo contratado entre D. Angel Val le jo y la casa de Hubbard da pecto 4 que de la terminación del negocio pende el último arreglo da París, man festán-lo que se habían cometido i legalidades, y que de apro los presupu stos de los gastos públicos del inmediato año económico, barlo se seeuTian…</t>
  </si>
  <si>
    <t>ixS» dientes para la observancia del presente decreto en todas sus partes, y vuestro antecesor D. Angel Val fe jo, á quien al efecto tuve á bien au para la seguridad de su recaudación hasta que ingresen en las tesore torizar, en virtud do lo resuelto por las Cortes en 17 y 79 de ras de provincia. Madrid 18 de Junio de 1811.= \lvaro Gómez, del propio aro. Las mismas…</t>
  </si>
  <si>
    <t>Val, Cayetano</t>
  </si>
  <si>
    <t>Cayetano Val</t>
  </si>
  <si>
    <t>…idente y secretario mas antiguo, que lo era el Sr. D. Fernan putación provincial de Catalufia, con la consulta que acompañaba del do Infante , han sido elegidos para presidente el Sr. D. Cayetano Val consejo de Estado sobre el modo de egercer los jueces de hecho sus dés, diputado por la provincia de Sevilla; para rica-presidente el Sefior funcione* cuando las autoridades residen en los pueblos acometidos D Juan Antonio Castejon , que lo es por la de Madri…</t>
  </si>
  <si>
    <t>…. Cortes, se ha instalado hoy la Diputación de las ordinarias de. presen —.Con fecha de av-r «acriben da Arefis lo que sigue: Los pueblos de te año, y nombrado por su presidente á D. Cayetano Val des . d putado Llord , B:anet, Malgrat, Pineda , S. l’ol, Csnet j otros enviaron co por la provincia de Sevilla: y para secretario a D Francisco E n tes, misionados á esta para tratar de auxiliarse mutuamente en caso de ser que lo es por la de Toledo : lo cua…</t>
  </si>
  <si>
    <t>Val, Justo León</t>
  </si>
  <si>
    <t>Justo León Val</t>
  </si>
  <si>
    <t>…nes de la milicia nacional que guarne en el tribunal de primera instancia de Segovia, y por la escribanía d« cía d e os puntos: y testigo ocular de cuanto ocurrió en ellos, peería D. Justo León Val testero, á hac*rse parte en el expediente promovido fa'tar a m Iranqu za y principios si no hiciese una manifestac.on pú- á instancia de Doña Andrea Duran de la Rocha, marquisa de Prado, b ca de cuanto a patr a debe á esa respetabla Corporation y milicia, y S…</t>
  </si>
  <si>
    <t>Val, Leoncio</t>
  </si>
  <si>
    <t>Leoncio Val</t>
  </si>
  <si>
    <t>…iba i Benito Serrano, D. Juan Biutista del Rio , D. Francisco Javier Jimé completarte......La Cámara Alta había oido ya sin oposic on su prime nez de Bagues, D. Antonio Medrano , D. Leoncio Val, D. Cayetano ra lectura , cuando llega lor j Colchester , el cual hablando con la ma Puch, D- Manuel Sierra, E&gt;. Luis Cántense, D. Antonio Cebollero, yor vehemencia le dirige estas terribles palabras: » Vengo corriendo D. Mariano Gudal, D. Celso Píanzon, D. J…</t>
  </si>
  <si>
    <t>Valbuena, Manuel de</t>
  </si>
  <si>
    <t>Manuel de Valbuena</t>
  </si>
  <si>
    <t>…r-t» salió de la tierra una agua negruz Los comentarios de Cayo Julio &lt; tsar, traducidos al castellano por ca, que mui do i od s los sit o, que aun no habían destruido los tembló- D. Manuel de Valbuena : segunda impresión nuevamente corregida: lle re. d- t■ • ra. va el t. xto latino en mejor carácter de letra que la primera , el busto Kr, J’ar.s ya nadie er e en la guerra, y no lo sienten poco los ul de Cesar grabado por D. Manuel Salvador Car mona , y dos…</t>
  </si>
  <si>
    <t>Valcarcel, Antonio</t>
  </si>
  <si>
    <t>Antonio Valcarcel</t>
  </si>
  <si>
    <t>…s calumn .-as en debía pasar al Gobierno para que informase. Aprobado. ?[ue aquellas se habían fundado, no perjudicaban á su buena oftiion y La misma, en vista de li exposición d; D. Antonio Valcarcel, di ama, opinaba que esta declaración pertenecía al poder jud cía», y que rector que fue del ejército expedicionario, para c¡ue se le declare com por lo mismo se drbia declarar no haber lugar á delibrar. A potado. prendido en el decreto de as de Octubre de iS…</t>
  </si>
  <si>
    <t>Valcarcel, Josef</t>
  </si>
  <si>
    <t>Josef Valcarcel</t>
  </si>
  <si>
    <t>…daba sobre La comisión primera Eclesiástica, en vista de la solicitud del preseste expediente la comisión de Comercio de la anterior legis'atura (sa btiro ascripio al clero romano D. Josef Valcarcel, residente en Lu celia , parí que se le haga efectiva la congrua destinada á los religiosos leyó j- Tsualmente se leyó á petición de dxfioSf. diputado la orden de la* Secutar izado,, y maní (estando que el R. obispo de Córdoba no quena Corles de Junio dz 820…</t>
  </si>
  <si>
    <t>…id. Han podido aun chocarse; pero desde el momento en que se aumente, Santiago á D. Ramón Taboada , id. te reúna y forme una masa grande y compacta en el país , loa choques Lugo i D. Josef Valcarcel, id. y convulsiones Serán inevitables. El Gobierno federal ó general no tie Valladolid i D. Fetik Blanco y Vitoria ,id. ne fuerza bastante para mevebir y disipar cata criáis, ni pera impedir Ponufedn i- D. Ramón María Herrero, id. sus ominosas resultas. El po…</t>
  </si>
  <si>
    <t>Valcarcel, Manuel</t>
  </si>
  <si>
    <t>Manuel Valcarcel</t>
  </si>
  <si>
    <t>…e todos estos funcionarios, Las coniisionrs de Legislación y Poderes presentaron su dictamen sino hacerse algunas excepciones, especialmente respecto de aquellos acerca de los dá¡ Sr. D. Manuel Valcarcel , suplente por la provincia que tienen causa pendiente. de Sevilla , á causa del fallecimiento de D Ar gel Caamaño: ’ ta coEl Sr. Surra, como de la comisión contestó: aqui se trata de la ren misiones opinaban que en atención al espíritu del art 90 de Ja t.oj…</t>
  </si>
  <si>
    <t>Valcareel, Manuel</t>
  </si>
  <si>
    <t>Manuel Valcareel</t>
  </si>
  <si>
    <t>…á el perjuicio que haya lugar , con Sr. Caamafio, que ya no existía, no puede «er admitido el primer su forme á lo, decretos de las Cortes y Reales órdenes que tratan de la plente D. Manuel Valcareel, sino procederse i 1a elección de otro materia. Ma«lrid st de Mayo de i8z 1. propietario.” Dirección ¿eneral de aduanas. De Real orden lo traslado i V. para su inteligencia, y que lo co Hallándose vacante la plaza de oficial de libros de la alcaidía de la mun…</t>
  </si>
  <si>
    <t>Valdcs</t>
  </si>
  <si>
    <t>…Francisco da Barcelona, Fr. Domingo d: otros fines siniestros , por lo que seria muy importante cate articulo. Sabadell, Fr. Antonio Sabadell, Fr. Gervasio de Villanuava, y le¡ El Sr. Valdcs (D. Cayetano) sa opuso al artículo, diciendo que lago* Fr. Joaquín de Sitgsa y Fr- J-iim# de Vich; pero estos indivi. no debía detenerse á un individuo de un pueblo que teniendo todas sus dúos, sustanciada y finalizada la cauta, han» sido declarados lncc*nt«…</t>
  </si>
  <si>
    <t>Valdé</t>
  </si>
  <si>
    <t>…r permaneciese tropa para su mayar seguridad, creía poco conveniente de indagar cusiera su verdadero origen. que tuda «lia'permaneciese encartada, y qu* cíate anas oportuno que El Sr. Valdé*apoyó la proposición, y manifestó que en indispen■mjuview pe* ja ciudad. sable que este asunto se decidiese, pues que en trat índose de cotas mi ElSr Fetttr. Ademas de lo que todo* sabemos de Pamplona respecto litara en preciso ó aprobarlas ó no haberlas insi…</t>
  </si>
  <si>
    <t>…ntes del día i.n de te artículo , porque le con.idero muy favurabie a la pobiac.cn y i ¡M Noviembre próximo, hasta 36 años cumplidos en el miento día.” cuín; n.h.-.s. Aprobado. El Sr. Valdé» (D. Czvrtar.o): E*»e «rtícu'o r.o det* aprobarse, por Art. 1." n Entrarán en el sorteo todos los mozos comprendidos en que hace que de ■! • » qu i.t’.s no se hagt masque -jr.i de los mezo; vas la edad, sin exclusión de ninguno, tenga ó no excepción £;!c¿ ó l…</t>
  </si>
  <si>
    <t>…ro punto, c&lt; a ción , mediante la mayoría de los partidos que la componen. arreglo á la ley de 11 de Setiembre. Los pueblos del mediodía y del oeste de la Europa piden Constitu El Sr. Valdé» (D. Cayetano) manifestó que había disposición-* ciones libres y Cortes nacionales ,y loe que Dios ha hstho responsables tomadas pata la subsisteacia da los presos, y no para la de los deteni del poder que egercen no quieren permitir que las haya, de lo que t…</t>
  </si>
  <si>
    <t>…ru ha estado constantemente en aec.on brado lo que se le había sefiaiado; y asi no apruebo el dictamen. pata hacer afectivos lo» Jtra;o» que ia habido en ei cobro de las cor.tr.El Sr. Valdé» (D. Cayetano): Lo que se señaló al ministerio de buciones; y todos sab en que efectivamente se Ha ccb a lo u a canti Marina para las atenciones de este ramo en el año económico fue dad respttabla, pur» qu; a hemos visto en los a-.tacoi. : Por que pu:s el tan…</t>
  </si>
  <si>
    <t>Valde</t>
  </si>
  <si>
    <t>…up.-.ni.r»,., o exten ella sí t.ubltce lo que ya han prescrito ieyc»; ) aunque la derse en otros términos. cofumon ro lo dijese , ya se sab * que d-bs subsistir «1 que no sj pu-Ei Sr. Valde» (D. Cay.uno). El articulo no está perfectarcant: d: } árjudicar a ios beredetos fcrzcwt</t>
  </si>
  <si>
    <t>…ue conduzcan á su cciwu-.xn y Ci.-cusa. sente lo preven..1* er&gt; el r-g am-i.t - pita a milicia nac -.m! ¡oc.v. Art. jo. -'Cuando lai;.c .re A irj¿.n.ero comardir.fj de ura pla F.l Sr. Valdé» (D. Cay .-uno) d'jo que según lo man fesia :'n por za el que le suceda en ti manco, a.o.uiijúado d.l nucr de u a , fora’yunos Sr;s. preopinantes, parecía qu: e.tahan en ¡a int licencia que ia maiá mvccnrio de lo, p.1.1:», pr wt &gt;, re ac.oncs y d mas pap-iea…</t>
  </si>
  <si>
    <t>…el ca vincial rn el modo y para los fines de que trata el art. 19 de esta ins so de aprobar este artículo. trucción , podrá la diputación, dando cuenta al Gobierno, concederle El Sr. Valdé» (D. Cayetano): La comisión ya dice en este artículo la faculta ! d; disponer de la cantidad que solicite del fondo de propios que no se concedan esperas moratorias sino por justa causa y durant • un y a:b t,ios.” año; y así yo no tendré inconveniente en apro…</t>
  </si>
  <si>
    <t>Valdéa</t>
  </si>
  <si>
    <t>…recomendar al Congreso el indi Entró la comisión especial nombrada i consecuencia de los sucesos viduo que no teniendo sueldo alguno por el erario hubiese contraído de aper, y el Sr. Valdéa ( D. Cayetano) dijo : La comisión nombrada méritos para ello. por el Congreso para examinar los acontecimientos de anteayer , ayer Se acordó que pasase á la comisión da Legislación la proposición y hoy, fue á desempeñar su encargo aproximándose al Gobierno. E…</t>
  </si>
  <si>
    <t>…s interesados que han presentado en la oficina de Renovación El Sr. Jener dijo qu: no habia inconveniente. certificaciones de endosos de los vales conocidos con el nombre de du El Sr. Valdéa (D. Cayetano): El pbro de que se trata debe ser dea- plicados por el Gobierno intruso desde «1 día 17 hasta 30 de Setiem de la publicación del decreto, sin embargo de que los buques que ha bre último, pueden acudir el dia 1 ■ del que rige y siguientes , de 10…</t>
  </si>
  <si>
    <t>…var con cantidades para objetos que no existen. Hasta ahora no comisión , y aprobarse las adicirnes citadas. tiene ningún fundamento para variar au opiaion en cuanto i a, canti El Sr. Valdéa (D. Cayetano): No o videmos cuSI's son las obli dad ; pero para cortar la discusión en asta misma mafiana, ti las C irte* gaciones de un gobernador. Este tiene que dar parte de todo lo que lo ts-n-na bien, presenta la comisión un nuevo d.clamen , á fin de que…</t>
  </si>
  <si>
    <t>Valdecoa, Manuel</t>
  </si>
  <si>
    <t>Manuel Valdecoa</t>
  </si>
  <si>
    <t>…ientes dictámenes de la comisión de diputa ber algunas informalidades. Las Cortes quedaron enteradas, y las man ciones provinciales. daron archivar. Uno relativo á la solicitud de D. Manuel Valdecoa, apoderado del Se aprobaron los siguientes dictámenes de comisiones. valle de Oroico, para que se permitan variar los arbitrios aprobados De la de Guerra: uno relativo á la exposición de varios oficiales de por el extinguido consejo de Castilla para cubrir lo…</t>
  </si>
  <si>
    <t>Valdéi</t>
  </si>
  <si>
    <t>…és de haber hecho el Sr. Gómez (D. Manuel ) algunss ob y otras pidiendo habilitación para adquirir los bienes paternos que pu servaciones contra el artículo, á las que contestó el Sr. Valdéi (Don dieran corresponderles; y considerando S M. icdudable el que las mon Cayetano), se d-claró este asunto suficientemente discutido, y quedó jas desde el momento que tiene efecto su secu’anzacion recobran natu sptobado el artículo. - ralmente su primitivo e…</t>
  </si>
  <si>
    <t>…putación ptov.ucial tcs- capital sin salir á recorrer la provincia , que era una de sus prme paVs pect va." obligaciones. Los Sre*- Seoane y Lodares contestaron á estas observa El Sr. Valdéi (D Cayetano) : Estoy conforme en la prim.-ra par ciones haciendo presenta que era muy conveniente qne ti g~fe político la del artículo, pero no en la secunda, porque ias Corte* -»tan rrun das asistiese é la» sesione* de la* diputaciones prov ecía'es, y que lo…</t>
  </si>
  <si>
    <t>Valdemoiot, Felipe López</t>
  </si>
  <si>
    <t>Felipe López Valdemoiot</t>
  </si>
  <si>
    <t>…s adeudos, y haber exigido de los zaga, D. Joaquín Huerta Cevallos , D. C ayetano Romero, D. Antonio responsables sus dietas; en la inteligencia deque se impondrá ¡í los in Regas, D. Felipe López Valdemoiot, D. Ramón Llord, D. Antonio tendentes la mas estrecha responsabilidad si se descuidase por su parle María Espejo, y D. Lino Campos. el cumplimiento de este último punto. Lo que de Real orden comuni Habida ia conferencia, declararon por unanimidad »ao haber lu…</t>
  </si>
  <si>
    <t>Valdemoro, Felipe López</t>
  </si>
  <si>
    <t>Felipe López Valdemoro</t>
  </si>
  <si>
    <t>…tido en distintas ocasiones 4 los enemigos: tanto lieron los Sres. siguientes: que con la división que debe salir de Puerto-Cabello no extrañará con D. Juan Paz, D. Isidro Merino, D. Felipe López Valdemoro», sigan la destruccien de los enemigo*, lo que seria fácil lograr con muy D. Joaquin Huerta Cevallos, D. Antonio María Espejo, D. Valentín cortos auxilios, á causa de que todos los pueblos están animados contra de Nicolás, D. Juan Fernandez Casariego, D. Juan…</t>
  </si>
  <si>
    <t>…iento, y dispondréis se imprima , publique y cular , avanúndo una partida de 1$ hombres á cargo de su comandan circule^Está rubricado de la Real maco .=En palacio á la de Julio te D. Felipe López Valdemoro, la cual protegió la deserción de mu de i8xa.sA D. Nicolás Garctly. chos guardias de las filas sediciosas, colocándose en seguida con fuerza Circular dtl mmi/terio dt Hacienda. bastante en loe balcones del tribunal supremo de Justicia, contribu * Considerando…</t>
  </si>
  <si>
    <t>Valdemoros, Felipe López</t>
  </si>
  <si>
    <t>Felipe López Valdemoros</t>
  </si>
  <si>
    <t>…, Salvato y Seoane. guientes: D- Lino Campos, D. Nicolás Alonso, D- Antonio del Al Se leyó la siguiente adición del Sr. Becerra: » Pido que la remisión cázar, D. Joaquín Cevallos, D. Felipe López Valdemoros, D. Higi«leí código penal á la sanción del Rey se eotienda corregidos y com nio Antonio Llórente, D. Sebastian Andrés, D. Antonio María Espe probados exactamente los dos egemplares.” jo y D. Valentín de Nicolás. Y habida la conferencia, se declaró poc El Sr.…</t>
  </si>
  <si>
    <t>Valdemotos, Maco</t>
  </si>
  <si>
    <t>Maco Valdemotos</t>
  </si>
  <si>
    <t>…de i8ai. La misma, en vista de la solicitud de DoEa Ana Mar i Valdrmo-A las ti de la mañana. = Del Venadíto.sSr. teniente coronel Dan ros, soltera ¿ hija «fel consejero de hstado D. Maco Valdemotos , piAndrés Martínez.” (ir continuará.') diendo que no estando teña'ada la viudedad que correspondía á las viu das y huérfanas de ios consejeros ¿t Estado, se le sefialase una pensión CORTES. hasta que las Cortes resolviesen sobre este furto, opinaba que de tí…</t>
  </si>
  <si>
    <t>Valdenaoro, Felipe López</t>
  </si>
  <si>
    <t>Felipe López Valdenaoro</t>
  </si>
  <si>
    <t>1380 García del Barrio, D. Felipe López Valdenaoro», I&gt;- Manuel Gallego, tan ahumadas como las anteriores. Los argumentos de estas últimas esD. Joaquín Manrique y Manrique, D&gt; Francisco Martínez Marina, tan sacados del viejo y del nuevo Testamento, y fueron hechas en épo D. Lorenzo Lambe*, D. Bernardo Asenjo,…</t>
  </si>
  <si>
    <t>Valderábano, Alfonso</t>
  </si>
  <si>
    <t>Alfonso Valderábano</t>
  </si>
  <si>
    <t>…ahora: verdad et que el que sirve habla cuando le mandan de i8aa.asPor la infantería el coronel Francisco Fernandez Golfin, sns ames. pre,idente.=Por la milicia nacional activa el coronel Alfonso Valderábano.=Por la artillería el coronel Manuel del Pino.rsl’or la caballe ARTICULO DE OFICIO. ría el teniente coronel Joaquín Barreda.=Por el estado mayor general el coronel Santiago Méndez de Vigo,=Por la Hacienda nacional mi PAGADURIA DEL MINISTERIO DE LA GOBERNACION…</t>
  </si>
  <si>
    <t>Valdés</t>
  </si>
  <si>
    <t>…ose presentado á la Diputa ción , no habían entregado sus poderes. ♦» F.ti el Espectador número 161 se insertó literalmente una exposición, Después de una ligera discusión dijo el Sr. Valdés (D. Cayetano) en que varios individuos del coniste.» uc C-diz culpaban al rmn steque ni él ni su compañero tenían empeño en votar , y por lo mismo era rio por no haber auxiliado con f .razas navales al Perú, Costafirme y inútil que la Junta preparatoria se oc…</t>
  </si>
  <si>
    <t>…de! trono en el Congreso, por medio de los que recompensa de su patriotismo. poseyendo un destino en palacio fuesen diputados á Cortes, lo cual no Un Sr. diputado manifató que el Sr. Valdés no había residido en se verificaba en el caso presente, mediante á no egercer el destino de Valencia lo* afios prevenidos por la Constitución pan ser diputado por gentilhombre el Sr. duque del Parque. Por estas razones opinó debía aquella provincia, porque ad…</t>
  </si>
  <si>
    <t>…dictamen de la En la quinta votación fue electo el Sr. Isturiz por 65 votos, te comisión, porque de nada serviría que se aprobasen los poderes del seniendo 3 el Sr. Villaboa, 4 el Sr. Valdés, 3 «1 Sr. Cano, a el Señor fior Escovedo si no podía tener lugar en el Congreso, y por lo mismo Marchámalo, y uno cada uno de los Sres Galiano, Lamas, Saravia, opinó que este dictamen debia volver á la comisión para que mañana Becerra, Lodares , Albcar y Mans…</t>
  </si>
  <si>
    <t>…s, sin que i ninguno que no haya servido 40 años, eficaces y prontas medidas que exigían las circunstancias. cumplidos y se retire con legítima causa, se le conceda con todo su El Sr. Valdés: No entr iré á tiatar de la conducta del ministerio sueldo, pu s existiendo el que ahora rige , y en que se concede el reti pasado , parque esto no es del ni ni nto , sino de las providencias que ro á los 30 años , llegará el caso de ser mayor el número de ju…</t>
  </si>
  <si>
    <t>…e tad is de los años 10 y 21 han merecido part.cular consideración del estos sucesos , y cuál es su origen. Gobierno cuando se han explicado con ideas conformes a sus m.ras, al El Sr. Valdés(D. Cayetano}, como individuo de la comisión : Ayer peso que h.inoa visto que ¡os que han estado en sentido contrario í pasamos al ministerio con los demas Sres. que fuimos nombrados, á aqu.lio, han sido desatendidos: Nosotros pues, queriendo precasrer que con…</t>
  </si>
  <si>
    <t>…padeci distintas las circunstancias políticas de la época á que el Sr. Arguelles do el Sr. preopinante. se habia referido, respecto de las circunstancias en que actualmente se El Sr. Valdés: La proposición de que se trata la considero perjudi hallaba la Nación, y que exigían que se adoptase una medida de esta cial. Mi mayor dificultad consiste en que un diputado que ha mereci naturaleza. Aunque el Gobierno (continuó), no pueda elegir los que do…</t>
  </si>
  <si>
    <t>Valdes</t>
  </si>
  <si>
    <t>tirar d« lai frontaras i loa refugiado» españole», argón loa deMoa de le El Sr. Valdes dijo que no podía entregarse esta insignia i la coai. España, 4 fin de que por este medio te eviten lo» perjuicio» que dicho» sion que debia venir 4 la barra, porque siendo la bandera ó el Icen espadóle» pudieran acarrear á la Península, y muy particularmente…</t>
  </si>
  <si>
    <t>…ar en consideración estas diatamente salió la comisión encargada de entregar el león, el cual lie. dificultades. Las tomó, las pesó, y porque no le hicieron fuerza presen traba el Sr. Valdés como presidente de ella. ta su dictamen en los términos que han oído las Cortes. Después de un breve rato volvió esta, y el Sr. Valdés dijo : I.a co Habiéndose declarado este asunto suficientemente discutido, quedó misión ha cumplido su encargo, entregando al…</t>
  </si>
  <si>
    <t>…e remitiese al Gobierno para que for viese el sable al general Riego á nombre de las Cortes. Asi se aprobó. malizase la división jurisdiccional del nuevo término de Alcobendas. El Sr. Valdés observó también, que mediante á ser de acero la rli Se aprobó. na del sable de que se habia hacho mención, seria oportuno que se La misma sobre una exposición da la diputación provincial de Alava grabara en ella el drá y motivo del precedente acuerdo de la Co…</t>
  </si>
  <si>
    <t>…nanza cor respondí esta tivos. Por lo demas los datos i que se ha referido el Sr. Canga para dea su graduación. mostrar lo que paga cada individuo de la Nación, creo que no son El Sr. Valdés pidió que se expresase la circunstancia de que hubie exactos, porque es bien conocida la dificultad de tener la estadís se un capitán en la compañía, á cuya cabeza habia de estar perpetua tica de una Nación como corresponde. El censo í que se ha refe mente D.…</t>
  </si>
  <si>
    <t>…s, para asegurar las libertades pú que en lugar de las palabras no ¿oten diezmar diga no pertitmn ditzmo* blicas , y para dar la debida fuerza i la autoridad Real. d no ditzmm. El Sr. Valdés ( D. Cayetano) manifestó que deseaba saber de don Se puso á discusión el dictamen de le comisión de examen de Ca de había venido esta exposición á la secretaría, y si esta conocía la fir sos de responsabilidad sobre el expediente promovido por la diputa ma de…</t>
  </si>
  <si>
    <t>…contra el texto terminante de la Consti to entendía en el asunto; y si él inutilizo la primera orden que kab.a tución. dado, esto solo prueba que conoció que habia obrado mal. El Sr. Valdés (D. Cayetano) : Ese mismo oficio del gefe político, Sin embargo todavía se quiere afectar una duda sobre que el gefe en que Is comisión se apoya, hace ver que no ha habido infracción de po! ítico ignoraba que el asunto fuese judicial , v se busca un ap. vo en…</t>
  </si>
  <si>
    <t>499 ee antes de que el tribunal especial de Guern y Merina la liara Tuto.” El Sr. Valdés h?zo varíes rrfl iisen en apoyo de su pey» c¡om Quedó admitida á diicusioa. y habiéndose . rejuntad' st este asunto estaba suttcaenuin.nie discutido, El or. Olí ver: Una causa puede considerarse bajo do* aspecto», 6 se decidió por la negativa. como pendiente…</t>
  </si>
  <si>
    <t>…por no poder ser objeto de la deliberación de las Cortes la conducta que este individuo tuvo en esta causa. Leída y aprobada el acta de la anterior, se mandó agregar ó ella el El Sr. Valdés (D. Cayetano) dijo: Antes de entrar en esta discusión ▼oto particular del Sr. Alix, contrario á la resolución de las Cortes, quisiera que se me dijese si la causa de que se trata se ha.la entestado por la cual se aprobó un impuesto municipal sobre los perros…</t>
  </si>
  <si>
    <t>…enen obligación de saber las leyes, ó que no les obligan; pero esta aprobarse el dictamen que se discute. sola máxima era suficiente para trastornar el Estado. Los militares de El Sr. Valdés (D. Cayetano): No puedo menos de oponerme i lo ben saber las leyes, y estas les obligan coma á los demas ciudadanos: que se ha dicho, de que los militares deben estar .nietos á las leyes , y la ley j.J, til. a/’, bb. 3.° de la Novísima Recopilación está bien…</t>
  </si>
  <si>
    <t>amulad de la causa; pito, como ya ha manifestado el Sr. Valdés, no Segunda parte: •» Que igual responsabilidad «e exija al coi fue convocado para eaaminar la nulidad del proceso, sino para fallaren general conde de Cartagena.” Se desaprobó por 6J votos contra 60c él con arreg'o á ordenanza. Después de otras varias observ…</t>
  </si>
  <si>
    <t>…y colocasen en un lugar mm de de presidente, vico-presidente y un secretario. coroso. La comisión, haciéndote cargo As dos dictámenes de comiaionm En el primer escrutinio tuvo el Sr. Valdés (D Cayetano ) 6y vo de U legislatura anterior, y conformándote con el último, opinaba: tos , el Sr. Salvato 66, el Sr. Alava t, y el Sr Qgatslei Alonso uno; 1.* que ae declarase que el teniente coronel S&gt;. Joaquín Cabrera, me ’ no habiendo reunido ninguno de…</t>
  </si>
  <si>
    <t>…ión para que proponga otro mas ade te conformaba como individuo de ella con la opinión de la mayoría. cuado. Discutido el punto suficientemente, se declaró no haber lugar i vo- El Sr. Valdes (D. Dionisio) dijo que los gastos debían hacerse | tar sobre este defamen , y que volviese á la comisión. con arreglo i lo que previniesen tas diputaciones provinciales; que no Se mindaron pa»ar á la biblioteca y á la comisión de Salud públi- se decía ni se t…</t>
  </si>
  <si>
    <t>…* de estos; jr mea que cierto número de plasta que daban carácter de generales á 1*1 en fin asombra el ver lo que te necesita pera cubrir lo* gastos del egér que las ocupaban; y d Sr. Valdés (D. Cayetano) contesto que coaes- I cito , y basta decir que estrechando los gasto* cuento es posible , no se tea bebía bastante* pera que se aumentase el número de loe genéralo I puede d iminuir el presupuesto á menos de goo millones. Por otra par cuanto se…</t>
  </si>
  <si>
    <t>…azón concluyó diciendo que debia aprobarse el dictamen de la mismas , aprobando la citada indicación. La actual comisión de Hacien comisión. da se conformaba con este dictamen. El Sr. Valdés(D. Cayetano): He pedido la palabra no para im Después de una corta discusión, se declaró no haber lugar i rotar por pugnar el todo de la proposición, pero sí parte de ella. La comisión 57 votos contra 47. mezcla en ella dos cosas que no tienen gran relación e…</t>
  </si>
  <si>
    <t>…asar i la misma comisión la siguiente adición de los b a para que se tomasen las medidas que se proponían. Sres. Ol i ver y Mutfi: » Pedimos I las Cortes que dispensen á la ciu El Sr. Valdés ( D Cayetano ) pidió la palabra para oponerse-4 dad de Málaga por el tiempo que tuvo tu puerto cerrado, y estuvo proposición, y el Sr. rice-presidente manifestó que no se ptdii óabáer acordonada, Ta gracia dispensada i la de Barcelona por la misma causa.” en…</t>
  </si>
  <si>
    <t>…entos ha cual opinaba que debia pasaras al Gobierno. Aprobado. cían respecto de uno ó mas vecinos separadamente. La misma comisión presentó dos dictámenes, el uno sobra la soli El Sr. Valdés (D. Dionisio) apoyó la ¡dea manifestada por el tecitud de los pescadores de la pesca en gratule de Galicia, 7 el otro so flor preopinante; añadiendo que en la reunión de vecindarios babia una bre una exposición del ayuntamiento de Cartagena, relativa al nom r…</t>
  </si>
  <si>
    <t>…reto de 6 de Agosto realmente se hace tratista. Debo también decir, añadió, que no es exacto lo que ha dicho una distinción clara y terminante. Convengo en que el señorío juris el Sr. Valdés, pues ha supuesto que no están arregladas las aduanar, diccional es incompat.ble con ia existencia de una Nación que reconoce pero no es asi, porque las Cortes han dado reglamentos para ellas, tie en sí la soberanía. nen sus aranceles &amp;c. , y por consiguiente…</t>
  </si>
  <si>
    <t>…amen, y me opongo abiertamente á gar por ahora fuera de ia Península é iaias adyacentes.” Aprobado. las otras dos. Se mandó pasar á la comisión U siguiente adición del M. Buey: El Sr. Valdés ( D. Cayetano: ) He tomado la pa'abra porque reo 1» Pido que las Cortes declaren cuánto tiempo ha de durar ia visita de que la cuestión no te mira bajo su verdadero ponto de vista. Toda la tribunales ya decretada.” cuestiin ha girado sobre el gefe político y…</t>
  </si>
  <si>
    <t>…amen de la comisión de Hacienda so particular los canales que en lo sucesivo se abriesen por particulares. bre el presupuesto del ministerio de la Gobernación de la Península - El Sr. Valdés (D. Cayetano): He pedido la palabra en contra para en el artículo que quedó pendiente. ( Véase en la gactta de ayer.) fijar la cuestión. El Gobierno pedia siete millones para los canales: la El Sr. Belda manifestó que atendiendo 4 la grande utilidad de los co…</t>
  </si>
  <si>
    <t>…or Especial encargada de examinar la memoria del ministerio de Estado relaciones familiares, es claro que deberán exc'uiise de la nómina de y Código de procedimientos militares al Sr. Valdés ( D. Cayetano y, y los desembolsos el de 14,000 rs. que ocasiona la oficina del grefier, con- para la segunda de Legislación y Policía al Sr. Oliver. siderándblos como pertenecí ntes a] pa ac'oepero no hay necesidad de Se procedió á la discusión del dictamen…</t>
  </si>
  <si>
    <t>…n vengan en es:a forma se Ies devuelvan para que lo ejecutes. De Real y aprobarán los gastos que se demuestren. orden lo comunico á V. para su puntual cumplimiento. Madrid 3 de F. Sr. Valdés (D Cayetano) manifestó que no entendía por que se Mayo de 1822. rebajaban 99 millones, diciéndose que eran producto de las rentas lí Circular del ministerio de Hacienda de Ultramar. quidas , pues no tenían nada que ver estas con el gasto positivo de los Los S…</t>
  </si>
  <si>
    <t>…es, no debía El br. Infante manifestó que podrían aludirse en el artículo las dilatarse un momento la discusión dei dictamen queso habia presentado. palabras que habia indicado el Sr. Valdés, y asimismo que tuviesen Los Sres. Sobe ron y Buruaga opinaron del mismo modo. En su con que acreditar estos individuos que tenían todas las circunstancias que ia secuencia el Sr. presidente señaló para mañana la discusión referida. Constitución exige para qu…</t>
  </si>
  <si>
    <t>…e, Arias, Alcalde, Silva, Alfonzo, Lamas, Rey, Cortés, Be'4a, ban orden las galerías. Cid , Rom , Pedralvez, Merced, Hu í del Rio , González , Manto, Restablecido el orden dijo el Sr. Valdés: En el expediente no se Soria, García, Garoz, Gómez (D. Manuel) , Sotos, Paterna , A va encuentran los datos suficientes para exigir la responsabilidad al gefe rea Gutiérrez, Tomas, Quiñones, Cuevas, Isturiz , Grases, Zu.u-ta, político; convengo en que los he…</t>
  </si>
  <si>
    <t>…se cximie»- á aquella ci udad da de la exposición de varios oficiales del egercito de Galicia en lugar de i pago dei 19Í por too que le cargaba la contaduría de Propio» en un del Sr. Valdés (D. Cayetano) al Sr Saravía. repartimiento de 5'“') y tantos reales , era de paric-r que este ezp.dienSe lepó un proyecto de decreto presentado por la comisión Eclesiás te pasase á la comisión de Diputaciones provinciales. Aprobado. tica sobre el repartimient…</t>
  </si>
  <si>
    <t>…lla, acerca de lo* cuales la mayoría de la comisión era de paréete Saladores'd; mar. que debían aprobarte. . J Se mandaron pasar á la comisión de Marina : una adición de los se Ei Sr. Valdés (D. Cayetano): He hallado defecto* no solo en elec ñores Torre y Airear al artículo 4.0 del dictamen de la misma comi ta de la elección, si no tambirn en la* cualidad** ó circunstancia» del susión, lefendo anteriormente ; y otra dd los Sres. Torre, Alvear y R…</t>
  </si>
  <si>
    <t>…mpeñadas por las diputaciones provinciales ó por cualquie formación de causa al expresado regidor y al alcalde. ra otra autoridad de la provincia, sin necesidad de nuevo gravamen. Sr. Valdés (D. Cayetano): Me parece que este asunto corresponde k Los intendentes no tienen mas obligación que hacer el repartimien los tribunales de justicia y no i la* Cortea, pues según la facultad vito d.l cupo de contribuciones que corresponde á cada provincia; los…</t>
  </si>
  <si>
    <t>…que el león de la buques de la armada nacional estará sujeta á Ja-ordenanza de dicha insignia en vez de estar de pie fuese zampante. armada. El Sr. Saavedra apoyó esta idea ; y el Sr. Valdés ( D. Cayetano ) di El Sr. OI i ver dijo que si se añadiesen las palabras artillería des jo que tal como se expresaba en el artículo la insignia de que te trata st pués de le de infantería , se podía excusar el art. 6.°, porque entonces hallaba aprobada por la…</t>
  </si>
  <si>
    <t>…ecto hasta que resolvie ios cuerpos de caballería del egército con el mismo sueldo qne ahora se sobre aquel. disfrutan, y qu también pasen con sus mismos haberes lo* gefes, ayu El Sr. Valdés (D. Cayetano) dijo que no se oponia absolutamen dantes &amp;c.! i l’odrá ser conveniente extinguir un cuerpo que ha dado te á este proyecto, sino únicamente é que se tratase de ¿I mi nrras muestras de la mas severa disciplina y de su amor al sistema ? «Qué de no…</t>
  </si>
  <si>
    <t>…s individuos que se destinasen á los regimientos de ca das partes de gente fanática y supersteiota, que d.sea extraviar la opi ballería ; y que en cuanto á la otra observación del Sr. Valdés, la co nión pública de aquellos sencillos habitantes, sufre los atentados mas misión no tenia inconveniente en que asi se acordase, dándoles su li sangrientos que se pueden imaginar. No he podido ver sin conmoción cencia absoluta si la solicitaban. y sentimie…</t>
  </si>
  <si>
    <t>…sados por las armas en el acto mismo de su aprehensión. sos no merecían ser tratados como Ciudadano» españoles. Art. 3.0 •&gt; Los que dentro del término de iza 48 horas de que se El Sr. Valdés (D Cayetano} di o que era preciso atender á que el habla en el articulo anterior se presentaren al gefe militar, ó á cual proyecto que se presentaba establecía que pudiesen ser pasados por las quiera otra autoridad, serán constituidos en prisión, y juzgados c…</t>
  </si>
  <si>
    <t>…taban haciendo un servicio activo , y por lo mismo no debía construir las dos fragatas que están en el as hacérseles rebaja alguna. tillero del Ferrol, y compra de maderas para El Sr. Valdés ( D. Cayetano) dijo que los oficiales que se hallaban el alio próximo.—.................. ....................... Rs. vn. 7.685,364 30 en los departamentos, si no estaban haciendo el servicio de plaza, ó no estaban ocupados en el arsenal ú otros puntos, estab…</t>
  </si>
  <si>
    <t>…ó habría dos; porque si solo habia de haber un regimien tos debían considerarse como de servicio activo. to, s.empre resultarían economías, aunque no fuese mas que en la plana El Sr. Valdés (D. Cayetano) dijo que el :r. preopinante te habla mayr r. equivocado en suponer excedentes en la Marina; pues solo los bab a Ei Sr. Va’dés ( D. Cayetano) contestó que aunque hubiese do» •n la clase de gefes, entre los cuales no había ninguno que bajase de p…</t>
  </si>
  <si>
    <t>…do á la marina militar para que limpiase de corsarios las costas, y » En el presupuesto de este ramo &amp;c.” diese convoyes á los buques mercantes; por lo que era preciso se la tu El Sr. Valdés (D. Cayetano) manifestó que la rebaja que la comi viese bien pagada, y se tratase de aumentar el número ds buques de sión proponía debía ser con arreglo al número de buques que debían giorra. Qu- ademas había que guarnecer con ellos las costas del mar tenerse…</t>
  </si>
  <si>
    <t>…arage fue la escuadra inglesa á perseguir á la españo 13 de F.nero la ley orgánica que sigue: la y francesa. Constitución provisional de lot ¿riegos, promulgada por ti Cangreja El Sr. Valdés (D Cayetano): En la marina inglesa te verifica en nai.onaL efecto que vaya un buque desde el Archipiélago 1 hacer un viage á un CAPITULO I. punto distante; peto esto rs porque á semejante clase de expediciones ae destinan los boques de guerra armados. La mari…</t>
  </si>
  <si>
    <t>…rreglándote sin embargo á las ordenanzas militares los ayunta un mismo cuerpo los de los pueblos vecinos.” miento* de los pueblos que sean plazas de guerra, ó en que haya casti El Sr. Valdés (D. Cayetano ) se opuso á este attfculo, manifestanllos ó puertos fortificados.” doqueen caso de una desgracia , v. g., una derrota 6 la voladura do Después de una ligera discusión fue aprobado, añadiéndose después un almacén de pólvora recaía el desastre sob…</t>
  </si>
  <si>
    <t>…or el artículo suprimiendo to barse. Aprobado. da su última parte, dejando ia primer* hasta la palabra ptrtnuzca. La misma comisión proponía á la* Cortes te sirviesen mandar pa El Sr. Valdés (D Cayetano) manifestó que en los cupos de los sar á ella todos los antecedentes que hubiese en la secretaría relativos pueblos venían dos especies de quintos; unos los torteados, y otros á las elecciones de ayuntamientos y diputados á Cortes, con el fin da l…</t>
  </si>
  <si>
    <t>…tario si te y González Aguirre, faltando por consLultr.t; los Sr.s. Lamas y no tenían parte en su nombramiento. Taboada, que disentían de la mayoría de ia comisión. Se mandó im El Sr. Valdés ( D. Cayetano) dijo que se oponia al artículo por el primir. modo con que estaba extendido , y que seria mejor que dijese que en ioe Continuóse la discusión del dictamen de la comisión de Diputacio ocho primeros dias se hiciese un examen de las cuentas del de…</t>
  </si>
  <si>
    <t>…apoyó el artículo, manifestando que tículo debían t&lt;-ner derecho á elegir el cuerpo donde querían servir. estaba ya aprobado en una disposición anterior del Congreso; y se opu El Sr. Valdés ( D. Cayetano) dijo que empezando el articulo * lot so á que te diese mas aumento á la rebaja, porque con él resultaría que voluntarios que no entren” no se expresaba bien claramente la idea loe soldados servirían poco tiempo, y no podrían adquirir la instruc…</t>
  </si>
  <si>
    <t>…vjla,paa que se autorizase á les ujur.t.ni crtos era necesario á favor dei sistema que felizircnt-' nos rige para suponer arbitrios á vanos puchos qu, carecían de dios, opinaba El Sr. Valdés (D. Cayctaro) opinó que el reenganche de que se que drbia accederse á esta solicitud. Ap o bailo. hablaba en este articulo debería ser solo por un año. Las comisiona» de Oorn rcio y M-r*na f &lt;ta Tiiu &lt;iel *xp-&lt;l:entfi El Sr. Grises contestó que no se podía ex…</t>
  </si>
  <si>
    <t>…luyó aprobando el en cu.o de qu r hubiese alguna demora, que no tocar en el inconvenien artículo que se discut-a te de que fuese imposible su remisión enarna época determinada. Ei Sr. Valdés (D Cayetano) se opuso á él, diciendo que no creta Se declaro este asunto suficientemente discutido, y quedó aprobado qu: hubiese un fundamento para p osar que la e’eccion por suertes reca el artículo, añadiendo después de la palabra Curies las siguientes: á l…</t>
  </si>
  <si>
    <t>…cía á laa diputaciones provin nifestar a dicii.i pres dc-nte. En las cap tute* de provincia lendr ciales. esta facultad e: alcalde primero, ponienioo en noticia dei ¿efe políti El Sr. Valdés ( D. Cayetano) íe opuso al articulo, manifestando co- Ademas toca 31 presidmte d r;g,r ,as s: sionts, disponiendo que ios que en cato de determinar las diputaciones provinciales celebrar su* negoc os s- tiaten por &lt;1 ord 1. mas conveniente, y que se observen…</t>
  </si>
  <si>
    <t>…saba de que ae mandase llevar i efecto. La comisa» opinaba qu? deb e man qué clase eren los matriculados. darse llevar 4 efecto lo acordado por Us Cortea con respecta 4 -s»e in El Sr. Valdés (D. Cayetano) manifestó también que M todos lo* teresado , abonándosele el sueldo que le correspondiese desde que ha calafates y carpinteros de ribera estaban matriculados , y que por cada bía cesado en su encargo de tefe político de la provincia de Galicia,…</t>
  </si>
  <si>
    <t>…tribunal de Compartas Jijas dt presidios. Guerra y Marina, y el Sr. Canga dijo que debia reducirse i ella. Las compañías fijas de presid es cuestan á la Nación 3-139,573 rs. , El Sr. Valdés ( D. Cayetano) opinó que debía'decidirse ante todas que en opinión del cora-jo de Estado valen muy poco ó nada, puesto cosas en qué forma habia de quedar este tribunal para hacerle la asig que se explica de esta maneta: » En Ceuta hay cuatro compañías, y en n…</t>
  </si>
  <si>
    <t>…stitución, no creia que el mérito de los militares no hr.bia querido admitir estipendio alguno. Aprobado. que la hubiesen proclamado en algunas provincias después de haberla ¿i El Sr. Valdés ( D. Cayetano) presentó una exposición de D. Plá jurado el Rey pudiese igualarse con el que habían cor (raido los bene cido Martin Sacnz , artífice platero y diamantista , miliciano nacional méritos de li isla de León y do la columna volante dei general Riego…</t>
  </si>
  <si>
    <t>…preven.do en los bre que la comisión presentase el proyecto de decreto que proponía de* cánones y en los decretos de las Co: tes* bia verificar el Gt-bierno; á lo cual contestó el Sr. Valdés (D. Caye Y otra del Sr. Munarriz, relativa á que la comisión de Premios pre tano), manifestando que la comisión estaba demasiado recargada de sente en todo el mes de Marzo del año pinruno un proyecto en que asuntos, y que nadie mejor que el Gobierno podía hac…</t>
  </si>
  <si>
    <t>…to con tal que no te admitiesen las bases preliminares Coruña................................. ié. que presentaba la comisión. Barcelona............................. 1 p. I es. El Sr. Valdés (D. Dionisio) manifestó la importancia del asunto da Vales comunes de Enero.... 79 por 100. que te trataba, por cuanto se sabia que en todos ios países libres era ne Id era de Mayo y Setiembre 79*cesaria la milicia local para conservar las libertades públicas…</t>
  </si>
  <si>
    <t>…al servicio de esta poseedores de capellanías de sangre, que por no t ncr cóngiua suficiente milicia." se la han proporcionado, asistiendo á otras iglesias donde no tienen sus El Sr. Valdés se opuso i este artículo, manifestando que estaba muy beneficios.*’ bien fuesen admitidos en la milicia desde la edad de 18 años; pero que Otra del Sr. Melendez: » Pido i las Cortes que en el art. i.° se afia no debía obligárseles á servir hasta los 20 ; y qu…</t>
  </si>
  <si>
    <t>…capitán graduado de teniente coronel D. Manuel Sesé en ua yundo quisiesen hacer voluntariamente este servicio. pane del a de Junio comunica haber emprendido la marcas hacia Pon £1 Sr. Valdés (D. Cayetano) dijo que como miliciano podría en- tón s y Torreilat el a8 de Mayo , con el objeto de batir i los facciosos, (jrgatse á un juez de primera instancia la persecución de ladrones y en unión con el batallón de Barcelona. Antes de penetrar las áspera…</t>
  </si>
  <si>
    <t>…ienen, en que la minuta salió de dicha secretaría como enirar en sorteo para evitar todo motivo de queja. aten todos los densas asuntos que te mandan pasar á las respectivas co El Sr. Valdés (D. Dionisio) dijo que en varios países de Castilla misiones; pero la que informa te ha convencido igualmente de que este repartimiento de baldío* iba á causar en lo general la ruina de cuando dicho documento pasó á la segunda de Legislación hubo de que mucho…</t>
  </si>
  <si>
    <t>…6.° » Se declara nacional la escarapela encarnada con orla ver hacia con intervención de lo* acreedores. de que u v&gt; el egército de S. Femando eni.J de Enero del referido alio. El Sr. Valdés (D. Cayetano) fue de parecer que la propuesta debía No te aprobó este artículo. dirigirte al Gobierno , y este pasarla á las Cortes. Se continuó la discusión del arreglo del Crédito público. El Sr. secretario del Despacho de Hacienda opinó que podía supri Art…</t>
  </si>
  <si>
    <t>…n do no puede haber elección directa, porque era claro que aquella forma Madrid Lunes 17 de Junio. de elección estaba-mas expuesta á vicios y á intrigas qu; la directa. CORTES. El Sr. Valdés (D. Dionisio) dijo que la comisión ya había mani tlESIDEKCia DEL SVÍOR GOMEZ SECEMA, festado los motivos en que se fundaba para proponer este sistema da Sesión dtl 17. elecciones, y que asi para abreviar la discusión podra preguntarse al Se leyó y aprobó el a…</t>
  </si>
  <si>
    <t>…on vecinos del pueblo; abuso que ha querido cohones reposición se haga por medio del ayuntamiento áte ” tarse con la equivocada idea de que el jornalero no contribuye á las car El Sr. Valdés (D. Cayetano) observó que el visto bueno no cor gas sobre consumos del pueblo donde tiene sus fuerzas , sin hacerse car respondía al alcalde, sino al gefe militar ó comandante de cada ba go de que este gravamen lo sufre en el pueblo donds reside.” tallón. Des…</t>
  </si>
  <si>
    <t>…con al obispo de que se restablezcan las virtudes de la libertad, franqueza y unión.” Oviedo, que mientras se mantuvo en tos inmediaciones de su diócesis Respecto de esta dijo el Sr. Valdés (D. Cayetano) que estaba con» estuvo siempre conspirando contra la i.onttitucton, ate parece qae no forme con la idea ; pero que aquí sa hablaba de convites, sin decir quién pueden menos de tomarlos en considaracioa los señores de la co los babia de pagar. mi…</t>
  </si>
  <si>
    <t>…onados pondrán el mscional de Consuegra, ofreciéndose á la persecución de los facciosos, yor esmero en satisfacer los rédito* de la deuda reconocida en la moneda presentada por el Sr. Valdés (IX Dionisio.) y en la cantidad acordada, valiéndose para el efecto de los fondos apli Se continuó la discusión sobre arreglo del Crédito público. cados al objeto; y en caso de no ser bastantes, pondrán en egercicio La discusión había quedado pendiente en el…</t>
  </si>
  <si>
    <t>…n La comisión de Diputaciones provinciales en vista de la solicitud ducirá á ella custodiado decorosamente.” del ayuntamiento de Villamanin (León), para que se pudiese á su dis Ei Sr. Valdés se opuso á la palabra castillo, y dijo que convendría posición la casa del pó.ito , á fu de establecer en ella Jas casas capi sustituir la de tí otro arresto. tulares, cárcel pública y escuela de primeras letras t opinaba que podía El Sr. Zuíueta convino en e…</t>
  </si>
  <si>
    <t>…al. Aprobado. Habiéndose proedido i la e ecc.on empezando por la de un lefio* La comisión de Casos de responsabilidad, en vista de una queja de diputado eurnp o, resultó electo el Sr. Valdés ( D. Cayetano) por yí varios vecinos de Santander contra la diputación provincial y g.fe po votos, teniendo 48 el Sr. Gómez Becerra,7 el Sr.Salvato, a el aefior lítico, pidiéndose les exigiese la responsabilidad per haber cargado un Aura,y uno cada uno de los…</t>
  </si>
  <si>
    <t>…ita ticulo s 1 del proyecto lo que se ptoponin en este edición, no debía del Crédito público que debis reemplazar al Sr. Isturiz. En primer es adoptarte. crutinio tuvo j8 votos el Sr. Valdés (D. Dionisio), 63 el Sr. Surra, Los Sres. Casas y Lodaret presentaban voto particular sobre esta a el Sr. Lasala, y uno cada uno de loa Sres. Ruiz de la Vega, Oliver adición , opinando en él que debía admitirte, y en su consecuencia y Scptien. Total 126. No h…</t>
  </si>
  <si>
    <t>…taba de au Después de haber hecho varias refl-xiones sobre este asunto el sefiat mentar la deuda de la Nación, empeñando á la misma cada rez mas jr Infante, á las que co..testó el Sr. Valdés £ D. Cayetano), quedó apro mas, al paso qu&lt; los pueblos no podían pagar las contribuciones que bado dicho dictamen. pesaban sobre ellos: que la renta y emisión de estos 13 millones de Hab endo presentado el Sr. Cmga en la sesión de! a5 del comenté renta inscr…</t>
  </si>
  <si>
    <t>…eniente está prescrita, cuidarán los capellanes que les asistan á la pellanes la de párrocos castrenses. hora de su mu- rte de interrogarles si han faltado á la sincera declara El Sr. Valdés ( D. Cayetano ) manifestó que era mas propio deno ción que debieron hacer cuando se extendió su filiación: y si manifes minarlos capellanes de batallón ,como se había hecho hasta aquí, y no tasen que no la hicieron verdadera, cuidará el que la asistiere , si…</t>
  </si>
  <si>
    <t>…ido, máxime cuando el retraso que pudiese haber en la elección ó ex que resultase empate podría manifestar su voto para decidirle. pedición «le lo» despacho» no era culpa raya. El Sr. Valdés (D. Cayetano) apoyó el artículo, fundándose en que El Sr. Oiiver impugnó el artículo por considerarlo conttario á los en todo género de corporaciones siempre había un medio de decidir los Intereses públicos, y añadió que ningún derecho daba la elección al emp…</t>
  </si>
  <si>
    <t>…al del distrito el que nombrase el gefe que había de mandar debe aprobarte el ait culo di que se trata. interiñámeme el cuerpo que se bailase sin ¿1 , tstando en ei nii.mo dis» El Sr. Valdés (D. Cayetano): Este artcu'o adolece del mismo mal arito. „ que el anterior; quiero decir, que esti mal tedictado, porque se hace El Sr. leíante contestó que á pesar de que a! inspector era á quien uso de voces que no tienen el significado ni la aplicación que…</t>
  </si>
  <si>
    <t>…s.'nte. Esta ea ia razón en que me fundo para decir que el artículo Ultramar. debe extenderse del mudo indicado. Los periódicos de Buenos-Aires alcanzan hasta 22 de Junio—_E1 7 El Sr. Valdés (O. Cayetano) manifestó que no sab;a por qué se ha de Mayo habían salido para Inglaterra dos diputados de Lima, los sebían exceptuado de obtener estos empleos los unientes de Rey, que eran fiores García del Rio y Paro ¡cien; y se decía tocarían en Rio-Janeiro…</t>
  </si>
  <si>
    <t>…ste articulo hasta qua se decidiese sobre la existencia de la cota que está rigorosamente observada! guardia Real. Supuesta pues la inoportunidad de esta «citación, la comidero El Sr. Valdés ( D. Cayetano ) dijo que esa cuestión no imptdia al también injusta: en efecto , querer obligar A las Cortea á que se some qua ahora aa aprobase el artículo. tan á un círculo tan estrecho como el que se traza por esta proposición, El Sr. Isturiz manifestó qua…</t>
  </si>
  <si>
    <t>…de llevar á efecto cierto jeto de un decreto particular , pero no de te ordenanza. plan formado contra el Gobierno; pero que él y tus secuaces hábiaiJ De aquí ha nacido qne asi el Sr. Valdés como yo hayamos incurri sido presos, habiendo acudido la marina y el pueblo á defender el ré do en nn error, tal vez muy grosero , pues creía moa que los jueces de gimen constitucional. Como estas noticias ne&gt; tienen aun carácter algu esta-oposicion lo habían…</t>
  </si>
  <si>
    <t>…que vuelva el proyecto á la comisión ba, añadiendo que no era uní clv,-cmn para hacer lo cc-ntrar-o lo que para que le descargue de las minuciosidades que contiene. había d eho el Sr. Valdes, respecto a no poder dar li D pune n El Sr. O.ivcr; Si el proyecto se volviese á la comisión , esta se ve permanente cuenta de las obra» y d-mas acontecimientos que hubiesen ría en la mayor obscuridad y en los mayores apuros para proponer otro ocurrido en el…</t>
  </si>
  <si>
    <t>…r. Esta es la pru-ci.al base en que funda la comisión su proyecto, y aujor modo de que se curen ; por lo cual creo que las Cortes están en la que , como ha mau fe»tado muy bien el Sr. Valdés, es mposibie que el caso de ncordar este proyecto dr código sanitario. se consiga, porque no se puede condenar á los hombres á morir ais El Sr. Valdés (D. Cayetano}: No he pod’do menos de tomar la pa lados real y efectivamente, como sucedería en este caso. La…</t>
  </si>
  <si>
    <t>…e de los informes de la diputación provincial y gefe político bastante extensión; y yo únicamente me limiiaté á dar algunas otras pueda suspender &amp;c. razones que lo corroboren. El Sr. Valdés ( D. Cayetano) pidió que se votase el artículo como Razón será que diga que es un hecho notorio y conocido de to lo había propuesto la comisión, ó que se volviese i abrir nueva dis dos, y que por una desgracia cuyo origen es muy fácil de conocer, cusión. los…</t>
  </si>
  <si>
    <t>…f J-.r pro».d*ncas pira po..cr el El Sr. aecretario del Despacho ds Estado, c infestando i las obser pueblo en estado de d,f-n»a , y al m- me-&gt;to apar c -nn con a» ar vaciones del Sr. Valdés, d jo que no se trataba de autorizar al Go ma» en la mano todos los m.ncano» ve».uníanos, s ios pocos so .- a 1oa bierno para que pudies: trastornar el egérctc, haciendo á un alférez que aqtii ex &gt;t an p rtececiert &gt; al r g in : t» Oc lo do, ai d- fcorcoronel…</t>
  </si>
  <si>
    <t>…daron agregar al acta los votos particulares de mente tenia, y si fu se militar se te recogerán los despachos.” los Sres Prado , Taboada, Escudero, Alcántara y Lapuerta, contra El Sr. Valdés (D. Cayetano): En la milicia jamas ha estado un rios á haberse admitido á discusión la proposición del Sr. Alonso, y militar autorizado para no admitir el -destino que se le confia por el de tos Sres. Prado y Lapuerta, contrarios á la aprobación de la me Gobi…</t>
  </si>
  <si>
    <t>…ue la medida era en pies de El Sr Salva : E. pnmer prríodo de este art culo (lo leyó) cont'er.r ana aris. idea muy filantrópica; p to precisamente está destruida con e! segundo El Sr. Valdés (D. Ca7etano): Está mandado que se mída todo con p-riodo , donde dice: .V» se concederá eta excepción á a su.s k:i&gt;t medida española. que no : :.1 'i constantemente en compañía de sus padres ó madres des El '0. Benito: Puede decirse tantos pies espafioles, qu…</t>
  </si>
  <si>
    <t>…corporación, y de la celeridad con que se rn.iitipl.co en u:i p-in- destinado» á objetos tr.at: nales. cipio el ntiin.ro de estos preciosos insectos, !:a-&gt; a va .mp.zado a »-n- El Sr. Valdes ( P. Cay i ano) dijo que eí Gobierno hcH a pedido tir est: interesant: proyecto los inste» efectos tlel abandono en que la se le autorizase para di»p-n:r de alguna cantidad de las d.st ana» a , &gt; ro en sociedad se !ia visto tieide su instalaron , y de su ab.o…</t>
  </si>
  <si>
    <t>…a millones , resultará que hace la comisión es de poco intere* para al Estado y de muy gran que no tenemos de que disponer para los gastos de guerra. de para la milicia activa. El Sr. Valdes(D Cayetano): Es cierto qu: el no tener actual El Sr. Ferter ( D. Joaquín) dijo que la milicia activa habia dis mente el egército la fnerza armada que las Cortes decretaron habrá frutado hasta ahora de un fondo muy pingüe , el cual podía muy producido un ahorr…</t>
  </si>
  <si>
    <t>…o volvió á leer los artículos, en los cuales no se ha estos empleados son amovibles. Aprobado. llaba esta palabra. En cuanto i la del Sr. Gómez Becerra á la misma medida , para El Sr. Valdés (D. Cayetano); No me opongo á este articulo , sino que después de la palabra apuntamiento se añadiese &gt;7 precediendo la al modo ccn que está redactado, porque no expresa b en ia id:? iU: imposición de multas proporcionadasera de opinión que no debía contiene,…</t>
  </si>
  <si>
    <t>…bía aprobarse. de que en lugar de las palabras • serán juzgados” se sustituyan » serán Aprobado. turoisdos.” Asimismo opinaba que debía aprobarte lá del Sr. Septien al art. 4.° Ei Sr. Valdés (D. Cayetano): Hs pedido la palabra contra este ar sobre sociedades patrióticas para que se aliada después de la última pa tículo , porque aunque está arreglado á las leyes, no es un artículo de la labra: » renovando loa aviso* á las autoridades prevenidas en…</t>
  </si>
  <si>
    <t>…justo qu* en la pena no se les distinguiese de los que han cometido un produce la memoria presentada por «1 secretario de Estado de Marina.** delito menor. Habiendo manifestado el Sr. Valdés (L&gt;. Cayetano) que desearía te El Sr. Septien: He tomado la palabra no solo para apoyar la mo presentase el Sr. secretario de este tamo cu la discusión, se suspendió dificación propuesta por el Sr. Infante, sino para demostrar también esta. que será imposible…</t>
  </si>
  <si>
    <t>…cesar el fuego, mas bien que exponer á nuestros va tiucion en el mundo que permita el reconocimiento de que se trata. lientes á fusilarse unos á otros. En esta parte responderé al Sr. Valdés que la Constitución de mi pro » Pero como la brecha estaba practicable 7 desmontada la artillera vincia, que es Aragón, prescribe esta especie de reconocimiento, »tla de los faccioso,, en la incertidu'nbre de que lodos «tos se hub eseo ñarme nto de casas y em…</t>
  </si>
  <si>
    <t>…pecificaba que hubiese de aplicarse el sobrante de la renta el dictamen de la comisión por 48 votos contra 41, y se acordó qus de correos ai ministerio. volviese i la comisión. El Sr. Valdés (D. Cayetano) insistió en que las Cortes lo habian Duodécima. Para continuar las obras de los canales que se crean mas decretado asi. ¿tiles se concedieron tres millones en el presupuesto ordinario. Aho El Sr. Melendez expuso que los canales y caminos ademas…</t>
  </si>
  <si>
    <t>…aprobarse esu d,a proponer alttracion , adición ni reforma en ninguno de sus art .uparle del artículo. los.'" Si in»tare el congreso en que ¡a&gt; mod.ficacione» deb:n h.v.r»; aho El Sr. Valdés (D. Cayetano): El artículo de que si trita es mas ra, manifestárnosle «on entereza española que ni ahora ni taa.i tiene bien ideal que de un uso común; el miliur que en un combate se pa ningún extrangero derecho de entrometerse en este negcc-o : y .pela ís á…</t>
  </si>
  <si>
    <t>…s na &lt; quién será el que avetigüe si un militar ha pretendido ó no el mando citan sujetos. de gefe político ? El Sr. Infante dijo que los militares podían hacer testamento cuan El Sr. Valdés (D. Cayetano): Cuando el Gobierno quiera poner á do estaban con alguna tranquilidad, ú cuando estaban en combate, ó un militar de gefe político en una provincia debe tener una completa preparándose para entrar en él ¡ que este artículo se refería al primer ca…</t>
  </si>
  <si>
    <t>…segundo, evitar que los facciosos apoderándose de latura ordinaria inmediata. El Sr. Zuiueta : Aunque conforme con lo que acaba de exponer el su fuerza. estos caballos aumentasen Sr. Valdés El Aquí se trata únicamente de si te de Sr. preopinante , d.-bo hacer presentes Us diversas interpretaciones que (D. Cayetano) be hacer una requisición de caballos ó no. Todo el mundo sabe que la se han dado'al decreto que ha citado S, S.: tan diversas han sido, que…</t>
  </si>
  <si>
    <t>…rse con las d.nia, cons.derac.ones e* iur.rsio decreto de esU úcha. El Sr. 1-. o &gt;i ^ r»rirf:¡ de sus mandes. mo ccn que rectb.mo* en ¡as Coues en U iu'c'ü ó»* :^&gt; de M .r? &gt; a El Sr. Valdés (P Cav-rano) : Desde lu-go est»-ia conforma en lo tioliLia de otar S. M. en termono opañ.'l , % que es: ?' de^r¿:a’or jjque manifiestan los s-ñores que se opon*n » amcu.o si no »• h.ib esen se engiera una estatua en memoria ce qu y.s- s -*concedido los tratam…</t>
  </si>
  <si>
    <t>…pre ia venia dei comandante chos debajo del alcázar (tumb.en con pavesa das), extendiéndose lo mas del buque. que sea posible con el fin de proporcionar la comodidad que sea da El Sr. Valdés (D. Cayetano): Na trovo inconveniente en sp'obar ble, sin perjuicio del estado militar d=l buque. la primera parte del articu.o; pero si ía según Ja , . erque toda tropa de Art. 5.0 «Desde capitanes inclusive hasta la clase de subtenien trasporte debe estar á…</t>
  </si>
  <si>
    <t>…gún robo ó de que se han presentado malhechores en ministrado i los convalecientes 7 enfermos. el término de cualquier pueblo. De todo lo que se disponga 7 egecute A propuesta del Sr. Valdés (D. Cryetano) se aprobó el artículo ae dará también pronto aviso al gefe político de la provincia. suprimiendo la última parte que dice : o los que al terminar su nave Art. 39. » Cuando por la frecuencia de egecutarse robos no se es gación &amp;c.” timen suficien…</t>
  </si>
  <si>
    <t>…conveniente en preponer justa queja de dichos capitanes produzca el juicio competente.” después de los gefes y oficiales del estado mayor al vicario gen-ral ; y si A propuesta del Sr. Valdés (D. Cayetano) convino la comisión en ha puesto antes del cuerpo de ingenieros al de artillería, no La sido sustituir en el artículo en lugar de las palabras » que si bien el capitán con el objeto de darle la preferencia; por lo demas la comis on no del traspo…</t>
  </si>
  <si>
    <t>…mo caso. Ccn r-specto tación provincial de Játiva felicitaron i las Corle* por las facultades ex traordinarias concedidas al Gobierno. Las Corte* lo oyeron con agrado. i lo que el Sr. Valdés había dicho sobre los sargentos , irdi.»- el grao número de retiros que te habían concedido, y que si cont.r.uaban con :&gt;e mandó pasar á la comisión de Guerra una exposición d« los in cediéndose , quedaría el egército sin sargentos, siendo un necesarios en di…</t>
  </si>
  <si>
    <t>…que cuyo concepto tos distribuirá cou aprobación d-i general en gefe en las se dirijan é sus destinos.” divisiones que se formen ; entender* en lodos ios recursos que h.cierca El Sr. Valdés (D. Cayetano): Yo no veo qué utilidad podrá re é ia superioridad, y por iu conducto dirigirán sus instancia». sultar de que el general en gefe haya de proponer por terna el grfe del Art. ” .Tendrá también -1 sus mmearatas ordenes los cuerpos de estado mayor d…</t>
  </si>
  <si>
    <t>…pronto su dictamen sobre la memoria del ministerio de Ha Se procedió á la discusión del presupuesto de Marina. cienda, en donde proponía el modo da hacer afectivo el déjicit ge El Sr. Valdés (D. Cayetano): fie pedido la palabra en contra, no neral. para oponerme á que se conceda al ministerio de marina la cantidad El Sr. Nufiez Falcon hizo varias reflexione* sobra el dictamen, mani de 10 mi Iones, sino para oponerme al modo con que se le conceden…</t>
  </si>
  <si>
    <t>…ei dictamen ae la S -.eco .1 .' r. mi..;a,-. (Gra"a^i.) S n novedad. La pr v;r.*;a da com s on en que dice oslo iu» A’m na . U" m nos destoa que las d'mss d" esrr d■ i.u&gt;..ar á El Sr. Valdés (LE Cayetano): El número de buqu-s de que se ha los hábil i ,,t s, r.’, so o en e. co-.oc mi-rta üc ,us d-r-eños, "ir t.-”ride componer 1* atm.ida esta ya decretj-’j; lv que se pide ah ra es .a b en en el o- sus ob actonrs, y n :rnnt 1 pu dac t utr h' r&gt; da s…</t>
  </si>
  <si>
    <t>…Eróles no olvidara la negra ingrat-tud que caracteriza nerme al dictamen de ia comisión en &gt;u totalidad. á estrs hombres, quienes cuando no Ies a.iva para nada ie despreciaran El Sr. Valdés (D. Dionisio): Ha dicho el Sr. Infante que los Se Con ta aitivrz .me les es propia. ñores diputados que toman la palabra en contra del d etienen , se ha Drenase haber biiado a la Cerdaña francesa dos regimientos, y se llan en una posición delicada, pues que i…</t>
  </si>
  <si>
    <t>…as fijas para que los gobernadores de las ha hecho el Sr. Oliver é la primer*, ya ha contestado suficientemente plazas no puedan tomar ules providencias sino cuando sepan de un el Sr. Valdés. La segunda parte es para hacer entrar en la plaza ó im modo positivo que la plaza va a ser atacada, á fin de que no puedan pedir la salida de los operarios , materiales y otros medios propios para obrar con aibilrariedad en este punto. los trabajos drfensivo…</t>
  </si>
  <si>
    <t>…rias , y que el artiemo se di.be bido por D. Mart'n Aramburu , que sa ió el 11 de Junio del Cal ao, desaprobar. qua dejó el mando el marques de Torre-Tagle (hty ma-qu-s de Truji£1 Sr. Valdés (D. Cayetano): La plaza de Cádiz , que acaba de ci llo), y que lo obten an los tres ministro* Monte- A;udo , Guido y tar el Sr. preopinante, es precisamente á la que nada puede importar Unanos, y Alvarado continuaba en el mando del egerc to. Qu d ,ba en la ap…</t>
  </si>
  <si>
    <t>…e necesitare algún propio para el aviso de la venida del para poder desempefiar este encargo con toda exact tud. egecutor, se le abonarán a. rs. por cada legua de ida y vuelta. El Sr. Valdés (D. Cayetano): El artículo esta bien redactado, por 13. «Todos los gastos expresados en los artículos anteriores se que es imposible explicar en él con individualidad todos los casos ea pagarán del fondo de penas de cámara; pero se reintegrarán de los bie que…</t>
  </si>
  <si>
    <t>…al go dades Us religiosas; y eu cumio á que estas salgan de la plaza no me bierno interior de la plaza &amp;c. opongo, porque estas corporaciones son volantes , y no deben conside F.l Sr. Valdés (O. Cayetano): Este artículo se impugna por una rarse como ve.¡nos de la plaza , pero no estoy de acuerdo resperto á palabra, que si no la tuviera sena inútil. El gobernador de una plaza lo que la comisión propone concerniente á los vecinos de ella, que en es…</t>
  </si>
  <si>
    <t>…bre Art. ay. » Si mere é reconocer lat obraa exteriores, sea de dia ó la entrega de la plaza, ó el gobernador. de noche, observaré indispensablemente que el teniente gobernador £1 Sr. Valdés (D. Cayetano) dijo que la mente del artículo era qna quede dentro de la plaza , pues nunca habré de fallat uno de los dos un gobernador de una plaza sitiada no la entregase sin un justo moti gefe* que determine y providencie en las ocurrencias que se ofrezcan…</t>
  </si>
  <si>
    <t>…creyese que quedaban prohibidos los mandante general de la división, solicitada con consentimiento por es con ejos d&lt; guerra. crito del g-f= da cuerpo.” La comisión lo retiró. El Sr. Valdés opinó que no podía suponerse lo que había indicado Se aprobaron los siguientes : &lt;1 Sr. preopinante , y que las Cortes podían aprobar todo el artículo, ¿ Art. a a » Para que cuando ocurra acción se hallen las armas en pesar de que no era tampoco int-resante l…</t>
  </si>
  <si>
    <t>…to de que te trato Ei 51. Gómez Becerra: La comisión no tiene inconveniente en que siempre s-a relativo í las cargas municipales ordinarias de los pue- se exprese lo «i cho por el Sr. Valdés; á saber: «oyendo á los ayun b ol, á obto cuya pronta egecucion sea notoriamente útil, á la repa tamientos respectivo»y también que se exija alguna fianza á los ración &lt;ie otia, qu.- deba ser mas costosa si se retarda , y á otros fine» deudores. que no den e»…</t>
  </si>
  <si>
    <t>…o que no deb a permitirse la influencia del Gobierno carse de que los regimientos de su dependencia se hallan completamente en la elección de los cuerpos populares. instruidos. El Sr. Valdés ( D. Cayetano) dijo que el gefe político no unía Art. 18. » Se prohíbe absolutamente á los inspectores generales y ninunu intervención en la elección de los cuerpos papulares , y por lo particulares que pidan á los coroneles 6 admiun de ellos por pret. xto mi…</t>
  </si>
  <si>
    <t>…r. Nufi;z Faicon : He tomido ti palabra solo para rectifictr un cos, sino porque los asuntos de estas corporaciones populares ¡o cx.hecho que se Ha equivocado «n e&gt;ta cuestión. El Sr. Valdés ha citado gian asi. como d.creto la orden de las Cortes de a7 de Abril de este aña, y no Han tenido una esperanza fundad* de poder subsistir con este ve es tal decreto, sino una orden. nero de trabajo; y si ahora no sí les neces t» , debe tener presentar! Fl…</t>
  </si>
  <si>
    <t>…úl para contener á los enemigos del sistema, como para exterminar 4 loa timas cláusulas del ailículo. : criminales.La variedad se halla tolo en el modo cómo debe hacerte esto. El Sr. Valdés ( D. Dionisio ); Dos clases de impugnaciones se han Se ha indicado muy oportunamente por el Sr- Valdéa que el egército hecho al artículo. La primera- por á* facultad que se da á las diputacio permanente no ea el mas 4 proposito para esta especie de guerra; y…</t>
  </si>
  <si>
    <t>…e Se aprobaron los artículos siguientes. pendían de los superiores , y qtie por lo mismo estaba bien al artículo. Art. 174. » En los pueblos donde haya dos ó mas alcaides terán El Sr. Valdés (D. Cayetano): Yo creo que en el artículo no debe iguales en autoridad y jurisdicción, y procederán preventivam nte en decirse bajo la inspección &amp;c., sino bajo la dirección ó las órdenes Stc. los negocios que ocurran, bien sea de oficio , ó bien á instancia…</t>
  </si>
  <si>
    <t>…r que no estamos en el De los ¿e/es políticos, caso de dar al Gobierno una ampliación tan absoluta como la que el Art. 113. » Fstando el gobierno político de la* provincias, **gun Sr. Valdés propone. el art. 324 de la Constitución , i cargo &lt;L1 gefe político nombrado por El Sr. Goin.z ( D. Manuel): Quisiera que la comisión me dijese si el Rey en cada una de ellas , reside en él la superior autoridad dentro ha de subsistir ó i.j el gefe político s…</t>
  </si>
  <si>
    <t>…o un medio, han cumplido, sino también de loa quintos que salgan ahora. En cuan* y "s, qu: supuesto q ie todos los afios debe Kt.rsrse una sexta paite del lo a lo propuesto por el Sr. Valdés dijo que la cosa exigía un examen total de la fuerza de esta milicia , désele ahora toda ia que d b; tener, mas detenido; pero sin embargo encontraba una ventaja en lo que y higase todos los años un sorteo en los regimientos par í sacar &gt;a sjX- proponía i. S.…</t>
  </si>
  <si>
    <t>…n, deben las Cortes tamente indispensable , se arunc.a a! f i b..ce, a nn de que los empica aprobarle. dos en seto ? s.tvic-o o cesantes Hu: asp.ren á obtener',o, y reur.ar ias El Sr. Valdés ( D. Cayetano ); Los gefes no pueden menos de pre circnnstanc &lt;s preven das en ios J.vr tos de las slorles y ordenes de sidir los ayuntimietitos da los pueblos donde se hallen , no solo por S M. . presenten sus instancia» en ei termino dr u?. nio por verenda…</t>
  </si>
  <si>
    <t>Valdés, Agustín Ramón</t>
  </si>
  <si>
    <t>Agustín Ramón Valdés</t>
  </si>
  <si>
    <t>…Antonio Cortes por decreto de 9 de Mayo de 1811 , en consideración á los ser- Méndez, D. Francisco Oliveras, D. Francisco de Piego y Collantet, vic os personales y pecuniarios de D. Agustín Ramón Valdés , conde D. Gabriel Rodríguez, D. Josef Rivat, D. Josef Alberola, D. Die de S. Esiéban, coronel graduado da egército, y comandante de milicias go Moraleja, D. Diego Angulo, D. Cesáreo Agudo, I). Francisco de c.bal.eria del Sur en la Hivana; y en at-ncion al do…</t>
  </si>
  <si>
    <t>Valdés, Andrea</t>
  </si>
  <si>
    <t>Andrea Valdés</t>
  </si>
  <si>
    <t>…de todos los asuntos; uniformando sus ba Consulta hecha por el intendente de la Havana sobre si debería abonar ses á las demas plantas de las otras secretarías del Despacho. se á D. Andrea Valdés, oficial mayor de la contaduría de cuentas de Art. 3. » Que el secretario del Despacho de la Guerra presente aquella ciudad, la cantidad de g9 pesos, por haber descubierto un frau en la memoria que lea en la legislatura próxima, la planta del estado de en la…</t>
  </si>
  <si>
    <t>Valdés, Cayetano</t>
  </si>
  <si>
    <t>Cayetano Valdés</t>
  </si>
  <si>
    <t>…obarse los poderes de D. EzeAsimismo fueron aprobados los poderes de los Sres. D. Lorenzo quicl Diez. Aprobado. Villanueva, D. Ramón Adan y D Josef Canga Argiieiies, dipu Sevilla. D. Cayetano Valdés, D. Juan Josef Sánchez , D. Antonio tados por las provincias de Valencia , Cataluña y Asturias. González Aguirre ,D. Joaquín de Puente y Ríos. La comisión, des Se empezaron á leer por el Sr. Canga Argiieiies los dictámenes de pués de hqber examinado los poder…</t>
  </si>
  <si>
    <t>…eficio de hacer el pago con letras del misma mo nombrado para individuos de la diputación permanente de Cortes á Irs do que se conced ó á loa demás rspecu'adore*.” Aprobado. Sres. D. Cayetano Valdés, diputado por la provine * de Sevilla ; Den E» **r. pret d»'Bte dijo que mañana te continuaría la discusión de los Josef María Quiñones, que lo es por la de Puerta-Rico; D. Juan A n•Ib otos pendient e: que pasado mañana se discutiría el dictamen sobra tonio C…</t>
  </si>
  <si>
    <t>…el primer caso. Reunidos en el palacio de las Cortes los Sres. diputados qu: cons El Sr. Posadas manifestó que los Sres. diputados, cuyos poderes tituyen el Congreso nacional, el Sr. D. Cayetano Valdés, presidente no estaban aun aprobados en atención á lo que se había manifestado de la Diputación permanente, abrió la sesión i las diez y media, y pro por algunos señores, convenían muy gustosos en no tener parte en la nunció el siguiente discurso: votación. »…</t>
  </si>
  <si>
    <t>Valdés, Dionisio</t>
  </si>
  <si>
    <t>Dionisio Valdés</t>
  </si>
  <si>
    <t>…; pero si lo he hecho no ha sido como geni IhornMadrid. D. Juan Antonio Castejon , D. Ramón Gil de la Cua bre , porque de estos no asisten mas que cierto número de los qu- srdra y D. Dionisio Valdés. Fueron aprobados los poderes de estos se ven. Yo estuve en esas funciones; pero fui como consejero de estado ñores como proponía ia comisión. que era entonces , lo cual lo puedo probar. Málaga. D. Juan Oliver y García, D. Josef Alcántara Navarro El Sr Canga…</t>
  </si>
  <si>
    <t>…siguientes: Salvé, Prat, Saave- sef Taboada, D. Jaime Gil Orduña, D. Miguel Busutil, D. Pedro dra, Buruaga, Domenech, Luque, Sierra, Pumarejo, Infante, Ruiz Alvarez y Gutiérrez y D. Dionisio Valdés, para proceder con arre de la Vega, Somoza, Llórente, Rojo, Roset, Riego, Orduña, Rico, glo á la ley de libertad de imprenta y su capitulo adicional sobre el Canga, Septien, Baijes, Salvato, VilUnueva, Ojero, Ferrer ( Don modo de juzgar por abuso de ella á lo…</t>
  </si>
  <si>
    <t>…ro* de ayer. vice-prasideate el Sr- D. Pabio Saotafé, diputado por la provincia de i/* Ocho mil soldados de Sevilla, juro 1.299,680 maravedises, quedó Aragón, y pata secretario el Sr. D. Dionisio Valdés, que lo es por la en 1.049,680, en dicha cabeza—t.“ Segundo medio por ciento de Se de Madrid. villa, ¡uro de 1.344,018 mrs., en la misma cabeza.—3 y 5. Alcabalas de Sevilla en dos juros $03,198 mrt.: uno de 4-6,810, y otro de El Rey ha expedido el decreto sig…</t>
  </si>
  <si>
    <t>Valdés, Juan Arguelles</t>
  </si>
  <si>
    <t>Juan Arguelles Valdés</t>
  </si>
  <si>
    <t>…l seeundo fu- el Sr. Meca por 73 votos de 144, habiendo tenido el tículo inserto en el Zurriago número 40, como injurioso á los señorea Sr. Merced 70 votos, y el ir. Lapucrta uno. D. Juan Arguelles Valdés, D. Anadeto Fagoaga y D. Antonio Siles, Se leyó la siguiente proposición del Sr. Adan-, n Pido á las Cortes magistrados de la audiencia territorial, se reunió el jurado, compuesto se sirvan autorizar á los Sres. Villavieja y Meca para que intervengan de los S…</t>
  </si>
  <si>
    <t>…tentes el OrJ:n de C*r!n, ni, ¡nt.ii úiue ds egeicito honorario, y en propiedad artículo inserto en el número 35 d.l Zurriago, denunciado a nombra de esti provinc’a. de I ,» áres. D. Juan Arguelles Valdés, D. Anacleto Fagoava y Duta Por t i ministerio de Hacienda con fecha 4 del actual se me ha co ri y D. Antonio hiles , magistrados de la audiencia de Madrid ; la ley municado la Ib. al ord n que sigue: condenó á Alejo Lop.zGarcía, responsable de dicho impreso,…</t>
  </si>
  <si>
    <t>Valdés, Ramón</t>
  </si>
  <si>
    <t>Ramón Valdés</t>
  </si>
  <si>
    <t>…iquidación: da doble, aprobado por el Congreso nacional para todos los ramos de 4.1 para el 13 de Julio, ó antes si fuese posible , publicará la junta na la Hacienda pública , por D. Ramón Valdés, con una adición del au cional el resuman general, con expresión de provincias y procedencias: tor sumamente necesaria, se hallará á ao rs. en rústica y 30 en pasta g/ en adelante dentro de los ocho dias primeros rl: cada mes publicará en las librerías de Pér…</t>
  </si>
  <si>
    <t>Valdét</t>
  </si>
  <si>
    <t>Ném. 8Ó. GACETA DE MADRID. LUNES a$ DE MARZO DE 182a. noticias extrañosa a a todo lo (Nativo á asta objeto, pues cuidarían mejor da él «ralo* rafes político*. ivmu. El Sr. Valdét (D- Cayetano) dijo que estaba conforma coa h Tráete ( LtrW) xa dt Frfwri. idea de la comisión; paro no con el modo conque «mi» redactado al Por lat última* «ocicái hamo* Mcibido da LiWtt articulo, pues en tu concepto debía limitan* é que lo* gafos políti qua…</t>
  </si>
  <si>
    <t>…uyó desaprobando el dictamen de la to el Sr. D. Andrés García, diputado por la provincia de Granada. comisión. Las Cortes quedaron enteradas , y mandaron pasar á la comisión de El Sr. Valdét (D. Cayetano), después da referir los incidentes Hacienda el acta de arqueo de la tesorería general practicado en el mea ocurridos con motivo del cargamento de fierro que ha dado ocasión 4 pasado. arte expediente, y los trámites que habia seguido este negocio…</t>
  </si>
  <si>
    <t>…tamen te el día i.” de Jul o pmximo." Aprobado. que te ha leído sobre la extinción de cate cuerpo debe aprobarse. Art. i.3 - T.nlo los subalternos de este cuerpo como lo» sarg nEl Sr. Valdét ( D. Cayetano ) deshija una equivocación. tos, cabos y carabineros, aeran destinados á los regí míenlos de -.ba El Sr. Argtíeliet: Hubiera deseado reservar mi voto para cuando llena, conservando los sueldos v hab-res que goian *.utaimeMe.*' . hubiese podido h…</t>
  </si>
  <si>
    <t>…lazo por haber habido el alio anterior v. g. ;o) hom ganá loa vigentes. bres , y rádaeirse aquel á 40 6 ¡o9. El Sr. Seoane contestó que no podía hacerse esta variación en el ar El Sr. Valdét ( D. Cayetano) contestó que en aquel alio no habia tículo , porque se podía decir que no habia reglamento alguno dé sani necesidad de poner en práctica el'artículo; pero que no por eso debiu dad vigente, razón por la que se habia formado ci que te habia leído…</t>
  </si>
  <si>
    <t>…la misma isla; y pan su provisión se admiten debia admitirse en tu totalidad el proyecto de que te trataba. memoriales de pretendientes por término de 30 días contados desde es El Sr. Valdét (D. Cayetano) dijo que estaba muy conforme con la ta fecha. Palacio 11 de Junio de i8aa. comisión en la necesidad de fomentar la milicia nacional, cuyos servi cambios rn rl dia it de Junio de iS*». cios había tenido ocasión de presenciar por sí mismo; pero qu…</t>
  </si>
  <si>
    <t>…s j ayuntamientos consti pon? que no t n¿an ios individuos d? la guardia Real mas graduación tucionales. qu ■ la del empleo que desempeñen sin perjudicar á los individuos beno» El Sr. Valdét (D. Cayetano ) dijo que por este artículo no soto méritos qu ahora sirven en ella. quedaba la milicia nacional local bajo las órdenes y dependencia de los Se d ce qu: en la mayor parte de las naciones de Europa ae da od ayuntamientos constitucionales, sino qu…</t>
  </si>
  <si>
    <t>…u ros , porque si son casados el haber de llevar en su compañía á su mu dadanos , lo que no creía justo. ger y familia entorpece las marchas del egé'cito: el Sr. Infante ha con El Sr. Valdét (D. Cayetano): Este artículo va conforme con la testado á este inconveniente que no te permita que vayan la muger y ley orgánica del egército que está vigente. Las disposiciones de la ley familia: se dice que esto no es fácil que pueda remediarlo el g n ral ó…</t>
  </si>
  <si>
    <t>Valdet</t>
  </si>
  <si>
    <t>…n de la 01 :r. , on en pues que en Inglaterra , según varios estatutos , y aunque no los hu esta p.rie. biera , estando como está el gran jurado en la absoluta libertad de bus E. Sr. Valdet (D. Cayetano) mamf-.tiS, que era preciso «d er nr t rcar por todos los medios imaginables la verdad en algunas causa,, y m r.i'ilrmral: qje el min.ster.o de Hac oda pu» -e o - ,-j-q cuando los acosados lo sotic Un, se les ptrm le presentar testigos de de ii G…</t>
  </si>
  <si>
    <t>…sin esperar el estado de sitio-. t.° para hacer sa no me parece admisible el artículo que se discute. lir las bocas mótiles, los extrangeros y las personas sospechosas: i.° pa El Sr. Valdét ( D. Cayetano ). Si las Cortes me lo permiten con ra hacer entrar en la plaza ó impedir la salida de los operarios, mate testaré al Sr. preopinante. riales y otros medios propios para los trabajos defensivos, y los gana Dice 5. S- que una bota antes de acerca…</t>
  </si>
  <si>
    <t>…ismo no puedo aprobar este hallarán «a disposición de s«trie, mayormente ai bao olado ea campa»' articulo. fia*. Ademas hay otra razón, y es que los empleado* oviles se retira» El Sr. Valdét (D. Cayetano): En esta cuestión es menester que ten al mismo tiempo que la tídüiioa propone para loa militares, jr nd ateo gan las Cortes presente que este retir» no se concede hasta lo* tg •';«» haya motivo.para que aqueltos-sean preferido*. ' de servicio, y…</t>
  </si>
  <si>
    <t>Valdét, Cayetano</t>
  </si>
  <si>
    <t>Cayetano Valdét</t>
  </si>
  <si>
    <t>…ducido correspon del ministerio de tu rimo el sueldo de do® n. que por decreto de las . dientes at convenio de gt de Julio de 1/98, para lo cual se tomarán Cortes goza el teniente general D. Cayetano Valdét. las noticias correspondientes de las respectivas aduanas, y can.idad en Se leyó una exposición de los sargentos del batallón ligero de Ca que ve ndió la compafiia parte del privilegio á la casa de Loncrganx narias , dando gracias i las Cortes por no haber co…</t>
  </si>
  <si>
    <t>Valdis</t>
  </si>
  <si>
    <t>…s en pro y en contra de patronea, en cAyos días pagaban al predicador, monaguillos y otras , trie dictamen. muchas cotas; por cuyo motivo la comisión había tratado de que estos El Sr. Valdis (D- Dionisio), como de la comisión, dijo que no gastos no se paguen mas que tina vez, y que en cuanto á ia festividad I creta que el dictamen ofreciese dificultades en lo que proponía con res del Corpus nunca podia presumirse lo que había dicho el Sr. Lapuerl…</t>
  </si>
  <si>
    <t>Valdivieso, Antonio</t>
  </si>
  <si>
    <t>Antonio Valdivieso</t>
  </si>
  <si>
    <t>…o de too hombrea. molo siguiente-, una, compuesta de 90 hombres del batallón ligero de » Por étimo, yo nade quiero nuil que la glotis de vez derrotado* Biiien, i lat órdenes de su comandante D. Antonio Valdivieso, con &lt; los enemigos de la patria; pero no puedo menos da recomendar á croco caballos de Lusitania y Sagunto, marchó sobre la izquierda de S. M. los valientes que 1* han conseguido, para que te les conceda un nu stro frente i tomar la tona de Aragón, que domin…</t>
  </si>
  <si>
    <t>Valdivieso, Josef</t>
  </si>
  <si>
    <t>Josef Valdivieso</t>
  </si>
  <si>
    <t>…y Romate , y » SS. MM. y A A. no tienen novedad en su importante salud.” por su fallecimiento su hijo primogénito D. Luis Villejas y Romate, el Excmo. Sr. marques de Valdecarzana, D. Josef Valdivieso , y por su Circular del ministerio de la Gobernación de la Península. muerte D. Juan Valdivieso, su heredero, Doña María García Quijada, Para evitar lo* inconvenientes que pudieran ocurrir á las juntas de Antero , María, Manuela y Cipriana Carnicera García Qu…</t>
  </si>
  <si>
    <t>Valdivieso, Juan</t>
  </si>
  <si>
    <t>Juan Valdivieso</t>
  </si>
  <si>
    <t>…hijo primogénito D. Luis Villejas y Romate, el Excmo. Sr. marques de Valdecarzana, D. Josef Valdivieso , y por su Circular del ministerio de la Gobernación de la Península. muerte D. Juan Valdivieso, su heredero, Doña María García Quijada, Para evitar lo* inconvenientes que pudieran ocurrir á las juntas de Antero , María, Manuela y Cipriana Carnicera García Quijada, hijos beneficencia en el desempeño de las funciones que el reglamento gene «fe Antonia Ga…</t>
  </si>
  <si>
    <t>Valdjés</t>
  </si>
  <si>
    <t>…pecto de la propiedad es- egercicío de esta gracia desde su publicación con respecto 4 la» expedi paño, a. ciones de la América septentrional, el de 18 meses para las da la Amé Ei Sr. Valdjés (D. Cayetano): El dictamen ds la comisión está per rica meridional; admitiéndose los buques arribados en el intermedio de fectamente arreg’a.to, concillándose por él todos los extremos que pue loe dos plazos con arreglo al decreto citado de 31 de Enero último…</t>
  </si>
  <si>
    <t>Valdnme</t>
  </si>
  <si>
    <t>…desde el Real sitio de Aran- de la audiencia territorial de Castilla la Nueva, y juez de primera ins juez lo siguiente: tancia de esta capital,‘refrendada del escribano cartulario D. Valdnme«Tengo la satisfacción de enunciar á V. E. de Real órden que ro Moraleda, au fecha 7 del corriente, dada á instancia de la Sra. Doña SS. MM. y AA. continúan sin novedad en su importante salud.” María Amalia de Acostz y Obierne, de esta vecindad, actual marques…</t>
  </si>
  <si>
    <t>Valdomerio</t>
  </si>
  <si>
    <t>…torial de Castilla la Nueva , y juez de primera inv nes duran cinco años. Esta elección debe ser aprobada por el comisa tancia de esta capital, refrendada del escribano cartulario D. Valdomerio superior, que tiene facultad para desechar por dos veces consecuti ro Moraleda , su fecha 16 del corriente, dada i instancia de la Señora vas í tos individuos que le hayan sido presentados. A la tercera vez, si Doña María Amalia de Acosta y Ovierne , de esta…</t>
  </si>
  <si>
    <t>Valdrs</t>
  </si>
  <si>
    <t>…ca o rota obligado á auxiliar las providencias de tos alcaldes , de lo que se inf."-¡a vil por ia justicia." que también estaban obligados i lo mismo los ayuntam ti s constitu F.: Sr. Valdrs i D. Car-taño) hizo raríu observaciones en -entra cionales, ya en cuerpo ó ya individualmente, porque se componía.» dJ de la estatura que s ■ previene ei este articulo. Ciudadanos españoles. El sr. Becerra d ¡o q.ie no pol i conven r en quf sr aprobase cjt: a…</t>
  </si>
  <si>
    <t>Vale</t>
  </si>
  <si>
    <t>…robado. imponer una nueva contribución á uno que hubiese sido robado; y asá Punto 7. (1 case la misma ¿aceta. j no puedo aprobar el artículo en los términos que esti redactado. El Sr. Vale.:. ( ¡J. Cavstano) manifestó que la comisión no podía El Sr. Ruiz de la Vega : En rigor absoluto de justicia les que se pres ntar su informe sobre el asunto que se des.guaba aquí, porque hallen en el caso de que trata el articulo deberían ser penados , por ca…</t>
  </si>
  <si>
    <t>Váleles</t>
  </si>
  <si>
    <t>…d ; pero esto debe es El Sr. Infante-. A las observaciones del hr. Vareta ya ba contesta tar en las consideraciones de los que contraen el matrimonio. Déjete do victoriosamente el Sr. Váleles, y por lo mismo me limitaré á con este punto á la discreción de cada cual, y no se apruebe este artículo, testar á las del Sr. Marau. S. S. ha sostenido que loa militares nunca de porque creo que te opone á la sana moral, á la misma disciplina del ben ser cas…</t>
  </si>
  <si>
    <t>Valen</t>
  </si>
  <si>
    <t>…ocedimiento ao debía causarle perjuicio en su reputación. ya exposición había reservado la Diputación permanente en su sesión Compusieron el jurado los Sres. D. Estébao Echeniqne» D. Valen de go del mismo pan las actuales Coartes ordinarias. tín Torrecilla, D. Raimundo Provedo, D. Francisco de Lleno, Don El Sr. Argíielle* manifestó que no pod an las Cortes acceder á esta Anastasio Nava*,IX Andrés Gafo, D. Miguel Sánchez, D. Octavio exposición,…</t>
  </si>
  <si>
    <t>Valence, Juan Miguel</t>
  </si>
  <si>
    <t>Juan Miguel Valence</t>
  </si>
  <si>
    <t>…a al Gobierno qut la oficina donde corresponda varios suministros hechos á las tropas fran encargase al consejo de Estado evacuase la referida consulta á la mayor cesas; y otra de D. Juan Miguel Valence, del comercio de esta corte, brevedad , y después la remitiese á las Cuites con todos los antecedentes. quejándose de los empleados en el resguardo de Miranda por haberle Quedó aprobado. faltado una partida de abanicos registrada allí, y pidiendo se le reinte…</t>
  </si>
  <si>
    <t>Valencia</t>
  </si>
  <si>
    <t>€6 ▼incíss de Toledo, Salamanca, Astúrias, Vslladolid, Bilbao, Lena, Rviz. =EI ciudadano labrador Antonio López CaatillodOamo alcalde Valencia, Zamora , Burgo*, Guadal*jara, Córdoba, Cuenca, Santan constitucional Pedro Le Rano. a: Como alcalde primero constitucional y der» y Málaga, j la* depositaría* de lo* partido» de Talayera, Ocalla, teniente de la segunda compañía de la milicia nacional local E…</t>
  </si>
  <si>
    <t>Valencia, Antonia de</t>
  </si>
  <si>
    <t>Antonia de Valencia</t>
  </si>
  <si>
    <t>…ón que le examinase, y pre respondiente al vínculo ó mayorazgo fundado por D. Antonio Her sentase el reglamento que debería regularizar ulteriormente las opera nández de Llanos, y Doña Antonia de Valencia, de que es poseedora ciones de la sociedad. Discutido con la mayor libertad y franqueza en la Exenta. Sra. marquesa ds Bondad Real, se servirá entregarlos í la segunda rcuoion de 10 de Noviembre, obtuvo la aprobación con la D. Miguel Martínez, poital de Mangu…</t>
  </si>
  <si>
    <t>Valencia, Beatriz de</t>
  </si>
  <si>
    <t>Beatriz de Valencia</t>
  </si>
  <si>
    <t>…bundan en hon otro de 187,300 mrs. de capital , situado en Salinas de Cuenca , en ca radez ; nos enteramos del proyecto de tan benéfico establecimiento, y beza de £:rnardo López y Doña Beatriz de Valencia, su muger, cor recibido con agrado, te nombró una comisión que le examinase, y pre respondiente al vínculo ó mayorazgo fundado por D. Antonio Her sentase el reglamento que debería regularizar ulteriormente las opera nández de Llanos, y Doña Antonia de Valenci…</t>
  </si>
  <si>
    <t>Valentía</t>
  </si>
  <si>
    <t>…ép«wl de Vemcrus, puUicada en *5 de Ma ao, Andrade, Una, Herrera (D. Josef Joaqnin), Martines Zori yo, en la que se inserto d'deeretodíl Congreso mexicano, que contie to , Gomes ( D. Valentía }. ne la elección del Emperador Itúrbide; i cuya continuación ponemos ti. Dt empleos. Mari», Lopes Constante, Bastamente CD. Cir ,Mpdjea la lista de lqe diputados que componen las comisiones nom ios ), Omites, Herrera (D. Mariano). bradas por el misino Congre…</t>
  </si>
  <si>
    <t>Valentín</t>
  </si>
  <si>
    <t>…guerra de bastante t¿7e&lt;iijra—La de D. Andrea Doval _,8&lt;» rt&lt;- 7 4 mrs__ La representa magnitud, sabían sin duda loa japoneses., ya porque lo habían leído ción de los heredero* de D. Valentín banchez Boado 149a rs. y 2 en alguna geografia europea, ó porque lo habían consultado con sus gurivedites__La «le D. Diego Lorenzo Quiroga 70 rs. 7 14 mrs _La buenos amigos loa holandeses, que loe pobres establecimientos del 48 D. Jos.f Manuel de laa Llanas c…</t>
  </si>
  <si>
    <t>…uan Paz, D. Isidro Merino, D. Felipe López Valdemoro», sigan la destruccien de los enemigo*, lo que seria fácil lograr con muy D. Joaquin Huerta Cevallos, D. Antonio María Espejo, D. Valentín cortos auxilios, á causa de que todos los pueblos están animados contra de Nicolás, D. Juan Fernandez Casariego, D. Juan Pablo Pascual, ellos , y que sus fuerzas son en el dia muy cortas, y abora seria menos D. Martin Miguel de Goicochea. con I: muerte de Bol…</t>
  </si>
  <si>
    <t>…nsa , y los Sr-s. D. Angal Bonalto, D. Martin Zarandia, Don ta del 23 de Octubre último , debe considerarse como nulo y de nin Francisco López O avarrieta, D- Joaquín Ruiz Abrsu y D. Valentín gún valor por haber justificado la expresada junta que era apócrifo y Nicolás dijeron que babia lugar ; por lo que , y según el an. 45, maliciosamente inventado en perjuicio de su opinión y buen nombrr. tít. ; “ A' la ley orean ca de imprenta de 12 de Octubre…</t>
  </si>
  <si>
    <t>Valentín.Moinos</t>
  </si>
  <si>
    <t>…á lapuerta del Sol. Los muertos que sé cíanos, D. Juan Manuel Ranedo y Rosas, muerto. D. Lúeas Martin; hallaron en las cálle* de la Amargura y Boteros fueron 9 granaderos; herido. D. Valentín.Moinos, idem. D. Josef .Vas; ídem. ÍX Vicente un tambor, 5'cazadores y un corneta; los heridos fueron bastantes;': Argiiello, idem. D. Juan Escorial; ídem. D josef Miguel, de Góicopero no puedo detallar su número por ahora por haber tenido que con chea, idem. D. Ang…</t>
  </si>
  <si>
    <t>Valer, Benito</t>
  </si>
  <si>
    <t>Benito Valer</t>
  </si>
  <si>
    <t>…cción los lunes y viernes á las 7 de la noche. — El martes 8 se abre de las Cortes de a? y 19 de Jun.o de 1811 ,jr j; de Junio de i8ai, una cátedra de elocuencia latina á cargo de D. Benito Valer*, la cual y de la autorización de S. M. C. de fecha de ao de Noviembre de i8ai, tendrá por objeto perfeccionar el estudio de esta lengua, trabajando so que se hace en los modelos de certificaciones de que trata el art. 6-u, bre los mejores autores clásicos ta…</t>
  </si>
  <si>
    <t>Valero, Fulano</t>
  </si>
  <si>
    <t>Fulano Valero</t>
  </si>
  <si>
    <t>…zaban honoríficos de diferentes individuos , cuyo conocinvento podia serví decidida protección los que hablan seguido las banderas de ios cabeci de estímulo á otros ciudadanos. Un D. Fulano Valero deade Taranccn llas de la insurrección. comunica el 28 de Febrera que en aquella mañana entre seis y siete u _. En el lie. tactor se han publicado las siguientes cartas de la Havana sintió en aquel pueblo un temblor de tierra de no muy momentáaei con f-cha 25…</t>
  </si>
  <si>
    <t>Valero, Josef Mirla</t>
  </si>
  <si>
    <t>Josef Mirla Valero</t>
  </si>
  <si>
    <t>…......................... escribano D. Joaquín del Valle, y de los facultativos D. J &gt;s f María Expedientes que proceden de venta de fincas y re López, que lo es de med eina, y de D. Josef Mirla Valero , medico y denciones de censos que existían vi &gt;3 de Agosto cisujano, en la mañana del y al dicho ed.6cio,y habiendo hecho el de último en la contaduría de recaudación para pa bido reconocimiento, de conform.dad dijeron lo que queda mani sarlos á las seccione…</t>
  </si>
  <si>
    <t>Valero, Paulino</t>
  </si>
  <si>
    <t>Paulino Valero</t>
  </si>
  <si>
    <t>…llas las refle que debe pasar al Gobierno para que informe. Aprobado. xiones que estima oportunas. Estas medidas son las siguientes: La misma comisión, en vista de la solicitud de D. Paulino Valero, 1.a » Activar la organización de la milicia nacional voluntaria, preceptor de latinidad de Toledo , para que se diese una aclaración á tanto de infantería como de caballería, autorizando para esto á los las palabras enieuanza privada , opinaba que esté deter…</t>
  </si>
  <si>
    <t>Valfajo, Angel</t>
  </si>
  <si>
    <t>Angel Valfajo</t>
  </si>
  <si>
    <t>…:= T Se leyó et art. 141, t)ue dróis asi: Rubricarlo de lp Real nranaraEd Palacio 4 *4 de Diciambra de iBai. Art. V^J. » En et caso de acasacion «obre delito público 6 privado ssA D. Angel Valfajo. 1 que-rété impuesta por le ley pena corporal ó d* infamia, ó privación é inhabilitación para alguna profesión ó cargo público, estaré obligado d acosador á dar ante todas cosas si lo pidiere s! acusado fianza de Con arreglo al decreto de les Corte* de 19 de…</t>
  </si>
  <si>
    <t>Valí</t>
  </si>
  <si>
    <t>…l.a. intención; es un militar de honor , y *slá dicho t &gt;do. Ha dicho, sí, la l.° Se declara nulo y de ningún raio* en todis sus efectos el traudo comisión por salvar el honor del Sr. Valí jo que no cnundió este ne del empréstito, celebrado en 12 de Novi.ir.br- entre el br. x s »r t r o gocio ; qu* fue sorprendido , y que malos atn gos y peores consejeros le intnnode Hacienda D. Angel Valí: jo y ias casas de ArJo n, iluteprecipitaron. Pero tqué…</t>
  </si>
  <si>
    <t>Valí, Angel</t>
  </si>
  <si>
    <t>Angel Valí</t>
  </si>
  <si>
    <t>…cnundió este ne del empréstito, celebrado en 12 de Novi.ir.br- entre el br. x s »r t r o gocio ; qu* fue sorprendido , y que malos atn gos y peores consejeros le intnnode Hacienda D. Angel Valí: jo y ias casas de ArJo n, iluteprecipitaron. Pero tqué tiene que ver esto pan qu: ia comisión , eget- bart y compañía, asi como el convenio lí cional ■ dicho t:at d . d - 3 1 c¡en do el s :v ro cargo de censor en nombre de la Nación , diga que el de Diciembr…</t>
  </si>
  <si>
    <t>Valianueva</t>
  </si>
  <si>
    <t>…n su totalidad. El Rey ha expedido el decreto siguiente: Se prorogó la sesión una hora mas conf uiré al reg amento. D. femando vu p t la gracia de D.os y por la Constitución de El Sr. Valianueva dijo que la comisión estaba pronta á adoptar al la Monarquía española , Rey de las Espafias , i todos los que las pre gunas adiciones que se habían propuesto en el curso de este negocio. sentes vieren y entendieren , i bed: Que las edites han decretado lo El…</t>
  </si>
  <si>
    <t>Valiejo</t>
  </si>
  <si>
    <t>…circunstancias en que te vió el Antón. Gobierno al emprender esta nueva negociación. He visto una memoria Como todos los facciosos se han dirigido i la Cerdña, en la fronte del ex-ministro Valiejo, en la cual presenta este asunto con todos los ra no ocurre otra novedad que el haberse tenido una pequeña acción colore* que deben dársele; presenta varias reHexione» , y habla entra contra los facciosos que estaban en Garriguella, de que lian resultado tres…</t>
  </si>
  <si>
    <t>Valiés</t>
  </si>
  <si>
    <t>…, de Matan*, el 4 »« nos d- 1 cab-iio te ¡a Burundi y una guerrilla de infantería , yendo o :. I Ar.ís un gran tiroteo, ori-un-ac sin curta por el ataqu- dado en su coma»''» dicho coronel Valiés. Hay-ron ios fa.cio.os ; p ro no por ¿icr.o g-netal r usa oivision d- facciosos que se hallaba en O cttan á tiempo que no deja-en dos muertos f un prisionero üaaiarto y.-. -i, c'iitis r-cieules de la frontera, M.na a.Morzó el gorti f.ardSalduna , famoso foraj…</t>
  </si>
  <si>
    <t>Valin</t>
  </si>
  <si>
    <t>…ndo a r.o m..c,i*&gt; trmt. , yAntichamp, se compone de tres brigadas: primera , i las órdenes del en el ho-pitai han quedado su- rn.crnnos y hrr do&gt;. k,¿- ucw -s unmariscal de campo vizconde Valin, compuesta de los regimientes de resultado necesario ae ia -.i.uNli.c .-.won que est s ■ ; n.c r._ biuO cazadores de á ciba'to del Mosa y del Moriban , del y.° rrg.miento de en el pu b o de Cisl i.ío.iir. A ¡a. y y :n .1.a da a m -rrsa a; .:.•*,a tuinfantería…</t>
  </si>
  <si>
    <t>ValJés</t>
  </si>
  <si>
    <t>…o es contrar.o á la conveniencia públi del consejo de Estilo ñor el lenguage qu: ha usado en este asunto. ca , porque es dar alas á los enrm gos de la Constitución para que lle El Sr. ValJés (D. D onislo} manifestó que la com $"on, en vista do ven adelante sus planes. Por esto me opongo al dictamen. la discusión qu. había originado el anterior dictamen, había conside E! br. Infante: La otra vez que tuve el honor de babiar sobre esta rado qu: d b…</t>
  </si>
  <si>
    <t>Valladares, Gonzalo de</t>
  </si>
  <si>
    <t>Gonzalo de Valladares</t>
  </si>
  <si>
    <t>…,695 id. sobre el servicio ordinario y extraordina Recaudado en el mn de Mayo........................................... 5.71 2,105.-30 rio de la Corufir y Betanzos , en cabeza de D. Gonzalo de Valladares: Débitos que resultan para Junio........................................ 43 903.92 2..22 otro de 72,750 id. sobre alcabalas de Madrid , en cabeza de Dofia Gerónima de Tobar y Metía: otro de 141,134 id. sobre alcabalas de Hue Estado de los valores, gastos y lí…</t>
  </si>
  <si>
    <t>Valladares, Josef</t>
  </si>
  <si>
    <t>Josef Valladares</t>
  </si>
  <si>
    <t>…ara su inteligencia y varez: para el de Viana del Bollo á D. Juan Balifía: para el del Barco la del referido cuerpo en el ínterin que te construye y remite el león de Valdeorras 4 D. Josef Valladares, y para el de Quiroga á D. Gre en la forma que se exprese para el efecto indicado. Dios guarde i V. E. gorio Goyanes. muchos afío». Palacio 13 de Junio de i8aa.=Balanzat.=3r. Inspector Se previene á los interesada! que dentro del término de 15 dias acu genera…</t>
  </si>
  <si>
    <t>Valladolid</t>
  </si>
  <si>
    <t>…primer comandante de tropas ligeras y supernume te del mando del regimiento de la Corona. rario del regimiento de Soria. Cuenca para primer comandante al comandante de infantería Don Valladolid : para primer comandante á D. Zenon López Francos, Josef Ruiz Albornoz, ssrgento mayor de la milicia activa de Cuenca. mayor comandante supernumerario del regimiento de caballeó* del In Calahorra: para coronel al coronel vivo de infantería D. Juan An fante. t…</t>
  </si>
  <si>
    <t>Valle</t>
  </si>
  <si>
    <t>…n época distinta de la que previene la Constitución; y concluyó coa gún decreto por el que te establezca esta tercera provincia. Si lo bay, que no podían aprobarse los poderes del Sr. Valle. deseo que se me cite, y quedaré satisfecho; pero si no le bey, no en El Sr. Alcalde apoyó el dictamen de la comisión con varias refle cuentro razón para que te hayan hecho elecciones de diputados á Cor xiones , y entre otras cosas hizo presente, que por un d…</t>
  </si>
  <si>
    <t>Valle, Antonio Rcmon Zarco del</t>
  </si>
  <si>
    <t>Antonio Rcmon Zarco del Valle</t>
  </si>
  <si>
    <t>…y da que en el mismo se presenta.” Aprobado. Ja de Aragón, con la misma calidad de interino, al mariscal de campo Art. 676. » El que solicite á muger casada ó á menor de edad pera D. Antonio Rcmon Zarco del Valle, en atención á haber sido elec que se deje robar ú buya con el solicitador, aunque nada da esto se lie* tos diputados á Cortes el brigadier D. Manuel de Letra y el teniente fue á verificar, sufrirá un arresto de quince dias á tres meses, y se le general D. Mi…</t>
  </si>
  <si>
    <t>Valle, D- Antonio Remon Zarco del</t>
  </si>
  <si>
    <t>D- Antonio Remon Zarco del Valle</t>
  </si>
  <si>
    <t>…damos ya y á todos los santos. Las Lamas d.voiaion mas de g9 turcos.0 dar noticias del día 20 en el siguiente extracto de ot;o pane acesca de lo mismo. Francfort S de Agosto, » El comandante D- Antonio Remon Zarco del Valle da parte des Escriben de Mifo el 1/ de Junio lo que signe; de Aynb:, con fecha del 10, de que el Trapense con solos cinco ó » El día 8 de este ia escuadra de Me'iemcd-Alí-Bijá, manda seis compañeros anda errante, persiguiéndole cinco partidas en dife da por A…</t>
  </si>
  <si>
    <t>Valle, Gerónimo</t>
  </si>
  <si>
    <t>Gerónimo Valle</t>
  </si>
  <si>
    <t>…ufrido mas pérdida que la de un soldado de caballería heri neral para el dia ao de Enero proxiuio de 18a3 , y para la provisión do y muerto su caballo. La columna á las órdenes de D. Gerónimo Valle, reforzada con infantería y caballería, ha pasado i Egea por de la plaza se señala el día 1." de Febrero siguiente. Continúa el catálogo de esta imprenta Nacional. _ Navarro , resu haber sabido que los facciosos de Navarra han hecho movimiento so men del modo…</t>
  </si>
  <si>
    <t>Valle, Joaquín del</t>
  </si>
  <si>
    <t>Joaquín del Valle</t>
  </si>
  <si>
    <t>…de Agosto último pata anun •1 alcalde tercero constitucional D. Pedro Valverde, acomp.fiado del ciarse su subasta....................................................... escribano D. Joaquín del Valle, y de los facultativos D. J &gt;s f María Expedientes que proceden de venta de fincas y re López, que lo es de med eina, y de D. Josef Mirla Valero , medico y denciones de censos que existían vi &gt;3 de Agosto cisujano, en la mañana del y al dicho ed.6cio,y habien…</t>
  </si>
  <si>
    <t>Valle, Juan</t>
  </si>
  <si>
    <t>Juan Valle</t>
  </si>
  <si>
    <t>…a Antonia rencio García , que lo es de la de Gr nada: para la de Santander D-n Blanco, pidiendo una pensión. Antonio Fícrez Estrada , que lo es de la misma : para ia de T^ruenna á D. Juan Valle: para la de Córdoba al brigadier D. Luí» del Ac.j.iu, A la de Ultramar una representaron de D. N. Cabarcas, solicitanque lo es de la misma: para la de Orense á D. P.dro Boa doS¡ do que se establezca una intendencia en Panamá. [ A la de Hacienda una solicitud…</t>
  </si>
  <si>
    <t>Valle, Juan de</t>
  </si>
  <si>
    <t>Juan de Valle</t>
  </si>
  <si>
    <t>…ados de un pa CAMARA OB IOS DIPUTADOS.—StJtOH del l6. pel subversivos Despum de aprobada ol acta de la sesión anterior leyó el prest* Las Cortes"quedaron enteradas de un.oficio de D. Juan de Valle, dente una carta del maestro de ceremonias, en que manifestaba que en que exponía que había recibido, el oficio que se le hab-a pasado par S. M. tendría mucha satisfacción en que la gran diputación de la Cáma la secretaría de Cortes con lecha de. g dei corrie…</t>
  </si>
  <si>
    <t>Valle, Juar de</t>
  </si>
  <si>
    <t>Juar de Valle</t>
  </si>
  <si>
    <t>…i á opin on y fama. Las costas del proceso se cargaron al denunciador. J). Bunifac o -Vmori'is y Orozco ; pura el d: Omafia , en la prov ncia ds Señores que compusieron el juradoi D. Juar de Valle; D. Jaime L on , í D. Jo.ef Suar z Cu-nilas , y para el de L unes, en la de Astu Bmaña; D. Ramón Díaz de Ortegaí D- Josef Mortero de Vizodit; rias, a D. Gonzalo Valdet Posada. D. Fe ix Illas; D. Francisco Soler; D. Ma.ln Coro mi ñas: D. Francis co Subirachs;…</t>
  </si>
  <si>
    <t>Valle, Pedro del</t>
  </si>
  <si>
    <t>Pedro del Valle</t>
  </si>
  <si>
    <t>…ctamen de la comisión nada dicho proyecto; por lo cual la comisión era de dictamen que el especial de Visita. Congreso adoptase el proyecto de Ly de 7 de Junio de iba 1 , aprobado D. Pedro del Valle presentó dos egemplares de tus apuntes sobre por las anteriores Cortes, reservándose hacer en la discusión U, rifle lo que deben hacer las Cortes de 13 21 y i8 sg- Los recibieron con agra xiones que requiere un asunto tan interesante, si las Cortes se confor…</t>
  </si>
  <si>
    <t>Valle, Pedro López de Cotilla y</t>
  </si>
  <si>
    <t>Pedro López de Cotilla y Valle</t>
  </si>
  <si>
    <t>…o á Legatra por reo da blicación, opositores i la mitad de los bienes de la vinculación que fun conspiración por haberse asociado y reunido con la gavilla de fac dó en dicha villa D. Pedro López de Cotilla y Valle, y poseyó últi ciosos acaudillados por Martín Jotcf de Balda, que con fuerza ar mamente el presbítero D. Manuel López de Cotilla, difunto. Los qua mada se propuso trastornar la Constitución ó destruir el Gobierno hayan de hacer dicha oposición se presentarán…</t>
  </si>
  <si>
    <t>Valle, Tomas del</t>
  </si>
  <si>
    <t>Tomas del Valle</t>
  </si>
  <si>
    <t>…UNCIOS. Martín , gefe político de esta provincia, é individuo de le ecademie Médica; i D. Felipe Bauzá, director del depósito hidrográfico, y aca Habiéndose declarado pertenecer á D. Tomas del Valle parte da démico supernumerario de la academia de la Historia; á D. Martin las tierras que comprendía la huerta existente en el término de la ciu Fernandez Navarrete, de le ecademie Espafiola, 7 secretario «le la de dad de Málaga al sitio de la Calera, procede…</t>
  </si>
  <si>
    <t>Valle, Vicente Antonio García del</t>
  </si>
  <si>
    <t>Vicente Antonio García del Valle</t>
  </si>
  <si>
    <t>…, con el dictamen de la comisión de Hacienda. vocados el día 13 dei comente mes por el Sr. comisionado especial Las Cortes oyeron con satisfacción la comunicación que las hacia el D. Vicente Antonio García del Valle, han nombrado por individuos Sr. secretario de la Gobernación de la Península , participándolas que de la junta, en cumplimiento del decreta de 8 de Febrero de este año, SS. MM. y AA. continuaban sin novedad en su importante salad. 4 D. Pedro Alonso Pacheco,…</t>
  </si>
  <si>
    <t>Valle, Zarco del</t>
  </si>
  <si>
    <t>Zarco del Valle</t>
  </si>
  <si>
    <t>…ando llegó á Scio el cuerpo del capitan-bijí, los turcos fijaron la vibta en él, y parecían estatuas de piedra. Al contrario loa héroes En la gaceta del *4 publicamos ei parte del Sr. Zarco del Valle des griegos entonaban á la altura de Ipsara cánticos de a'abanza al Señor de Morillo el 19 sobre el ataque contra el Trapense. Hoy podamos ya y á todos los santos. Las Lamas d.voiaion mas de g9 turcos.0 dar noticias del día 20 en el siguiente extracto de ot;o…</t>
  </si>
  <si>
    <t>Valle, Zirco del</t>
  </si>
  <si>
    <t>Zirco del Valle</t>
  </si>
  <si>
    <t>…a soberanía; de eon fecha del 24, por un oficial superior, y en la que dice este qu: :1 clara que no quiere ser sino provincia del reino del Brasil unido, y dia 13 habia salido el general Zirco del Valle con 5? hombres, desti sunca mas sujeto i Portugal; que siendo de la misma opinión que las nados á concurrí: á la egecucita del plan qus de común acuerdo han provincias del reino de Rio Janeiro, S. Pablo, Rio Grande del Sur, concertado los tres generales que m…</t>
  </si>
  <si>
    <t>Vallejo</t>
  </si>
  <si>
    <t>…pro individuos hubiesen tomado parte en la insurrección. pias de la estación, sin novedad alguna en esta casa. El Sr. presidente dijo que esto podia ser objeto de una adición. El Sr. Vallejo opinó que no debía hacerse mención de los milicia Salud pública. nos en este caso, asi como no se había hecho en el de Salvatierra. La falta de lluvias y vendavales, qne otros años han abundado en El Sr. Cano Manuel contestó que los milicianos de Pamplona lo…</t>
  </si>
  <si>
    <t>…édito de la Nación, y no ha podido menos da reconocer las parti duda de si para hacer este préstamo con las mayores ventajas podría culares circunstancias en que se encontró el ex-ministro Vallejo cuan abrir un gran libro, establecer una caja de amortización , y convertir do celebró el contrato del empréstito de que se habla. A pesar de esto la deuda extranjera en inscripciones de este gran libro: io consulta 4 las Cortes no pueden ni d.ben reconocer e…</t>
  </si>
  <si>
    <t>…a lomado so presentar al Congreso las dos cuestiones que debían resolverse antes dt bre tí la reda.cion del dictamen, y lo hubiera ya presentado 4 las Cor todo; 4 saber: l.° si el ministro Vallejo tenia facultades para hacer la tes. Concluyó pidiendo que el Sr. Adan se acercase 4 la comisión; y contrata en los términos que la habia verificado: y a.° si aun en caso da rogó por ú.timo ai Sr. presidente que lo agregase 4 ella , porque con sus tenerlas se…</t>
  </si>
  <si>
    <t>…iempo qie suena haberse extendido , y sí que cuando se esta comisioD que por la de Casos de respon&gt;abiiidjd pu de exem oírse se ba verificando el contrato se entregó esta orden ai secretario Vallejo. paradamente la conducta que hayan observado en esta opera: on del El Sr. secretario dé Hacienda contrató que poJ a mu; bien haber empréstito extrangero los funcionarios españoles que hayan i:t.trena suced’do lo que decía el Sr. preopinante; p ro que á él no…</t>
  </si>
  <si>
    <t>…a situación en que sí hallaba entonces el erario no podía pa- aprobarlo, y si lo nombro r.o es masque para comparar algunos artícu ¡Lsí por otro punto; y si no que se le pruebe al secretario Vallejo si los suyos, que tienen mucha semejanza con otros dei tratado de! actual. &lt;ót&gt;rs este emoréstico se le hicieron proposiciones mas ventajosas. No Yo no he dicho ni diré si est* es mas ventajoso que aquel; pero sí qu* deben perder de vista las Cortes que el es…</t>
  </si>
  <si>
    <t>…o de la Constitución Hacienda; no perdamos de vista lo que ha dicho este último, es de no se lea exija cantidad alguna contra su voluntad por razón de mon cir, que tu antecesor el Sr. Vallejo había consallado é las Cottis so te pío. bre el modo de establecer «1 empréstito de los 100 millones, y lu El Sr. presidente levantó la sesión á las doce dadas. Cortes le dijeron que lo verificase del «nodo mas venta jaso á la Nación: Serian animaría ati dia…</t>
  </si>
  <si>
    <t>…n Constitución El Sr. Canga dijo qne lm Costea le permitirían salirse del salón. no están las Cortes en el caso de declarar nulo el contrato , pues yo la El Sr. Olivar: Hubo en el secretario Vallejo falta de poderes veo celebrado entre partes, que en cierto modo no se diferencian de nn para contratar este empréstito en el modo en que lo hizo, como confie particular: la Nación es un particular en este cato, y los prestamistas sa la comisión , conviniendo…</t>
  </si>
  <si>
    <t>…l dia conservamos el papel, qu* El Sr. Ferrer pidió que te leyera el poder original que el Rey ha quizá servirá únicamente para envolver npecias! Al fin ai en «te tria bía dado al Sr. Vallejo, lo cual se verificó. do se aumentase solo el capital de los empresarios, y la inmansa deuda El Sr. Sufra: De acuerdo con las doctrinas que ha tentado el sefior fuese por cuenta da .'tos, convendría con ¿I hasta cierto punto; pero Soria no puedo menos de cont…</t>
  </si>
  <si>
    <t>…opiniones y sino en el modo. Los fundamentos que tuvo la comisión fueron cus sentimientos que haya manifestado en una conferencia privada, en ade irá: i.° La falta de poderes del Sr. Vallejo: x.u por considerar esta lante ninguno querré concurrir 4 ninguna; *y si lo hace se guarda contrato contrario 4 varios artículos expresos de la Constitución y le rá bien de hablar con franqueza y usaré da reserva y circunspección. yes del reino: 3.° por altam…</t>
  </si>
  <si>
    <t>…negociando de otra manera ei imprésr t-. porque le saque de aquel conflicto Los Sres. Arguelles y Canga Arguelles rectificaron lguna» equivo Dijo S. b. que la comisión presenta al ministro Vallejo como un caciones del discurso del br. F rrer. encargado que no ha sabido corresponder á la confianza que de él se hi Los Sres. Ferrer, Oralle, Ltur-z y Surra refundieron su d ctamen zo ; pero ya he dicho antes que en el concepto de la comisión, y se como indi…</t>
  </si>
  <si>
    <t>Vallejo, Angei</t>
  </si>
  <si>
    <t>Angei Vallejo</t>
  </si>
  <si>
    <t>…misión no ha tratado de entenderse en este negocio con lo» acó millones de rs., procurando en él las mayores venta,as posibles, f préstam elas, sino con el secretario del D.spacho D. Angei Vallejo, dando cu nta á las Cortes de todo, y se trató de que este empréstito y ha dicho: comparemos la conducta que ha observado en este asurro fu se nacional , y en el mismo día acudió á las Cortes ei ministro Va coa lodo lo qu: acordaron las Cortes sobre ¿I, y vis…</t>
  </si>
  <si>
    <t>Vallejo, Angel</t>
  </si>
  <si>
    <t>Angel Vallejo</t>
  </si>
  <si>
    <t>…emia Nacional decretado por las Cor* Rubricado de la Real maso. =En palacio á 24 de Diciembre de i8at. le» en el tít. 9.0 del reglamento general de instrucción pública, y el in =A D. Angel Vallejo. teresante objeto que te han propuesto de conservar, perfeccionar y pro pagar por este medio los conocimientos útiles de toda clase , no han po Dirección general Je impuestos indirectos y efectos estancados. dido menos de llamar mi solicitud y particular cuid…</t>
  </si>
  <si>
    <t>…da ano de sas artículos, comultando con los auto Rubricado de la Real maho.sEn Palacio 4 Mito Diciembre de s8st. ra. Por mtT—— no w yndo llevar 4 afecte por cansa muy notorias; cA D. Angel Vallejo. pao ahora convendría que el Congreso lo determinara asi, y este a el modo de qae se presen» un código penal coa la dignidad que cono- &lt;1 Rey, 4 propuesta de tu consejo de laudo, te ha servido nom ponde ai decoro de la Nacioa que representamos. brar are tres…</t>
  </si>
  <si>
    <t>…n quisiere hacer postura á las referidas Rubricado de la Real maao.tsEn Palacio á 24de Diciembre de i8ai. casas 6 cualquiera de ellas acuda á dicho juzgado y escribanía; en el asA D. Angel Vallejo. concepto de que ae rematarán á pagar en créditos contra el Estado el dia 21 del presente Enero á las 11 de su mañana en una de las sa'at Dirección general de aduanal y resguardar. del Exento, ayuntamiento de esta misma villa. Y se previene que aun Hallándose…</t>
  </si>
  <si>
    <t>…e sincero testimonio de adhesión al «te S. MccEn Palacio á aq de Diciembre «le i8ai&gt; trono constitucional de las España», mientras ruegan á Dios guatde te Ílubricado de la mano aA D. Angel Vallejo. importante vida de V. M. dilatado* años para bien de la Monarquía. Tarrasa al de Diciembre de :821.eeSeñor. =:Juan Barata, juez de pri Teniendo el Rey en consideración lo* mérito* y servicio* de Don mera instancia, ^fabio Butyuets y Barata , alcalde primero…</t>
  </si>
  <si>
    <t>…eal mano.=?alacio 8 de Enero de t8az.= verificarlo desde una hora después &lt;íe puesto el sol hasta su salida &amp;C.” El Sr. Puigblanch opinó que el articulo del modo que re pioponía A D. Angel Vallejo.” zanjaba todas las dificultades que se habían suscitado, y por lo mismo Don Fernando vn por la gracia de Dios y por la Constitución de las Cortes no podrían menos de aprobarlo. El Sr. Sancho impugnó el artículo nuevamente presentado, por la* la Monarquía esp…</t>
  </si>
  <si>
    <t>…en a a de Noviembre con las casas de Ardouin y Hubard por el in aqu-lla capital sobre el con. cimiento de la causa formada á un cabo terino ex-secretario del Despacho de Hacienda D. Angel Vallejo , por dei resguardo y á un capitán, culpables por haber introducido géne haberse excedido de los términos de la indicada autorización. ros d: ilícito comercio; opinaba que estos individuos debían ser juzga а. ° Que el Gobierno, suspendiendo los efectos del tr…</t>
  </si>
  <si>
    <t>…e c» con fecha de 18 de Mayo se pasó á la comisión una exposic on sobre vacion en que la misma CcnstitLc en ia co oca : yo cr.o cue ser a un este asunto del secretario de Hacienda D. Angel Vallejo. Nadie puede olvido del secretarlo de! Despaci o el haber cors grado en e* irataoo dudar los perjuxios que ha causado á la Nac.on este empréstito; pero este articulo, ó una precipitación á qu- le ímpeü.n ias apurada» c:rtambién es preciso no ignoren las Corte…</t>
  </si>
  <si>
    <t>…ente, y un decreto de este modo Ei Gobierno no se propone defender al secretario que fue del Desext.ntiido se pone en un pliego de papel, y se comunica al Gobier pacho de Hacienda D. Angel Vallejo por la inscripción de toda la deu no como un oficio de las Cortes; al paso que una ley se inserta en ei da extranjera en el gran libro; pero cree hasta cierto punto que no se acta con todos los requisitos prescritos por la Constitución. ha excedido, porque se…</t>
  </si>
  <si>
    <t>Vallejos, Sebastian</t>
  </si>
  <si>
    <t>Sebastian Vallejos</t>
  </si>
  <si>
    <t>…mudanza de ministro puede dar n.ñi yuint’s: El cura párroco D. Juan Jaén-, su hijo D. Jos f Ja-n, pres vo i muchas conjeturas. Los periódicos publican el oficio de Gr.bi rbítero; D. Sebastian Vallejos, L&gt;. Jos-f Jaén, Juan Ga marro l’alina, no; la salud de Mr. Lutzow es, por supuesto , la causa de e.u previ Juan Gil Rubio, Josf Afuilar buz, A"gcl del Meló, Antonio dencia. Molina, Juan dr Ronda , Francisco Gd , Francisco Torr-s, Ando-» Se cita una carta de…</t>
  </si>
  <si>
    <t>Vállela</t>
  </si>
  <si>
    <t>…espíritu público par ia perspectiva.que presentaban los asun ALUrU Jueves 9 de Aiayo. tos del Brasil, tuviesen la libertad indispensable para abogar por sus comitentes. CORTFS. El Sr. Vállela se opuso á que esta representación pasase á ninguna PRESIDENCIA DEL SE^OR ALAVA. comisión , porque el Congreso estaba bien instruido dei asunto para poder deliberar sobre él, y resolver que se les dqese que no se Us ad Sesión del amitía la excusa, porque nada…</t>
  </si>
  <si>
    <t>Valles</t>
  </si>
  <si>
    <t>…trevieron a m d r :us armas cea cito , en cumplimiento de lo prevenido rn el art.71 de la ley organiza. esto» i a ¡-i.t r carne».-n a. medio qu: aerstumbran : tod.t ’»$ pu rtas El Sr. Valles (D. Cay taño): E. Gobierno está autor zado para se de a g-esia fu ron careada» de coffibust bles,,ssa .iam» y humo obli parar á los g'fes militares de sus destinos, pero de i modo que dsteimi- gó i L). bebast an F man ez a capitu ar , qu dando pr - o-ero con…</t>
  </si>
  <si>
    <t>Valles, Salvador</t>
  </si>
  <si>
    <t>Salvador Valles</t>
  </si>
  <si>
    <t>…ón á patria, los beneméritos y valientes milicianos nacionales, mandados Ca'atayud obrarán donde sea mas conveniente para frustrar sus inicuos por el teniente de la de Villafranca D. Salvador Valles , y el de la de planes. Rivas D. Ramón Mascaró , que con el mayor denuedo coadyuvaron Idem íj. al feliz resultado. Les hemos aprehendido dos facciosos, dos muías de la El brigadier barón de Carondelet con 50 caballos de su cuerpo diligencia nacional de U.:us,…</t>
  </si>
  <si>
    <t>Vallurt</t>
  </si>
  <si>
    <t>al tiempo de sentencian# le canee del general Elfo, y qu* ss atendiese parados de las planas mayores, ó enfermo* presentes en el cuerpo y en el teniente coronel Vallurt* que bebía tomado dicho mando. disposición d: votar con libre conocimiento "■»«*» corresponda á sus El Sr.Salvá: El secretario que acaba de leer cata exposición ha ma clases y antigü dad.” Aprobado. ní (catado que la leía aa consecuencia de le indicación del…</t>
  </si>
  <si>
    <t>Valrfés</t>
  </si>
  <si>
    <t>…cia nacional local d- fanáticos, de ignorantes, de mentecatos y de ilusos, seducidos por de 29 de Junio úit-mo.” un puñado de ambicíenos enemigo» declarados aun de las reformas El Sr. Valrfés ( D. Dionisio ): Difiero de la comisión , no en el mas justas por vivir á sus anchuras á la sombra de los abusos.’ &lt; A fondo de la idea , sino en el modo con que la propon.*. 1.4 Corles cu esu facción expulsa, vencida y detestada de los mismos pu bios que el…</t>
  </si>
  <si>
    <t>Valúes</t>
  </si>
  <si>
    <t>d.a jura recibir á dicha diputación, la que salió á poco rato; y á su vuel Los mismos rusos en Arcángel, en Karostchatka y en América se fue ta dijo el Sr. Valúes que el R y había recibido á la diputación con de ron haciendo cada dia navegantes mas atrevidos, y Gustavo 111 p-vó mostraciones del mayor adrado, y le había encargado que dijese í las bien cato el sumo desprecio que hacia de la ciencia naval de los tusos, Co…</t>
  </si>
  <si>
    <t>Valverde, Pedro</t>
  </si>
  <si>
    <t>Pedro Valverde</t>
  </si>
  <si>
    <t>…io es el siguiente: Esparcido este descubrimiento con escinda'o por la población, pasó Fincas que ex stian en el dia 4 de Agosto último pata anun •1 alcalde tercero constitucional D. Pedro Valverde, acomp.fiado del ciarse su subasta....................................................... escribano D. Joaquín del Valle, y de los facultativos D. J &gt;s f María Expedientes que proceden de venta de fincas y re López, que lo es de med eina, y de D. Josef Mirla…</t>
  </si>
  <si>
    <t>VaMes</t>
  </si>
  <si>
    <t>…a preseute rogaría que la «iigete, ver y reemplazar en propiedad díscrecionalmente álos gefe* militares.” debiendo tenerse á la vista qu; el consejo de Estado, que es el que ha El Sr. VaMes (D. Cayetano) preguntó qué era lo que quena d-cir ce la consulta, debe reunir mayor número de datos que no el Gobier la palabra diicrechnalmrntt, porque el Gobierno se hallaba autorizado no. Permítaseme este desahogo; yo creo que se ha tenido al i.onscjo de p…</t>
  </si>
  <si>
    <t>VaMt.-</t>
  </si>
  <si>
    <t>…r. Gomvz Bec-rra: P.do que se léala proposición del Sr. Rodri Cortes. gue.: de l.cdesma , que dió lugar i la formación de este reglamento. Se leyeron las siguientes •.liciones d-í Sr. VaMt.- D. Carmn - \ El '■r. Gonza ez Alonso : Es verdad que el Sr. Ledesma hizo una pro las cuales se mandaron pasar a U c &gt;:n de ti l .a •• P n &lt; ., posición; pero esta contenía dos puntos , á saber, que se resolviera si el Corte- que respecto haber declarado 1 los capellan…</t>
  </si>
  <si>
    <t>Van-Halen, Manuel</t>
  </si>
  <si>
    <t>Manuel Van-Halen</t>
  </si>
  <si>
    <t>…s, sabran desple teniente de la segunda compafiía de granaderos de la milicia nacional gar todo tu patriotismo para terminar cuanto antes esta escandalosa lu de esta heróica villa D. Manuel Van-Halen, á fin de que tuviese ia cha que provocan unos hijo* espúreos de la patria, avetados solo á vi bondad de informar sobre el servicio que prestó dicha compañía en la vir bajo el yugo del poder absoluto, como único medio de satisfacer la acción det 7, para compl…</t>
  </si>
  <si>
    <t>Vanha.cn, Juan</t>
  </si>
  <si>
    <t>Juan Vanha.cn</t>
  </si>
  <si>
    <t>…han pagarlo algunas obliga b en refoTza-'o con las municones y p.rtuchos que sacó de esta capital ciones: á ñus de esto d.jo que el Crédito público no podía suspender el teniente coronel D. Juan Vanha.cn, permanecía aun el 30 en Cer- el pago de las pensiones de los secularizados, que en el d.a eran ya ■ vr-ra, bien que se esp-raban de un momento £ otro las órdenes para inclusas las de 800 monjas, cuyas pensionas importan 16 millones ds dinp ríe en d*rechura h…</t>
  </si>
  <si>
    <t>Vanhalen</t>
  </si>
  <si>
    <t>…7 en solvió abrir una suscripción para habilitarles de 38 capotes. A las sirte casi todos sus puntos , socorriendo velozmente los territorios vecinos, de la noche se dió av.so al Sr. Vanhalen que al día siguiente podrían it vuestra constancia en las largas 7 penosas marchas, que eran precisas, con el tercer convoy de municiones, organizado desde su llegada , 500 multipl'caba vuestra fuerza, 7 en el campo de batalla vuestro denuedo capotes, y que l…</t>
  </si>
  <si>
    <t>Vanhaten</t>
  </si>
  <si>
    <t>…cerca de seis metes que en esta porfiada lucha con los de titución que con tanto entusiasmo juraron.” fensores de la servidumbre mostráis firmeza , disciplina , bizarría ; vir El coronel Vanhaten se dirigió á esta ciudad, manifestando las ne tudes todas de los guerreros de una Nación libre. cesidades de la tropa, y la diputación provincial, ansiosa de dar al » En continuo movimiento , sufriendo privaciones, arrostrando general Mina y á sus valientes t…</t>
  </si>
  <si>
    <t>Varaivedc, Mariano Joaquin di</t>
  </si>
  <si>
    <t>Mariano Joaquin di Varaivedc</t>
  </si>
  <si>
    <t>…ose observado lo* tramites prescritos , y calificado loa set» la resistencia qua le opusieron , consiguió que abandonasen el fuerte de res D. Claudio Boutelou, D. Josef Nostench , D. Mariano Joaquin di Varaivedc y su Península. En seguida dirigió su marche sobre Coro, Cosío, D. Pedro Fuenmayorj D. Francisco Javier Perez, D. Leandro en donde se le reunieron 400 bombees da fiaguerrillas, 4 quienes ar Pallares, D. Josef Anima, D. Vicente Martines Gómez , D. Anto mó con…</t>
  </si>
  <si>
    <t>Vare-</t>
  </si>
  <si>
    <t>…iéndoles unas asignaciones proporcionadas. Aprobada. sistirán mientras esten reunidas las presentes Cortes, sin perjuicio de De la propia manera opinaba que podía aprobarse la del Sr. Vare- que las mismas por sí, 6 excitadas por el Gobierno, puedan limitar este la, para que se declaren vacantes los obispados cuyos obispos tienen término ;de lo qu; resultará que concluidas las presentes Cortes, el mi parte en las facciones, pidiéndose autorizació…</t>
  </si>
  <si>
    <t>Vareia</t>
  </si>
  <si>
    <t>…os 81; 5 por 100 español •* 69 ¡ : ídem Fueren nombrado» para la com sion de que trate !.i n-i-r» . 1-n ,-‘-i nuevos q8 i __Renta franc-sa en lu bolsa del a , 87 fr 16 c.;acc ones Sr. Vareia y otres, lo» eres. Santa!;, Escu.if-o , P »a.a-. O; o.», del banco iójO. Obógacone» de España ' H *; ídem 5 per loo 56. Seoane, Vrare'.a, Garm-nd a, Su»; » v 1» zn.ar-.-» , Je. . ' ■; ■ . - A/.r 70 .ir /.)/.-v-'/’-r. Cont nuJ i.t Ji/eun.n jcé-c e. rr¡ Comanda…</t>
  </si>
  <si>
    <t>Varéis</t>
  </si>
  <si>
    <t>…sacrificio de dejar tu cata y perder su vida se le quiera privar que la tenga, y queden después archivados.” por algún tiempo de las dulzuras que lleva contigo el estado del ma El Sr. Varéis se opuso á este artículo, fundándose en que por él se trimonio. Se ha dicho que los militares precisamente deben ser solte privaba á los militares de un derecho que tenían todos los demás ciu ros , porque si son casados el haber de llevar en su compañía á su…</t>
  </si>
  <si>
    <t>Varela</t>
  </si>
  <si>
    <t>…ica pública de e tas ante* de su egecucion, ó en vincia de Valladolid que el tribunal especial de Gucrta y Mar.na lia perm tir que sus subordinados la ta:m.” declarado exentos. El Sr. Varela propuso que se variase la parte del artículo, expre La comisión de Guerra, informando sobre la adición que propuso sando que no se p'rm ta la c;&lt;t:ca pública en el acto de la egecucion, el Sr. Ruiz de la Vega al ari. 19 , cap. 17 de la ordenanza minear, pulie…</t>
  </si>
  <si>
    <t>…n rrtado se ha rep-tido contra las que se han discutido ya, y el otro está cir de guerra f&gt; no lo e*t¿ , cuando en el hecho mamo de pr-sentar*: loe cunscrito i esta medida. El del Sr. Varela, á que ya hi contestado mi facciosos con aquella actitud de invasión que cocsmujc la goma ya digno compañero el Sr. Gal ¡ano, se reduce á agüellas mismas espe está declarada esta para aquel pueblo? Caro e.r pu;s que en .1 caso cies que , ya bajo de uu aspecto…</t>
  </si>
  <si>
    <t>…ue se discute, sin per trados , opinaba que debía aprobarse.*’ Aprobada. juicio de que según las circustancias pueda formár.eles cauta. Asimismo opinaba que podía aprobarse la del Sr. Varela para que El Sr. Infante: La medida en cuestión no da al Gobierno la robus se declarase que la traslaeioit de ios eclesiásticos, concedida ai Gobierno, tez y autoridad que se desea. Nunca ha podido exstir Gobierno algu nunca se entienda .para sacarlos de ¡a Pe…</t>
  </si>
  <si>
    <t>Várela</t>
  </si>
  <si>
    <t>…una proposición, reducida á que declarasen las Cortes que la El Sr. Becerra se opuso í este articulo en cuanto á su última parte, medida acordada con motivo de la proposición del Sr. Várela se en porque de su aprobación resultaba un perjuicio considerable S los qua tienda con aprobación de la autoridad eclesiástica. saliesen quintos Si por egempio (continuó el orador) un pueblo tu £1 Sr. Velasco manifestó que por esta propoiicion se quería que l…</t>
  </si>
  <si>
    <t>…y por lo m.smo no debe aprobarse ta Se procedió á la votación nominal sobra la aprobación de la pro proposic.oo qu* se discute. posición, y fui aprobaba por 73 votos contra 65. El Sr. Varela: No roe parece que hemos de dejar las facultada de Los Señores que la aprobaron fueron los siguientes: Surrá, Valdés las Cortes eonfund rfis con lis del trono, por tumor de entrar en una (D. Cayetano), Arguelles, Cuadra, Albiar, Taboada , Falcon, Ala discusió…</t>
  </si>
  <si>
    <t>….pie presida e i la. Art. 19. » Siempre que el comandante general del distrito , trrb'r- tas. Aprobado. nador y teniente gobernado! .cridaren ios cuerpos de guardia y"pues La del Sr. Varela al art. 19, para qu: se afiada; en Ultramar Je t i tas ds la piara, serán recibido» como ronda mayor, y podren ir á ca ra la licencia J los subalterno; fot ios generales en siefe , y en su .ier.tj ballo. Esto mismo deberá entenderse á favor del sargento mayor…</t>
  </si>
  <si>
    <t>…petición de a gunos señores diputados se leyeron los articulo! 54b medio por too. , y 131 de la C •nslitucíon. En cuanto i lo que ha indicado el Sr. Romero sobre que este arti K1 Sr. Várela p dió se votase por partr* este artículo. r habíe-d 'culo es anticonstitucional , debo decir que no le considero asi , porque se preguntada si seria nominal la votación sobre la primera psrt* del en las bases orgánicas no se habla nada de derechos consulares…</t>
  </si>
  <si>
    <t>Varela, Félix</t>
  </si>
  <si>
    <t>Félix Varela</t>
  </si>
  <si>
    <t>…s se ha mandado sacar á publica En segu eta ce leyó una representación de los Sres. diputados por subasta por término de 30 días una casa destinada para masón ea la esta provincia D. Félix Varela , D. Tomas Gencr y D. Josef Santos población del sitio de Aranjuez , titulado el Parador nuevo de la CrSuarez. con la que acompañaban los poderes de estos dos últimos, brera , señalada con los núms. 1 a y 13, linde las calles del esmino da manifestando que no…</t>
  </si>
  <si>
    <t>…osada, diputado electo por Nueva-Cáceres, en Filipinas; D Francis ciones marítimas de Europa, los rusos y tártaros del Asia, los anglo co Brirgas , por Nueva-Segovia, de la misma; D. Félix Varela , Don americanos y las tribus de indios gentiles de nuestra vasta frontera, se Tomas Jcncr y D. Gregorio Santos Suarez, diputados electos por la preparan a invadir el terrirorio mexicano.” En sevuida expuso que ó provincia d: la Havana. eran ciertas las espec…</t>
  </si>
  <si>
    <t>Várele</t>
  </si>
  <si>
    <t>…l co sobra Cretas por el camino de Beceyte, en cuyas inmediación s ha te mandante militar del disttiio.” nido el encuentro con tales cabecillas, i quienes yo .ba á atacar; y co Ei Sr. Várele: Si el objeto de esta medida no fuese otro que corre mo sobre mi marcha sopieae la dirección del enemigo, varé la mía gir y castigar i las autoridades morosas, desde luego la epoyaria; paro sobre la derecha para proteger dicha columna; continuo persiguiendo s…</t>
  </si>
  <si>
    <t>Várele, Alejandro Rodríguez</t>
  </si>
  <si>
    <t>Alejandro Rodríguez Várele</t>
  </si>
  <si>
    <t>…uérteda la India. pía rs. 7 10 mrs—La de los herederos «le D- Francisco de Zuñig* . Prisioaeroa cu uis buques , 4 los cuales se había quitado la artillería, j Castro 1748 rs—La de D. Alejandro Rodríguez Várele 379 rs. 7 ó metidos deatm.delta, recinto hacho da tablas, 7 custodiado* por una i mrs__La de D. Benito Casal Montenegro 558 rs. 7 6 mrs__ La dé guardia jnponesa, loa'ratos no pudieron hacer nuevas observaciones so pi herederos de D. Vicente Ribera 894 rs. 7 2…</t>
  </si>
  <si>
    <t>Vareta</t>
  </si>
  <si>
    <t>…es que de las mismas leyes resultan. Se mandaron pasar á la comisión especial las siguientes adiciones; Las Cortes en las últimas sesiones de Ja anterior legislatura tuvie una del Sr. Vareta para que te declaren vacantes los obispados cuyos ron la sabiduría de dar esta medida de precaución que ahora se discute; obispos tuvieren parte en la insurrección , y que se solicite de S. S. Ja pero el Congreso no puede ver lo que el Gobierno al poner en eg…</t>
  </si>
  <si>
    <t>…puede tener este hijo erro aprobado. hermano mayor de 14 años s rviendo en el egercito: en cuyo ca»o de j.' »&gt; Los ordenados ¡n tacris.” bía tjmh rn r. putar»; como hijo ún co. El Sr. Vareta hizo algunas observaciones sobre esta ; y después de El Sr. Remiro: No hay dudi que puede vetificarse e! caso que ha haberle contestado el Nr. Infante quedó aprobada. indicado el Sr. Salva en la primera pa:te de su discurso ; mu es necesa 4/ x Los mirados del…</t>
  </si>
  <si>
    <t>…s fácil que pueda remediarlo el g n ral ó orgánica antigua están conformes en esta materia con los principio* del comandante de la columna; pero siempre que este dé cgemplo no lle Sr. Vareta; pero aquella ley para combinar su* providencias ha dis vando á su familia me parece que puede precaverse. puesto que se reduzca á 6 años el tiempo de servicio; esta tiene por Otras razones se han dado para sostener la opinión de que no deben obj 'lo el que l…</t>
  </si>
  <si>
    <t>…fuesen los que manifestasen la conspira bre que reincide en un delito no se debe tener confianza alguna. ción : lo siria también si ai detenido le tuvesen en su poder una hora El Sr. Vareta manifestó que ss se admitía la modificación propues mas de los 30 días; y también lo seria por omisión en el cumplimiento ta por el Sr. Infante se podría sacar un gran partido de estos hondo, s, de las facultades que se le dan. pues que bajo buenos reglamento…</t>
  </si>
  <si>
    <t>…guardia asistirá á esta limpieza para cuidar que se haga con la ma artículo, acordándose que volviera á la comisión. yor escrupulosidad. Se mandó pasar á la misma una adición del Sr. Vareta, y &gt;• sus Art. 1 a. » A la hora de salir el sol se repartirán laa raciones, cuya pendió esta discusión. Operación la presenciará uno de los subtenientes ( entre quienes alter La comisión de Salud pública, después de haber investigado deteni nará est: servicio…</t>
  </si>
  <si>
    <t>Vargas, Francisco Hernanz de</t>
  </si>
  <si>
    <t>Francisco Hernanz de Vargas</t>
  </si>
  <si>
    <t>…as nueve de la noche, la cual estaba aquella en los paños y demas tejidos de nuestras fabricas, escrita por tan obscura, que me fue preciso guiarme por la luz de las estrellas. La D. Francisco Hernanz de Vargas, individuo de la diputación provin época que yo habia elegid &gt; para hacer este viage era tan peligrosa, que cial de Guadalajara con Molina. Se vende en la librería de Hurta algunos ingleses, aunque favorecidos de los auxilio» qur les dieron el do á 4 rs. bajá…</t>
  </si>
  <si>
    <t>Varia</t>
  </si>
  <si>
    <t>…la arrobi, piJinl • c i c por i.ij sobre este avaiúo Aprobado. de Cuenca y un juez de primera instancia de aquella fi. ri. r La comisión de Peem os . en vota .1- ¡a exposición d: Doña Varia Las Cortes oyeron con agrado una extsosi-.on de 'ar os níi iduo* Josefa Horra , mtural H- K bu. , p!d&gt;en.:i» que en atención á sus ser de Albacete, dando gracias j !j, momas t"r «a decreto relativo . movicios y htber sido comoe •rvl.d i en U cau&gt;a del general Renovales,…</t>
  </si>
  <si>
    <t>Varía, Infante D- Cárlos</t>
  </si>
  <si>
    <t>Infante D- Cárlos Varía</t>
  </si>
  <si>
    <t>…...................... 3,295 .IO .Cesantes, jubilados y reformados.. 2,367**2 2 (Consignación de S. M.......... 2.284,000 I Idem de S. M. la Reina...., 53,333-** : Idem de! Nenno. Sr. Infante D- Cárlos Varía........ 87,500 Casa Real............Idem del Sermo Sr. Infante D Francisco de l auta. 87,500 3.608,166 ..22 Íldem de la Serma. Sra. Infarta Doña Marta I ran chea de A-ir..................................................... .............. 45,833-11 (.Idem de l…</t>
  </si>
  <si>
    <t>Varóla, Josef María</t>
  </si>
  <si>
    <t>Josef María Varóla</t>
  </si>
  <si>
    <t>…ual número de tropas, y el batallón cámara de S. M. Dr- D. Juan Nieto fiamaniego. Medico de la familia de Aragón y los pástenos hicieron prodigios de valor. La gac&gt; ta de imperial D. Josef María Varóla, con honores da cámara. Cirujano de jamaica del 4 de Junio dice que cada uno conservó sus posiciones; pe id. D. Francisco Montesdcoca , con id. Caba.lerr* pages deS. M. el Em ro las cartas particulares del id refieren que Bolívar fue derrotado, cor- perador ;…</t>
  </si>
  <si>
    <t>Varona, Leimos</t>
  </si>
  <si>
    <t>Leimos Varona</t>
  </si>
  <si>
    <t>…y le pegaron fuego. Cirios de Anjou, Rey de Ñipóles , y el aparato con que acom’tió es Sevilla X* de Setiembre. ta empresa fue el mas terrble que se vió en aquel birbaro sig.o Su Don Leimos Varona, correo de Sevilla, se ha presentado al Exce- egército constaba , según dice uno de nuestro* historiadores, de ig/«» kant s ino Sr. comandante general , manifestando que en su regreso do caballeros y gentileshombre*, de 150® infantes, de go9 peones y guar Cád…</t>
  </si>
  <si>
    <t>Vasconcelos</t>
  </si>
  <si>
    <t>…1 Si alguna de las peticiones ó representaciones de qun vedad del delito que fije la ley! Se acordó que sí. habían Jos áltenlos antecedente» se imprimiere ame» ó despu-s o. »er El Sr. Vasconcelos pidió que se tratase de la proposición que ha dir:¿ da, queda sujrta en tojo á las leyes de la libertad de impremí de bia hecho sobre que no se concediese la revista al acusador. El Sr. Pei- la mi.ma manera que cualquiera otro impreso. Art. 6. Los cur.ins ó j…</t>
  </si>
  <si>
    <t>Vasconeellos</t>
  </si>
  <si>
    <t>…ombrar los di batido un cuerpo del egército de Churschid Bajá, destinado á hacer le-: putados á Cortes. vantar á las tropas griegas el sitio da Prevesa. Según el boletín de los El Sr. Vasconeellos hizo la siguiente preposición: » Pido que siem suliotas, después de un combate de seis horas, sus capitanes Giavella y pre que en algún distrito fuere necesario convocar los jurados para de Lusca han ganado una victoria completa y hecho un gran número de cidi…</t>
  </si>
  <si>
    <t>Vasdés, Gerónimo</t>
  </si>
  <si>
    <t>Gerónimo Vasdés</t>
  </si>
  <si>
    <t>…acultativo* fantería msrques de Vallehombroso; y Is de comendador de ia m ima de ambas clases que aa considerasen con derecho al monta sa presenta orden a&lt; coronl de la misma arma D. Gerónimo Vasdés. También »e sen al aecreUffo del mismo D. Martin Carnicero con los documento* ha servido s. M. nombrar mariscal de campo He lo» egércitos naciona que lo acreditasen ¡ se ha acordado citar y emplazar 4 lo* qu* asm a* les al brigadier L&gt;. Jos-f de Cantease , qu…</t>
  </si>
  <si>
    <t>Vasserot</t>
  </si>
  <si>
    <t>…ro modo, el test amento de un mi órdenes los mariscales de campo marqu s Je Vence, vizconde Pxotlitar podría falsificarse con mas facilidad que el de otro ciudadano. La Pecadene y vizconde Vasserot. La segunda, con su cuartel genere! ea ley civil establece varias formalidades para efectuar los testamentos, Toiosa, estera al mando del teniente general conde Ligier-Btiair, quien ly c:&gt;n que objeto&gt; con el de que se sepa la última voluntad del que mandará…</t>
  </si>
  <si>
    <t>Vat-</t>
  </si>
  <si>
    <t>…re*, Yandiok y otros, rela Sesión dt Cortti dtl jo. tiva á que te abonasen 4 las provincás Vascongadas y de Navarra las Se continuó la discusión del proyecto de Constitución, y et Sr. Vat- cantidades que habían adelantado, en virtud de un convenio hecho con concellos hiao la siguiente proposición, que fue aprobada: * Habiéndo el Gobierno en «1 año 1818, para que no se verificase el reemplazo dd se decidido que en tiempo de pee no laya general e…</t>
  </si>
  <si>
    <t>Vatderríbano, Jorge</t>
  </si>
  <si>
    <t>Jorge Vatderríbano</t>
  </si>
  <si>
    <t>…macéutico en esta corte D. Manuel del Castillo gimiento infantería de Extremadura, con 620 rs. al mes. en noticia del comercio nacional que se ha'.la con un gran surtido Búrgos al capitán D. Jorge Vatderríbano, ayudante de caballería del mismo género, igual al que ha estado vendiendo en esta cor retirado, con 810 rs. al mes. te , donde lo anunció como superior en todas sus cualidades á los Cuenca al capitán D. Juan Francisco Alonso, segundo ayudanta que hasta el pr…</t>
  </si>
  <si>
    <t>Vatdés</t>
  </si>
  <si>
    <t>…ue no podrá excederse de cua Lugo, acerca de varias dudas sobre la aplicación de los prófugos apre tro años. hendidos por los ayuntamientos, ó por alguno á quien hubiese cabido El Sr. Vatdés ( D. Cayetano ): Si se dice que estos individuos ra la suerte de soldado. se han servido resolver que en el primer caso sea yan i servir i la tropa de marina , no me opongo; pero si es á la mari declarado libre el mozo llamado para sustituir al prófugo; pero…</t>
  </si>
  <si>
    <t>…nto; pues tratando el Gobiefno de poner en La cornis ón ■ consecuencia de algunas observaciones hechas por si un estaco de defensa respetable varia» plazas, el punto deTarífa, que Sr. Vatdés (D. Cayetano) reinó el art. 17 para presentarle modificado. es de mucha importancia, no podía quedar olvidado. La unión de la Art. 18. « itl general en geí: ó comandante del sitio nombrara un isla de 1 arifa al continente recuerda muy bien lo que ae drb:ó é a…</t>
  </si>
  <si>
    <t>Vatdés, Francisco Javier</t>
  </si>
  <si>
    <t>Francisco Javier Vatdés</t>
  </si>
  <si>
    <t>…del plan de instrucción pública, mente que busquen recursos para armarlas inmediatamente, y promo al probado. viendo su pronta instrucción.” La misma, en vista de la solicitud de D. Francisco Javier Vatdés, а.a » Activar la conclusión de las causas de Estado.” i fin de que unos fondos destinados para costear una cátedra de latini 3.a » Excluir á todo extrangero de los mandos de cuerpo , plaza ó dad en la villa de Illescas, provincia de Toledo, se inviertan en e…</t>
  </si>
  <si>
    <t>Vatela, Pedro</t>
  </si>
  <si>
    <t>Pedro Vatela</t>
  </si>
  <si>
    <t>…arse hacer todas las mejoras posibles, y La misma opinaba que debia accederse i la solicitud de la viuda de favorecer en cuanto sea dable la independencia dei poder judicial, y ia D. Pedro Vatela, secretario que fue del Despacho de Marina, sobra el buena elección de cuanto* lo componen; y de consiguiente todo lo qus modo de cobrar su viudedad. Aprobado. ae oponga al logro de estos objetos traerá funestas consecuencias. La Eclesiástica, en vista de la…</t>
  </si>
  <si>
    <t>Vatlcjo</t>
  </si>
  <si>
    <t>…is t"n &gt; o -. : .ni» el estado en que se hallaba el erario en aquella época hacerse cargo de no lo estoy en la fa’ta de poderes que se suponen en el Goí&gt; rno para lo que expuso el secretario Vatlcjo en la exposición de que hize men hacer el tratado bajo las bases que creyó convenientes , ni tamp c , lo ción al principio: la tesorería nacional se hallaua sin recu;sos para aten e»toy en las infracciones quise imputan. Es mrnest.i hacerse ca-go d« der á cub…</t>
  </si>
  <si>
    <t>Vatlejo</t>
  </si>
  <si>
    <t>…rmino improfestaba que i consecuencia de lo acordado por las Cortes acerca del em rogable que está señalado. 3/ Todas las oficinas de las provincias que préstito celebrado enue el Sr. Vatlejo y la casa de Hubbsrd y compa reciban créditos para liquidar entregaran el dia 3 de Julio al comisio ñía , había tenido varias conferencias con los prestamistas, y por últi nado del Crédito público un resumen de los documentos que tengan mo resultado se habían…</t>
  </si>
  <si>
    <t>Vatltem</t>
  </si>
  <si>
    <t>…los modelos núms. 7.“ y 8.°, y á poner á danos que bao firmado esta exposición: piden que te premie al tenien los promovidos en posesión de sus empleos, de lo que dará parta in te coronel Vatltem, del cual habló también el periódico de que he mediatamente el coronel al inspector general del arma respectiva pan hecho m me ion; este caballero ha aido ya atendido por el Gobierno: tu conocimiento.” estibe agregado á la plana mayor, y el Gobierno lo ha emp…</t>
  </si>
  <si>
    <t>Vaublanc</t>
  </si>
  <si>
    <t>…no obstante hab ríos perseguido dos ral Sebastian!; y i uno y i otro contestaron el contra-almirante Haigas dias consecut.vos hasta su entrada en Vizcaya en medio de las mayo y el conde Vaublanc. . . res privaciones y trabajos. Las modificaciones que proponían los Sres. Scbastiani y Laborde Paiazutlat dt la Sierra 16 dt Junio. fueron desechadas, á lo menos por una mayoría de las tres cuaius par Habiendo sabido ayer por la mañana D. Antonio Raíz, ofic…</t>
  </si>
  <si>
    <t>Vaz-, Juan de Dios Hidalgo</t>
  </si>
  <si>
    <t>Juan de Dios Hidalgo Vaz-</t>
  </si>
  <si>
    <t>…a ter Sres. que compusieron el jurado: D. Cirilo Josef Sánchez , D. An nera 8 , y por cada vaca 20 rs.; y para que llegue á noticia de las per gel Pefia, D. Josef María Domínguez, D. Juan de Dios Hidalgo Vaz- sonas á quienes se interese se hace saber el púbiieo. u z , D- Rafael Mariano Pavón, D. Julián Alvarez de Gnlmago, Don A la entrada de los franceses en la ciudad de Burgos fueron extra Sliguel Cabezas, D. Francisco Josef de Estrada y D. Benito Pariza. viados…</t>
  </si>
  <si>
    <t>Vazqner, Gabriel Rafael</t>
  </si>
  <si>
    <t>Gabriel Rafael Vazqner</t>
  </si>
  <si>
    <t>…n vista de la instancia de Dolía Mar a de que se erigiese aquella ciudad en »&gt;!¡a epis-opil , r la so!.citud de Dolores Conde, v uda de D. Francisco Vaca, secretario que fu: da la D. Gabriel Rafael Vazqner sobre que se suprimiese la colegiata de Je capitanía general de Aragón, sobre que te declarase la viudedad que rez de los Caballeros , en atención á que dicha comisión estaba ocupa le correspondía por lós méritos de dicho tu marido, opinaba conforme da con lo…</t>
  </si>
  <si>
    <t>Vazquaz, Josef</t>
  </si>
  <si>
    <t>Josef Vazquaz</t>
  </si>
  <si>
    <t>…eguir la concoidia , y rieta. En trigonometría piaña ios referido! Diez Valentín, Scmoza, para poder scarzar la felicidad porque suspiramos, es el olvido de Bolafto, Sagastizabal, D. Josef Vazquaz, D. Joatf Rodríguez Rome todas esas tan odiosas como ridiculas deztominacione* con que alguno* ro , D. Baltasar Cerezo y D. Benito Cutí. En trigonometría esférica hombres irreflexivos han procurado deprimir á todo el que no piensa co los mencionado* Vázquez,…</t>
  </si>
  <si>
    <t>Vázquez, Domingo</t>
  </si>
  <si>
    <t>Domingo Vázquez</t>
  </si>
  <si>
    <t>…de sus derechos, prerogati d« D Josif Vázquez, D. Benito Sánchez , D. Gregorio Sixto, D. Ga vas Sis. briel Fernandez, D. Pedro Gómez, D. Tomas García Domínguez, D. Antonio Machín, D. Domingo Vázquez , D. Jos-f Lozano, Don ARTICULO DE OFICIO. Josef Antonio Henriquez , D. Lorenzo Gatcia Carrillo, D. Bartolomé Habiendo procedido las Cortes extraordinarias á la renovación da Alesina y D. Julián Gil, administradores q-ie han sido de la renta en su presidente…</t>
  </si>
  <si>
    <t>Vázquez, Josef</t>
  </si>
  <si>
    <t>Josef Vázquez</t>
  </si>
  <si>
    <t>…nínsula.’’ nueva , ó están en distintos principios que los que tenían en los primcr”s meses del sistema: han perdido el miedo, por decirlo asi, i la res Cuba. Por fallecimiento de D. Josef Vázquez ha quedado vacante ponsabilidad, y esta es una razón muy poderosa para que se practique la dignidad de deán que obtenía en aquélla Sta. iglesia catedral, cuya la visita que propone la comisión. No por esto diré que todos tos ma valor es de *100 pesos al a fio…</t>
  </si>
  <si>
    <t>Vázquez, Mariano</t>
  </si>
  <si>
    <t>Mariano Vázquez</t>
  </si>
  <si>
    <t>…rnando M lian dé la villa de Su. María de los L anos, y los estrados del tribunal, za , situado sobre diezmos de la mar. I.a periona que supiese de su pa por a no comparecencia de D. Mariano Vázquez , cura párroco de la rlero tendrá la bondad de avisarlo en casa de dicha Sra. marquesa sn es de las Metas, sobre nulidad de lo actuado por el alcalde ordinario d« ta corte, calle del Rubio, núm. 54,7 se le agradecerá. EN LA IMPRENTA NACIONAL.</t>
  </si>
  <si>
    <t>Vázquez, Martin Santin y</t>
  </si>
  <si>
    <t>Martin Santin y Vázquez</t>
  </si>
  <si>
    <t>…iderase 4 ningún Sr. diputado ministro honorario de la audiencia territorial, por la escribanía del nú inhabilitado para desempeñar este cargo mientras no se presente docu mero de D. Martin Santin y Vázquez; en el concepto de que en el mento auténtico que pruebe lo contrario; y siguiendo esta regla en lo caso de hacerse algunas de las referidas mejoras, se ha de celebrar el sesucesivo, creo que ahora estamos en el caso de aprobar los poderes del undo remate el ú…</t>
  </si>
  <si>
    <t>Vázquez, Martin Santm y</t>
  </si>
  <si>
    <t>Martin Santm y Vázquez</t>
  </si>
  <si>
    <t>…lá* dudas que pudan la audiencia territorial, y juez de primera instancia de esta M H. vi ofrecer los aranceles por equivocaciones ó omisiones inadvertidas que lla, refrendada por D. Martin Santm y Vázquez, escribano de tu nú ocurran, y embaracen el buen efecto que las Cortes se proponen, y que mero, se han mandado sacar á pública subasta, como perteneciente, al manifiesta el espíritu de sus disposiciones: a.° Para la provisional va C-edito público, y antes al…</t>
  </si>
  <si>
    <t>Vázquez, Miguel López</t>
  </si>
  <si>
    <t>Miguel López Vázquez</t>
  </si>
  <si>
    <t>…Josef López Cbevarri, teniente del regimiento infan de Búrgot.con 570 rs. tería de Vitoria, con §70 rs. Avila al capitán D. Guillermo Den , teniente del regimiento in Mondofiedo i D. Miguel López Vázquez, teniente del regimienta fantería de Extremadura, con ^70 rs. infantería de León, con 570r»......... Aranda A D. Juan García Zenzano , teniente del regimiento infan Madrid A D. Lorenzo Fernandez de It Regneriy teniente de in tería de León, con .$70 rs. fanter…</t>
  </si>
  <si>
    <t>Va’des</t>
  </si>
  <si>
    <t>…qu: se ha obstruido en dad , en tal caso cuando !»$ Cotíes llamasen ei a-unto se la exigirán á alguna manera el curso de esta causa. él mismo. Por tanto »p&gt;yr&gt; la pro posición del Sr. Va’des. Por lo demas, no te diga que se trata de ver ti se han observado ó El Sr. Soria: No tiene otro fin la proposición que el de manifestar no los tramites en la mater.a para imponer i los prs.intos reos el coa que aunque la causa se halle concluida , le fa’tan t…</t>
  </si>
  <si>
    <t>Va’dés</t>
  </si>
  <si>
    <t>…aunque no fuese mas que en la plana El Sr. Valdés (D. Cayetano) dijo que el :r. preopinante te habla mayr r. equivocado en suponer excedentes en la Marina; pues solo los bab a Ei Sr. Va’dés ( D. Cayetano) contestó que aunque hubiese do» •n la clase de gefes, entre los cuales no había ninguno que bajase de p acas mayores los gastos serian iguales, pues los ro.snns K-íts y con 40 afio» de servicio efectivo y sin abonos; y que con respecto i estos…</t>
  </si>
  <si>
    <t>Va’dét</t>
  </si>
  <si>
    <t>…a que ría Lobera por la deuda de 4a fanegas de trigo al pósito de dicho pue d ese cuenta de tu exposición. blo , y para que le rem tiese el expediente ad eftcinm videndi: la co El Sr. Va’dét dijo que el contenido de esta exposición era sumamen misión, después de haber examinado detenidamente este expediente y te anticonstitucional y subversivo, y que por lo mismo había pensado el dictamen de la comisión de Infracciones de la anterior legislatura,…</t>
  </si>
  <si>
    <t>Vbrich, P. Ignacio</t>
  </si>
  <si>
    <t>P. Ignacio Vbrich</t>
  </si>
  <si>
    <t>…tación er, •’ r...a.. era de d.aan.n q •: Zey.otrade D. Juan Bautista Rasen; otra de IV Antonio láurea ; otra r-cni-e una de l»s dehesas, y que 1 . r-:i. or. de as _ua;ro d. c del coronel P. Ignacio Vbrich , y otra de D. lVdr ' Mor ::i , cap un na -• ' part'Cular .1 -u term no le era nu: \p: hada del regimiento de Castilla, solicitando iodos cana de ciudadana . 't:a Otro sobre ia ‘o.ictud del avun;ni rr*n de '-.i. par* .*ue ‘e e di LV Ramón Orozco y Zayas, pidi…</t>
  </si>
  <si>
    <t>Vci</t>
  </si>
  <si>
    <t>…iales para que aprobasen ta remoción da los secretarios rán qué sugeto les convendrá m-jui para secretario. era bastante para qur los ayuntamientos no intentasen despojir a los El Sr. Vci 'é, (O. Cay:taño) 1 Yo creo que este artículo es esterasecretarios de sus empleos soo por una intriga , y sí qu* únicam.nle asente inútil , y que no puede pasar como precepto, p rque el ei:gido lo hiciesen cuando hubiese motivos para el 10 para secretario de…</t>
  </si>
  <si>
    <t>Vciaico, Iñigo Josef Giles de</t>
  </si>
  <si>
    <t>Iñigo Josef Giles de Vciaico</t>
  </si>
  <si>
    <t>…voz en la bi cabeza de Iñigo Orles de Velasco, pertenecientes ambos al mayorazgo blioteca de S. Felipe el Real el día a7 dt Octubre del modo que dis da Mazan* , da que es poseedor D. Iñigo Josef Giles de Vciaico ty tingue á los hombres que carecen de preocupaciones y abundan en hon otro de 187,300 mrs. de capital , situado en Salinas de Cuenca , en ca radez ; nos enteramos del proyecto de tan benéfico establecimiento, y beza de £:rnardo López y Doña Beatriz de Valenc…</t>
  </si>
  <si>
    <t>Vciasco</t>
  </si>
  <si>
    <t>…diócesi i votar el primer artículo del dictamen de la comisión. proporción entre todos los individuos del clero. El Sr. secretario de Hacienda: Cuando el Gobierno dice en la me El Sr. Vciasco: Acaba de manifestar el Sr. Buey algunos principio* moria de la secretaría de Hacienda: » Las continuas representaciones de y máximas que el Congreso do desconoce; pero que no tienen que vez las m;smas juntas sobre la indotacion d«á clero, y los temores de qu…</t>
  </si>
  <si>
    <t>Vclasco</t>
  </si>
  <si>
    <t>…a de lat mas célebres es la que te siga nía la comisión espacial debía pasar con urgencia á la de Milicias. a Valencia. Estas ansas no d&lt;.bsn ni pueden ser juagada* con arreglo El Sr. Vclasco pidió que se votare le medirle como le había pre i las leyes posteriores; y cal tea el verdadero motivo dai entorpccisentado la comisioo , pues si esta y las demas medidas se pasaban á miento qua se nota en esta causa célebre á. que me he referido, bien nurva…</t>
  </si>
  <si>
    <t>…ar á votar este dictamen en su totalidad, y se procedió á primera clase en lugar de cuatro. discutir el art. 1.a Igualmente quedaron aprobados lo* demás artículos del dictamen. El Sr. Vclasco: Se ha dicho en el Congreso por algunos Sres. di La comisión de Casos de responsabilidad , en vista de la queja da putado* que las verdaderas economías consisten mas en la reforma da por D. Francisco de Paula Juez, vecino de Lucena, contra el regi del número…</t>
  </si>
  <si>
    <t>…militares mantenidos á Leída y aprobada el acta de la anterior, se mandó agregar á elle el costa de los pueblos y de las justicias y ayuntamientos por mitad.” voto particular del Sr. Vclasco, contrario á lo resuelto sobre el att. 10 El Sr. Oliver manifestó que por este artículo se ampliaban mas las del plan de contribuciones, teiat.voá la tenta de tabacos. facultades concedidas por el anteiior , sin considerar las dificultades y Se dió cuenta de…</t>
  </si>
  <si>
    <t>Vdasco</t>
  </si>
  <si>
    <t>…rme, y se acordó por la afir cuanto que habiendo vivido en la opulencia se tan v:sto rep ntinamenmativa. te privados hasta de lo mas necesario para subsistir. I.a u t ma obser F.l Sr. Vdasco: A nadie cedo en amor á la libertad , y estoy con vación es sobre los demas partícipes de diezmos, como son ios se vencido de que el hombre debe hacer un sacrificio pan sostenerla ; pero minarios conciliares , casas de beneficencia, de establee mirtos d- p ea…</t>
  </si>
  <si>
    <t>Vdasco, Matías</t>
  </si>
  <si>
    <t>Matías Vdasco</t>
  </si>
  <si>
    <t>…ctos del excusado de las vicarías de Coin y Antequera, formación de causa. en la provincia de Malaga , que comunico 4 V. a. con esta Lena ; y Señores que declararon hab-.-r lugar: D. Matías Vdasco, D. Josef que se reduce 4 que se tengan las fincas en cuestión en subasta abo rta y Codina, D. Josci Vecino, D. Vicente Llop.s y el marques de Fuente perpetua hasta su venta final ; avisando con oportunidad al (gobier el Sol. no si llegase el caso de reunirse…</t>
  </si>
  <si>
    <t>Vdasco, Quintín de</t>
  </si>
  <si>
    <t>Quintín de Vdasco</t>
  </si>
  <si>
    <t>…bemos que el ene Huesca—» Con particular satisfacción mía paso á manos de V. b. el migo común (el egército español) publica ventajas, y hace ios últimos adjunto parte original del coronel D. Quintín de Vdasco , que con las esfuerzos para persuadir su ascendiente___Se dice que Olañeta retroce compañías de preferencia de las columnas de Navarra y m a ha batido de sobre Potosí. Zumba este gefe puerilmente á los habitantes de Sal y dispersado en las escabrosas alturas…</t>
  </si>
  <si>
    <t>Ve</t>
  </si>
  <si>
    <t>…nientes para Atender con preferencia á los curas pSnu* curato regular apetecen otro mejor. En las oposiciones i cato* hay cen eos i Una gran parte de la doctrina que ha sentado el Sr. Ve lasco es la suras eclesiásticas, y hay otra porción de casos en que comparecen los doctrina de la comisión en general, prescindiendo de alguna ú otra ex párrocos temblando ante el ptovisor. Estas breve* reflexiones harán co presión pronunciada con motivo de s…</t>
  </si>
  <si>
    <t>…;a que ha traducido, intitulada Exr¡:.sscK&gt;n de ln deberes de i /wif're y’.iel por med o de una adición. eindadano, manifestando que serta muy útil so usase de el.a cu iss es F.i Sr. Ve lasco apoi ó el dictam-n de la ccmsion, haciendo 111,3» cuelas de primera ensrfian/a. nfl.xiones sobre la necesidad que hab a de c r a: d 11 1 c. - .le La comisión de Marina presentó su dictamen acerca de la rxposi- que los que disfrutaban bcr.fi.-os .. t, a.…</t>
  </si>
  <si>
    <t>…a y A u cuatro de la tarde llegué é las puntas de la plaza, donde una unas mrdies anch sima.: en invierno u&gt;an de talas acolchadas y de cha hora ante* había entrado la columna del brigadier Ve6a. Esta mañana les: y cuando safen de cata i-, tapan como todo «1 mundo sabe la ca emprendí la marche para volver 4 esa provincia, y i una hora de Tor beza con un velo que les cae hasta los pie». tosa se descubrieron por la guerrilla unos cuantos facciosos en…</t>
  </si>
  <si>
    <t>…nútil , y que no puede pasar como precepto, p rque el ei:gido lo hiciesen cuando hubiese motivos para el 10 para secretario de ayunramunto ver» si le conviene tomar este destuo El Sr. Ve lasco dijo que la Constitución dejaba á lo* ayuntamiento* y abandonar tus diru.» ocupa,Iones. Ademas,ó los ayuntamientos han la facuítarl d- elegir libremente sus secretarios, y que por consiguiente de elegir á un va,o , ó han de estar precitados é elegir á u…</t>
  </si>
  <si>
    <t>Ve, Antonio</t>
  </si>
  <si>
    <t>Antonio Ve</t>
  </si>
  <si>
    <t>…as en España hasta su evacuación: obra la mas completa que Por grande que sea la ilustración americana, y por generosas que se conoce en su clase en el dia , en 6 tomos en 4.0 por D. Antonio Ve fuesen las providencias del Gobierno, nada podría adelantar la indus gas. Se hallará en las librerías de Sojo y Brun, y en la impienta de tria provincial si la faltaban las primen* materias, y si no tenia me- Dávila. dios de proporcionárselas sin necesidad de…</t>
  </si>
  <si>
    <t>Ve-, Antonio Martínez de</t>
  </si>
  <si>
    <t>Antonio Martínez de Ve-</t>
  </si>
  <si>
    <t>…verdadera Burgos v Santander. D. Lucas Oca y Meló, D. Manuel Flores Cal mente un destino, puesto que se pretende , se renuncia, y puede ser ju derón, D: Manuel Herrera Bustamante, D. Antonio Martínez de Ve- bilado el que lo disfruta. Fuera de esto todos en palacio han visto que lasco, D. Elias Alvarez y D. Tomas Alvarez. Fueron aprobados los el duque del Parque ha desempeñado este empleo: el año de 19 asistió poderes de estos señores. á la mesa del Rey cuando di…</t>
  </si>
  <si>
    <t>Vecino</t>
  </si>
  <si>
    <t>…. Madrid 16 de Enero de 18a z.=Joaquua partes , y quedó aprobado. Rey , presidente.:=Fermir. G'l de Linares. diputado wcretario^Lucas Se leyó y aprobó la siguiente proposición del Sr. Vecino : - Pido .í Alaman , diputad:, secretario.” las Cortes se sirvan prorogar una hora mas esta sesión con arreglo al Por tanto mandamos á todos 1 os tribunales, justicias, jefes, go artículo 68 del reglamento. bernadores v demas autoridades, asi civiles como mil…</t>
  </si>
  <si>
    <t>Vecino, Josci</t>
  </si>
  <si>
    <t>Josci Vecino</t>
  </si>
  <si>
    <t>…munico 4 V. a. con esta Lena ; y Señores que declararon hab-.-r lugar: D. Matías Vdasco, D. Josef que se reduce 4 que se tengan las fincas en cuestión en subasta abo rta y Codina, D. Josci Vecino, D. Vicente Llop.s y el marques de Fuente perpetua hasta su venta final ; avisando con oportunidad al (gobier el Sol. no si llegase el caso de reunirse en gran número, para acordar las Señores que declararon no haber lugar: D. Pedro Calvo, D. Sebas providenci…</t>
  </si>
  <si>
    <t>Vecino, Josef</t>
  </si>
  <si>
    <t>Josef Vecino</t>
  </si>
  <si>
    <t>…reso los tres. D. Andrés Gafo, Don Circular expedid* por el mmieterio de Gracia y Justicia á lodos loe dio cesanos. Valentín de Torrecilla, D. Joaquín lbaira, D. Joaquín Llombart, D. Josef Vecino, D. Félix Mora, cl marques del R o Florido, Don El Sr. secretario de Estado con fecha 7 del corriente tac dice lo Antonio Casanovas , D. Octavio Pastor, presbítero, D. Pedro Cotdoque sigue: bés y D. Mariano González. » En consecuencia del oficio de V. E. de t…</t>
  </si>
  <si>
    <t>…» se deben ser- de esta c.uJací y tarde del dia 11 del corriente loe Sres. D. Francisco »'r los qne hayan de impetrar bulas y gracias apostólicas. (Gottta átl Llano, del comercio; D. Josef Vecino, D. Vicente Azur, merques sjáe id.) de Rio-Flor do; D. Gerónimo Masía, presbítero; D. Vicente Iranzo, Circular del ministerio en que so inserta una contestación del hacendado; D. £ non Gascón, presbítero; D. Vicente Vergara y MesSr. nuncio de S. S. sóbrela se…</t>
  </si>
  <si>
    <t>…ican las razones que ha teñi d- Castilla la Vieja á D. Josef Mana Jaima, D. Agustín Rodriguen rlo para reducirle al expresado principio, be hallará en las librerías de Buhamonde y D. Josef Vecino. Q.ii.ós, en ia de banz, en la de kanz y en la de B«un. frota. En el anuncio de ayer titulado JnveitigaríoHej analíticas é-c. El Rey, i propuesta del consejo da Estado, ta ha servido nombrar se han hallado ia* enatas siguientes: lín s " Ouetalga, lease truc f…</t>
  </si>
  <si>
    <t>Vega</t>
  </si>
  <si>
    <t>…s Cortes, y que de no haberlo hecho asi era comisión especial que . ntendiera en este asunto. él responsable. &gt;e apiobó la siguiente propos clon del sr. Alava : *&lt; Que las memo El Sr. Vega dijo que si en los demas ramos se notaba alguna falta rias de los Sres. secretarios del Despacho se lean por el orden con que res ecto de sus presupuestos , era indudable que habían percibido bastante estos est in designados por la Constitución, y que si por…</t>
  </si>
  <si>
    <t>…es á algunos comprenderá con mucha El br. Romero manifestó, que habiendo una prrsona que la misma razón. ley reconocía para que pudiese reemplazar al diputado propietario , no F.1 Sr. Vega dijo: Si se absuelve á todos los tesoreros y demas em se debía proceder á nueva elección, porque seria dejar sin un represen pleados de que se trata , será porque la falta estará en la tesorería gene tante á la ciudad de Sevilla por el mucho tiempo que se gas…</t>
  </si>
  <si>
    <t>…8o8 basta el ano l8iy. dola en la le los dos dignos legisladores Sr. Arguelles y Sr. Martínez Las Corles lo oyeron con agrado, y mandaron pasar esta solicitud al Go de la Rosa. Ei Sr. Vega : Me parece" que no se puede decretar la visita, como bierno. Diferente! patriotas de Cartagena se quejaban de la entrada hostil no sea para una causa determinada. El poder judicial es independiente, del general Peón en aquella ciudad, y pedían se le mandase…</t>
  </si>
  <si>
    <t>…no se hace mención. Asi que en esta paite se ha adherido al economías para atender 4 los oficiales mismos. dictamen que da en su consulta el consejo de Estado, que ha tenido á El Sr. Vega dijo qiíe hubiera querido que antes de tratar del pre la v sta. supuesto de Marina se hubiese tratado del de Guerra; pero que sin Supuesto el arreglo de tesor*ría general presentado por la comisión embargo hablaría del presupuesto de Marina, según se presenta…</t>
  </si>
  <si>
    <t>…decreto que habia oído no te quedaba duda de que deb ati considerarse en servicio orgánico d: ia armada. activo todos los o&amp;ciaies embarcados y desembarcadas, menos ios que se El Sr. Vega contestó que para poner en egecucion dicho decreto hubiesen ido á sus casas con retiro ó con licencia; peto como había mu era menester mucho tiempo, por cuyo motivo no estaba aun puesto en chos excedentes que podían ser gravosos al erario , convendría adoptar…</t>
  </si>
  <si>
    <t>…insuficiente protección que este tenia; pero que la Na te efecto eran necesarios á lo menos ao millones. ción no estaba en estado de señalar mayor cantidad en este presupu-sto, El Sr. Vega dijo que la rebaja que en esta parte proponía la comisión y que pod a invertirse en la construcción de buques alguna parte de 1» no era una verdadera economía, pues si necesitaban buques que res qu hubiese quedado por cobrar en el anterior. guardasen nuestras…</t>
  </si>
  <si>
    <t>…oa Ciudad Real, siguiese hsota ia montaña por ia izquierda paia podcilot tí sr 10 , dice Mr. de Jaubert, se ocupan con acierto en su* negocios do envolver luego que la columna del brigadier Vega atravesase «i tío so ínteres local, y Cs muy raro qua un esirangtro logra hoy dia en Pertia bre Cheru , donde ya no quedaban enemigo*, y viniese á tomar pot un empico de alguna importancia. El visiriato, al mando de las tropas, la ciraída a tos que aun ocupab…</t>
  </si>
  <si>
    <t>…eniente en modificar el artículo de modo que no de lu bargo de qus no tenga el espitan del trasporte el carácter militar &amp;c.” gar -á disputas. j quedó aprobado asi el artículo. El Sr. Vega hizo algunas observaciones para manifestar que debían Se aprobaron los artículos siguientes ; darse algunas reglas á fin de que el estado mayor del egército fuese pro Art. 36. » Ningún individuo á bordo podrá disponer de cosa al porcional con este; y añadió q…</t>
  </si>
  <si>
    <t>Vega, Francisco</t>
  </si>
  <si>
    <t>Francisco Vega</t>
  </si>
  <si>
    <t>…or Guerrero, segundo ayudante agregado al batallón de la milicia activa de Málaga , con 670 rs. El Rey, á consulta del consejo de Estado , te ha servido nombrar ' Salas al espitan D. Francisco Vega, segundo ayudante del rrgipara plazas de magistratura de la audiencia territorial de Canarias á miento infantería de América, con 610 rs. D. Josef Antonio Navarrete , á D. Cristóbal María Falcon y i Don Csuna al capitán D. Antonio González Villamil, segundo a…</t>
  </si>
  <si>
    <t>Vega, Josef</t>
  </si>
  <si>
    <t>Josef Vega</t>
  </si>
  <si>
    <t>…huir por t ¡idos y ta de tirador -» ds .Asturias y bigüenza, y los caballos de Sagunto al man pias, s.. ué-Ti'.'o en va fuea unos barrancos que en vano int- nló p: r do del capiun D. Josef Vega, »o,t.nidos por otros 12 de Lus tan.2, . con no» caballo» (1 intrépido Uniente ü. étgu.t.a Caun.do, acompaña el del t-niente D. Mariano Cuidaba. En esta disposición acometíales</t>
  </si>
  <si>
    <t>Vega, Rafael de</t>
  </si>
  <si>
    <t>Rafael de Vega</t>
  </si>
  <si>
    <t>…. Ramón y D. Josrf Milans, los de la P. M. Fajardo De Llinás.” y Gatcil, y el gobernador del cuartel gmtral de la dlv sinn, el tenien Madrid Miércoles so de Noviembre.te de Africa D. Rafael de Vega , con mi secretario l&gt; Vicente Ferreti, marchaba con la columna de la derecha , qu: desalojó i los enemi S. M. el Rey y SS. AA. siguen sin novedad en su importante gos de sus posiciones, echándolos hacia el puente. La columna que •alud. S. M. Ia Reina está me…</t>
  </si>
  <si>
    <t>Vega, Raíz de</t>
  </si>
  <si>
    <t>Raíz de Vega</t>
  </si>
  <si>
    <t>…ndo que de esta era de ia q ac ia comr».on la cub.-rtoj tr.as ..v: - ;i,los d- ia plaza. bia copiado el artículo. Art. 14. » No p.rmítiri pormetivo algcr.o qu rn lo, ferr.-r.er El Sr. Raíz de Vega observó qus por el decreto de lis Cortes rela d-pmdiect.’s de las foit-ficac.oties se labre ni p. :.-.t n . ji; ¡ , r., se po tivo á ia m.iicia nacional loca!, que era posterior á ia orden leída por den, arran cien ó cuten los qu; ya si haden p en » s.» el or…</t>
  </si>
  <si>
    <t>Vega, Ruiz A la</t>
  </si>
  <si>
    <t>Ruiz A la Vega</t>
  </si>
  <si>
    <t>…taba cu el El Sr. Lodares pidió que se leyese la consulta del supremo tr.bu- mismo caso que la Ai Sr. Escovedo. nal de Justicin.de que se hacia mérito en al último oficio da su El Sr. Ruiz A la Vega dijo que sentía tener que hablar corare la decano. tala A un tribunal que era el mejor A todos los A la Nación; pero Uno de los Sres. secretarios contestó que no había llegado i la se que le era mucho ma» sensible el que en tiempo A la libertad se repiocretar…</t>
  </si>
  <si>
    <t>Vega, Ruiz da U</t>
  </si>
  <si>
    <t>Ruiz da U Vega</t>
  </si>
  <si>
    <t>…cción ó de la Constitución ó de juntas, como lo prueban bien Ñipóles y el Piamonte: da lo que deba- U ley. mus inferir que te ttata únicamente da impedir las variaciones políti El Sr. Ruiz da U Vega contestó que esa contradicción era apa cas, de conservar la inmovilidad, y determinar las diferencias entre rente , pues ds la m ima Constitución y de la ley citada ss deducía que gobernanta y gobernados i favor de aquellos i quienes , según su modo la detenc…</t>
  </si>
  <si>
    <t>Vega, Ruiz de Ja</t>
  </si>
  <si>
    <t>Ruiz de Ja Vega</t>
  </si>
  <si>
    <t>…anifestó que por la fecha eos que se reclamaron esto* fijen, y creo que estos deben ser los que he indicado. antecedentes te podría venir en conocimiento de la comisión que los Él Sr. Ruiz de Ja Vega: Parece que la cuestión está reducida á si habia pedido, pues que podía muy bien suceder que fuese la comisión el término que presenta la comisión es ó no excesivo, y de las obser segunda de Legislación, á la cual se habían pasado algunos asuntos, que vacione…</t>
  </si>
  <si>
    <t>Vega, Ruiz de U</t>
  </si>
  <si>
    <t>Ruiz de U Vega</t>
  </si>
  <si>
    <t>…bien por antigü-dad ó formes á la idea, pues por no «star bien expresada volvió el artículo á bien por elección , era preciso tener presente que ios cabos prim-ros la comisión. El Sr. Ruiz de U Vega ha tomado el empello de expresar para ascender i sargentos segundos necesitaban tener bastantes dispo bien la idea, y verdaderamente ha dado al artículo alguna mayor cla siciones. ridad ; pero el Sr. Romero ha dicho con mas razón que no comprende El Sr. Diez…</t>
  </si>
  <si>
    <t>VeHojio, Andrés</t>
  </si>
  <si>
    <t>Andrés VeHojio</t>
  </si>
  <si>
    <t>…para el dia de hoy, y levantó en Jaca en la de D Bernardo Josef Vasallo: en Burgos en la He l)oa la sesión i las tres menos cuarto. Josef Ladrón de Guevara: en ValladoBd en la de D. Andrés VeHojio: en L-on -n !a del autor; y en Bayona en la de D.Jujrn Felipe Le- Beuf. ARTICULO DE OFICIO. Los derechos del hombre y los'del ciudadano: opúsculo traducida libr menf del francés, é ilustrado con notas por el ciudadano y doc El Sr. secretario del Despacho de l…</t>
  </si>
  <si>
    <t>Veia</t>
  </si>
  <si>
    <t>…ectrizaba á los mas apáticos. A la hora competente com.non r, ran en ¡a gaceta del 14, ni aun e»p-c fi.an troto con-..- lo cu a .1 »- v -recho en público, * cuyo a.to concurrió el general Veia»vo, amante de sa, pues el ú limo c» de. g f inpr ».&gt; r. d&gt;a h', j .a» rol .:*s r*e. ar; cucidido del sistema y del pueblo s&lt; vil.ano. lo de tjiii di ia men.iiT.a ta .a-.ta a .,-:.-ar. -ta la» dos &lt;j-¡ ri v. A les sida dt U urde sa reunieron los dos heróico» b…</t>
  </si>
  <si>
    <t>Veiadiez, Josef María</t>
  </si>
  <si>
    <t>Josef María Veiadiez</t>
  </si>
  <si>
    <t>…amientos p dependientes morosos en En consecuencia de lo acordado por la masa oomun de acreedores egecutar sus órdenes , estando suficientemente facultado para ello por ei del Dr. D. Josef María Veiadiez, vecino de »ti corta , en junta general art- t.° del cap. g.° de la instrucción de ag de Junio de i8tg, que en que celebraren ante el Sr. D. Angel Fernandez de lo. Ríos, juez en caso de inobediencia repetida ordene la formación de causa, sin desis primera ins…</t>
  </si>
  <si>
    <t>Veiasco</t>
  </si>
  <si>
    <t>…ahora no habían tenido cumplimiento alguno , ta biesen tenido presentes en el nombramiento de dichos empleado*. les eran los de monacales, el de vinculaciones y otros, cupo cum El Sr. Veiasco manifestó que en nada se oponía á las facultades plimiento interesaba sobremanera i la Nación. dai Rey la medida que se trataba, pues que solo se reducía i ver si "El Sr. Galianos Expondré brevemente los principios que me mueven los decretos que el Sr. Buey h…</t>
  </si>
  <si>
    <t>…párroco una todas los partícipes de diezmos. Respecto del diezmo entero cobraban asignación determinada. «tos partícipes cantidades bastante grandes; por consiguiente rebajada El Sr. Veiasco : Varios Sres. han hablado contra el artículo que sé de estas la mitad , resultará que si bien estos individuos no podrán vi llala 300 ducados á ios párrocos, y seguramente los individuos de Ja co vir .en la abundancia qne antes, ai menos no perecerán, bi por…</t>
  </si>
  <si>
    <t>…oticia d.l Go Se mandó pasar á la comisión Especial que entiende en los sucesos bierno ; el cual mandará exigir la responsabilidad á los prelados y de de Catilufia una adición del Sr. Veiasco para que ios jueces de prime más autoridades eclesiásticas que hayan contravenido á esta disposición, ra instancia y gefes políticos vigilen sobre la conducta de lo* prela cualquiera que sea la causa que para ello hayan tenido. dos y demás eclesiástico* de la…</t>
  </si>
  <si>
    <t>…stras marchas dia que acudió desde Jaca con el general Perena, de la de infantería y ca y noche; y negándoos no solo al descanso necesario, sino es aun á to ballería del mando del coronel Veiasco, que los ha perseguido, y de la mar el sustento muchas veces, os echáis sobre ellos, los acuchilláis,los compuesta del regimiento de voluntarios de Castilla y 20 caballos de dispersáis, y no dejáis de toda la canalla mas que la memoria de haber Villa? ¡dota,…</t>
  </si>
  <si>
    <t>…de ia pa diente , y no con chocarrerías y personalidades. Si rs anárquico ei rum labra contestaré á S. S. bo qu* hemos seguido hasta aqui para defender nuestra causa, yo quiero El Sr. Veiasco: Fl Gob'eino sabe que t.a l.abldo mu í.os ayunta esta anarquía. mientos, que lejos da fomentar la prospjnd.id pi.LI ca I.: han rnlu;p-ciNo seiá extraño que á vista del carácter de inviolabilidad é incen- do; y que lejos de acopiar mantas incd das l an nud» .…</t>
  </si>
  <si>
    <t>…caso de establecer una visita se trata, dirigidas sobre el modo de practicar la visita, y &gt; e ..s ha general en desdoro de un cuerpo respetabilísimo que necesita unta concitado el Sr. Veiasco; pero el Sr. Viilabos, que -c.bá d- h biur, fuerza moral para tu conservación. ha impugnado la medida , poniendo otra clase de obj--::on.,: ha d cho Tampoco pudieron olvidarse de que las pesquisas generales sobre S. S., entre otras cosas, que Mont:*qu:eu dice…</t>
  </si>
  <si>
    <t>…o, y D. Ctrl os á aquella ciudad, y la de haber salido alguna artillería para cuando no lo fueren, el que mande la trichera ó el ingenien» comisio Alcañix, adonde iba á marchar el general Veiasco, con el ot-.j-to de nado para su recibo lo rehusará. Los regimientos que los hubieren lle reunir allí todas las fuerzas posibles, y pasar luego á poner sitio á Mevado estarán obligados á hacer otros sin abono, y el oficial encargado quinenza, ai los facciosos…</t>
  </si>
  <si>
    <t>Veiasco, Lucas</t>
  </si>
  <si>
    <t>Lucas Veiasco</t>
  </si>
  <si>
    <t>…ace que nos separamos, habiéndonos dicho el nato del valiente coronel D. Juan Antonio Tabuenca, del capitán Rey y los ministros que las Cortes habían autorizado suficientemente al D. Lucas Veiasco y algunos otros o&amp;ciales, que d.-spues de haber dado poder eecut.vo para llevar adelante el progreso del sistema constitu á su patria infinitos días de glotia, cayeron en manos de los facciosos cional. Todos sabemos que apenas se pronunciaron estas palabras e…</t>
  </si>
  <si>
    <t>Veíasco, Manuel</t>
  </si>
  <si>
    <t>Manuel Veíasco</t>
  </si>
  <si>
    <t>…tes la primera relativa al decreto de 11 de Ociubre de 1810, y 11 s eo-ida con respecto i los individuos de la D.putacion permanente de la ante re at a i la causa mandada formar i D. Manuel Veíasco y 1&gt; Ramón rior legislatura. Luí» ¡•scov.Jo, con motivo de los sucesos de Sev.üa: v un expoA la comisión di Guerra se pasó un» exposición de D. Antonio sem d- D. Francisco Javier Osuna , brigadier que !ae del egército es OI ¡ver , teniente agregado al E. M. d…</t>
  </si>
  <si>
    <t>Veira, Domingo de</t>
  </si>
  <si>
    <t>Domingo de Veira</t>
  </si>
  <si>
    <t>…s. A este efecto te valen de dos conductos, que nio Barreiro id. 4481 rs. y 3 mrs. D. Santiago Cascos id. 3361 rs. y 6 con .c-n pueden serles útiles para sus depravados fine*. mrs D. Domingo de Veira id. 1241 r*. y 1 maravedí. D.Crist/.bal de ZaF.l Diario de Franefort, periódico que te publica en francés, y *1 ya* id. 1141 rs. y 1 maravedí, D. Juan dé Seto id. 1678 rs. y 12 mrs. Don Corresponsal de Hamburgo en alemán, son los instrumentos de este Francisc…</t>
  </si>
  <si>
    <t>Velaaco, Manuel</t>
  </si>
  <si>
    <t>Manuel Velaaco</t>
  </si>
  <si>
    <t>…rdado vol Sores D. Juan Manuel Santiago, D. Agustín Tricio, D. Ventura Cha ver á citar y emplazar é loa que aun no te hayan presentado, para que cón, *f&gt;.'Canteo Benito del Valle, D. Manuel Velaaco, el- Lie. Don en el término de ocho dias , contados desde esta fecha, que por tercero Joaef Jorga Saenz, D. Pedro Perez, Lie. D. Manuel de Gareaga y Dan último y perentorio se les adíala, comparezcan á presentar sus instan Ignacio del Barrio, declararon por u…</t>
  </si>
  <si>
    <t>Velaico, Domingo Antonio</t>
  </si>
  <si>
    <t>Domingo Antonio Velaico</t>
  </si>
  <si>
    <t>aon «I decir qne fa'tó el fondo de donde se h b’an de sacar, porque lo sobre la cauta seguida á D. Domingo Antonio Velaico. que debía haberse hecho entonces era tacarlos de otra pane, cuyo pago fie levantó la sesión a las dos y media. no fuese tan urgente como este. ARTICULO DE OFICIO. El Sr.'Vaidé* (D. Cayetano) manifestó asimismo que era de ab soluta necesidad que se hubiesen p…</t>
  </si>
  <si>
    <t>VelaKo</t>
  </si>
  <si>
    <t>…r parte son profesores muy los facciosos; y en tercero que la comisión de Hacienda mirase cosí beneméritos. algui a detención este ominoso registro que acaso mueve á aquellos I L1 Sr. VelaKo apoyó las razones «apuestas por «I Sr. secretario del pueblos á manifestar algún descontento, y lo mismo puede dacuae casi</t>
  </si>
  <si>
    <t>Velarde, Antonio</t>
  </si>
  <si>
    <t>Antonio Velarde</t>
  </si>
  <si>
    <t>…aquella provincia la cantidad de 14111 La comisión de Guerra presentó su dictamen acerca de la solicitud reales; por cuyo motivo solicitaba se dijese 'que aquella provincia era de'D. Antonio Velarde , padre dtl héroe D. Pedro Velarde, una de de las mas puntuales en el pago de sus obligaciones: otra de Dofia Ma las víctimas del 1 de Mayo de 1808 , sobre que se le cambiasen pot ría Josefa N., residente en Milán , solicitando se le admitiese Ja capita- otra…</t>
  </si>
  <si>
    <t>Velarde, Pedro</t>
  </si>
  <si>
    <t>Pedro Velarde</t>
  </si>
  <si>
    <t>…1 La comisión de Guerra presentó su dictamen acerca de la solicitud reales; por cuyo motivo solicitaba se dijese 'que aquella provincia era de'D. Antonio Velarde , padre dtl héroe D. Pedro Velarde, una de de las mas puntuales en el pago de sus obligaciones: otra de Dofia Ma las víctimas del 1 de Mayo de 1808 , sobre que se le cambiasen pot ría Josefa N., residente en Milán , solicitando se le admitiese Ja capita- otras las tierras de baldíos que se le…</t>
  </si>
  <si>
    <t>Velas, Quntin</t>
  </si>
  <si>
    <t>Quntin Velas</t>
  </si>
  <si>
    <t>…, entre objeto, y estará esta noch: en Fuen Cald-ras, una columna de infante los cuales hab a 800 d: caballería. Los tiradores turcos y griegos estu ría y caballería, al mando d.l coronel D. Quntin Velas o, y otra sa vieron todo el día en una continua escaran uta- dirige hicia Loa're á las órd.nes del coronel D. Manuel Marcó del •&gt; El día 1 g los seis buques ingleses ocultaron su pabellón; lo mis Pont. R1 general Perene, que había sal do de Jaca , s: hallará…</t>
  </si>
  <si>
    <t>Velasc</t>
  </si>
  <si>
    <t>…adoptar medidas como ¡as que dejo insinuada»; antes creyó con la circunspección que aconseja la prudencia. que estaba en la esfera de sus facultades el proceder de este modo, y El Sr. Velasc &gt; dió algunas explicaciones sobre su discurso anterior. que en ello se interesaba la conveniencia pública. En ninguno de di El Sr. Oliver: Se extrañará que yo haya tomado ia palabra en con chos casos creyó comprometida su responsabilidad ; y yo pregunto, ¡de…</t>
  </si>
  <si>
    <t>Velasco</t>
  </si>
  <si>
    <t>…on nombrados lot Sres. Salvato, Arguelles, Becerra, Cangi Se mundo pasur i l.i comisión de Milicia local el segundo proyec Argüell-s y Naavedra para examinar la representación del Sr. Velasco. to adicional al reglamento de las mismas, presentado por el Sr. Salva, El Sr. Seoane , individuo de la comisión que anteriormente habia si y leido en la seson del 5 del comente por primera vez. do nombrada, manifestó que el Gobierno habia dado las órdenes co…</t>
  </si>
  <si>
    <t>…este periódico, que es el mas famo la cual se mandó pasar á una comisión especial la representación del so (pero no el mas célebre) de los de París. *» Ayer noche á las siete (el general Velasco. ay) una reunión de jóvenes , la mayor parte de ellos cursantes de le Se leyó un oficio del ministro de la Gobernación de la Península yes y medicina, y entre los cuales .fueron reconocidos algunos de los con fecha de ayer, en el cual participaba á las Cortes…</t>
  </si>
  <si>
    <t>…r estas razones El Sr. Adan deshizo una equivocación que dijo haber padecido el creo que las Cortes están en el caso de aprobar la proposición de qua Sr. preopinante. se treta. El Sr. Velasco: En mi concepto es de suma utilidad la proposi £1 Sr. secretario Salva : Aunque ei Sr. Arguelles tiene la delicadeza ción de que se trata, porque encierra ventajas que no se pueden contra de no creer que ia mesa haya omitido el prevenir que se habia recibido…</t>
  </si>
  <si>
    <t>…tiem rir casos en que los curas pmocos no tuviesen los conocimientos nece po del nuevo arreglo del cirro. sarios para ser examinadores; y que estando encargada á los obispos la El Sr. Velasco: El Congreso no habrá extrañado que los RR. ob’s- |rey que reside en cada diócesis, nadie mejor que ellos estaba obligado pos hayan puesto dificultades en el cumplimiento de este decreto. Ya a echar mano de coadjutores y operarios beneméritos para que les es…</t>
  </si>
  <si>
    <t>…reclaman la situación del al contrario es una prueba de que el Gobierno , teniendo fija ia vista Estado. en el límite de sus facultades, se muestra cuidadoso de no traspasarla, Eí Sr. Velasco. F.s para mí muy triste que los 'res. secretarios dei para que no se rompa el equilibrio que Un sabiamente ha establecido Despacho de la Gobernación de la Penínsu.a y de la Guerra halón la Constitución. La distribución de poderes que ella establece es ia razo…</t>
  </si>
  <si>
    <t>…aquella universidad y ios to que la que te había nombrado no había llenado lo* «leseo* da 1m paisanos. En el dia *6 el pueblo persiguió por las calles á los estudian Cortes; y el Sr. Velasco propuso lo mismo. tes, y estos abandonaron co masa la ciudad , á petar de los esfuerzo* El Sr. Casas pidió que u leyese el art. 11 a del reglamento. que hicieron para contenerlo* los superiores de la universidad, he pidie El Sr. 'aIva di|o que sentía que los…</t>
  </si>
  <si>
    <t>…s, con cuya simplificación podían ha plona es en donde tengo mas amigos y mas parientes; pero soy diputa cerse algunos ahorros. do, y debo prescindir de estas relaciones. Otra del Sr. Velasco sobre que te suprima una parte del oficio di Atendiendo á la conducta de la milicia voluntaria de aquella ciu vino de b. Gregorio por contener máximas perjudiciales al orden social. dad , se observa que desde el princip'o de su institución dió pruebas de Tres…</t>
  </si>
  <si>
    <t>…nguno qne tea indecoroso. Aprobado. Se procedió á la elección de vice-presidente: en el primer escruti La comisión de Hacienda , informando sobre una exposición del di nio tuvo el Sr. Velasco 68 votos, el Sr. Castejon 65 , el Sr. Calderón rector general del impuesto del registro , opinaba que se debía, tenar pro» uno, el Sr. Sedefto uno y el Sr. Alava uno; y no habiendo reunid» •ente para cuando se trate de la* rentas y su administración. Aprobado…</t>
  </si>
  <si>
    <t>…r ór al excesivo número de eclesiásticos. Pero dejémonos, Sefior, del dallo denes bajo su responsabilidad. pasado; olvidémonos de tantos buenos deseos inútiles, de tantas deter El Sr. Velasco manifestó que en el dia existían infinitos individuo* minaciones malogradas y de tantos trabajos sin fruto, y ocupémonos al pertenecientes al clero, que tenían la instrucción necesaria para poder presente en este asunto con esperanzas de mejor éxito, gracias…</t>
  </si>
  <si>
    <t>…deben aprobar el ar trase,entre esto» alguno con le iiloneidad aMcqii». Creo pues que con tículo i. de que se trata. vendría que las Cortas no «lesatendiesen cata, observación. El Sr. Velasco: Este artículo «lesde luego debe producir un feliz re Eá ¿&gt;t. Arguelle* ¿ La observación del Sr. preopinante ,e* casi me- sultado en beneficio de la Nación , pues que necesariamente va á des tafisica ,ty la comisión ya. previo esta c¿ar* de argumento- Las Cor…</t>
  </si>
  <si>
    <t>…enir á lo* mo las habilidades de los que han trabajado. Una camarina italiana, gastos precitos dd culto. que decía hallarse de tránsito en esta ciudad , dió en el principal una El Sr. Velasco contestó que la comisión no trataba de impedir tas (unción de música, y te notó que no tenia todo el mérito que se habla ofrendas voluntarias que la generosidad de los fieles pudiese hacer á laa creído; sin embargo, el teatro estuvo concurrido, y los que fuer…</t>
  </si>
  <si>
    <t>…chos y prerogativas que indicaba Este gefe político avisa que con una partida de too hombres de el art. 1 .J infantería y 36 de caballería va á emprender una opr.cion en grande El Sr. Velasco dijo que si los presbíteros españoles adscritos al clero para acabar de dispersar á los faccioso*; y es probable que todos los romano que babien vuelto á fijar su residencia en España tenían dere triunfos de Misa* terminen con una misa de difuntos. cho á que…</t>
  </si>
  <si>
    <t>…i virtud de las deposiciones tomadas y de los fondos qv- sa montepío. , ... a! Gob ernó procure que la han proporcionado, y continúan co- preferencia eo^medio de los apu Ot&lt;* del Sr. Velasco, sobre que s: diga habilitación para obtener curatos, vicaría» y demás se extienda 1 los in ros de este establecimiento, van sacado»&lt;n la actual fundición de mi dividuo» de la» órdenes monacales suprimidas. nerales, que dió principio en 3 del corrienia mes hq…</t>
  </si>
  <si>
    <t>…o que quedasen las cosas en el estado en dentes á los administradores de las provincias, como ha propuesto el que estaban sin hacer alteración en las ventas de fincas, con lo cual Sr. Velasco, por dos razones: la primera porque hay diferentes admi se habían conformado las Cortes: que también habia incurrido en esta nistradores en las provincias , como son los de ramos estancados , con misma equivocación la gaceta-, y aunque no eran de oficio los e…</t>
  </si>
  <si>
    <t>…posee el referi misión ; 4 les que contestó el Sr. Gómez ( D. Manuel) apoyando la do Sr. Infante en dicho arzobispado, opinaba que la» Corte» podían opinión que había expuesto el Sr. Velasco. servirte declarar fu la expresad» recaudación corresponde 4 los admi El Sr. Casas manifestó que en tode la Nación no había otro* curse nistradores del priorato de S. Juan, como igualmente su distribución, mejor pegados que los de órdenes, quienes al misino t…</t>
  </si>
  <si>
    <t>…todavía ; y en este sentido creo que la p-oposi podían entender en la bu?na recaudación dei m.-d.o diezmo. ción debe aprobarse para que el asunto vualva a la comisión nomlvad». El Sr. Velasco mai,.Iesto que ia com &gt;inr&gt; labia pre-s.nríido de la Se declaró este asunto suficientemente discutido, y quedo apr. bada cuestión de si el medio diezmo bastaba i&gt; 1. • para ¡a ¡nd n n;.- ^:.-n da ia proposición. su, part cipes , y que solo había tiatado de qu…</t>
  </si>
  <si>
    <t>…ión de los matriculados e:i la» pr. es n a: t nía-. , &gt; . uai se dejar á cargo de las juntas diocesanas. se haría presente en la discusión del proyecto : que ó: Gob;erf.o h i a El Sr. Velasco: Si la distribución del medio diezmo pudiera hacer pedido 66,716 hombres para e¡ egcr-.to, c ,v.p. r. -.nie-e ó a.tu; de se exactamente por otro medio que el que se propone , desde luego lo 53,171 hombres. pero que fi lando que sa :r 3141 qu r:cs a &lt;. 11 te a…</t>
  </si>
  <si>
    <t>…mpon.a brevedad posible, i propuesta de la comisión. en los términos que era de desear 1 qu: a 1 -ni i» ia eDccíon siempre re Se mandó pasar á la com.sion la siguiente adición del Sr. Velasco: caía sobre unas mismas personas , lo cual no era tampoco mur con « Qu: á la intervención del párroco se añada,y del alcalde ú tiro in~ veniente para que produjese el resultado que deseaban ios mismos se dhidtio del ayuntamiento.” ñoras d. la comisión; y fina…</t>
  </si>
  <si>
    <t>…haber hecho los El Sr. Zulueta contestó que no habia inconveniente en que se omi repartos.” tiese esta cl.usuia. El Sr. Romero opinó que tolo se diese una parte proporcional 4 El Sr. Velasco dijo que creia no podían ser milicianos aquello* los que tuviesen alguna propiedad , ea decir , que si la suerte valia i9 emplearlos cuyos destinos no fuesen compatibles con el servicio de 1* reales, y un propietario solo tenia 800, se le diese el valor de lo…</t>
  </si>
  <si>
    <t>…bará si ser proporcional á los cupos. está en su facultad, ó lo consultará á las Cortes si no lo estuviese.” El Sr. Sánchez apoyó el artículo, manifestando que el t por too que El Sr. Velasco observó que las diputaciones provinciales no estaban se señalaba á los ayuntamientos era una cosa regular para que pudiesen facultadas para aprobar ningún arbitrio sino interinamente ; y asi dijo indemnizarse de lo* gastos , y que lo era tanto nvs cuanto que…</t>
  </si>
  <si>
    <t>…alhechores, y á los que se acojan en el término de él, no habiendo cer un acatamiento á las leyes, y pasar adelante. suficiente fuerza militar permanente que lo haga. Aprobado. El Sr. Velasco dijo que creía inútil esta medida, porque si el pre Art. 6/. » Escoltar, en defecto de otra tropa, las conducciones de bendado era hombre desafecto á las nueva* instituciones en razón de presos y caudales nacionales desde su pueblo hasta el inmediato donde qu…</t>
  </si>
  <si>
    <t>…ma de aranc-'e, LasOct s extraordinar as lo ha» Incho suficiente intervenida por la contaduría general.” asi en En ro de este año, r los han rectificado , no asi como qu ir p r £1 Sr. Velasco impugnó este articulo, manif.stando que la di solo la opinión de un Sr. diputado, sino por ia opinión de toda la Na ferencia que s: encontraba en la recaudación de los valores de la bula ción. En efecto los aranceles se pueden considerar como el producto .1*…</t>
  </si>
  <si>
    <t>…34 ( ei 32Ó dicho reglamento), n Las autoridades política* cual es el v rdadero producto del medio diezmo. que necesitan las fuerzas del pueblo mas inmediato por no ser scfLienEl Sr. Velasco: El clero tiene un derecho indisputable á que sus te la que esta á sus órdenes en casos rxtraordinar os , la p-diri por es cuotas y pensiones le s-an sausf-c as; pero esto no es compatible coa crito expresando las razones; y el alcalde ó ayuntamiento á quien…</t>
  </si>
  <si>
    <t>…existan oficiales que tuvieren grsdo superior *1 cia 00 deja de traer inconvenientes de mucha consideración. empleo del egercicio que sirvieren, gozarán, cuando sean promovidos El Sr. Velasco contestó que en el caso de que faltasen ai cumpli ni empleo de su grado, 1* antigüedad correspondiente al grado que te miento de su obligación los párrocos castrenses podía el Gobierno se nían según su fecha. pararlos de sus respectivos destinos, del mismo mo…</t>
  </si>
  <si>
    <t>…ército , sino á la actual El Sr. Romero: Que deb'ria añadirse adhesión i la Constitución-, á disciplina; á lo que repuso el Sr. Velasoo qae si &amp; S. convenía en’ lo que contestó el Sr. Velasco, que esto estaba prevenido en el articulo qne bibirStda cota en la otdentnra antigua que produjese ventajas, ti á que se refería el que ahora se discutía. déheri* adoptar para la ordenanza actual, El Sr. Adton se opuso *1 artículo , manifestando entre otras c…</t>
  </si>
  <si>
    <t>…u aprobación resultaba un perjuicio considerable S los qua tienda con aprobación de la autoridad eclesiástica. saliesen quintos Si por egempio (continuó el orador) un pueblo tu £1 Sr. Velasco manifestó que por esta propoiicion se quería que las viese que dar seis quintos, y se escapase el que tuviese el núm. 4, claro Cortes acordasen lo contrario de lo que habían declarado en la sesión es que aprehendiéndole v. g. el que tuviese el núm. j, este qu…</t>
  </si>
  <si>
    <t>…gún sus diferentes clases; y otro de la comisión lias. Por lo tanto el Gobierno insiste en su propuesta. de Hacienda, relativo al presupuesto adicional presentado por el Sr. se El Sr. Velasco: Convengo en que el matrimonio traerá perjuicios; cretario del Despacho de la Gobernación de la Península. pero el mayor de todos que á mi entender puede haber es privar al Continuó ia diicvtion de ¡a ordenanza militar. nombre de un derecho tan sagrado, cual…</t>
  </si>
  <si>
    <t>…ue defendía sus mismos derechos; y concluyó pidiendo que pasase lo que, y conseguir tener mi derecha apoyada y libre de facciosos, con urgencia á una comisión. he dispuesto que el coronel Velasco con toda la fuerza de zapadores y El Sr. Salvi manifestó que estaba de acuerdo con los Sres. preopi 30 caba los marche sobre dichos puntos, y realizado que sea el exter nantes en que las Cortes tomasen este negocio en consideración ; pero minio ó dr-sap-ricio…</t>
  </si>
  <si>
    <t>…pio la consecuencia de que tiene derecho Se procedió .¡ la elección de ♦ice-presidente , y quedó elegido el d reconocer en la revolución griega el carácter de una legitima resis» Sr. Velasco por 78 vetos, habiendo obtenido 34 ai br. Cano , 3 ei se teñe a á a t oma. ñor Calderón, y uno respectivamente los Sre». Sote, La»a!j', Late?, » Una noticia tan grata á los amigos de la humanidad y del ñora* Tomas y Pedraivez. Tctai de votos 140. br» cr st an…</t>
  </si>
  <si>
    <t>…Congreso de la Nación, misiones , no podía aprobar el dictamen por las razone* que había ex compuesto en gran pane de sus mismos representantes. QSe continuará ) puesto antes. El Sr. Velasco: El objeto de los autores de la proposición que se NOTICIAS DE ESPAÑA. discute no ha sido otro que dar una prueba del ínteres que tenemos Madrid Lunes *£ dt Noviembre. por la religión, que está ofendida por este decreto, que lleva la autori zación del respeta…</t>
  </si>
  <si>
    <t>…ef- de del día 19 habla de ia entrada di los facciosos en la Almuma (a¡ ia plana mayor, rompiese el mov,miento pot el camino que conduce a la gaceta del 16 publicamos el parte del general Velasco sobre el particu Purbia, con el fin de que haciendo con oportunidad un movimiento lar') t en Epila y et» otros varios puebot, de lo» que exigieron caba de flanco, cayese por la espalda d;l castil o o posición d: los fa.ciollos , paños y otros artículos de con…</t>
  </si>
  <si>
    <t>…de las ideas manifestadas ayer por el Sr. Canga. de opmion que este convento sea exceptuado de la regí) pueril. Los Sres. Roset y Ojén fueron de parecer que no debía discutirse El Sr. Velasco: La comisión ha fundado su infernasen un princi desde luego este voto particular, porque no podía considerarte tal por pio de justicia, pues si accediese á la solicitud del piicfdlt las Batue haber sido variado por su autor despucs de la discusión del dictame…</t>
  </si>
  <si>
    <t>…junta y efectos con»,guicntcs. Madrid que habría que deshacer todo el repartimiento tan luego como hubiese 10 de Diciembre de s8a a.** una redamación. En cuanto á la objeción del Sr. Velasco contestó que era en efecto bastante duro que una misma corporación tuviese que ser Por la misma secretaria te ha circulado á los prelados diocesanos la juez y paite en estos negocios; pero que no había otro remedio, porque siguiente Real resolución: el Gobier…</t>
  </si>
  <si>
    <t>…abiorv-D todo el año, porque después de ios días de sesión hay les-» res de la com sion se sirvan retirarlo. pacho , y hay entrada de negocios que ocanonan otros untos exp dien El Sr. Velasco. Las diputaciones provincial-» deben depender cuan tes. La» .'omisiones están incesantemente ocupadas en el ■&gt;.,pacho de to menos sea posible del Gobierno -, y yo quisiera que los ores, de la estos xpedi entes; y en fin hay otros trabajos que dan , como he oi…</t>
  </si>
  <si>
    <t>…e sen pertenecientes á las atr bucion-s de dicho gefe: yo pregunto , ¡hay otro» tido desapruebo el aitículo. defectos que puedan comrter los subordinados contra la autoridad de El Sr. Velasco: Quisiera que los sefior-s de la com sion me dijesen los gefes políticos que desob:decetles, faltarles al respeto que i&lt; s es de si las Cortes asían autorizada» para nombrar un g. fe po it cu subaUtrno bido, y turbar el orden y sosiego púb ico! yo creo que no…</t>
  </si>
  <si>
    <t>…o siem arreglo ai art. 85 de ¡a instrucc on Je 28 de Juc-o tíc 1 'yq, mandada pre que lo crean conveniente. observar en el decreto de las Cou-s de 27 de Junio de e.te año , cor Él Sr. Velasco: No puedo convenir con la comisión en la segun deber extenderse en papel sedado todos í.-s anuncios , cci tifiv.ee ores, da parte de este articulo, pues por ella se extiende la autoridad a los libros y demas actos soj tos á &gt;11 uso, ba o l«&gt; p;n.» establecida…</t>
  </si>
  <si>
    <t>Velasco, Alonso Ortes de</t>
  </si>
  <si>
    <t>Alonso Ortes de Velasco</t>
  </si>
  <si>
    <t>…e á las gios de juros , uno de 319,909 mrs. de principal, situado en el nuevo premisas; la voz imperiosa de utilidad no fue desoída , y multitud de darccho de lanas , en cabeza de D. Alonso Ortes de Velasco: olio de capitalistas se apresuraron i unir tu suerte i las de sus generosos invia 19,737 mrs. da principal , situado en Salinas de Castilla la Vieja, en dores. Con tan felices auspicios nos reunimos por primera voz en la bi cabeza de Iñigo Orles de Velasco,…</t>
  </si>
  <si>
    <t>Velasco, Antonio Martínez de</t>
  </si>
  <si>
    <t>Antonio Martínez de Velasco</t>
  </si>
  <si>
    <t>…to suficientemente discutido, ha Reunido* la mañana del 17 del corriente en el pa'acio de las Cor ber lugar á votar, y que la votación fuese nominal. tes los Sres. jueces de hecho D. Antonio Martínez de Velasco, D. An Habiéndote procedido á alia quedó aprobado el art. *.° por 88 vo tonio María Alca'á Galiano, D. Lorenzo Villanueva, D. Juan Rico, to* contra 44. D. Javier Isturiz, D. Juan Josef Sánchez, D. Ramón Busaña, D. Jo Los Srei. que aprobaron fueron los siguien…</t>
  </si>
  <si>
    <t>Velasco, Domingo Antonio</t>
  </si>
  <si>
    <t>Domingo Antonio Velasco</t>
  </si>
  <si>
    <t>…eron nocimiento en esta causa. de un modo que lo repruebas las leyes, y por lo mismo deben ser cas Respecto de la segunda parte dijo: En ia de Junio de 1810, se tigados. arrestó á D. Domingo Antonio Velasco por una autoridad diferente El Sr. Oliver: Los peligros que amenazan i la Constitución son d« de aquella á que pertenecía , y en solos cinco dias hizo el auditor las varias clases. Unos proceden de parte de aquellos que seduciendo á los primeras diligencias,…</t>
  </si>
  <si>
    <t>Velasco, Joaquín</t>
  </si>
  <si>
    <t>Joaquín Velasco</t>
  </si>
  <si>
    <t>…o Te En testimonio de lo cual extendí la presente de ir.i letra y con mi tigno, que va sellada con el sello de mis armas en L»b,/a á 3 de Di jada, el duque di Abranles, Regidores. D. Joaquín Velasco, D. TWniH no G &gt;riza'-z d- 1? Pi ciembre de 1822 afio».__(L. S.) Manuel Cípiiano da Cosía. fia, D. Lorenzo i mtnet, D. o Juar-st , D Pab o Mari n Cu Decreto t.° po, D. Gregorio Entrambasaguas, D. Antonio Mir a P-rtz , D. Joa Habiendo la Reina por su espontáne…</t>
  </si>
  <si>
    <t>Velasco, Juan</t>
  </si>
  <si>
    <t>Juan Velasco</t>
  </si>
  <si>
    <t>…gándose á este punto: los enemigos si Cazadores. D. Claudio Estéban, herido. guieron su marcha'en dos columnas, atacándome, la una de cazadores Primera. D. Josef Molinero, herido. D. Juan Velasco, contuso. por la calle dé ¿oteros, y la otra de granaderos por la de la Amargura, Segunda. D. Estéban Abascal, herido. extendiéndose par su izquierda al callejón del Infierno; por cuyos tres” Tercera. D.Juan Cruz de Aldama , herido. puntos y en un tiempo'tnis…</t>
  </si>
  <si>
    <t>Velasco, Julián Fernandez de</t>
  </si>
  <si>
    <t>Julián Fernandez de Velasco</t>
  </si>
  <si>
    <t>…unanimidad de votos han declarado Terral va, linde fi oriente con otra de Bruno Mejia, y á mediodía con haber lugar á la formación dr causa. Barcelona *3 de Setiembre de tierra de D. Julián Fernandez de Velasco, de caber 460 cepas vivas 7 18x2. = Josef Francisco Pouplana. ss Felipe Fernandez Arias. = El 164 marras, que reducidas estas á vivas contadas tres por una, ascien marques de Monistrol. sjosef María Baldrich.=Rafacl María Com t.s de toda fi 548 cepas, valorad…</t>
  </si>
  <si>
    <t>Velasco, Lucas</t>
  </si>
  <si>
    <t>Lucas Velasco</t>
  </si>
  <si>
    <t>…on por consiguiente tu Dios único, Josef Clarct, y ei teniente piamontés D. Vicente Storti. Har. debido su cuidad, su patria y su Rey. igualmente entrar por la parte de San Girón* D. Lucas Velasco, capi No hay ea un Estado persona alguna que no pueda ser'* útil de uno tán de zapadores, y ayudante de estado mayor ; D. Mariano Foncillas, ú otro modo, y nadie puede eximir»: de esta obligación. Todos deber* ton ente de Ingenieros; D. Marcelo Ort.s, subteni…</t>
  </si>
  <si>
    <t>Velasco, Lúeas de</t>
  </si>
  <si>
    <t>Lúeas de Velasco</t>
  </si>
  <si>
    <t>…ostado derecho , sin des buenca , y sufrido la misma suerte y herido gravemente el gefe de la atender el izquierdo que cubrían una infinidad de guerrillas. Las a’turas plana mayor D. Lúeas de Velasco; habiéndose presentado en Hue-ca y ermita se defendieron por espacio de mas de dos horas, haciendo en dos nficaics de Toledo de los que se suponen prisioneros en el uraco. este intermedio la artillería, bien con metralla, bien con bala rasa , ti _ Por las not…</t>
  </si>
  <si>
    <t>Velasco, Manuel</t>
  </si>
  <si>
    <t>Manuel Velasco</t>
  </si>
  <si>
    <t>…tendente de La comisión de Premios declaró comprendidos en el decreto de 5 cgército, D. Antonio Diez del Moral, ex-diputado i Cortes por la de Abril último sobre pago de sueldos á D. Manuel Velasco, lamenprovincia de Granada, y D. Raimundo Queraltó, int ndente de la te agregado at regimiento de Fernando vu, D. Josef Castañedo y otroi provincia de Aragón; y tuvo el primero 9 rotos, 69 el segundo, y 47 oficiales. Aprobado. el tercero, quedando elegido el…</t>
  </si>
  <si>
    <t>Velasco, Manuel Gregorio</t>
  </si>
  <si>
    <t>Manuel Gregorio Velasco</t>
  </si>
  <si>
    <t>…gado á Villaseca de la Sagra, partido de Toledo, denunciadospor D. Antonio su introducción en las islas C.nanas, llevando documentos que lo acre de la Pastora, de esta vecindad, y D. Manuel Gregorio Velasco, que diten ; y no podrán conducirse á otras provincia» los género* ó efectos lo es de Toledo, en la extinguida subdelegaron de bienes mostrencos y abintestatos , en cuyos autos se han mostrado parres Mateo López y cuya entrada esté prohibida en ellas. Art. g.…</t>
  </si>
  <si>
    <t>Velasco, Martínez</t>
  </si>
  <si>
    <t>Martínez Velasco</t>
  </si>
  <si>
    <t>…e lo que previene El Sr. Canga Argíi.-lle* manifestó los motivos que habia tenido la la misma Constitución. comisión para proponer tu dictamen sobre este asunto en los términos El Sr. Martínez Velasco indicó que no creía fundado el dictamen que lo había hecho, siendo uno de ellos el que no podía ser el gefir de la comisión , y de consiguiente que no debía aprobarse- Una de las político de una provincia presidente de la junta y elector á un mismo principale…</t>
  </si>
  <si>
    <t>Velasco, Matías de</t>
  </si>
  <si>
    <t>Matías de Velasco</t>
  </si>
  <si>
    <t>…n que este procedimiento le cau sase perjuicio en su reputación. Los Sres. jueces de hecho que declara Dirección general de aduanas y resguardos. ron aisucito dicho impreso fueron D. Matías de Velasco, D. Maria Hallándote vacante la plaza de contador déla aduana de Ceuta, pro no Prtet, D. Miguel sanchez , marques de Riofiorido, D. Luis Oliag, vincia de Cádiz, dotada con 6600 rs. anuales, y siendo precisa su pro D. Joaquín Saez Quinlanilla y D. Gabriel Mont…</t>
  </si>
  <si>
    <t>Velasco, Pedro Gortez de</t>
  </si>
  <si>
    <t>Pedro Gortez de Velasco</t>
  </si>
  <si>
    <t>…uierda al callejón del Infierno; por cuyos tres” Tercera. D.Juan Cruz de Aldama , herido. puntos y en un tiempo'tnismcí hicieron Un horroroso fuego, el que fue Cuarta. Subteniente D. Pedro Gortez de Velasco fue herido lle correspondido por mis tropas con el mayor denuedo y bizarría, su vando la bandera en la mano que la asía. Milicianos, D. Manuel Fer friendo dos fuertes carga*, dé las que fueron rechazados hasta venir á nandez de los Ríos, herido. D. Nicolás Jo…</t>
  </si>
  <si>
    <t>Velasco, Pedro Martínez de</t>
  </si>
  <si>
    <t>Pedro Martínez de Velasco</t>
  </si>
  <si>
    <t>…dien Faustino Jiménez, cura párroco de Córdoba , sobre la asignación de te á informe del consejo de Estado para la conveniente resolución. congrua. Aprobado. Se concedió permiso á D. Pedro Martínez de Velasco, juez de pri El Sr. Arguelles dijo que en atención á la solemnidad del dia , pa mera instancia de Coria , para jurar su plaza ante aquel ayuntamiento recía conveniente celebrarla con la discusión y aprobación del dictamea constitucional, dispensándosele el ha…</t>
  </si>
  <si>
    <t>Velasco, Tomas de</t>
  </si>
  <si>
    <t>Tomas de Velasco</t>
  </si>
  <si>
    <t>…oficiales de cuya D. Ramón de Argos, y escribanía cartularia de D. Valdomcro Morapertenencia sean. 15. Se entenderá fiel y exactamente en su literal sentido leda , á pedimento de D. Tomas de Velasco, sobre reclamación de 2* cada uno de los artículos y palabras contenidas en la presente capitula vales Reales : 13 de 150 pesos; 4 de 600 ,y 6 de 300; por providen ción. Cuartel general de la Vela á las 12 del dia 9 de Enero de 1831. cia de 13 de Febrero próx…</t>
  </si>
  <si>
    <t>…izo presente al Rey las dudas escribanía cartularia de D. Valdomero MorsieJj , se siguen autos a pe que le ocurrían sobre el abono del doble tiempo de campada que debía dimento de D. Tomas de Velasco sobre reclamación de 23 vales rea hacerse en las solicitudes para retiro de los oficiales que habiendo sufri les. 13 de 150 pesos , 4 de 600 y 6 de 300, en los cuales por provi do juicio de purificación, fueron á tu consecuencia rehabilitados en tus dencia de…</t>
  </si>
  <si>
    <t>…te habian retirado y escribanía cartularia d- D. VaIdom:ro Moral.‘da, se citan siguiendo i los montes con los facciosos; pero qu: habiéndolos llamado, volvie autos á pedimento de D. Tomas de Velasco , como heredero de Doña ron muchos á sus casas, donde hallaron un recibimiento y trato pro- María Matea Ruiz, sobre reclamación de 14 vales, diez de 600 pe p'o de los defensores de la libertad : por dichos vecinos supo Buiges sos, nueve de 300 y cinco de 150.…</t>
  </si>
  <si>
    <t>Velase</t>
  </si>
  <si>
    <t>…he» Qu* á la mañana del 21 , impa de Mcquinenza, no se alargan á mucha distancia, sin duda por saber ciente* aquellos valientes milicianos al ver que no te determinaban lo* que el coronel Velase© se halla en observación de sus correrías, como facciosos á acercarse al fuerte, clamaron por salir; y en efecto disputo me lo manifiesta dicho coronel.=Bar bistre si de Noviembre de 182a. lo verificasen dos guerrillas , que dirigiéndose une á la altura de Sa…</t>
  </si>
  <si>
    <t>Velasen</t>
  </si>
  <si>
    <t>…nder á la dotación el ir. secretario de Hacienda en que las Cortes anteriores dieron el de todo et clero. ejemplo que su señoría ha citado, el cual han tenido irresistiblemente El Sr. Velasen: La comisión , al presentar á las Cortes ui dictamen, que imitar las actuales; pero este aq*l egempto se halla compensado no ha podido hacerlo en otros términos que del modo que las mismas con que se haya sujetado por pr¡osera vez 'desde que hay diezmos en ha…</t>
  </si>
  <si>
    <t>…os propietarios pueda durar un tiempo considerable á jui recaudación, administración y distribución del medio diezmo la hi cio del Gobierno. ciesen las juntas diocesanas , pues et Sr. Velasen habia dicho ayer que- Después de haber leído los arts. 109 y m del reglamento á per la recaudación y administración podia correr por cuenta de los curas dón de los Sres Romero y Buey, se mandó paaar esu consulta á la párrocos, al paso que el Sr. preopinante a…</t>
  </si>
  <si>
    <t>Núna. *99. &lt;y cuarto*.) *479 ’Js GACETA DE MADRID. SABADO 12 DE OCTUBRE DE i8aa. ------------------- —^ m 1 ■ n 1 i» NOTICIAS DE ESPAÑA. El Sr. Velasen: No puedo convenir con el dictamen de la comi sión en este artículo , porque el medio que en él se propone para la proMadrid Vierner 11 di Octubre. v sion de las capellanías de egercito no es el mas á propos.ro para co S. M. el Rey y SS. \A. continúan sin nov…</t>
  </si>
  <si>
    <t>…ro el Gobernó nunca int st.ra ni sosten guardado muy bien de proponer un arreglo ger.rquico. drá que a los emancipados de ia patna por indignos hijos de ella , te E1 Sr. Marau: El Sr. Velasen me ha precedido en satisfacer al ae- les socorra con nada; antes bien quisiera encontrar un m.-i o eficaz para gor Falcó; pero sin embargo quiero añadir que te entiende también precaver que estos malos hijos de 'a patria pu.dan tener d.ncro en per por fijar l…</t>
  </si>
  <si>
    <t>…utados me opongo también. El artí rón, sin entrar de ningún modo en la suposición de que fuese crimina!. culo 4." de la Constitución dice que la Nación está obligada á sostener El Sr. Velasen: Kl objeto de la comisión al extender su primiti y conservar por leyes justas la librrtad civil: esta igualdad absoluta en vo dictamen, fue el de evitar que pudiese haber conspinc ones en las que todos los ciudadanos dtb'n estar hace qu: yo , aplaudiendo , co…</t>
  </si>
  <si>
    <t>Velasen, Iñigo Josef Ortes de</t>
  </si>
  <si>
    <t>Iñigo Josef Ortes de Velasen</t>
  </si>
  <si>
    <t>…guro, y la suerte exclu de Noviembre de 1571 , correspondiente á las ebras pías del Eterno, siva de algunas familias dependiente del terrible resuttado de un aca de que es patrono D. Iñigo Josef Ortes de Velasen; y otro de ir.7,300 so, ó de las funestas consecuencias dt una mano alevosa que podía con anta, de capital, situado en al mismo almojarifazgo mayor de Sevu.a, denarlas á ia miseria. despachado en cabeza de D. H.rnan López Ramírez, prunrcicnie al Animados dt e…</t>
  </si>
  <si>
    <t>Velasen, María Josefa</t>
  </si>
  <si>
    <t>María Josefa Velasen</t>
  </si>
  <si>
    <t>…. presidente dijo que mañana se continuaría esta discusión, y Madrid : Doña Manuela Moreno, viuda de dicho L&gt;. Antonio María se levantó la sesión á las cuatro dadas. «fe Quijada , Doña María Josefa Velasen, viuda de D. Pedro Celestino ARTICULO DE OFICIO. González de Salazsr, curado a de sus cinco hijos , D Nicolás , Doña María Antonia, Doña Ana María, D. Francisco «fe Paula y Cofia El Sr. secretario del Despacho de la Gobernación «le Ultramar con Mu ía Josefa d…</t>
  </si>
  <si>
    <t>Velasoo</t>
  </si>
  <si>
    <t>…. a.'-" «le la Iglesia ni á la ordenanza anterior del egército , sino á la actual El Sr. Romero: Que deb'ria añadirse adhesión i la Constitución-, á disciplina; á lo que repuso el Sr. Velasoo qae si &amp; S. convenía en’ lo que contestó el Sr. Velasco, que esto estaba prevenido en el articulo qne bibirStda cota en la otdentnra antigua que produjese ventajas, ti á que se refería el que ahora se discutía. déheri* adoptar para la ordenanza actual, El Sr.…</t>
  </si>
  <si>
    <t>Velatco</t>
  </si>
  <si>
    <t>…el tiste- Sicilia ¡ aumenta afcctivacara ta la fnsrxm de/taima da la monarquía ma constitucional , loa cuates ofrecen otra garantía con respecto 1 lo* temores que ha anunciado el Sr. Velatco, porque no parece posible qae Lejos de' eso nos parece claro y evidente qne la debilita, arparan do se baya dt disminuir tanto el número de eclesiástico* que ao queden los égéteiaos austríaco* á te distancia de mas de 300 legua* ¿I úni lo* btoantes .para serv…</t>
  </si>
  <si>
    <t>…deben responder de lo que entre en su poder; pero de ningún mo sen entendiendo en la recaudación del mismo. do de lo que se hubiere recaudado, porque nunca podrán averiguar lo El Sr. Velatco, como de la comisión , contestó que las nuevas jun cierto en este punto , mucho menos teniendo los párrocos, que ton loe tas diocesanas no podían tampoco establecerle en tiempo oportuno pa únicos interventores, un intere* opuesto al de los individuos de las m…</t>
  </si>
  <si>
    <t>…o se hiciesen al Pedro Ruiz Sainz 7 D. Francisco Lavid, síndicos del concurso de aeree- gunas excepciones. dotes de-D. Juan Lobato, pidiendo que para satisfacer á los mismos se El Sr. Velatco dijo que los párroco* no podían dejar de ser dignos permiticM Ja rifa en la lotería aaoderna de varias fincas de la misma tes- ■ de la confianza de todos los ciudadanos para conceder las licencias, y au tamentaría, sitas en Jerez de la Fronteta, 7 tasadas en…</t>
  </si>
  <si>
    <t>Velazquez, Castor</t>
  </si>
  <si>
    <t>Castor Velazquez</t>
  </si>
  <si>
    <t>…embargo de allí á dos días. Villa roe!. Octava clase. Lengua ¡atina, á cargo del mismo. Premio á Don VAISISSAJOS. J.nan Madrid. Accésit a Castro. Novena clase. Dibujo, i cargo de D. Castor Velazquez. Premio í.r Haya i.° de Enero. á Castro. Accésit i Co'ombo. Tos gastos de! presupuesto extraordinario para 1811 fttan fijados Decima clase. Mu.Ua de violin, i cargo de D. Manuel Ocon. Item en 34.875,051 florines, ademas de un crédito de un millón para gas de…</t>
  </si>
  <si>
    <t>Velazqurz, Isidro</t>
  </si>
  <si>
    <t>Isidro Velazqurz</t>
  </si>
  <si>
    <t>…inm diato del muerto esquíen tá erigiendo en ei prado de S. Gerónimo bajo la dirección de su au adquiere este derecho,y de tal manera queda comprometido su honor tor el benemérito profesor D. Isidro Velazqurz , arqut cto mayor de en este punto, qu: si nc cuida de tomar su talion , queda d.shonrado S. M. , en memoria de las ilustr.s víctimas del Dos de Mayo de 1808, para si. mpr.. Per consiguiente está ea continuo acecho esperaodo U ha acordado te ponga de manifies…</t>
  </si>
  <si>
    <t>Velete</t>
  </si>
  <si>
    <t>…hto. Toma que no en nnatree eódigo». Aai que, me paree* aprobar el dictamen de la comisión como fundado en raaoac* ds políti ao debe aprobarte I* adicioa. ca y de justicia. : ; El Sr. Velete»: U comisión hn tenido por rwitnw pena ele</t>
  </si>
  <si>
    <t>Velices</t>
  </si>
  <si>
    <t>…a 11 en* /n ” de. ,-f , r.i-s c o s ■ s, *e .:&gt;■ s ¡.i-,. o , qjr o tes d ? los pueblos, y de estos hablaba c! articulo. tacs aptobinte» rx rn r, n s -*v:c o a -ua~: q„ - , r. F.l Sr. Velices d io que el ártica o d-b.ru deci- r' : i g «- El &gt;r. Ca» ion h CO var.as r, fi \ ¡a , p„: ¡ j&gt;- S«- q 1 • -1 «r i • ¡es de los alcaldes, porque acaso lo&gt; ayuntamiento, se sevan pro, ,.1 .0» las 11 t mi, palabra, d otra ! ..lio, q 2 • d r. .0 &lt;v ¡.a S *. ta '…</t>
  </si>
  <si>
    <t>Vellido, Josef</t>
  </si>
  <si>
    <t>Josef Vellido</t>
  </si>
  <si>
    <t>…Vicente Marzo, aboga gobernador de la plaza de S- Fernando de Figueras. Para la de Lérida, do; D. Vicente Llopis , canónigo magistiai de la santa igusia de Va al mariscal de campo D. Josef Vellido, gobernador de la plaza de Lé lencia; D. Amonio (Jasanova y Ravana-s, abogado; D. Juaqu n Ro rida. Para la de Tarragona al mariscal de campo D. Miguel de Hato, maguera, id.; 1&gt;- Félix Mora, capitán de infantería, teniente del ex gobernador de la plaza de Tort…</t>
  </si>
  <si>
    <t>…conociendo la ocasión de hacer patente el valor El comandante de la provincia de Lérida el mariscal de campo de todos, y u diferencia que hay de los hombres libres á los que no ¡o D. Josef Vellido comunica los siguiente* sucesos al comandante general son, y acercándose »i la noche, dispuse un ataque general y decisivo, del sexto distrito militar desde Cerrera á 18 del corriente. siendo el efecto de el la toma de la ciudad y la huida de los faccio » La…</t>
  </si>
  <si>
    <t>…e 11 del corriente decía; - Que acababa de recibir un oficio sef Rodríguez Bustos, pidiendo se le recomendase al Gobierno para que del comandante militar de la provincia de Lérida D. Josef Vellido, su en atención i sus méritos 7 servicios le concediese una plana de ma fecha en Cerrera á 18 de Mayo, comunicándole que después de haber gistrado de le audiencia de Oviedo, en la cual sirvió interinamente batido y denotado completamente á los facciosos en la…</t>
  </si>
  <si>
    <t>Vellido, Juan Crisóstomo</t>
  </si>
  <si>
    <t>Juan Crisóstomo Vellido</t>
  </si>
  <si>
    <t>…tá piedad particular, que estando abandonadas hayan sido reclamadas por menes. su» legítimos dueños, con arreglo al art. 1 a de la citada ley ."Aprobado. Uno sobre la solicitud de D. Juan Crisóstomo Vellido , vecino de Art. 3.0 ” Que el Gobierno ampare los derechos y acciones del Arriara, pan que t¿ le permitiese vender la mitad de los bienes perte Crédito público en la posesión de las minas aplicadas al mismo, para necientes' á un vínculo que posee en Alcali de…</t>
  </si>
  <si>
    <t>Vellón, Francisco María</t>
  </si>
  <si>
    <t>Francisco María Vellón</t>
  </si>
  <si>
    <t>…. Miguel de Paz, de cante por fallecimiento de D. Josef Marta Cabañero, 4 D. Fermín 2279 mrs__ Otro sobre 89 soldados de Granada sentado 4 pliego i.', en Gil de Linares. cabeza de D. Francisco María Vellón , de 43 3,868 mrs__ Otros dos so Asimismo ha tenido 4 bien nombrar S. M. para plazas de magistra bre 89 soldados de Toledo 4 pliegos 7, en cabeza de D. Josef de la dos de la de Mallorca á D. Juan de Dios de Aguilar, D. Juan Manuel Torre y D. Pedro de la Torre…</t>
  </si>
  <si>
    <t>Vemarchaban, Miguel María de</t>
  </si>
  <si>
    <t>Miguel María de Vemarchaban</t>
  </si>
  <si>
    <t>…esopota Dios con ¡o de todos, denunciado por los ciudadanos D. Nicolás de mia y la Armenia estaban ya ocupadas por aquellos: 113® persas Santiago Rotalds, D. Agustín Masca teñas y D. Miguel María de Vemarchaban á la Anatolia, y Jas provincias turcas del Asia, en que hay lasco; en cuya consecuencia la ley condenó á D. Tomas García Mo. muchos cristianos , están en plena insurrección. Ya empezaba á mani rante, presbítero beneficiado del lugar de San Quirce de Rio Pisue…</t>
  </si>
  <si>
    <t>Ven, Antonio</t>
  </si>
  <si>
    <t>Antonio Ven</t>
  </si>
  <si>
    <t>…el comandante Don Luis Bacigalupi, el subteniente del batallón de Sigiúnza D. Junan » Comandancia general del 6.3 distrito müitar.ssExcmo. Sr.: Ayer Sanz, el ayudante de Astúr-a, D. Antonio Ven, gravemente contuso dije á V. E. que esperaba un día de gloría de resultas de los movi el capitán de Sigucnza D. Josef Fernandez , y en razón de la herida mientos combinados de Us varias columnas d*st nadas é escarmentar de Bacigalupi me he entregado del mand…</t>
  </si>
  <si>
    <t>Vencisteis, Jo</t>
  </si>
  <si>
    <t>Jo Vencisteis</t>
  </si>
  <si>
    <t>…mana, D. Cirio* Marrngal, D. Rafael Cu&lt;d, D- Juan porbio, émulo de vuestras eminentes virtudes i incomparab'es glorias. Francisco Alomo, D. Cristóbal Navarro , D. Joaquín Somoza , D. Jo Vencisteis: llenasteis de asombro í todos los espectador:* por vu-stra sef CaamaSo, D. Mate© Vnlaeco , D. AgutíaMuio 4c la* Hcra*, Don amble fidelidad nacional; pero no os entr-gueit a las delicias deCapua: Celedonio de Salazar , D. Josef Blanco, D. Josef Márquez , I).…</t>
  </si>
  <si>
    <t>Venden, Francisco Laci</t>
  </si>
  <si>
    <t>Francisco Laci Venden</t>
  </si>
  <si>
    <t>…dos expe lientes: el mu para que pueda admir..strar sus bien:,: orco para que se conceda cana uno acerca de que se conceda á Fr. Vicente Luengo y F'r. A.orno Min- de SIU.¡aduno á D. Francisco Laci Venden , del comercio de Bilbao: iiTure, las asignaciones de 6 y 4 rs : v el segundo á fin de que se auto- otro acercado ¡o mismo respecto de D. Francisco Ca.rennaies, vecu.o r ce i ,a junta nacinna1 de este establecimiento para celebrar una tran de Zmiara, y capitá…</t>
  </si>
  <si>
    <t>Ventu</t>
  </si>
  <si>
    <t>…do, D. Ramón líarro y A xoyocontuso- D. Vicente Pérez, El alcalde, regidores v procurador síndico general de) ayuntamien 11X111. IX Jossf bolahude, ídem. D. Josef María López, id. D. Ventu to constitucional del mismo lugar de Vicilvaíó han' publicarlo utí cer ra Garcero , ídem. D Marcelino Lúrtjide, herido. IX Ramón Calieja, tificado acerca de lá buena conducta que esta trepaba óbiervatió«luían ídem. D. Antonio Ensebio Uernaosilla, idem. D. Jua…</t>
  </si>
  <si>
    <t>Ventura</t>
  </si>
  <si>
    <t>…stos las 24 horas de fondear, aunque con las precauciones sanitarias.* municipales; la com.sion opinaba que debían aprobarse. Asi se acordó. Aprobado. ' Otro sobre la solicitud de D. Ventura lmansa, vecino de Cádiz, Art. 9.“ » Se procurará que den fondo con la separación que per opinando ia coir. son que siendo un asunta puramente judicial el do míta la capacidad de los puertos. Las descargas se han de comenzar lue este interesado, debía acudir a…</t>
  </si>
  <si>
    <t>…á la que Granada. Cádiz. Mancha. acompañó tres vales Real:* para cubrir su alcance; y como no se ha Murcia. Santander. Valencia. yan presentado á redamar tu derecho los referidos D. Ventura y Do* Salamanca. Soria. Zamora. I.nac o de Obregon ni D. Jacinto Sánchez Tirado, se les cita y em Sevilla. Valladolid. Y las Idas. plaza para que en el ptecito término de ao dias, contados desde la ptaContribuciones so&lt;re consumos. bl •caeion de este anuncio , lo…</t>
  </si>
  <si>
    <t>…marques de Prrales, mo son de cañamos, montes y betunes, 108,545 rs. y en el estado de ella se puso por caudal el importe del arrendamiento Ingenieros. satisfecho por su padre el Sr. D. Ventura, conde marques que fue tam Sueldos de los oficiales del cuerpo de Ingenieros de la Marina bién de los mismos títulos, da la dehesa titulada de Viltanueva, pro 463,200 rs. pia de la villa de Alcázar de S- Juan por contrato celebrado en 13 da Arsenales. Abril d…</t>
  </si>
  <si>
    <t>Ventura, Manuel</t>
  </si>
  <si>
    <t>Manuel Ventura</t>
  </si>
  <si>
    <t>…sito, según Leída y aprobada el acta de la anterior, se mandó pasar i la co- el artículo 17 del reglamento de depósitos.” Aprobado. mís'on Eclesiástica una adición del Sr. Gómez ( D. Manuel Ventura) Art. id. •&gt; Se petm tiri sin embargo á los interesados que al despa al proyecto sobre reforma de las juntas diocesanas. char de salida para Ultramar esta cíase de géneros declaren nuevamen La comisión de Guerra, en vista de la solicitud de D. Martin Pé te su…</t>
  </si>
  <si>
    <t>Vera, Francisco Javier Rodríguez</t>
  </si>
  <si>
    <t>Francisco Javier Rodríguez Vera</t>
  </si>
  <si>
    <t>lado en ota asusto, m ha dignado wwlfw por punto genera? que «un* Hellin i D. Francisco Javier Rodríguez Vera, comandante su que ios gefes políticos son los encargados de la tranqulídad pública en pernumerario d:i regimiento in£anu ría de U Reina con el sueldo 4ue mis provincias, y responsables de ella, no por cao pueden disponer ab disfruta. solutamente da las tropa…</t>
  </si>
  <si>
    <t>Vera, Josef María Rodríguez</t>
  </si>
  <si>
    <t>Josef María Rodríguez Vera</t>
  </si>
  <si>
    <t>…de infantetía Voluntarios de Castilla. Chinchilla: para primer comandante al primer comandante de in Valencia: para primer comandante al cotonel graduado D. Salva fantería ligera D. Josef María Rodríguez Vera, encargado actualmen dor Díaz Berrios, primer comandante de tropas ligeras y supernume te del mando del regimiento de la Corona. rario del regimiento de Soria. Cuenca para primer comandante al comandante de infantería Don Valladolid : para primer comandante á…</t>
  </si>
  <si>
    <t>Vera, Vicente de</t>
  </si>
  <si>
    <t>Vicente de Vera</t>
  </si>
  <si>
    <t>…art n z 100. D. Jos.f Rodríguez 100. D. Manuel K.os fio. Don enconado resentimi. r.to, á no ser que cuando escribió esta apología se J'ran.- seo M.rtin-z fio. D. Vanuel Gunzaúz 80 D. Vicente de Vera acordase de ia América, y de las mvect vas que habría leído en algu 80. D. Juan Pcdto Morales 80. D. Joscf Santacana 80. Total io0 rs. nos autores poco ve rae s conira sus d scubridores y conquistadores, en quienes no suponen mas cualidades que la de una vil…</t>
  </si>
  <si>
    <t>Verásco</t>
  </si>
  <si>
    <t>…or sí antes de ahora adema, de la o.sic.bupoique s empr: habría reclamaciones pendientes de los pueblos. cion decimal; y que en consecuencia lo* beneficiados, las Lubrica* , sa El Sr. Verásco se opuso al articuio, manifestando que si las dipu cristanes y acólaos deben continuar sin novedad en el goce de la pa-te taciones provinciales eran las que habían de decidir sobre las redama que siempre han disfrutado. En este supuesto,y habiendo recurr.au p…</t>
  </si>
  <si>
    <t>Verdalet, Pablo María</t>
  </si>
  <si>
    <t>Pablo María Verdalet</t>
  </si>
  <si>
    <t>…n la formación de expedientes generales que la retardarían Joaquín Ruira y Lacren, D. Josef Miguel Corriols, D. Jnsef Anto notablemente. nio BjIcl-IIs , D. Felipa Fernandez Arias, D. Pablo María Verdalet y Y 4.a » Que las obras se ejecuten en los términos que i juicio de D. Josef María Baldrich, declararon por unanimidad haber lugar A las diputacicnes sean mas económicos, debiendo preferirse para trabajar formación de causa contra el autor de un artículo comunica…</t>
  </si>
  <si>
    <t>Verdugo</t>
  </si>
  <si>
    <t>…enen derecho de patrona lativa á la agregación de unas casas al seminario de aquella diócesis, he- to; las desfrudu- i fietr-t. o- miserere y otras furci'• . o ra 1 s _rcha por «I obispo Verdugo: la comisión opinaba que este expediente cicios que s: tienen er: la labre ii de í G: —. de es-a c*-.-e : ¡as ' udebía pasar al Gobierno. Aprobado. correspotiden á var.os cubil ios ¿ ¡glebas como patr- '.r-¿ d: ¡armó-na Otro sobre la solicitud de la viuda de…</t>
  </si>
  <si>
    <t>Verdugo, Josef</t>
  </si>
  <si>
    <t>Josef Verdugo</t>
  </si>
  <si>
    <t>…ó m la bahía de Cádiz el bergantín enemigas que estaban aun en el pueblo hiriesen de bastante gravedad al goleta de la armada nombrado Mágica, conduciendo la corresponden teniente coronel D. Josef Verdugo , capitán procedente del regimiento cia de oficio y pública de la America septentrional, y en re»astro infantería de Tordo, últimamente destinado á la milicia activa de 799i onzas de oro, 635,994$ pesos fuertes, 14 sobornales de grana Motril , y tres soldad.-…</t>
  </si>
  <si>
    <t>Vereda, Juan Cavillo</t>
  </si>
  <si>
    <t>Juan Cavillo Vereda</t>
  </si>
  <si>
    <t>…omías consisten mas en la reforma da por D. Francisco de Paula Juez, vecino de Lucena, contra el regi del número de empleados que en la rebaja de sueldos; por lo mismo dor primero D. Juan Cavillo Vereda, y contra el alcalde de barrio yo no veo que haya necesidad de aumentar en las provincias emplea Juan Fernandez de la Cámara, por haberle allanado su casa de noche dos que no se pueden considerar bajo ningún aspecto como necesarios y ilevádole preso sin auto…</t>
  </si>
  <si>
    <t>Veredas, Juan Cabello</t>
  </si>
  <si>
    <t>Juan Cabello Veredas</t>
  </si>
  <si>
    <t>…por ú:timo que V. S. satisfaga por partes lo mas que pueda el d etun n se apr&lt; bi la primera parte sobre formación de causa al re en pago de los atrasos hista reintegrarlos. gidor D. Juan Cabello Veredas, declarándose no haber luzar á votar Di Real orden lo comunico » V. para su inteligencia v cumpli sobre la segunda, relativa á ia formación de causa al alcalde Juan Fer miento , dando al mismo fin cuantas fueren necesarias. Pa.ac c 30 de nandez de la Cámara.…</t>
  </si>
  <si>
    <t>Vergara, Alfonso García</t>
  </si>
  <si>
    <t>Alfonso García Vergara</t>
  </si>
  <si>
    <t>…nes ó alegorías, siempre riano Moyano para la piimera de ellas , 4 D. Laureano Josef Clonado que los jueces de hecho creyeren según su conciencia que se habla ó para la segunda, 4 D. Alfonso García Vergara para la tercera, • Don hace alusión á persona ó personas determinadas, 6 á cuerpeo reconoci Juan García del Pozo para la cuarta; y para la fiscalía 4 D. Tomas dos por las leyes. Art. 4.0 Son libelos infamatorios, con arreglo al ar Díaz Rodríguez. tículo 16 de…</t>
  </si>
  <si>
    <t>Vergara, D Vicente María de</t>
  </si>
  <si>
    <t>D Vicente María de Vergara</t>
  </si>
  <si>
    <t>…en idea* doetta/deorideia, y director electo de este cuerpo. Se dió principio por poco exactas de las consecuencias de esto* diferente» sitios. El Empera mftdiifeftttdtque dijo el secretario D Vicente María de Vergara, en que dor Severo fue el que destruyó loa templo* y lo* damas monumento* mairifeiló^eeiinuabaa en ocuparse, j se ocuparán constante y guatusa de la antigua Bizancio, y quien mandó derribar las murallas , dejandomente loa individuos de las sociedades económic…</t>
  </si>
  <si>
    <t>Vergueiro</t>
  </si>
  <si>
    <t>…lio. ahora no habéis implorado el perdón , para que reflexionéis vu-stra suerte actual y la que os espera bajo U segur de la ley : vuestra liger* ti Sesiun dt Cortes del 8. .il El Sr. Vergueiro leyó una proposición firmada por otros Sres. di os hará verter lagrimas de dolor, arrepentimiento y desesperac putados del Brasil, pidiendo en vista de las razones que exponían, cuando ya no haya remedio. Repito que quizá me excedo de mis ¡Vicu u.i.s en propo…</t>
  </si>
  <si>
    <t>Versara, Diego de</t>
  </si>
  <si>
    <t>Diego de Versara</t>
  </si>
  <si>
    <t>…s de Édfú, tiembre de ■ 667.__Un juro «fe 703,312 mrs. p medio, situados sobra «fe El-kab óElethiadc Erment ó Hermontit, por los Sres. Roziere, las alcabalas de Ocaña , á favor de D. Diego de Versara. En Madrid z Jomard, Saint Genis, Jollois, Deviniera, p la* nota» sobre la* ruinas 9 de Marzo de 1611. Al que alé noticia de la existencia de dichos pri de la antigua ciudad de Tuphiun por Mr. Costaz, componen con el vilegios y de los que se insertaron en la…</t>
  </si>
  <si>
    <t>Vetasco</t>
  </si>
  <si>
    <t>…que han venido en el correo de ayer,'pero todos con la comisión encargad* de examinar el estado de la .Nación. vienen que hubo Jas mayores atrocidades y excesos en d dia 19 del El Sr. Vetasco manifestó lo necesario que era purgar la provincia corriente, es necesario por consiguiente que llame la atención de las de Búrgot de la partida de facciosos, que cometen en los alrededores de Cortes sobre una cosa muy particular, y as que no hay regimiento q…</t>
  </si>
  <si>
    <t>…ase válida, con tanta mayor razón, cuanto que aunque todo* lo* no deben aprobar el dictamen de la comisión. cinco electores hubiesen concurrido, y los do* que faltaban hubiesen El Sr. Vetasco: Es preciso que se tenga presente que la comisión ¿do voto negativo, siempre hubiera quedado elegido el mismo Don no ha propuesto un plan general , pues se trata solamente de repartir Antonio del Vnlle, por reunir la mayoría absoluta de tres electores. el die…</t>
  </si>
  <si>
    <t>Vetdalet, Pablo Marró</t>
  </si>
  <si>
    <t>Pablo Marró Vetdalet</t>
  </si>
  <si>
    <t>…t y D. Joan Bautista Se leyó d dictamen de la comisión de Premio* para que te conti Dotan*. núe pagando 4 D. Antonio Díaz del Moral, ex-diputado de la* Cor Sefiom qne disintieron: D. Pablo Marró Vetdalet, D. Pedro Gil tes dehMdloa 1813, 1814, i8»o y 1811 la pensión de 1 $9 rs. que y D. Joaquín Busquéis. I* aefiató I* junta de Granada durante la guerra de la independencia cANirot en el dU j Je AM dU i8*s* en atención a sus padecimiento* y servicio». Aprobado.…</t>
  </si>
  <si>
    <t>Ve’</t>
  </si>
  <si>
    <t>…Corte, de I» « último i pe- lado. ;"du i • • -o , a api . barse deb. por . -.ta adre, que no la ley , y opinaba *d*Z .o t.nto dí« declaró «te a,unto eficientemente disent do. y el Sr. Ve’.,co p-.,u.,... de ,»: « Gobierno pul,es: en al^uu caso, en que fue-i., ; prevínfó ,í « habían deducido lo, s-eldo. de lo. cejantes , jubi.ado, *«aRustica dopen^r &lt;U1 servio a a»buno de los ceprenados re que hubi&lt;.en mueMo. slber t! ,e hab¡, hecho el des- ““li…</t>
  </si>
  <si>
    <t>Vfanu-I</t>
  </si>
  <si>
    <t>…iu 1: su mando, y recibió una con ban ; pirándose esta palrut ca comt.va a la pu rta ae la casa del ciu- tusión en el pie chitcho, i suhar.do herido tamb en un soldado del dudar o D. Vfanu-I dri Rea', huésped y compadre del írento Riego: resguardo; pero p r el iu pj sostmi-.o que hac.an los facciosos, lo es ei Sr. comandante que -os acompañaba les recordó tsta aprecíenle cir cabroso del terrero , y hab-r 1 ntrado la noch-. que se presentó muy os…</t>
  </si>
  <si>
    <t>Vi</t>
  </si>
  <si>
    <t>…del restablecimiento del sistema, esta opinioa que llegue á constituirse en soberanía el poder judicial. manifestada por todos los medios con que ella suele pronunciarse, se ha El Sr. Vi i labua: Reconozco hasta cierto punto las faltas en que dirigido casi unánimemente contra el poder judicial. Esta declaracioa puede habr incurrido el poder judicial; pero me parece que la medi habrá sido hecha tal vez por un efecto de la exaltación de los pri…</t>
  </si>
  <si>
    <t>…a Cortes del pfiode &lt;8ao res putación provincial. Aprobado. pecto de los depósito* de primera y aguada des* Aprobado. La comisión segunda &lt;fc Hacienda en vísta de la exposición de D. Vi La misma comisión ,«n la solicitud da D. Francisco Ginldi, na cente Navas , administrador de tabacos de Coquimbo, en el distrito de tural de Milán, sobre que se le dispense d requisito de estar casado con espetóla, yule habilite pera hacer el cosnercio de Améric…</t>
  </si>
  <si>
    <t>…dísimas de que hacían frente a Palacio y i la calle de Tol do, en cuy 1 a c-s puse las fatigas de todo el dia , «líos rn disposición de fugan • y descansando un obús de á 4 con el capitán Vi!la»ant‘. Ant-cipadaovni: heb e a ia durante la noche en aptitud de continuar al dia siguiente su marcha milicia nacional y demas militar-'s que me acompañaban , y rara me favorecidos por la escabrosidad del país hasta Guadarrama, y seguir tu costo ufl.mar á a…</t>
  </si>
  <si>
    <t>…ersonas en cuyo poder se hallen los privilegios Los frutos de la empresa, perdidos para la política, no lo fueron originales de los juros que se expresarán se sirvan entregarlos á D. Vi para las ciencias: á la gloria de las armas se había unido ia de las le cente Ferrer Carrera, que vive calle de la Magdalena, núm. 3., cuarto tras, y el mismo laurel habia coronado dos empresas á un tiempo. segundo, apoderado del sugeto i quien pertenecen__ U…</t>
  </si>
  <si>
    <t>…s, conquistó á Ñi y dos psrrt d- pama ones de mahnn v paño. póles, y la perdió al año siguiente por su *mprudrnc a, como dice un El Sr. comándame general na r c b' io un parte del capitán D. Vi cente Abad, fecha á 'as 11 d- la noch* d.l miércoles desde el Coro— (1) Afio jí; d- la fundación de Roma y 387 antes de J. C. n&lt;(, en qu - parr c pi qu- con not c as mur aproximadas sobra el para {:) Año 278 ant-s de J. C. dlo d- '* facción 'te ZOdivar sa ta…</t>
  </si>
  <si>
    <t>…El Literal iauiruzcoano del &gt;7 publica lo que sigue: » Ten iros la felicidad de carecer estos dias de noticias de facciosos, En el correo de fa mala de 30 de Agosto último remitió D. Vi porque estos no existen str.o en pequeñas cuadrillas, incapaces ya de in cente Fernandez de Luco, vecino de la ciudad de Logroño , una certi comodar á ros pueblos, si ellos quieren tomar, ó laa autoridades loa ficación de crédito contra el Estado de 377,700 r…</t>
  </si>
  <si>
    <t>Vi, Felipe</t>
  </si>
  <si>
    <t>Felipe Vi</t>
  </si>
  <si>
    <t>…s de llegar á la ermita del Rosario un soldado de dicho para Guayaquil i que aquel Gobierno está en el mayor desorden , que cuerpo, y al primer aviso acudió el Sr. cura del pueblo D. Felipe Vi *1 egárcito español estaba en Pisco, y que á esta fecha puede haber en» cente Manzsneque, quien i la menor insinuación del digno coman irado en Lima. dante de Bujalance D. Cárlos González Llanos se prestó gustoso y lle México Agosto 31- Ayer dirigió el Congre…</t>
  </si>
  <si>
    <t>Vi-'</t>
  </si>
  <si>
    <t>…aron El general Manso salió ayer de .YL.nrbanch cen dirección a! prio disperso* en algunos , y aprehender á süi encubridores. rato, habiendo dejado de guarnición en aquel punto al comandante Vi-' „ No ofreciendo el fuerte de la Merced las mayores garantías de. las con dos compañías de miqueictes , una partida de Málaga y unos seguridad por el estado en que los malvados dejaron la mina que estaba go caballos. hecha desde tiempo de los franceses, se est…</t>
  </si>
  <si>
    <t>Vi.jseci</t>
  </si>
  <si>
    <t>…da ra; onal. L»&gt;s patr.otas esperan con pu. Idos vecinos. Salió luego nuestra milicia, que unida á la de Reut seguir tan noble» cb¡ t s “n aqu. I n-o pa &gt;, v endose *a sobre tod 1 rey Vi.jseci, corrió al socorro de sus hermanos En efecto se logró este; foríjdofc con los id hoirSrv* del ecerc to p-rmanrnte procedentes &lt;te p r&gt; no el batir á los malvados, que avisados sin duda se escaparon los acreditados regimientos de Aragón r Navarra otra vez á su…</t>
  </si>
  <si>
    <t>Viado, Manuel Alonso</t>
  </si>
  <si>
    <t>Manuel Alonso Viado</t>
  </si>
  <si>
    <t>Núm. 327. &lt; 7 cuarto*.) *«37 G A CETA DE MADRID. JUEVES 7 DE NOVIEMBRE DE 183a. NOTICIAS DI ESPAÑA- k la Eclesiástica las observaciones que sobre el arreglo del clero hacia D. Manuel Alonso Viado. Barcelona 29 de Octubre. El Sr. presidente dijo que principiaba la discusión sobre el presu En nuestros periódicos se publica lo siguiente: puesto adicional del ministerio de la Gobernación de la Península , y » Con esta lecha digo al &gt;r. general en ge fe lo…</t>
  </si>
  <si>
    <t>Vial, Joaquín</t>
  </si>
  <si>
    <t>Joaquín Vial</t>
  </si>
  <si>
    <t>…o constitucio » Dios guarde i vmd. muchos años. México 11 de Marzo de 1311 nal de Cádiz, remitida con dictamen de la diputación provine al , so á Us ti del dia.=Dek Venadito.rsir. D. Joaquín Vial, ayudante ma* licitando ia aprobación del reglamento que había fcrmaco para sus pro yor de Us compañías de marina.” pios, opinaba que podía aprobarse el reglamento tal como lo reforma . MUXBtO 8.° ba la diputación de aquella provincia; y proponía que se autor…</t>
  </si>
  <si>
    <t>Vic</t>
  </si>
  <si>
    <t>…emejante al de los turcos es mas seguro andar vagando por todas partes que ser labra TxsanxAt». dor sedentario. En los caototies donde el terreno es pedregoso y arenisco , como en D. Vic&amp;te Jotef de Bofarull, capitán de los egércitos nacionales, el Fih, el Hegitz y el Najd, estas lluvias hacen germinar las semillaa segundo teniente decazadores del batallón provisional del segundo ra de las plantas silvestres, reaniman las zarzas, ios ranúncul…</t>
  </si>
  <si>
    <t>Vicario, Luisa</t>
  </si>
  <si>
    <t>Luisa Vicario</t>
  </si>
  <si>
    <t>…Mayo, Dommgu-z, marquesa de Rincón-Gallardo, Doña Igoacia Rojo da y llegó a la Jamaica el 3 de Junio, pues por la v.a de Panamá se tenian Cacho, Doña Josefa de Gregorio de Torres, Doña Luisa Vicario de noticias en aquel pueblo de que el general Mourgeon vivia, de qile ha Morerfo. Camareras, Doña María Cervar tes , Doña Dolores Abarca, bía batido completamente á los colombianos, de que el batallón de Doña Manuela Cacho , D ña Antonia Bonilla y Val&lt; ro, Do…</t>
  </si>
  <si>
    <t>Vicen</t>
  </si>
  <si>
    <t>…o franco que U hice la madrugada del 7 , sal del cuane da contrarme con el Hxcmo. Sr. D. Francisco Copors, que habiendo dis S. Gil con dos piezas de artillería , á las órdenes dei capitán D. Vicen persado los ú'timos restos de los fugitivos, se retiraba i esta cap-tal. te Villasante, y m d a compañía de guardias consntucionai-s que las ” odavía restaba mas de una hora d: dia , y notando que favore escoltaban; y marchando rápidamente por la cal.e de Lev…</t>
  </si>
  <si>
    <t>…tiva D. Pío Ballesteros , drseai;-ñarun á mi Bordadores bajo ias del vaíietua clones aeoane, que en esta ocasión ha satisfacción las funciones de ayudantes de campo. Lea oficiales D. Vicen dado nueras pruebas de su pericia y arrojo; constipando con oportuni te Carsi, D. Josef Llanos Carranza, D. Juan Arcos , D. Pascual Ru dad para obrar ranas compañías del primero y segundo batallón de la bio, y otros cuyos nombres ignoro, me acompañaron con io…</t>
  </si>
  <si>
    <t>Vicen, Fe.ix</t>
  </si>
  <si>
    <t>Fe.ix Vicen</t>
  </si>
  <si>
    <t>…cia, por d.inis.on del marques de la Calzada, y a otra manente que S. E. la diputación provincial pueda obtener del ir. co* del jcez l itado del partido de biche , por renuncia de D. Fe.ix Vicen mandante general. te Cerda. Y De la artillería de campada que la misma diputación pida, be admit-n memoriales con sus respectivos extractos dt méritos por y consiga del propio Sr. comandan ti genera.” término de 30 d as en la secretaria dei consejo de Estado.…</t>
  </si>
  <si>
    <t>Vicenta</t>
  </si>
  <si>
    <t>…bre de io 19 , dejando ocho hijos llamados D. Lorenzo, D. BernarDe Real orden lo comunico á V. S. , á fin de que disponga su mas d‘no , ya presbítero. Doña Josefa, Doña Petronila, Doña Vicenta, pronto y puntual cumplimiento. Madrid 16 de Aímó de 1022. Doña Ana María, Doña Remigia y Doña Ines de Huerta y Frias. Dirección ¿eneral de aduanas y resguardos. Cuyo emplazamiento y citación et para que dentro de 15 días pe Hallándose vacante la plaza de vis…</t>
  </si>
  <si>
    <t>…que todavía no se habían presentado á ia Diputación. dado procurarse ia amistad y auxilio de algunas potencias extranjeras, Se dió cuenta de los poderes presentados por los Sres. D. Vicenta mayormente'cuando no ya la España, según se dice, sino todas las na Posada, diputado electo por Nueva-Cáceres, en Filipinas; D Francis ciones marítimas de Europa, los rusos y tártaros del Asia, los anglo co Brirgas , por Nueva-Segovia, de la misma; D. Félix V…</t>
  </si>
  <si>
    <t>Vicente</t>
  </si>
  <si>
    <t>…o ia, Fernandez, Muñoz Arroyo, Solana, Guerra, Lasanta, Ocho*, mano» de formar el concepto debido: tolo la prudencia e* la que ha Cosío, Golfin, Paul, Vadillo, Calatrava, Lallave (D. Vicente), Rohecho callar á lodo». En esta decreto da separación *a hace una verda vira, Lupes (D. Pablo), Ayeúarás, Ramírez , Torra Savariego, Tedera acusación al Congreso; te lepara é loa ministros, no porque hay huanhuey y Ramírez. motivo .para dio, tino por la fue…</t>
  </si>
  <si>
    <t>…tes un caudal correspondiente i su ele». Ea u Cosío, Golfín, Paul, Gutiérrez Acuña, Vadillo, Calatrava, Lallave siglo ¡lustrado y bajo un reinado paternal no hay hombre de lúea ^ (D. Vicente), Olive/, López (D. Patricio), Tehuanguey, Murfi, Ra no desee que U carrera de la fortuna y de los honores se abra pan io mírez Torres, Apestaran y Sabaricgo. dos los hombres; que los talentos, el ingenio y el trabajo contri baya Resultando 94 votos contra 81…</t>
  </si>
  <si>
    <t>…en permanecido adictos á la metrópoli, y quisie Romero (D. Josef), Muftoz Arroyo, Quiroga , Cortarar, Guerra sen sel ir de aquellas provincias. (D. Josef Basilio), Yuste, Lallave (D. Vicente),García(D. Antonio) El Sr. Oliver presentó su roto particular , en que opinaba debía y Diaz del Moral. exigirte la responsabilidad.! quien hubiese lugar por las últimas ocur El Sr. Gaseo manifestó qne el objeto de esta proposición era que rencias de la Améric…</t>
  </si>
  <si>
    <t>…eres Cotia, una sin la otros, y se hadarían inconvenientes grava si ae sanciona NtrtW» (D. Felipe),Becerra, Mullos, Añoro, Golfin, Solanot,Yut* ban una titula y otra no. te,Laibve(D. Vicente), Olirer,Quintana,Fernandas,Gateo,Codo, El Sr. González Allende a opuso al dictamen de la comisión, ha Otorio, Puigblanch j Ocboa: »Interesando al decoro de la representa- ciendo presente lo infructuoso que seria el haberse apresurado la Cor don nacional que…</t>
  </si>
  <si>
    <t>…e apelación una causa que seguía el exponente ante uno Otro relativo ú la ad.cion hecha por el Sr. Rico en el informe pr^ de los jueces de primera instancia de esta villa: otra de D. Vicente tentado por ia misma comisión , sobre la consulta de varios gefes po Tina, vocal electo de la diputación provincial de Valencia , queján líticos, relativa á la supresión de aqueüos o niMilni en que se hubiese dole del gefe político de aqurlia provincia por no…</t>
  </si>
  <si>
    <t>…ista de la exposición de Fr. Basilio Romaguera, D. Pedro Cordobés, D. Pedro Pascual Liob-t, D. Re Larraita, carmelita descalzo en Vizcaya , quejándose de no habérsele non Gascón y D. Vicente ¿.lopis, canónigo, después de haber exami despachado sa secularización por el obispo a quien corresponde, opina nado el impreso y la denuncia , declararon por unanimidad de votos ba que debia pasar al Gobierno para los efectos correspondientes. Me haber lugar…</t>
  </si>
  <si>
    <t>…ho que Por auto proveído por el Sr. teniente vicario eclesiástico de esta debían declarar si había ó no lugar á la formación de causa, y salieron M. H. villa ante el notario mayor D. Vicente de la Llave se mmda los Sres. siguientes: D. Cayetano Romero, D. Joaquín Cevallot, Don convocar por la gaceta y diario 4 Doña María del Carmen Echeverría Juan Fernandez Casariego, D.Isidro de Hoyos , conde de Florida-Blan y su madre Doña Concepción Zu’.uaga,…</t>
  </si>
  <si>
    <t>…el intendente de la provincia de Málaga. Aprobado. la abogac'a , opinaba qu: podía accedéis: a ,o que solicitaban. Apr rbado. La comisión de Pr míos, en vista de la exposición de D. Vicente El Sr. Riego l.só una -xpostcíon , rn que después de referir -a con Navas para que ae le habilitas: para obtener empico sin que obstase no ducta que halua b--rvado mi-nt as tuvo a su cargo el mando nvi-.tar gozar sueldo, opinaba que en atr-ncion á sus servicios pod…</t>
  </si>
  <si>
    <t>…irva entregarlas al dicho presbítero, residente en la para Ihvar &lt; la posible perfección una institución naciente dimanada expresada ciudad de Alcalá de Henares, ó en esta corte á D. Vicente de la libertad. de Laliave, notario mayor da la vicaría eclesiástica dt ella. EN LA IMPRENTA NACIONAL.</t>
  </si>
  <si>
    <t>…callones lebre mas que por tus desgracia» por su traducion «le Tácito y de los dosd¿ fusil colocados en una sola caja. Cada canon se caiga con go balas, hermanos Alcalá Gaiiano ( D. Vicente y D. Dionisio ), no suficientede modo que i cada tiro salen ato. Loa americanos hicieron de ella el mente conocidos entre nosotros. uso mas mortífero en la última guerra marítima, y i esta máquina de Testamento y última voluntad del alma, hecho en talud pan ase ben princip…</t>
  </si>
  <si>
    <t>…ré conveniente, y llevara fi efecto lo que se acuerde , parándoles ent.ro en ellos; y vi con satisfacción que por la parte donde te hallaban lo* perjuí cío. distinguidos patriotas D. Vicente y D. Manuel Beluan de Lis se ha Ea el juzgado de primera instancia de Toledo, y por el oficio da bía tranquilizado todo, y que en unión de otro* ciudadanos armados D. Juan Josef de Lara, escribano del número, se siguen aut-r de tes ocupaban con inteligencia y aelo loa puestee avanzado…</t>
  </si>
  <si>
    <t>…ún se previene cn el art. 17del decreto para una plaza de fiscal de Ir audiencia de Aragón al auditor de guerra de 19 de Junio de 1811 , sea por imputación de delito , el empleado D. Vicente drf Campo; y para la plaza de juez letrado del partido d« podrá reclamar en justicia. Madrid 17 de Junio de i8*a.=A!varo Gó Cangas de Ti neo , cn Asturias , á D. Vicente Antonio García del mez , presid:nte.es\ngel Saavedra, diputado secretario.rtFrancisco Be…</t>
  </si>
  <si>
    <t>…arragona; peto de Tortosa se sabe que lo han sido los indivi refugiaron; siendo el resultado de esta acción 6 hombres mu-rtos, que duos siguientes: D. Francisco Querol, escribano; D. Vicente y Don te han visto, 4 prisioneros, y a de ellos heridos, 14 fusiles y esc.ipe Tomas Piñols; D. Diego Ifiero, administrador de correos; D. Maria tas , una caja de guerra, un caballo que montaba el cabecilla Santocil- no Oliveras, librero; D. Mateo Sampons, abogado;…</t>
  </si>
  <si>
    <t>…si no se hace efectivo lo que se debe por ter por y 1 votos del total 101. Jufvr-s persona! es , tun de la fuerza que esti organizada no podrí dis- Para ia de Barcelona los Sres. D. Vicente d-í H "Tro, I) P J-o ¡ c:i r , purs que no podrá obligar á nadie al servicio sino tiene con Barr-ra y C nt:l a y D. Santos Sanmartín , y fue e.ecto el ir. ii.,;ro qu-: psgirirs i pero la comisión ha dicho que con los alcances que tiene por 66 votos de o a. e;…</t>
  </si>
  <si>
    <t>…a, y otro de 45,786 mrs. en salinas de Andalucía, costa dé la mar , en cabeza de D. Josef de Guevara ; se suplica al que supiere su Juicio di jurados. paradero se sirva avisarlo á D. Vicente de la Llave , notario mayor de El Sr. fiscal de imprenta denunció al Sr. alealde D. Cayetano Ru la vicaría eclesiástica , quien le gratificará. bio un párrafo inserto en el Indicador, núm. 206, que empieza: Habiéndote extraviado dos juros originales, encabeza…</t>
  </si>
  <si>
    <t>Vicente, Santiago</t>
  </si>
  <si>
    <t>Santiago Vicente</t>
  </si>
  <si>
    <t>…Con Puigblanc, D. Miguel Ripa , D. Higinio Antonio Loreme, D. Va greso por la parte occidental da la Pensilvsnia , el cual voló en cierta lentín Recio, D. Joaquin Vaga y Quintana, D. Santiago Vicente ocasión de un modo contrario á las instrucciones que se le habían dado. Leo y D. Antonio Regas. Luego que regresó á tu país te le llamó para que explicase los motivos Habida la conferencia resultó por unanimidad no haber lugar A la de su voto , sopeña da ser…</t>
  </si>
  <si>
    <t>Vicentí, Manuel de</t>
  </si>
  <si>
    <t>Manuel de Vicentí</t>
  </si>
  <si>
    <t>…s libres, que teman la mayor glo porte al capitán graduado de teñirte coronel ríe: de Cata ufa , 3.0 ria en pisar el suelo de los héroes z.it3rTozanos, en sur mandados por ligero, D. Manuel de Vicentí, con 11 cficulís y 55 hombres de tropa. tan digno general, y en ofrecer ii: v.ría, su reo. ¡o y sus fatigas en Aía.l i.i Jit.trtet 24 Jt netierntre. holociusto de ,'as libertades p.ur.a,. El concurso numerosísimo que ha S. M. el Rey y SS. AA. continúan sin ne…</t>
  </si>
  <si>
    <t>Viceré, Constantino</t>
  </si>
  <si>
    <t>Constantino Viceré</t>
  </si>
  <si>
    <t>…primen instancia de Sevilla , mandó te llevaw Venezuela por le decisión de sus matareleí en favor de lea armas nacio á debido efecto , y te borrase el artículo denunciado. nales. —D. Constantino Viceré denunció al Sr. D. Rodrigo Aranda, alai » El faccioso Reyes Verga* y otros de su partido fueran batidos el de constitucional de esta M. H. villa, un artículo inserto en el núme 17 de Enero en le jurisdicción de Carón por una columna que man ro da del Universa…</t>
  </si>
  <si>
    <t>Vicio</t>
  </si>
  <si>
    <t>…unto yo, ¡estas casas no están habita palabra tropa es muy genérica, y comprende i toda dase de militares. das por españoles? Siéndolo deben estar comprendidas en el texto lite Ei Sr. Vicio: La comisión ha incluido en la tropa permanente á la ral de la Constitución. Ademas las habitaciones de loe dueños de esiae milicia activa , y sabe muy bien que el soldado no puede hacer nada casas públicas deben por lo menos set respetadas, é inclusas en la…</t>
  </si>
  <si>
    <t>Vicrnte</t>
  </si>
  <si>
    <t>…o mucho que convendría que es te interesado las explicase, solicitaba que se le autorizase para pedir á sen las contribuciones, para atender con su producto á las cargas del dicho D. Vicrnte las explicaciones convenientes para verificar su pen Estado; que á fin de que este pego no te paralizase, no encontraba samiento , y adoptar algunas de ellas en caso que lo estimase convenirla mejor medio que el de aprobar el artículo que se discutia; y que e…</t>
  </si>
  <si>
    <t>Victo</t>
  </si>
  <si>
    <t>…culos dió pane i la justicia. Pieza da Valdemoro , fol. 146. Ademas resulta que el Abuelo y cómplice* salieron sin pasa por. Hallándose cazando el alcalde constitucional de Seufia D. Victo tes: que llevaban con sillas los caballos; no entraron en mas pob a.ion riano Fernandez de Velasco, Wenceslao y Ensebio Cazorla, Lucas qu: en la pequeña de Alcoba, donde permanecieron poco* momentos; Hernández y Valentín Arroyo en 19 de Enero de 1811 descubri…</t>
  </si>
  <si>
    <t>Victoria, Guadalupe</t>
  </si>
  <si>
    <t>Guadalupe Victoria</t>
  </si>
  <si>
    <t>…nghras. durará sei» ó siete, ‘'obre todo» estos datos hacen algunos papeles de París reflexiones muy juiciosas—Refiriéndose á cartas de la Havana , dice el ALEMANIA. Times, que el general Guadalupe Victoria ha proclamado contra IturbiFrancfort xa át Octubre. de el Gobierno republicano, y que ha derrotado una dir:tion de tropaa Corre la vos de que, creyendo el Gabinete de Lóndres deber des del nuevo Emperador, mandada por el general Santa Ana___Fondos embarazarse…</t>
  </si>
  <si>
    <t>Vicuña, Cr.stoLal de</t>
  </si>
  <si>
    <t>Cr.stoLal de Vicuña</t>
  </si>
  <si>
    <t>…Angel Fernandez de los Ríos, juez de primera ir-tancia en esta capi tendrá poder para envilecer nuestras armas, y si valiesen nuestras len tal , y por la escribanía del número de D. Cr.stoLal de Vicuña, dentro guas y nuestros brazos para dar nu -va ostentación y solemnidad al de cuatro metes y io dias, por el que se ha fijado el tercero y últ no voto pronunciado d-sde el a^o de 181a ante les era* de la patria, loe térnr no. Esta providencia e* del s8 de Jun…</t>
  </si>
  <si>
    <t>Vicuña, Cristóbal de</t>
  </si>
  <si>
    <t>Cristóbal de Vicuña</t>
  </si>
  <si>
    <t>…continúen po en esta villa y de los negocios contencioso» de la Hacienda pública, y seyendo jo menos el número de 20, acudirán i la sccieiaría de la com- escribanía del número d# D. Cristóbal de Vicuña, la declaró vacante, á ripcifiír la correspondiente esquela pata su asistencia. Los demás y pertenecientes dos terceras partes á la Hacienda nacional y la otra al denunciador. Estando ya señalado día para su remate, acudió este ex poniendo que cuando hizo la…</t>
  </si>
  <si>
    <t>…á los juzgados frc. honorario, juez de primera instancia y de la hacienda públ.ca, y.escriba El Sr. Salva manifestó , que se preguntara si volvería á la comisión nía del número de D. Cristóbal de Vicuña , se siguen autos principiados Ja primera parte del dictamen ; i lo que manifestaron los Sres. Adan y en la extinguida subdelegaron de bienes mostrencos y abintest-tos por Ferrei que esta uo creía quu había olio medio ma» acertado que ei que c! fiscal de ciia…</t>
  </si>
  <si>
    <t>…deducir el que crea asistirle por sí , ó por procurador con tivo servicio ó cesantes que aspiren á ella , y rtun-n las circunstancias poder bastante, á mi juzgado y escribanía de D. Cristóbal de Vicuña, prevenidas en los decretos «le las Cortes y órdenes de S. M., presenten donde se halla pendiente dicha denuncia 4 lot bienes de los expresa las instancias por conducto de tus respectivos gefes en la intendencia dos miyorazgos en estado de resolverte «fefimti…</t>
  </si>
  <si>
    <t>…y pensionistas de toda date en la armada 7.001,63a de la audiencia territorial de Castilla la Nueva, y juez de primera ins reale* y 17 mrs. tancia en esta capital, y escribanía de D. Cristóbal de Vicuña, se ha Resultas de comisiones. lla radicada la testamentaría y ocurrencia de acreedores fi tos bienes del Par* los gastos que ocasionan varias comisiones de la marina, co Sr. D. Josef Fernandez de Pinedo, último conde marques de Prrales, mo son de cañamos, mo…</t>
  </si>
  <si>
    <t>…a del Sr. D. Martín de Pineda , magistrado honorario, juez de primrt in.nnc a en esta capital , dada por la es Circular del ministerio de Gracia y Justicia. cribanía del número de D. Cristóbal de Vicuña , se cita , llama y cmPor e! ministerio de Gracia y Justicia se ha comunicado al de Ha* p'aza A los Sres. Daweí y compañía , del comercio ds Alicante, «enecienda la Real orden siguiente: rieres de dos vales de 6oa pesos ds Mayo de 1808, núms. 394,680 y ’&gt; Los…</t>
  </si>
  <si>
    <t>…ta el 1.° de Enero próximo, de primera instancia y de la Hacienda pública, dada por la escribanía en cuya época se propone adoptar catre las que hubiese reunido aque del número de D. Cristóbal de Vicuña, te ha señalado el dia 13 del llas que sean mas conveniente* á la Nación; en la inteligencia que ai se corriente de dooe á una de sn mañana en la posada fie S. S., calle y cata hiciesen proposiciones ventajosas antes de dicha fecha serán admitida* del Sacrame…</t>
  </si>
  <si>
    <t>Vicuña, Critóbal de</t>
  </si>
  <si>
    <t>Critóbal de Vicuña</t>
  </si>
  <si>
    <t>…no ge* acostumbrados de esta corte y de dicha ciudad, presenten en su estaba sujeto á la jurisdicción militar, y que no se ha creído con faculta juzgado y escríbanla del número de D. Critóbal de Vicuña los títulos des para fallar term nantemenu sobre tas pretensiones del interesado, di de pertenencia de su respectiva tercera parte de la casa calle de S. Vi rigida* a que se le declaras# libre de todo cargo por haber desertado de cente Alta, núm. a , manz. 45…</t>
  </si>
  <si>
    <t>Vidal</t>
  </si>
  <si>
    <t>…lo que decían los milicianos del i.° y a.° batallón , 80 hombres de la coínpafiía de ari periodistas franceses, sus actuales guias: fijen luego un poco la reflexión que leles del capitán Vidal, y 40 soldados del regimiento de Soria y sobre aquellos resultados , y se avergonzarán ahora de lo que están pu 28 caballos, pa;te del escuadrón de artillería, y los restantea de la blicando *. sírvale» á lo menos la experiencia de lo pasado para gob.er- M. N…</t>
  </si>
  <si>
    <t>…bastantes provisiones. (0 Tenemos cartas de Liorna del 4 de Setirmbre, por las cuales sa Coron esta guarnecida por 100 ó 300 turcos, y muy bien provis bemos que un buque ionio, su capitán Vidal i, que salió de Spezzia el ta. El número de los griegos que hay delante de esta plaza suele variar *8 de Agosto, y llegó á Liorna el 1de Setiembre, ha confirmado las de un día para otro; pero cuando los turcos quieren hacer salidas, lo* noticias que dimos en…</t>
  </si>
  <si>
    <t>Vidal, Bruno</t>
  </si>
  <si>
    <t>Bruno Vidal</t>
  </si>
  <si>
    <t>…de sus funciones , ó les compelen en tilos Igualmente se aprobó el de la misma acerca de que se pase al Go con fuetea d antenotas. bierno para que la tenga presenta la memoria de D. Bruno Vidal so bre armamento de buques. Art. 331. « El que con el designio de matar á algún diputado de Cortes, Se acordó quedase sobra la mesa el dictamen de ia comisión da secretario de Estado y del Despacho, consejero de Estado, magistrado Guerra sobre la solicitud de…</t>
  </si>
  <si>
    <t>Vidal, Francisco</t>
  </si>
  <si>
    <t>Francisco Vidal</t>
  </si>
  <si>
    <t>…pares de alpargatas , y de que los __La segunda compañía de voluntarios del partido de Barcelona al herreros construyesen 38 balas de hierro dentro del término de seis ho mando de D. Francisco Vidal, junta con una partida de Canarias, otra ras y bajo la multa de too duros: las alpargatas se les «niregiron; pe del escuadrón de artillería y otra de coraceros, sorprendieron á Mos-n ro en cuanto á las balas parece que el ayuntamiento contestó al cabe Antón e…</t>
  </si>
  <si>
    <t>Vidal, Joaquín</t>
  </si>
  <si>
    <t>Joaquín Vidal</t>
  </si>
  <si>
    <t>…, piden á las Cortes de los hre«. Orduña, Eelda , Serrano y Salva: „Pedimos á las Cortes los diputados que suscriben se sirvan resolver que los bres. secretarios que el nombre de D. Joaquín Vidal, declarado benemérito de la pa del Despacho de la Gobernación d- la Península, Guerra y Gracia y bia por haber sido sacrificado en Valencia á consecuencia de una ten Justicia se presenten a las ortes i dar cuenta al Congreso del origen de tativa de restauraci…</t>
  </si>
  <si>
    <t>Vidal, Josef</t>
  </si>
  <si>
    <t>Josef Vidal</t>
  </si>
  <si>
    <t>…ertad, á la Cons palda de este, y fue batida por el destacamento de Gerona á las órde titución , al Rey constitucional, i los defensores de la patria y á nues nes del subt ni -nte D. Josef Vidal , y al amanecer rompieron el fue tro general Mina. Su proclama se leyó delante de la lápida, y el va go mis guerrillas con el grueso de las suyas que se hallaban al frente liente comandante de la M. N. de esta villa D. Antonio Ferrer y del pueblo. Al arrojo d…</t>
  </si>
  <si>
    <t>Vidal, Josrf</t>
  </si>
  <si>
    <t>Josrf Vidal</t>
  </si>
  <si>
    <t>…iudad de Tarragona, reunidos los Sres. jueces de hecho Doa tal , aunque todavía sostienen que irá al Congreso de Veror.a. Los nego Ramón Frliu, D. Joscf Terrea, D. Baltasar Morct, D. Josrf Vidal y cios entre rusos y turcos no se dan por acabados. En Constantmopla, y iarriga, D. Francisco Ignacio Pelleja, D. Joscf Antonio Bertrán, aun en el mismo divan , continúa reinando ia mayor desconfianza bree D. Josrf Martí, D. Joseí Pujol y D. Alberto Arnet, de…</t>
  </si>
  <si>
    <t>Vidal, Juan</t>
  </si>
  <si>
    <t>Juan Vidal</t>
  </si>
  <si>
    <t>…tísimo tranquilo dominio del mar Pacifico y ei sello de la independe::, a del Perú. befior gefe político la exposición que V. S. dirige á la indicia na —- Ayer se ha presentado el capitán Juan Vidal, de la barca Vencedo cional voluntaria de esta corte á nombre de sus dignos compa ra , que salió de este puerto el 29 del pasado para el de La¿e, y dice ñeros de *»a ciudad, con la letra de .3,447 para invertirlos en que el 30 víó una goleta a 18 leguas al O.…</t>
  </si>
  <si>
    <t>Vidalé</t>
  </si>
  <si>
    <t>…ue de cer entonces por su incontrastable fiimeza dcfi.ndcn en e¡ día al Gobierno ca bácia Corinto.” constitucional, y van contra los facciosos,cuyos nombres sepu la losen P. D. El capitán Vidalé, añade el Constitucional, por cuyo me la oscuridad durante la guerra extrangera, so o han pedido salir í ¡ut dio han llegado estos dos boletines, asegura que hasta el 18 de Agos por medio de una guerra civil, fecunda en estragos y latrocinios. Entre to , día…</t>
  </si>
  <si>
    <t>Vidali</t>
  </si>
  <si>
    <t>…aría hasta para impedir que los (2) La noticia de esta victoria naval debe ser falta necesariamente. turcos se acercasen i la entrada del Peloponeso seria ana resistencia El mismo capitán Vidali vió salir de Hidra á la escuadra griega el 1$ vigorosa por parte de I01 griegos en las montañas de la Tesalia, de I* de Agosto; de consiguiente no se podia hallar el 13 al sud de la Mo Etolia y de la 1 ócidí. La circunstancia de no habetse confirmado la fea.…</t>
  </si>
  <si>
    <t>Vidiella, Francisco</t>
  </si>
  <si>
    <t>Francisco Vidiella</t>
  </si>
  <si>
    <t>…derecha con igual objeto. Inmediatamente mandé que la séptima com- decretos y órdenes acerca de empicados. pafiía del primer batallón de movibles, al mando de su bizarro es pitan D. Francisco Vidiella, toda la caballería mandada por al distin Los dueños de mas de *a9 vales de todas clases de la creación de guido comandante de las milicias de ambas armas D. Antonio Baiges, Enero de este año, presentados para el cobro del primer semestre en I* el batallón de…</t>
  </si>
  <si>
    <t>Vidot, Juan Francisco</t>
  </si>
  <si>
    <t>Juan Francisco Vidot</t>
  </si>
  <si>
    <t>…z, D. Lope ministros de la hacienda militar. Manuel de Luengas, D. Francisco Hidalgo , D. Juan Martínez de Ga* De Real orden lo comunico á V. para su inteligencia y efectos tica , D. Juan Francisco Vidot, D. Antonio Cortés y Coll, D. Luis corr spondicntes á su puntual cumplimiento. Madrid u de Diciembre del Gargollo, D. Antonio Canadell, D. Juan Bautista Llanos, Dode 18a a. Juan Francisco Espelosin, j D. Miguel García (Miz , calificaron por unanimidad con la…</t>
  </si>
  <si>
    <t>Vidrd</t>
  </si>
  <si>
    <t>…mas exactos en cumplirlos como hijos; Diego de la Rocha, el viejo, á favor de Pedro Duran y Juan de lo h-n o^r c do.” Robles sus hijoshabidos en su matrimonio con María Gutierez; Doña Vidrd 9 d&lt; Julio de 1812. Por acuerdo del Excmo. ayuntamien María de Toro á favor de sus hijos Francisco y Diego de la Rocha , y to , Francisco Fernandez de Ibarra, secretario. Francisco Suarez, habidos de su matrimonio con Pedro Duran de la Odrinas hay otro docume…</t>
  </si>
  <si>
    <t>Viejo, Isidro</t>
  </si>
  <si>
    <t>Isidro Viejo</t>
  </si>
  <si>
    <t>…ña. Dias pasados estu Comandancia del resguardo militar. _Con esta feche me dice el co expu-sto Ivuia á ser echado de Pavona , porque saben sus habitan cabo de la segunda compañía D. Isidro Viejo , lo que copio.* tes, y esto por boca de los mismos oficiales y pardillos, que él es árbi » Habiendo salido el 11 del corriente con una partida de ia hom tro de dejarles pasar ó detenerlos. Temerosa ia policía de que se hiciese bres dé las compañías segunda y…</t>
  </si>
  <si>
    <t>Vierme, Juan</t>
  </si>
  <si>
    <t>Juan Vierme</t>
  </si>
  <si>
    <t>…públicas de caminos y canales, 7 ser útiles sin caasar a la Nación cb¡ to d- llevarse el trigo de la encomienda. gastos en su trasporte. E.I oficial de caballería de Vilíaviciosa D. Juan Vierme con los 16 El Sr. Oliver: La comisión ha creído que deba redactar el art-cu'o caballos de su mando sorprendió en la tarde del 30 de Octubre á la con arreglo á lai observaciones que se hwirron íTer en la discusión; partida de face osos mandada por el maestro d…</t>
  </si>
  <si>
    <t>VIERNES</t>
  </si>
  <si>
    <t>Núra- 6g. C 7 cuarto*.) 361 GACETA DE M ADR I D. VIERNES 8 DE MARZO DE j8»a. .i. .-.vi, ■--------- ** •“ 11 i—t» '•SNOTICIAS EXTRANGERAS. El Sr. Fernandes Tbomas dijo que para pedí rías bolas 4 S. S. no era necesario exponer tantas razones, y que bastaba manifestarle que las ABiTlIA. rentas dé la-patriarcal se bebí…</t>
  </si>
  <si>
    <t>Vieta, Salvador</t>
  </si>
  <si>
    <t>Salvador Vieta</t>
  </si>
  <si>
    <t>…seerttano de la inquisición, y beneficiado de fita. María del Mar. por ios facciosos de Mora y la R.b/Ta en número de 1 coo hombres; _Los dos capellanes de Psdralves, ex-monges —_1D. Salvador Vieta, pero ria.stros van nt.s les d.spcrsaron inmediatamente, matándoles párroco de S. Andret._D. Mariano Gassois—D. Francisco £ol.r._ j jo hembras, luí nih por U caballería, que en aquel llano se hartó du P. Juan de S. Josef.__P. Buenaventura Maaegat.__P. Gerónim…</t>
  </si>
  <si>
    <t>…mientos comet dos por ción , j beneficiado de Sta. María del Mar, los dos capellanes d Pe esta cuadrilla contra .as autoridades constituidas, contra el orden po drales, ex monges, D. Salvador Vieta, párroco de S. Andr s, jr lítico interior de los pueblos, o contra el símbolo de nuestro Gobier D. Mariano Gassols; los cuales, s'gun el Diario Constitucional de no constitucional; en una palabra, á lo que intentó, obró ó se pro Earcelona, deben ser exc uidos…</t>
  </si>
  <si>
    <t>Vifials, Joaquín</t>
  </si>
  <si>
    <t>Joaquín Vifials</t>
  </si>
  <si>
    <t>…nito , diputado- secretario.” - cígalupi y D. Miguel Piando!it; y habiendo votado que ha lugar Don Por unto ttubdamos i todos los tribunales, justicias, gefes, go Magín Coraminas, D. Joaquín Vifials, D. Isidro Gallarda, D. Fran bernadores y demás autoridades, asi civiles como militares y eclesiás cisco Subiracht y D. Benito de Plandolit. Barcelona 13 de Mayo de ticas , dé -cualquiera clase y dignidad, que guarden y hagan guardar, i8ia.=Magin Corominas.sM…</t>
  </si>
  <si>
    <t>Vifiat, Josef Antonio</t>
  </si>
  <si>
    <t>Josef Antonio Vifiat</t>
  </si>
  <si>
    <t>…contra D- Manuel aanturioRíco Villademotos por falsa delación; en la escuela, leyeron en prosa, y escribieron i la nota con la mayor y no habiendo sido habidos pata notificársela D. Josef Antonio Vifiat» exactitud., cuyos conocimientos lo* habian adquirido en d corto tiem ele 54 años de edad, capitán de inválidos que fue en cata plaza, y Jote» po de.un abo que ha se estableció la recuele. Loe primaros fueron profi Migo'l, natural de la Puebla Nueva, soltera.…</t>
  </si>
  <si>
    <t>Vigo, Santiago Méndez de</t>
  </si>
  <si>
    <t>Santiago Méndez de Vigo</t>
  </si>
  <si>
    <t>…nel Alfonso Valderábano.=Por la artillería el coronel Manuel del Pino.rsl’or la caballe ARTICULO DE OFICIO. ría el teniente coronel Joaquín Barreda.=Por el estado mayor general el coronel Santiago Méndez de Vigo,=Por la Hacienda nacional mi PAGADURIA DEL MINISTERIO DE LA GOBERNACION DE IA PENINSULA. litar el intendente honorario de provincia comisario de guerra Ramón María Diaz.=Ei capitán Amonio María de Ramón, secretario- Jifts de Octubre de 1&amp;22. Acta del arqueo d…</t>
  </si>
  <si>
    <t>Vigodet</t>
  </si>
  <si>
    <t>…res mer tos de este inte resado podían acordar las Cortes que la mitad d« lo» 83 pesrs fu'ttes tkzt de las mediadores. dos coites , . que se le ocuparon en Montevideo de orden del general Vigodet se le Las que noticias hablan llegado a Augsburgo el 17 también «liaban todas por U guerra. Los fondos ban tenido en V.ena una admitan en pago de derechos en las aduanas, y la otra mitad quedase baja considerable. Las cartas recibida» últimamente en París de…</t>
  </si>
  <si>
    <t>Vigodet, Gaspar</t>
  </si>
  <si>
    <t>Gaspar Vigodet</t>
  </si>
  <si>
    <t>…s, arengó i sus .cjompafierot de armas, que se le ocuparon en t8t) de otilen «leí gobernador de Montevideo recordándoles que aquel era el fausto día en que los padres de la patria D. Gaspar Vigodet pora atender á las urgencias de aquella plaza, opi habían sancionado debajo «le los' fuegos enemigos el sagrado Código naba , conformándote con el parecer del Gobierno, que debía consi e formaba la base de le libertad nacional, sin olvidar qu* la patria derar…</t>
  </si>
  <si>
    <t>Vigodet, Montero</t>
  </si>
  <si>
    <t>Montero Vigodet</t>
  </si>
  <si>
    <t>….ficio , la que romp ó el fuego al lia, con dirección á Martoreil, a las orden*-* del coronel de ejercito el amanecer infructu csament - por el corto calibre de las piezas de arti Sr. Montero Vigodet. Nada, nada arredra el patriotismo barce.ones. El llería 1 ¡o que puso en conocimiento del comandante g n.-ral para que le miliciano soltero como el catado abandona los p ,c.-rrs y comodidades proporcionase otras de batir: á la. 10 de la m ñaña fue batí !a y…</t>
  </si>
  <si>
    <t>Vigodjt, Gaspar</t>
  </si>
  <si>
    <t>Gaspar Vigodjt</t>
  </si>
  <si>
    <t>…el valor que tengan.” Aprobado. pios del afio de 1820 , por motivos que «I cx-cap¡ian general de Cas La comisión presentó igualmente redactada de nuevo la parte pri tilla la Nueva D. Gaspar Vigodjt certificó posteriormente hacer mera del art. 2ó en esta forma: •» Las diputaciones provinciales de la honor á Keene, opinaba que esta para tu indemnización usase de Península é islas adyacentes en el dia s.° de Marzo de 1823 , y las de su derecho contra quien…</t>
  </si>
  <si>
    <t>Vigresan, Ana Sarmiento de</t>
  </si>
  <si>
    <t>Ana Sarmiento de Vigresan</t>
  </si>
  <si>
    <t>…rri carrero , de 106,490 mrs., su fecha ao de Diciembre de 1650 ; otro do con la fuerza disponible de caballería del Rey y la Costa , que re alcabalas de Castrojeriz, en cabeza de Doña Ana Sarmiento de Vigresan á esa plaza , sin mas novedsd que haber muerto un caballo por llandrando y de la Cerda, condesa de Salinas y Rivadeo.de 2.683,593 enfermedad a pocos dias de llegado aquí , sin haberse podido em mrs , fecha 4 de Octubre de 1580: otro alcabalas de la merindad d…</t>
  </si>
  <si>
    <t>VII, Juan do</t>
  </si>
  <si>
    <t>Juan do VII</t>
  </si>
  <si>
    <t>…ente coronel del regimiento de caballería de Numancia. Francisco Ignacio Amura, supernumerario del regimiento de Fernan Bilbao (ligero): para coronel al coronel vivo de infantería D. Juan do VII. López Campillo , teniente coronel del regimiento de Zamora. Tarragona.- para primer comandante i D. Esteban Andreu, coman Bujalance: para coronel al coronel electivo de infantería D. Julián dante del primer batallón del regimiento de infantería de Málaga. Ro…</t>
  </si>
  <si>
    <t>Viia, Juan</t>
  </si>
  <si>
    <t>Juan Viia</t>
  </si>
  <si>
    <t>…s onb ru. s, q-ie :*s i'ir.n de señal acometerles, moldando al cap-tan d.l regimiento infantería de Lium- para uun.r».- a grueso de a lección , cor s: h»l a'a ai &lt;f .' .c'o del da D. Juan Viia y á D. Florentino Agu.ire , comándame de ¡a s c- puente, acolada de una erm.ta. la guerr »U ios ci-f.,' S 7 ■-• erren re; cion de los milicianos volu.it «ros d • Vallado id, qu- con la int.i;.tc- pero v endose comprometida por el tu c » horroroso dei m-, tu-o…</t>
  </si>
  <si>
    <t>ViiCes</t>
  </si>
  <si>
    <t>…queño» .estorbos que el respeto de la autoridad local basta te. Por estas razones roe opongo ai artícu’o. ba para remover, y para estos casos se quería que prestase su auxilio. El Sr. ViiCes ñD. Dionhio) manifestó que al paso que la comisión Ei Sr. Moreno manifestó que era mujr poco decoroso al mini terio no i n a n.n.ui: interesen que se aprobase ó no este artículo, debía de sacerdotal el que los individuos dedicados i egercerie se ocupasen en !…</t>
  </si>
  <si>
    <t>Viiiacuellington, Miguel Josef</t>
  </si>
  <si>
    <t>Miguel Josef Viiiacuellington</t>
  </si>
  <si>
    <t>…rff por la D. Juan Domingo Zuvin y ALua, D. Lu s Gaicia, E&gt;. Josef Mana de Prusia; el príncipe Ruifo por la de Ñapóles, y el duque de We- d. i. ¡Latina , D. M guel J.s.f de Borda, D. Miguel Josef Viiiacuellington por la de Inglaterra. Creen algunos que el vizconde de Mcnt- va, D. Antonio de Ganjeaga y D- Diego Lamia , cal Jicarón por mormey regresara a Paria , y otros que irá á Verona. uuaoni.iüad con la nota de tibe.o infamatorio en trrcrr jrd.ro el papel La comitiva…</t>
  </si>
  <si>
    <t>Víiianuc</t>
  </si>
  <si>
    <t>…guarde á V. S. muchos años. S. Sebastian 17 de F-brcrr» d« No pudo entenderse la cont-stacion de-1 Sr. ministro. 1821. = El comandante accidental Josef Antonio Fernandez.seIlus El Sr. Víiianuc/a pregunto si se había cumplido un decreto de las tre ayuntamiento constitucional de S. Sebastian. Cortas anteriores, en que se mandaba entregar ai ministerio de Marina la cantidad de 15 millones para 1a construcción de 10 buques de Madrid Miércoles 6 de Marz…</t>
  </si>
  <si>
    <t>Viila, Mariano</t>
  </si>
  <si>
    <t>Mariano Viila</t>
  </si>
  <si>
    <t>…úblico lo que se le d b.a par papeles que había impreso peitene- á D. Andrés Crespo Cantolla , que lo es de la mbm»: pira ía de Pam I cíenles á la audcncia de V.uludolid. plona al coronel D. Mariano Viila: pava !a de Salamanca a lJ Flo A ia di? Hacienda un expediente promovido por Doña Antonia rencio García , que lo es de la de Gr nada: para la de Santander D-n Blanco, pidiendo una pensión. Antonio Fícrez Estrada , que lo es de la misma : para ia de T^ruenna á…</t>
  </si>
  <si>
    <t>Viilaboa</t>
  </si>
  <si>
    <t>…rocedió abriendo una pesquisa vaga en vir rio decía , perteneciente 4 la administración dejusticia criminal. tud de una excitación del ayuntamiento. El alcalde procedió pues gu Ei Sr. Viilaboa: Deseo saber si ese expediente es original ó et na bernativamente, y de consiguiente el gefe político podía muy bien en testimonio, y si el expediente ó la cauta eytá fenecida. tender en este negocio sin atacar las facultades que las leyes conceden El Sr. Sal…</t>
  </si>
  <si>
    <t>Viilabos</t>
  </si>
  <si>
    <t>…a visita se trata, dirigidas sobre el modo de practicar la visita, y &gt; e ..s ha general en desdoro de un cuerpo respetabilísimo que necesita unta concitado el Sr. Veiasco; pero el Sr. Viilabos, que -c.bá d- h biur, fuerza moral para tu conservación. ha impugnado la medida , poniendo otra clase de obj--::on.,: ha d cho Tampoco pudieron olvidarse de que las pesquisas generales sobre S. S., entre otras cosas, que Mont:*qu:eu dice que se d anida ua tra…</t>
  </si>
  <si>
    <t>Viilamandos, Vicente Girón</t>
  </si>
  <si>
    <t>Vicente Girón Viilamandos</t>
  </si>
  <si>
    <t>…ublicará la junta nacional del Crédito pú cuarto entresuelo , frente á la del Desengaño. blico', i.° el resumen de todos los créditos liquidados hasta 31 de Ma Por providencia del Sr. D. Vicente Girón Viilamandos, juez di yo, con distinción de con interes y sin ínteres: i.'3 el de los amortiza primera instancia del Puerto de St 1. María y su partido, reproducida dos hasta dicha fecha, con igual distinción ; y 3.'’ el de los que tenga por otra de 29 de Abril último, se…</t>
  </si>
  <si>
    <t>Vil, Domingo</t>
  </si>
  <si>
    <t>Domingo Vil</t>
  </si>
  <si>
    <t>…on los que concluye su segunda D. I..&lt;renzo Calvo de Rozas , D. Benito Ortega Romanillos, D. Juan parte; y en seguida pasaá la tercera, en que trata el punto esencialísimo Cortes, D. Domingo Vil amil. Habida la coafarencia, resultó por seis del arbolado. El 8.° y último cuaderno está casi enteramente destinado á v°tos hafier lugar á ta formación de causa , habiendo disentido loa tratar de la vid, de su cultivo, de tus enfermedades, del modo de hacer…</t>
  </si>
  <si>
    <t>Vila, Domingo</t>
  </si>
  <si>
    <t>Domingo Vila</t>
  </si>
  <si>
    <t>…o , «jue se encontraren mezcladas con los Otro de la comisión de Premios para que se señale i la viuda de bienes de las iglesias destinados a la indemnización de los partícipes le D. Domingo Vila la pensión de cuatro reales diarios, en atención á gos de diezmos.” Aprobado. los servicios importantes de su marido en favor de la libertad. 1 a. «La junta directiva, previa la aprobación de la comisión de Otro de la comisión de Diputaciones provinciales par…</t>
  </si>
  <si>
    <t>Vilanova, Jacobo</t>
  </si>
  <si>
    <t>Jacobo Vilanova</t>
  </si>
  <si>
    <t>…iene! Antes de anoche hallán cia, á D. JosifSanz y López y D. Félix Alonso y Calzas para las pri dome yo en la puerta del Sol poco después de haber anochecido , oi los meras , y á D. Jacobo Vilanova y D. Pedro Jacobo Pizairo para ia* escándalos que estaban pesando con los ciegos; y esto se hace en la cor segundas. te i la faz del Congreso nacional. No hay necesidad de leyes; las auto ridades pueden y son las que deben reprimir estos abusos. Por lo demás Loa durlios de los bultos…</t>
  </si>
  <si>
    <t>Vilches, Manuel</t>
  </si>
  <si>
    <t>Manuel Vilches</t>
  </si>
  <si>
    <t>…cfLxiones en apoyo de su opi miento de aquella ciudad. Aprobado. nión , recordando i las Coi tes el egemplo de otras naciones que hallán La misma comisión, en vista de la queja de D. Manuel Vilches, dose en el mismo caso que la España, renuncia&gt;on gustosas a un dere vecino de Malaga, contra el consulado de aquella capital y el escriba cho contra el que se habían sublevado algunor paises, y en especiali no del mismo sobre sus procedimientos con motivo de…</t>
  </si>
  <si>
    <t>Vildls, Joeef de</t>
  </si>
  <si>
    <t>Joeef de Vildls</t>
  </si>
  <si>
    <t>…es ARTICULO DE OFICIO. pañol, c» el numero de habitantes que tiene cada una de las 5 a pro vincias, lee diputados de Cortes que leconcspoodeu 7 otras curiosi Por fallecimiento de D. Joeef de Vildls 7 Pastor ha quedado va dades,: obra útil pero todo género de oficina» 7 particulares. Se vende .fi cante una de las seis judicaturas de primera instancia de la ciudad f cuatro coarta* cu la librería da la viuda de Quiroga. partido de Valencia; 7 *c admiten me…</t>
  </si>
  <si>
    <t>Vilella, Josef</t>
  </si>
  <si>
    <t>Josef Vilella</t>
  </si>
  <si>
    <t>…ción; pero la quiere pura, y como es en sí, y sitare volver á leer. V. M. no debe dudar que ti alguno*, indigno* del nombre de ciu Por edicto de 16 de Noviembre del afio último de D. Josef Vilella dadanos, han podido concebir idos tan infames, y proyectos tan hor y Pastor, juez letrado mas antiguo de primera instancia de la ciudad de rorosos , el mayor número de los españoles, y entre ellos los que fir Valencia, te cita y emplaza á los que ae crean con…</t>
  </si>
  <si>
    <t>Vilialba.y, Joaquín</t>
  </si>
  <si>
    <t>Joaquín Vilialba.y</t>
  </si>
  <si>
    <t>…ino, vecino de rer al dictamen de la misma comisión ya aprobado sobre el cargamen Tarragona, en la cual haciendo presente sus ser*icios, y haber sido una to de cacao pertenrc mf á D. Joaquín Vilialba.y que desembarcó es de ios complicados en Ja malograda empresa del general Laci. pedia Santander , opinaba que d.bia aprobarse dicha adición , y en su conse que en recompensa de los mismos se le declarase benemérito da 11 pa cuente d.spensarse a dicho Vilialba…</t>
  </si>
  <si>
    <t>Vilialioa</t>
  </si>
  <si>
    <t>…titución cuando i* seguridad del Estado lo exi ber, lo que 11a quiere mi eitemil&gt;o , ero me aprut.'tha á mi ge asi? Las formalidades del arresto, y esta no es el juicio. Ademas Bl Sr. Vilialioa: Cuando muy sazonados y brillante discursos han tenemos las leyes que prescriben cómo han de comportarse los jueces ocupado ya la suprema atención de las Cortr-s ,n un asunto de la mía ya in feriores ya superiores en estos casos. ; Y h-mos de creer que por •n…</t>
  </si>
  <si>
    <t>Viliami, Josef</t>
  </si>
  <si>
    <t>Josef Viliami</t>
  </si>
  <si>
    <t>…sición ción-* de Doña Antonia Gómez, viuda de un empleado en el ayunta del Sr. Echevarría sobre el mi-mo objeto. La comisión opinaba que las miento de esta villa, y de la viuda de D. Josef Viliami! , empleado fincas adjudicadas i dicho cabildo en pago de deudas deben ser entre también que fue en el mismo, pidiendo que en atención i los méritos gadas al Ciédíto público, reintegrando eiteá dicho cabildo de tu pro y servicios de sus respectivos mandos se…</t>
  </si>
  <si>
    <t>Vilianueva</t>
  </si>
  <si>
    <t>…os buques, cuya obra se te Otaban tendidas en ia carrera , habiendo hecho la artillería el cor- había ya empezado, y en la reparación de otros. «spondiente taludo de ordenanza. El Sr. Vilianueva di|o que los maiei que se experimentaban eran por no cúmplese los decretos benéfi os de las Cortes anteriores; y se CORTES. reservaba hac r sobre esto una proposición. niSIDESC 'a DEL SESO* MEGO. be leyó la siguiente d&lt;- los Sr-s. Isturiz, Alcalá GalianoBarto…</t>
  </si>
  <si>
    <t>…enderse, el per ju-cío hubiera sido mas dificil de ningún modo se puede aprobar el dictamen de 1 » &gt;m.»u&gt;n. de reparar; y por tanto la contaduría , uviu.l.» de la í irmuli acostum Sr. Vilianueva. La comisión ha p-oced ¡o de buena fe, bajo el brada , pidió el expediente a.i (jf'ectum vi.irn.i: , como dina en otros conceplo de que hab.a una miraccion re! r.a de i o» art ,u es que »s muchos. En fin, tampoco podra cedu^ii.e que «1 c:'a clausula supina ha…</t>
  </si>
  <si>
    <t>Vilíavaso, Justo</t>
  </si>
  <si>
    <t>Justo Vilíavaso</t>
  </si>
  <si>
    <t>…Búrgos estrechaba á ios cu pitán D. Francisco Antonio Larrínaga,de Saioupara el Norte, el lugre na y beneficiados á que diesen razón de los predios rúst eos y urbanr.s, Victoria, capitán D. Justo Vilíavaso , y el bergantín Carmen, cap tan se declarase que dichos predios no debían aplicarse á la indemnización D- Manuel Rodríguez Mallan , con carga de vino, aguardiente y papel: del medio diezmo destinado á los partícipes legos, por kaiiaree excep estos buques fue…</t>
  </si>
  <si>
    <t>Vilijnut-s</t>
  </si>
  <si>
    <t>…la-comisión Eclesiástica sobre otro dado por la de bitalla la milicia nacional de ambas armas, haga saber á todo el cuerpo I* anterior legislatura, en vista de una propo.icion del Sr. Vilijnut-s, lo satisfecho que se halla dicho gefe «leí buen comportamiento y valor para qu: en atención á los excesivos gastos que se hacían -n los pueblos |ue acreditaron las dos partidas que salieron i la persecución de siete con motivo de festividades religiosas te s…</t>
  </si>
  <si>
    <t>Vill, Manuel Gortizos de</t>
  </si>
  <si>
    <t>Manuel Gortizos de Vill</t>
  </si>
  <si>
    <t>…bunales, justicias, gefes , goberna 4. Renta general de la Pasa de Málaga, juro de 3049 mrs., en cabeza dores y demas autoridades , asi civiles como militar es y eclesiásticas, de D. Manuel Gortizos de Vill*t*nte._4. Millonea de Galicia, juro y de cualquier dase y dignidad , que guarden y hagan guardar , cumplir haber $74,94$ mrt., en cabeza del mencionado D. Alonso Pérez. _ 7 egecutar el presente decreto en todas sus parte*. Tendreislo entendido 2. Uno y medio…</t>
  </si>
  <si>
    <t>Villa</t>
  </si>
  <si>
    <t>…do.” Se lejó 7 aprobó el acta de la anterior. Habiéndose declarado que habia lugar á votar en su totalidad, dijo Las Cortes quedaron enteradas de una circular del ministerio de él Sr. Villa que el estado de que hacia referencia el art. 1.® estaba y Hacienda, relativa al decreto de las Cortes extraordinarias, por el cual aprobado por las Cortes. se establece la prohibición de introducir del extrangero libritos de pa En seguida fue aprobado este a…</t>
  </si>
  <si>
    <t>…cretado lo si luntaria , no puedo ahora dejar de manifestar é las Cortes que desde al guiente: Las Corles, usando de la facultad que se les concede por la dia 30 de Mayo, tanto el Sr. Villa como el comandante general citeConstitución, han decretado lo siguiente La junta nacional del Crédi ñor Clarke bau desplegado una actividad y zelo infatigables para salvat to público procederá sin pérdida de tiempo á la rifa de tos edificios y é la patria de…</t>
  </si>
  <si>
    <t>…tariol de Durahgo. tur y uno de Elgoibar. Granada ij dt Agosto. » Según Aritos que acabo de recibir, las bandas de Im curas y Ge Según les última* noticias recibidas de Ronda t el general Villa* rónimo A|uirte te hallan detras de la pella de Isarraiz, para donde voy campa continúa en aquella ciudad sin intención de ausentarse de eila á dirigirme. hasta haber escarmentado é Im cabezas.de la intentada revolución, «Todo lo que pongo en el superior cono…</t>
  </si>
  <si>
    <t>Villa, Agustín González</t>
  </si>
  <si>
    <t>Agustín González Villa</t>
  </si>
  <si>
    <t>…ará jamas, y tí subsistir. ene-nado en la* cn|i aftas del patnot-smos la cortaduna de Tol do. tus erupciones aerm aLuaa vrz mas espantosas que las del Etna y el burgos interventor D. Agustín González Villa, contador que ha Vcsub o. sido de Lean. - M l eíanos v ritr-«t*s d- Madrid, guerreros inmortales de una Cordel» interventor D. Josef Msru Domínguez , oficial segundo guarn.c.oa que Unto datnrue á ia «.apila! de esta Nación , siempre de aquella contaduría prin…</t>
  </si>
  <si>
    <t>Villa, Josef</t>
  </si>
  <si>
    <t>Josef Villa</t>
  </si>
  <si>
    <t>…he entrado en esta ñores D. Tomas Josef Gómez, D. Juan Moral, Dr. D. Lorenzo Rua ciudad seguido de las tres divisiones, y rodeado de un pueblo, en cu no , D. Pedro Ramón de Jerez, D. Josef Villa verde, D. Santiago Ma yo semblante se Lia aquel contento, que solo puede inspirar al habitan rín, D. Manuel Pareja , D. Cayetano García y D. Francisco de Gra te honrado la satisfacción de ver en sus legítimos defensores los hijos nada , declararon por unanimi…</t>
  </si>
  <si>
    <t>Villa, Mañano</t>
  </si>
  <si>
    <t>Mañano Villa</t>
  </si>
  <si>
    <t>…ntes sula en el que insertaba otro del gef- polít co d- Valencia , participan genera es de distritos de la Península un modelo de cada prenda de ves do haber prestado el juramento D. Mañano Villa y haber tomado el tuario, para que vigilen que en todos los cuerpos que esten ba o sus or mando de aquella provincia, para la cual ha sido destinado interina denes no se separen de ellos en lo mas mínimo. Y por otra Real orden mente. Las Cortes quedaron enter…</t>
  </si>
  <si>
    <t>Villa, Ramón</t>
  </si>
  <si>
    <t>Ramón Villa</t>
  </si>
  <si>
    <t>…r d- ladrones cÍTtns piriy, J. ¿,ta is El gt del pasado tomó el mando de esta provincia el teniente ga la, pues ya «I escándalo es extraordinario, y exc:ta crueles quejas de nara! D. Ramón Villa ba, y publicó la siguiente proclama: parte de los Estados-Unidos, cuyo comercio no ha dejado de resentirse.” - Ai salir la patria de la mas arriesgada crisis en que se han visto Idem £. sus libertades, y cuando para cimentarías y asegurarlas para siempre llam…</t>
  </si>
  <si>
    <t>Villa-</t>
  </si>
  <si>
    <t>…egios que hubiera sido necesario que gozaran para verificó. que d eha amnistía hubiera sido completa. Tenemos pues qne existen El Sr. Buruaga : Los argumentos que ha presentado el Sr. Villa- amnistías parciales dictadas por la naturaleza de las cosas y d: las cir boa se reducen a dos: primero , la necesidad que bay de que se cumpla cunstancias, lo cual se comprueba con varios esrmp'o*. Mirada la toda palabra que se dé; y s gundo, que el Rey tiene…</t>
  </si>
  <si>
    <t>Villa-, Nicolás</t>
  </si>
  <si>
    <t>Nicolás Villa-</t>
  </si>
  <si>
    <t>…s que compusieron el jurado: D. Antonio Gutiérrez de Pan Distribución de la Hacienda pública, la de Consolidación , Juros y ofi do , el barón de las Cuatro Torres ,D. Josef Pujol, D. Nicolás Villa- cina de Renovación de vale*, cuya publicación se egecuta á mas de ha campa, D. Tomas Vives, D. Josef Segundo Soler y J.-nkins , Don berse acompañado á la gaceta del lunes 10 del coniente mes , para que Pedro Rambaud, D. Francisco Ignacio Pelleja y D. Josef An…</t>
  </si>
  <si>
    <t>Villaalguna, Lorenzo</t>
  </si>
  <si>
    <t>Lorenzo Villaalguna</t>
  </si>
  <si>
    <t>…altncüt. La comisión opinaba que debían aprobarse loe pódate de tenia empleo en palacio, cuanto porque no había habido reclamación los Sres. D. Vicente Gisbert, D. Martin Serrano, D. Lorenzo Villaalguna contra esta elección. nueva, D. Vicente Navarros D. Bernardo Falcó, D. Manuel Beltran El Sr. Galiano manifestó que debía observarse á la letra la Consti de Lis, D. Jaime Gil Ordnfia, D. Juan Rico y D. Francisco Belda y tución respecto de lo que previene en es…</t>
  </si>
  <si>
    <t>Villaboa</t>
  </si>
  <si>
    <t>…sobre si por esta neta de la Dipu En la primera votación salió electo el Sr. Alix por 71 votos , te tación permanente debia ó no ser admitido en el Congreso el Sr. Esconiendo 9 el Sr. Villaboa, 5 el Sr. Marchámalo, 3 el Sr. Benito, a el vedo, y á su parecer este asunto debia pasar á 1a comisión de Legis br. Gómez Becerra, y uno cada uno de los Sres. Muro, Cano, Buey, lación. Jaime y Lamas. Total 95. El Sr. Saenf de Buruaga dijo: Siento qua la comis…</t>
  </si>
  <si>
    <t>…orio de ia au honor y pureza que debe resplandecer en ella, y da que justamente te diencia de Madrid es una octava parte del de toda la Península , y asi ha mostrado tan zeloso el Sr. Villaboa. mismo se atiende á que las causas de que he hecho mérito solo son la* No nos cansemos, mientras sigamos esos principios da nimia cir criminales, resultará que hay lo menos 458 y tantas causas fenecidas cunspección , y mientras que ellos nos sirvan de obstácu…</t>
  </si>
  <si>
    <t>…tos. Asi pues creo que las Cortea sean no ae deduce de las quejas generales, porque debe ser el resultad» eaun en el cato de aprobar al art. t.° que te discute. de la visita. . El Sr. Villaboa: Nada queda que afiad ir á las muchas observacio Por otra parte ¡no ha dicho el Sr. secretario de Gncia y Justicia nes y vasto* conocimiento* que se han desplegado en esta discusión; en tu memoria que llt judicatura espadóla se resiente «le cierto* resa mas c…</t>
  </si>
  <si>
    <t>ViLlaboa</t>
  </si>
  <si>
    <t>…hubiste hecho cunstancias no resulten completamente de loa mismos títulos.** una declaración de mu.'.• sima utilidad pira la Nación. Después de haber hecho varias observaciones el Sr. ViLlaboa,á qne También las Cortes-anteriores acordaron que la comisión de Legiscontestaron los Sr». R mero y Soria, quedó aprobado eate artículo. lacf.’in ett-ndirse de este (•unto, y esta reprodujo el mismo dictamen Art. $ " » Mientras que por sentencia que cause cg.…</t>
  </si>
  <si>
    <t>…o se servirin resolver q-e vuelva á A petición de un Sr. diputado ti layó *1 art. 140 de la Constitu la comisión para .;ur .a redacta en la forma ir.d cada. ción, y i petición del Sr. Villaboa el 109 del reglamento , y en segu.- F.l Sr. Oliv.-r: Ei Sr. preopinante ha p-opu-sto una variación á la da se mando pasar á ia comisión por 66 votos contia 58. medida: si la; Cortes se be.Usen conformes en las id as que s bre el Se aprobó ia siguiente proposi…</t>
  </si>
  <si>
    <t>…a mas precio 7 aumenta su esplendor y su brillo. la sa'ud del puibio, .eforrs, teda irvic'.ab ¡dad diopn \ .Concluyo pues diciendo que las Cortes incurrirán eti uní manifiesta F.I Sr. Villaboa rectificó algunas equivocación.-' q-_c d o h.: a contradicción 11 hoy tpru-.-bsn uua med.da qua en este mismo año han padecido el Si. preep nante. desechado; que lo resisten la Constitución y el reglamento, y que el Ei St. Mucainz ¡a jjcnó el dictamen de la c…</t>
  </si>
  <si>
    <t>…s grie 39, el Sr. Sedeño uno , el Sr. Back otro, el Sr. Hen-iquez otro, ei se gos. Ais-una» cartas fidedignas que llegaron ayer á esta capital dicen qu* ñor Vaidés Bustos otro, el Sr. Villaboa otro, al Sr. Infante otro, v el el Emperador Alejandro , cansado de tanta altivez de parte de un ene» Sr. Aguirre otro .- tota! di votos 132. No habietsdo reunido fUngur.c d« m go poco r»mib e, h» anunciado al Con creso de Velona su intención dichos Sres. ia…</t>
  </si>
  <si>
    <t>…ue ha nes provinciales este cargo , sino que se dé á jueces de hecho nombra creído conveniente la comisión. dos por las mismas diputaciones, y que de entre ellos se forme el ju El Sr. Villaboa: Entre los grandes y difíciles negocios que han rado de acusación. ocupado hasta ahora la atención de las Cortes, ninguno á mi juicio es Kl Sr. Romero: Son varias las reflexiones que ha hecho el Sr. pre mas digno de su detrnimiento, de su zeloy aita justicia…</t>
  </si>
  <si>
    <t>…s leyes para ver los casos en que puede concederse indulto do, y se declaró que no por 71 votos contra 51. por el Rey. Se me dirá que se trata de indulto; pero no es asi, de lo El Sr. Villaboa manifestó entre otras cosas lo importante que era que verdaderamente se trata es de amnistía: estas son propias de los cumplir las palabra* dadas por un gefe á lo* enemigos, y con mas ra cuerpo* representativos, y no pueden considerarse sino como ley. Hsy zón…</t>
  </si>
  <si>
    <t>Villaboa, Nicolás Gómez</t>
  </si>
  <si>
    <t>Nicolás Gómez Villaboa</t>
  </si>
  <si>
    <t>…ente ¡ Lac Cortes, usando de ia facultad que se lea concede por la cia de Navarra. D. Josef María Pufg á la de Valencia. Constitución , han decretado : Déla audiencia dt Astúrias. D. Nicolás Gómez Villaboa á la de i. a «Que todos los créditos procedentes de suministros de provi Vallsdolid. D. Eugenio Manuel Cuervo á la de Navarra. D. Josef Rosiones y utensilios que se hallen ya reconocidos por el Crédito públi drígu z Busto , fiscal, á Valladolid. co, y anotado…</t>
  </si>
  <si>
    <t>Villacampa, Nicolás</t>
  </si>
  <si>
    <t>Nicolás Villacampa</t>
  </si>
  <si>
    <t>…yo punto cubre hoy, que En la ciudad de Tarragona, reunidos en jurado de acusación loa dando yo en este con las dos restantes, ocupándome en las disposicio señores jueces de hecho D. Nicolás Villacampa, D. Francisco Rodrí nes y medidas que las felices circunstancias dictan, y de suyo exige el guez de la Vega, D. Vicente Tejeiro, D Josef de Torres , D. Al estado en que he encontrado este pais.=EI tiempo es frió; pero despe berto Arnet, D. Antonio de Marti, D…</t>
  </si>
  <si>
    <t>Villacampa, Pedro</t>
  </si>
  <si>
    <t>Pedro Villacampa</t>
  </si>
  <si>
    <t>…el part.cu ar y los b enes del común no Se leyó una exposición del comandante general del p* distrito tienen igual aspecto; yo como particular haré cuanto quiera de mia (Granada.) D. Pedro Villacampa, en la que pedia te sirviese el Con propiedades, sin tener que dar cuenta i nadie; mas los ayuntamientos y greso dictar las providencias convenientes para que se confisquen los diputaciones provincia':.» no son mis que unos meros administradores, bienes de lo…</t>
  </si>
  <si>
    <t>Villafuerte, Jaccbo Mas</t>
  </si>
  <si>
    <t>Jaccbo Mas Villafuerte</t>
  </si>
  <si>
    <t>…ntre los expulsos. á D. Andrés Fon tan y Rodríguez: para el de B emposta á D. Juan La correspondencia particular habla cambien de estos extraños su Taboada: para el de Riradavia á D. Jaccbo Mas Villafuerte; y para cesos ; pero en casos como esto» nunca se sabe por el pronto la verdad el ds Monforte á D. Josef María Suarez de Fuga. pura. Todos convienen en que á petar de la agitación inevitable en se Se previene á los interesados que dentro del preciso término d…</t>
  </si>
  <si>
    <t>Villalba, Joaquín</t>
  </si>
  <si>
    <t>Joaquín Villalba</t>
  </si>
  <si>
    <t>…que se haya verificado ya la de comisión opinaba deb'a estarse á lo dispuesto con motivo de la solici claración de guerra, pues en el último correo todas las cartas eran ya tud de D. Joaquín Villalba , del comercio de Santander. Aprobado. de esta opinión. Otro sobre una exposición del intendente de Badajoz acerca de si CORTES. se relevar,.n del pago de derecho» unos mosaicos que ha regalado á las Cortes un ciudadano , y que existen en aquella aduana. La c…</t>
  </si>
  <si>
    <t>Villamarin, Antonio Mosquera</t>
  </si>
  <si>
    <t>Antonio Mosquera Villamarin</t>
  </si>
  <si>
    <t>…les decían que te levantasen, 7 pales.__La de Dofia María Rosa Larrea 78 rs. 7 7 mrs—La de la las hacían egecutar una especie de danza con muchas genuflexiones 7 testamentaría de D. Antonio Mosquera Villamarin a8t rs. 77 mrs. volteretas. Seria ciertamente una cosa graciosa 7 divertida el ver 4 un £n providencia de 31 de Enero último, dada por el Sr. D. Margrave holandés hacer tan repetidos movimientos. El capitán Knuent- Miz) de Pineda y Lira, magistrado honorario…</t>
  </si>
  <si>
    <t>Villami, Domingo</t>
  </si>
  <si>
    <t>Domingo Villami</t>
  </si>
  <si>
    <t>…ría de esta ciudad han sabido Carnicero, marques de Torrenueva, D. Francisco Martínez Marina, con admiración los heroicos esfuerzos que habéis hecho en unión con D. Josef Castel , D. Domingo Villami! y D Saturnino Lozano. la bizarra guarnición de esa heroica villa para afianzar nuestra naciente Señores que fueron de opinión contraria: Marques de Cusano, Don libertad, oponiendo un muro de bronce contra los golpes del fiero Antonio Alcázar, D. Julián de Fu…</t>
  </si>
  <si>
    <t>Villamil, Antonio González</t>
  </si>
  <si>
    <t>Antonio González Villamil</t>
  </si>
  <si>
    <t>…lazas de magistratura de la audiencia territorial de Canarias á miento infantería de América, con 610 rs. D. Josef Antonio Navarrete , á D. Cristóbal María Falcon y i Don Csuna al capitán D. Antonio González Villamil, segundo ayu Julián Gamboa; y para una fiscalía á D. Josef Atanasio del Castillo. dante del regimiento infantería de Búrgos, con 610 rs. Secretaría del consejo de Ejtado. Falencia al espitan D. Pedro Ruiz de la Peña , segundo ayudante Provincia de León, Por p…</t>
  </si>
  <si>
    <t>Villamil, Donvngo</t>
  </si>
  <si>
    <t>Donvngo Villamil</t>
  </si>
  <si>
    <t>…a no debe pasar i empresas «fe particulares.” au virtud se reunió el jurado, compuesto de los señores siguientes: De Real orden lo traslado á V. para su inteligencia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t>
  </si>
  <si>
    <t>Villamura</t>
  </si>
  <si>
    <t>…o proyecto; y por lo pectira comisiones, y lo* individuos de catas satán lo* que puedan mismo lo hacia presente á las Cortes para que determinasen lo conve coatestar. / niente. Ei Sr. Villamura: El Sr. eacretario de la oomition que be enten El Sr. Infante: Efectivamente en los artículos que acabe de citar el dido muy por menot en el examen de lo* expediente» que *e han pa Sr. Salvé a*, previene que los proyectos de ley se discutan primero e- «n ndo…</t>
  </si>
  <si>
    <t>Villanneva</t>
  </si>
  <si>
    <t>…las ór«tenes nacionales 10Q L resolución da las Cortas mandando que se estableciesen dichas ofi reales.” cinas para el resello de los medios lunes en todas las poblaciones don Del Sr. Villanneva: »For el uso de las cruces y distintivos de las de habiero en abundancia dicha clase de moneda, opinaba que las Cortes extrangeias que no sean grandes cruces 69 rs.” Cortes podiiau disponer que asi en Santander como en los demas para- Del Sr. Alaman : » Por l…</t>
  </si>
  <si>
    <t>Villanu</t>
  </si>
  <si>
    <t>…yese dicha consulta, y se verifi bre cate asunto; p:ro yo creo que es nn punto puramente gubernativo y có asi. de nmguna manera legislativo. El expediente valuminoso sobre esta El Sr. Villanu -va leyó la pastoral d i obispo de Ceuta. materia demuestra suficientemente cuales han sido las causas que han KlSr. Pt ido: Por el expediente resu ta que hi habido animosidad tenido la guarnición y vecindario de Ceuta para expulsar al obispo, y entre el gefe…</t>
  </si>
  <si>
    <t>Villanueva</t>
  </si>
  <si>
    <t>…orque tratándose de la Inquisición y se suspendió esta discusión. en las Cortes de Cádiz se habia dicho muy bien que no era el verdade Se mandó pasar á la comisión una adición del Sr. Villanueva al ro zelo de la religión el que inducía á que se quemasen los hombres ó art. 133 del código penal, que se acababa de aprobar. se castigasen con los tormentos que la misma usaba , sino el des-.o de A la de Guerra una adición del Sr. Sánchez Salvador al art. t…</t>
  </si>
  <si>
    <t>…todo ó en parte el mayor, cual seria el que le impusieran la pena que establece este artícu catálogo presentado á tu examen. lo. Por estas razones opinó que no debía aprobarse. El Sr. Villanueva pidió que te expresase sí el que tenia un libra Se suspendió esta discusión , y se mandaron insertar en el acta los prohibido sin saberlo ,.y se lo encontraban , debía perderlo. dos votos de los Sres. Gaseo, Diaz del Moral, Desprat y Janer, el pri El Sr. Cala…</t>
  </si>
  <si>
    <t>…icio d'j» desde la publicación de este decreto. Madrid ai de Diciembre de lo que se acordase. 18s 1.=:Diego Clemencia, presidente.—Juan Palarea, diputado secre- Nuevo* apunte» dal diputado Villanueva sobra la* cartas dd Sr. Al tario.=Fermin Gil de Linares, diputado secretar o* =Por tanto manda calá Galiaao: citadrmo y.* y último. En esta obra, al paso que te de mos á todo* lo* tribunales, justicias, gefrs, gobernadores y demas auto muestran las equivocaci…</t>
  </si>
  <si>
    <t>…ción, y el 1 al del reglamento, que trata del modo de ejecutar Patencia............................1 ... 4...... 1 5 3,010...... 161 ,63 o.' y salió electo en primer escrutinio el Sr. Villanueva por 63 votos la, Soria......... 1. »99.J?,7....... 800,000. de 114. Salamanca..........................i.... 3...... ....... ' 29.:;;ó. El Sr. D Vicente Posada dijo que había sido electo diputado por 963,-02-25. t.s66/- i j-te. la provincia de Filipinas pata…</t>
  </si>
  <si>
    <t>…no el empico ue que se había hevh» dos loa poderes de estos individuos como se proponía por la comisión. mentó. Puerto-Rico. D. Josef Mar ai Quiñones, l'u ro.i aprobado» lo, po El Sr. Villanueva apoyó el d ctarrtr de la cm Ven, tr.anifesrtndo deres de este S(. diputado como Opinaba ia comisión. que esta solo debía exponer á Ja ¡unta ias taitas o cu..duce» ..uc tuv e-</t>
  </si>
  <si>
    <t>…rse do dado los testantes electores el suyo al que les dió la gana! Otros aulas las elecciones de Segovia. tres electores parece que estaban en tu favor; pero sea cualquiera el El Sr. Villanueva dijo que constaba en el expediente que habién Motivo, el Sr. Sarabia ha tenido la poca delicadeza, por no decir otra dose agolpado mucha gente en la junta electoral, los electores ó justa cosa, de venir i engañar al Congreso presentando un poder que no le ó i…</t>
  </si>
  <si>
    <t>…el motilo de preposición como comprendida en el artículo too del reglamento.” haber formado este juicio seria la representación hedía por aquel ge- Admitida á discusión , dijo el Sr. Villanueva qne nadie ignoraba fe político. que la tranquilidad pública peligraba en todos los ángulos de la Nación Después de una ligera discusión se acordó pasase esta exposición al española , porque por todas partes habia juntas y conspiraciones que Gobierno. tendían…</t>
  </si>
  <si>
    <t>…a hacer esta Aguirre por 66 votos de 94, el Sr. Romero por 67 votos de 91 , el proposición es que en los Gobiernos representativos el poder egecutivo Sr. Ser a ni por 70 de 96, el Sr. Villanueva por 75 de 105 , el señor tiene siempre una natural tendencia á ampliar sus facultades, y hacer Navarro Tejeiro por 74 de 103, el Sr. García Domenech por 68 de algún ataque para usurpar terreno; y como el asunto de que se trataba 98 , &gt;r. Marau por 78 de 93 ,…</t>
  </si>
  <si>
    <t>…os secretarios del Despacho no se podía venir en conoci estas podrán entonces determinar lo que convenga. miento exjeto del estado de !a Nación , pedia que se aprobara la propo El Sr. Villanueva expuso que el Gobierno era quien d--bia haber sición presentada por el Sr. Gil de la Cuadra, para que se nombrara una cumplido el decreto de las Cortes, y que de no haberlo hecho asi era comisión especial que . ntendiera en este asunto. él responsable. &gt;e api…</t>
  </si>
  <si>
    <t>…regularcs se hallan habilitados en las elecciones para votar como loe díga ó tanteo. eclesiásticos seculares.” Art. 5.0 •* El derecho de laudemio sobre casas ó tierras en que Del Sr. Villanueva : tencan ei dominio directo , territorial ó solariego ios llamados antes 1.a » Decórense las Cortes protectoras de los cánones contenidos señores de los pu-blos no puede exceder de la cincuentena parte del va en la colección peculiar de la Iglesia católica. l…</t>
  </si>
  <si>
    <t>…Pedro River , sobre que se le pagase por dicho establecimiento la pensión que disfrutaba por una encomienda. , Los dueños de vales de las nueve clases de la creación de Enero, El Sr. Villanueva expuso que con motivo de este expediente pedia que los presentaron en ia oficina general de renovación á este efecto se dijese si existia tal comisión del Crédito público, y que si acaso se desde r.l&lt; de Diciembre del año próximo pasado hasta 31 inclusive de…</t>
  </si>
  <si>
    <t>…sefialar el creía conveniente que avocasen las Cortes 400 ó mas expedientes da plazo que te fija en el artículo. Potros tantos nombramientos que se habían hecho; sino que manda El Sr. Villanueva manifestó qne la idea de la comisión no era otra sen remitir los relativo* al ni mbramiento de personas determinadas, •ino la de que se cumpliesen los decretos que por su naturaleza se pue que se enyete so tenia» las cuolidadm que exigen las lepes. dan cumpli…</t>
  </si>
  <si>
    <t>…*43 de la misma se £1 Sr. Oliven Parece que los demás señores de la comisión no opi dice que ni las Cortes ni el Rey pueden avocar las causas pendientes: nan del mismo modo que el Sr. Villanueva; por consiguiente estamos por consiguiente se ve que este articulo se refiere á una avocación, de «n el cato de que la discusión continúe. Es muy fácil que yo me equi una causa, esto es, habla del efecto de la avocación, pero no del in voque ; sin embargo deb…</t>
  </si>
  <si>
    <t>…que hubiere recaído honor de la audiencia que habia dado la sentencia ; pero ser ella misma sobre un juicio. la que procedió del modo que han oido las Cortes; haberse hecho su El Sr. Villanueva manifestó que la comisión en este n’gnc&lt;'o había apoiogía, y haber procedido contra la ley terminante que dejo citada, atendido á su esencia, habiendo creído que lo mas oportuno era que no me parece que es haber cumplido con su deber; ni menos creo que las Co…</t>
  </si>
  <si>
    <t>…rno desprovisto de todo género de medios. tender que se tomase providencia alguna con el oficial Carrillo. Pueden calcularse (continuó el orador) los incidentes que pueden ocur El Sr. Villanueva manifestó que este asunto debía cortarse, siendo rir dentro de la Península; pero no los que puedan suscitarse y venir de bastante que el Sr. presidente llamase á los individuos de la secretaría afuera. La decisión y conducta heróica del cgéfcito permanente h…</t>
  </si>
  <si>
    <t>…oluta de D. Juan Pérez de Olmedo, oficial que fue del F.stado mayor de la de nombrar el consultor letrado. plaza de Málaga, para que se le concediese una viudedad en atención í El Sr. Villanueva contestó que ocurrian muchas dudas legales en los méritos de dicho su marido. La comsidn opinaba qa;'debía conce un establecimiento tan vasto , y que para decidirlas aun gubernativa derse á la exponeute el goce de la viudedad de ocho reales diano». Se mente e…</t>
  </si>
  <si>
    <t>Villanueva, Jaime</t>
  </si>
  <si>
    <t>Jaime Villanueva</t>
  </si>
  <si>
    <t>…al que entendiese en los infinitos negocios de este ANUNCIOS. establecimiento; y que no estando determinado en el art. 85 del regla- Viage literario i las iglesias de España , por D. Jaime Villanueva, znento que esta comisión la nombrasen el Sr. presidente y la secreta presbítero , individuo de la academia de la historia: tomo rx. Trata del ría , se debería nombrar por las Cortes. estado antiguo y moderno de ia ciudad de Cetvera en lo civil y ecle Se leyó…</t>
  </si>
  <si>
    <t>Villanueva, Juan de</t>
  </si>
  <si>
    <t>Juan de Villanueva</t>
  </si>
  <si>
    <t>…pueblo y parroquia de anterior, temeroso de que le prendiesen pues se iban i sublevar de Goldaraz, lo cual resulta del sumario por declaración de varios ve varias provincias; que D. Juan de Villanueva habia de ser el primer cinos de aquel lugar. Tercero; que las mismas disposiciones que Le comandaute, y el mismo Balda el segundo , y que habia de haber una paría tomó para separarse de Billa el dia 6 de Enero en ei lugar de diputación ó junta, coa la cual ha…</t>
  </si>
  <si>
    <t>Villanueva, Juana</t>
  </si>
  <si>
    <t>Juana Villanueva</t>
  </si>
  <si>
    <t>…alle en el caso mente;! cuyo goce de dicho patronato, según la fundación, fueron expresado pertenece i laclase de capitán ó gefes, te formará también llamados los descendientes de Doña Juana Villanueva, viuda de Alon por el inspector de su arma el expediente instructivo de que se habla en so Humanes, vecina de la villa de Paradas, y los de Doña María Barel art. z.°, i fin de que los demás vocales de la junta de inspectores, rionuevo, muger que fue de Juan G…</t>
  </si>
  <si>
    <t>Villanueva, Lorenzo</t>
  </si>
  <si>
    <t>Lorenzo Villanueva</t>
  </si>
  <si>
    <t>…s que se expresa en dicho decreto á una comisión el reglamento interior de las Cortes pata que propon á los Sres. D. Francisco Javier Isturiz , diputado por la provincia r¿ Cádiz; D. Lorenzo Villanueva , diputado por la de Valencia, y Don ga las reformas convenientes. Se upobó la proposición del Sr. Rico sobre que se proponga por la Josef Canga Arguelles, diputado por la de Astúrias. Madrid to de Mar comisión eclesiástica un decreto provisional para que se…</t>
  </si>
  <si>
    <t>…ión fuese nominal. tes los Sres. jueces de hecho D. Antonio Martínez de Velasco, D. An Habiéndote procedido á alia quedó aprobado el art. *.° por 88 vo tonio María Alca'á Galiano, D. Lorenzo Villanueva, D. Juan Rico, to* contra 44. D. Javier Isturiz, D. Juan Josef Sánchez, D. Ramón Busaña, D. Jo Los Srei. que aprobaron fueron los siguientes: Salvé, Prat, Saave- sef Taboada, D. Jaime Gil Orduña, D. Miguel Busutil, D. Pedro dra, Buruaga, Domenech, Luque, Sier…</t>
  </si>
  <si>
    <t>Villanueva, Nicitio Manuel</t>
  </si>
  <si>
    <t>Nicitio Manuel Villanueva</t>
  </si>
  <si>
    <t>…tiem res D. Mariano Altaoja , D. Jotef Lloro, D. Caferino Lagrava, Don po qu* instruyesen á la juventud, haciéndola ver lo* peligros á qssa es Mariano Nassrre, D. Joaquín Jaques, D. Nicitio Manuel Villanueva, tá expuesta y el modo de avilarlo* , dió á lúa esta obra. Cada lectura D. Pascual Ciprés, D. Juan Gómez de Aiba y D. Ramón Gazol, de lleva al frente una estampa fias, que representa el suceso mas intere clararon por unanimidad , atendiendo al mérito intrínse…</t>
  </si>
  <si>
    <t>VillapadierM, Manuel de</t>
  </si>
  <si>
    <t>Manuel de VillapadierM</t>
  </si>
  <si>
    <t>…aquella v,r á los ambiciosos planes d: a'eunos. í.r&gt; mismo se condujo^1 rebem menta vdta, como efectivamente lo ver hcó: pero el destacamen B rrit: enron -I graduado de infant-ría D. Manuel de VillapadierM, que to del whrcito p-rmanente del regim ento infantería inmemorial del vuluntariamenu se incorporó i la columna. R-y, la milicia vo/untar a de aqu-1 pu-b o y la partida da mlqucl. trs Madrid Viernes 12 de Julio. ajur ai ‘ 1 han armado, h ciaron una viva rans…</t>
  </si>
  <si>
    <t>Villapecto, Jaime</t>
  </si>
  <si>
    <t>Jaime Villapecto</t>
  </si>
  <si>
    <t>…s urgencias públicas. Ar librería de Hurtado á 9 cuartos. tículo a.0 Lo dispuesto en el artículo precedente te entiende solo res Viage literario á 'as iglesias de España: su autor D. Jaime Villapecto de las cuentas comprendidas en los años desde 1807 hasta 1813, nueva, presbítero, individuo de la academia de la Historia: tomo x. ambos inclusive. Art. 3.0 No tendrá lugar la remisión ó perdón en Continúa la de Urgel, y va al fin un apéndice de 3$ documentos…</t>
  </si>
  <si>
    <t>Villar, Antonio</t>
  </si>
  <si>
    <t>Antonio Villar</t>
  </si>
  <si>
    <t>…otros mismos os quejabais justamen .Ramos , con ub ico, café y azúcar. Bombarda española Carmen (a) te. Abandonad 4 esa horda de criminales egoístas; pemiad.osde una la Esperanza, capitán D. Antonio Villar, con lastre. Bergantín sue vez 4 qua la sacrosanta religión de Jesucristo condena expiessmente la co .Ve,rguest, cap tan Hans Thammas, con lastre. Fstos 11 buqura rebalion y el perjurio , y que no es posible que el Dios de paz y de jus -Conducen á varios pasa…</t>
  </si>
  <si>
    <t>Villar, Joaquín Suarez de</t>
  </si>
  <si>
    <t>Joaquín Suarez de Villar</t>
  </si>
  <si>
    <t>…ella Siguió la votación para elegir un administrador para loa bienea, ar los votos particulares de los Sres. Prado , Falcó , Eulate , Lodares, bitrios y pago de intereses , entre D. Joaquín Suarez de Villar, inten Viilaboa y Vega, contrarios á lo resuello por las Cortes en la parte 3.a dente de León, D. Manuel Díaz Moreno , secretario de los cinco gre «leí ait. a.° del proyecto sobre la guardia Real. mios, y D. Pió Lanza, intendente de egéteito propuestos para e…</t>
  </si>
  <si>
    <t>Villar, Luis</t>
  </si>
  <si>
    <t>Luis Villar</t>
  </si>
  <si>
    <t>…i estas plazas exhibirán las testimoniales por la tal regencia, suponiendo que el diplomático urgelino era un ale sus respectivos ordinarias, y deberán también hacer constar sufi D. Luis Villar , el cual, según el diario de Barcelona, ha estado - pre cientemente tu adhesión á las nuevas instituciones, tiendo uno de tus so en lu cárceles públicas de esta ciudad durante cuatro años por fal principales deberes instruir sobro este punto tan importante i…</t>
  </si>
  <si>
    <t>Villar, Manuel</t>
  </si>
  <si>
    <t>Manuel Villar</t>
  </si>
  <si>
    <t>…campo, y que no se pudieron to de gloria atacando con la mayor decisión: el ayudante de caballería haber 4 las manos. Se hallan igualmente en nuestro poder hasta i jo del Principe D. Manuel Villar, y los alféreces del de Luwunia Don armas de fuego, sin contar con otras muchas qud en su fuga tiraron, Santiago Balderrama y D. Manuel Negrillo puede decine que lian si y que no te pudieron recoger. Puedo asegurar 4 V. S. que ha sido tal la do los primeros s…</t>
  </si>
  <si>
    <t>Villar, Sonon de</t>
  </si>
  <si>
    <t>Sonon de Villar</t>
  </si>
  <si>
    <t>…ntación del F.xcino. Sr. conde da • SS. MM. y AA. continúan sin novedad en su importante salud.” Viilapaterna, D- Zacarías García Bueno, apoderado del br. marques da Sta. Cruz , y D. Sonon de Villar, apoderado del Hxcmo. Sr. duque da Circulares del ministerio de ia Gobernación de la Península. Medin ic li. La junta celebra sus sesiones en Madrid en casa del Ex Los Isrrs. diputados secretarios de las Cortes me dicen con fecha da celentísimo Sr. conde de V…</t>
  </si>
  <si>
    <t>Villaranda, Jotcf Marta</t>
  </si>
  <si>
    <t>Jotcf Marta Villaranda</t>
  </si>
  <si>
    <t>…ui, qne vive en la Los jueces de hecho D. Francisco dt Paula Castro y Gómez, Don calle de los Gitanos , núm. 11, cuarto principal, en que recibirá merced. Martin Fernandez Elias , D. Jotcf Marta Villaranda, D. Juan Gonzá Dictamen sobre los diezmos por D. Antonio Josef Huiz de Pa lez, D. Manuel de la Puente y Aranguren, D. V¡cante Sánchez Car- drón. Se hallará en la librería de Miyar, y en Cádiz en la de Zaragoza quero , D. Miguel del Pino y López han declarado…</t>
  </si>
  <si>
    <t>Villareai, Jos.f Medi de</t>
  </si>
  <si>
    <t>Jos.f Medi de Villareai</t>
  </si>
  <si>
    <t>…nué’ González Santos , D. Mauricio González , D. Juan Gerena, Don año de 1693 U. Baltasar H nriqu-z de Cabrera, y que el de marque* Jct'f Yela , D Antonio Moln r, D. Josef M.ndez, D. Jos.f Medi de Villareai te concedió en el de 1698 á Doña Báibara de Centurión, na , D. Vicente Martínez Baquero, D. Vicente Navas, D. Josef Par hija del marques da Monasterio; y no habiéndote podido saber huta do Diez , D- Pedro Ruíz, D. Jacinto Rofil, D. B rnardo Rodríguez, ahora q…</t>
  </si>
  <si>
    <t>Villarrubia, Josef</t>
  </si>
  <si>
    <t>Josef Villarrubia</t>
  </si>
  <si>
    <t>…Zaragoza el 31 d: Julio del pasado, denunciado en el mismo dia por mo en 8.' Se hallará en el despacho de la imprenta Nacional á 8 rs. en D Josef María Paniagua; la ley condenó ¿ D. Josef Villarrubia, res rústica y á 10 en pasta. ponsable de dicho impreso, en la pena de un tne» de privón y 500 r». El terrible para todos , ó s;a cuadro de los errores , tropelía» , crí vellón , y en las costas del proceso: en cuya consecuencia el Sr. juez menes é infraccion…</t>
  </si>
  <si>
    <t>Villasante, Sebastian Cortizos de</t>
  </si>
  <si>
    <t>Sebastian Cortizos de Villasante</t>
  </si>
  <si>
    <t>…soldado que pelea por de Agosto ds 1600: otro en el tercer medio por loo de Córdoba da ei sosiego y f licidad de sus compatriotas , y que de consiguiente de 801,6,4 mrs. rrt la de D. Sebastian Cortizos de Villasante, su fecha scara con razón le saliesen estos ■ ofrecer el alivio de sus fatigas, no 27 de Agioto de 166'í; y otro en las salinas de Badajoz de 37^9 en halla ni puede hallar en los que huyen de él sino el signo del odio y cabeza de D. Juan de Tarsis , su fecha…</t>
  </si>
  <si>
    <t>Villasante, Vicente</t>
  </si>
  <si>
    <t>Vicente Villasante</t>
  </si>
  <si>
    <t>…giac.a de D o» y pnr la Constitución de m Como una hora después de ocurrido lo que llevo expuesto se la Monarquía españo a, Rey tí; las rspaña», . t.&gt;io» .0, qu; pre presentí» el capitán D. Vicente Villasante con ot as dos piezas, de las sente» vieren y entendieren, sabrri: Qu; i¿» Con;» har. d .rcu : . i-. » cuales al momento la una pasó á ¡a calle Msyor con otra de la* que guiante: ’&gt; Las Cortes, usando de la l.cuitaí qu; s; le» ; jr..;...- p.r .a yo mandaba, la…</t>
  </si>
  <si>
    <t>Villaurrutia, Ciro</t>
  </si>
  <si>
    <t>Ciro Villaurrutia</t>
  </si>
  <si>
    <t>…uy amante de sus doctrinas y po it .a, .-.ha Ignacio Vidas ñor. Id. m honorarios Dr D. Pedro Gtm s , Duc á rodar ia nd esa de haberse d.-scub ;rto una trama , foru ada por Jes tor D. Ciro Villaurrutia , Dr. D. J ■ sef Mi :a Buche ir, Dr Don refugiados trances.* y algunos constitucionales españoles- No seí ala Juan Baut sta Ar ch.derr tea , Dr. D J-is-f Julio García T -t- época , s tio ni cosí que lo valga: pero bien conocida es su intención res, Dr. D. Hst…</t>
  </si>
  <si>
    <t>Villaver-, Josef</t>
  </si>
  <si>
    <t>Josef Villaver-</t>
  </si>
  <si>
    <t>…evolución, y proclamar de nuevo la libertad y la Constitución.” Monzon y otras ¿ favor de Juan Martínez de Rojas, á 2 de Noviembre Sres. que formaran el jurado: D. Miguel Tortosa, D. Josef Villaver- de la era 141 a', año 1374._-.Otro de un juro de 39 tan. aobte el porde, D. Josef Mariano Pulido, D. Francisco Montenegro, D. Mariano tazgo de Pancocvo i favor de Juan Mattinez de Rojas, á 5 de SetiemRniz de Navamuel, D. Josef Fernandez Guerra, D. Josef Díaz…</t>
  </si>
  <si>
    <t>Villaviej</t>
  </si>
  <si>
    <t>…r también otras extrangerat que no te pu planes que no te podían realizar en el corto tiempo que quedaba. diesen proporcionar en el reino , opinaba que te debía autorizar al Go El Sr. Villaviej* apoyó las ideas del Sr. Garoz, en cuanto 4 que bierno como lo solicitaba, aunque debía este procurar que en lo suce la recaudación se podía verificar por los colectores que nombrasen ia* sivo no hubiese necesidad de acudir al extrangero para proveemos de jun…</t>
  </si>
  <si>
    <t>Villavieja</t>
  </si>
  <si>
    <t>…teligencia y efec Se procedió á la elección de los dos Sres. diputados que deben ir 4 tos correspondientes. Madrid 28 de Abril de i8*a. Aran juez , y salieron electos , primero el Sr. Villavieja, por 74 votos Juicio de jurados. de 144 , habiendo tenido el Sr. Pcdralvez 69 , y el Sr. Merced uno ; y Habiéndose denunciado al Sr. alcalde D. Miguel de Náj ra un ar el seeundo fu- el Sr. Meca por 73 votos de 144, habiendo tenido el tículo inserto en el Zurr…</t>
  </si>
  <si>
    <t>Villazan, Salvador</t>
  </si>
  <si>
    <t>Salvador Villazan</t>
  </si>
  <si>
    <t>…la Francia, y he aqui la relación poder exista original dicho recibo, que se sirva entregarlo á .helio inte que acerca de él publica el diario de Marsella. resado ó á su apoderado D. Salvador Villazan, a,: -nte de invocáis, » Acaba por fin de desembarcarse el planisferio de Denderah, este que vive en esta corte, calle da Cosme-Medics, núm. 3, cuarto 1. , monumento, anunciado tanto tiempo há, esperto con tanta impacien quienes ademas de agradecérselo infini…</t>
  </si>
  <si>
    <t>Villegas, Josef Luis Mariscal de</t>
  </si>
  <si>
    <t>Josef Luis Mariscal de Villegas</t>
  </si>
  <si>
    <t>…e deia vislumbrar tus des-oa ejército para ser agraciados con ellas D. Rsizti Arena» (debió decir de qua no CXsMan sobre la tierra ni aun lo* nombre* de libertad, Cont- Cadenas) y D. Josef Luis Mariscal de Villegas, regulares » culartfaüos, titueimr, representación nocional, Rey constitucional. La Cotidiana, en atención a haberlas ya obtenido anteriormente. Aprobado.” EN LA IMPRENTA NACIONAL.</t>
  </si>
  <si>
    <t>Villegas, Nicolás Jofre de</t>
  </si>
  <si>
    <t>Nicolás Jofre de Villegas</t>
  </si>
  <si>
    <t>…bizarría, su vando la bandera en la mano que la asía. Milicianos, D. Manuel Fer friendo dos fuertes carga*, dé las que fueron rechazados hasta venir á nandez de los Ríos, herido. D. Nicolás Jofre de Villegas;, contuso: cargar á la bayoneta; pero esta obstinación fue Vigorosamente repelida Total z muertos, ja heridos y 3 contusos: por una pieza de artillería que defendía este puntó! y con el fuego tan' Tercer batallan. . . acertado que hizo completó la derrota, ob…</t>
  </si>
  <si>
    <t>Villolde, Juan Luis</t>
  </si>
  <si>
    <t>Juan Luis Villolde</t>
  </si>
  <si>
    <t>…” esa comisión que ha de tener la inspección de esta arma, y yo alia do «pie no creo tengan las Cortes facultades para hacerlo; ademas El Rey ha desestimado la instancia hecha por D. Juan Luis Villolde que las Cortes se reúnen periódicamente , y cuando no lo ésten, do, fiel de tercias que fue de Patencia, en solicitud de que se le consi no me parece podría ocuparse esta comisión del objeto que se la encar dere como cesante , y se le abonen los sueldos que h…</t>
  </si>
  <si>
    <t>Villotlada, Prudencio María de</t>
  </si>
  <si>
    <t>Prudencio María de Villotlada</t>
  </si>
  <si>
    <t>…e guarden y hagan guardar, vecino de Priego, se suplica 4 quien tenga noticia de ellos lo avia ■ cumplir y egecutar el presente decreto en todas sus partes. Tendreitlo es» corte 4 D. Prudencio María de Villotlada, que vive calle del Nor entendido para su cumplimiento, y dispondréis se imprima, publique te , núm. 15, cuarto principal, quien dará mas señas y un rstnifit—** y circule.c=Rubricado de la Real mano.=En Palacio 4 i.° de Febrera hallazgo. de 1822. =z A D. Luis…</t>
  </si>
  <si>
    <t>Villrla</t>
  </si>
  <si>
    <t>…s del fallecimiento de Art. 6.a » Que se discuta inmediatamente el proyecto número a3» nuestro secretario Eduardo Jerningham, cuya pérdida nos causa un pro como ha indicado el Sr. diputado Villrla. fundo 1I0 ur, aprovechamos esta ocasión para manifestar nuestro reco Art. 7.® «Que el Príncipe Real continúe residiendo en el Jiras nocimiento á los reiterados ¿ importantes servicios que ha hecho i sus hasta !a publicación de ia acta adicional, y que entre…</t>
  </si>
  <si>
    <t>Vilomara, Manuel Francisco</t>
  </si>
  <si>
    <t>Manuel Francisco Vilomara</t>
  </si>
  <si>
    <t>…es: Tomas Ros. Josef Elias. Domingo María Vila. Ramón Banquells. para el de Villalba á D. Juan Pedro Quijana y Carvajal: para el de Antonio Monmany , secretario interino. Mellid á D. Manuel Francisco Vilomara : para el de Caldas de Re Se ve que en este bando no firma el secretario del ayuntamiento yes á D. Antonio Ramón Careaga: para el d: S. Salvador de Lama D. Francisco Altes, el cual fue también comprendido entre los expulsos. á D. Andrés Fon tan y Rodríguez: p…</t>
  </si>
  <si>
    <t>Viltaboa, Nicolás Gómez</t>
  </si>
  <si>
    <t>Nicolás Gómez Viltaboa</t>
  </si>
  <si>
    <t>…sueldo: A cierto que haj' seis mas modernos que ron los poderes de estos Sres. como opinaba la comisión. yo qut disfrutan este sueldo, luego claro es que no estoy consecrado León. D. Nicolás Gómez Viltaboa, D. Pedro Prado y D. Anto como si sirviera. El Sr. preopinante, á quien parece interesaba bastan nio González Ron. La comisión opinaba que debían aprobarse los po te el atacarme, ha dicho que he asistido á las bodas y capitu' as ones deres de estos Sres. dipu…</t>
  </si>
  <si>
    <t>Viltalba, Andrés</t>
  </si>
  <si>
    <t>Andrés Viltalba</t>
  </si>
  <si>
    <t>…esto, vs »vibet, qu ene» &gt;on lo, qce han de alío de iSitf por ia cantidad ac joya pesos que había prestado dehs pronunciar las sei.tencia» v acordar la ■-creucion de el a». casa á D. Andrés Viltalba, encargado de Negocios en el Brasil, para De coosigu ente la audirncía de Val ado! d no tuvo facultad nara reparar en el Janeiro las corbetas de guerra espadas T entilo y Abat- hacer este acuerdo, y d;b o acudir ai G' bitrro , v e»t. f. rma¡ el rezui ; opinab…</t>
  </si>
  <si>
    <t>VílUcampa</t>
  </si>
  <si>
    <t>…cía Valladares, oficial tigos rigorosos impuestos por los tribunales—Escriben de Londres qu: primero. en aquel a capital se aseguraba que el nuevo ministro Mr. Canninr Granada. El general VílUcampa se hallaba el día n en Motril, propondría al abrirse el Parlamento la separación de la Irlanda d: la hab ctido logrado conciliar las desavenencias de aquella ciudad- Jos Inglaterra , y el establecimiento de un Par amento irlandés en Dubiin, ilusos han encontr…</t>
  </si>
  <si>
    <t>VilUnueva</t>
  </si>
  <si>
    <t>…as elec á corporaciones suprimidas, sino también los huertos, corralones y ciones de diputado* a Cortes. cualquier otro terreno contiguo á los mismos edificios, en la paite que El Sr. VilUnueva dijo que ademas de las nulidades de que habia el mi.mo Gobierno crea absortamente necesaria para la limpieza, d shecho referencia el Sr. Adan, se había notado por un Sr diputado en ahogo y labores de los referidos establecimientos. Art. 5.' En lo suce la junt…</t>
  </si>
  <si>
    <t>Vinc-nt, Sebastian</t>
  </si>
  <si>
    <t>Sebastian Vinc-nt</t>
  </si>
  <si>
    <t>…la segunda rcuoion de 10 de Noviembre, obtuvo la aprobación con la D. Miguel Martínez, poital de Manguiteros. mas manifiesta complacencia de todos; y su contexto sencillo traza la D. Sebastian Vinc-nt, comisionado especial para la investigación marcha uniforme, y una administración tan sencilla, imparcial y juste, d; bienes del clero y fábricas de la diócc;i&gt;-de Orihucia, emplaza y con como son rectas tas intenciones de sus promotores. En su conformidad vo…</t>
  </si>
  <si>
    <t>Viñes, Josef</t>
  </si>
  <si>
    <t>Josef Viñes</t>
  </si>
  <si>
    <t>…el resultado. tropas y milicianos ha mejorado extraordinariamente el espíritu públi Manrcta to de Julio. co : en fin yo creo que dentro de dos dias ya no existirán facciosos, y El capitán D. Josef Viñes, comandante de la columna de too vo que los enemigos quedarán escarmentados y la Constitución afianzada. luntarios de las comprólas velantes del partido de Mantesa, atacó al » No puedo menos de agradecer á V. 5- sus prontos auxilios, y el amanecer d;l día j»…</t>
  </si>
  <si>
    <t>Vinuesa, Matías</t>
  </si>
  <si>
    <t>Matías Vinuesa</t>
  </si>
  <si>
    <t>…pro de infantería de la Corona, sobre la identidad de una carta firmada á su fesor de Zoología D. Tomas Viüanova una colección de osteología nombre , complicándole en la causa de D. Matías Vinuesa, se ha dado comparada , que abraza los carecieres mas principales que sirven de be la providencia siguiente: se á la clasificación de los animales vertebrados; ha resuelto la direc Vista esta causa por los Sres. magistrados de esta audiencia en Ma ción genera…</t>
  </si>
  <si>
    <t>Viré, Simón</t>
  </si>
  <si>
    <t>Simón Viré</t>
  </si>
  <si>
    <t>…i U, a; declaró nu haber lugar i la formación de cauta por los lefio- guel Ballcster y Catabas, y D. Juan Roig yMila, alca'des constitucio te* |u-c-.s de hecho D. Marisno Alagues, D. Simón Viré», D. M¡- nales de la villa de Sitges, d.claran haber lugar i ¡a formación de cau Sel1 SierraLaborda,y O. D.JuanJuanFranciscoJosef SavironSantoUria;, D. Manuelsiendo Canfín,de dictamenD. Cristo-con desa,l8aa.=shabiendoVicentedisentidoAleño,D. JoaquínAgustín Ja…</t>
  </si>
  <si>
    <t>Virues</t>
  </si>
  <si>
    <t>…calibra Era por lo tanto sumamente difícil trasladar á otro idioma esta obra ción é inhume de aquílla diputación provincial, oyendo antes al ayun sin que perdiese sus bellezas: el Sr. Virues lia superado con maestría es tamiento de la capital y i los de las principales poblaciones di /iquillas ta dificultad, dándonos una nueva prueba de la hermosura del habla islas, y tamlven ai consulado, se remitirá *1 Gobierno para la aproba castellana para la…</t>
  </si>
  <si>
    <t>Vita, Manuel Leal</t>
  </si>
  <si>
    <t>Manuel Leal Vita</t>
  </si>
  <si>
    <t>…á que y a la de c.bailcrU compuesta de 20 hombres del reg m erro de Lusiconservando mis posiciones, no bajo ni p.rmito que baj&lt;n 'as tropas tania, mandada por el alférez del mi»mo D. Manuel Leal Vita , en la por vía de precaución hasta tanto que amanezca , y mucho mas con que iban los de igual c ase del mismo r-eimienlo D. Birto'ome na vala proximidad de los facciosos exteriores. Lo haré asi que raye el astro dor y D. Francisco Moscova , y la del Principe…</t>
  </si>
  <si>
    <t>…loo de caba nos hubiera podido ser muy útil en un caso desgraciado. Remito á llería; lo que solo puede atribuirse f la rapidez con que se lea cargó. V. &amp; este paite con el alférez D. Manuel Leal Vita, que tan digno se Igualmente hemos tenido la fortuna de llegar á tiempo de poder salvar ha hecho dal aprecio de todos, para que en propia mano se le entre al alcalde constitucional de este pueblo, y á loa ciudadanos D. Manuel gue ; y yo después de dar descans…</t>
  </si>
  <si>
    <t>Vitan, Josef</t>
  </si>
  <si>
    <t>Josef Vitan</t>
  </si>
  <si>
    <t>…ios. P¡«cutido auficientemente ene punto, quedó aprobado. vese. Aprobado. Se lepó la minuta de decreto sóbre la repartición de lee existencias La misma comisión en le instancia de D. Josef Vitan, del comerdel medio diezmo, jr se declaró conforme 4 lo aprobado poc las Cortes. ció de Lera de Francia, eoiicitsnde licencie para cargar un navio de Le comisión de Güeña, en vista.de oo oficio dd Sr. aicrctario de mercancías españolas de libre introduceion o…</t>
  </si>
  <si>
    <t>Vitlaboa</t>
  </si>
  <si>
    <t>…Sr. Sa.-nz de Buruaga: A mí me parece indudable que el recurso la falta de firma y fecha en el final de dicha inmuta , 11 que .-.re de nulidad d..b a tener lugar en este caso. El Sr. Vitlaboa ha dichoque requisito nunca podría tener otra autor.za.:oi; que U que da a a.ta el proceder de la audiencia de Valladolid indica entender perfectamen mencionada la firma del presidente y secreta-io, que dan fe de cumio te el espíritu de Ja ley ; pero si tan p…</t>
  </si>
  <si>
    <t>Vito</t>
  </si>
  <si>
    <t>…erane* (advierta,.- que este apellido no es ital ano ); que habrán de concurrir, y el gasto que r caponará ei todo de ía :cnti Sr. La Grúa, individuo del supremo tribunal militar; D. Vito cion. Por el estado adjunto &lt;e d.muvt a que la fuerza m-t.tar a-cíend* Nunciante, encargado dei destino de inspector general o: toJvj los á 8443 p'azus, qu: la c. m «icr» 5 a el - v,.to a 9O para ■ curr r a . jaquie cu.ipos de infantería y caba'lcna de línea,…</t>
  </si>
  <si>
    <t>Vitoria, Fetik Blanco y</t>
  </si>
  <si>
    <t>Fetik Blanco y Vitoria</t>
  </si>
  <si>
    <t>…eúna y forme una masa grande y compacta en el país , loa choques Lugo i D. Josef Valcarcel, id. y convulsiones Serán inevitables. El Gobierno federal ó general no tie Valladolid i D. Fetik Blanco y Vitoria ,id. ne fuerza bastante para mevebir y disipar cata criáis, ni pera impedir Ponufedn i- D. Ramón María Herrero, id. sus ominosas resultas. El poder egecbtivo está mal combinado con el Trujillo i D. Francisco Mogollón, id. legislativo y el judicial: carece de…</t>
  </si>
  <si>
    <t>Vitoria, Joscf</t>
  </si>
  <si>
    <t>Joscf Vitoria</t>
  </si>
  <si>
    <t>…de presas. La comisión opina ARTICULO DE OFICIO.ba que debía suprimirse en dicho decreto la palabra pescas, y ponerse U de presas. Se acordó quedase sobre la mesa. Por renuncia de D. Joscf Vitoria no Olaeta ha quedado vacante el El Sr. presidente anunció que mañana se discutiría el dictamen do juzgado de primeia instancia del partido de bepúlvcda, á que fue tras la comisión de Hacienda sobre los fondos pertenecientes i las reclama ladado por Real orden…</t>
  </si>
  <si>
    <t>Vitoríca</t>
  </si>
  <si>
    <t>…es nct que estaban ya finalizadas ascendían á 61 millones. -. Una de las razone» que se han dado par* pro que se hubieren instaurado antes dei d.crcto de suspensión de 19 de No El Sr. Vitoríca dijo viembre úitimo, tanto en el Créd to público como en la contaduría bar que las Cortes deben aprobar el dictamen de la comisión es que de general de distribución; y ademas las que procedan de las asignaciones h&gt; contrario se seguirá un perjuicio considerab…</t>
  </si>
  <si>
    <t>Vitorica</t>
  </si>
  <si>
    <t>…de Galicia, y pagaba varios arbitrios destinados 4 la conveniente. Quedó aprobado el dictamen. misma provincia. La comisión de Guerra, en vista de la consulta que le había sido El Sr. Vitorica dijo que al Sr. Rovira no había satisfecho 4 las remitida por el Gobierno acerca de ia inteligencia del art. tji del de objeciones del Sr. Loper, relativa» ¿ que k trataba de destruir unos ar creto orgánico del egército, opinaba que estaban comprendidos en ¿1…</t>
  </si>
  <si>
    <t>ViUaboa</t>
  </si>
  <si>
    <t>…n á una comisión especial que se nombrase al efecto. desacato á la magestad y soberanía del pueblo español. El Sr. Prat insistió en que nada tenia de pirticular se pasase á la F.l Sr. ViUaboa dijo que se trataba de una duda de una ley , y por comisión que entendía en los negocios de Cataluña. lo mismo debía pasar este asunto á ia comisión de Legislación. Ei Sr. Galiano r Pido que se me diga fin primer lugar por qué ley El Sr. Prat dijo que estando…</t>
  </si>
  <si>
    <t>Viüacampa, Pedro</t>
  </si>
  <si>
    <t>Pedro Viüacampa</t>
  </si>
  <si>
    <t>…i.° La análisis de los periódicos de las provincias de Almería, Granada, Jaén y Málaga , al teniente gene medicina franceses. 3.“ Un artículo interesante de variedades médicasral D. Pedro Viüacampa, que desempeña en propiedad la comandan 4-J El extracto de las sesiones de la academia Real de medicina. 5/ cia general de Granada. Bibliografía médica nacional. Comandancias subalternas de provincia correspondientes ai noveno Causas de la división de ánimos…</t>
  </si>
  <si>
    <t>Viüanova, Tomas</t>
  </si>
  <si>
    <t>Tomas Viüanova</t>
  </si>
  <si>
    <t>…coronel del regimiento Habiéndose formado en el gabinete de historia natural por el pro de infantería de la Corona, sobre la identidad de una carta firmada á su fesor de Zoología D. Tomas Viüanova una colección de osteología nombre , complicándole en la causa de D. Matías Vinuesa, se ha dado comparada , que abraza los carecieres mas principales que sirven de be la providencia siguiente: se á la clasificación de los animales vertebrados; ha resuelto la…</t>
  </si>
  <si>
    <t>Vivanco, Pedro</t>
  </si>
  <si>
    <t>Pedro Vivanco</t>
  </si>
  <si>
    <t>…et una cota que el tiempo, la tancia de aquella capital D. Tomas Escame?, y contra el comn.onado perseverancia, la discreción y nuestra prudencia corregirán cuanto se por el mismo D. Pedro Vivanco, p r haber puesto preso de un modo quiera. Debo llamar la atención de las Cortes sobre lo que ha leido el afrentoso al vocal de la misma D. {«a rador Mirtinez Muñoz, opinaba Sr. Castejon; y refiriéndome después á lo que ha dicho el Sr. Oallano, que se habían…</t>
  </si>
  <si>
    <t>…artículo. primera instancia de aquella capital D. Tomas Escamez, por haber Art. ti. n Lo dispuesto en el decreto de las Cortea de 6 de No puesto preso, por medio de su comisionado D. Pedro Vivanco, al viembre de 1810 sobre que los nombramientos de empleados de Ha diputado provincial D. Salvador Martínez Muñoz; y en vista de todo cienda y demas civiles se extiendan en papel sellado, se amplía á lo* lo qu-* resultaba del expediente opinaba que hab a luga…</t>
  </si>
  <si>
    <t>Vivcr, Pablo</t>
  </si>
  <si>
    <t>Pablo Vivcr</t>
  </si>
  <si>
    <t>…an Ensebio Manzano, comandante del segundo brgovia « D Dion o Cr&lt;i &lt;t B rnabé , captan del CuerpoÚt a-.tibatelion del regimiento ¡ofantoia de la Reina, id. liería, id. Barcelona á D. Pablo Vivcr, segundo comandante del batallón li Segorve i D. Franc seo de Oóa , mayor cotu.n sute supernumera gero de Canarias, id. rio d I regimt nto irf,r feria de la A ína , id. Bubao i IX Sebastian Pablo da Gambra, rapiña graduado de tt- Tarrs.ors &gt; D. Franc scu aaba…</t>
  </si>
  <si>
    <t>Viver</t>
  </si>
  <si>
    <t>…e vivaqueó la división. Al amanecer del 13, lomadas las posicio ma de la facción de Mosen Antón, que dirigía Ch paite y entusiasmaba, nes di derecha é izquierda por la columna del comandante Viver, in y que se haba encargado especialmente de reforzar, municionar y apro- troduje sin un tiro el convoy en Cardona, consistiendo en 100 cabeza* Tisionar, y sin cuyos auxilios se hubiera ya tal vez disipado. ¡Y l1 Go de ganado lanar, cuatro de vacuno, y mas de…</t>
  </si>
  <si>
    <t>Viver, Pablo</t>
  </si>
  <si>
    <t>Pablo Viver</t>
  </si>
  <si>
    <t>…y balconea vistosamente adornados. En dante del referido batallón de Córdoba , y Ja inunda por el tmimte la m-ncionada plaza arengó al pueblo, el cual lleno de júbilo no cecoronel D. Pablo Viver, que lo es de Canarias; y noticosn de que loa taba d prorumpir en los mayores aplausos. Por lo noche hubo ilumi facciosos habían inutilizado varios caminos que conducen á aqueta nación en obsequio de este ilustre huésped, y ha continuado todas las plaza, con…</t>
  </si>
  <si>
    <t>…calle del Escorial, núm. 16, cuarto z.° en la acción dos individuos de Caragol. Que la otra columna, al insudo D. Ignacio Pérez de Soto, vecino de esta corte , remitió por el del comandante D. Pablo Viver , compuesta de los miqueletes de Puig- correo del 6 del corriente i D. Lorenzo Valdés Il.-via , de G jon, en cerdi y el baiallon de Canarias, sostuvo la noche anterior la acción que dosados á su favor cinco ins.ripclones del banco nacional de S. Carlos, indic…</t>
  </si>
  <si>
    <t>Viver.’, Pabso</t>
  </si>
  <si>
    <t>Pabso Viver.’</t>
  </si>
  <si>
    <t>…ntó el gi m el de de los individuos que componen este batallón, su órgano y primer gefe Araha , en vi cortijo del Fresno , y el domingo i.° del corriente estu- intermozsKl segundo comandante Pabso Viver.’* vo en el cort jo de Miranda , término d - Utrera , desde donde pasó al üobitrno superior político.d'- 'as Torrrs de Alocaz. En este había 8 soldados del regimiento de Farues.o, encargados del cuidado de te remonta da potro* para al Per P*tt« del alcalde puta…</t>
  </si>
  <si>
    <t>Vivero, Juan de</t>
  </si>
  <si>
    <t>Juan de Vivero</t>
  </si>
  <si>
    <t>…ré Turquía (dice) 00 so hdhur todavía ter brero de 1553—Üu juro de 111,408 mrs. sobre los bienes confiscados minados. En semejante situación basta observar qne todo» lo* Gobier a) vizconde D. Juan de Vivero, á favor de D. Andrés de Rivera y nos de la Europa, y especialmente d d« Inglaterra , hacen cuantos es Dofia Constanza Sarmiento. En Burgos á 18 de Noviembre de 1)23. fuerzos pueden pora terminar estas diferencias de una maneta amistóse, -JJn testimonio de la…</t>
  </si>
  <si>
    <t>Vives, Josef</t>
  </si>
  <si>
    <t>Josef Vives</t>
  </si>
  <si>
    <t>…1 11 rebeldes, capitaneados por el cabecilla Vilaüa , y de iu- re*u ras Hurga , en que comunica su entrada en aqu la rula , y es como s gue: qu-dn pr.sionero con los subtenientes D. Josef Vives y D. Jo»ef Be- •Palpablemente vemos que ia política y buen compuinmi nn de &lt;a l er y tres milicianos. Los facciosos los desarmaren, y después de abe tropa es el mejor antidoto contra ia seducción de ios mi » ido» , pues nas horas de detención los pusieron en libertad…</t>
  </si>
  <si>
    <t>Vives, Tomas</t>
  </si>
  <si>
    <t>Tomas Vives</t>
  </si>
  <si>
    <t>…la de Consolidación , Juros y ofi do , el barón de las Cuatro Torres ,D. Josef Pujol, D. Nicolás Villa- cina de Renovación de vale*, cuya publicación se egecuta á mas de ha campa, D. Tomas Vives, D. Josef Segundo Soler y J.-nkins , Don berse acompañado á la gaceta del lunes 10 del coniente mes , para que Pedro Rambaud, D. Francisco Ignacio Pelleja y D. Josef Antonio si algún interesado tuviese que hacer alguna reclamación lo verifique en Bertrán. el…</t>
  </si>
  <si>
    <t>Vizconde, Batto'omé</t>
  </si>
  <si>
    <t>Batto'omé Vizconde</t>
  </si>
  <si>
    <t>…también el patriota D. Ignacio Acevetlo, padre del » Fa este momento acaba de presentírseme el oficial de Málaga héroe D. Josef Acevedo, muerte ppr los facciosos en el ataque de. D. Batto'omé Vizconde, quien en medio de la pérdida del camino que Montilla. le ocasionó el guie, ha caído, «aguo me dice, sobre una partida de cua Madrid Lañes ig de Julia. tro facciosos, que fueron muertos, y rescató un soldado que se llevaban as-fifi. MM. y A A. continúan sin n…</t>
  </si>
  <si>
    <t>Vl</t>
  </si>
  <si>
    <t>…s creo que Art. 49. » El ayuntamiento podrá remover I su secretario cuando no d-.be aprobar»: ■*’ articulo. lo estimare conveniente el mejor servicio público ; pero ha de prece El Sr. Vl: -aui Estoy enteramente conforme con lo que ha mani der precisamente el consentimiento de la diputación provincial, ya festado el Er. I.turiz, y añadiré que en mi concepto la desgracia de la sea en el principio ó ya en el medu» del afio cuando se intente Hace…</t>
  </si>
  <si>
    <t>Vlirau</t>
  </si>
  <si>
    <t>…la para tomar nuevas timos sucesos de Valencia. En este caso tengo que recordar qu: en Is providencias. sesión ea qu: se trató de los desagradables sucesos que habían ocurrido F.¡ Sr. Vlirau : Señor, llegó el mom nto en que por segunda vez l-var.te la voz en este augusto recinto , cecUtnardo justicia y las provi en esta misma ciudad , tanto mí» dignos compañeros como yo hicimos dencias n'c sarus pira ia salvación de mi patria. Llegó el momento de…</t>
  </si>
  <si>
    <t>Vóliles</t>
  </si>
  <si>
    <t>…que en el termino de 14 horas el gefe político lo 11.548,016. *9 973 comunique , ó convoque á ia diputación. Art. 3.3 * Se hirá el reemplazo con arreglo á la ordenanza de 1800, Ei Sr. Vóliles ( L) Cayetano ): £1 artículo está bien claro , pues i su adicional de 1819. v decretos de las Cortes de 14 de Mayo de 1821 por el se ve que ia diputación que se baila reunida está obligada á co 7 8 de Jumo íi tuno sobre reemplazos. municar el decreto en el te…</t>
  </si>
  <si>
    <t>Volviendo, Nicolás Ga-</t>
  </si>
  <si>
    <t>Nicolás Ga- Volviendo</t>
  </si>
  <si>
    <t>…sión al dictamen de la comisión especial encargada instruir el proceso? En el mismo párrafo se dic: que ti ge fe político. de examinar la exposición del ex-secrctario del Despacho D. Nicolás Ga- Volviendo pues á la resolución délas Cortes sobre la exposic'on rely, acerca de la adición de los bres. Ofiver, Seoane, Veíasco , Alon de D. Nicolás Garelly, diré que no puede considerarse como I.y, por so, Reillo , Alvarez Gutiérrez, Solieron, Kuiz de la Vega y otros,…</t>
  </si>
  <si>
    <t>Vriem-, Santiago</t>
  </si>
  <si>
    <t>Santiago Vriem-</t>
  </si>
  <si>
    <t>…e que V. S. los recomendase 4 la consideración del Gobierno; pero no Merino. Los oficiales y demas individuos que recomienda el dicho co puedo omitir el manifestar que el teniente coronel D. Santiago Vriem- mandante los considero acreedores, como 4 toda la tropa riel Prínci balle, y el capitán D. Víctor Pastor, comandante de las columnas, que pe y Lusitania, 4 que sean declarados beneméritos de la patria en gra ai bien no pudieron llegar con ellas 4 tener parte…</t>
  </si>
  <si>
    <t>Vrlasco</t>
  </si>
  <si>
    <t>…iduos Quedó elegido et Sr. Sánchez (D. Juan Josef) para vice-presidentt de los que componen este última se han ofrecido á ir voluntariamente por 74 votos, habiendo obtenido 6'é ei Sr. Vrlasco, uno el íir Ruiz en persecución de los facciosos, al paso que las tropas del ejército se de la Vega, otro &lt;1 Sr. Abrcu, y otro el Sr. Domenecb. Total 145. disputaban le gloria de poder marchar. En masa se levantaría la pro En la elección de secretario tuviero…</t>
  </si>
  <si>
    <t>Vs'.nta</t>
  </si>
  <si>
    <t>…di.méstn.os, 'os pobres Je soletnnuJid, y .os rri:..tr:e&gt; tn ac cato del ait. 35. tivo s rvic.o ó r ti: -d&lt;&gt;«.” Art. 39. » Los sargentos y cabos de brigada se nombrarán del mis E. Sr. Vs'.nta ( D. Cayetano) h zo pres-rtí que s-r:.n et": - c t mo modo , á propuesta del comandante del batallen. ceb do el ari oU-o et ,ue d.spurs de haber seividv » »' ■' :r. a r: Art. 40. » Los capellanes, cirujanos, armeros y mariscales se nom c .. d i*mi de ser m ii…</t>
  </si>
  <si>
    <t>Vsena</t>
  </si>
  <si>
    <t>…ia, que la mscripcion abierta en Ru AUSTRIA. sia á favor de los infiel ices griego*, 7 de la cual hamos hablado 7a, se lia hecho saber á los súbditos da S. M- por una circular det príncipe Vsena 97 de Diciembre. Gallitzin. Los principales persona ge* del Estado se han apresurado á El Observador austríaco publica la siguiente orden que te habia da* suscribir. Lo* que no lo hubieran hecho meramente por masivos de hu do en Constantmopia: manidad han ced…</t>
  </si>
  <si>
    <t>VsJdés</t>
  </si>
  <si>
    <t>…tres y cuarto. lero que vive en la orilla del mar, y tiene aa buquito con el cual pel ea una parte del alio. Extracto de tat noticien recibidas for los periódicos extranjeros. Ei Sr. VsJdés ( D. Cayetano) : Todo el mundo sabe que la matrí El punto principal de la paz ó dé la guerra en el Oriente no está aun cula en Espafia estuvo í cargo de la Armada; y aunque después pesó al definitivamente resuelto. El 10 de Abril llegaron á Viena pliegos deGo…</t>
  </si>
  <si>
    <t>Vslasco</t>
  </si>
  <si>
    <t>id . 1 El Sr. Vslasco: Este artículo es una consecuencia ó resultado del do el término de ios 30 a;, »e tiene qu; hacer !a rntr'gs 3 ,a.c primero; y por tanto ao pue'e menos de aprobarse, mu. ha mas cuan compéleme, y p: r n. ,:n . •_ r-.u t.c . ó- '1 cau-i i; - i v-.r ■■,.e do sol…</t>
  </si>
  <si>
    <t>Vsldé</t>
  </si>
  <si>
    <t>…supremo tribunal de Ju.lieiu, en nriuj ue no Lab ir ac. piído que en toda la Nación se gastaban los 40. el juicio ele conciituc.oti D. lGjn.ií Feliu, imu stro que fue de ia Go Ei Sr. Vsldé» ( D. Cayetano): E toy muy distante de querer que bernación d; la Ih.nusuia, por las expresiones que dijo en ia se» on di los reguardo» se encarguen i la marina militar, porque esta jamas po 24 de Dicn.mb.-i último , relativas a dicho G-.prnis: y en vista del…</t>
  </si>
  <si>
    <t>…den; g por consiguiente habré una dose esta necesidad, creo qu* deb* aprobarse el d:ctam:n de la comisión. imposibilidad de que están hechos para esta época aquellos presidios. El Sr. Vsldé* (D. Cayetano}: En este artículo no se dice que se El Sr. Romero insistió en la necesidad da que so establezcan estos puedan allanar las casas de los españoles, porque en este casa claro es presidios, poique de otro modo serán ilusorias las panas establecidas…</t>
  </si>
  <si>
    <t>Vsldés</t>
  </si>
  <si>
    <t>…scansará en el pedestal, de modo que según el. orden de antigüedad de cada uno.” se presente á la vista una de las superficie* planas del libro. Esta insig Habiendo manifestado el Sr. Vsldés (D. Cayetano) que en la ma nia se colocará en el extremo de una asta, cuya longitud será de ocho rina ya no había batallones sino regimientos , el Sr. Infante, como de pies de Búrgos. y, su diámetro de una pulgada y cuatro lineas. En la la comisión , convino…</t>
  </si>
  <si>
    <t>…stiene este combate! Egércitos El Sr. Arguelles indicó la necesidad da tomar en consideración !o disciplinados, cuyos Gobiernos no conocen el nombre de libertad, y que proponía el Sr. Vsldés. que 1 aman rsbeldes ¿ los reformadores para tener un pretexto de suje El Sr. Canga dijo que loa detenidos que hubiese de resultas de esa tarlos á la obediencia. ley deberán colocarse en el parage donde estuvieran los demas que lo Un periódico ministerial ha…</t>
  </si>
  <si>
    <t>Vsldys</t>
  </si>
  <si>
    <t>…l articulo que el teitimonio fuete lo meaot de judicadot en sus ascensos por la multitud de brigadieres do» facultativos, poique teyhabia verificado ea plpuiu ocasione» «1 ha j El Sr. Vsldys (D. Cayetano) dijo que lo* brigadieres podían ser ber bebido grande* alborotas ¿on motivo de tajiel dicho un facultativo ,destilados como hasta aquí £ tqai^o 4» regimientos ó al de plazas dcc. que habia fiebre amarilla £ otra enfermedad epidémica en un pueblo…</t>
  </si>
  <si>
    <t>VtFanueva</t>
  </si>
  <si>
    <t>…emoria, ai Sr. Isturiz preguntó al Sr. secretario si observar lo que pa»a para p oceder con arr-glo á el.o. habían llegado los comisionados nombrados por el Gobierno disidentc( El Sr. VtFanueva tninifestó que sin embargo de exigir la respon y qué providencias se habían acordado respecto á este asunto sabilidad á quien hub ese lugar, d.bian las Cortes tomar en considera El Sr. secretario de Ultramar d:j-&gt; que no se creia autorizado para ción U urgent…</t>
  </si>
  <si>
    <t>Vulaboa</t>
  </si>
  <si>
    <t>…la décima fue elegido el Sr. Pumarcjn por 68 vote» de 8* , re lifuc on , v p -r I 1 m smo deben aprobarse: y en la secunda min fie.!* partiéndose los testantes cu esta forma; 8 el Sr. Vulaboa, 4 el señor a.¿unas iludas sebre si d.b: admitirse en el Congreso me det.odre muy</t>
  </si>
  <si>
    <t>Vülaboa</t>
  </si>
  <si>
    <t>…te suspendiese el artículo 71 de ia ley orgánica del egercíto, que jos coas, jos de Castilla y de Indias. trata de que no puedan ser separados de sus destinos los militares sin El Sr. Vülaboa: He dicho que el consrjo de Estado es un cuerpo causa lega&lt;mente formada y sentencía la; pues de otro modo el Gobier nacimu!; y esta expresión la encomian el Sr. Canga en el proyecto de no solo podía separar á lo* gefes provisionalment -, lo que no puede la C…</t>
  </si>
  <si>
    <t>VVall, Santiago</t>
  </si>
  <si>
    <t>Santiago VVall</t>
  </si>
  <si>
    <t>…s txistentes en el estado mayor gene ral 418,260 rs. L1 Rey se i:a s-rvido nombrar inspector gen-ral de cabaüerír, Administración militar. cuyo empleo d-.-s mp-fm interinamente el brigadier D. Santiago VVall, Para los sueldos y gastos de la administración militar 8.191,37a rs. al mariscal de campo D. Iranci-.ro Feriaz. y 6 mrs. .Tu icio de jurados. Milicia activa. Fn la ciudaá de Tarragona, r-unidos los jueces de hecho, declara Para los sueldos y gastos de ia ins…</t>
  </si>
  <si>
    <t>VVellington</t>
  </si>
  <si>
    <t>…ha de observar en el Congreso al tratar de los negocios de Europa, aó » Que los secretarios de Estado de Rio-Janeiro son solamente di se acordar*, según parece, hasta que lleguen lord VVellington y lo* responsables de la ilegitimidad de una determinación tan despótica, Mr. de Moutrnorancy. Lo* embajadores de las cinco grandes potencias y deben ser procesados. se ocuparán entoncea en la redacción de un proyecto relativo al crdea g.° " Que el Gobierno d…</t>
  </si>
  <si>
    <t>VVirmbs</t>
  </si>
  <si>
    <t>…sde el dia i.3 de Julio próxi el cuarteto nocturno del primer acto de dicha ópera, grabados y estam mo, con arreglo al nuevo sistema. 4” El Gobierno, valiéndose de em pados por el profesor VVirmbs, están ya de venta en su almacén de pleados inteligentes, activos y zelosos, formará una comisión, que se música calle del Turco. En el mismo hallarán los aficionados v profe llamará de rezagos, á la cual ss encargará exclusivamente, y con separa sores un cre…</t>
  </si>
  <si>
    <t>VVoEntraron</t>
  </si>
  <si>
    <t>…y O.ste continuarán acantonadas, y se toman disposic onea retirarse, si no teman qu: exponer á las Cortes alguna cosa. pera que pasen el invierno en donde se hallan. El cuerpo del conde VVoEntraron á jurar y tornaron asiento en el Congreso lo» Sres. Lamas, ronzr.tTsigue también en las fronteras del Austr a _ 5- A. 1. ia grata Sánchez y Adanero. duquesa Ai.a Feodrrcwna ció á luz el 11 de Slitinbre una princesa: El Sr. secretario de la Gobernación de la P…</t>
  </si>
  <si>
    <t>VY.dés</t>
  </si>
  <si>
    <t>…onveniente que en mi concepto podria salvarse, esperando pa pugnaciones que te han hecho al dictamen. ra resolver este punto á que se presentase el proyecto de arréelo jl«. nue El Sr. VY.dés ( D. Cayetano) ha reproducido lo* argumentos del va guardia Real, en ■ * que podría el Gobierno colocar a muchos indi Sr. secretario, y opina que este cuerpo debe ser uno de lo* que com viduo* de dicha brigada, m.xune cuando por el momento no resulta pongan l…</t>
  </si>
  <si>
    <t>W-, Felipe López</t>
  </si>
  <si>
    <t>Felipe López W-</t>
  </si>
  <si>
    <t>…vista se minió el jurado compuesto de los señores siguientes: tablas : la 1." de les autores: la 2.1 de las fórmulas ó recetas; y la 3/ D. Juan Antón.o I opez; t). Valentin Ruiz; D. Felipe López W- de las enfermedades, be vende en las librerías de Paz y eu ladeQuiroga, demoro; D. Antón o Seoíne; D. Manujl Esteban Catal &gt; ; D. Cavtniro á 18 rs. El autor avisa i los libreros de las provincias que si gustan Martin; D. Mat as Casero , D. Ramón l.lord, y D.…</t>
  </si>
  <si>
    <t>Wall</t>
  </si>
  <si>
    <t>…de la vanidad satisfacción de haber oido elogiar la exactitud con que te egecutarca ofendida , ó de los extravíos i que puede conducir un deseo excesivo lat maniobras al expresado Sr. Wall, ?u o voto en la materia es muy de sobresal ir entre los demas, y también pudiera ser efecto de la pér repetabie; habendo indudablemente contribuido á infundir el terror fida seducción dd una tnaügoidad ciega ó de un orgullo criminal. Eu que se apoderó de los…</t>
  </si>
  <si>
    <t>Wall, Santiago</t>
  </si>
  <si>
    <t>Santiago Wall</t>
  </si>
  <si>
    <t>…espectáculo que Madrid presentó é hacer mérito de la parte que tuvo en la glorio** jornada del 7 el briga toda la Europa en el día 7 de Ju'io, y el que hubiera anegado en mu dier D. Santiago Wall, inspector interino de caballería, que bajo la* gre, y cubierto de luto á toda Ja Nación, si vuestros iovencibies bru inmediata* órdenes del Sr. Capot»» mandaba al escuadrón de ia milicia zo» no hubieran exterminado en pocas hora* aquellos hombres faniti naci…</t>
  </si>
  <si>
    <t>Walmo-</t>
  </si>
  <si>
    <t>…terno escriben con fecha de 9 de Febrero que te habia eñsc- Informado de este escándalo el rector de la academia de París , fue tuado el desarmamento general con la asistencia del general Walmo- allá , y procuró por espacio de algunas horas atraer ai orden con la per den jrde las tropas imperiales que tiene á sus órdenes. Ahora te trata de suasión á aquellos muchachos; pero las amonestaciones mas paterna&gt;ea nombrar personas i quienes pueda confiarse…</t>
  </si>
  <si>
    <t>Wans.t</t>
  </si>
  <si>
    <t>…a pérdida de este individuo, como por el modo inespe aer.sible corazón de V E- ; pero constituido en la p.au&gt;:b¡; nus en de rado con que ha acabada su vids. El lord Liverpool y el lord Wans.t*rt tr tjutirie su constante «rat-tud por ei .«.currdo con que en lar acura han dado pruebas bien manifiestas de lo sensible que les ha sido este das y delicadas circunsti.-icas supo cc-nib'irar y eg-cut*r un p.an tan trágico suceso: el primero ha susprriJido…</t>
  </si>
  <si>
    <t>Waudem-Bergh, Felipa</t>
  </si>
  <si>
    <t>Felipa Waudem-Bergh</t>
  </si>
  <si>
    <t>…uleon y Vela, á deducir su derecho en razón á la demanda que en prorogable que está señalado: 3.* todas las oficinas de las provincias virtud de las nuevas instituciones ha puesto Doña Felipa Waudem-Bergh que reciban créditos para liquidar entregarán el día 3 de Julio al comi tobre la nulidad del testamento hecho por D. Guillermo Labihirisionado del Crédito público un resumen de los documentos que tengan goyen en virtud del poder que le dió dicho Deux, pidiend…</t>
  </si>
  <si>
    <t>WcilingLándrtt</t>
  </si>
  <si>
    <t>…tima; sin embargo nadie cree que sea á mal hacer. El ai dió el conde de Viilele, presidente del cuerpo de los minis wsUTnu. tros, un gran banquete diplomático, á que asistieron el lord WcilingLándrtt 30 d/ Setiembre. ton y todos los embajadores y ministros plenipotenciarios de la» po El Timtt publica la» reflexione* «¡guíente*. tencias exirangeras. Se dice que ei papel austríaco ha «libido un i 6 un a por roo por» —Cuando mas extendidas se hallan las noti…</t>
  </si>
  <si>
    <t>Wcllfsley</t>
  </si>
  <si>
    <t>…obase este origen de estas turbulencias. Parece que la nación espera mucho del ta distrito, y manifestó entre otras cosas que no debía comprenderse en lento y de la experiencia de lord Wcllfsley , y efectivamente el estado el de Oviedo, sino que debia agregarse al distrito Je Búrgoa, por rezón de la Irlanda le ofrece un dilatado campo para egercitar uno y otra. de su situación, y porque las comunicaciones eren mas expeditas. Aguardemos. El Sr. Sánche…</t>
  </si>
  <si>
    <t>Wcllington</t>
  </si>
  <si>
    <t>…las circunstancias y méritos de to No han sido muy agradables i los diplomáticos de Viena la tar dos los cabos primeros y sargentos del cuerpo, y las filiaciones de aque danza del lord Wcllington y la falta de poderes suficientes del lord llos y hoja de servicio de estos, respect a á que la elección de esta úl St vart y de sir Gordon; asi es que han resuelto los ministros de Rusia, tima clase no ha de hacerse con lim tacion á los cabos primeros de le…</t>
  </si>
  <si>
    <t>Wdés</t>
  </si>
  <si>
    <t>…dan ocasionar por no dejar corrientes estos documentos á tu aatida con orden y numeración en sitio conveniente las de aquellos que de ban dormir en cois,del buque. A propuesta del Sr. Wdés (D. Cayetano) convino la comisión en Art. 4.° « En seguida se asignará í cada soldado el logar donde sustituir rn lugar de las palabras « al contador de él” las siguientes: deba dormir, cuidando de que esta distribución se haga por escuadras, « al maestre de…</t>
  </si>
  <si>
    <t>We</t>
  </si>
  <si>
    <t>…re lat formalidades con que se había de jurar y publicar. » está.” El Sr. presidente levantó la sesión 4 la hora acostumbrada. * En cuanto 4 loa asuntos de Espada es indudable que lord We» Idem del Jf. Uington puede suministrar al Congreso excelentes documentos, pues Se leyó al siguiente dictamen. las campañas que ha hecho en la Península le han dado 4 conocer exac » La comisión de Constitución , habiendo examinado la indicación tamente el paí…</t>
  </si>
  <si>
    <t>Weliiogton</t>
  </si>
  <si>
    <t>…pata que todo convento en donde se prestase auxilio á Francia. En París corrió la voz de que «¡ Gabinete francés no crt-.u los facciosos qu dase suprimido. en ia indisposición del lord Weliiogton, v que su» achaque* y su len El Sr. Santafe dijo que el Gobierno no habia propuesto esta medi titud en el viage eran ardides político*. D c.ase en dicha espita, qu: da; á lo que contestó el Sr. Canga que el Gobierno decía - por último habia llegado de Londres…</t>
  </si>
  <si>
    <t>WeljaminoíF</t>
  </si>
  <si>
    <t>…i lO de Enero. Etfrut. Xat noticias da Peterabargo Iqñi'.il n da Diciembre son 1 Nuestros petiÓdico»pub|ic»n lo» dos trújenles documentos. rel4tiym,á haberse' recibido pliegos del general WeljaminoíF, gobernaGobierno MptWt política. - &gt; Ha llegado. á mi .noticia quq alguno* do; dc Ii Géorgía , desde .Tedia con fecha de,7 dé Noviembre , avisan bombee* entaiigoa de- H; patri* andan seduci,nao al incauto pueblo, . do'qué én efecto eiegérciio persa se había a…</t>
  </si>
  <si>
    <t>WelliD.ton</t>
  </si>
  <si>
    <t>…en ia, not cas de Ultramar que se publican en Lue.o que concluyan las conferencias de Viena volverá á Lon los periódicos Redactar general de Cádiz, su Darío &amp;c. En &lt;1 ú ti dres ei lord WelliD.ton á dar parte dei r-sultado á su Gobierno , y mo correo inserta el primero &lt;a re'acon de la so.emn'dad en la coro á tomar instrucciones par, asist-r después ai v-ongr-so de V—ona. nación d d llamado Emperador de Méj co , y en la que hubo !a may r Siendo esto as…</t>
  </si>
  <si>
    <t>Wellingtoa</t>
  </si>
  <si>
    <t>…m el A comisión de clasificaciones id.... 1,039-11 día t.a de Octubre; el de Rusie el día t. En la noche del 19 al 30 de A comisión de cuentas de consu Setiembre llegó á Vierta el lord Wellingtoa. No te sabia si pasaría á lados id........................................ $&gt;34* • 9 Verana: un periodista le hace ta'ir el día 5 para dicha ciudad: otro no A intervención de Hacienda por le deja pasar adelante, y dice que solamente irá el nuevo marques de un…</t>
  </si>
  <si>
    <t>Wellington</t>
  </si>
  <si>
    <t>…11 en rústica. rio, v el nombramiento definitivo del sugeto que ha de ir al Congre —Cuntí, poesías castellanas , cuatro tomos 8.a marquida, i 34 rs. ea so. Nidie duda que será el lord Wellington el que se encargue de tan papel y 56 en pasta. &lt;[ Je continuará, j importante comisión. La trama que se ha dicho haber sido descubierta Se halla vacante ta plaza de medico del Real sitio de S. Lorenzo, contra su v&gt;da se tiene generalmente por invención de alg…</t>
  </si>
  <si>
    <t>…os decretado y decretamos lo siguiente: sTreglo á tas instrucciones del nuevo ministro ingles Canntrg ba tenido Art. i.° » Las medidas sanitarias prescritas con respecto í ta fron lord Wellington con los ministros franceses i su paso por Paria pare tera de los Pirineo* en virtud de maestro decreto de *7 de Setiembre de Viena. Lomo quiera que sea, no llegan á gc9 hombre» toda» las tro 18 a 1 en cuanto á las procedencias por tierra cesarán desde i.° de…</t>
  </si>
  <si>
    <t>…rsos, y que c» indispen París un extraordinario de Vieca con !a noticia ce hab:r lleeado á aque sable proporcionar os ni poder cg.cutivo; 111. parece que podría pro lla capital el lord Wellington, y d: haber tenido inmediatamente unx cederse d&lt; sde tugo á entrar en esta discusión, y á v.,tar denos recur confer r.cia preíim.nar, en la cual se dice declaró rotundamente qu- 'ia sos, estando acorde la prt.cion óei tnin steno con al ínteres de la pa Gobier…</t>
  </si>
  <si>
    <t>…cesana hubiese alguno perte á detenerse en Viera hasta el 4; pues antes de salir quiere conf ren- neciente á las úrd-nes militares, inclusa la de S. Juan de Jerusai n, ciar con el lord Wellington. Señalan para el 18 la apertura del con da-á razón de los fruto* ó valores que la hayan correspondido por elgreso, el cual durará hasts el 25 de Noviembre.” medio diezmo y primicia en el exnr sado año de 18:1 , asi como por razón de lo, diezmos privativos, pa…</t>
  </si>
  <si>
    <t>…ada de la ley. nota que exprese los nombres y señas indicadas, por exigirlo asi el ín Extracto de noticias extranjeras. teres de la causa pública y mejor servicio de la Nación. El lord Wellington seguía indispuesto tn Viena , según un perio dista; bien que ya se dice que su indisposición no le impide it al Con ANUNCIOS. greso , y añaden haber salido para Verona. La Gaceta ,ie Francia sa El ayuntamiento constitucional de la ciudad de León ha acordado b…</t>
  </si>
  <si>
    <t>…fin, dicen , la Inglaterra ha creído que las conferencias particulares D. Juan de Pared"*, comandante d: una partida de caballería del son preferibles al Congreso, y aseguran que lord Wellington, antes de regimiento de Numancia, desde la Puebla de Cazares cor. f.-cht 17 dal su llegada á Viena, ha enriado i decir que sus intenciones no son de actual da parte al Excmo. Sr. comandante general de est • drc.rm dis ir á Vrrona. Según este nuevo sistema, no…</t>
  </si>
  <si>
    <t>Wiílam-H-rt</t>
  </si>
  <si>
    <t>…a tro Bruselas 16 de Diciembre. pa son cada d a mayores en la provincia , y pan cularm.-nte en Jassy. Escriben de Minsk con fecha de 17 de Noviembre lo siguiente: • No la casa de! Sr. Wiílam-H-rt, que está haciendo ¡as vece* de cónsul tienen razón los que se figuran U conquista de Turquía como una cosa prusiano. I13 sido invadida y sa ju‘ada. Todos los días hetan nuevaa muy fácil- D-be tenerte presente que hace solo igo años que los turcos tropas turc…</t>
  </si>
  <si>
    <t>Wilson</t>
  </si>
  <si>
    <t>…que la* autoridades políticas cooperan ifiranni nri i 1a desechada por 197 votos contra 97 la propuesta que se hizo á favor recaudación de las contribuciones. (Gaceta del 10.) del general Wilson, concerniente á su remoción del egército.— El Resolución de S. M. acerca da la solicitud de dos pueblos de la Gobierno ruso dedica una parte no pequeña de su atención á reprimir provincia de Soria, pidiendo una rebaja en la contribución territorial. el fervor…</t>
  </si>
  <si>
    <t>Wilt.viistcin</t>
  </si>
  <si>
    <t>…,&lt; luere , como es de ..r.siimr , lambí rr estaría hijo su, nr- B&lt;1 año, |». l.-n.i. I &gt; M I .-»•&lt;!» y D. (Vivió P-r rr Tapa. Fn a'zebra el rt n -s el e.-ct. t 1 d.-l Mediodía d . conde Wilt.viistcin. Se sabe que no nusnio l.tp 1 y D. J..s I Ir p z Ssz.st-z.ili.il. Fn e- m tría -l-ni nial se p r 11, i de o 11, un rii. 1 lo en !: 10 V r , si re. en qu_ p r:mne/ _an en su» los c lados Miin.-i * , J ó-t, 7, H.’oln, Du 2 Vah-lifn, K«dr en z actuai.s po.i.icu.…</t>
  </si>
  <si>
    <t>Wiltgenstein</t>
  </si>
  <si>
    <t>…rqu'ra. versivos , no solamente en la división Orlow ó cuerpo de Sabaniesv, AltuuiL'x .?•,&lt;■ ti .:....■ &gt;■ .munel .te la mi.i.ia n.u:em.t! acara Se sino también en el egército del conde Wiltgenstein y en los citan ics Bitanz i dirige a ju faM1.1i. distsntes. A inuchos'oficiales de las familias principales se les envió i -■sí.dad.»: . i en los eioiioios mom-r.tos de la rz&gt;r»ur3c;on tic sus casas, y i otros se les puso en observación: á muchos soldados se…</t>
  </si>
  <si>
    <t>Wirmb</t>
  </si>
  <si>
    <t>…laEliaabetta: Btllt almr generóse, cantada por laSra. DalmaJuan y Navidad , han declarado que debe cesar esta práctica, por ser ni, del mismo antor, i 6 n., ambas grabadas por el profesor Wirmb*. primero payar lat atenciones y cargas «le justicia que te hallen en des Se hallarán en su almacén de música,calle del Turco. cubierto que las de gracia. De orden de las Cortes lo comunicamos . El Retrato ó Elisa Bermon, novela traducida del francés: dos tom…</t>
  </si>
  <si>
    <t>Wirmhs, Bartolomé</t>
  </si>
  <si>
    <t>Bartolomé Wirmhs</t>
  </si>
  <si>
    <t>…atro dias. be cree que la Kusia no accederá á A la comisión de Hacienda se mandaron pasar: una exposición dentenderse directamente con la Huerta tn sus neecciaclor.es , y asi será D. Bartolomé Wirmhs , solicitando se le permitiese introducir «r.t necesaria la intervención de la Inglaterra y dei Austria , lo cual pro- partida de papeles de música impresos en Miian: otra de Doña aMar.j. ducir‘ nuevas dilaciones. Los egére tos rusos que fst.'.n á las orillas…</t>
  </si>
  <si>
    <t>Wistgenstein</t>
  </si>
  <si>
    <t>…an que acudir al cuidado de sus haciendas. lesia, y que reunirá un grande egército cerca de Lemberg; que en el El ^r. Va des ( D Cay taño ) contestó que era preciso no dejar 4 del general Wistgenstein se ha publicado una orden del día, relativaá aih’trio de ios concejales el reunirse ó no, por lo que era muy conve- movimientos decididamente hostiles: que el 30 de Abril había salido ni- ríe ci olíI garles 4 rmer una sesión a lo m nos cada semana en lo* de i…</t>
  </si>
  <si>
    <t>Wittgeaslein</t>
  </si>
  <si>
    <t>…mo, es el mayor enemigo de la libertad , y El genera! da Sabantctt,comandante ruso de la Benrabia, 4a pane causaría infaliblemente su ruma. Estos son los votos de loe bueno» de al general Wittgeaslein 4e que las diversas disposiciones lomadas por esta provincia, como no podrán me*es de serlo los de todos los demas los generales turcos de la Moldavia parecían anunciar una próxima españoles que de corazón desean Constitución y Rey comt tncional; invasión en…</t>
  </si>
  <si>
    <t>Wittgenstein</t>
  </si>
  <si>
    <t>…que so «e decidiere cota algosa hasta guardado por destacamento* de infantería, y se espera en KisÁekow el pu te (subiese aprobado ú te; de responsabilidades. cuartel general del general Wittgenstein que estaba en Tulccin. Antee Por último te resolvió que todo* los jueces de derecho (unen per de ayer pasaron por Cboczia muchos convoyes de carros con municio petuo* es tu encargo luego que te hubiesen establecido tos jueces de bo nes y cohetes 4 la Congrerc…</t>
  </si>
  <si>
    <t>…obierno de estos distritos eligen á las éforos que constituyen el go la primavera: se añade que se romperán las hostilidades por el segundo bierno principal. ejército at mando del general Wittgenstein, el cual acaba de ser re Habiendo recobrado ya tu libertad el Atica y la Livadia, se ba di forzado por el tercer cuerpo del primer egército á las órdenes del gene vidido la Grecia en oriental y occidental. La capital de la Grecia orien ral Woroazof, y con la…</t>
  </si>
  <si>
    <t>Wittinia</t>
  </si>
  <si>
    <t>…o de las masas , en vende á 7 rs. en la portería del expresado museo y en la librería de Taz. fin nada de lo qu.- fonn.. c. conjunto d- una »oinpos-cion arquitectoni- Cartas de la reina Wittinia ¿ su hermana la princesa Fernandma. Se ca. Las medidas dadas de mucha» div.rsus manetas habían quedado in venden en las librerías d: Rodríguez y Matul-, yen Cíe-res en la im decisas, y vanos puntos imporiant s que toin-n mas ó ni-nos rela prenta de Búrpo» , c…</t>
  </si>
  <si>
    <t>Wodzicki, Estanislao</t>
  </si>
  <si>
    <t>Estanislao Wodzicki</t>
  </si>
  <si>
    <t>…icas .de ordenanza ante el de excelencia que tenían suS individuos, y en la tercera sesión fue nom director y catedrático*,.explicando á.atisfuixiqncfi: todos, en cuyacon brado el conde Estanislao Wodzicki por tercera vez presidente del se secuencia obcuvieton loe.grados de premio que están prevenidos. JsI día nado para tres año*. £ Jd mismo Octubre empezó el curso escolástico, adoptando en él las La sesión de la Cámara de los Dputados de Francia del dia 11 fue…</t>
  </si>
  <si>
    <t>Wuremberg, Corresponsal de</t>
  </si>
  <si>
    <t>Corresponsal de Wuremberg</t>
  </si>
  <si>
    <t>…s que huían por evitar ser víctimas «le ella. El go ra que por último se decida la lucha entre rusos y griegos. Repiten el bernador Dávila comunicaba el 17 de Noviembre al capitán general Corresponsal de Wuremberg y la Gaceta universal de Augsburgo, que el de la llavana que iba á tomar posesión de la ciudad, en donde solo 17 de Enero llegó á Munich la noticia de la declaración de guerra: habian quedado unos loo inválidos, pues creia que ninguna otra tropa otros se cont…</t>
  </si>
  <si>
    <t>X, M.</t>
  </si>
  <si>
    <t>M. X</t>
  </si>
  <si>
    <t>…aeza por 63 de 10a. róica villa D. Arias González de Mendoza por el Sr. fiscal de impren 6° O. Martin Navas por 58 de 99. ta el impreso titulado -. 'Nudo constitucional sacado por D. M. X. t\ C., 7.° D. Evaristo S. Miguel por 47 de 91. administrador de todas rentas del partido de Trujillo, provincia de Ex Se levantó la sesión á las cinco. trañadura , como subversivo y sedicioso en la mayor parte, de sus pióARTICULO DE OFICIO. posiciones, se reu…</t>
  </si>
  <si>
    <t>Xiona</t>
  </si>
  <si>
    <t>…Rusia , s-n ¡uc 4 esta lió , que acabamos de recibir (1). se le pueda echar en cara la menor contradicción ; pero cuando se rt-fl:Pez. 16 de Enero de ¡da. » Ismael Mahmud-Effendi, embajador Xiona sobre todos los acontecimientos que han ido preparando la ter de la Puerta otomana, ha llegado hoy á esta ciudad con el primer se rible lucha que amenaza en ei Levante, la imaginación se csplaya en cretario de t-atado Salach-fiichor, acompañándole doce gen:ra…</t>
  </si>
  <si>
    <t>Xorrljos</t>
  </si>
  <si>
    <t>…istrito militar. (Vitoria). En artículo de S. Sebastian he conde Capo de latría, y entonces se peras-tina á lo» diputados mecos mos l abiado de las disposiciones qu: va tomando el general Xorrljos; entrar en aquel a ciodad._El duque de Wciaington debía irse a Lon y en las expresiones de que usa se echa bien de ver que su bando y ór dres el 15 de Noviembre. denes no se reducirán á providencias en letras de molde. La buena aco Los p.-nódicos franceses co…</t>
  </si>
  <si>
    <t>XrujiHo</t>
  </si>
  <si>
    <t>…stimonio de »u d ic.acion. 1 ra-ro y segundo d»] art. qii de ia Constituc 01. K. Nr. 1. - S .- I- 1" Sd M que en ?! ?• ’ .*•- ? 'd se'it've-' 1 -. * i: -■ s o i .1 ■ -s ’ e -,. F! Sr. XrujiHo: M- parece qu * t irí -u r. qu* d-.vit: es lo coni emente ( n -t ■ K &gt;r \-g : “ ' ■ ■ - m una qu - el ix ar-iad-. con &gt;.i» m vira ea at&gt; i. q.i ■ ia ct i: . - • x ' r. c ■ 1 *- 1 _ r 1o que con mayor claridad. En el t se d.ee que la »?....- dad de a. per sena…</t>
  </si>
  <si>
    <t>Xsjeiro, Navarro</t>
  </si>
  <si>
    <t>Navarro Xsjeiro</t>
  </si>
  <si>
    <t>…a siguiente proposición del Sr. Pacheco: vincia carecian de medios para atender i sus gastos municipales. ” Pido que las Cortes declaren no haber en la Iglesia mas jurisdicción El Sr. Navarro Xsjeiro dijo que no se podía dar una regla general que la del obispo, y que todas las demas de encomiendas , monasterios, para este asunto, y que solo las circunstancias de los pueblos eran las cabildos &amp;c., cualesquiera que sea su origen y denominación , quedan que…</t>
  </si>
  <si>
    <t>Xuftez</t>
  </si>
  <si>
    <t>…dios, rúa del de ¡as noticias supuestas, para hacerse lugar, sión especial encargada del examen de ia mira tu del G bremo so ó á lo menos para su ¡citar dudas. bre una adición del Sr. Xuftez (D. Tor.bio) al provecto .c decreto x Un vrie.’o muv distinguido, mas persuadido que nosotros de la po- sobre el modo de proceder al arresto de los conspiradores contra el sbüidad de una mudanza en la política de la Ruda, ha aprovechado sistema. e¡n covuntur…</t>
  </si>
  <si>
    <t>Yabarren, Josef Diaz</t>
  </si>
  <si>
    <t>Josef Diaz Yabarren</t>
  </si>
  <si>
    <t>…sc de economía política nía de D. Pedro Josef de Ibabe, á la mayor brevedad á oír la referida que estableció la sociedad, y que gratuitamente airvo so socio facultativo sentencia. D. Josef Diaz Yabarren*, ¡os que maní festaronconocimiento* muy exac En la.canas seguida por k tala segunda criminal de esta audiencia tos de este ramo del saber, y fueron promiado*con la obra dsl conde da ^territorial, compuesta de loa Sres. Paz, Arg£ieiies,Santurio, Fagosga jr De…</t>
  </si>
  <si>
    <t>Yalcarcel, Baltisai</t>
  </si>
  <si>
    <t>Baltisai Yalcarcel</t>
  </si>
  <si>
    <t>…bricas de 10&amp; clase de paños, ofreciendo entregar al mismo artículo , y otra del Sr. Navarro Tejeiro al art. 4.0 dentro de ocho años 11O varas de paño para vestir el egerc.ro. opi Don Baltisai Yalcarcel, primer ayudante del estado mayor, pedia naba que no debía haber lugar á la cesión del molino por ser una su se le recomendase al Gobierno para que lo emplease en persecución de ca de mucho valor ; pero en cuanto á las demas fincas opinaba que de los faccioso…</t>
  </si>
  <si>
    <t>Yalces</t>
  </si>
  <si>
    <t>…esto. y -m el de la fuerza armada para mantener ei orden y la tranquilidad; p ro no articulo deb. aprobarse. •é cómo puede suponerse que este artículo impide al poder egecutivo El Sr. Yalces (D. Cayetano): El artícu'o dice una cosa muy dife el disponer de esta fuerza ; pues siendo los gefes poóticos unos agentes rente de lo que se lia manifestado per los señores que le han apoyado, suyos, y pudiendo estos valerse del auxilio de la milicia local,…</t>
  </si>
  <si>
    <t>Yaldcs</t>
  </si>
  <si>
    <t>…rior de Cortes á ios que pueden ocu'tir' 2 hi los ofi. a.e, o -nd - • -- d • I -- r i -r. v Sr, • Pomenech y Meca. que se hallen castigados ó separados de -.1- t-&gt;: 1 v - &gt;. 1 I I Sr. Yaldcs (D. Cayetano) manifestó que mientras existíala de la parí oqu. a don i; residan o de ia .i-tien-e. Y fi.</t>
  </si>
  <si>
    <t>Yalíez, Francisco Vicente</t>
  </si>
  <si>
    <t>Francisco Vicente Yalíez</t>
  </si>
  <si>
    <t>…. por ios estatuios sanitarios. Se aprobó una proposición del Sr. Zulueta para que las Cortes acuerden que el Gobierno remita inmediatamente un estado del pro Por fallecimiento da D. Francisco Vicente Yalíez ha quedado va ducto de las rentas generales desde i." de Julio del año anterior hasta cante la plaza de magistrado que obtenía en la audiencia territorial de fin de Mayo último, y si no fuese posible, hasta fin de Abril , expre Castilla la Vieja; y para su pr…</t>
  </si>
  <si>
    <t>Yandio</t>
  </si>
  <si>
    <t>…fin se tendrán, que aprobar los límites qu: se trata Kan reintegrados en su importe sin rebeja alguna. se no* proponen. Kn efecto, tanero &gt;* asuntos «te mas gravedad , y aunque Kl Sr. Yandio a, como de la comisión, manifestó que no podía se cometa a gun defecto en punto á los , «os se resti£csrin ea me- os de c «testar 4 las objeciones que se habun he&lt;.ho p»i el Sr. Aia io sucesivo coa los informe* de las diputaciones provinciales; y aun man. » L…</t>
  </si>
  <si>
    <t>Yandio-</t>
  </si>
  <si>
    <t>…, es precito confinar qne el espectáculo de un corto nftraero de fa rda dtl ai.) milia», viviendo sin disturbio* ni cuidado* en un pan aislado, bajo el Resolución de S. n vuelva d Sr. Yandio- mando de tu* gefes aaturale*, puede ter un objeto envidiable para alla 4 desempeñar al a ;unos europeos, que convencidos de la falta de buena* ¡mtituciona* poÍítica*, y de cuán poco* *on lo* bombee* capaces de dirigirles, no ven Hábil itacion para , Sr. D. Jo…</t>
  </si>
  <si>
    <t>Yandiola</t>
  </si>
  <si>
    <t>…ito de segunda clase. Continuo la discusión de los hnvtes de las provine as. Se mando tener presente en la discusión de los límites de las nue Se leyó la siguiente proposición de! Sr. Yandiola, que se mandó pa vas provincias una exposición dirigida por el sícretari 1 de la Gober sar á la comisión: - Que el valle de Carranza continúe como hasta nación de ia Península d.-l gefe político de Alava, manifestando ei dis aquí perteneciendo £ la provincia…</t>
  </si>
  <si>
    <t>…sde el indica !o miércoles 16 del corriente en adelante. Palacio 5 de incurrido el br. Yandinta en su discurso. Eperode 1811. Fl br. González Allende rectificó algunos errores del Sr. Yandiola aerea del art. 13 del decreto de las Coi tes sobre prohibición del curto Siendo necesario para el buen orden de las operaciones , y atendida de los medios Iuises, que al parecer se había tomado por base para esta la premura de las labores actuales de la casa…</t>
  </si>
  <si>
    <t>Yandíola</t>
  </si>
  <si>
    <t>…tomó la palabra, como individuo de la El Sr. Villa dijo que esta no habia hecho cuenta de semejante cosa. comisión , j dijo que en la sesión de ajer algunos de los Sres. preopi El Sr. Yandíola dijo que esto ya estaba prevenido en el decreto so nantes se habian desviado del verdadero punto de la cuestión; que el bre el Crédito público, en donde se daba facultad al Gobierno para Sr. Alaman había manifestado que su opinión era que se declarase no disp…</t>
  </si>
  <si>
    <t>…JUEVES 10 DE ENERO DE i8aa NOTICIAS DE ESPA&amp;A. mayor cantidad que la que ae había expresado, atendiendo 4 las que po drían hacerse en las provincias. Tarragona ay de Diciembre. Ei Sr. Yandiola contestó que las capitalizaciones de que se trataba En la noche dd 14 al ij del corriente k ha experimentado ua fu -estaban enlabiada* bajo la garantía de un decreto de las Cortes, aun no rioso temporal, que ha causado los mayores estragos en el muelle de es…</t>
  </si>
  <si>
    <t>…ritos ind.vida por ahora para la de socorro, trasladando aquellos i otra proporcio duos acababan de hacer. nada , no lejos del hospicio. Los vocales dieron el primer cgemplo de El Sr. Yandiola expuso que era tanto mas apreciable el donativo caridad cristiana, que no fue estéril, y reunidos algunos fondos, se hi que la benemérita clase de los individuos del arma de caballería aca cieron en la malatería las obras que fueron precisas, y se compraron b…</t>
  </si>
  <si>
    <t>…y loa pueblo*! Se dice que el Go directiva de casa* de moneda. bierno es malo, y qne no tiene la fuerza moral; ¡por ventura cuando Después de una corta discusión, p á solicitud dd Sr. Yandiola, in la oomisípn, de la cual era individuo el Sr. Calatnva, intervino en loa dividuo da la comiaioa, at mandó volear i la miama el referido dic negocios de Cádiz y Sevilla, no tenia ya todo* loa antecedente*, y aun tamen. minutado al segando mensage! ¡ No te p…</t>
  </si>
  <si>
    <t>…entenderse sin perjuicio alguno de la respon mitido al código penal, luchas por varios fres, diputados. sabilidad en que en este asunto hayan incurrido personas, sean las que Del Sr. Yandiola al art. 483 , que decía asi: « No se comprenden fueren, y de ios derechos de la Nación española representada por lis en esta disposición los comerciantes que siéndolo obtengan nombra Cortes y el Rey.” mientos de tesoreros de provincia ó depositarios de partid…</t>
  </si>
  <si>
    <t>…abrasaba muchas pun gentes, sino que salió de donde «e hqjUaba para unirse k Itúsbidj; por lo tos, se propoaia examinar b marcha que habia tenido este nqgncio, mismo tiento que el Sr. Yandiola haya hecho un panegírico de este ge para ver si resultaba algún carpo contra el ministerio: en bien sabido neral. Dice el Sr. preopinante que la revolución se ha hecho por indivi que en medio de la anterior legislatura hieo el Sr.Paul una proposición duos que…</t>
  </si>
  <si>
    <t>Yandiola, Juan Antonio</t>
  </si>
  <si>
    <t>Juan Antonio Yandiola</t>
  </si>
  <si>
    <t>…a comi D. Antonio Martínez continuara en el ejercicio de sus funciones por sión opinaba que debían aprobarte estos poderes, devolviéndolos para todo el tiempo en que su compafiero D. Juan Antonio Yandiola se ha que se legilicen como corresponde. Aprobado». llase inhabilitado, como diputado á Cortea, para llenarlas personalmen Avila. D. Leandro Joscf Ladrón de Guevara. Aprobados lo* pode te. Y dejando de estarlo para el t.° de Marzo próximo, te ha servido res d…</t>
  </si>
  <si>
    <t>…ia se reunió el jurado, compuesto de los Sres. si tro del reino. (Gaceta del 6. y guiente. :Di Florentjn Izquierdo, D. Norberto Flores Calderón, D- Za Decreto de S. M. nombrando á D. Juan Antonio Yandiola único carías Sagrcdo, D. Gregorio Sainz Hernani, D. Juan de iglesias, Don tesorero general, y encargando á D. Antonio Martínez la formación Luis Díaz Hoyuelo, D. Josef Juan de Isla, D. Juan Marroquin, y Don de la cuenta de la tesorería general en el año econó…</t>
  </si>
  <si>
    <t>…............................................................. 6.8o6,88i..t 1. -----------------Igual.............. Madrid 30 de Setiembre de 1822.=E1 tesorero general de la Nación D. Juan Antonio Yandiola.=El contador general de la distribiseion Josef Moreno. versidad en los primeros dias del mes de Noviembre próximo, en ellos La oficina de renovación , acostumbrada i despachar las renovaciones se dará principio á los estudios, anunciándose anticipadamente el…</t>
  </si>
  <si>
    <t>Yandlcli, Juan Antonio</t>
  </si>
  <si>
    <t>Juan Antonio Yandlcli</t>
  </si>
  <si>
    <t>….................................................................................................. 418,884.. Igual. 9 Madrid gt 4a Julio da iBaa.ssEl tesorero general de la Nación D. Juan Antonio Yandlcli.=E1 contador general de la distribución Joa«f Moreno. Juicio dt jurados. cualidad de confesor para auxiliar al corto clero en las funciones de tal 7 demás parroquiales compatibles con las horas de enseñanza, obliga Dos Josef Benito de Urrntie, vecino de esta…</t>
  </si>
  <si>
    <t>Yanguat, Carlos Miguel</t>
  </si>
  <si>
    <t>Carlos Miguel Yanguat</t>
  </si>
  <si>
    <t>…que el Einp' rador dtbia .legar á la discusión i que se refería , una expos&lt;cion de D. Josef Ramírez Are- "VVilnacl 17 de Mayo. Su salida de la capita podrá mirarse como la llano, D. Carlos Miguel Yanguat y D. Ramón Carreño, oficiales del señal de la guerra. No s: sabe que la retirada de los turcos haya ¡ cas osegundo resrim ento de la guardia Real, pidiendo se discutiese á la ma nado el menor movimiento de Jas tropas ru&gt;as; y esto h..c: dudar del yor brevedad posible el proyect…</t>
  </si>
  <si>
    <t>Yarda, Juan Francisco</t>
  </si>
  <si>
    <t>Juan Francisco Yarda</t>
  </si>
  <si>
    <t>…seguida descargando en la ciudad y otra en la pescadería, cu las cuales el alcalde primero otra pistola dejó muerto en el sitio i un oficial dcl bajd- Sus seis com constitucional D. Juan Francisco Yarda pronunció un breve y elo pañeros siguieron su egemplo; mataron ta turros., hirieron á varios,y cuente discurto, análogo 4 las circunstancias, al que contestaron las noe fin murieron combatiendo. Muerto ya Aü le cortaron la cabeza, y maestras. De la pescadería…</t>
  </si>
  <si>
    <t>Yarto, Tomas de</t>
  </si>
  <si>
    <t>Tomas de Yarto</t>
  </si>
  <si>
    <t>…crea que aun es tiem pa se dirigió á la plaza de la Constitución , donde formada en batalla po de enviar los hombres á ser castigados en países cxtiang.rcs por de le dirigió dicho comandante D. Tomas de Yarto la siguiente alo lito cometido en pais propio. Protestamos que no estibamos prepara cución : » Compafieros: uno de los grandes bienes que resultaron i dos para esperarlo; pero pues que el hecho se nos ha comunicado co nuestra amada patria de la tenaz guerra d…</t>
  </si>
  <si>
    <t>Yebenet, Alfonso de</t>
  </si>
  <si>
    <t>Alfonso de Yebenet</t>
  </si>
  <si>
    <t>…jos , que comenzarán á correr desde la fecha de este anuncio , compa mía demasiada cantidad, achicó su estómago, y le obligó á rumiar. rezca en dicho juzgado por la escribanía de D. Alfonso de Yebenet i Guarneció sus pies de una carnosidad que resbalando en el barro, y no deducir su derecho con respecto i ttes vales Reales de 150 pesos de siendo propia para trepar, no le permite andar bien sino por los terre Enero de 1808, núms. 2 19.333» 334»°39 7 343»°48…</t>
  </si>
  <si>
    <t>Yebra, Josef San.hez</t>
  </si>
  <si>
    <t>Josef San.hez Yebra</t>
  </si>
  <si>
    <t>…hacerse uso de (1 bajo el Teniendo cuentas pendientes en la comisión de liquidación de la falso supuesto de nuevo endoso. Si la persona i cuyo poder fuete fi pa provincia de Avila D. Josef San.hez Yebra, administrador que fue en rar dicha inscripción quisiere restituirla, puede hacerlo por el corre» elia &gt;le ramos decimales antes de la dominación francesa, y D- Juan bajo cubierta para D. Minué! Blanco, su dueño legítimo, fi fa men Palacio, y D. Benigno Monte…</t>
  </si>
  <si>
    <t>Yermoloff</t>
  </si>
  <si>
    <t>…bien pa recer , equilibrio eolito o no seria roas qu ■ un ente dí razón. Después qu# Higa *0 de Movientbrt. la Rusia ha ext-ndido sus dominios mas allá del Vístula, parece qua El general Yermoloff no manda hasta ahora mu que et cuerpo da al ínteres general exige imperiosrm.cte que la Suecia, la Prusia, la egércíto destacado de la Georgia, el cual forma un egércíto sepára lo é Al.manía, el Austria y la Turquía fo:m;n una íntima alianza para independient…</t>
  </si>
  <si>
    <t>…os de manifestaros nuestro agra un parque de artillería de mas da cien cañón», rato de batir codecimiento en nombre del desventurado pueblo que representamos, re m&gt; de campaña. El general Yermoloff sal» pata Iza fronteras de Pcnm compensando vuestra fervorosa caridad que sin limites habéis ejercita i lomar el mando de las tropas de aquel punto. , _ do. Nuestros hermanos rompieron las telas de vuestro corazón con sus El consejo iu’ico de guerra de Austri…</t>
  </si>
  <si>
    <t>Yidar, Domingo</t>
  </si>
  <si>
    <t>Domingo Yidar</t>
  </si>
  <si>
    <t>…. Francisco Marí n:z Marina, D. Josef Demetrio Rodr g i-z, el noble lord no traerá poderes tan amplios como lo eran los que solía D. Junan d- Fuentes, D. Joaquín Huerta Ccvailos , D. Domingo Yidar el marques de Londonderri. Este m.nutro obraba bajo su responsa liamil y D. Valentín Ort.gosa. bilidad personal, y como gefe del departamento de ios N.gccios extran 1 lab-di ia conferencia , resultó por unanimidad haber ¡usar i la for jero». Ei duque de Welli…</t>
  </si>
  <si>
    <t>Yo, Juan Antonio Di</t>
  </si>
  <si>
    <t>Juan Antonio Di Yo</t>
  </si>
  <si>
    <t>…n sus procedimientos), que algunos ante el ayuntamiento constitucional el teniente coronel del primer re apellidan amor al ortttn. gimiento de la milicia nacional local voluntaria D. Juan Antonio Di Yo no culpo al ministerio actual; y si ha sido llamado á este recinto nas, y de haberse provisto dicha plaza por maye ría de votos de los ofi ha sido únicamente pos sacar de sus respuestas cual sea el rumbo que ciales del dicho regimiento en favor de D. Joscf El…</t>
  </si>
  <si>
    <t>Yu-t, Simón González</t>
  </si>
  <si>
    <t>Simón González Yu-t</t>
  </si>
  <si>
    <t>…contribuyentes la mis D. Santiago Dr vado, D. Andr.t A-con , D. Manuel hst.ban Cama acción de apremio que los intendentes usaren contra ellos. Art. 2 2. tata , D. Andrés Navarro , D. Simón González Yu-t , D. Isidoro deEl Gobierno fijará los plazos en los que los ayuntamientos hayan de Ho&gt;os, D. Ánton o banda 10 de Anas, D. Antonio Gamonal y Donentregar en tesorería el importe de las contribuciones, y dictará las re Lorenzo Lambea. Habida la conferencia, resu…</t>
  </si>
  <si>
    <t>Yu.te, Simón González</t>
  </si>
  <si>
    <t>Simón González Yu.te</t>
  </si>
  <si>
    <t>…mo militares y eclesiásticas D. Jatn Antonio López, D. Matías Casero, D. Josef Casulla , Don de cualqu'.-n ciase y dignidad, que guarden y hagan guardar, cumpór Gregorio Mndivil y D. Simón González Yu.te; y habida la confe y evci'Ur ei presente d er to en todas sus partes. Tendrcóta entendido rencia que previene ia ley de libertad de imprenta, declararon por una parí su cumplimiento , y dispondréis se imprima, publique y circule. nimidad no haber lugar á la f…</t>
  </si>
  <si>
    <t>Yustc</t>
  </si>
  <si>
    <t>…, y que coa este motivo tenia ya dispuesto su viage. En seguida sacó por suerte los nombres de ios individuos que ha Se aprobó después de una ligera cticusion una proposición del señor Yustc, relativa á que el Gobierna pidiese á la junta superior de liberbían de componer esta diputación. Mr. Girardin tomó la palabra en nombre de la comisión de Peti tad de imprenta, y remitiese á les Cortes la lista de las causas pendien ciones , y dió cuenta de r…</t>
  </si>
  <si>
    <t>Yuste</t>
  </si>
  <si>
    <t>El Sr. Yuste te opino 4 este artículo por considerarle contrario al que las Cottes podían aprobar les tres art culos siguientes: decreto de 19 de Junio último, en el que se at-gnó el medio diezmo Art. 1.“ «Que sean admitidas en las casas nacionales de moneda para la dotac…</t>
  </si>
  <si>
    <t>Yuste, Simón González</t>
  </si>
  <si>
    <t>Simón González Yuste</t>
  </si>
  <si>
    <t>…en efecto, ae embarcó en di D. Valentín Recio. Pero habiendo man festado el Sr. D. Francisco cha plaza con 400 hombrea que le sobraban de su guarnición, y que Martínez Marina y el Sr. D. Simón González Yuste no podían asistir no contribuiaa á otra cose sino 4 consumir los cwtos víveres que en al juicio para que eran convocados, se procedió ai sorteo do dos suplan, ella tenia. Con ellos se dirigió á le peoviacR de Coro, con el objeto de tes, y salieron los Sres. D…</t>
  </si>
  <si>
    <t>Yuste, S’mon González</t>
  </si>
  <si>
    <t>S’mon González Yuste</t>
  </si>
  <si>
    <t>…tercesión pac.fi-a esas numero E&gt;. Manuel García del Barrio, D. Tomas María Zrnon, D- Lorenzo sas el ios de víctimas prescritas y encarceladas, cuyo solo ctimen es Calvo de Rozas, D. S’mon González Yuste, D. Eranc seo Martí zto c: ; f rmarse con la c.pínion momjntin.nmcnte triunfante, y ea nez Marina, D. Nicolás Cano de Luque, O. Josef Castcl, L&gt;. Antonio una palabra reponer en la clase de estado civilizado y floreciente esa R: gas y L&gt;. Juan Fernandez Casari…</t>
  </si>
  <si>
    <t>YVellington</t>
  </si>
  <si>
    <t>…iz para su destino la fragata de la armada nacional combraca v .i formalidad y solidez. titucion , conduciendo á los comisionados psr e| Gobierno pira lis pro Como áa pres.nca del lord YVellington en Viena es un objeto de vincias de Nu*va*Espa"a , corresponiienca piíb.ca y de ofic-o , v es la mayor importancia, no las tienen todas consigo hasta que se sepa el coltando ir buque» mercant s ; cutos interesados tenían pedido el au modo de pensar d:l nuevo…</t>
  </si>
  <si>
    <t>Z, Franc.sco</t>
  </si>
  <si>
    <t>Franc.sco Z</t>
  </si>
  <si>
    <t>…’Ta parte que quedaban en Se aprobaron los siguientes dictámenes de la comisión de Legis’atéralas; V aprobaron la segunda por uniti.nlid. cion: Uno sobre que se d spense la edad a D. Franc.sco Z,carias Andas ia amisión del Créd to púb ico »e pa.aron dos expe lientes: el mu para que pueda admir..strar sus bien:,: orco para que se conceda cana uno acerca de que se conceda á Fr. Vicente Luengo y F'r. A.orno Min- de SIU.¡aduno á D. Francisco Laci Venden…</t>
  </si>
  <si>
    <t>Z, Juan</t>
  </si>
  <si>
    <t>Juan Z</t>
  </si>
  <si>
    <t>…R.os, que lo es de la misma: para la de Teruel al cap.tan D ¡1 El Sr. presidente dijo que mañana se discutiría el dictamen de la Francisco Romo y Gamboa: para la de Villatrar.es á D. Juan Z.’rats comisión de Hacienda acerca de la supresión de algunas tesorerías de y Murga, que lo es subalterno de Orense : para la de 15! bao a 1&gt;. Lo provincia, y asimismo el de la de Poderes acerca de los diputados de renzo Antonio de Ve.iia , que lo es de li de V…</t>
  </si>
  <si>
    <t>Z, Martin</t>
  </si>
  <si>
    <t>Martin Z</t>
  </si>
  <si>
    <t>…mrs. situados sobre las tercias de Carteen*, D. B-rnnrdo Asenjo, D. Joaquín Huerta Cevallos, D. Angel Bonal- fecha en'Madrid á 14 de Julio de 1578: otro de io3 mn. al millar, to, D. Martin Z»randia,D. Francisco López Olavarrieta, D. Jaime renta 33,660 mrs., situados en el partido de Sigüenza , fecha en Raíz Abreu , D. Valentín de Nicolás, D. Antonio Díaz del Moral y Madrid á 15 de Junio de 1614; se suplica á la persona en cuyo D. Ramón Llor. pode…</t>
  </si>
  <si>
    <t>Z, Tomas María</t>
  </si>
  <si>
    <t>Tomas María Z</t>
  </si>
  <si>
    <t>…y al D. Pedro Alonso «le la Espina en particular, se reun ó el jura de alguna aclaración 4 una supuesta repulsa de secularización hecha A do , compuesto de lossrfiores siguientes: D. Tomas María Z&gt;non, Don un* monja de Mallorca por falta de facaltade*. Sin duda qne debe ha Joaquín Huerta Cerillos, D. Manuel Mermo, D. And re. Martínez ber una equivocación acerca da esto , pues el qne escribe está autoriza Oriniga, D. Lino Campos, D. Carlos Romeral, D. J…</t>
  </si>
  <si>
    <t>Z-'nzano, Martin</t>
  </si>
  <si>
    <t>Martin Z-'nzano</t>
  </si>
  <si>
    <t>…dispondrá lo conveniente para el zecibo de los refe- Jaime Sola , D. Josef Travieso, D. 1 d fonso Tranche, D. Bernardo lidos too® reales. Joana y Vida1 , D. Gregorio Justo Grande, D. Martin Z-'nzano, Don Julián González Sarabia, D. Camilo Miguel, D. Francisco Azquria» Resultando en la dirección general de contribuciones d'rectas, en D. Manuel Alonso Diez, D. Salvador Bros, D. Hilario Brihuega, cargada de la recaudación de lanza* y media anata, que el tít…</t>
  </si>
  <si>
    <t>Za</t>
  </si>
  <si>
    <t>…comunidad de las provincias ó pueblos, bien lumnia. con salario 6jo, bien con otros emolumentos, obvenciones, franqui Ei Sr. Vadillo contestó que respecto la primera objeción del Sr. Za cias ó derechos. pata no era el ánimo de la comisión el que se diese una misma fianza n También se comprenden los prelados y cuantos ejerzan jurisdic en las acusaciones contra los empleados públicos que en las que se pu ción eclesiástica, las que ejerzan cura…</t>
  </si>
  <si>
    <t>Zacarías</t>
  </si>
  <si>
    <t>…andez fí rmanos 200. D. Joscf Monroy 160. D. Ignacio escritor d: ita. Et na , cuando quiso hab ar de la resistencia tenaz que Martin z 160. D. Juan Pirer 160. D. Ramón Ca vo 16 &gt;. D. Zacarías hici r n los españoles á su dominación , que sentían á par d: muerte. Mvnge 160. D. E. E. 160. D. T. P. río. D. I. Y iííj. D. Paulino No se puede atribuir el modo injurioso con que nos trata sino i un Mart n z 100. D. Jos.f Rodríguez 100. D. Manuel K.os fio.…</t>
  </si>
  <si>
    <t>Zafortesa, Luis</t>
  </si>
  <si>
    <t>Luis Zafortesa</t>
  </si>
  <si>
    <t>…món En el tercero j muerto, 10 heridos y 5 contusas. Fábregas, D. Joaquín Marte!, D. F. Garoz el» el segundo batallón; y Total, 3 muertos, 41 heridos y if.contusos. D. F. Carreño, D. Luis Zafortesa y D. Manuel Lace Le, que se hallaban Madrid 10 de Julio de 1812—_És copia__ El comandante acci en el tercero , los que también se portaron con el mayor valor. Fue dental__Josef Luis dé Amandi. también herido el ex-guardia de corps D. Josef Martin ;z Mugica, y' presente en la acc…</t>
  </si>
  <si>
    <t>Zald.var, Manuel</t>
  </si>
  <si>
    <t>Manuel Zald.var</t>
  </si>
  <si>
    <t>…tanto heroís Ciceres administrador D. Lorenzo Cortijo, cantador subdrlcg ado de mo patriótico! Habéis abandonado resueltamente los afanes é mtrresea rentas de Mérida. Interventor D. Manuel Zald.var, escribiente de ola doméstico*', habéis pospuesto el amor de vuestras familias al amor da Kcretaría del D-spacho. la patria; v despreciando la dulce tranquilidad de la vida , salvasteis la Alicante administrador D. Manuel N eto y Castillo, oficial primero Nac…</t>
  </si>
  <si>
    <t>Zaldua, Domingo</t>
  </si>
  <si>
    <t>Domingo Zaldua</t>
  </si>
  <si>
    <t>…infantería y la Reina , con 570 rs. del batallón de la mi'icia activa de Búrgos , con 450 rs. al mes. Cádiz á D. Josef Partorin, teniente supernumerario del regimiento Pamplona A D. Domingo Zaldua, teniente del batallón ligero j.° infartaría de la Reina , con ¡70 1*. de Cataluña , con 570 rs. Ca'atayud al capitán D. Manuel Peralta, teniente del batallón li Pontevedra ¿ 1J. Josef Pereira , teniente del regimiento infantería gero primero voluntarios de A…</t>
  </si>
  <si>
    <t>Zaldua, Josef Antonio</t>
  </si>
  <si>
    <t>Josef Antonio Zaldua</t>
  </si>
  <si>
    <t>…parecía que podían resultar males in nayas, para el de Oviedo; á D. Joaquín Roales , para ei de G ion : á calculables de desatender estas reclamaciones. Asi que, repito , que res D. Josef Antonio Zaldua, para e! de Avilé»; i D. C-uimíro Hernán pecto det Crédito público no hizo mas que acceder al voto de la comi dez , para el de Villaviciosa; á D. Gonzalo Vsldés Posada . pira ei da sión , que dijo debía hacerse momentáneamente. Llanet; i D Benito Suarez Campa…</t>
  </si>
  <si>
    <t>Zam, Juan Antonio de</t>
  </si>
  <si>
    <t>Juan Antonio de Zam</t>
  </si>
  <si>
    <t>…l Contiliador, que principia: » No obstante,” y concluye: » Su ambición;” de consolidación en el Crédito público un pliego con el sobre al co en cuya consecuencia U ley absolvió 4 D. Juan Antonio de Zam acola, misionado del establecimiento en Sigüenza, que contenia ocho certifica responsable de dicho impreso , y se mandó fuete puesto inmediatamen ciones de crédito expedidas por dicha contaduría general; una de te en libertad, sin que este procedimiento le pe…</t>
  </si>
  <si>
    <t>Zamora, N.</t>
  </si>
  <si>
    <t>N. Zamora</t>
  </si>
  <si>
    <t>…vitalicios, te le satisfaciesen 2700 rs. por los motivos que expresaba. y manifestando que la milicia local era suficiente para sostener el siste A la de Premios una exposición de Doña N. Zamora, viuda de ma, con lo que se lograría el ahorro de grandes sumas: otra de Don D. V ícente Plazas, manifestando haber pasado á segundas nupcias, y Francisco Domingo, vecino de Sia. María de Cartea, obispado de pidiendo se le continuase el pago de una pensión qu…</t>
  </si>
  <si>
    <t>Zamora, Pedro Alcali</t>
  </si>
  <si>
    <t>Pedro Alcali Zamora</t>
  </si>
  <si>
    <t>…á volarla. La misma tobrojina consulta de le diputación provincial de Cór El Sr. Castejon: La comisión ha creído que no puede decir mas délo doba pan que mediante bailarte enfermo D. Pedro Alcali Zamora, que dice , porque la propaicion se halla lambían firmada por la ma individuo da la misma , te declarase ti n estaba en el caso de llamar al yor parte de la individua que la componen; y parecía necesario que tapíente: opinaba quc ti la dolencia del propietari…</t>
  </si>
  <si>
    <t>Zamora, Ramón de</t>
  </si>
  <si>
    <t>Ramón de Zamora</t>
  </si>
  <si>
    <t>…ería de la Reina , con í;o r». Laredo al capitán D. Cirios Aguado López, teniente del regi Stgundot ayudante*. miento infantería de Soria, con 570 rs. Alicante al capitán graduado D. Ramón de Zamora, teniente dei. Mérida i D. Francisco Javier Pardillo, teniente supernumerario regimiento infantería de la Reina, con 570 rs. al mea. del segundo voluntarios de Aragón , con 570 re. Alcojr A D. Pedro García , teniente supernumerario del regimien- . Manrcsa A D…</t>
  </si>
  <si>
    <t>Zanon, Tomas María</t>
  </si>
  <si>
    <t>Tomas María Zanon</t>
  </si>
  <si>
    <t>…De Real orden lo traslado á V. para su inteligencia y efectos cor Don Donvngo Villamil, D. Antonio María Espejo, D. Martin respondientes. Madrid as de Junio de i8si. de Zarandia, D. Tomas María Zanon , D. Andrés Martínez Orinaga, D. Josef Gómez Albacete, D. Julián «fe Fuentes , marques de CutaLos Sres. diputados Secretarios de las Cortea con fecha 30 de Mayo no y D. Sebastian de Andrés. último me dicen lo que sigue: Habida la conferencia se declaró por si…</t>
  </si>
  <si>
    <t>Zanon, Tomas Marta</t>
  </si>
  <si>
    <t>Tomas Marta Zanon</t>
  </si>
  <si>
    <t>…Falces, fi quien se le re pez Vald-moros, D. Josef Antonio Ponzoa, D. Isidro Merino, Don serva su derecho para que use de ¿1 contra quien viere convenirle, can- Marcos Izquierdo y D. Tomas Marta Zanon. Habida la conferencia de . celándose la escritura de fianza que tiene dada. Asi por este su Real clararon por unanimidad no haber lugar i la formación de causa. auto lo proveyeron y rubricaron los Sres. Paz, Mazía, Arguelles, Fagoaga y Siles. Escribano de Cá…</t>
  </si>
  <si>
    <t>Zanon-, Tomas Marta</t>
  </si>
  <si>
    <t>Tomas Marta Zanon-</t>
  </si>
  <si>
    <t>…azones fue de opinión qué no debía Josef Radon, D. Francisco López Olavarrieta, D. Antonio María Es •probarse el dictamen de la comisión en su totalidad. - pejo, D. Matías Pínula, D. Tomas Marta Zanon-, y habida la confe El Sr. Canga: Yo considero al estado eclesiástico como una dase rencia declararon por unanimidad haber lugar á la formación de causa. de ciádadanos públicos, y no hay cosa mas monstruon que caté al ar bitrio de esta clase aumentar su número…</t>
  </si>
  <si>
    <t>Zanotioo, Antón.o</t>
  </si>
  <si>
    <t>Antón.o Zanotioo</t>
  </si>
  <si>
    <t>…— Sr. mtrivdeeite ge ceta del ají) neral de este cgetcilo y pronreia," firmado por D. Lms Arteasi, de Sociedad econimica M.Uritense. 1 Itce muchos aña* que convencida nunciado por D. Antón.o Zanotioo; han declarado por ts&lt;s m dad 1 -1 *■ N'oi- . tr'sr.- de la sociedad económica d; esta corta de las utilidades del estudio de di que ha lugar i la formación de causa. Barcelona . = secado de animales y dibujo de adorno coadyuvó i las ideai del pro 1811— Joiqu…</t>
  </si>
  <si>
    <t>Zanzrza, Tiburck</t>
  </si>
  <si>
    <t>Tiburck Zanzrza</t>
  </si>
  <si>
    <t>…a! on ligno prim.ro de Voluntarios de \ragon, ¡&lt;t. mayor de li m-t c-i aci.ra de inmpostna (Ferrol), id. Alcañiz i I). Ptbto Vi;a, espitan graduado tic teniente coronel Pamplona i D. Tiburck Zanzrza, espitan giaduado da tem nta del reg'mi-nlo infantrría de Aragón, id. coronel del reg:nu r; 1 ■ zapadores, idArar.dad Da.toé D. Ramón oantillaa, espitan dt! regimiento Saiamancm á D. Jusn Antonio i'v -rtaa. tcrier.te coronel graduado caballería d* Barbón , id…</t>
  </si>
  <si>
    <t>Zapata</t>
  </si>
  <si>
    <t>…no cuando hubiera fundamento par» pleados de nombramiento de lea Cortes ó del Rey, aunque sean tempo ello. rales; los comisionados ó encargados por el Gobierno en lo relativo é El Sr. Zapata obeervó que no debía exigirse igual fianza en las acu an encargo ¿comisión; los diputados de Cortes ó de provincia; los in saciones contra los empleados públicos que en las que te intentasen dividuos de los ayuntamientos; ios subalternos y demás oficiales púb…</t>
  </si>
  <si>
    <t>…as, será por p.na da muerte se le entregará inmediatamente. condenado á prisión de seis meses A dos afia, jr á una multa de so du Se mandó insertar en el acta el voto panícula del Sr. Zapata con ros á 50.* . . trario á la aprobación del an. 186. Asimismo hacia algunas observaciones respecto de loe arts. soy y Se leyó y acfialó el Sr. presidente para qae se discutiera pesado ais» y opinaba este último que debia ponerse en estos términos: • Toda ma…</t>
  </si>
  <si>
    <t>…uede la c^mipon conformarse con que te añadan al ártico- bía manifestado; y el Sr. CáUtráva «matató 4 ella*. » las'palabra queha ‘indicado el Sr. Priego; porque creo que no hay El Sr. Zapata: Cuando Se discutió este artículo la primera vez maf necesidad de decir mps' fuo lo que el artículo ekprcsa. opuse á su aprobación, y la experiencia ha manifestado que es muy El Sr. Ftrnandez insistió en que debía aclararse este artículo, pre- suave la pena p…</t>
  </si>
  <si>
    <t>…es de jabón de Málaga, en la que piden que se pn.hivi que S. benito era negro y S. Cristi b.i gizar.te ácc. la introducción de este género, opinaban que no debía hacerse altera Él Sr. Zapata opinó que no debía aprobarse este ftícu'o , porque ción en lo acordado sobre ote asunto por las Cuito. Quedó aprobado lejis de favorecer al verdadero cu:to le perjudicaba , y con este motiva el dictamen de la comisión. expuso que en su provincia se hacían gra…</t>
  </si>
  <si>
    <t>…, podiendo muy bien el Sr. secretario haberse Se mandaron pat .r á la comisión lat adiciones siguientes: un* del opuesto á esta resolución cuando se había tomado, defendiendo como Sr. Zapata al att. 683 , que dreia: « Que las penas sefialadas i la muger debía el.dictamen del Gobierno, sin necesidad da hacer ahora inculpa no tengan lugar si acusa al marido del misino crimen.” Otra del tefiot ción alguna á las Cortes; y por consiguiente que podía c…</t>
  </si>
  <si>
    <t>…rtículo. Para esto se ha tenido presente que una de las princi Jos que tuviesen la desgracia de delinquir. pales obligaciones del Gobierno es cuidar de la tranquilidad y conser El Sr. Zapata contestó que la comisión no aumentaba la pena , si vación del orden público. Partiendo de este principio, y de que un no que la fijaba, pues la ley de ai de Octubre dejó la pena al arbitrio papel sedicioso que excite á la desobediencia trastorna mas ó menos d…</t>
  </si>
  <si>
    <t>…as Cortes debían aprobar este proyecto; porque de había sido respetado en los tiempos del mayor despotismo. éste modo alagan militar estaba comprometido 4 representar contra Ib El Sr. Zapata rogó que no se confundiese la cuestión ni los argu que en su conciencia no creía conveniente: que 4 los militares se les mentos que correspondiesen al art. 1* con los que correspondiesen 4 dejaba el mismo derecho que 4 lo* demas ciudadanos para hacerlo los de…</t>
  </si>
  <si>
    <t>…asos en que conviniese que se pueblos. Ni unos ni otros representan nada; son autoridades puramen reunieran. te económicas, que no pertenecen ai poder legislativo, y únicamente El Sr. Zapata manifestó que no se trataba absolutamente del auxilio al egecutiviai'En efecto, son unos encargados que la Constitución bené que las autoridades podían prestarse, sino únicamente de que no pud-efica señaló para lo dicho, yen lugar de servir estos empleos ciud…</t>
  </si>
  <si>
    <t>Zapata, Diego Martínez</t>
  </si>
  <si>
    <t>Diego Martínez Zapata</t>
  </si>
  <si>
    <t>…nte la de Valdeuron: se admiten memoriales acompañados de sus res del regimiento infantería de la Reina , con 610 n. pectivos extractos de méritos por término de 30 días. Ronda al capitán D. Diego Martínez Zapata, segundo ayudante del regimiento infamáis de Cantabria , con 670 rs. (Se continuará.') Provincia de Cataluña. Por traslación de D. Pedro Jiménez Navar ro á la judicatura de Ciudad-Real ha quedado vacante la del partido de Los dueños do los ral» de las seis da…</t>
  </si>
  <si>
    <t>Zapata, Santiago</t>
  </si>
  <si>
    <t>Santiago Zapata</t>
  </si>
  <si>
    <t>…l mismo y la p'aza de magistrado que ha quedado vacante en la audiencia de Va- otros consortes sobre introducción fraudulenta de una porción de cacao; Uadolid por fallecimiento de D. Santiago Zapata. con apercibimiento de que pasado sin hacerlo le parara el perjuicio que Y para la plaza de juez letrado del partido de Cangas de Tineo, en haya lugar. Asturias , vacante por renuncia de D. Francisco Rodríguez Espina. Historia de las minas de oro, plata y dem…</t>
  </si>
  <si>
    <t>Zapata, Santiago Francisco</t>
  </si>
  <si>
    <t>Santiago Francisco Zapata</t>
  </si>
  <si>
    <t>…y que el Gobierno ha A las comisiones de Hacienda y Visita del Crédito público se pasa* bía asegurado á la Diputación permanente que no se repetirían estos ron dos exposiciones de D. Santiago Francisco Zapata y D. Josef Rome escándalos, y que por ahorá no neigeti ningún remedio de las Cor ro , tenientes de egército, pidiendo te les permita capitalizar sus sueldos. tes; pero estas sin embargo no podían menos de 'hacer por su parte lo A las de Hacienda y Comercio se para una exposi…</t>
  </si>
  <si>
    <t>Zapatero, Manuel</t>
  </si>
  <si>
    <t>Manuel Zapatero</t>
  </si>
  <si>
    <t>…_ . . , Para Us obras de la casa almiran Teruel administrador D. Antonio Benitos , espitan retirado. In tazgo..................................................... 7,000. terventor D. Manuel Zapatero, oficial de la contaduría de Toledo. Huesca administrador D. Manuel González Campillo, cap tan gra Existencia para i.° de Agosto. 1,5 27... 19. duado V teniente retirado del resguardo de Nevar a. Interventor Don Antonio Rivadulla, secretario del extinguido co…</t>
  </si>
  <si>
    <t>Zapsta, Baltasar Antonio</t>
  </si>
  <si>
    <t>Baltasar Antonio Zapsta</t>
  </si>
  <si>
    <t>…ral , cuyo documento reservó dicha diputación al conocimiento de las pedrisco. Cortes. Después hace mención dei cano que ha seguido este negocio Se d¡ó cuenta de una exposición de D. Baltasar Antonio Zapsta, desde que se dió cuenta a el Congreso a las primeras sesiones del mes acompasando aoo cgemplarct de una memoria sobre ganaJo lanar y de Marzo, é inserta literal la cónsul» que al consejo de Estado ha he trashumante, que se mandaron repartir y pasar á la comi…</t>
  </si>
  <si>
    <t>Zara'.a, Juan Bautista</t>
  </si>
  <si>
    <t>Juan Bautista Zara'.a</t>
  </si>
  <si>
    <t>…desolación general , han sido muchas reces Del regimiento de Jaén. Teniente coronel D. Joaquín Ramos, ca Ja obra de sus manos Esos sacrtl-vos impostores, fios sacerdotes im pitán D. Juan Bautista Zara'.a, teniente D Antonio Corrióla, subte píos que blasfeman el nombre cr Dos, son ios que procuran envene niente D. Felipe Caballero, id. D. Pedro Polero, id. D. Josef Marín. nar nuestra sociedad , los qu - han ocasionado tartos desastres en ais-u Del de Toledo. T…</t>
  </si>
  <si>
    <t>Zaragoza, Manuel de Tor</t>
  </si>
  <si>
    <t>Manuel de Tor Zaragoza</t>
  </si>
  <si>
    <t>…................... 3/8,11* Habiéndose denunciado en la ciudad de Zaragoza á nombre del Zamora............................. *38.85* ayuntamiento constitucional de Navalcarnero, de D. Manuel de Tor Zaragoza........................... 71 *,710 res y demas que dieron poder al efecto, el articulo inserto en el diario 20-C00j&lt; OO de la referida ciudad del domingo a de Junio último bajo el título de El navaltt M A. P.; se reunieron los Sres. jueces de hecho D. Jo Mad…</t>
  </si>
  <si>
    <t>Zarandi, Maitin de</t>
  </si>
  <si>
    <t>Maitin de Zarandi</t>
  </si>
  <si>
    <t>…malidades de beñor:s jueces de hecho qu: calificaron d ebo impreso con la nota etilo en todos lo» pn.b ■.» de España, que los acreedores que no hubie d: injuriólo en rrimer grado: D. Maitin de Zarandi: , D. Andrés Na sen presentado á liqt.:dur tu&gt; creditos hasta 30 de Junio próximo pei- varro, D. Alalias Pini.ia , I). Pedro Rodríguez dr Toro, D. Domin derán todos los d recito» 1 la liquidación, y quedarán caducados de he go Fernand:z Angulo , marques de To…</t>
  </si>
  <si>
    <t>Zarandia, Martin</t>
  </si>
  <si>
    <t>Martin Zarandia</t>
  </si>
  <si>
    <t>…allazgo. Moral y D. Ramón Llor declararon no haber lugar á la formtc;on El aviso de la junta diocesana de Otma , que se publicó en la gace de cansa , y los Sr-s. D. Angal Bonalto, D. Martin Zarandia, Don ta del 23 de Octubre último , debe considerarse como nulo y de nin Francisco López O avarrieta, D- Joaquín Ruiz Abrsu y D. Valentín gún valor por haber justificado la expresada junta que era apócrifo y Nicolás dijeron que babia lugar ; por lo que , y seg…</t>
  </si>
  <si>
    <t>Zarandia, Martin de</t>
  </si>
  <si>
    <t>Martin de Zarandia</t>
  </si>
  <si>
    <t>…no, Ladrón, Prado « Escude 1). Francisco de la Carrera, D. Andrés Alcen, D. Antonio Quiroea, ro , Munarriz, Diez, Buey, Latre, Lapuerta , Santalé, Saogenis, Cue 1). Angel Bonalto, D. Martin de Zarandia, D. Francisco Traveseó», vas, Lasala, Vega, Castran. Falcó , Alcántara, Becerra, Jaimes, Gis- D. Miguel Dolz y D. Josef María Puente. Habida la conferencia, de bett y Valdéa (D. Cayetano). . _ , ,, clararon por unanimidad haber lugar á la formación de causa.…</t>
  </si>
  <si>
    <t>…ceta de .Madrid da Miguel de Mendivil, D. Manuel García de Barrio, marques de Cusa- 30 de Marzo , núm. 91, Espectador de 9 de Abril, núm. góo , Diario no, D. Pedro Alvaro Da gado, D. Martin de Zarandia, D. Josef Ma Nuevo de id., núm. 91, y reimpreso al fin del tomo 1.° de la mencio ría Pu nte. Habida la conferencia, resultó por cinco votos haber lugar nada obra. d ia formación de causa, habiendo disentido lot Sréa. marques de Cusa- Cartilla agraria, ó tea l…</t>
  </si>
  <si>
    <t>…de comprar muchísima madera para establecer un En su vista se reunió el jurado compuesto de los Sres. siguientes: puente en el Boucau. También se habla de enviar un agente secreta D. Martin de Zarandia, D. Joaquín Manrique y Manrique, D. Do cerca de la regencia de Urgel.” Otroa periodista» dicen que se retiran al mingo Fernandez Angulo, D. Josof Luis de Aniandi, D. Joaquín de interior varios regimientos. la Vega y Quintana, D. Andrés Moya y Luzuriaga, D. Va…</t>
  </si>
  <si>
    <t>Zaraoray, Josef</t>
  </si>
  <si>
    <t>Josef Zaraoray</t>
  </si>
  <si>
    <t>…idida ó se divi bierno, porque no correspondía á las Cortes. Aprobado. da. La-palabra concurrirán solo significa la obligación que tienen los La misma, en vista de le solicitud de D. Josef Zaraoray y otros 6a electores de asistir á la elección; pero no que esta sea mua porque ¡al ciudadanos, vecinos de la parroquia de S. Pablo da Zaragoza , opinaba te alguno de ellos. que podían las Cortes declarar que los servicias de estos interesados les En ninguno d…</t>
  </si>
  <si>
    <t>Zarco</t>
  </si>
  <si>
    <t>…u Cortea de at de Antonio Remon Zarco del Va!If.='r. brigadier barón deCarondelet.” jumo de este año prestasen juramento, y tomando poseaion quedase Bate parte no» hace ver que el general Zarco d.l Valle había esta- instalada aquella junta , se vetificó uoo y otro con solos los Srea. D. Jablecido »u cuartel general en el camino entre Barbastro y Haesca, sin cobo Purga , D Manuel de Rivacoba y Gorvea y D. Mariano Goi duda con el objeto de impedir que…</t>
  </si>
  <si>
    <t>Zaro</t>
  </si>
  <si>
    <t>…heridos, entre ello* voluntaria contribuyó á la destrucción de albu los facciosos , y mas par dos de mucha consideración, y algunos contusos: se han cogido varias ticularmente al teniente Zaro. Los facciosos no pararon hasta Alforja, armas, un cajón de balas de cañón y diferentes cartuchos de pólvora donde estaban el 13. muy exquisita, y un caballo que fus preciso dejar en el monte por lo Madrid Luna 7 de Octubre. incurable de tus heridas, eon otro…</t>
  </si>
  <si>
    <t>Zarria, Sebastian Antonio</t>
  </si>
  <si>
    <t>Sebastian Antonio Zarria</t>
  </si>
  <si>
    <t>…isiones. lamanca en la de D. Marcelino Sánchez: en Oviedo en la de D. An El Sr. presidente señaló para discutirse mañana el dictamen de la drés Vázquez Prada : en Vitoria en la de D. Sebastian Antonio Zarria: comisión Eclesiástica que estaba señalado para el dia de hoy, y levantó en Jaca en la de D Bernardo Josef Vasallo: en Burgos en la He l)oa la sesión i las tres menos cuarto. Josef Ladrón de Guevara: en ValladoBd en la de D. Andrés VeHojio: en L-on -n !a del…</t>
  </si>
  <si>
    <t>Zavala, Francisco</t>
  </si>
  <si>
    <t>Francisco Zavala</t>
  </si>
  <si>
    <t>…entes:'ancorvo,elD.capitánFelipeD-EguiliortD.Antonio de Arana:Nicolás losVillavaso,voluntariosD. D.DomingoSimeón BE IOS DELITOS CONTRA LAS PERSONAS. Uruburu, D. Ildefonso Uruburu, D. Francisco Zavala, D. Nicolás Uri CAPITULO I. zar , D. Cosme Echevarría, D Hilario. Arechederra, D. Juan Antonio Arocena , D. Juan Domingo Iza, D. Antero Basaguren, D. Manuel Dtl homicidio, envenenamiento, castración y aborto, y dt ¡ot qtu ptetnCasero y D. Josef Ramón Castillo…</t>
  </si>
  <si>
    <t>Zbrraquin</t>
  </si>
  <si>
    <t>…elrodc hablan mu Quedó elegido v¡ce-presidente el Sr. Rovira por 95 votos de i&gt;¡. cho de las pretensiones de la Puerta, á las cuales jamas podrá acceder Quedó elegido secretario d Sr. Zbrraquin por 75 votes de 135. nuestra corte. El divan no solo se resiste á conceder cosa alguna á los Habiendo ocupado sus asientos los sucesivamente ciegidos, se ie« rtoa griegos, sino que insta por la entrega de los que habiendo tomado las por segunda vez los proyec…</t>
  </si>
  <si>
    <t>Zea, Antonio</t>
  </si>
  <si>
    <t>Antonio Zea</t>
  </si>
  <si>
    <t>…a de Alburquerque. litorales ni fronterizas. Duodécimo distrito. Para comandante general de él al mariscal de Secundo distrito. Para comandante general de él, que se compono campo D. Antonio Zea, que desempeña en propiedad la comandancia de las provincias de la Corufia, Lugo, Orense, Vrgo y Villafranca, general de las islas Baleares. al teniente general D. Francisco Taboada y Gil, que desempeña inte Comastdaneiat subalternas de provincia correspondie…</t>
  </si>
  <si>
    <t>Zenzano, Juan García</t>
  </si>
  <si>
    <t>Juan García Zenzano</t>
  </si>
  <si>
    <t>…Den , teniente del regimiento in Mondofiedo i D. Miguel López Vázquez, teniente del regimienta fantería de Extremadura, con ^70 rs. infantería de León, con 570r»......... Aranda A D. Juan García Zenzano , teniente del regimiento infan Madrid A D. Lorenzo Fernandez de It Regneriy teniente de in tería de León, con .$70 rs. fantería y del regimiento infantería de Córdoba, con 570 re. Alcázar de $. Juan á D. Josef Carrasco, teniente supernumerario Malaga A D. Pe…</t>
  </si>
  <si>
    <t>Zercwiez, Jorge</t>
  </si>
  <si>
    <t>Jorge Zercwiez</t>
  </si>
  <si>
    <t>…sufragará los gastos cxtraordinar os y de la civilización europea ríales son ios señores principe Cantacuc.ao para la construcoa de buques, de continuar atendiendo á Us obras em y coronel Jorge Zercwiez. pezadas en el palacio de Bruselas destinado á ia residencia de nuestro _Escriben de Trieste lo siguiente: Ha llegado un buque que trae de amado hijo el Principe de Orange, á nuestro palacio en ¡a misma ciu Corfú pliegos para lord Mmttand , y p.ir e- raumo co…</t>
  </si>
  <si>
    <t>Zilueta</t>
  </si>
  <si>
    <t>…° por nnr.to ,n cienda pública? Yo creo que no, al menos en el primer año en 4.0 el día no hay todavía mngun ínteres ¡n'¡vidual respecto al surtido de se practica este sistema. El Sr. Zilueta ha prescindido de ia cuci.on la sal. Asi pues el articulo está bien redactado , y esta m'd.da no poAa principal, y tolo se ha contraido al precio que se propon -. Et Go menos de tomarse en atención á que las existencias de tal qu: l ub se bierno et de opinión…</t>
  </si>
  <si>
    <t>Zipata</t>
  </si>
  <si>
    <t>…uto de prisión contra el Sr. Ga en la discusión de este artículo en la sesión del 15 de Abril preguntó relly , extendido y firmado por el rr '.mo fiscal , y qu: aquel individuo el Sr. Zipata , como también lo que contestó el Sr. Garelly; pero este desempeñó et cargo de secretario; p r consiguiente : cómo se pretende artícelo de ningún modo podía derogar otro constitucional. qu: no haya habido en este asunto una separación data de lo preveni La co…</t>
  </si>
  <si>
    <t>Ziyas, Alonso</t>
  </si>
  <si>
    <t>Alonso Ziyas</t>
  </si>
  <si>
    <t>…en ia adm.mstracion r recaudación en La comisión segunda de Legislación, habiendo examinado la expo los fondos: habrá otro comisionado especial de iguaies c rcunstarc-as sición de D. Alonso Ziyas para que se le permitiese emancipar i su fi encargado de la extir.c.on de la deu '» , de la mco:poracion de ¡os bie jo D. Josef, opinaba que podía accederse á esta gracia en los término* nes ci its gnados a! efecto , y de su tnagenacion. Se establece ademas u…</t>
  </si>
  <si>
    <t>Zngirramurdi, Ramón</t>
  </si>
  <si>
    <t>Ramón Zngirramurdi</t>
  </si>
  <si>
    <t>…torpecimiento que cau-a para moi.r el por Cotona y Lastur, mandando ia mitad de la compañía a las órde *r'K°, Y &lt;1 mucha coste de la cha que han destruido. Para IU varios á nes de D. Ramón Zngirramurdi at reconocimiento de los caseríos de efecto salió precipitidainriile para Olet , con vi fin de reunir todas Arrona é Iciar á juntarnos en Mendaro, donde pasé la noche, ti día las fuerza» pos.bles hasta unos 38 facciosos, y vo’ver á legun'erlcs en 15 por la ma…</t>
  </si>
  <si>
    <t>Znlneta</t>
  </si>
  <si>
    <t>…nit:votos, el Sr. Romero uno, el Sr. Belda nno, el Sr. Sarabie uno, u riodeGueft*,que ha comunicado á esta tesorería general en 17 del mis Sr. Sotos uno, el Sr. Trjeiro uno', y el Sr. Znlneta uno. mo el Sr. secretario del Despacho de Hacienda, se ha servido el Rey F.n la primera votación para segundo secretario reunió el Sr. Moro- mandar que en lo sucesivo no se confiera destino alguno, ni aun en no 60 votos, el Sr. Zulueta 49, el Sr. Rico uno, el…</t>
  </si>
  <si>
    <t>Zo</t>
  </si>
  <si>
    <t>…sula. i*.;i bu virtud sí reurnó e. jurado,compuesto ¿i ios señores *¡rt: r Distando el R:y dar á las fábricas de armas de la Nación al fo D. Rafaíj Cjii»! D. Jowf G-imee .W-xictu, D. Zo&lt;IoGofn-e Óí-^'o, mento y protección qua s?an comostibiai con las circunstancias ac- O Andrés Aicon , U. Juan í^.rtés» ÍJ. Marco» I¿-¿u:;rd 11 1&gt;. d-i.G ec l-¡'iies,be ha servido mandar S. M. que los gef;» político» empleen, González da Campo, lJ. Manuel Garcí…</t>
  </si>
  <si>
    <t>Zoiraquin</t>
  </si>
  <si>
    <t>…gen ri de cuando el tiempo te mejore. ¡ V'rtii laCoustitucwn y nuettro teneralire .” Zaragoza t.° de Noviembre d: 18 2 z.=Fxciro. í-r.=M. *suel de Ve as__Un periodista dice que el Sr. Zoiraquin ba conseguido una bul ante co.=Excmo. Sr. secretorio de Estado y del Despacho de ia Guerra.” ventaja sobre la gavilla da Rom,mena en Pont, y da por cierto que el general Milans habia entrado en Olot. Partes que se citan en el anterior. Gobierno superior polít…</t>
  </si>
  <si>
    <t>Zola, Jos.f</t>
  </si>
  <si>
    <t>Jos.f Zola</t>
  </si>
  <si>
    <t>…echo canónico de Domingo Cavalario y la teología pastoral de GiftJ.ro a.- art s fie ia literatura v. rá-i esta obra con sumo rusto tradu se1 utz, traducida del alemin al latín por D. Jos.f Zola , las cuales han cida al ca.t -1 ano; y ios alie ornado, al idioma lUuar.o t ndrán en ella sido también señaladas por el Gobierno 4 los cursantes de cánones f un nuevo recurso y muy útil pata sus adelantamiento*. Por la siguien teología. EN LA IMPRENTA NACION…</t>
  </si>
  <si>
    <t>Zola, Jotef</t>
  </si>
  <si>
    <t>Jotef Zola</t>
  </si>
  <si>
    <t>…u.'b’o -i matrimonio, cuya intti- teología pastoral de Giftschutz: traducida del Mióme aleasen al lati tu~iun otsli. reducida (itican nt- á la familia Real; pero nos parece no por D. Jotef Zola, señaladla también por al Gobierno á los cur que 5. E., el juez mayor de Nukahíva, prometía por desgracia na da santes «le cánones y teología. SUPLEMENTO</t>
  </si>
  <si>
    <t>Zonaquin, Mariano</t>
  </si>
  <si>
    <t>Mariano Zonaquin</t>
  </si>
  <si>
    <t>…pasa este Mancha; para vice-pres¡dente el Sr. D. jotef Rovica, diputado poi la expediente al Gobierno para que informe, daré mi opinión como par de Cádiz, y para secretario el Se. D. Mariano Zonaquin, qee lo « ticular.únicamente. Bajo este supuesto diré que medí nte á poder ser por la de Madrid.* causa de muchos acontecimientos la idea de que esta medida hace alguna, alusión al tí conocimiento de la independencia de América, El Rey ha expedido «I decreto…</t>
  </si>
  <si>
    <t>Zorra, Santos</t>
  </si>
  <si>
    <t>Santos Zorra</t>
  </si>
  <si>
    <t>…número 3878 , 4 favor de Dofia Gerónimo Calvo de Rozas, al marques de Torrcnucva y D. Sebastian Andrés. Burriezo; otra de 16,316 rs. y 23 mrs. por réditos, núm. 4467, 4 fa vor de D. Santos Zorra; otra de 31,185 rs. de capital, número 3879, TaiZDMALXS. 4 favor de D. Gerónimo Bravo,7 otra de 6866 rs. y 16 mrs. por redi» Por providencia de la sala segunda del crimen de la audiencia ter tos , número 4468, 4 fsvor de D. Silvestre de Agustín y Alvar sauz;…</t>
  </si>
  <si>
    <t>Zorraquín</t>
  </si>
  <si>
    <t>…adolid: su capi dad , no por eso dejarán de subsistir las causas que hen excitado la rebe tal Vallado) id. lión ; y un Gobierno sabio-y próvido deberá atender principalmente al El Sr. Zorraquín hizo varias reflexiones pare que no se aprobase este origen de estas turbulencias. Parece que la nación espera mucho del ta distrito, y manifestó entre otras cosas que no debía comprenderse en lento y de la experiencia de lord Wcllfsley , y efectivamente el e…</t>
  </si>
  <si>
    <t>Zorraquin</t>
  </si>
  <si>
    <t>…ó algunas ideas que había manifestado en su convertirse en otras pagaderas en el extrangero. anterior discurso. Art. 14. * Las expresadas rentas serán pagada* , tacto en tiempo El Sr. Zorraquin dijo que la comisión consideraba i las personas de de paz como en tiempo de guerra, é indisliaiamenle á todos los pro que se trataba como milicianos y como particulares , y que únicamente pietarios de cualquiera naeion que sean, amiga ó enemiga. Si muriese pr…</t>
  </si>
  <si>
    <t>…oque Después de una corta discusión , y i solicitud de la misma comi los demas españoles, con sujeción á lo dispuesto en esta ley.” sión , se mandó volver á ella este artículo. El Sr. Zorraquin ss opuso á que se comprendiese esta declaración en Art. ,7.° » Si a'gunade las peticiones ó representaciones de que ha la ley que se discutía , porque pertenecía á la ordenanza, y ademas lo blan los artículos antecedentes se imprimiere antes ó después de set…</t>
  </si>
  <si>
    <t>…s bendice á las En dirección á la última de la derecha, y para sostener las guer tropas nacionales, y no desea sino contribuir con todos sus esfuerzos rillas de Tarragona envié al brigadier Zorraquin , gefe de la plana ma i la total destrucción de los enemigos de la patria. Dios guarde á V. E. yar , con el batallón ligero de Barcelona y las compañías de Canta muchos años Cuartel general de Bellver 28 de Noviembre de 1822 = bria , reforzándole posteriormen…</t>
  </si>
  <si>
    <t>Zorraquin, Mariano</t>
  </si>
  <si>
    <t>Mariano Zorraquin</t>
  </si>
  <si>
    <t>…oraría 3 de Abril. Ha llenado, p termina corar que nc flirtea; se reunió el jurado, compuesto de los señores siguientes: Don ARTICULO DE OFICIO. Aniceto ¿¡zana, D. Carlos Romeral, D. Mariano Zorraquin, D. Ma El Sr. Metalario del Despacho de la Gobernación de Ultramar con merto Landaburu, D. Joaquín Huerta Orvallos, D. Isidoro de Hoyos, beba de «ver dice desde el Real *¡tio de Araajuez lo que sigue: D. Antonio Díaz del Moral, D. Francisco Travetedo y D. Dom…</t>
  </si>
  <si>
    <t>…da con medio anel háartinez Orinas*, D. Josef Luis de Amaadi, D. Joaquín Ruiz , Don do, á igual número de los oficiales de todas clases que hay excedentes en Josef Gómez Albacete, D. Mariano Zorraquin, D. Francisco Barra, el ejército si la soi-.ctan. Art. a.° Los oficiales que obtengan licencias D. Antonio Gamonal , conde de Floridabianca y D. Carlos González ilimitadas pódrtn volver á sus respectivos cuerpo» siempre que la hayan Llanos, Habida la conferen…</t>
  </si>
  <si>
    <t>…el sello 4.° los libros de laa D. Juan Paz, D. Antonio Alcázar, D. Cayetano Romero, D. Joa fábricas de las iglesias y los parroquiales en donde se alargan las parti quín Manrique; D. Mariano Zorraquin, D. Nicolás Alonso, D. An das de casados , nacidos y finados. tonio Puigblancb, D. Ramón Llord y D. Francisco Martínez Marina. Art. 15. « Los fondos de las fábricas de las iglesias costearán sus Habida la conferencia, se declaró por unanimidad n« haber lugar…</t>
  </si>
  <si>
    <t>…rdadero* conoci que , D. Antonio María Espejo, D. Josef Gómez Albacete, D. Gon mientos de la existencia civil 7 derecho* naturales del hombre social zalo Cárdenas, D. Joan Corté*, D. Mariano Zorraquin 7 Ó. Joaquín con las obligaciones patacón Dios, él mismo, tus semejante* 7 libre pa Manrique 7 Manrique. tria. Los pretendientes dirigiián sus memoriales documentado*, fran Habida la conferencia, declararon por unanimidad no haber lugar á cos de porte, al int…</t>
  </si>
  <si>
    <t>Zorraqum</t>
  </si>
  <si>
    <t>…e esto y del buen efecto que había equivaliese á la que se imponi* en el mismo artículo á loa voluntarios. causado el llamamiento del conde de Ezpelets, se limitaba la comisión El Sr. Zorraqum manifestó que si se impusiese otra pena que la i proponer las medida* nacesarias para aplicar á los facciosos de Navar que te establee* cb el art. g.°, tuerta en contradice toa son lo aprobé-</t>
  </si>
  <si>
    <t>…. Los facciosos contestaron durante todo el dia; pero habiéndose in* Seguían i la llamada regencia unos zoo hombre* con todos sus equi corporado á Us ttopst del general en gefe el brigadier Zorraqum , tvl; pajes, no habiendo quedado en la ciudad persona alguna decente da de la plana mayor, que babia salido al encuentro de Us llegarías última sus secuaces. La salida de aquella fue precipitada por haber pedido ra mente de Lérida, y lo* cuerpos de Galicia y…</t>
  </si>
  <si>
    <t>Zorrilla, Manuel</t>
  </si>
  <si>
    <t>Manuel Zorrilla</t>
  </si>
  <si>
    <t>…e.” Aprobado. •piñal» que debia accederse i lo que solicitaba el interesado. Aprobado. Ait. V* » Que esto ae entienda hasta unto que fijando las Cortes Otro sobre le-exposición de D. Manuel Zorrilla, vecino de Arenas la nueva forma que ha de recibir este establecimiento, puedan mandar de San Pedro, pan que se le permitiese enagenar todas las fincas de un vender ó arrendar bajo reglas positivas la* expresadas minas; pues que patrimonio que posee. La comis…</t>
  </si>
  <si>
    <t>Zorrsqu.tr</t>
  </si>
  <si>
    <t>…os muertos, 46 caballos, varias muías de se sobre Monulli, adonde aqus las te d'bran dirigir. La del osando brigada, con considerable número de fusiles y otras armas de fuero, del brigadier Zorrsqu.tr licu ó por la izquierda en la dirección de di» sabir* y lanzas que dejaron en el campo; y en ella los valientes ofi. ¡acho* pu bios de Vinia y Vcx-tt, m. ñires yo marchaba con la mis let de lo* piquetes , mis ayudantes y ios de la plana mayor merecieron por l…</t>
  </si>
  <si>
    <t>Zotraquin</t>
  </si>
  <si>
    <t>…cibió en el pueblo de dad en parte ocupada por tropaa de ia primera y quinta división, colo Castellteraol un aviso de las autoridades de la villa de Moyá de que cándote en ella el brigadier Zotraquin, que pasó el dia arrojando i loa los facciosos en número de 400 hombres habian entrado en el pueblo facciosos de los parapetos , de que se apoderaron los valientes de Ma del Estany , distante hora y media de aquella población , en cuya vis llorca y la Corone…</t>
  </si>
  <si>
    <t>Zrnon, Tomas María</t>
  </si>
  <si>
    <t>Tomas María Zrnon</t>
  </si>
  <si>
    <t>…s de Ja En su vista se reunió el jurada, compuesto de los sefioressiguientes: experiencia; salva: por ir.ed'o de una intercesión pac.fi-a esas numero E&gt;. Manuel García del Barrio, D. Tomas María Zrnon, D- Lorenzo sas el ios de víctimas prescritas y encarceladas, cuyo solo ctimen es Calvo de Rozas, D. S’mon González Yuste, D. Eranc seo Martí zto c: ; f rmarse con la c.pínion momjntin.nmcnte triunfante, y ea nez Marina, D. Nicolás Cano de Luque, O. Josef Cas…</t>
  </si>
  <si>
    <t>Zsi</t>
  </si>
  <si>
    <t>…enga mayor extensión, que pueda diri 100.” Aprobado. girse contra todos los perturbadores de la paz y de la tracqnilidad públi La misma comisión, habiendo examinado la adición del Sr. Zsi ca. Asi muchas diputaciones provinciales , conociendo la imposibilidad lueta ai art. i.3 para que se añadiesen á su final las siguientes palabras: de formar las partidas ccn arreglo i dicho artículo, han venido al » ó de extracción ,” opinaba debia aprobarte.…</t>
  </si>
  <si>
    <t>Ztrd-n, Josef Mana</t>
  </si>
  <si>
    <t>Josef Mana Ztrd-n</t>
  </si>
  <si>
    <t>…Ani 10 i az- , ID J&gt;»s*f María por la de Valencia, y a D. Pedro Juan de Zuiueta , que io es por la Icaza, I&gt;. Juan Baut sta Lob 1 , D. Ant n &lt;-G uai" , D. M gu-l Or de Cádiz. la , D. Josef Mana Ztrd-n la, t n-ni c rom D. G br 1 Manu I de hurbe. Cap-i an pr vado de aF.&gt;nv&lt; a Fr G'-po 1 rrblrque. Man C.'-t.rvf.i*:. :.r '•-'.■.'-.i.' id d' ?■ ilo de los caballeros pagos coronel U. Mauuel Farde. Medico de cama n Ex .mo. ii. : uti.¡u’:m¡ a 10 q-e dige a V. 1 ii…</t>
  </si>
  <si>
    <t>Zu</t>
  </si>
  <si>
    <t>…mo que no podía .x,¿írseles la Otro sobre la exposición de D- Manu l Amin a Gorcc.--*a , r.d responsabilidad. dúo de la diputación provincial de .lava, para que se ¡e clonen de K1 Sr. Zu ueta hizo una proposición para que este expediente pasase este encargo por no tener medios para manten-rse cr. í cap.tai. L. co i la convsion primera de Hacienda, é fin de que tomando las noticias misión opinaba se estaba en el caso de acccusrse á su solicitu…</t>
  </si>
  <si>
    <t>…labrarse con ella cigarros puros 8. Por la de dicha por consiguiente p eo á propósito para el contrabando. hoja de buena calidad que pu-da servir solo para polvo, para picado y El Sr. Zu ueta sostuvo ia idea d. que debía bijarse el precio de la p ti tripas de cigarros puros 4. Por la de hoja Virginia, de Trieste, de tal para que pudiese hacerse esta renta productiva, pues lo sena tanto K r.tuki, Sto. Domingo ó de otra ciase que no s a havana,…</t>
  </si>
  <si>
    <t>…... 337.970 901. 69 ró este asunto suficientemente d scut do, y se aprobó el art. a.' Cuenca....... ............................ a&gt;6,6jO. 79'- 57 También se aprobo una adición del Sr. Zu ueta al art. i.° ya G-rona................................. *9«.*4 3* 510. 66 aprobado, que decía : » sin perjuicio de concluir el repartimiento que Granada................................. 146,984. 9'S- 7* est 1 empera :o.” Guadalajara.......................…</t>
  </si>
  <si>
    <t>…cómo puede concillarse *1 que un medio por 100 países. En efecto en ninguna clase de causas obra mejor un jurado que sobre estos impuestos produzca 40 millones , orno ha dicho el Sr. Zu en las de materias mercantil ea. Contrayéndome al artículo que te dis lueta , y al mismo tiempo un derecho mucho mayor que este , cual ea cute, digo que no puedo conformarme con su primera parte, relat va á el qué se paga por aduanas, no produzca mas que 30 m…</t>
  </si>
  <si>
    <t>Zu'u</t>
  </si>
  <si>
    <t>…párrafo 2.0, para que después de las con el delito, ni la menor conformidad con las ordenanzas militares. palabras cualquiera que sea , se añada las retengan en poder suyo sin El Sr. Zu'u ta contestó que la comisión no pudiendo hacer un có entregarlas en la respectiva depositaría. La comisión se conformaba digo penal para la m.licia local, había procurado reunir bajo unos cuan con esta adición, y quedó aprobada. tos artículos aqu.i os delitos…</t>
  </si>
  <si>
    <t>Zu'u-ta</t>
  </si>
  <si>
    <t>…iones del empréstito ¡ pero que to de lat Cortes las condiciones para su admisión. debie hacerlo conforme i los principios de justicie, y dejando en su Tampoco se admitió otra del Sr. Zu'u-ta para que las Cortes de lugar el decoro de la Nación. clarasen que no aprobaban tal como estaba el tratado del empréstito, Que era verdad que el decreto de le* Corte* de 19 de Junio, en que el cual se devolvería al Gobierno. se autorizaba al Gobierno para llev…</t>
  </si>
  <si>
    <t>Zu'u.ta</t>
  </si>
  <si>
    <t>…e opinión de las (untas diocesanas. La comisión Ecle tam.-n en :,v. i---rr&gt; nos en que estaba -'n-rbct.i. siástica no se empeñará en sostener la opinión de estas juntas, porque El Sr. Zu'u.ta manifestó que se iiab .n cr - :• ,¿o algún •&gt; txp d.en está bien persuadida que este mismo inconveniente se verificaría aun tes respecto det reemplazo del a"o pr.ade ¿ ;'r - ; :oo.io v.r n.a-io, que se adoptase el medio que se creyese mejor parí el caso , por…</t>
  </si>
  <si>
    <t>Zu'ueta</t>
  </si>
  <si>
    <t>…acordado por ¡as Corte, en 1 3 parentesco ú otra semejante. La comisión es de parecer que debe haber del actual iugar á dicha recusación de parte de! denunciador r denunciado. Kl Sr. Zu'ueta se opuso á este dictamen por la razón de que estre 4.1 Si pareciendo el autor ó ed tor , ante» desconocido, de una obra chaba demasiado el circulo de las prsunas que p-’d.an ser empleadas denunciada deberá cesar el juicio del procedimiento pendiente. en las s…</t>
  </si>
  <si>
    <t>Zu'ueta, Mariano Monasterio y</t>
  </si>
  <si>
    <t>Mariano Monasterio y Zu'ueta</t>
  </si>
  <si>
    <t>…del lunes insertamos cas. Y finalmente participa que continúa abierta la sjscricion como la orden que habla publicado el gefe político de Cádiz , mandando re basta aquí en casa de D. Mariano Monasterio y Zu'ueta, sita en ia ca coger uno de estos infames cuanto absurdos líbelos; otros de la misma lle del Príncipe, núra. 8 , matiz. 212 , cuarto bajo de la izquierda. naturaleza s; han circulado por diferentes puntos, y otros acaso se es tarán fraguando. Teniendo la dire…</t>
  </si>
  <si>
    <t>Zu.ueta</t>
  </si>
  <si>
    <t>…o i 2O r». en la suma total concedía al Gob.crr.o ia te 787,500. misma cantidad que pedia para compra de caballos. Art. 4.° » Raciones de pan para la misma fuerza, computada la El Sr. Zu.ueta contestó que esta era una equivocación material de nú ración i i$i mrs., hacen ai mes 674,39a rs. y 2 mrs., y en ios siete meros. 4.710,744 «s. y 14 «n*‘- En seguida se declaró el punto inficientemente discutido , r se votó Art. 5.0 » Gran masa y armamento. P…</t>
  </si>
  <si>
    <t>….» »c i-.'-’ jeie que ara una ley ; y qu - ademas, al d cismen se hab.a su.titu do esta paKb a á ia d 1 e. el decreto de qua se trataba, que tiene una parte de ley y otra de de Ht Sr. Zu.ueta 1.1 ver a, on que se qu *r* li; r raí -u-mcreto. que -. »r-u »!»&gt;v,luranv.:.li J '.1 r,ona .a e. t , .le: hac.t esta F.l Sr. Flores Calderón : Todos los (¡'potados deb-mos ser muy separa: orí , v por !»a 111 .‘oo rf ¡’1 . í ■, : -¡ v . puntuales en hacer que…</t>
  </si>
  <si>
    <t>Zuandii, Martin de</t>
  </si>
  <si>
    <t>Martin de Zuandii</t>
  </si>
  <si>
    <t>…de Madrid, reunidos los Sres. jueces de con dinero. hecho D- Antonio Sandaíio de Arias, D. Gaspar Aguilera, D. Juan ARTICULO DE OFICIO. Antonio López, D. Lorenzo Calvo de Rozas , D. Martin de Zuandii, D. Joaquín Lumbreras, D. Julián de Fuentes , D. Santiago Delgado, PAGADURIA OKI MINISTERIO SE IA GOBERNACION SE IA PBNtMSUlS. D. Bonito Ortega Romanillos y D. Joaquín de Vega y Qumt &lt;no , ca Mes de Setiembre de iSea. lificaron con ln fórmula de absuelto la c…</t>
  </si>
  <si>
    <t>Zubia</t>
  </si>
  <si>
    <t>…sde este mo comandante general desde este punto que desde Vitoria: respecto di do ; y dígase lo qu; se quiera, no resulta une grande economía de esta Ja proximidad que ha dicho el Sr. Zubia que tiene esta ciudad coa rebaja; y en mí concepto debe aprobarse el dictamen de la comisión. Pancorvo , no creo una razón suficiente para que se aprueba tu opinión, Por lo demas el Sr. López no debe extrañar que la comisión no haya porque Pancorvo es un punt…</t>
  </si>
  <si>
    <t>…ebe aprobar el dictamen de la co volver al despotismo. Acompañaba una copia de Ja exposición hecha misión. al. Rey, manifestando que los males que se experimentan en el día'ion El Sr. Zubia: Pan cerciorarse de que Vitoria está en el centro del 'motivados por la permanencia del actual ministerio. distrito no hay mas que acercarse al mapa, y se verá. En ponto fi las Se dió cuenta de una representación del regimiento de infantería de comumcacion-s…</t>
  </si>
  <si>
    <t>Zuiueta</t>
  </si>
  <si>
    <t>…la economía. El recayendo los restantes, 30 en el Sr. Sánchez, uno en el Sr. Herrera commj 'nt, .leí alio ic cumple este año, ▼ deben salir del servicia io9 Bustamante, uno en el Sr. Zuiueta, uno en el Sr. Gómez, uno en el cumplidos. Para reemplazar estos, y llenar los vacíos que ha dejado el Sr. lrujilio , y otro en el br. Saavedra. orden sanitario (que se cree tendrá que renovarse todos los años, te Quedó elegido segundo secretario el Sr. Olive…</t>
  </si>
  <si>
    <t>Zuíueta</t>
  </si>
  <si>
    <t>…ho del registro público. En él lacia La comisión de Diputaciones ptovincialei, informando sobra la mención de las reclamaciones que contra este derecho existen ds dife adición del Sr. Zuíueta al dictamen de la misma, aprobado en la sesión rentes diputaciones provinciales y ayuntamientos constitucionales, con de 8 de Abril, aceres de la desecación de la laguna de Jane, opinaba siderándole como perjudicial á las propiedades, especialmente al co que…</t>
  </si>
  <si>
    <t>…eblos porque en un domingo tuviesen Después de una ligera discusión quedó aprobado. una junta para el efecto. Art. 9.' *’ Las juntas diocesanas remitirán ai Gobierno en todo el Ei Sr. Zuiueta »e opuso il artículo , manifestando que si los «-ca mes de Febrero del próximo afio de 1813 estados puntuales jr txactos pitulares estaban unidos con el ayuntamiento aprobarían lo que este hidel total producto cDl medio diezmo y primicia que hayan recolec ci-…</t>
  </si>
  <si>
    <t>…osición la casa del pó.ito , á fu de establecer en ella Jas casas capi sustituir la de tí otro arresto. tulares, cárcel pública y escuela de primeras letras t opinaba que podía El Sr. Zuíueta convino en esta variación , y con la misma quedó accedente á ella. Aprobado. aprobado. La misma comisión opinaba que podie accederte i la solicitud del Att. 113. » Los milicianos con grados que desatendiesen alguna de avuntamiento de Callar, provincia de Gran…</t>
  </si>
  <si>
    <t>…s de sulados para que pueda discutirse en las primeras sesiones de la legis aquella provincia •, y segundo, evitar que los facciosos apoderándose de latura ordinaria inmediata. El Sr. Zuiueta : Aunque conforme con lo que acaba de exponer el su fuerza. estos caballos aumentasen Sr. Valdés El Aquí se trata únicamente de si te de Sr. preopinante , d.-bo hacer presentes Us diversas interpretaciones que (D. Cayetano) be hacer una requisición de caballo…</t>
  </si>
  <si>
    <t>Zuiueta, Pedro Juan de</t>
  </si>
  <si>
    <t>Pedro Juan de Zuiueta</t>
  </si>
  <si>
    <t>…Rano n Mi o, D. Manuel dura , a D. Mar ano Momo, por :a de Cuenca . i D. Martin Serrano, Agreda, D. Juan M chau. , D J -,-f Ani 10 i az- , ID J&gt;»s*f María por la de Valencia, y a D. Pedro Juan de Zuiueta , que io es por la Icaza, I&gt;. Juan Baut sta Lob 1 , D. Ant n &lt;-G uai" , D. M gu-l Or de Cádiz. la , D. Josef Mana Ztrd-n la, t n-ni c rom D. G br 1 Manu I de hurbe. Cap-i an pr vado de aF.&gt;nv&lt; a Fr G'-po 1 rrblrque. Man C.'-t.rvf.i*:. :.r '•-'.■.'-.i.' id d'…</t>
  </si>
  <si>
    <t>Zuiueu</t>
  </si>
  <si>
    <t>…rea, y I* de tsMtva a la de Barcena. La prime- Se mandó pasar á la comisión de Hacienda una proposición del ra , ó la de Piqu;ro , está en Artesa , de donde hemos salido esta rna- Sr. Zuiueu sobre el modo de cobrar e el 2 por loo de adminis Sana, y adonde ha Tenido aquella desde Agramunt. tración. Los facciosos de Romagosa s# hallaban apostaos aquí , y se han Continuá la discusión sobre ia ordenanza militar. retirado precipitadamente por' el desf…</t>
  </si>
  <si>
    <t>Zul</t>
  </si>
  <si>
    <t>…s. de la comisión que lo despachasen i la mayor combro que continuamente se conduce á aquel sitio. brevedad. Teatral y drieriitmet públicas. Los dos teatros concluyeron su alto El Sr. Zul iieta dijo que la comisión presentaría muy pronto tu cómico en el estado mas deplorable, arruinadas tus empresas , y sin ha dictamen, y tenia la confianza de que la milicia de Espafia miraría coa ber sacado de ellos las compañías , que i la parte trabajaron ú…</t>
  </si>
  <si>
    <t>Zulaeta</t>
  </si>
  <si>
    <t>…raéis' Art. ia. » Si estos jóvenes por su. rudeza ó mala conducta incor geros en cato de una necesidad. regibles 1: hiciesen inútiles ó perjudiciales, podrán ser despedidos del El Sr. Zulaeta apbyó las razones del Sr. Romero, añadiendo que servicio en cualquier tiempo. Aprobado. los milicianos provinciales tenían su paga, y se les rebajaba el tiempo Art. 1 g. » Los voluntarios que no entren é servir en el ejército que servían fuera de su ptovincia…</t>
  </si>
  <si>
    <t>ZuliuU</t>
  </si>
  <si>
    <t>…trado examen de cade uno de sus artículos. poco afi.i-.nado á las contribuciones directas; peto como representante El Sr. OI¡veri La primen razón ó dificultad que ha presentado el Sr. ZuliuU contra la totalidad dal proyecto se túlla todavía sin sa de aqu.ilas provincias d.be conocer que la repugnancia que allí se en cuentra á esta especie de contribuciones cace de que no las han conocido tisfacer. El art. uo de la Constitución dice que las contri…</t>
  </si>
  <si>
    <t>Zulu-ta</t>
  </si>
  <si>
    <t>…ón. armonía ha dirigido lo» esfuerzos convenidos diariamente entre mis £1 Sr. Aguirre deshizo una equivocación. aliados y yo para poner término 4 las calamidades que abruman el El Sr. Zulu-ta: El Gobierno ha remitido á las Cortea un pro Oriente y afligen 4 la humanidad , y no he perdido la esperanza de v r yecto de reglamento para la milicia nacional local, y por lo m imo restab'ecida la tranquilidad en aquello» paite», sin que una nueva guer nada…</t>
  </si>
  <si>
    <t>…-to que fuete, porque seria poner á tu solicitud. Aprobado. este emprést.to en el caso de otro que tema def.ctos que corregir é ile A la comisión de Guerra se pasó una ad cion del Sr. Zulu-ta al galidad t qu: reponer, y porque no podia creer que el pedir esto fuese dictamen de la misma, aprobado en la sesión de hoy, acerca del mo para ninguna cosa buena, ni tampoco podia dar ninguna facultad á un do de htcer el sorteo para el reemplazo dei egércít…</t>
  </si>
  <si>
    <t>Zulu.ta</t>
  </si>
  <si>
    <t>…tamos: conservar siempre animado en lo mas recóndito del ladas con las demás h.ista i.° de ¿ñero de 18:1. corazón un odio eterno á todo déspota extrangero ó nacional, para ev¡. El Sr. Zulu.ta dijo que la reclamación de la diputación provincial tar que en tiempo alguno pueda presentarse un hombre osado que car de Cádiz era muy justa, y que estaba fundada en un decreto de las gue con el santo y la limosna. Ultimamente, la ley siempre en la mano, Cor…</t>
  </si>
  <si>
    <t>Zulucta</t>
  </si>
  <si>
    <t>…ado . en virtud de la nota de la Ladrón de Guevara , Prado y Marchámalo. Diputación permanente, habia distinguida la legitimidad de los pode En la séptima votación salió electo el Sr. Zulucta por 36 votos de res de la admisión del drputdo en el Congreso: y en cuanto ¿ lo se 76 , teniendo los restantes , 4 cada uno de los Sres. Villaboa , Cano y gundo habia tenido en consideración la resolución de una ¡unta prepa Blake, a los Sres. Marchámalo y Lam…</t>
  </si>
  <si>
    <t>…, sobre lo cual proponía varias reglas, que quedaron aprobadas. uestas podrán hacerse libremente; pero lo cierto es que si se aproSe mandaron pasar á la comisión dos adiciones del Sr. Zulucta so , el consejo de Estado no podría ulir de este círculo, que en ni bre dicha asunto. de estrechar convendría ampliar en todo lo posible. Se d.ó cuenta de un oficio del Sr. secretario de la Gobernación de Se dice también que con los jueces de primera instanci…</t>
  </si>
  <si>
    <t>…ía darse facultad á los deudores para que distribuyesen no quieran hacerlo voluntariamente. lo qua no era suyo. La comisión actual del Crédito público se conformaba con el ante El Sr. Zulucta dijo que aun no se habín entendido bien la mente rior dictamen. de la comisión, pues que el objeto de su proposición no era mas que Se aprobaron sin discusión los artículos t.° y t.°; y leído el g.°, dijo el que los acreedores de estas compañías comprasen con…</t>
  </si>
  <si>
    <t>…tado que lejos de Klein: la proposición se ha ratifica nada de tabico para cubrir gran parte de su consumo. do con grandes mejoras, y aun en el día está pendiente. Asi pues, es El Sr. Zulucta se opuso al estanco, primero porque el Gobierno tando el Gobierno, como lo está , provisto de fondo» y medies para no seria nunca buen proveedor, ex giendo unas veces de los contratis pagar las piaros, desde luego puedo asegurar que csU renta estará bien tas…</t>
  </si>
  <si>
    <t>…rtículos volviesen ¿ la comisión San orbast an......................... 104,789. *.*9. 16 para redactarlos de nuevo. iscona.................................... *^5.985- S8»- 05 Ei Sr. Zulucta dijo que podrían volver dichos artícu'os á ¡a comíS vi.la..................................... 318,811. 956 *3 sien, y discutirse «1 siguiente que presentaba. » Las diputaciones pro Soria ....................................... 105,1 8. 28 O. II vinciales, d.…</t>
  </si>
  <si>
    <t>…eo ae el m.&gt;mo pie y ba.es qu: aqu.l'a mi icsa, ou d.ndi a su aifitno debe declarar haber u¿ar 4 votar en tu totalidad. el número d; los individuos que las b.ban de com-.-on r. El Sr. Zulucta: He tomado ia palabra #n contra, porque en este d.c- I&gt;e-pu:t en el reglamento de poiic*a ap» b«r n u: oa a ven'-rr. r tamen encuentro de mas y de menos; encuentro A: mas en las bases: los exc-sos, tanto de los facciosos como de h&gt;. n ai ic. h r:s , ue em en…</t>
  </si>
  <si>
    <t>Zulucta, Pedro Juan</t>
  </si>
  <si>
    <t>Pedro Juan Zulucta</t>
  </si>
  <si>
    <t>…enidero. Cádiz. La comisión, habiendo examinado los pódete* presentados La Gitana ó memorias egipcias. Esta novela até escrita por el gé por los Sres. D. Francisco Javier lsturiz, D. Pedro Juan Zulucta, Don nero de la celebrada del inmortal Cervanta, titulada Persila y SigisJoaquín Abreu y D. Antonio Alcalá Galiano, y un oficio del Señor munda, y aunque son muy complicados y enredosos los lanca , están ministro de la Gobernación de la Península, en el que d…</t>
  </si>
  <si>
    <t>Zulueia</t>
  </si>
  <si>
    <t>…* precito que La comisión de Visita del Crédito público presentó su dictamen te sepa que adema* de loe cinco ó sais fraile* que salieron con lo* (ac sobre la siguiente adición del Sr. Zulueia al art. 10 del proyecto de etoso* , están detenidos todo* lo* monges del monaaterio por disposición decreto sabré arreglo del Crédito público: *» Siendo calidad precita la del geíe político , y dentro de di nn |uez de primen instancia tomando de ser acreedore…</t>
  </si>
  <si>
    <t>Zulueta</t>
  </si>
  <si>
    <t>…u proposición para que pueda apro mientos que usó contra él , pidiendo por lo mismo que se declarase barse. haber lugar á la formación de causa, opinaba que no se habían infrin El Sr. Zulueta manifestó que la comisión al hacer la proposición gido dichos artículos, y por lo mismo no debía accederse á dicha soli que se discutía no habia tenido otro objeto que el de favorecer á la citud. Aprobado. marina española, igualmente que á la industria y á la…</t>
  </si>
  <si>
    <t>…s males que pueden seguirse de que es lee puertoriquedos eran leales, acaso no podrían resistir á la fuerza. té encomendado á personas que no inspiren confianza , es bien cinto E. Sr. Zulueta hizo algunas observaciones sobre et armamento de la que no podrá redundar en beneficio de la Nación el que asi se verifique, marina, y en seguida te aprobó la proposición. por solo atender á una pequeña economía. En todos ios empleados es La comisión primera…</t>
  </si>
  <si>
    <t>…. on de esto* créditos con ínter &gt;. q.i s..b. ron cnrp.caise ev. ,-^arce es tes no deben aprobarle. tos d: CJptaliZ.icoaes q.ie no red ¡v-bsn n-ngu-.o. y sor. q ni ..or.es, que FJ Sr. Zulueta sostuvo el dictamen por encontrarle enteramente s: se pegasen con vales a: 4 por 100 ya &gt;e s e cu-i.s son .os red to« anua acorde con la letra del decreto de ay de Junio, mediante .0 tiia! , y les De modo que ti resultado ¿s ev dente, a saber, que de pagar»,…</t>
  </si>
  <si>
    <t>…l espíritu público; razones por las que tierras inmediatas i dicha laguna. proponía que se suprimiera. Hacíase cargo del informe del consejo ds Después de una ligera discusión, el Sr. Zulueta retiró tu adición, y .Estado, el que aunque convenía con lo desagradable que era esta ins no hubo lugar á deliberar sobre el dictamen. titución por la incomodidad que causaba, creía preciso vencer los obs La comisión «le Hacienda en vista de la adición de los…</t>
  </si>
  <si>
    <t>…uy conforme con el principio de que necesitando un la manutención de las tripulaciones de los buques armados. buque una carena importante mas de la mitad de su valor, era mejor El Sr. Zulueta preguntó si se trataba de comprender en el presupues consttuirle de nuevo; pero que por este medio no se cubrían las nece to de marina los sobrantes que deberían resultar del presupuesto del año sidades y atenciones del momento. Concluyó manifestando que como…</t>
  </si>
  <si>
    <t>…aprobado. pondietite , y este h«b a diapuesto que se le diese una cantidad í caen, Se leyó el art. g.J ta, lo cual no había llegado 4 verificarse,porque la contaduría no habia El Sr. Zulueta preguntó si entre loa tnatriculadoa ae comprendían intervenido el libramiento é causa de no estar incluido en el presu los calafates y carpinteros de ribera; á que contestó d Sr. Infante que puesto de la Gobernación de la Península* y despees de t-tr varias c…</t>
  </si>
  <si>
    <t>…actado. Pudiera entonces promoverse el juicio sobre si el contra entre todos los ciudadanos españoles. to era ó no legítimo; pero la decisión del tribunal seria et resultado de El Sr. Zulueta manifestó que era necesario para no perder tiempo tal controversia. En esta situación se encuentra la Nacio-i con rr-p-cto que el Gobierno informase esta exposición, y se acordó que pasase al á las casas contratantes. Si las Cortes dijesen: en este momento de…</t>
  </si>
  <si>
    <t>…ma junta la mas rigurosa egecucion de las establecidas Granada , y que se lleve á efecto la abolición á que se r fiero. por ios estatuios sanitarios. Se aprobó una proposición del Sr. Zulueta para que las Cortes acuerden que el Gobierno remita inmediatamente un estado del pro Por fallecimiento da D. Francisco Vicente Yalíez ha quedado va ducto de las rentas generales desde i." de Julio del año anterior hasta cante la plaza de magistrado que obtení…</t>
  </si>
  <si>
    <t>…e la independencia , si no acreditaban haberlas satisfecho por miento de lo* ciédit»s de que se trata. aquel medio- Con esta disposición se apresuraron todos los ayunta Y otra del Sr. Zulueta sobre la admisión de documentos de sumi mientos á reunir los documentos; los coordinaron, y á costa de mu nistros á los primeros contribuyentes. chos gastos finalizaron por su parte esta va&gt;ta operación, arreglándose Se procedió á la lectura de U minuta del c…</t>
  </si>
  <si>
    <t>…motivo futí qiu en sentir dt ta comitlon frc. hasta Crédito público inclusive. de los procedimientos de le audiencia de Galicia en la causa contra el E&gt; Sr. presidente dijo que el Sr. Zulueta, autor de la proposición intitulado barón de Santi Joanni. La comisión opinaba que el tribunal en que te fundaba el dictamen de la comisión del Crédito público, supremo de Justicia en cuantos casos viese holladas las leyes por loa seña ado para esta noche, ha…</t>
  </si>
  <si>
    <t>…co y los que sostuvieron la guerra de la independencia, no encuentro que haya razón para aprobar el dictamen. so se sabia ahora á costa de cual de dichos internado* se habia de El Sr. Zulueta contestó que la comisión no habia hecho otra cota premiar en lo* mismos terreno* á lo* que han proclamado el rettab'e- que reproducir lo que en esta parte se prevenía en el reglamento del cimiento de la Constitución en el año zo, y que para salvar este in Gob…</t>
  </si>
  <si>
    <t>darte It extensión que pretendía d Sr. Rico 4 la gracia de que te trata. quio de fa utilidad qu- tato reporta á una nación. El Sr. Zulueta fue de parecer que debía suprimirte la última chu Ei Sr. Casas: El Sr. preopinante ha impugnado Ta parte mas £ac% tóla del artículo que dice: admitiéndoseles como si fueitn créditos con del art teulo; y aunque la comisión creyó que algunos Sres. sc opon Ínter…</t>
  </si>
  <si>
    <t>…an satis pagarlas, haciéndoles entender que no puede subsistir el Estado ni los facerse los 2 g millonea. mismos pueblos sin pagar las contribuciones, pasque no pueden cubrirán El Sr. Zulueta dijo que en ensato á la existencia de la* contribucio sin esto tas cargas precisas del Estado. nes de que se trataba nada tenia que oponer , sino que te procurase fue Por consiguiente ic ve que no debe atenderse tanto á la naturalexa sen cobradas de un modo u…</t>
  </si>
  <si>
    <t>…itos liquidados hasu 31 de Mayo, Se suspendió esta discusión, y se mandó pasar á la comisión una con distinción de con ínteres y sin interes: a.° el de los amortizados adición del Sr. Zulueta y otra de los Sres. Moreno y Arias sobre el hasta dicha fecha con igual distinción; y 3.0 el de los que tenga recibi mismo plan; habiéndose declarado de primera lectura otra proposición dos para su liquidación y reconocimiento. 2.a Dentro de los ocho diaa del…</t>
  </si>
  <si>
    <t>….á disfrutar de la benignidadque dispensa e&lt; (gobierno en el término prefi no para que informase. Aprobado. jado, os exijau únicamente las arims, y qi-deK 'ibres en el seno de El Sr. Zulueta leyó el dictamen de !a mayoría de la comisión de vuestras familias; en nada se os molestara ni os servirá de noti, respecto i Comercio, firmado por los Sres. Rojo, Ojero, Jiménez, Rosa y Laque el perdón que ia ley os concede os pone a cubierto de todo cargo e…</t>
  </si>
  <si>
    <t>…esta cantidad que ellos mismos designen ."'Aprobado. fuerza por el ge fe de la tropa del egército permanente. Art. 6.° m La alteración de cupos que pueden hacer lo* pueblos se El Sr. Zulueta dijo que el espvitu del artículo era que tro oficial entenderá con la prudente limitación que la justicia reclama, pera que del egército en servicio activo no pudiese tener empleo en la miiicia sobre cada riqueza cargue la parte que legítimamente le correspon…</t>
  </si>
  <si>
    <t>…í que se aprobase esta quinta especie tonelada 3 rs.” en atrncion á que hab.a molinos que apenas producían tjúio fanega* Exceptúame los buques que no tengan cubierta. de trigo. El Sr. Zulueta manifestó que la necesidad de fomentar nuestra ma El Sr. Arguelles: Los Sres. que impugnan el dictamen de la comi rina exigía que á lo menos se moderase algún unto el derecho que s* sión, bajo el supuesto de que la contribución de patentes te exige con establ…</t>
  </si>
  <si>
    <t>…la causa que se le seguia. La comisión causa y los medio* de indemnizarlos, se acuerde lo conveniente.” opinaba que no había mérito para exigir le responsabilidad á dichos su- El Sr. Zulueta opinó que era algo injusto el obligar á los acreedo gctos, debiéndose llevar á efecto la referida sentencia. res del Estado á invertir en tiempo determinado sus créditos. Se mandó quedase sobre la mesa el dictamen de la comisión de Ca El Sr. Isturiz contestó…</t>
  </si>
  <si>
    <t>…cuarta, y de cuatro para arriba se em Las compañías nacionales para grandes empresas, cada una ao9 rs. pezará á añadir del m snio modo. Si el número fu se 1 y, las patentes se El Sr. Zulueta preguntó si este pago habia de ser por sola una distribuirán en dos decenas, menos una de primera, y asi sucesiva vez durante el tiempo de la empresa , y si en estas compañías se com mente. prendían las mercantiles. ” En los pueblos chicos, como cada cíase no…</t>
  </si>
  <si>
    <t>…n cualquier terreno men del estanco, io consumirán de los «lemas; de modo qpe en el caso de la monarquía.*' de no estancarse el tabaco tienen los consumidores que pagar una con El Sr. Zulueta se opuso al articulo, por cuanto no se expresaba em tribución , ademas de lo que les cuesta el género. Ademas de esto , el él lo que debían hacer ios dueños de los plantíos con oi tabaco de tm consumidor, por med'o del tta&amp;co libre del tabaco, ¡está surtido c…</t>
  </si>
  <si>
    <t>dí» para evitar ta renta de la» fábricas de particulares y &lt;711? se con El Sr. Zulueta dijo que debería explicarse el artícu'o con esta suma lo mas que sea posible de las fábrica» de U Macón. Pjr ctra claridad. j parte las fabricas de particulares que pueden tener mas sal, van ¡as que Ei br. Falcó fue de Opinión que no deb r a aprobarse el artí…</t>
  </si>
  <si>
    <t>…cienda, se ha servido el Rey F.n la primera votación para segundo secretario reunió el Sr. Moro- mandar que en lo sucesivo no se confiera destino alguno, ni aun en no 60 votos, el Sr. Zulueta 49, el Sr. Rico uno, el Sr. Belda uno, comisión, por ningún gelfi del ramo de Hacienda sin previa Real reel Sr. Sarabie uno, el Sr. Serrano uno, el Sr. Tejeiro nno, el Sr. Ro aolucion. Lo que servirá de gobierno á los militares que soliciten em mero tres, el…</t>
  </si>
  <si>
    <t>…de esta capital han cop .ido de los d; Iierce’001 la abusos é injusticias , resistiéndose la moral j úbi.ca. aparición de una fragata francesa delante de aquel pum , añadiendo El Sr. Zulueta leyó el art. 54 de lasoidnanzas de 1800 que están hsbir hecho preguntas bastante extrañas , cr;t cadas por ¡o&gt; barcelone vigentes» en el cual se propone lo mismo que en el artículo que se dis- ses, que son y deben ser muy delicados en ios puntos de , r.vedad…</t>
  </si>
  <si>
    <t>…no daderamente no sabia lo que era , no pudiéndose nunca persuadir de tocarle todavía la suette de soldado. que las Cortes hubiesen acordado deponer la autoridad episcopal sin El Sr. Zulueta d jo que lo que se establecía en este artículo era res que precediera dec.aracion de la autoridad eclesiástica. pecto de los prófugos de alistamiento , en cuyo caso todavía no se ha El Sr. Afonzo r-c amó el orden , y dijo que no debía hablarse de bía verifica…</t>
  </si>
  <si>
    <t>…delanta taria. do : se darán otros desde Verona, y si no se consigue el objeto deseado Se leyó el art. q.° la opinión de una de laa potencias de mayor influjo parece inclinarse El Sr. Zulueta: El decreto de 31 de Enero concede la gracia de 4 medidas de seguridad, que facilitará la situación geográfica de España, que se trata hasta fin de Setiembre ; y es claro que los buques que ha a saber, excluir en algún moda 4 la £spaisa de la comunicación eu…</t>
  </si>
  <si>
    <t>…9 votos con sidente.=Vicente Salvé, diputado tecretario.=Joscf Melchor Prat, di tra 37. putado secretario. ” ~ Por tai.to mandamos á todos los tribunales, Se aprobó á petición del Sr. Zulueta que se incluyese en este artícu justicias , gefes, gobernadores y demás autoridades, asi civiles como lo el dia i.° de Enero. militares y eclesiásticas, ds cualquiera clase y dignidad , que guarden Se suspendió esta discusión, y se dió cuenta de haber nombrad…</t>
  </si>
  <si>
    <t>…n de i3 de Octubre uno de ios s-íi.i;» que firman esta sición con la modificación indiwidt por el Sr. Salvá. proposición (el Sr. Salvá) dijo: «Yo entiendo que n.ngun.i de a» me E: Sr. Zulueta: S* »-i ron ' in prooo, c'r-i ia palabra /r.—.-tjria didas que abraza este dictamen pued; considerarse como ley occ.” Véa entones pido qu: se abra na.va di.cu» on, y la piiab a Cí r.trt. se pues una contradicción con lo que ahora se propone. Asi pues F.l St.…</t>
  </si>
  <si>
    <t>El Sr. Zulueta: Pido &lt;T*« *• observe e! reglamento, y que se abra la Octave distrito mildar. (Valencia). El Sr. D. Vicente Sancho su discusión. po en Mora de Rublelos qu: una corta gavilla reconocía los pueblos £1 Sr. Canga : Las comisione» no pueden extender los decretos s…</t>
  </si>
  <si>
    <t>….pmtu Se mandó pasn ¡í la cotn.sion una adición del Sr. Jaimes a uno de público, pertuibar la tranquilidad , y fom-ntai . i o .1 día y la anar loa articu-o. aprobados , y otra del Sr. Zulueta. quía en el Brasil. Estos péibdos *m sanos, ase. uracos fle que ci pueblo Se aprobaron ios artículos siguirnt.si tiene un odio implacab e al despe t smo, no cesan de calumniar ias ac Alt. 18. » Todos los pasaportes se expedirán gratis , y tampoco se ciones ma…</t>
  </si>
  <si>
    <t>…e entendiese que este gobernador Quedó aprobado hasta la palabra permanente , habiéndose suprimi quedaba autorizado para llevar a un hombre al patíbulo. do lo demas á petición del Sr. Zulueta. El Sr. Buey impugnó el artículo, ampliando las razones de los se- Art. ai. «El gobernador ó comandante superior publicará por fiotes preopinantes. bando á los vecinos y comunidades que serán despedidos de la plaza El Sr. Saavcdra : Si se reflexiona sobre la…</t>
  </si>
  <si>
    <t>Núm. 358- ( 7 cuartos.) • 8dj GACETA DE MADRID. DOMINGO 8 DE DICIEMBRE DE i8a». NOTICIAS DE ESPAÑA. Se aprobó la siguiente proposición del Sr. Zulueta : » Pido que pase al Gobierno ia exposición de D. Vicente Beltran de Lis para los efec Zaragoza g de Diciembre. tos convenientes, consiguiente á lo resuelto en 11 de Jumo per ias Dicen que el regimiento de Astúria* acometió en Aliaga i lo» Cae* Cortes ordinar…</t>
  </si>
  <si>
    <t>…rol’ada» s* «stibl vt-i-.c .0» ».o- su a-i; s pa-a ' ' as ma de consulados, era la cuestión pie matura avtuc 1 -v de. foro. p. ro en el día no csiatitu» sr c ... , 1 c. . t.r -uEl Sr. Zulueta atnpiio las reflexión»» del Sr I&gt;lur:z. prtnnrse estos con u ados. H Sr. burra: Dicen los señores qu: impugoan el dictamen que y.- d.cr que esr. n i .arco de esta» corporc.. rs - . ¡. siendo peculiar de las diputaciones prjvinc.al-s el sostener los cstabie- p…</t>
  </si>
  <si>
    <t>…nde deben ir dónde saldtín las cantidades que serán menester para esto» objetos si ■us productos. las Cortes desaprueban el atticulo! Será preciso sustituir otros arbi Ha d cho el Sr. Zulueta que el producto del medio por 100 puede trios: y entonces, pregunto yo, ¡estos arbitrios nuevos tetan menos valuarse en 40 millones , y en efecto no ha ido equivocado ; siempre cdosos ó mas fáciles de cobrar que los consulates! La comisión cree los derechos c…</t>
  </si>
  <si>
    <t>…J: Ídem antiguos 7o._ Se puso á discusión el dictamen de la comisión de iHacíenda sobra 2G:.u f¡ar.ce»a en la bolsa del 29 88 fr.: acciones del banco 1620 ít : una proposición del Sr. Zulueta acerca de lo que se ha|8e exigir por el ebiigacicir.es de España 69Í, $ por 100 ídem 57. derecho de administración. La comisión opinaba que gjw ihora no sa hiciese novedad sobre este asunto hasta la próxima legislatura. Madrid Mitre oles 1 r de Dieiemtre. Des…</t>
  </si>
  <si>
    <t>…dos ios Gabinetes del continente, á xima legislatura ordinaria se tome en consideración la proposición quienes por nuestro valor y constancia libertamos de la tutela de Bo- del Sr diputado Zulueta relativa al asunto. De su orden lo comunica naparte, y ninguno debiera estarlo mas que el de las Tullerias, que de mos á V. E. para que tenga á bien ponerlo en noticia de S. M. y dobe el restablecimiento del trono de los Bordones al sacrificio mas ge ñus efec…</t>
  </si>
  <si>
    <t>…uivoca 1»; pero sin embargo rtt-, asur-to -s de ia ¡r.ty-r rr- rt. r lesquier otros mjt.ro/ i títulos. y yo creo que las Cortes están en el caso de entrar de nan o ¡i err-.m.iz-El Sr. Zulueta pidió también que se tuprmiesen las palabras hasta le. Ademe, por la or len de 8 de Mayo , que recayó sobre ■-r.-r.icl-.ee* la próxima legislatura , porque hasta entonces tal vzz habría motivos de varios individuos de Cuiiiirro para 1 ¡- se les perol I:;-.* e…</t>
  </si>
  <si>
    <t>Zulueta, Mariano de Monasterio y</t>
  </si>
  <si>
    <t>Mariano de Monasterio y Zulueta</t>
  </si>
  <si>
    <t>…on autores hab.ando ca el sentido calle del Príncipe, núm 8, manz. 111 , cuarto bajo de la izquierda, ca propio como dtbe hablar la ley. Porque la conspiración no siempre ct sa de D. Mariano de Monasterio y Zulueta, quien manifestará las ba un hecho simple ó aislado , como un roba, un homicidio, y ordina jea , y dará cuantas instrucciones se apetezcan en los dias que no sean riamente resulta de un comphxo de hechos que forman entre sí un en feriados, de diez i dos por l…</t>
  </si>
  <si>
    <t>Zulueta, Mariano Monasterio y</t>
  </si>
  <si>
    <t>Mariano Monasterio y Zulueta</t>
  </si>
  <si>
    <t>…poderados con poder espe nas sospechosas ¿te. cial sino también todos I01 que quieran suscribirse en adelante , acudien ARTICULO DE OFICIO. do basta dicho dia i casa d*l ciudadano D. Mariano Monasterio y Zulueta, calle del Príncipe, cuarto bajo, el cual e-tá autorizado para el e fe F.l Gobierno ha recibido el parte siguiente: to, y manifestará -1 reglamento aprobado, el qu- también se halia de » Excmo. Sr.: Con motivo de qu* loa cabecilla. Eróles y Romagost venta en…</t>
  </si>
  <si>
    <t>Zuluett</t>
  </si>
  <si>
    <t>…upuesto se señalaban los muchos males que se iban á seguir si se aprobaba en esta parte el á la marina. dictamen de la comisión. El Sr. Arguelles apoyó lo que habia manifestado el Sr. Zuluett, El Sr. Istmia manifestó que era preciso repetir la reflexión de siem exponiendo la necesidad urgentísima de que este ramo estuviese aten pre , á saber, que aunque el deseo de la comisión era que nuestra ma dido como correspondía, no solo para sostener nuestr…</t>
  </si>
  <si>
    <t>Zulueu</t>
  </si>
  <si>
    <t>…sde el afio de 14, y asi Se mandó pasar á ia comisión de Hacienda la siguiente proposi podría expresarse. ción d' l Sr. Roig: » Atendiendo al estado pobre en que se halla Menor El Sr. Zulueu pidió se expresase también que era hasta el afie ca, prinsipi'mcnte desde que se prohibió la introducción de granos ex- de 1819. trangris, y nmbien fi la mala cosecha que habrá este afio en dicha is a, El Sr. Canga convino en esta modificación. puc. que en mu…</t>
  </si>
  <si>
    <t>Zuluita</t>
  </si>
  <si>
    <t>…y sera una cosa que corresponde á ios ayuntamientos; y bajo este supues él Sr- Salvi el 199 4--I reglamento. to ia mayor falta que yo encuentro en este proyecto es de no ser un El Sr. Zuluita: D;»rte qu; te reunieron las Cortes se trató de que verdadero plan de policía , y sí mas bien un agregado de bandos, dis se discutiese SI deb a ó no nombrarse comisión de Gobierno mt.rior. posiciones y actos de buen gobierno que establecen los ayuntamientos.…</t>
  </si>
  <si>
    <t>Zulurts</t>
  </si>
  <si>
    <t>…las t^oitcs gracra.es y ex mas á la funerala 'a guardia od difurto. traordinarias en el año ds ¡ 810 en Cai.z. Art. 71. »&gt; Por punto general »• observará ei as ponerse en campa El Sr. Zulurts : Helio de mino» en ote articulo el dia 1. de Enero. ña las arnm í ¡a funerala pata honores d esta , y que a todos El Sr. L.lio: La comi»:on adoptará desi: lu;¿o una ad c.on sobre los oficia os particulares desde subtenirr.tr hasta er ¿adier no se d.be ha est…</t>
  </si>
  <si>
    <t>Zulutl</t>
  </si>
  <si>
    <t>…des popu .tas por los Src&gt;. pie- y del n.-tivo urgrr.ic cu. lavo y-arj no esperar su aar-.b .-c oa. opinantes. Alt. 1 y. »FcJ.ra e gcb.-:r.«d^. a. mv 1, c c rr.s-cant: , y est* Ei Sr. Zulutl expuso que li convsíon podría r tirar la s. -unda dará .o, informes que re.c i:e -_:i p-i; to - rortiiicac.Oiics y demás ramos paite d.l artículo, y presentar a fo-nur/.j arti.u'o .ipait , :• titeado pre que conduzcan á su cciwu-.xn y Ci.-cusa. sente lo preve…</t>
  </si>
  <si>
    <t>Zulutta</t>
  </si>
  <si>
    <t>…nas, se escrbnn en papel del sello 4.a, pagando su La comisión de Hacienda presentó su dictamen sobre cinco adicio importe los lacadores de ellas.” Aprobado. nes propuestas por el Sr. Zulutta al plan de contribuciones, y opinaba Art. y.s » Se formarán en papel del sello cuarto los libros de loa que solo podian adoptarse la 3/ y la g.3, supuesto que las demas alte consulados ó tribunales de com*rcio en que se haga asiento de las acra* raban las bas…</t>
  </si>
  <si>
    <t>Zurdea, Juan Antonio</t>
  </si>
  <si>
    <t>Juan Antonio Zurdea</t>
  </si>
  <si>
    <t>…para su gobierno También debo hacer presante á V b. que á esta acción ¿¡r-r esa Ma p detnas finca oportunos. Madrid *8 de Mapo de 1S11. aaistxlo el capitán del regimiento de León D. Juan Antonio Zurdea , y los subalternos «leí mismo cuerpo D. Pvdro Lanas y D. Arromo ■_ ar &gt;1 En virtud de los informe* que han dado al Rep el gefe político naco, y que la milicia vo untan* de Puigcrrda y o rnas pueble» «¡e ia j diputación de la provincia de Burgos p comandante…</t>
  </si>
  <si>
    <t>Zurita, Fernando de</t>
  </si>
  <si>
    <t>Fernando de Zurita</t>
  </si>
  <si>
    <t>…e en _En la ciudadde Sevilla, habiéndose observado los trámites prescri tiende que han de Mr al precio medio de que habla el decreto de g de tos por la ley, y calificado loa Sres. D. Fernando de Zurita, D. Josef Aborto de i8ao, facultando á la diputación provincial para que ha Fetez de León, D. Rodrigo Sanjnrjo, D. Josef Miro, D. Miguel Mo bilite cata introducción cuando el trigo excediere de 8o r*. la fancga( reno , D. Alfonso Carrera, D» Gabriel Rodríguez…</t>
  </si>
  <si>
    <t>Zurla</t>
  </si>
  <si>
    <t>…s de revolución. Este partido no desea que haya inmediatamente una Cons la misma. Madrid 4 de Mayo de 182a. titución; pero quisiera ver en el ministerio al caballero de Médici, al conde Zurla y á algunos estadistas , tanto de los que componían n Excmo. Sr.: Enterado el Rey por la exposición de V. E. de 30 el min surto anterior á la revolución de 6 de Julio, como de los del de Marzo ú'timo de que D. Josef María Díaz, oficial 5.° de fa con partido m…</t>
  </si>
  <si>
    <t>ZúSiga, Luis Ortíz de</t>
  </si>
  <si>
    <t>Luis Ortíz de ZúSiga</t>
  </si>
  <si>
    <t>…miento cier to, defendida la canta de la libertad por loe héroes del Do* de Mapo: pensadores se moririan de hambre*--------- 1 —1—*— —mi» lucillos tim ra asir aína. Por edicto del Sr. D. Luis Ortíz de ZúSiga, juez de primera instan bante ; pues siendo en todo* sentidos mes snussu , «un . «_ cia de la villa de Moron de la Frontera 7 su partido, se convoca 4 otra en el distinguido lugar que ocupaba. Ea aquel memorable dia defen losjsariemes actuales descendientes d…</t>
  </si>
  <si>
    <t>Zutueia</t>
  </si>
  <si>
    <t>…en unión con ella te tra misión de Hacienda. taba de buscar atbitrios para la construcción de buques de guerra. Se continuó la discusión del presupuesto del ministerio de Mari El Sr. Zutueia, después de haber pedido se leyese el presupuesto de in na, y leída que fue la parte que trata de los cesantes de matriculas versión di los i i.q 3,361.-13 mrs. destinados para las carenas (se leyó), (tíiur la sesión de Miocht en nueitro número dt h y ) quedó…</t>
  </si>
  <si>
    <t>Zúzate, Pedro Ortiz de</t>
  </si>
  <si>
    <t>Pedro Ortiz de Zúzate</t>
  </si>
  <si>
    <t>…io a„ P*n . “ «Acción hecha de Chinchón , refrendada por D. Claudio Cario* de Perogor , á cuyo Decreto de las Cortes prohibiendo 0u. ?! (Gaceta del a.) cargo está la escribanía de D. Pedro Ortiz de Zúzate, ae cita de remate mayores. (Gaceta del 16.) ° 4 dimisorias y órdenes á Francsco Maisanoba y compañía y á Gerardo Maisanoba, para qua acudan dentro de go días i responder de los créditos que se repiten con tra ellos en los autos ejecutivos que i instancia de…</t>
  </si>
  <si>
    <t>Zu’.uaga, Concepción</t>
  </si>
  <si>
    <t>Concepción Zu’.uaga</t>
  </si>
  <si>
    <t>…Romero, D. Joaquín Cevallot, Don convocar por la gaceta y diario 4 Doña María del Carmen Echeverría Juan Fernandez Casariego, D.Isidro de Hoyos , conde de Florida-Blan y su madre Doña Concepción Zu’.uaga, 4 fin de que concurran 4 la pre ca , D. Valentín Nicolás , D. Antonio Quiroga, D. Andrés Navarro sencia de S. S. en su audiencia en el preciso término de seis dias 4 eva y D. Josef Keieer. cuar cierta diligencia acordada 4 instancia del marido de la primera;…</t>
  </si>
  <si>
    <t>Fuentes oficiales y criterio de elaboración · 1822</t>
  </si>
  <si>
    <t>381 archivos · 1843 páginas · enlaces al facsímil oficial</t>
  </si>
  <si>
    <t>Archivo</t>
  </si>
  <si>
    <t>Páginas PDF</t>
  </si>
  <si>
    <t>Registros del índice</t>
  </si>
  <si>
    <t>Facsímil completo</t>
  </si>
  <si>
    <t>GMD-1822-1.pdf</t>
  </si>
  <si>
    <t>GMD-1822-2.pdf</t>
  </si>
  <si>
    <t>GMD-1822-3.pdf</t>
  </si>
  <si>
    <t>GMD-1822-4.pdf</t>
  </si>
  <si>
    <t>GMD-1822-5.pdf</t>
  </si>
  <si>
    <t>GMD-1822-6.pdf</t>
  </si>
  <si>
    <t>GMD-1822-7.pdf</t>
  </si>
  <si>
    <t>GMD-1822-8.pdf</t>
  </si>
  <si>
    <t>GMD-1822-9.pdf</t>
  </si>
  <si>
    <t>GMD-1822-10.pdf</t>
  </si>
  <si>
    <t>GMD-1822-11.pdf</t>
  </si>
  <si>
    <t>GMD-1822-12.pdf</t>
  </si>
  <si>
    <t>GMD-1822-13.pdf</t>
  </si>
  <si>
    <t>GMD-1822-14.pdf</t>
  </si>
  <si>
    <t>GMD-1822-15.pdf</t>
  </si>
  <si>
    <t>GMD-1822-16.pdf</t>
  </si>
  <si>
    <t>GMD-1822-17.pdf</t>
  </si>
  <si>
    <t>GMD-1822-18.pdf</t>
  </si>
  <si>
    <t>GMD-1822-19.pdf</t>
  </si>
  <si>
    <t>GMD-1822-20.pdf</t>
  </si>
  <si>
    <t>GMD-1822-21.pdf</t>
  </si>
  <si>
    <t>GMD-1822-22.pdf</t>
  </si>
  <si>
    <t>GMD-1822-23.pdf</t>
  </si>
  <si>
    <t>GMD-1822-24.pdf</t>
  </si>
  <si>
    <t>GMD-1822-25.pdf</t>
  </si>
  <si>
    <t>GMD-1822-26.pdf</t>
  </si>
  <si>
    <t>GMD-1822-27.pdf</t>
  </si>
  <si>
    <t>GMD-1822-28.pdf</t>
  </si>
  <si>
    <t>GMD-1822-29.pdf</t>
  </si>
  <si>
    <t>GMD-1822-30.pdf</t>
  </si>
  <si>
    <t>GMD-1822-31.pdf</t>
  </si>
  <si>
    <t>GMD-1822-32.pdf</t>
  </si>
  <si>
    <t>GMD-1822-33.pdf</t>
  </si>
  <si>
    <t>GMD-1822-34.pdf</t>
  </si>
  <si>
    <t>GMD-1822-35.pdf</t>
  </si>
  <si>
    <t>GMD-1822-36.pdf</t>
  </si>
  <si>
    <t>GMD-1822-37.pdf</t>
  </si>
  <si>
    <t>GMD-1822-38.pdf</t>
  </si>
  <si>
    <t>GMD-1822-39.pdf</t>
  </si>
  <si>
    <t>GMD-1822-40.pdf</t>
  </si>
  <si>
    <t>GMD-1822-41.pdf</t>
  </si>
  <si>
    <t>GMD-1822-42.pdf</t>
  </si>
  <si>
    <t>GMD-1822-43.pdf</t>
  </si>
  <si>
    <t>GMD-1822-44.pdf</t>
  </si>
  <si>
    <t>GMD-1822-45.pdf</t>
  </si>
  <si>
    <t>Gaceta de Madrid n.º 46 (extraordinaria)</t>
  </si>
  <si>
    <t>GMD-1822-46E.pdf</t>
  </si>
  <si>
    <t>GMD-1822-47.pdf</t>
  </si>
  <si>
    <t>GMD-1822-48.pdf</t>
  </si>
  <si>
    <t>GMD-1822-49.pdf</t>
  </si>
  <si>
    <t>GMD-1822-50.pdf</t>
  </si>
  <si>
    <t>GMD-1822-51.pdf</t>
  </si>
  <si>
    <t>GMD-1822-52.pdf</t>
  </si>
  <si>
    <t>GMD-1822-53.pdf</t>
  </si>
  <si>
    <t>GMD-1822-54.pdf</t>
  </si>
  <si>
    <t>GMD-1822-55.pdf</t>
  </si>
  <si>
    <t>GMD-1822-56.pdf</t>
  </si>
  <si>
    <t>GMD-1822-57.pdf</t>
  </si>
  <si>
    <t>GMD-1822-58.pdf</t>
  </si>
  <si>
    <t>GMD-1822-59.pdf</t>
  </si>
  <si>
    <t>GMD-1822-60.pdf</t>
  </si>
  <si>
    <t>GMD-1822-61.pdf</t>
  </si>
  <si>
    <t>Gaceta de Madrid n.º 62 (extraordinaria)</t>
  </si>
  <si>
    <t>GMD-1822-62E.pdf</t>
  </si>
  <si>
    <t>GMD-1822-63.pdf</t>
  </si>
  <si>
    <t>GMD-1822-64.pdf</t>
  </si>
  <si>
    <t>GMD-1822-65.pdf</t>
  </si>
  <si>
    <t>GMD-1822-66.pdf</t>
  </si>
  <si>
    <t>GMD-1822-67.pdf</t>
  </si>
  <si>
    <t>GMD-1822-68.pdf</t>
  </si>
  <si>
    <t>GMD-1822-69.pdf</t>
  </si>
  <si>
    <t>GMD-1822-70.pdf</t>
  </si>
  <si>
    <t>GMD-1822-71.pdf</t>
  </si>
  <si>
    <t>GMD-1822-72.pdf</t>
  </si>
  <si>
    <t>GMD-1822-73.pdf</t>
  </si>
  <si>
    <t>GMD-1822-74.pdf</t>
  </si>
  <si>
    <t>GMD-1822-75.pdf</t>
  </si>
  <si>
    <t>GMD-1822-76.pdf</t>
  </si>
  <si>
    <t>GMD-1822-77.pdf</t>
  </si>
  <si>
    <t>GMD-1822-78.pdf</t>
  </si>
  <si>
    <t>GMD-1822-79.pdf</t>
  </si>
  <si>
    <t>GMD-1822-80.pdf</t>
  </si>
  <si>
    <t>GMD-1822-81.pdf</t>
  </si>
  <si>
    <t>GMD-1822-82.pdf</t>
  </si>
  <si>
    <t>GMD-1822-83.pdf</t>
  </si>
  <si>
    <t>GMD-1822-84.pdf</t>
  </si>
  <si>
    <t>GMD-1822-85.pdf</t>
  </si>
  <si>
    <t>GMD-1822-86.pdf</t>
  </si>
  <si>
    <t>GMD-1822-87.pdf</t>
  </si>
  <si>
    <t>GMD-1822-88.pdf</t>
  </si>
  <si>
    <t>GMD-1822-89.pdf</t>
  </si>
  <si>
    <t>GMD-1822-90.pdf</t>
  </si>
  <si>
    <t>GMD-1822-91.pdf</t>
  </si>
  <si>
    <t>GMD-1822-92.pdf</t>
  </si>
  <si>
    <t>GMD-1822-93.pdf</t>
  </si>
  <si>
    <t>GMD-1822-94.pdf</t>
  </si>
  <si>
    <t>GMD-1822-95.pdf</t>
  </si>
  <si>
    <t>GMD-1822-96.pdf</t>
  </si>
  <si>
    <t>GMD-1822-97.pdf</t>
  </si>
  <si>
    <t>GMD-1822-98.pdf</t>
  </si>
  <si>
    <t>GMD-1822-99.pdf</t>
  </si>
  <si>
    <t>GMD-1822-100.pdf</t>
  </si>
  <si>
    <t>GMD-1822-101.pdf</t>
  </si>
  <si>
    <t>GMD-1822-102.pdf</t>
  </si>
  <si>
    <t>GMD-1822-103.pdf</t>
  </si>
  <si>
    <t>GMD-1822-104.pdf</t>
  </si>
  <si>
    <t>GMD-1822-105.pdf</t>
  </si>
  <si>
    <t>GMD-1822-106.pdf</t>
  </si>
  <si>
    <t>GMD-1822-107.pdf</t>
  </si>
  <si>
    <t>GMD-1822-108.pdf</t>
  </si>
  <si>
    <t>GMD-1822-109.pdf</t>
  </si>
  <si>
    <t>GMD-1822-110.pdf</t>
  </si>
  <si>
    <t>GMD-1822-111.pdf</t>
  </si>
  <si>
    <t>GMD-1822-112.pdf</t>
  </si>
  <si>
    <t>GMD-1822-113.pdf</t>
  </si>
  <si>
    <t>GMD-1822-114.pdf</t>
  </si>
  <si>
    <t>GMD-1822-115.pdf</t>
  </si>
  <si>
    <t>GMD-1822-116.pdf</t>
  </si>
  <si>
    <t>GMD-1822-117.pdf</t>
  </si>
  <si>
    <t>GMD-1822-118.pdf</t>
  </si>
  <si>
    <t>GMD-1822-119.pdf</t>
  </si>
  <si>
    <t>GMD-1822-120.pdf</t>
  </si>
  <si>
    <t>GMD-1822-121.pdf</t>
  </si>
  <si>
    <t>GMD-1822-122.pdf</t>
  </si>
  <si>
    <t>GMD-1822-123.pdf</t>
  </si>
  <si>
    <t>GMD-1822-124.pdf</t>
  </si>
  <si>
    <t>GMD-1822-125.pdf</t>
  </si>
  <si>
    <t>GMD-1822-126.pdf</t>
  </si>
  <si>
    <t>GMD-1822-127.pdf</t>
  </si>
  <si>
    <t>GMD-1822-128.pdf</t>
  </si>
  <si>
    <t>GMD-1822-129.pdf</t>
  </si>
  <si>
    <t>GMD-1822-130.pdf</t>
  </si>
  <si>
    <t>GMD-1822-131.pdf</t>
  </si>
  <si>
    <t>GMD-1822-132.pdf</t>
  </si>
  <si>
    <t>GMD-1822-133.pdf</t>
  </si>
  <si>
    <t>GMD-1822-134.pdf</t>
  </si>
  <si>
    <t>GMD-1822-135.pdf</t>
  </si>
  <si>
    <t>GMD-1822-136.pdf</t>
  </si>
  <si>
    <t>GMD-1822-137.pdf</t>
  </si>
  <si>
    <t>GMD-1822-138.pdf</t>
  </si>
  <si>
    <t>GMD-1822-139.pdf</t>
  </si>
  <si>
    <t>GMD-1822-140.pdf</t>
  </si>
  <si>
    <t>GMD-1822-141.pdf</t>
  </si>
  <si>
    <t>GMD-1822-142E.pdf</t>
  </si>
  <si>
    <t>GMD-1822-143.pdf</t>
  </si>
  <si>
    <t>GMD-1822-144.pdf</t>
  </si>
  <si>
    <t>GMD-1822-145.pdf</t>
  </si>
  <si>
    <t>GMD-1822-146E.pdf</t>
  </si>
  <si>
    <t>GMD-1822-147.pdf</t>
  </si>
  <si>
    <t>GMD-1822-148.pdf</t>
  </si>
  <si>
    <t>GMD-1822-149E.pdf</t>
  </si>
  <si>
    <t>GMD-1822-150.pdf</t>
  </si>
  <si>
    <t>GMD-1822-151.pdf</t>
  </si>
  <si>
    <t>GMD-1822-152.pdf</t>
  </si>
  <si>
    <t>GMD-1822-153.pdf</t>
  </si>
  <si>
    <t>GMD-1822-154.pdf</t>
  </si>
  <si>
    <t>GMD-1822-155.pdf</t>
  </si>
  <si>
    <t>GMD-1822-156.pdf</t>
  </si>
  <si>
    <t>GMD-1822-157.pdf</t>
  </si>
  <si>
    <t>GMD-1822-158.pdf</t>
  </si>
  <si>
    <t>GMD-1822-159.pdf</t>
  </si>
  <si>
    <t>GMD-1822-160E.pdf</t>
  </si>
  <si>
    <t>GMD-1822-161.pdf</t>
  </si>
  <si>
    <t>GMD-1822-162.pdf</t>
  </si>
  <si>
    <t>GMD-1822-163.pdf</t>
  </si>
  <si>
    <t>GMD-1822-164.pdf</t>
  </si>
  <si>
    <t>GMD-1822-165.pdf</t>
  </si>
  <si>
    <t>GMD-1822-166.pdf</t>
  </si>
  <si>
    <t>GMD-1822-167.pdf</t>
  </si>
  <si>
    <t>GMD-1822-168.pdf</t>
  </si>
  <si>
    <t>GMD-1822-169.pdf</t>
  </si>
  <si>
    <t>GMD-1822-170.pdf</t>
  </si>
  <si>
    <t>GMD-1822-171.pdf</t>
  </si>
  <si>
    <t>GMD-1822-172.pdf</t>
  </si>
  <si>
    <t>GMD-1822-173.pdf</t>
  </si>
  <si>
    <t>GMD-1822-174.pdf</t>
  </si>
  <si>
    <t>GMD-1822-175.pdf</t>
  </si>
  <si>
    <t>GMD-1822-176.pdf</t>
  </si>
  <si>
    <t>GMD-1822-177.pdf</t>
  </si>
  <si>
    <t>Gaceta de Madrid n.º 178 (extraordinaria)</t>
  </si>
  <si>
    <t>GMD-1822-178E.pdf</t>
  </si>
  <si>
    <t>GMD-1822-179.pdf</t>
  </si>
  <si>
    <t>GMD-1822-180.pdf</t>
  </si>
  <si>
    <t>GMD-1822-181.pdf</t>
  </si>
  <si>
    <t>GMD-1822-182.pdf</t>
  </si>
  <si>
    <t>GMD-1822-183.pdf</t>
  </si>
  <si>
    <t>GMD-1822-184.pdf</t>
  </si>
  <si>
    <t>GMD-1822-185.pdf</t>
  </si>
  <si>
    <t>GMD-1822-186.pdf</t>
  </si>
  <si>
    <t>GMD-1822-187.pdf</t>
  </si>
  <si>
    <t>GMD-1822-188.pdf</t>
  </si>
  <si>
    <t>Gaceta de Madrid n.º 189 (extraordinaria)</t>
  </si>
  <si>
    <t>GMD-1822-189E.pdf</t>
  </si>
  <si>
    <t>GMD-1822-190.pdf</t>
  </si>
  <si>
    <t>GMD-1822-191.pdf</t>
  </si>
  <si>
    <t>GMD-1822-192.pdf</t>
  </si>
  <si>
    <t>GMD-1822-193.pdf</t>
  </si>
  <si>
    <t>GMD-1822-194.pdf</t>
  </si>
  <si>
    <t>GMD-1822-195.pdf</t>
  </si>
  <si>
    <t>GMD-1822-196.pdf</t>
  </si>
  <si>
    <t>GMD-1822-197.pdf</t>
  </si>
  <si>
    <t>GMD-1822-198E.pdf</t>
  </si>
  <si>
    <t>GMD-1822-199.pdf</t>
  </si>
  <si>
    <t>GMD-1822-200.pdf</t>
  </si>
  <si>
    <t>GMD-1822-201.pdf</t>
  </si>
  <si>
    <t>GMD-1822-202.pdf</t>
  </si>
  <si>
    <t>GMD-1822-203.pdf</t>
  </si>
  <si>
    <t>GMD-1822-204.pdf</t>
  </si>
  <si>
    <t>GMD-1822-205.pdf</t>
  </si>
  <si>
    <t>GMD-1822-206.pdf</t>
  </si>
  <si>
    <t>GMD-1822-207.pdf</t>
  </si>
  <si>
    <t>GMD-1822-208E.pdf</t>
  </si>
  <si>
    <t>GMD-1822-209.pdf</t>
  </si>
  <si>
    <t>GMD-1822-210E.pdf</t>
  </si>
  <si>
    <t>GMD-1822-211.pdf</t>
  </si>
  <si>
    <t>GMD-1822-212.pdf</t>
  </si>
  <si>
    <t>GMD-1822-213.pdf</t>
  </si>
  <si>
    <t>GMD-1822-214E.pdf</t>
  </si>
  <si>
    <t>GMD-1822-215.pdf</t>
  </si>
  <si>
    <t>GMD-1822-216.pdf</t>
  </si>
  <si>
    <t>GMD-1822-217.pdf</t>
  </si>
  <si>
    <t>GMD-1822-218.pdf</t>
  </si>
  <si>
    <t>GMD-1822-219.pdf</t>
  </si>
  <si>
    <t>GMD-1822-220.pdf</t>
  </si>
  <si>
    <t>GMD-1822-221.pdf</t>
  </si>
  <si>
    <t>GMD-1822-222.pdf</t>
  </si>
  <si>
    <t>GMD-1822-223.pdf</t>
  </si>
  <si>
    <t>GMD-1822-224.pdf</t>
  </si>
  <si>
    <t>GMD-1822-225.pdf</t>
  </si>
  <si>
    <t>GMD-1822-226.pdf</t>
  </si>
  <si>
    <t>GMD-1822-227.pdf</t>
  </si>
  <si>
    <t>GMD-1822-228.pdf</t>
  </si>
  <si>
    <t>GMD-1822-229.pdf</t>
  </si>
  <si>
    <t>GMD-1822-230.pdf</t>
  </si>
  <si>
    <t>GMD-1822-231.pdf</t>
  </si>
  <si>
    <t>GMD-1822-232.pdf</t>
  </si>
  <si>
    <t>GMD-1822-233.pdf</t>
  </si>
  <si>
    <t>GMD-1822-234.pdf</t>
  </si>
  <si>
    <t>GMD-1822-235.pdf</t>
  </si>
  <si>
    <t>GMD-1822-236.pdf</t>
  </si>
  <si>
    <t>GMD-1822-237.pdf</t>
  </si>
  <si>
    <t>GMD-1822-238.pdf</t>
  </si>
  <si>
    <t>GMD-1822-239.pdf</t>
  </si>
  <si>
    <t>GMD-1822-240.pdf</t>
  </si>
  <si>
    <t>GMD-1822-241.pdf</t>
  </si>
  <si>
    <t>GMD-1822-242.pdf</t>
  </si>
  <si>
    <t>GMD-1822-243.pdf</t>
  </si>
  <si>
    <t>GMD-1822-244.pdf</t>
  </si>
  <si>
    <t>GMD-1822-245.pdf</t>
  </si>
  <si>
    <t>GMD-1822-246.pdf</t>
  </si>
  <si>
    <t>GMD-1822-247.pdf</t>
  </si>
  <si>
    <t>GMD-1822-248.pdf</t>
  </si>
  <si>
    <t>GMD-1822-249.pdf</t>
  </si>
  <si>
    <t>GMD-1822-250.pdf</t>
  </si>
  <si>
    <t>GMD-1822-251.pdf</t>
  </si>
  <si>
    <t>GMD-1822-252.pdf</t>
  </si>
  <si>
    <t>GMD-1822-253.pdf</t>
  </si>
  <si>
    <t>GMD-1822-254.pdf</t>
  </si>
  <si>
    <t>GMD-1822-255.pdf</t>
  </si>
  <si>
    <t>GMD-1822-256.pdf</t>
  </si>
  <si>
    <t>GMD-1822-257.pdf</t>
  </si>
  <si>
    <t>GMD-1822-258.pdf</t>
  </si>
  <si>
    <t>GMD-1822-259.pdf</t>
  </si>
  <si>
    <t>GMD-1822-260.pdf</t>
  </si>
  <si>
    <t>GMD-1822-261.pdf</t>
  </si>
  <si>
    <t>GMD-1822-262.pdf</t>
  </si>
  <si>
    <t>GMD-1822-263E.pdf</t>
  </si>
  <si>
    <t>GMD-1822-264.pdf</t>
  </si>
  <si>
    <t>GMD-1822-265.pdf</t>
  </si>
  <si>
    <t>GMD-1822-266.pdf</t>
  </si>
  <si>
    <t>GMD-1822-267.pdf</t>
  </si>
  <si>
    <t>GMD-1822-268.pdf</t>
  </si>
  <si>
    <t>GMD-1822-269.pdf</t>
  </si>
  <si>
    <t>GMD-1822-270.pdf</t>
  </si>
  <si>
    <t>GMD-1822-271.pdf</t>
  </si>
  <si>
    <t>GMD-1822-272.pdf</t>
  </si>
  <si>
    <t>GMD-1822-273.pdf</t>
  </si>
  <si>
    <t>GMD-1822-274.pdf</t>
  </si>
  <si>
    <t>GMD-1822-275.pdf</t>
  </si>
  <si>
    <t>GMD-1822-276.pdf</t>
  </si>
  <si>
    <t>GMD-1822-277.pdf</t>
  </si>
  <si>
    <t>GMD-1822-278.pdf</t>
  </si>
  <si>
    <t>GMD-1822-279.pdf</t>
  </si>
  <si>
    <t>GMD-1822-280.pdf</t>
  </si>
  <si>
    <t>GMD-1822-281.pdf</t>
  </si>
  <si>
    <t>GMD-1822-282.pdf</t>
  </si>
  <si>
    <t>GMD-1822-283.pdf</t>
  </si>
  <si>
    <t>GMD-1822-284.pdf</t>
  </si>
  <si>
    <t>GMD-1822-285.pdf</t>
  </si>
  <si>
    <t>GMD-1822-286.pdf</t>
  </si>
  <si>
    <t>GMD-1822-287.pdf</t>
  </si>
  <si>
    <t>GMD-1822-288.pdf</t>
  </si>
  <si>
    <t>GMD-1822-289.pdf</t>
  </si>
  <si>
    <t>GMD-1822-290.pdf</t>
  </si>
  <si>
    <t>GMD-1822-291.pdf</t>
  </si>
  <si>
    <t>GMD-1822-292.pdf</t>
  </si>
  <si>
    <t>GMD-1822-293.pdf</t>
  </si>
  <si>
    <t>Gaceta de Madrid n.º 294 (extraordinaria)</t>
  </si>
  <si>
    <t>GMD-1822-294E.pdf</t>
  </si>
  <si>
    <t>GMD-1822-295.pdf</t>
  </si>
  <si>
    <t>GMD-1822-296.pdf</t>
  </si>
  <si>
    <t>GMD-1822-297.pdf</t>
  </si>
  <si>
    <t>GMD-1822-298.pdf</t>
  </si>
  <si>
    <t>GMD-1822-299.pdf</t>
  </si>
  <si>
    <t>GMD-1822-300.pdf</t>
  </si>
  <si>
    <t>GMD-1822-301.pdf</t>
  </si>
  <si>
    <t>GMD-1822-302.pdf</t>
  </si>
  <si>
    <t>GMD-1822-303.pdf</t>
  </si>
  <si>
    <t>GMD-1822-304.pdf</t>
  </si>
  <si>
    <t>GMD-1822-305.pdf</t>
  </si>
  <si>
    <t>GMD-1822-306.pdf</t>
  </si>
  <si>
    <t>GMD-1822-307.pdf</t>
  </si>
  <si>
    <t>GMD-1822-308.pdf</t>
  </si>
  <si>
    <t>GMD-1822-309.pdf</t>
  </si>
  <si>
    <t>GMD-1822-310.pdf</t>
  </si>
  <si>
    <t>GMD-1822-311.pdf</t>
  </si>
  <si>
    <t>GMD-1822-312.pdf</t>
  </si>
  <si>
    <t>GMD-1822-313.pdf</t>
  </si>
  <si>
    <t>GMD-1822-314.pdf</t>
  </si>
  <si>
    <t>GMD-1822-315.pdf</t>
  </si>
  <si>
    <t>GMD-1822-316.pdf</t>
  </si>
  <si>
    <t>GMD-1822-317.pdf</t>
  </si>
  <si>
    <t>GMD-1822-318.pdf</t>
  </si>
  <si>
    <t>GMD-1822-319.pdf</t>
  </si>
  <si>
    <t>GMD-1822-320.pdf</t>
  </si>
  <si>
    <t>GMD-1822-321.pdf</t>
  </si>
  <si>
    <t>GMD-1822-322E.pdf</t>
  </si>
  <si>
    <t>GMD-1822-323.pdf</t>
  </si>
  <si>
    <t>GMD-1822-324E.pdf</t>
  </si>
  <si>
    <t>GMD-1822-325.pdf</t>
  </si>
  <si>
    <t>GMD-1822-326.pdf</t>
  </si>
  <si>
    <t>GMD-1822-327.pdf</t>
  </si>
  <si>
    <t>GMD-1822-328.pdf</t>
  </si>
  <si>
    <t>GMD-1822-329.pdf</t>
  </si>
  <si>
    <t>GMD-1822-330.pdf</t>
  </si>
  <si>
    <t>GMD-1822-331.pdf</t>
  </si>
  <si>
    <t>GMD-1822-332.pdf</t>
  </si>
  <si>
    <t>GMD-1822-333.pdf</t>
  </si>
  <si>
    <t>GMD-1822-334.pdf</t>
  </si>
  <si>
    <t>GMD-1822-335.pdf</t>
  </si>
  <si>
    <t>GMD-1822-336.pdf</t>
  </si>
  <si>
    <t>GMD-1822-337.pdf</t>
  </si>
  <si>
    <t>GMD-1822-338.pdf</t>
  </si>
  <si>
    <t>GMD-1822-339.pdf</t>
  </si>
  <si>
    <t>GMD-1822-340.pdf</t>
  </si>
  <si>
    <t>GMD-1822-341.pdf</t>
  </si>
  <si>
    <t>GMD-1822-342.pdf</t>
  </si>
  <si>
    <t>GMD-1822-343.pdf</t>
  </si>
  <si>
    <t>GMD-1822-344.pdf</t>
  </si>
  <si>
    <t>GMD-1822-345.pdf</t>
  </si>
  <si>
    <t>GMD-1822-346.pdf</t>
  </si>
  <si>
    <t>GMD-1822-347.pdf</t>
  </si>
  <si>
    <t>GMD-1822-348.pdf</t>
  </si>
  <si>
    <t>GMD-1822-349.pdf</t>
  </si>
  <si>
    <t>GMD-1822-350.pdf</t>
  </si>
  <si>
    <t>GMD-1822-351.pdf</t>
  </si>
  <si>
    <t>GMD-1822-352.pdf</t>
  </si>
  <si>
    <t>GMD-1822-353.pdf</t>
  </si>
  <si>
    <t>GMD-1822-354.pdf</t>
  </si>
  <si>
    <t>GMD-1822-355.pdf</t>
  </si>
  <si>
    <t>GMD-1822-356.pdf</t>
  </si>
  <si>
    <t>GMD-1822-357.pdf</t>
  </si>
  <si>
    <t>GMD-1822-358.pdf</t>
  </si>
  <si>
    <t>GMD-1822-359.pdf</t>
  </si>
  <si>
    <t>GMD-1822-360.pdf</t>
  </si>
  <si>
    <t>GMD-1822-361.pdf</t>
  </si>
  <si>
    <t>GMD-1822-362.pdf</t>
  </si>
  <si>
    <t>GMD-1822-363.pdf</t>
  </si>
  <si>
    <t>GMD-1822-364.pdf</t>
  </si>
  <si>
    <t>GMD-1822-365.pdf</t>
  </si>
  <si>
    <t>GMD-1822-366.pdf</t>
  </si>
  <si>
    <t>GMD-1822-367.pdf</t>
  </si>
  <si>
    <t>GMD-1822-368.pdf</t>
  </si>
  <si>
    <t>GMD-1822-369.pdf</t>
  </si>
  <si>
    <t>GMD-1822-370.pdf</t>
  </si>
  <si>
    <t>GMD-1822-371.pdf</t>
  </si>
  <si>
    <t>GMD-1822-372.pdf</t>
  </si>
  <si>
    <t>GMD-1822-373.pdf</t>
  </si>
  <si>
    <t>GMD-1822-374.pdf</t>
  </si>
  <si>
    <t>GMD-1822-375.pdf</t>
  </si>
  <si>
    <t>GMD-1822-376.pdf</t>
  </si>
  <si>
    <t>GMD-1822-377.pdf</t>
  </si>
  <si>
    <t>GMD-1822-378.pdf</t>
  </si>
  <si>
    <t>GMD-1822-379.pdf</t>
  </si>
  <si>
    <t>GMD-1822-380.pdf</t>
  </si>
  <si>
    <t>GMD-1822-381.pdf</t>
  </si>
  <si>
    <t>Criterios, alcance y limitaciones</t>
  </si>
  <si>
    <t>Cobertura</t>
  </si>
  <si>
    <t>Se incluyen los 381 archivos localizados en la hemeroteca oficial entre el 1 de enero y el 31 de diciembre de 1822, incluidas 16 ediciones extraordinarias.</t>
  </si>
  <si>
    <t>Cabeceras</t>
  </si>
  <si>
    <t>Gaceta de Madrid (381 archivos).</t>
  </si>
  <si>
    <t>Numeración</t>
  </si>
  <si>
    <t>La numeración y las 16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</si>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</sst>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20">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0" fillId="0" borderId="0" xfId="0" applyNumberFormat="1"/>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2" displayName="IndiceOnomasticoAnual1822" ref="A6:K15201" totalsRowShown="0">
  <autoFilter ref="A6:K15201"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2" displayName="FuentesGacetaAnual1822" ref="A4:F385" totalsRowShown="0">
  <autoFilter ref="A4:F385"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15201"/>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9" t="s">
        <v>0</v>
      </c>
      <c r="B1" s="9"/>
      <c r="C1" s="9"/>
      <c r="D1" s="9"/>
      <c r="E1" s="9"/>
      <c r="F1" s="9"/>
      <c r="G1" s="9"/>
      <c r="H1" s="9"/>
      <c r="I1" s="9"/>
      <c r="J1" s="9"/>
      <c r="K1" s="9"/>
    </row>
    <row r="2" spans="1:11" ht="21.95" customHeight="1">
      <c r="A2" s="10" t="s">
        <v>1</v>
      </c>
      <c r="B2" s="10"/>
      <c r="C2" s="10"/>
      <c r="D2" s="10"/>
      <c r="E2" s="10"/>
      <c r="F2" s="10"/>
      <c r="G2" s="10"/>
      <c r="H2" s="10"/>
      <c r="I2" s="10"/>
      <c r="J2" s="10"/>
      <c r="K2" s="10"/>
    </row>
    <row r="3" spans="1:11" ht="33.950000000000003" customHeight="1">
      <c r="A3" s="11" t="s">
        <v>2</v>
      </c>
      <c r="B3" s="11"/>
      <c r="C3" s="11"/>
      <c r="D3" s="11"/>
      <c r="E3" s="11"/>
      <c r="F3" s="11"/>
      <c r="G3" s="11"/>
      <c r="H3" s="11"/>
      <c r="I3" s="11"/>
      <c r="J3" s="11"/>
      <c r="K3" s="11"/>
    </row>
    <row r="4" spans="1:11" ht="21.95" customHeight="1">
      <c r="A4" s="12" t="s">
        <v>3</v>
      </c>
      <c r="B4" s="12"/>
      <c r="C4" s="12"/>
      <c r="D4" s="12"/>
      <c r="E4" s="12"/>
      <c r="F4" s="12"/>
      <c r="G4" s="12"/>
      <c r="H4" s="12"/>
      <c r="I4" s="12"/>
      <c r="J4" s="12"/>
      <c r="K4" s="12"/>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15</v>
      </c>
      <c r="C7" s="2" t="s">
        <v>16</v>
      </c>
      <c r="D7" s="2" t="s">
        <v>17</v>
      </c>
      <c r="E7" s="5">
        <v>-28194</v>
      </c>
      <c r="F7" s="3" t="s">
        <v>18</v>
      </c>
      <c r="G7" s="3" t="s">
        <v>19</v>
      </c>
      <c r="H7" s="2" t="s">
        <v>20</v>
      </c>
      <c r="I7" s="2" t="s">
        <v>21</v>
      </c>
      <c r="J7" s="3" t="str">
        <f>HYPERLINK("https://www.boe.es/gazeta/dias/1822/10/21/pdfs/GMD-1822-308.pdf#page=5","Abrir facsímil")</f>
        <v>Abrir facsímil</v>
      </c>
      <c r="K7" s="3" t="s">
        <v>22</v>
      </c>
    </row>
    <row r="8" spans="1:11" ht="42" customHeight="1">
      <c r="A8" s="2" t="s">
        <v>23</v>
      </c>
      <c r="B8" s="2" t="s">
        <v>23</v>
      </c>
      <c r="C8" s="2" t="s">
        <v>24</v>
      </c>
      <c r="D8" s="2" t="s">
        <v>17</v>
      </c>
      <c r="E8" s="5">
        <v>-28463</v>
      </c>
      <c r="F8" s="3" t="s">
        <v>25</v>
      </c>
      <c r="G8" s="3" t="s">
        <v>19</v>
      </c>
      <c r="H8" s="2" t="s">
        <v>20</v>
      </c>
      <c r="I8" s="2" t="s">
        <v>26</v>
      </c>
      <c r="J8" s="3" t="str">
        <f>HYPERLINK("https://www.boe.es/gazeta/dias/1822/01/25/pdfs/GMD-1822-25.pdf#page=5","Abrir facsímil")</f>
        <v>Abrir facsímil</v>
      </c>
      <c r="K8" s="3" t="s">
        <v>22</v>
      </c>
    </row>
    <row r="9" spans="1:11" ht="42" customHeight="1">
      <c r="A9" s="2" t="s">
        <v>27</v>
      </c>
      <c r="B9" s="2" t="s">
        <v>27</v>
      </c>
      <c r="C9" s="2" t="s">
        <v>28</v>
      </c>
      <c r="D9" s="2" t="s">
        <v>29</v>
      </c>
      <c r="E9" s="5">
        <v>-28474</v>
      </c>
      <c r="F9" s="3" t="s">
        <v>30</v>
      </c>
      <c r="G9" s="3" t="s">
        <v>31</v>
      </c>
      <c r="H9" s="2" t="s">
        <v>20</v>
      </c>
      <c r="I9" s="2" t="s">
        <v>32</v>
      </c>
      <c r="J9" s="3" t="str">
        <f>HYPERLINK("https://www.boe.es/gazeta/dias/1822/01/14/pdfs/GMD-1822-14.pdf#page=3","Abrir facsímil")</f>
        <v>Abrir facsímil</v>
      </c>
      <c r="K9" s="3" t="s">
        <v>22</v>
      </c>
    </row>
    <row r="10" spans="1:11" ht="42" customHeight="1">
      <c r="A10" s="2" t="s">
        <v>33</v>
      </c>
      <c r="B10" s="2" t="s">
        <v>33</v>
      </c>
      <c r="C10" s="2" t="s">
        <v>28</v>
      </c>
      <c r="D10" s="2" t="s">
        <v>29</v>
      </c>
      <c r="E10" s="5">
        <v>-28130</v>
      </c>
      <c r="F10" s="3" t="s">
        <v>34</v>
      </c>
      <c r="G10" s="3" t="s">
        <v>35</v>
      </c>
      <c r="H10" s="2" t="s">
        <v>20</v>
      </c>
      <c r="I10" s="2" t="s">
        <v>36</v>
      </c>
      <c r="J10" s="3" t="str">
        <f>HYPERLINK("https://www.boe.es/gazeta/dias/1822/12/24/pdfs/GMD-1822-374.pdf#page=2","Abrir facsímil")</f>
        <v>Abrir facsímil</v>
      </c>
      <c r="K10" s="3" t="s">
        <v>22</v>
      </c>
    </row>
    <row r="11" spans="1:11" ht="42" customHeight="1">
      <c r="A11" s="2" t="s">
        <v>37</v>
      </c>
      <c r="B11" s="2" t="s">
        <v>37</v>
      </c>
      <c r="C11" s="2" t="s">
        <v>28</v>
      </c>
      <c r="D11" s="2" t="s">
        <v>29</v>
      </c>
      <c r="E11" s="5">
        <v>-28327</v>
      </c>
      <c r="F11" s="3" t="s">
        <v>38</v>
      </c>
      <c r="G11" s="3" t="s">
        <v>35</v>
      </c>
      <c r="H11" s="2" t="s">
        <v>20</v>
      </c>
      <c r="I11" s="2" t="s">
        <v>39</v>
      </c>
      <c r="J11" s="3" t="str">
        <f>HYPERLINK("https://www.boe.es/gazeta/dias/1822/06/10/pdfs/GMD-1822-167.pdf#page=2","Abrir facsímil")</f>
        <v>Abrir facsímil</v>
      </c>
      <c r="K11" s="3" t="s">
        <v>22</v>
      </c>
    </row>
    <row r="12" spans="1:11" ht="42" customHeight="1">
      <c r="A12" s="2" t="s">
        <v>40</v>
      </c>
      <c r="B12" s="2" t="s">
        <v>41</v>
      </c>
      <c r="C12" s="2" t="s">
        <v>42</v>
      </c>
      <c r="D12" s="2" t="s">
        <v>17</v>
      </c>
      <c r="E12" s="5">
        <v>-28192</v>
      </c>
      <c r="F12" s="3" t="s">
        <v>43</v>
      </c>
      <c r="G12" s="3" t="s">
        <v>44</v>
      </c>
      <c r="H12" s="2" t="s">
        <v>45</v>
      </c>
      <c r="I12" s="2" t="s">
        <v>46</v>
      </c>
      <c r="J12" s="3" t="str">
        <f>HYPERLINK("https://www.boe.es/gazeta/dias/1822/10/23/pdfs/GMD-1822-310.pdf#page=1","Abrir facsímil")</f>
        <v>Abrir facsímil</v>
      </c>
      <c r="K12" s="3" t="s">
        <v>47</v>
      </c>
    </row>
    <row r="13" spans="1:11" ht="42" customHeight="1">
      <c r="A13" s="2" t="s">
        <v>48</v>
      </c>
      <c r="B13" s="2" t="s">
        <v>49</v>
      </c>
      <c r="C13" s="2" t="s">
        <v>50</v>
      </c>
      <c r="D13" s="2" t="s">
        <v>51</v>
      </c>
      <c r="E13" s="5">
        <v>-28272</v>
      </c>
      <c r="F13" s="3" t="s">
        <v>52</v>
      </c>
      <c r="G13" s="3" t="s">
        <v>31</v>
      </c>
      <c r="H13" s="2" t="s">
        <v>45</v>
      </c>
      <c r="I13" s="2" t="s">
        <v>53</v>
      </c>
      <c r="J13" s="3" t="str">
        <f>HYPERLINK("https://www.boe.es/gazeta/dias/1822/08/04/pdfs/GMD-1822-228.pdf#page=3","Abrir facsímil")</f>
        <v>Abrir facsímil</v>
      </c>
      <c r="K13" s="3" t="s">
        <v>47</v>
      </c>
    </row>
    <row r="14" spans="1:11" ht="42" customHeight="1">
      <c r="A14" s="2" t="s">
        <v>54</v>
      </c>
      <c r="B14" s="2" t="s">
        <v>55</v>
      </c>
      <c r="C14" s="2" t="s">
        <v>28</v>
      </c>
      <c r="D14" s="2" t="s">
        <v>29</v>
      </c>
      <c r="E14" s="5">
        <v>-28280</v>
      </c>
      <c r="F14" s="3" t="s">
        <v>56</v>
      </c>
      <c r="G14" s="3" t="s">
        <v>57</v>
      </c>
      <c r="H14" s="2" t="s">
        <v>45</v>
      </c>
      <c r="I14" s="2" t="s">
        <v>58</v>
      </c>
      <c r="J14" s="3" t="str">
        <f>HYPERLINK("https://www.boe.es/gazeta/dias/1822/07/27/pdfs/GMD-1822-220.pdf#page=4","Abrir facsímil")</f>
        <v>Abrir facsímil</v>
      </c>
      <c r="K14" s="3" t="s">
        <v>47</v>
      </c>
    </row>
    <row r="15" spans="1:11" ht="42" customHeight="1">
      <c r="A15" s="2" t="s">
        <v>59</v>
      </c>
      <c r="B15" s="2" t="s">
        <v>60</v>
      </c>
      <c r="C15" s="2" t="s">
        <v>61</v>
      </c>
      <c r="D15" s="2" t="s">
        <v>17</v>
      </c>
      <c r="E15" s="5">
        <v>-28150</v>
      </c>
      <c r="F15" s="3" t="s">
        <v>62</v>
      </c>
      <c r="G15" s="3" t="s">
        <v>63</v>
      </c>
      <c r="H15" s="2" t="s">
        <v>45</v>
      </c>
      <c r="I15" s="2" t="s">
        <v>64</v>
      </c>
      <c r="J15" s="3" t="str">
        <f>HYPERLINK("https://www.boe.es/gazeta/dias/1822/12/04/pdfs/GMD-1822-354.pdf#page=6","Abrir facsímil")</f>
        <v>Abrir facsímil</v>
      </c>
      <c r="K15" s="3" t="s">
        <v>47</v>
      </c>
    </row>
    <row r="16" spans="1:11" ht="42" customHeight="1">
      <c r="A16" s="2" t="s">
        <v>65</v>
      </c>
      <c r="B16" s="2" t="s">
        <v>66</v>
      </c>
      <c r="C16" s="2" t="s">
        <v>42</v>
      </c>
      <c r="D16" s="2" t="s">
        <v>17</v>
      </c>
      <c r="E16" s="5">
        <v>-28159</v>
      </c>
      <c r="F16" s="3" t="s">
        <v>67</v>
      </c>
      <c r="G16" s="3" t="s">
        <v>57</v>
      </c>
      <c r="H16" s="2" t="s">
        <v>45</v>
      </c>
      <c r="I16" s="2" t="s">
        <v>68</v>
      </c>
      <c r="J16" s="3" t="str">
        <f>HYPERLINK("https://www.boe.es/gazeta/dias/1822/11/25/pdfs/GMD-1822-345.pdf#page=4","Abrir facsímil")</f>
        <v>Abrir facsímil</v>
      </c>
      <c r="K16" s="3" t="s">
        <v>47</v>
      </c>
    </row>
    <row r="17" spans="1:11" ht="42" customHeight="1">
      <c r="A17" s="2" t="s">
        <v>69</v>
      </c>
      <c r="B17" s="2" t="s">
        <v>70</v>
      </c>
      <c r="C17" s="2" t="s">
        <v>71</v>
      </c>
      <c r="D17" s="2" t="s">
        <v>17</v>
      </c>
      <c r="E17" s="5">
        <v>-28363</v>
      </c>
      <c r="F17" s="3" t="s">
        <v>72</v>
      </c>
      <c r="G17" s="3" t="s">
        <v>31</v>
      </c>
      <c r="H17" s="2" t="s">
        <v>45</v>
      </c>
      <c r="I17" s="2" t="s">
        <v>73</v>
      </c>
      <c r="J17" s="3" t="str">
        <f>HYPERLINK("https://www.boe.es/gazeta/dias/1822/05/05/pdfs/GMD-1822-127.pdf#page=3","Abrir facsímil")</f>
        <v>Abrir facsímil</v>
      </c>
      <c r="K17" s="3" t="s">
        <v>47</v>
      </c>
    </row>
    <row r="18" spans="1:11" ht="42" customHeight="1">
      <c r="A18" s="2" t="s">
        <v>69</v>
      </c>
      <c r="B18" s="2" t="s">
        <v>70</v>
      </c>
      <c r="C18" s="2" t="s">
        <v>28</v>
      </c>
      <c r="D18" s="2" t="s">
        <v>29</v>
      </c>
      <c r="E18" s="5">
        <v>-28272</v>
      </c>
      <c r="F18" s="3" t="s">
        <v>52</v>
      </c>
      <c r="G18" s="3" t="s">
        <v>35</v>
      </c>
      <c r="H18" s="2" t="s">
        <v>45</v>
      </c>
      <c r="I18" s="2" t="s">
        <v>74</v>
      </c>
      <c r="J18" s="3" t="str">
        <f>HYPERLINK("https://www.boe.es/gazeta/dias/1822/08/04/pdfs/GMD-1822-228.pdf#page=2","Abrir facsímil")</f>
        <v>Abrir facsímil</v>
      </c>
      <c r="K18" s="3" t="s">
        <v>47</v>
      </c>
    </row>
    <row r="19" spans="1:11" ht="42" customHeight="1">
      <c r="A19" s="2" t="s">
        <v>75</v>
      </c>
      <c r="B19" s="2" t="s">
        <v>76</v>
      </c>
      <c r="C19" s="2" t="s">
        <v>50</v>
      </c>
      <c r="D19" s="2" t="s">
        <v>51</v>
      </c>
      <c r="E19" s="5">
        <v>-28415</v>
      </c>
      <c r="F19" s="3" t="s">
        <v>77</v>
      </c>
      <c r="G19" s="3" t="s">
        <v>19</v>
      </c>
      <c r="H19" s="2" t="s">
        <v>45</v>
      </c>
      <c r="I19" s="2" t="s">
        <v>78</v>
      </c>
      <c r="J19" s="3" t="str">
        <f>HYPERLINK("https://www.boe.es/gazeta/dias/1822/03/14/pdfs/GMD-1822-75.pdf#page=5","Abrir facsímil")</f>
        <v>Abrir facsímil</v>
      </c>
      <c r="K19" s="3" t="s">
        <v>47</v>
      </c>
    </row>
    <row r="20" spans="1:11" ht="42" customHeight="1">
      <c r="A20" s="2" t="s">
        <v>79</v>
      </c>
      <c r="B20" s="2" t="s">
        <v>80</v>
      </c>
      <c r="C20" s="2" t="s">
        <v>42</v>
      </c>
      <c r="D20" s="2" t="s">
        <v>17</v>
      </c>
      <c r="E20" s="5">
        <v>-28295</v>
      </c>
      <c r="F20" s="3" t="s">
        <v>81</v>
      </c>
      <c r="G20" s="3" t="s">
        <v>82</v>
      </c>
      <c r="H20" s="2" t="s">
        <v>45</v>
      </c>
      <c r="I20" s="2" t="s">
        <v>83</v>
      </c>
      <c r="J20" s="3" t="str">
        <f>HYPERLINK("https://www.boe.es/gazeta/dias/1822/07/12/pdfs/GMD-1822-202.pdf#page=3","Abrir facsímil")</f>
        <v>Abrir facsímil</v>
      </c>
      <c r="K20" s="3" t="s">
        <v>47</v>
      </c>
    </row>
    <row r="21" spans="1:11" ht="42" customHeight="1">
      <c r="A21" s="2" t="s">
        <v>79</v>
      </c>
      <c r="B21" s="2" t="s">
        <v>80</v>
      </c>
      <c r="C21" s="2" t="s">
        <v>50</v>
      </c>
      <c r="D21" s="2" t="s">
        <v>51</v>
      </c>
      <c r="E21" s="5">
        <v>-28140</v>
      </c>
      <c r="F21" s="3" t="s">
        <v>84</v>
      </c>
      <c r="G21" s="3" t="s">
        <v>57</v>
      </c>
      <c r="H21" s="2" t="s">
        <v>45</v>
      </c>
      <c r="I21" s="2" t="s">
        <v>85</v>
      </c>
      <c r="J21" s="3" t="str">
        <f>HYPERLINK("https://www.boe.es/gazeta/dias/1822/12/14/pdfs/GMD-1822-364.pdf#page=4","Abrir facsímil")</f>
        <v>Abrir facsímil</v>
      </c>
      <c r="K21" s="3" t="s">
        <v>47</v>
      </c>
    </row>
    <row r="22" spans="1:11" ht="42" customHeight="1">
      <c r="A22" s="2" t="s">
        <v>86</v>
      </c>
      <c r="B22" s="2" t="s">
        <v>87</v>
      </c>
      <c r="C22" s="2" t="s">
        <v>42</v>
      </c>
      <c r="D22" s="2" t="s">
        <v>17</v>
      </c>
      <c r="E22" s="5">
        <v>-28258</v>
      </c>
      <c r="F22" s="3" t="s">
        <v>88</v>
      </c>
      <c r="G22" s="3" t="s">
        <v>31</v>
      </c>
      <c r="H22" s="2" t="s">
        <v>45</v>
      </c>
      <c r="I22" s="2" t="s">
        <v>89</v>
      </c>
      <c r="J22" s="3" t="str">
        <f>HYPERLINK("https://www.boe.es/gazeta/dias/1822/08/18/pdfs/GMD-1822-242.pdf#page=3","Abrir facsímil")</f>
        <v>Abrir facsímil</v>
      </c>
      <c r="K22" s="3" t="s">
        <v>47</v>
      </c>
    </row>
    <row r="23" spans="1:11" ht="42" customHeight="1">
      <c r="A23" s="2" t="s">
        <v>90</v>
      </c>
      <c r="B23" s="2" t="s">
        <v>91</v>
      </c>
      <c r="C23" s="2" t="s">
        <v>28</v>
      </c>
      <c r="D23" s="2" t="s">
        <v>29</v>
      </c>
      <c r="E23" s="5">
        <v>-28312</v>
      </c>
      <c r="F23" s="3" t="s">
        <v>92</v>
      </c>
      <c r="G23" s="3" t="s">
        <v>93</v>
      </c>
      <c r="H23" s="2" t="s">
        <v>45</v>
      </c>
      <c r="I23" s="2" t="s">
        <v>94</v>
      </c>
      <c r="J23" s="3" t="str">
        <f>HYPERLINK("https://www.boe.es/gazeta/dias/1822/06/25/pdfs/GMD-1822-183.pdf#page=4","Abrir facsímil")</f>
        <v>Abrir facsímil</v>
      </c>
      <c r="K23" s="3" t="s">
        <v>47</v>
      </c>
    </row>
    <row r="24" spans="1:11" ht="42" customHeight="1">
      <c r="A24" s="2" t="s">
        <v>95</v>
      </c>
      <c r="B24" s="2" t="s">
        <v>96</v>
      </c>
      <c r="C24" s="2" t="s">
        <v>28</v>
      </c>
      <c r="D24" s="2" t="s">
        <v>29</v>
      </c>
      <c r="E24" s="5">
        <v>-28416</v>
      </c>
      <c r="F24" s="3" t="s">
        <v>97</v>
      </c>
      <c r="G24" s="3" t="s">
        <v>63</v>
      </c>
      <c r="H24" s="2" t="s">
        <v>45</v>
      </c>
      <c r="I24" s="2" t="s">
        <v>98</v>
      </c>
      <c r="J24" s="3" t="str">
        <f>HYPERLINK("https://www.boe.es/gazeta/dias/1822/03/13/pdfs/GMD-1822-74.pdf#page=6","Abrir facsímil")</f>
        <v>Abrir facsímil</v>
      </c>
      <c r="K24" s="3" t="s">
        <v>47</v>
      </c>
    </row>
    <row r="25" spans="1:11" ht="42" customHeight="1">
      <c r="A25" s="2" t="s">
        <v>99</v>
      </c>
      <c r="B25" s="2" t="s">
        <v>100</v>
      </c>
      <c r="C25" s="2" t="s">
        <v>42</v>
      </c>
      <c r="D25" s="2" t="s">
        <v>17</v>
      </c>
      <c r="E25" s="5">
        <v>-28159</v>
      </c>
      <c r="F25" s="3" t="s">
        <v>67</v>
      </c>
      <c r="G25" s="3" t="s">
        <v>57</v>
      </c>
      <c r="H25" s="2" t="s">
        <v>45</v>
      </c>
      <c r="I25" s="2" t="s">
        <v>101</v>
      </c>
      <c r="J25" s="3" t="str">
        <f>HYPERLINK("https://www.boe.es/gazeta/dias/1822/11/25/pdfs/GMD-1822-345.pdf#page=4","Abrir facsímil")</f>
        <v>Abrir facsímil</v>
      </c>
      <c r="K25" s="3" t="s">
        <v>47</v>
      </c>
    </row>
    <row r="26" spans="1:11" ht="42" customHeight="1">
      <c r="A26" s="2" t="s">
        <v>102</v>
      </c>
      <c r="B26" s="2" t="s">
        <v>103</v>
      </c>
      <c r="C26" s="2" t="s">
        <v>71</v>
      </c>
      <c r="D26" s="2" t="s">
        <v>17</v>
      </c>
      <c r="E26" s="5">
        <v>-28325</v>
      </c>
      <c r="F26" s="3" t="s">
        <v>104</v>
      </c>
      <c r="G26" s="3" t="s">
        <v>31</v>
      </c>
      <c r="H26" s="2" t="s">
        <v>45</v>
      </c>
      <c r="I26" s="2" t="s">
        <v>105</v>
      </c>
      <c r="J26" s="3" t="str">
        <f>HYPERLINK("https://www.boe.es/gazeta/dias/1822/06/12/pdfs/GMD-1822-169.pdf#page=3","Abrir facsímil")</f>
        <v>Abrir facsímil</v>
      </c>
      <c r="K26" s="3" t="s">
        <v>47</v>
      </c>
    </row>
    <row r="27" spans="1:11" ht="42" customHeight="1">
      <c r="A27" s="2" t="s">
        <v>106</v>
      </c>
      <c r="B27" s="2" t="s">
        <v>107</v>
      </c>
      <c r="C27" s="2" t="s">
        <v>28</v>
      </c>
      <c r="D27" s="2" t="s">
        <v>29</v>
      </c>
      <c r="E27" s="5">
        <v>-28401</v>
      </c>
      <c r="F27" s="3" t="s">
        <v>108</v>
      </c>
      <c r="G27" s="3" t="s">
        <v>31</v>
      </c>
      <c r="H27" s="2" t="s">
        <v>45</v>
      </c>
      <c r="I27" s="2" t="s">
        <v>109</v>
      </c>
      <c r="J27" s="3" t="str">
        <f>HYPERLINK("https://www.boe.es/gazeta/dias/1822/03/28/pdfs/GMD-1822-89.pdf#page=3","Abrir facsímil")</f>
        <v>Abrir facsímil</v>
      </c>
      <c r="K27" s="3" t="s">
        <v>47</v>
      </c>
    </row>
    <row r="28" spans="1:11" ht="42" customHeight="1">
      <c r="A28" s="2" t="s">
        <v>110</v>
      </c>
      <c r="B28" s="2" t="s">
        <v>111</v>
      </c>
      <c r="C28" s="2" t="s">
        <v>50</v>
      </c>
      <c r="D28" s="2" t="s">
        <v>51</v>
      </c>
      <c r="E28" s="5">
        <v>-28460</v>
      </c>
      <c r="F28" s="3" t="s">
        <v>112</v>
      </c>
      <c r="G28" s="3" t="s">
        <v>57</v>
      </c>
      <c r="H28" s="2" t="s">
        <v>45</v>
      </c>
      <c r="I28" s="2" t="s">
        <v>113</v>
      </c>
      <c r="J28" s="3" t="str">
        <f>HYPERLINK("https://www.boe.es/gazeta/dias/1822/01/28/pdfs/GMD-1822-28.pdf#page=4","Abrir facsímil")</f>
        <v>Abrir facsímil</v>
      </c>
      <c r="K28" s="3" t="s">
        <v>47</v>
      </c>
    </row>
    <row r="29" spans="1:11" ht="42" customHeight="1">
      <c r="A29" s="2" t="s">
        <v>114</v>
      </c>
      <c r="B29" s="2" t="s">
        <v>115</v>
      </c>
      <c r="C29" s="2" t="s">
        <v>50</v>
      </c>
      <c r="D29" s="2" t="s">
        <v>51</v>
      </c>
      <c r="E29" s="5">
        <v>-28323</v>
      </c>
      <c r="F29" s="3" t="s">
        <v>116</v>
      </c>
      <c r="G29" s="3" t="s">
        <v>31</v>
      </c>
      <c r="H29" s="2" t="s">
        <v>45</v>
      </c>
      <c r="I29" s="2" t="s">
        <v>117</v>
      </c>
      <c r="J29" s="3" t="str">
        <f>HYPERLINK("https://www.boe.es/gazeta/dias/1822/06/14/pdfs/GMD-1822-171.pdf#page=3","Abrir facsímil")</f>
        <v>Abrir facsímil</v>
      </c>
      <c r="K29" s="3" t="s">
        <v>47</v>
      </c>
    </row>
    <row r="30" spans="1:11" ht="42" customHeight="1">
      <c r="A30" s="2" t="s">
        <v>118</v>
      </c>
      <c r="B30" s="2" t="s">
        <v>119</v>
      </c>
      <c r="C30" s="2" t="s">
        <v>28</v>
      </c>
      <c r="D30" s="2" t="s">
        <v>29</v>
      </c>
      <c r="E30" s="5">
        <v>-28366</v>
      </c>
      <c r="F30" s="3" t="s">
        <v>120</v>
      </c>
      <c r="G30" s="3" t="s">
        <v>63</v>
      </c>
      <c r="H30" s="2" t="s">
        <v>45</v>
      </c>
      <c r="I30" s="2" t="s">
        <v>121</v>
      </c>
      <c r="J30" s="3" t="str">
        <f>HYPERLINK("https://www.boe.es/gazeta/dias/1822/05/02/pdfs/GMD-1822-124.pdf#page=6","Abrir facsímil")</f>
        <v>Abrir facsímil</v>
      </c>
      <c r="K30" s="3" t="s">
        <v>47</v>
      </c>
    </row>
    <row r="31" spans="1:11" ht="42" customHeight="1">
      <c r="A31" s="2" t="s">
        <v>118</v>
      </c>
      <c r="B31" s="2" t="s">
        <v>119</v>
      </c>
      <c r="C31" s="2" t="s">
        <v>28</v>
      </c>
      <c r="D31" s="2" t="s">
        <v>29</v>
      </c>
      <c r="E31" s="5">
        <v>-28152</v>
      </c>
      <c r="F31" s="3" t="s">
        <v>122</v>
      </c>
      <c r="G31" s="3" t="s">
        <v>19</v>
      </c>
      <c r="H31" s="2" t="s">
        <v>45</v>
      </c>
      <c r="I31" s="2" t="s">
        <v>123</v>
      </c>
      <c r="J31" s="3" t="str">
        <f>HYPERLINK("https://www.boe.es/gazeta/dias/1822/12/02/pdfs/GMD-1822-352.pdf#page=5","Abrir facsímil")</f>
        <v>Abrir facsímil</v>
      </c>
      <c r="K31" s="3" t="s">
        <v>47</v>
      </c>
    </row>
    <row r="32" spans="1:11" ht="42" customHeight="1">
      <c r="A32" s="2" t="s">
        <v>124</v>
      </c>
      <c r="B32" s="2" t="s">
        <v>125</v>
      </c>
      <c r="C32" s="2" t="s">
        <v>50</v>
      </c>
      <c r="D32" s="2" t="s">
        <v>51</v>
      </c>
      <c r="E32" s="5">
        <v>-28368</v>
      </c>
      <c r="F32" s="3" t="s">
        <v>126</v>
      </c>
      <c r="G32" s="3" t="s">
        <v>44</v>
      </c>
      <c r="H32" s="2" t="s">
        <v>45</v>
      </c>
      <c r="I32" s="2" t="s">
        <v>127</v>
      </c>
      <c r="J32" s="3" t="str">
        <f>HYPERLINK("https://www.boe.es/gazeta/dias/1822/04/30/pdfs/GMD-1822-122.pdf#page=1","Abrir facsímil")</f>
        <v>Abrir facsímil</v>
      </c>
      <c r="K32" s="3" t="s">
        <v>47</v>
      </c>
    </row>
    <row r="33" spans="1:11" ht="42" customHeight="1">
      <c r="A33" s="2" t="s">
        <v>128</v>
      </c>
      <c r="B33" s="2" t="s">
        <v>129</v>
      </c>
      <c r="C33" s="2" t="s">
        <v>50</v>
      </c>
      <c r="D33" s="2" t="s">
        <v>51</v>
      </c>
      <c r="E33" s="5">
        <v>-28270</v>
      </c>
      <c r="F33" s="3" t="s">
        <v>130</v>
      </c>
      <c r="G33" s="3" t="s">
        <v>131</v>
      </c>
      <c r="H33" s="2" t="s">
        <v>45</v>
      </c>
      <c r="I33" s="2" t="s">
        <v>132</v>
      </c>
      <c r="J33" s="3" t="str">
        <f>HYPERLINK("https://www.boe.es/gazeta/dias/1822/08/06/pdfs/GMD-1822-230.pdf#page=6","Abrir facsímil")</f>
        <v>Abrir facsímil</v>
      </c>
      <c r="K33" s="3" t="s">
        <v>47</v>
      </c>
    </row>
    <row r="34" spans="1:11" ht="42" customHeight="1">
      <c r="A34" s="2" t="s">
        <v>133</v>
      </c>
      <c r="B34" s="2" t="s">
        <v>134</v>
      </c>
      <c r="C34" s="2" t="s">
        <v>50</v>
      </c>
      <c r="D34" s="2" t="s">
        <v>51</v>
      </c>
      <c r="E34" s="5">
        <v>-28260</v>
      </c>
      <c r="F34" s="3" t="s">
        <v>135</v>
      </c>
      <c r="G34" s="3" t="s">
        <v>57</v>
      </c>
      <c r="H34" s="2" t="s">
        <v>45</v>
      </c>
      <c r="I34" s="2" t="s">
        <v>136</v>
      </c>
      <c r="J34" s="3" t="str">
        <f>HYPERLINK("https://www.boe.es/gazeta/dias/1822/08/16/pdfs/GMD-1822-240.pdf#page=4","Abrir facsímil")</f>
        <v>Abrir facsímil</v>
      </c>
      <c r="K34" s="3" t="s">
        <v>47</v>
      </c>
    </row>
    <row r="35" spans="1:11" ht="42" customHeight="1">
      <c r="A35" s="2" t="s">
        <v>137</v>
      </c>
      <c r="B35" s="2" t="s">
        <v>138</v>
      </c>
      <c r="C35" s="2" t="s">
        <v>50</v>
      </c>
      <c r="D35" s="2" t="s">
        <v>51</v>
      </c>
      <c r="E35" s="5">
        <v>-28340</v>
      </c>
      <c r="F35" s="3" t="s">
        <v>139</v>
      </c>
      <c r="G35" s="3" t="s">
        <v>44</v>
      </c>
      <c r="H35" s="2" t="s">
        <v>45</v>
      </c>
      <c r="I35" s="2" t="s">
        <v>140</v>
      </c>
      <c r="J35" s="3" t="str">
        <f>HYPERLINK("https://www.boe.es/gazeta/dias/1822/05/28/pdfs/GMD-1822-153.pdf#page=1","Abrir facsímil")</f>
        <v>Abrir facsímil</v>
      </c>
      <c r="K35" s="3" t="s">
        <v>47</v>
      </c>
    </row>
    <row r="36" spans="1:11" ht="42" customHeight="1">
      <c r="A36" s="2" t="s">
        <v>141</v>
      </c>
      <c r="B36" s="2" t="s">
        <v>142</v>
      </c>
      <c r="C36" s="2" t="s">
        <v>24</v>
      </c>
      <c r="D36" s="2" t="s">
        <v>17</v>
      </c>
      <c r="E36" s="5">
        <v>-28139</v>
      </c>
      <c r="F36" s="3" t="s">
        <v>143</v>
      </c>
      <c r="G36" s="3" t="s">
        <v>144</v>
      </c>
      <c r="H36" s="2" t="s">
        <v>45</v>
      </c>
      <c r="I36" s="2" t="s">
        <v>145</v>
      </c>
      <c r="J36" s="3" t="str">
        <f>HYPERLINK("https://www.boe.es/gazeta/dias/1822/12/15/pdfs/GMD-1822-365.pdf#page=4","Abrir facsímil")</f>
        <v>Abrir facsímil</v>
      </c>
      <c r="K36" s="3" t="s">
        <v>47</v>
      </c>
    </row>
    <row r="37" spans="1:11" ht="42" customHeight="1">
      <c r="A37" s="2" t="s">
        <v>146</v>
      </c>
      <c r="B37" s="2" t="s">
        <v>147</v>
      </c>
      <c r="C37" s="2" t="s">
        <v>42</v>
      </c>
      <c r="D37" s="2" t="s">
        <v>17</v>
      </c>
      <c r="E37" s="5">
        <v>-28160</v>
      </c>
      <c r="F37" s="3" t="s">
        <v>148</v>
      </c>
      <c r="G37" s="3" t="s">
        <v>19</v>
      </c>
      <c r="H37" s="2" t="s">
        <v>45</v>
      </c>
      <c r="I37" s="2" t="s">
        <v>149</v>
      </c>
      <c r="J37" s="3" t="str">
        <f>HYPERLINK("https://www.boe.es/gazeta/dias/1822/11/24/pdfs/GMD-1822-344.pdf#page=5","Abrir facsímil")</f>
        <v>Abrir facsímil</v>
      </c>
      <c r="K37" s="3" t="s">
        <v>47</v>
      </c>
    </row>
    <row r="38" spans="1:11" ht="42" customHeight="1">
      <c r="A38" s="2" t="s">
        <v>150</v>
      </c>
      <c r="B38" s="2" t="s">
        <v>151</v>
      </c>
      <c r="C38" s="2" t="s">
        <v>28</v>
      </c>
      <c r="D38" s="2" t="s">
        <v>29</v>
      </c>
      <c r="E38" s="5">
        <v>-28293</v>
      </c>
      <c r="F38" s="3" t="s">
        <v>152</v>
      </c>
      <c r="G38" s="3" t="s">
        <v>57</v>
      </c>
      <c r="H38" s="2" t="s">
        <v>20</v>
      </c>
      <c r="I38" s="2" t="s">
        <v>153</v>
      </c>
      <c r="J38" s="3" t="str">
        <f>HYPERLINK("https://www.boe.es/gazeta/dias/1822/07/14/pdfs/GMD-1822-204.pdf#page=4","Abrir facsímil")</f>
        <v>Abrir facsímil</v>
      </c>
      <c r="K38" s="3" t="s">
        <v>22</v>
      </c>
    </row>
    <row r="39" spans="1:11" ht="42" customHeight="1">
      <c r="A39" s="2" t="s">
        <v>154</v>
      </c>
      <c r="B39" s="2" t="s">
        <v>155</v>
      </c>
      <c r="C39" s="2" t="s">
        <v>16</v>
      </c>
      <c r="D39" s="2" t="s">
        <v>17</v>
      </c>
      <c r="E39" s="5">
        <v>-28336</v>
      </c>
      <c r="F39" s="3" t="s">
        <v>156</v>
      </c>
      <c r="G39" s="3" t="s">
        <v>157</v>
      </c>
      <c r="H39" s="2" t="s">
        <v>20</v>
      </c>
      <c r="I39" s="2" t="s">
        <v>158</v>
      </c>
      <c r="J39" s="3" t="str">
        <f>HYPERLINK("https://www.boe.es/gazeta/dias/1822/06/01/pdfs/GMD-1822-157.pdf#page=8","Abrir facsímil")</f>
        <v>Abrir facsímil</v>
      </c>
      <c r="K39" s="3" t="s">
        <v>22</v>
      </c>
    </row>
    <row r="40" spans="1:11" ht="42" customHeight="1">
      <c r="A40" s="2" t="s">
        <v>159</v>
      </c>
      <c r="B40" s="2" t="s">
        <v>159</v>
      </c>
      <c r="C40" s="2" t="s">
        <v>50</v>
      </c>
      <c r="D40" s="2" t="s">
        <v>51</v>
      </c>
      <c r="E40" s="5">
        <v>-28476</v>
      </c>
      <c r="F40" s="3" t="s">
        <v>160</v>
      </c>
      <c r="G40" s="3" t="s">
        <v>57</v>
      </c>
      <c r="H40" s="2" t="s">
        <v>20</v>
      </c>
      <c r="I40" s="2" t="s">
        <v>161</v>
      </c>
      <c r="J40" s="3" t="str">
        <f>HYPERLINK("https://www.boe.es/gazeta/dias/1822/01/12/pdfs/GMD-1822-12.pdf#page=4","Abrir facsímil")</f>
        <v>Abrir facsímil</v>
      </c>
      <c r="K40" s="3" t="s">
        <v>22</v>
      </c>
    </row>
    <row r="41" spans="1:11" ht="42" customHeight="1">
      <c r="A41" s="2" t="s">
        <v>162</v>
      </c>
      <c r="B41" s="2" t="s">
        <v>162</v>
      </c>
      <c r="C41" s="2" t="s">
        <v>28</v>
      </c>
      <c r="D41" s="2" t="s">
        <v>29</v>
      </c>
      <c r="E41" s="5">
        <v>-28201</v>
      </c>
      <c r="F41" s="3" t="s">
        <v>163</v>
      </c>
      <c r="G41" s="3" t="s">
        <v>35</v>
      </c>
      <c r="H41" s="2" t="s">
        <v>20</v>
      </c>
      <c r="I41" s="2" t="s">
        <v>164</v>
      </c>
      <c r="J41" s="3" t="str">
        <f>HYPERLINK("https://www.boe.es/gazeta/dias/1822/10/14/pdfs/GMD-1822-301.pdf#page=2","Abrir facsímil")</f>
        <v>Abrir facsímil</v>
      </c>
      <c r="K41" s="3" t="s">
        <v>22</v>
      </c>
    </row>
    <row r="42" spans="1:11" ht="42" customHeight="1">
      <c r="A42" s="2" t="s">
        <v>165</v>
      </c>
      <c r="B42" s="2" t="s">
        <v>165</v>
      </c>
      <c r="C42" s="2" t="s">
        <v>50</v>
      </c>
      <c r="D42" s="2" t="s">
        <v>51</v>
      </c>
      <c r="E42" s="5">
        <v>-28161</v>
      </c>
      <c r="F42" s="3" t="s">
        <v>166</v>
      </c>
      <c r="G42" s="3" t="s">
        <v>167</v>
      </c>
      <c r="H42" s="2" t="s">
        <v>20</v>
      </c>
      <c r="I42" s="2" t="s">
        <v>168</v>
      </c>
      <c r="J42" s="3" t="str">
        <f>HYPERLINK("https://www.boe.es/gazeta/dias/1822/11/23/pdfs/GMD-1822-343.pdf#page=7","Abrir facsímil")</f>
        <v>Abrir facsímil</v>
      </c>
      <c r="K42" s="3" t="s">
        <v>22</v>
      </c>
    </row>
    <row r="43" spans="1:11" ht="42" customHeight="1">
      <c r="A43" s="2" t="s">
        <v>169</v>
      </c>
      <c r="B43" s="2" t="s">
        <v>170</v>
      </c>
      <c r="C43" s="2" t="s">
        <v>28</v>
      </c>
      <c r="D43" s="2" t="s">
        <v>29</v>
      </c>
      <c r="E43" s="5">
        <v>-28374</v>
      </c>
      <c r="F43" s="3" t="s">
        <v>171</v>
      </c>
      <c r="G43" s="3" t="s">
        <v>44</v>
      </c>
      <c r="H43" s="2" t="s">
        <v>20</v>
      </c>
      <c r="I43" s="2" t="s">
        <v>172</v>
      </c>
      <c r="J43" s="3" t="str">
        <f>HYPERLINK("https://www.boe.es/gazeta/dias/1822/04/24/pdfs/GMD-1822-116.pdf#page=1","Abrir facsímil")</f>
        <v>Abrir facsímil</v>
      </c>
      <c r="K43" s="3" t="s">
        <v>22</v>
      </c>
    </row>
    <row r="44" spans="1:11" ht="42" customHeight="1">
      <c r="A44" s="2" t="s">
        <v>173</v>
      </c>
      <c r="B44" s="2" t="s">
        <v>174</v>
      </c>
      <c r="C44" s="2" t="s">
        <v>71</v>
      </c>
      <c r="D44" s="2" t="s">
        <v>17</v>
      </c>
      <c r="E44" s="5">
        <v>-28152</v>
      </c>
      <c r="F44" s="3" t="s">
        <v>122</v>
      </c>
      <c r="G44" s="3" t="s">
        <v>19</v>
      </c>
      <c r="H44" s="2" t="s">
        <v>20</v>
      </c>
      <c r="I44" s="2" t="s">
        <v>175</v>
      </c>
      <c r="J44" s="3" t="str">
        <f>HYPERLINK("https://www.boe.es/gazeta/dias/1822/12/02/pdfs/GMD-1822-352.pdf#page=5","Abrir facsímil")</f>
        <v>Abrir facsímil</v>
      </c>
      <c r="K44" s="3" t="s">
        <v>22</v>
      </c>
    </row>
    <row r="45" spans="1:11" ht="42" customHeight="1">
      <c r="A45" s="2" t="s">
        <v>176</v>
      </c>
      <c r="B45" s="2" t="s">
        <v>176</v>
      </c>
      <c r="C45" s="2" t="s">
        <v>50</v>
      </c>
      <c r="D45" s="2" t="s">
        <v>51</v>
      </c>
      <c r="E45" s="5">
        <v>-28225</v>
      </c>
      <c r="F45" s="3" t="s">
        <v>177</v>
      </c>
      <c r="G45" s="3" t="s">
        <v>178</v>
      </c>
      <c r="H45" s="2" t="s">
        <v>20</v>
      </c>
      <c r="I45" s="2" t="s">
        <v>179</v>
      </c>
      <c r="J45" s="3" t="str">
        <f>HYPERLINK("https://www.boe.es/gazeta/dias/1822/09/20/pdfs/GMD-1822-276.pdf#page=3","Abrir facsímil")</f>
        <v>Abrir facsímil</v>
      </c>
      <c r="K45" s="3" t="s">
        <v>22</v>
      </c>
    </row>
    <row r="46" spans="1:11" ht="42" customHeight="1">
      <c r="A46" s="2" t="s">
        <v>176</v>
      </c>
      <c r="B46" s="2" t="s">
        <v>176</v>
      </c>
      <c r="C46" s="2" t="s">
        <v>50</v>
      </c>
      <c r="D46" s="2" t="s">
        <v>51</v>
      </c>
      <c r="E46" s="5">
        <v>-28146</v>
      </c>
      <c r="F46" s="3" t="s">
        <v>180</v>
      </c>
      <c r="G46" s="3" t="s">
        <v>57</v>
      </c>
      <c r="H46" s="2" t="s">
        <v>20</v>
      </c>
      <c r="I46" s="2" t="s">
        <v>181</v>
      </c>
      <c r="J46" s="3" t="str">
        <f>HYPERLINK("https://www.boe.es/gazeta/dias/1822/12/08/pdfs/GMD-1822-358.pdf#page=4","Abrir facsímil")</f>
        <v>Abrir facsímil</v>
      </c>
      <c r="K46" s="3" t="s">
        <v>22</v>
      </c>
    </row>
    <row r="47" spans="1:11" ht="42" customHeight="1">
      <c r="A47" s="2" t="s">
        <v>182</v>
      </c>
      <c r="B47" s="2" t="s">
        <v>183</v>
      </c>
      <c r="C47" s="2" t="s">
        <v>50</v>
      </c>
      <c r="D47" s="2" t="s">
        <v>51</v>
      </c>
      <c r="E47" s="5">
        <v>-28146</v>
      </c>
      <c r="F47" s="3" t="s">
        <v>180</v>
      </c>
      <c r="G47" s="3" t="s">
        <v>57</v>
      </c>
      <c r="H47" s="2" t="s">
        <v>45</v>
      </c>
      <c r="I47" s="2" t="s">
        <v>184</v>
      </c>
      <c r="J47" s="3" t="str">
        <f>HYPERLINK("https://www.boe.es/gazeta/dias/1822/12/08/pdfs/GMD-1822-358.pdf#page=4","Abrir facsímil")</f>
        <v>Abrir facsímil</v>
      </c>
      <c r="K47" s="3" t="s">
        <v>47</v>
      </c>
    </row>
    <row r="48" spans="1:11" ht="42" customHeight="1">
      <c r="A48" s="2" t="s">
        <v>185</v>
      </c>
      <c r="B48" s="2" t="s">
        <v>186</v>
      </c>
      <c r="C48" s="2" t="s">
        <v>71</v>
      </c>
      <c r="D48" s="2" t="s">
        <v>17</v>
      </c>
      <c r="E48" s="5">
        <v>-28414</v>
      </c>
      <c r="F48" s="3" t="s">
        <v>187</v>
      </c>
      <c r="G48" s="3" t="s">
        <v>19</v>
      </c>
      <c r="H48" s="2" t="s">
        <v>20</v>
      </c>
      <c r="I48" s="2" t="s">
        <v>188</v>
      </c>
      <c r="J48" s="3" t="str">
        <f>HYPERLINK("https://www.boe.es/gazeta/dias/1822/03/15/pdfs/GMD-1822-76.pdf#page=5","Abrir facsímil")</f>
        <v>Abrir facsímil</v>
      </c>
      <c r="K48" s="3" t="s">
        <v>22</v>
      </c>
    </row>
    <row r="49" spans="1:11" ht="42" customHeight="1">
      <c r="A49" s="2" t="s">
        <v>189</v>
      </c>
      <c r="B49" s="2" t="s">
        <v>190</v>
      </c>
      <c r="C49" s="2" t="s">
        <v>71</v>
      </c>
      <c r="D49" s="2" t="s">
        <v>17</v>
      </c>
      <c r="E49" s="5">
        <v>-28346</v>
      </c>
      <c r="F49" s="3" t="s">
        <v>191</v>
      </c>
      <c r="G49" s="3" t="s">
        <v>63</v>
      </c>
      <c r="H49" s="2" t="s">
        <v>20</v>
      </c>
      <c r="I49" s="2" t="s">
        <v>192</v>
      </c>
      <c r="J49" s="3" t="str">
        <f>HYPERLINK("https://www.boe.es/gazeta/dias/1822/05/22/pdfs/GMD-1822-145.pdf#page=6","Abrir facsímil")</f>
        <v>Abrir facsímil</v>
      </c>
      <c r="K49" s="3" t="s">
        <v>22</v>
      </c>
    </row>
    <row r="50" spans="1:11" ht="42" customHeight="1">
      <c r="A50" s="2" t="s">
        <v>193</v>
      </c>
      <c r="B50" s="2" t="s">
        <v>194</v>
      </c>
      <c r="C50" s="2" t="s">
        <v>28</v>
      </c>
      <c r="D50" s="2" t="s">
        <v>29</v>
      </c>
      <c r="E50" s="5">
        <v>-28432</v>
      </c>
      <c r="F50" s="3" t="s">
        <v>195</v>
      </c>
      <c r="G50" s="3" t="s">
        <v>57</v>
      </c>
      <c r="H50" s="2" t="s">
        <v>20</v>
      </c>
      <c r="I50" s="2" t="s">
        <v>196</v>
      </c>
      <c r="J50" s="3" t="str">
        <f>HYPERLINK("https://www.boe.es/gazeta/dias/1822/02/25/pdfs/GMD-1822-57.pdf#page=4","Abrir facsímil")</f>
        <v>Abrir facsímil</v>
      </c>
      <c r="K50" s="3" t="s">
        <v>22</v>
      </c>
    </row>
    <row r="51" spans="1:11" ht="42" customHeight="1">
      <c r="A51" s="2" t="s">
        <v>193</v>
      </c>
      <c r="B51" s="2" t="s">
        <v>194</v>
      </c>
      <c r="C51" s="2" t="s">
        <v>71</v>
      </c>
      <c r="D51" s="2" t="s">
        <v>17</v>
      </c>
      <c r="E51" s="5">
        <v>-28339</v>
      </c>
      <c r="F51" s="3" t="s">
        <v>197</v>
      </c>
      <c r="G51" s="3" t="s">
        <v>63</v>
      </c>
      <c r="H51" s="2" t="s">
        <v>20</v>
      </c>
      <c r="I51" s="2" t="s">
        <v>198</v>
      </c>
      <c r="J51" s="3" t="str">
        <f>HYPERLINK("https://www.boe.es/gazeta/dias/1822/05/29/pdfs/GMD-1822-154.pdf#page=6","Abrir facsímil")</f>
        <v>Abrir facsímil</v>
      </c>
      <c r="K51" s="3" t="s">
        <v>22</v>
      </c>
    </row>
    <row r="52" spans="1:11" ht="42" customHeight="1">
      <c r="A52" s="2" t="s">
        <v>199</v>
      </c>
      <c r="B52" s="2" t="s">
        <v>200</v>
      </c>
      <c r="C52" s="2" t="s">
        <v>50</v>
      </c>
      <c r="D52" s="2" t="s">
        <v>51</v>
      </c>
      <c r="E52" s="5">
        <v>-28303</v>
      </c>
      <c r="F52" s="3" t="s">
        <v>201</v>
      </c>
      <c r="G52" s="3" t="s">
        <v>31</v>
      </c>
      <c r="H52" s="2" t="s">
        <v>20</v>
      </c>
      <c r="I52" s="2" t="s">
        <v>202</v>
      </c>
      <c r="J52" s="3" t="str">
        <f>HYPERLINK("https://www.boe.es/gazeta/dias/1822/07/04/pdfs/GMD-1822-193.pdf#page=3","Abrir facsímil")</f>
        <v>Abrir facsímil</v>
      </c>
      <c r="K52" s="3" t="s">
        <v>22</v>
      </c>
    </row>
    <row r="53" spans="1:11" ht="42" customHeight="1">
      <c r="A53" s="2" t="s">
        <v>203</v>
      </c>
      <c r="B53" s="2" t="s">
        <v>204</v>
      </c>
      <c r="C53" s="2" t="s">
        <v>50</v>
      </c>
      <c r="D53" s="2" t="s">
        <v>51</v>
      </c>
      <c r="E53" s="5">
        <v>-28418</v>
      </c>
      <c r="F53" s="3" t="s">
        <v>205</v>
      </c>
      <c r="G53" s="3" t="s">
        <v>35</v>
      </c>
      <c r="H53" s="2" t="s">
        <v>20</v>
      </c>
      <c r="I53" s="2" t="s">
        <v>206</v>
      </c>
      <c r="J53" s="3" t="str">
        <f>HYPERLINK("https://www.boe.es/gazeta/dias/1822/03/11/pdfs/GMD-1822-72.pdf#page=2","Abrir facsímil")</f>
        <v>Abrir facsímil</v>
      </c>
      <c r="K53" s="3" t="s">
        <v>22</v>
      </c>
    </row>
    <row r="54" spans="1:11" ht="42" customHeight="1">
      <c r="A54" s="2" t="s">
        <v>203</v>
      </c>
      <c r="B54" s="2" t="s">
        <v>204</v>
      </c>
      <c r="C54" s="2" t="s">
        <v>42</v>
      </c>
      <c r="D54" s="2" t="s">
        <v>17</v>
      </c>
      <c r="E54" s="5">
        <v>-28370</v>
      </c>
      <c r="F54" s="3" t="s">
        <v>207</v>
      </c>
      <c r="G54" s="3" t="s">
        <v>35</v>
      </c>
      <c r="H54" s="2" t="s">
        <v>20</v>
      </c>
      <c r="I54" s="2" t="s">
        <v>208</v>
      </c>
      <c r="J54" s="3" t="str">
        <f>HYPERLINK("https://www.boe.es/gazeta/dias/1822/04/28/pdfs/GMD-1822-120.pdf#page=2","Abrir facsímil")</f>
        <v>Abrir facsímil</v>
      </c>
      <c r="K54" s="3" t="s">
        <v>22</v>
      </c>
    </row>
    <row r="55" spans="1:11" ht="42" customHeight="1">
      <c r="A55" s="2" t="s">
        <v>203</v>
      </c>
      <c r="B55" s="2" t="s">
        <v>204</v>
      </c>
      <c r="C55" s="2" t="s">
        <v>42</v>
      </c>
      <c r="D55" s="2" t="s">
        <v>17</v>
      </c>
      <c r="E55" s="5">
        <v>-28359</v>
      </c>
      <c r="F55" s="3" t="s">
        <v>209</v>
      </c>
      <c r="G55" s="3" t="s">
        <v>57</v>
      </c>
      <c r="H55" s="2" t="s">
        <v>20</v>
      </c>
      <c r="I55" s="2" t="s">
        <v>210</v>
      </c>
      <c r="J55" s="3" t="str">
        <f>HYPERLINK("https://www.boe.es/gazeta/dias/1822/05/09/pdfs/GMD-1822-131.pdf#page=4","Abrir facsímil")</f>
        <v>Abrir facsímil</v>
      </c>
      <c r="K55" s="3" t="s">
        <v>22</v>
      </c>
    </row>
    <row r="56" spans="1:11" ht="42" customHeight="1">
      <c r="A56" s="2" t="s">
        <v>203</v>
      </c>
      <c r="B56" s="2" t="s">
        <v>204</v>
      </c>
      <c r="C56" s="2" t="s">
        <v>50</v>
      </c>
      <c r="D56" s="2" t="s">
        <v>51</v>
      </c>
      <c r="E56" s="5">
        <v>-28358</v>
      </c>
      <c r="F56" s="3" t="s">
        <v>211</v>
      </c>
      <c r="G56" s="3" t="s">
        <v>57</v>
      </c>
      <c r="H56" s="2" t="s">
        <v>20</v>
      </c>
      <c r="I56" s="2" t="s">
        <v>212</v>
      </c>
      <c r="J56" s="3" t="str">
        <f>HYPERLINK("https://www.boe.es/gazeta/dias/1822/05/10/pdfs/GMD-1822-132.pdf#page=4","Abrir facsímil")</f>
        <v>Abrir facsímil</v>
      </c>
      <c r="K56" s="3" t="s">
        <v>22</v>
      </c>
    </row>
    <row r="57" spans="1:11" ht="42" customHeight="1">
      <c r="A57" s="2" t="s">
        <v>213</v>
      </c>
      <c r="B57" s="2" t="s">
        <v>214</v>
      </c>
      <c r="C57" s="2" t="s">
        <v>50</v>
      </c>
      <c r="D57" s="2" t="s">
        <v>51</v>
      </c>
      <c r="E57" s="5">
        <v>-28303</v>
      </c>
      <c r="F57" s="3" t="s">
        <v>201</v>
      </c>
      <c r="G57" s="3" t="s">
        <v>31</v>
      </c>
      <c r="H57" s="2" t="s">
        <v>20</v>
      </c>
      <c r="I57" s="2" t="s">
        <v>215</v>
      </c>
      <c r="J57" s="3" t="str">
        <f>HYPERLINK("https://www.boe.es/gazeta/dias/1822/07/04/pdfs/GMD-1822-193.pdf#page=3","Abrir facsímil")</f>
        <v>Abrir facsímil</v>
      </c>
      <c r="K57" s="3" t="s">
        <v>22</v>
      </c>
    </row>
    <row r="58" spans="1:11" ht="42" customHeight="1">
      <c r="A58" s="2" t="s">
        <v>216</v>
      </c>
      <c r="B58" s="2" t="s">
        <v>217</v>
      </c>
      <c r="C58" s="2" t="s">
        <v>50</v>
      </c>
      <c r="D58" s="2" t="s">
        <v>51</v>
      </c>
      <c r="E58" s="5">
        <v>-28210</v>
      </c>
      <c r="F58" s="3" t="s">
        <v>218</v>
      </c>
      <c r="G58" s="3" t="s">
        <v>19</v>
      </c>
      <c r="H58" s="2" t="s">
        <v>20</v>
      </c>
      <c r="I58" s="2" t="s">
        <v>219</v>
      </c>
      <c r="J58" s="3" t="str">
        <f>HYPERLINK("https://www.boe.es/gazeta/dias/1822/10/05/pdfs/GMD-1822-291.pdf#page=5","Abrir facsímil")</f>
        <v>Abrir facsímil</v>
      </c>
      <c r="K58" s="3" t="s">
        <v>22</v>
      </c>
    </row>
    <row r="59" spans="1:11" ht="42" customHeight="1">
      <c r="A59" s="2" t="s">
        <v>220</v>
      </c>
      <c r="B59" s="2" t="s">
        <v>221</v>
      </c>
      <c r="C59" s="2" t="s">
        <v>42</v>
      </c>
      <c r="D59" s="2" t="s">
        <v>17</v>
      </c>
      <c r="E59" s="5">
        <v>-28292</v>
      </c>
      <c r="F59" s="3" t="s">
        <v>222</v>
      </c>
      <c r="G59" s="3" t="s">
        <v>31</v>
      </c>
      <c r="H59" s="2" t="s">
        <v>20</v>
      </c>
      <c r="I59" s="2" t="s">
        <v>223</v>
      </c>
      <c r="J59" s="3" t="str">
        <f>HYPERLINK("https://www.boe.es/gazeta/dias/1822/07/15/pdfs/GMD-1822-205.pdf#page=3","Abrir facsímil")</f>
        <v>Abrir facsímil</v>
      </c>
      <c r="K59" s="3" t="s">
        <v>22</v>
      </c>
    </row>
    <row r="60" spans="1:11" ht="42" customHeight="1">
      <c r="A60" s="2" t="s">
        <v>224</v>
      </c>
      <c r="B60" s="2" t="s">
        <v>225</v>
      </c>
      <c r="C60" s="2" t="s">
        <v>50</v>
      </c>
      <c r="D60" s="2" t="s">
        <v>51</v>
      </c>
      <c r="E60" s="5">
        <v>-28354</v>
      </c>
      <c r="F60" s="3" t="s">
        <v>226</v>
      </c>
      <c r="G60" s="3" t="s">
        <v>44</v>
      </c>
      <c r="H60" s="2" t="s">
        <v>20</v>
      </c>
      <c r="I60" s="2" t="s">
        <v>227</v>
      </c>
      <c r="J60" s="3" t="str">
        <f>HYPERLINK("https://www.boe.es/gazeta/dias/1822/05/14/pdfs/GMD-1822-136.pdf#page=1","Abrir facsímil")</f>
        <v>Abrir facsímil</v>
      </c>
      <c r="K60" s="3" t="s">
        <v>22</v>
      </c>
    </row>
    <row r="61" spans="1:11" ht="42" customHeight="1">
      <c r="A61" s="2" t="s">
        <v>228</v>
      </c>
      <c r="B61" s="2" t="s">
        <v>229</v>
      </c>
      <c r="C61" s="2" t="s">
        <v>28</v>
      </c>
      <c r="D61" s="2" t="s">
        <v>29</v>
      </c>
      <c r="E61" s="5">
        <v>-28208</v>
      </c>
      <c r="F61" s="3" t="s">
        <v>230</v>
      </c>
      <c r="G61" s="3" t="s">
        <v>57</v>
      </c>
      <c r="H61" s="2" t="s">
        <v>20</v>
      </c>
      <c r="I61" s="2" t="s">
        <v>231</v>
      </c>
      <c r="J61" s="3" t="str">
        <f>HYPERLINK("https://www.boe.es/gazeta/dias/1822/10/07/pdfs/GMD-1822-293.pdf#page=4","Abrir facsímil")</f>
        <v>Abrir facsímil</v>
      </c>
      <c r="K61" s="3" t="s">
        <v>22</v>
      </c>
    </row>
    <row r="62" spans="1:11" ht="42" customHeight="1">
      <c r="A62" s="2" t="s">
        <v>232</v>
      </c>
      <c r="B62" s="2" t="s">
        <v>233</v>
      </c>
      <c r="C62" s="2" t="s">
        <v>71</v>
      </c>
      <c r="D62" s="2" t="s">
        <v>17</v>
      </c>
      <c r="E62" s="5">
        <v>-28339</v>
      </c>
      <c r="F62" s="3" t="s">
        <v>197</v>
      </c>
      <c r="G62" s="3" t="s">
        <v>63</v>
      </c>
      <c r="H62" s="2" t="s">
        <v>20</v>
      </c>
      <c r="I62" s="2" t="s">
        <v>234</v>
      </c>
      <c r="J62" s="3" t="str">
        <f>HYPERLINK("https://www.boe.es/gazeta/dias/1822/05/29/pdfs/GMD-1822-154.pdf#page=6","Abrir facsímil")</f>
        <v>Abrir facsímil</v>
      </c>
      <c r="K62" s="3" t="s">
        <v>22</v>
      </c>
    </row>
    <row r="63" spans="1:11" ht="42" customHeight="1">
      <c r="A63" s="2" t="s">
        <v>235</v>
      </c>
      <c r="B63" s="2" t="s">
        <v>236</v>
      </c>
      <c r="C63" s="2" t="s">
        <v>42</v>
      </c>
      <c r="D63" s="2" t="s">
        <v>17</v>
      </c>
      <c r="E63" s="5">
        <v>-28395</v>
      </c>
      <c r="F63" s="3" t="s">
        <v>237</v>
      </c>
      <c r="G63" s="3" t="s">
        <v>35</v>
      </c>
      <c r="H63" s="2" t="s">
        <v>20</v>
      </c>
      <c r="I63" s="2" t="s">
        <v>238</v>
      </c>
      <c r="J63" s="3" t="str">
        <f>HYPERLINK("https://www.boe.es/gazeta/dias/1822/04/03/pdfs/GMD-1822-95.pdf#page=2","Abrir facsímil")</f>
        <v>Abrir facsímil</v>
      </c>
      <c r="K63" s="3" t="s">
        <v>22</v>
      </c>
    </row>
    <row r="64" spans="1:11" ht="42" customHeight="1">
      <c r="A64" s="2" t="s">
        <v>239</v>
      </c>
      <c r="B64" s="2" t="s">
        <v>240</v>
      </c>
      <c r="C64" s="2" t="s">
        <v>42</v>
      </c>
      <c r="D64" s="2" t="s">
        <v>17</v>
      </c>
      <c r="E64" s="5">
        <v>-28310</v>
      </c>
      <c r="F64" s="3" t="s">
        <v>241</v>
      </c>
      <c r="G64" s="3" t="s">
        <v>31</v>
      </c>
      <c r="H64" s="2" t="s">
        <v>20</v>
      </c>
      <c r="I64" s="2" t="s">
        <v>242</v>
      </c>
      <c r="J64" s="3" t="str">
        <f>HYPERLINK("https://www.boe.es/gazeta/dias/1822/06/27/pdfs/GMD-1822-185.pdf#page=3","Abrir facsímil")</f>
        <v>Abrir facsímil</v>
      </c>
      <c r="K64" s="3" t="s">
        <v>22</v>
      </c>
    </row>
    <row r="65" spans="1:11" ht="42" customHeight="1">
      <c r="A65" s="2" t="s">
        <v>243</v>
      </c>
      <c r="B65" s="2" t="s">
        <v>244</v>
      </c>
      <c r="C65" s="2" t="s">
        <v>50</v>
      </c>
      <c r="D65" s="2" t="s">
        <v>51</v>
      </c>
      <c r="E65" s="5">
        <v>-28194</v>
      </c>
      <c r="F65" s="3" t="s">
        <v>18</v>
      </c>
      <c r="G65" s="3" t="s">
        <v>63</v>
      </c>
      <c r="H65" s="2" t="s">
        <v>20</v>
      </c>
      <c r="I65" s="2" t="s">
        <v>245</v>
      </c>
      <c r="J65" s="3" t="str">
        <f>HYPERLINK("https://www.boe.es/gazeta/dias/1822/10/21/pdfs/GMD-1822-308.pdf#page=6","Abrir facsímil")</f>
        <v>Abrir facsímil</v>
      </c>
      <c r="K65" s="3" t="s">
        <v>22</v>
      </c>
    </row>
    <row r="66" spans="1:11" ht="42" customHeight="1">
      <c r="A66" s="2" t="s">
        <v>246</v>
      </c>
      <c r="B66" s="2" t="s">
        <v>247</v>
      </c>
      <c r="C66" s="2" t="s">
        <v>50</v>
      </c>
      <c r="D66" s="2" t="s">
        <v>51</v>
      </c>
      <c r="E66" s="5">
        <v>-28368</v>
      </c>
      <c r="F66" s="3" t="s">
        <v>126</v>
      </c>
      <c r="G66" s="3" t="s">
        <v>44</v>
      </c>
      <c r="H66" s="2" t="s">
        <v>20</v>
      </c>
      <c r="I66" s="2" t="s">
        <v>248</v>
      </c>
      <c r="J66" s="3" t="str">
        <f>HYPERLINK("https://www.boe.es/gazeta/dias/1822/04/30/pdfs/GMD-1822-122.pdf#page=1","Abrir facsímil")</f>
        <v>Abrir facsímil</v>
      </c>
      <c r="K66" s="3" t="s">
        <v>22</v>
      </c>
    </row>
    <row r="67" spans="1:11" ht="42" customHeight="1">
      <c r="A67" s="2" t="s">
        <v>249</v>
      </c>
      <c r="B67" s="2" t="s">
        <v>250</v>
      </c>
      <c r="C67" s="2" t="s">
        <v>50</v>
      </c>
      <c r="D67" s="2" t="s">
        <v>51</v>
      </c>
      <c r="E67" s="5">
        <v>-28346</v>
      </c>
      <c r="F67" s="3" t="s">
        <v>191</v>
      </c>
      <c r="G67" s="3" t="s">
        <v>63</v>
      </c>
      <c r="H67" s="2" t="s">
        <v>20</v>
      </c>
      <c r="I67" s="2" t="s">
        <v>251</v>
      </c>
      <c r="J67" s="3" t="str">
        <f>HYPERLINK("https://www.boe.es/gazeta/dias/1822/05/22/pdfs/GMD-1822-145.pdf#page=6","Abrir facsímil")</f>
        <v>Abrir facsímil</v>
      </c>
      <c r="K67" s="3" t="s">
        <v>22</v>
      </c>
    </row>
    <row r="68" spans="1:11" ht="42" customHeight="1">
      <c r="A68" s="2" t="s">
        <v>252</v>
      </c>
      <c r="B68" s="2" t="s">
        <v>253</v>
      </c>
      <c r="C68" s="2" t="s">
        <v>28</v>
      </c>
      <c r="D68" s="2" t="s">
        <v>29</v>
      </c>
      <c r="E68" s="5">
        <v>-28483</v>
      </c>
      <c r="F68" s="3" t="s">
        <v>254</v>
      </c>
      <c r="G68" s="3" t="s">
        <v>57</v>
      </c>
      <c r="H68" s="2" t="s">
        <v>20</v>
      </c>
      <c r="I68" s="2" t="s">
        <v>255</v>
      </c>
      <c r="J68" s="3" t="str">
        <f>HYPERLINK("https://www.boe.es/gazeta/dias/1822/01/05/pdfs/GMD-1822-5.pdf#page=4","Abrir facsímil")</f>
        <v>Abrir facsímil</v>
      </c>
      <c r="K68" s="3" t="s">
        <v>22</v>
      </c>
    </row>
    <row r="69" spans="1:11" ht="42" customHeight="1">
      <c r="A69" s="2" t="s">
        <v>256</v>
      </c>
      <c r="B69" s="2" t="s">
        <v>257</v>
      </c>
      <c r="C69" s="2" t="s">
        <v>16</v>
      </c>
      <c r="D69" s="2" t="s">
        <v>17</v>
      </c>
      <c r="E69" s="5">
        <v>-28384</v>
      </c>
      <c r="F69" s="3" t="s">
        <v>258</v>
      </c>
      <c r="G69" s="3" t="s">
        <v>63</v>
      </c>
      <c r="H69" s="2" t="s">
        <v>20</v>
      </c>
      <c r="I69" s="2" t="s">
        <v>259</v>
      </c>
      <c r="J69" s="3" t="str">
        <f>HYPERLINK("https://www.boe.es/gazeta/dias/1822/04/14/pdfs/GMD-1822-106.pdf#page=6","Abrir facsímil")</f>
        <v>Abrir facsímil</v>
      </c>
      <c r="K69" s="3" t="s">
        <v>22</v>
      </c>
    </row>
    <row r="70" spans="1:11" ht="42" customHeight="1">
      <c r="A70" s="2" t="s">
        <v>260</v>
      </c>
      <c r="B70" s="2" t="s">
        <v>261</v>
      </c>
      <c r="C70" s="2" t="s">
        <v>71</v>
      </c>
      <c r="D70" s="2" t="s">
        <v>17</v>
      </c>
      <c r="E70" s="5">
        <v>-28358</v>
      </c>
      <c r="F70" s="3" t="s">
        <v>211</v>
      </c>
      <c r="G70" s="3" t="s">
        <v>35</v>
      </c>
      <c r="H70" s="2" t="s">
        <v>20</v>
      </c>
      <c r="I70" s="2" t="s">
        <v>262</v>
      </c>
      <c r="J70" s="3" t="str">
        <f>HYPERLINK("https://www.boe.es/gazeta/dias/1822/05/10/pdfs/GMD-1822-132.pdf#page=2","Abrir facsímil")</f>
        <v>Abrir facsímil</v>
      </c>
      <c r="K70" s="3" t="s">
        <v>22</v>
      </c>
    </row>
    <row r="71" spans="1:11" ht="42" customHeight="1">
      <c r="A71" s="2" t="s">
        <v>263</v>
      </c>
      <c r="B71" s="2" t="s">
        <v>263</v>
      </c>
      <c r="C71" s="2" t="s">
        <v>50</v>
      </c>
      <c r="D71" s="2" t="s">
        <v>51</v>
      </c>
      <c r="E71" s="5">
        <v>-28366</v>
      </c>
      <c r="F71" s="3" t="s">
        <v>120</v>
      </c>
      <c r="G71" s="3" t="s">
        <v>35</v>
      </c>
      <c r="H71" s="2" t="s">
        <v>20</v>
      </c>
      <c r="I71" s="2" t="s">
        <v>264</v>
      </c>
      <c r="J71" s="3" t="str">
        <f>HYPERLINK("https://www.boe.es/gazeta/dias/1822/05/02/pdfs/GMD-1822-124.pdf#page=2","Abrir facsímil")</f>
        <v>Abrir facsímil</v>
      </c>
      <c r="K71" s="3" t="s">
        <v>22</v>
      </c>
    </row>
    <row r="72" spans="1:11" ht="42" customHeight="1">
      <c r="A72" s="2" t="s">
        <v>263</v>
      </c>
      <c r="B72" s="2" t="s">
        <v>263</v>
      </c>
      <c r="C72" s="2" t="s">
        <v>71</v>
      </c>
      <c r="D72" s="2" t="s">
        <v>17</v>
      </c>
      <c r="E72" s="5">
        <v>-28141</v>
      </c>
      <c r="F72" s="3" t="s">
        <v>265</v>
      </c>
      <c r="G72" s="3" t="s">
        <v>57</v>
      </c>
      <c r="H72" s="2" t="s">
        <v>20</v>
      </c>
      <c r="I72" s="2" t="s">
        <v>266</v>
      </c>
      <c r="J72" s="3" t="str">
        <f>HYPERLINK("https://www.boe.es/gazeta/dias/1822/12/13/pdfs/GMD-1822-363.pdf#page=4","Abrir facsímil")</f>
        <v>Abrir facsímil</v>
      </c>
      <c r="K72" s="3" t="s">
        <v>22</v>
      </c>
    </row>
    <row r="73" spans="1:11" ht="42" customHeight="1">
      <c r="A73" s="2" t="s">
        <v>267</v>
      </c>
      <c r="B73" s="2" t="s">
        <v>267</v>
      </c>
      <c r="C73" s="2" t="s">
        <v>50</v>
      </c>
      <c r="D73" s="2" t="s">
        <v>51</v>
      </c>
      <c r="E73" s="5">
        <v>-28394</v>
      </c>
      <c r="F73" s="3" t="s">
        <v>268</v>
      </c>
      <c r="G73" s="3" t="s">
        <v>57</v>
      </c>
      <c r="H73" s="2" t="s">
        <v>20</v>
      </c>
      <c r="I73" s="2" t="s">
        <v>269</v>
      </c>
      <c r="J73" s="3" t="str">
        <f>HYPERLINK("https://www.boe.es/gazeta/dias/1822/04/04/pdfs/GMD-1822-96.pdf#page=4","Abrir facsímil")</f>
        <v>Abrir facsímil</v>
      </c>
      <c r="K73" s="3" t="s">
        <v>22</v>
      </c>
    </row>
    <row r="74" spans="1:11" ht="42" customHeight="1">
      <c r="A74" s="2" t="s">
        <v>270</v>
      </c>
      <c r="B74" s="2" t="s">
        <v>270</v>
      </c>
      <c r="C74" s="2" t="s">
        <v>28</v>
      </c>
      <c r="D74" s="2" t="s">
        <v>29</v>
      </c>
      <c r="E74" s="5">
        <v>-28319</v>
      </c>
      <c r="F74" s="3" t="s">
        <v>271</v>
      </c>
      <c r="G74" s="3" t="s">
        <v>31</v>
      </c>
      <c r="H74" s="2" t="s">
        <v>20</v>
      </c>
      <c r="I74" s="2" t="s">
        <v>272</v>
      </c>
      <c r="J74" s="3" t="str">
        <f>HYPERLINK("https://www.boe.es/gazeta/dias/1822/06/18/pdfs/GMD-1822-175.pdf#page=3","Abrir facsímil")</f>
        <v>Abrir facsímil</v>
      </c>
      <c r="K74" s="3" t="s">
        <v>22</v>
      </c>
    </row>
    <row r="75" spans="1:11" ht="42" customHeight="1">
      <c r="A75" s="2" t="s">
        <v>270</v>
      </c>
      <c r="B75" s="2" t="s">
        <v>270</v>
      </c>
      <c r="C75" s="2" t="s">
        <v>28</v>
      </c>
      <c r="D75" s="2" t="s">
        <v>29</v>
      </c>
      <c r="E75" s="5">
        <v>-28211</v>
      </c>
      <c r="F75" s="3" t="s">
        <v>273</v>
      </c>
      <c r="G75" s="3" t="s">
        <v>57</v>
      </c>
      <c r="H75" s="2" t="s">
        <v>20</v>
      </c>
      <c r="I75" s="2" t="s">
        <v>274</v>
      </c>
      <c r="J75" s="3" t="str">
        <f>HYPERLINK("https://www.boe.es/gazeta/dias/1822/10/04/pdfs/GMD-1822-290.pdf#page=4","Abrir facsímil")</f>
        <v>Abrir facsímil</v>
      </c>
      <c r="K75" s="3" t="s">
        <v>22</v>
      </c>
    </row>
    <row r="76" spans="1:11" ht="42" customHeight="1">
      <c r="A76" s="2" t="s">
        <v>270</v>
      </c>
      <c r="B76" s="2" t="s">
        <v>270</v>
      </c>
      <c r="C76" s="2" t="s">
        <v>28</v>
      </c>
      <c r="D76" s="2" t="s">
        <v>29</v>
      </c>
      <c r="E76" s="5">
        <v>-28139</v>
      </c>
      <c r="F76" s="3" t="s">
        <v>143</v>
      </c>
      <c r="G76" s="3" t="s">
        <v>31</v>
      </c>
      <c r="H76" s="2" t="s">
        <v>20</v>
      </c>
      <c r="I76" s="2" t="s">
        <v>275</v>
      </c>
      <c r="J76" s="3" t="str">
        <f>HYPERLINK("https://www.boe.es/gazeta/dias/1822/12/15/pdfs/GMD-1822-365.pdf#page=3","Abrir facsímil")</f>
        <v>Abrir facsímil</v>
      </c>
      <c r="K76" s="3" t="s">
        <v>22</v>
      </c>
    </row>
    <row r="77" spans="1:11" ht="42" customHeight="1">
      <c r="A77" s="2" t="s">
        <v>276</v>
      </c>
      <c r="B77" s="2" t="s">
        <v>277</v>
      </c>
      <c r="C77" s="2" t="s">
        <v>50</v>
      </c>
      <c r="D77" s="2" t="s">
        <v>51</v>
      </c>
      <c r="E77" s="5">
        <v>-28395</v>
      </c>
      <c r="F77" s="3" t="s">
        <v>237</v>
      </c>
      <c r="G77" s="3" t="s">
        <v>57</v>
      </c>
      <c r="H77" s="2" t="s">
        <v>20</v>
      </c>
      <c r="I77" s="2" t="s">
        <v>278</v>
      </c>
      <c r="J77" s="3" t="str">
        <f>HYPERLINK("https://www.boe.es/gazeta/dias/1822/04/03/pdfs/GMD-1822-95.pdf#page=4","Abrir facsímil")</f>
        <v>Abrir facsímil</v>
      </c>
      <c r="K77" s="3" t="s">
        <v>22</v>
      </c>
    </row>
    <row r="78" spans="1:11" ht="42" customHeight="1">
      <c r="A78" s="2" t="s">
        <v>279</v>
      </c>
      <c r="B78" s="2" t="s">
        <v>279</v>
      </c>
      <c r="C78" s="2" t="s">
        <v>71</v>
      </c>
      <c r="D78" s="2" t="s">
        <v>17</v>
      </c>
      <c r="E78" s="5">
        <v>-28367</v>
      </c>
      <c r="F78" s="3" t="s">
        <v>280</v>
      </c>
      <c r="G78" s="3" t="s">
        <v>44</v>
      </c>
      <c r="H78" s="2" t="s">
        <v>20</v>
      </c>
      <c r="I78" s="2" t="s">
        <v>281</v>
      </c>
      <c r="J78" s="3" t="str">
        <f>HYPERLINK("https://www.boe.es/gazeta/dias/1822/05/01/pdfs/GMD-1822-123.pdf#page=1","Abrir facsímil")</f>
        <v>Abrir facsímil</v>
      </c>
      <c r="K78" s="3" t="s">
        <v>22</v>
      </c>
    </row>
    <row r="79" spans="1:11" ht="42" customHeight="1">
      <c r="A79" s="2" t="s">
        <v>279</v>
      </c>
      <c r="B79" s="2" t="s">
        <v>279</v>
      </c>
      <c r="C79" s="2" t="s">
        <v>28</v>
      </c>
      <c r="D79" s="2" t="s">
        <v>29</v>
      </c>
      <c r="E79" s="5">
        <v>-28351</v>
      </c>
      <c r="F79" s="3" t="s">
        <v>282</v>
      </c>
      <c r="G79" s="3" t="s">
        <v>44</v>
      </c>
      <c r="H79" s="2" t="s">
        <v>20</v>
      </c>
      <c r="I79" s="2" t="s">
        <v>283</v>
      </c>
      <c r="J79" s="3" t="str">
        <f>HYPERLINK("https://www.boe.es/gazeta/dias/1822/05/17/pdfs/GMD-1822-139.pdf#page=1","Abrir facsímil")</f>
        <v>Abrir facsímil</v>
      </c>
      <c r="K79" s="3" t="s">
        <v>22</v>
      </c>
    </row>
    <row r="80" spans="1:11" ht="42" customHeight="1">
      <c r="A80" s="2" t="s">
        <v>279</v>
      </c>
      <c r="B80" s="2" t="s">
        <v>279</v>
      </c>
      <c r="C80" s="2" t="s">
        <v>24</v>
      </c>
      <c r="D80" s="2" t="s">
        <v>17</v>
      </c>
      <c r="E80" s="5">
        <v>-28341</v>
      </c>
      <c r="F80" s="3" t="s">
        <v>284</v>
      </c>
      <c r="G80" s="3" t="s">
        <v>44</v>
      </c>
      <c r="H80" s="2" t="s">
        <v>20</v>
      </c>
      <c r="I80" s="2" t="s">
        <v>285</v>
      </c>
      <c r="J80" s="3" t="str">
        <f>HYPERLINK("https://www.boe.es/gazeta/dias/1822/05/27/pdfs/GMD-1822-152.pdf#page=1","Abrir facsímil")</f>
        <v>Abrir facsímil</v>
      </c>
      <c r="K80" s="3" t="s">
        <v>22</v>
      </c>
    </row>
    <row r="81" spans="1:11" ht="42" customHeight="1">
      <c r="A81" s="2" t="s">
        <v>279</v>
      </c>
      <c r="B81" s="2" t="s">
        <v>279</v>
      </c>
      <c r="C81" s="2" t="s">
        <v>28</v>
      </c>
      <c r="D81" s="2" t="s">
        <v>29</v>
      </c>
      <c r="E81" s="5">
        <v>-28319</v>
      </c>
      <c r="F81" s="3" t="s">
        <v>271</v>
      </c>
      <c r="G81" s="3" t="s">
        <v>35</v>
      </c>
      <c r="H81" s="2" t="s">
        <v>20</v>
      </c>
      <c r="I81" s="2" t="s">
        <v>286</v>
      </c>
      <c r="J81" s="3" t="str">
        <f>HYPERLINK("https://www.boe.es/gazeta/dias/1822/06/18/pdfs/GMD-1822-175.pdf#page=2","Abrir facsímil")</f>
        <v>Abrir facsímil</v>
      </c>
      <c r="K81" s="3" t="s">
        <v>22</v>
      </c>
    </row>
    <row r="82" spans="1:11" ht="42" customHeight="1">
      <c r="A82" s="2" t="s">
        <v>279</v>
      </c>
      <c r="B82" s="2" t="s">
        <v>279</v>
      </c>
      <c r="C82" s="2" t="s">
        <v>28</v>
      </c>
      <c r="D82" s="2" t="s">
        <v>29</v>
      </c>
      <c r="E82" s="5">
        <v>-28310</v>
      </c>
      <c r="F82" s="3" t="s">
        <v>241</v>
      </c>
      <c r="G82" s="3" t="s">
        <v>35</v>
      </c>
      <c r="H82" s="2" t="s">
        <v>20</v>
      </c>
      <c r="I82" s="2" t="s">
        <v>287</v>
      </c>
      <c r="J82" s="3" t="str">
        <f>HYPERLINK("https://www.boe.es/gazeta/dias/1822/06/27/pdfs/GMD-1822-185.pdf#page=2","Abrir facsímil")</f>
        <v>Abrir facsímil</v>
      </c>
      <c r="K82" s="3" t="s">
        <v>22</v>
      </c>
    </row>
    <row r="83" spans="1:11" ht="42" customHeight="1">
      <c r="A83" s="2" t="s">
        <v>279</v>
      </c>
      <c r="B83" s="2" t="s">
        <v>279</v>
      </c>
      <c r="C83" s="2" t="s">
        <v>61</v>
      </c>
      <c r="D83" s="2" t="s">
        <v>17</v>
      </c>
      <c r="E83" s="5">
        <v>-28144</v>
      </c>
      <c r="F83" s="3" t="s">
        <v>288</v>
      </c>
      <c r="G83" s="3" t="s">
        <v>31</v>
      </c>
      <c r="H83" s="2" t="s">
        <v>20</v>
      </c>
      <c r="I83" s="2" t="s">
        <v>289</v>
      </c>
      <c r="J83" s="3" t="str">
        <f>HYPERLINK("https://www.boe.es/gazeta/dias/1822/12/10/pdfs/GMD-1822-360.pdf#page=3","Abrir facsímil")</f>
        <v>Abrir facsímil</v>
      </c>
      <c r="K83" s="3" t="s">
        <v>22</v>
      </c>
    </row>
    <row r="84" spans="1:11" ht="42" customHeight="1">
      <c r="A84" s="2" t="s">
        <v>279</v>
      </c>
      <c r="B84" s="2" t="s">
        <v>279</v>
      </c>
      <c r="C84" s="2" t="s">
        <v>24</v>
      </c>
      <c r="D84" s="2" t="s">
        <v>17</v>
      </c>
      <c r="E84" s="5">
        <v>-28142</v>
      </c>
      <c r="F84" s="3" t="s">
        <v>290</v>
      </c>
      <c r="G84" s="3" t="s">
        <v>35</v>
      </c>
      <c r="H84" s="2" t="s">
        <v>20</v>
      </c>
      <c r="I84" s="2" t="s">
        <v>291</v>
      </c>
      <c r="J84" s="3" t="str">
        <f>HYPERLINK("https://www.boe.es/gazeta/dias/1822/12/12/pdfs/GMD-1822-362.pdf#page=2","Abrir facsímil")</f>
        <v>Abrir facsímil</v>
      </c>
      <c r="K84" s="3" t="s">
        <v>22</v>
      </c>
    </row>
    <row r="85" spans="1:11" ht="42" customHeight="1">
      <c r="A85" s="2" t="s">
        <v>292</v>
      </c>
      <c r="B85" s="2" t="s">
        <v>293</v>
      </c>
      <c r="C85" s="2" t="s">
        <v>28</v>
      </c>
      <c r="D85" s="2" t="s">
        <v>29</v>
      </c>
      <c r="E85" s="5">
        <v>-28345</v>
      </c>
      <c r="F85" s="3" t="s">
        <v>294</v>
      </c>
      <c r="G85" s="3" t="s">
        <v>63</v>
      </c>
      <c r="H85" s="2" t="s">
        <v>20</v>
      </c>
      <c r="I85" s="2" t="s">
        <v>295</v>
      </c>
      <c r="J85" s="3" t="str">
        <f>HYPERLINK("https://www.boe.es/gazeta/dias/1822/05/23/pdfs/GMD-1822-147.pdf#page=6","Abrir facsímil")</f>
        <v>Abrir facsímil</v>
      </c>
      <c r="K85" s="3" t="s">
        <v>22</v>
      </c>
    </row>
    <row r="86" spans="1:11" ht="42" customHeight="1">
      <c r="A86" s="2" t="s">
        <v>292</v>
      </c>
      <c r="B86" s="2" t="s">
        <v>293</v>
      </c>
      <c r="C86" s="2" t="s">
        <v>42</v>
      </c>
      <c r="D86" s="2" t="s">
        <v>17</v>
      </c>
      <c r="E86" s="5">
        <v>-28277</v>
      </c>
      <c r="F86" s="3" t="s">
        <v>296</v>
      </c>
      <c r="G86" s="3" t="s">
        <v>63</v>
      </c>
      <c r="H86" s="2" t="s">
        <v>20</v>
      </c>
      <c r="I86" s="2" t="s">
        <v>297</v>
      </c>
      <c r="J86" s="3" t="str">
        <f>HYPERLINK("https://www.boe.es/gazeta/dias/1822/07/30/pdfs/GMD-1822-223.pdf#page=6","Abrir facsímil")</f>
        <v>Abrir facsímil</v>
      </c>
      <c r="K86" s="3" t="s">
        <v>22</v>
      </c>
    </row>
    <row r="87" spans="1:11" ht="42" customHeight="1">
      <c r="A87" s="2" t="s">
        <v>292</v>
      </c>
      <c r="B87" s="2" t="s">
        <v>293</v>
      </c>
      <c r="C87" s="2" t="s">
        <v>50</v>
      </c>
      <c r="D87" s="2" t="s">
        <v>51</v>
      </c>
      <c r="E87" s="5">
        <v>-28260</v>
      </c>
      <c r="F87" s="3" t="s">
        <v>135</v>
      </c>
      <c r="G87" s="3" t="s">
        <v>63</v>
      </c>
      <c r="H87" s="2" t="s">
        <v>20</v>
      </c>
      <c r="I87" s="2" t="s">
        <v>298</v>
      </c>
      <c r="J87" s="3" t="str">
        <f>HYPERLINK("https://www.boe.es/gazeta/dias/1822/08/16/pdfs/GMD-1822-240.pdf#page=6","Abrir facsímil")</f>
        <v>Abrir facsímil</v>
      </c>
      <c r="K87" s="3" t="s">
        <v>22</v>
      </c>
    </row>
    <row r="88" spans="1:11" ht="42" customHeight="1">
      <c r="A88" s="2" t="s">
        <v>299</v>
      </c>
      <c r="B88" s="2" t="s">
        <v>300</v>
      </c>
      <c r="C88" s="2" t="s">
        <v>50</v>
      </c>
      <c r="D88" s="2" t="s">
        <v>51</v>
      </c>
      <c r="E88" s="5">
        <v>-28124</v>
      </c>
      <c r="F88" s="3" t="s">
        <v>301</v>
      </c>
      <c r="G88" s="3" t="s">
        <v>63</v>
      </c>
      <c r="H88" s="2" t="s">
        <v>20</v>
      </c>
      <c r="I88" s="2" t="s">
        <v>302</v>
      </c>
      <c r="J88" s="3" t="str">
        <f>HYPERLINK("https://www.boe.es/gazeta/dias/1822/12/30/pdfs/GMD-1822-380.pdf#page=6","Abrir facsímil")</f>
        <v>Abrir facsímil</v>
      </c>
      <c r="K88" s="3" t="s">
        <v>22</v>
      </c>
    </row>
    <row r="89" spans="1:11" ht="42" customHeight="1">
      <c r="A89" s="2" t="s">
        <v>303</v>
      </c>
      <c r="B89" s="2" t="s">
        <v>304</v>
      </c>
      <c r="C89" s="2" t="s">
        <v>50</v>
      </c>
      <c r="D89" s="2" t="s">
        <v>51</v>
      </c>
      <c r="E89" s="5">
        <v>-28324</v>
      </c>
      <c r="F89" s="3" t="s">
        <v>305</v>
      </c>
      <c r="G89" s="3" t="s">
        <v>31</v>
      </c>
      <c r="H89" s="2" t="s">
        <v>45</v>
      </c>
      <c r="I89" s="2" t="s">
        <v>306</v>
      </c>
      <c r="J89" s="3" t="str">
        <f>HYPERLINK("https://www.boe.es/gazeta/dias/1822/06/13/pdfs/GMD-1822-170.pdf#page=3","Abrir facsímil")</f>
        <v>Abrir facsímil</v>
      </c>
      <c r="K89" s="3" t="s">
        <v>47</v>
      </c>
    </row>
    <row r="90" spans="1:11" ht="42" customHeight="1">
      <c r="A90" s="2" t="s">
        <v>307</v>
      </c>
      <c r="B90" s="2" t="s">
        <v>308</v>
      </c>
      <c r="C90" s="2" t="s">
        <v>16</v>
      </c>
      <c r="D90" s="2" t="s">
        <v>17</v>
      </c>
      <c r="E90" s="5">
        <v>-28314</v>
      </c>
      <c r="F90" s="3" t="s">
        <v>309</v>
      </c>
      <c r="G90" s="3" t="s">
        <v>35</v>
      </c>
      <c r="H90" s="2" t="s">
        <v>20</v>
      </c>
      <c r="I90" s="2" t="s">
        <v>310</v>
      </c>
      <c r="J90" s="3" t="str">
        <f>HYPERLINK("https://www.boe.es/gazeta/dias/1822/06/23/pdfs/GMD-1822-181.pdf#page=2","Abrir facsímil")</f>
        <v>Abrir facsímil</v>
      </c>
      <c r="K90" s="3" t="s">
        <v>22</v>
      </c>
    </row>
    <row r="91" spans="1:11" ht="42" customHeight="1">
      <c r="A91" s="2" t="s">
        <v>311</v>
      </c>
      <c r="B91" s="2" t="s">
        <v>311</v>
      </c>
      <c r="C91" s="2" t="s">
        <v>50</v>
      </c>
      <c r="D91" s="2" t="s">
        <v>51</v>
      </c>
      <c r="E91" s="5">
        <v>-28137</v>
      </c>
      <c r="F91" s="3" t="s">
        <v>312</v>
      </c>
      <c r="G91" s="3" t="s">
        <v>57</v>
      </c>
      <c r="H91" s="2" t="s">
        <v>20</v>
      </c>
      <c r="I91" s="2" t="s">
        <v>313</v>
      </c>
      <c r="J91" s="3" t="str">
        <f>HYPERLINK("https://www.boe.es/gazeta/dias/1822/12/17/pdfs/GMD-1822-367.pdf#page=4","Abrir facsímil")</f>
        <v>Abrir facsímil</v>
      </c>
      <c r="K91" s="3" t="s">
        <v>22</v>
      </c>
    </row>
    <row r="92" spans="1:11" ht="42" customHeight="1">
      <c r="A92" s="2" t="s">
        <v>314</v>
      </c>
      <c r="B92" s="2" t="s">
        <v>314</v>
      </c>
      <c r="C92" s="2" t="s">
        <v>24</v>
      </c>
      <c r="D92" s="2" t="s">
        <v>17</v>
      </c>
      <c r="E92" s="5">
        <v>-28313</v>
      </c>
      <c r="F92" s="3" t="s">
        <v>315</v>
      </c>
      <c r="G92" s="3" t="s">
        <v>31</v>
      </c>
      <c r="H92" s="2" t="s">
        <v>20</v>
      </c>
      <c r="I92" s="2" t="s">
        <v>316</v>
      </c>
      <c r="J92" s="3" t="str">
        <f>HYPERLINK("https://www.boe.es/gazeta/dias/1822/06/24/pdfs/GMD-1822-182.pdf#page=3","Abrir facsímil")</f>
        <v>Abrir facsímil</v>
      </c>
      <c r="K92" s="3" t="s">
        <v>22</v>
      </c>
    </row>
    <row r="93" spans="1:11" ht="42" customHeight="1">
      <c r="A93" s="2" t="s">
        <v>317</v>
      </c>
      <c r="B93" s="2" t="s">
        <v>317</v>
      </c>
      <c r="C93" s="2" t="s">
        <v>42</v>
      </c>
      <c r="D93" s="2" t="s">
        <v>17</v>
      </c>
      <c r="E93" s="5">
        <v>-28178</v>
      </c>
      <c r="F93" s="3" t="s">
        <v>318</v>
      </c>
      <c r="G93" s="3" t="s">
        <v>63</v>
      </c>
      <c r="H93" s="2" t="s">
        <v>20</v>
      </c>
      <c r="I93" s="2" t="s">
        <v>319</v>
      </c>
      <c r="J93" s="3" t="str">
        <f>HYPERLINK("https://www.boe.es/gazeta/dias/1822/11/06/pdfs/GMD-1822-326.pdf#page=6","Abrir facsímil")</f>
        <v>Abrir facsímil</v>
      </c>
      <c r="K93" s="3" t="s">
        <v>22</v>
      </c>
    </row>
    <row r="94" spans="1:11" ht="42" customHeight="1">
      <c r="A94" s="2" t="s">
        <v>320</v>
      </c>
      <c r="B94" s="2" t="s">
        <v>321</v>
      </c>
      <c r="C94" s="2" t="s">
        <v>16</v>
      </c>
      <c r="D94" s="2" t="s">
        <v>17</v>
      </c>
      <c r="E94" s="5">
        <v>-28125</v>
      </c>
      <c r="F94" s="3" t="s">
        <v>322</v>
      </c>
      <c r="G94" s="3" t="s">
        <v>63</v>
      </c>
      <c r="H94" s="2" t="s">
        <v>20</v>
      </c>
      <c r="I94" s="2" t="s">
        <v>323</v>
      </c>
      <c r="J94" s="3" t="str">
        <f>HYPERLINK("https://www.boe.es/gazeta/dias/1822/12/29/pdfs/GMD-1822-379.pdf#page=6","Abrir facsímil")</f>
        <v>Abrir facsímil</v>
      </c>
      <c r="K94" s="3" t="s">
        <v>22</v>
      </c>
    </row>
    <row r="95" spans="1:11" ht="42" customHeight="1">
      <c r="A95" s="2" t="s">
        <v>324</v>
      </c>
      <c r="B95" s="2" t="s">
        <v>325</v>
      </c>
      <c r="C95" s="2" t="s">
        <v>61</v>
      </c>
      <c r="D95" s="2" t="s">
        <v>17</v>
      </c>
      <c r="E95" s="5">
        <v>-28393</v>
      </c>
      <c r="F95" s="3" t="s">
        <v>326</v>
      </c>
      <c r="G95" s="3" t="s">
        <v>57</v>
      </c>
      <c r="H95" s="2" t="s">
        <v>20</v>
      </c>
      <c r="I95" s="2" t="s">
        <v>327</v>
      </c>
      <c r="J95" s="3" t="str">
        <f>HYPERLINK("https://www.boe.es/gazeta/dias/1822/04/05/pdfs/GMD-1822-97.pdf#page=4","Abrir facsímil")</f>
        <v>Abrir facsímil</v>
      </c>
      <c r="K95" s="3" t="s">
        <v>22</v>
      </c>
    </row>
    <row r="96" spans="1:11" ht="42" customHeight="1">
      <c r="A96" s="2" t="s">
        <v>328</v>
      </c>
      <c r="B96" s="2" t="s">
        <v>328</v>
      </c>
      <c r="C96" s="2" t="s">
        <v>42</v>
      </c>
      <c r="D96" s="2" t="s">
        <v>17</v>
      </c>
      <c r="E96" s="5">
        <v>-28178</v>
      </c>
      <c r="F96" s="3" t="s">
        <v>318</v>
      </c>
      <c r="G96" s="3" t="s">
        <v>63</v>
      </c>
      <c r="H96" s="2" t="s">
        <v>20</v>
      </c>
      <c r="I96" s="2" t="s">
        <v>329</v>
      </c>
      <c r="J96" s="3" t="str">
        <f>HYPERLINK("https://www.boe.es/gazeta/dias/1822/11/06/pdfs/GMD-1822-326.pdf#page=6","Abrir facsímil")</f>
        <v>Abrir facsímil</v>
      </c>
      <c r="K96" s="3" t="s">
        <v>22</v>
      </c>
    </row>
    <row r="97" spans="1:11" ht="42" customHeight="1">
      <c r="A97" s="2" t="s">
        <v>330</v>
      </c>
      <c r="B97" s="2" t="s">
        <v>331</v>
      </c>
      <c r="C97" s="2" t="s">
        <v>50</v>
      </c>
      <c r="D97" s="2" t="s">
        <v>51</v>
      </c>
      <c r="E97" s="5">
        <v>-28178</v>
      </c>
      <c r="F97" s="3" t="s">
        <v>318</v>
      </c>
      <c r="G97" s="3" t="s">
        <v>63</v>
      </c>
      <c r="H97" s="2" t="s">
        <v>20</v>
      </c>
      <c r="I97" s="2" t="s">
        <v>332</v>
      </c>
      <c r="J97" s="3" t="str">
        <f>HYPERLINK("https://www.boe.es/gazeta/dias/1822/11/06/pdfs/GMD-1822-326.pdf#page=6","Abrir facsímil")</f>
        <v>Abrir facsímil</v>
      </c>
      <c r="K97" s="3" t="s">
        <v>22</v>
      </c>
    </row>
    <row r="98" spans="1:11" ht="42" customHeight="1">
      <c r="A98" s="2" t="s">
        <v>333</v>
      </c>
      <c r="B98" s="2" t="s">
        <v>334</v>
      </c>
      <c r="C98" s="2" t="s">
        <v>42</v>
      </c>
      <c r="D98" s="2" t="s">
        <v>17</v>
      </c>
      <c r="E98" s="5">
        <v>-28280</v>
      </c>
      <c r="F98" s="3" t="s">
        <v>56</v>
      </c>
      <c r="G98" s="3" t="s">
        <v>57</v>
      </c>
      <c r="H98" s="2" t="s">
        <v>45</v>
      </c>
      <c r="I98" s="2" t="s">
        <v>335</v>
      </c>
      <c r="J98" s="3" t="str">
        <f>HYPERLINK("https://www.boe.es/gazeta/dias/1822/07/27/pdfs/GMD-1822-220.pdf#page=4","Abrir facsímil")</f>
        <v>Abrir facsímil</v>
      </c>
      <c r="K98" s="3" t="s">
        <v>47</v>
      </c>
    </row>
    <row r="99" spans="1:11" ht="42" customHeight="1">
      <c r="A99" s="2" t="s">
        <v>336</v>
      </c>
      <c r="B99" s="2" t="s">
        <v>337</v>
      </c>
      <c r="C99" s="2" t="s">
        <v>50</v>
      </c>
      <c r="D99" s="2" t="s">
        <v>51</v>
      </c>
      <c r="E99" s="5">
        <v>-28161</v>
      </c>
      <c r="F99" s="3" t="s">
        <v>166</v>
      </c>
      <c r="G99" s="3" t="s">
        <v>157</v>
      </c>
      <c r="H99" s="2" t="s">
        <v>20</v>
      </c>
      <c r="I99" s="2" t="s">
        <v>338</v>
      </c>
      <c r="J99" s="3" t="str">
        <f>HYPERLINK("https://www.boe.es/gazeta/dias/1822/11/23/pdfs/GMD-1822-343.pdf#page=8","Abrir facsímil")</f>
        <v>Abrir facsímil</v>
      </c>
      <c r="K99" s="3" t="s">
        <v>22</v>
      </c>
    </row>
    <row r="100" spans="1:11" ht="42" customHeight="1">
      <c r="A100" s="2" t="s">
        <v>339</v>
      </c>
      <c r="B100" s="2" t="s">
        <v>340</v>
      </c>
      <c r="C100" s="2" t="s">
        <v>16</v>
      </c>
      <c r="D100" s="2" t="s">
        <v>17</v>
      </c>
      <c r="E100" s="5">
        <v>-28175</v>
      </c>
      <c r="F100" s="3" t="s">
        <v>341</v>
      </c>
      <c r="G100" s="3" t="s">
        <v>63</v>
      </c>
      <c r="H100" s="2" t="s">
        <v>45</v>
      </c>
      <c r="I100" s="2" t="s">
        <v>342</v>
      </c>
      <c r="J100" s="3" t="str">
        <f>HYPERLINK("https://www.boe.es/gazeta/dias/1822/11/09/pdfs/GMD-1822-329.pdf#page=6","Abrir facsímil")</f>
        <v>Abrir facsímil</v>
      </c>
      <c r="K100" s="3" t="s">
        <v>47</v>
      </c>
    </row>
    <row r="101" spans="1:11" ht="42" customHeight="1">
      <c r="A101" s="2" t="s">
        <v>343</v>
      </c>
      <c r="B101" s="2" t="s">
        <v>344</v>
      </c>
      <c r="C101" s="2" t="s">
        <v>50</v>
      </c>
      <c r="D101" s="2" t="s">
        <v>51</v>
      </c>
      <c r="E101" s="5">
        <v>-28323</v>
      </c>
      <c r="F101" s="3" t="s">
        <v>116</v>
      </c>
      <c r="G101" s="3" t="s">
        <v>63</v>
      </c>
      <c r="H101" s="2" t="s">
        <v>45</v>
      </c>
      <c r="I101" s="2" t="s">
        <v>345</v>
      </c>
      <c r="J101" s="3" t="str">
        <f>HYPERLINK("https://www.boe.es/gazeta/dias/1822/06/14/pdfs/GMD-1822-171.pdf#page=6","Abrir facsímil")</f>
        <v>Abrir facsímil</v>
      </c>
      <c r="K101" s="3" t="s">
        <v>47</v>
      </c>
    </row>
    <row r="102" spans="1:11" ht="42" customHeight="1">
      <c r="A102" s="2" t="s">
        <v>346</v>
      </c>
      <c r="B102" s="2" t="s">
        <v>347</v>
      </c>
      <c r="C102" s="2" t="s">
        <v>28</v>
      </c>
      <c r="D102" s="2" t="s">
        <v>29</v>
      </c>
      <c r="E102" s="5">
        <v>-28306</v>
      </c>
      <c r="F102" s="3" t="s">
        <v>348</v>
      </c>
      <c r="G102" s="3" t="s">
        <v>57</v>
      </c>
      <c r="H102" s="2" t="s">
        <v>20</v>
      </c>
      <c r="I102" s="2" t="s">
        <v>349</v>
      </c>
      <c r="J102" s="3" t="str">
        <f>HYPERLINK("https://www.boe.es/gazeta/dias/1822/07/01/pdfs/GMD-1822-190.pdf#page=4","Abrir facsímil")</f>
        <v>Abrir facsímil</v>
      </c>
      <c r="K102" s="3" t="s">
        <v>22</v>
      </c>
    </row>
    <row r="103" spans="1:11" ht="42" customHeight="1">
      <c r="A103" s="2" t="s">
        <v>350</v>
      </c>
      <c r="B103" s="2" t="s">
        <v>351</v>
      </c>
      <c r="C103" s="2" t="s">
        <v>50</v>
      </c>
      <c r="D103" s="2" t="s">
        <v>51</v>
      </c>
      <c r="E103" s="5">
        <v>-28350</v>
      </c>
      <c r="F103" s="3" t="s">
        <v>352</v>
      </c>
      <c r="G103" s="3" t="s">
        <v>57</v>
      </c>
      <c r="H103" s="2" t="s">
        <v>20</v>
      </c>
      <c r="I103" s="2" t="s">
        <v>353</v>
      </c>
      <c r="J103" s="3" t="str">
        <f>HYPERLINK("https://www.boe.es/gazeta/dias/1822/05/18/pdfs/GMD-1822-140.pdf#page=4","Abrir facsímil")</f>
        <v>Abrir facsímil</v>
      </c>
      <c r="K103" s="3" t="s">
        <v>22</v>
      </c>
    </row>
    <row r="104" spans="1:11" ht="42" customHeight="1">
      <c r="A104" s="2" t="s">
        <v>350</v>
      </c>
      <c r="B104" s="2" t="s">
        <v>351</v>
      </c>
      <c r="C104" s="2" t="s">
        <v>28</v>
      </c>
      <c r="D104" s="2" t="s">
        <v>29</v>
      </c>
      <c r="E104" s="5">
        <v>-28329</v>
      </c>
      <c r="F104" s="3" t="s">
        <v>354</v>
      </c>
      <c r="G104" s="3" t="s">
        <v>57</v>
      </c>
      <c r="H104" s="2" t="s">
        <v>20</v>
      </c>
      <c r="I104" s="2" t="s">
        <v>355</v>
      </c>
      <c r="J104" s="3" t="str">
        <f>HYPERLINK("https://www.boe.es/gazeta/dias/1822/06/08/pdfs/GMD-1822-165.pdf#page=4","Abrir facsímil")</f>
        <v>Abrir facsímil</v>
      </c>
      <c r="K104" s="3" t="s">
        <v>22</v>
      </c>
    </row>
    <row r="105" spans="1:11" ht="42" customHeight="1">
      <c r="A105" s="2" t="s">
        <v>356</v>
      </c>
      <c r="B105" s="2" t="s">
        <v>357</v>
      </c>
      <c r="C105" s="2" t="s">
        <v>50</v>
      </c>
      <c r="D105" s="2" t="s">
        <v>51</v>
      </c>
      <c r="E105" s="5">
        <v>-28381</v>
      </c>
      <c r="F105" s="3" t="s">
        <v>358</v>
      </c>
      <c r="G105" s="3" t="s">
        <v>35</v>
      </c>
      <c r="H105" s="2" t="s">
        <v>20</v>
      </c>
      <c r="I105" s="2" t="s">
        <v>359</v>
      </c>
      <c r="J105" s="3" t="str">
        <f>HYPERLINK("https://www.boe.es/gazeta/dias/1822/04/17/pdfs/GMD-1822-109.pdf#page=2","Abrir facsímil")</f>
        <v>Abrir facsímil</v>
      </c>
      <c r="K105" s="3" t="s">
        <v>22</v>
      </c>
    </row>
    <row r="106" spans="1:11" ht="42" customHeight="1">
      <c r="A106" s="2" t="s">
        <v>360</v>
      </c>
      <c r="B106" s="2" t="s">
        <v>361</v>
      </c>
      <c r="C106" s="2" t="s">
        <v>362</v>
      </c>
      <c r="D106" s="2" t="s">
        <v>17</v>
      </c>
      <c r="E106" s="5">
        <v>-28291</v>
      </c>
      <c r="F106" s="3" t="s">
        <v>363</v>
      </c>
      <c r="G106" s="3" t="s">
        <v>31</v>
      </c>
      <c r="H106" s="2" t="s">
        <v>20</v>
      </c>
      <c r="I106" s="2" t="s">
        <v>364</v>
      </c>
      <c r="J106" s="3" t="str">
        <f>HYPERLINK("https://www.boe.es/gazeta/dias/1822/07/16/pdfs/GMD-1822-206.pdf#page=3","Abrir facsímil")</f>
        <v>Abrir facsímil</v>
      </c>
      <c r="K106" s="3" t="s">
        <v>22</v>
      </c>
    </row>
    <row r="107" spans="1:11" ht="42" customHeight="1">
      <c r="A107" s="2" t="s">
        <v>365</v>
      </c>
      <c r="B107" s="2" t="s">
        <v>366</v>
      </c>
      <c r="C107" s="2" t="s">
        <v>61</v>
      </c>
      <c r="D107" s="2" t="s">
        <v>17</v>
      </c>
      <c r="E107" s="5">
        <v>-28295</v>
      </c>
      <c r="F107" s="3" t="s">
        <v>81</v>
      </c>
      <c r="G107" s="3" t="s">
        <v>44</v>
      </c>
      <c r="H107" s="2" t="s">
        <v>20</v>
      </c>
      <c r="I107" s="2" t="s">
        <v>367</v>
      </c>
      <c r="J107" s="3" t="str">
        <f>HYPERLINK("https://www.boe.es/gazeta/dias/1822/07/12/pdfs/GMD-1822-202.pdf#page=1","Abrir facsímil")</f>
        <v>Abrir facsímil</v>
      </c>
      <c r="K107" s="3" t="s">
        <v>22</v>
      </c>
    </row>
    <row r="108" spans="1:11" ht="42" customHeight="1">
      <c r="A108" s="2" t="s">
        <v>365</v>
      </c>
      <c r="B108" s="2" t="s">
        <v>366</v>
      </c>
      <c r="C108" s="2" t="s">
        <v>28</v>
      </c>
      <c r="D108" s="2" t="s">
        <v>29</v>
      </c>
      <c r="E108" s="5">
        <v>-28278</v>
      </c>
      <c r="F108" s="3" t="s">
        <v>368</v>
      </c>
      <c r="G108" s="3" t="s">
        <v>35</v>
      </c>
      <c r="H108" s="2" t="s">
        <v>20</v>
      </c>
      <c r="I108" s="2" t="s">
        <v>369</v>
      </c>
      <c r="J108" s="3" t="str">
        <f>HYPERLINK("https://www.boe.es/gazeta/dias/1822/07/29/pdfs/GMD-1822-222.pdf#page=2","Abrir facsímil")</f>
        <v>Abrir facsímil</v>
      </c>
      <c r="K108" s="3" t="s">
        <v>22</v>
      </c>
    </row>
    <row r="109" spans="1:11" ht="42" customHeight="1">
      <c r="A109" s="2" t="s">
        <v>370</v>
      </c>
      <c r="B109" s="2" t="s">
        <v>371</v>
      </c>
      <c r="C109" s="2" t="s">
        <v>362</v>
      </c>
      <c r="D109" s="2" t="s">
        <v>17</v>
      </c>
      <c r="E109" s="5">
        <v>-28291</v>
      </c>
      <c r="F109" s="3" t="s">
        <v>363</v>
      </c>
      <c r="G109" s="3" t="s">
        <v>31</v>
      </c>
      <c r="H109" s="2" t="s">
        <v>20</v>
      </c>
      <c r="I109" s="2" t="s">
        <v>372</v>
      </c>
      <c r="J109" s="3" t="str">
        <f>HYPERLINK("https://www.boe.es/gazeta/dias/1822/07/16/pdfs/GMD-1822-206.pdf#page=3","Abrir facsímil")</f>
        <v>Abrir facsímil</v>
      </c>
      <c r="K109" s="3" t="s">
        <v>22</v>
      </c>
    </row>
    <row r="110" spans="1:11" ht="42" customHeight="1">
      <c r="A110" s="2" t="s">
        <v>373</v>
      </c>
      <c r="B110" s="2" t="s">
        <v>373</v>
      </c>
      <c r="C110" s="2" t="s">
        <v>50</v>
      </c>
      <c r="D110" s="2" t="s">
        <v>51</v>
      </c>
      <c r="E110" s="5">
        <v>-28361</v>
      </c>
      <c r="F110" s="3" t="s">
        <v>374</v>
      </c>
      <c r="G110" s="3" t="s">
        <v>31</v>
      </c>
      <c r="H110" s="2" t="s">
        <v>20</v>
      </c>
      <c r="I110" s="2" t="s">
        <v>375</v>
      </c>
      <c r="J110" s="3" t="str">
        <f>HYPERLINK("https://www.boe.es/gazeta/dias/1822/05/07/pdfs/GMD-1822-129.pdf#page=3","Abrir facsímil")</f>
        <v>Abrir facsímil</v>
      </c>
      <c r="K110" s="3" t="s">
        <v>22</v>
      </c>
    </row>
    <row r="111" spans="1:11" ht="42" customHeight="1">
      <c r="A111" s="2" t="s">
        <v>376</v>
      </c>
      <c r="B111" s="2" t="s">
        <v>377</v>
      </c>
      <c r="C111" s="2" t="s">
        <v>28</v>
      </c>
      <c r="D111" s="2" t="s">
        <v>29</v>
      </c>
      <c r="E111" s="5">
        <v>-28391</v>
      </c>
      <c r="F111" s="3" t="s">
        <v>378</v>
      </c>
      <c r="G111" s="3" t="s">
        <v>63</v>
      </c>
      <c r="H111" s="2" t="s">
        <v>20</v>
      </c>
      <c r="I111" s="2" t="s">
        <v>379</v>
      </c>
      <c r="J111" s="3" t="str">
        <f>HYPERLINK("https://www.boe.es/gazeta/dias/1822/04/07/pdfs/GMD-1822-99.pdf#page=6","Abrir facsímil")</f>
        <v>Abrir facsímil</v>
      </c>
      <c r="K111" s="3" t="s">
        <v>22</v>
      </c>
    </row>
    <row r="112" spans="1:11" ht="42" customHeight="1">
      <c r="A112" s="2" t="s">
        <v>380</v>
      </c>
      <c r="B112" s="2" t="s">
        <v>381</v>
      </c>
      <c r="C112" s="2" t="s">
        <v>28</v>
      </c>
      <c r="D112" s="2" t="s">
        <v>29</v>
      </c>
      <c r="E112" s="5">
        <v>-28483</v>
      </c>
      <c r="F112" s="3" t="s">
        <v>254</v>
      </c>
      <c r="G112" s="3" t="s">
        <v>44</v>
      </c>
      <c r="H112" s="2" t="s">
        <v>20</v>
      </c>
      <c r="I112" s="2" t="s">
        <v>382</v>
      </c>
      <c r="J112" s="3" t="str">
        <f>HYPERLINK("https://www.boe.es/gazeta/dias/1822/01/05/pdfs/GMD-1822-5.pdf#page=1","Abrir facsímil")</f>
        <v>Abrir facsímil</v>
      </c>
      <c r="K112" s="3" t="s">
        <v>22</v>
      </c>
    </row>
    <row r="113" spans="1:11" ht="42" customHeight="1">
      <c r="A113" s="2" t="s">
        <v>383</v>
      </c>
      <c r="B113" s="2" t="s">
        <v>384</v>
      </c>
      <c r="C113" s="2" t="s">
        <v>50</v>
      </c>
      <c r="D113" s="2" t="s">
        <v>51</v>
      </c>
      <c r="E113" s="5">
        <v>-28277</v>
      </c>
      <c r="F113" s="3" t="s">
        <v>296</v>
      </c>
      <c r="G113" s="3" t="s">
        <v>35</v>
      </c>
      <c r="H113" s="2" t="s">
        <v>45</v>
      </c>
      <c r="I113" s="2" t="s">
        <v>385</v>
      </c>
      <c r="J113" s="3" t="str">
        <f>HYPERLINK("https://www.boe.es/gazeta/dias/1822/07/30/pdfs/GMD-1822-223.pdf#page=2","Abrir facsímil")</f>
        <v>Abrir facsímil</v>
      </c>
      <c r="K113" s="3" t="s">
        <v>47</v>
      </c>
    </row>
    <row r="114" spans="1:11" ht="42" customHeight="1">
      <c r="A114" s="2" t="s">
        <v>386</v>
      </c>
      <c r="B114" s="2" t="s">
        <v>386</v>
      </c>
      <c r="C114" s="2" t="s">
        <v>42</v>
      </c>
      <c r="D114" s="2" t="s">
        <v>17</v>
      </c>
      <c r="E114" s="5">
        <v>-28225</v>
      </c>
      <c r="F114" s="3" t="s">
        <v>177</v>
      </c>
      <c r="G114" s="3" t="s">
        <v>178</v>
      </c>
      <c r="H114" s="2" t="s">
        <v>20</v>
      </c>
      <c r="I114" s="2" t="s">
        <v>387</v>
      </c>
      <c r="J114" s="3" t="str">
        <f>HYPERLINK("https://www.boe.es/gazeta/dias/1822/09/20/pdfs/GMD-1822-276.pdf#page=3","Abrir facsímil")</f>
        <v>Abrir facsímil</v>
      </c>
      <c r="K114" s="3" t="s">
        <v>22</v>
      </c>
    </row>
    <row r="115" spans="1:11" ht="42" customHeight="1">
      <c r="A115" s="2" t="s">
        <v>388</v>
      </c>
      <c r="B115" s="2" t="s">
        <v>389</v>
      </c>
      <c r="C115" s="2" t="s">
        <v>50</v>
      </c>
      <c r="D115" s="2" t="s">
        <v>51</v>
      </c>
      <c r="E115" s="5">
        <v>-28289</v>
      </c>
      <c r="F115" s="3" t="s">
        <v>390</v>
      </c>
      <c r="G115" s="3" t="s">
        <v>31</v>
      </c>
      <c r="H115" s="2" t="s">
        <v>45</v>
      </c>
      <c r="I115" s="2" t="s">
        <v>391</v>
      </c>
      <c r="J115" s="3" t="str">
        <f>HYPERLINK("https://www.boe.es/gazeta/dias/1822/07/18/pdfs/GMD-1822-209.pdf#page=3","Abrir facsímil")</f>
        <v>Abrir facsímil</v>
      </c>
      <c r="K115" s="3" t="s">
        <v>47</v>
      </c>
    </row>
    <row r="116" spans="1:11" ht="42" customHeight="1">
      <c r="A116" s="2" t="s">
        <v>392</v>
      </c>
      <c r="B116" s="2" t="s">
        <v>393</v>
      </c>
      <c r="C116" s="2" t="s">
        <v>50</v>
      </c>
      <c r="D116" s="2" t="s">
        <v>51</v>
      </c>
      <c r="E116" s="5">
        <v>-28409</v>
      </c>
      <c r="F116" s="3" t="s">
        <v>394</v>
      </c>
      <c r="G116" s="3" t="s">
        <v>57</v>
      </c>
      <c r="H116" s="2" t="s">
        <v>20</v>
      </c>
      <c r="I116" s="2" t="s">
        <v>395</v>
      </c>
      <c r="J116" s="3" t="str">
        <f>HYPERLINK("https://www.boe.es/gazeta/dias/1822/03/20/pdfs/GMD-1822-81.pdf#page=4","Abrir facsímil")</f>
        <v>Abrir facsímil</v>
      </c>
      <c r="K116" s="3" t="s">
        <v>22</v>
      </c>
    </row>
    <row r="117" spans="1:11" ht="42" customHeight="1">
      <c r="A117" s="2" t="s">
        <v>396</v>
      </c>
      <c r="B117" s="2" t="s">
        <v>396</v>
      </c>
      <c r="C117" s="2" t="s">
        <v>71</v>
      </c>
      <c r="D117" s="2" t="s">
        <v>17</v>
      </c>
      <c r="E117" s="5">
        <v>-28318</v>
      </c>
      <c r="F117" s="3" t="s">
        <v>397</v>
      </c>
      <c r="G117" s="3" t="s">
        <v>57</v>
      </c>
      <c r="H117" s="2" t="s">
        <v>20</v>
      </c>
      <c r="I117" s="2" t="s">
        <v>398</v>
      </c>
      <c r="J117" s="3" t="str">
        <f>HYPERLINK("https://www.boe.es/gazeta/dias/1822/06/19/pdfs/GMD-1822-176.pdf#page=4","Abrir facsímil")</f>
        <v>Abrir facsímil</v>
      </c>
      <c r="K117" s="3" t="s">
        <v>22</v>
      </c>
    </row>
    <row r="118" spans="1:11" ht="42" customHeight="1">
      <c r="A118" s="2" t="s">
        <v>399</v>
      </c>
      <c r="B118" s="2" t="s">
        <v>400</v>
      </c>
      <c r="C118" s="2" t="s">
        <v>50</v>
      </c>
      <c r="D118" s="2" t="s">
        <v>51</v>
      </c>
      <c r="E118" s="5">
        <v>-28371</v>
      </c>
      <c r="F118" s="3" t="s">
        <v>401</v>
      </c>
      <c r="G118" s="3" t="s">
        <v>19</v>
      </c>
      <c r="H118" s="2" t="s">
        <v>20</v>
      </c>
      <c r="I118" s="2" t="s">
        <v>402</v>
      </c>
      <c r="J118" s="3" t="str">
        <f>HYPERLINK("https://www.boe.es/gazeta/dias/1822/04/27/pdfs/GMD-1822-119.pdf#page=5","Abrir facsímil")</f>
        <v>Abrir facsímil</v>
      </c>
      <c r="K118" s="3" t="s">
        <v>22</v>
      </c>
    </row>
    <row r="119" spans="1:11" ht="42" customHeight="1">
      <c r="A119" s="2" t="s">
        <v>403</v>
      </c>
      <c r="B119" s="2" t="s">
        <v>404</v>
      </c>
      <c r="C119" s="2" t="s">
        <v>28</v>
      </c>
      <c r="D119" s="2" t="s">
        <v>29</v>
      </c>
      <c r="E119" s="5">
        <v>-28218</v>
      </c>
      <c r="F119" s="3" t="s">
        <v>405</v>
      </c>
      <c r="G119" s="3" t="s">
        <v>31</v>
      </c>
      <c r="H119" s="2" t="s">
        <v>20</v>
      </c>
      <c r="I119" s="2" t="s">
        <v>406</v>
      </c>
      <c r="J119" s="3" t="str">
        <f>HYPERLINK("https://www.boe.es/gazeta/dias/1822/09/27/pdfs/GMD-1822-283.pdf#page=3","Abrir facsímil")</f>
        <v>Abrir facsímil</v>
      </c>
      <c r="K119" s="3" t="s">
        <v>22</v>
      </c>
    </row>
    <row r="120" spans="1:11" ht="42" customHeight="1">
      <c r="A120" s="2" t="s">
        <v>407</v>
      </c>
      <c r="B120" s="2" t="s">
        <v>407</v>
      </c>
      <c r="C120" s="2" t="s">
        <v>28</v>
      </c>
      <c r="D120" s="2" t="s">
        <v>29</v>
      </c>
      <c r="E120" s="5">
        <v>-28130</v>
      </c>
      <c r="F120" s="3" t="s">
        <v>34</v>
      </c>
      <c r="G120" s="3" t="s">
        <v>44</v>
      </c>
      <c r="H120" s="2" t="s">
        <v>20</v>
      </c>
      <c r="I120" s="2" t="s">
        <v>408</v>
      </c>
      <c r="J120" s="3" t="str">
        <f>HYPERLINK("https://www.boe.es/gazeta/dias/1822/12/24/pdfs/GMD-1822-374.pdf#page=1","Abrir facsímil")</f>
        <v>Abrir facsímil</v>
      </c>
      <c r="K120" s="3" t="s">
        <v>22</v>
      </c>
    </row>
    <row r="121" spans="1:11" ht="42" customHeight="1">
      <c r="A121" s="2" t="s">
        <v>407</v>
      </c>
      <c r="B121" s="2" t="s">
        <v>407</v>
      </c>
      <c r="C121" s="2" t="s">
        <v>71</v>
      </c>
      <c r="D121" s="2" t="s">
        <v>17</v>
      </c>
      <c r="E121" s="5">
        <v>-28127</v>
      </c>
      <c r="F121" s="3" t="s">
        <v>409</v>
      </c>
      <c r="G121" s="3" t="s">
        <v>19</v>
      </c>
      <c r="H121" s="2" t="s">
        <v>20</v>
      </c>
      <c r="I121" s="2" t="s">
        <v>410</v>
      </c>
      <c r="J121" s="3" t="str">
        <f>HYPERLINK("https://www.boe.es/gazeta/dias/1822/12/27/pdfs/GMD-1822-377.pdf#page=5","Abrir facsímil")</f>
        <v>Abrir facsímil</v>
      </c>
      <c r="K121" s="3" t="s">
        <v>22</v>
      </c>
    </row>
    <row r="122" spans="1:11" ht="42" customHeight="1">
      <c r="A122" s="2" t="s">
        <v>411</v>
      </c>
      <c r="B122" s="2" t="s">
        <v>412</v>
      </c>
      <c r="C122" s="2" t="s">
        <v>42</v>
      </c>
      <c r="D122" s="2" t="s">
        <v>17</v>
      </c>
      <c r="E122" s="5">
        <v>-28253</v>
      </c>
      <c r="F122" s="3" t="s">
        <v>413</v>
      </c>
      <c r="G122" s="3" t="s">
        <v>44</v>
      </c>
      <c r="H122" s="2" t="s">
        <v>20</v>
      </c>
      <c r="I122" s="2" t="s">
        <v>414</v>
      </c>
      <c r="J122" s="3" t="str">
        <f>HYPERLINK("https://www.boe.es/gazeta/dias/1822/08/23/pdfs/GMD-1822-247.pdf#page=1","Abrir facsímil")</f>
        <v>Abrir facsímil</v>
      </c>
      <c r="K122" s="3" t="s">
        <v>22</v>
      </c>
    </row>
    <row r="123" spans="1:11" ht="42" customHeight="1">
      <c r="A123" s="2" t="s">
        <v>415</v>
      </c>
      <c r="B123" s="2" t="s">
        <v>415</v>
      </c>
      <c r="C123" s="2" t="s">
        <v>28</v>
      </c>
      <c r="D123" s="2" t="s">
        <v>29</v>
      </c>
      <c r="E123" s="5">
        <v>-28422</v>
      </c>
      <c r="F123" s="3" t="s">
        <v>416</v>
      </c>
      <c r="G123" s="3" t="s">
        <v>31</v>
      </c>
      <c r="H123" s="2" t="s">
        <v>20</v>
      </c>
      <c r="I123" s="2" t="s">
        <v>417</v>
      </c>
      <c r="J123" s="3" t="str">
        <f>HYPERLINK("https://www.boe.es/gazeta/dias/1822/03/07/pdfs/GMD-1822-68.pdf#page=3","Abrir facsímil")</f>
        <v>Abrir facsímil</v>
      </c>
      <c r="K123" s="3" t="s">
        <v>22</v>
      </c>
    </row>
    <row r="124" spans="1:11" ht="42" customHeight="1">
      <c r="A124" s="2" t="s">
        <v>418</v>
      </c>
      <c r="B124" s="2" t="s">
        <v>418</v>
      </c>
      <c r="C124" s="2" t="s">
        <v>42</v>
      </c>
      <c r="D124" s="2" t="s">
        <v>17</v>
      </c>
      <c r="E124" s="5">
        <v>-28425</v>
      </c>
      <c r="F124" s="3" t="s">
        <v>419</v>
      </c>
      <c r="G124" s="3" t="s">
        <v>35</v>
      </c>
      <c r="H124" s="2" t="s">
        <v>20</v>
      </c>
      <c r="I124" s="2" t="s">
        <v>420</v>
      </c>
      <c r="J124" s="3" t="str">
        <f>HYPERLINK("https://www.boe.es/gazeta/dias/1822/03/04/pdfs/GMD-1822-65.pdf#page=2","Abrir facsímil")</f>
        <v>Abrir facsímil</v>
      </c>
      <c r="K124" s="3" t="s">
        <v>22</v>
      </c>
    </row>
    <row r="125" spans="1:11" ht="42" customHeight="1">
      <c r="A125" s="2" t="s">
        <v>418</v>
      </c>
      <c r="B125" s="2" t="s">
        <v>418</v>
      </c>
      <c r="C125" s="2" t="s">
        <v>71</v>
      </c>
      <c r="D125" s="2" t="s">
        <v>17</v>
      </c>
      <c r="E125" s="5">
        <v>-28404</v>
      </c>
      <c r="F125" s="3" t="s">
        <v>421</v>
      </c>
      <c r="G125" s="3" t="s">
        <v>35</v>
      </c>
      <c r="H125" s="2" t="s">
        <v>20</v>
      </c>
      <c r="I125" s="2" t="s">
        <v>422</v>
      </c>
      <c r="J125" s="3" t="str">
        <f>HYPERLINK("https://www.boe.es/gazeta/dias/1822/03/25/pdfs/GMD-1822-86.pdf#page=2","Abrir facsímil")</f>
        <v>Abrir facsímil</v>
      </c>
      <c r="K125" s="3" t="s">
        <v>22</v>
      </c>
    </row>
    <row r="126" spans="1:11" ht="42" customHeight="1">
      <c r="A126" s="2" t="s">
        <v>418</v>
      </c>
      <c r="B126" s="2" t="s">
        <v>418</v>
      </c>
      <c r="C126" s="2" t="s">
        <v>42</v>
      </c>
      <c r="D126" s="2" t="s">
        <v>17</v>
      </c>
      <c r="E126" s="5">
        <v>-28299</v>
      </c>
      <c r="F126" s="3" t="s">
        <v>423</v>
      </c>
      <c r="G126" s="3" t="s">
        <v>44</v>
      </c>
      <c r="H126" s="2" t="s">
        <v>20</v>
      </c>
      <c r="I126" s="2" t="s">
        <v>424</v>
      </c>
      <c r="J126" s="3" t="str">
        <f>HYPERLINK("https://www.boe.es/gazeta/dias/1822/07/08/pdfs/GMD-1822-197.pdf#page=1","Abrir facsímil")</f>
        <v>Abrir facsímil</v>
      </c>
      <c r="K126" s="3" t="s">
        <v>22</v>
      </c>
    </row>
    <row r="127" spans="1:11" ht="42" customHeight="1">
      <c r="A127" s="2" t="s">
        <v>425</v>
      </c>
      <c r="B127" s="2" t="s">
        <v>425</v>
      </c>
      <c r="C127" s="2" t="s">
        <v>42</v>
      </c>
      <c r="D127" s="2" t="s">
        <v>17</v>
      </c>
      <c r="E127" s="5">
        <v>-28487</v>
      </c>
      <c r="F127" s="3" t="s">
        <v>426</v>
      </c>
      <c r="G127" s="3" t="s">
        <v>19</v>
      </c>
      <c r="H127" s="2" t="s">
        <v>20</v>
      </c>
      <c r="I127" s="2" t="s">
        <v>427</v>
      </c>
      <c r="J127" s="3" t="str">
        <f>HYPERLINK("https://www.boe.es/gazeta/dias/1822/01/01/pdfs/GMD-1822-1.pdf#page=5","Abrir facsímil")</f>
        <v>Abrir facsímil</v>
      </c>
      <c r="K127" s="3" t="s">
        <v>22</v>
      </c>
    </row>
    <row r="128" spans="1:11" ht="42" customHeight="1">
      <c r="A128" s="2" t="s">
        <v>428</v>
      </c>
      <c r="B128" s="2" t="s">
        <v>428</v>
      </c>
      <c r="C128" s="2" t="s">
        <v>42</v>
      </c>
      <c r="D128" s="2" t="s">
        <v>17</v>
      </c>
      <c r="E128" s="5">
        <v>-28441</v>
      </c>
      <c r="F128" s="3" t="s">
        <v>429</v>
      </c>
      <c r="G128" s="3" t="s">
        <v>31</v>
      </c>
      <c r="H128" s="2" t="s">
        <v>20</v>
      </c>
      <c r="I128" s="2" t="s">
        <v>430</v>
      </c>
      <c r="J128" s="3" t="str">
        <f>HYPERLINK("https://www.boe.es/gazeta/dias/1822/02/16/pdfs/GMD-1822-48.pdf#page=3","Abrir facsímil")</f>
        <v>Abrir facsímil</v>
      </c>
      <c r="K128" s="3" t="s">
        <v>22</v>
      </c>
    </row>
    <row r="129" spans="1:11" ht="42" customHeight="1">
      <c r="A129" s="2" t="s">
        <v>428</v>
      </c>
      <c r="B129" s="2" t="s">
        <v>428</v>
      </c>
      <c r="C129" s="2" t="s">
        <v>28</v>
      </c>
      <c r="D129" s="2" t="s">
        <v>29</v>
      </c>
      <c r="E129" s="5">
        <v>-28436</v>
      </c>
      <c r="F129" s="3" t="s">
        <v>431</v>
      </c>
      <c r="G129" s="3" t="s">
        <v>57</v>
      </c>
      <c r="H129" s="2" t="s">
        <v>20</v>
      </c>
      <c r="I129" s="2" t="s">
        <v>432</v>
      </c>
      <c r="J129" s="3" t="str">
        <f>HYPERLINK("https://www.boe.es/gazeta/dias/1822/02/21/pdfs/GMD-1822-53.pdf#page=4","Abrir facsímil")</f>
        <v>Abrir facsímil</v>
      </c>
      <c r="K129" s="3" t="s">
        <v>22</v>
      </c>
    </row>
    <row r="130" spans="1:11" ht="42" customHeight="1">
      <c r="A130" s="2" t="s">
        <v>428</v>
      </c>
      <c r="B130" s="2" t="s">
        <v>428</v>
      </c>
      <c r="C130" s="2" t="s">
        <v>42</v>
      </c>
      <c r="D130" s="2" t="s">
        <v>17</v>
      </c>
      <c r="E130" s="5">
        <v>-28434</v>
      </c>
      <c r="F130" s="3" t="s">
        <v>433</v>
      </c>
      <c r="G130" s="3" t="s">
        <v>35</v>
      </c>
      <c r="H130" s="2" t="s">
        <v>20</v>
      </c>
      <c r="I130" s="2" t="s">
        <v>434</v>
      </c>
      <c r="J130" s="3" t="str">
        <f>HYPERLINK("https://www.boe.es/gazeta/dias/1822/02/23/pdfs/GMD-1822-55.pdf#page=2","Abrir facsímil")</f>
        <v>Abrir facsímil</v>
      </c>
      <c r="K130" s="3" t="s">
        <v>22</v>
      </c>
    </row>
    <row r="131" spans="1:11" ht="42" customHeight="1">
      <c r="A131" s="2" t="s">
        <v>428</v>
      </c>
      <c r="B131" s="2" t="s">
        <v>428</v>
      </c>
      <c r="C131" s="2" t="s">
        <v>28</v>
      </c>
      <c r="D131" s="2" t="s">
        <v>29</v>
      </c>
      <c r="E131" s="5">
        <v>-28434</v>
      </c>
      <c r="F131" s="3" t="s">
        <v>433</v>
      </c>
      <c r="G131" s="3" t="s">
        <v>57</v>
      </c>
      <c r="H131" s="2" t="s">
        <v>20</v>
      </c>
      <c r="I131" s="2" t="s">
        <v>435</v>
      </c>
      <c r="J131" s="3" t="str">
        <f>HYPERLINK("https://www.boe.es/gazeta/dias/1822/02/23/pdfs/GMD-1822-55.pdf#page=4","Abrir facsímil")</f>
        <v>Abrir facsímil</v>
      </c>
      <c r="K131" s="3" t="s">
        <v>22</v>
      </c>
    </row>
    <row r="132" spans="1:11" ht="42" customHeight="1">
      <c r="A132" s="2" t="s">
        <v>428</v>
      </c>
      <c r="B132" s="2" t="s">
        <v>428</v>
      </c>
      <c r="C132" s="2" t="s">
        <v>71</v>
      </c>
      <c r="D132" s="2" t="s">
        <v>17</v>
      </c>
      <c r="E132" s="5">
        <v>-28432</v>
      </c>
      <c r="F132" s="3" t="s">
        <v>195</v>
      </c>
      <c r="G132" s="3" t="s">
        <v>31</v>
      </c>
      <c r="H132" s="2" t="s">
        <v>20</v>
      </c>
      <c r="I132" s="2" t="s">
        <v>436</v>
      </c>
      <c r="J132" s="3" t="str">
        <f>HYPERLINK("https://www.boe.es/gazeta/dias/1822/02/25/pdfs/GMD-1822-57.pdf#page=3","Abrir facsímil")</f>
        <v>Abrir facsímil</v>
      </c>
      <c r="K132" s="3" t="s">
        <v>22</v>
      </c>
    </row>
    <row r="133" spans="1:11" ht="42" customHeight="1">
      <c r="A133" s="2" t="s">
        <v>437</v>
      </c>
      <c r="B133" s="2" t="s">
        <v>437</v>
      </c>
      <c r="C133" s="2" t="s">
        <v>71</v>
      </c>
      <c r="D133" s="2" t="s">
        <v>17</v>
      </c>
      <c r="E133" s="5">
        <v>-28425</v>
      </c>
      <c r="F133" s="3" t="s">
        <v>419</v>
      </c>
      <c r="G133" s="3" t="s">
        <v>31</v>
      </c>
      <c r="H133" s="2" t="s">
        <v>20</v>
      </c>
      <c r="I133" s="2" t="s">
        <v>438</v>
      </c>
      <c r="J133" s="3" t="str">
        <f>HYPERLINK("https://www.boe.es/gazeta/dias/1822/03/04/pdfs/GMD-1822-65.pdf#page=3","Abrir facsímil")</f>
        <v>Abrir facsímil</v>
      </c>
      <c r="K133" s="3" t="s">
        <v>22</v>
      </c>
    </row>
    <row r="134" spans="1:11" ht="42" customHeight="1">
      <c r="A134" s="2" t="s">
        <v>428</v>
      </c>
      <c r="B134" s="2" t="s">
        <v>428</v>
      </c>
      <c r="C134" s="2" t="s">
        <v>28</v>
      </c>
      <c r="D134" s="2" t="s">
        <v>29</v>
      </c>
      <c r="E134" s="5">
        <v>-28424</v>
      </c>
      <c r="F134" s="3" t="s">
        <v>439</v>
      </c>
      <c r="G134" s="3" t="s">
        <v>31</v>
      </c>
      <c r="H134" s="2" t="s">
        <v>20</v>
      </c>
      <c r="I134" s="2" t="s">
        <v>440</v>
      </c>
      <c r="J134" s="3" t="str">
        <f>HYPERLINK("https://www.boe.es/gazeta/dias/1822/03/05/pdfs/GMD-1822-66.pdf#page=3","Abrir facsímil")</f>
        <v>Abrir facsímil</v>
      </c>
      <c r="K134" s="3" t="s">
        <v>22</v>
      </c>
    </row>
    <row r="135" spans="1:11" ht="42" customHeight="1">
      <c r="A135" s="2" t="s">
        <v>428</v>
      </c>
      <c r="B135" s="2" t="s">
        <v>428</v>
      </c>
      <c r="C135" s="2" t="s">
        <v>28</v>
      </c>
      <c r="D135" s="2" t="s">
        <v>29</v>
      </c>
      <c r="E135" s="5">
        <v>-28423</v>
      </c>
      <c r="F135" s="3" t="s">
        <v>441</v>
      </c>
      <c r="G135" s="3" t="s">
        <v>31</v>
      </c>
      <c r="H135" s="2" t="s">
        <v>20</v>
      </c>
      <c r="I135" s="2" t="s">
        <v>442</v>
      </c>
      <c r="J135" s="3" t="str">
        <f>HYPERLINK("https://www.boe.es/gazeta/dias/1822/03/06/pdfs/GMD-1822-67.pdf#page=3","Abrir facsímil")</f>
        <v>Abrir facsímil</v>
      </c>
      <c r="K135" s="3" t="s">
        <v>22</v>
      </c>
    </row>
    <row r="136" spans="1:11" ht="42" customHeight="1">
      <c r="A136" s="2" t="s">
        <v>428</v>
      </c>
      <c r="B136" s="2" t="s">
        <v>428</v>
      </c>
      <c r="C136" s="2" t="s">
        <v>28</v>
      </c>
      <c r="D136" s="2" t="s">
        <v>29</v>
      </c>
      <c r="E136" s="5">
        <v>-28423</v>
      </c>
      <c r="F136" s="3" t="s">
        <v>441</v>
      </c>
      <c r="G136" s="3" t="s">
        <v>57</v>
      </c>
      <c r="H136" s="2" t="s">
        <v>20</v>
      </c>
      <c r="I136" s="2" t="s">
        <v>443</v>
      </c>
      <c r="J136" s="3" t="str">
        <f>HYPERLINK("https://www.boe.es/gazeta/dias/1822/03/06/pdfs/GMD-1822-67.pdf#page=4","Abrir facsímil")</f>
        <v>Abrir facsímil</v>
      </c>
      <c r="K136" s="3" t="s">
        <v>22</v>
      </c>
    </row>
    <row r="137" spans="1:11" ht="42" customHeight="1">
      <c r="A137" s="2" t="s">
        <v>428</v>
      </c>
      <c r="B137" s="2" t="s">
        <v>428</v>
      </c>
      <c r="C137" s="2" t="s">
        <v>42</v>
      </c>
      <c r="D137" s="2" t="s">
        <v>17</v>
      </c>
      <c r="E137" s="5">
        <v>-28423</v>
      </c>
      <c r="F137" s="3" t="s">
        <v>441</v>
      </c>
      <c r="G137" s="3" t="s">
        <v>19</v>
      </c>
      <c r="H137" s="2" t="s">
        <v>20</v>
      </c>
      <c r="I137" s="2" t="s">
        <v>444</v>
      </c>
      <c r="J137" s="3" t="str">
        <f>HYPERLINK("https://www.boe.es/gazeta/dias/1822/03/06/pdfs/GMD-1822-67.pdf#page=5","Abrir facsímil")</f>
        <v>Abrir facsímil</v>
      </c>
      <c r="K137" s="3" t="s">
        <v>22</v>
      </c>
    </row>
    <row r="138" spans="1:11" ht="42" customHeight="1">
      <c r="A138" s="2" t="s">
        <v>428</v>
      </c>
      <c r="B138" s="2" t="s">
        <v>428</v>
      </c>
      <c r="C138" s="2" t="s">
        <v>16</v>
      </c>
      <c r="D138" s="2" t="s">
        <v>17</v>
      </c>
      <c r="E138" s="5">
        <v>-28422</v>
      </c>
      <c r="F138" s="3" t="s">
        <v>416</v>
      </c>
      <c r="G138" s="3" t="s">
        <v>35</v>
      </c>
      <c r="H138" s="2" t="s">
        <v>20</v>
      </c>
      <c r="I138" s="2" t="s">
        <v>445</v>
      </c>
      <c r="J138" s="3" t="str">
        <f>HYPERLINK("https://www.boe.es/gazeta/dias/1822/03/07/pdfs/GMD-1822-68.pdf#page=2","Abrir facsímil")</f>
        <v>Abrir facsímil</v>
      </c>
      <c r="K138" s="3" t="s">
        <v>22</v>
      </c>
    </row>
    <row r="139" spans="1:11" ht="42" customHeight="1">
      <c r="A139" s="2" t="s">
        <v>428</v>
      </c>
      <c r="B139" s="2" t="s">
        <v>428</v>
      </c>
      <c r="C139" s="2" t="s">
        <v>42</v>
      </c>
      <c r="D139" s="2" t="s">
        <v>17</v>
      </c>
      <c r="E139" s="5">
        <v>-28421</v>
      </c>
      <c r="F139" s="3" t="s">
        <v>446</v>
      </c>
      <c r="G139" s="3" t="s">
        <v>57</v>
      </c>
      <c r="H139" s="2" t="s">
        <v>20</v>
      </c>
      <c r="I139" s="2" t="s">
        <v>447</v>
      </c>
      <c r="J139" s="3" t="str">
        <f>HYPERLINK("https://www.boe.es/gazeta/dias/1822/03/08/pdfs/GMD-1822-69.pdf#page=4","Abrir facsímil")</f>
        <v>Abrir facsímil</v>
      </c>
      <c r="K139" s="3" t="s">
        <v>22</v>
      </c>
    </row>
    <row r="140" spans="1:11" ht="42" customHeight="1">
      <c r="A140" s="2" t="s">
        <v>428</v>
      </c>
      <c r="B140" s="2" t="s">
        <v>428</v>
      </c>
      <c r="C140" s="2" t="s">
        <v>28</v>
      </c>
      <c r="D140" s="2" t="s">
        <v>29</v>
      </c>
      <c r="E140" s="5">
        <v>-28421</v>
      </c>
      <c r="F140" s="3" t="s">
        <v>446</v>
      </c>
      <c r="G140" s="3" t="s">
        <v>19</v>
      </c>
      <c r="H140" s="2" t="s">
        <v>20</v>
      </c>
      <c r="I140" s="2" t="s">
        <v>448</v>
      </c>
      <c r="J140" s="3" t="str">
        <f>HYPERLINK("https://www.boe.es/gazeta/dias/1822/03/08/pdfs/GMD-1822-69.pdf#page=5","Abrir facsímil")</f>
        <v>Abrir facsímil</v>
      </c>
      <c r="K140" s="3" t="s">
        <v>22</v>
      </c>
    </row>
    <row r="141" spans="1:11" ht="42" customHeight="1">
      <c r="A141" s="2" t="s">
        <v>428</v>
      </c>
      <c r="B141" s="2" t="s">
        <v>428</v>
      </c>
      <c r="C141" s="2" t="s">
        <v>71</v>
      </c>
      <c r="D141" s="2" t="s">
        <v>17</v>
      </c>
      <c r="E141" s="5">
        <v>-28420</v>
      </c>
      <c r="F141" s="3" t="s">
        <v>449</v>
      </c>
      <c r="G141" s="3" t="s">
        <v>19</v>
      </c>
      <c r="H141" s="2" t="s">
        <v>20</v>
      </c>
      <c r="I141" s="2" t="s">
        <v>450</v>
      </c>
      <c r="J141" s="3" t="str">
        <f>HYPERLINK("https://www.boe.es/gazeta/dias/1822/03/09/pdfs/GMD-1822-70.pdf#page=5","Abrir facsímil")</f>
        <v>Abrir facsímil</v>
      </c>
      <c r="K141" s="3" t="s">
        <v>22</v>
      </c>
    </row>
    <row r="142" spans="1:11" ht="42" customHeight="1">
      <c r="A142" s="2" t="s">
        <v>428</v>
      </c>
      <c r="B142" s="2" t="s">
        <v>428</v>
      </c>
      <c r="C142" s="2" t="s">
        <v>16</v>
      </c>
      <c r="D142" s="2" t="s">
        <v>17</v>
      </c>
      <c r="E142" s="5">
        <v>-28418</v>
      </c>
      <c r="F142" s="3" t="s">
        <v>205</v>
      </c>
      <c r="G142" s="3" t="s">
        <v>63</v>
      </c>
      <c r="H142" s="2" t="s">
        <v>20</v>
      </c>
      <c r="I142" s="2" t="s">
        <v>451</v>
      </c>
      <c r="J142" s="3" t="str">
        <f>HYPERLINK("https://www.boe.es/gazeta/dias/1822/03/11/pdfs/GMD-1822-72.pdf#page=6","Abrir facsímil")</f>
        <v>Abrir facsímil</v>
      </c>
      <c r="K142" s="3" t="s">
        <v>22</v>
      </c>
    </row>
    <row r="143" spans="1:11" ht="42" customHeight="1">
      <c r="A143" s="2" t="s">
        <v>428</v>
      </c>
      <c r="B143" s="2" t="s">
        <v>428</v>
      </c>
      <c r="C143" s="2" t="s">
        <v>71</v>
      </c>
      <c r="D143" s="2" t="s">
        <v>17</v>
      </c>
      <c r="E143" s="5">
        <v>-28416</v>
      </c>
      <c r="F143" s="3" t="s">
        <v>97</v>
      </c>
      <c r="G143" s="3" t="s">
        <v>31</v>
      </c>
      <c r="H143" s="2" t="s">
        <v>20</v>
      </c>
      <c r="I143" s="2" t="s">
        <v>452</v>
      </c>
      <c r="J143" s="3" t="str">
        <f>HYPERLINK("https://www.boe.es/gazeta/dias/1822/03/13/pdfs/GMD-1822-74.pdf#page=3","Abrir facsímil")</f>
        <v>Abrir facsímil</v>
      </c>
      <c r="K143" s="3" t="s">
        <v>22</v>
      </c>
    </row>
    <row r="144" spans="1:11" ht="42" customHeight="1">
      <c r="A144" s="2" t="s">
        <v>428</v>
      </c>
      <c r="B144" s="2" t="s">
        <v>428</v>
      </c>
      <c r="C144" s="2" t="s">
        <v>28</v>
      </c>
      <c r="D144" s="2" t="s">
        <v>29</v>
      </c>
      <c r="E144" s="5">
        <v>-28416</v>
      </c>
      <c r="F144" s="3" t="s">
        <v>97</v>
      </c>
      <c r="G144" s="3" t="s">
        <v>57</v>
      </c>
      <c r="H144" s="2" t="s">
        <v>20</v>
      </c>
      <c r="I144" s="2" t="s">
        <v>453</v>
      </c>
      <c r="J144" s="3" t="str">
        <f>HYPERLINK("https://www.boe.es/gazeta/dias/1822/03/13/pdfs/GMD-1822-74.pdf#page=4","Abrir facsímil")</f>
        <v>Abrir facsímil</v>
      </c>
      <c r="K144" s="3" t="s">
        <v>22</v>
      </c>
    </row>
    <row r="145" spans="1:11" ht="42" customHeight="1">
      <c r="A145" s="2" t="s">
        <v>428</v>
      </c>
      <c r="B145" s="2" t="s">
        <v>428</v>
      </c>
      <c r="C145" s="2" t="s">
        <v>28</v>
      </c>
      <c r="D145" s="2" t="s">
        <v>29</v>
      </c>
      <c r="E145" s="5">
        <v>-28416</v>
      </c>
      <c r="F145" s="3" t="s">
        <v>97</v>
      </c>
      <c r="G145" s="3" t="s">
        <v>19</v>
      </c>
      <c r="H145" s="2" t="s">
        <v>20</v>
      </c>
      <c r="I145" s="2" t="s">
        <v>454</v>
      </c>
      <c r="J145" s="3" t="str">
        <f>HYPERLINK("https://www.boe.es/gazeta/dias/1822/03/13/pdfs/GMD-1822-74.pdf#page=5","Abrir facsímil")</f>
        <v>Abrir facsímil</v>
      </c>
      <c r="K145" s="3" t="s">
        <v>22</v>
      </c>
    </row>
    <row r="146" spans="1:11" ht="42" customHeight="1">
      <c r="A146" s="2" t="s">
        <v>428</v>
      </c>
      <c r="B146" s="2" t="s">
        <v>428</v>
      </c>
      <c r="C146" s="2" t="s">
        <v>16</v>
      </c>
      <c r="D146" s="2" t="s">
        <v>17</v>
      </c>
      <c r="E146" s="5">
        <v>-28415</v>
      </c>
      <c r="F146" s="3" t="s">
        <v>77</v>
      </c>
      <c r="G146" s="3" t="s">
        <v>57</v>
      </c>
      <c r="H146" s="2" t="s">
        <v>20</v>
      </c>
      <c r="I146" s="2" t="s">
        <v>455</v>
      </c>
      <c r="J146" s="3" t="str">
        <f>HYPERLINK("https://www.boe.es/gazeta/dias/1822/03/14/pdfs/GMD-1822-75.pdf#page=4","Abrir facsímil")</f>
        <v>Abrir facsímil</v>
      </c>
      <c r="K146" s="3" t="s">
        <v>22</v>
      </c>
    </row>
    <row r="147" spans="1:11" ht="42" customHeight="1">
      <c r="A147" s="2" t="s">
        <v>428</v>
      </c>
      <c r="B147" s="2" t="s">
        <v>428</v>
      </c>
      <c r="C147" s="2" t="s">
        <v>71</v>
      </c>
      <c r="D147" s="2" t="s">
        <v>17</v>
      </c>
      <c r="E147" s="5">
        <v>-28414</v>
      </c>
      <c r="F147" s="3" t="s">
        <v>187</v>
      </c>
      <c r="G147" s="3" t="s">
        <v>57</v>
      </c>
      <c r="H147" s="2" t="s">
        <v>20</v>
      </c>
      <c r="I147" s="2" t="s">
        <v>456</v>
      </c>
      <c r="J147" s="3" t="str">
        <f>HYPERLINK("https://www.boe.es/gazeta/dias/1822/03/15/pdfs/GMD-1822-76.pdf#page=4","Abrir facsímil")</f>
        <v>Abrir facsímil</v>
      </c>
      <c r="K147" s="3" t="s">
        <v>22</v>
      </c>
    </row>
    <row r="148" spans="1:11" ht="42" customHeight="1">
      <c r="A148" s="2" t="s">
        <v>428</v>
      </c>
      <c r="B148" s="2" t="s">
        <v>428</v>
      </c>
      <c r="C148" s="2" t="s">
        <v>24</v>
      </c>
      <c r="D148" s="2" t="s">
        <v>17</v>
      </c>
      <c r="E148" s="5">
        <v>-28414</v>
      </c>
      <c r="F148" s="3" t="s">
        <v>187</v>
      </c>
      <c r="G148" s="3" t="s">
        <v>19</v>
      </c>
      <c r="H148" s="2" t="s">
        <v>20</v>
      </c>
      <c r="I148" s="2" t="s">
        <v>457</v>
      </c>
      <c r="J148" s="3" t="str">
        <f>HYPERLINK("https://www.boe.es/gazeta/dias/1822/03/15/pdfs/GMD-1822-76.pdf#page=5","Abrir facsímil")</f>
        <v>Abrir facsímil</v>
      </c>
      <c r="K148" s="3" t="s">
        <v>22</v>
      </c>
    </row>
    <row r="149" spans="1:11" ht="42" customHeight="1">
      <c r="A149" s="2" t="s">
        <v>428</v>
      </c>
      <c r="B149" s="2" t="s">
        <v>428</v>
      </c>
      <c r="C149" s="2" t="s">
        <v>28</v>
      </c>
      <c r="D149" s="2" t="s">
        <v>29</v>
      </c>
      <c r="E149" s="5">
        <v>-28413</v>
      </c>
      <c r="F149" s="3" t="s">
        <v>458</v>
      </c>
      <c r="G149" s="3" t="s">
        <v>31</v>
      </c>
      <c r="H149" s="2" t="s">
        <v>20</v>
      </c>
      <c r="I149" s="2" t="s">
        <v>459</v>
      </c>
      <c r="J149" s="3" t="str">
        <f>HYPERLINK("https://www.boe.es/gazeta/dias/1822/03/16/pdfs/GMD-1822-77.pdf#page=3","Abrir facsímil")</f>
        <v>Abrir facsímil</v>
      </c>
      <c r="K149" s="3" t="s">
        <v>22</v>
      </c>
    </row>
    <row r="150" spans="1:11" ht="42" customHeight="1">
      <c r="A150" s="2" t="s">
        <v>428</v>
      </c>
      <c r="B150" s="2" t="s">
        <v>428</v>
      </c>
      <c r="C150" s="2" t="s">
        <v>42</v>
      </c>
      <c r="D150" s="2" t="s">
        <v>17</v>
      </c>
      <c r="E150" s="5">
        <v>-28407</v>
      </c>
      <c r="F150" s="3" t="s">
        <v>460</v>
      </c>
      <c r="G150" s="3" t="s">
        <v>31</v>
      </c>
      <c r="H150" s="2" t="s">
        <v>20</v>
      </c>
      <c r="I150" s="2" t="s">
        <v>461</v>
      </c>
      <c r="J150" s="3" t="str">
        <f>HYPERLINK("https://www.boe.es/gazeta/dias/1822/03/22/pdfs/GMD-1822-83.pdf#page=3","Abrir facsímil")</f>
        <v>Abrir facsímil</v>
      </c>
      <c r="K150" s="3" t="s">
        <v>22</v>
      </c>
    </row>
    <row r="151" spans="1:11" ht="42" customHeight="1">
      <c r="A151" s="2" t="s">
        <v>428</v>
      </c>
      <c r="B151" s="2" t="s">
        <v>428</v>
      </c>
      <c r="C151" s="2" t="s">
        <v>28</v>
      </c>
      <c r="D151" s="2" t="s">
        <v>29</v>
      </c>
      <c r="E151" s="5">
        <v>-28406</v>
      </c>
      <c r="F151" s="3" t="s">
        <v>462</v>
      </c>
      <c r="G151" s="3" t="s">
        <v>57</v>
      </c>
      <c r="H151" s="2" t="s">
        <v>20</v>
      </c>
      <c r="I151" s="2" t="s">
        <v>463</v>
      </c>
      <c r="J151" s="3" t="str">
        <f>HYPERLINK("https://www.boe.es/gazeta/dias/1822/03/23/pdfs/GMD-1822-84.pdf#page=4","Abrir facsímil")</f>
        <v>Abrir facsímil</v>
      </c>
      <c r="K151" s="3" t="s">
        <v>22</v>
      </c>
    </row>
    <row r="152" spans="1:11" ht="42" customHeight="1">
      <c r="A152" s="2" t="s">
        <v>437</v>
      </c>
      <c r="B152" s="2" t="s">
        <v>437</v>
      </c>
      <c r="C152" s="2" t="s">
        <v>16</v>
      </c>
      <c r="D152" s="2" t="s">
        <v>17</v>
      </c>
      <c r="E152" s="5">
        <v>-28406</v>
      </c>
      <c r="F152" s="3" t="s">
        <v>462</v>
      </c>
      <c r="G152" s="3" t="s">
        <v>63</v>
      </c>
      <c r="H152" s="2" t="s">
        <v>20</v>
      </c>
      <c r="I152" s="2" t="s">
        <v>464</v>
      </c>
      <c r="J152" s="3" t="str">
        <f>HYPERLINK("https://www.boe.es/gazeta/dias/1822/03/23/pdfs/GMD-1822-84.pdf#page=6","Abrir facsímil")</f>
        <v>Abrir facsímil</v>
      </c>
      <c r="K152" s="3" t="s">
        <v>22</v>
      </c>
    </row>
    <row r="153" spans="1:11" ht="42" customHeight="1">
      <c r="A153" s="2" t="s">
        <v>428</v>
      </c>
      <c r="B153" s="2" t="s">
        <v>428</v>
      </c>
      <c r="C153" s="2" t="s">
        <v>71</v>
      </c>
      <c r="D153" s="2" t="s">
        <v>17</v>
      </c>
      <c r="E153" s="5">
        <v>-28406</v>
      </c>
      <c r="F153" s="3" t="s">
        <v>462</v>
      </c>
      <c r="G153" s="3" t="s">
        <v>167</v>
      </c>
      <c r="H153" s="2" t="s">
        <v>20</v>
      </c>
      <c r="I153" s="2" t="s">
        <v>465</v>
      </c>
      <c r="J153" s="3" t="str">
        <f>HYPERLINK("https://www.boe.es/gazeta/dias/1822/03/23/pdfs/GMD-1822-84.pdf#page=7","Abrir facsímil")</f>
        <v>Abrir facsímil</v>
      </c>
      <c r="K153" s="3" t="s">
        <v>22</v>
      </c>
    </row>
    <row r="154" spans="1:11" ht="42" customHeight="1">
      <c r="A154" s="2" t="s">
        <v>428</v>
      </c>
      <c r="B154" s="2" t="s">
        <v>428</v>
      </c>
      <c r="C154" s="2" t="s">
        <v>71</v>
      </c>
      <c r="D154" s="2" t="s">
        <v>17</v>
      </c>
      <c r="E154" s="5">
        <v>-28405</v>
      </c>
      <c r="F154" s="3" t="s">
        <v>466</v>
      </c>
      <c r="G154" s="3" t="s">
        <v>35</v>
      </c>
      <c r="H154" s="2" t="s">
        <v>20</v>
      </c>
      <c r="I154" s="2" t="s">
        <v>467</v>
      </c>
      <c r="J154" s="3" t="str">
        <f>HYPERLINK("https://www.boe.es/gazeta/dias/1822/03/24/pdfs/GMD-1822-85.pdf#page=2","Abrir facsímil")</f>
        <v>Abrir facsímil</v>
      </c>
      <c r="K154" s="3" t="s">
        <v>22</v>
      </c>
    </row>
    <row r="155" spans="1:11" ht="42" customHeight="1">
      <c r="A155" s="2" t="s">
        <v>428</v>
      </c>
      <c r="B155" s="2" t="s">
        <v>428</v>
      </c>
      <c r="C155" s="2" t="s">
        <v>28</v>
      </c>
      <c r="D155" s="2" t="s">
        <v>29</v>
      </c>
      <c r="E155" s="5">
        <v>-28405</v>
      </c>
      <c r="F155" s="3" t="s">
        <v>466</v>
      </c>
      <c r="G155" s="3" t="s">
        <v>31</v>
      </c>
      <c r="H155" s="2" t="s">
        <v>20</v>
      </c>
      <c r="I155" s="2" t="s">
        <v>468</v>
      </c>
      <c r="J155" s="3" t="str">
        <f>HYPERLINK("https://www.boe.es/gazeta/dias/1822/03/24/pdfs/GMD-1822-85.pdf#page=3","Abrir facsímil")</f>
        <v>Abrir facsímil</v>
      </c>
      <c r="K155" s="3" t="s">
        <v>22</v>
      </c>
    </row>
    <row r="156" spans="1:11" ht="42" customHeight="1">
      <c r="A156" s="2" t="s">
        <v>428</v>
      </c>
      <c r="B156" s="2" t="s">
        <v>428</v>
      </c>
      <c r="C156" s="2" t="s">
        <v>16</v>
      </c>
      <c r="D156" s="2" t="s">
        <v>17</v>
      </c>
      <c r="E156" s="5">
        <v>-28405</v>
      </c>
      <c r="F156" s="3" t="s">
        <v>466</v>
      </c>
      <c r="G156" s="3" t="s">
        <v>19</v>
      </c>
      <c r="H156" s="2" t="s">
        <v>20</v>
      </c>
      <c r="I156" s="2" t="s">
        <v>469</v>
      </c>
      <c r="J156" s="3" t="str">
        <f>HYPERLINK("https://www.boe.es/gazeta/dias/1822/03/24/pdfs/GMD-1822-85.pdf#page=5","Abrir facsímil")</f>
        <v>Abrir facsímil</v>
      </c>
      <c r="K156" s="3" t="s">
        <v>22</v>
      </c>
    </row>
    <row r="157" spans="1:11" ht="42" customHeight="1">
      <c r="A157" s="2" t="s">
        <v>428</v>
      </c>
      <c r="B157" s="2" t="s">
        <v>428</v>
      </c>
      <c r="C157" s="2" t="s">
        <v>28</v>
      </c>
      <c r="D157" s="2" t="s">
        <v>29</v>
      </c>
      <c r="E157" s="5">
        <v>-28404</v>
      </c>
      <c r="F157" s="3" t="s">
        <v>421</v>
      </c>
      <c r="G157" s="3" t="s">
        <v>31</v>
      </c>
      <c r="H157" s="2" t="s">
        <v>20</v>
      </c>
      <c r="I157" s="2" t="s">
        <v>470</v>
      </c>
      <c r="J157" s="3" t="str">
        <f>HYPERLINK("https://www.boe.es/gazeta/dias/1822/03/25/pdfs/GMD-1822-86.pdf#page=3","Abrir facsímil")</f>
        <v>Abrir facsímil</v>
      </c>
      <c r="K157" s="3" t="s">
        <v>22</v>
      </c>
    </row>
    <row r="158" spans="1:11" ht="42" customHeight="1">
      <c r="A158" s="2" t="s">
        <v>428</v>
      </c>
      <c r="B158" s="2" t="s">
        <v>428</v>
      </c>
      <c r="C158" s="2" t="s">
        <v>50</v>
      </c>
      <c r="D158" s="2" t="s">
        <v>51</v>
      </c>
      <c r="E158" s="5">
        <v>-28403</v>
      </c>
      <c r="F158" s="3" t="s">
        <v>471</v>
      </c>
      <c r="G158" s="3" t="s">
        <v>35</v>
      </c>
      <c r="H158" s="2" t="s">
        <v>20</v>
      </c>
      <c r="I158" s="2" t="s">
        <v>472</v>
      </c>
      <c r="J158" s="3" t="str">
        <f>HYPERLINK("https://www.boe.es/gazeta/dias/1822/03/26/pdfs/GMD-1822-87.pdf#page=2","Abrir facsímil")</f>
        <v>Abrir facsímil</v>
      </c>
      <c r="K158" s="3" t="s">
        <v>22</v>
      </c>
    </row>
    <row r="159" spans="1:11" ht="42" customHeight="1">
      <c r="A159" s="2" t="s">
        <v>428</v>
      </c>
      <c r="B159" s="2" t="s">
        <v>428</v>
      </c>
      <c r="C159" s="2" t="s">
        <v>42</v>
      </c>
      <c r="D159" s="2" t="s">
        <v>17</v>
      </c>
      <c r="E159" s="5">
        <v>-28402</v>
      </c>
      <c r="F159" s="3" t="s">
        <v>473</v>
      </c>
      <c r="G159" s="3" t="s">
        <v>63</v>
      </c>
      <c r="H159" s="2" t="s">
        <v>20</v>
      </c>
      <c r="I159" s="2" t="s">
        <v>474</v>
      </c>
      <c r="J159" s="3" t="str">
        <f>HYPERLINK("https://www.boe.es/gazeta/dias/1822/03/27/pdfs/GMD-1822-88.pdf#page=6","Abrir facsímil")</f>
        <v>Abrir facsímil</v>
      </c>
      <c r="K159" s="3" t="s">
        <v>22</v>
      </c>
    </row>
    <row r="160" spans="1:11" ht="42" customHeight="1">
      <c r="A160" s="2" t="s">
        <v>428</v>
      </c>
      <c r="B160" s="2" t="s">
        <v>428</v>
      </c>
      <c r="C160" s="2" t="s">
        <v>50</v>
      </c>
      <c r="D160" s="2" t="s">
        <v>51</v>
      </c>
      <c r="E160" s="5">
        <v>-28401</v>
      </c>
      <c r="F160" s="3" t="s">
        <v>108</v>
      </c>
      <c r="G160" s="3" t="s">
        <v>63</v>
      </c>
      <c r="H160" s="2" t="s">
        <v>20</v>
      </c>
      <c r="I160" s="2" t="s">
        <v>475</v>
      </c>
      <c r="J160" s="3" t="str">
        <f>HYPERLINK("https://www.boe.es/gazeta/dias/1822/03/28/pdfs/GMD-1822-89.pdf#page=6","Abrir facsímil")</f>
        <v>Abrir facsímil</v>
      </c>
      <c r="K160" s="3" t="s">
        <v>22</v>
      </c>
    </row>
    <row r="161" spans="1:11" ht="42" customHeight="1">
      <c r="A161" s="2" t="s">
        <v>428</v>
      </c>
      <c r="B161" s="2" t="s">
        <v>428</v>
      </c>
      <c r="C161" s="2" t="s">
        <v>16</v>
      </c>
      <c r="D161" s="2" t="s">
        <v>17</v>
      </c>
      <c r="E161" s="5">
        <v>-28399</v>
      </c>
      <c r="F161" s="3" t="s">
        <v>476</v>
      </c>
      <c r="G161" s="3" t="s">
        <v>57</v>
      </c>
      <c r="H161" s="2" t="s">
        <v>20</v>
      </c>
      <c r="I161" s="2" t="s">
        <v>477</v>
      </c>
      <c r="J161" s="3" t="str">
        <f>HYPERLINK("https://www.boe.es/gazeta/dias/1822/03/30/pdfs/GMD-1822-91.pdf#page=4","Abrir facsímil")</f>
        <v>Abrir facsímil</v>
      </c>
      <c r="K161" s="3" t="s">
        <v>22</v>
      </c>
    </row>
    <row r="162" spans="1:11" ht="42" customHeight="1">
      <c r="A162" s="2" t="s">
        <v>437</v>
      </c>
      <c r="B162" s="2" t="s">
        <v>437</v>
      </c>
      <c r="C162" s="2" t="s">
        <v>71</v>
      </c>
      <c r="D162" s="2" t="s">
        <v>17</v>
      </c>
      <c r="E162" s="5">
        <v>-28391</v>
      </c>
      <c r="F162" s="3" t="s">
        <v>378</v>
      </c>
      <c r="G162" s="3" t="s">
        <v>35</v>
      </c>
      <c r="H162" s="2" t="s">
        <v>20</v>
      </c>
      <c r="I162" s="2" t="s">
        <v>478</v>
      </c>
      <c r="J162" s="3" t="str">
        <f>HYPERLINK("https://www.boe.es/gazeta/dias/1822/04/07/pdfs/GMD-1822-99.pdf#page=2","Abrir facsímil")</f>
        <v>Abrir facsímil</v>
      </c>
      <c r="K162" s="3" t="s">
        <v>22</v>
      </c>
    </row>
    <row r="163" spans="1:11" ht="42" customHeight="1">
      <c r="A163" s="2" t="s">
        <v>428</v>
      </c>
      <c r="B163" s="2" t="s">
        <v>428</v>
      </c>
      <c r="C163" s="2" t="s">
        <v>28</v>
      </c>
      <c r="D163" s="2" t="s">
        <v>29</v>
      </c>
      <c r="E163" s="5">
        <v>-28391</v>
      </c>
      <c r="F163" s="3" t="s">
        <v>378</v>
      </c>
      <c r="G163" s="3" t="s">
        <v>31</v>
      </c>
      <c r="H163" s="2" t="s">
        <v>20</v>
      </c>
      <c r="I163" s="2" t="s">
        <v>479</v>
      </c>
      <c r="J163" s="3" t="str">
        <f>HYPERLINK("https://www.boe.es/gazeta/dias/1822/04/07/pdfs/GMD-1822-99.pdf#page=3","Abrir facsímil")</f>
        <v>Abrir facsímil</v>
      </c>
      <c r="K163" s="3" t="s">
        <v>22</v>
      </c>
    </row>
    <row r="164" spans="1:11" ht="42" customHeight="1">
      <c r="A164" s="2" t="s">
        <v>428</v>
      </c>
      <c r="B164" s="2" t="s">
        <v>428</v>
      </c>
      <c r="C164" s="2" t="s">
        <v>71</v>
      </c>
      <c r="D164" s="2" t="s">
        <v>17</v>
      </c>
      <c r="E164" s="5">
        <v>-28391</v>
      </c>
      <c r="F164" s="3" t="s">
        <v>378</v>
      </c>
      <c r="G164" s="3" t="s">
        <v>57</v>
      </c>
      <c r="H164" s="2" t="s">
        <v>20</v>
      </c>
      <c r="I164" s="2" t="s">
        <v>480</v>
      </c>
      <c r="J164" s="3" t="str">
        <f>HYPERLINK("https://www.boe.es/gazeta/dias/1822/04/07/pdfs/GMD-1822-99.pdf#page=4","Abrir facsímil")</f>
        <v>Abrir facsímil</v>
      </c>
      <c r="K164" s="3" t="s">
        <v>22</v>
      </c>
    </row>
    <row r="165" spans="1:11" ht="42" customHeight="1">
      <c r="A165" s="2" t="s">
        <v>428</v>
      </c>
      <c r="B165" s="2" t="s">
        <v>428</v>
      </c>
      <c r="C165" s="2" t="s">
        <v>28</v>
      </c>
      <c r="D165" s="2" t="s">
        <v>29</v>
      </c>
      <c r="E165" s="5">
        <v>-28389</v>
      </c>
      <c r="F165" s="3" t="s">
        <v>481</v>
      </c>
      <c r="G165" s="3" t="s">
        <v>35</v>
      </c>
      <c r="H165" s="2" t="s">
        <v>20</v>
      </c>
      <c r="I165" s="2" t="s">
        <v>482</v>
      </c>
      <c r="J165" s="3" t="str">
        <f>HYPERLINK("https://www.boe.es/gazeta/dias/1822/04/09/pdfs/GMD-1822-101.pdf#page=2","Abrir facsímil")</f>
        <v>Abrir facsímil</v>
      </c>
      <c r="K165" s="3" t="s">
        <v>22</v>
      </c>
    </row>
    <row r="166" spans="1:11" ht="42" customHeight="1">
      <c r="A166" s="2" t="s">
        <v>428</v>
      </c>
      <c r="B166" s="2" t="s">
        <v>428</v>
      </c>
      <c r="C166" s="2" t="s">
        <v>28</v>
      </c>
      <c r="D166" s="2" t="s">
        <v>29</v>
      </c>
      <c r="E166" s="5">
        <v>-28389</v>
      </c>
      <c r="F166" s="3" t="s">
        <v>481</v>
      </c>
      <c r="G166" s="3" t="s">
        <v>31</v>
      </c>
      <c r="H166" s="2" t="s">
        <v>20</v>
      </c>
      <c r="I166" s="2" t="s">
        <v>483</v>
      </c>
      <c r="J166" s="3" t="str">
        <f>HYPERLINK("https://www.boe.es/gazeta/dias/1822/04/09/pdfs/GMD-1822-101.pdf#page=3","Abrir facsímil")</f>
        <v>Abrir facsímil</v>
      </c>
      <c r="K166" s="3" t="s">
        <v>22</v>
      </c>
    </row>
    <row r="167" spans="1:11" ht="42" customHeight="1">
      <c r="A167" s="2" t="s">
        <v>428</v>
      </c>
      <c r="B167" s="2" t="s">
        <v>428</v>
      </c>
      <c r="C167" s="2" t="s">
        <v>28</v>
      </c>
      <c r="D167" s="2" t="s">
        <v>29</v>
      </c>
      <c r="E167" s="5">
        <v>-28385</v>
      </c>
      <c r="F167" s="3" t="s">
        <v>484</v>
      </c>
      <c r="G167" s="3" t="s">
        <v>35</v>
      </c>
      <c r="H167" s="2" t="s">
        <v>20</v>
      </c>
      <c r="I167" s="2" t="s">
        <v>485</v>
      </c>
      <c r="J167" s="3" t="str">
        <f>HYPERLINK("https://www.boe.es/gazeta/dias/1822/04/13/pdfs/GMD-1822-105.pdf#page=2","Abrir facsímil")</f>
        <v>Abrir facsímil</v>
      </c>
      <c r="K167" s="3" t="s">
        <v>22</v>
      </c>
    </row>
    <row r="168" spans="1:11" ht="42" customHeight="1">
      <c r="A168" s="2" t="s">
        <v>428</v>
      </c>
      <c r="B168" s="2" t="s">
        <v>428</v>
      </c>
      <c r="C168" s="2" t="s">
        <v>61</v>
      </c>
      <c r="D168" s="2" t="s">
        <v>17</v>
      </c>
      <c r="E168" s="5">
        <v>-28385</v>
      </c>
      <c r="F168" s="3" t="s">
        <v>484</v>
      </c>
      <c r="G168" s="3" t="s">
        <v>19</v>
      </c>
      <c r="H168" s="2" t="s">
        <v>20</v>
      </c>
      <c r="I168" s="2" t="s">
        <v>486</v>
      </c>
      <c r="J168" s="3" t="str">
        <f>HYPERLINK("https://www.boe.es/gazeta/dias/1822/04/13/pdfs/GMD-1822-105.pdf#page=5","Abrir facsímil")</f>
        <v>Abrir facsímil</v>
      </c>
      <c r="K168" s="3" t="s">
        <v>22</v>
      </c>
    </row>
    <row r="169" spans="1:11" ht="42" customHeight="1">
      <c r="A169" s="2" t="s">
        <v>437</v>
      </c>
      <c r="B169" s="2" t="s">
        <v>437</v>
      </c>
      <c r="C169" s="2" t="s">
        <v>28</v>
      </c>
      <c r="D169" s="2" t="s">
        <v>29</v>
      </c>
      <c r="E169" s="5">
        <v>-28384</v>
      </c>
      <c r="F169" s="3" t="s">
        <v>258</v>
      </c>
      <c r="G169" s="3" t="s">
        <v>57</v>
      </c>
      <c r="H169" s="2" t="s">
        <v>20</v>
      </c>
      <c r="I169" s="2" t="s">
        <v>487</v>
      </c>
      <c r="J169" s="3" t="str">
        <f>HYPERLINK("https://www.boe.es/gazeta/dias/1822/04/14/pdfs/GMD-1822-106.pdf#page=4","Abrir facsímil")</f>
        <v>Abrir facsímil</v>
      </c>
      <c r="K169" s="3" t="s">
        <v>22</v>
      </c>
    </row>
    <row r="170" spans="1:11" ht="42" customHeight="1">
      <c r="A170" s="2" t="s">
        <v>437</v>
      </c>
      <c r="B170" s="2" t="s">
        <v>437</v>
      </c>
      <c r="C170" s="2" t="s">
        <v>28</v>
      </c>
      <c r="D170" s="2" t="s">
        <v>29</v>
      </c>
      <c r="E170" s="5">
        <v>-28383</v>
      </c>
      <c r="F170" s="3" t="s">
        <v>488</v>
      </c>
      <c r="G170" s="3" t="s">
        <v>19</v>
      </c>
      <c r="H170" s="2" t="s">
        <v>20</v>
      </c>
      <c r="I170" s="2" t="s">
        <v>489</v>
      </c>
      <c r="J170" s="3" t="str">
        <f>HYPERLINK("https://www.boe.es/gazeta/dias/1822/04/15/pdfs/GMD-1822-107.pdf#page=5","Abrir facsímil")</f>
        <v>Abrir facsímil</v>
      </c>
      <c r="K170" s="3" t="s">
        <v>22</v>
      </c>
    </row>
    <row r="171" spans="1:11" ht="42" customHeight="1">
      <c r="A171" s="2" t="s">
        <v>428</v>
      </c>
      <c r="B171" s="2" t="s">
        <v>428</v>
      </c>
      <c r="C171" s="2" t="s">
        <v>71</v>
      </c>
      <c r="D171" s="2" t="s">
        <v>17</v>
      </c>
      <c r="E171" s="5">
        <v>-28383</v>
      </c>
      <c r="F171" s="3" t="s">
        <v>488</v>
      </c>
      <c r="G171" s="3" t="s">
        <v>63</v>
      </c>
      <c r="H171" s="2" t="s">
        <v>20</v>
      </c>
      <c r="I171" s="2" t="s">
        <v>490</v>
      </c>
      <c r="J171" s="3" t="str">
        <f>HYPERLINK("https://www.boe.es/gazeta/dias/1822/04/15/pdfs/GMD-1822-107.pdf#page=6","Abrir facsímil")</f>
        <v>Abrir facsímil</v>
      </c>
      <c r="K171" s="3" t="s">
        <v>22</v>
      </c>
    </row>
    <row r="172" spans="1:11" ht="42" customHeight="1">
      <c r="A172" s="2" t="s">
        <v>428</v>
      </c>
      <c r="B172" s="2" t="s">
        <v>428</v>
      </c>
      <c r="C172" s="2" t="s">
        <v>42</v>
      </c>
      <c r="D172" s="2" t="s">
        <v>17</v>
      </c>
      <c r="E172" s="5">
        <v>-28381</v>
      </c>
      <c r="F172" s="3" t="s">
        <v>358</v>
      </c>
      <c r="G172" s="3" t="s">
        <v>19</v>
      </c>
      <c r="H172" s="2" t="s">
        <v>20</v>
      </c>
      <c r="I172" s="2" t="s">
        <v>491</v>
      </c>
      <c r="J172" s="3" t="str">
        <f>HYPERLINK("https://www.boe.es/gazeta/dias/1822/04/17/pdfs/GMD-1822-109.pdf#page=5","Abrir facsímil")</f>
        <v>Abrir facsímil</v>
      </c>
      <c r="K172" s="3" t="s">
        <v>22</v>
      </c>
    </row>
    <row r="173" spans="1:11" ht="42" customHeight="1">
      <c r="A173" s="2" t="s">
        <v>428</v>
      </c>
      <c r="B173" s="2" t="s">
        <v>428</v>
      </c>
      <c r="C173" s="2" t="s">
        <v>16</v>
      </c>
      <c r="D173" s="2" t="s">
        <v>17</v>
      </c>
      <c r="E173" s="5">
        <v>-28380</v>
      </c>
      <c r="F173" s="3" t="s">
        <v>492</v>
      </c>
      <c r="G173" s="3" t="s">
        <v>57</v>
      </c>
      <c r="H173" s="2" t="s">
        <v>20</v>
      </c>
      <c r="I173" s="2" t="s">
        <v>493</v>
      </c>
      <c r="J173" s="3" t="str">
        <f>HYPERLINK("https://www.boe.es/gazeta/dias/1822/04/18/pdfs/GMD-1822-110.pdf#page=4","Abrir facsímil")</f>
        <v>Abrir facsímil</v>
      </c>
      <c r="K173" s="3" t="s">
        <v>22</v>
      </c>
    </row>
    <row r="174" spans="1:11" ht="42" customHeight="1">
      <c r="A174" s="2" t="s">
        <v>428</v>
      </c>
      <c r="B174" s="2" t="s">
        <v>428</v>
      </c>
      <c r="C174" s="2" t="s">
        <v>71</v>
      </c>
      <c r="D174" s="2" t="s">
        <v>17</v>
      </c>
      <c r="E174" s="5">
        <v>-28379</v>
      </c>
      <c r="F174" s="3" t="s">
        <v>494</v>
      </c>
      <c r="G174" s="3" t="s">
        <v>31</v>
      </c>
      <c r="H174" s="2" t="s">
        <v>20</v>
      </c>
      <c r="I174" s="2" t="s">
        <v>495</v>
      </c>
      <c r="J174" s="3" t="str">
        <f>HYPERLINK("https://www.boe.es/gazeta/dias/1822/04/19/pdfs/GMD-1822-111.pdf#page=3","Abrir facsímil")</f>
        <v>Abrir facsímil</v>
      </c>
      <c r="K174" s="3" t="s">
        <v>22</v>
      </c>
    </row>
    <row r="175" spans="1:11" ht="42" customHeight="1">
      <c r="A175" s="2" t="s">
        <v>428</v>
      </c>
      <c r="B175" s="2" t="s">
        <v>428</v>
      </c>
      <c r="C175" s="2" t="s">
        <v>42</v>
      </c>
      <c r="D175" s="2" t="s">
        <v>17</v>
      </c>
      <c r="E175" s="5">
        <v>-28378</v>
      </c>
      <c r="F175" s="3" t="s">
        <v>496</v>
      </c>
      <c r="G175" s="3" t="s">
        <v>31</v>
      </c>
      <c r="H175" s="2" t="s">
        <v>20</v>
      </c>
      <c r="I175" s="2" t="s">
        <v>497</v>
      </c>
      <c r="J175" s="3" t="str">
        <f>HYPERLINK("https://www.boe.es/gazeta/dias/1822/04/20/pdfs/GMD-1822-112.pdf#page=3","Abrir facsímil")</f>
        <v>Abrir facsímil</v>
      </c>
      <c r="K175" s="3" t="s">
        <v>22</v>
      </c>
    </row>
    <row r="176" spans="1:11" ht="42" customHeight="1">
      <c r="A176" s="2" t="s">
        <v>437</v>
      </c>
      <c r="B176" s="2" t="s">
        <v>437</v>
      </c>
      <c r="C176" s="2" t="s">
        <v>71</v>
      </c>
      <c r="D176" s="2" t="s">
        <v>17</v>
      </c>
      <c r="E176" s="5">
        <v>-28377</v>
      </c>
      <c r="F176" s="3" t="s">
        <v>498</v>
      </c>
      <c r="G176" s="3" t="s">
        <v>35</v>
      </c>
      <c r="H176" s="2" t="s">
        <v>20</v>
      </c>
      <c r="I176" s="2" t="s">
        <v>499</v>
      </c>
      <c r="J176" s="3" t="str">
        <f>HYPERLINK("https://www.boe.es/gazeta/dias/1822/04/21/pdfs/GMD-1822-113.pdf#page=2","Abrir facsímil")</f>
        <v>Abrir facsímil</v>
      </c>
      <c r="K176" s="3" t="s">
        <v>22</v>
      </c>
    </row>
    <row r="177" spans="1:11" ht="42" customHeight="1">
      <c r="A177" s="2" t="s">
        <v>428</v>
      </c>
      <c r="B177" s="2" t="s">
        <v>428</v>
      </c>
      <c r="C177" s="2" t="s">
        <v>28</v>
      </c>
      <c r="D177" s="2" t="s">
        <v>29</v>
      </c>
      <c r="E177" s="5">
        <v>-28376</v>
      </c>
      <c r="F177" s="3" t="s">
        <v>500</v>
      </c>
      <c r="G177" s="3" t="s">
        <v>501</v>
      </c>
      <c r="H177" s="2" t="s">
        <v>20</v>
      </c>
      <c r="I177" s="2" t="s">
        <v>502</v>
      </c>
      <c r="J177" s="3" t="str">
        <f>HYPERLINK("https://www.boe.es/gazeta/dias/1822/04/22/pdfs/GMD-1822-114.pdf#page=3","Abrir facsímil")</f>
        <v>Abrir facsímil</v>
      </c>
      <c r="K177" s="3" t="s">
        <v>22</v>
      </c>
    </row>
    <row r="178" spans="1:11" ht="42" customHeight="1">
      <c r="A178" s="2" t="s">
        <v>428</v>
      </c>
      <c r="B178" s="2" t="s">
        <v>428</v>
      </c>
      <c r="C178" s="2" t="s">
        <v>42</v>
      </c>
      <c r="D178" s="2" t="s">
        <v>17</v>
      </c>
      <c r="E178" s="5">
        <v>-28372</v>
      </c>
      <c r="F178" s="3" t="s">
        <v>503</v>
      </c>
      <c r="G178" s="3" t="s">
        <v>57</v>
      </c>
      <c r="H178" s="2" t="s">
        <v>20</v>
      </c>
      <c r="I178" s="2" t="s">
        <v>504</v>
      </c>
      <c r="J178" s="3" t="str">
        <f>HYPERLINK("https://www.boe.es/gazeta/dias/1822/04/26/pdfs/GMD-1822-118.pdf#page=4","Abrir facsímil")</f>
        <v>Abrir facsímil</v>
      </c>
      <c r="K178" s="3" t="s">
        <v>22</v>
      </c>
    </row>
    <row r="179" spans="1:11" ht="42" customHeight="1">
      <c r="A179" s="2" t="s">
        <v>428</v>
      </c>
      <c r="B179" s="2" t="s">
        <v>428</v>
      </c>
      <c r="C179" s="2" t="s">
        <v>71</v>
      </c>
      <c r="D179" s="2" t="s">
        <v>17</v>
      </c>
      <c r="E179" s="5">
        <v>-28371</v>
      </c>
      <c r="F179" s="3" t="s">
        <v>401</v>
      </c>
      <c r="G179" s="3" t="s">
        <v>31</v>
      </c>
      <c r="H179" s="2" t="s">
        <v>20</v>
      </c>
      <c r="I179" s="2" t="s">
        <v>505</v>
      </c>
      <c r="J179" s="3" t="str">
        <f>HYPERLINK("https://www.boe.es/gazeta/dias/1822/04/27/pdfs/GMD-1822-119.pdf#page=3","Abrir facsímil")</f>
        <v>Abrir facsímil</v>
      </c>
      <c r="K179" s="3" t="s">
        <v>22</v>
      </c>
    </row>
    <row r="180" spans="1:11" ht="42" customHeight="1">
      <c r="A180" s="2" t="s">
        <v>428</v>
      </c>
      <c r="B180" s="2" t="s">
        <v>428</v>
      </c>
      <c r="C180" s="2" t="s">
        <v>28</v>
      </c>
      <c r="D180" s="2" t="s">
        <v>29</v>
      </c>
      <c r="E180" s="5">
        <v>-28365</v>
      </c>
      <c r="F180" s="3" t="s">
        <v>506</v>
      </c>
      <c r="G180" s="3" t="s">
        <v>35</v>
      </c>
      <c r="H180" s="2" t="s">
        <v>20</v>
      </c>
      <c r="I180" s="2" t="s">
        <v>507</v>
      </c>
      <c r="J180" s="3" t="str">
        <f>HYPERLINK("https://www.boe.es/gazeta/dias/1822/05/03/pdfs/GMD-1822-125.pdf#page=2","Abrir facsímil")</f>
        <v>Abrir facsímil</v>
      </c>
      <c r="K180" s="3" t="s">
        <v>22</v>
      </c>
    </row>
    <row r="181" spans="1:11" ht="42" customHeight="1">
      <c r="A181" s="2" t="s">
        <v>428</v>
      </c>
      <c r="B181" s="2" t="s">
        <v>428</v>
      </c>
      <c r="C181" s="2" t="s">
        <v>71</v>
      </c>
      <c r="D181" s="2" t="s">
        <v>17</v>
      </c>
      <c r="E181" s="5">
        <v>-28365</v>
      </c>
      <c r="F181" s="3" t="s">
        <v>506</v>
      </c>
      <c r="G181" s="3" t="s">
        <v>31</v>
      </c>
      <c r="H181" s="2" t="s">
        <v>20</v>
      </c>
      <c r="I181" s="2" t="s">
        <v>508</v>
      </c>
      <c r="J181" s="3" t="str">
        <f>HYPERLINK("https://www.boe.es/gazeta/dias/1822/05/03/pdfs/GMD-1822-125.pdf#page=3","Abrir facsímil")</f>
        <v>Abrir facsímil</v>
      </c>
      <c r="K181" s="3" t="s">
        <v>22</v>
      </c>
    </row>
    <row r="182" spans="1:11" ht="42" customHeight="1">
      <c r="A182" s="2" t="s">
        <v>428</v>
      </c>
      <c r="B182" s="2" t="s">
        <v>428</v>
      </c>
      <c r="C182" s="2" t="s">
        <v>28</v>
      </c>
      <c r="D182" s="2" t="s">
        <v>29</v>
      </c>
      <c r="E182" s="5">
        <v>-28364</v>
      </c>
      <c r="F182" s="3" t="s">
        <v>509</v>
      </c>
      <c r="G182" s="3" t="s">
        <v>35</v>
      </c>
      <c r="H182" s="2" t="s">
        <v>20</v>
      </c>
      <c r="I182" s="2" t="s">
        <v>510</v>
      </c>
      <c r="J182" s="3" t="str">
        <f>HYPERLINK("https://www.boe.es/gazeta/dias/1822/05/04/pdfs/GMD-1822-126.pdf#page=2","Abrir facsímil")</f>
        <v>Abrir facsímil</v>
      </c>
      <c r="K182" s="3" t="s">
        <v>22</v>
      </c>
    </row>
    <row r="183" spans="1:11" ht="42" customHeight="1">
      <c r="A183" s="2" t="s">
        <v>428</v>
      </c>
      <c r="B183" s="2" t="s">
        <v>428</v>
      </c>
      <c r="C183" s="2" t="s">
        <v>42</v>
      </c>
      <c r="D183" s="2" t="s">
        <v>17</v>
      </c>
      <c r="E183" s="5">
        <v>-28362</v>
      </c>
      <c r="F183" s="3" t="s">
        <v>511</v>
      </c>
      <c r="G183" s="3" t="s">
        <v>31</v>
      </c>
      <c r="H183" s="2" t="s">
        <v>20</v>
      </c>
      <c r="I183" s="2" t="s">
        <v>512</v>
      </c>
      <c r="J183" s="3" t="str">
        <f>HYPERLINK("https://www.boe.es/gazeta/dias/1822/05/06/pdfs/GMD-1822-128.pdf#page=3","Abrir facsímil")</f>
        <v>Abrir facsímil</v>
      </c>
      <c r="K183" s="3" t="s">
        <v>22</v>
      </c>
    </row>
    <row r="184" spans="1:11" ht="42" customHeight="1">
      <c r="A184" s="2" t="s">
        <v>428</v>
      </c>
      <c r="B184" s="2" t="s">
        <v>428</v>
      </c>
      <c r="C184" s="2" t="s">
        <v>71</v>
      </c>
      <c r="D184" s="2" t="s">
        <v>17</v>
      </c>
      <c r="E184" s="5">
        <v>-28361</v>
      </c>
      <c r="F184" s="3" t="s">
        <v>374</v>
      </c>
      <c r="G184" s="3" t="s">
        <v>57</v>
      </c>
      <c r="H184" s="2" t="s">
        <v>20</v>
      </c>
      <c r="I184" s="2" t="s">
        <v>513</v>
      </c>
      <c r="J184" s="3" t="str">
        <f>HYPERLINK("https://www.boe.es/gazeta/dias/1822/05/07/pdfs/GMD-1822-129.pdf#page=4","Abrir facsímil")</f>
        <v>Abrir facsímil</v>
      </c>
      <c r="K184" s="3" t="s">
        <v>22</v>
      </c>
    </row>
    <row r="185" spans="1:11" ht="42" customHeight="1">
      <c r="A185" s="2" t="s">
        <v>428</v>
      </c>
      <c r="B185" s="2" t="s">
        <v>428</v>
      </c>
      <c r="C185" s="2" t="s">
        <v>71</v>
      </c>
      <c r="D185" s="2" t="s">
        <v>17</v>
      </c>
      <c r="E185" s="5">
        <v>-28360</v>
      </c>
      <c r="F185" s="3" t="s">
        <v>514</v>
      </c>
      <c r="G185" s="3" t="s">
        <v>57</v>
      </c>
      <c r="H185" s="2" t="s">
        <v>20</v>
      </c>
      <c r="I185" s="2" t="s">
        <v>515</v>
      </c>
      <c r="J185" s="3" t="str">
        <f>HYPERLINK("https://www.boe.es/gazeta/dias/1822/05/08/pdfs/GMD-1822-130.pdf#page=4","Abrir facsímil")</f>
        <v>Abrir facsímil</v>
      </c>
      <c r="K185" s="3" t="s">
        <v>22</v>
      </c>
    </row>
    <row r="186" spans="1:11" ht="42" customHeight="1">
      <c r="A186" s="2" t="s">
        <v>437</v>
      </c>
      <c r="B186" s="2" t="s">
        <v>437</v>
      </c>
      <c r="C186" s="2" t="s">
        <v>50</v>
      </c>
      <c r="D186" s="2" t="s">
        <v>51</v>
      </c>
      <c r="E186" s="5">
        <v>-28359</v>
      </c>
      <c r="F186" s="3" t="s">
        <v>209</v>
      </c>
      <c r="G186" s="3" t="s">
        <v>19</v>
      </c>
      <c r="H186" s="2" t="s">
        <v>20</v>
      </c>
      <c r="I186" s="2" t="s">
        <v>516</v>
      </c>
      <c r="J186" s="3" t="str">
        <f>HYPERLINK("https://www.boe.es/gazeta/dias/1822/05/09/pdfs/GMD-1822-131.pdf#page=5","Abrir facsímil")</f>
        <v>Abrir facsímil</v>
      </c>
      <c r="K186" s="3" t="s">
        <v>22</v>
      </c>
    </row>
    <row r="187" spans="1:11" ht="42" customHeight="1">
      <c r="A187" s="2" t="s">
        <v>428</v>
      </c>
      <c r="B187" s="2" t="s">
        <v>428</v>
      </c>
      <c r="C187" s="2" t="s">
        <v>28</v>
      </c>
      <c r="D187" s="2" t="s">
        <v>29</v>
      </c>
      <c r="E187" s="5">
        <v>-28358</v>
      </c>
      <c r="F187" s="3" t="s">
        <v>211</v>
      </c>
      <c r="G187" s="3" t="s">
        <v>31</v>
      </c>
      <c r="H187" s="2" t="s">
        <v>20</v>
      </c>
      <c r="I187" s="2" t="s">
        <v>517</v>
      </c>
      <c r="J187" s="3" t="str">
        <f>HYPERLINK("https://www.boe.es/gazeta/dias/1822/05/10/pdfs/GMD-1822-132.pdf#page=3","Abrir facsímil")</f>
        <v>Abrir facsímil</v>
      </c>
      <c r="K187" s="3" t="s">
        <v>22</v>
      </c>
    </row>
    <row r="188" spans="1:11" ht="42" customHeight="1">
      <c r="A188" s="2" t="s">
        <v>428</v>
      </c>
      <c r="B188" s="2" t="s">
        <v>428</v>
      </c>
      <c r="C188" s="2" t="s">
        <v>16</v>
      </c>
      <c r="D188" s="2" t="s">
        <v>17</v>
      </c>
      <c r="E188" s="5">
        <v>-28349</v>
      </c>
      <c r="F188" s="3" t="s">
        <v>518</v>
      </c>
      <c r="G188" s="3" t="s">
        <v>31</v>
      </c>
      <c r="H188" s="2" t="s">
        <v>20</v>
      </c>
      <c r="I188" s="2" t="s">
        <v>519</v>
      </c>
      <c r="J188" s="3" t="str">
        <f>HYPERLINK("https://www.boe.es/gazeta/dias/1822/05/19/pdfs/GMD-1822-141.pdf#page=3","Abrir facsímil")</f>
        <v>Abrir facsímil</v>
      </c>
      <c r="K188" s="3" t="s">
        <v>22</v>
      </c>
    </row>
    <row r="189" spans="1:11" ht="42" customHeight="1">
      <c r="A189" s="2" t="s">
        <v>428</v>
      </c>
      <c r="B189" s="2" t="s">
        <v>428</v>
      </c>
      <c r="C189" s="2" t="s">
        <v>42</v>
      </c>
      <c r="D189" s="2" t="s">
        <v>17</v>
      </c>
      <c r="E189" s="5">
        <v>-28347</v>
      </c>
      <c r="F189" s="3" t="s">
        <v>520</v>
      </c>
      <c r="G189" s="3" t="s">
        <v>35</v>
      </c>
      <c r="H189" s="2" t="s">
        <v>20</v>
      </c>
      <c r="I189" s="2" t="s">
        <v>521</v>
      </c>
      <c r="J189" s="3" t="str">
        <f>HYPERLINK("https://www.boe.es/gazeta/dias/1822/05/21/pdfs/GMD-1822-144.pdf#page=2","Abrir facsímil")</f>
        <v>Abrir facsímil</v>
      </c>
      <c r="K189" s="3" t="s">
        <v>22</v>
      </c>
    </row>
    <row r="190" spans="1:11" ht="42" customHeight="1">
      <c r="A190" s="2" t="s">
        <v>428</v>
      </c>
      <c r="B190" s="2" t="s">
        <v>428</v>
      </c>
      <c r="C190" s="2" t="s">
        <v>16</v>
      </c>
      <c r="D190" s="2" t="s">
        <v>17</v>
      </c>
      <c r="E190" s="5">
        <v>-28346</v>
      </c>
      <c r="F190" s="3" t="s">
        <v>191</v>
      </c>
      <c r="G190" s="3" t="s">
        <v>31</v>
      </c>
      <c r="H190" s="2" t="s">
        <v>20</v>
      </c>
      <c r="I190" s="2" t="s">
        <v>522</v>
      </c>
      <c r="J190" s="3" t="str">
        <f>HYPERLINK("https://www.boe.es/gazeta/dias/1822/05/22/pdfs/GMD-1822-145.pdf#page=3","Abrir facsímil")</f>
        <v>Abrir facsímil</v>
      </c>
      <c r="K190" s="3" t="s">
        <v>22</v>
      </c>
    </row>
    <row r="191" spans="1:11" ht="42" customHeight="1">
      <c r="A191" s="2" t="s">
        <v>428</v>
      </c>
      <c r="B191" s="2" t="s">
        <v>428</v>
      </c>
      <c r="C191" s="2" t="s">
        <v>28</v>
      </c>
      <c r="D191" s="2" t="s">
        <v>29</v>
      </c>
      <c r="E191" s="5">
        <v>-28345</v>
      </c>
      <c r="F191" s="3" t="s">
        <v>294</v>
      </c>
      <c r="G191" s="3" t="s">
        <v>57</v>
      </c>
      <c r="H191" s="2" t="s">
        <v>20</v>
      </c>
      <c r="I191" s="2" t="s">
        <v>523</v>
      </c>
      <c r="J191" s="3" t="str">
        <f>HYPERLINK("https://www.boe.es/gazeta/dias/1822/05/23/pdfs/GMD-1822-147.pdf#page=4","Abrir facsímil")</f>
        <v>Abrir facsímil</v>
      </c>
      <c r="K191" s="3" t="s">
        <v>22</v>
      </c>
    </row>
    <row r="192" spans="1:11" ht="42" customHeight="1">
      <c r="A192" s="2" t="s">
        <v>428</v>
      </c>
      <c r="B192" s="2" t="s">
        <v>428</v>
      </c>
      <c r="C192" s="2" t="s">
        <v>28</v>
      </c>
      <c r="D192" s="2" t="s">
        <v>29</v>
      </c>
      <c r="E192" s="5">
        <v>-28344</v>
      </c>
      <c r="F192" s="3" t="s">
        <v>524</v>
      </c>
      <c r="G192" s="3" t="s">
        <v>57</v>
      </c>
      <c r="H192" s="2" t="s">
        <v>20</v>
      </c>
      <c r="I192" s="2" t="s">
        <v>525</v>
      </c>
      <c r="J192" s="3" t="str">
        <f>HYPERLINK("https://www.boe.es/gazeta/dias/1822/05/24/pdfs/GMD-1822-148.pdf#page=4","Abrir facsímil")</f>
        <v>Abrir facsímil</v>
      </c>
      <c r="K192" s="3" t="s">
        <v>22</v>
      </c>
    </row>
    <row r="193" spans="1:11" ht="42" customHeight="1">
      <c r="A193" s="2" t="s">
        <v>428</v>
      </c>
      <c r="B193" s="2" t="s">
        <v>428</v>
      </c>
      <c r="C193" s="2" t="s">
        <v>16</v>
      </c>
      <c r="D193" s="2" t="s">
        <v>17</v>
      </c>
      <c r="E193" s="5">
        <v>-28340</v>
      </c>
      <c r="F193" s="3" t="s">
        <v>139</v>
      </c>
      <c r="G193" s="3" t="s">
        <v>31</v>
      </c>
      <c r="H193" s="2" t="s">
        <v>20</v>
      </c>
      <c r="I193" s="2" t="s">
        <v>526</v>
      </c>
      <c r="J193" s="3" t="str">
        <f>HYPERLINK("https://www.boe.es/gazeta/dias/1822/05/28/pdfs/GMD-1822-153.pdf#page=3","Abrir facsímil")</f>
        <v>Abrir facsímil</v>
      </c>
      <c r="K193" s="3" t="s">
        <v>22</v>
      </c>
    </row>
    <row r="194" spans="1:11" ht="42" customHeight="1">
      <c r="A194" s="2" t="s">
        <v>428</v>
      </c>
      <c r="B194" s="2" t="s">
        <v>428</v>
      </c>
      <c r="C194" s="2" t="s">
        <v>71</v>
      </c>
      <c r="D194" s="2" t="s">
        <v>17</v>
      </c>
      <c r="E194" s="5">
        <v>-28338</v>
      </c>
      <c r="F194" s="3" t="s">
        <v>527</v>
      </c>
      <c r="G194" s="3" t="s">
        <v>57</v>
      </c>
      <c r="H194" s="2" t="s">
        <v>20</v>
      </c>
      <c r="I194" s="2" t="s">
        <v>528</v>
      </c>
      <c r="J194" s="3" t="str">
        <f>HYPERLINK("https://www.boe.es/gazeta/dias/1822/05/30/pdfs/GMD-1822-155.pdf#page=4","Abrir facsímil")</f>
        <v>Abrir facsímil</v>
      </c>
      <c r="K194" s="3" t="s">
        <v>22</v>
      </c>
    </row>
    <row r="195" spans="1:11" ht="42" customHeight="1">
      <c r="A195" s="2" t="s">
        <v>428</v>
      </c>
      <c r="B195" s="2" t="s">
        <v>428</v>
      </c>
      <c r="C195" s="2" t="s">
        <v>71</v>
      </c>
      <c r="D195" s="2" t="s">
        <v>17</v>
      </c>
      <c r="E195" s="5">
        <v>-28336</v>
      </c>
      <c r="F195" s="3" t="s">
        <v>156</v>
      </c>
      <c r="G195" s="3" t="s">
        <v>529</v>
      </c>
      <c r="H195" s="2" t="s">
        <v>20</v>
      </c>
      <c r="I195" s="2" t="s">
        <v>530</v>
      </c>
      <c r="J195" s="3" t="str">
        <f>HYPERLINK("https://www.boe.es/gazeta/dias/1822/06/01/pdfs/GMD-1822-157.pdf#page=4","Abrir facsímil")</f>
        <v>Abrir facsímil</v>
      </c>
      <c r="K195" s="3" t="s">
        <v>22</v>
      </c>
    </row>
    <row r="196" spans="1:11" ht="42" customHeight="1">
      <c r="A196" s="2" t="s">
        <v>428</v>
      </c>
      <c r="B196" s="2" t="s">
        <v>428</v>
      </c>
      <c r="C196" s="2" t="s">
        <v>28</v>
      </c>
      <c r="D196" s="2" t="s">
        <v>29</v>
      </c>
      <c r="E196" s="5">
        <v>-28336</v>
      </c>
      <c r="F196" s="3" t="s">
        <v>156</v>
      </c>
      <c r="G196" s="3" t="s">
        <v>35</v>
      </c>
      <c r="H196" s="2" t="s">
        <v>20</v>
      </c>
      <c r="I196" s="2" t="s">
        <v>531</v>
      </c>
      <c r="J196" s="3" t="str">
        <f>HYPERLINK("https://www.boe.es/gazeta/dias/1822/06/01/pdfs/GMD-1822-157.pdf#page=2","Abrir facsímil")</f>
        <v>Abrir facsímil</v>
      </c>
      <c r="K196" s="3" t="s">
        <v>22</v>
      </c>
    </row>
    <row r="197" spans="1:11" ht="42" customHeight="1">
      <c r="A197" s="2" t="s">
        <v>428</v>
      </c>
      <c r="B197" s="2" t="s">
        <v>428</v>
      </c>
      <c r="C197" s="2" t="s">
        <v>28</v>
      </c>
      <c r="D197" s="2" t="s">
        <v>29</v>
      </c>
      <c r="E197" s="5">
        <v>-28334</v>
      </c>
      <c r="F197" s="3" t="s">
        <v>532</v>
      </c>
      <c r="G197" s="3" t="s">
        <v>57</v>
      </c>
      <c r="H197" s="2" t="s">
        <v>20</v>
      </c>
      <c r="I197" s="2" t="s">
        <v>533</v>
      </c>
      <c r="J197" s="3" t="str">
        <f>HYPERLINK("https://www.boe.es/gazeta/dias/1822/06/03/pdfs/GMD-1822-159.pdf#page=4","Abrir facsímil")</f>
        <v>Abrir facsímil</v>
      </c>
      <c r="K197" s="3" t="s">
        <v>22</v>
      </c>
    </row>
    <row r="198" spans="1:11" ht="42" customHeight="1">
      <c r="A198" s="2" t="s">
        <v>428</v>
      </c>
      <c r="B198" s="2" t="s">
        <v>428</v>
      </c>
      <c r="C198" s="2" t="s">
        <v>61</v>
      </c>
      <c r="D198" s="2" t="s">
        <v>17</v>
      </c>
      <c r="E198" s="5">
        <v>-28334</v>
      </c>
      <c r="F198" s="3" t="s">
        <v>532</v>
      </c>
      <c r="G198" s="3" t="s">
        <v>19</v>
      </c>
      <c r="H198" s="2" t="s">
        <v>20</v>
      </c>
      <c r="I198" s="2" t="s">
        <v>534</v>
      </c>
      <c r="J198" s="3" t="str">
        <f>HYPERLINK("https://www.boe.es/gazeta/dias/1822/06/03/pdfs/GMD-1822-159.pdf#page=5","Abrir facsímil")</f>
        <v>Abrir facsímil</v>
      </c>
      <c r="K198" s="3" t="s">
        <v>22</v>
      </c>
    </row>
    <row r="199" spans="1:11" ht="42" customHeight="1">
      <c r="A199" s="2" t="s">
        <v>428</v>
      </c>
      <c r="B199" s="2" t="s">
        <v>428</v>
      </c>
      <c r="C199" s="2" t="s">
        <v>71</v>
      </c>
      <c r="D199" s="2" t="s">
        <v>17</v>
      </c>
      <c r="E199" s="5">
        <v>-28332</v>
      </c>
      <c r="F199" s="3" t="s">
        <v>535</v>
      </c>
      <c r="G199" s="3" t="s">
        <v>31</v>
      </c>
      <c r="H199" s="2" t="s">
        <v>20</v>
      </c>
      <c r="I199" s="2" t="s">
        <v>536</v>
      </c>
      <c r="J199" s="3" t="str">
        <f>HYPERLINK("https://www.boe.es/gazeta/dias/1822/06/05/pdfs/GMD-1822-162.pdf#page=3","Abrir facsímil")</f>
        <v>Abrir facsímil</v>
      </c>
      <c r="K199" s="3" t="s">
        <v>22</v>
      </c>
    </row>
    <row r="200" spans="1:11" ht="42" customHeight="1">
      <c r="A200" s="2" t="s">
        <v>428</v>
      </c>
      <c r="B200" s="2" t="s">
        <v>428</v>
      </c>
      <c r="C200" s="2" t="s">
        <v>42</v>
      </c>
      <c r="D200" s="2" t="s">
        <v>17</v>
      </c>
      <c r="E200" s="5">
        <v>-28331</v>
      </c>
      <c r="F200" s="3" t="s">
        <v>537</v>
      </c>
      <c r="G200" s="3" t="s">
        <v>35</v>
      </c>
      <c r="H200" s="2" t="s">
        <v>20</v>
      </c>
      <c r="I200" s="2" t="s">
        <v>538</v>
      </c>
      <c r="J200" s="3" t="str">
        <f>HYPERLINK("https://www.boe.es/gazeta/dias/1822/06/06/pdfs/GMD-1822-163.pdf#page=2","Abrir facsímil")</f>
        <v>Abrir facsímil</v>
      </c>
      <c r="K200" s="3" t="s">
        <v>22</v>
      </c>
    </row>
    <row r="201" spans="1:11" ht="42" customHeight="1">
      <c r="A201" s="2" t="s">
        <v>428</v>
      </c>
      <c r="B201" s="2" t="s">
        <v>428</v>
      </c>
      <c r="C201" s="2" t="s">
        <v>28</v>
      </c>
      <c r="D201" s="2" t="s">
        <v>29</v>
      </c>
      <c r="E201" s="5">
        <v>-28329</v>
      </c>
      <c r="F201" s="3" t="s">
        <v>354</v>
      </c>
      <c r="G201" s="3" t="s">
        <v>35</v>
      </c>
      <c r="H201" s="2" t="s">
        <v>20</v>
      </c>
      <c r="I201" s="2" t="s">
        <v>539</v>
      </c>
      <c r="J201" s="3" t="str">
        <f>HYPERLINK("https://www.boe.es/gazeta/dias/1822/06/08/pdfs/GMD-1822-165.pdf#page=2","Abrir facsímil")</f>
        <v>Abrir facsímil</v>
      </c>
      <c r="K201" s="3" t="s">
        <v>22</v>
      </c>
    </row>
    <row r="202" spans="1:11" ht="42" customHeight="1">
      <c r="A202" s="2" t="s">
        <v>428</v>
      </c>
      <c r="B202" s="2" t="s">
        <v>428</v>
      </c>
      <c r="C202" s="2" t="s">
        <v>16</v>
      </c>
      <c r="D202" s="2" t="s">
        <v>17</v>
      </c>
      <c r="E202" s="5">
        <v>-28328</v>
      </c>
      <c r="F202" s="3" t="s">
        <v>540</v>
      </c>
      <c r="G202" s="3" t="s">
        <v>541</v>
      </c>
      <c r="H202" s="2" t="s">
        <v>20</v>
      </c>
      <c r="I202" s="2" t="s">
        <v>542</v>
      </c>
      <c r="J202" s="3" t="str">
        <f>HYPERLINK("https://www.boe.es/gazeta/dias/1822/06/09/pdfs/GMD-1822-166.pdf#page=4","Abrir facsímil")</f>
        <v>Abrir facsímil</v>
      </c>
      <c r="K202" s="3" t="s">
        <v>22</v>
      </c>
    </row>
    <row r="203" spans="1:11" ht="42" customHeight="1">
      <c r="A203" s="2" t="s">
        <v>428</v>
      </c>
      <c r="B203" s="2" t="s">
        <v>428</v>
      </c>
      <c r="C203" s="2" t="s">
        <v>71</v>
      </c>
      <c r="D203" s="2" t="s">
        <v>17</v>
      </c>
      <c r="E203" s="5">
        <v>-28326</v>
      </c>
      <c r="F203" s="3" t="s">
        <v>543</v>
      </c>
      <c r="G203" s="3" t="s">
        <v>35</v>
      </c>
      <c r="H203" s="2" t="s">
        <v>20</v>
      </c>
      <c r="I203" s="2" t="s">
        <v>544</v>
      </c>
      <c r="J203" s="3" t="str">
        <f>HYPERLINK("https://www.boe.es/gazeta/dias/1822/06/11/pdfs/GMD-1822-168.pdf#page=2","Abrir facsímil")</f>
        <v>Abrir facsímil</v>
      </c>
      <c r="K203" s="3" t="s">
        <v>22</v>
      </c>
    </row>
    <row r="204" spans="1:11" ht="42" customHeight="1">
      <c r="A204" s="2" t="s">
        <v>437</v>
      </c>
      <c r="B204" s="2" t="s">
        <v>437</v>
      </c>
      <c r="C204" s="2" t="s">
        <v>50</v>
      </c>
      <c r="D204" s="2" t="s">
        <v>51</v>
      </c>
      <c r="E204" s="5">
        <v>-28323</v>
      </c>
      <c r="F204" s="3" t="s">
        <v>116</v>
      </c>
      <c r="G204" s="3" t="s">
        <v>35</v>
      </c>
      <c r="H204" s="2" t="s">
        <v>20</v>
      </c>
      <c r="I204" s="2" t="s">
        <v>545</v>
      </c>
      <c r="J204" s="3" t="str">
        <f>HYPERLINK("https://www.boe.es/gazeta/dias/1822/06/14/pdfs/GMD-1822-171.pdf#page=2","Abrir facsímil")</f>
        <v>Abrir facsímil</v>
      </c>
      <c r="K204" s="3" t="s">
        <v>22</v>
      </c>
    </row>
    <row r="205" spans="1:11" ht="42" customHeight="1">
      <c r="A205" s="2" t="s">
        <v>437</v>
      </c>
      <c r="B205" s="2" t="s">
        <v>437</v>
      </c>
      <c r="C205" s="2" t="s">
        <v>71</v>
      </c>
      <c r="D205" s="2" t="s">
        <v>17</v>
      </c>
      <c r="E205" s="5">
        <v>-28317</v>
      </c>
      <c r="F205" s="3" t="s">
        <v>546</v>
      </c>
      <c r="G205" s="3" t="s">
        <v>57</v>
      </c>
      <c r="H205" s="2" t="s">
        <v>20</v>
      </c>
      <c r="I205" s="2" t="s">
        <v>547</v>
      </c>
      <c r="J205" s="3" t="str">
        <f>HYPERLINK("https://www.boe.es/gazeta/dias/1822/06/20/pdfs/GMD-1822-177.pdf#page=4","Abrir facsímil")</f>
        <v>Abrir facsímil</v>
      </c>
      <c r="K205" s="3" t="s">
        <v>22</v>
      </c>
    </row>
    <row r="206" spans="1:11" ht="42" customHeight="1">
      <c r="A206" s="2" t="s">
        <v>428</v>
      </c>
      <c r="B206" s="2" t="s">
        <v>428</v>
      </c>
      <c r="C206" s="2" t="s">
        <v>28</v>
      </c>
      <c r="D206" s="2" t="s">
        <v>29</v>
      </c>
      <c r="E206" s="5">
        <v>-28317</v>
      </c>
      <c r="F206" s="3" t="s">
        <v>546</v>
      </c>
      <c r="G206" s="3" t="s">
        <v>19</v>
      </c>
      <c r="H206" s="2" t="s">
        <v>20</v>
      </c>
      <c r="I206" s="2" t="s">
        <v>548</v>
      </c>
      <c r="J206" s="3" t="str">
        <f>HYPERLINK("https://www.boe.es/gazeta/dias/1822/06/20/pdfs/GMD-1822-177.pdf#page=5","Abrir facsímil")</f>
        <v>Abrir facsímil</v>
      </c>
      <c r="K206" s="3" t="s">
        <v>22</v>
      </c>
    </row>
    <row r="207" spans="1:11" ht="42" customHeight="1">
      <c r="A207" s="2" t="s">
        <v>428</v>
      </c>
      <c r="B207" s="2" t="s">
        <v>428</v>
      </c>
      <c r="C207" s="2" t="s">
        <v>42</v>
      </c>
      <c r="D207" s="2" t="s">
        <v>17</v>
      </c>
      <c r="E207" s="5">
        <v>-28313</v>
      </c>
      <c r="F207" s="3" t="s">
        <v>315</v>
      </c>
      <c r="G207" s="3" t="s">
        <v>549</v>
      </c>
      <c r="H207" s="2" t="s">
        <v>20</v>
      </c>
      <c r="I207" s="2" t="s">
        <v>550</v>
      </c>
      <c r="J207" s="3" t="str">
        <f>HYPERLINK("https://www.boe.es/gazeta/dias/1822/06/24/pdfs/GMD-1822-182.pdf#page=6","Abrir facsímil")</f>
        <v>Abrir facsímil</v>
      </c>
      <c r="K207" s="3" t="s">
        <v>22</v>
      </c>
    </row>
    <row r="208" spans="1:11" ht="42" customHeight="1">
      <c r="A208" s="2" t="s">
        <v>428</v>
      </c>
      <c r="B208" s="2" t="s">
        <v>428</v>
      </c>
      <c r="C208" s="2" t="s">
        <v>71</v>
      </c>
      <c r="D208" s="2" t="s">
        <v>17</v>
      </c>
      <c r="E208" s="5">
        <v>-28313</v>
      </c>
      <c r="F208" s="3" t="s">
        <v>315</v>
      </c>
      <c r="G208" s="3" t="s">
        <v>57</v>
      </c>
      <c r="H208" s="2" t="s">
        <v>20</v>
      </c>
      <c r="I208" s="2" t="s">
        <v>551</v>
      </c>
      <c r="J208" s="3" t="str">
        <f>HYPERLINK("https://www.boe.es/gazeta/dias/1822/06/24/pdfs/GMD-1822-182.pdf#page=4","Abrir facsímil")</f>
        <v>Abrir facsímil</v>
      </c>
      <c r="K208" s="3" t="s">
        <v>22</v>
      </c>
    </row>
    <row r="209" spans="1:11" ht="42" customHeight="1">
      <c r="A209" s="2" t="s">
        <v>428</v>
      </c>
      <c r="B209" s="2" t="s">
        <v>428</v>
      </c>
      <c r="C209" s="2" t="s">
        <v>42</v>
      </c>
      <c r="D209" s="2" t="s">
        <v>17</v>
      </c>
      <c r="E209" s="5">
        <v>-28313</v>
      </c>
      <c r="F209" s="3" t="s">
        <v>315</v>
      </c>
      <c r="G209" s="3" t="s">
        <v>19</v>
      </c>
      <c r="H209" s="2" t="s">
        <v>20</v>
      </c>
      <c r="I209" s="2" t="s">
        <v>552</v>
      </c>
      <c r="J209" s="3" t="str">
        <f>HYPERLINK("https://www.boe.es/gazeta/dias/1822/06/24/pdfs/GMD-1822-182.pdf#page=5","Abrir facsímil")</f>
        <v>Abrir facsímil</v>
      </c>
      <c r="K209" s="3" t="s">
        <v>22</v>
      </c>
    </row>
    <row r="210" spans="1:11" ht="42" customHeight="1">
      <c r="A210" s="2" t="s">
        <v>437</v>
      </c>
      <c r="B210" s="2" t="s">
        <v>437</v>
      </c>
      <c r="C210" s="2" t="s">
        <v>71</v>
      </c>
      <c r="D210" s="2" t="s">
        <v>17</v>
      </c>
      <c r="E210" s="5">
        <v>-28309</v>
      </c>
      <c r="F210" s="3" t="s">
        <v>553</v>
      </c>
      <c r="G210" s="3" t="s">
        <v>57</v>
      </c>
      <c r="H210" s="2" t="s">
        <v>20</v>
      </c>
      <c r="I210" s="2" t="s">
        <v>554</v>
      </c>
      <c r="J210" s="3" t="str">
        <f>HYPERLINK("https://www.boe.es/gazeta/dias/1822/06/28/pdfs/GMD-1822-186.pdf#page=4","Abrir facsímil")</f>
        <v>Abrir facsímil</v>
      </c>
      <c r="K210" s="3" t="s">
        <v>22</v>
      </c>
    </row>
    <row r="211" spans="1:11" ht="42" customHeight="1">
      <c r="A211" s="2" t="s">
        <v>428</v>
      </c>
      <c r="B211" s="2" t="s">
        <v>428</v>
      </c>
      <c r="C211" s="2" t="s">
        <v>61</v>
      </c>
      <c r="D211" s="2" t="s">
        <v>17</v>
      </c>
      <c r="E211" s="5">
        <v>-28307</v>
      </c>
      <c r="F211" s="3" t="s">
        <v>555</v>
      </c>
      <c r="G211" s="3" t="s">
        <v>35</v>
      </c>
      <c r="H211" s="2" t="s">
        <v>20</v>
      </c>
      <c r="I211" s="2" t="s">
        <v>556</v>
      </c>
      <c r="J211" s="3" t="str">
        <f>HYPERLINK("https://www.boe.es/gazeta/dias/1822/06/30/pdfs/GMD-1822-188.pdf#page=2","Abrir facsímil")</f>
        <v>Abrir facsímil</v>
      </c>
      <c r="K211" s="3" t="s">
        <v>22</v>
      </c>
    </row>
    <row r="212" spans="1:11" ht="42" customHeight="1">
      <c r="A212" s="2" t="s">
        <v>437</v>
      </c>
      <c r="B212" s="2" t="s">
        <v>437</v>
      </c>
      <c r="C212" s="2" t="s">
        <v>28</v>
      </c>
      <c r="D212" s="2" t="s">
        <v>29</v>
      </c>
      <c r="E212" s="5">
        <v>-28306</v>
      </c>
      <c r="F212" s="3" t="s">
        <v>348</v>
      </c>
      <c r="G212" s="3" t="s">
        <v>35</v>
      </c>
      <c r="H212" s="2" t="s">
        <v>20</v>
      </c>
      <c r="I212" s="2" t="s">
        <v>557</v>
      </c>
      <c r="J212" s="3" t="str">
        <f>HYPERLINK("https://www.boe.es/gazeta/dias/1822/07/01/pdfs/GMD-1822-190.pdf#page=2","Abrir facsímil")</f>
        <v>Abrir facsímil</v>
      </c>
      <c r="K212" s="3" t="s">
        <v>22</v>
      </c>
    </row>
    <row r="213" spans="1:11" ht="42" customHeight="1">
      <c r="A213" s="2" t="s">
        <v>428</v>
      </c>
      <c r="B213" s="2" t="s">
        <v>428</v>
      </c>
      <c r="C213" s="2" t="s">
        <v>71</v>
      </c>
      <c r="D213" s="2" t="s">
        <v>17</v>
      </c>
      <c r="E213" s="5">
        <v>-28213</v>
      </c>
      <c r="F213" s="3" t="s">
        <v>558</v>
      </c>
      <c r="G213" s="3" t="s">
        <v>31</v>
      </c>
      <c r="H213" s="2" t="s">
        <v>20</v>
      </c>
      <c r="I213" s="2" t="s">
        <v>559</v>
      </c>
      <c r="J213" s="3" t="str">
        <f>HYPERLINK("https://www.boe.es/gazeta/dias/1822/10/02/pdfs/GMD-1822-288.pdf#page=3","Abrir facsímil")</f>
        <v>Abrir facsímil</v>
      </c>
      <c r="K213" s="3" t="s">
        <v>22</v>
      </c>
    </row>
    <row r="214" spans="1:11" ht="42" customHeight="1">
      <c r="A214" s="2" t="s">
        <v>428</v>
      </c>
      <c r="B214" s="2" t="s">
        <v>428</v>
      </c>
      <c r="C214" s="2" t="s">
        <v>42</v>
      </c>
      <c r="D214" s="2" t="s">
        <v>17</v>
      </c>
      <c r="E214" s="5">
        <v>-28212</v>
      </c>
      <c r="F214" s="3" t="s">
        <v>560</v>
      </c>
      <c r="G214" s="3" t="s">
        <v>31</v>
      </c>
      <c r="H214" s="2" t="s">
        <v>20</v>
      </c>
      <c r="I214" s="2" t="s">
        <v>561</v>
      </c>
      <c r="J214" s="3" t="str">
        <f>HYPERLINK("https://www.boe.es/gazeta/dias/1822/10/03/pdfs/GMD-1822-289.pdf#page=3","Abrir facsímil")</f>
        <v>Abrir facsímil</v>
      </c>
      <c r="K214" s="3" t="s">
        <v>22</v>
      </c>
    </row>
    <row r="215" spans="1:11" ht="42" customHeight="1">
      <c r="A215" s="2" t="s">
        <v>428</v>
      </c>
      <c r="B215" s="2" t="s">
        <v>428</v>
      </c>
      <c r="C215" s="2" t="s">
        <v>50</v>
      </c>
      <c r="D215" s="2" t="s">
        <v>51</v>
      </c>
      <c r="E215" s="5">
        <v>-28206</v>
      </c>
      <c r="F215" s="3" t="s">
        <v>562</v>
      </c>
      <c r="G215" s="3" t="s">
        <v>35</v>
      </c>
      <c r="H215" s="2" t="s">
        <v>20</v>
      </c>
      <c r="I215" s="2" t="s">
        <v>563</v>
      </c>
      <c r="J215" s="3" t="str">
        <f>HYPERLINK("https://www.boe.es/gazeta/dias/1822/10/09/pdfs/GMD-1822-296.pdf#page=2","Abrir facsímil")</f>
        <v>Abrir facsímil</v>
      </c>
      <c r="K215" s="3" t="s">
        <v>22</v>
      </c>
    </row>
    <row r="216" spans="1:11" ht="42" customHeight="1">
      <c r="A216" s="2" t="s">
        <v>428</v>
      </c>
      <c r="B216" s="2" t="s">
        <v>428</v>
      </c>
      <c r="C216" s="2" t="s">
        <v>28</v>
      </c>
      <c r="D216" s="2" t="s">
        <v>29</v>
      </c>
      <c r="E216" s="5">
        <v>-28203</v>
      </c>
      <c r="F216" s="3" t="s">
        <v>564</v>
      </c>
      <c r="G216" s="3" t="s">
        <v>44</v>
      </c>
      <c r="H216" s="2" t="s">
        <v>20</v>
      </c>
      <c r="I216" s="2" t="s">
        <v>565</v>
      </c>
      <c r="J216" s="3" t="str">
        <f>HYPERLINK("https://www.boe.es/gazeta/dias/1822/10/12/pdfs/GMD-1822-299.pdf#page=1","Abrir facsímil")</f>
        <v>Abrir facsímil</v>
      </c>
      <c r="K216" s="3" t="s">
        <v>22</v>
      </c>
    </row>
    <row r="217" spans="1:11" ht="42" customHeight="1">
      <c r="A217" s="2" t="s">
        <v>428</v>
      </c>
      <c r="B217" s="2" t="s">
        <v>428</v>
      </c>
      <c r="C217" s="2" t="s">
        <v>71</v>
      </c>
      <c r="D217" s="2" t="s">
        <v>17</v>
      </c>
      <c r="E217" s="5">
        <v>-28201</v>
      </c>
      <c r="F217" s="3" t="s">
        <v>163</v>
      </c>
      <c r="G217" s="3" t="s">
        <v>35</v>
      </c>
      <c r="H217" s="2" t="s">
        <v>20</v>
      </c>
      <c r="I217" s="2" t="s">
        <v>566</v>
      </c>
      <c r="J217" s="3" t="str">
        <f>HYPERLINK("https://www.boe.es/gazeta/dias/1822/10/14/pdfs/GMD-1822-301.pdf#page=2","Abrir facsímil")</f>
        <v>Abrir facsímil</v>
      </c>
      <c r="K217" s="3" t="s">
        <v>22</v>
      </c>
    </row>
    <row r="218" spans="1:11" ht="42" customHeight="1">
      <c r="A218" s="2" t="s">
        <v>428</v>
      </c>
      <c r="B218" s="2" t="s">
        <v>428</v>
      </c>
      <c r="C218" s="2" t="s">
        <v>28</v>
      </c>
      <c r="D218" s="2" t="s">
        <v>29</v>
      </c>
      <c r="E218" s="5">
        <v>-28201</v>
      </c>
      <c r="F218" s="3" t="s">
        <v>163</v>
      </c>
      <c r="G218" s="3" t="s">
        <v>31</v>
      </c>
      <c r="H218" s="2" t="s">
        <v>20</v>
      </c>
      <c r="I218" s="2" t="s">
        <v>567</v>
      </c>
      <c r="J218" s="3" t="str">
        <f>HYPERLINK("https://www.boe.es/gazeta/dias/1822/10/14/pdfs/GMD-1822-301.pdf#page=3","Abrir facsímil")</f>
        <v>Abrir facsímil</v>
      </c>
      <c r="K218" s="3" t="s">
        <v>22</v>
      </c>
    </row>
    <row r="219" spans="1:11" ht="42" customHeight="1">
      <c r="A219" s="2" t="s">
        <v>428</v>
      </c>
      <c r="B219" s="2" t="s">
        <v>428</v>
      </c>
      <c r="C219" s="2" t="s">
        <v>42</v>
      </c>
      <c r="D219" s="2" t="s">
        <v>17</v>
      </c>
      <c r="E219" s="5">
        <v>-28197</v>
      </c>
      <c r="F219" s="3" t="s">
        <v>568</v>
      </c>
      <c r="G219" s="3" t="s">
        <v>57</v>
      </c>
      <c r="H219" s="2" t="s">
        <v>20</v>
      </c>
      <c r="I219" s="2" t="s">
        <v>569</v>
      </c>
      <c r="J219" s="3" t="str">
        <f>HYPERLINK("https://www.boe.es/gazeta/dias/1822/10/18/pdfs/GMD-1822-305.pdf#page=4","Abrir facsímil")</f>
        <v>Abrir facsímil</v>
      </c>
      <c r="K219" s="3" t="s">
        <v>22</v>
      </c>
    </row>
    <row r="220" spans="1:11" ht="42" customHeight="1">
      <c r="A220" s="2" t="s">
        <v>428</v>
      </c>
      <c r="B220" s="2" t="s">
        <v>428</v>
      </c>
      <c r="C220" s="2" t="s">
        <v>50</v>
      </c>
      <c r="D220" s="2" t="s">
        <v>51</v>
      </c>
      <c r="E220" s="5">
        <v>-28196</v>
      </c>
      <c r="F220" s="3" t="s">
        <v>570</v>
      </c>
      <c r="G220" s="3" t="s">
        <v>44</v>
      </c>
      <c r="H220" s="2" t="s">
        <v>20</v>
      </c>
      <c r="I220" s="2" t="s">
        <v>571</v>
      </c>
      <c r="J220" s="3" t="str">
        <f>HYPERLINK("https://www.boe.es/gazeta/dias/1822/10/19/pdfs/GMD-1822-306.pdf#page=1","Abrir facsímil")</f>
        <v>Abrir facsímil</v>
      </c>
      <c r="K220" s="3" t="s">
        <v>22</v>
      </c>
    </row>
    <row r="221" spans="1:11" ht="42" customHeight="1">
      <c r="A221" s="2" t="s">
        <v>428</v>
      </c>
      <c r="B221" s="2" t="s">
        <v>428</v>
      </c>
      <c r="C221" s="2" t="s">
        <v>42</v>
      </c>
      <c r="D221" s="2" t="s">
        <v>17</v>
      </c>
      <c r="E221" s="5">
        <v>-28196</v>
      </c>
      <c r="F221" s="3" t="s">
        <v>570</v>
      </c>
      <c r="G221" s="3" t="s">
        <v>35</v>
      </c>
      <c r="H221" s="2" t="s">
        <v>20</v>
      </c>
      <c r="I221" s="2" t="s">
        <v>572</v>
      </c>
      <c r="J221" s="3" t="str">
        <f>HYPERLINK("https://www.boe.es/gazeta/dias/1822/10/19/pdfs/GMD-1822-306.pdf#page=2","Abrir facsímil")</f>
        <v>Abrir facsímil</v>
      </c>
      <c r="K221" s="3" t="s">
        <v>22</v>
      </c>
    </row>
    <row r="222" spans="1:11" ht="42" customHeight="1">
      <c r="A222" s="2" t="s">
        <v>428</v>
      </c>
      <c r="B222" s="2" t="s">
        <v>428</v>
      </c>
      <c r="C222" s="2" t="s">
        <v>50</v>
      </c>
      <c r="D222" s="2" t="s">
        <v>51</v>
      </c>
      <c r="E222" s="5">
        <v>-28194</v>
      </c>
      <c r="F222" s="3" t="s">
        <v>18</v>
      </c>
      <c r="G222" s="3" t="s">
        <v>44</v>
      </c>
      <c r="H222" s="2" t="s">
        <v>20</v>
      </c>
      <c r="I222" s="2" t="s">
        <v>573</v>
      </c>
      <c r="J222" s="3" t="str">
        <f>HYPERLINK("https://www.boe.es/gazeta/dias/1822/10/21/pdfs/GMD-1822-308.pdf#page=1","Abrir facsímil")</f>
        <v>Abrir facsímil</v>
      </c>
      <c r="K222" s="3" t="s">
        <v>22</v>
      </c>
    </row>
    <row r="223" spans="1:11" ht="42" customHeight="1">
      <c r="A223" s="2" t="s">
        <v>428</v>
      </c>
      <c r="B223" s="2" t="s">
        <v>428</v>
      </c>
      <c r="C223" s="2" t="s">
        <v>24</v>
      </c>
      <c r="D223" s="2" t="s">
        <v>17</v>
      </c>
      <c r="E223" s="5">
        <v>-28193</v>
      </c>
      <c r="F223" s="3" t="s">
        <v>574</v>
      </c>
      <c r="G223" s="3" t="s">
        <v>19</v>
      </c>
      <c r="H223" s="2" t="s">
        <v>20</v>
      </c>
      <c r="I223" s="2" t="s">
        <v>575</v>
      </c>
      <c r="J223" s="3" t="str">
        <f>HYPERLINK("https://www.boe.es/gazeta/dias/1822/10/22/pdfs/GMD-1822-309.pdf#page=5","Abrir facsímil")</f>
        <v>Abrir facsímil</v>
      </c>
      <c r="K223" s="3" t="s">
        <v>22</v>
      </c>
    </row>
    <row r="224" spans="1:11" ht="42" customHeight="1">
      <c r="A224" s="2" t="s">
        <v>428</v>
      </c>
      <c r="B224" s="2" t="s">
        <v>428</v>
      </c>
      <c r="C224" s="2" t="s">
        <v>71</v>
      </c>
      <c r="D224" s="2" t="s">
        <v>17</v>
      </c>
      <c r="E224" s="5">
        <v>-28190</v>
      </c>
      <c r="F224" s="3" t="s">
        <v>576</v>
      </c>
      <c r="G224" s="3" t="s">
        <v>44</v>
      </c>
      <c r="H224" s="2" t="s">
        <v>20</v>
      </c>
      <c r="I224" s="2" t="s">
        <v>577</v>
      </c>
      <c r="J224" s="3" t="str">
        <f>HYPERLINK("https://www.boe.es/gazeta/dias/1822/10/25/pdfs/GMD-1822-312.pdf#page=1","Abrir facsímil")</f>
        <v>Abrir facsímil</v>
      </c>
      <c r="K224" s="3" t="s">
        <v>22</v>
      </c>
    </row>
    <row r="225" spans="1:11" ht="42" customHeight="1">
      <c r="A225" s="2" t="s">
        <v>428</v>
      </c>
      <c r="B225" s="2" t="s">
        <v>428</v>
      </c>
      <c r="C225" s="2" t="s">
        <v>50</v>
      </c>
      <c r="D225" s="2" t="s">
        <v>51</v>
      </c>
      <c r="E225" s="5">
        <v>-28188</v>
      </c>
      <c r="F225" s="3" t="s">
        <v>578</v>
      </c>
      <c r="G225" s="3" t="s">
        <v>44</v>
      </c>
      <c r="H225" s="2" t="s">
        <v>20</v>
      </c>
      <c r="I225" s="2" t="s">
        <v>579</v>
      </c>
      <c r="J225" s="3" t="str">
        <f>HYPERLINK("https://www.boe.es/gazeta/dias/1822/10/27/pdfs/GMD-1822-314.pdf#page=1","Abrir facsímil")</f>
        <v>Abrir facsímil</v>
      </c>
      <c r="K225" s="3" t="s">
        <v>22</v>
      </c>
    </row>
    <row r="226" spans="1:11" ht="42" customHeight="1">
      <c r="A226" s="2" t="s">
        <v>428</v>
      </c>
      <c r="B226" s="2" t="s">
        <v>428</v>
      </c>
      <c r="C226" s="2" t="s">
        <v>28</v>
      </c>
      <c r="D226" s="2" t="s">
        <v>29</v>
      </c>
      <c r="E226" s="5">
        <v>-28188</v>
      </c>
      <c r="F226" s="3" t="s">
        <v>578</v>
      </c>
      <c r="G226" s="3" t="s">
        <v>35</v>
      </c>
      <c r="H226" s="2" t="s">
        <v>20</v>
      </c>
      <c r="I226" s="2" t="s">
        <v>580</v>
      </c>
      <c r="J226" s="3" t="str">
        <f>HYPERLINK("https://www.boe.es/gazeta/dias/1822/10/27/pdfs/GMD-1822-314.pdf#page=2","Abrir facsímil")</f>
        <v>Abrir facsímil</v>
      </c>
      <c r="K226" s="3" t="s">
        <v>22</v>
      </c>
    </row>
    <row r="227" spans="1:11" ht="42" customHeight="1">
      <c r="A227" s="2" t="s">
        <v>428</v>
      </c>
      <c r="B227" s="2" t="s">
        <v>428</v>
      </c>
      <c r="C227" s="2" t="s">
        <v>71</v>
      </c>
      <c r="D227" s="2" t="s">
        <v>17</v>
      </c>
      <c r="E227" s="5">
        <v>-28186</v>
      </c>
      <c r="F227" s="3" t="s">
        <v>581</v>
      </c>
      <c r="G227" s="3" t="s">
        <v>35</v>
      </c>
      <c r="H227" s="2" t="s">
        <v>20</v>
      </c>
      <c r="I227" s="2" t="s">
        <v>582</v>
      </c>
      <c r="J227" s="3" t="str">
        <f>HYPERLINK("https://www.boe.es/gazeta/dias/1822/10/29/pdfs/GMD-1822-316.pdf#page=2","Abrir facsímil")</f>
        <v>Abrir facsímil</v>
      </c>
      <c r="K227" s="3" t="s">
        <v>22</v>
      </c>
    </row>
    <row r="228" spans="1:11" ht="42" customHeight="1">
      <c r="A228" s="2" t="s">
        <v>428</v>
      </c>
      <c r="B228" s="2" t="s">
        <v>428</v>
      </c>
      <c r="C228" s="2" t="s">
        <v>42</v>
      </c>
      <c r="D228" s="2" t="s">
        <v>17</v>
      </c>
      <c r="E228" s="5">
        <v>-28183</v>
      </c>
      <c r="F228" s="3" t="s">
        <v>583</v>
      </c>
      <c r="G228" s="3" t="s">
        <v>44</v>
      </c>
      <c r="H228" s="2" t="s">
        <v>20</v>
      </c>
      <c r="I228" s="2" t="s">
        <v>584</v>
      </c>
      <c r="J228" s="3" t="str">
        <f>HYPERLINK("https://www.boe.es/gazeta/dias/1822/11/01/pdfs/GMD-1822-319.pdf#page=1","Abrir facsímil")</f>
        <v>Abrir facsímil</v>
      </c>
      <c r="K228" s="3" t="s">
        <v>22</v>
      </c>
    </row>
    <row r="229" spans="1:11" ht="42" customHeight="1">
      <c r="A229" s="2" t="s">
        <v>428</v>
      </c>
      <c r="B229" s="2" t="s">
        <v>428</v>
      </c>
      <c r="C229" s="2" t="s">
        <v>50</v>
      </c>
      <c r="D229" s="2" t="s">
        <v>51</v>
      </c>
      <c r="E229" s="5">
        <v>-28182</v>
      </c>
      <c r="F229" s="3" t="s">
        <v>585</v>
      </c>
      <c r="G229" s="3" t="s">
        <v>44</v>
      </c>
      <c r="H229" s="2" t="s">
        <v>20</v>
      </c>
      <c r="I229" s="2" t="s">
        <v>586</v>
      </c>
      <c r="J229" s="3" t="str">
        <f>HYPERLINK("https://www.boe.es/gazeta/dias/1822/11/02/pdfs/GMD-1822-320.pdf#page=1","Abrir facsímil")</f>
        <v>Abrir facsímil</v>
      </c>
      <c r="K229" s="3" t="s">
        <v>22</v>
      </c>
    </row>
    <row r="230" spans="1:11" ht="42" customHeight="1">
      <c r="A230" s="2" t="s">
        <v>428</v>
      </c>
      <c r="B230" s="2" t="s">
        <v>428</v>
      </c>
      <c r="C230" s="2" t="s">
        <v>50</v>
      </c>
      <c r="D230" s="2" t="s">
        <v>51</v>
      </c>
      <c r="E230" s="5">
        <v>-28177</v>
      </c>
      <c r="F230" s="3" t="s">
        <v>587</v>
      </c>
      <c r="G230" s="3" t="s">
        <v>35</v>
      </c>
      <c r="H230" s="2" t="s">
        <v>20</v>
      </c>
      <c r="I230" s="2" t="s">
        <v>588</v>
      </c>
      <c r="J230" s="3" t="str">
        <f>HYPERLINK("https://www.boe.es/gazeta/dias/1822/11/07/pdfs/GMD-1822-327.pdf#page=2","Abrir facsímil")</f>
        <v>Abrir facsímil</v>
      </c>
      <c r="K230" s="3" t="s">
        <v>22</v>
      </c>
    </row>
    <row r="231" spans="1:11" ht="42" customHeight="1">
      <c r="A231" s="2" t="s">
        <v>428</v>
      </c>
      <c r="B231" s="2" t="s">
        <v>428</v>
      </c>
      <c r="C231" s="2" t="s">
        <v>50</v>
      </c>
      <c r="D231" s="2" t="s">
        <v>51</v>
      </c>
      <c r="E231" s="5">
        <v>-28161</v>
      </c>
      <c r="F231" s="3" t="s">
        <v>166</v>
      </c>
      <c r="G231" s="3" t="s">
        <v>35</v>
      </c>
      <c r="H231" s="2" t="s">
        <v>20</v>
      </c>
      <c r="I231" s="2" t="s">
        <v>589</v>
      </c>
      <c r="J231" s="3" t="str">
        <f>HYPERLINK("https://www.boe.es/gazeta/dias/1822/11/23/pdfs/GMD-1822-343.pdf#page=2","Abrir facsímil")</f>
        <v>Abrir facsímil</v>
      </c>
      <c r="K231" s="3" t="s">
        <v>22</v>
      </c>
    </row>
    <row r="232" spans="1:11" ht="42" customHeight="1">
      <c r="A232" s="2" t="s">
        <v>428</v>
      </c>
      <c r="B232" s="2" t="s">
        <v>428</v>
      </c>
      <c r="C232" s="2" t="s">
        <v>42</v>
      </c>
      <c r="D232" s="2" t="s">
        <v>17</v>
      </c>
      <c r="E232" s="5">
        <v>-28158</v>
      </c>
      <c r="F232" s="3" t="s">
        <v>590</v>
      </c>
      <c r="G232" s="3" t="s">
        <v>19</v>
      </c>
      <c r="H232" s="2" t="s">
        <v>20</v>
      </c>
      <c r="I232" s="2" t="s">
        <v>591</v>
      </c>
      <c r="J232" s="3" t="str">
        <f>HYPERLINK("https://www.boe.es/gazeta/dias/1822/11/26/pdfs/GMD-1822-346.pdf#page=5","Abrir facsímil")</f>
        <v>Abrir facsímil</v>
      </c>
      <c r="K232" s="3" t="s">
        <v>22</v>
      </c>
    </row>
    <row r="233" spans="1:11" ht="42" customHeight="1">
      <c r="A233" s="2" t="s">
        <v>428</v>
      </c>
      <c r="B233" s="2" t="s">
        <v>428</v>
      </c>
      <c r="C233" s="2" t="s">
        <v>71</v>
      </c>
      <c r="D233" s="2" t="s">
        <v>17</v>
      </c>
      <c r="E233" s="5">
        <v>-28152</v>
      </c>
      <c r="F233" s="3" t="s">
        <v>122</v>
      </c>
      <c r="G233" s="3" t="s">
        <v>31</v>
      </c>
      <c r="H233" s="2" t="s">
        <v>20</v>
      </c>
      <c r="I233" s="2" t="s">
        <v>592</v>
      </c>
      <c r="J233" s="3" t="str">
        <f>HYPERLINK("https://www.boe.es/gazeta/dias/1822/12/02/pdfs/GMD-1822-352.pdf#page=3","Abrir facsímil")</f>
        <v>Abrir facsímil</v>
      </c>
      <c r="K233" s="3" t="s">
        <v>22</v>
      </c>
    </row>
    <row r="234" spans="1:11" ht="42" customHeight="1">
      <c r="A234" s="2" t="s">
        <v>428</v>
      </c>
      <c r="B234" s="2" t="s">
        <v>428</v>
      </c>
      <c r="C234" s="2" t="s">
        <v>71</v>
      </c>
      <c r="D234" s="2" t="s">
        <v>17</v>
      </c>
      <c r="E234" s="5">
        <v>-28150</v>
      </c>
      <c r="F234" s="3" t="s">
        <v>62</v>
      </c>
      <c r="G234" s="3" t="s">
        <v>57</v>
      </c>
      <c r="H234" s="2" t="s">
        <v>20</v>
      </c>
      <c r="I234" s="2" t="s">
        <v>593</v>
      </c>
      <c r="J234" s="3" t="str">
        <f>HYPERLINK("https://www.boe.es/gazeta/dias/1822/12/04/pdfs/GMD-1822-354.pdf#page=4","Abrir facsímil")</f>
        <v>Abrir facsímil</v>
      </c>
      <c r="K234" s="3" t="s">
        <v>22</v>
      </c>
    </row>
    <row r="235" spans="1:11" ht="42" customHeight="1">
      <c r="A235" s="2" t="s">
        <v>437</v>
      </c>
      <c r="B235" s="2" t="s">
        <v>437</v>
      </c>
      <c r="C235" s="2" t="s">
        <v>16</v>
      </c>
      <c r="D235" s="2" t="s">
        <v>17</v>
      </c>
      <c r="E235" s="5">
        <v>-28137</v>
      </c>
      <c r="F235" s="3" t="s">
        <v>312</v>
      </c>
      <c r="G235" s="3" t="s">
        <v>35</v>
      </c>
      <c r="H235" s="2" t="s">
        <v>20</v>
      </c>
      <c r="I235" s="2" t="s">
        <v>594</v>
      </c>
      <c r="J235" s="3" t="str">
        <f>HYPERLINK("https://www.boe.es/gazeta/dias/1822/12/17/pdfs/GMD-1822-367.pdf#page=2","Abrir facsímil")</f>
        <v>Abrir facsímil</v>
      </c>
      <c r="K235" s="3" t="s">
        <v>22</v>
      </c>
    </row>
    <row r="236" spans="1:11" ht="42" customHeight="1">
      <c r="A236" s="2" t="s">
        <v>428</v>
      </c>
      <c r="B236" s="2" t="s">
        <v>428</v>
      </c>
      <c r="C236" s="2" t="s">
        <v>42</v>
      </c>
      <c r="D236" s="2" t="s">
        <v>17</v>
      </c>
      <c r="E236" s="5">
        <v>-28133</v>
      </c>
      <c r="F236" s="3" t="s">
        <v>595</v>
      </c>
      <c r="G236" s="3" t="s">
        <v>596</v>
      </c>
      <c r="H236" s="2" t="s">
        <v>20</v>
      </c>
      <c r="I236" s="2" t="s">
        <v>597</v>
      </c>
      <c r="J236" s="3" t="str">
        <f>HYPERLINK("https://www.boe.es/gazeta/dias/1822/12/21/pdfs/GMD-1822-371.pdf#page=2","Abrir facsímil")</f>
        <v>Abrir facsímil</v>
      </c>
      <c r="K236" s="3" t="s">
        <v>22</v>
      </c>
    </row>
    <row r="237" spans="1:11" ht="42" customHeight="1">
      <c r="A237" s="2" t="s">
        <v>428</v>
      </c>
      <c r="B237" s="2" t="s">
        <v>428</v>
      </c>
      <c r="C237" s="2" t="s">
        <v>71</v>
      </c>
      <c r="D237" s="2" t="s">
        <v>17</v>
      </c>
      <c r="E237" s="5">
        <v>-28133</v>
      </c>
      <c r="F237" s="3" t="s">
        <v>595</v>
      </c>
      <c r="G237" s="3" t="s">
        <v>31</v>
      </c>
      <c r="H237" s="2" t="s">
        <v>20</v>
      </c>
      <c r="I237" s="2" t="s">
        <v>598</v>
      </c>
      <c r="J237" s="3" t="str">
        <f>HYPERLINK("https://www.boe.es/gazeta/dias/1822/12/21/pdfs/GMD-1822-371.pdf#page=3","Abrir facsímil")</f>
        <v>Abrir facsímil</v>
      </c>
      <c r="K237" s="3" t="s">
        <v>22</v>
      </c>
    </row>
    <row r="238" spans="1:11" ht="42" customHeight="1">
      <c r="A238" s="2" t="s">
        <v>428</v>
      </c>
      <c r="B238" s="2" t="s">
        <v>428</v>
      </c>
      <c r="C238" s="2" t="s">
        <v>42</v>
      </c>
      <c r="D238" s="2" t="s">
        <v>17</v>
      </c>
      <c r="E238" s="5">
        <v>-28129</v>
      </c>
      <c r="F238" s="3" t="s">
        <v>599</v>
      </c>
      <c r="G238" s="3" t="s">
        <v>35</v>
      </c>
      <c r="H238" s="2" t="s">
        <v>20</v>
      </c>
      <c r="I238" s="2" t="s">
        <v>600</v>
      </c>
      <c r="J238" s="3" t="str">
        <f>HYPERLINK("https://www.boe.es/gazeta/dias/1822/12/25/pdfs/GMD-1822-375.pdf#page=2","Abrir facsímil")</f>
        <v>Abrir facsímil</v>
      </c>
      <c r="K238" s="3" t="s">
        <v>22</v>
      </c>
    </row>
    <row r="239" spans="1:11" ht="42" customHeight="1">
      <c r="A239" s="2" t="s">
        <v>428</v>
      </c>
      <c r="B239" s="2" t="s">
        <v>428</v>
      </c>
      <c r="C239" s="2" t="s">
        <v>50</v>
      </c>
      <c r="D239" s="2" t="s">
        <v>51</v>
      </c>
      <c r="E239" s="5">
        <v>-28124</v>
      </c>
      <c r="F239" s="3" t="s">
        <v>301</v>
      </c>
      <c r="G239" s="3" t="s">
        <v>601</v>
      </c>
      <c r="H239" s="2" t="s">
        <v>20</v>
      </c>
      <c r="I239" s="2" t="s">
        <v>602</v>
      </c>
      <c r="J239" s="3" t="str">
        <f>HYPERLINK("https://www.boe.es/gazeta/dias/1822/12/30/pdfs/GMD-1822-380.pdf#page=4","Abrir facsímil")</f>
        <v>Abrir facsímil</v>
      </c>
      <c r="K239" s="3" t="s">
        <v>22</v>
      </c>
    </row>
    <row r="240" spans="1:11" ht="42" customHeight="1">
      <c r="A240" s="2" t="s">
        <v>428</v>
      </c>
      <c r="B240" s="2" t="s">
        <v>428</v>
      </c>
      <c r="C240" s="2" t="s">
        <v>71</v>
      </c>
      <c r="D240" s="2" t="s">
        <v>17</v>
      </c>
      <c r="E240" s="5">
        <v>-28123</v>
      </c>
      <c r="F240" s="3" t="s">
        <v>603</v>
      </c>
      <c r="G240" s="3" t="s">
        <v>19</v>
      </c>
      <c r="H240" s="2" t="s">
        <v>20</v>
      </c>
      <c r="I240" s="2" t="s">
        <v>604</v>
      </c>
      <c r="J240" s="3" t="str">
        <f>HYPERLINK("https://www.boe.es/gazeta/dias/1822/12/31/pdfs/GMD-1822-381.pdf#page=5","Abrir facsímil")</f>
        <v>Abrir facsímil</v>
      </c>
      <c r="K240" s="3" t="s">
        <v>22</v>
      </c>
    </row>
    <row r="241" spans="1:11" ht="42" customHeight="1">
      <c r="A241" s="2" t="s">
        <v>605</v>
      </c>
      <c r="B241" s="2" t="s">
        <v>606</v>
      </c>
      <c r="C241" s="2" t="s">
        <v>50</v>
      </c>
      <c r="D241" s="2" t="s">
        <v>51</v>
      </c>
      <c r="E241" s="5">
        <v>-28289</v>
      </c>
      <c r="F241" s="3" t="s">
        <v>390</v>
      </c>
      <c r="G241" s="3" t="s">
        <v>44</v>
      </c>
      <c r="H241" s="2" t="s">
        <v>20</v>
      </c>
      <c r="I241" s="2" t="s">
        <v>607</v>
      </c>
      <c r="J241" s="3" t="str">
        <f>HYPERLINK("https://www.boe.es/gazeta/dias/1822/07/18/pdfs/GMD-1822-209.pdf#page=1","Abrir facsímil")</f>
        <v>Abrir facsímil</v>
      </c>
      <c r="K241" s="3" t="s">
        <v>22</v>
      </c>
    </row>
    <row r="242" spans="1:11" ht="42" customHeight="1">
      <c r="A242" s="2" t="s">
        <v>608</v>
      </c>
      <c r="B242" s="2" t="s">
        <v>608</v>
      </c>
      <c r="C242" s="2" t="s">
        <v>71</v>
      </c>
      <c r="D242" s="2" t="s">
        <v>17</v>
      </c>
      <c r="E242" s="5">
        <v>-28360</v>
      </c>
      <c r="F242" s="3" t="s">
        <v>514</v>
      </c>
      <c r="G242" s="3" t="s">
        <v>57</v>
      </c>
      <c r="H242" s="2" t="s">
        <v>20</v>
      </c>
      <c r="I242" s="2" t="s">
        <v>609</v>
      </c>
      <c r="J242" s="3" t="str">
        <f>HYPERLINK("https://www.boe.es/gazeta/dias/1822/05/08/pdfs/GMD-1822-130.pdf#page=4","Abrir facsímil")</f>
        <v>Abrir facsímil</v>
      </c>
      <c r="K242" s="3" t="s">
        <v>22</v>
      </c>
    </row>
    <row r="243" spans="1:11" ht="42" customHeight="1">
      <c r="A243" s="2" t="s">
        <v>608</v>
      </c>
      <c r="B243" s="2" t="s">
        <v>608</v>
      </c>
      <c r="C243" s="2" t="s">
        <v>42</v>
      </c>
      <c r="D243" s="2" t="s">
        <v>17</v>
      </c>
      <c r="E243" s="5">
        <v>-28197</v>
      </c>
      <c r="F243" s="3" t="s">
        <v>568</v>
      </c>
      <c r="G243" s="3" t="s">
        <v>57</v>
      </c>
      <c r="H243" s="2" t="s">
        <v>20</v>
      </c>
      <c r="I243" s="2" t="s">
        <v>610</v>
      </c>
      <c r="J243" s="3" t="str">
        <f>HYPERLINK("https://www.boe.es/gazeta/dias/1822/10/18/pdfs/GMD-1822-305.pdf#page=4","Abrir facsímil")</f>
        <v>Abrir facsímil</v>
      </c>
      <c r="K243" s="3" t="s">
        <v>22</v>
      </c>
    </row>
    <row r="244" spans="1:11" ht="42" customHeight="1">
      <c r="A244" s="2" t="s">
        <v>611</v>
      </c>
      <c r="B244" s="2" t="s">
        <v>611</v>
      </c>
      <c r="C244" s="2" t="s">
        <v>28</v>
      </c>
      <c r="D244" s="2" t="s">
        <v>29</v>
      </c>
      <c r="E244" s="5">
        <v>-28401</v>
      </c>
      <c r="F244" s="3" t="s">
        <v>108</v>
      </c>
      <c r="G244" s="3" t="s">
        <v>63</v>
      </c>
      <c r="H244" s="2" t="s">
        <v>20</v>
      </c>
      <c r="I244" s="2" t="s">
        <v>612</v>
      </c>
      <c r="J244" s="3" t="str">
        <f>HYPERLINK("https://www.boe.es/gazeta/dias/1822/03/28/pdfs/GMD-1822-89.pdf#page=6","Abrir facsímil")</f>
        <v>Abrir facsímil</v>
      </c>
      <c r="K244" s="3" t="s">
        <v>22</v>
      </c>
    </row>
    <row r="245" spans="1:11" ht="42" customHeight="1">
      <c r="A245" s="2" t="s">
        <v>611</v>
      </c>
      <c r="B245" s="2" t="s">
        <v>611</v>
      </c>
      <c r="C245" s="2" t="s">
        <v>50</v>
      </c>
      <c r="D245" s="2" t="s">
        <v>51</v>
      </c>
      <c r="E245" s="5">
        <v>-28377</v>
      </c>
      <c r="F245" s="3" t="s">
        <v>498</v>
      </c>
      <c r="G245" s="3" t="s">
        <v>31</v>
      </c>
      <c r="H245" s="2" t="s">
        <v>20</v>
      </c>
      <c r="I245" s="2" t="s">
        <v>613</v>
      </c>
      <c r="J245" s="3" t="str">
        <f>HYPERLINK("https://www.boe.es/gazeta/dias/1822/04/21/pdfs/GMD-1822-113.pdf#page=3","Abrir facsímil")</f>
        <v>Abrir facsímil</v>
      </c>
      <c r="K245" s="3" t="s">
        <v>22</v>
      </c>
    </row>
    <row r="246" spans="1:11" ht="42" customHeight="1">
      <c r="A246" s="2" t="s">
        <v>611</v>
      </c>
      <c r="B246" s="2" t="s">
        <v>611</v>
      </c>
      <c r="C246" s="2" t="s">
        <v>16</v>
      </c>
      <c r="D246" s="2" t="s">
        <v>17</v>
      </c>
      <c r="E246" s="5">
        <v>-28373</v>
      </c>
      <c r="F246" s="3" t="s">
        <v>614</v>
      </c>
      <c r="G246" s="3" t="s">
        <v>35</v>
      </c>
      <c r="H246" s="2" t="s">
        <v>20</v>
      </c>
      <c r="I246" s="2" t="s">
        <v>615</v>
      </c>
      <c r="J246" s="3" t="str">
        <f>HYPERLINK("https://www.boe.es/gazeta/dias/1822/04/25/pdfs/GMD-1822-117.pdf#page=2","Abrir facsímil")</f>
        <v>Abrir facsímil</v>
      </c>
      <c r="K246" s="3" t="s">
        <v>22</v>
      </c>
    </row>
    <row r="247" spans="1:11" ht="42" customHeight="1">
      <c r="A247" s="2" t="s">
        <v>611</v>
      </c>
      <c r="B247" s="2" t="s">
        <v>611</v>
      </c>
      <c r="C247" s="2" t="s">
        <v>71</v>
      </c>
      <c r="D247" s="2" t="s">
        <v>17</v>
      </c>
      <c r="E247" s="5">
        <v>-28371</v>
      </c>
      <c r="F247" s="3" t="s">
        <v>401</v>
      </c>
      <c r="G247" s="3" t="s">
        <v>57</v>
      </c>
      <c r="H247" s="2" t="s">
        <v>20</v>
      </c>
      <c r="I247" s="2" t="s">
        <v>616</v>
      </c>
      <c r="J247" s="3" t="str">
        <f>HYPERLINK("https://www.boe.es/gazeta/dias/1822/04/27/pdfs/GMD-1822-119.pdf#page=4","Abrir facsímil")</f>
        <v>Abrir facsímil</v>
      </c>
      <c r="K247" s="3" t="s">
        <v>22</v>
      </c>
    </row>
    <row r="248" spans="1:11" ht="42" customHeight="1">
      <c r="A248" s="2" t="s">
        <v>611</v>
      </c>
      <c r="B248" s="2" t="s">
        <v>611</v>
      </c>
      <c r="C248" s="2" t="s">
        <v>24</v>
      </c>
      <c r="D248" s="2" t="s">
        <v>17</v>
      </c>
      <c r="E248" s="5">
        <v>-28359</v>
      </c>
      <c r="F248" s="3" t="s">
        <v>209</v>
      </c>
      <c r="G248" s="3" t="s">
        <v>19</v>
      </c>
      <c r="H248" s="2" t="s">
        <v>20</v>
      </c>
      <c r="I248" s="2" t="s">
        <v>617</v>
      </c>
      <c r="J248" s="3" t="str">
        <f>HYPERLINK("https://www.boe.es/gazeta/dias/1822/05/09/pdfs/GMD-1822-131.pdf#page=5","Abrir facsímil")</f>
        <v>Abrir facsímil</v>
      </c>
      <c r="K248" s="3" t="s">
        <v>22</v>
      </c>
    </row>
    <row r="249" spans="1:11" ht="42" customHeight="1">
      <c r="A249" s="2" t="s">
        <v>611</v>
      </c>
      <c r="B249" s="2" t="s">
        <v>611</v>
      </c>
      <c r="C249" s="2" t="s">
        <v>28</v>
      </c>
      <c r="D249" s="2" t="s">
        <v>29</v>
      </c>
      <c r="E249" s="5">
        <v>-28140</v>
      </c>
      <c r="F249" s="3" t="s">
        <v>84</v>
      </c>
      <c r="G249" s="3" t="s">
        <v>35</v>
      </c>
      <c r="H249" s="2" t="s">
        <v>20</v>
      </c>
      <c r="I249" s="2" t="s">
        <v>618</v>
      </c>
      <c r="J249" s="3" t="str">
        <f>HYPERLINK("https://www.boe.es/gazeta/dias/1822/12/14/pdfs/GMD-1822-364.pdf#page=2","Abrir facsímil")</f>
        <v>Abrir facsímil</v>
      </c>
      <c r="K249" s="3" t="s">
        <v>22</v>
      </c>
    </row>
    <row r="250" spans="1:11" ht="42" customHeight="1">
      <c r="A250" s="2" t="s">
        <v>619</v>
      </c>
      <c r="B250" s="2" t="s">
        <v>619</v>
      </c>
      <c r="C250" s="2" t="s">
        <v>28</v>
      </c>
      <c r="D250" s="2" t="s">
        <v>29</v>
      </c>
      <c r="E250" s="5">
        <v>-28134</v>
      </c>
      <c r="F250" s="3" t="s">
        <v>620</v>
      </c>
      <c r="G250" s="3" t="s">
        <v>31</v>
      </c>
      <c r="H250" s="2" t="s">
        <v>20</v>
      </c>
      <c r="I250" s="2" t="s">
        <v>621</v>
      </c>
      <c r="J250" s="3" t="str">
        <f>HYPERLINK("https://www.boe.es/gazeta/dias/1822/12/20/pdfs/GMD-1822-370.pdf#page=3","Abrir facsímil")</f>
        <v>Abrir facsímil</v>
      </c>
      <c r="K250" s="3" t="s">
        <v>22</v>
      </c>
    </row>
    <row r="251" spans="1:11" ht="42" customHeight="1">
      <c r="A251" s="2" t="s">
        <v>622</v>
      </c>
      <c r="B251" s="2" t="s">
        <v>622</v>
      </c>
      <c r="C251" s="2" t="s">
        <v>28</v>
      </c>
      <c r="D251" s="2" t="s">
        <v>29</v>
      </c>
      <c r="E251" s="5">
        <v>-28422</v>
      </c>
      <c r="F251" s="3" t="s">
        <v>416</v>
      </c>
      <c r="G251" s="3" t="s">
        <v>31</v>
      </c>
      <c r="H251" s="2" t="s">
        <v>20</v>
      </c>
      <c r="I251" s="2" t="s">
        <v>623</v>
      </c>
      <c r="J251" s="3" t="str">
        <f>HYPERLINK("https://www.boe.es/gazeta/dias/1822/03/07/pdfs/GMD-1822-68.pdf#page=3","Abrir facsímil")</f>
        <v>Abrir facsímil</v>
      </c>
      <c r="K251" s="3" t="s">
        <v>22</v>
      </c>
    </row>
    <row r="252" spans="1:11" ht="42" customHeight="1">
      <c r="A252" s="2" t="s">
        <v>622</v>
      </c>
      <c r="B252" s="2" t="s">
        <v>622</v>
      </c>
      <c r="C252" s="2" t="s">
        <v>50</v>
      </c>
      <c r="D252" s="2" t="s">
        <v>51</v>
      </c>
      <c r="E252" s="5">
        <v>-28406</v>
      </c>
      <c r="F252" s="3" t="s">
        <v>462</v>
      </c>
      <c r="G252" s="3" t="s">
        <v>63</v>
      </c>
      <c r="H252" s="2" t="s">
        <v>20</v>
      </c>
      <c r="I252" s="2" t="s">
        <v>624</v>
      </c>
      <c r="J252" s="3" t="str">
        <f>HYPERLINK("https://www.boe.es/gazeta/dias/1822/03/23/pdfs/GMD-1822-84.pdf#page=6","Abrir facsímil")</f>
        <v>Abrir facsímil</v>
      </c>
      <c r="K252" s="3" t="s">
        <v>22</v>
      </c>
    </row>
    <row r="253" spans="1:11" ht="42" customHeight="1">
      <c r="A253" s="2" t="s">
        <v>622</v>
      </c>
      <c r="B253" s="2" t="s">
        <v>622</v>
      </c>
      <c r="C253" s="2" t="s">
        <v>42</v>
      </c>
      <c r="D253" s="2" t="s">
        <v>17</v>
      </c>
      <c r="E253" s="5">
        <v>-28385</v>
      </c>
      <c r="F253" s="3" t="s">
        <v>484</v>
      </c>
      <c r="G253" s="3" t="s">
        <v>35</v>
      </c>
      <c r="H253" s="2" t="s">
        <v>20</v>
      </c>
      <c r="I253" s="2" t="s">
        <v>625</v>
      </c>
      <c r="J253" s="3" t="str">
        <f>HYPERLINK("https://www.boe.es/gazeta/dias/1822/04/13/pdfs/GMD-1822-105.pdf#page=2","Abrir facsímil")</f>
        <v>Abrir facsímil</v>
      </c>
      <c r="K253" s="3" t="s">
        <v>22</v>
      </c>
    </row>
    <row r="254" spans="1:11" ht="42" customHeight="1">
      <c r="A254" s="2" t="s">
        <v>622</v>
      </c>
      <c r="B254" s="2" t="s">
        <v>622</v>
      </c>
      <c r="C254" s="2" t="s">
        <v>42</v>
      </c>
      <c r="D254" s="2" t="s">
        <v>17</v>
      </c>
      <c r="E254" s="5">
        <v>-28354</v>
      </c>
      <c r="F254" s="3" t="s">
        <v>226</v>
      </c>
      <c r="G254" s="3" t="s">
        <v>57</v>
      </c>
      <c r="H254" s="2" t="s">
        <v>20</v>
      </c>
      <c r="I254" s="2" t="s">
        <v>626</v>
      </c>
      <c r="J254" s="3" t="str">
        <f>HYPERLINK("https://www.boe.es/gazeta/dias/1822/05/14/pdfs/GMD-1822-136.pdf#page=4","Abrir facsímil")</f>
        <v>Abrir facsímil</v>
      </c>
      <c r="K254" s="3" t="s">
        <v>22</v>
      </c>
    </row>
    <row r="255" spans="1:11" ht="42" customHeight="1">
      <c r="A255" s="2" t="s">
        <v>627</v>
      </c>
      <c r="B255" s="2" t="s">
        <v>628</v>
      </c>
      <c r="C255" s="2" t="s">
        <v>28</v>
      </c>
      <c r="D255" s="2" t="s">
        <v>29</v>
      </c>
      <c r="E255" s="5">
        <v>-28483</v>
      </c>
      <c r="F255" s="3" t="s">
        <v>254</v>
      </c>
      <c r="G255" s="3" t="s">
        <v>57</v>
      </c>
      <c r="H255" s="2" t="s">
        <v>45</v>
      </c>
      <c r="I255" s="2" t="s">
        <v>629</v>
      </c>
      <c r="J255" s="3" t="str">
        <f>HYPERLINK("https://www.boe.es/gazeta/dias/1822/01/05/pdfs/GMD-1822-5.pdf#page=4","Abrir facsímil")</f>
        <v>Abrir facsímil</v>
      </c>
      <c r="K255" s="3" t="s">
        <v>47</v>
      </c>
    </row>
    <row r="256" spans="1:11" ht="42" customHeight="1">
      <c r="A256" s="2" t="s">
        <v>630</v>
      </c>
      <c r="B256" s="2" t="s">
        <v>630</v>
      </c>
      <c r="C256" s="2" t="s">
        <v>71</v>
      </c>
      <c r="D256" s="2" t="s">
        <v>17</v>
      </c>
      <c r="E256" s="5">
        <v>-28190</v>
      </c>
      <c r="F256" s="3" t="s">
        <v>576</v>
      </c>
      <c r="G256" s="3" t="s">
        <v>44</v>
      </c>
      <c r="H256" s="2" t="s">
        <v>20</v>
      </c>
      <c r="I256" s="2" t="s">
        <v>631</v>
      </c>
      <c r="J256" s="3" t="str">
        <f>HYPERLINK("https://www.boe.es/gazeta/dias/1822/10/25/pdfs/GMD-1822-312.pdf#page=1","Abrir facsímil")</f>
        <v>Abrir facsímil</v>
      </c>
      <c r="K256" s="3" t="s">
        <v>22</v>
      </c>
    </row>
    <row r="257" spans="1:11" ht="42" customHeight="1">
      <c r="A257" s="2" t="s">
        <v>632</v>
      </c>
      <c r="B257" s="2" t="s">
        <v>632</v>
      </c>
      <c r="C257" s="2" t="s">
        <v>71</v>
      </c>
      <c r="D257" s="2" t="s">
        <v>17</v>
      </c>
      <c r="E257" s="5">
        <v>-28307</v>
      </c>
      <c r="F257" s="3" t="s">
        <v>555</v>
      </c>
      <c r="G257" s="3" t="s">
        <v>63</v>
      </c>
      <c r="H257" s="2" t="s">
        <v>20</v>
      </c>
      <c r="I257" s="2" t="s">
        <v>633</v>
      </c>
      <c r="J257" s="3" t="str">
        <f>HYPERLINK("https://www.boe.es/gazeta/dias/1822/06/30/pdfs/GMD-1822-188.pdf#page=6","Abrir facsímil")</f>
        <v>Abrir facsímil</v>
      </c>
      <c r="K257" s="3" t="s">
        <v>22</v>
      </c>
    </row>
    <row r="258" spans="1:11" ht="42" customHeight="1">
      <c r="A258" s="2" t="s">
        <v>634</v>
      </c>
      <c r="B258" s="2" t="s">
        <v>634</v>
      </c>
      <c r="C258" s="2" t="s">
        <v>71</v>
      </c>
      <c r="D258" s="2" t="s">
        <v>17</v>
      </c>
      <c r="E258" s="5">
        <v>-28354</v>
      </c>
      <c r="F258" s="3" t="s">
        <v>226</v>
      </c>
      <c r="G258" s="3" t="s">
        <v>44</v>
      </c>
      <c r="H258" s="2" t="s">
        <v>20</v>
      </c>
      <c r="I258" s="2" t="s">
        <v>635</v>
      </c>
      <c r="J258" s="3" t="str">
        <f>HYPERLINK("https://www.boe.es/gazeta/dias/1822/05/14/pdfs/GMD-1822-136.pdf#page=1","Abrir facsímil")</f>
        <v>Abrir facsímil</v>
      </c>
      <c r="K258" s="3" t="s">
        <v>22</v>
      </c>
    </row>
    <row r="259" spans="1:11" ht="42" customHeight="1">
      <c r="A259" s="2" t="s">
        <v>636</v>
      </c>
      <c r="B259" s="2" t="s">
        <v>636</v>
      </c>
      <c r="C259" s="2" t="s">
        <v>42</v>
      </c>
      <c r="D259" s="2" t="s">
        <v>17</v>
      </c>
      <c r="E259" s="5">
        <v>-28373</v>
      </c>
      <c r="F259" s="3" t="s">
        <v>614</v>
      </c>
      <c r="G259" s="3" t="s">
        <v>35</v>
      </c>
      <c r="H259" s="2" t="s">
        <v>20</v>
      </c>
      <c r="I259" s="2" t="s">
        <v>637</v>
      </c>
      <c r="J259" s="3" t="str">
        <f>HYPERLINK("https://www.boe.es/gazeta/dias/1822/04/25/pdfs/GMD-1822-117.pdf#page=2","Abrir facsímil")</f>
        <v>Abrir facsímil</v>
      </c>
      <c r="K259" s="3" t="s">
        <v>22</v>
      </c>
    </row>
    <row r="260" spans="1:11" ht="42" customHeight="1">
      <c r="A260" s="2" t="s">
        <v>636</v>
      </c>
      <c r="B260" s="2" t="s">
        <v>636</v>
      </c>
      <c r="C260" s="2" t="s">
        <v>71</v>
      </c>
      <c r="D260" s="2" t="s">
        <v>17</v>
      </c>
      <c r="E260" s="5">
        <v>-28327</v>
      </c>
      <c r="F260" s="3" t="s">
        <v>38</v>
      </c>
      <c r="G260" s="3" t="s">
        <v>35</v>
      </c>
      <c r="H260" s="2" t="s">
        <v>20</v>
      </c>
      <c r="I260" s="2" t="s">
        <v>638</v>
      </c>
      <c r="J260" s="3" t="str">
        <f>HYPERLINK("https://www.boe.es/gazeta/dias/1822/06/10/pdfs/GMD-1822-167.pdf#page=2","Abrir facsímil")</f>
        <v>Abrir facsímil</v>
      </c>
      <c r="K260" s="3" t="s">
        <v>22</v>
      </c>
    </row>
    <row r="261" spans="1:11" ht="42" customHeight="1">
      <c r="A261" s="2" t="s">
        <v>639</v>
      </c>
      <c r="B261" s="2" t="s">
        <v>639</v>
      </c>
      <c r="C261" s="2" t="s">
        <v>28</v>
      </c>
      <c r="D261" s="2" t="s">
        <v>29</v>
      </c>
      <c r="E261" s="5">
        <v>-28365</v>
      </c>
      <c r="F261" s="3" t="s">
        <v>506</v>
      </c>
      <c r="G261" s="3" t="s">
        <v>31</v>
      </c>
      <c r="H261" s="2" t="s">
        <v>20</v>
      </c>
      <c r="I261" s="2" t="s">
        <v>640</v>
      </c>
      <c r="J261" s="3" t="str">
        <f>HYPERLINK("https://www.boe.es/gazeta/dias/1822/05/03/pdfs/GMD-1822-125.pdf#page=3","Abrir facsímil")</f>
        <v>Abrir facsímil</v>
      </c>
      <c r="K261" s="3" t="s">
        <v>22</v>
      </c>
    </row>
    <row r="262" spans="1:11" ht="42" customHeight="1">
      <c r="A262" s="2" t="s">
        <v>641</v>
      </c>
      <c r="B262" s="2" t="s">
        <v>641</v>
      </c>
      <c r="C262" s="2" t="s">
        <v>50</v>
      </c>
      <c r="D262" s="2" t="s">
        <v>51</v>
      </c>
      <c r="E262" s="5">
        <v>-28309</v>
      </c>
      <c r="F262" s="3" t="s">
        <v>553</v>
      </c>
      <c r="G262" s="3" t="s">
        <v>642</v>
      </c>
      <c r="H262" s="2" t="s">
        <v>20</v>
      </c>
      <c r="I262" s="2" t="s">
        <v>643</v>
      </c>
      <c r="J262" s="3" t="str">
        <f>HYPERLINK("https://www.boe.es/gazeta/dias/1822/06/28/pdfs/GMD-1822-186.pdf#page=7","Abrir facsímil")</f>
        <v>Abrir facsímil</v>
      </c>
      <c r="K262" s="3" t="s">
        <v>22</v>
      </c>
    </row>
    <row r="263" spans="1:11" ht="42" customHeight="1">
      <c r="A263" s="2" t="s">
        <v>644</v>
      </c>
      <c r="B263" s="2" t="s">
        <v>644</v>
      </c>
      <c r="C263" s="2" t="s">
        <v>50</v>
      </c>
      <c r="D263" s="2" t="s">
        <v>51</v>
      </c>
      <c r="E263" s="5">
        <v>-28189</v>
      </c>
      <c r="F263" s="3" t="s">
        <v>645</v>
      </c>
      <c r="G263" s="3" t="s">
        <v>19</v>
      </c>
      <c r="H263" s="2" t="s">
        <v>20</v>
      </c>
      <c r="I263" s="2" t="s">
        <v>646</v>
      </c>
      <c r="J263" s="3" t="str">
        <f>HYPERLINK("https://www.boe.es/gazeta/dias/1822/10/26/pdfs/GMD-1822-313.pdf#page=5","Abrir facsímil")</f>
        <v>Abrir facsímil</v>
      </c>
      <c r="K263" s="3" t="s">
        <v>22</v>
      </c>
    </row>
    <row r="264" spans="1:11" ht="42" customHeight="1">
      <c r="A264" s="2" t="s">
        <v>647</v>
      </c>
      <c r="B264" s="2" t="s">
        <v>647</v>
      </c>
      <c r="C264" s="2" t="s">
        <v>28</v>
      </c>
      <c r="D264" s="2" t="s">
        <v>29</v>
      </c>
      <c r="E264" s="5">
        <v>-28334</v>
      </c>
      <c r="F264" s="3" t="s">
        <v>532</v>
      </c>
      <c r="G264" s="3" t="s">
        <v>19</v>
      </c>
      <c r="H264" s="2" t="s">
        <v>20</v>
      </c>
      <c r="I264" s="2" t="s">
        <v>648</v>
      </c>
      <c r="J264" s="3" t="str">
        <f>HYPERLINK("https://www.boe.es/gazeta/dias/1822/06/03/pdfs/GMD-1822-159.pdf#page=5","Abrir facsímil")</f>
        <v>Abrir facsímil</v>
      </c>
      <c r="K264" s="3" t="s">
        <v>22</v>
      </c>
    </row>
    <row r="265" spans="1:11" ht="42" customHeight="1">
      <c r="A265" s="2" t="s">
        <v>649</v>
      </c>
      <c r="B265" s="2" t="s">
        <v>649</v>
      </c>
      <c r="C265" s="2" t="s">
        <v>50</v>
      </c>
      <c r="D265" s="2" t="s">
        <v>51</v>
      </c>
      <c r="E265" s="5">
        <v>-28293</v>
      </c>
      <c r="F265" s="3" t="s">
        <v>152</v>
      </c>
      <c r="G265" s="3" t="s">
        <v>35</v>
      </c>
      <c r="H265" s="2" t="s">
        <v>20</v>
      </c>
      <c r="I265" s="2" t="s">
        <v>650</v>
      </c>
      <c r="J265" s="3" t="str">
        <f>HYPERLINK("https://www.boe.es/gazeta/dias/1822/07/14/pdfs/GMD-1822-204.pdf#page=2","Abrir facsímil")</f>
        <v>Abrir facsímil</v>
      </c>
      <c r="K265" s="3" t="s">
        <v>22</v>
      </c>
    </row>
    <row r="266" spans="1:11" ht="42" customHeight="1">
      <c r="A266" s="2" t="s">
        <v>651</v>
      </c>
      <c r="B266" s="2" t="s">
        <v>651</v>
      </c>
      <c r="C266" s="2" t="s">
        <v>71</v>
      </c>
      <c r="D266" s="2" t="s">
        <v>17</v>
      </c>
      <c r="E266" s="5">
        <v>-28129</v>
      </c>
      <c r="F266" s="3" t="s">
        <v>599</v>
      </c>
      <c r="G266" s="3" t="s">
        <v>35</v>
      </c>
      <c r="H266" s="2" t="s">
        <v>20</v>
      </c>
      <c r="I266" s="2" t="s">
        <v>652</v>
      </c>
      <c r="J266" s="3" t="str">
        <f>HYPERLINK("https://www.boe.es/gazeta/dias/1822/12/25/pdfs/GMD-1822-375.pdf#page=2","Abrir facsímil")</f>
        <v>Abrir facsímil</v>
      </c>
      <c r="K266" s="3" t="s">
        <v>22</v>
      </c>
    </row>
    <row r="267" spans="1:11" ht="42" customHeight="1">
      <c r="A267" s="2" t="s">
        <v>653</v>
      </c>
      <c r="B267" s="2" t="s">
        <v>653</v>
      </c>
      <c r="C267" s="2" t="s">
        <v>50</v>
      </c>
      <c r="D267" s="2" t="s">
        <v>51</v>
      </c>
      <c r="E267" s="5">
        <v>-28373</v>
      </c>
      <c r="F267" s="3" t="s">
        <v>614</v>
      </c>
      <c r="G267" s="3" t="s">
        <v>35</v>
      </c>
      <c r="H267" s="2" t="s">
        <v>20</v>
      </c>
      <c r="I267" s="2" t="s">
        <v>654</v>
      </c>
      <c r="J267" s="3" t="str">
        <f>HYPERLINK("https://www.boe.es/gazeta/dias/1822/04/25/pdfs/GMD-1822-117.pdf#page=2","Abrir facsímil")</f>
        <v>Abrir facsímil</v>
      </c>
      <c r="K267" s="3" t="s">
        <v>22</v>
      </c>
    </row>
    <row r="268" spans="1:11" ht="42" customHeight="1">
      <c r="A268" s="2" t="s">
        <v>655</v>
      </c>
      <c r="B268" s="2" t="s">
        <v>655</v>
      </c>
      <c r="C268" s="2" t="s">
        <v>42</v>
      </c>
      <c r="D268" s="2" t="s">
        <v>17</v>
      </c>
      <c r="E268" s="5">
        <v>-28199</v>
      </c>
      <c r="F268" s="3" t="s">
        <v>656</v>
      </c>
      <c r="G268" s="3" t="s">
        <v>57</v>
      </c>
      <c r="H268" s="2" t="s">
        <v>20</v>
      </c>
      <c r="I268" s="2" t="s">
        <v>657</v>
      </c>
      <c r="J268" s="3" t="str">
        <f>HYPERLINK("https://www.boe.es/gazeta/dias/1822/10/16/pdfs/GMD-1822-303.pdf#page=4","Abrir facsímil")</f>
        <v>Abrir facsímil</v>
      </c>
      <c r="K268" s="3" t="s">
        <v>22</v>
      </c>
    </row>
    <row r="269" spans="1:11" ht="42" customHeight="1">
      <c r="A269" s="2" t="s">
        <v>658</v>
      </c>
      <c r="B269" s="2" t="s">
        <v>659</v>
      </c>
      <c r="C269" s="2" t="s">
        <v>362</v>
      </c>
      <c r="D269" s="2" t="s">
        <v>17</v>
      </c>
      <c r="E269" s="5">
        <v>-28372</v>
      </c>
      <c r="F269" s="3" t="s">
        <v>503</v>
      </c>
      <c r="G269" s="3" t="s">
        <v>44</v>
      </c>
      <c r="H269" s="2" t="s">
        <v>20</v>
      </c>
      <c r="I269" s="2" t="s">
        <v>660</v>
      </c>
      <c r="J269" s="3" t="str">
        <f>HYPERLINK("https://www.boe.es/gazeta/dias/1822/04/26/pdfs/GMD-1822-118.pdf#page=1","Abrir facsímil")</f>
        <v>Abrir facsímil</v>
      </c>
      <c r="K269" s="3" t="s">
        <v>22</v>
      </c>
    </row>
    <row r="270" spans="1:11" ht="42" customHeight="1">
      <c r="A270" s="2" t="s">
        <v>661</v>
      </c>
      <c r="B270" s="2" t="s">
        <v>661</v>
      </c>
      <c r="C270" s="2" t="s">
        <v>50</v>
      </c>
      <c r="D270" s="2" t="s">
        <v>51</v>
      </c>
      <c r="E270" s="5">
        <v>-28279</v>
      </c>
      <c r="F270" s="3" t="s">
        <v>662</v>
      </c>
      <c r="G270" s="3" t="s">
        <v>44</v>
      </c>
      <c r="H270" s="2" t="s">
        <v>20</v>
      </c>
      <c r="I270" s="2" t="s">
        <v>663</v>
      </c>
      <c r="J270" s="3" t="str">
        <f>HYPERLINK("https://www.boe.es/gazeta/dias/1822/07/28/pdfs/GMD-1822-221.pdf#page=1","Abrir facsímil")</f>
        <v>Abrir facsímil</v>
      </c>
      <c r="K270" s="3" t="s">
        <v>22</v>
      </c>
    </row>
    <row r="271" spans="1:11" ht="42" customHeight="1">
      <c r="A271" s="2" t="s">
        <v>664</v>
      </c>
      <c r="B271" s="2" t="s">
        <v>664</v>
      </c>
      <c r="C271" s="2" t="s">
        <v>61</v>
      </c>
      <c r="D271" s="2" t="s">
        <v>17</v>
      </c>
      <c r="E271" s="5">
        <v>-28390</v>
      </c>
      <c r="F271" s="3" t="s">
        <v>665</v>
      </c>
      <c r="G271" s="3" t="s">
        <v>57</v>
      </c>
      <c r="H271" s="2" t="s">
        <v>20</v>
      </c>
      <c r="I271" s="2" t="s">
        <v>666</v>
      </c>
      <c r="J271" s="3" t="str">
        <f>HYPERLINK("https://www.boe.es/gazeta/dias/1822/04/08/pdfs/GMD-1822-100.pdf#page=4","Abrir facsímil")</f>
        <v>Abrir facsímil</v>
      </c>
      <c r="K271" s="3" t="s">
        <v>22</v>
      </c>
    </row>
    <row r="272" spans="1:11" ht="42" customHeight="1">
      <c r="A272" s="2" t="s">
        <v>667</v>
      </c>
      <c r="B272" s="2" t="s">
        <v>667</v>
      </c>
      <c r="C272" s="2" t="s">
        <v>28</v>
      </c>
      <c r="D272" s="2" t="s">
        <v>29</v>
      </c>
      <c r="E272" s="5">
        <v>-28443</v>
      </c>
      <c r="F272" s="3" t="s">
        <v>668</v>
      </c>
      <c r="G272" s="3" t="s">
        <v>31</v>
      </c>
      <c r="H272" s="2" t="s">
        <v>20</v>
      </c>
      <c r="I272" s="2" t="s">
        <v>669</v>
      </c>
      <c r="J272" s="3" t="str">
        <f>HYPERLINK("https://www.boe.es/gazeta/dias/1822/02/14/pdfs/GMD-1822-45.pdf#page=3","Abrir facsímil")</f>
        <v>Abrir facsímil</v>
      </c>
      <c r="K272" s="3" t="s">
        <v>22</v>
      </c>
    </row>
    <row r="273" spans="1:11" ht="42" customHeight="1">
      <c r="A273" s="2" t="s">
        <v>670</v>
      </c>
      <c r="B273" s="2" t="s">
        <v>670</v>
      </c>
      <c r="C273" s="2" t="s">
        <v>28</v>
      </c>
      <c r="D273" s="2" t="s">
        <v>29</v>
      </c>
      <c r="E273" s="5">
        <v>-28309</v>
      </c>
      <c r="F273" s="3" t="s">
        <v>553</v>
      </c>
      <c r="G273" s="3" t="s">
        <v>671</v>
      </c>
      <c r="H273" s="2" t="s">
        <v>20</v>
      </c>
      <c r="I273" s="2" t="s">
        <v>672</v>
      </c>
      <c r="J273" s="3" t="str">
        <f>HYPERLINK("https://www.boe.es/gazeta/dias/1822/06/28/pdfs/GMD-1822-186.pdf#page=3","Abrir facsímil")</f>
        <v>Abrir facsímil</v>
      </c>
      <c r="K273" s="3" t="s">
        <v>22</v>
      </c>
    </row>
    <row r="274" spans="1:11" ht="42" customHeight="1">
      <c r="A274" s="2" t="s">
        <v>673</v>
      </c>
      <c r="B274" s="2" t="s">
        <v>673</v>
      </c>
      <c r="C274" s="2" t="s">
        <v>50</v>
      </c>
      <c r="D274" s="2" t="s">
        <v>51</v>
      </c>
      <c r="E274" s="5">
        <v>-28172</v>
      </c>
      <c r="F274" s="3" t="s">
        <v>674</v>
      </c>
      <c r="G274" s="3" t="s">
        <v>35</v>
      </c>
      <c r="H274" s="2" t="s">
        <v>20</v>
      </c>
      <c r="I274" s="2" t="s">
        <v>675</v>
      </c>
      <c r="J274" s="3" t="str">
        <f>HYPERLINK("https://www.boe.es/gazeta/dias/1822/11/12/pdfs/GMD-1822-332.pdf#page=2","Abrir facsímil")</f>
        <v>Abrir facsímil</v>
      </c>
      <c r="K274" s="3" t="s">
        <v>22</v>
      </c>
    </row>
    <row r="275" spans="1:11" ht="42" customHeight="1">
      <c r="A275" s="2" t="s">
        <v>676</v>
      </c>
      <c r="B275" s="2" t="s">
        <v>677</v>
      </c>
      <c r="C275" s="2" t="s">
        <v>50</v>
      </c>
      <c r="D275" s="2" t="s">
        <v>51</v>
      </c>
      <c r="E275" s="5">
        <v>-28240</v>
      </c>
      <c r="F275" s="3" t="s">
        <v>678</v>
      </c>
      <c r="G275" s="3" t="s">
        <v>57</v>
      </c>
      <c r="H275" s="2" t="s">
        <v>20</v>
      </c>
      <c r="I275" s="2" t="s">
        <v>679</v>
      </c>
      <c r="J275" s="3" t="str">
        <f>HYPERLINK("https://www.boe.es/gazeta/dias/1822/09/05/pdfs/GMD-1822-260.pdf#page=4","Abrir facsímil")</f>
        <v>Abrir facsímil</v>
      </c>
      <c r="K275" s="3" t="s">
        <v>22</v>
      </c>
    </row>
    <row r="276" spans="1:11" ht="42" customHeight="1">
      <c r="A276" s="2" t="s">
        <v>680</v>
      </c>
      <c r="B276" s="2" t="s">
        <v>680</v>
      </c>
      <c r="C276" s="2" t="s">
        <v>71</v>
      </c>
      <c r="D276" s="2" t="s">
        <v>17</v>
      </c>
      <c r="E276" s="5">
        <v>-28444</v>
      </c>
      <c r="F276" s="3" t="s">
        <v>681</v>
      </c>
      <c r="G276" s="3" t="s">
        <v>57</v>
      </c>
      <c r="H276" s="2" t="s">
        <v>20</v>
      </c>
      <c r="I276" s="2" t="s">
        <v>682</v>
      </c>
      <c r="J276" s="3" t="str">
        <f>HYPERLINK("https://www.boe.es/gazeta/dias/1822/02/13/pdfs/GMD-1822-44.pdf#page=4","Abrir facsímil")</f>
        <v>Abrir facsímil</v>
      </c>
      <c r="K276" s="3" t="s">
        <v>22</v>
      </c>
    </row>
    <row r="277" spans="1:11" ht="42" customHeight="1">
      <c r="A277" s="2" t="s">
        <v>683</v>
      </c>
      <c r="B277" s="2" t="s">
        <v>683</v>
      </c>
      <c r="C277" s="2" t="s">
        <v>28</v>
      </c>
      <c r="D277" s="2" t="s">
        <v>29</v>
      </c>
      <c r="E277" s="5">
        <v>-28358</v>
      </c>
      <c r="F277" s="3" t="s">
        <v>211</v>
      </c>
      <c r="G277" s="3" t="s">
        <v>684</v>
      </c>
      <c r="H277" s="2" t="s">
        <v>20</v>
      </c>
      <c r="I277" s="2" t="s">
        <v>685</v>
      </c>
      <c r="J277" s="3" t="str">
        <f>HYPERLINK("https://www.boe.es/gazeta/dias/1822/05/10/pdfs/GMD-1822-132.pdf#page=5","Abrir facsímil")</f>
        <v>Abrir facsímil</v>
      </c>
      <c r="K277" s="3" t="s">
        <v>22</v>
      </c>
    </row>
    <row r="278" spans="1:11" ht="42" customHeight="1">
      <c r="A278" s="2" t="s">
        <v>686</v>
      </c>
      <c r="B278" s="2" t="s">
        <v>687</v>
      </c>
      <c r="C278" s="2" t="s">
        <v>61</v>
      </c>
      <c r="D278" s="2" t="s">
        <v>17</v>
      </c>
      <c r="E278" s="5">
        <v>-28142</v>
      </c>
      <c r="F278" s="3" t="s">
        <v>290</v>
      </c>
      <c r="G278" s="3" t="s">
        <v>31</v>
      </c>
      <c r="H278" s="2" t="s">
        <v>20</v>
      </c>
      <c r="I278" s="2" t="s">
        <v>688</v>
      </c>
      <c r="J278" s="3" t="str">
        <f>HYPERLINK("https://www.boe.es/gazeta/dias/1822/12/12/pdfs/GMD-1822-362.pdf#page=3","Abrir facsímil")</f>
        <v>Abrir facsímil</v>
      </c>
      <c r="K278" s="3" t="s">
        <v>22</v>
      </c>
    </row>
    <row r="279" spans="1:11" ht="42" customHeight="1">
      <c r="A279" s="2" t="s">
        <v>689</v>
      </c>
      <c r="B279" s="2" t="s">
        <v>689</v>
      </c>
      <c r="C279" s="2" t="s">
        <v>50</v>
      </c>
      <c r="D279" s="2" t="s">
        <v>51</v>
      </c>
      <c r="E279" s="5">
        <v>-28357</v>
      </c>
      <c r="F279" s="3" t="s">
        <v>690</v>
      </c>
      <c r="G279" s="3" t="s">
        <v>35</v>
      </c>
      <c r="H279" s="2" t="s">
        <v>20</v>
      </c>
      <c r="I279" s="2" t="s">
        <v>691</v>
      </c>
      <c r="J279" s="3" t="str">
        <f>HYPERLINK("https://www.boe.es/gazeta/dias/1822/05/11/pdfs/GMD-1822-133.pdf#page=2","Abrir facsímil")</f>
        <v>Abrir facsímil</v>
      </c>
      <c r="K279" s="3" t="s">
        <v>22</v>
      </c>
    </row>
    <row r="280" spans="1:11" ht="42" customHeight="1">
      <c r="A280" s="2" t="s">
        <v>689</v>
      </c>
      <c r="B280" s="2" t="s">
        <v>689</v>
      </c>
      <c r="C280" s="2" t="s">
        <v>71</v>
      </c>
      <c r="D280" s="2" t="s">
        <v>17</v>
      </c>
      <c r="E280" s="5">
        <v>-28355</v>
      </c>
      <c r="F280" s="3" t="s">
        <v>692</v>
      </c>
      <c r="G280" s="3" t="s">
        <v>44</v>
      </c>
      <c r="H280" s="2" t="s">
        <v>20</v>
      </c>
      <c r="I280" s="2" t="s">
        <v>693</v>
      </c>
      <c r="J280" s="3" t="str">
        <f>HYPERLINK("https://www.boe.es/gazeta/dias/1822/05/13/pdfs/GMD-1822-135.pdf#page=1","Abrir facsímil")</f>
        <v>Abrir facsímil</v>
      </c>
      <c r="K280" s="3" t="s">
        <v>22</v>
      </c>
    </row>
    <row r="281" spans="1:11" ht="42" customHeight="1">
      <c r="A281" s="2" t="s">
        <v>689</v>
      </c>
      <c r="B281" s="2" t="s">
        <v>689</v>
      </c>
      <c r="C281" s="2" t="s">
        <v>28</v>
      </c>
      <c r="D281" s="2" t="s">
        <v>29</v>
      </c>
      <c r="E281" s="5">
        <v>-28354</v>
      </c>
      <c r="F281" s="3" t="s">
        <v>226</v>
      </c>
      <c r="G281" s="3" t="s">
        <v>31</v>
      </c>
      <c r="H281" s="2" t="s">
        <v>20</v>
      </c>
      <c r="I281" s="2" t="s">
        <v>694</v>
      </c>
      <c r="J281" s="3" t="str">
        <f>HYPERLINK("https://www.boe.es/gazeta/dias/1822/05/14/pdfs/GMD-1822-136.pdf#page=3","Abrir facsímil")</f>
        <v>Abrir facsímil</v>
      </c>
      <c r="K281" s="3" t="s">
        <v>22</v>
      </c>
    </row>
    <row r="282" spans="1:11" ht="42" customHeight="1">
      <c r="A282" s="2" t="s">
        <v>689</v>
      </c>
      <c r="B282" s="2" t="s">
        <v>689</v>
      </c>
      <c r="C282" s="2" t="s">
        <v>16</v>
      </c>
      <c r="D282" s="2" t="s">
        <v>17</v>
      </c>
      <c r="E282" s="5">
        <v>-28354</v>
      </c>
      <c r="F282" s="3" t="s">
        <v>226</v>
      </c>
      <c r="G282" s="3" t="s">
        <v>57</v>
      </c>
      <c r="H282" s="2" t="s">
        <v>20</v>
      </c>
      <c r="I282" s="2" t="s">
        <v>695</v>
      </c>
      <c r="J282" s="3" t="str">
        <f>HYPERLINK("https://www.boe.es/gazeta/dias/1822/05/14/pdfs/GMD-1822-136.pdf#page=4","Abrir facsímil")</f>
        <v>Abrir facsímil</v>
      </c>
      <c r="K282" s="3" t="s">
        <v>22</v>
      </c>
    </row>
    <row r="283" spans="1:11" ht="42" customHeight="1">
      <c r="A283" s="2" t="s">
        <v>689</v>
      </c>
      <c r="B283" s="2" t="s">
        <v>689</v>
      </c>
      <c r="C283" s="2" t="s">
        <v>42</v>
      </c>
      <c r="D283" s="2" t="s">
        <v>17</v>
      </c>
      <c r="E283" s="5">
        <v>-28346</v>
      </c>
      <c r="F283" s="3" t="s">
        <v>191</v>
      </c>
      <c r="G283" s="3" t="s">
        <v>35</v>
      </c>
      <c r="H283" s="2" t="s">
        <v>20</v>
      </c>
      <c r="I283" s="2" t="s">
        <v>696</v>
      </c>
      <c r="J283" s="3" t="str">
        <f>HYPERLINK("https://www.boe.es/gazeta/dias/1822/05/22/pdfs/GMD-1822-145.pdf#page=2","Abrir facsímil")</f>
        <v>Abrir facsímil</v>
      </c>
      <c r="K283" s="3" t="s">
        <v>22</v>
      </c>
    </row>
    <row r="284" spans="1:11" ht="42" customHeight="1">
      <c r="A284" s="2" t="s">
        <v>689</v>
      </c>
      <c r="B284" s="2" t="s">
        <v>689</v>
      </c>
      <c r="C284" s="2" t="s">
        <v>28</v>
      </c>
      <c r="D284" s="2" t="s">
        <v>29</v>
      </c>
      <c r="E284" s="5">
        <v>-28344</v>
      </c>
      <c r="F284" s="3" t="s">
        <v>524</v>
      </c>
      <c r="G284" s="3" t="s">
        <v>19</v>
      </c>
      <c r="H284" s="2" t="s">
        <v>20</v>
      </c>
      <c r="I284" s="2" t="s">
        <v>697</v>
      </c>
      <c r="J284" s="3" t="str">
        <f>HYPERLINK("https://www.boe.es/gazeta/dias/1822/05/24/pdfs/GMD-1822-148.pdf#page=5","Abrir facsímil")</f>
        <v>Abrir facsímil</v>
      </c>
      <c r="K284" s="3" t="s">
        <v>22</v>
      </c>
    </row>
    <row r="285" spans="1:11" ht="42" customHeight="1">
      <c r="A285" s="2" t="s">
        <v>689</v>
      </c>
      <c r="B285" s="2" t="s">
        <v>689</v>
      </c>
      <c r="C285" s="2" t="s">
        <v>61</v>
      </c>
      <c r="D285" s="2" t="s">
        <v>17</v>
      </c>
      <c r="E285" s="5">
        <v>-28328</v>
      </c>
      <c r="F285" s="3" t="s">
        <v>540</v>
      </c>
      <c r="G285" s="3" t="s">
        <v>31</v>
      </c>
      <c r="H285" s="2" t="s">
        <v>20</v>
      </c>
      <c r="I285" s="2" t="s">
        <v>698</v>
      </c>
      <c r="J285" s="3" t="str">
        <f>HYPERLINK("https://www.boe.es/gazeta/dias/1822/06/09/pdfs/GMD-1822-166.pdf#page=3","Abrir facsímil")</f>
        <v>Abrir facsímil</v>
      </c>
      <c r="K285" s="3" t="s">
        <v>22</v>
      </c>
    </row>
    <row r="286" spans="1:11" ht="42" customHeight="1">
      <c r="A286" s="2" t="s">
        <v>689</v>
      </c>
      <c r="B286" s="2" t="s">
        <v>689</v>
      </c>
      <c r="C286" s="2" t="s">
        <v>16</v>
      </c>
      <c r="D286" s="2" t="s">
        <v>17</v>
      </c>
      <c r="E286" s="5">
        <v>-28323</v>
      </c>
      <c r="F286" s="3" t="s">
        <v>116</v>
      </c>
      <c r="G286" s="3" t="s">
        <v>57</v>
      </c>
      <c r="H286" s="2" t="s">
        <v>20</v>
      </c>
      <c r="I286" s="2" t="s">
        <v>699</v>
      </c>
      <c r="J286" s="3" t="str">
        <f>HYPERLINK("https://www.boe.es/gazeta/dias/1822/06/14/pdfs/GMD-1822-171.pdf#page=4","Abrir facsímil")</f>
        <v>Abrir facsímil</v>
      </c>
      <c r="K286" s="3" t="s">
        <v>22</v>
      </c>
    </row>
    <row r="287" spans="1:11" ht="42" customHeight="1">
      <c r="A287" s="2" t="s">
        <v>689</v>
      </c>
      <c r="B287" s="2" t="s">
        <v>689</v>
      </c>
      <c r="C287" s="2" t="s">
        <v>71</v>
      </c>
      <c r="D287" s="2" t="s">
        <v>17</v>
      </c>
      <c r="E287" s="5">
        <v>-28320</v>
      </c>
      <c r="F287" s="3" t="s">
        <v>700</v>
      </c>
      <c r="G287" s="3" t="s">
        <v>44</v>
      </c>
      <c r="H287" s="2" t="s">
        <v>20</v>
      </c>
      <c r="I287" s="2" t="s">
        <v>701</v>
      </c>
      <c r="J287" s="3" t="str">
        <f>HYPERLINK("https://www.boe.es/gazeta/dias/1822/06/17/pdfs/GMD-1822-174.pdf#page=1","Abrir facsímil")</f>
        <v>Abrir facsímil</v>
      </c>
      <c r="K287" s="3" t="s">
        <v>22</v>
      </c>
    </row>
    <row r="288" spans="1:11" ht="42" customHeight="1">
      <c r="A288" s="2" t="s">
        <v>689</v>
      </c>
      <c r="B288" s="2" t="s">
        <v>689</v>
      </c>
      <c r="C288" s="2" t="s">
        <v>16</v>
      </c>
      <c r="D288" s="2" t="s">
        <v>17</v>
      </c>
      <c r="E288" s="5">
        <v>-28306</v>
      </c>
      <c r="F288" s="3" t="s">
        <v>348</v>
      </c>
      <c r="G288" s="3" t="s">
        <v>31</v>
      </c>
      <c r="H288" s="2" t="s">
        <v>20</v>
      </c>
      <c r="I288" s="2" t="s">
        <v>702</v>
      </c>
      <c r="J288" s="3" t="str">
        <f>HYPERLINK("https://www.boe.es/gazeta/dias/1822/07/01/pdfs/GMD-1822-190.pdf#page=3","Abrir facsímil")</f>
        <v>Abrir facsímil</v>
      </c>
      <c r="K288" s="3" t="s">
        <v>22</v>
      </c>
    </row>
    <row r="289" spans="1:11" ht="42" customHeight="1">
      <c r="A289" s="2" t="s">
        <v>689</v>
      </c>
      <c r="B289" s="2" t="s">
        <v>689</v>
      </c>
      <c r="C289" s="2" t="s">
        <v>24</v>
      </c>
      <c r="D289" s="2" t="s">
        <v>17</v>
      </c>
      <c r="E289" s="5">
        <v>-28188</v>
      </c>
      <c r="F289" s="3" t="s">
        <v>578</v>
      </c>
      <c r="G289" s="3" t="s">
        <v>63</v>
      </c>
      <c r="H289" s="2" t="s">
        <v>20</v>
      </c>
      <c r="I289" s="2" t="s">
        <v>703</v>
      </c>
      <c r="J289" s="3" t="str">
        <f>HYPERLINK("https://www.boe.es/gazeta/dias/1822/10/27/pdfs/GMD-1822-314.pdf#page=6","Abrir facsímil")</f>
        <v>Abrir facsímil</v>
      </c>
      <c r="K289" s="3" t="s">
        <v>22</v>
      </c>
    </row>
    <row r="290" spans="1:11" ht="42" customHeight="1">
      <c r="A290" s="2" t="s">
        <v>689</v>
      </c>
      <c r="B290" s="2" t="s">
        <v>689</v>
      </c>
      <c r="C290" s="2" t="s">
        <v>42</v>
      </c>
      <c r="D290" s="2" t="s">
        <v>17</v>
      </c>
      <c r="E290" s="5">
        <v>-28182</v>
      </c>
      <c r="F290" s="3" t="s">
        <v>585</v>
      </c>
      <c r="G290" s="3" t="s">
        <v>57</v>
      </c>
      <c r="H290" s="2" t="s">
        <v>20</v>
      </c>
      <c r="I290" s="2" t="s">
        <v>704</v>
      </c>
      <c r="J290" s="3" t="str">
        <f>HYPERLINK("https://www.boe.es/gazeta/dias/1822/11/02/pdfs/GMD-1822-320.pdf#page=4","Abrir facsímil")</f>
        <v>Abrir facsímil</v>
      </c>
      <c r="K290" s="3" t="s">
        <v>22</v>
      </c>
    </row>
    <row r="291" spans="1:11" ht="42" customHeight="1">
      <c r="A291" s="2" t="s">
        <v>705</v>
      </c>
      <c r="B291" s="2" t="s">
        <v>705</v>
      </c>
      <c r="C291" s="2" t="s">
        <v>42</v>
      </c>
      <c r="D291" s="2" t="s">
        <v>17</v>
      </c>
      <c r="E291" s="5">
        <v>-28290</v>
      </c>
      <c r="F291" s="3" t="s">
        <v>706</v>
      </c>
      <c r="G291" s="3" t="s">
        <v>31</v>
      </c>
      <c r="H291" s="2" t="s">
        <v>20</v>
      </c>
      <c r="I291" s="2" t="s">
        <v>707</v>
      </c>
      <c r="J291" s="3" t="str">
        <f>HYPERLINK("https://www.boe.es/gazeta/dias/1822/07/17/pdfs/GMD-1822-207.pdf#page=3","Abrir facsímil")</f>
        <v>Abrir facsímil</v>
      </c>
      <c r="K291" s="3" t="s">
        <v>22</v>
      </c>
    </row>
    <row r="292" spans="1:11" ht="42" customHeight="1">
      <c r="A292" s="2" t="s">
        <v>708</v>
      </c>
      <c r="B292" s="2" t="s">
        <v>709</v>
      </c>
      <c r="C292" s="2" t="s">
        <v>50</v>
      </c>
      <c r="D292" s="2" t="s">
        <v>51</v>
      </c>
      <c r="E292" s="5">
        <v>-28191</v>
      </c>
      <c r="F292" s="3" t="s">
        <v>710</v>
      </c>
      <c r="G292" s="3" t="s">
        <v>167</v>
      </c>
      <c r="H292" s="2" t="s">
        <v>20</v>
      </c>
      <c r="I292" s="2" t="s">
        <v>711</v>
      </c>
      <c r="J292" s="3" t="str">
        <f>HYPERLINK("https://www.boe.es/gazeta/dias/1822/10/24/pdfs/GMD-1822-311.pdf#page=7","Abrir facsímil")</f>
        <v>Abrir facsímil</v>
      </c>
      <c r="K292" s="3" t="s">
        <v>22</v>
      </c>
    </row>
    <row r="293" spans="1:11" ht="42" customHeight="1">
      <c r="A293" s="2" t="s">
        <v>712</v>
      </c>
      <c r="B293" s="2" t="s">
        <v>713</v>
      </c>
      <c r="C293" s="2" t="s">
        <v>362</v>
      </c>
      <c r="D293" s="2" t="s">
        <v>17</v>
      </c>
      <c r="E293" s="5">
        <v>-28236</v>
      </c>
      <c r="F293" s="3" t="s">
        <v>714</v>
      </c>
      <c r="G293" s="3" t="s">
        <v>57</v>
      </c>
      <c r="H293" s="2" t="s">
        <v>45</v>
      </c>
      <c r="I293" s="2" t="s">
        <v>715</v>
      </c>
      <c r="J293" s="3" t="str">
        <f>HYPERLINK("https://www.boe.es/gazeta/dias/1822/09/09/pdfs/GMD-1822-265.pdf#page=4","Abrir facsímil")</f>
        <v>Abrir facsímil</v>
      </c>
      <c r="K293" s="3" t="s">
        <v>47</v>
      </c>
    </row>
    <row r="294" spans="1:11" ht="42" customHeight="1">
      <c r="A294" s="2" t="s">
        <v>716</v>
      </c>
      <c r="B294" s="2" t="s">
        <v>717</v>
      </c>
      <c r="C294" s="2" t="s">
        <v>50</v>
      </c>
      <c r="D294" s="2" t="s">
        <v>51</v>
      </c>
      <c r="E294" s="5">
        <v>-28228</v>
      </c>
      <c r="F294" s="3" t="s">
        <v>718</v>
      </c>
      <c r="G294" s="3" t="s">
        <v>719</v>
      </c>
      <c r="H294" s="2" t="s">
        <v>20</v>
      </c>
      <c r="I294" s="2" t="s">
        <v>720</v>
      </c>
      <c r="J294" s="3" t="str">
        <f>HYPERLINK("https://www.boe.es/gazeta/dias/1822/09/17/pdfs/GMD-1822-273.pdf#page=3","Abrir facsímil")</f>
        <v>Abrir facsímil</v>
      </c>
      <c r="K294" s="3" t="s">
        <v>22</v>
      </c>
    </row>
    <row r="295" spans="1:11" ht="42" customHeight="1">
      <c r="A295" s="2" t="s">
        <v>721</v>
      </c>
      <c r="B295" s="2" t="s">
        <v>722</v>
      </c>
      <c r="C295" s="2" t="s">
        <v>50</v>
      </c>
      <c r="D295" s="2" t="s">
        <v>723</v>
      </c>
      <c r="E295" s="5">
        <v>-28181</v>
      </c>
      <c r="F295" s="3" t="s">
        <v>724</v>
      </c>
      <c r="G295" s="3" t="s">
        <v>44</v>
      </c>
      <c r="H295" s="2" t="s">
        <v>20</v>
      </c>
      <c r="I295" s="2" t="s">
        <v>725</v>
      </c>
      <c r="J295" s="3" t="str">
        <f>HYPERLINK("https://www.boe.es/gazeta/dias/1822/11/03/pdfs/GMD-1822-322E.pdf#page=1","Abrir facsímil")</f>
        <v>Abrir facsímil</v>
      </c>
      <c r="K295" s="3" t="s">
        <v>22</v>
      </c>
    </row>
    <row r="296" spans="1:11" ht="42" customHeight="1">
      <c r="A296" s="2" t="s">
        <v>726</v>
      </c>
      <c r="B296" s="2" t="s">
        <v>727</v>
      </c>
      <c r="C296" s="2" t="s">
        <v>71</v>
      </c>
      <c r="D296" s="2" t="s">
        <v>17</v>
      </c>
      <c r="E296" s="5">
        <v>-28421</v>
      </c>
      <c r="F296" s="3" t="s">
        <v>446</v>
      </c>
      <c r="G296" s="3" t="s">
        <v>63</v>
      </c>
      <c r="H296" s="2" t="s">
        <v>20</v>
      </c>
      <c r="I296" s="2" t="s">
        <v>728</v>
      </c>
      <c r="J296" s="3" t="str">
        <f>HYPERLINK("https://www.boe.es/gazeta/dias/1822/03/08/pdfs/GMD-1822-69.pdf#page=6","Abrir facsímil")</f>
        <v>Abrir facsímil</v>
      </c>
      <c r="K296" s="3" t="s">
        <v>22</v>
      </c>
    </row>
    <row r="297" spans="1:11" ht="42" customHeight="1">
      <c r="A297" s="2" t="s">
        <v>729</v>
      </c>
      <c r="B297" s="2" t="s">
        <v>730</v>
      </c>
      <c r="C297" s="2" t="s">
        <v>42</v>
      </c>
      <c r="D297" s="2" t="s">
        <v>17</v>
      </c>
      <c r="E297" s="5">
        <v>-28290</v>
      </c>
      <c r="F297" s="3" t="s">
        <v>706</v>
      </c>
      <c r="G297" s="3" t="s">
        <v>35</v>
      </c>
      <c r="H297" s="2" t="s">
        <v>20</v>
      </c>
      <c r="I297" s="2" t="s">
        <v>731</v>
      </c>
      <c r="J297" s="3" t="str">
        <f>HYPERLINK("https://www.boe.es/gazeta/dias/1822/07/17/pdfs/GMD-1822-207.pdf#page=2","Abrir facsímil")</f>
        <v>Abrir facsímil</v>
      </c>
      <c r="K297" s="3" t="s">
        <v>22</v>
      </c>
    </row>
    <row r="298" spans="1:11" ht="42" customHeight="1">
      <c r="A298" s="2" t="s">
        <v>732</v>
      </c>
      <c r="B298" s="2" t="s">
        <v>733</v>
      </c>
      <c r="C298" s="2" t="s">
        <v>50</v>
      </c>
      <c r="D298" s="2" t="s">
        <v>51</v>
      </c>
      <c r="E298" s="5">
        <v>-28208</v>
      </c>
      <c r="F298" s="3" t="s">
        <v>230</v>
      </c>
      <c r="G298" s="3" t="s">
        <v>57</v>
      </c>
      <c r="H298" s="2" t="s">
        <v>20</v>
      </c>
      <c r="I298" s="2" t="s">
        <v>734</v>
      </c>
      <c r="J298" s="3" t="str">
        <f>HYPERLINK("https://www.boe.es/gazeta/dias/1822/10/07/pdfs/GMD-1822-293.pdf#page=4","Abrir facsímil")</f>
        <v>Abrir facsímil</v>
      </c>
      <c r="K298" s="3" t="s">
        <v>22</v>
      </c>
    </row>
    <row r="299" spans="1:11" ht="42" customHeight="1">
      <c r="A299" s="2" t="s">
        <v>735</v>
      </c>
      <c r="B299" s="2" t="s">
        <v>735</v>
      </c>
      <c r="C299" s="2" t="s">
        <v>42</v>
      </c>
      <c r="D299" s="2" t="s">
        <v>17</v>
      </c>
      <c r="E299" s="5">
        <v>-28311</v>
      </c>
      <c r="F299" s="3" t="s">
        <v>736</v>
      </c>
      <c r="G299" s="3" t="s">
        <v>157</v>
      </c>
      <c r="H299" s="2" t="s">
        <v>20</v>
      </c>
      <c r="I299" s="2" t="s">
        <v>737</v>
      </c>
      <c r="J299" s="3" t="str">
        <f>HYPERLINK("https://www.boe.es/gazeta/dias/1822/06/26/pdfs/GMD-1822-184.pdf#page=8","Abrir facsímil")</f>
        <v>Abrir facsímil</v>
      </c>
      <c r="K299" s="3" t="s">
        <v>22</v>
      </c>
    </row>
    <row r="300" spans="1:11" ht="42" customHeight="1">
      <c r="A300" s="2" t="s">
        <v>738</v>
      </c>
      <c r="B300" s="2" t="s">
        <v>738</v>
      </c>
      <c r="C300" s="2" t="s">
        <v>61</v>
      </c>
      <c r="D300" s="2" t="s">
        <v>17</v>
      </c>
      <c r="E300" s="5">
        <v>-28181</v>
      </c>
      <c r="F300" s="3" t="s">
        <v>739</v>
      </c>
      <c r="G300" s="3" t="s">
        <v>35</v>
      </c>
      <c r="H300" s="2" t="s">
        <v>20</v>
      </c>
      <c r="I300" s="2" t="s">
        <v>740</v>
      </c>
      <c r="J300" s="3" t="str">
        <f>HYPERLINK("https://www.boe.es/gazeta/dias/1822/11/03/pdfs/GMD-1822-321.pdf#page=2","Abrir facsímil")</f>
        <v>Abrir facsímil</v>
      </c>
      <c r="K300" s="3" t="s">
        <v>22</v>
      </c>
    </row>
    <row r="301" spans="1:11" ht="42" customHeight="1">
      <c r="A301" s="2" t="s">
        <v>741</v>
      </c>
      <c r="B301" s="2" t="s">
        <v>742</v>
      </c>
      <c r="C301" s="2" t="s">
        <v>50</v>
      </c>
      <c r="D301" s="2" t="s">
        <v>51</v>
      </c>
      <c r="E301" s="5">
        <v>-28484</v>
      </c>
      <c r="F301" s="3" t="s">
        <v>743</v>
      </c>
      <c r="G301" s="3" t="s">
        <v>31</v>
      </c>
      <c r="H301" s="2" t="s">
        <v>20</v>
      </c>
      <c r="I301" s="2" t="s">
        <v>744</v>
      </c>
      <c r="J301" s="3" t="str">
        <f>HYPERLINK("https://www.boe.es/gazeta/dias/1822/01/04/pdfs/GMD-1822-4.pdf#page=3","Abrir facsímil")</f>
        <v>Abrir facsímil</v>
      </c>
      <c r="K301" s="3" t="s">
        <v>22</v>
      </c>
    </row>
    <row r="302" spans="1:11" ht="42" customHeight="1">
      <c r="A302" s="2" t="s">
        <v>741</v>
      </c>
      <c r="B302" s="2" t="s">
        <v>742</v>
      </c>
      <c r="C302" s="2" t="s">
        <v>50</v>
      </c>
      <c r="D302" s="2" t="s">
        <v>51</v>
      </c>
      <c r="E302" s="5">
        <v>-28424</v>
      </c>
      <c r="F302" s="3" t="s">
        <v>439</v>
      </c>
      <c r="G302" s="3" t="s">
        <v>31</v>
      </c>
      <c r="H302" s="2" t="s">
        <v>20</v>
      </c>
      <c r="I302" s="2" t="s">
        <v>745</v>
      </c>
      <c r="J302" s="3" t="str">
        <f>HYPERLINK("https://www.boe.es/gazeta/dias/1822/03/05/pdfs/GMD-1822-66.pdf#page=3","Abrir facsímil")</f>
        <v>Abrir facsímil</v>
      </c>
      <c r="K302" s="3" t="s">
        <v>22</v>
      </c>
    </row>
    <row r="303" spans="1:11" ht="42" customHeight="1">
      <c r="A303" s="2" t="s">
        <v>746</v>
      </c>
      <c r="B303" s="2" t="s">
        <v>747</v>
      </c>
      <c r="C303" s="2" t="s">
        <v>28</v>
      </c>
      <c r="D303" s="2" t="s">
        <v>29</v>
      </c>
      <c r="E303" s="5">
        <v>-28209</v>
      </c>
      <c r="F303" s="3" t="s">
        <v>748</v>
      </c>
      <c r="G303" s="3" t="s">
        <v>35</v>
      </c>
      <c r="H303" s="2" t="s">
        <v>20</v>
      </c>
      <c r="I303" s="2" t="s">
        <v>749</v>
      </c>
      <c r="J303" s="3" t="str">
        <f>HYPERLINK("https://www.boe.es/gazeta/dias/1822/10/06/pdfs/GMD-1822-292.pdf#page=2","Abrir facsímil")</f>
        <v>Abrir facsímil</v>
      </c>
      <c r="K303" s="3" t="s">
        <v>22</v>
      </c>
    </row>
    <row r="304" spans="1:11" ht="42" customHeight="1">
      <c r="A304" s="2" t="s">
        <v>750</v>
      </c>
      <c r="B304" s="2" t="s">
        <v>751</v>
      </c>
      <c r="C304" s="2" t="s">
        <v>50</v>
      </c>
      <c r="D304" s="2" t="s">
        <v>51</v>
      </c>
      <c r="E304" s="5">
        <v>-28415</v>
      </c>
      <c r="F304" s="3" t="s">
        <v>77</v>
      </c>
      <c r="G304" s="3" t="s">
        <v>19</v>
      </c>
      <c r="H304" s="2" t="s">
        <v>20</v>
      </c>
      <c r="I304" s="2" t="s">
        <v>752</v>
      </c>
      <c r="J304" s="3" t="str">
        <f>HYPERLINK("https://www.boe.es/gazeta/dias/1822/03/14/pdfs/GMD-1822-75.pdf#page=5","Abrir facsímil")</f>
        <v>Abrir facsímil</v>
      </c>
      <c r="K304" s="3" t="s">
        <v>22</v>
      </c>
    </row>
    <row r="305" spans="1:11" ht="42" customHeight="1">
      <c r="A305" s="2" t="s">
        <v>753</v>
      </c>
      <c r="B305" s="2" t="s">
        <v>754</v>
      </c>
      <c r="C305" s="2" t="s">
        <v>50</v>
      </c>
      <c r="D305" s="2" t="s">
        <v>51</v>
      </c>
      <c r="E305" s="5">
        <v>-28427</v>
      </c>
      <c r="F305" s="3" t="s">
        <v>755</v>
      </c>
      <c r="G305" s="3" t="s">
        <v>57</v>
      </c>
      <c r="H305" s="2" t="s">
        <v>45</v>
      </c>
      <c r="I305" s="2" t="s">
        <v>756</v>
      </c>
      <c r="J305" s="3" t="str">
        <f>HYPERLINK("https://www.boe.es/gazeta/dias/1822/03/02/pdfs/GMD-1822-63.pdf#page=4","Abrir facsímil")</f>
        <v>Abrir facsímil</v>
      </c>
      <c r="K305" s="3" t="s">
        <v>47</v>
      </c>
    </row>
    <row r="306" spans="1:11" ht="42" customHeight="1">
      <c r="A306" s="2" t="s">
        <v>757</v>
      </c>
      <c r="B306" s="2" t="s">
        <v>758</v>
      </c>
      <c r="C306" s="2" t="s">
        <v>71</v>
      </c>
      <c r="D306" s="2" t="s">
        <v>17</v>
      </c>
      <c r="E306" s="5">
        <v>-28378</v>
      </c>
      <c r="F306" s="3" t="s">
        <v>496</v>
      </c>
      <c r="G306" s="3" t="s">
        <v>57</v>
      </c>
      <c r="H306" s="2" t="s">
        <v>20</v>
      </c>
      <c r="I306" s="2" t="s">
        <v>759</v>
      </c>
      <c r="J306" s="3" t="str">
        <f>HYPERLINK("https://www.boe.es/gazeta/dias/1822/04/20/pdfs/GMD-1822-112.pdf#page=4","Abrir facsímil")</f>
        <v>Abrir facsímil</v>
      </c>
      <c r="K306" s="3" t="s">
        <v>22</v>
      </c>
    </row>
    <row r="307" spans="1:11" ht="42" customHeight="1">
      <c r="A307" s="2" t="s">
        <v>760</v>
      </c>
      <c r="B307" s="2" t="s">
        <v>761</v>
      </c>
      <c r="C307" s="2" t="s">
        <v>50</v>
      </c>
      <c r="D307" s="2" t="s">
        <v>51</v>
      </c>
      <c r="E307" s="5">
        <v>-28366</v>
      </c>
      <c r="F307" s="3" t="s">
        <v>120</v>
      </c>
      <c r="G307" s="3" t="s">
        <v>63</v>
      </c>
      <c r="H307" s="2" t="s">
        <v>20</v>
      </c>
      <c r="I307" s="2" t="s">
        <v>762</v>
      </c>
      <c r="J307" s="3" t="str">
        <f>HYPERLINK("https://www.boe.es/gazeta/dias/1822/05/02/pdfs/GMD-1822-124.pdf#page=6","Abrir facsímil")</f>
        <v>Abrir facsímil</v>
      </c>
      <c r="K307" s="3" t="s">
        <v>22</v>
      </c>
    </row>
    <row r="308" spans="1:11" ht="42" customHeight="1">
      <c r="A308" s="2" t="s">
        <v>763</v>
      </c>
      <c r="B308" s="2" t="s">
        <v>764</v>
      </c>
      <c r="C308" s="2" t="s">
        <v>28</v>
      </c>
      <c r="D308" s="2" t="s">
        <v>29</v>
      </c>
      <c r="E308" s="5">
        <v>-28360</v>
      </c>
      <c r="F308" s="3" t="s">
        <v>514</v>
      </c>
      <c r="G308" s="3" t="s">
        <v>35</v>
      </c>
      <c r="H308" s="2" t="s">
        <v>45</v>
      </c>
      <c r="I308" s="2" t="s">
        <v>765</v>
      </c>
      <c r="J308" s="3" t="str">
        <f>HYPERLINK("https://www.boe.es/gazeta/dias/1822/05/08/pdfs/GMD-1822-130.pdf#page=2","Abrir facsímil")</f>
        <v>Abrir facsímil</v>
      </c>
      <c r="K308" s="3" t="s">
        <v>47</v>
      </c>
    </row>
    <row r="309" spans="1:11" ht="42" customHeight="1">
      <c r="A309" s="2" t="s">
        <v>766</v>
      </c>
      <c r="B309" s="2" t="s">
        <v>767</v>
      </c>
      <c r="C309" s="2" t="s">
        <v>24</v>
      </c>
      <c r="D309" s="2" t="s">
        <v>17</v>
      </c>
      <c r="E309" s="5">
        <v>-28395</v>
      </c>
      <c r="F309" s="3" t="s">
        <v>237</v>
      </c>
      <c r="G309" s="3" t="s">
        <v>57</v>
      </c>
      <c r="H309" s="2" t="s">
        <v>20</v>
      </c>
      <c r="I309" s="2" t="s">
        <v>768</v>
      </c>
      <c r="J309" s="3" t="str">
        <f>HYPERLINK("https://www.boe.es/gazeta/dias/1822/04/03/pdfs/GMD-1822-95.pdf#page=4","Abrir facsímil")</f>
        <v>Abrir facsímil</v>
      </c>
      <c r="K309" s="3" t="s">
        <v>22</v>
      </c>
    </row>
    <row r="310" spans="1:11" ht="42" customHeight="1">
      <c r="A310" s="2" t="s">
        <v>766</v>
      </c>
      <c r="B310" s="2" t="s">
        <v>767</v>
      </c>
      <c r="C310" s="2" t="s">
        <v>50</v>
      </c>
      <c r="D310" s="2" t="s">
        <v>51</v>
      </c>
      <c r="E310" s="5">
        <v>-28260</v>
      </c>
      <c r="F310" s="3" t="s">
        <v>135</v>
      </c>
      <c r="G310" s="3" t="s">
        <v>63</v>
      </c>
      <c r="H310" s="2" t="s">
        <v>20</v>
      </c>
      <c r="I310" s="2" t="s">
        <v>769</v>
      </c>
      <c r="J310" s="3" t="str">
        <f>HYPERLINK("https://www.boe.es/gazeta/dias/1822/08/16/pdfs/GMD-1822-240.pdf#page=6","Abrir facsímil")</f>
        <v>Abrir facsímil</v>
      </c>
      <c r="K310" s="3" t="s">
        <v>22</v>
      </c>
    </row>
    <row r="311" spans="1:11" ht="42" customHeight="1">
      <c r="A311" s="2" t="s">
        <v>766</v>
      </c>
      <c r="B311" s="2" t="s">
        <v>767</v>
      </c>
      <c r="C311" s="2" t="s">
        <v>42</v>
      </c>
      <c r="D311" s="2" t="s">
        <v>17</v>
      </c>
      <c r="E311" s="5">
        <v>-28195</v>
      </c>
      <c r="F311" s="3" t="s">
        <v>770</v>
      </c>
      <c r="G311" s="3" t="s">
        <v>63</v>
      </c>
      <c r="H311" s="2" t="s">
        <v>20</v>
      </c>
      <c r="I311" s="2" t="s">
        <v>771</v>
      </c>
      <c r="J311" s="3" t="str">
        <f>HYPERLINK("https://www.boe.es/gazeta/dias/1822/10/20/pdfs/GMD-1822-307.pdf#page=6","Abrir facsímil")</f>
        <v>Abrir facsímil</v>
      </c>
      <c r="K311" s="3" t="s">
        <v>22</v>
      </c>
    </row>
    <row r="312" spans="1:11" ht="42" customHeight="1">
      <c r="A312" s="2" t="s">
        <v>772</v>
      </c>
      <c r="B312" s="2" t="s">
        <v>772</v>
      </c>
      <c r="C312" s="2" t="s">
        <v>50</v>
      </c>
      <c r="D312" s="2" t="s">
        <v>51</v>
      </c>
      <c r="E312" s="5">
        <v>-28446</v>
      </c>
      <c r="F312" s="3" t="s">
        <v>773</v>
      </c>
      <c r="G312" s="3" t="s">
        <v>63</v>
      </c>
      <c r="H312" s="2" t="s">
        <v>20</v>
      </c>
      <c r="I312" s="2" t="s">
        <v>774</v>
      </c>
      <c r="J312" s="3" t="str">
        <f>HYPERLINK("https://www.boe.es/gazeta/dias/1822/02/11/pdfs/GMD-1822-42.pdf#page=6","Abrir facsímil")</f>
        <v>Abrir facsímil</v>
      </c>
      <c r="K312" s="3" t="s">
        <v>22</v>
      </c>
    </row>
    <row r="313" spans="1:11" ht="42" customHeight="1">
      <c r="A313" s="2" t="s">
        <v>772</v>
      </c>
      <c r="B313" s="2" t="s">
        <v>772</v>
      </c>
      <c r="C313" s="2" t="s">
        <v>71</v>
      </c>
      <c r="D313" s="2" t="s">
        <v>17</v>
      </c>
      <c r="E313" s="5">
        <v>-28327</v>
      </c>
      <c r="F313" s="3" t="s">
        <v>38</v>
      </c>
      <c r="G313" s="3" t="s">
        <v>19</v>
      </c>
      <c r="H313" s="2" t="s">
        <v>20</v>
      </c>
      <c r="I313" s="2" t="s">
        <v>775</v>
      </c>
      <c r="J313" s="3" t="str">
        <f>HYPERLINK("https://www.boe.es/gazeta/dias/1822/06/10/pdfs/GMD-1822-167.pdf#page=5","Abrir facsímil")</f>
        <v>Abrir facsímil</v>
      </c>
      <c r="K313" s="3" t="s">
        <v>22</v>
      </c>
    </row>
    <row r="314" spans="1:11" ht="42" customHeight="1">
      <c r="A314" s="2" t="s">
        <v>772</v>
      </c>
      <c r="B314" s="2" t="s">
        <v>772</v>
      </c>
      <c r="C314" s="2" t="s">
        <v>71</v>
      </c>
      <c r="D314" s="2" t="s">
        <v>17</v>
      </c>
      <c r="E314" s="5">
        <v>-28327</v>
      </c>
      <c r="F314" s="3" t="s">
        <v>38</v>
      </c>
      <c r="G314" s="3" t="s">
        <v>63</v>
      </c>
      <c r="H314" s="2" t="s">
        <v>20</v>
      </c>
      <c r="I314" s="2" t="s">
        <v>776</v>
      </c>
      <c r="J314" s="3" t="str">
        <f>HYPERLINK("https://www.boe.es/gazeta/dias/1822/06/10/pdfs/GMD-1822-167.pdf#page=6","Abrir facsímil")</f>
        <v>Abrir facsímil</v>
      </c>
      <c r="K314" s="3" t="s">
        <v>22</v>
      </c>
    </row>
    <row r="315" spans="1:11" ht="42" customHeight="1">
      <c r="A315" s="2" t="s">
        <v>772</v>
      </c>
      <c r="B315" s="2" t="s">
        <v>772</v>
      </c>
      <c r="C315" s="2" t="s">
        <v>42</v>
      </c>
      <c r="D315" s="2" t="s">
        <v>17</v>
      </c>
      <c r="E315" s="5">
        <v>-28324</v>
      </c>
      <c r="F315" s="3" t="s">
        <v>305</v>
      </c>
      <c r="G315" s="3" t="s">
        <v>57</v>
      </c>
      <c r="H315" s="2" t="s">
        <v>20</v>
      </c>
      <c r="I315" s="2" t="s">
        <v>777</v>
      </c>
      <c r="J315" s="3" t="str">
        <f>HYPERLINK("https://www.boe.es/gazeta/dias/1822/06/13/pdfs/GMD-1822-170.pdf#page=4","Abrir facsímil")</f>
        <v>Abrir facsímil</v>
      </c>
      <c r="K315" s="3" t="s">
        <v>22</v>
      </c>
    </row>
    <row r="316" spans="1:11" ht="42" customHeight="1">
      <c r="A316" s="2" t="s">
        <v>772</v>
      </c>
      <c r="B316" s="2" t="s">
        <v>772</v>
      </c>
      <c r="C316" s="2" t="s">
        <v>42</v>
      </c>
      <c r="D316" s="2" t="s">
        <v>17</v>
      </c>
      <c r="E316" s="5">
        <v>-28323</v>
      </c>
      <c r="F316" s="3" t="s">
        <v>116</v>
      </c>
      <c r="G316" s="3" t="s">
        <v>19</v>
      </c>
      <c r="H316" s="2" t="s">
        <v>20</v>
      </c>
      <c r="I316" s="2" t="s">
        <v>778</v>
      </c>
      <c r="J316" s="3" t="str">
        <f>HYPERLINK("https://www.boe.es/gazeta/dias/1822/06/14/pdfs/GMD-1822-171.pdf#page=5","Abrir facsímil")</f>
        <v>Abrir facsímil</v>
      </c>
      <c r="K316" s="3" t="s">
        <v>22</v>
      </c>
    </row>
    <row r="317" spans="1:11" ht="42" customHeight="1">
      <c r="A317" s="2" t="s">
        <v>772</v>
      </c>
      <c r="B317" s="2" t="s">
        <v>772</v>
      </c>
      <c r="C317" s="2" t="s">
        <v>42</v>
      </c>
      <c r="D317" s="2" t="s">
        <v>17</v>
      </c>
      <c r="E317" s="5">
        <v>-28320</v>
      </c>
      <c r="F317" s="3" t="s">
        <v>700</v>
      </c>
      <c r="G317" s="3" t="s">
        <v>19</v>
      </c>
      <c r="H317" s="2" t="s">
        <v>20</v>
      </c>
      <c r="I317" s="2" t="s">
        <v>779</v>
      </c>
      <c r="J317" s="3" t="str">
        <f>HYPERLINK("https://www.boe.es/gazeta/dias/1822/06/17/pdfs/GMD-1822-174.pdf#page=5","Abrir facsímil")</f>
        <v>Abrir facsímil</v>
      </c>
      <c r="K317" s="3" t="s">
        <v>22</v>
      </c>
    </row>
    <row r="318" spans="1:11" ht="42" customHeight="1">
      <c r="A318" s="2" t="s">
        <v>772</v>
      </c>
      <c r="B318" s="2" t="s">
        <v>772</v>
      </c>
      <c r="C318" s="2" t="s">
        <v>61</v>
      </c>
      <c r="D318" s="2" t="s">
        <v>17</v>
      </c>
      <c r="E318" s="5">
        <v>-28176</v>
      </c>
      <c r="F318" s="3" t="s">
        <v>780</v>
      </c>
      <c r="G318" s="3" t="s">
        <v>44</v>
      </c>
      <c r="H318" s="2" t="s">
        <v>20</v>
      </c>
      <c r="I318" s="2" t="s">
        <v>781</v>
      </c>
      <c r="J318" s="3" t="str">
        <f>HYPERLINK("https://www.boe.es/gazeta/dias/1822/11/08/pdfs/GMD-1822-328.pdf#page=1","Abrir facsímil")</f>
        <v>Abrir facsímil</v>
      </c>
      <c r="K318" s="3" t="s">
        <v>22</v>
      </c>
    </row>
    <row r="319" spans="1:11" ht="42" customHeight="1">
      <c r="A319" s="2" t="s">
        <v>782</v>
      </c>
      <c r="B319" s="2" t="s">
        <v>783</v>
      </c>
      <c r="C319" s="2" t="s">
        <v>71</v>
      </c>
      <c r="D319" s="2" t="s">
        <v>17</v>
      </c>
      <c r="E319" s="5">
        <v>-28323</v>
      </c>
      <c r="F319" s="3" t="s">
        <v>116</v>
      </c>
      <c r="G319" s="3" t="s">
        <v>31</v>
      </c>
      <c r="H319" s="2" t="s">
        <v>20</v>
      </c>
      <c r="I319" s="2" t="s">
        <v>784</v>
      </c>
      <c r="J319" s="3" t="str">
        <f>HYPERLINK("https://www.boe.es/gazeta/dias/1822/06/14/pdfs/GMD-1822-171.pdf#page=3","Abrir facsímil")</f>
        <v>Abrir facsímil</v>
      </c>
      <c r="K319" s="3" t="s">
        <v>22</v>
      </c>
    </row>
    <row r="320" spans="1:11" ht="42" customHeight="1">
      <c r="A320" s="2" t="s">
        <v>785</v>
      </c>
      <c r="B320" s="2" t="s">
        <v>786</v>
      </c>
      <c r="C320" s="2" t="s">
        <v>42</v>
      </c>
      <c r="D320" s="2" t="s">
        <v>17</v>
      </c>
      <c r="E320" s="5">
        <v>-28409</v>
      </c>
      <c r="F320" s="3" t="s">
        <v>394</v>
      </c>
      <c r="G320" s="3" t="s">
        <v>57</v>
      </c>
      <c r="H320" s="2" t="s">
        <v>20</v>
      </c>
      <c r="I320" s="2" t="s">
        <v>787</v>
      </c>
      <c r="J320" s="3" t="str">
        <f>HYPERLINK("https://www.boe.es/gazeta/dias/1822/03/20/pdfs/GMD-1822-81.pdf#page=4","Abrir facsímil")</f>
        <v>Abrir facsímil</v>
      </c>
      <c r="K320" s="3" t="s">
        <v>22</v>
      </c>
    </row>
    <row r="321" spans="1:11" ht="42" customHeight="1">
      <c r="A321" s="2" t="s">
        <v>785</v>
      </c>
      <c r="B321" s="2" t="s">
        <v>786</v>
      </c>
      <c r="C321" s="2" t="s">
        <v>42</v>
      </c>
      <c r="D321" s="2" t="s">
        <v>17</v>
      </c>
      <c r="E321" s="5">
        <v>-28313</v>
      </c>
      <c r="F321" s="3" t="s">
        <v>315</v>
      </c>
      <c r="G321" s="3" t="s">
        <v>19</v>
      </c>
      <c r="H321" s="2" t="s">
        <v>20</v>
      </c>
      <c r="I321" s="2" t="s">
        <v>788</v>
      </c>
      <c r="J321" s="3" t="str">
        <f>HYPERLINK("https://www.boe.es/gazeta/dias/1822/06/24/pdfs/GMD-1822-182.pdf#page=5","Abrir facsímil")</f>
        <v>Abrir facsímil</v>
      </c>
      <c r="K321" s="3" t="s">
        <v>22</v>
      </c>
    </row>
    <row r="322" spans="1:11" ht="42" customHeight="1">
      <c r="A322" s="2" t="s">
        <v>789</v>
      </c>
      <c r="B322" s="2" t="s">
        <v>790</v>
      </c>
      <c r="C322" s="2" t="s">
        <v>50</v>
      </c>
      <c r="D322" s="2" t="s">
        <v>51</v>
      </c>
      <c r="E322" s="5">
        <v>-28302</v>
      </c>
      <c r="F322" s="3" t="s">
        <v>791</v>
      </c>
      <c r="G322" s="3" t="s">
        <v>35</v>
      </c>
      <c r="H322" s="2" t="s">
        <v>20</v>
      </c>
      <c r="I322" s="2" t="s">
        <v>792</v>
      </c>
      <c r="J322" s="3" t="str">
        <f>HYPERLINK("https://www.boe.es/gazeta/dias/1822/07/05/pdfs/GMD-1822-194.pdf#page=2","Abrir facsímil")</f>
        <v>Abrir facsímil</v>
      </c>
      <c r="K322" s="3" t="s">
        <v>22</v>
      </c>
    </row>
    <row r="323" spans="1:11" ht="42" customHeight="1">
      <c r="A323" s="2" t="s">
        <v>793</v>
      </c>
      <c r="B323" s="2" t="s">
        <v>794</v>
      </c>
      <c r="C323" s="2" t="s">
        <v>50</v>
      </c>
      <c r="D323" s="2" t="s">
        <v>723</v>
      </c>
      <c r="E323" s="5">
        <v>-28349</v>
      </c>
      <c r="F323" s="3" t="s">
        <v>795</v>
      </c>
      <c r="G323" s="3" t="s">
        <v>44</v>
      </c>
      <c r="H323" s="2" t="s">
        <v>20</v>
      </c>
      <c r="I323" s="2" t="s">
        <v>796</v>
      </c>
      <c r="J323" s="3" t="str">
        <f>HYPERLINK("https://www.boe.es/gazeta/dias/1822/05/19/pdfs/GMD-1822-142E.pdf#page=1","Abrir facsímil")</f>
        <v>Abrir facsímil</v>
      </c>
      <c r="K323" s="3" t="s">
        <v>22</v>
      </c>
    </row>
    <row r="324" spans="1:11" ht="42" customHeight="1">
      <c r="A324" s="2" t="s">
        <v>797</v>
      </c>
      <c r="B324" s="2" t="s">
        <v>798</v>
      </c>
      <c r="C324" s="2" t="s">
        <v>42</v>
      </c>
      <c r="D324" s="2" t="s">
        <v>17</v>
      </c>
      <c r="E324" s="5">
        <v>-28338</v>
      </c>
      <c r="F324" s="3" t="s">
        <v>527</v>
      </c>
      <c r="G324" s="3" t="s">
        <v>31</v>
      </c>
      <c r="H324" s="2" t="s">
        <v>20</v>
      </c>
      <c r="I324" s="2" t="s">
        <v>799</v>
      </c>
      <c r="J324" s="3" t="str">
        <f>HYPERLINK("https://www.boe.es/gazeta/dias/1822/05/30/pdfs/GMD-1822-155.pdf#page=3","Abrir facsímil")</f>
        <v>Abrir facsímil</v>
      </c>
      <c r="K324" s="3" t="s">
        <v>22</v>
      </c>
    </row>
    <row r="325" spans="1:11" ht="42" customHeight="1">
      <c r="A325" s="2" t="s">
        <v>800</v>
      </c>
      <c r="B325" s="2" t="s">
        <v>801</v>
      </c>
      <c r="C325" s="2" t="s">
        <v>24</v>
      </c>
      <c r="D325" s="2" t="s">
        <v>17</v>
      </c>
      <c r="E325" s="5">
        <v>-28159</v>
      </c>
      <c r="F325" s="3" t="s">
        <v>67</v>
      </c>
      <c r="G325" s="3" t="s">
        <v>57</v>
      </c>
      <c r="H325" s="2" t="s">
        <v>20</v>
      </c>
      <c r="I325" s="2" t="s">
        <v>802</v>
      </c>
      <c r="J325" s="3" t="str">
        <f>HYPERLINK("https://www.boe.es/gazeta/dias/1822/11/25/pdfs/GMD-1822-345.pdf#page=4","Abrir facsímil")</f>
        <v>Abrir facsímil</v>
      </c>
      <c r="K325" s="3" t="s">
        <v>22</v>
      </c>
    </row>
    <row r="326" spans="1:11" ht="42" customHeight="1">
      <c r="A326" s="2" t="s">
        <v>803</v>
      </c>
      <c r="B326" s="2" t="s">
        <v>803</v>
      </c>
      <c r="C326" s="2" t="s">
        <v>50</v>
      </c>
      <c r="D326" s="2" t="s">
        <v>51</v>
      </c>
      <c r="E326" s="5">
        <v>-28384</v>
      </c>
      <c r="F326" s="3" t="s">
        <v>258</v>
      </c>
      <c r="G326" s="3" t="s">
        <v>35</v>
      </c>
      <c r="H326" s="2" t="s">
        <v>20</v>
      </c>
      <c r="I326" s="2" t="s">
        <v>804</v>
      </c>
      <c r="J326" s="3" t="str">
        <f>HYPERLINK("https://www.boe.es/gazeta/dias/1822/04/14/pdfs/GMD-1822-106.pdf#page=2","Abrir facsímil")</f>
        <v>Abrir facsímil</v>
      </c>
      <c r="K326" s="3" t="s">
        <v>22</v>
      </c>
    </row>
    <row r="327" spans="1:11" ht="42" customHeight="1">
      <c r="A327" s="2" t="s">
        <v>805</v>
      </c>
      <c r="B327" s="2" t="s">
        <v>805</v>
      </c>
      <c r="C327" s="2" t="s">
        <v>50</v>
      </c>
      <c r="D327" s="2" t="s">
        <v>51</v>
      </c>
      <c r="E327" s="5">
        <v>-28205</v>
      </c>
      <c r="F327" s="3" t="s">
        <v>806</v>
      </c>
      <c r="G327" s="3" t="s">
        <v>63</v>
      </c>
      <c r="H327" s="2" t="s">
        <v>20</v>
      </c>
      <c r="I327" s="2" t="s">
        <v>807</v>
      </c>
      <c r="J327" s="3" t="str">
        <f>HYPERLINK("https://www.boe.es/gazeta/dias/1822/10/10/pdfs/GMD-1822-297.pdf#page=6","Abrir facsímil")</f>
        <v>Abrir facsímil</v>
      </c>
      <c r="K327" s="3" t="s">
        <v>22</v>
      </c>
    </row>
    <row r="328" spans="1:11" ht="42" customHeight="1">
      <c r="A328" s="2" t="s">
        <v>808</v>
      </c>
      <c r="B328" s="2" t="s">
        <v>808</v>
      </c>
      <c r="C328" s="2" t="s">
        <v>50</v>
      </c>
      <c r="D328" s="2" t="s">
        <v>51</v>
      </c>
      <c r="E328" s="5">
        <v>-28383</v>
      </c>
      <c r="F328" s="3" t="s">
        <v>488</v>
      </c>
      <c r="G328" s="3" t="s">
        <v>35</v>
      </c>
      <c r="H328" s="2" t="s">
        <v>20</v>
      </c>
      <c r="I328" s="2" t="s">
        <v>809</v>
      </c>
      <c r="J328" s="3" t="str">
        <f>HYPERLINK("https://www.boe.es/gazeta/dias/1822/04/15/pdfs/GMD-1822-107.pdf#page=2","Abrir facsímil")</f>
        <v>Abrir facsímil</v>
      </c>
      <c r="K328" s="3" t="s">
        <v>22</v>
      </c>
    </row>
    <row r="329" spans="1:11" ht="42" customHeight="1">
      <c r="A329" s="2" t="s">
        <v>808</v>
      </c>
      <c r="B329" s="2" t="s">
        <v>808</v>
      </c>
      <c r="C329" s="2" t="s">
        <v>42</v>
      </c>
      <c r="D329" s="2" t="s">
        <v>17</v>
      </c>
      <c r="E329" s="5">
        <v>-28233</v>
      </c>
      <c r="F329" s="3" t="s">
        <v>810</v>
      </c>
      <c r="G329" s="3" t="s">
        <v>57</v>
      </c>
      <c r="H329" s="2" t="s">
        <v>20</v>
      </c>
      <c r="I329" s="2" t="s">
        <v>811</v>
      </c>
      <c r="J329" s="3" t="str">
        <f>HYPERLINK("https://www.boe.es/gazeta/dias/1822/09/12/pdfs/GMD-1822-268.pdf#page=4","Abrir facsímil")</f>
        <v>Abrir facsímil</v>
      </c>
      <c r="K329" s="3" t="s">
        <v>22</v>
      </c>
    </row>
    <row r="330" spans="1:11" ht="42" customHeight="1">
      <c r="A330" s="2" t="s">
        <v>808</v>
      </c>
      <c r="B330" s="2" t="s">
        <v>808</v>
      </c>
      <c r="C330" s="2" t="s">
        <v>24</v>
      </c>
      <c r="D330" s="2" t="s">
        <v>17</v>
      </c>
      <c r="E330" s="5">
        <v>-28226</v>
      </c>
      <c r="F330" s="3" t="s">
        <v>812</v>
      </c>
      <c r="G330" s="3" t="s">
        <v>57</v>
      </c>
      <c r="H330" s="2" t="s">
        <v>20</v>
      </c>
      <c r="I330" s="2" t="s">
        <v>813</v>
      </c>
      <c r="J330" s="3" t="str">
        <f>HYPERLINK("https://www.boe.es/gazeta/dias/1822/09/19/pdfs/GMD-1822-275.pdf#page=4","Abrir facsímil")</f>
        <v>Abrir facsímil</v>
      </c>
      <c r="K330" s="3" t="s">
        <v>22</v>
      </c>
    </row>
    <row r="331" spans="1:11" ht="42" customHeight="1">
      <c r="A331" s="2" t="s">
        <v>808</v>
      </c>
      <c r="B331" s="2" t="s">
        <v>808</v>
      </c>
      <c r="C331" s="2" t="s">
        <v>362</v>
      </c>
      <c r="D331" s="2" t="s">
        <v>17</v>
      </c>
      <c r="E331" s="5">
        <v>-28214</v>
      </c>
      <c r="F331" s="3" t="s">
        <v>814</v>
      </c>
      <c r="G331" s="3" t="s">
        <v>31</v>
      </c>
      <c r="H331" s="2" t="s">
        <v>20</v>
      </c>
      <c r="I331" s="2" t="s">
        <v>815</v>
      </c>
      <c r="J331" s="3" t="str">
        <f>HYPERLINK("https://www.boe.es/gazeta/dias/1822/10/01/pdfs/GMD-1822-287.pdf#page=3","Abrir facsímil")</f>
        <v>Abrir facsímil</v>
      </c>
      <c r="K331" s="3" t="s">
        <v>22</v>
      </c>
    </row>
    <row r="332" spans="1:11" ht="42" customHeight="1">
      <c r="A332" s="2" t="s">
        <v>808</v>
      </c>
      <c r="B332" s="2" t="s">
        <v>808</v>
      </c>
      <c r="C332" s="2" t="s">
        <v>16</v>
      </c>
      <c r="D332" s="2" t="s">
        <v>17</v>
      </c>
      <c r="E332" s="5">
        <v>-28214</v>
      </c>
      <c r="F332" s="3" t="s">
        <v>814</v>
      </c>
      <c r="G332" s="3" t="s">
        <v>57</v>
      </c>
      <c r="H332" s="2" t="s">
        <v>20</v>
      </c>
      <c r="I332" s="2" t="s">
        <v>816</v>
      </c>
      <c r="J332" s="3" t="str">
        <f>HYPERLINK("https://www.boe.es/gazeta/dias/1822/10/01/pdfs/GMD-1822-287.pdf#page=4","Abrir facsímil")</f>
        <v>Abrir facsímil</v>
      </c>
      <c r="K332" s="3" t="s">
        <v>22</v>
      </c>
    </row>
    <row r="333" spans="1:11" ht="42" customHeight="1">
      <c r="A333" s="2" t="s">
        <v>808</v>
      </c>
      <c r="B333" s="2" t="s">
        <v>808</v>
      </c>
      <c r="C333" s="2" t="s">
        <v>61</v>
      </c>
      <c r="D333" s="2" t="s">
        <v>17</v>
      </c>
      <c r="E333" s="5">
        <v>-28134</v>
      </c>
      <c r="F333" s="3" t="s">
        <v>620</v>
      </c>
      <c r="G333" s="3" t="s">
        <v>57</v>
      </c>
      <c r="H333" s="2" t="s">
        <v>20</v>
      </c>
      <c r="I333" s="2" t="s">
        <v>817</v>
      </c>
      <c r="J333" s="3" t="str">
        <f>HYPERLINK("https://www.boe.es/gazeta/dias/1822/12/20/pdfs/GMD-1822-370.pdf#page=4","Abrir facsímil")</f>
        <v>Abrir facsímil</v>
      </c>
      <c r="K333" s="3" t="s">
        <v>22</v>
      </c>
    </row>
    <row r="334" spans="1:11" ht="42" customHeight="1">
      <c r="A334" s="2" t="s">
        <v>818</v>
      </c>
      <c r="B334" s="2" t="s">
        <v>819</v>
      </c>
      <c r="C334" s="2" t="s">
        <v>50</v>
      </c>
      <c r="D334" s="2" t="s">
        <v>51</v>
      </c>
      <c r="E334" s="5">
        <v>-28132</v>
      </c>
      <c r="F334" s="3" t="s">
        <v>820</v>
      </c>
      <c r="G334" s="3" t="s">
        <v>821</v>
      </c>
      <c r="H334" s="2" t="s">
        <v>20</v>
      </c>
      <c r="I334" s="2" t="s">
        <v>822</v>
      </c>
      <c r="J334" s="3" t="str">
        <f>HYPERLINK("https://www.boe.es/gazeta/dias/1822/12/22/pdfs/GMD-1822-372.pdf#page=4","Abrir facsímil")</f>
        <v>Abrir facsímil</v>
      </c>
      <c r="K334" s="3" t="s">
        <v>22</v>
      </c>
    </row>
    <row r="335" spans="1:11" ht="42" customHeight="1">
      <c r="A335" s="2" t="s">
        <v>823</v>
      </c>
      <c r="B335" s="2" t="s">
        <v>824</v>
      </c>
      <c r="C335" s="2" t="s">
        <v>28</v>
      </c>
      <c r="D335" s="2" t="s">
        <v>29</v>
      </c>
      <c r="E335" s="5">
        <v>-28412</v>
      </c>
      <c r="F335" s="3" t="s">
        <v>825</v>
      </c>
      <c r="G335" s="3" t="s">
        <v>31</v>
      </c>
      <c r="H335" s="2" t="s">
        <v>20</v>
      </c>
      <c r="I335" s="2" t="s">
        <v>826</v>
      </c>
      <c r="J335" s="3" t="str">
        <f>HYPERLINK("https://www.boe.es/gazeta/dias/1822/03/17/pdfs/GMD-1822-78.pdf#page=3","Abrir facsímil")</f>
        <v>Abrir facsímil</v>
      </c>
      <c r="K335" s="3" t="s">
        <v>22</v>
      </c>
    </row>
    <row r="336" spans="1:11" ht="42" customHeight="1">
      <c r="A336" s="2" t="s">
        <v>827</v>
      </c>
      <c r="B336" s="2" t="s">
        <v>827</v>
      </c>
      <c r="C336" s="2" t="s">
        <v>50</v>
      </c>
      <c r="D336" s="2" t="s">
        <v>51</v>
      </c>
      <c r="E336" s="5">
        <v>-28214</v>
      </c>
      <c r="F336" s="3" t="s">
        <v>814</v>
      </c>
      <c r="G336" s="3" t="s">
        <v>57</v>
      </c>
      <c r="H336" s="2" t="s">
        <v>20</v>
      </c>
      <c r="I336" s="2" t="s">
        <v>828</v>
      </c>
      <c r="J336" s="3" t="str">
        <f>HYPERLINK("https://www.boe.es/gazeta/dias/1822/10/01/pdfs/GMD-1822-287.pdf#page=4","Abrir facsímil")</f>
        <v>Abrir facsímil</v>
      </c>
      <c r="K336" s="3" t="s">
        <v>22</v>
      </c>
    </row>
    <row r="337" spans="1:11" ht="42" customHeight="1">
      <c r="A337" s="2" t="s">
        <v>829</v>
      </c>
      <c r="B337" s="2" t="s">
        <v>830</v>
      </c>
      <c r="C337" s="2" t="s">
        <v>42</v>
      </c>
      <c r="D337" s="2" t="s">
        <v>17</v>
      </c>
      <c r="E337" s="5">
        <v>-28242</v>
      </c>
      <c r="F337" s="3" t="s">
        <v>831</v>
      </c>
      <c r="G337" s="3" t="s">
        <v>35</v>
      </c>
      <c r="H337" s="2" t="s">
        <v>20</v>
      </c>
      <c r="I337" s="2" t="s">
        <v>832</v>
      </c>
      <c r="J337" s="3" t="str">
        <f>HYPERLINK("https://www.boe.es/gazeta/dias/1822/09/03/pdfs/GMD-1822-258.pdf#page=2","Abrir facsímil")</f>
        <v>Abrir facsímil</v>
      </c>
      <c r="K337" s="3" t="s">
        <v>22</v>
      </c>
    </row>
    <row r="338" spans="1:11" ht="42" customHeight="1">
      <c r="A338" s="2" t="s">
        <v>829</v>
      </c>
      <c r="B338" s="2" t="s">
        <v>830</v>
      </c>
      <c r="C338" s="2" t="s">
        <v>50</v>
      </c>
      <c r="D338" s="2" t="s">
        <v>51</v>
      </c>
      <c r="E338" s="5">
        <v>-28155</v>
      </c>
      <c r="F338" s="3" t="s">
        <v>833</v>
      </c>
      <c r="G338" s="3" t="s">
        <v>63</v>
      </c>
      <c r="H338" s="2" t="s">
        <v>20</v>
      </c>
      <c r="I338" s="2" t="s">
        <v>834</v>
      </c>
      <c r="J338" s="3" t="str">
        <f>HYPERLINK("https://www.boe.es/gazeta/dias/1822/11/29/pdfs/GMD-1822-349.pdf#page=6","Abrir facsímil")</f>
        <v>Abrir facsímil</v>
      </c>
      <c r="K338" s="3" t="s">
        <v>22</v>
      </c>
    </row>
    <row r="339" spans="1:11" ht="42" customHeight="1">
      <c r="A339" s="2" t="s">
        <v>835</v>
      </c>
      <c r="B339" s="2" t="s">
        <v>835</v>
      </c>
      <c r="C339" s="2" t="s">
        <v>42</v>
      </c>
      <c r="D339" s="2" t="s">
        <v>17</v>
      </c>
      <c r="E339" s="5">
        <v>-28258</v>
      </c>
      <c r="F339" s="3" t="s">
        <v>88</v>
      </c>
      <c r="G339" s="3" t="s">
        <v>31</v>
      </c>
      <c r="H339" s="2" t="s">
        <v>20</v>
      </c>
      <c r="I339" s="2" t="s">
        <v>836</v>
      </c>
      <c r="J339" s="3" t="str">
        <f>HYPERLINK("https://www.boe.es/gazeta/dias/1822/08/18/pdfs/GMD-1822-242.pdf#page=3","Abrir facsímil")</f>
        <v>Abrir facsímil</v>
      </c>
      <c r="K339" s="3" t="s">
        <v>22</v>
      </c>
    </row>
    <row r="340" spans="1:11" ht="42" customHeight="1">
      <c r="A340" s="2" t="s">
        <v>837</v>
      </c>
      <c r="B340" s="2" t="s">
        <v>837</v>
      </c>
      <c r="C340" s="2" t="s">
        <v>42</v>
      </c>
      <c r="D340" s="2" t="s">
        <v>17</v>
      </c>
      <c r="E340" s="5">
        <v>-28189</v>
      </c>
      <c r="F340" s="3" t="s">
        <v>645</v>
      </c>
      <c r="G340" s="3" t="s">
        <v>31</v>
      </c>
      <c r="H340" s="2" t="s">
        <v>20</v>
      </c>
      <c r="I340" s="2" t="s">
        <v>838</v>
      </c>
      <c r="J340" s="3" t="str">
        <f>HYPERLINK("https://www.boe.es/gazeta/dias/1822/10/26/pdfs/GMD-1822-313.pdf#page=3","Abrir facsímil")</f>
        <v>Abrir facsímil</v>
      </c>
      <c r="K340" s="3" t="s">
        <v>22</v>
      </c>
    </row>
    <row r="341" spans="1:11" ht="42" customHeight="1">
      <c r="A341" s="2" t="s">
        <v>837</v>
      </c>
      <c r="B341" s="2" t="s">
        <v>837</v>
      </c>
      <c r="C341" s="2" t="s">
        <v>28</v>
      </c>
      <c r="D341" s="2" t="s">
        <v>29</v>
      </c>
      <c r="E341" s="5">
        <v>-28180</v>
      </c>
      <c r="F341" s="3" t="s">
        <v>839</v>
      </c>
      <c r="G341" s="3" t="s">
        <v>31</v>
      </c>
      <c r="H341" s="2" t="s">
        <v>20</v>
      </c>
      <c r="I341" s="2" t="s">
        <v>840</v>
      </c>
      <c r="J341" s="3" t="str">
        <f>HYPERLINK("https://www.boe.es/gazeta/dias/1822/11/04/pdfs/GMD-1822-323.pdf#page=3","Abrir facsímil")</f>
        <v>Abrir facsímil</v>
      </c>
      <c r="K341" s="3" t="s">
        <v>22</v>
      </c>
    </row>
    <row r="342" spans="1:11" ht="42" customHeight="1">
      <c r="A342" s="2" t="s">
        <v>841</v>
      </c>
      <c r="B342" s="2" t="s">
        <v>842</v>
      </c>
      <c r="C342" s="2" t="s">
        <v>28</v>
      </c>
      <c r="D342" s="2" t="s">
        <v>29</v>
      </c>
      <c r="E342" s="5">
        <v>-28353</v>
      </c>
      <c r="F342" s="3" t="s">
        <v>843</v>
      </c>
      <c r="G342" s="3" t="s">
        <v>35</v>
      </c>
      <c r="H342" s="2" t="s">
        <v>20</v>
      </c>
      <c r="I342" s="2" t="s">
        <v>844</v>
      </c>
      <c r="J342" s="3" t="str">
        <f>HYPERLINK("https://www.boe.es/gazeta/dias/1822/05/15/pdfs/GMD-1822-137.pdf#page=2","Abrir facsímil")</f>
        <v>Abrir facsímil</v>
      </c>
      <c r="K342" s="3" t="s">
        <v>22</v>
      </c>
    </row>
    <row r="343" spans="1:11" ht="42" customHeight="1">
      <c r="A343" s="2" t="s">
        <v>845</v>
      </c>
      <c r="B343" s="2" t="s">
        <v>845</v>
      </c>
      <c r="C343" s="2" t="s">
        <v>42</v>
      </c>
      <c r="D343" s="2" t="s">
        <v>17</v>
      </c>
      <c r="E343" s="5">
        <v>-28165</v>
      </c>
      <c r="F343" s="3" t="s">
        <v>846</v>
      </c>
      <c r="G343" s="3" t="s">
        <v>847</v>
      </c>
      <c r="H343" s="2" t="s">
        <v>20</v>
      </c>
      <c r="I343" s="2" t="s">
        <v>848</v>
      </c>
      <c r="J343" s="3" t="str">
        <f>HYPERLINK("https://www.boe.es/gazeta/dias/1822/11/19/pdfs/GMD-1822-339.pdf#page=3","Abrir facsímil")</f>
        <v>Abrir facsímil</v>
      </c>
      <c r="K343" s="3" t="s">
        <v>22</v>
      </c>
    </row>
    <row r="344" spans="1:11" ht="42" customHeight="1">
      <c r="A344" s="2" t="s">
        <v>849</v>
      </c>
      <c r="B344" s="2" t="s">
        <v>849</v>
      </c>
      <c r="C344" s="2" t="s">
        <v>42</v>
      </c>
      <c r="D344" s="2" t="s">
        <v>17</v>
      </c>
      <c r="E344" s="5">
        <v>-28482</v>
      </c>
      <c r="F344" s="3" t="s">
        <v>850</v>
      </c>
      <c r="G344" s="3" t="s">
        <v>31</v>
      </c>
      <c r="H344" s="2" t="s">
        <v>20</v>
      </c>
      <c r="I344" s="2" t="s">
        <v>851</v>
      </c>
      <c r="J344" s="3" t="str">
        <f>HYPERLINK("https://www.boe.es/gazeta/dias/1822/01/06/pdfs/GMD-1822-6.pdf#page=3","Abrir facsímil")</f>
        <v>Abrir facsímil</v>
      </c>
      <c r="K344" s="3" t="s">
        <v>22</v>
      </c>
    </row>
    <row r="345" spans="1:11" ht="42" customHeight="1">
      <c r="A345" s="2" t="s">
        <v>852</v>
      </c>
      <c r="B345" s="2" t="s">
        <v>852</v>
      </c>
      <c r="C345" s="2" t="s">
        <v>28</v>
      </c>
      <c r="D345" s="2" t="s">
        <v>29</v>
      </c>
      <c r="E345" s="5">
        <v>-28482</v>
      </c>
      <c r="F345" s="3" t="s">
        <v>850</v>
      </c>
      <c r="G345" s="3" t="s">
        <v>31</v>
      </c>
      <c r="H345" s="2" t="s">
        <v>20</v>
      </c>
      <c r="I345" s="2" t="s">
        <v>853</v>
      </c>
      <c r="J345" s="3" t="str">
        <f>HYPERLINK("https://www.boe.es/gazeta/dias/1822/01/06/pdfs/GMD-1822-6.pdf#page=3","Abrir facsímil")</f>
        <v>Abrir facsímil</v>
      </c>
      <c r="K345" s="3" t="s">
        <v>22</v>
      </c>
    </row>
    <row r="346" spans="1:11" ht="42" customHeight="1">
      <c r="A346" s="2" t="s">
        <v>854</v>
      </c>
      <c r="B346" s="2" t="s">
        <v>855</v>
      </c>
      <c r="C346" s="2" t="s">
        <v>24</v>
      </c>
      <c r="D346" s="2" t="s">
        <v>17</v>
      </c>
      <c r="E346" s="5">
        <v>-28139</v>
      </c>
      <c r="F346" s="3" t="s">
        <v>143</v>
      </c>
      <c r="G346" s="3" t="s">
        <v>144</v>
      </c>
      <c r="H346" s="2" t="s">
        <v>20</v>
      </c>
      <c r="I346" s="2" t="s">
        <v>856</v>
      </c>
      <c r="J346" s="3" t="str">
        <f>HYPERLINK("https://www.boe.es/gazeta/dias/1822/12/15/pdfs/GMD-1822-365.pdf#page=4","Abrir facsímil")</f>
        <v>Abrir facsímil</v>
      </c>
      <c r="K346" s="3" t="s">
        <v>22</v>
      </c>
    </row>
    <row r="347" spans="1:11" ht="42" customHeight="1">
      <c r="A347" s="2" t="s">
        <v>857</v>
      </c>
      <c r="B347" s="2" t="s">
        <v>858</v>
      </c>
      <c r="C347" s="2" t="s">
        <v>42</v>
      </c>
      <c r="D347" s="2" t="s">
        <v>17</v>
      </c>
      <c r="E347" s="5">
        <v>-28182</v>
      </c>
      <c r="F347" s="3" t="s">
        <v>585</v>
      </c>
      <c r="G347" s="3" t="s">
        <v>63</v>
      </c>
      <c r="H347" s="2" t="s">
        <v>20</v>
      </c>
      <c r="I347" s="2" t="s">
        <v>859</v>
      </c>
      <c r="J347" s="3" t="str">
        <f>HYPERLINK("https://www.boe.es/gazeta/dias/1822/11/02/pdfs/GMD-1822-320.pdf#page=6","Abrir facsímil")</f>
        <v>Abrir facsímil</v>
      </c>
      <c r="K347" s="3" t="s">
        <v>22</v>
      </c>
    </row>
    <row r="348" spans="1:11" ht="42" customHeight="1">
      <c r="A348" s="2" t="s">
        <v>860</v>
      </c>
      <c r="B348" s="2" t="s">
        <v>861</v>
      </c>
      <c r="C348" s="2" t="s">
        <v>42</v>
      </c>
      <c r="D348" s="2" t="s">
        <v>17</v>
      </c>
      <c r="E348" s="5">
        <v>-28160</v>
      </c>
      <c r="F348" s="3" t="s">
        <v>148</v>
      </c>
      <c r="G348" s="3" t="s">
        <v>19</v>
      </c>
      <c r="H348" s="2" t="s">
        <v>20</v>
      </c>
      <c r="I348" s="2" t="s">
        <v>862</v>
      </c>
      <c r="J348" s="3" t="str">
        <f>HYPERLINK("https://www.boe.es/gazeta/dias/1822/11/24/pdfs/GMD-1822-344.pdf#page=5","Abrir facsímil")</f>
        <v>Abrir facsímil</v>
      </c>
      <c r="K348" s="3" t="s">
        <v>22</v>
      </c>
    </row>
    <row r="349" spans="1:11" ht="42" customHeight="1">
      <c r="A349" s="2" t="s">
        <v>863</v>
      </c>
      <c r="B349" s="2" t="s">
        <v>863</v>
      </c>
      <c r="C349" s="2" t="s">
        <v>28</v>
      </c>
      <c r="D349" s="2" t="s">
        <v>29</v>
      </c>
      <c r="E349" s="5">
        <v>-28334</v>
      </c>
      <c r="F349" s="3" t="s">
        <v>532</v>
      </c>
      <c r="G349" s="3" t="s">
        <v>57</v>
      </c>
      <c r="H349" s="2" t="s">
        <v>20</v>
      </c>
      <c r="I349" s="2" t="s">
        <v>864</v>
      </c>
      <c r="J349" s="3" t="str">
        <f>HYPERLINK("https://www.boe.es/gazeta/dias/1822/06/03/pdfs/GMD-1822-159.pdf#page=4","Abrir facsímil")</f>
        <v>Abrir facsímil</v>
      </c>
      <c r="K349" s="3" t="s">
        <v>22</v>
      </c>
    </row>
    <row r="350" spans="1:11" ht="42" customHeight="1">
      <c r="A350" s="2" t="s">
        <v>865</v>
      </c>
      <c r="B350" s="2" t="s">
        <v>865</v>
      </c>
      <c r="C350" s="2" t="s">
        <v>50</v>
      </c>
      <c r="D350" s="2" t="s">
        <v>51</v>
      </c>
      <c r="E350" s="5">
        <v>-28331</v>
      </c>
      <c r="F350" s="3" t="s">
        <v>537</v>
      </c>
      <c r="G350" s="3" t="s">
        <v>35</v>
      </c>
      <c r="H350" s="2" t="s">
        <v>20</v>
      </c>
      <c r="I350" s="2" t="s">
        <v>866</v>
      </c>
      <c r="J350" s="3" t="str">
        <f>HYPERLINK("https://www.boe.es/gazeta/dias/1822/06/06/pdfs/GMD-1822-163.pdf#page=2","Abrir facsímil")</f>
        <v>Abrir facsímil</v>
      </c>
      <c r="K350" s="3" t="s">
        <v>22</v>
      </c>
    </row>
    <row r="351" spans="1:11" ht="42" customHeight="1">
      <c r="A351" s="2" t="s">
        <v>867</v>
      </c>
      <c r="B351" s="2" t="s">
        <v>868</v>
      </c>
      <c r="C351" s="2" t="s">
        <v>50</v>
      </c>
      <c r="D351" s="2" t="s">
        <v>51</v>
      </c>
      <c r="E351" s="5">
        <v>-28383</v>
      </c>
      <c r="F351" s="3" t="s">
        <v>488</v>
      </c>
      <c r="G351" s="3" t="s">
        <v>31</v>
      </c>
      <c r="H351" s="2" t="s">
        <v>20</v>
      </c>
      <c r="I351" s="2" t="s">
        <v>869</v>
      </c>
      <c r="J351" s="3" t="str">
        <f>HYPERLINK("https://www.boe.es/gazeta/dias/1822/04/15/pdfs/GMD-1822-107.pdf#page=3","Abrir facsímil")</f>
        <v>Abrir facsímil</v>
      </c>
      <c r="K351" s="3" t="s">
        <v>22</v>
      </c>
    </row>
    <row r="352" spans="1:11" ht="42" customHeight="1">
      <c r="A352" s="2" t="s">
        <v>870</v>
      </c>
      <c r="B352" s="2" t="s">
        <v>870</v>
      </c>
      <c r="C352" s="2" t="s">
        <v>42</v>
      </c>
      <c r="D352" s="2" t="s">
        <v>17</v>
      </c>
      <c r="E352" s="5">
        <v>-28307</v>
      </c>
      <c r="F352" s="3" t="s">
        <v>555</v>
      </c>
      <c r="G352" s="3" t="s">
        <v>871</v>
      </c>
      <c r="H352" s="2" t="s">
        <v>20</v>
      </c>
      <c r="I352" s="2" t="s">
        <v>872</v>
      </c>
      <c r="J352" s="3" t="str">
        <f>HYPERLINK("https://www.boe.es/gazeta/dias/1822/06/30/pdfs/GMD-1822-188.pdf#page=4","Abrir facsímil")</f>
        <v>Abrir facsímil</v>
      </c>
      <c r="K352" s="3" t="s">
        <v>22</v>
      </c>
    </row>
    <row r="353" spans="1:11" ht="42" customHeight="1">
      <c r="A353" s="2" t="s">
        <v>873</v>
      </c>
      <c r="B353" s="2" t="s">
        <v>874</v>
      </c>
      <c r="C353" s="2" t="s">
        <v>50</v>
      </c>
      <c r="D353" s="2" t="s">
        <v>51</v>
      </c>
      <c r="E353" s="5">
        <v>-28292</v>
      </c>
      <c r="F353" s="3" t="s">
        <v>222</v>
      </c>
      <c r="G353" s="3" t="s">
        <v>31</v>
      </c>
      <c r="H353" s="2" t="s">
        <v>20</v>
      </c>
      <c r="I353" s="2" t="s">
        <v>875</v>
      </c>
      <c r="J353" s="3" t="str">
        <f>HYPERLINK("https://www.boe.es/gazeta/dias/1822/07/15/pdfs/GMD-1822-205.pdf#page=3","Abrir facsímil")</f>
        <v>Abrir facsímil</v>
      </c>
      <c r="K353" s="3" t="s">
        <v>22</v>
      </c>
    </row>
    <row r="354" spans="1:11" ht="42" customHeight="1">
      <c r="A354" s="2" t="s">
        <v>876</v>
      </c>
      <c r="B354" s="2" t="s">
        <v>877</v>
      </c>
      <c r="C354" s="2" t="s">
        <v>42</v>
      </c>
      <c r="D354" s="2" t="s">
        <v>17</v>
      </c>
      <c r="E354" s="5">
        <v>-28237</v>
      </c>
      <c r="F354" s="3" t="s">
        <v>878</v>
      </c>
      <c r="G354" s="3" t="s">
        <v>31</v>
      </c>
      <c r="H354" s="2" t="s">
        <v>20</v>
      </c>
      <c r="I354" s="2" t="s">
        <v>879</v>
      </c>
      <c r="J354" s="3" t="str">
        <f>HYPERLINK("https://www.boe.es/gazeta/dias/1822/09/08/pdfs/GMD-1822-264.pdf#page=3","Abrir facsímil")</f>
        <v>Abrir facsímil</v>
      </c>
      <c r="K354" s="3" t="s">
        <v>22</v>
      </c>
    </row>
    <row r="355" spans="1:11" ht="42" customHeight="1">
      <c r="A355" s="2" t="s">
        <v>880</v>
      </c>
      <c r="B355" s="2" t="s">
        <v>880</v>
      </c>
      <c r="C355" s="2" t="s">
        <v>42</v>
      </c>
      <c r="D355" s="2" t="s">
        <v>17</v>
      </c>
      <c r="E355" s="5">
        <v>-28174</v>
      </c>
      <c r="F355" s="3" t="s">
        <v>881</v>
      </c>
      <c r="G355" s="3" t="s">
        <v>19</v>
      </c>
      <c r="H355" s="2" t="s">
        <v>20</v>
      </c>
      <c r="I355" s="2" t="s">
        <v>882</v>
      </c>
      <c r="J355" s="3" t="str">
        <f>HYPERLINK("https://www.boe.es/gazeta/dias/1822/11/10/pdfs/GMD-1822-330.pdf#page=5","Abrir facsímil")</f>
        <v>Abrir facsímil</v>
      </c>
      <c r="K355" s="3" t="s">
        <v>22</v>
      </c>
    </row>
    <row r="356" spans="1:11" ht="42" customHeight="1">
      <c r="A356" s="2" t="s">
        <v>883</v>
      </c>
      <c r="B356" s="2" t="s">
        <v>883</v>
      </c>
      <c r="C356" s="2" t="s">
        <v>71</v>
      </c>
      <c r="D356" s="2" t="s">
        <v>17</v>
      </c>
      <c r="E356" s="5">
        <v>-28182</v>
      </c>
      <c r="F356" s="3" t="s">
        <v>585</v>
      </c>
      <c r="G356" s="3" t="s">
        <v>31</v>
      </c>
      <c r="H356" s="2" t="s">
        <v>20</v>
      </c>
      <c r="I356" s="2" t="s">
        <v>884</v>
      </c>
      <c r="J356" s="3" t="str">
        <f>HYPERLINK("https://www.boe.es/gazeta/dias/1822/11/02/pdfs/GMD-1822-320.pdf#page=3","Abrir facsímil")</f>
        <v>Abrir facsímil</v>
      </c>
      <c r="K356" s="3" t="s">
        <v>22</v>
      </c>
    </row>
    <row r="357" spans="1:11" ht="42" customHeight="1">
      <c r="A357" s="2" t="s">
        <v>885</v>
      </c>
      <c r="B357" s="2" t="s">
        <v>885</v>
      </c>
      <c r="C357" s="2" t="s">
        <v>28</v>
      </c>
      <c r="D357" s="2" t="s">
        <v>29</v>
      </c>
      <c r="E357" s="5">
        <v>-28196</v>
      </c>
      <c r="F357" s="3" t="s">
        <v>570</v>
      </c>
      <c r="G357" s="3" t="s">
        <v>35</v>
      </c>
      <c r="H357" s="2" t="s">
        <v>20</v>
      </c>
      <c r="I357" s="2" t="s">
        <v>886</v>
      </c>
      <c r="J357" s="3" t="str">
        <f>HYPERLINK("https://www.boe.es/gazeta/dias/1822/10/19/pdfs/GMD-1822-306.pdf#page=2","Abrir facsímil")</f>
        <v>Abrir facsímil</v>
      </c>
      <c r="K357" s="3" t="s">
        <v>22</v>
      </c>
    </row>
    <row r="358" spans="1:11" ht="42" customHeight="1">
      <c r="A358" s="2" t="s">
        <v>887</v>
      </c>
      <c r="B358" s="2" t="s">
        <v>887</v>
      </c>
      <c r="C358" s="2" t="s">
        <v>24</v>
      </c>
      <c r="D358" s="2" t="s">
        <v>17</v>
      </c>
      <c r="E358" s="5">
        <v>-28177</v>
      </c>
      <c r="F358" s="3" t="s">
        <v>587</v>
      </c>
      <c r="G358" s="3" t="s">
        <v>888</v>
      </c>
      <c r="H358" s="2" t="s">
        <v>20</v>
      </c>
      <c r="I358" s="2" t="s">
        <v>889</v>
      </c>
      <c r="J358" s="3" t="str">
        <f>HYPERLINK("https://www.boe.es/gazeta/dias/1822/11/07/pdfs/GMD-1822-327.pdf#page=4","Abrir facsímil")</f>
        <v>Abrir facsímil</v>
      </c>
      <c r="K358" s="3" t="s">
        <v>22</v>
      </c>
    </row>
    <row r="359" spans="1:11" ht="42" customHeight="1">
      <c r="A359" s="2" t="s">
        <v>890</v>
      </c>
      <c r="B359" s="2" t="s">
        <v>890</v>
      </c>
      <c r="C359" s="2" t="s">
        <v>28</v>
      </c>
      <c r="D359" s="2" t="s">
        <v>29</v>
      </c>
      <c r="E359" s="5">
        <v>-28163</v>
      </c>
      <c r="F359" s="3" t="s">
        <v>891</v>
      </c>
      <c r="G359" s="3" t="s">
        <v>31</v>
      </c>
      <c r="H359" s="2" t="s">
        <v>20</v>
      </c>
      <c r="I359" s="2" t="s">
        <v>892</v>
      </c>
      <c r="J359" s="3" t="str">
        <f>HYPERLINK("https://www.boe.es/gazeta/dias/1822/11/21/pdfs/GMD-1822-341.pdf#page=3","Abrir facsímil")</f>
        <v>Abrir facsímil</v>
      </c>
      <c r="K359" s="3" t="s">
        <v>22</v>
      </c>
    </row>
    <row r="360" spans="1:11" ht="42" customHeight="1">
      <c r="A360" s="2" t="s">
        <v>887</v>
      </c>
      <c r="B360" s="2" t="s">
        <v>887</v>
      </c>
      <c r="C360" s="2" t="s">
        <v>42</v>
      </c>
      <c r="D360" s="2" t="s">
        <v>17</v>
      </c>
      <c r="E360" s="5">
        <v>-28131</v>
      </c>
      <c r="F360" s="3" t="s">
        <v>893</v>
      </c>
      <c r="G360" s="3" t="s">
        <v>19</v>
      </c>
      <c r="H360" s="2" t="s">
        <v>20</v>
      </c>
      <c r="I360" s="2" t="s">
        <v>894</v>
      </c>
      <c r="J360" s="3" t="str">
        <f>HYPERLINK("https://www.boe.es/gazeta/dias/1822/12/23/pdfs/GMD-1822-373.pdf#page=5","Abrir facsímil")</f>
        <v>Abrir facsímil</v>
      </c>
      <c r="K360" s="3" t="s">
        <v>22</v>
      </c>
    </row>
    <row r="361" spans="1:11" ht="42" customHeight="1">
      <c r="A361" s="2" t="s">
        <v>895</v>
      </c>
      <c r="B361" s="2" t="s">
        <v>895</v>
      </c>
      <c r="C361" s="2" t="s">
        <v>42</v>
      </c>
      <c r="D361" s="2" t="s">
        <v>17</v>
      </c>
      <c r="E361" s="5">
        <v>-28330</v>
      </c>
      <c r="F361" s="3" t="s">
        <v>896</v>
      </c>
      <c r="G361" s="3" t="s">
        <v>35</v>
      </c>
      <c r="H361" s="2" t="s">
        <v>20</v>
      </c>
      <c r="I361" s="2" t="s">
        <v>897</v>
      </c>
      <c r="J361" s="3" t="str">
        <f>HYPERLINK("https://www.boe.es/gazeta/dias/1822/06/07/pdfs/GMD-1822-164.pdf#page=2","Abrir facsímil")</f>
        <v>Abrir facsímil</v>
      </c>
      <c r="K361" s="3" t="s">
        <v>22</v>
      </c>
    </row>
    <row r="362" spans="1:11" ht="42" customHeight="1">
      <c r="A362" s="2" t="s">
        <v>898</v>
      </c>
      <c r="B362" s="2" t="s">
        <v>898</v>
      </c>
      <c r="C362" s="2" t="s">
        <v>42</v>
      </c>
      <c r="D362" s="2" t="s">
        <v>17</v>
      </c>
      <c r="E362" s="5">
        <v>-28358</v>
      </c>
      <c r="F362" s="3" t="s">
        <v>211</v>
      </c>
      <c r="G362" s="3" t="s">
        <v>57</v>
      </c>
      <c r="H362" s="2" t="s">
        <v>20</v>
      </c>
      <c r="I362" s="2" t="s">
        <v>899</v>
      </c>
      <c r="J362" s="3" t="str">
        <f>HYPERLINK("https://www.boe.es/gazeta/dias/1822/05/10/pdfs/GMD-1822-132.pdf#page=4","Abrir facsímil")</f>
        <v>Abrir facsímil</v>
      </c>
      <c r="K362" s="3" t="s">
        <v>22</v>
      </c>
    </row>
    <row r="363" spans="1:11" ht="42" customHeight="1">
      <c r="A363" s="2" t="s">
        <v>900</v>
      </c>
      <c r="B363" s="2" t="s">
        <v>901</v>
      </c>
      <c r="C363" s="2" t="s">
        <v>28</v>
      </c>
      <c r="D363" s="2" t="s">
        <v>29</v>
      </c>
      <c r="E363" s="5">
        <v>-28373</v>
      </c>
      <c r="F363" s="3" t="s">
        <v>614</v>
      </c>
      <c r="G363" s="3" t="s">
        <v>57</v>
      </c>
      <c r="H363" s="2" t="s">
        <v>20</v>
      </c>
      <c r="I363" s="2" t="s">
        <v>902</v>
      </c>
      <c r="J363" s="3" t="str">
        <f>HYPERLINK("https://www.boe.es/gazeta/dias/1822/04/25/pdfs/GMD-1822-117.pdf#page=4","Abrir facsímil")</f>
        <v>Abrir facsímil</v>
      </c>
      <c r="K363" s="3" t="s">
        <v>22</v>
      </c>
    </row>
    <row r="364" spans="1:11" ht="42" customHeight="1">
      <c r="A364" s="2" t="s">
        <v>903</v>
      </c>
      <c r="B364" s="2" t="s">
        <v>903</v>
      </c>
      <c r="C364" s="2" t="s">
        <v>50</v>
      </c>
      <c r="D364" s="2" t="s">
        <v>51</v>
      </c>
      <c r="E364" s="5">
        <v>-28167</v>
      </c>
      <c r="F364" s="3" t="s">
        <v>904</v>
      </c>
      <c r="G364" s="3" t="s">
        <v>57</v>
      </c>
      <c r="H364" s="2" t="s">
        <v>20</v>
      </c>
      <c r="I364" s="2" t="s">
        <v>905</v>
      </c>
      <c r="J364" s="3" t="str">
        <f>HYPERLINK("https://www.boe.es/gazeta/dias/1822/11/17/pdfs/GMD-1822-337.pdf#page=4","Abrir facsímil")</f>
        <v>Abrir facsímil</v>
      </c>
      <c r="K364" s="3" t="s">
        <v>22</v>
      </c>
    </row>
    <row r="365" spans="1:11" ht="42" customHeight="1">
      <c r="A365" s="2" t="s">
        <v>906</v>
      </c>
      <c r="B365" s="2" t="s">
        <v>906</v>
      </c>
      <c r="C365" s="2" t="s">
        <v>42</v>
      </c>
      <c r="D365" s="2" t="s">
        <v>17</v>
      </c>
      <c r="E365" s="5">
        <v>-28188</v>
      </c>
      <c r="F365" s="3" t="s">
        <v>578</v>
      </c>
      <c r="G365" s="3" t="s">
        <v>907</v>
      </c>
      <c r="H365" s="2" t="s">
        <v>20</v>
      </c>
      <c r="I365" s="2" t="s">
        <v>908</v>
      </c>
      <c r="J365" s="3" t="str">
        <f>HYPERLINK("https://www.boe.es/gazeta/dias/1822/10/27/pdfs/GMD-1822-314.pdf#page=7","Abrir facsímil")</f>
        <v>Abrir facsímil</v>
      </c>
      <c r="K365" s="3" t="s">
        <v>22</v>
      </c>
    </row>
    <row r="366" spans="1:11" ht="42" customHeight="1">
      <c r="A366" s="2" t="s">
        <v>906</v>
      </c>
      <c r="B366" s="2" t="s">
        <v>906</v>
      </c>
      <c r="C366" s="2" t="s">
        <v>42</v>
      </c>
      <c r="D366" s="2" t="s">
        <v>17</v>
      </c>
      <c r="E366" s="5">
        <v>-28137</v>
      </c>
      <c r="F366" s="3" t="s">
        <v>312</v>
      </c>
      <c r="G366" s="3" t="s">
        <v>35</v>
      </c>
      <c r="H366" s="2" t="s">
        <v>20</v>
      </c>
      <c r="I366" s="2" t="s">
        <v>909</v>
      </c>
      <c r="J366" s="3" t="str">
        <f>HYPERLINK("https://www.boe.es/gazeta/dias/1822/12/17/pdfs/GMD-1822-367.pdf#page=2","Abrir facsímil")</f>
        <v>Abrir facsímil</v>
      </c>
      <c r="K366" s="3" t="s">
        <v>22</v>
      </c>
    </row>
    <row r="367" spans="1:11" ht="42" customHeight="1">
      <c r="A367" s="2" t="s">
        <v>910</v>
      </c>
      <c r="B367" s="2" t="s">
        <v>910</v>
      </c>
      <c r="C367" s="2" t="s">
        <v>50</v>
      </c>
      <c r="D367" s="2" t="s">
        <v>51</v>
      </c>
      <c r="E367" s="5">
        <v>-28161</v>
      </c>
      <c r="F367" s="3" t="s">
        <v>166</v>
      </c>
      <c r="G367" s="3" t="s">
        <v>35</v>
      </c>
      <c r="H367" s="2" t="s">
        <v>20</v>
      </c>
      <c r="I367" s="2" t="s">
        <v>911</v>
      </c>
      <c r="J367" s="3" t="str">
        <f>HYPERLINK("https://www.boe.es/gazeta/dias/1822/11/23/pdfs/GMD-1822-343.pdf#page=2","Abrir facsímil")</f>
        <v>Abrir facsímil</v>
      </c>
      <c r="K367" s="3" t="s">
        <v>22</v>
      </c>
    </row>
    <row r="368" spans="1:11" ht="42" customHeight="1">
      <c r="A368" s="2" t="s">
        <v>912</v>
      </c>
      <c r="B368" s="2" t="s">
        <v>912</v>
      </c>
      <c r="C368" s="2" t="s">
        <v>42</v>
      </c>
      <c r="D368" s="2" t="s">
        <v>17</v>
      </c>
      <c r="E368" s="5">
        <v>-28353</v>
      </c>
      <c r="F368" s="3" t="s">
        <v>843</v>
      </c>
      <c r="G368" s="3" t="s">
        <v>35</v>
      </c>
      <c r="H368" s="2" t="s">
        <v>20</v>
      </c>
      <c r="I368" s="2" t="s">
        <v>913</v>
      </c>
      <c r="J368" s="3" t="str">
        <f>HYPERLINK("https://www.boe.es/gazeta/dias/1822/05/15/pdfs/GMD-1822-137.pdf#page=2","Abrir facsímil")</f>
        <v>Abrir facsímil</v>
      </c>
      <c r="K368" s="3" t="s">
        <v>22</v>
      </c>
    </row>
    <row r="369" spans="1:11" ht="42" customHeight="1">
      <c r="A369" s="2" t="s">
        <v>912</v>
      </c>
      <c r="B369" s="2" t="s">
        <v>912</v>
      </c>
      <c r="C369" s="2" t="s">
        <v>42</v>
      </c>
      <c r="D369" s="2" t="s">
        <v>17</v>
      </c>
      <c r="E369" s="5">
        <v>-28353</v>
      </c>
      <c r="F369" s="3" t="s">
        <v>843</v>
      </c>
      <c r="G369" s="3" t="s">
        <v>31</v>
      </c>
      <c r="H369" s="2" t="s">
        <v>20</v>
      </c>
      <c r="I369" s="2" t="s">
        <v>914</v>
      </c>
      <c r="J369" s="3" t="str">
        <f>HYPERLINK("https://www.boe.es/gazeta/dias/1822/05/15/pdfs/GMD-1822-137.pdf#page=3","Abrir facsímil")</f>
        <v>Abrir facsímil</v>
      </c>
      <c r="K369" s="3" t="s">
        <v>22</v>
      </c>
    </row>
    <row r="370" spans="1:11" ht="42" customHeight="1">
      <c r="A370" s="2" t="s">
        <v>912</v>
      </c>
      <c r="B370" s="2" t="s">
        <v>912</v>
      </c>
      <c r="C370" s="2" t="s">
        <v>42</v>
      </c>
      <c r="D370" s="2" t="s">
        <v>17</v>
      </c>
      <c r="E370" s="5">
        <v>-28334</v>
      </c>
      <c r="F370" s="3" t="s">
        <v>532</v>
      </c>
      <c r="G370" s="3" t="s">
        <v>31</v>
      </c>
      <c r="H370" s="2" t="s">
        <v>20</v>
      </c>
      <c r="I370" s="2" t="s">
        <v>915</v>
      </c>
      <c r="J370" s="3" t="str">
        <f>HYPERLINK("https://www.boe.es/gazeta/dias/1822/06/03/pdfs/GMD-1822-159.pdf#page=3","Abrir facsímil")</f>
        <v>Abrir facsímil</v>
      </c>
      <c r="K370" s="3" t="s">
        <v>22</v>
      </c>
    </row>
    <row r="371" spans="1:11" ht="42" customHeight="1">
      <c r="A371" s="2" t="s">
        <v>912</v>
      </c>
      <c r="B371" s="2" t="s">
        <v>912</v>
      </c>
      <c r="C371" s="2" t="s">
        <v>50</v>
      </c>
      <c r="D371" s="2" t="s">
        <v>51</v>
      </c>
      <c r="E371" s="5">
        <v>-28323</v>
      </c>
      <c r="F371" s="3" t="s">
        <v>116</v>
      </c>
      <c r="G371" s="3" t="s">
        <v>44</v>
      </c>
      <c r="H371" s="2" t="s">
        <v>20</v>
      </c>
      <c r="I371" s="2" t="s">
        <v>916</v>
      </c>
      <c r="J371" s="3" t="str">
        <f>HYPERLINK("https://www.boe.es/gazeta/dias/1822/06/14/pdfs/GMD-1822-171.pdf#page=1","Abrir facsímil")</f>
        <v>Abrir facsímil</v>
      </c>
      <c r="K371" s="3" t="s">
        <v>22</v>
      </c>
    </row>
    <row r="372" spans="1:11" ht="42" customHeight="1">
      <c r="A372" s="2" t="s">
        <v>912</v>
      </c>
      <c r="B372" s="2" t="s">
        <v>912</v>
      </c>
      <c r="C372" s="2" t="s">
        <v>50</v>
      </c>
      <c r="D372" s="2" t="s">
        <v>51</v>
      </c>
      <c r="E372" s="5">
        <v>-28323</v>
      </c>
      <c r="F372" s="3" t="s">
        <v>116</v>
      </c>
      <c r="G372" s="3" t="s">
        <v>63</v>
      </c>
      <c r="H372" s="2" t="s">
        <v>20</v>
      </c>
      <c r="I372" s="2" t="s">
        <v>917</v>
      </c>
      <c r="J372" s="3" t="str">
        <f>HYPERLINK("https://www.boe.es/gazeta/dias/1822/06/14/pdfs/GMD-1822-171.pdf#page=6","Abrir facsímil")</f>
        <v>Abrir facsímil</v>
      </c>
      <c r="K372" s="3" t="s">
        <v>22</v>
      </c>
    </row>
    <row r="373" spans="1:11" ht="42" customHeight="1">
      <c r="A373" s="2" t="s">
        <v>912</v>
      </c>
      <c r="B373" s="2" t="s">
        <v>912</v>
      </c>
      <c r="C373" s="2" t="s">
        <v>42</v>
      </c>
      <c r="D373" s="2" t="s">
        <v>17</v>
      </c>
      <c r="E373" s="5">
        <v>-28318</v>
      </c>
      <c r="F373" s="3" t="s">
        <v>397</v>
      </c>
      <c r="G373" s="3" t="s">
        <v>35</v>
      </c>
      <c r="H373" s="2" t="s">
        <v>20</v>
      </c>
      <c r="I373" s="2" t="s">
        <v>918</v>
      </c>
      <c r="J373" s="3" t="str">
        <f>HYPERLINK("https://www.boe.es/gazeta/dias/1822/06/19/pdfs/GMD-1822-176.pdf#page=2","Abrir facsímil")</f>
        <v>Abrir facsímil</v>
      </c>
      <c r="K373" s="3" t="s">
        <v>22</v>
      </c>
    </row>
    <row r="374" spans="1:11" ht="42" customHeight="1">
      <c r="A374" s="2" t="s">
        <v>912</v>
      </c>
      <c r="B374" s="2" t="s">
        <v>912</v>
      </c>
      <c r="C374" s="2" t="s">
        <v>50</v>
      </c>
      <c r="D374" s="2" t="s">
        <v>51</v>
      </c>
      <c r="E374" s="5">
        <v>-28313</v>
      </c>
      <c r="F374" s="3" t="s">
        <v>315</v>
      </c>
      <c r="G374" s="3" t="s">
        <v>57</v>
      </c>
      <c r="H374" s="2" t="s">
        <v>20</v>
      </c>
      <c r="I374" s="2" t="s">
        <v>919</v>
      </c>
      <c r="J374" s="3" t="str">
        <f>HYPERLINK("https://www.boe.es/gazeta/dias/1822/06/24/pdfs/GMD-1822-182.pdf#page=4","Abrir facsímil")</f>
        <v>Abrir facsímil</v>
      </c>
      <c r="K374" s="3" t="s">
        <v>22</v>
      </c>
    </row>
    <row r="375" spans="1:11" ht="42" customHeight="1">
      <c r="A375" s="2" t="s">
        <v>912</v>
      </c>
      <c r="B375" s="2" t="s">
        <v>912</v>
      </c>
      <c r="C375" s="2" t="s">
        <v>42</v>
      </c>
      <c r="D375" s="2" t="s">
        <v>17</v>
      </c>
      <c r="E375" s="5">
        <v>-28311</v>
      </c>
      <c r="F375" s="3" t="s">
        <v>736</v>
      </c>
      <c r="G375" s="3" t="s">
        <v>19</v>
      </c>
      <c r="H375" s="2" t="s">
        <v>20</v>
      </c>
      <c r="I375" s="2" t="s">
        <v>920</v>
      </c>
      <c r="J375" s="3" t="str">
        <f>HYPERLINK("https://www.boe.es/gazeta/dias/1822/06/26/pdfs/GMD-1822-184.pdf#page=5","Abrir facsímil")</f>
        <v>Abrir facsímil</v>
      </c>
      <c r="K375" s="3" t="s">
        <v>22</v>
      </c>
    </row>
    <row r="376" spans="1:11" ht="42" customHeight="1">
      <c r="A376" s="2" t="s">
        <v>912</v>
      </c>
      <c r="B376" s="2" t="s">
        <v>912</v>
      </c>
      <c r="C376" s="2" t="s">
        <v>42</v>
      </c>
      <c r="D376" s="2" t="s">
        <v>17</v>
      </c>
      <c r="E376" s="5">
        <v>-28307</v>
      </c>
      <c r="F376" s="3" t="s">
        <v>555</v>
      </c>
      <c r="G376" s="3" t="s">
        <v>63</v>
      </c>
      <c r="H376" s="2" t="s">
        <v>20</v>
      </c>
      <c r="I376" s="2" t="s">
        <v>921</v>
      </c>
      <c r="J376" s="3" t="str">
        <f>HYPERLINK("https://www.boe.es/gazeta/dias/1822/06/30/pdfs/GMD-1822-188.pdf#page=6","Abrir facsímil")</f>
        <v>Abrir facsímil</v>
      </c>
      <c r="K376" s="3" t="s">
        <v>22</v>
      </c>
    </row>
    <row r="377" spans="1:11" ht="42" customHeight="1">
      <c r="A377" s="2" t="s">
        <v>912</v>
      </c>
      <c r="B377" s="2" t="s">
        <v>912</v>
      </c>
      <c r="C377" s="2" t="s">
        <v>50</v>
      </c>
      <c r="D377" s="2" t="s">
        <v>51</v>
      </c>
      <c r="E377" s="5">
        <v>-28202</v>
      </c>
      <c r="F377" s="3" t="s">
        <v>922</v>
      </c>
      <c r="G377" s="3" t="s">
        <v>923</v>
      </c>
      <c r="H377" s="2" t="s">
        <v>20</v>
      </c>
      <c r="I377" s="2" t="s">
        <v>924</v>
      </c>
      <c r="J377" s="3" t="str">
        <f>HYPERLINK("https://www.boe.es/gazeta/dias/1822/10/13/pdfs/GMD-1822-300.pdf#page=2","Abrir facsímil")</f>
        <v>Abrir facsímil</v>
      </c>
      <c r="K377" s="3" t="s">
        <v>22</v>
      </c>
    </row>
    <row r="378" spans="1:11" ht="42" customHeight="1">
      <c r="A378" s="2" t="s">
        <v>912</v>
      </c>
      <c r="B378" s="2" t="s">
        <v>912</v>
      </c>
      <c r="C378" s="2" t="s">
        <v>50</v>
      </c>
      <c r="D378" s="2" t="s">
        <v>51</v>
      </c>
      <c r="E378" s="5">
        <v>-28201</v>
      </c>
      <c r="F378" s="3" t="s">
        <v>163</v>
      </c>
      <c r="G378" s="3" t="s">
        <v>57</v>
      </c>
      <c r="H378" s="2" t="s">
        <v>20</v>
      </c>
      <c r="I378" s="2" t="s">
        <v>925</v>
      </c>
      <c r="J378" s="3" t="str">
        <f>HYPERLINK("https://www.boe.es/gazeta/dias/1822/10/14/pdfs/GMD-1822-301.pdf#page=4","Abrir facsímil")</f>
        <v>Abrir facsímil</v>
      </c>
      <c r="K378" s="3" t="s">
        <v>22</v>
      </c>
    </row>
    <row r="379" spans="1:11" ht="42" customHeight="1">
      <c r="A379" s="2" t="s">
        <v>912</v>
      </c>
      <c r="B379" s="2" t="s">
        <v>912</v>
      </c>
      <c r="C379" s="2" t="s">
        <v>28</v>
      </c>
      <c r="D379" s="2" t="s">
        <v>29</v>
      </c>
      <c r="E379" s="5">
        <v>-28194</v>
      </c>
      <c r="F379" s="3" t="s">
        <v>18</v>
      </c>
      <c r="G379" s="3" t="s">
        <v>57</v>
      </c>
      <c r="H379" s="2" t="s">
        <v>20</v>
      </c>
      <c r="I379" s="2" t="s">
        <v>926</v>
      </c>
      <c r="J379" s="3" t="str">
        <f>HYPERLINK("https://www.boe.es/gazeta/dias/1822/10/21/pdfs/GMD-1822-308.pdf#page=4","Abrir facsímil")</f>
        <v>Abrir facsímil</v>
      </c>
      <c r="K379" s="3" t="s">
        <v>22</v>
      </c>
    </row>
    <row r="380" spans="1:11" ht="42" customHeight="1">
      <c r="A380" s="2" t="s">
        <v>912</v>
      </c>
      <c r="B380" s="2" t="s">
        <v>912</v>
      </c>
      <c r="C380" s="2" t="s">
        <v>50</v>
      </c>
      <c r="D380" s="2" t="s">
        <v>51</v>
      </c>
      <c r="E380" s="5">
        <v>-28194</v>
      </c>
      <c r="F380" s="3" t="s">
        <v>18</v>
      </c>
      <c r="G380" s="3" t="s">
        <v>63</v>
      </c>
      <c r="H380" s="2" t="s">
        <v>20</v>
      </c>
      <c r="I380" s="2" t="s">
        <v>927</v>
      </c>
      <c r="J380" s="3" t="str">
        <f>HYPERLINK("https://www.boe.es/gazeta/dias/1822/10/21/pdfs/GMD-1822-308.pdf#page=6","Abrir facsímil")</f>
        <v>Abrir facsímil</v>
      </c>
      <c r="K380" s="3" t="s">
        <v>22</v>
      </c>
    </row>
    <row r="381" spans="1:11" ht="42" customHeight="1">
      <c r="A381" s="2" t="s">
        <v>912</v>
      </c>
      <c r="B381" s="2" t="s">
        <v>912</v>
      </c>
      <c r="C381" s="2" t="s">
        <v>71</v>
      </c>
      <c r="D381" s="2" t="s">
        <v>17</v>
      </c>
      <c r="E381" s="5">
        <v>-28189</v>
      </c>
      <c r="F381" s="3" t="s">
        <v>645</v>
      </c>
      <c r="G381" s="3" t="s">
        <v>35</v>
      </c>
      <c r="H381" s="2" t="s">
        <v>20</v>
      </c>
      <c r="I381" s="2" t="s">
        <v>928</v>
      </c>
      <c r="J381" s="3" t="str">
        <f>HYPERLINK("https://www.boe.es/gazeta/dias/1822/10/26/pdfs/GMD-1822-313.pdf#page=2","Abrir facsímil")</f>
        <v>Abrir facsímil</v>
      </c>
      <c r="K381" s="3" t="s">
        <v>22</v>
      </c>
    </row>
    <row r="382" spans="1:11" ht="42" customHeight="1">
      <c r="A382" s="2" t="s">
        <v>912</v>
      </c>
      <c r="B382" s="2" t="s">
        <v>912</v>
      </c>
      <c r="C382" s="2" t="s">
        <v>50</v>
      </c>
      <c r="D382" s="2" t="s">
        <v>51</v>
      </c>
      <c r="E382" s="5">
        <v>-28187</v>
      </c>
      <c r="F382" s="3" t="s">
        <v>929</v>
      </c>
      <c r="G382" s="3" t="s">
        <v>35</v>
      </c>
      <c r="H382" s="2" t="s">
        <v>20</v>
      </c>
      <c r="I382" s="2" t="s">
        <v>930</v>
      </c>
      <c r="J382" s="3" t="str">
        <f>HYPERLINK("https://www.boe.es/gazeta/dias/1822/10/28/pdfs/GMD-1822-315.pdf#page=2","Abrir facsímil")</f>
        <v>Abrir facsímil</v>
      </c>
      <c r="K382" s="3" t="s">
        <v>22</v>
      </c>
    </row>
    <row r="383" spans="1:11" ht="42" customHeight="1">
      <c r="A383" s="2" t="s">
        <v>912</v>
      </c>
      <c r="B383" s="2" t="s">
        <v>912</v>
      </c>
      <c r="C383" s="2" t="s">
        <v>42</v>
      </c>
      <c r="D383" s="2" t="s">
        <v>17</v>
      </c>
      <c r="E383" s="5">
        <v>-28186</v>
      </c>
      <c r="F383" s="3" t="s">
        <v>581</v>
      </c>
      <c r="G383" s="3" t="s">
        <v>31</v>
      </c>
      <c r="H383" s="2" t="s">
        <v>20</v>
      </c>
      <c r="I383" s="2" t="s">
        <v>931</v>
      </c>
      <c r="J383" s="3" t="str">
        <f>HYPERLINK("https://www.boe.es/gazeta/dias/1822/10/29/pdfs/GMD-1822-316.pdf#page=3","Abrir facsímil")</f>
        <v>Abrir facsímil</v>
      </c>
      <c r="K383" s="3" t="s">
        <v>22</v>
      </c>
    </row>
    <row r="384" spans="1:11" ht="42" customHeight="1">
      <c r="A384" s="2" t="s">
        <v>912</v>
      </c>
      <c r="B384" s="2" t="s">
        <v>912</v>
      </c>
      <c r="C384" s="2" t="s">
        <v>50</v>
      </c>
      <c r="D384" s="2" t="s">
        <v>51</v>
      </c>
      <c r="E384" s="5">
        <v>-28186</v>
      </c>
      <c r="F384" s="3" t="s">
        <v>581</v>
      </c>
      <c r="G384" s="3" t="s">
        <v>57</v>
      </c>
      <c r="H384" s="2" t="s">
        <v>20</v>
      </c>
      <c r="I384" s="2" t="s">
        <v>932</v>
      </c>
      <c r="J384" s="3" t="str">
        <f>HYPERLINK("https://www.boe.es/gazeta/dias/1822/10/29/pdfs/GMD-1822-316.pdf#page=4","Abrir facsímil")</f>
        <v>Abrir facsímil</v>
      </c>
      <c r="K384" s="3" t="s">
        <v>22</v>
      </c>
    </row>
    <row r="385" spans="1:11" ht="42" customHeight="1">
      <c r="A385" s="2" t="s">
        <v>912</v>
      </c>
      <c r="B385" s="2" t="s">
        <v>912</v>
      </c>
      <c r="C385" s="2" t="s">
        <v>50</v>
      </c>
      <c r="D385" s="2" t="s">
        <v>51</v>
      </c>
      <c r="E385" s="5">
        <v>-28185</v>
      </c>
      <c r="F385" s="3" t="s">
        <v>933</v>
      </c>
      <c r="G385" s="3" t="s">
        <v>31</v>
      </c>
      <c r="H385" s="2" t="s">
        <v>20</v>
      </c>
      <c r="I385" s="2" t="s">
        <v>934</v>
      </c>
      <c r="J385" s="3" t="str">
        <f>HYPERLINK("https://www.boe.es/gazeta/dias/1822/10/30/pdfs/GMD-1822-317.pdf#page=3","Abrir facsímil")</f>
        <v>Abrir facsímil</v>
      </c>
      <c r="K385" s="3" t="s">
        <v>22</v>
      </c>
    </row>
    <row r="386" spans="1:11" ht="42" customHeight="1">
      <c r="A386" s="2" t="s">
        <v>912</v>
      </c>
      <c r="B386" s="2" t="s">
        <v>912</v>
      </c>
      <c r="C386" s="2" t="s">
        <v>16</v>
      </c>
      <c r="D386" s="2" t="s">
        <v>17</v>
      </c>
      <c r="E386" s="5">
        <v>-28179</v>
      </c>
      <c r="F386" s="3" t="s">
        <v>935</v>
      </c>
      <c r="G386" s="3" t="s">
        <v>35</v>
      </c>
      <c r="H386" s="2" t="s">
        <v>20</v>
      </c>
      <c r="I386" s="2" t="s">
        <v>936</v>
      </c>
      <c r="J386" s="3" t="str">
        <f>HYPERLINK("https://www.boe.es/gazeta/dias/1822/11/05/pdfs/GMD-1822-325.pdf#page=2","Abrir facsímil")</f>
        <v>Abrir facsímil</v>
      </c>
      <c r="K386" s="3" t="s">
        <v>22</v>
      </c>
    </row>
    <row r="387" spans="1:11" ht="42" customHeight="1">
      <c r="A387" s="2" t="s">
        <v>912</v>
      </c>
      <c r="B387" s="2" t="s">
        <v>912</v>
      </c>
      <c r="C387" s="2" t="s">
        <v>16</v>
      </c>
      <c r="D387" s="2" t="s">
        <v>17</v>
      </c>
      <c r="E387" s="5">
        <v>-28178</v>
      </c>
      <c r="F387" s="3" t="s">
        <v>318</v>
      </c>
      <c r="G387" s="3" t="s">
        <v>35</v>
      </c>
      <c r="H387" s="2" t="s">
        <v>20</v>
      </c>
      <c r="I387" s="2" t="s">
        <v>937</v>
      </c>
      <c r="J387" s="3" t="str">
        <f>HYPERLINK("https://www.boe.es/gazeta/dias/1822/11/06/pdfs/GMD-1822-326.pdf#page=2","Abrir facsímil")</f>
        <v>Abrir facsímil</v>
      </c>
      <c r="K387" s="3" t="s">
        <v>22</v>
      </c>
    </row>
    <row r="388" spans="1:11" ht="42" customHeight="1">
      <c r="A388" s="2" t="s">
        <v>912</v>
      </c>
      <c r="B388" s="2" t="s">
        <v>912</v>
      </c>
      <c r="C388" s="2" t="s">
        <v>71</v>
      </c>
      <c r="D388" s="2" t="s">
        <v>17</v>
      </c>
      <c r="E388" s="5">
        <v>-28178</v>
      </c>
      <c r="F388" s="3" t="s">
        <v>318</v>
      </c>
      <c r="G388" s="3" t="s">
        <v>31</v>
      </c>
      <c r="H388" s="2" t="s">
        <v>20</v>
      </c>
      <c r="I388" s="2" t="s">
        <v>938</v>
      </c>
      <c r="J388" s="3" t="str">
        <f>HYPERLINK("https://www.boe.es/gazeta/dias/1822/11/06/pdfs/GMD-1822-326.pdf#page=3","Abrir facsímil")</f>
        <v>Abrir facsímil</v>
      </c>
      <c r="K388" s="3" t="s">
        <v>22</v>
      </c>
    </row>
    <row r="389" spans="1:11" ht="42" customHeight="1">
      <c r="A389" s="2" t="s">
        <v>912</v>
      </c>
      <c r="B389" s="2" t="s">
        <v>912</v>
      </c>
      <c r="C389" s="2" t="s">
        <v>16</v>
      </c>
      <c r="D389" s="2" t="s">
        <v>17</v>
      </c>
      <c r="E389" s="5">
        <v>-28176</v>
      </c>
      <c r="F389" s="3" t="s">
        <v>780</v>
      </c>
      <c r="G389" s="3" t="s">
        <v>44</v>
      </c>
      <c r="H389" s="2" t="s">
        <v>20</v>
      </c>
      <c r="I389" s="2" t="s">
        <v>939</v>
      </c>
      <c r="J389" s="3" t="str">
        <f>HYPERLINK("https://www.boe.es/gazeta/dias/1822/11/08/pdfs/GMD-1822-328.pdf#page=1","Abrir facsímil")</f>
        <v>Abrir facsímil</v>
      </c>
      <c r="K389" s="3" t="s">
        <v>22</v>
      </c>
    </row>
    <row r="390" spans="1:11" ht="42" customHeight="1">
      <c r="A390" s="2" t="s">
        <v>912</v>
      </c>
      <c r="B390" s="2" t="s">
        <v>912</v>
      </c>
      <c r="C390" s="2" t="s">
        <v>42</v>
      </c>
      <c r="D390" s="2" t="s">
        <v>17</v>
      </c>
      <c r="E390" s="5">
        <v>-28176</v>
      </c>
      <c r="F390" s="3" t="s">
        <v>780</v>
      </c>
      <c r="G390" s="3" t="s">
        <v>35</v>
      </c>
      <c r="H390" s="2" t="s">
        <v>20</v>
      </c>
      <c r="I390" s="2" t="s">
        <v>940</v>
      </c>
      <c r="J390" s="3" t="str">
        <f>HYPERLINK("https://www.boe.es/gazeta/dias/1822/11/08/pdfs/GMD-1822-328.pdf#page=2","Abrir facsímil")</f>
        <v>Abrir facsímil</v>
      </c>
      <c r="K390" s="3" t="s">
        <v>22</v>
      </c>
    </row>
    <row r="391" spans="1:11" ht="42" customHeight="1">
      <c r="A391" s="2" t="s">
        <v>912</v>
      </c>
      <c r="B391" s="2" t="s">
        <v>912</v>
      </c>
      <c r="C391" s="2" t="s">
        <v>28</v>
      </c>
      <c r="D391" s="2" t="s">
        <v>29</v>
      </c>
      <c r="E391" s="5">
        <v>-28174</v>
      </c>
      <c r="F391" s="3" t="s">
        <v>881</v>
      </c>
      <c r="G391" s="3" t="s">
        <v>19</v>
      </c>
      <c r="H391" s="2" t="s">
        <v>20</v>
      </c>
      <c r="I391" s="2" t="s">
        <v>941</v>
      </c>
      <c r="J391" s="3" t="str">
        <f>HYPERLINK("https://www.boe.es/gazeta/dias/1822/11/10/pdfs/GMD-1822-330.pdf#page=5","Abrir facsímil")</f>
        <v>Abrir facsímil</v>
      </c>
      <c r="K391" s="3" t="s">
        <v>22</v>
      </c>
    </row>
    <row r="392" spans="1:11" ht="42" customHeight="1">
      <c r="A392" s="2" t="s">
        <v>912</v>
      </c>
      <c r="B392" s="2" t="s">
        <v>912</v>
      </c>
      <c r="C392" s="2" t="s">
        <v>71</v>
      </c>
      <c r="D392" s="2" t="s">
        <v>17</v>
      </c>
      <c r="E392" s="5">
        <v>-28166</v>
      </c>
      <c r="F392" s="3" t="s">
        <v>942</v>
      </c>
      <c r="G392" s="3" t="s">
        <v>57</v>
      </c>
      <c r="H392" s="2" t="s">
        <v>20</v>
      </c>
      <c r="I392" s="2" t="s">
        <v>943</v>
      </c>
      <c r="J392" s="3" t="str">
        <f>HYPERLINK("https://www.boe.es/gazeta/dias/1822/11/18/pdfs/GMD-1822-338.pdf#page=4","Abrir facsímil")</f>
        <v>Abrir facsímil</v>
      </c>
      <c r="K392" s="3" t="s">
        <v>22</v>
      </c>
    </row>
    <row r="393" spans="1:11" ht="42" customHeight="1">
      <c r="A393" s="2" t="s">
        <v>912</v>
      </c>
      <c r="B393" s="2" t="s">
        <v>912</v>
      </c>
      <c r="C393" s="2" t="s">
        <v>42</v>
      </c>
      <c r="D393" s="2" t="s">
        <v>17</v>
      </c>
      <c r="E393" s="5">
        <v>-28165</v>
      </c>
      <c r="F393" s="3" t="s">
        <v>846</v>
      </c>
      <c r="G393" s="3" t="s">
        <v>35</v>
      </c>
      <c r="H393" s="2" t="s">
        <v>20</v>
      </c>
      <c r="I393" s="2" t="s">
        <v>944</v>
      </c>
      <c r="J393" s="3" t="str">
        <f>HYPERLINK("https://www.boe.es/gazeta/dias/1822/11/19/pdfs/GMD-1822-339.pdf#page=2","Abrir facsímil")</f>
        <v>Abrir facsímil</v>
      </c>
      <c r="K393" s="3" t="s">
        <v>22</v>
      </c>
    </row>
    <row r="394" spans="1:11" ht="42" customHeight="1">
      <c r="A394" s="2" t="s">
        <v>912</v>
      </c>
      <c r="B394" s="2" t="s">
        <v>912</v>
      </c>
      <c r="C394" s="2" t="s">
        <v>28</v>
      </c>
      <c r="D394" s="2" t="s">
        <v>29</v>
      </c>
      <c r="E394" s="5">
        <v>-28155</v>
      </c>
      <c r="F394" s="3" t="s">
        <v>833</v>
      </c>
      <c r="G394" s="3" t="s">
        <v>44</v>
      </c>
      <c r="H394" s="2" t="s">
        <v>20</v>
      </c>
      <c r="I394" s="2" t="s">
        <v>945</v>
      </c>
      <c r="J394" s="3" t="str">
        <f>HYPERLINK("https://www.boe.es/gazeta/dias/1822/11/29/pdfs/GMD-1822-349.pdf#page=1","Abrir facsímil")</f>
        <v>Abrir facsímil</v>
      </c>
      <c r="K394" s="3" t="s">
        <v>22</v>
      </c>
    </row>
    <row r="395" spans="1:11" ht="42" customHeight="1">
      <c r="A395" s="2" t="s">
        <v>912</v>
      </c>
      <c r="B395" s="2" t="s">
        <v>912</v>
      </c>
      <c r="C395" s="2" t="s">
        <v>24</v>
      </c>
      <c r="D395" s="2" t="s">
        <v>17</v>
      </c>
      <c r="E395" s="5">
        <v>-28153</v>
      </c>
      <c r="F395" s="3" t="s">
        <v>946</v>
      </c>
      <c r="G395" s="3" t="s">
        <v>35</v>
      </c>
      <c r="H395" s="2" t="s">
        <v>20</v>
      </c>
      <c r="I395" s="2" t="s">
        <v>947</v>
      </c>
      <c r="J395" s="3" t="str">
        <f>HYPERLINK("https://www.boe.es/gazeta/dias/1822/12/01/pdfs/GMD-1822-351.pdf#page=2","Abrir facsímil")</f>
        <v>Abrir facsímil</v>
      </c>
      <c r="K395" s="3" t="s">
        <v>22</v>
      </c>
    </row>
    <row r="396" spans="1:11" ht="42" customHeight="1">
      <c r="A396" s="2" t="s">
        <v>912</v>
      </c>
      <c r="B396" s="2" t="s">
        <v>912</v>
      </c>
      <c r="C396" s="2" t="s">
        <v>50</v>
      </c>
      <c r="D396" s="2" t="s">
        <v>51</v>
      </c>
      <c r="E396" s="5">
        <v>-28136</v>
      </c>
      <c r="F396" s="3" t="s">
        <v>948</v>
      </c>
      <c r="G396" s="3" t="s">
        <v>57</v>
      </c>
      <c r="H396" s="2" t="s">
        <v>20</v>
      </c>
      <c r="I396" s="2" t="s">
        <v>949</v>
      </c>
      <c r="J396" s="3" t="str">
        <f>HYPERLINK("https://www.boe.es/gazeta/dias/1822/12/18/pdfs/GMD-1822-368.pdf#page=4","Abrir facsímil")</f>
        <v>Abrir facsímil</v>
      </c>
      <c r="K396" s="3" t="s">
        <v>22</v>
      </c>
    </row>
    <row r="397" spans="1:11" ht="42" customHeight="1">
      <c r="A397" s="2" t="s">
        <v>912</v>
      </c>
      <c r="B397" s="2" t="s">
        <v>912</v>
      </c>
      <c r="C397" s="2" t="s">
        <v>16</v>
      </c>
      <c r="D397" s="2" t="s">
        <v>17</v>
      </c>
      <c r="E397" s="5">
        <v>-28133</v>
      </c>
      <c r="F397" s="3" t="s">
        <v>595</v>
      </c>
      <c r="G397" s="3" t="s">
        <v>596</v>
      </c>
      <c r="H397" s="2" t="s">
        <v>20</v>
      </c>
      <c r="I397" s="2" t="s">
        <v>950</v>
      </c>
      <c r="J397" s="3" t="str">
        <f>HYPERLINK("https://www.boe.es/gazeta/dias/1822/12/21/pdfs/GMD-1822-371.pdf#page=2","Abrir facsímil")</f>
        <v>Abrir facsímil</v>
      </c>
      <c r="K397" s="3" t="s">
        <v>22</v>
      </c>
    </row>
    <row r="398" spans="1:11" ht="42" customHeight="1">
      <c r="A398" s="2" t="s">
        <v>912</v>
      </c>
      <c r="B398" s="2" t="s">
        <v>912</v>
      </c>
      <c r="C398" s="2" t="s">
        <v>28</v>
      </c>
      <c r="D398" s="2" t="s">
        <v>29</v>
      </c>
      <c r="E398" s="5">
        <v>-28129</v>
      </c>
      <c r="F398" s="3" t="s">
        <v>599</v>
      </c>
      <c r="G398" s="3" t="s">
        <v>35</v>
      </c>
      <c r="H398" s="2" t="s">
        <v>20</v>
      </c>
      <c r="I398" s="2" t="s">
        <v>951</v>
      </c>
      <c r="J398" s="3" t="str">
        <f>HYPERLINK("https://www.boe.es/gazeta/dias/1822/12/25/pdfs/GMD-1822-375.pdf#page=2","Abrir facsímil")</f>
        <v>Abrir facsímil</v>
      </c>
      <c r="K398" s="3" t="s">
        <v>22</v>
      </c>
    </row>
    <row r="399" spans="1:11" ht="42" customHeight="1">
      <c r="A399" s="2" t="s">
        <v>912</v>
      </c>
      <c r="B399" s="2" t="s">
        <v>912</v>
      </c>
      <c r="C399" s="2" t="s">
        <v>71</v>
      </c>
      <c r="D399" s="2" t="s">
        <v>17</v>
      </c>
      <c r="E399" s="5">
        <v>-28126</v>
      </c>
      <c r="F399" s="3" t="s">
        <v>952</v>
      </c>
      <c r="G399" s="3" t="s">
        <v>31</v>
      </c>
      <c r="H399" s="2" t="s">
        <v>20</v>
      </c>
      <c r="I399" s="2" t="s">
        <v>953</v>
      </c>
      <c r="J399" s="3" t="str">
        <f>HYPERLINK("https://www.boe.es/gazeta/dias/1822/12/28/pdfs/GMD-1822-378.pdf#page=3","Abrir facsímil")</f>
        <v>Abrir facsímil</v>
      </c>
      <c r="K399" s="3" t="s">
        <v>22</v>
      </c>
    </row>
    <row r="400" spans="1:11" ht="42" customHeight="1">
      <c r="A400" s="2" t="s">
        <v>912</v>
      </c>
      <c r="B400" s="2" t="s">
        <v>912</v>
      </c>
      <c r="C400" s="2" t="s">
        <v>71</v>
      </c>
      <c r="D400" s="2" t="s">
        <v>17</v>
      </c>
      <c r="E400" s="5">
        <v>-28125</v>
      </c>
      <c r="F400" s="3" t="s">
        <v>322</v>
      </c>
      <c r="G400" s="3" t="s">
        <v>57</v>
      </c>
      <c r="H400" s="2" t="s">
        <v>20</v>
      </c>
      <c r="I400" s="2" t="s">
        <v>954</v>
      </c>
      <c r="J400" s="3" t="str">
        <f>HYPERLINK("https://www.boe.es/gazeta/dias/1822/12/29/pdfs/GMD-1822-379.pdf#page=4","Abrir facsímil")</f>
        <v>Abrir facsímil</v>
      </c>
      <c r="K400" s="3" t="s">
        <v>22</v>
      </c>
    </row>
    <row r="401" spans="1:11" ht="42" customHeight="1">
      <c r="A401" s="2" t="s">
        <v>955</v>
      </c>
      <c r="B401" s="2" t="s">
        <v>956</v>
      </c>
      <c r="C401" s="2" t="s">
        <v>28</v>
      </c>
      <c r="D401" s="2" t="s">
        <v>29</v>
      </c>
      <c r="E401" s="5">
        <v>-28355</v>
      </c>
      <c r="F401" s="3" t="s">
        <v>692</v>
      </c>
      <c r="G401" s="3" t="s">
        <v>57</v>
      </c>
      <c r="H401" s="2" t="s">
        <v>20</v>
      </c>
      <c r="I401" s="2" t="s">
        <v>957</v>
      </c>
      <c r="J401" s="3" t="str">
        <f>HYPERLINK("https://www.boe.es/gazeta/dias/1822/05/13/pdfs/GMD-1822-135.pdf#page=4","Abrir facsímil")</f>
        <v>Abrir facsímil</v>
      </c>
      <c r="K401" s="3" t="s">
        <v>22</v>
      </c>
    </row>
    <row r="402" spans="1:11" ht="42" customHeight="1">
      <c r="A402" s="2" t="s">
        <v>958</v>
      </c>
      <c r="B402" s="2" t="s">
        <v>959</v>
      </c>
      <c r="C402" s="2" t="s">
        <v>28</v>
      </c>
      <c r="D402" s="2" t="s">
        <v>29</v>
      </c>
      <c r="E402" s="5">
        <v>-28124</v>
      </c>
      <c r="F402" s="3" t="s">
        <v>301</v>
      </c>
      <c r="G402" s="3" t="s">
        <v>63</v>
      </c>
      <c r="H402" s="2" t="s">
        <v>20</v>
      </c>
      <c r="I402" s="2" t="s">
        <v>960</v>
      </c>
      <c r="J402" s="3" t="str">
        <f>HYPERLINK("https://www.boe.es/gazeta/dias/1822/12/30/pdfs/GMD-1822-380.pdf#page=6","Abrir facsímil")</f>
        <v>Abrir facsímil</v>
      </c>
      <c r="K402" s="3" t="s">
        <v>22</v>
      </c>
    </row>
    <row r="403" spans="1:11" ht="42" customHeight="1">
      <c r="A403" s="2" t="s">
        <v>961</v>
      </c>
      <c r="B403" s="2" t="s">
        <v>962</v>
      </c>
      <c r="C403" s="2" t="s">
        <v>28</v>
      </c>
      <c r="D403" s="2" t="s">
        <v>29</v>
      </c>
      <c r="E403" s="5">
        <v>-28438</v>
      </c>
      <c r="F403" s="3" t="s">
        <v>963</v>
      </c>
      <c r="G403" s="3" t="s">
        <v>57</v>
      </c>
      <c r="H403" s="2" t="s">
        <v>20</v>
      </c>
      <c r="I403" s="2" t="s">
        <v>964</v>
      </c>
      <c r="J403" s="3" t="str">
        <f>HYPERLINK("https://www.boe.es/gazeta/dias/1822/02/19/pdfs/GMD-1822-51.pdf#page=4","Abrir facsímil")</f>
        <v>Abrir facsímil</v>
      </c>
      <c r="K403" s="3" t="s">
        <v>22</v>
      </c>
    </row>
    <row r="404" spans="1:11" ht="42" customHeight="1">
      <c r="A404" s="2" t="s">
        <v>965</v>
      </c>
      <c r="B404" s="2" t="s">
        <v>965</v>
      </c>
      <c r="C404" s="2" t="s">
        <v>50</v>
      </c>
      <c r="D404" s="2" t="s">
        <v>51</v>
      </c>
      <c r="E404" s="5">
        <v>-28410</v>
      </c>
      <c r="F404" s="3" t="s">
        <v>966</v>
      </c>
      <c r="G404" s="3" t="s">
        <v>44</v>
      </c>
      <c r="H404" s="2" t="s">
        <v>20</v>
      </c>
      <c r="I404" s="2" t="s">
        <v>967</v>
      </c>
      <c r="J404" s="3" t="str">
        <f>HYPERLINK("https://www.boe.es/gazeta/dias/1822/03/19/pdfs/GMD-1822-80.pdf#page=1","Abrir facsímil")</f>
        <v>Abrir facsímil</v>
      </c>
      <c r="K404" s="3" t="s">
        <v>22</v>
      </c>
    </row>
    <row r="405" spans="1:11" ht="42" customHeight="1">
      <c r="A405" s="2" t="s">
        <v>968</v>
      </c>
      <c r="B405" s="2" t="s">
        <v>969</v>
      </c>
      <c r="C405" s="2" t="s">
        <v>50</v>
      </c>
      <c r="D405" s="2" t="s">
        <v>51</v>
      </c>
      <c r="E405" s="5">
        <v>-28288</v>
      </c>
      <c r="F405" s="3" t="s">
        <v>970</v>
      </c>
      <c r="G405" s="3" t="s">
        <v>57</v>
      </c>
      <c r="H405" s="2" t="s">
        <v>20</v>
      </c>
      <c r="I405" s="2" t="s">
        <v>971</v>
      </c>
      <c r="J405" s="3" t="str">
        <f>HYPERLINK("https://www.boe.es/gazeta/dias/1822/07/19/pdfs/GMD-1822-211.pdf#page=4","Abrir facsímil")</f>
        <v>Abrir facsímil</v>
      </c>
      <c r="K405" s="3" t="s">
        <v>22</v>
      </c>
    </row>
    <row r="406" spans="1:11" ht="42" customHeight="1">
      <c r="A406" s="2" t="s">
        <v>972</v>
      </c>
      <c r="B406" s="2" t="s">
        <v>972</v>
      </c>
      <c r="C406" s="2" t="s">
        <v>50</v>
      </c>
      <c r="D406" s="2" t="s">
        <v>51</v>
      </c>
      <c r="E406" s="5">
        <v>-28382</v>
      </c>
      <c r="F406" s="3" t="s">
        <v>973</v>
      </c>
      <c r="G406" s="3" t="s">
        <v>44</v>
      </c>
      <c r="H406" s="2" t="s">
        <v>20</v>
      </c>
      <c r="I406" s="2" t="s">
        <v>974</v>
      </c>
      <c r="J406" s="3" t="str">
        <f>HYPERLINK("https://www.boe.es/gazeta/dias/1822/04/16/pdfs/GMD-1822-108.pdf#page=1","Abrir facsímil")</f>
        <v>Abrir facsímil</v>
      </c>
      <c r="K406" s="3" t="s">
        <v>22</v>
      </c>
    </row>
    <row r="407" spans="1:11" ht="42" customHeight="1">
      <c r="A407" s="2" t="s">
        <v>975</v>
      </c>
      <c r="B407" s="2" t="s">
        <v>975</v>
      </c>
      <c r="C407" s="2" t="s">
        <v>50</v>
      </c>
      <c r="D407" s="2" t="s">
        <v>51</v>
      </c>
      <c r="E407" s="5">
        <v>-28186</v>
      </c>
      <c r="F407" s="3" t="s">
        <v>581</v>
      </c>
      <c r="G407" s="3" t="s">
        <v>31</v>
      </c>
      <c r="H407" s="2" t="s">
        <v>20</v>
      </c>
      <c r="I407" s="2" t="s">
        <v>976</v>
      </c>
      <c r="J407" s="3" t="str">
        <f>HYPERLINK("https://www.boe.es/gazeta/dias/1822/10/29/pdfs/GMD-1822-316.pdf#page=3","Abrir facsímil")</f>
        <v>Abrir facsímil</v>
      </c>
      <c r="K407" s="3" t="s">
        <v>22</v>
      </c>
    </row>
    <row r="408" spans="1:11" ht="42" customHeight="1">
      <c r="A408" s="2" t="s">
        <v>977</v>
      </c>
      <c r="B408" s="2" t="s">
        <v>977</v>
      </c>
      <c r="C408" s="2" t="s">
        <v>50</v>
      </c>
      <c r="D408" s="2" t="s">
        <v>51</v>
      </c>
      <c r="E408" s="5">
        <v>-28146</v>
      </c>
      <c r="F408" s="3" t="s">
        <v>180</v>
      </c>
      <c r="G408" s="3" t="s">
        <v>57</v>
      </c>
      <c r="H408" s="2" t="s">
        <v>20</v>
      </c>
      <c r="I408" s="2" t="s">
        <v>978</v>
      </c>
      <c r="J408" s="3" t="str">
        <f>HYPERLINK("https://www.boe.es/gazeta/dias/1822/12/08/pdfs/GMD-1822-358.pdf#page=4","Abrir facsímil")</f>
        <v>Abrir facsímil</v>
      </c>
      <c r="K408" s="3" t="s">
        <v>22</v>
      </c>
    </row>
    <row r="409" spans="1:11" ht="42" customHeight="1">
      <c r="A409" s="2" t="s">
        <v>979</v>
      </c>
      <c r="B409" s="2" t="s">
        <v>980</v>
      </c>
      <c r="C409" s="2" t="s">
        <v>71</v>
      </c>
      <c r="D409" s="2" t="s">
        <v>17</v>
      </c>
      <c r="E409" s="5">
        <v>-28198</v>
      </c>
      <c r="F409" s="3" t="s">
        <v>981</v>
      </c>
      <c r="G409" s="3" t="s">
        <v>31</v>
      </c>
      <c r="H409" s="2" t="s">
        <v>20</v>
      </c>
      <c r="I409" s="2" t="s">
        <v>982</v>
      </c>
      <c r="J409" s="3" t="str">
        <f>HYPERLINK("https://www.boe.es/gazeta/dias/1822/10/17/pdfs/GMD-1822-304.pdf#page=3","Abrir facsímil")</f>
        <v>Abrir facsímil</v>
      </c>
      <c r="K409" s="3" t="s">
        <v>22</v>
      </c>
    </row>
    <row r="410" spans="1:11" ht="42" customHeight="1">
      <c r="A410" s="2" t="s">
        <v>983</v>
      </c>
      <c r="B410" s="2" t="s">
        <v>984</v>
      </c>
      <c r="C410" s="2" t="s">
        <v>42</v>
      </c>
      <c r="D410" s="2" t="s">
        <v>17</v>
      </c>
      <c r="E410" s="5">
        <v>-28151</v>
      </c>
      <c r="F410" s="3" t="s">
        <v>985</v>
      </c>
      <c r="G410" s="3" t="s">
        <v>44</v>
      </c>
      <c r="H410" s="2" t="s">
        <v>20</v>
      </c>
      <c r="I410" s="2" t="s">
        <v>986</v>
      </c>
      <c r="J410" s="3" t="str">
        <f>HYPERLINK("https://www.boe.es/gazeta/dias/1822/12/03/pdfs/GMD-1822-353.pdf#page=1","Abrir facsímil")</f>
        <v>Abrir facsímil</v>
      </c>
      <c r="K410" s="3" t="s">
        <v>22</v>
      </c>
    </row>
    <row r="411" spans="1:11" ht="42" customHeight="1">
      <c r="A411" s="2" t="s">
        <v>987</v>
      </c>
      <c r="B411" s="2" t="s">
        <v>987</v>
      </c>
      <c r="C411" s="2" t="s">
        <v>50</v>
      </c>
      <c r="D411" s="2" t="s">
        <v>51</v>
      </c>
      <c r="E411" s="5">
        <v>-28346</v>
      </c>
      <c r="F411" s="3" t="s">
        <v>191</v>
      </c>
      <c r="G411" s="3" t="s">
        <v>31</v>
      </c>
      <c r="H411" s="2" t="s">
        <v>20</v>
      </c>
      <c r="I411" s="2" t="s">
        <v>988</v>
      </c>
      <c r="J411" s="3" t="str">
        <f>HYPERLINK("https://www.boe.es/gazeta/dias/1822/05/22/pdfs/GMD-1822-145.pdf#page=3","Abrir facsímil")</f>
        <v>Abrir facsímil</v>
      </c>
      <c r="K411" s="3" t="s">
        <v>22</v>
      </c>
    </row>
    <row r="412" spans="1:11" ht="42" customHeight="1">
      <c r="A412" s="2" t="s">
        <v>989</v>
      </c>
      <c r="B412" s="2" t="s">
        <v>990</v>
      </c>
      <c r="C412" s="2" t="s">
        <v>50</v>
      </c>
      <c r="D412" s="2" t="s">
        <v>51</v>
      </c>
      <c r="E412" s="5">
        <v>-28131</v>
      </c>
      <c r="F412" s="3" t="s">
        <v>893</v>
      </c>
      <c r="G412" s="3" t="s">
        <v>991</v>
      </c>
      <c r="H412" s="2" t="s">
        <v>20</v>
      </c>
      <c r="I412" s="2" t="s">
        <v>992</v>
      </c>
      <c r="J412" s="3" t="str">
        <f>HYPERLINK("https://www.boe.es/gazeta/dias/1822/12/23/pdfs/GMD-1822-373.pdf#page=6","Abrir facsímil")</f>
        <v>Abrir facsímil</v>
      </c>
      <c r="K412" s="3" t="s">
        <v>22</v>
      </c>
    </row>
    <row r="413" spans="1:11" ht="42" customHeight="1">
      <c r="A413" s="2" t="s">
        <v>993</v>
      </c>
      <c r="B413" s="2" t="s">
        <v>994</v>
      </c>
      <c r="C413" s="2" t="s">
        <v>24</v>
      </c>
      <c r="D413" s="2" t="s">
        <v>17</v>
      </c>
      <c r="E413" s="5">
        <v>-28480</v>
      </c>
      <c r="F413" s="3" t="s">
        <v>995</v>
      </c>
      <c r="G413" s="3" t="s">
        <v>19</v>
      </c>
      <c r="H413" s="2" t="s">
        <v>20</v>
      </c>
      <c r="I413" s="2" t="s">
        <v>996</v>
      </c>
      <c r="J413" s="3" t="str">
        <f>HYPERLINK("https://www.boe.es/gazeta/dias/1822/01/08/pdfs/GMD-1822-8.pdf#page=5","Abrir facsímil")</f>
        <v>Abrir facsímil</v>
      </c>
      <c r="K413" s="3" t="s">
        <v>22</v>
      </c>
    </row>
    <row r="414" spans="1:11" ht="42" customHeight="1">
      <c r="A414" s="2" t="s">
        <v>993</v>
      </c>
      <c r="B414" s="2" t="s">
        <v>994</v>
      </c>
      <c r="C414" s="2" t="s">
        <v>24</v>
      </c>
      <c r="D414" s="2" t="s">
        <v>17</v>
      </c>
      <c r="E414" s="5">
        <v>-28447</v>
      </c>
      <c r="F414" s="3" t="s">
        <v>997</v>
      </c>
      <c r="G414" s="3" t="s">
        <v>57</v>
      </c>
      <c r="H414" s="2" t="s">
        <v>20</v>
      </c>
      <c r="I414" s="2" t="s">
        <v>998</v>
      </c>
      <c r="J414" s="3" t="str">
        <f>HYPERLINK("https://www.boe.es/gazeta/dias/1822/02/10/pdfs/GMD-1822-41.pdf#page=4","Abrir facsímil")</f>
        <v>Abrir facsímil</v>
      </c>
      <c r="K414" s="3" t="s">
        <v>22</v>
      </c>
    </row>
    <row r="415" spans="1:11" ht="42" customHeight="1">
      <c r="A415" s="2" t="s">
        <v>999</v>
      </c>
      <c r="B415" s="2" t="s">
        <v>999</v>
      </c>
      <c r="C415" s="2" t="s">
        <v>50</v>
      </c>
      <c r="D415" s="2" t="s">
        <v>51</v>
      </c>
      <c r="E415" s="5">
        <v>-28295</v>
      </c>
      <c r="F415" s="3" t="s">
        <v>81</v>
      </c>
      <c r="G415" s="3" t="s">
        <v>82</v>
      </c>
      <c r="H415" s="2" t="s">
        <v>20</v>
      </c>
      <c r="I415" s="2" t="s">
        <v>1000</v>
      </c>
      <c r="J415" s="3" t="str">
        <f>HYPERLINK("https://www.boe.es/gazeta/dias/1822/07/12/pdfs/GMD-1822-202.pdf#page=3","Abrir facsímil")</f>
        <v>Abrir facsímil</v>
      </c>
      <c r="K415" s="3" t="s">
        <v>22</v>
      </c>
    </row>
    <row r="416" spans="1:11" ht="42" customHeight="1">
      <c r="A416" s="2" t="s">
        <v>1001</v>
      </c>
      <c r="B416" s="2" t="s">
        <v>1001</v>
      </c>
      <c r="C416" s="2" t="s">
        <v>42</v>
      </c>
      <c r="D416" s="2" t="s">
        <v>17</v>
      </c>
      <c r="E416" s="5">
        <v>-28354</v>
      </c>
      <c r="F416" s="3" t="s">
        <v>226</v>
      </c>
      <c r="G416" s="3" t="s">
        <v>57</v>
      </c>
      <c r="H416" s="2" t="s">
        <v>20</v>
      </c>
      <c r="I416" s="2" t="s">
        <v>1002</v>
      </c>
      <c r="J416" s="3" t="str">
        <f>HYPERLINK("https://www.boe.es/gazeta/dias/1822/05/14/pdfs/GMD-1822-136.pdf#page=4","Abrir facsímil")</f>
        <v>Abrir facsímil</v>
      </c>
      <c r="K416" s="3" t="s">
        <v>22</v>
      </c>
    </row>
    <row r="417" spans="1:11" ht="42" customHeight="1">
      <c r="A417" s="2" t="s">
        <v>1003</v>
      </c>
      <c r="B417" s="2" t="s">
        <v>1003</v>
      </c>
      <c r="C417" s="2" t="s">
        <v>50</v>
      </c>
      <c r="D417" s="2" t="s">
        <v>51</v>
      </c>
      <c r="E417" s="5">
        <v>-28318</v>
      </c>
      <c r="F417" s="3" t="s">
        <v>397</v>
      </c>
      <c r="G417" s="3" t="s">
        <v>63</v>
      </c>
      <c r="H417" s="2" t="s">
        <v>20</v>
      </c>
      <c r="I417" s="2" t="s">
        <v>1004</v>
      </c>
      <c r="J417" s="3" t="str">
        <f>HYPERLINK("https://www.boe.es/gazeta/dias/1822/06/19/pdfs/GMD-1822-176.pdf#page=6","Abrir facsímil")</f>
        <v>Abrir facsímil</v>
      </c>
      <c r="K417" s="3" t="s">
        <v>22</v>
      </c>
    </row>
    <row r="418" spans="1:11" ht="42" customHeight="1">
      <c r="A418" s="2" t="s">
        <v>1005</v>
      </c>
      <c r="B418" s="2" t="s">
        <v>1006</v>
      </c>
      <c r="C418" s="2" t="s">
        <v>50</v>
      </c>
      <c r="D418" s="2" t="s">
        <v>51</v>
      </c>
      <c r="E418" s="5">
        <v>-28253</v>
      </c>
      <c r="F418" s="3" t="s">
        <v>413</v>
      </c>
      <c r="G418" s="3" t="s">
        <v>44</v>
      </c>
      <c r="H418" s="2" t="s">
        <v>20</v>
      </c>
      <c r="I418" s="2" t="s">
        <v>1007</v>
      </c>
      <c r="J418" s="3" t="str">
        <f>HYPERLINK("https://www.boe.es/gazeta/dias/1822/08/23/pdfs/GMD-1822-247.pdf#page=1","Abrir facsímil")</f>
        <v>Abrir facsímil</v>
      </c>
      <c r="K418" s="3" t="s">
        <v>22</v>
      </c>
    </row>
    <row r="419" spans="1:11" ht="42" customHeight="1">
      <c r="A419" s="2" t="s">
        <v>1008</v>
      </c>
      <c r="B419" s="2" t="s">
        <v>1008</v>
      </c>
      <c r="C419" s="2" t="s">
        <v>50</v>
      </c>
      <c r="D419" s="2" t="s">
        <v>51</v>
      </c>
      <c r="E419" s="5">
        <v>-28299</v>
      </c>
      <c r="F419" s="3" t="s">
        <v>423</v>
      </c>
      <c r="G419" s="3" t="s">
        <v>44</v>
      </c>
      <c r="H419" s="2" t="s">
        <v>20</v>
      </c>
      <c r="I419" s="2" t="s">
        <v>1009</v>
      </c>
      <c r="J419" s="3" t="str">
        <f>HYPERLINK("https://www.boe.es/gazeta/dias/1822/07/08/pdfs/GMD-1822-197.pdf#page=1","Abrir facsímil")</f>
        <v>Abrir facsímil</v>
      </c>
      <c r="K419" s="3" t="s">
        <v>22</v>
      </c>
    </row>
    <row r="420" spans="1:11" ht="42" customHeight="1">
      <c r="A420" s="2" t="s">
        <v>1010</v>
      </c>
      <c r="B420" s="2" t="s">
        <v>1011</v>
      </c>
      <c r="C420" s="2" t="s">
        <v>28</v>
      </c>
      <c r="D420" s="2" t="s">
        <v>29</v>
      </c>
      <c r="E420" s="5">
        <v>-28468</v>
      </c>
      <c r="F420" s="3" t="s">
        <v>1012</v>
      </c>
      <c r="G420" s="3" t="s">
        <v>44</v>
      </c>
      <c r="H420" s="2" t="s">
        <v>20</v>
      </c>
      <c r="I420" s="2" t="s">
        <v>1013</v>
      </c>
      <c r="J420" s="3" t="str">
        <f>HYPERLINK("https://www.boe.es/gazeta/dias/1822/01/20/pdfs/GMD-1822-20.pdf#page=1","Abrir facsímil")</f>
        <v>Abrir facsímil</v>
      </c>
      <c r="K420" s="3" t="s">
        <v>22</v>
      </c>
    </row>
    <row r="421" spans="1:11" ht="42" customHeight="1">
      <c r="A421" s="2" t="s">
        <v>1014</v>
      </c>
      <c r="B421" s="2" t="s">
        <v>1015</v>
      </c>
      <c r="C421" s="2" t="s">
        <v>28</v>
      </c>
      <c r="D421" s="2" t="s">
        <v>29</v>
      </c>
      <c r="E421" s="5">
        <v>-28355</v>
      </c>
      <c r="F421" s="3" t="s">
        <v>692</v>
      </c>
      <c r="G421" s="3" t="s">
        <v>57</v>
      </c>
      <c r="H421" s="2" t="s">
        <v>20</v>
      </c>
      <c r="I421" s="2" t="s">
        <v>1016</v>
      </c>
      <c r="J421" s="3" t="str">
        <f>HYPERLINK("https://www.boe.es/gazeta/dias/1822/05/13/pdfs/GMD-1822-135.pdf#page=4","Abrir facsímil")</f>
        <v>Abrir facsímil</v>
      </c>
      <c r="K421" s="3" t="s">
        <v>22</v>
      </c>
    </row>
    <row r="422" spans="1:11" ht="42" customHeight="1">
      <c r="A422" s="2" t="s">
        <v>1017</v>
      </c>
      <c r="B422" s="2" t="s">
        <v>1018</v>
      </c>
      <c r="C422" s="2" t="s">
        <v>71</v>
      </c>
      <c r="D422" s="2" t="s">
        <v>17</v>
      </c>
      <c r="E422" s="5">
        <v>-28343</v>
      </c>
      <c r="F422" s="3" t="s">
        <v>1019</v>
      </c>
      <c r="G422" s="3" t="s">
        <v>63</v>
      </c>
      <c r="H422" s="2" t="s">
        <v>20</v>
      </c>
      <c r="I422" s="2" t="s">
        <v>1020</v>
      </c>
      <c r="J422" s="3" t="str">
        <f>HYPERLINK("https://www.boe.es/gazeta/dias/1822/05/25/pdfs/GMD-1822-150.pdf#page=6","Abrir facsímil")</f>
        <v>Abrir facsímil</v>
      </c>
      <c r="K422" s="3" t="s">
        <v>22</v>
      </c>
    </row>
    <row r="423" spans="1:11" ht="42" customHeight="1">
      <c r="A423" s="2" t="s">
        <v>1021</v>
      </c>
      <c r="B423" s="2" t="s">
        <v>1021</v>
      </c>
      <c r="C423" s="2" t="s">
        <v>42</v>
      </c>
      <c r="D423" s="2" t="s">
        <v>17</v>
      </c>
      <c r="E423" s="5">
        <v>-28353</v>
      </c>
      <c r="F423" s="3" t="s">
        <v>843</v>
      </c>
      <c r="G423" s="3" t="s">
        <v>31</v>
      </c>
      <c r="H423" s="2" t="s">
        <v>20</v>
      </c>
      <c r="I423" s="2" t="s">
        <v>1022</v>
      </c>
      <c r="J423" s="3" t="str">
        <f>HYPERLINK("https://www.boe.es/gazeta/dias/1822/05/15/pdfs/GMD-1822-137.pdf#page=3","Abrir facsímil")</f>
        <v>Abrir facsímil</v>
      </c>
      <c r="K423" s="3" t="s">
        <v>22</v>
      </c>
    </row>
    <row r="424" spans="1:11" ht="42" customHeight="1">
      <c r="A424" s="2" t="s">
        <v>1021</v>
      </c>
      <c r="B424" s="2" t="s">
        <v>1021</v>
      </c>
      <c r="C424" s="2" t="s">
        <v>61</v>
      </c>
      <c r="D424" s="2" t="s">
        <v>17</v>
      </c>
      <c r="E424" s="5">
        <v>-28336</v>
      </c>
      <c r="F424" s="3" t="s">
        <v>156</v>
      </c>
      <c r="G424" s="3" t="s">
        <v>19</v>
      </c>
      <c r="H424" s="2" t="s">
        <v>20</v>
      </c>
      <c r="I424" s="2" t="s">
        <v>1023</v>
      </c>
      <c r="J424" s="3" t="str">
        <f>HYPERLINK("https://www.boe.es/gazeta/dias/1822/06/01/pdfs/GMD-1822-157.pdf#page=5","Abrir facsímil")</f>
        <v>Abrir facsímil</v>
      </c>
      <c r="K424" s="3" t="s">
        <v>22</v>
      </c>
    </row>
    <row r="425" spans="1:11" ht="42" customHeight="1">
      <c r="A425" s="2" t="s">
        <v>1021</v>
      </c>
      <c r="B425" s="2" t="s">
        <v>1021</v>
      </c>
      <c r="C425" s="2" t="s">
        <v>16</v>
      </c>
      <c r="D425" s="2" t="s">
        <v>17</v>
      </c>
      <c r="E425" s="5">
        <v>-28186</v>
      </c>
      <c r="F425" s="3" t="s">
        <v>581</v>
      </c>
      <c r="G425" s="3" t="s">
        <v>35</v>
      </c>
      <c r="H425" s="2" t="s">
        <v>20</v>
      </c>
      <c r="I425" s="2" t="s">
        <v>1024</v>
      </c>
      <c r="J425" s="3" t="str">
        <f>HYPERLINK("https://www.boe.es/gazeta/dias/1822/10/29/pdfs/GMD-1822-316.pdf#page=2","Abrir facsímil")</f>
        <v>Abrir facsímil</v>
      </c>
      <c r="K425" s="3" t="s">
        <v>22</v>
      </c>
    </row>
    <row r="426" spans="1:11" ht="42" customHeight="1">
      <c r="A426" s="2" t="s">
        <v>1021</v>
      </c>
      <c r="B426" s="2" t="s">
        <v>1021</v>
      </c>
      <c r="C426" s="2" t="s">
        <v>28</v>
      </c>
      <c r="D426" s="2" t="s">
        <v>29</v>
      </c>
      <c r="E426" s="5">
        <v>-28176</v>
      </c>
      <c r="F426" s="3" t="s">
        <v>780</v>
      </c>
      <c r="G426" s="3" t="s">
        <v>35</v>
      </c>
      <c r="H426" s="2" t="s">
        <v>20</v>
      </c>
      <c r="I426" s="2" t="s">
        <v>1025</v>
      </c>
      <c r="J426" s="3" t="str">
        <f>HYPERLINK("https://www.boe.es/gazeta/dias/1822/11/08/pdfs/GMD-1822-328.pdf#page=2","Abrir facsímil")</f>
        <v>Abrir facsímil</v>
      </c>
      <c r="K426" s="3" t="s">
        <v>22</v>
      </c>
    </row>
    <row r="427" spans="1:11" ht="42" customHeight="1">
      <c r="A427" s="2" t="s">
        <v>1026</v>
      </c>
      <c r="B427" s="2" t="s">
        <v>1026</v>
      </c>
      <c r="C427" s="2" t="s">
        <v>28</v>
      </c>
      <c r="D427" s="2" t="s">
        <v>29</v>
      </c>
      <c r="E427" s="5">
        <v>-28166</v>
      </c>
      <c r="F427" s="3" t="s">
        <v>942</v>
      </c>
      <c r="G427" s="3" t="s">
        <v>31</v>
      </c>
      <c r="H427" s="2" t="s">
        <v>20</v>
      </c>
      <c r="I427" s="2" t="s">
        <v>1027</v>
      </c>
      <c r="J427" s="3" t="str">
        <f>HYPERLINK("https://www.boe.es/gazeta/dias/1822/11/18/pdfs/GMD-1822-338.pdf#page=3","Abrir facsímil")</f>
        <v>Abrir facsímil</v>
      </c>
      <c r="K427" s="3" t="s">
        <v>22</v>
      </c>
    </row>
    <row r="428" spans="1:11" ht="42" customHeight="1">
      <c r="A428" s="2" t="s">
        <v>1021</v>
      </c>
      <c r="B428" s="2" t="s">
        <v>1021</v>
      </c>
      <c r="C428" s="2" t="s">
        <v>42</v>
      </c>
      <c r="D428" s="2" t="s">
        <v>17</v>
      </c>
      <c r="E428" s="5">
        <v>-28137</v>
      </c>
      <c r="F428" s="3" t="s">
        <v>312</v>
      </c>
      <c r="G428" s="3" t="s">
        <v>35</v>
      </c>
      <c r="H428" s="2" t="s">
        <v>20</v>
      </c>
      <c r="I428" s="2" t="s">
        <v>1028</v>
      </c>
      <c r="J428" s="3" t="str">
        <f>HYPERLINK("https://www.boe.es/gazeta/dias/1822/12/17/pdfs/GMD-1822-367.pdf#page=2","Abrir facsímil")</f>
        <v>Abrir facsímil</v>
      </c>
      <c r="K428" s="3" t="s">
        <v>22</v>
      </c>
    </row>
    <row r="429" spans="1:11" ht="42" customHeight="1">
      <c r="A429" s="2" t="s">
        <v>1029</v>
      </c>
      <c r="B429" s="2" t="s">
        <v>1029</v>
      </c>
      <c r="C429" s="2" t="s">
        <v>42</v>
      </c>
      <c r="D429" s="2" t="s">
        <v>17</v>
      </c>
      <c r="E429" s="5">
        <v>-28135</v>
      </c>
      <c r="F429" s="3" t="s">
        <v>1030</v>
      </c>
      <c r="G429" s="3" t="s">
        <v>31</v>
      </c>
      <c r="H429" s="2" t="s">
        <v>20</v>
      </c>
      <c r="I429" s="2" t="s">
        <v>1031</v>
      </c>
      <c r="J429" s="3" t="str">
        <f>HYPERLINK("https://www.boe.es/gazeta/dias/1822/12/19/pdfs/GMD-1822-369.pdf#page=3","Abrir facsímil")</f>
        <v>Abrir facsímil</v>
      </c>
      <c r="K429" s="3" t="s">
        <v>22</v>
      </c>
    </row>
    <row r="430" spans="1:11" ht="42" customHeight="1">
      <c r="A430" s="2" t="s">
        <v>1032</v>
      </c>
      <c r="B430" s="2" t="s">
        <v>1033</v>
      </c>
      <c r="C430" s="2" t="s">
        <v>50</v>
      </c>
      <c r="D430" s="2" t="s">
        <v>51</v>
      </c>
      <c r="E430" s="5">
        <v>-28415</v>
      </c>
      <c r="F430" s="3" t="s">
        <v>77</v>
      </c>
      <c r="G430" s="3" t="s">
        <v>19</v>
      </c>
      <c r="H430" s="2" t="s">
        <v>20</v>
      </c>
      <c r="I430" s="2" t="s">
        <v>1034</v>
      </c>
      <c r="J430" s="3" t="str">
        <f>HYPERLINK("https://www.boe.es/gazeta/dias/1822/03/14/pdfs/GMD-1822-75.pdf#page=5","Abrir facsímil")</f>
        <v>Abrir facsímil</v>
      </c>
      <c r="K430" s="3" t="s">
        <v>22</v>
      </c>
    </row>
    <row r="431" spans="1:11" ht="42" customHeight="1">
      <c r="A431" s="2" t="s">
        <v>1035</v>
      </c>
      <c r="B431" s="2" t="s">
        <v>1036</v>
      </c>
      <c r="C431" s="2" t="s">
        <v>71</v>
      </c>
      <c r="D431" s="2" t="s">
        <v>17</v>
      </c>
      <c r="E431" s="5">
        <v>-28200</v>
      </c>
      <c r="F431" s="3" t="s">
        <v>1037</v>
      </c>
      <c r="G431" s="3" t="s">
        <v>63</v>
      </c>
      <c r="H431" s="2" t="s">
        <v>20</v>
      </c>
      <c r="I431" s="2" t="s">
        <v>1038</v>
      </c>
      <c r="J431" s="3" t="str">
        <f>HYPERLINK("https://www.boe.es/gazeta/dias/1822/10/15/pdfs/GMD-1822-302.pdf#page=6","Abrir facsímil")</f>
        <v>Abrir facsímil</v>
      </c>
      <c r="K431" s="3" t="s">
        <v>22</v>
      </c>
    </row>
    <row r="432" spans="1:11" ht="42" customHeight="1">
      <c r="A432" s="2" t="s">
        <v>1039</v>
      </c>
      <c r="B432" s="2" t="s">
        <v>1039</v>
      </c>
      <c r="C432" s="2" t="s">
        <v>50</v>
      </c>
      <c r="D432" s="2" t="s">
        <v>51</v>
      </c>
      <c r="E432" s="5">
        <v>-28344</v>
      </c>
      <c r="F432" s="3" t="s">
        <v>524</v>
      </c>
      <c r="G432" s="3" t="s">
        <v>1040</v>
      </c>
      <c r="H432" s="2" t="s">
        <v>20</v>
      </c>
      <c r="I432" s="2" t="s">
        <v>1041</v>
      </c>
      <c r="J432" s="3" t="str">
        <f>HYPERLINK("https://www.boe.es/gazeta/dias/1822/05/24/pdfs/GMD-1822-148.pdf#page=2","Abrir facsímil")</f>
        <v>Abrir facsímil</v>
      </c>
      <c r="K432" s="3" t="s">
        <v>22</v>
      </c>
    </row>
    <row r="433" spans="1:11" ht="42" customHeight="1">
      <c r="A433" s="2" t="s">
        <v>1042</v>
      </c>
      <c r="B433" s="2" t="s">
        <v>1042</v>
      </c>
      <c r="C433" s="2" t="s">
        <v>28</v>
      </c>
      <c r="D433" s="2" t="s">
        <v>29</v>
      </c>
      <c r="E433" s="5">
        <v>-28353</v>
      </c>
      <c r="F433" s="3" t="s">
        <v>843</v>
      </c>
      <c r="G433" s="3" t="s">
        <v>35</v>
      </c>
      <c r="H433" s="2" t="s">
        <v>20</v>
      </c>
      <c r="I433" s="2" t="s">
        <v>1043</v>
      </c>
      <c r="J433" s="3" t="str">
        <f>HYPERLINK("https://www.boe.es/gazeta/dias/1822/05/15/pdfs/GMD-1822-137.pdf#page=2","Abrir facsímil")</f>
        <v>Abrir facsímil</v>
      </c>
      <c r="K433" s="3" t="s">
        <v>22</v>
      </c>
    </row>
    <row r="434" spans="1:11" ht="42" customHeight="1">
      <c r="A434" s="2" t="s">
        <v>1044</v>
      </c>
      <c r="B434" s="2" t="s">
        <v>1045</v>
      </c>
      <c r="C434" s="2" t="s">
        <v>50</v>
      </c>
      <c r="D434" s="2" t="s">
        <v>51</v>
      </c>
      <c r="E434" s="5">
        <v>-28486</v>
      </c>
      <c r="F434" s="3" t="s">
        <v>1046</v>
      </c>
      <c r="G434" s="3" t="s">
        <v>57</v>
      </c>
      <c r="H434" s="2" t="s">
        <v>20</v>
      </c>
      <c r="I434" s="2" t="s">
        <v>1047</v>
      </c>
      <c r="J434" s="3" t="str">
        <f>HYPERLINK("https://www.boe.es/gazeta/dias/1822/01/02/pdfs/GMD-1822-2.pdf#page=4","Abrir facsímil")</f>
        <v>Abrir facsímil</v>
      </c>
      <c r="K434" s="3" t="s">
        <v>22</v>
      </c>
    </row>
    <row r="435" spans="1:11" ht="42" customHeight="1">
      <c r="A435" s="2" t="s">
        <v>1048</v>
      </c>
      <c r="B435" s="2" t="s">
        <v>1049</v>
      </c>
      <c r="C435" s="2" t="s">
        <v>28</v>
      </c>
      <c r="D435" s="2" t="s">
        <v>29</v>
      </c>
      <c r="E435" s="5">
        <v>-28308</v>
      </c>
      <c r="F435" s="3" t="s">
        <v>1050</v>
      </c>
      <c r="G435" s="3" t="s">
        <v>157</v>
      </c>
      <c r="H435" s="2" t="s">
        <v>20</v>
      </c>
      <c r="I435" s="2" t="s">
        <v>1051</v>
      </c>
      <c r="J435" s="3" t="str">
        <f>HYPERLINK("https://www.boe.es/gazeta/dias/1822/06/29/pdfs/GMD-1822-187.pdf#page=8","Abrir facsímil")</f>
        <v>Abrir facsímil</v>
      </c>
      <c r="K435" s="3" t="s">
        <v>22</v>
      </c>
    </row>
    <row r="436" spans="1:11" ht="42" customHeight="1">
      <c r="A436" s="2" t="s">
        <v>1052</v>
      </c>
      <c r="B436" s="2" t="s">
        <v>1053</v>
      </c>
      <c r="C436" s="2" t="s">
        <v>42</v>
      </c>
      <c r="D436" s="2" t="s">
        <v>17</v>
      </c>
      <c r="E436" s="5">
        <v>-28361</v>
      </c>
      <c r="F436" s="3" t="s">
        <v>374</v>
      </c>
      <c r="G436" s="3" t="s">
        <v>35</v>
      </c>
      <c r="H436" s="2" t="s">
        <v>20</v>
      </c>
      <c r="I436" s="2" t="s">
        <v>1054</v>
      </c>
      <c r="J436" s="3" t="str">
        <f>HYPERLINK("https://www.boe.es/gazeta/dias/1822/05/07/pdfs/GMD-1822-129.pdf#page=2","Abrir facsímil")</f>
        <v>Abrir facsímil</v>
      </c>
      <c r="K436" s="3" t="s">
        <v>22</v>
      </c>
    </row>
    <row r="437" spans="1:11" ht="42" customHeight="1">
      <c r="A437" s="2" t="s">
        <v>1055</v>
      </c>
      <c r="B437" s="2" t="s">
        <v>1056</v>
      </c>
      <c r="C437" s="2" t="s">
        <v>28</v>
      </c>
      <c r="D437" s="2" t="s">
        <v>29</v>
      </c>
      <c r="E437" s="5">
        <v>-28379</v>
      </c>
      <c r="F437" s="3" t="s">
        <v>494</v>
      </c>
      <c r="G437" s="3" t="s">
        <v>35</v>
      </c>
      <c r="H437" s="2" t="s">
        <v>20</v>
      </c>
      <c r="I437" s="2" t="s">
        <v>1057</v>
      </c>
      <c r="J437" s="3" t="str">
        <f>HYPERLINK("https://www.boe.es/gazeta/dias/1822/04/19/pdfs/GMD-1822-111.pdf#page=2","Abrir facsímil")</f>
        <v>Abrir facsímil</v>
      </c>
      <c r="K437" s="3" t="s">
        <v>22</v>
      </c>
    </row>
    <row r="438" spans="1:11" ht="42" customHeight="1">
      <c r="A438" s="2" t="s">
        <v>1058</v>
      </c>
      <c r="B438" s="2" t="s">
        <v>1059</v>
      </c>
      <c r="C438" s="2" t="s">
        <v>42</v>
      </c>
      <c r="D438" s="2" t="s">
        <v>17</v>
      </c>
      <c r="E438" s="5">
        <v>-28353</v>
      </c>
      <c r="F438" s="3" t="s">
        <v>843</v>
      </c>
      <c r="G438" s="3" t="s">
        <v>63</v>
      </c>
      <c r="H438" s="2" t="s">
        <v>20</v>
      </c>
      <c r="I438" s="2" t="s">
        <v>1060</v>
      </c>
      <c r="J438" s="3" t="str">
        <f>HYPERLINK("https://www.boe.es/gazeta/dias/1822/05/15/pdfs/GMD-1822-137.pdf#page=6","Abrir facsímil")</f>
        <v>Abrir facsímil</v>
      </c>
      <c r="K438" s="3" t="s">
        <v>22</v>
      </c>
    </row>
    <row r="439" spans="1:11" ht="42" customHeight="1">
      <c r="A439" s="2" t="s">
        <v>1061</v>
      </c>
      <c r="B439" s="2" t="s">
        <v>1062</v>
      </c>
      <c r="C439" s="2" t="s">
        <v>42</v>
      </c>
      <c r="D439" s="2" t="s">
        <v>17</v>
      </c>
      <c r="E439" s="5">
        <v>-28273</v>
      </c>
      <c r="F439" s="3" t="s">
        <v>1063</v>
      </c>
      <c r="G439" s="3" t="s">
        <v>35</v>
      </c>
      <c r="H439" s="2" t="s">
        <v>20</v>
      </c>
      <c r="I439" s="2" t="s">
        <v>1064</v>
      </c>
      <c r="J439" s="3" t="str">
        <f>HYPERLINK("https://www.boe.es/gazeta/dias/1822/08/03/pdfs/GMD-1822-227.pdf#page=2","Abrir facsímil")</f>
        <v>Abrir facsímil</v>
      </c>
      <c r="K439" s="3" t="s">
        <v>22</v>
      </c>
    </row>
    <row r="440" spans="1:11" ht="42" customHeight="1">
      <c r="A440" s="2" t="s">
        <v>1065</v>
      </c>
      <c r="B440" s="2" t="s">
        <v>1066</v>
      </c>
      <c r="C440" s="2" t="s">
        <v>71</v>
      </c>
      <c r="D440" s="2" t="s">
        <v>17</v>
      </c>
      <c r="E440" s="5">
        <v>-28258</v>
      </c>
      <c r="F440" s="3" t="s">
        <v>88</v>
      </c>
      <c r="G440" s="3" t="s">
        <v>57</v>
      </c>
      <c r="H440" s="2" t="s">
        <v>20</v>
      </c>
      <c r="I440" s="2" t="s">
        <v>1067</v>
      </c>
      <c r="J440" s="3" t="str">
        <f>HYPERLINK("https://www.boe.es/gazeta/dias/1822/08/18/pdfs/GMD-1822-242.pdf#page=4","Abrir facsímil")</f>
        <v>Abrir facsímil</v>
      </c>
      <c r="K440" s="3" t="s">
        <v>22</v>
      </c>
    </row>
    <row r="441" spans="1:11" ht="42" customHeight="1">
      <c r="A441" s="2" t="s">
        <v>1068</v>
      </c>
      <c r="B441" s="2" t="s">
        <v>1069</v>
      </c>
      <c r="C441" s="2" t="s">
        <v>42</v>
      </c>
      <c r="D441" s="2" t="s">
        <v>17</v>
      </c>
      <c r="E441" s="5">
        <v>-28131</v>
      </c>
      <c r="F441" s="3" t="s">
        <v>893</v>
      </c>
      <c r="G441" s="3" t="s">
        <v>991</v>
      </c>
      <c r="H441" s="2" t="s">
        <v>20</v>
      </c>
      <c r="I441" s="2" t="s">
        <v>1070</v>
      </c>
      <c r="J441" s="3" t="str">
        <f>HYPERLINK("https://www.boe.es/gazeta/dias/1822/12/23/pdfs/GMD-1822-373.pdf#page=6","Abrir facsímil")</f>
        <v>Abrir facsímil</v>
      </c>
      <c r="K441" s="3" t="s">
        <v>22</v>
      </c>
    </row>
    <row r="442" spans="1:11" ht="42" customHeight="1">
      <c r="A442" s="2" t="s">
        <v>1071</v>
      </c>
      <c r="B442" s="2" t="s">
        <v>1072</v>
      </c>
      <c r="C442" s="2" t="s">
        <v>42</v>
      </c>
      <c r="D442" s="2" t="s">
        <v>17</v>
      </c>
      <c r="E442" s="5">
        <v>-28339</v>
      </c>
      <c r="F442" s="3" t="s">
        <v>197</v>
      </c>
      <c r="G442" s="3" t="s">
        <v>63</v>
      </c>
      <c r="H442" s="2" t="s">
        <v>20</v>
      </c>
      <c r="I442" s="2" t="s">
        <v>1073</v>
      </c>
      <c r="J442" s="3" t="str">
        <f>HYPERLINK("https://www.boe.es/gazeta/dias/1822/05/29/pdfs/GMD-1822-154.pdf#page=6","Abrir facsímil")</f>
        <v>Abrir facsímil</v>
      </c>
      <c r="K442" s="3" t="s">
        <v>22</v>
      </c>
    </row>
    <row r="443" spans="1:11" ht="42" customHeight="1">
      <c r="A443" s="2" t="s">
        <v>1074</v>
      </c>
      <c r="B443" s="2" t="s">
        <v>1074</v>
      </c>
      <c r="C443" s="2" t="s">
        <v>61</v>
      </c>
      <c r="D443" s="2" t="s">
        <v>17</v>
      </c>
      <c r="E443" s="5">
        <v>-28171</v>
      </c>
      <c r="F443" s="3" t="s">
        <v>1075</v>
      </c>
      <c r="G443" s="3" t="s">
        <v>44</v>
      </c>
      <c r="H443" s="2" t="s">
        <v>20</v>
      </c>
      <c r="I443" s="2" t="s">
        <v>1076</v>
      </c>
      <c r="J443" s="3" t="str">
        <f>HYPERLINK("https://www.boe.es/gazeta/dias/1822/11/13/pdfs/GMD-1822-333.pdf#page=1","Abrir facsímil")</f>
        <v>Abrir facsímil</v>
      </c>
      <c r="K443" s="3" t="s">
        <v>22</v>
      </c>
    </row>
    <row r="444" spans="1:11" ht="42" customHeight="1">
      <c r="A444" s="2" t="s">
        <v>1077</v>
      </c>
      <c r="B444" s="2" t="s">
        <v>1078</v>
      </c>
      <c r="C444" s="2" t="s">
        <v>42</v>
      </c>
      <c r="D444" s="2" t="s">
        <v>17</v>
      </c>
      <c r="E444" s="5">
        <v>-28307</v>
      </c>
      <c r="F444" s="3" t="s">
        <v>555</v>
      </c>
      <c r="G444" s="3" t="s">
        <v>157</v>
      </c>
      <c r="H444" s="2" t="s">
        <v>20</v>
      </c>
      <c r="I444" s="2" t="s">
        <v>1079</v>
      </c>
      <c r="J444" s="3" t="str">
        <f>HYPERLINK("https://www.boe.es/gazeta/dias/1822/06/30/pdfs/GMD-1822-188.pdf#page=8","Abrir facsímil")</f>
        <v>Abrir facsímil</v>
      </c>
      <c r="K444" s="3" t="s">
        <v>22</v>
      </c>
    </row>
    <row r="445" spans="1:11" ht="42" customHeight="1">
      <c r="A445" s="2" t="s">
        <v>1080</v>
      </c>
      <c r="B445" s="2" t="s">
        <v>1081</v>
      </c>
      <c r="C445" s="2" t="s">
        <v>50</v>
      </c>
      <c r="D445" s="2" t="s">
        <v>51</v>
      </c>
      <c r="E445" s="5">
        <v>-28219</v>
      </c>
      <c r="F445" s="3" t="s">
        <v>1082</v>
      </c>
      <c r="G445" s="3" t="s">
        <v>31</v>
      </c>
      <c r="H445" s="2" t="s">
        <v>20</v>
      </c>
      <c r="I445" s="2" t="s">
        <v>1083</v>
      </c>
      <c r="J445" s="3" t="str">
        <f>HYPERLINK("https://www.boe.es/gazeta/dias/1822/09/26/pdfs/GMD-1822-282.pdf#page=3","Abrir facsímil")</f>
        <v>Abrir facsímil</v>
      </c>
      <c r="K445" s="3" t="s">
        <v>22</v>
      </c>
    </row>
    <row r="446" spans="1:11" ht="42" customHeight="1">
      <c r="A446" s="2" t="s">
        <v>1084</v>
      </c>
      <c r="B446" s="2" t="s">
        <v>1084</v>
      </c>
      <c r="C446" s="2" t="s">
        <v>50</v>
      </c>
      <c r="D446" s="2" t="s">
        <v>51</v>
      </c>
      <c r="E446" s="5">
        <v>-28486</v>
      </c>
      <c r="F446" s="3" t="s">
        <v>1046</v>
      </c>
      <c r="G446" s="3" t="s">
        <v>1085</v>
      </c>
      <c r="H446" s="2" t="s">
        <v>20</v>
      </c>
      <c r="I446" s="2" t="s">
        <v>1086</v>
      </c>
      <c r="J446" s="3" t="str">
        <f>HYPERLINK("https://www.boe.es/gazeta/dias/1822/01/02/pdfs/GMD-1822-2.pdf#page=3","Abrir facsímil")</f>
        <v>Abrir facsímil</v>
      </c>
      <c r="K446" s="3" t="s">
        <v>22</v>
      </c>
    </row>
    <row r="447" spans="1:11" ht="42" customHeight="1">
      <c r="A447" s="2" t="s">
        <v>1084</v>
      </c>
      <c r="B447" s="2" t="s">
        <v>1084</v>
      </c>
      <c r="C447" s="2" t="s">
        <v>28</v>
      </c>
      <c r="D447" s="2" t="s">
        <v>29</v>
      </c>
      <c r="E447" s="5">
        <v>-28486</v>
      </c>
      <c r="F447" s="3" t="s">
        <v>1046</v>
      </c>
      <c r="G447" s="3" t="s">
        <v>35</v>
      </c>
      <c r="H447" s="2" t="s">
        <v>20</v>
      </c>
      <c r="I447" s="2" t="s">
        <v>1087</v>
      </c>
      <c r="J447" s="3" t="str">
        <f>HYPERLINK("https://www.boe.es/gazeta/dias/1822/01/02/pdfs/GMD-1822-2.pdf#page=2","Abrir facsímil")</f>
        <v>Abrir facsímil</v>
      </c>
      <c r="K447" s="3" t="s">
        <v>22</v>
      </c>
    </row>
    <row r="448" spans="1:11" ht="42" customHeight="1">
      <c r="A448" s="2" t="s">
        <v>1084</v>
      </c>
      <c r="B448" s="2" t="s">
        <v>1084</v>
      </c>
      <c r="C448" s="2" t="s">
        <v>28</v>
      </c>
      <c r="D448" s="2" t="s">
        <v>29</v>
      </c>
      <c r="E448" s="5">
        <v>-28484</v>
      </c>
      <c r="F448" s="3" t="s">
        <v>743</v>
      </c>
      <c r="G448" s="3" t="s">
        <v>19</v>
      </c>
      <c r="H448" s="2" t="s">
        <v>20</v>
      </c>
      <c r="I448" s="2" t="s">
        <v>1088</v>
      </c>
      <c r="J448" s="3" t="str">
        <f>HYPERLINK("https://www.boe.es/gazeta/dias/1822/01/04/pdfs/GMD-1822-4.pdf#page=5","Abrir facsímil")</f>
        <v>Abrir facsímil</v>
      </c>
      <c r="K448" s="3" t="s">
        <v>22</v>
      </c>
    </row>
    <row r="449" spans="1:11" ht="42" customHeight="1">
      <c r="A449" s="2" t="s">
        <v>1084</v>
      </c>
      <c r="B449" s="2" t="s">
        <v>1084</v>
      </c>
      <c r="C449" s="2" t="s">
        <v>71</v>
      </c>
      <c r="D449" s="2" t="s">
        <v>17</v>
      </c>
      <c r="E449" s="5">
        <v>-28481</v>
      </c>
      <c r="F449" s="3" t="s">
        <v>1089</v>
      </c>
      <c r="G449" s="3" t="s">
        <v>35</v>
      </c>
      <c r="H449" s="2" t="s">
        <v>20</v>
      </c>
      <c r="I449" s="2" t="s">
        <v>1090</v>
      </c>
      <c r="J449" s="3" t="str">
        <f>HYPERLINK("https://www.boe.es/gazeta/dias/1822/01/07/pdfs/GMD-1822-7.pdf#page=2","Abrir facsímil")</f>
        <v>Abrir facsímil</v>
      </c>
      <c r="K449" s="3" t="s">
        <v>22</v>
      </c>
    </row>
    <row r="450" spans="1:11" ht="42" customHeight="1">
      <c r="A450" s="2" t="s">
        <v>1084</v>
      </c>
      <c r="B450" s="2" t="s">
        <v>1084</v>
      </c>
      <c r="C450" s="2" t="s">
        <v>61</v>
      </c>
      <c r="D450" s="2" t="s">
        <v>17</v>
      </c>
      <c r="E450" s="5">
        <v>-28479</v>
      </c>
      <c r="F450" s="3" t="s">
        <v>1091</v>
      </c>
      <c r="G450" s="3" t="s">
        <v>35</v>
      </c>
      <c r="H450" s="2" t="s">
        <v>20</v>
      </c>
      <c r="I450" s="2" t="s">
        <v>1092</v>
      </c>
      <c r="J450" s="3" t="str">
        <f>HYPERLINK("https://www.boe.es/gazeta/dias/1822/01/09/pdfs/GMD-1822-9.pdf#page=2","Abrir facsímil")</f>
        <v>Abrir facsímil</v>
      </c>
      <c r="K450" s="3" t="s">
        <v>22</v>
      </c>
    </row>
    <row r="451" spans="1:11" ht="42" customHeight="1">
      <c r="A451" s="2" t="s">
        <v>1084</v>
      </c>
      <c r="B451" s="2" t="s">
        <v>1084</v>
      </c>
      <c r="C451" s="2" t="s">
        <v>42</v>
      </c>
      <c r="D451" s="2" t="s">
        <v>17</v>
      </c>
      <c r="E451" s="5">
        <v>-28478</v>
      </c>
      <c r="F451" s="3" t="s">
        <v>1093</v>
      </c>
      <c r="G451" s="3" t="s">
        <v>35</v>
      </c>
      <c r="H451" s="2" t="s">
        <v>20</v>
      </c>
      <c r="I451" s="2" t="s">
        <v>1094</v>
      </c>
      <c r="J451" s="3" t="str">
        <f>HYPERLINK("https://www.boe.es/gazeta/dias/1822/01/10/pdfs/GMD-1822-10.pdf#page=2","Abrir facsímil")</f>
        <v>Abrir facsímil</v>
      </c>
      <c r="K451" s="3" t="s">
        <v>22</v>
      </c>
    </row>
    <row r="452" spans="1:11" ht="42" customHeight="1">
      <c r="A452" s="2" t="s">
        <v>1084</v>
      </c>
      <c r="B452" s="2" t="s">
        <v>1084</v>
      </c>
      <c r="C452" s="2" t="s">
        <v>24</v>
      </c>
      <c r="D452" s="2" t="s">
        <v>17</v>
      </c>
      <c r="E452" s="5">
        <v>-28474</v>
      </c>
      <c r="F452" s="3" t="s">
        <v>30</v>
      </c>
      <c r="G452" s="3" t="s">
        <v>35</v>
      </c>
      <c r="H452" s="2" t="s">
        <v>20</v>
      </c>
      <c r="I452" s="2" t="s">
        <v>1095</v>
      </c>
      <c r="J452" s="3" t="str">
        <f>HYPERLINK("https://www.boe.es/gazeta/dias/1822/01/14/pdfs/GMD-1822-14.pdf#page=2","Abrir facsímil")</f>
        <v>Abrir facsímil</v>
      </c>
      <c r="K452" s="3" t="s">
        <v>22</v>
      </c>
    </row>
    <row r="453" spans="1:11" ht="42" customHeight="1">
      <c r="A453" s="2" t="s">
        <v>1084</v>
      </c>
      <c r="B453" s="2" t="s">
        <v>1084</v>
      </c>
      <c r="C453" s="2" t="s">
        <v>362</v>
      </c>
      <c r="D453" s="2" t="s">
        <v>17</v>
      </c>
      <c r="E453" s="5">
        <v>-28467</v>
      </c>
      <c r="F453" s="3" t="s">
        <v>1096</v>
      </c>
      <c r="G453" s="3" t="s">
        <v>57</v>
      </c>
      <c r="H453" s="2" t="s">
        <v>20</v>
      </c>
      <c r="I453" s="2" t="s">
        <v>1097</v>
      </c>
      <c r="J453" s="3" t="str">
        <f>HYPERLINK("https://www.boe.es/gazeta/dias/1822/01/21/pdfs/GMD-1822-21.pdf#page=4","Abrir facsímil")</f>
        <v>Abrir facsímil</v>
      </c>
      <c r="K453" s="3" t="s">
        <v>22</v>
      </c>
    </row>
    <row r="454" spans="1:11" ht="42" customHeight="1">
      <c r="A454" s="2" t="s">
        <v>1084</v>
      </c>
      <c r="B454" s="2" t="s">
        <v>1084</v>
      </c>
      <c r="C454" s="2" t="s">
        <v>24</v>
      </c>
      <c r="D454" s="2" t="s">
        <v>17</v>
      </c>
      <c r="E454" s="5">
        <v>-28463</v>
      </c>
      <c r="F454" s="3" t="s">
        <v>25</v>
      </c>
      <c r="G454" s="3" t="s">
        <v>57</v>
      </c>
      <c r="H454" s="2" t="s">
        <v>20</v>
      </c>
      <c r="I454" s="2" t="s">
        <v>1098</v>
      </c>
      <c r="J454" s="3" t="str">
        <f>HYPERLINK("https://www.boe.es/gazeta/dias/1822/01/25/pdfs/GMD-1822-25.pdf#page=4","Abrir facsímil")</f>
        <v>Abrir facsímil</v>
      </c>
      <c r="K454" s="3" t="s">
        <v>22</v>
      </c>
    </row>
    <row r="455" spans="1:11" ht="42" customHeight="1">
      <c r="A455" s="2" t="s">
        <v>1084</v>
      </c>
      <c r="B455" s="2" t="s">
        <v>1084</v>
      </c>
      <c r="C455" s="2" t="s">
        <v>42</v>
      </c>
      <c r="D455" s="2" t="s">
        <v>17</v>
      </c>
      <c r="E455" s="5">
        <v>-28462</v>
      </c>
      <c r="F455" s="3" t="s">
        <v>1099</v>
      </c>
      <c r="G455" s="3" t="s">
        <v>57</v>
      </c>
      <c r="H455" s="2" t="s">
        <v>20</v>
      </c>
      <c r="I455" s="2" t="s">
        <v>1100</v>
      </c>
      <c r="J455" s="3" t="str">
        <f>HYPERLINK("https://www.boe.es/gazeta/dias/1822/01/26/pdfs/GMD-1822-26.pdf#page=4","Abrir facsímil")</f>
        <v>Abrir facsímil</v>
      </c>
      <c r="K455" s="3" t="s">
        <v>22</v>
      </c>
    </row>
    <row r="456" spans="1:11" ht="42" customHeight="1">
      <c r="A456" s="2" t="s">
        <v>1084</v>
      </c>
      <c r="B456" s="2" t="s">
        <v>1084</v>
      </c>
      <c r="C456" s="2" t="s">
        <v>28</v>
      </c>
      <c r="D456" s="2" t="s">
        <v>29</v>
      </c>
      <c r="E456" s="5">
        <v>-28460</v>
      </c>
      <c r="F456" s="3" t="s">
        <v>112</v>
      </c>
      <c r="G456" s="3" t="s">
        <v>19</v>
      </c>
      <c r="H456" s="2" t="s">
        <v>20</v>
      </c>
      <c r="I456" s="2" t="s">
        <v>1101</v>
      </c>
      <c r="J456" s="3" t="str">
        <f>HYPERLINK("https://www.boe.es/gazeta/dias/1822/01/28/pdfs/GMD-1822-28.pdf#page=5","Abrir facsímil")</f>
        <v>Abrir facsímil</v>
      </c>
      <c r="K456" s="3" t="s">
        <v>22</v>
      </c>
    </row>
    <row r="457" spans="1:11" ht="42" customHeight="1">
      <c r="A457" s="2" t="s">
        <v>1084</v>
      </c>
      <c r="B457" s="2" t="s">
        <v>1084</v>
      </c>
      <c r="C457" s="2" t="s">
        <v>28</v>
      </c>
      <c r="D457" s="2" t="s">
        <v>29</v>
      </c>
      <c r="E457" s="5">
        <v>-28459</v>
      </c>
      <c r="F457" s="3" t="s">
        <v>1102</v>
      </c>
      <c r="G457" s="3" t="s">
        <v>35</v>
      </c>
      <c r="H457" s="2" t="s">
        <v>20</v>
      </c>
      <c r="I457" s="2" t="s">
        <v>1103</v>
      </c>
      <c r="J457" s="3" t="str">
        <f>HYPERLINK("https://www.boe.es/gazeta/dias/1822/01/29/pdfs/GMD-1822-29.pdf#page=2","Abrir facsímil")</f>
        <v>Abrir facsímil</v>
      </c>
      <c r="K457" s="3" t="s">
        <v>22</v>
      </c>
    </row>
    <row r="458" spans="1:11" ht="42" customHeight="1">
      <c r="A458" s="2" t="s">
        <v>1084</v>
      </c>
      <c r="B458" s="2" t="s">
        <v>1084</v>
      </c>
      <c r="C458" s="2" t="s">
        <v>61</v>
      </c>
      <c r="D458" s="2" t="s">
        <v>17</v>
      </c>
      <c r="E458" s="5">
        <v>-28456</v>
      </c>
      <c r="F458" s="3" t="s">
        <v>1104</v>
      </c>
      <c r="G458" s="3" t="s">
        <v>1105</v>
      </c>
      <c r="H458" s="2" t="s">
        <v>20</v>
      </c>
      <c r="I458" s="2" t="s">
        <v>1106</v>
      </c>
      <c r="J458" s="3" t="str">
        <f>HYPERLINK("https://www.boe.es/gazeta/dias/1822/02/01/pdfs/GMD-1822-32.pdf#page=4","Abrir facsímil")</f>
        <v>Abrir facsímil</v>
      </c>
      <c r="K458" s="3" t="s">
        <v>22</v>
      </c>
    </row>
    <row r="459" spans="1:11" ht="42" customHeight="1">
      <c r="A459" s="2" t="s">
        <v>1084</v>
      </c>
      <c r="B459" s="2" t="s">
        <v>1084</v>
      </c>
      <c r="C459" s="2" t="s">
        <v>61</v>
      </c>
      <c r="D459" s="2" t="s">
        <v>17</v>
      </c>
      <c r="E459" s="5">
        <v>-28455</v>
      </c>
      <c r="F459" s="3" t="s">
        <v>1107</v>
      </c>
      <c r="G459" s="3" t="s">
        <v>35</v>
      </c>
      <c r="H459" s="2" t="s">
        <v>20</v>
      </c>
      <c r="I459" s="2" t="s">
        <v>1108</v>
      </c>
      <c r="J459" s="3" t="str">
        <f>HYPERLINK("https://www.boe.es/gazeta/dias/1822/02/02/pdfs/GMD-1822-33.pdf#page=2","Abrir facsímil")</f>
        <v>Abrir facsímil</v>
      </c>
      <c r="K459" s="3" t="s">
        <v>22</v>
      </c>
    </row>
    <row r="460" spans="1:11" ht="42" customHeight="1">
      <c r="A460" s="2" t="s">
        <v>1084</v>
      </c>
      <c r="B460" s="2" t="s">
        <v>1084</v>
      </c>
      <c r="C460" s="2" t="s">
        <v>71</v>
      </c>
      <c r="D460" s="2" t="s">
        <v>17</v>
      </c>
      <c r="E460" s="5">
        <v>-28444</v>
      </c>
      <c r="F460" s="3" t="s">
        <v>681</v>
      </c>
      <c r="G460" s="3" t="s">
        <v>35</v>
      </c>
      <c r="H460" s="2" t="s">
        <v>20</v>
      </c>
      <c r="I460" s="2" t="s">
        <v>1109</v>
      </c>
      <c r="J460" s="3" t="str">
        <f>HYPERLINK("https://www.boe.es/gazeta/dias/1822/02/13/pdfs/GMD-1822-44.pdf#page=2","Abrir facsímil")</f>
        <v>Abrir facsímil</v>
      </c>
      <c r="K460" s="3" t="s">
        <v>22</v>
      </c>
    </row>
    <row r="461" spans="1:11" ht="42" customHeight="1">
      <c r="A461" s="2" t="s">
        <v>1084</v>
      </c>
      <c r="B461" s="2" t="s">
        <v>1084</v>
      </c>
      <c r="C461" s="2" t="s">
        <v>42</v>
      </c>
      <c r="D461" s="2" t="s">
        <v>17</v>
      </c>
      <c r="E461" s="5">
        <v>-28444</v>
      </c>
      <c r="F461" s="3" t="s">
        <v>681</v>
      </c>
      <c r="G461" s="3" t="s">
        <v>57</v>
      </c>
      <c r="H461" s="2" t="s">
        <v>20</v>
      </c>
      <c r="I461" s="2" t="s">
        <v>1110</v>
      </c>
      <c r="J461" s="3" t="str">
        <f>HYPERLINK("https://www.boe.es/gazeta/dias/1822/02/13/pdfs/GMD-1822-44.pdf#page=4","Abrir facsímil")</f>
        <v>Abrir facsímil</v>
      </c>
      <c r="K461" s="3" t="s">
        <v>22</v>
      </c>
    </row>
    <row r="462" spans="1:11" ht="42" customHeight="1">
      <c r="A462" s="2" t="s">
        <v>1111</v>
      </c>
      <c r="B462" s="2" t="s">
        <v>1111</v>
      </c>
      <c r="C462" s="2" t="s">
        <v>28</v>
      </c>
      <c r="D462" s="2" t="s">
        <v>29</v>
      </c>
      <c r="E462" s="5">
        <v>-28455</v>
      </c>
      <c r="F462" s="3" t="s">
        <v>1107</v>
      </c>
      <c r="G462" s="3" t="s">
        <v>35</v>
      </c>
      <c r="H462" s="2" t="s">
        <v>20</v>
      </c>
      <c r="I462" s="2" t="s">
        <v>1112</v>
      </c>
      <c r="J462" s="3" t="str">
        <f>HYPERLINK("https://www.boe.es/gazeta/dias/1822/02/02/pdfs/GMD-1822-33.pdf#page=2","Abrir facsímil")</f>
        <v>Abrir facsímil</v>
      </c>
      <c r="K462" s="3" t="s">
        <v>22</v>
      </c>
    </row>
    <row r="463" spans="1:11" ht="42" customHeight="1">
      <c r="A463" s="2" t="s">
        <v>1113</v>
      </c>
      <c r="B463" s="2" t="s">
        <v>1113</v>
      </c>
      <c r="C463" s="2" t="s">
        <v>28</v>
      </c>
      <c r="D463" s="2" t="s">
        <v>29</v>
      </c>
      <c r="E463" s="5">
        <v>-28465</v>
      </c>
      <c r="F463" s="3" t="s">
        <v>1114</v>
      </c>
      <c r="G463" s="3" t="s">
        <v>44</v>
      </c>
      <c r="H463" s="2" t="s">
        <v>20</v>
      </c>
      <c r="I463" s="2" t="s">
        <v>1115</v>
      </c>
      <c r="J463" s="3" t="str">
        <f>HYPERLINK("https://www.boe.es/gazeta/dias/1822/01/23/pdfs/GMD-1822-23.pdf#page=1","Abrir facsímil")</f>
        <v>Abrir facsímil</v>
      </c>
      <c r="K463" s="3" t="s">
        <v>22</v>
      </c>
    </row>
    <row r="464" spans="1:11" ht="42" customHeight="1">
      <c r="A464" s="2" t="s">
        <v>1116</v>
      </c>
      <c r="B464" s="2" t="s">
        <v>1116</v>
      </c>
      <c r="C464" s="2" t="s">
        <v>28</v>
      </c>
      <c r="D464" s="2" t="s">
        <v>29</v>
      </c>
      <c r="E464" s="5">
        <v>-28485</v>
      </c>
      <c r="F464" s="3" t="s">
        <v>1117</v>
      </c>
      <c r="G464" s="3" t="s">
        <v>1118</v>
      </c>
      <c r="H464" s="2" t="s">
        <v>20</v>
      </c>
      <c r="I464" s="2" t="s">
        <v>1119</v>
      </c>
      <c r="J464" s="3" t="str">
        <f>HYPERLINK("https://www.boe.es/gazeta/dias/1822/01/03/pdfs/GMD-1822-3.pdf#page=2","Abrir facsímil")</f>
        <v>Abrir facsímil</v>
      </c>
      <c r="K464" s="3" t="s">
        <v>22</v>
      </c>
    </row>
    <row r="465" spans="1:11" ht="42" customHeight="1">
      <c r="A465" s="2" t="s">
        <v>1120</v>
      </c>
      <c r="B465" s="2" t="s">
        <v>1121</v>
      </c>
      <c r="C465" s="2" t="s">
        <v>71</v>
      </c>
      <c r="D465" s="2" t="s">
        <v>17</v>
      </c>
      <c r="E465" s="5">
        <v>-28384</v>
      </c>
      <c r="F465" s="3" t="s">
        <v>258</v>
      </c>
      <c r="G465" s="3" t="s">
        <v>63</v>
      </c>
      <c r="H465" s="2" t="s">
        <v>20</v>
      </c>
      <c r="I465" s="2" t="s">
        <v>1122</v>
      </c>
      <c r="J465" s="3" t="str">
        <f>HYPERLINK("https://www.boe.es/gazeta/dias/1822/04/14/pdfs/GMD-1822-106.pdf#page=6","Abrir facsímil")</f>
        <v>Abrir facsímil</v>
      </c>
      <c r="K465" s="3" t="s">
        <v>22</v>
      </c>
    </row>
    <row r="466" spans="1:11" ht="42" customHeight="1">
      <c r="A466" s="2" t="s">
        <v>1123</v>
      </c>
      <c r="B466" s="2" t="s">
        <v>1124</v>
      </c>
      <c r="C466" s="2" t="s">
        <v>50</v>
      </c>
      <c r="D466" s="2" t="s">
        <v>51</v>
      </c>
      <c r="E466" s="5">
        <v>-28395</v>
      </c>
      <c r="F466" s="3" t="s">
        <v>237</v>
      </c>
      <c r="G466" s="3" t="s">
        <v>57</v>
      </c>
      <c r="H466" s="2" t="s">
        <v>20</v>
      </c>
      <c r="I466" s="2" t="s">
        <v>1125</v>
      </c>
      <c r="J466" s="3" t="str">
        <f>HYPERLINK("https://www.boe.es/gazeta/dias/1822/04/03/pdfs/GMD-1822-95.pdf#page=4","Abrir facsímil")</f>
        <v>Abrir facsímil</v>
      </c>
      <c r="K466" s="3" t="s">
        <v>22</v>
      </c>
    </row>
    <row r="467" spans="1:11" ht="42" customHeight="1">
      <c r="A467" s="2" t="s">
        <v>1126</v>
      </c>
      <c r="B467" s="2" t="s">
        <v>1127</v>
      </c>
      <c r="C467" s="2" t="s">
        <v>50</v>
      </c>
      <c r="D467" s="2" t="s">
        <v>51</v>
      </c>
      <c r="E467" s="5">
        <v>-28415</v>
      </c>
      <c r="F467" s="3" t="s">
        <v>77</v>
      </c>
      <c r="G467" s="3" t="s">
        <v>63</v>
      </c>
      <c r="H467" s="2" t="s">
        <v>20</v>
      </c>
      <c r="I467" s="2" t="s">
        <v>1128</v>
      </c>
      <c r="J467" s="3" t="str">
        <f>HYPERLINK("https://www.boe.es/gazeta/dias/1822/03/14/pdfs/GMD-1822-75.pdf#page=6","Abrir facsímil")</f>
        <v>Abrir facsímil</v>
      </c>
      <c r="K467" s="3" t="s">
        <v>22</v>
      </c>
    </row>
    <row r="468" spans="1:11" ht="42" customHeight="1">
      <c r="A468" s="2" t="s">
        <v>1129</v>
      </c>
      <c r="B468" s="2" t="s">
        <v>1129</v>
      </c>
      <c r="C468" s="2" t="s">
        <v>42</v>
      </c>
      <c r="D468" s="2" t="s">
        <v>17</v>
      </c>
      <c r="E468" s="5">
        <v>-28421</v>
      </c>
      <c r="F468" s="3" t="s">
        <v>446</v>
      </c>
      <c r="G468" s="3" t="s">
        <v>31</v>
      </c>
      <c r="H468" s="2" t="s">
        <v>20</v>
      </c>
      <c r="I468" s="2" t="s">
        <v>1130</v>
      </c>
      <c r="J468" s="3" t="str">
        <f>HYPERLINK("https://www.boe.es/gazeta/dias/1822/03/08/pdfs/GMD-1822-69.pdf#page=3","Abrir facsímil")</f>
        <v>Abrir facsímil</v>
      </c>
      <c r="K468" s="3" t="s">
        <v>22</v>
      </c>
    </row>
    <row r="469" spans="1:11" ht="42" customHeight="1">
      <c r="A469" s="2" t="s">
        <v>1129</v>
      </c>
      <c r="B469" s="2" t="s">
        <v>1129</v>
      </c>
      <c r="C469" s="2" t="s">
        <v>28</v>
      </c>
      <c r="D469" s="2" t="s">
        <v>29</v>
      </c>
      <c r="E469" s="5">
        <v>-28415</v>
      </c>
      <c r="F469" s="3" t="s">
        <v>77</v>
      </c>
      <c r="G469" s="3" t="s">
        <v>44</v>
      </c>
      <c r="H469" s="2" t="s">
        <v>20</v>
      </c>
      <c r="I469" s="2" t="s">
        <v>1131</v>
      </c>
      <c r="J469" s="3" t="str">
        <f>HYPERLINK("https://www.boe.es/gazeta/dias/1822/03/14/pdfs/GMD-1822-75.pdf#page=1","Abrir facsímil")</f>
        <v>Abrir facsímil</v>
      </c>
      <c r="K469" s="3" t="s">
        <v>22</v>
      </c>
    </row>
    <row r="470" spans="1:11" ht="42" customHeight="1">
      <c r="A470" s="2" t="s">
        <v>1129</v>
      </c>
      <c r="B470" s="2" t="s">
        <v>1129</v>
      </c>
      <c r="C470" s="2" t="s">
        <v>50</v>
      </c>
      <c r="D470" s="2" t="s">
        <v>51</v>
      </c>
      <c r="E470" s="5">
        <v>-28412</v>
      </c>
      <c r="F470" s="3" t="s">
        <v>825</v>
      </c>
      <c r="G470" s="3" t="s">
        <v>35</v>
      </c>
      <c r="H470" s="2" t="s">
        <v>20</v>
      </c>
      <c r="I470" s="2" t="s">
        <v>1132</v>
      </c>
      <c r="J470" s="3" t="str">
        <f>HYPERLINK("https://www.boe.es/gazeta/dias/1822/03/17/pdfs/GMD-1822-78.pdf#page=2","Abrir facsímil")</f>
        <v>Abrir facsímil</v>
      </c>
      <c r="K470" s="3" t="s">
        <v>22</v>
      </c>
    </row>
    <row r="471" spans="1:11" ht="42" customHeight="1">
      <c r="A471" s="2" t="s">
        <v>1129</v>
      </c>
      <c r="B471" s="2" t="s">
        <v>1129</v>
      </c>
      <c r="C471" s="2" t="s">
        <v>50</v>
      </c>
      <c r="D471" s="2" t="s">
        <v>51</v>
      </c>
      <c r="E471" s="5">
        <v>-28402</v>
      </c>
      <c r="F471" s="3" t="s">
        <v>473</v>
      </c>
      <c r="G471" s="3" t="s">
        <v>31</v>
      </c>
      <c r="H471" s="2" t="s">
        <v>20</v>
      </c>
      <c r="I471" s="2" t="s">
        <v>1133</v>
      </c>
      <c r="J471" s="3" t="str">
        <f>HYPERLINK("https://www.boe.es/gazeta/dias/1822/03/27/pdfs/GMD-1822-88.pdf#page=3","Abrir facsímil")</f>
        <v>Abrir facsímil</v>
      </c>
      <c r="K471" s="3" t="s">
        <v>22</v>
      </c>
    </row>
    <row r="472" spans="1:11" ht="42" customHeight="1">
      <c r="A472" s="2" t="s">
        <v>1129</v>
      </c>
      <c r="B472" s="2" t="s">
        <v>1129</v>
      </c>
      <c r="C472" s="2" t="s">
        <v>28</v>
      </c>
      <c r="D472" s="2" t="s">
        <v>29</v>
      </c>
      <c r="E472" s="5">
        <v>-28402</v>
      </c>
      <c r="F472" s="3" t="s">
        <v>473</v>
      </c>
      <c r="G472" s="3" t="s">
        <v>57</v>
      </c>
      <c r="H472" s="2" t="s">
        <v>20</v>
      </c>
      <c r="I472" s="2" t="s">
        <v>1134</v>
      </c>
      <c r="J472" s="3" t="str">
        <f>HYPERLINK("https://www.boe.es/gazeta/dias/1822/03/27/pdfs/GMD-1822-88.pdf#page=4","Abrir facsímil")</f>
        <v>Abrir facsímil</v>
      </c>
      <c r="K472" s="3" t="s">
        <v>22</v>
      </c>
    </row>
    <row r="473" spans="1:11" ht="42" customHeight="1">
      <c r="A473" s="2" t="s">
        <v>1129</v>
      </c>
      <c r="B473" s="2" t="s">
        <v>1129</v>
      </c>
      <c r="C473" s="2" t="s">
        <v>50</v>
      </c>
      <c r="D473" s="2" t="s">
        <v>51</v>
      </c>
      <c r="E473" s="5">
        <v>-28402</v>
      </c>
      <c r="F473" s="3" t="s">
        <v>473</v>
      </c>
      <c r="G473" s="3" t="s">
        <v>19</v>
      </c>
      <c r="H473" s="2" t="s">
        <v>20</v>
      </c>
      <c r="I473" s="2" t="s">
        <v>1135</v>
      </c>
      <c r="J473" s="3" t="str">
        <f>HYPERLINK("https://www.boe.es/gazeta/dias/1822/03/27/pdfs/GMD-1822-88.pdf#page=5","Abrir facsímil")</f>
        <v>Abrir facsímil</v>
      </c>
      <c r="K473" s="3" t="s">
        <v>22</v>
      </c>
    </row>
    <row r="474" spans="1:11" ht="42" customHeight="1">
      <c r="A474" s="2" t="s">
        <v>1129</v>
      </c>
      <c r="B474" s="2" t="s">
        <v>1129</v>
      </c>
      <c r="C474" s="2" t="s">
        <v>71</v>
      </c>
      <c r="D474" s="2" t="s">
        <v>17</v>
      </c>
      <c r="E474" s="5">
        <v>-28402</v>
      </c>
      <c r="F474" s="3" t="s">
        <v>473</v>
      </c>
      <c r="G474" s="3" t="s">
        <v>63</v>
      </c>
      <c r="H474" s="2" t="s">
        <v>20</v>
      </c>
      <c r="I474" s="2" t="s">
        <v>1136</v>
      </c>
      <c r="J474" s="3" t="str">
        <f>HYPERLINK("https://www.boe.es/gazeta/dias/1822/03/27/pdfs/GMD-1822-88.pdf#page=6","Abrir facsímil")</f>
        <v>Abrir facsímil</v>
      </c>
      <c r="K474" s="3" t="s">
        <v>22</v>
      </c>
    </row>
    <row r="475" spans="1:11" ht="42" customHeight="1">
      <c r="A475" s="2" t="s">
        <v>1129</v>
      </c>
      <c r="B475" s="2" t="s">
        <v>1129</v>
      </c>
      <c r="C475" s="2" t="s">
        <v>71</v>
      </c>
      <c r="D475" s="2" t="s">
        <v>17</v>
      </c>
      <c r="E475" s="5">
        <v>-28401</v>
      </c>
      <c r="F475" s="3" t="s">
        <v>108</v>
      </c>
      <c r="G475" s="3" t="s">
        <v>63</v>
      </c>
      <c r="H475" s="2" t="s">
        <v>20</v>
      </c>
      <c r="I475" s="2" t="s">
        <v>1137</v>
      </c>
      <c r="J475" s="3" t="str">
        <f>HYPERLINK("https://www.boe.es/gazeta/dias/1822/03/28/pdfs/GMD-1822-89.pdf#page=6","Abrir facsímil")</f>
        <v>Abrir facsímil</v>
      </c>
      <c r="K475" s="3" t="s">
        <v>22</v>
      </c>
    </row>
    <row r="476" spans="1:11" ht="42" customHeight="1">
      <c r="A476" s="2" t="s">
        <v>1129</v>
      </c>
      <c r="B476" s="2" t="s">
        <v>1129</v>
      </c>
      <c r="C476" s="2" t="s">
        <v>50</v>
      </c>
      <c r="D476" s="2" t="s">
        <v>51</v>
      </c>
      <c r="E476" s="5">
        <v>-28396</v>
      </c>
      <c r="F476" s="3" t="s">
        <v>1138</v>
      </c>
      <c r="G476" s="3" t="s">
        <v>167</v>
      </c>
      <c r="H476" s="2" t="s">
        <v>20</v>
      </c>
      <c r="I476" s="2" t="s">
        <v>1139</v>
      </c>
      <c r="J476" s="3" t="str">
        <f>HYPERLINK("https://www.boe.es/gazeta/dias/1822/04/02/pdfs/GMD-1822-94.pdf#page=7","Abrir facsímil")</f>
        <v>Abrir facsímil</v>
      </c>
      <c r="K476" s="3" t="s">
        <v>22</v>
      </c>
    </row>
    <row r="477" spans="1:11" ht="42" customHeight="1">
      <c r="A477" s="2" t="s">
        <v>1129</v>
      </c>
      <c r="B477" s="2" t="s">
        <v>1129</v>
      </c>
      <c r="C477" s="2" t="s">
        <v>28</v>
      </c>
      <c r="D477" s="2" t="s">
        <v>29</v>
      </c>
      <c r="E477" s="5">
        <v>-28366</v>
      </c>
      <c r="F477" s="3" t="s">
        <v>120</v>
      </c>
      <c r="G477" s="3" t="s">
        <v>35</v>
      </c>
      <c r="H477" s="2" t="s">
        <v>20</v>
      </c>
      <c r="I477" s="2" t="s">
        <v>1140</v>
      </c>
      <c r="J477" s="3" t="str">
        <f>HYPERLINK("https://www.boe.es/gazeta/dias/1822/05/02/pdfs/GMD-1822-124.pdf#page=2","Abrir facsímil")</f>
        <v>Abrir facsímil</v>
      </c>
      <c r="K477" s="3" t="s">
        <v>22</v>
      </c>
    </row>
    <row r="478" spans="1:11" ht="42" customHeight="1">
      <c r="A478" s="2" t="s">
        <v>1129</v>
      </c>
      <c r="B478" s="2" t="s">
        <v>1129</v>
      </c>
      <c r="C478" s="2" t="s">
        <v>1141</v>
      </c>
      <c r="D478" s="2" t="s">
        <v>29</v>
      </c>
      <c r="E478" s="5">
        <v>-28321</v>
      </c>
      <c r="F478" s="3" t="s">
        <v>1142</v>
      </c>
      <c r="G478" s="3" t="s">
        <v>19</v>
      </c>
      <c r="H478" s="2" t="s">
        <v>20</v>
      </c>
      <c r="I478" s="2" t="s">
        <v>1143</v>
      </c>
      <c r="J478" s="3" t="str">
        <f>HYPERLINK("https://www.boe.es/gazeta/dias/1822/06/16/pdfs/GMD-1822-173.pdf#page=5","Abrir facsímil")</f>
        <v>Abrir facsímil</v>
      </c>
      <c r="K478" s="3" t="s">
        <v>22</v>
      </c>
    </row>
    <row r="479" spans="1:11" ht="42" customHeight="1">
      <c r="A479" s="2" t="s">
        <v>1129</v>
      </c>
      <c r="B479" s="2" t="s">
        <v>1129</v>
      </c>
      <c r="C479" s="2" t="s">
        <v>42</v>
      </c>
      <c r="D479" s="2" t="s">
        <v>17</v>
      </c>
      <c r="E479" s="5">
        <v>-28316</v>
      </c>
      <c r="F479" s="3" t="s">
        <v>1144</v>
      </c>
      <c r="G479" s="3" t="s">
        <v>31</v>
      </c>
      <c r="H479" s="2" t="s">
        <v>20</v>
      </c>
      <c r="I479" s="2" t="s">
        <v>1145</v>
      </c>
      <c r="J479" s="3" t="str">
        <f>HYPERLINK("https://www.boe.es/gazeta/dias/1822/06/21/pdfs/GMD-1822-179.pdf#page=3","Abrir facsímil")</f>
        <v>Abrir facsímil</v>
      </c>
      <c r="K479" s="3" t="s">
        <v>22</v>
      </c>
    </row>
    <row r="480" spans="1:11" ht="42" customHeight="1">
      <c r="A480" s="2" t="s">
        <v>1129</v>
      </c>
      <c r="B480" s="2" t="s">
        <v>1129</v>
      </c>
      <c r="C480" s="2" t="s">
        <v>71</v>
      </c>
      <c r="D480" s="2" t="s">
        <v>17</v>
      </c>
      <c r="E480" s="5">
        <v>-28308</v>
      </c>
      <c r="F480" s="3" t="s">
        <v>1050</v>
      </c>
      <c r="G480" s="3" t="s">
        <v>57</v>
      </c>
      <c r="H480" s="2" t="s">
        <v>20</v>
      </c>
      <c r="I480" s="2" t="s">
        <v>1146</v>
      </c>
      <c r="J480" s="3" t="str">
        <f>HYPERLINK("https://www.boe.es/gazeta/dias/1822/06/29/pdfs/GMD-1822-187.pdf#page=4","Abrir facsímil")</f>
        <v>Abrir facsímil</v>
      </c>
      <c r="K480" s="3" t="s">
        <v>22</v>
      </c>
    </row>
    <row r="481" spans="1:11" ht="42" customHeight="1">
      <c r="A481" s="2" t="s">
        <v>1129</v>
      </c>
      <c r="B481" s="2" t="s">
        <v>1129</v>
      </c>
      <c r="C481" s="2" t="s">
        <v>50</v>
      </c>
      <c r="D481" s="2" t="s">
        <v>51</v>
      </c>
      <c r="E481" s="5">
        <v>-28289</v>
      </c>
      <c r="F481" s="3" t="s">
        <v>390</v>
      </c>
      <c r="G481" s="3" t="s">
        <v>35</v>
      </c>
      <c r="H481" s="2" t="s">
        <v>20</v>
      </c>
      <c r="I481" s="2" t="s">
        <v>1147</v>
      </c>
      <c r="J481" s="3" t="str">
        <f>HYPERLINK("https://www.boe.es/gazeta/dias/1822/07/18/pdfs/GMD-1822-209.pdf#page=2","Abrir facsímil")</f>
        <v>Abrir facsímil</v>
      </c>
      <c r="K481" s="3" t="s">
        <v>22</v>
      </c>
    </row>
    <row r="482" spans="1:11" ht="42" customHeight="1">
      <c r="A482" s="2" t="s">
        <v>1129</v>
      </c>
      <c r="B482" s="2" t="s">
        <v>1129</v>
      </c>
      <c r="C482" s="2" t="s">
        <v>28</v>
      </c>
      <c r="D482" s="2" t="s">
        <v>29</v>
      </c>
      <c r="E482" s="5">
        <v>-28192</v>
      </c>
      <c r="F482" s="3" t="s">
        <v>43</v>
      </c>
      <c r="G482" s="3" t="s">
        <v>63</v>
      </c>
      <c r="H482" s="2" t="s">
        <v>20</v>
      </c>
      <c r="I482" s="2" t="s">
        <v>1148</v>
      </c>
      <c r="J482" s="3" t="str">
        <f>HYPERLINK("https://www.boe.es/gazeta/dias/1822/10/23/pdfs/GMD-1822-310.pdf#page=6","Abrir facsímil")</f>
        <v>Abrir facsímil</v>
      </c>
      <c r="K482" s="3" t="s">
        <v>22</v>
      </c>
    </row>
    <row r="483" spans="1:11" ht="42" customHeight="1">
      <c r="A483" s="2" t="s">
        <v>1149</v>
      </c>
      <c r="B483" s="2" t="s">
        <v>1150</v>
      </c>
      <c r="C483" s="2" t="s">
        <v>50</v>
      </c>
      <c r="D483" s="2" t="s">
        <v>51</v>
      </c>
      <c r="E483" s="5">
        <v>-28458</v>
      </c>
      <c r="F483" s="3" t="s">
        <v>1151</v>
      </c>
      <c r="G483" s="3" t="s">
        <v>57</v>
      </c>
      <c r="H483" s="2" t="s">
        <v>20</v>
      </c>
      <c r="I483" s="2" t="s">
        <v>1152</v>
      </c>
      <c r="J483" s="3" t="str">
        <f>HYPERLINK("https://www.boe.es/gazeta/dias/1822/01/30/pdfs/GMD-1822-30.pdf#page=4","Abrir facsímil")</f>
        <v>Abrir facsímil</v>
      </c>
      <c r="K483" s="3" t="s">
        <v>22</v>
      </c>
    </row>
    <row r="484" spans="1:11" ht="42" customHeight="1">
      <c r="A484" s="2" t="s">
        <v>1149</v>
      </c>
      <c r="B484" s="2" t="s">
        <v>1150</v>
      </c>
      <c r="C484" s="2" t="s">
        <v>50</v>
      </c>
      <c r="D484" s="2" t="s">
        <v>51</v>
      </c>
      <c r="E484" s="5">
        <v>-28396</v>
      </c>
      <c r="F484" s="3" t="s">
        <v>1138</v>
      </c>
      <c r="G484" s="3" t="s">
        <v>167</v>
      </c>
      <c r="H484" s="2" t="s">
        <v>20</v>
      </c>
      <c r="I484" s="2" t="s">
        <v>1153</v>
      </c>
      <c r="J484" s="3" t="str">
        <f>HYPERLINK("https://www.boe.es/gazeta/dias/1822/04/02/pdfs/GMD-1822-94.pdf#page=7","Abrir facsímil")</f>
        <v>Abrir facsímil</v>
      </c>
      <c r="K484" s="3" t="s">
        <v>22</v>
      </c>
    </row>
    <row r="485" spans="1:11" ht="42" customHeight="1">
      <c r="A485" s="2" t="s">
        <v>1154</v>
      </c>
      <c r="B485" s="2" t="s">
        <v>1154</v>
      </c>
      <c r="C485" s="2" t="s">
        <v>71</v>
      </c>
      <c r="D485" s="2" t="s">
        <v>17</v>
      </c>
      <c r="E485" s="5">
        <v>-28180</v>
      </c>
      <c r="F485" s="3" t="s">
        <v>839</v>
      </c>
      <c r="G485" s="3" t="s">
        <v>35</v>
      </c>
      <c r="H485" s="2" t="s">
        <v>20</v>
      </c>
      <c r="I485" s="2" t="s">
        <v>1155</v>
      </c>
      <c r="J485" s="3" t="str">
        <f>HYPERLINK("https://www.boe.es/gazeta/dias/1822/11/04/pdfs/GMD-1822-323.pdf#page=2","Abrir facsímil")</f>
        <v>Abrir facsímil</v>
      </c>
      <c r="K485" s="3" t="s">
        <v>22</v>
      </c>
    </row>
    <row r="486" spans="1:11" ht="42" customHeight="1">
      <c r="A486" s="2" t="s">
        <v>1156</v>
      </c>
      <c r="B486" s="2" t="s">
        <v>1157</v>
      </c>
      <c r="C486" s="2" t="s">
        <v>50</v>
      </c>
      <c r="D486" s="2" t="s">
        <v>51</v>
      </c>
      <c r="E486" s="5">
        <v>-28303</v>
      </c>
      <c r="F486" s="3" t="s">
        <v>201</v>
      </c>
      <c r="G486" s="3" t="s">
        <v>31</v>
      </c>
      <c r="H486" s="2" t="s">
        <v>20</v>
      </c>
      <c r="I486" s="2" t="s">
        <v>1158</v>
      </c>
      <c r="J486" s="3" t="str">
        <f>HYPERLINK("https://www.boe.es/gazeta/dias/1822/07/04/pdfs/GMD-1822-193.pdf#page=3","Abrir facsímil")</f>
        <v>Abrir facsímil</v>
      </c>
      <c r="K486" s="3" t="s">
        <v>22</v>
      </c>
    </row>
    <row r="487" spans="1:11" ht="42" customHeight="1">
      <c r="A487" s="2" t="s">
        <v>1159</v>
      </c>
      <c r="B487" s="2" t="s">
        <v>1160</v>
      </c>
      <c r="C487" s="2" t="s">
        <v>50</v>
      </c>
      <c r="D487" s="2" t="s">
        <v>51</v>
      </c>
      <c r="E487" s="5">
        <v>-28228</v>
      </c>
      <c r="F487" s="3" t="s">
        <v>718</v>
      </c>
      <c r="G487" s="3" t="s">
        <v>719</v>
      </c>
      <c r="H487" s="2" t="s">
        <v>45</v>
      </c>
      <c r="I487" s="2" t="s">
        <v>1161</v>
      </c>
      <c r="J487" s="3" t="str">
        <f>HYPERLINK("https://www.boe.es/gazeta/dias/1822/09/17/pdfs/GMD-1822-273.pdf#page=3","Abrir facsímil")</f>
        <v>Abrir facsímil</v>
      </c>
      <c r="K487" s="3" t="s">
        <v>47</v>
      </c>
    </row>
    <row r="488" spans="1:11" ht="42" customHeight="1">
      <c r="A488" s="2" t="s">
        <v>1162</v>
      </c>
      <c r="B488" s="2" t="s">
        <v>1163</v>
      </c>
      <c r="C488" s="2" t="s">
        <v>362</v>
      </c>
      <c r="D488" s="2" t="s">
        <v>17</v>
      </c>
      <c r="E488" s="5">
        <v>-28469</v>
      </c>
      <c r="F488" s="3" t="s">
        <v>1164</v>
      </c>
      <c r="G488" s="3" t="s">
        <v>57</v>
      </c>
      <c r="H488" s="2" t="s">
        <v>20</v>
      </c>
      <c r="I488" s="2" t="s">
        <v>1165</v>
      </c>
      <c r="J488" s="3" t="str">
        <f>HYPERLINK("https://www.boe.es/gazeta/dias/1822/01/19/pdfs/GMD-1822-19.pdf#page=4","Abrir facsímil")</f>
        <v>Abrir facsímil</v>
      </c>
      <c r="K488" s="3" t="s">
        <v>22</v>
      </c>
    </row>
    <row r="489" spans="1:11" ht="42" customHeight="1">
      <c r="A489" s="2" t="s">
        <v>1166</v>
      </c>
      <c r="B489" s="2" t="s">
        <v>1167</v>
      </c>
      <c r="C489" s="2" t="s">
        <v>28</v>
      </c>
      <c r="D489" s="2" t="s">
        <v>29</v>
      </c>
      <c r="E489" s="5">
        <v>-28308</v>
      </c>
      <c r="F489" s="3" t="s">
        <v>1050</v>
      </c>
      <c r="G489" s="3" t="s">
        <v>157</v>
      </c>
      <c r="H489" s="2" t="s">
        <v>20</v>
      </c>
      <c r="I489" s="2" t="s">
        <v>1168</v>
      </c>
      <c r="J489" s="3" t="str">
        <f>HYPERLINK("https://www.boe.es/gazeta/dias/1822/06/29/pdfs/GMD-1822-187.pdf#page=8","Abrir facsímil")</f>
        <v>Abrir facsímil</v>
      </c>
      <c r="K489" s="3" t="s">
        <v>22</v>
      </c>
    </row>
    <row r="490" spans="1:11" ht="42" customHeight="1">
      <c r="A490" s="2" t="s">
        <v>1166</v>
      </c>
      <c r="B490" s="2" t="s">
        <v>1167</v>
      </c>
      <c r="C490" s="2" t="s">
        <v>42</v>
      </c>
      <c r="D490" s="2" t="s">
        <v>17</v>
      </c>
      <c r="E490" s="5">
        <v>-28266</v>
      </c>
      <c r="F490" s="3" t="s">
        <v>1169</v>
      </c>
      <c r="G490" s="3" t="s">
        <v>57</v>
      </c>
      <c r="H490" s="2" t="s">
        <v>20</v>
      </c>
      <c r="I490" s="2" t="s">
        <v>1170</v>
      </c>
      <c r="J490" s="3" t="str">
        <f>HYPERLINK("https://www.boe.es/gazeta/dias/1822/08/10/pdfs/GMD-1822-234.pdf#page=4","Abrir facsímil")</f>
        <v>Abrir facsímil</v>
      </c>
      <c r="K490" s="3" t="s">
        <v>22</v>
      </c>
    </row>
    <row r="491" spans="1:11" ht="42" customHeight="1">
      <c r="A491" s="2" t="s">
        <v>1166</v>
      </c>
      <c r="B491" s="2" t="s">
        <v>1167</v>
      </c>
      <c r="C491" s="2" t="s">
        <v>61</v>
      </c>
      <c r="D491" s="2" t="s">
        <v>17</v>
      </c>
      <c r="E491" s="5">
        <v>-28257</v>
      </c>
      <c r="F491" s="3" t="s">
        <v>1171</v>
      </c>
      <c r="G491" s="3" t="s">
        <v>1172</v>
      </c>
      <c r="H491" s="2" t="s">
        <v>20</v>
      </c>
      <c r="I491" s="2" t="s">
        <v>1173</v>
      </c>
      <c r="J491" s="3" t="str">
        <f>HYPERLINK("https://www.boe.es/gazeta/dias/1822/08/19/pdfs/GMD-1822-243.pdf#page=4","Abrir facsímil")</f>
        <v>Abrir facsímil</v>
      </c>
      <c r="K491" s="3" t="s">
        <v>22</v>
      </c>
    </row>
    <row r="492" spans="1:11" ht="42" customHeight="1">
      <c r="A492" s="2" t="s">
        <v>1166</v>
      </c>
      <c r="B492" s="2" t="s">
        <v>1167</v>
      </c>
      <c r="C492" s="2" t="s">
        <v>42</v>
      </c>
      <c r="D492" s="2" t="s">
        <v>17</v>
      </c>
      <c r="E492" s="5">
        <v>-28250</v>
      </c>
      <c r="F492" s="3" t="s">
        <v>1174</v>
      </c>
      <c r="G492" s="3" t="s">
        <v>57</v>
      </c>
      <c r="H492" s="2" t="s">
        <v>20</v>
      </c>
      <c r="I492" s="2" t="s">
        <v>1175</v>
      </c>
      <c r="J492" s="3" t="str">
        <f>HYPERLINK("https://www.boe.es/gazeta/dias/1822/08/26/pdfs/GMD-1822-250.pdf#page=4","Abrir facsímil")</f>
        <v>Abrir facsímil</v>
      </c>
      <c r="K492" s="3" t="s">
        <v>22</v>
      </c>
    </row>
    <row r="493" spans="1:11" ht="42" customHeight="1">
      <c r="A493" s="2" t="s">
        <v>1176</v>
      </c>
      <c r="B493" s="2" t="s">
        <v>1177</v>
      </c>
      <c r="C493" s="2" t="s">
        <v>28</v>
      </c>
      <c r="D493" s="2" t="s">
        <v>29</v>
      </c>
      <c r="E493" s="5">
        <v>-28426</v>
      </c>
      <c r="F493" s="3" t="s">
        <v>1178</v>
      </c>
      <c r="G493" s="3" t="s">
        <v>57</v>
      </c>
      <c r="H493" s="2" t="s">
        <v>20</v>
      </c>
      <c r="I493" s="2" t="s">
        <v>1179</v>
      </c>
      <c r="J493" s="3" t="str">
        <f>HYPERLINK("https://www.boe.es/gazeta/dias/1822/03/03/pdfs/GMD-1822-64.pdf#page=4","Abrir facsímil")</f>
        <v>Abrir facsímil</v>
      </c>
      <c r="K493" s="3" t="s">
        <v>22</v>
      </c>
    </row>
    <row r="494" spans="1:11" ht="42" customHeight="1">
      <c r="A494" s="2" t="s">
        <v>1180</v>
      </c>
      <c r="B494" s="2" t="s">
        <v>1181</v>
      </c>
      <c r="C494" s="2" t="s">
        <v>28</v>
      </c>
      <c r="D494" s="2" t="s">
        <v>29</v>
      </c>
      <c r="E494" s="5">
        <v>-28309</v>
      </c>
      <c r="F494" s="3" t="s">
        <v>553</v>
      </c>
      <c r="G494" s="3" t="s">
        <v>157</v>
      </c>
      <c r="H494" s="2" t="s">
        <v>20</v>
      </c>
      <c r="I494" s="2" t="s">
        <v>1182</v>
      </c>
      <c r="J494" s="3" t="str">
        <f>HYPERLINK("https://www.boe.es/gazeta/dias/1822/06/28/pdfs/GMD-1822-186.pdf#page=8","Abrir facsímil")</f>
        <v>Abrir facsímil</v>
      </c>
      <c r="K494" s="3" t="s">
        <v>22</v>
      </c>
    </row>
    <row r="495" spans="1:11" ht="42" customHeight="1">
      <c r="A495" s="2" t="s">
        <v>1183</v>
      </c>
      <c r="B495" s="2" t="s">
        <v>1184</v>
      </c>
      <c r="C495" s="2" t="s">
        <v>42</v>
      </c>
      <c r="D495" s="2" t="s">
        <v>17</v>
      </c>
      <c r="E495" s="5">
        <v>-28129</v>
      </c>
      <c r="F495" s="3" t="s">
        <v>599</v>
      </c>
      <c r="G495" s="3" t="s">
        <v>57</v>
      </c>
      <c r="H495" s="2" t="s">
        <v>45</v>
      </c>
      <c r="I495" s="2" t="s">
        <v>1185</v>
      </c>
      <c r="J495" s="3" t="str">
        <f>HYPERLINK("https://www.boe.es/gazeta/dias/1822/12/25/pdfs/GMD-1822-375.pdf#page=4","Abrir facsímil")</f>
        <v>Abrir facsímil</v>
      </c>
      <c r="K495" s="3" t="s">
        <v>47</v>
      </c>
    </row>
    <row r="496" spans="1:11" ht="42" customHeight="1">
      <c r="A496" s="2" t="s">
        <v>1186</v>
      </c>
      <c r="B496" s="2" t="s">
        <v>1186</v>
      </c>
      <c r="C496" s="2" t="s">
        <v>42</v>
      </c>
      <c r="D496" s="2" t="s">
        <v>17</v>
      </c>
      <c r="E496" s="5">
        <v>-28434</v>
      </c>
      <c r="F496" s="3" t="s">
        <v>433</v>
      </c>
      <c r="G496" s="3" t="s">
        <v>57</v>
      </c>
      <c r="H496" s="2" t="s">
        <v>20</v>
      </c>
      <c r="I496" s="2" t="s">
        <v>1187</v>
      </c>
      <c r="J496" s="3" t="str">
        <f>HYPERLINK("https://www.boe.es/gazeta/dias/1822/02/23/pdfs/GMD-1822-55.pdf#page=4","Abrir facsímil")</f>
        <v>Abrir facsímil</v>
      </c>
      <c r="K496" s="3" t="s">
        <v>22</v>
      </c>
    </row>
    <row r="497" spans="1:11" ht="42" customHeight="1">
      <c r="A497" s="2" t="s">
        <v>1186</v>
      </c>
      <c r="B497" s="2" t="s">
        <v>1186</v>
      </c>
      <c r="C497" s="2" t="s">
        <v>42</v>
      </c>
      <c r="D497" s="2" t="s">
        <v>17</v>
      </c>
      <c r="E497" s="5">
        <v>-28415</v>
      </c>
      <c r="F497" s="3" t="s">
        <v>77</v>
      </c>
      <c r="G497" s="3" t="s">
        <v>35</v>
      </c>
      <c r="H497" s="2" t="s">
        <v>20</v>
      </c>
      <c r="I497" s="2" t="s">
        <v>1188</v>
      </c>
      <c r="J497" s="3" t="str">
        <f>HYPERLINK("https://www.boe.es/gazeta/dias/1822/03/14/pdfs/GMD-1822-75.pdf#page=2","Abrir facsímil")</f>
        <v>Abrir facsímil</v>
      </c>
      <c r="K497" s="3" t="s">
        <v>22</v>
      </c>
    </row>
    <row r="498" spans="1:11" ht="42" customHeight="1">
      <c r="A498" s="2" t="s">
        <v>1186</v>
      </c>
      <c r="B498" s="2" t="s">
        <v>1186</v>
      </c>
      <c r="C498" s="2" t="s">
        <v>50</v>
      </c>
      <c r="D498" s="2" t="s">
        <v>51</v>
      </c>
      <c r="E498" s="5">
        <v>-28412</v>
      </c>
      <c r="F498" s="3" t="s">
        <v>825</v>
      </c>
      <c r="G498" s="3" t="s">
        <v>35</v>
      </c>
      <c r="H498" s="2" t="s">
        <v>20</v>
      </c>
      <c r="I498" s="2" t="s">
        <v>1189</v>
      </c>
      <c r="J498" s="3" t="str">
        <f>HYPERLINK("https://www.boe.es/gazeta/dias/1822/03/17/pdfs/GMD-1822-78.pdf#page=2","Abrir facsímil")</f>
        <v>Abrir facsímil</v>
      </c>
      <c r="K498" s="3" t="s">
        <v>22</v>
      </c>
    </row>
    <row r="499" spans="1:11" ht="42" customHeight="1">
      <c r="A499" s="2" t="s">
        <v>1186</v>
      </c>
      <c r="B499" s="2" t="s">
        <v>1186</v>
      </c>
      <c r="C499" s="2" t="s">
        <v>28</v>
      </c>
      <c r="D499" s="2" t="s">
        <v>29</v>
      </c>
      <c r="E499" s="5">
        <v>-28402</v>
      </c>
      <c r="F499" s="3" t="s">
        <v>473</v>
      </c>
      <c r="G499" s="3" t="s">
        <v>35</v>
      </c>
      <c r="H499" s="2" t="s">
        <v>20</v>
      </c>
      <c r="I499" s="2" t="s">
        <v>1190</v>
      </c>
      <c r="J499" s="3" t="str">
        <f>HYPERLINK("https://www.boe.es/gazeta/dias/1822/03/27/pdfs/GMD-1822-88.pdf#page=2","Abrir facsímil")</f>
        <v>Abrir facsímil</v>
      </c>
      <c r="K499" s="3" t="s">
        <v>22</v>
      </c>
    </row>
    <row r="500" spans="1:11" ht="42" customHeight="1">
      <c r="A500" s="2" t="s">
        <v>1186</v>
      </c>
      <c r="B500" s="2" t="s">
        <v>1186</v>
      </c>
      <c r="C500" s="2" t="s">
        <v>28</v>
      </c>
      <c r="D500" s="2" t="s">
        <v>29</v>
      </c>
      <c r="E500" s="5">
        <v>-28332</v>
      </c>
      <c r="F500" s="3" t="s">
        <v>535</v>
      </c>
      <c r="G500" s="3" t="s">
        <v>31</v>
      </c>
      <c r="H500" s="2" t="s">
        <v>20</v>
      </c>
      <c r="I500" s="2" t="s">
        <v>1191</v>
      </c>
      <c r="J500" s="3" t="str">
        <f>HYPERLINK("https://www.boe.es/gazeta/dias/1822/06/05/pdfs/GMD-1822-162.pdf#page=3","Abrir facsímil")</f>
        <v>Abrir facsímil</v>
      </c>
      <c r="K500" s="3" t="s">
        <v>22</v>
      </c>
    </row>
    <row r="501" spans="1:11" ht="42" customHeight="1">
      <c r="A501" s="2" t="s">
        <v>1186</v>
      </c>
      <c r="B501" s="2" t="s">
        <v>1186</v>
      </c>
      <c r="C501" s="2" t="s">
        <v>71</v>
      </c>
      <c r="D501" s="2" t="s">
        <v>17</v>
      </c>
      <c r="E501" s="5">
        <v>-28328</v>
      </c>
      <c r="F501" s="3" t="s">
        <v>540</v>
      </c>
      <c r="G501" s="3" t="s">
        <v>31</v>
      </c>
      <c r="H501" s="2" t="s">
        <v>20</v>
      </c>
      <c r="I501" s="2" t="s">
        <v>1192</v>
      </c>
      <c r="J501" s="3" t="str">
        <f>HYPERLINK("https://www.boe.es/gazeta/dias/1822/06/09/pdfs/GMD-1822-166.pdf#page=3","Abrir facsímil")</f>
        <v>Abrir facsímil</v>
      </c>
      <c r="K501" s="3" t="s">
        <v>22</v>
      </c>
    </row>
    <row r="502" spans="1:11" ht="42" customHeight="1">
      <c r="A502" s="2" t="s">
        <v>1193</v>
      </c>
      <c r="B502" s="2" t="s">
        <v>1194</v>
      </c>
      <c r="C502" s="2" t="s">
        <v>50</v>
      </c>
      <c r="D502" s="2" t="s">
        <v>51</v>
      </c>
      <c r="E502" s="5">
        <v>-28208</v>
      </c>
      <c r="F502" s="3" t="s">
        <v>230</v>
      </c>
      <c r="G502" s="3" t="s">
        <v>57</v>
      </c>
      <c r="H502" s="2" t="s">
        <v>20</v>
      </c>
      <c r="I502" s="2" t="s">
        <v>1195</v>
      </c>
      <c r="J502" s="3" t="str">
        <f>HYPERLINK("https://www.boe.es/gazeta/dias/1822/10/07/pdfs/GMD-1822-293.pdf#page=4","Abrir facsímil")</f>
        <v>Abrir facsímil</v>
      </c>
      <c r="K502" s="3" t="s">
        <v>22</v>
      </c>
    </row>
    <row r="503" spans="1:11" ht="42" customHeight="1">
      <c r="A503" s="2" t="s">
        <v>1196</v>
      </c>
      <c r="B503" s="2" t="s">
        <v>1197</v>
      </c>
      <c r="C503" s="2" t="s">
        <v>50</v>
      </c>
      <c r="D503" s="2" t="s">
        <v>51</v>
      </c>
      <c r="E503" s="5">
        <v>-28395</v>
      </c>
      <c r="F503" s="3" t="s">
        <v>237</v>
      </c>
      <c r="G503" s="3" t="s">
        <v>57</v>
      </c>
      <c r="H503" s="2" t="s">
        <v>20</v>
      </c>
      <c r="I503" s="2" t="s">
        <v>1198</v>
      </c>
      <c r="J503" s="3" t="str">
        <f>HYPERLINK("https://www.boe.es/gazeta/dias/1822/04/03/pdfs/GMD-1822-95.pdf#page=4","Abrir facsímil")</f>
        <v>Abrir facsímil</v>
      </c>
      <c r="K503" s="3" t="s">
        <v>22</v>
      </c>
    </row>
    <row r="504" spans="1:11" ht="42" customHeight="1">
      <c r="A504" s="2" t="s">
        <v>1199</v>
      </c>
      <c r="B504" s="2" t="s">
        <v>1199</v>
      </c>
      <c r="C504" s="2" t="s">
        <v>28</v>
      </c>
      <c r="D504" s="2" t="s">
        <v>29</v>
      </c>
      <c r="E504" s="5">
        <v>-28416</v>
      </c>
      <c r="F504" s="3" t="s">
        <v>97</v>
      </c>
      <c r="G504" s="3" t="s">
        <v>31</v>
      </c>
      <c r="H504" s="2" t="s">
        <v>20</v>
      </c>
      <c r="I504" s="2" t="s">
        <v>1200</v>
      </c>
      <c r="J504" s="3" t="str">
        <f>HYPERLINK("https://www.boe.es/gazeta/dias/1822/03/13/pdfs/GMD-1822-74.pdf#page=3","Abrir facsímil")</f>
        <v>Abrir facsímil</v>
      </c>
      <c r="K504" s="3" t="s">
        <v>22</v>
      </c>
    </row>
    <row r="505" spans="1:11" ht="42" customHeight="1">
      <c r="A505" s="2" t="s">
        <v>1201</v>
      </c>
      <c r="B505" s="2" t="s">
        <v>1201</v>
      </c>
      <c r="C505" s="2" t="s">
        <v>28</v>
      </c>
      <c r="D505" s="2" t="s">
        <v>29</v>
      </c>
      <c r="E505" s="5">
        <v>-28161</v>
      </c>
      <c r="F505" s="3" t="s">
        <v>166</v>
      </c>
      <c r="G505" s="3" t="s">
        <v>157</v>
      </c>
      <c r="H505" s="2" t="s">
        <v>20</v>
      </c>
      <c r="I505" s="2" t="s">
        <v>1202</v>
      </c>
      <c r="J505" s="3" t="str">
        <f>HYPERLINK("https://www.boe.es/gazeta/dias/1822/11/23/pdfs/GMD-1822-343.pdf#page=8","Abrir facsímil")</f>
        <v>Abrir facsímil</v>
      </c>
      <c r="K505" s="3" t="s">
        <v>22</v>
      </c>
    </row>
    <row r="506" spans="1:11" ht="42" customHeight="1">
      <c r="A506" s="2" t="s">
        <v>1203</v>
      </c>
      <c r="B506" s="2" t="s">
        <v>1204</v>
      </c>
      <c r="C506" s="2" t="s">
        <v>28</v>
      </c>
      <c r="D506" s="2" t="s">
        <v>29</v>
      </c>
      <c r="E506" s="5">
        <v>-28475</v>
      </c>
      <c r="F506" s="3" t="s">
        <v>1205</v>
      </c>
      <c r="G506" s="3" t="s">
        <v>63</v>
      </c>
      <c r="H506" s="2" t="s">
        <v>20</v>
      </c>
      <c r="I506" s="2" t="s">
        <v>1206</v>
      </c>
      <c r="J506" s="3" t="str">
        <f>HYPERLINK("https://www.boe.es/gazeta/dias/1822/01/13/pdfs/GMD-1822-13.pdf#page=6","Abrir facsímil")</f>
        <v>Abrir facsímil</v>
      </c>
      <c r="K506" s="3" t="s">
        <v>22</v>
      </c>
    </row>
    <row r="507" spans="1:11" ht="42" customHeight="1">
      <c r="A507" s="2" t="s">
        <v>1207</v>
      </c>
      <c r="B507" s="2" t="s">
        <v>1208</v>
      </c>
      <c r="C507" s="2" t="s">
        <v>42</v>
      </c>
      <c r="D507" s="2" t="s">
        <v>17</v>
      </c>
      <c r="E507" s="5">
        <v>-28139</v>
      </c>
      <c r="F507" s="3" t="s">
        <v>143</v>
      </c>
      <c r="G507" s="3" t="s">
        <v>144</v>
      </c>
      <c r="H507" s="2" t="s">
        <v>20</v>
      </c>
      <c r="I507" s="2" t="s">
        <v>1209</v>
      </c>
      <c r="J507" s="3" t="str">
        <f>HYPERLINK("https://www.boe.es/gazeta/dias/1822/12/15/pdfs/GMD-1822-365.pdf#page=4","Abrir facsímil")</f>
        <v>Abrir facsímil</v>
      </c>
      <c r="K507" s="3" t="s">
        <v>22</v>
      </c>
    </row>
    <row r="508" spans="1:11" ht="42" customHeight="1">
      <c r="A508" s="2" t="s">
        <v>1210</v>
      </c>
      <c r="B508" s="2" t="s">
        <v>1211</v>
      </c>
      <c r="C508" s="2" t="s">
        <v>24</v>
      </c>
      <c r="D508" s="2" t="s">
        <v>17</v>
      </c>
      <c r="E508" s="5">
        <v>-28130</v>
      </c>
      <c r="F508" s="3" t="s">
        <v>34</v>
      </c>
      <c r="G508" s="3" t="s">
        <v>63</v>
      </c>
      <c r="H508" s="2" t="s">
        <v>20</v>
      </c>
      <c r="I508" s="2" t="s">
        <v>1212</v>
      </c>
      <c r="J508" s="3" t="str">
        <f>HYPERLINK("https://www.boe.es/gazeta/dias/1822/12/24/pdfs/GMD-1822-374.pdf#page=6","Abrir facsímil")</f>
        <v>Abrir facsímil</v>
      </c>
      <c r="K508" s="3" t="s">
        <v>22</v>
      </c>
    </row>
    <row r="509" spans="1:11" ht="42" customHeight="1">
      <c r="A509" s="2" t="s">
        <v>1213</v>
      </c>
      <c r="B509" s="2" t="s">
        <v>1214</v>
      </c>
      <c r="C509" s="2" t="s">
        <v>42</v>
      </c>
      <c r="D509" s="2" t="s">
        <v>17</v>
      </c>
      <c r="E509" s="5">
        <v>-28324</v>
      </c>
      <c r="F509" s="3" t="s">
        <v>305</v>
      </c>
      <c r="G509" s="3" t="s">
        <v>19</v>
      </c>
      <c r="H509" s="2" t="s">
        <v>20</v>
      </c>
      <c r="I509" s="2" t="s">
        <v>1215</v>
      </c>
      <c r="J509" s="3" t="str">
        <f>HYPERLINK("https://www.boe.es/gazeta/dias/1822/06/13/pdfs/GMD-1822-170.pdf#page=5","Abrir facsímil")</f>
        <v>Abrir facsímil</v>
      </c>
      <c r="K509" s="3" t="s">
        <v>22</v>
      </c>
    </row>
    <row r="510" spans="1:11" ht="42" customHeight="1">
      <c r="A510" s="2" t="s">
        <v>1213</v>
      </c>
      <c r="B510" s="2" t="s">
        <v>1214</v>
      </c>
      <c r="C510" s="2" t="s">
        <v>50</v>
      </c>
      <c r="D510" s="2" t="s">
        <v>51</v>
      </c>
      <c r="E510" s="5">
        <v>-28303</v>
      </c>
      <c r="F510" s="3" t="s">
        <v>201</v>
      </c>
      <c r="G510" s="3" t="s">
        <v>35</v>
      </c>
      <c r="H510" s="2" t="s">
        <v>20</v>
      </c>
      <c r="I510" s="2" t="s">
        <v>1216</v>
      </c>
      <c r="J510" s="3" t="str">
        <f>HYPERLINK("https://www.boe.es/gazeta/dias/1822/07/04/pdfs/GMD-1822-193.pdf#page=2","Abrir facsímil")</f>
        <v>Abrir facsímil</v>
      </c>
      <c r="K510" s="3" t="s">
        <v>22</v>
      </c>
    </row>
    <row r="511" spans="1:11" ht="42" customHeight="1">
      <c r="A511" s="2" t="s">
        <v>1213</v>
      </c>
      <c r="B511" s="2" t="s">
        <v>1214</v>
      </c>
      <c r="C511" s="2" t="s">
        <v>16</v>
      </c>
      <c r="D511" s="2" t="s">
        <v>17</v>
      </c>
      <c r="E511" s="5">
        <v>-28288</v>
      </c>
      <c r="F511" s="3" t="s">
        <v>970</v>
      </c>
      <c r="G511" s="3" t="s">
        <v>35</v>
      </c>
      <c r="H511" s="2" t="s">
        <v>20</v>
      </c>
      <c r="I511" s="2" t="s">
        <v>1217</v>
      </c>
      <c r="J511" s="3" t="str">
        <f>HYPERLINK("https://www.boe.es/gazeta/dias/1822/07/19/pdfs/GMD-1822-211.pdf#page=2","Abrir facsímil")</f>
        <v>Abrir facsímil</v>
      </c>
      <c r="K511" s="3" t="s">
        <v>22</v>
      </c>
    </row>
    <row r="512" spans="1:11" ht="42" customHeight="1">
      <c r="A512" s="2" t="s">
        <v>1218</v>
      </c>
      <c r="B512" s="2" t="s">
        <v>1219</v>
      </c>
      <c r="C512" s="2" t="s">
        <v>50</v>
      </c>
      <c r="D512" s="2" t="s">
        <v>51</v>
      </c>
      <c r="E512" s="5">
        <v>-28315</v>
      </c>
      <c r="F512" s="3" t="s">
        <v>1220</v>
      </c>
      <c r="G512" s="3" t="s">
        <v>63</v>
      </c>
      <c r="H512" s="2" t="s">
        <v>20</v>
      </c>
      <c r="I512" s="2" t="s">
        <v>1221</v>
      </c>
      <c r="J512" s="3" t="str">
        <f>HYPERLINK("https://www.boe.es/gazeta/dias/1822/06/22/pdfs/GMD-1822-180.pdf#page=6","Abrir facsímil")</f>
        <v>Abrir facsímil</v>
      </c>
      <c r="K512" s="3" t="s">
        <v>22</v>
      </c>
    </row>
    <row r="513" spans="1:11" ht="42" customHeight="1">
      <c r="A513" s="2" t="s">
        <v>1222</v>
      </c>
      <c r="B513" s="2" t="s">
        <v>1223</v>
      </c>
      <c r="C513" s="2" t="s">
        <v>42</v>
      </c>
      <c r="D513" s="2" t="s">
        <v>17</v>
      </c>
      <c r="E513" s="5">
        <v>-28332</v>
      </c>
      <c r="F513" s="3" t="s">
        <v>535</v>
      </c>
      <c r="G513" s="3" t="s">
        <v>44</v>
      </c>
      <c r="H513" s="2" t="s">
        <v>20</v>
      </c>
      <c r="I513" s="2" t="s">
        <v>1224</v>
      </c>
      <c r="J513" s="3" t="str">
        <f>HYPERLINK("https://www.boe.es/gazeta/dias/1822/06/05/pdfs/GMD-1822-162.pdf#page=1","Abrir facsímil")</f>
        <v>Abrir facsímil</v>
      </c>
      <c r="K513" s="3" t="s">
        <v>22</v>
      </c>
    </row>
    <row r="514" spans="1:11" ht="42" customHeight="1">
      <c r="A514" s="2" t="s">
        <v>1222</v>
      </c>
      <c r="B514" s="2" t="s">
        <v>1223</v>
      </c>
      <c r="C514" s="2" t="s">
        <v>50</v>
      </c>
      <c r="D514" s="2" t="s">
        <v>51</v>
      </c>
      <c r="E514" s="5">
        <v>-28329</v>
      </c>
      <c r="F514" s="3" t="s">
        <v>354</v>
      </c>
      <c r="G514" s="3" t="s">
        <v>63</v>
      </c>
      <c r="H514" s="2" t="s">
        <v>20</v>
      </c>
      <c r="I514" s="2" t="s">
        <v>1225</v>
      </c>
      <c r="J514" s="3" t="str">
        <f>HYPERLINK("https://www.boe.es/gazeta/dias/1822/06/08/pdfs/GMD-1822-165.pdf#page=6","Abrir facsímil")</f>
        <v>Abrir facsímil</v>
      </c>
      <c r="K514" s="3" t="s">
        <v>22</v>
      </c>
    </row>
    <row r="515" spans="1:11" ht="42" customHeight="1">
      <c r="A515" s="2" t="s">
        <v>1226</v>
      </c>
      <c r="B515" s="2" t="s">
        <v>1227</v>
      </c>
      <c r="C515" s="2" t="s">
        <v>24</v>
      </c>
      <c r="D515" s="2" t="s">
        <v>17</v>
      </c>
      <c r="E515" s="5">
        <v>-28323</v>
      </c>
      <c r="F515" s="3" t="s">
        <v>116</v>
      </c>
      <c r="G515" s="3" t="s">
        <v>31</v>
      </c>
      <c r="H515" s="2" t="s">
        <v>20</v>
      </c>
      <c r="I515" s="2" t="s">
        <v>1228</v>
      </c>
      <c r="J515" s="3" t="str">
        <f>HYPERLINK("https://www.boe.es/gazeta/dias/1822/06/14/pdfs/GMD-1822-171.pdf#page=3","Abrir facsímil")</f>
        <v>Abrir facsímil</v>
      </c>
      <c r="K515" s="3" t="s">
        <v>22</v>
      </c>
    </row>
    <row r="516" spans="1:11" ht="42" customHeight="1">
      <c r="A516" s="2" t="s">
        <v>1229</v>
      </c>
      <c r="B516" s="2" t="s">
        <v>1230</v>
      </c>
      <c r="C516" s="2" t="s">
        <v>50</v>
      </c>
      <c r="D516" s="2" t="s">
        <v>51</v>
      </c>
      <c r="E516" s="5">
        <v>-28415</v>
      </c>
      <c r="F516" s="3" t="s">
        <v>77</v>
      </c>
      <c r="G516" s="3" t="s">
        <v>63</v>
      </c>
      <c r="H516" s="2" t="s">
        <v>20</v>
      </c>
      <c r="I516" s="2" t="s">
        <v>1231</v>
      </c>
      <c r="J516" s="3" t="str">
        <f>HYPERLINK("https://www.boe.es/gazeta/dias/1822/03/14/pdfs/GMD-1822-75.pdf#page=6","Abrir facsímil")</f>
        <v>Abrir facsímil</v>
      </c>
      <c r="K516" s="3" t="s">
        <v>22</v>
      </c>
    </row>
    <row r="517" spans="1:11" ht="42" customHeight="1">
      <c r="A517" s="2" t="s">
        <v>1232</v>
      </c>
      <c r="B517" s="2" t="s">
        <v>1232</v>
      </c>
      <c r="C517" s="2" t="s">
        <v>42</v>
      </c>
      <c r="D517" s="2" t="s">
        <v>17</v>
      </c>
      <c r="E517" s="5">
        <v>-28418</v>
      </c>
      <c r="F517" s="3" t="s">
        <v>205</v>
      </c>
      <c r="G517" s="3" t="s">
        <v>44</v>
      </c>
      <c r="H517" s="2" t="s">
        <v>20</v>
      </c>
      <c r="I517" s="2" t="s">
        <v>1233</v>
      </c>
      <c r="J517" s="3" t="str">
        <f>HYPERLINK("https://www.boe.es/gazeta/dias/1822/03/11/pdfs/GMD-1822-72.pdf#page=1","Abrir facsímil")</f>
        <v>Abrir facsímil</v>
      </c>
      <c r="K517" s="3" t="s">
        <v>22</v>
      </c>
    </row>
    <row r="518" spans="1:11" ht="42" customHeight="1">
      <c r="A518" s="2" t="s">
        <v>1234</v>
      </c>
      <c r="B518" s="2" t="s">
        <v>1234</v>
      </c>
      <c r="C518" s="2" t="s">
        <v>61</v>
      </c>
      <c r="D518" s="2" t="s">
        <v>17</v>
      </c>
      <c r="E518" s="5">
        <v>-28355</v>
      </c>
      <c r="F518" s="3" t="s">
        <v>692</v>
      </c>
      <c r="G518" s="3" t="s">
        <v>44</v>
      </c>
      <c r="H518" s="2" t="s">
        <v>20</v>
      </c>
      <c r="I518" s="2" t="s">
        <v>1235</v>
      </c>
      <c r="J518" s="3" t="str">
        <f>HYPERLINK("https://www.boe.es/gazeta/dias/1822/05/13/pdfs/GMD-1822-135.pdf#page=1","Abrir facsímil")</f>
        <v>Abrir facsímil</v>
      </c>
      <c r="K518" s="3" t="s">
        <v>22</v>
      </c>
    </row>
    <row r="519" spans="1:11" ht="42" customHeight="1">
      <c r="A519" s="2" t="s">
        <v>1236</v>
      </c>
      <c r="B519" s="2" t="s">
        <v>1236</v>
      </c>
      <c r="C519" s="2" t="s">
        <v>28</v>
      </c>
      <c r="D519" s="2" t="s">
        <v>29</v>
      </c>
      <c r="E519" s="5">
        <v>-28376</v>
      </c>
      <c r="F519" s="3" t="s">
        <v>500</v>
      </c>
      <c r="G519" s="3" t="s">
        <v>501</v>
      </c>
      <c r="H519" s="2" t="s">
        <v>20</v>
      </c>
      <c r="I519" s="2" t="s">
        <v>1237</v>
      </c>
      <c r="J519" s="3" t="str">
        <f>HYPERLINK("https://www.boe.es/gazeta/dias/1822/04/22/pdfs/GMD-1822-114.pdf#page=3","Abrir facsímil")</f>
        <v>Abrir facsímil</v>
      </c>
      <c r="K519" s="3" t="s">
        <v>22</v>
      </c>
    </row>
    <row r="520" spans="1:11" ht="42" customHeight="1">
      <c r="A520" s="2" t="s">
        <v>1238</v>
      </c>
      <c r="B520" s="2" t="s">
        <v>1239</v>
      </c>
      <c r="C520" s="2" t="s">
        <v>71</v>
      </c>
      <c r="D520" s="2" t="s">
        <v>17</v>
      </c>
      <c r="E520" s="5">
        <v>-28346</v>
      </c>
      <c r="F520" s="3" t="s">
        <v>191</v>
      </c>
      <c r="G520" s="3" t="s">
        <v>63</v>
      </c>
      <c r="H520" s="2" t="s">
        <v>20</v>
      </c>
      <c r="I520" s="2" t="s">
        <v>1240</v>
      </c>
      <c r="J520" s="3" t="str">
        <f>HYPERLINK("https://www.boe.es/gazeta/dias/1822/05/22/pdfs/GMD-1822-145.pdf#page=6","Abrir facsímil")</f>
        <v>Abrir facsímil</v>
      </c>
      <c r="K520" s="3" t="s">
        <v>22</v>
      </c>
    </row>
    <row r="521" spans="1:11" ht="42" customHeight="1">
      <c r="A521" s="2" t="s">
        <v>1241</v>
      </c>
      <c r="B521" s="2" t="s">
        <v>1241</v>
      </c>
      <c r="C521" s="2" t="s">
        <v>28</v>
      </c>
      <c r="D521" s="2" t="s">
        <v>29</v>
      </c>
      <c r="E521" s="5">
        <v>-28418</v>
      </c>
      <c r="F521" s="3" t="s">
        <v>205</v>
      </c>
      <c r="G521" s="3" t="s">
        <v>157</v>
      </c>
      <c r="H521" s="2" t="s">
        <v>20</v>
      </c>
      <c r="I521" s="2" t="s">
        <v>1242</v>
      </c>
      <c r="J521" s="3" t="str">
        <f>HYPERLINK("https://www.boe.es/gazeta/dias/1822/03/11/pdfs/GMD-1822-72.pdf#page=8","Abrir facsímil")</f>
        <v>Abrir facsímil</v>
      </c>
      <c r="K521" s="3" t="s">
        <v>22</v>
      </c>
    </row>
    <row r="522" spans="1:11" ht="42" customHeight="1">
      <c r="A522" s="2" t="s">
        <v>1241</v>
      </c>
      <c r="B522" s="2" t="s">
        <v>1241</v>
      </c>
      <c r="C522" s="2" t="s">
        <v>28</v>
      </c>
      <c r="D522" s="2" t="s">
        <v>29</v>
      </c>
      <c r="E522" s="5">
        <v>-28389</v>
      </c>
      <c r="F522" s="3" t="s">
        <v>481</v>
      </c>
      <c r="G522" s="3" t="s">
        <v>35</v>
      </c>
      <c r="H522" s="2" t="s">
        <v>20</v>
      </c>
      <c r="I522" s="2" t="s">
        <v>1243</v>
      </c>
      <c r="J522" s="3" t="str">
        <f>HYPERLINK("https://www.boe.es/gazeta/dias/1822/04/09/pdfs/GMD-1822-101.pdf#page=2","Abrir facsímil")</f>
        <v>Abrir facsímil</v>
      </c>
      <c r="K522" s="3" t="s">
        <v>22</v>
      </c>
    </row>
    <row r="523" spans="1:11" ht="42" customHeight="1">
      <c r="A523" s="2" t="s">
        <v>1241</v>
      </c>
      <c r="B523" s="2" t="s">
        <v>1241</v>
      </c>
      <c r="C523" s="2" t="s">
        <v>28</v>
      </c>
      <c r="D523" s="2" t="s">
        <v>29</v>
      </c>
      <c r="E523" s="5">
        <v>-28389</v>
      </c>
      <c r="F523" s="3" t="s">
        <v>481</v>
      </c>
      <c r="G523" s="3" t="s">
        <v>31</v>
      </c>
      <c r="H523" s="2" t="s">
        <v>20</v>
      </c>
      <c r="I523" s="2" t="s">
        <v>1244</v>
      </c>
      <c r="J523" s="3" t="str">
        <f>HYPERLINK("https://www.boe.es/gazeta/dias/1822/04/09/pdfs/GMD-1822-101.pdf#page=3","Abrir facsímil")</f>
        <v>Abrir facsímil</v>
      </c>
      <c r="K523" s="3" t="s">
        <v>22</v>
      </c>
    </row>
    <row r="524" spans="1:11" ht="42" customHeight="1">
      <c r="A524" s="2" t="s">
        <v>1241</v>
      </c>
      <c r="B524" s="2" t="s">
        <v>1241</v>
      </c>
      <c r="C524" s="2" t="s">
        <v>28</v>
      </c>
      <c r="D524" s="2" t="s">
        <v>29</v>
      </c>
      <c r="E524" s="5">
        <v>-28376</v>
      </c>
      <c r="F524" s="3" t="s">
        <v>500</v>
      </c>
      <c r="G524" s="3" t="s">
        <v>57</v>
      </c>
      <c r="H524" s="2" t="s">
        <v>20</v>
      </c>
      <c r="I524" s="2" t="s">
        <v>1245</v>
      </c>
      <c r="J524" s="3" t="str">
        <f>HYPERLINK("https://www.boe.es/gazeta/dias/1822/04/22/pdfs/GMD-1822-114.pdf#page=4","Abrir facsímil")</f>
        <v>Abrir facsímil</v>
      </c>
      <c r="K524" s="3" t="s">
        <v>22</v>
      </c>
    </row>
    <row r="525" spans="1:11" ht="42" customHeight="1">
      <c r="A525" s="2" t="s">
        <v>1241</v>
      </c>
      <c r="B525" s="2" t="s">
        <v>1241</v>
      </c>
      <c r="C525" s="2" t="s">
        <v>28</v>
      </c>
      <c r="D525" s="2" t="s">
        <v>29</v>
      </c>
      <c r="E525" s="5">
        <v>-28365</v>
      </c>
      <c r="F525" s="3" t="s">
        <v>506</v>
      </c>
      <c r="G525" s="3" t="s">
        <v>57</v>
      </c>
      <c r="H525" s="2" t="s">
        <v>20</v>
      </c>
      <c r="I525" s="2" t="s">
        <v>1246</v>
      </c>
      <c r="J525" s="3" t="str">
        <f>HYPERLINK("https://www.boe.es/gazeta/dias/1822/05/03/pdfs/GMD-1822-125.pdf#page=4","Abrir facsímil")</f>
        <v>Abrir facsímil</v>
      </c>
      <c r="K525" s="3" t="s">
        <v>22</v>
      </c>
    </row>
    <row r="526" spans="1:11" ht="42" customHeight="1">
      <c r="A526" s="2" t="s">
        <v>1241</v>
      </c>
      <c r="B526" s="2" t="s">
        <v>1241</v>
      </c>
      <c r="C526" s="2" t="s">
        <v>28</v>
      </c>
      <c r="D526" s="2" t="s">
        <v>29</v>
      </c>
      <c r="E526" s="5">
        <v>-28355</v>
      </c>
      <c r="F526" s="3" t="s">
        <v>692</v>
      </c>
      <c r="G526" s="3" t="s">
        <v>57</v>
      </c>
      <c r="H526" s="2" t="s">
        <v>20</v>
      </c>
      <c r="I526" s="2" t="s">
        <v>1247</v>
      </c>
      <c r="J526" s="3" t="str">
        <f>HYPERLINK("https://www.boe.es/gazeta/dias/1822/05/13/pdfs/GMD-1822-135.pdf#page=4","Abrir facsímil")</f>
        <v>Abrir facsímil</v>
      </c>
      <c r="K526" s="3" t="s">
        <v>22</v>
      </c>
    </row>
    <row r="527" spans="1:11" ht="42" customHeight="1">
      <c r="A527" s="2" t="s">
        <v>1241</v>
      </c>
      <c r="B527" s="2" t="s">
        <v>1241</v>
      </c>
      <c r="C527" s="2" t="s">
        <v>28</v>
      </c>
      <c r="D527" s="2" t="s">
        <v>29</v>
      </c>
      <c r="E527" s="5">
        <v>-28353</v>
      </c>
      <c r="F527" s="3" t="s">
        <v>843</v>
      </c>
      <c r="G527" s="3" t="s">
        <v>31</v>
      </c>
      <c r="H527" s="2" t="s">
        <v>20</v>
      </c>
      <c r="I527" s="2" t="s">
        <v>1248</v>
      </c>
      <c r="J527" s="3" t="str">
        <f>HYPERLINK("https://www.boe.es/gazeta/dias/1822/05/15/pdfs/GMD-1822-137.pdf#page=3","Abrir facsímil")</f>
        <v>Abrir facsímil</v>
      </c>
      <c r="K527" s="3" t="s">
        <v>22</v>
      </c>
    </row>
    <row r="528" spans="1:11" ht="42" customHeight="1">
      <c r="A528" s="2" t="s">
        <v>1241</v>
      </c>
      <c r="B528" s="2" t="s">
        <v>1241</v>
      </c>
      <c r="C528" s="2" t="s">
        <v>28</v>
      </c>
      <c r="D528" s="2" t="s">
        <v>29</v>
      </c>
      <c r="E528" s="5">
        <v>-28334</v>
      </c>
      <c r="F528" s="3" t="s">
        <v>532</v>
      </c>
      <c r="G528" s="3" t="s">
        <v>57</v>
      </c>
      <c r="H528" s="2" t="s">
        <v>20</v>
      </c>
      <c r="I528" s="2" t="s">
        <v>1249</v>
      </c>
      <c r="J528" s="3" t="str">
        <f>HYPERLINK("https://www.boe.es/gazeta/dias/1822/06/03/pdfs/GMD-1822-159.pdf#page=4","Abrir facsímil")</f>
        <v>Abrir facsímil</v>
      </c>
      <c r="K528" s="3" t="s">
        <v>22</v>
      </c>
    </row>
    <row r="529" spans="1:11" ht="42" customHeight="1">
      <c r="A529" s="2" t="s">
        <v>1241</v>
      </c>
      <c r="B529" s="2" t="s">
        <v>1241</v>
      </c>
      <c r="C529" s="2" t="s">
        <v>28</v>
      </c>
      <c r="D529" s="2" t="s">
        <v>29</v>
      </c>
      <c r="E529" s="5">
        <v>-28310</v>
      </c>
      <c r="F529" s="3" t="s">
        <v>241</v>
      </c>
      <c r="G529" s="3" t="s">
        <v>35</v>
      </c>
      <c r="H529" s="2" t="s">
        <v>20</v>
      </c>
      <c r="I529" s="2" t="s">
        <v>1250</v>
      </c>
      <c r="J529" s="3" t="str">
        <f>HYPERLINK("https://www.boe.es/gazeta/dias/1822/06/27/pdfs/GMD-1822-185.pdf#page=2","Abrir facsímil")</f>
        <v>Abrir facsímil</v>
      </c>
      <c r="K529" s="3" t="s">
        <v>22</v>
      </c>
    </row>
    <row r="530" spans="1:11" ht="42" customHeight="1">
      <c r="A530" s="2" t="s">
        <v>1251</v>
      </c>
      <c r="B530" s="2" t="s">
        <v>1252</v>
      </c>
      <c r="C530" s="2" t="s">
        <v>50</v>
      </c>
      <c r="D530" s="2" t="s">
        <v>51</v>
      </c>
      <c r="E530" s="5">
        <v>-28349</v>
      </c>
      <c r="F530" s="3" t="s">
        <v>518</v>
      </c>
      <c r="G530" s="3" t="s">
        <v>57</v>
      </c>
      <c r="H530" s="2" t="s">
        <v>45</v>
      </c>
      <c r="I530" s="2" t="s">
        <v>1253</v>
      </c>
      <c r="J530" s="3" t="str">
        <f>HYPERLINK("https://www.boe.es/gazeta/dias/1822/05/19/pdfs/GMD-1822-141.pdf#page=4","Abrir facsímil")</f>
        <v>Abrir facsímil</v>
      </c>
      <c r="K530" s="3" t="s">
        <v>47</v>
      </c>
    </row>
    <row r="531" spans="1:11" ht="42" customHeight="1">
      <c r="A531" s="2" t="s">
        <v>1254</v>
      </c>
      <c r="B531" s="2" t="s">
        <v>1255</v>
      </c>
      <c r="C531" s="2" t="s">
        <v>16</v>
      </c>
      <c r="D531" s="2" t="s">
        <v>17</v>
      </c>
      <c r="E531" s="5">
        <v>-28310</v>
      </c>
      <c r="F531" s="3" t="s">
        <v>241</v>
      </c>
      <c r="G531" s="3" t="s">
        <v>57</v>
      </c>
      <c r="H531" s="2" t="s">
        <v>20</v>
      </c>
      <c r="I531" s="2" t="s">
        <v>1256</v>
      </c>
      <c r="J531" s="3" t="str">
        <f>HYPERLINK("https://www.boe.es/gazeta/dias/1822/06/27/pdfs/GMD-1822-185.pdf#page=4","Abrir facsímil")</f>
        <v>Abrir facsímil</v>
      </c>
      <c r="K531" s="3" t="s">
        <v>22</v>
      </c>
    </row>
    <row r="532" spans="1:11" ht="42" customHeight="1">
      <c r="A532" s="2" t="s">
        <v>1257</v>
      </c>
      <c r="B532" s="2" t="s">
        <v>1257</v>
      </c>
      <c r="C532" s="2" t="s">
        <v>28</v>
      </c>
      <c r="D532" s="2" t="s">
        <v>29</v>
      </c>
      <c r="E532" s="5">
        <v>-28431</v>
      </c>
      <c r="F532" s="3" t="s">
        <v>1258</v>
      </c>
      <c r="G532" s="3" t="s">
        <v>31</v>
      </c>
      <c r="H532" s="2" t="s">
        <v>20</v>
      </c>
      <c r="I532" s="2" t="s">
        <v>1259</v>
      </c>
      <c r="J532" s="3" t="str">
        <f>HYPERLINK("https://www.boe.es/gazeta/dias/1822/02/26/pdfs/GMD-1822-58.pdf#page=3","Abrir facsímil")</f>
        <v>Abrir facsímil</v>
      </c>
      <c r="K532" s="3" t="s">
        <v>22</v>
      </c>
    </row>
    <row r="533" spans="1:11" ht="42" customHeight="1">
      <c r="A533" s="2" t="s">
        <v>1257</v>
      </c>
      <c r="B533" s="2" t="s">
        <v>1257</v>
      </c>
      <c r="C533" s="2" t="s">
        <v>28</v>
      </c>
      <c r="D533" s="2" t="s">
        <v>29</v>
      </c>
      <c r="E533" s="5">
        <v>-28313</v>
      </c>
      <c r="F533" s="3" t="s">
        <v>315</v>
      </c>
      <c r="G533" s="3" t="s">
        <v>19</v>
      </c>
      <c r="H533" s="2" t="s">
        <v>20</v>
      </c>
      <c r="I533" s="2" t="s">
        <v>1260</v>
      </c>
      <c r="J533" s="3" t="str">
        <f>HYPERLINK("https://www.boe.es/gazeta/dias/1822/06/24/pdfs/GMD-1822-182.pdf#page=5","Abrir facsímil")</f>
        <v>Abrir facsímil</v>
      </c>
      <c r="K533" s="3" t="s">
        <v>22</v>
      </c>
    </row>
    <row r="534" spans="1:11" ht="42" customHeight="1">
      <c r="A534" s="2" t="s">
        <v>1261</v>
      </c>
      <c r="B534" s="2" t="s">
        <v>1262</v>
      </c>
      <c r="C534" s="2" t="s">
        <v>50</v>
      </c>
      <c r="D534" s="2" t="s">
        <v>51</v>
      </c>
      <c r="E534" s="5">
        <v>-28265</v>
      </c>
      <c r="F534" s="3" t="s">
        <v>1263</v>
      </c>
      <c r="G534" s="3" t="s">
        <v>57</v>
      </c>
      <c r="H534" s="2" t="s">
        <v>20</v>
      </c>
      <c r="I534" s="2" t="s">
        <v>1264</v>
      </c>
      <c r="J534" s="3" t="str">
        <f>HYPERLINK("https://www.boe.es/gazeta/dias/1822/08/11/pdfs/GMD-1822-235.pdf#page=4","Abrir facsímil")</f>
        <v>Abrir facsímil</v>
      </c>
      <c r="K534" s="3" t="s">
        <v>22</v>
      </c>
    </row>
    <row r="535" spans="1:11" ht="42" customHeight="1">
      <c r="A535" s="2" t="s">
        <v>1265</v>
      </c>
      <c r="B535" s="2" t="s">
        <v>1266</v>
      </c>
      <c r="C535" s="2" t="s">
        <v>28</v>
      </c>
      <c r="D535" s="2" t="s">
        <v>29</v>
      </c>
      <c r="E535" s="5">
        <v>-28395</v>
      </c>
      <c r="F535" s="3" t="s">
        <v>237</v>
      </c>
      <c r="G535" s="3" t="s">
        <v>57</v>
      </c>
      <c r="H535" s="2" t="s">
        <v>20</v>
      </c>
      <c r="I535" s="2" t="s">
        <v>1267</v>
      </c>
      <c r="J535" s="3" t="str">
        <f>HYPERLINK("https://www.boe.es/gazeta/dias/1822/04/03/pdfs/GMD-1822-95.pdf#page=4","Abrir facsímil")</f>
        <v>Abrir facsímil</v>
      </c>
      <c r="K535" s="3" t="s">
        <v>22</v>
      </c>
    </row>
    <row r="536" spans="1:11" ht="42" customHeight="1">
      <c r="A536" s="2" t="s">
        <v>1265</v>
      </c>
      <c r="B536" s="2" t="s">
        <v>1266</v>
      </c>
      <c r="C536" s="2" t="s">
        <v>42</v>
      </c>
      <c r="D536" s="2" t="s">
        <v>17</v>
      </c>
      <c r="E536" s="5">
        <v>-28388</v>
      </c>
      <c r="F536" s="3" t="s">
        <v>1268</v>
      </c>
      <c r="G536" s="3" t="s">
        <v>57</v>
      </c>
      <c r="H536" s="2" t="s">
        <v>20</v>
      </c>
      <c r="I536" s="2" t="s">
        <v>1269</v>
      </c>
      <c r="J536" s="3" t="str">
        <f>HYPERLINK("https://www.boe.es/gazeta/dias/1822/04/10/pdfs/GMD-1822-102.pdf#page=4","Abrir facsímil")</f>
        <v>Abrir facsímil</v>
      </c>
      <c r="K536" s="3" t="s">
        <v>22</v>
      </c>
    </row>
    <row r="537" spans="1:11" ht="42" customHeight="1">
      <c r="A537" s="2" t="s">
        <v>1265</v>
      </c>
      <c r="B537" s="2" t="s">
        <v>1266</v>
      </c>
      <c r="C537" s="2" t="s">
        <v>24</v>
      </c>
      <c r="D537" s="2" t="s">
        <v>17</v>
      </c>
      <c r="E537" s="5">
        <v>-28267</v>
      </c>
      <c r="F537" s="3" t="s">
        <v>1270</v>
      </c>
      <c r="G537" s="3" t="s">
        <v>57</v>
      </c>
      <c r="H537" s="2" t="s">
        <v>20</v>
      </c>
      <c r="I537" s="2" t="s">
        <v>1271</v>
      </c>
      <c r="J537" s="3" t="str">
        <f>HYPERLINK("https://www.boe.es/gazeta/dias/1822/08/09/pdfs/GMD-1822-233.pdf#page=4","Abrir facsímil")</f>
        <v>Abrir facsímil</v>
      </c>
      <c r="K537" s="3" t="s">
        <v>22</v>
      </c>
    </row>
    <row r="538" spans="1:11" ht="42" customHeight="1">
      <c r="A538" s="2" t="s">
        <v>1272</v>
      </c>
      <c r="B538" s="2" t="s">
        <v>1273</v>
      </c>
      <c r="C538" s="2" t="s">
        <v>50</v>
      </c>
      <c r="D538" s="2" t="s">
        <v>51</v>
      </c>
      <c r="E538" s="5">
        <v>-28292</v>
      </c>
      <c r="F538" s="3" t="s">
        <v>222</v>
      </c>
      <c r="G538" s="3" t="s">
        <v>31</v>
      </c>
      <c r="H538" s="2" t="s">
        <v>45</v>
      </c>
      <c r="I538" s="2" t="s">
        <v>1274</v>
      </c>
      <c r="J538" s="3" t="str">
        <f>HYPERLINK("https://www.boe.es/gazeta/dias/1822/07/15/pdfs/GMD-1822-205.pdf#page=3","Abrir facsímil")</f>
        <v>Abrir facsímil</v>
      </c>
      <c r="K538" s="3" t="s">
        <v>47</v>
      </c>
    </row>
    <row r="539" spans="1:11" ht="42" customHeight="1">
      <c r="A539" s="2" t="s">
        <v>1275</v>
      </c>
      <c r="B539" s="2" t="s">
        <v>1276</v>
      </c>
      <c r="C539" s="2" t="s">
        <v>50</v>
      </c>
      <c r="D539" s="2" t="s">
        <v>51</v>
      </c>
      <c r="E539" s="5">
        <v>-28166</v>
      </c>
      <c r="F539" s="3" t="s">
        <v>942</v>
      </c>
      <c r="G539" s="3" t="s">
        <v>1277</v>
      </c>
      <c r="H539" s="2" t="s">
        <v>20</v>
      </c>
      <c r="I539" s="2" t="s">
        <v>1278</v>
      </c>
      <c r="J539" s="3" t="str">
        <f>HYPERLINK("https://www.boe.es/gazeta/dias/1822/11/18/pdfs/GMD-1822-338.pdf#page=6","Abrir facsímil")</f>
        <v>Abrir facsímil</v>
      </c>
      <c r="K539" s="3" t="s">
        <v>22</v>
      </c>
    </row>
    <row r="540" spans="1:11" ht="42" customHeight="1">
      <c r="A540" s="2" t="s">
        <v>1279</v>
      </c>
      <c r="B540" s="2" t="s">
        <v>1280</v>
      </c>
      <c r="C540" s="2" t="s">
        <v>42</v>
      </c>
      <c r="D540" s="2" t="s">
        <v>17</v>
      </c>
      <c r="E540" s="5">
        <v>-28378</v>
      </c>
      <c r="F540" s="3" t="s">
        <v>496</v>
      </c>
      <c r="G540" s="3" t="s">
        <v>57</v>
      </c>
      <c r="H540" s="2" t="s">
        <v>20</v>
      </c>
      <c r="I540" s="2" t="s">
        <v>1281</v>
      </c>
      <c r="J540" s="3" t="str">
        <f>HYPERLINK("https://www.boe.es/gazeta/dias/1822/04/20/pdfs/GMD-1822-112.pdf#page=4","Abrir facsímil")</f>
        <v>Abrir facsímil</v>
      </c>
      <c r="K540" s="3" t="s">
        <v>22</v>
      </c>
    </row>
    <row r="541" spans="1:11" ht="42" customHeight="1">
      <c r="A541" s="2" t="s">
        <v>1282</v>
      </c>
      <c r="B541" s="2" t="s">
        <v>1283</v>
      </c>
      <c r="C541" s="2" t="s">
        <v>61</v>
      </c>
      <c r="D541" s="2" t="s">
        <v>17</v>
      </c>
      <c r="E541" s="5">
        <v>-28321</v>
      </c>
      <c r="F541" s="3" t="s">
        <v>1142</v>
      </c>
      <c r="G541" s="3" t="s">
        <v>35</v>
      </c>
      <c r="H541" s="2" t="s">
        <v>20</v>
      </c>
      <c r="I541" s="2" t="s">
        <v>1284</v>
      </c>
      <c r="J541" s="3" t="str">
        <f>HYPERLINK("https://www.boe.es/gazeta/dias/1822/06/16/pdfs/GMD-1822-173.pdf#page=2","Abrir facsímil")</f>
        <v>Abrir facsímil</v>
      </c>
      <c r="K541" s="3" t="s">
        <v>22</v>
      </c>
    </row>
    <row r="542" spans="1:11" ht="42" customHeight="1">
      <c r="A542" s="2" t="s">
        <v>1285</v>
      </c>
      <c r="B542" s="2" t="s">
        <v>1286</v>
      </c>
      <c r="C542" s="2" t="s">
        <v>42</v>
      </c>
      <c r="D542" s="2" t="s">
        <v>17</v>
      </c>
      <c r="E542" s="5">
        <v>-28210</v>
      </c>
      <c r="F542" s="3" t="s">
        <v>218</v>
      </c>
      <c r="G542" s="3" t="s">
        <v>19</v>
      </c>
      <c r="H542" s="2" t="s">
        <v>45</v>
      </c>
      <c r="I542" s="2" t="s">
        <v>1287</v>
      </c>
      <c r="J542" s="3" t="str">
        <f>HYPERLINK("https://www.boe.es/gazeta/dias/1822/10/05/pdfs/GMD-1822-291.pdf#page=5","Abrir facsímil")</f>
        <v>Abrir facsímil</v>
      </c>
      <c r="K542" s="3" t="s">
        <v>47</v>
      </c>
    </row>
    <row r="543" spans="1:11" ht="42" customHeight="1">
      <c r="A543" s="2" t="s">
        <v>1288</v>
      </c>
      <c r="B543" s="2" t="s">
        <v>1289</v>
      </c>
      <c r="C543" s="2" t="s">
        <v>42</v>
      </c>
      <c r="D543" s="2" t="s">
        <v>17</v>
      </c>
      <c r="E543" s="5">
        <v>-28391</v>
      </c>
      <c r="F543" s="3" t="s">
        <v>378</v>
      </c>
      <c r="G543" s="3" t="s">
        <v>63</v>
      </c>
      <c r="H543" s="2" t="s">
        <v>20</v>
      </c>
      <c r="I543" s="2" t="s">
        <v>1290</v>
      </c>
      <c r="J543" s="3" t="str">
        <f>HYPERLINK("https://www.boe.es/gazeta/dias/1822/04/07/pdfs/GMD-1822-99.pdf#page=6","Abrir facsímil")</f>
        <v>Abrir facsímil</v>
      </c>
      <c r="K543" s="3" t="s">
        <v>22</v>
      </c>
    </row>
    <row r="544" spans="1:11" ht="42" customHeight="1">
      <c r="A544" s="2" t="s">
        <v>1291</v>
      </c>
      <c r="B544" s="2" t="s">
        <v>1292</v>
      </c>
      <c r="C544" s="2" t="s">
        <v>24</v>
      </c>
      <c r="D544" s="2" t="s">
        <v>17</v>
      </c>
      <c r="E544" s="5">
        <v>-28391</v>
      </c>
      <c r="F544" s="3" t="s">
        <v>378</v>
      </c>
      <c r="G544" s="3" t="s">
        <v>63</v>
      </c>
      <c r="H544" s="2" t="s">
        <v>20</v>
      </c>
      <c r="I544" s="2" t="s">
        <v>1293</v>
      </c>
      <c r="J544" s="3" t="str">
        <f>HYPERLINK("https://www.boe.es/gazeta/dias/1822/04/07/pdfs/GMD-1822-99.pdf#page=6","Abrir facsímil")</f>
        <v>Abrir facsímil</v>
      </c>
      <c r="K544" s="3" t="s">
        <v>22</v>
      </c>
    </row>
    <row r="545" spans="1:11" ht="42" customHeight="1">
      <c r="A545" s="2" t="s">
        <v>1291</v>
      </c>
      <c r="B545" s="2" t="s">
        <v>1292</v>
      </c>
      <c r="C545" s="2" t="s">
        <v>42</v>
      </c>
      <c r="D545" s="2" t="s">
        <v>17</v>
      </c>
      <c r="E545" s="5">
        <v>-28388</v>
      </c>
      <c r="F545" s="3" t="s">
        <v>1268</v>
      </c>
      <c r="G545" s="3" t="s">
        <v>57</v>
      </c>
      <c r="H545" s="2" t="s">
        <v>20</v>
      </c>
      <c r="I545" s="2" t="s">
        <v>1294</v>
      </c>
      <c r="J545" s="3" t="str">
        <f>HYPERLINK("https://www.boe.es/gazeta/dias/1822/04/10/pdfs/GMD-1822-102.pdf#page=4","Abrir facsímil")</f>
        <v>Abrir facsímil</v>
      </c>
      <c r="K545" s="3" t="s">
        <v>22</v>
      </c>
    </row>
    <row r="546" spans="1:11" ht="42" customHeight="1">
      <c r="A546" s="2" t="s">
        <v>1291</v>
      </c>
      <c r="B546" s="2" t="s">
        <v>1292</v>
      </c>
      <c r="C546" s="2" t="s">
        <v>50</v>
      </c>
      <c r="D546" s="2" t="s">
        <v>51</v>
      </c>
      <c r="E546" s="5">
        <v>-28287</v>
      </c>
      <c r="F546" s="3" t="s">
        <v>1295</v>
      </c>
      <c r="G546" s="3" t="s">
        <v>63</v>
      </c>
      <c r="H546" s="2" t="s">
        <v>20</v>
      </c>
      <c r="I546" s="2" t="s">
        <v>1296</v>
      </c>
      <c r="J546" s="3" t="str">
        <f>HYPERLINK("https://www.boe.es/gazeta/dias/1822/07/20/pdfs/GMD-1822-212.pdf#page=6","Abrir facsímil")</f>
        <v>Abrir facsímil</v>
      </c>
      <c r="K546" s="3" t="s">
        <v>22</v>
      </c>
    </row>
    <row r="547" spans="1:11" ht="42" customHeight="1">
      <c r="A547" s="2" t="s">
        <v>1291</v>
      </c>
      <c r="B547" s="2" t="s">
        <v>1292</v>
      </c>
      <c r="C547" s="2" t="s">
        <v>71</v>
      </c>
      <c r="D547" s="2" t="s">
        <v>17</v>
      </c>
      <c r="E547" s="5">
        <v>-28275</v>
      </c>
      <c r="F547" s="3" t="s">
        <v>1297</v>
      </c>
      <c r="G547" s="3" t="s">
        <v>57</v>
      </c>
      <c r="H547" s="2" t="s">
        <v>20</v>
      </c>
      <c r="I547" s="2" t="s">
        <v>1298</v>
      </c>
      <c r="J547" s="3" t="str">
        <f>HYPERLINK("https://www.boe.es/gazeta/dias/1822/08/01/pdfs/GMD-1822-225.pdf#page=4","Abrir facsímil")</f>
        <v>Abrir facsímil</v>
      </c>
      <c r="K547" s="3" t="s">
        <v>22</v>
      </c>
    </row>
    <row r="548" spans="1:11" ht="42" customHeight="1">
      <c r="A548" s="2" t="s">
        <v>1299</v>
      </c>
      <c r="B548" s="2" t="s">
        <v>1300</v>
      </c>
      <c r="C548" s="2" t="s">
        <v>28</v>
      </c>
      <c r="D548" s="2" t="s">
        <v>29</v>
      </c>
      <c r="E548" s="5">
        <v>-28374</v>
      </c>
      <c r="F548" s="3" t="s">
        <v>171</v>
      </c>
      <c r="G548" s="3" t="s">
        <v>57</v>
      </c>
      <c r="H548" s="2" t="s">
        <v>20</v>
      </c>
      <c r="I548" s="2" t="s">
        <v>1301</v>
      </c>
      <c r="J548" s="3" t="str">
        <f>HYPERLINK("https://www.boe.es/gazeta/dias/1822/04/24/pdfs/GMD-1822-116.pdf#page=4","Abrir facsímil")</f>
        <v>Abrir facsímil</v>
      </c>
      <c r="K548" s="3" t="s">
        <v>22</v>
      </c>
    </row>
    <row r="549" spans="1:11" ht="42" customHeight="1">
      <c r="A549" s="2" t="s">
        <v>1302</v>
      </c>
      <c r="B549" s="2" t="s">
        <v>1303</v>
      </c>
      <c r="C549" s="2" t="s">
        <v>28</v>
      </c>
      <c r="D549" s="2" t="s">
        <v>29</v>
      </c>
      <c r="E549" s="5">
        <v>-28258</v>
      </c>
      <c r="F549" s="3" t="s">
        <v>88</v>
      </c>
      <c r="G549" s="3" t="s">
        <v>57</v>
      </c>
      <c r="H549" s="2" t="s">
        <v>20</v>
      </c>
      <c r="I549" s="2" t="s">
        <v>1304</v>
      </c>
      <c r="J549" s="3" t="str">
        <f>HYPERLINK("https://www.boe.es/gazeta/dias/1822/08/18/pdfs/GMD-1822-242.pdf#page=4","Abrir facsímil")</f>
        <v>Abrir facsímil</v>
      </c>
      <c r="K549" s="3" t="s">
        <v>22</v>
      </c>
    </row>
    <row r="550" spans="1:11" ht="42" customHeight="1">
      <c r="A550" s="2" t="s">
        <v>1305</v>
      </c>
      <c r="B550" s="2" t="s">
        <v>1306</v>
      </c>
      <c r="C550" s="2" t="s">
        <v>50</v>
      </c>
      <c r="D550" s="2" t="s">
        <v>51</v>
      </c>
      <c r="E550" s="5">
        <v>-28440</v>
      </c>
      <c r="F550" s="3" t="s">
        <v>1307</v>
      </c>
      <c r="G550" s="3" t="s">
        <v>31</v>
      </c>
      <c r="H550" s="2" t="s">
        <v>45</v>
      </c>
      <c r="I550" s="2" t="s">
        <v>1308</v>
      </c>
      <c r="J550" s="3" t="str">
        <f>HYPERLINK("https://www.boe.es/gazeta/dias/1822/02/17/pdfs/GMD-1822-49.pdf#page=3","Abrir facsímil")</f>
        <v>Abrir facsímil</v>
      </c>
      <c r="K550" s="3" t="s">
        <v>47</v>
      </c>
    </row>
    <row r="551" spans="1:11" ht="42" customHeight="1">
      <c r="A551" s="2" t="s">
        <v>1309</v>
      </c>
      <c r="B551" s="2" t="s">
        <v>1310</v>
      </c>
      <c r="C551" s="2" t="s">
        <v>362</v>
      </c>
      <c r="D551" s="2" t="s">
        <v>17</v>
      </c>
      <c r="E551" s="5">
        <v>-28197</v>
      </c>
      <c r="F551" s="3" t="s">
        <v>568</v>
      </c>
      <c r="G551" s="3" t="s">
        <v>63</v>
      </c>
      <c r="H551" s="2" t="s">
        <v>20</v>
      </c>
      <c r="I551" s="2" t="s">
        <v>1311</v>
      </c>
      <c r="J551" s="3" t="str">
        <f>HYPERLINK("https://www.boe.es/gazeta/dias/1822/10/18/pdfs/GMD-1822-305.pdf#page=6","Abrir facsímil")</f>
        <v>Abrir facsímil</v>
      </c>
      <c r="K551" s="3" t="s">
        <v>22</v>
      </c>
    </row>
    <row r="552" spans="1:11" ht="42" customHeight="1">
      <c r="A552" s="2" t="s">
        <v>1312</v>
      </c>
      <c r="B552" s="2" t="s">
        <v>1313</v>
      </c>
      <c r="C552" s="2" t="s">
        <v>42</v>
      </c>
      <c r="D552" s="2" t="s">
        <v>17</v>
      </c>
      <c r="E552" s="5">
        <v>-28131</v>
      </c>
      <c r="F552" s="3" t="s">
        <v>893</v>
      </c>
      <c r="G552" s="3" t="s">
        <v>991</v>
      </c>
      <c r="H552" s="2" t="s">
        <v>20</v>
      </c>
      <c r="I552" s="2" t="s">
        <v>1314</v>
      </c>
      <c r="J552" s="3" t="str">
        <f>HYPERLINK("https://www.boe.es/gazeta/dias/1822/12/23/pdfs/GMD-1822-373.pdf#page=6","Abrir facsímil")</f>
        <v>Abrir facsímil</v>
      </c>
      <c r="K552" s="3" t="s">
        <v>22</v>
      </c>
    </row>
    <row r="553" spans="1:11" ht="42" customHeight="1">
      <c r="A553" s="2" t="s">
        <v>1315</v>
      </c>
      <c r="B553" s="2" t="s">
        <v>1316</v>
      </c>
      <c r="C553" s="2" t="s">
        <v>42</v>
      </c>
      <c r="D553" s="2" t="s">
        <v>17</v>
      </c>
      <c r="E553" s="5">
        <v>-28131</v>
      </c>
      <c r="F553" s="3" t="s">
        <v>893</v>
      </c>
      <c r="G553" s="3" t="s">
        <v>991</v>
      </c>
      <c r="H553" s="2" t="s">
        <v>20</v>
      </c>
      <c r="I553" s="2" t="s">
        <v>1317</v>
      </c>
      <c r="J553" s="3" t="str">
        <f>HYPERLINK("https://www.boe.es/gazeta/dias/1822/12/23/pdfs/GMD-1822-373.pdf#page=6","Abrir facsímil")</f>
        <v>Abrir facsímil</v>
      </c>
      <c r="K553" s="3" t="s">
        <v>22</v>
      </c>
    </row>
    <row r="554" spans="1:11" ht="42" customHeight="1">
      <c r="A554" s="2" t="s">
        <v>1318</v>
      </c>
      <c r="B554" s="2" t="s">
        <v>1318</v>
      </c>
      <c r="C554" s="2" t="s">
        <v>16</v>
      </c>
      <c r="D554" s="2" t="s">
        <v>17</v>
      </c>
      <c r="E554" s="5">
        <v>-28328</v>
      </c>
      <c r="F554" s="3" t="s">
        <v>540</v>
      </c>
      <c r="G554" s="3" t="s">
        <v>63</v>
      </c>
      <c r="H554" s="2" t="s">
        <v>20</v>
      </c>
      <c r="I554" s="2" t="s">
        <v>1319</v>
      </c>
      <c r="J554" s="3" t="str">
        <f>HYPERLINK("https://www.boe.es/gazeta/dias/1822/06/09/pdfs/GMD-1822-166.pdf#page=6","Abrir facsímil")</f>
        <v>Abrir facsímil</v>
      </c>
      <c r="K554" s="3" t="s">
        <v>22</v>
      </c>
    </row>
    <row r="555" spans="1:11" ht="42" customHeight="1">
      <c r="A555" s="2" t="s">
        <v>1320</v>
      </c>
      <c r="B555" s="2" t="s">
        <v>1321</v>
      </c>
      <c r="C555" s="2" t="s">
        <v>28</v>
      </c>
      <c r="D555" s="2" t="s">
        <v>29</v>
      </c>
      <c r="E555" s="5">
        <v>-28149</v>
      </c>
      <c r="F555" s="3" t="s">
        <v>1322</v>
      </c>
      <c r="G555" s="3" t="s">
        <v>57</v>
      </c>
      <c r="H555" s="2" t="s">
        <v>20</v>
      </c>
      <c r="I555" s="2" t="s">
        <v>1323</v>
      </c>
      <c r="J555" s="3" t="str">
        <f>HYPERLINK("https://www.boe.es/gazeta/dias/1822/12/05/pdfs/GMD-1822-355.pdf#page=4","Abrir facsímil")</f>
        <v>Abrir facsímil</v>
      </c>
      <c r="K555" s="3" t="s">
        <v>22</v>
      </c>
    </row>
    <row r="556" spans="1:11" ht="42" customHeight="1">
      <c r="A556" s="2" t="s">
        <v>1324</v>
      </c>
      <c r="B556" s="2" t="s">
        <v>1324</v>
      </c>
      <c r="C556" s="2" t="s">
        <v>28</v>
      </c>
      <c r="D556" s="2" t="s">
        <v>29</v>
      </c>
      <c r="E556" s="5">
        <v>-28207</v>
      </c>
      <c r="F556" s="3" t="s">
        <v>1325</v>
      </c>
      <c r="G556" s="3" t="s">
        <v>44</v>
      </c>
      <c r="H556" s="2" t="s">
        <v>20</v>
      </c>
      <c r="I556" s="2" t="s">
        <v>1326</v>
      </c>
      <c r="J556" s="3" t="str">
        <f>HYPERLINK("https://www.boe.es/gazeta/dias/1822/10/08/pdfs/GMD-1822-295.pdf#page=1","Abrir facsímil")</f>
        <v>Abrir facsímil</v>
      </c>
      <c r="K556" s="3" t="s">
        <v>22</v>
      </c>
    </row>
    <row r="557" spans="1:11" ht="42" customHeight="1">
      <c r="A557" s="2" t="s">
        <v>1327</v>
      </c>
      <c r="B557" s="2" t="s">
        <v>1328</v>
      </c>
      <c r="C557" s="2" t="s">
        <v>50</v>
      </c>
      <c r="D557" s="2" t="s">
        <v>51</v>
      </c>
      <c r="E557" s="5">
        <v>-28264</v>
      </c>
      <c r="F557" s="3" t="s">
        <v>1329</v>
      </c>
      <c r="G557" s="3" t="s">
        <v>31</v>
      </c>
      <c r="H557" s="2" t="s">
        <v>20</v>
      </c>
      <c r="I557" s="2" t="s">
        <v>1330</v>
      </c>
      <c r="J557" s="3" t="str">
        <f>HYPERLINK("https://www.boe.es/gazeta/dias/1822/08/12/pdfs/GMD-1822-236.pdf#page=3","Abrir facsímil")</f>
        <v>Abrir facsímil</v>
      </c>
      <c r="K557" s="3" t="s">
        <v>22</v>
      </c>
    </row>
    <row r="558" spans="1:11" ht="42" customHeight="1">
      <c r="A558" s="2" t="s">
        <v>1327</v>
      </c>
      <c r="B558" s="2" t="s">
        <v>1328</v>
      </c>
      <c r="C558" s="2" t="s">
        <v>42</v>
      </c>
      <c r="D558" s="2" t="s">
        <v>17</v>
      </c>
      <c r="E558" s="5">
        <v>-28234</v>
      </c>
      <c r="F558" s="3" t="s">
        <v>1331</v>
      </c>
      <c r="G558" s="3" t="s">
        <v>35</v>
      </c>
      <c r="H558" s="2" t="s">
        <v>20</v>
      </c>
      <c r="I558" s="2" t="s">
        <v>1332</v>
      </c>
      <c r="J558" s="3" t="str">
        <f>HYPERLINK("https://www.boe.es/gazeta/dias/1822/09/11/pdfs/GMD-1822-267.pdf#page=2","Abrir facsímil")</f>
        <v>Abrir facsímil</v>
      </c>
      <c r="K558" s="3" t="s">
        <v>22</v>
      </c>
    </row>
    <row r="559" spans="1:11" ht="42" customHeight="1">
      <c r="A559" s="2" t="s">
        <v>1327</v>
      </c>
      <c r="B559" s="2" t="s">
        <v>1328</v>
      </c>
      <c r="C559" s="2" t="s">
        <v>50</v>
      </c>
      <c r="D559" s="2" t="s">
        <v>51</v>
      </c>
      <c r="E559" s="5">
        <v>-28199</v>
      </c>
      <c r="F559" s="3" t="s">
        <v>656</v>
      </c>
      <c r="G559" s="3" t="s">
        <v>44</v>
      </c>
      <c r="H559" s="2" t="s">
        <v>20</v>
      </c>
      <c r="I559" s="2" t="s">
        <v>1333</v>
      </c>
      <c r="J559" s="3" t="str">
        <f>HYPERLINK("https://www.boe.es/gazeta/dias/1822/10/16/pdfs/GMD-1822-303.pdf#page=1","Abrir facsímil")</f>
        <v>Abrir facsímil</v>
      </c>
      <c r="K559" s="3" t="s">
        <v>22</v>
      </c>
    </row>
    <row r="560" spans="1:11" ht="42" customHeight="1">
      <c r="A560" s="2" t="s">
        <v>1334</v>
      </c>
      <c r="B560" s="2" t="s">
        <v>1334</v>
      </c>
      <c r="C560" s="2" t="s">
        <v>24</v>
      </c>
      <c r="D560" s="2" t="s">
        <v>17</v>
      </c>
      <c r="E560" s="5">
        <v>-28390</v>
      </c>
      <c r="F560" s="3" t="s">
        <v>665</v>
      </c>
      <c r="G560" s="3" t="s">
        <v>35</v>
      </c>
      <c r="H560" s="2" t="s">
        <v>20</v>
      </c>
      <c r="I560" s="2" t="s">
        <v>1335</v>
      </c>
      <c r="J560" s="3" t="str">
        <f>HYPERLINK("https://www.boe.es/gazeta/dias/1822/04/08/pdfs/GMD-1822-100.pdf#page=2","Abrir facsímil")</f>
        <v>Abrir facsímil</v>
      </c>
      <c r="K560" s="3" t="s">
        <v>22</v>
      </c>
    </row>
    <row r="561" spans="1:11" ht="42" customHeight="1">
      <c r="A561" s="2" t="s">
        <v>1336</v>
      </c>
      <c r="B561" s="2" t="s">
        <v>1336</v>
      </c>
      <c r="C561" s="2" t="s">
        <v>50</v>
      </c>
      <c r="D561" s="2" t="s">
        <v>51</v>
      </c>
      <c r="E561" s="5">
        <v>-28305</v>
      </c>
      <c r="F561" s="3" t="s">
        <v>1337</v>
      </c>
      <c r="G561" s="3" t="s">
        <v>35</v>
      </c>
      <c r="H561" s="2" t="s">
        <v>20</v>
      </c>
      <c r="I561" s="2" t="s">
        <v>1338</v>
      </c>
      <c r="J561" s="3" t="str">
        <f>HYPERLINK("https://www.boe.es/gazeta/dias/1822/07/02/pdfs/GMD-1822-191.pdf#page=2","Abrir facsímil")</f>
        <v>Abrir facsímil</v>
      </c>
      <c r="K561" s="3" t="s">
        <v>22</v>
      </c>
    </row>
    <row r="562" spans="1:11" ht="42" customHeight="1">
      <c r="A562" s="2" t="s">
        <v>1339</v>
      </c>
      <c r="B562" s="2" t="s">
        <v>1339</v>
      </c>
      <c r="C562" s="2" t="s">
        <v>50</v>
      </c>
      <c r="D562" s="2" t="s">
        <v>51</v>
      </c>
      <c r="E562" s="5">
        <v>-28484</v>
      </c>
      <c r="F562" s="3" t="s">
        <v>743</v>
      </c>
      <c r="G562" s="3" t="s">
        <v>1340</v>
      </c>
      <c r="H562" s="2" t="s">
        <v>20</v>
      </c>
      <c r="I562" s="2" t="s">
        <v>1341</v>
      </c>
      <c r="J562" s="3" t="str">
        <f>HYPERLINK("https://www.boe.es/gazeta/dias/1822/01/04/pdfs/GMD-1822-4.pdf#page=2","Abrir facsímil")</f>
        <v>Abrir facsímil</v>
      </c>
      <c r="K562" s="3" t="s">
        <v>22</v>
      </c>
    </row>
    <row r="563" spans="1:11" ht="42" customHeight="1">
      <c r="A563" s="2" t="s">
        <v>1339</v>
      </c>
      <c r="B563" s="2" t="s">
        <v>1339</v>
      </c>
      <c r="C563" s="2" t="s">
        <v>50</v>
      </c>
      <c r="D563" s="2" t="s">
        <v>51</v>
      </c>
      <c r="E563" s="5">
        <v>-28449</v>
      </c>
      <c r="F563" s="3" t="s">
        <v>1342</v>
      </c>
      <c r="G563" s="3" t="s">
        <v>35</v>
      </c>
      <c r="H563" s="2" t="s">
        <v>20</v>
      </c>
      <c r="I563" s="2" t="s">
        <v>1343</v>
      </c>
      <c r="J563" s="3" t="str">
        <f>HYPERLINK("https://www.boe.es/gazeta/dias/1822/02/08/pdfs/GMD-1822-39.pdf#page=2","Abrir facsímil")</f>
        <v>Abrir facsímil</v>
      </c>
      <c r="K563" s="3" t="s">
        <v>22</v>
      </c>
    </row>
    <row r="564" spans="1:11" ht="42" customHeight="1">
      <c r="A564" s="2" t="s">
        <v>1344</v>
      </c>
      <c r="B564" s="2" t="s">
        <v>1344</v>
      </c>
      <c r="C564" s="2" t="s">
        <v>28</v>
      </c>
      <c r="D564" s="2" t="s">
        <v>29</v>
      </c>
      <c r="E564" s="5">
        <v>-28478</v>
      </c>
      <c r="F564" s="3" t="s">
        <v>1093</v>
      </c>
      <c r="G564" s="3" t="s">
        <v>35</v>
      </c>
      <c r="H564" s="2" t="s">
        <v>20</v>
      </c>
      <c r="I564" s="2" t="s">
        <v>1345</v>
      </c>
      <c r="J564" s="3" t="str">
        <f>HYPERLINK("https://www.boe.es/gazeta/dias/1822/01/10/pdfs/GMD-1822-10.pdf#page=2","Abrir facsímil")</f>
        <v>Abrir facsímil</v>
      </c>
      <c r="K564" s="3" t="s">
        <v>22</v>
      </c>
    </row>
    <row r="565" spans="1:11" ht="42" customHeight="1">
      <c r="A565" s="2" t="s">
        <v>1344</v>
      </c>
      <c r="B565" s="2" t="s">
        <v>1344</v>
      </c>
      <c r="C565" s="2" t="s">
        <v>71</v>
      </c>
      <c r="D565" s="2" t="s">
        <v>17</v>
      </c>
      <c r="E565" s="5">
        <v>-28462</v>
      </c>
      <c r="F565" s="3" t="s">
        <v>1099</v>
      </c>
      <c r="G565" s="3" t="s">
        <v>57</v>
      </c>
      <c r="H565" s="2" t="s">
        <v>20</v>
      </c>
      <c r="I565" s="2" t="s">
        <v>1346</v>
      </c>
      <c r="J565" s="3" t="str">
        <f>HYPERLINK("https://www.boe.es/gazeta/dias/1822/01/26/pdfs/GMD-1822-26.pdf#page=4","Abrir facsímil")</f>
        <v>Abrir facsímil</v>
      </c>
      <c r="K565" s="3" t="s">
        <v>22</v>
      </c>
    </row>
    <row r="566" spans="1:11" ht="42" customHeight="1">
      <c r="A566" s="2" t="s">
        <v>1344</v>
      </c>
      <c r="B566" s="2" t="s">
        <v>1344</v>
      </c>
      <c r="C566" s="2" t="s">
        <v>28</v>
      </c>
      <c r="D566" s="2" t="s">
        <v>29</v>
      </c>
      <c r="E566" s="5">
        <v>-28447</v>
      </c>
      <c r="F566" s="3" t="s">
        <v>997</v>
      </c>
      <c r="G566" s="3" t="s">
        <v>35</v>
      </c>
      <c r="H566" s="2" t="s">
        <v>20</v>
      </c>
      <c r="I566" s="2" t="s">
        <v>1347</v>
      </c>
      <c r="J566" s="3" t="str">
        <f>HYPERLINK("https://www.boe.es/gazeta/dias/1822/02/10/pdfs/GMD-1822-41.pdf#page=2","Abrir facsímil")</f>
        <v>Abrir facsímil</v>
      </c>
      <c r="K566" s="3" t="s">
        <v>22</v>
      </c>
    </row>
    <row r="567" spans="1:11" ht="42" customHeight="1">
      <c r="A567" s="2" t="s">
        <v>1348</v>
      </c>
      <c r="B567" s="2" t="s">
        <v>1349</v>
      </c>
      <c r="C567" s="2" t="s">
        <v>28</v>
      </c>
      <c r="D567" s="2" t="s">
        <v>29</v>
      </c>
      <c r="E567" s="5">
        <v>-28145</v>
      </c>
      <c r="F567" s="3" t="s">
        <v>1350</v>
      </c>
      <c r="G567" s="3" t="s">
        <v>63</v>
      </c>
      <c r="H567" s="2" t="s">
        <v>20</v>
      </c>
      <c r="I567" s="2" t="s">
        <v>1351</v>
      </c>
      <c r="J567" s="3" t="str">
        <f>HYPERLINK("https://www.boe.es/gazeta/dias/1822/12/09/pdfs/GMD-1822-359.pdf#page=6","Abrir facsímil")</f>
        <v>Abrir facsímil</v>
      </c>
      <c r="K567" s="3" t="s">
        <v>22</v>
      </c>
    </row>
    <row r="568" spans="1:11" ht="42" customHeight="1">
      <c r="A568" s="2" t="s">
        <v>1352</v>
      </c>
      <c r="B568" s="2" t="s">
        <v>1353</v>
      </c>
      <c r="C568" s="2" t="s">
        <v>50</v>
      </c>
      <c r="D568" s="2" t="s">
        <v>51</v>
      </c>
      <c r="E568" s="5">
        <v>-28291</v>
      </c>
      <c r="F568" s="3" t="s">
        <v>363</v>
      </c>
      <c r="G568" s="3" t="s">
        <v>31</v>
      </c>
      <c r="H568" s="2" t="s">
        <v>20</v>
      </c>
      <c r="I568" s="2" t="s">
        <v>1354</v>
      </c>
      <c r="J568" s="3" t="str">
        <f>HYPERLINK("https://www.boe.es/gazeta/dias/1822/07/16/pdfs/GMD-1822-206.pdf#page=3","Abrir facsímil")</f>
        <v>Abrir facsímil</v>
      </c>
      <c r="K568" s="3" t="s">
        <v>22</v>
      </c>
    </row>
    <row r="569" spans="1:11" ht="42" customHeight="1">
      <c r="A569" s="2" t="s">
        <v>1355</v>
      </c>
      <c r="B569" s="2" t="s">
        <v>1355</v>
      </c>
      <c r="C569" s="2" t="s">
        <v>50</v>
      </c>
      <c r="D569" s="2" t="s">
        <v>51</v>
      </c>
      <c r="E569" s="5">
        <v>-28349</v>
      </c>
      <c r="F569" s="3" t="s">
        <v>518</v>
      </c>
      <c r="G569" s="3" t="s">
        <v>57</v>
      </c>
      <c r="H569" s="2" t="s">
        <v>20</v>
      </c>
      <c r="I569" s="2" t="s">
        <v>1356</v>
      </c>
      <c r="J569" s="3" t="str">
        <f>HYPERLINK("https://www.boe.es/gazeta/dias/1822/05/19/pdfs/GMD-1822-141.pdf#page=4","Abrir facsímil")</f>
        <v>Abrir facsímil</v>
      </c>
      <c r="K569" s="3" t="s">
        <v>22</v>
      </c>
    </row>
    <row r="570" spans="1:11" ht="42" customHeight="1">
      <c r="A570" s="2" t="s">
        <v>1357</v>
      </c>
      <c r="B570" s="2" t="s">
        <v>1358</v>
      </c>
      <c r="C570" s="2" t="s">
        <v>50</v>
      </c>
      <c r="D570" s="2" t="s">
        <v>51</v>
      </c>
      <c r="E570" s="5">
        <v>-28289</v>
      </c>
      <c r="F570" s="3" t="s">
        <v>390</v>
      </c>
      <c r="G570" s="3" t="s">
        <v>35</v>
      </c>
      <c r="H570" s="2" t="s">
        <v>20</v>
      </c>
      <c r="I570" s="2" t="s">
        <v>1359</v>
      </c>
      <c r="J570" s="3" t="str">
        <f>HYPERLINK("https://www.boe.es/gazeta/dias/1822/07/18/pdfs/GMD-1822-209.pdf#page=2","Abrir facsímil")</f>
        <v>Abrir facsímil</v>
      </c>
      <c r="K570" s="3" t="s">
        <v>22</v>
      </c>
    </row>
    <row r="571" spans="1:11" ht="42" customHeight="1">
      <c r="A571" s="2" t="s">
        <v>1360</v>
      </c>
      <c r="B571" s="2" t="s">
        <v>1361</v>
      </c>
      <c r="C571" s="2" t="s">
        <v>28</v>
      </c>
      <c r="D571" s="2" t="s">
        <v>29</v>
      </c>
      <c r="E571" s="5">
        <v>-28371</v>
      </c>
      <c r="F571" s="3" t="s">
        <v>401</v>
      </c>
      <c r="G571" s="3" t="s">
        <v>35</v>
      </c>
      <c r="H571" s="2" t="s">
        <v>20</v>
      </c>
      <c r="I571" s="2" t="s">
        <v>1362</v>
      </c>
      <c r="J571" s="3" t="str">
        <f>HYPERLINK("https://www.boe.es/gazeta/dias/1822/04/27/pdfs/GMD-1822-119.pdf#page=2","Abrir facsímil")</f>
        <v>Abrir facsímil</v>
      </c>
      <c r="K571" s="3" t="s">
        <v>22</v>
      </c>
    </row>
    <row r="572" spans="1:11" ht="42" customHeight="1">
      <c r="A572" s="2" t="s">
        <v>1363</v>
      </c>
      <c r="B572" s="2" t="s">
        <v>1364</v>
      </c>
      <c r="C572" s="2" t="s">
        <v>24</v>
      </c>
      <c r="D572" s="2" t="s">
        <v>17</v>
      </c>
      <c r="E572" s="5">
        <v>-28183</v>
      </c>
      <c r="F572" s="3" t="s">
        <v>583</v>
      </c>
      <c r="G572" s="3" t="s">
        <v>63</v>
      </c>
      <c r="H572" s="2" t="s">
        <v>20</v>
      </c>
      <c r="I572" s="2" t="s">
        <v>1365</v>
      </c>
      <c r="J572" s="3" t="str">
        <f>HYPERLINK("https://www.boe.es/gazeta/dias/1822/11/01/pdfs/GMD-1822-319.pdf#page=6","Abrir facsímil")</f>
        <v>Abrir facsímil</v>
      </c>
      <c r="K572" s="3" t="s">
        <v>22</v>
      </c>
    </row>
    <row r="573" spans="1:11" ht="42" customHeight="1">
      <c r="A573" s="2" t="s">
        <v>1366</v>
      </c>
      <c r="B573" s="2" t="s">
        <v>1367</v>
      </c>
      <c r="C573" s="2" t="s">
        <v>28</v>
      </c>
      <c r="D573" s="2" t="s">
        <v>29</v>
      </c>
      <c r="E573" s="5">
        <v>-28370</v>
      </c>
      <c r="F573" s="3" t="s">
        <v>207</v>
      </c>
      <c r="G573" s="3" t="s">
        <v>35</v>
      </c>
      <c r="H573" s="2" t="s">
        <v>20</v>
      </c>
      <c r="I573" s="2" t="s">
        <v>1368</v>
      </c>
      <c r="J573" s="3" t="str">
        <f>HYPERLINK("https://www.boe.es/gazeta/dias/1822/04/28/pdfs/GMD-1822-120.pdf#page=2","Abrir facsímil")</f>
        <v>Abrir facsímil</v>
      </c>
      <c r="K573" s="3" t="s">
        <v>22</v>
      </c>
    </row>
    <row r="574" spans="1:11" ht="42" customHeight="1">
      <c r="A574" s="2" t="s">
        <v>1369</v>
      </c>
      <c r="B574" s="2" t="s">
        <v>1369</v>
      </c>
      <c r="C574" s="2" t="s">
        <v>50</v>
      </c>
      <c r="D574" s="2" t="s">
        <v>51</v>
      </c>
      <c r="E574" s="5">
        <v>-28426</v>
      </c>
      <c r="F574" s="3" t="s">
        <v>1178</v>
      </c>
      <c r="G574" s="3" t="s">
        <v>35</v>
      </c>
      <c r="H574" s="2" t="s">
        <v>20</v>
      </c>
      <c r="I574" s="2" t="s">
        <v>1370</v>
      </c>
      <c r="J574" s="3" t="str">
        <f>HYPERLINK("https://www.boe.es/gazeta/dias/1822/03/03/pdfs/GMD-1822-64.pdf#page=2","Abrir facsímil")</f>
        <v>Abrir facsímil</v>
      </c>
      <c r="K574" s="3" t="s">
        <v>22</v>
      </c>
    </row>
    <row r="575" spans="1:11" ht="42" customHeight="1">
      <c r="A575" s="2" t="s">
        <v>1369</v>
      </c>
      <c r="B575" s="2" t="s">
        <v>1369</v>
      </c>
      <c r="C575" s="2" t="s">
        <v>50</v>
      </c>
      <c r="D575" s="2" t="s">
        <v>51</v>
      </c>
      <c r="E575" s="5">
        <v>-28405</v>
      </c>
      <c r="F575" s="3" t="s">
        <v>466</v>
      </c>
      <c r="G575" s="3" t="s">
        <v>31</v>
      </c>
      <c r="H575" s="2" t="s">
        <v>20</v>
      </c>
      <c r="I575" s="2" t="s">
        <v>1371</v>
      </c>
      <c r="J575" s="3" t="str">
        <f>HYPERLINK("https://www.boe.es/gazeta/dias/1822/03/24/pdfs/GMD-1822-85.pdf#page=3","Abrir facsímil")</f>
        <v>Abrir facsímil</v>
      </c>
      <c r="K575" s="3" t="s">
        <v>22</v>
      </c>
    </row>
    <row r="576" spans="1:11" ht="42" customHeight="1">
      <c r="A576" s="2" t="s">
        <v>1372</v>
      </c>
      <c r="B576" s="2" t="s">
        <v>1373</v>
      </c>
      <c r="C576" s="2" t="s">
        <v>42</v>
      </c>
      <c r="D576" s="2" t="s">
        <v>17</v>
      </c>
      <c r="E576" s="5">
        <v>-28132</v>
      </c>
      <c r="F576" s="3" t="s">
        <v>820</v>
      </c>
      <c r="G576" s="3" t="s">
        <v>821</v>
      </c>
      <c r="H576" s="2" t="s">
        <v>20</v>
      </c>
      <c r="I576" s="2" t="s">
        <v>1374</v>
      </c>
      <c r="J576" s="3" t="str">
        <f>HYPERLINK("https://www.boe.es/gazeta/dias/1822/12/22/pdfs/GMD-1822-372.pdf#page=4","Abrir facsímil")</f>
        <v>Abrir facsímil</v>
      </c>
      <c r="K576" s="3" t="s">
        <v>22</v>
      </c>
    </row>
    <row r="577" spans="1:11" ht="42" customHeight="1">
      <c r="A577" s="2" t="s">
        <v>1375</v>
      </c>
      <c r="B577" s="2" t="s">
        <v>1375</v>
      </c>
      <c r="C577" s="2" t="s">
        <v>50</v>
      </c>
      <c r="D577" s="2" t="s">
        <v>51</v>
      </c>
      <c r="E577" s="5">
        <v>-28458</v>
      </c>
      <c r="F577" s="3" t="s">
        <v>1151</v>
      </c>
      <c r="G577" s="3" t="s">
        <v>44</v>
      </c>
      <c r="H577" s="2" t="s">
        <v>20</v>
      </c>
      <c r="I577" s="2" t="s">
        <v>1376</v>
      </c>
      <c r="J577" s="3" t="str">
        <f>HYPERLINK("https://www.boe.es/gazeta/dias/1822/01/30/pdfs/GMD-1822-30.pdf#page=1","Abrir facsímil")</f>
        <v>Abrir facsímil</v>
      </c>
      <c r="K577" s="3" t="s">
        <v>22</v>
      </c>
    </row>
    <row r="578" spans="1:11" ht="42" customHeight="1">
      <c r="A578" s="2" t="s">
        <v>1377</v>
      </c>
      <c r="B578" s="2" t="s">
        <v>1377</v>
      </c>
      <c r="C578" s="2" t="s">
        <v>28</v>
      </c>
      <c r="D578" s="2" t="s">
        <v>29</v>
      </c>
      <c r="E578" s="5">
        <v>-28396</v>
      </c>
      <c r="F578" s="3" t="s">
        <v>1138</v>
      </c>
      <c r="G578" s="3" t="s">
        <v>63</v>
      </c>
      <c r="H578" s="2" t="s">
        <v>20</v>
      </c>
      <c r="I578" s="2" t="s">
        <v>1378</v>
      </c>
      <c r="J578" s="3" t="str">
        <f>HYPERLINK("https://www.boe.es/gazeta/dias/1822/04/02/pdfs/GMD-1822-94.pdf#page=6","Abrir facsímil")</f>
        <v>Abrir facsímil</v>
      </c>
      <c r="K578" s="3" t="s">
        <v>22</v>
      </c>
    </row>
    <row r="579" spans="1:11" ht="42" customHeight="1">
      <c r="A579" s="2" t="s">
        <v>1377</v>
      </c>
      <c r="B579" s="2" t="s">
        <v>1377</v>
      </c>
      <c r="C579" s="2" t="s">
        <v>42</v>
      </c>
      <c r="D579" s="2" t="s">
        <v>17</v>
      </c>
      <c r="E579" s="5">
        <v>-28370</v>
      </c>
      <c r="F579" s="3" t="s">
        <v>207</v>
      </c>
      <c r="G579" s="3" t="s">
        <v>31</v>
      </c>
      <c r="H579" s="2" t="s">
        <v>20</v>
      </c>
      <c r="I579" s="2" t="s">
        <v>1379</v>
      </c>
      <c r="J579" s="3" t="str">
        <f>HYPERLINK("https://www.boe.es/gazeta/dias/1822/04/28/pdfs/GMD-1822-120.pdf#page=3","Abrir facsímil")</f>
        <v>Abrir facsímil</v>
      </c>
      <c r="K579" s="3" t="s">
        <v>22</v>
      </c>
    </row>
    <row r="580" spans="1:11" ht="42" customHeight="1">
      <c r="A580" s="2" t="s">
        <v>1380</v>
      </c>
      <c r="B580" s="2" t="s">
        <v>1381</v>
      </c>
      <c r="C580" s="2" t="s">
        <v>50</v>
      </c>
      <c r="D580" s="2" t="s">
        <v>51</v>
      </c>
      <c r="E580" s="5">
        <v>-28161</v>
      </c>
      <c r="F580" s="3" t="s">
        <v>166</v>
      </c>
      <c r="G580" s="3" t="s">
        <v>157</v>
      </c>
      <c r="H580" s="2" t="s">
        <v>20</v>
      </c>
      <c r="I580" s="2" t="s">
        <v>1382</v>
      </c>
      <c r="J580" s="3" t="str">
        <f>HYPERLINK("https://www.boe.es/gazeta/dias/1822/11/23/pdfs/GMD-1822-343.pdf#page=8","Abrir facsímil")</f>
        <v>Abrir facsímil</v>
      </c>
      <c r="K580" s="3" t="s">
        <v>22</v>
      </c>
    </row>
    <row r="581" spans="1:11" ht="42" customHeight="1">
      <c r="A581" s="2" t="s">
        <v>1383</v>
      </c>
      <c r="B581" s="2" t="s">
        <v>1384</v>
      </c>
      <c r="C581" s="2" t="s">
        <v>50</v>
      </c>
      <c r="D581" s="2" t="s">
        <v>51</v>
      </c>
      <c r="E581" s="5">
        <v>-28349</v>
      </c>
      <c r="F581" s="3" t="s">
        <v>518</v>
      </c>
      <c r="G581" s="3" t="s">
        <v>57</v>
      </c>
      <c r="H581" s="2" t="s">
        <v>20</v>
      </c>
      <c r="I581" s="2" t="s">
        <v>1385</v>
      </c>
      <c r="J581" s="3" t="str">
        <f>HYPERLINK("https://www.boe.es/gazeta/dias/1822/05/19/pdfs/GMD-1822-141.pdf#page=4","Abrir facsímil")</f>
        <v>Abrir facsímil</v>
      </c>
      <c r="K581" s="3" t="s">
        <v>22</v>
      </c>
    </row>
    <row r="582" spans="1:11" ht="42" customHeight="1">
      <c r="A582" s="2" t="s">
        <v>1386</v>
      </c>
      <c r="B582" s="2" t="s">
        <v>1386</v>
      </c>
      <c r="C582" s="2" t="s">
        <v>50</v>
      </c>
      <c r="D582" s="2" t="s">
        <v>51</v>
      </c>
      <c r="E582" s="5">
        <v>-28371</v>
      </c>
      <c r="F582" s="3" t="s">
        <v>401</v>
      </c>
      <c r="G582" s="3" t="s">
        <v>35</v>
      </c>
      <c r="H582" s="2" t="s">
        <v>20</v>
      </c>
      <c r="I582" s="2" t="s">
        <v>1387</v>
      </c>
      <c r="J582" s="3" t="str">
        <f>HYPERLINK("https://www.boe.es/gazeta/dias/1822/04/27/pdfs/GMD-1822-119.pdf#page=2","Abrir facsímil")</f>
        <v>Abrir facsímil</v>
      </c>
      <c r="K582" s="3" t="s">
        <v>22</v>
      </c>
    </row>
    <row r="583" spans="1:11" ht="42" customHeight="1">
      <c r="A583" s="2" t="s">
        <v>1388</v>
      </c>
      <c r="B583" s="2" t="s">
        <v>1388</v>
      </c>
      <c r="C583" s="2" t="s">
        <v>28</v>
      </c>
      <c r="D583" s="2" t="s">
        <v>29</v>
      </c>
      <c r="E583" s="5">
        <v>-28443</v>
      </c>
      <c r="F583" s="3" t="s">
        <v>668</v>
      </c>
      <c r="G583" s="3" t="s">
        <v>31</v>
      </c>
      <c r="H583" s="2" t="s">
        <v>20</v>
      </c>
      <c r="I583" s="2" t="s">
        <v>1389</v>
      </c>
      <c r="J583" s="3" t="str">
        <f>HYPERLINK("https://www.boe.es/gazeta/dias/1822/02/14/pdfs/GMD-1822-45.pdf#page=3","Abrir facsímil")</f>
        <v>Abrir facsímil</v>
      </c>
      <c r="K583" s="3" t="s">
        <v>22</v>
      </c>
    </row>
    <row r="584" spans="1:11" ht="42" customHeight="1">
      <c r="A584" s="2" t="s">
        <v>1390</v>
      </c>
      <c r="B584" s="2" t="s">
        <v>1390</v>
      </c>
      <c r="C584" s="2" t="s">
        <v>71</v>
      </c>
      <c r="D584" s="2" t="s">
        <v>17</v>
      </c>
      <c r="E584" s="5">
        <v>-28421</v>
      </c>
      <c r="F584" s="3" t="s">
        <v>446</v>
      </c>
      <c r="G584" s="3" t="s">
        <v>31</v>
      </c>
      <c r="H584" s="2" t="s">
        <v>20</v>
      </c>
      <c r="I584" s="2" t="s">
        <v>1391</v>
      </c>
      <c r="J584" s="3" t="str">
        <f>HYPERLINK("https://www.boe.es/gazeta/dias/1822/03/08/pdfs/GMD-1822-69.pdf#page=3","Abrir facsímil")</f>
        <v>Abrir facsímil</v>
      </c>
      <c r="K584" s="3" t="s">
        <v>22</v>
      </c>
    </row>
    <row r="585" spans="1:11" ht="42" customHeight="1">
      <c r="A585" s="2" t="s">
        <v>1390</v>
      </c>
      <c r="B585" s="2" t="s">
        <v>1390</v>
      </c>
      <c r="C585" s="2" t="s">
        <v>24</v>
      </c>
      <c r="D585" s="2" t="s">
        <v>17</v>
      </c>
      <c r="E585" s="5">
        <v>-28419</v>
      </c>
      <c r="F585" s="3" t="s">
        <v>1392</v>
      </c>
      <c r="G585" s="3" t="s">
        <v>57</v>
      </c>
      <c r="H585" s="2" t="s">
        <v>20</v>
      </c>
      <c r="I585" s="2" t="s">
        <v>1393</v>
      </c>
      <c r="J585" s="3" t="str">
        <f>HYPERLINK("https://www.boe.es/gazeta/dias/1822/03/10/pdfs/GMD-1822-71.pdf#page=4","Abrir facsímil")</f>
        <v>Abrir facsímil</v>
      </c>
      <c r="K585" s="3" t="s">
        <v>22</v>
      </c>
    </row>
    <row r="586" spans="1:11" ht="42" customHeight="1">
      <c r="A586" s="2" t="s">
        <v>1390</v>
      </c>
      <c r="B586" s="2" t="s">
        <v>1390</v>
      </c>
      <c r="C586" s="2" t="s">
        <v>16</v>
      </c>
      <c r="D586" s="2" t="s">
        <v>17</v>
      </c>
      <c r="E586" s="5">
        <v>-28417</v>
      </c>
      <c r="F586" s="3" t="s">
        <v>1394</v>
      </c>
      <c r="G586" s="3" t="s">
        <v>35</v>
      </c>
      <c r="H586" s="2" t="s">
        <v>20</v>
      </c>
      <c r="I586" s="2" t="s">
        <v>1395</v>
      </c>
      <c r="J586" s="3" t="str">
        <f>HYPERLINK("https://www.boe.es/gazeta/dias/1822/03/12/pdfs/GMD-1822-73.pdf#page=2","Abrir facsímil")</f>
        <v>Abrir facsímil</v>
      </c>
      <c r="K586" s="3" t="s">
        <v>22</v>
      </c>
    </row>
    <row r="587" spans="1:11" ht="42" customHeight="1">
      <c r="A587" s="2" t="s">
        <v>1390</v>
      </c>
      <c r="B587" s="2" t="s">
        <v>1390</v>
      </c>
      <c r="C587" s="2" t="s">
        <v>24</v>
      </c>
      <c r="D587" s="2" t="s">
        <v>17</v>
      </c>
      <c r="E587" s="5">
        <v>-28412</v>
      </c>
      <c r="F587" s="3" t="s">
        <v>825</v>
      </c>
      <c r="G587" s="3" t="s">
        <v>35</v>
      </c>
      <c r="H587" s="2" t="s">
        <v>20</v>
      </c>
      <c r="I587" s="2" t="s">
        <v>1396</v>
      </c>
      <c r="J587" s="3" t="str">
        <f>HYPERLINK("https://www.boe.es/gazeta/dias/1822/03/17/pdfs/GMD-1822-78.pdf#page=2","Abrir facsímil")</f>
        <v>Abrir facsímil</v>
      </c>
      <c r="K587" s="3" t="s">
        <v>22</v>
      </c>
    </row>
    <row r="588" spans="1:11" ht="42" customHeight="1">
      <c r="A588" s="2" t="s">
        <v>1390</v>
      </c>
      <c r="B588" s="2" t="s">
        <v>1390</v>
      </c>
      <c r="C588" s="2" t="s">
        <v>42</v>
      </c>
      <c r="D588" s="2" t="s">
        <v>17</v>
      </c>
      <c r="E588" s="5">
        <v>-28404</v>
      </c>
      <c r="F588" s="3" t="s">
        <v>421</v>
      </c>
      <c r="G588" s="3" t="s">
        <v>44</v>
      </c>
      <c r="H588" s="2" t="s">
        <v>20</v>
      </c>
      <c r="I588" s="2" t="s">
        <v>1397</v>
      </c>
      <c r="J588" s="3" t="str">
        <f>HYPERLINK("https://www.boe.es/gazeta/dias/1822/03/25/pdfs/GMD-1822-86.pdf#page=1","Abrir facsímil")</f>
        <v>Abrir facsímil</v>
      </c>
      <c r="K588" s="3" t="s">
        <v>22</v>
      </c>
    </row>
    <row r="589" spans="1:11" ht="42" customHeight="1">
      <c r="A589" s="2" t="s">
        <v>1390</v>
      </c>
      <c r="B589" s="2" t="s">
        <v>1390</v>
      </c>
      <c r="C589" s="2" t="s">
        <v>50</v>
      </c>
      <c r="D589" s="2" t="s">
        <v>51</v>
      </c>
      <c r="E589" s="5">
        <v>-28403</v>
      </c>
      <c r="F589" s="3" t="s">
        <v>471</v>
      </c>
      <c r="G589" s="3" t="s">
        <v>35</v>
      </c>
      <c r="H589" s="2" t="s">
        <v>20</v>
      </c>
      <c r="I589" s="2" t="s">
        <v>1398</v>
      </c>
      <c r="J589" s="3" t="str">
        <f>HYPERLINK("https://www.boe.es/gazeta/dias/1822/03/26/pdfs/GMD-1822-87.pdf#page=2","Abrir facsímil")</f>
        <v>Abrir facsímil</v>
      </c>
      <c r="K589" s="3" t="s">
        <v>22</v>
      </c>
    </row>
    <row r="590" spans="1:11" ht="42" customHeight="1">
      <c r="A590" s="2" t="s">
        <v>1390</v>
      </c>
      <c r="B590" s="2" t="s">
        <v>1390</v>
      </c>
      <c r="C590" s="2" t="s">
        <v>71</v>
      </c>
      <c r="D590" s="2" t="s">
        <v>17</v>
      </c>
      <c r="E590" s="5">
        <v>-28399</v>
      </c>
      <c r="F590" s="3" t="s">
        <v>476</v>
      </c>
      <c r="G590" s="3" t="s">
        <v>31</v>
      </c>
      <c r="H590" s="2" t="s">
        <v>20</v>
      </c>
      <c r="I590" s="2" t="s">
        <v>1399</v>
      </c>
      <c r="J590" s="3" t="str">
        <f>HYPERLINK("https://www.boe.es/gazeta/dias/1822/03/30/pdfs/GMD-1822-91.pdf#page=3","Abrir facsímil")</f>
        <v>Abrir facsímil</v>
      </c>
      <c r="K590" s="3" t="s">
        <v>22</v>
      </c>
    </row>
    <row r="591" spans="1:11" ht="42" customHeight="1">
      <c r="A591" s="2" t="s">
        <v>1390</v>
      </c>
      <c r="B591" s="2" t="s">
        <v>1390</v>
      </c>
      <c r="C591" s="2" t="s">
        <v>71</v>
      </c>
      <c r="D591" s="2" t="s">
        <v>17</v>
      </c>
      <c r="E591" s="5">
        <v>-28399</v>
      </c>
      <c r="F591" s="3" t="s">
        <v>476</v>
      </c>
      <c r="G591" s="3" t="s">
        <v>57</v>
      </c>
      <c r="H591" s="2" t="s">
        <v>20</v>
      </c>
      <c r="I591" s="2" t="s">
        <v>1400</v>
      </c>
      <c r="J591" s="3" t="str">
        <f>HYPERLINK("https://www.boe.es/gazeta/dias/1822/03/30/pdfs/GMD-1822-91.pdf#page=4","Abrir facsímil")</f>
        <v>Abrir facsímil</v>
      </c>
      <c r="K591" s="3" t="s">
        <v>22</v>
      </c>
    </row>
    <row r="592" spans="1:11" ht="42" customHeight="1">
      <c r="A592" s="2" t="s">
        <v>1390</v>
      </c>
      <c r="B592" s="2" t="s">
        <v>1390</v>
      </c>
      <c r="C592" s="2" t="s">
        <v>71</v>
      </c>
      <c r="D592" s="2" t="s">
        <v>17</v>
      </c>
      <c r="E592" s="5">
        <v>-28397</v>
      </c>
      <c r="F592" s="3" t="s">
        <v>1401</v>
      </c>
      <c r="G592" s="3" t="s">
        <v>57</v>
      </c>
      <c r="H592" s="2" t="s">
        <v>20</v>
      </c>
      <c r="I592" s="2" t="s">
        <v>1402</v>
      </c>
      <c r="J592" s="3" t="str">
        <f>HYPERLINK("https://www.boe.es/gazeta/dias/1822/04/01/pdfs/GMD-1822-93.pdf#page=4","Abrir facsímil")</f>
        <v>Abrir facsímil</v>
      </c>
      <c r="K592" s="3" t="s">
        <v>22</v>
      </c>
    </row>
    <row r="593" spans="1:11" ht="42" customHeight="1">
      <c r="A593" s="2" t="s">
        <v>1390</v>
      </c>
      <c r="B593" s="2" t="s">
        <v>1390</v>
      </c>
      <c r="C593" s="2" t="s">
        <v>28</v>
      </c>
      <c r="D593" s="2" t="s">
        <v>29</v>
      </c>
      <c r="E593" s="5">
        <v>-28382</v>
      </c>
      <c r="F593" s="3" t="s">
        <v>973</v>
      </c>
      <c r="G593" s="3" t="s">
        <v>57</v>
      </c>
      <c r="H593" s="2" t="s">
        <v>20</v>
      </c>
      <c r="I593" s="2" t="s">
        <v>1403</v>
      </c>
      <c r="J593" s="3" t="str">
        <f>HYPERLINK("https://www.boe.es/gazeta/dias/1822/04/16/pdfs/GMD-1822-108.pdf#page=4","Abrir facsímil")</f>
        <v>Abrir facsímil</v>
      </c>
      <c r="K593" s="3" t="s">
        <v>22</v>
      </c>
    </row>
    <row r="594" spans="1:11" ht="42" customHeight="1">
      <c r="A594" s="2" t="s">
        <v>1390</v>
      </c>
      <c r="B594" s="2" t="s">
        <v>1390</v>
      </c>
      <c r="C594" s="2" t="s">
        <v>50</v>
      </c>
      <c r="D594" s="2" t="s">
        <v>51</v>
      </c>
      <c r="E594" s="5">
        <v>-28371</v>
      </c>
      <c r="F594" s="3" t="s">
        <v>401</v>
      </c>
      <c r="G594" s="3" t="s">
        <v>35</v>
      </c>
      <c r="H594" s="2" t="s">
        <v>20</v>
      </c>
      <c r="I594" s="2" t="s">
        <v>1404</v>
      </c>
      <c r="J594" s="3" t="str">
        <f>HYPERLINK("https://www.boe.es/gazeta/dias/1822/04/27/pdfs/GMD-1822-119.pdf#page=2","Abrir facsímil")</f>
        <v>Abrir facsímil</v>
      </c>
      <c r="K594" s="3" t="s">
        <v>22</v>
      </c>
    </row>
    <row r="595" spans="1:11" ht="42" customHeight="1">
      <c r="A595" s="2" t="s">
        <v>1390</v>
      </c>
      <c r="B595" s="2" t="s">
        <v>1390</v>
      </c>
      <c r="C595" s="2" t="s">
        <v>42</v>
      </c>
      <c r="D595" s="2" t="s">
        <v>17</v>
      </c>
      <c r="E595" s="5">
        <v>-28370</v>
      </c>
      <c r="F595" s="3" t="s">
        <v>207</v>
      </c>
      <c r="G595" s="3" t="s">
        <v>35</v>
      </c>
      <c r="H595" s="2" t="s">
        <v>20</v>
      </c>
      <c r="I595" s="2" t="s">
        <v>1405</v>
      </c>
      <c r="J595" s="3" t="str">
        <f>HYPERLINK("https://www.boe.es/gazeta/dias/1822/04/28/pdfs/GMD-1822-120.pdf#page=2","Abrir facsímil")</f>
        <v>Abrir facsímil</v>
      </c>
      <c r="K595" s="3" t="s">
        <v>22</v>
      </c>
    </row>
    <row r="596" spans="1:11" ht="42" customHeight="1">
      <c r="A596" s="2" t="s">
        <v>1390</v>
      </c>
      <c r="B596" s="2" t="s">
        <v>1390</v>
      </c>
      <c r="C596" s="2" t="s">
        <v>71</v>
      </c>
      <c r="D596" s="2" t="s">
        <v>17</v>
      </c>
      <c r="E596" s="5">
        <v>-28358</v>
      </c>
      <c r="F596" s="3" t="s">
        <v>211</v>
      </c>
      <c r="G596" s="3" t="s">
        <v>35</v>
      </c>
      <c r="H596" s="2" t="s">
        <v>20</v>
      </c>
      <c r="I596" s="2" t="s">
        <v>1406</v>
      </c>
      <c r="J596" s="3" t="str">
        <f>HYPERLINK("https://www.boe.es/gazeta/dias/1822/05/10/pdfs/GMD-1822-132.pdf#page=2","Abrir facsímil")</f>
        <v>Abrir facsímil</v>
      </c>
      <c r="K596" s="3" t="s">
        <v>22</v>
      </c>
    </row>
    <row r="597" spans="1:11" ht="42" customHeight="1">
      <c r="A597" s="2" t="s">
        <v>1390</v>
      </c>
      <c r="B597" s="2" t="s">
        <v>1390</v>
      </c>
      <c r="C597" s="2" t="s">
        <v>42</v>
      </c>
      <c r="D597" s="2" t="s">
        <v>17</v>
      </c>
      <c r="E597" s="5">
        <v>-28357</v>
      </c>
      <c r="F597" s="3" t="s">
        <v>690</v>
      </c>
      <c r="G597" s="3" t="s">
        <v>63</v>
      </c>
      <c r="H597" s="2" t="s">
        <v>20</v>
      </c>
      <c r="I597" s="2" t="s">
        <v>1407</v>
      </c>
      <c r="J597" s="3" t="str">
        <f>HYPERLINK("https://www.boe.es/gazeta/dias/1822/05/11/pdfs/GMD-1822-133.pdf#page=6","Abrir facsímil")</f>
        <v>Abrir facsímil</v>
      </c>
      <c r="K597" s="3" t="s">
        <v>22</v>
      </c>
    </row>
    <row r="598" spans="1:11" ht="42" customHeight="1">
      <c r="A598" s="2" t="s">
        <v>1390</v>
      </c>
      <c r="B598" s="2" t="s">
        <v>1390</v>
      </c>
      <c r="C598" s="2" t="s">
        <v>50</v>
      </c>
      <c r="D598" s="2" t="s">
        <v>51</v>
      </c>
      <c r="E598" s="5">
        <v>-28354</v>
      </c>
      <c r="F598" s="3" t="s">
        <v>226</v>
      </c>
      <c r="G598" s="3" t="s">
        <v>57</v>
      </c>
      <c r="H598" s="2" t="s">
        <v>20</v>
      </c>
      <c r="I598" s="2" t="s">
        <v>1408</v>
      </c>
      <c r="J598" s="3" t="str">
        <f>HYPERLINK("https://www.boe.es/gazeta/dias/1822/05/14/pdfs/GMD-1822-136.pdf#page=4","Abrir facsímil")</f>
        <v>Abrir facsímil</v>
      </c>
      <c r="K598" s="3" t="s">
        <v>22</v>
      </c>
    </row>
    <row r="599" spans="1:11" ht="42" customHeight="1">
      <c r="A599" s="2" t="s">
        <v>1390</v>
      </c>
      <c r="B599" s="2" t="s">
        <v>1390</v>
      </c>
      <c r="C599" s="2" t="s">
        <v>71</v>
      </c>
      <c r="D599" s="2" t="s">
        <v>17</v>
      </c>
      <c r="E599" s="5">
        <v>-28346</v>
      </c>
      <c r="F599" s="3" t="s">
        <v>191</v>
      </c>
      <c r="G599" s="3" t="s">
        <v>31</v>
      </c>
      <c r="H599" s="2" t="s">
        <v>20</v>
      </c>
      <c r="I599" s="2" t="s">
        <v>1409</v>
      </c>
      <c r="J599" s="3" t="str">
        <f>HYPERLINK("https://www.boe.es/gazeta/dias/1822/05/22/pdfs/GMD-1822-145.pdf#page=3","Abrir facsímil")</f>
        <v>Abrir facsímil</v>
      </c>
      <c r="K599" s="3" t="s">
        <v>22</v>
      </c>
    </row>
    <row r="600" spans="1:11" ht="42" customHeight="1">
      <c r="A600" s="2" t="s">
        <v>1390</v>
      </c>
      <c r="B600" s="2" t="s">
        <v>1390</v>
      </c>
      <c r="C600" s="2" t="s">
        <v>50</v>
      </c>
      <c r="D600" s="2" t="s">
        <v>51</v>
      </c>
      <c r="E600" s="5">
        <v>-28344</v>
      </c>
      <c r="F600" s="3" t="s">
        <v>524</v>
      </c>
      <c r="G600" s="3" t="s">
        <v>63</v>
      </c>
      <c r="H600" s="2" t="s">
        <v>20</v>
      </c>
      <c r="I600" s="2" t="s">
        <v>1410</v>
      </c>
      <c r="J600" s="3" t="str">
        <f>HYPERLINK("https://www.boe.es/gazeta/dias/1822/05/24/pdfs/GMD-1822-148.pdf#page=6","Abrir facsímil")</f>
        <v>Abrir facsímil</v>
      </c>
      <c r="K600" s="3" t="s">
        <v>22</v>
      </c>
    </row>
    <row r="601" spans="1:11" ht="42" customHeight="1">
      <c r="A601" s="2" t="s">
        <v>1390</v>
      </c>
      <c r="B601" s="2" t="s">
        <v>1390</v>
      </c>
      <c r="C601" s="2" t="s">
        <v>50</v>
      </c>
      <c r="D601" s="2" t="s">
        <v>51</v>
      </c>
      <c r="E601" s="5">
        <v>-28341</v>
      </c>
      <c r="F601" s="3" t="s">
        <v>284</v>
      </c>
      <c r="G601" s="3" t="s">
        <v>35</v>
      </c>
      <c r="H601" s="2" t="s">
        <v>20</v>
      </c>
      <c r="I601" s="2" t="s">
        <v>1411</v>
      </c>
      <c r="J601" s="3" t="str">
        <f>HYPERLINK("https://www.boe.es/gazeta/dias/1822/05/27/pdfs/GMD-1822-152.pdf#page=2","Abrir facsímil")</f>
        <v>Abrir facsímil</v>
      </c>
      <c r="K601" s="3" t="s">
        <v>22</v>
      </c>
    </row>
    <row r="602" spans="1:11" ht="42" customHeight="1">
      <c r="A602" s="2" t="s">
        <v>1390</v>
      </c>
      <c r="B602" s="2" t="s">
        <v>1390</v>
      </c>
      <c r="C602" s="2" t="s">
        <v>28</v>
      </c>
      <c r="D602" s="2" t="s">
        <v>29</v>
      </c>
      <c r="E602" s="5">
        <v>-28332</v>
      </c>
      <c r="F602" s="3" t="s">
        <v>535</v>
      </c>
      <c r="G602" s="3" t="s">
        <v>35</v>
      </c>
      <c r="H602" s="2" t="s">
        <v>20</v>
      </c>
      <c r="I602" s="2" t="s">
        <v>1412</v>
      </c>
      <c r="J602" s="3" t="str">
        <f>HYPERLINK("https://www.boe.es/gazeta/dias/1822/06/05/pdfs/GMD-1822-162.pdf#page=2","Abrir facsímil")</f>
        <v>Abrir facsímil</v>
      </c>
      <c r="K602" s="3" t="s">
        <v>22</v>
      </c>
    </row>
    <row r="603" spans="1:11" ht="42" customHeight="1">
      <c r="A603" s="2" t="s">
        <v>1390</v>
      </c>
      <c r="B603" s="2" t="s">
        <v>1390</v>
      </c>
      <c r="C603" s="2" t="s">
        <v>50</v>
      </c>
      <c r="D603" s="2" t="s">
        <v>51</v>
      </c>
      <c r="E603" s="5">
        <v>-28332</v>
      </c>
      <c r="F603" s="3" t="s">
        <v>535</v>
      </c>
      <c r="G603" s="3" t="s">
        <v>31</v>
      </c>
      <c r="H603" s="2" t="s">
        <v>20</v>
      </c>
      <c r="I603" s="2" t="s">
        <v>1413</v>
      </c>
      <c r="J603" s="3" t="str">
        <f>HYPERLINK("https://www.boe.es/gazeta/dias/1822/06/05/pdfs/GMD-1822-162.pdf#page=3","Abrir facsímil")</f>
        <v>Abrir facsímil</v>
      </c>
      <c r="K603" s="3" t="s">
        <v>22</v>
      </c>
    </row>
    <row r="604" spans="1:11" ht="42" customHeight="1">
      <c r="A604" s="2" t="s">
        <v>1390</v>
      </c>
      <c r="B604" s="2" t="s">
        <v>1390</v>
      </c>
      <c r="C604" s="2" t="s">
        <v>16</v>
      </c>
      <c r="D604" s="2" t="s">
        <v>17</v>
      </c>
      <c r="E604" s="5">
        <v>-28327</v>
      </c>
      <c r="F604" s="3" t="s">
        <v>38</v>
      </c>
      <c r="G604" s="3" t="s">
        <v>57</v>
      </c>
      <c r="H604" s="2" t="s">
        <v>20</v>
      </c>
      <c r="I604" s="2" t="s">
        <v>1414</v>
      </c>
      <c r="J604" s="3" t="str">
        <f>HYPERLINK("https://www.boe.es/gazeta/dias/1822/06/10/pdfs/GMD-1822-167.pdf#page=4","Abrir facsímil")</f>
        <v>Abrir facsímil</v>
      </c>
      <c r="K604" s="3" t="s">
        <v>22</v>
      </c>
    </row>
    <row r="605" spans="1:11" ht="42" customHeight="1">
      <c r="A605" s="2" t="s">
        <v>1390</v>
      </c>
      <c r="B605" s="2" t="s">
        <v>1390</v>
      </c>
      <c r="C605" s="2" t="s">
        <v>42</v>
      </c>
      <c r="D605" s="2" t="s">
        <v>17</v>
      </c>
      <c r="E605" s="5">
        <v>-28326</v>
      </c>
      <c r="F605" s="3" t="s">
        <v>543</v>
      </c>
      <c r="G605" s="3" t="s">
        <v>57</v>
      </c>
      <c r="H605" s="2" t="s">
        <v>20</v>
      </c>
      <c r="I605" s="2" t="s">
        <v>1415</v>
      </c>
      <c r="J605" s="3" t="str">
        <f>HYPERLINK("https://www.boe.es/gazeta/dias/1822/06/11/pdfs/GMD-1822-168.pdf#page=4","Abrir facsímil")</f>
        <v>Abrir facsímil</v>
      </c>
      <c r="K605" s="3" t="s">
        <v>22</v>
      </c>
    </row>
    <row r="606" spans="1:11" ht="42" customHeight="1">
      <c r="A606" s="2" t="s">
        <v>1390</v>
      </c>
      <c r="B606" s="2" t="s">
        <v>1390</v>
      </c>
      <c r="C606" s="2" t="s">
        <v>24</v>
      </c>
      <c r="D606" s="2" t="s">
        <v>17</v>
      </c>
      <c r="E606" s="5">
        <v>-28309</v>
      </c>
      <c r="F606" s="3" t="s">
        <v>553</v>
      </c>
      <c r="G606" s="3" t="s">
        <v>642</v>
      </c>
      <c r="H606" s="2" t="s">
        <v>20</v>
      </c>
      <c r="I606" s="2" t="s">
        <v>1416</v>
      </c>
      <c r="J606" s="3" t="str">
        <f>HYPERLINK("https://www.boe.es/gazeta/dias/1822/06/28/pdfs/GMD-1822-186.pdf#page=7","Abrir facsímil")</f>
        <v>Abrir facsímil</v>
      </c>
      <c r="K606" s="3" t="s">
        <v>22</v>
      </c>
    </row>
    <row r="607" spans="1:11" ht="42" customHeight="1">
      <c r="A607" s="2" t="s">
        <v>1390</v>
      </c>
      <c r="B607" s="2" t="s">
        <v>1390</v>
      </c>
      <c r="C607" s="2" t="s">
        <v>42</v>
      </c>
      <c r="D607" s="2" t="s">
        <v>17</v>
      </c>
      <c r="E607" s="5">
        <v>-28306</v>
      </c>
      <c r="F607" s="3" t="s">
        <v>348</v>
      </c>
      <c r="G607" s="3" t="s">
        <v>31</v>
      </c>
      <c r="H607" s="2" t="s">
        <v>20</v>
      </c>
      <c r="I607" s="2" t="s">
        <v>1417</v>
      </c>
      <c r="J607" s="3" t="str">
        <f>HYPERLINK("https://www.boe.es/gazeta/dias/1822/07/01/pdfs/GMD-1822-190.pdf#page=3","Abrir facsímil")</f>
        <v>Abrir facsímil</v>
      </c>
      <c r="K607" s="3" t="s">
        <v>22</v>
      </c>
    </row>
    <row r="608" spans="1:11" ht="42" customHeight="1">
      <c r="A608" s="2" t="s">
        <v>1390</v>
      </c>
      <c r="B608" s="2" t="s">
        <v>1390</v>
      </c>
      <c r="C608" s="2" t="s">
        <v>28</v>
      </c>
      <c r="D608" s="2" t="s">
        <v>29</v>
      </c>
      <c r="E608" s="5">
        <v>-28198</v>
      </c>
      <c r="F608" s="3" t="s">
        <v>981</v>
      </c>
      <c r="G608" s="3" t="s">
        <v>35</v>
      </c>
      <c r="H608" s="2" t="s">
        <v>20</v>
      </c>
      <c r="I608" s="2" t="s">
        <v>1418</v>
      </c>
      <c r="J608" s="3" t="str">
        <f>HYPERLINK("https://www.boe.es/gazeta/dias/1822/10/17/pdfs/GMD-1822-304.pdf#page=2","Abrir facsímil")</f>
        <v>Abrir facsímil</v>
      </c>
      <c r="K608" s="3" t="s">
        <v>22</v>
      </c>
    </row>
    <row r="609" spans="1:11" ht="42" customHeight="1">
      <c r="A609" s="2" t="s">
        <v>1390</v>
      </c>
      <c r="B609" s="2" t="s">
        <v>1390</v>
      </c>
      <c r="C609" s="2" t="s">
        <v>28</v>
      </c>
      <c r="D609" s="2" t="s">
        <v>29</v>
      </c>
      <c r="E609" s="5">
        <v>-28197</v>
      </c>
      <c r="F609" s="3" t="s">
        <v>568</v>
      </c>
      <c r="G609" s="3" t="s">
        <v>35</v>
      </c>
      <c r="H609" s="2" t="s">
        <v>20</v>
      </c>
      <c r="I609" s="2" t="s">
        <v>1419</v>
      </c>
      <c r="J609" s="3" t="str">
        <f>HYPERLINK("https://www.boe.es/gazeta/dias/1822/10/18/pdfs/GMD-1822-305.pdf#page=2","Abrir facsímil")</f>
        <v>Abrir facsímil</v>
      </c>
      <c r="K609" s="3" t="s">
        <v>22</v>
      </c>
    </row>
    <row r="610" spans="1:11" ht="42" customHeight="1">
      <c r="A610" s="2" t="s">
        <v>1390</v>
      </c>
      <c r="B610" s="2" t="s">
        <v>1390</v>
      </c>
      <c r="C610" s="2" t="s">
        <v>42</v>
      </c>
      <c r="D610" s="2" t="s">
        <v>17</v>
      </c>
      <c r="E610" s="5">
        <v>-28197</v>
      </c>
      <c r="F610" s="3" t="s">
        <v>568</v>
      </c>
      <c r="G610" s="3" t="s">
        <v>57</v>
      </c>
      <c r="H610" s="2" t="s">
        <v>20</v>
      </c>
      <c r="I610" s="2" t="s">
        <v>1420</v>
      </c>
      <c r="J610" s="3" t="str">
        <f>HYPERLINK("https://www.boe.es/gazeta/dias/1822/10/18/pdfs/GMD-1822-305.pdf#page=4","Abrir facsímil")</f>
        <v>Abrir facsímil</v>
      </c>
      <c r="K610" s="3" t="s">
        <v>22</v>
      </c>
    </row>
    <row r="611" spans="1:11" ht="42" customHeight="1">
      <c r="A611" s="2" t="s">
        <v>1390</v>
      </c>
      <c r="B611" s="2" t="s">
        <v>1390</v>
      </c>
      <c r="C611" s="2" t="s">
        <v>16</v>
      </c>
      <c r="D611" s="2" t="s">
        <v>17</v>
      </c>
      <c r="E611" s="5">
        <v>-28188</v>
      </c>
      <c r="F611" s="3" t="s">
        <v>578</v>
      </c>
      <c r="G611" s="3" t="s">
        <v>35</v>
      </c>
      <c r="H611" s="2" t="s">
        <v>20</v>
      </c>
      <c r="I611" s="2" t="s">
        <v>1421</v>
      </c>
      <c r="J611" s="3" t="str">
        <f>HYPERLINK("https://www.boe.es/gazeta/dias/1822/10/27/pdfs/GMD-1822-314.pdf#page=2","Abrir facsímil")</f>
        <v>Abrir facsímil</v>
      </c>
      <c r="K611" s="3" t="s">
        <v>22</v>
      </c>
    </row>
    <row r="612" spans="1:11" ht="42" customHeight="1">
      <c r="A612" s="2" t="s">
        <v>1390</v>
      </c>
      <c r="B612" s="2" t="s">
        <v>1390</v>
      </c>
      <c r="C612" s="2" t="s">
        <v>42</v>
      </c>
      <c r="D612" s="2" t="s">
        <v>17</v>
      </c>
      <c r="E612" s="5">
        <v>-28186</v>
      </c>
      <c r="F612" s="3" t="s">
        <v>581</v>
      </c>
      <c r="G612" s="3" t="s">
        <v>35</v>
      </c>
      <c r="H612" s="2" t="s">
        <v>20</v>
      </c>
      <c r="I612" s="2" t="s">
        <v>1422</v>
      </c>
      <c r="J612" s="3" t="str">
        <f>HYPERLINK("https://www.boe.es/gazeta/dias/1822/10/29/pdfs/GMD-1822-316.pdf#page=2","Abrir facsímil")</f>
        <v>Abrir facsímil</v>
      </c>
      <c r="K612" s="3" t="s">
        <v>22</v>
      </c>
    </row>
    <row r="613" spans="1:11" ht="42" customHeight="1">
      <c r="A613" s="2" t="s">
        <v>1390</v>
      </c>
      <c r="B613" s="2" t="s">
        <v>1390</v>
      </c>
      <c r="C613" s="2" t="s">
        <v>50</v>
      </c>
      <c r="D613" s="2" t="s">
        <v>51</v>
      </c>
      <c r="E613" s="5">
        <v>-28184</v>
      </c>
      <c r="F613" s="3" t="s">
        <v>1423</v>
      </c>
      <c r="G613" s="3" t="s">
        <v>57</v>
      </c>
      <c r="H613" s="2" t="s">
        <v>20</v>
      </c>
      <c r="I613" s="2" t="s">
        <v>1424</v>
      </c>
      <c r="J613" s="3" t="str">
        <f>HYPERLINK("https://www.boe.es/gazeta/dias/1822/10/31/pdfs/GMD-1822-318.pdf#page=4","Abrir facsímil")</f>
        <v>Abrir facsímil</v>
      </c>
      <c r="K613" s="3" t="s">
        <v>22</v>
      </c>
    </row>
    <row r="614" spans="1:11" ht="42" customHeight="1">
      <c r="A614" s="2" t="s">
        <v>1390</v>
      </c>
      <c r="B614" s="2" t="s">
        <v>1390</v>
      </c>
      <c r="C614" s="2" t="s">
        <v>42</v>
      </c>
      <c r="D614" s="2" t="s">
        <v>17</v>
      </c>
      <c r="E614" s="5">
        <v>-28167</v>
      </c>
      <c r="F614" s="3" t="s">
        <v>904</v>
      </c>
      <c r="G614" s="3" t="s">
        <v>57</v>
      </c>
      <c r="H614" s="2" t="s">
        <v>20</v>
      </c>
      <c r="I614" s="2" t="s">
        <v>1425</v>
      </c>
      <c r="J614" s="3" t="str">
        <f>HYPERLINK("https://www.boe.es/gazeta/dias/1822/11/17/pdfs/GMD-1822-337.pdf#page=4","Abrir facsímil")</f>
        <v>Abrir facsímil</v>
      </c>
      <c r="K614" s="3" t="s">
        <v>22</v>
      </c>
    </row>
    <row r="615" spans="1:11" ht="42" customHeight="1">
      <c r="A615" s="2" t="s">
        <v>1426</v>
      </c>
      <c r="B615" s="2" t="s">
        <v>1427</v>
      </c>
      <c r="C615" s="2" t="s">
        <v>42</v>
      </c>
      <c r="D615" s="2" t="s">
        <v>17</v>
      </c>
      <c r="E615" s="5">
        <v>-28436</v>
      </c>
      <c r="F615" s="3" t="s">
        <v>431</v>
      </c>
      <c r="G615" s="3" t="s">
        <v>1428</v>
      </c>
      <c r="H615" s="2" t="s">
        <v>20</v>
      </c>
      <c r="I615" s="2" t="s">
        <v>1429</v>
      </c>
      <c r="J615" s="3" t="str">
        <f>HYPERLINK("https://www.boe.es/gazeta/dias/1822/02/21/pdfs/GMD-1822-53.pdf#page=3","Abrir facsímil")</f>
        <v>Abrir facsímil</v>
      </c>
      <c r="K615" s="3" t="s">
        <v>22</v>
      </c>
    </row>
    <row r="616" spans="1:11" ht="42" customHeight="1">
      <c r="A616" s="2" t="s">
        <v>1430</v>
      </c>
      <c r="B616" s="2" t="s">
        <v>1431</v>
      </c>
      <c r="C616" s="2" t="s">
        <v>42</v>
      </c>
      <c r="D616" s="2" t="s">
        <v>17</v>
      </c>
      <c r="E616" s="5">
        <v>-28127</v>
      </c>
      <c r="F616" s="3" t="s">
        <v>409</v>
      </c>
      <c r="G616" s="3" t="s">
        <v>19</v>
      </c>
      <c r="H616" s="2" t="s">
        <v>20</v>
      </c>
      <c r="I616" s="2" t="s">
        <v>1432</v>
      </c>
      <c r="J616" s="3" t="str">
        <f>HYPERLINK("https://www.boe.es/gazeta/dias/1822/12/27/pdfs/GMD-1822-377.pdf#page=5","Abrir facsímil")</f>
        <v>Abrir facsímil</v>
      </c>
      <c r="K616" s="3" t="s">
        <v>22</v>
      </c>
    </row>
    <row r="617" spans="1:11" ht="42" customHeight="1">
      <c r="A617" s="2" t="s">
        <v>1433</v>
      </c>
      <c r="B617" s="2" t="s">
        <v>1433</v>
      </c>
      <c r="C617" s="2" t="s">
        <v>71</v>
      </c>
      <c r="D617" s="2" t="s">
        <v>17</v>
      </c>
      <c r="E617" s="5">
        <v>-28484</v>
      </c>
      <c r="F617" s="3" t="s">
        <v>743</v>
      </c>
      <c r="G617" s="3" t="s">
        <v>31</v>
      </c>
      <c r="H617" s="2" t="s">
        <v>20</v>
      </c>
      <c r="I617" s="2" t="s">
        <v>1434</v>
      </c>
      <c r="J617" s="3" t="str">
        <f>HYPERLINK("https://www.boe.es/gazeta/dias/1822/01/04/pdfs/GMD-1822-4.pdf#page=3","Abrir facsímil")</f>
        <v>Abrir facsímil</v>
      </c>
      <c r="K617" s="3" t="s">
        <v>22</v>
      </c>
    </row>
    <row r="618" spans="1:11" ht="42" customHeight="1">
      <c r="A618" s="2" t="s">
        <v>1433</v>
      </c>
      <c r="B618" s="2" t="s">
        <v>1433</v>
      </c>
      <c r="C618" s="2" t="s">
        <v>28</v>
      </c>
      <c r="D618" s="2" t="s">
        <v>29</v>
      </c>
      <c r="E618" s="5">
        <v>-28478</v>
      </c>
      <c r="F618" s="3" t="s">
        <v>1093</v>
      </c>
      <c r="G618" s="3" t="s">
        <v>44</v>
      </c>
      <c r="H618" s="2" t="s">
        <v>20</v>
      </c>
      <c r="I618" s="2" t="s">
        <v>1435</v>
      </c>
      <c r="J618" s="3" t="str">
        <f>HYPERLINK("https://www.boe.es/gazeta/dias/1822/01/10/pdfs/GMD-1822-10.pdf#page=1","Abrir facsímil")</f>
        <v>Abrir facsímil</v>
      </c>
      <c r="K618" s="3" t="s">
        <v>22</v>
      </c>
    </row>
    <row r="619" spans="1:11" ht="42" customHeight="1">
      <c r="A619" s="2" t="s">
        <v>1433</v>
      </c>
      <c r="B619" s="2" t="s">
        <v>1433</v>
      </c>
      <c r="C619" s="2" t="s">
        <v>42</v>
      </c>
      <c r="D619" s="2" t="s">
        <v>17</v>
      </c>
      <c r="E619" s="5">
        <v>-28471</v>
      </c>
      <c r="F619" s="3" t="s">
        <v>1436</v>
      </c>
      <c r="G619" s="3" t="s">
        <v>57</v>
      </c>
      <c r="H619" s="2" t="s">
        <v>20</v>
      </c>
      <c r="I619" s="2" t="s">
        <v>1437</v>
      </c>
      <c r="J619" s="3" t="str">
        <f>HYPERLINK("https://www.boe.es/gazeta/dias/1822/01/17/pdfs/GMD-1822-17.pdf#page=4","Abrir facsímil")</f>
        <v>Abrir facsímil</v>
      </c>
      <c r="K619" s="3" t="s">
        <v>22</v>
      </c>
    </row>
    <row r="620" spans="1:11" ht="42" customHeight="1">
      <c r="A620" s="2" t="s">
        <v>1433</v>
      </c>
      <c r="B620" s="2" t="s">
        <v>1433</v>
      </c>
      <c r="C620" s="2" t="s">
        <v>42</v>
      </c>
      <c r="D620" s="2" t="s">
        <v>17</v>
      </c>
      <c r="E620" s="5">
        <v>-28456</v>
      </c>
      <c r="F620" s="3" t="s">
        <v>1104</v>
      </c>
      <c r="G620" s="3" t="s">
        <v>1105</v>
      </c>
      <c r="H620" s="2" t="s">
        <v>20</v>
      </c>
      <c r="I620" s="2" t="s">
        <v>1438</v>
      </c>
      <c r="J620" s="3" t="str">
        <f>HYPERLINK("https://www.boe.es/gazeta/dias/1822/02/01/pdfs/GMD-1822-32.pdf#page=4","Abrir facsímil")</f>
        <v>Abrir facsímil</v>
      </c>
      <c r="K620" s="3" t="s">
        <v>22</v>
      </c>
    </row>
    <row r="621" spans="1:11" ht="42" customHeight="1">
      <c r="A621" s="2" t="s">
        <v>1439</v>
      </c>
      <c r="B621" s="2" t="s">
        <v>1440</v>
      </c>
      <c r="C621" s="2" t="s">
        <v>28</v>
      </c>
      <c r="D621" s="2" t="s">
        <v>29</v>
      </c>
      <c r="E621" s="5">
        <v>-28478</v>
      </c>
      <c r="F621" s="3" t="s">
        <v>1093</v>
      </c>
      <c r="G621" s="3" t="s">
        <v>44</v>
      </c>
      <c r="H621" s="2" t="s">
        <v>20</v>
      </c>
      <c r="I621" s="2" t="s">
        <v>1441</v>
      </c>
      <c r="J621" s="3" t="str">
        <f>HYPERLINK("https://www.boe.es/gazeta/dias/1822/01/10/pdfs/GMD-1822-10.pdf#page=1","Abrir facsímil")</f>
        <v>Abrir facsímil</v>
      </c>
      <c r="K621" s="3" t="s">
        <v>22</v>
      </c>
    </row>
    <row r="622" spans="1:11" ht="42" customHeight="1">
      <c r="A622" s="2" t="s">
        <v>1439</v>
      </c>
      <c r="B622" s="2" t="s">
        <v>1440</v>
      </c>
      <c r="C622" s="2" t="s">
        <v>71</v>
      </c>
      <c r="D622" s="2" t="s">
        <v>17</v>
      </c>
      <c r="E622" s="5">
        <v>-28471</v>
      </c>
      <c r="F622" s="3" t="s">
        <v>1436</v>
      </c>
      <c r="G622" s="3" t="s">
        <v>57</v>
      </c>
      <c r="H622" s="2" t="s">
        <v>20</v>
      </c>
      <c r="I622" s="2" t="s">
        <v>1442</v>
      </c>
      <c r="J622" s="3" t="str">
        <f>HYPERLINK("https://www.boe.es/gazeta/dias/1822/01/17/pdfs/GMD-1822-17.pdf#page=4","Abrir facsímil")</f>
        <v>Abrir facsímil</v>
      </c>
      <c r="K622" s="3" t="s">
        <v>22</v>
      </c>
    </row>
    <row r="623" spans="1:11" ht="42" customHeight="1">
      <c r="A623" s="2" t="s">
        <v>1439</v>
      </c>
      <c r="B623" s="2" t="s">
        <v>1440</v>
      </c>
      <c r="C623" s="2" t="s">
        <v>42</v>
      </c>
      <c r="D623" s="2" t="s">
        <v>17</v>
      </c>
      <c r="E623" s="5">
        <v>-28471</v>
      </c>
      <c r="F623" s="3" t="s">
        <v>1436</v>
      </c>
      <c r="G623" s="3" t="s">
        <v>63</v>
      </c>
      <c r="H623" s="2" t="s">
        <v>20</v>
      </c>
      <c r="I623" s="2" t="s">
        <v>1443</v>
      </c>
      <c r="J623" s="3" t="str">
        <f>HYPERLINK("https://www.boe.es/gazeta/dias/1822/01/17/pdfs/GMD-1822-17.pdf#page=6","Abrir facsímil")</f>
        <v>Abrir facsímil</v>
      </c>
      <c r="K623" s="3" t="s">
        <v>22</v>
      </c>
    </row>
    <row r="624" spans="1:11" ht="42" customHeight="1">
      <c r="A624" s="2" t="s">
        <v>1439</v>
      </c>
      <c r="B624" s="2" t="s">
        <v>1440</v>
      </c>
      <c r="C624" s="2" t="s">
        <v>28</v>
      </c>
      <c r="D624" s="2" t="s">
        <v>29</v>
      </c>
      <c r="E624" s="5">
        <v>-28470</v>
      </c>
      <c r="F624" s="3" t="s">
        <v>1444</v>
      </c>
      <c r="G624" s="3" t="s">
        <v>35</v>
      </c>
      <c r="H624" s="2" t="s">
        <v>20</v>
      </c>
      <c r="I624" s="2" t="s">
        <v>1445</v>
      </c>
      <c r="J624" s="3" t="str">
        <f>HYPERLINK("https://www.boe.es/gazeta/dias/1822/01/18/pdfs/GMD-1822-18.pdf#page=2","Abrir facsímil")</f>
        <v>Abrir facsímil</v>
      </c>
      <c r="K624" s="3" t="s">
        <v>22</v>
      </c>
    </row>
    <row r="625" spans="1:11" ht="42" customHeight="1">
      <c r="A625" s="2" t="s">
        <v>1439</v>
      </c>
      <c r="B625" s="2" t="s">
        <v>1440</v>
      </c>
      <c r="C625" s="2" t="s">
        <v>42</v>
      </c>
      <c r="D625" s="2" t="s">
        <v>17</v>
      </c>
      <c r="E625" s="5">
        <v>-28470</v>
      </c>
      <c r="F625" s="3" t="s">
        <v>1444</v>
      </c>
      <c r="G625" s="3" t="s">
        <v>31</v>
      </c>
      <c r="H625" s="2" t="s">
        <v>20</v>
      </c>
      <c r="I625" s="2" t="s">
        <v>1446</v>
      </c>
      <c r="J625" s="3" t="str">
        <f>HYPERLINK("https://www.boe.es/gazeta/dias/1822/01/18/pdfs/GMD-1822-18.pdf#page=3","Abrir facsímil")</f>
        <v>Abrir facsímil</v>
      </c>
      <c r="K625" s="3" t="s">
        <v>22</v>
      </c>
    </row>
    <row r="626" spans="1:11" ht="42" customHeight="1">
      <c r="A626" s="2" t="s">
        <v>1439</v>
      </c>
      <c r="B626" s="2" t="s">
        <v>1440</v>
      </c>
      <c r="C626" s="2" t="s">
        <v>362</v>
      </c>
      <c r="D626" s="2" t="s">
        <v>17</v>
      </c>
      <c r="E626" s="5">
        <v>-28464</v>
      </c>
      <c r="F626" s="3" t="s">
        <v>1447</v>
      </c>
      <c r="G626" s="3" t="s">
        <v>35</v>
      </c>
      <c r="H626" s="2" t="s">
        <v>20</v>
      </c>
      <c r="I626" s="2" t="s">
        <v>1448</v>
      </c>
      <c r="J626" s="3" t="str">
        <f>HYPERLINK("https://www.boe.es/gazeta/dias/1822/01/24/pdfs/GMD-1822-24.pdf#page=2","Abrir facsímil")</f>
        <v>Abrir facsímil</v>
      </c>
      <c r="K626" s="3" t="s">
        <v>22</v>
      </c>
    </row>
    <row r="627" spans="1:11" ht="42" customHeight="1">
      <c r="A627" s="2" t="s">
        <v>1439</v>
      </c>
      <c r="B627" s="2" t="s">
        <v>1440</v>
      </c>
      <c r="C627" s="2" t="s">
        <v>71</v>
      </c>
      <c r="D627" s="2" t="s">
        <v>17</v>
      </c>
      <c r="E627" s="5">
        <v>-28462</v>
      </c>
      <c r="F627" s="3" t="s">
        <v>1099</v>
      </c>
      <c r="G627" s="3" t="s">
        <v>31</v>
      </c>
      <c r="H627" s="2" t="s">
        <v>20</v>
      </c>
      <c r="I627" s="2" t="s">
        <v>1449</v>
      </c>
      <c r="J627" s="3" t="str">
        <f>HYPERLINK("https://www.boe.es/gazeta/dias/1822/01/26/pdfs/GMD-1822-26.pdf#page=3","Abrir facsímil")</f>
        <v>Abrir facsímil</v>
      </c>
      <c r="K627" s="3" t="s">
        <v>22</v>
      </c>
    </row>
    <row r="628" spans="1:11" ht="42" customHeight="1">
      <c r="A628" s="2" t="s">
        <v>1439</v>
      </c>
      <c r="B628" s="2" t="s">
        <v>1440</v>
      </c>
      <c r="C628" s="2" t="s">
        <v>71</v>
      </c>
      <c r="D628" s="2" t="s">
        <v>17</v>
      </c>
      <c r="E628" s="5">
        <v>-28450</v>
      </c>
      <c r="F628" s="3" t="s">
        <v>1450</v>
      </c>
      <c r="G628" s="3" t="s">
        <v>35</v>
      </c>
      <c r="H628" s="2" t="s">
        <v>20</v>
      </c>
      <c r="I628" s="2" t="s">
        <v>1451</v>
      </c>
      <c r="J628" s="3" t="str">
        <f>HYPERLINK("https://www.boe.es/gazeta/dias/1822/02/07/pdfs/GMD-1822-38.pdf#page=2","Abrir facsímil")</f>
        <v>Abrir facsímil</v>
      </c>
      <c r="K628" s="3" t="s">
        <v>22</v>
      </c>
    </row>
    <row r="629" spans="1:11" ht="42" customHeight="1">
      <c r="A629" s="2" t="s">
        <v>1439</v>
      </c>
      <c r="B629" s="2" t="s">
        <v>1440</v>
      </c>
      <c r="C629" s="2" t="s">
        <v>42</v>
      </c>
      <c r="D629" s="2" t="s">
        <v>17</v>
      </c>
      <c r="E629" s="5">
        <v>-28443</v>
      </c>
      <c r="F629" s="3" t="s">
        <v>668</v>
      </c>
      <c r="G629" s="3" t="s">
        <v>35</v>
      </c>
      <c r="H629" s="2" t="s">
        <v>20</v>
      </c>
      <c r="I629" s="2" t="s">
        <v>1452</v>
      </c>
      <c r="J629" s="3" t="str">
        <f>HYPERLINK("https://www.boe.es/gazeta/dias/1822/02/14/pdfs/GMD-1822-45.pdf#page=2","Abrir facsímil")</f>
        <v>Abrir facsímil</v>
      </c>
      <c r="K629" s="3" t="s">
        <v>22</v>
      </c>
    </row>
    <row r="630" spans="1:11" ht="42" customHeight="1">
      <c r="A630" s="2" t="s">
        <v>1453</v>
      </c>
      <c r="B630" s="2" t="s">
        <v>1454</v>
      </c>
      <c r="C630" s="2" t="s">
        <v>42</v>
      </c>
      <c r="D630" s="2" t="s">
        <v>17</v>
      </c>
      <c r="E630" s="5">
        <v>-28314</v>
      </c>
      <c r="F630" s="3" t="s">
        <v>309</v>
      </c>
      <c r="G630" s="3" t="s">
        <v>63</v>
      </c>
      <c r="H630" s="2" t="s">
        <v>20</v>
      </c>
      <c r="I630" s="2" t="s">
        <v>1455</v>
      </c>
      <c r="J630" s="3" t="str">
        <f>HYPERLINK("https://www.boe.es/gazeta/dias/1822/06/23/pdfs/GMD-1822-181.pdf#page=6","Abrir facsímil")</f>
        <v>Abrir facsímil</v>
      </c>
      <c r="K630" s="3" t="s">
        <v>22</v>
      </c>
    </row>
    <row r="631" spans="1:11" ht="42" customHeight="1">
      <c r="A631" s="2" t="s">
        <v>1456</v>
      </c>
      <c r="B631" s="2" t="s">
        <v>1456</v>
      </c>
      <c r="C631" s="2" t="s">
        <v>16</v>
      </c>
      <c r="D631" s="2" t="s">
        <v>17</v>
      </c>
      <c r="E631" s="5">
        <v>-28170</v>
      </c>
      <c r="F631" s="3" t="s">
        <v>1457</v>
      </c>
      <c r="G631" s="3" t="s">
        <v>63</v>
      </c>
      <c r="H631" s="2" t="s">
        <v>20</v>
      </c>
      <c r="I631" s="2" t="s">
        <v>1458</v>
      </c>
      <c r="J631" s="3" t="str">
        <f>HYPERLINK("https://www.boe.es/gazeta/dias/1822/11/14/pdfs/GMD-1822-334.pdf#page=6","Abrir facsímil")</f>
        <v>Abrir facsímil</v>
      </c>
      <c r="K631" s="3" t="s">
        <v>22</v>
      </c>
    </row>
    <row r="632" spans="1:11" ht="42" customHeight="1">
      <c r="A632" s="2" t="s">
        <v>1459</v>
      </c>
      <c r="B632" s="2" t="s">
        <v>1460</v>
      </c>
      <c r="C632" s="2" t="s">
        <v>42</v>
      </c>
      <c r="D632" s="2" t="s">
        <v>17</v>
      </c>
      <c r="E632" s="5">
        <v>-28214</v>
      </c>
      <c r="F632" s="3" t="s">
        <v>814</v>
      </c>
      <c r="G632" s="3" t="s">
        <v>57</v>
      </c>
      <c r="H632" s="2" t="s">
        <v>20</v>
      </c>
      <c r="I632" s="2" t="s">
        <v>1461</v>
      </c>
      <c r="J632" s="3" t="str">
        <f>HYPERLINK("https://www.boe.es/gazeta/dias/1822/10/01/pdfs/GMD-1822-287.pdf#page=4","Abrir facsímil")</f>
        <v>Abrir facsímil</v>
      </c>
      <c r="K632" s="3" t="s">
        <v>22</v>
      </c>
    </row>
    <row r="633" spans="1:11" ht="42" customHeight="1">
      <c r="A633" s="2" t="s">
        <v>1462</v>
      </c>
      <c r="B633" s="2" t="s">
        <v>1463</v>
      </c>
      <c r="C633" s="2" t="s">
        <v>16</v>
      </c>
      <c r="D633" s="2" t="s">
        <v>17</v>
      </c>
      <c r="E633" s="5">
        <v>-28170</v>
      </c>
      <c r="F633" s="3" t="s">
        <v>1457</v>
      </c>
      <c r="G633" s="3" t="s">
        <v>63</v>
      </c>
      <c r="H633" s="2" t="s">
        <v>20</v>
      </c>
      <c r="I633" s="2" t="s">
        <v>1464</v>
      </c>
      <c r="J633" s="3" t="str">
        <f>HYPERLINK("https://www.boe.es/gazeta/dias/1822/11/14/pdfs/GMD-1822-334.pdf#page=6","Abrir facsímil")</f>
        <v>Abrir facsímil</v>
      </c>
      <c r="K633" s="3" t="s">
        <v>22</v>
      </c>
    </row>
    <row r="634" spans="1:11" ht="42" customHeight="1">
      <c r="A634" s="2" t="s">
        <v>1465</v>
      </c>
      <c r="B634" s="2" t="s">
        <v>1466</v>
      </c>
      <c r="C634" s="2" t="s">
        <v>42</v>
      </c>
      <c r="D634" s="2" t="s">
        <v>17</v>
      </c>
      <c r="E634" s="5">
        <v>-28205</v>
      </c>
      <c r="F634" s="3" t="s">
        <v>806</v>
      </c>
      <c r="G634" s="3" t="s">
        <v>63</v>
      </c>
      <c r="H634" s="2" t="s">
        <v>20</v>
      </c>
      <c r="I634" s="2" t="s">
        <v>1467</v>
      </c>
      <c r="J634" s="3" t="str">
        <f>HYPERLINK("https://www.boe.es/gazeta/dias/1822/10/10/pdfs/GMD-1822-297.pdf#page=6","Abrir facsímil")</f>
        <v>Abrir facsímil</v>
      </c>
      <c r="K634" s="3" t="s">
        <v>22</v>
      </c>
    </row>
    <row r="635" spans="1:11" ht="42" customHeight="1">
      <c r="A635" s="2" t="s">
        <v>1468</v>
      </c>
      <c r="B635" s="2" t="s">
        <v>1469</v>
      </c>
      <c r="C635" s="2" t="s">
        <v>42</v>
      </c>
      <c r="D635" s="2" t="s">
        <v>17</v>
      </c>
      <c r="E635" s="5">
        <v>-28235</v>
      </c>
      <c r="F635" s="3" t="s">
        <v>1470</v>
      </c>
      <c r="G635" s="3" t="s">
        <v>35</v>
      </c>
      <c r="H635" s="2" t="s">
        <v>20</v>
      </c>
      <c r="I635" s="2" t="s">
        <v>1471</v>
      </c>
      <c r="J635" s="3" t="str">
        <f>HYPERLINK("https://www.boe.es/gazeta/dias/1822/09/10/pdfs/GMD-1822-266.pdf#page=2","Abrir facsímil")</f>
        <v>Abrir facsímil</v>
      </c>
      <c r="K635" s="3" t="s">
        <v>22</v>
      </c>
    </row>
    <row r="636" spans="1:11" ht="42" customHeight="1">
      <c r="A636" s="2" t="s">
        <v>1472</v>
      </c>
      <c r="B636" s="2" t="s">
        <v>1473</v>
      </c>
      <c r="C636" s="2" t="s">
        <v>16</v>
      </c>
      <c r="D636" s="2" t="s">
        <v>17</v>
      </c>
      <c r="E636" s="5">
        <v>-28288</v>
      </c>
      <c r="F636" s="3" t="s">
        <v>970</v>
      </c>
      <c r="G636" s="3" t="s">
        <v>31</v>
      </c>
      <c r="H636" s="2" t="s">
        <v>20</v>
      </c>
      <c r="I636" s="2" t="s">
        <v>1474</v>
      </c>
      <c r="J636" s="3" t="str">
        <f>HYPERLINK("https://www.boe.es/gazeta/dias/1822/07/19/pdfs/GMD-1822-211.pdf#page=3","Abrir facsímil")</f>
        <v>Abrir facsímil</v>
      </c>
      <c r="K636" s="3" t="s">
        <v>22</v>
      </c>
    </row>
    <row r="637" spans="1:11" ht="42" customHeight="1">
      <c r="A637" s="2" t="s">
        <v>1475</v>
      </c>
      <c r="B637" s="2" t="s">
        <v>1476</v>
      </c>
      <c r="C637" s="2" t="s">
        <v>28</v>
      </c>
      <c r="D637" s="2" t="s">
        <v>29</v>
      </c>
      <c r="E637" s="5">
        <v>-28283</v>
      </c>
      <c r="F637" s="3" t="s">
        <v>1477</v>
      </c>
      <c r="G637" s="3" t="s">
        <v>57</v>
      </c>
      <c r="H637" s="2" t="s">
        <v>20</v>
      </c>
      <c r="I637" s="2" t="s">
        <v>1478</v>
      </c>
      <c r="J637" s="3" t="str">
        <f>HYPERLINK("https://www.boe.es/gazeta/dias/1822/07/24/pdfs/GMD-1822-217.pdf#page=4","Abrir facsímil")</f>
        <v>Abrir facsímil</v>
      </c>
      <c r="K637" s="3" t="s">
        <v>22</v>
      </c>
    </row>
    <row r="638" spans="1:11" ht="42" customHeight="1">
      <c r="A638" s="2" t="s">
        <v>1475</v>
      </c>
      <c r="B638" s="2" t="s">
        <v>1476</v>
      </c>
      <c r="C638" s="2" t="s">
        <v>42</v>
      </c>
      <c r="D638" s="2" t="s">
        <v>17</v>
      </c>
      <c r="E638" s="5">
        <v>-28188</v>
      </c>
      <c r="F638" s="3" t="s">
        <v>578</v>
      </c>
      <c r="G638" s="3" t="s">
        <v>157</v>
      </c>
      <c r="H638" s="2" t="s">
        <v>20</v>
      </c>
      <c r="I638" s="2" t="s">
        <v>1479</v>
      </c>
      <c r="J638" s="3" t="str">
        <f>HYPERLINK("https://www.boe.es/gazeta/dias/1822/10/27/pdfs/GMD-1822-314.pdf#page=8","Abrir facsímil")</f>
        <v>Abrir facsímil</v>
      </c>
      <c r="K638" s="3" t="s">
        <v>22</v>
      </c>
    </row>
    <row r="639" spans="1:11" ht="42" customHeight="1">
      <c r="A639" s="2" t="s">
        <v>1480</v>
      </c>
      <c r="B639" s="2" t="s">
        <v>1481</v>
      </c>
      <c r="C639" s="2" t="s">
        <v>61</v>
      </c>
      <c r="D639" s="2" t="s">
        <v>17</v>
      </c>
      <c r="E639" s="5">
        <v>-28126</v>
      </c>
      <c r="F639" s="3" t="s">
        <v>952</v>
      </c>
      <c r="G639" s="3" t="s">
        <v>57</v>
      </c>
      <c r="H639" s="2" t="s">
        <v>20</v>
      </c>
      <c r="I639" s="2" t="s">
        <v>1482</v>
      </c>
      <c r="J639" s="3" t="str">
        <f>HYPERLINK("https://www.boe.es/gazeta/dias/1822/12/28/pdfs/GMD-1822-378.pdf#page=4","Abrir facsímil")</f>
        <v>Abrir facsímil</v>
      </c>
      <c r="K639" s="3" t="s">
        <v>22</v>
      </c>
    </row>
    <row r="640" spans="1:11" ht="42" customHeight="1">
      <c r="A640" s="2" t="s">
        <v>1483</v>
      </c>
      <c r="B640" s="2" t="s">
        <v>1484</v>
      </c>
      <c r="C640" s="2" t="s">
        <v>42</v>
      </c>
      <c r="D640" s="2" t="s">
        <v>17</v>
      </c>
      <c r="E640" s="5">
        <v>-28251</v>
      </c>
      <c r="F640" s="3" t="s">
        <v>1485</v>
      </c>
      <c r="G640" s="3" t="s">
        <v>31</v>
      </c>
      <c r="H640" s="2" t="s">
        <v>20</v>
      </c>
      <c r="I640" s="2" t="s">
        <v>1486</v>
      </c>
      <c r="J640" s="3" t="str">
        <f>HYPERLINK("https://www.boe.es/gazeta/dias/1822/08/25/pdfs/GMD-1822-249.pdf#page=3","Abrir facsímil")</f>
        <v>Abrir facsímil</v>
      </c>
      <c r="K640" s="3" t="s">
        <v>22</v>
      </c>
    </row>
    <row r="641" spans="1:11" ht="42" customHeight="1">
      <c r="A641" s="2" t="s">
        <v>1487</v>
      </c>
      <c r="B641" s="2" t="s">
        <v>1488</v>
      </c>
      <c r="C641" s="2" t="s">
        <v>42</v>
      </c>
      <c r="D641" s="2" t="s">
        <v>17</v>
      </c>
      <c r="E641" s="5">
        <v>-28324</v>
      </c>
      <c r="F641" s="3" t="s">
        <v>305</v>
      </c>
      <c r="G641" s="3" t="s">
        <v>35</v>
      </c>
      <c r="H641" s="2" t="s">
        <v>20</v>
      </c>
      <c r="I641" s="2" t="s">
        <v>1489</v>
      </c>
      <c r="J641" s="3" t="str">
        <f>HYPERLINK("https://www.boe.es/gazeta/dias/1822/06/13/pdfs/GMD-1822-170.pdf#page=2","Abrir facsímil")</f>
        <v>Abrir facsímil</v>
      </c>
      <c r="K641" s="3" t="s">
        <v>22</v>
      </c>
    </row>
    <row r="642" spans="1:11" ht="42" customHeight="1">
      <c r="A642" s="2" t="s">
        <v>1490</v>
      </c>
      <c r="B642" s="2" t="s">
        <v>1491</v>
      </c>
      <c r="C642" s="2" t="s">
        <v>50</v>
      </c>
      <c r="D642" s="2" t="s">
        <v>51</v>
      </c>
      <c r="E642" s="5">
        <v>-28157</v>
      </c>
      <c r="F642" s="3" t="s">
        <v>1492</v>
      </c>
      <c r="G642" s="3" t="s">
        <v>63</v>
      </c>
      <c r="H642" s="2" t="s">
        <v>20</v>
      </c>
      <c r="I642" s="2" t="s">
        <v>1493</v>
      </c>
      <c r="J642" s="3" t="str">
        <f>HYPERLINK("https://www.boe.es/gazeta/dias/1822/11/27/pdfs/GMD-1822-347.pdf#page=6","Abrir facsímil")</f>
        <v>Abrir facsímil</v>
      </c>
      <c r="K642" s="3" t="s">
        <v>22</v>
      </c>
    </row>
    <row r="643" spans="1:11" ht="42" customHeight="1">
      <c r="A643" s="2" t="s">
        <v>1494</v>
      </c>
      <c r="B643" s="2" t="s">
        <v>1495</v>
      </c>
      <c r="C643" s="2" t="s">
        <v>28</v>
      </c>
      <c r="D643" s="2" t="s">
        <v>29</v>
      </c>
      <c r="E643" s="5">
        <v>-28404</v>
      </c>
      <c r="F643" s="3" t="s">
        <v>421</v>
      </c>
      <c r="G643" s="3" t="s">
        <v>31</v>
      </c>
      <c r="H643" s="2" t="s">
        <v>20</v>
      </c>
      <c r="I643" s="2" t="s">
        <v>1496</v>
      </c>
      <c r="J643" s="3" t="str">
        <f>HYPERLINK("https://www.boe.es/gazeta/dias/1822/03/25/pdfs/GMD-1822-86.pdf#page=3","Abrir facsímil")</f>
        <v>Abrir facsímil</v>
      </c>
      <c r="K643" s="3" t="s">
        <v>22</v>
      </c>
    </row>
    <row r="644" spans="1:11" ht="42" customHeight="1">
      <c r="A644" s="2" t="s">
        <v>1494</v>
      </c>
      <c r="B644" s="2" t="s">
        <v>1495</v>
      </c>
      <c r="C644" s="2" t="s">
        <v>28</v>
      </c>
      <c r="D644" s="2" t="s">
        <v>29</v>
      </c>
      <c r="E644" s="5">
        <v>-28324</v>
      </c>
      <c r="F644" s="3" t="s">
        <v>305</v>
      </c>
      <c r="G644" s="3" t="s">
        <v>57</v>
      </c>
      <c r="H644" s="2" t="s">
        <v>20</v>
      </c>
      <c r="I644" s="2" t="s">
        <v>1497</v>
      </c>
      <c r="J644" s="3" t="str">
        <f>HYPERLINK("https://www.boe.es/gazeta/dias/1822/06/13/pdfs/GMD-1822-170.pdf#page=4","Abrir facsímil")</f>
        <v>Abrir facsímil</v>
      </c>
      <c r="K644" s="3" t="s">
        <v>22</v>
      </c>
    </row>
    <row r="645" spans="1:11" ht="42" customHeight="1">
      <c r="A645" s="2" t="s">
        <v>1494</v>
      </c>
      <c r="B645" s="2" t="s">
        <v>1495</v>
      </c>
      <c r="C645" s="2" t="s">
        <v>71</v>
      </c>
      <c r="D645" s="2" t="s">
        <v>17</v>
      </c>
      <c r="E645" s="5">
        <v>-28317</v>
      </c>
      <c r="F645" s="3" t="s">
        <v>546</v>
      </c>
      <c r="G645" s="3" t="s">
        <v>57</v>
      </c>
      <c r="H645" s="2" t="s">
        <v>20</v>
      </c>
      <c r="I645" s="2" t="s">
        <v>1498</v>
      </c>
      <c r="J645" s="3" t="str">
        <f>HYPERLINK("https://www.boe.es/gazeta/dias/1822/06/20/pdfs/GMD-1822-177.pdf#page=4","Abrir facsímil")</f>
        <v>Abrir facsímil</v>
      </c>
      <c r="K645" s="3" t="s">
        <v>22</v>
      </c>
    </row>
    <row r="646" spans="1:11" ht="42" customHeight="1">
      <c r="A646" s="2" t="s">
        <v>1499</v>
      </c>
      <c r="B646" s="2" t="s">
        <v>1499</v>
      </c>
      <c r="C646" s="2" t="s">
        <v>42</v>
      </c>
      <c r="D646" s="2" t="s">
        <v>17</v>
      </c>
      <c r="E646" s="5">
        <v>-28380</v>
      </c>
      <c r="F646" s="3" t="s">
        <v>492</v>
      </c>
      <c r="G646" s="3" t="s">
        <v>35</v>
      </c>
      <c r="H646" s="2" t="s">
        <v>20</v>
      </c>
      <c r="I646" s="2" t="s">
        <v>1500</v>
      </c>
      <c r="J646" s="3" t="str">
        <f>HYPERLINK("https://www.boe.es/gazeta/dias/1822/04/18/pdfs/GMD-1822-110.pdf#page=2","Abrir facsímil")</f>
        <v>Abrir facsímil</v>
      </c>
      <c r="K646" s="3" t="s">
        <v>22</v>
      </c>
    </row>
    <row r="647" spans="1:11" ht="42" customHeight="1">
      <c r="A647" s="2" t="s">
        <v>1499</v>
      </c>
      <c r="B647" s="2" t="s">
        <v>1499</v>
      </c>
      <c r="C647" s="2" t="s">
        <v>42</v>
      </c>
      <c r="D647" s="2" t="s">
        <v>17</v>
      </c>
      <c r="E647" s="5">
        <v>-28176</v>
      </c>
      <c r="F647" s="3" t="s">
        <v>780</v>
      </c>
      <c r="G647" s="3" t="s">
        <v>35</v>
      </c>
      <c r="H647" s="2" t="s">
        <v>20</v>
      </c>
      <c r="I647" s="2" t="s">
        <v>1501</v>
      </c>
      <c r="J647" s="3" t="str">
        <f>HYPERLINK("https://www.boe.es/gazeta/dias/1822/11/08/pdfs/GMD-1822-328.pdf#page=2","Abrir facsímil")</f>
        <v>Abrir facsímil</v>
      </c>
      <c r="K647" s="3" t="s">
        <v>22</v>
      </c>
    </row>
    <row r="648" spans="1:11" ht="42" customHeight="1">
      <c r="A648" s="2" t="s">
        <v>1502</v>
      </c>
      <c r="B648" s="2" t="s">
        <v>1503</v>
      </c>
      <c r="C648" s="2" t="s">
        <v>50</v>
      </c>
      <c r="D648" s="2" t="s">
        <v>51</v>
      </c>
      <c r="E648" s="5">
        <v>-28240</v>
      </c>
      <c r="F648" s="3" t="s">
        <v>678</v>
      </c>
      <c r="G648" s="3" t="s">
        <v>57</v>
      </c>
      <c r="H648" s="2" t="s">
        <v>20</v>
      </c>
      <c r="I648" s="2" t="s">
        <v>1504</v>
      </c>
      <c r="J648" s="3" t="str">
        <f>HYPERLINK("https://www.boe.es/gazeta/dias/1822/09/05/pdfs/GMD-1822-260.pdf#page=4","Abrir facsímil")</f>
        <v>Abrir facsímil</v>
      </c>
      <c r="K648" s="3" t="s">
        <v>22</v>
      </c>
    </row>
    <row r="649" spans="1:11" ht="42" customHeight="1">
      <c r="A649" s="2" t="s">
        <v>1505</v>
      </c>
      <c r="B649" s="2" t="s">
        <v>1505</v>
      </c>
      <c r="C649" s="2" t="s">
        <v>50</v>
      </c>
      <c r="D649" s="2" t="s">
        <v>51</v>
      </c>
      <c r="E649" s="5">
        <v>-28418</v>
      </c>
      <c r="F649" s="3" t="s">
        <v>205</v>
      </c>
      <c r="G649" s="3" t="s">
        <v>31</v>
      </c>
      <c r="H649" s="2" t="s">
        <v>20</v>
      </c>
      <c r="I649" s="2" t="s">
        <v>1506</v>
      </c>
      <c r="J649" s="3" t="str">
        <f>HYPERLINK("https://www.boe.es/gazeta/dias/1822/03/11/pdfs/GMD-1822-72.pdf#page=3","Abrir facsímil")</f>
        <v>Abrir facsímil</v>
      </c>
      <c r="K649" s="3" t="s">
        <v>22</v>
      </c>
    </row>
    <row r="650" spans="1:11" ht="42" customHeight="1">
      <c r="A650" s="2" t="s">
        <v>1505</v>
      </c>
      <c r="B650" s="2" t="s">
        <v>1505</v>
      </c>
      <c r="C650" s="2" t="s">
        <v>71</v>
      </c>
      <c r="D650" s="2" t="s">
        <v>17</v>
      </c>
      <c r="E650" s="5">
        <v>-28415</v>
      </c>
      <c r="F650" s="3" t="s">
        <v>77</v>
      </c>
      <c r="G650" s="3" t="s">
        <v>57</v>
      </c>
      <c r="H650" s="2" t="s">
        <v>20</v>
      </c>
      <c r="I650" s="2" t="s">
        <v>1507</v>
      </c>
      <c r="J650" s="3" t="str">
        <f>HYPERLINK("https://www.boe.es/gazeta/dias/1822/03/14/pdfs/GMD-1822-75.pdf#page=4","Abrir facsímil")</f>
        <v>Abrir facsímil</v>
      </c>
      <c r="K650" s="3" t="s">
        <v>22</v>
      </c>
    </row>
    <row r="651" spans="1:11" ht="42" customHeight="1">
      <c r="A651" s="2" t="s">
        <v>1505</v>
      </c>
      <c r="B651" s="2" t="s">
        <v>1505</v>
      </c>
      <c r="C651" s="2" t="s">
        <v>50</v>
      </c>
      <c r="D651" s="2" t="s">
        <v>51</v>
      </c>
      <c r="E651" s="5">
        <v>-28413</v>
      </c>
      <c r="F651" s="3" t="s">
        <v>458</v>
      </c>
      <c r="G651" s="3" t="s">
        <v>19</v>
      </c>
      <c r="H651" s="2" t="s">
        <v>20</v>
      </c>
      <c r="I651" s="2" t="s">
        <v>1508</v>
      </c>
      <c r="J651" s="3" t="str">
        <f>HYPERLINK("https://www.boe.es/gazeta/dias/1822/03/16/pdfs/GMD-1822-77.pdf#page=5","Abrir facsímil")</f>
        <v>Abrir facsímil</v>
      </c>
      <c r="K651" s="3" t="s">
        <v>22</v>
      </c>
    </row>
    <row r="652" spans="1:11" ht="42" customHeight="1">
      <c r="A652" s="2" t="s">
        <v>1505</v>
      </c>
      <c r="B652" s="2" t="s">
        <v>1505</v>
      </c>
      <c r="C652" s="2" t="s">
        <v>16</v>
      </c>
      <c r="D652" s="2" t="s">
        <v>17</v>
      </c>
      <c r="E652" s="5">
        <v>-28411</v>
      </c>
      <c r="F652" s="3" t="s">
        <v>1509</v>
      </c>
      <c r="G652" s="3" t="s">
        <v>35</v>
      </c>
      <c r="H652" s="2" t="s">
        <v>20</v>
      </c>
      <c r="I652" s="2" t="s">
        <v>1510</v>
      </c>
      <c r="J652" s="3" t="str">
        <f>HYPERLINK("https://www.boe.es/gazeta/dias/1822/03/18/pdfs/GMD-1822-79.pdf#page=2","Abrir facsímil")</f>
        <v>Abrir facsímil</v>
      </c>
      <c r="K652" s="3" t="s">
        <v>22</v>
      </c>
    </row>
    <row r="653" spans="1:11" ht="42" customHeight="1">
      <c r="A653" s="2" t="s">
        <v>1505</v>
      </c>
      <c r="B653" s="2" t="s">
        <v>1505</v>
      </c>
      <c r="C653" s="2" t="s">
        <v>1141</v>
      </c>
      <c r="D653" s="2" t="s">
        <v>29</v>
      </c>
      <c r="E653" s="5">
        <v>-28402</v>
      </c>
      <c r="F653" s="3" t="s">
        <v>473</v>
      </c>
      <c r="G653" s="3" t="s">
        <v>35</v>
      </c>
      <c r="H653" s="2" t="s">
        <v>20</v>
      </c>
      <c r="I653" s="2" t="s">
        <v>1511</v>
      </c>
      <c r="J653" s="3" t="str">
        <f>HYPERLINK("https://www.boe.es/gazeta/dias/1822/03/27/pdfs/GMD-1822-88.pdf#page=2","Abrir facsímil")</f>
        <v>Abrir facsímil</v>
      </c>
      <c r="K653" s="3" t="s">
        <v>22</v>
      </c>
    </row>
    <row r="654" spans="1:11" ht="42" customHeight="1">
      <c r="A654" s="2" t="s">
        <v>1505</v>
      </c>
      <c r="B654" s="2" t="s">
        <v>1505</v>
      </c>
      <c r="C654" s="2" t="s">
        <v>71</v>
      </c>
      <c r="D654" s="2" t="s">
        <v>17</v>
      </c>
      <c r="E654" s="5">
        <v>-28399</v>
      </c>
      <c r="F654" s="3" t="s">
        <v>476</v>
      </c>
      <c r="G654" s="3" t="s">
        <v>57</v>
      </c>
      <c r="H654" s="2" t="s">
        <v>20</v>
      </c>
      <c r="I654" s="2" t="s">
        <v>1512</v>
      </c>
      <c r="J654" s="3" t="str">
        <f>HYPERLINK("https://www.boe.es/gazeta/dias/1822/03/30/pdfs/GMD-1822-91.pdf#page=4","Abrir facsímil")</f>
        <v>Abrir facsímil</v>
      </c>
      <c r="K654" s="3" t="s">
        <v>22</v>
      </c>
    </row>
    <row r="655" spans="1:11" ht="42" customHeight="1">
      <c r="A655" s="2" t="s">
        <v>1505</v>
      </c>
      <c r="B655" s="2" t="s">
        <v>1505</v>
      </c>
      <c r="C655" s="2" t="s">
        <v>42</v>
      </c>
      <c r="D655" s="2" t="s">
        <v>17</v>
      </c>
      <c r="E655" s="5">
        <v>-28390</v>
      </c>
      <c r="F655" s="3" t="s">
        <v>665</v>
      </c>
      <c r="G655" s="3" t="s">
        <v>31</v>
      </c>
      <c r="H655" s="2" t="s">
        <v>20</v>
      </c>
      <c r="I655" s="2" t="s">
        <v>1513</v>
      </c>
      <c r="J655" s="3" t="str">
        <f>HYPERLINK("https://www.boe.es/gazeta/dias/1822/04/08/pdfs/GMD-1822-100.pdf#page=3","Abrir facsímil")</f>
        <v>Abrir facsímil</v>
      </c>
      <c r="K655" s="3" t="s">
        <v>22</v>
      </c>
    </row>
    <row r="656" spans="1:11" ht="42" customHeight="1">
      <c r="A656" s="2" t="s">
        <v>1505</v>
      </c>
      <c r="B656" s="2" t="s">
        <v>1505</v>
      </c>
      <c r="C656" s="2" t="s">
        <v>71</v>
      </c>
      <c r="D656" s="2" t="s">
        <v>17</v>
      </c>
      <c r="E656" s="5">
        <v>-28377</v>
      </c>
      <c r="F656" s="3" t="s">
        <v>498</v>
      </c>
      <c r="G656" s="3" t="s">
        <v>31</v>
      </c>
      <c r="H656" s="2" t="s">
        <v>20</v>
      </c>
      <c r="I656" s="2" t="s">
        <v>1514</v>
      </c>
      <c r="J656" s="3" t="str">
        <f>HYPERLINK("https://www.boe.es/gazeta/dias/1822/04/21/pdfs/GMD-1822-113.pdf#page=3","Abrir facsímil")</f>
        <v>Abrir facsímil</v>
      </c>
      <c r="K656" s="3" t="s">
        <v>22</v>
      </c>
    </row>
    <row r="657" spans="1:11" ht="42" customHeight="1">
      <c r="A657" s="2" t="s">
        <v>1505</v>
      </c>
      <c r="B657" s="2" t="s">
        <v>1505</v>
      </c>
      <c r="C657" s="2" t="s">
        <v>71</v>
      </c>
      <c r="D657" s="2" t="s">
        <v>17</v>
      </c>
      <c r="E657" s="5">
        <v>-28377</v>
      </c>
      <c r="F657" s="3" t="s">
        <v>498</v>
      </c>
      <c r="G657" s="3" t="s">
        <v>57</v>
      </c>
      <c r="H657" s="2" t="s">
        <v>20</v>
      </c>
      <c r="I657" s="2" t="s">
        <v>1515</v>
      </c>
      <c r="J657" s="3" t="str">
        <f>HYPERLINK("https://www.boe.es/gazeta/dias/1822/04/21/pdfs/GMD-1822-113.pdf#page=4","Abrir facsímil")</f>
        <v>Abrir facsímil</v>
      </c>
      <c r="K657" s="3" t="s">
        <v>22</v>
      </c>
    </row>
    <row r="658" spans="1:11" ht="42" customHeight="1">
      <c r="A658" s="2" t="s">
        <v>1505</v>
      </c>
      <c r="B658" s="2" t="s">
        <v>1505</v>
      </c>
      <c r="C658" s="2" t="s">
        <v>71</v>
      </c>
      <c r="D658" s="2" t="s">
        <v>17</v>
      </c>
      <c r="E658" s="5">
        <v>-28371</v>
      </c>
      <c r="F658" s="3" t="s">
        <v>401</v>
      </c>
      <c r="G658" s="3" t="s">
        <v>31</v>
      </c>
      <c r="H658" s="2" t="s">
        <v>20</v>
      </c>
      <c r="I658" s="2" t="s">
        <v>1516</v>
      </c>
      <c r="J658" s="3" t="str">
        <f>HYPERLINK("https://www.boe.es/gazeta/dias/1822/04/27/pdfs/GMD-1822-119.pdf#page=3","Abrir facsímil")</f>
        <v>Abrir facsímil</v>
      </c>
      <c r="K658" s="3" t="s">
        <v>22</v>
      </c>
    </row>
    <row r="659" spans="1:11" ht="42" customHeight="1">
      <c r="A659" s="2" t="s">
        <v>1505</v>
      </c>
      <c r="B659" s="2" t="s">
        <v>1505</v>
      </c>
      <c r="C659" s="2" t="s">
        <v>42</v>
      </c>
      <c r="D659" s="2" t="s">
        <v>17</v>
      </c>
      <c r="E659" s="5">
        <v>-28368</v>
      </c>
      <c r="F659" s="3" t="s">
        <v>126</v>
      </c>
      <c r="G659" s="3" t="s">
        <v>31</v>
      </c>
      <c r="H659" s="2" t="s">
        <v>20</v>
      </c>
      <c r="I659" s="2" t="s">
        <v>1517</v>
      </c>
      <c r="J659" s="3" t="str">
        <f>HYPERLINK("https://www.boe.es/gazeta/dias/1822/04/30/pdfs/GMD-1822-122.pdf#page=3","Abrir facsímil")</f>
        <v>Abrir facsímil</v>
      </c>
      <c r="K659" s="3" t="s">
        <v>22</v>
      </c>
    </row>
    <row r="660" spans="1:11" ht="42" customHeight="1">
      <c r="A660" s="2" t="s">
        <v>1505</v>
      </c>
      <c r="B660" s="2" t="s">
        <v>1505</v>
      </c>
      <c r="C660" s="2" t="s">
        <v>71</v>
      </c>
      <c r="D660" s="2" t="s">
        <v>17</v>
      </c>
      <c r="E660" s="5">
        <v>-28367</v>
      </c>
      <c r="F660" s="3" t="s">
        <v>280</v>
      </c>
      <c r="G660" s="3" t="s">
        <v>31</v>
      </c>
      <c r="H660" s="2" t="s">
        <v>20</v>
      </c>
      <c r="I660" s="2" t="s">
        <v>1518</v>
      </c>
      <c r="J660" s="3" t="str">
        <f>HYPERLINK("https://www.boe.es/gazeta/dias/1822/05/01/pdfs/GMD-1822-123.pdf#page=3","Abrir facsímil")</f>
        <v>Abrir facsímil</v>
      </c>
      <c r="K660" s="3" t="s">
        <v>22</v>
      </c>
    </row>
    <row r="661" spans="1:11" ht="42" customHeight="1">
      <c r="A661" s="2" t="s">
        <v>1505</v>
      </c>
      <c r="B661" s="2" t="s">
        <v>1505</v>
      </c>
      <c r="C661" s="2" t="s">
        <v>28</v>
      </c>
      <c r="D661" s="2" t="s">
        <v>29</v>
      </c>
      <c r="E661" s="5">
        <v>-28366</v>
      </c>
      <c r="F661" s="3" t="s">
        <v>120</v>
      </c>
      <c r="G661" s="3" t="s">
        <v>35</v>
      </c>
      <c r="H661" s="2" t="s">
        <v>20</v>
      </c>
      <c r="I661" s="2" t="s">
        <v>1519</v>
      </c>
      <c r="J661" s="3" t="str">
        <f>HYPERLINK("https://www.boe.es/gazeta/dias/1822/05/02/pdfs/GMD-1822-124.pdf#page=2","Abrir facsímil")</f>
        <v>Abrir facsímil</v>
      </c>
      <c r="K661" s="3" t="s">
        <v>22</v>
      </c>
    </row>
    <row r="662" spans="1:11" ht="42" customHeight="1">
      <c r="A662" s="2" t="s">
        <v>1505</v>
      </c>
      <c r="B662" s="2" t="s">
        <v>1505</v>
      </c>
      <c r="C662" s="2" t="s">
        <v>50</v>
      </c>
      <c r="D662" s="2" t="s">
        <v>51</v>
      </c>
      <c r="E662" s="5">
        <v>-28365</v>
      </c>
      <c r="F662" s="3" t="s">
        <v>506</v>
      </c>
      <c r="G662" s="3" t="s">
        <v>35</v>
      </c>
      <c r="H662" s="2" t="s">
        <v>20</v>
      </c>
      <c r="I662" s="2" t="s">
        <v>1520</v>
      </c>
      <c r="J662" s="3" t="str">
        <f>HYPERLINK("https://www.boe.es/gazeta/dias/1822/05/03/pdfs/GMD-1822-125.pdf#page=2","Abrir facsímil")</f>
        <v>Abrir facsímil</v>
      </c>
      <c r="K662" s="3" t="s">
        <v>22</v>
      </c>
    </row>
    <row r="663" spans="1:11" ht="42" customHeight="1">
      <c r="A663" s="2" t="s">
        <v>1505</v>
      </c>
      <c r="B663" s="2" t="s">
        <v>1505</v>
      </c>
      <c r="C663" s="2" t="s">
        <v>28</v>
      </c>
      <c r="D663" s="2" t="s">
        <v>29</v>
      </c>
      <c r="E663" s="5">
        <v>-28363</v>
      </c>
      <c r="F663" s="3" t="s">
        <v>72</v>
      </c>
      <c r="G663" s="3" t="s">
        <v>31</v>
      </c>
      <c r="H663" s="2" t="s">
        <v>20</v>
      </c>
      <c r="I663" s="2" t="s">
        <v>1521</v>
      </c>
      <c r="J663" s="3" t="str">
        <f>HYPERLINK("https://www.boe.es/gazeta/dias/1822/05/05/pdfs/GMD-1822-127.pdf#page=3","Abrir facsímil")</f>
        <v>Abrir facsímil</v>
      </c>
      <c r="K663" s="3" t="s">
        <v>22</v>
      </c>
    </row>
    <row r="664" spans="1:11" ht="42" customHeight="1">
      <c r="A664" s="2" t="s">
        <v>1505</v>
      </c>
      <c r="B664" s="2" t="s">
        <v>1505</v>
      </c>
      <c r="C664" s="2" t="s">
        <v>28</v>
      </c>
      <c r="D664" s="2" t="s">
        <v>29</v>
      </c>
      <c r="E664" s="5">
        <v>-28359</v>
      </c>
      <c r="F664" s="3" t="s">
        <v>209</v>
      </c>
      <c r="G664" s="3" t="s">
        <v>19</v>
      </c>
      <c r="H664" s="2" t="s">
        <v>20</v>
      </c>
      <c r="I664" s="2" t="s">
        <v>1522</v>
      </c>
      <c r="J664" s="3" t="str">
        <f>HYPERLINK("https://www.boe.es/gazeta/dias/1822/05/09/pdfs/GMD-1822-131.pdf#page=5","Abrir facsímil")</f>
        <v>Abrir facsímil</v>
      </c>
      <c r="K664" s="3" t="s">
        <v>22</v>
      </c>
    </row>
    <row r="665" spans="1:11" ht="42" customHeight="1">
      <c r="A665" s="2" t="s">
        <v>1505</v>
      </c>
      <c r="B665" s="2" t="s">
        <v>1505</v>
      </c>
      <c r="C665" s="2" t="s">
        <v>50</v>
      </c>
      <c r="D665" s="2" t="s">
        <v>51</v>
      </c>
      <c r="E665" s="5">
        <v>-28346</v>
      </c>
      <c r="F665" s="3" t="s">
        <v>191</v>
      </c>
      <c r="G665" s="3" t="s">
        <v>35</v>
      </c>
      <c r="H665" s="2" t="s">
        <v>20</v>
      </c>
      <c r="I665" s="2" t="s">
        <v>1523</v>
      </c>
      <c r="J665" s="3" t="str">
        <f>HYPERLINK("https://www.boe.es/gazeta/dias/1822/05/22/pdfs/GMD-1822-145.pdf#page=2","Abrir facsímil")</f>
        <v>Abrir facsímil</v>
      </c>
      <c r="K665" s="3" t="s">
        <v>22</v>
      </c>
    </row>
    <row r="666" spans="1:11" ht="42" customHeight="1">
      <c r="A666" s="2" t="s">
        <v>1505</v>
      </c>
      <c r="B666" s="2" t="s">
        <v>1505</v>
      </c>
      <c r="C666" s="2" t="s">
        <v>28</v>
      </c>
      <c r="D666" s="2" t="s">
        <v>29</v>
      </c>
      <c r="E666" s="5">
        <v>-28345</v>
      </c>
      <c r="F666" s="3" t="s">
        <v>294</v>
      </c>
      <c r="G666" s="3" t="s">
        <v>35</v>
      </c>
      <c r="H666" s="2" t="s">
        <v>20</v>
      </c>
      <c r="I666" s="2" t="s">
        <v>1524</v>
      </c>
      <c r="J666" s="3" t="str">
        <f>HYPERLINK("https://www.boe.es/gazeta/dias/1822/05/23/pdfs/GMD-1822-147.pdf#page=2","Abrir facsímil")</f>
        <v>Abrir facsímil</v>
      </c>
      <c r="K666" s="3" t="s">
        <v>22</v>
      </c>
    </row>
    <row r="667" spans="1:11" ht="42" customHeight="1">
      <c r="A667" s="2" t="s">
        <v>1505</v>
      </c>
      <c r="B667" s="2" t="s">
        <v>1505</v>
      </c>
      <c r="C667" s="2" t="s">
        <v>42</v>
      </c>
      <c r="D667" s="2" t="s">
        <v>17</v>
      </c>
      <c r="E667" s="5">
        <v>-28344</v>
      </c>
      <c r="F667" s="3" t="s">
        <v>524</v>
      </c>
      <c r="G667" s="3" t="s">
        <v>44</v>
      </c>
      <c r="H667" s="2" t="s">
        <v>20</v>
      </c>
      <c r="I667" s="2" t="s">
        <v>1525</v>
      </c>
      <c r="J667" s="3" t="str">
        <f>HYPERLINK("https://www.boe.es/gazeta/dias/1822/05/24/pdfs/GMD-1822-148.pdf#page=1","Abrir facsímil")</f>
        <v>Abrir facsímil</v>
      </c>
      <c r="K667" s="3" t="s">
        <v>22</v>
      </c>
    </row>
    <row r="668" spans="1:11" ht="42" customHeight="1">
      <c r="A668" s="2" t="s">
        <v>1505</v>
      </c>
      <c r="B668" s="2" t="s">
        <v>1505</v>
      </c>
      <c r="C668" s="2" t="s">
        <v>28</v>
      </c>
      <c r="D668" s="2" t="s">
        <v>29</v>
      </c>
      <c r="E668" s="5">
        <v>-28340</v>
      </c>
      <c r="F668" s="3" t="s">
        <v>139</v>
      </c>
      <c r="G668" s="3" t="s">
        <v>57</v>
      </c>
      <c r="H668" s="2" t="s">
        <v>20</v>
      </c>
      <c r="I668" s="2" t="s">
        <v>1526</v>
      </c>
      <c r="J668" s="3" t="str">
        <f>HYPERLINK("https://www.boe.es/gazeta/dias/1822/05/28/pdfs/GMD-1822-153.pdf#page=4","Abrir facsímil")</f>
        <v>Abrir facsímil</v>
      </c>
      <c r="K668" s="3" t="s">
        <v>22</v>
      </c>
    </row>
    <row r="669" spans="1:11" ht="42" customHeight="1">
      <c r="A669" s="2" t="s">
        <v>1505</v>
      </c>
      <c r="B669" s="2" t="s">
        <v>1505</v>
      </c>
      <c r="C669" s="2" t="s">
        <v>28</v>
      </c>
      <c r="D669" s="2" t="s">
        <v>29</v>
      </c>
      <c r="E669" s="5">
        <v>-28329</v>
      </c>
      <c r="F669" s="3" t="s">
        <v>354</v>
      </c>
      <c r="G669" s="3" t="s">
        <v>35</v>
      </c>
      <c r="H669" s="2" t="s">
        <v>20</v>
      </c>
      <c r="I669" s="2" t="s">
        <v>1527</v>
      </c>
      <c r="J669" s="3" t="str">
        <f>HYPERLINK("https://www.boe.es/gazeta/dias/1822/06/08/pdfs/GMD-1822-165.pdf#page=2","Abrir facsímil")</f>
        <v>Abrir facsímil</v>
      </c>
      <c r="K669" s="3" t="s">
        <v>22</v>
      </c>
    </row>
    <row r="670" spans="1:11" ht="42" customHeight="1">
      <c r="A670" s="2" t="s">
        <v>1505</v>
      </c>
      <c r="B670" s="2" t="s">
        <v>1505</v>
      </c>
      <c r="C670" s="2" t="s">
        <v>50</v>
      </c>
      <c r="D670" s="2" t="s">
        <v>51</v>
      </c>
      <c r="E670" s="5">
        <v>-28329</v>
      </c>
      <c r="F670" s="3" t="s">
        <v>354</v>
      </c>
      <c r="G670" s="3" t="s">
        <v>63</v>
      </c>
      <c r="H670" s="2" t="s">
        <v>20</v>
      </c>
      <c r="I670" s="2" t="s">
        <v>1528</v>
      </c>
      <c r="J670" s="3" t="str">
        <f>HYPERLINK("https://www.boe.es/gazeta/dias/1822/06/08/pdfs/GMD-1822-165.pdf#page=6","Abrir facsímil")</f>
        <v>Abrir facsímil</v>
      </c>
      <c r="K670" s="3" t="s">
        <v>22</v>
      </c>
    </row>
    <row r="671" spans="1:11" ht="42" customHeight="1">
      <c r="A671" s="2" t="s">
        <v>1505</v>
      </c>
      <c r="B671" s="2" t="s">
        <v>1505</v>
      </c>
      <c r="C671" s="2" t="s">
        <v>71</v>
      </c>
      <c r="D671" s="2" t="s">
        <v>17</v>
      </c>
      <c r="E671" s="5">
        <v>-28325</v>
      </c>
      <c r="F671" s="3" t="s">
        <v>104</v>
      </c>
      <c r="G671" s="3" t="s">
        <v>31</v>
      </c>
      <c r="H671" s="2" t="s">
        <v>20</v>
      </c>
      <c r="I671" s="2" t="s">
        <v>1529</v>
      </c>
      <c r="J671" s="3" t="str">
        <f>HYPERLINK("https://www.boe.es/gazeta/dias/1822/06/12/pdfs/GMD-1822-169.pdf#page=3","Abrir facsímil")</f>
        <v>Abrir facsímil</v>
      </c>
      <c r="K671" s="3" t="s">
        <v>22</v>
      </c>
    </row>
    <row r="672" spans="1:11" ht="42" customHeight="1">
      <c r="A672" s="2" t="s">
        <v>1505</v>
      </c>
      <c r="B672" s="2" t="s">
        <v>1505</v>
      </c>
      <c r="C672" s="2" t="s">
        <v>50</v>
      </c>
      <c r="D672" s="2" t="s">
        <v>51</v>
      </c>
      <c r="E672" s="5">
        <v>-28320</v>
      </c>
      <c r="F672" s="3" t="s">
        <v>700</v>
      </c>
      <c r="G672" s="3" t="s">
        <v>19</v>
      </c>
      <c r="H672" s="2" t="s">
        <v>20</v>
      </c>
      <c r="I672" s="2" t="s">
        <v>1530</v>
      </c>
      <c r="J672" s="3" t="str">
        <f>HYPERLINK("https://www.boe.es/gazeta/dias/1822/06/17/pdfs/GMD-1822-174.pdf#page=5","Abrir facsímil")</f>
        <v>Abrir facsímil</v>
      </c>
      <c r="K672" s="3" t="s">
        <v>22</v>
      </c>
    </row>
    <row r="673" spans="1:11" ht="42" customHeight="1">
      <c r="A673" s="2" t="s">
        <v>1505</v>
      </c>
      <c r="B673" s="2" t="s">
        <v>1505</v>
      </c>
      <c r="C673" s="2" t="s">
        <v>50</v>
      </c>
      <c r="D673" s="2" t="s">
        <v>51</v>
      </c>
      <c r="E673" s="5">
        <v>-28320</v>
      </c>
      <c r="F673" s="3" t="s">
        <v>700</v>
      </c>
      <c r="G673" s="3" t="s">
        <v>63</v>
      </c>
      <c r="H673" s="2" t="s">
        <v>20</v>
      </c>
      <c r="I673" s="2" t="s">
        <v>1531</v>
      </c>
      <c r="J673" s="3" t="str">
        <f>HYPERLINK("https://www.boe.es/gazeta/dias/1822/06/17/pdfs/GMD-1822-174.pdf#page=6","Abrir facsímil")</f>
        <v>Abrir facsímil</v>
      </c>
      <c r="K673" s="3" t="s">
        <v>22</v>
      </c>
    </row>
    <row r="674" spans="1:11" ht="42" customHeight="1">
      <c r="A674" s="2" t="s">
        <v>1505</v>
      </c>
      <c r="B674" s="2" t="s">
        <v>1505</v>
      </c>
      <c r="C674" s="2" t="s">
        <v>42</v>
      </c>
      <c r="D674" s="2" t="s">
        <v>17</v>
      </c>
      <c r="E674" s="5">
        <v>-28315</v>
      </c>
      <c r="F674" s="3" t="s">
        <v>1220</v>
      </c>
      <c r="G674" s="3" t="s">
        <v>35</v>
      </c>
      <c r="H674" s="2" t="s">
        <v>20</v>
      </c>
      <c r="I674" s="2" t="s">
        <v>1532</v>
      </c>
      <c r="J674" s="3" t="str">
        <f>HYPERLINK("https://www.boe.es/gazeta/dias/1822/06/22/pdfs/GMD-1822-180.pdf#page=2","Abrir facsímil")</f>
        <v>Abrir facsímil</v>
      </c>
      <c r="K674" s="3" t="s">
        <v>22</v>
      </c>
    </row>
    <row r="675" spans="1:11" ht="42" customHeight="1">
      <c r="A675" s="2" t="s">
        <v>1505</v>
      </c>
      <c r="B675" s="2" t="s">
        <v>1505</v>
      </c>
      <c r="C675" s="2" t="s">
        <v>28</v>
      </c>
      <c r="D675" s="2" t="s">
        <v>29</v>
      </c>
      <c r="E675" s="5">
        <v>-28314</v>
      </c>
      <c r="F675" s="3" t="s">
        <v>309</v>
      </c>
      <c r="G675" s="3" t="s">
        <v>35</v>
      </c>
      <c r="H675" s="2" t="s">
        <v>20</v>
      </c>
      <c r="I675" s="2" t="s">
        <v>1533</v>
      </c>
      <c r="J675" s="3" t="str">
        <f>HYPERLINK("https://www.boe.es/gazeta/dias/1822/06/23/pdfs/GMD-1822-181.pdf#page=2","Abrir facsímil")</f>
        <v>Abrir facsímil</v>
      </c>
      <c r="K675" s="3" t="s">
        <v>22</v>
      </c>
    </row>
    <row r="676" spans="1:11" ht="42" customHeight="1">
      <c r="A676" s="2" t="s">
        <v>1505</v>
      </c>
      <c r="B676" s="2" t="s">
        <v>1505</v>
      </c>
      <c r="C676" s="2" t="s">
        <v>24</v>
      </c>
      <c r="D676" s="2" t="s">
        <v>17</v>
      </c>
      <c r="E676" s="5">
        <v>-28312</v>
      </c>
      <c r="F676" s="3" t="s">
        <v>92</v>
      </c>
      <c r="G676" s="3" t="s">
        <v>35</v>
      </c>
      <c r="H676" s="2" t="s">
        <v>20</v>
      </c>
      <c r="I676" s="2" t="s">
        <v>1534</v>
      </c>
      <c r="J676" s="3" t="str">
        <f>HYPERLINK("https://www.boe.es/gazeta/dias/1822/06/25/pdfs/GMD-1822-183.pdf#page=2","Abrir facsímil")</f>
        <v>Abrir facsímil</v>
      </c>
      <c r="K676" s="3" t="s">
        <v>22</v>
      </c>
    </row>
    <row r="677" spans="1:11" ht="42" customHeight="1">
      <c r="A677" s="2" t="s">
        <v>1505</v>
      </c>
      <c r="B677" s="2" t="s">
        <v>1505</v>
      </c>
      <c r="C677" s="2" t="s">
        <v>42</v>
      </c>
      <c r="D677" s="2" t="s">
        <v>17</v>
      </c>
      <c r="E677" s="5">
        <v>-28311</v>
      </c>
      <c r="F677" s="3" t="s">
        <v>736</v>
      </c>
      <c r="G677" s="3" t="s">
        <v>57</v>
      </c>
      <c r="H677" s="2" t="s">
        <v>20</v>
      </c>
      <c r="I677" s="2" t="s">
        <v>1535</v>
      </c>
      <c r="J677" s="3" t="str">
        <f>HYPERLINK("https://www.boe.es/gazeta/dias/1822/06/26/pdfs/GMD-1822-184.pdf#page=4","Abrir facsímil")</f>
        <v>Abrir facsímil</v>
      </c>
      <c r="K677" s="3" t="s">
        <v>22</v>
      </c>
    </row>
    <row r="678" spans="1:11" ht="42" customHeight="1">
      <c r="A678" s="2" t="s">
        <v>1505</v>
      </c>
      <c r="B678" s="2" t="s">
        <v>1505</v>
      </c>
      <c r="C678" s="2" t="s">
        <v>28</v>
      </c>
      <c r="D678" s="2" t="s">
        <v>29</v>
      </c>
      <c r="E678" s="5">
        <v>-28205</v>
      </c>
      <c r="F678" s="3" t="s">
        <v>806</v>
      </c>
      <c r="G678" s="3" t="s">
        <v>44</v>
      </c>
      <c r="H678" s="2" t="s">
        <v>20</v>
      </c>
      <c r="I678" s="2" t="s">
        <v>1536</v>
      </c>
      <c r="J678" s="3" t="str">
        <f>HYPERLINK("https://www.boe.es/gazeta/dias/1822/10/10/pdfs/GMD-1822-297.pdf#page=1","Abrir facsímil")</f>
        <v>Abrir facsímil</v>
      </c>
      <c r="K678" s="3" t="s">
        <v>22</v>
      </c>
    </row>
    <row r="679" spans="1:11" ht="42" customHeight="1">
      <c r="A679" s="2" t="s">
        <v>1505</v>
      </c>
      <c r="B679" s="2" t="s">
        <v>1505</v>
      </c>
      <c r="C679" s="2" t="s">
        <v>28</v>
      </c>
      <c r="D679" s="2" t="s">
        <v>29</v>
      </c>
      <c r="E679" s="5">
        <v>-28200</v>
      </c>
      <c r="F679" s="3" t="s">
        <v>1037</v>
      </c>
      <c r="G679" s="3" t="s">
        <v>44</v>
      </c>
      <c r="H679" s="2" t="s">
        <v>20</v>
      </c>
      <c r="I679" s="2" t="s">
        <v>1537</v>
      </c>
      <c r="J679" s="3" t="str">
        <f>HYPERLINK("https://www.boe.es/gazeta/dias/1822/10/15/pdfs/GMD-1822-302.pdf#page=1","Abrir facsímil")</f>
        <v>Abrir facsímil</v>
      </c>
      <c r="K679" s="3" t="s">
        <v>22</v>
      </c>
    </row>
    <row r="680" spans="1:11" ht="42" customHeight="1">
      <c r="A680" s="2" t="s">
        <v>1505</v>
      </c>
      <c r="B680" s="2" t="s">
        <v>1505</v>
      </c>
      <c r="C680" s="2" t="s">
        <v>28</v>
      </c>
      <c r="D680" s="2" t="s">
        <v>29</v>
      </c>
      <c r="E680" s="5">
        <v>-28199</v>
      </c>
      <c r="F680" s="3" t="s">
        <v>656</v>
      </c>
      <c r="G680" s="3" t="s">
        <v>35</v>
      </c>
      <c r="H680" s="2" t="s">
        <v>20</v>
      </c>
      <c r="I680" s="2" t="s">
        <v>1538</v>
      </c>
      <c r="J680" s="3" t="str">
        <f>HYPERLINK("https://www.boe.es/gazeta/dias/1822/10/16/pdfs/GMD-1822-303.pdf#page=2","Abrir facsímil")</f>
        <v>Abrir facsímil</v>
      </c>
      <c r="K680" s="3" t="s">
        <v>22</v>
      </c>
    </row>
    <row r="681" spans="1:11" ht="42" customHeight="1">
      <c r="A681" s="2" t="s">
        <v>1505</v>
      </c>
      <c r="B681" s="2" t="s">
        <v>1505</v>
      </c>
      <c r="C681" s="2" t="s">
        <v>50</v>
      </c>
      <c r="D681" s="2" t="s">
        <v>51</v>
      </c>
      <c r="E681" s="5">
        <v>-28196</v>
      </c>
      <c r="F681" s="3" t="s">
        <v>570</v>
      </c>
      <c r="G681" s="3" t="s">
        <v>44</v>
      </c>
      <c r="H681" s="2" t="s">
        <v>20</v>
      </c>
      <c r="I681" s="2" t="s">
        <v>1539</v>
      </c>
      <c r="J681" s="3" t="str">
        <f>HYPERLINK("https://www.boe.es/gazeta/dias/1822/10/19/pdfs/GMD-1822-306.pdf#page=1","Abrir facsímil")</f>
        <v>Abrir facsímil</v>
      </c>
      <c r="K681" s="3" t="s">
        <v>22</v>
      </c>
    </row>
    <row r="682" spans="1:11" ht="42" customHeight="1">
      <c r="A682" s="2" t="s">
        <v>1505</v>
      </c>
      <c r="B682" s="2" t="s">
        <v>1505</v>
      </c>
      <c r="C682" s="2" t="s">
        <v>71</v>
      </c>
      <c r="D682" s="2" t="s">
        <v>17</v>
      </c>
      <c r="E682" s="5">
        <v>-28194</v>
      </c>
      <c r="F682" s="3" t="s">
        <v>18</v>
      </c>
      <c r="G682" s="3" t="s">
        <v>57</v>
      </c>
      <c r="H682" s="2" t="s">
        <v>20</v>
      </c>
      <c r="I682" s="2" t="s">
        <v>1540</v>
      </c>
      <c r="J682" s="3" t="str">
        <f>HYPERLINK("https://www.boe.es/gazeta/dias/1822/10/21/pdfs/GMD-1822-308.pdf#page=4","Abrir facsímil")</f>
        <v>Abrir facsímil</v>
      </c>
      <c r="K682" s="3" t="s">
        <v>22</v>
      </c>
    </row>
    <row r="683" spans="1:11" ht="42" customHeight="1">
      <c r="A683" s="2" t="s">
        <v>1505</v>
      </c>
      <c r="B683" s="2" t="s">
        <v>1505</v>
      </c>
      <c r="C683" s="2" t="s">
        <v>28</v>
      </c>
      <c r="D683" s="2" t="s">
        <v>29</v>
      </c>
      <c r="E683" s="5">
        <v>-28192</v>
      </c>
      <c r="F683" s="3" t="s">
        <v>43</v>
      </c>
      <c r="G683" s="3" t="s">
        <v>35</v>
      </c>
      <c r="H683" s="2" t="s">
        <v>20</v>
      </c>
      <c r="I683" s="2" t="s">
        <v>1541</v>
      </c>
      <c r="J683" s="3" t="str">
        <f>HYPERLINK("https://www.boe.es/gazeta/dias/1822/10/23/pdfs/GMD-1822-310.pdf#page=2","Abrir facsímil")</f>
        <v>Abrir facsímil</v>
      </c>
      <c r="K683" s="3" t="s">
        <v>22</v>
      </c>
    </row>
    <row r="684" spans="1:11" ht="42" customHeight="1">
      <c r="A684" s="2" t="s">
        <v>1505</v>
      </c>
      <c r="B684" s="2" t="s">
        <v>1505</v>
      </c>
      <c r="C684" s="2" t="s">
        <v>28</v>
      </c>
      <c r="D684" s="2" t="s">
        <v>29</v>
      </c>
      <c r="E684" s="5">
        <v>-28192</v>
      </c>
      <c r="F684" s="3" t="s">
        <v>43</v>
      </c>
      <c r="G684" s="3" t="s">
        <v>57</v>
      </c>
      <c r="H684" s="2" t="s">
        <v>20</v>
      </c>
      <c r="I684" s="2" t="s">
        <v>1542</v>
      </c>
      <c r="J684" s="3" t="str">
        <f>HYPERLINK("https://www.boe.es/gazeta/dias/1822/10/23/pdfs/GMD-1822-310.pdf#page=4","Abrir facsímil")</f>
        <v>Abrir facsímil</v>
      </c>
      <c r="K684" s="3" t="s">
        <v>22</v>
      </c>
    </row>
    <row r="685" spans="1:11" ht="42" customHeight="1">
      <c r="A685" s="2" t="s">
        <v>1505</v>
      </c>
      <c r="B685" s="2" t="s">
        <v>1505</v>
      </c>
      <c r="C685" s="2" t="s">
        <v>50</v>
      </c>
      <c r="D685" s="2" t="s">
        <v>51</v>
      </c>
      <c r="E685" s="5">
        <v>-28189</v>
      </c>
      <c r="F685" s="3" t="s">
        <v>645</v>
      </c>
      <c r="G685" s="3" t="s">
        <v>35</v>
      </c>
      <c r="H685" s="2" t="s">
        <v>20</v>
      </c>
      <c r="I685" s="2" t="s">
        <v>1543</v>
      </c>
      <c r="J685" s="3" t="str">
        <f>HYPERLINK("https://www.boe.es/gazeta/dias/1822/10/26/pdfs/GMD-1822-313.pdf#page=2","Abrir facsímil")</f>
        <v>Abrir facsímil</v>
      </c>
      <c r="K685" s="3" t="s">
        <v>22</v>
      </c>
    </row>
    <row r="686" spans="1:11" ht="42" customHeight="1">
      <c r="A686" s="2" t="s">
        <v>1505</v>
      </c>
      <c r="B686" s="2" t="s">
        <v>1505</v>
      </c>
      <c r="C686" s="2" t="s">
        <v>71</v>
      </c>
      <c r="D686" s="2" t="s">
        <v>17</v>
      </c>
      <c r="E686" s="5">
        <v>-28188</v>
      </c>
      <c r="F686" s="3" t="s">
        <v>578</v>
      </c>
      <c r="G686" s="3" t="s">
        <v>19</v>
      </c>
      <c r="H686" s="2" t="s">
        <v>20</v>
      </c>
      <c r="I686" s="2" t="s">
        <v>1544</v>
      </c>
      <c r="J686" s="3" t="str">
        <f>HYPERLINK("https://www.boe.es/gazeta/dias/1822/10/27/pdfs/GMD-1822-314.pdf#page=5","Abrir facsímil")</f>
        <v>Abrir facsímil</v>
      </c>
      <c r="K686" s="3" t="s">
        <v>22</v>
      </c>
    </row>
    <row r="687" spans="1:11" ht="42" customHeight="1">
      <c r="A687" s="2" t="s">
        <v>1505</v>
      </c>
      <c r="B687" s="2" t="s">
        <v>1505</v>
      </c>
      <c r="C687" s="2" t="s">
        <v>50</v>
      </c>
      <c r="D687" s="2" t="s">
        <v>51</v>
      </c>
      <c r="E687" s="5">
        <v>-28187</v>
      </c>
      <c r="F687" s="3" t="s">
        <v>929</v>
      </c>
      <c r="G687" s="3" t="s">
        <v>44</v>
      </c>
      <c r="H687" s="2" t="s">
        <v>20</v>
      </c>
      <c r="I687" s="2" t="s">
        <v>1545</v>
      </c>
      <c r="J687" s="3" t="str">
        <f>HYPERLINK("https://www.boe.es/gazeta/dias/1822/10/28/pdfs/GMD-1822-315.pdf#page=1","Abrir facsímil")</f>
        <v>Abrir facsímil</v>
      </c>
      <c r="K687" s="3" t="s">
        <v>22</v>
      </c>
    </row>
    <row r="688" spans="1:11" ht="42" customHeight="1">
      <c r="A688" s="2" t="s">
        <v>1505</v>
      </c>
      <c r="B688" s="2" t="s">
        <v>1505</v>
      </c>
      <c r="C688" s="2" t="s">
        <v>42</v>
      </c>
      <c r="D688" s="2" t="s">
        <v>17</v>
      </c>
      <c r="E688" s="5">
        <v>-28183</v>
      </c>
      <c r="F688" s="3" t="s">
        <v>583</v>
      </c>
      <c r="G688" s="3" t="s">
        <v>44</v>
      </c>
      <c r="H688" s="2" t="s">
        <v>20</v>
      </c>
      <c r="I688" s="2" t="s">
        <v>1546</v>
      </c>
      <c r="J688" s="3" t="str">
        <f>HYPERLINK("https://www.boe.es/gazeta/dias/1822/11/01/pdfs/GMD-1822-319.pdf#page=1","Abrir facsímil")</f>
        <v>Abrir facsímil</v>
      </c>
      <c r="K688" s="3" t="s">
        <v>22</v>
      </c>
    </row>
    <row r="689" spans="1:11" ht="42" customHeight="1">
      <c r="A689" s="2" t="s">
        <v>1505</v>
      </c>
      <c r="B689" s="2" t="s">
        <v>1505</v>
      </c>
      <c r="C689" s="2" t="s">
        <v>42</v>
      </c>
      <c r="D689" s="2" t="s">
        <v>17</v>
      </c>
      <c r="E689" s="5">
        <v>-28183</v>
      </c>
      <c r="F689" s="3" t="s">
        <v>583</v>
      </c>
      <c r="G689" s="3" t="s">
        <v>35</v>
      </c>
      <c r="H689" s="2" t="s">
        <v>20</v>
      </c>
      <c r="I689" s="2" t="s">
        <v>1547</v>
      </c>
      <c r="J689" s="3" t="str">
        <f>HYPERLINK("https://www.boe.es/gazeta/dias/1822/11/01/pdfs/GMD-1822-319.pdf#page=2","Abrir facsímil")</f>
        <v>Abrir facsímil</v>
      </c>
      <c r="K689" s="3" t="s">
        <v>22</v>
      </c>
    </row>
    <row r="690" spans="1:11" ht="42" customHeight="1">
      <c r="A690" s="2" t="s">
        <v>1505</v>
      </c>
      <c r="B690" s="2" t="s">
        <v>1505</v>
      </c>
      <c r="C690" s="2" t="s">
        <v>50</v>
      </c>
      <c r="D690" s="2" t="s">
        <v>51</v>
      </c>
      <c r="E690" s="5">
        <v>-28176</v>
      </c>
      <c r="F690" s="3" t="s">
        <v>780</v>
      </c>
      <c r="G690" s="3" t="s">
        <v>44</v>
      </c>
      <c r="H690" s="2" t="s">
        <v>20</v>
      </c>
      <c r="I690" s="2" t="s">
        <v>1548</v>
      </c>
      <c r="J690" s="3" t="str">
        <f>HYPERLINK("https://www.boe.es/gazeta/dias/1822/11/08/pdfs/GMD-1822-328.pdf#page=1","Abrir facsímil")</f>
        <v>Abrir facsímil</v>
      </c>
      <c r="K690" s="3" t="s">
        <v>22</v>
      </c>
    </row>
    <row r="691" spans="1:11" ht="42" customHeight="1">
      <c r="A691" s="2" t="s">
        <v>1505</v>
      </c>
      <c r="B691" s="2" t="s">
        <v>1505</v>
      </c>
      <c r="C691" s="2" t="s">
        <v>42</v>
      </c>
      <c r="D691" s="2" t="s">
        <v>17</v>
      </c>
      <c r="E691" s="5">
        <v>-28176</v>
      </c>
      <c r="F691" s="3" t="s">
        <v>780</v>
      </c>
      <c r="G691" s="3" t="s">
        <v>35</v>
      </c>
      <c r="H691" s="2" t="s">
        <v>20</v>
      </c>
      <c r="I691" s="2" t="s">
        <v>1549</v>
      </c>
      <c r="J691" s="3" t="str">
        <f>HYPERLINK("https://www.boe.es/gazeta/dias/1822/11/08/pdfs/GMD-1822-328.pdf#page=2","Abrir facsímil")</f>
        <v>Abrir facsímil</v>
      </c>
      <c r="K691" s="3" t="s">
        <v>22</v>
      </c>
    </row>
    <row r="692" spans="1:11" ht="42" customHeight="1">
      <c r="A692" s="2" t="s">
        <v>1505</v>
      </c>
      <c r="B692" s="2" t="s">
        <v>1505</v>
      </c>
      <c r="C692" s="2" t="s">
        <v>71</v>
      </c>
      <c r="D692" s="2" t="s">
        <v>17</v>
      </c>
      <c r="E692" s="5">
        <v>-28175</v>
      </c>
      <c r="F692" s="3" t="s">
        <v>341</v>
      </c>
      <c r="G692" s="3" t="s">
        <v>35</v>
      </c>
      <c r="H692" s="2" t="s">
        <v>20</v>
      </c>
      <c r="I692" s="2" t="s">
        <v>1550</v>
      </c>
      <c r="J692" s="3" t="str">
        <f>HYPERLINK("https://www.boe.es/gazeta/dias/1822/11/09/pdfs/GMD-1822-329.pdf#page=2","Abrir facsímil")</f>
        <v>Abrir facsímil</v>
      </c>
      <c r="K692" s="3" t="s">
        <v>22</v>
      </c>
    </row>
    <row r="693" spans="1:11" ht="42" customHeight="1">
      <c r="A693" s="2" t="s">
        <v>1505</v>
      </c>
      <c r="B693" s="2" t="s">
        <v>1505</v>
      </c>
      <c r="C693" s="2" t="s">
        <v>42</v>
      </c>
      <c r="D693" s="2" t="s">
        <v>17</v>
      </c>
      <c r="E693" s="5">
        <v>-28165</v>
      </c>
      <c r="F693" s="3" t="s">
        <v>846</v>
      </c>
      <c r="G693" s="3" t="s">
        <v>35</v>
      </c>
      <c r="H693" s="2" t="s">
        <v>20</v>
      </c>
      <c r="I693" s="2" t="s">
        <v>1551</v>
      </c>
      <c r="J693" s="3" t="str">
        <f>HYPERLINK("https://www.boe.es/gazeta/dias/1822/11/19/pdfs/GMD-1822-339.pdf#page=2","Abrir facsímil")</f>
        <v>Abrir facsímil</v>
      </c>
      <c r="K693" s="3" t="s">
        <v>22</v>
      </c>
    </row>
    <row r="694" spans="1:11" ht="42" customHeight="1">
      <c r="A694" s="2" t="s">
        <v>1505</v>
      </c>
      <c r="B694" s="2" t="s">
        <v>1505</v>
      </c>
      <c r="C694" s="2" t="s">
        <v>42</v>
      </c>
      <c r="D694" s="2" t="s">
        <v>17</v>
      </c>
      <c r="E694" s="5">
        <v>-28155</v>
      </c>
      <c r="F694" s="3" t="s">
        <v>833</v>
      </c>
      <c r="G694" s="3" t="s">
        <v>35</v>
      </c>
      <c r="H694" s="2" t="s">
        <v>20</v>
      </c>
      <c r="I694" s="2" t="s">
        <v>1552</v>
      </c>
      <c r="J694" s="3" t="str">
        <f>HYPERLINK("https://www.boe.es/gazeta/dias/1822/11/29/pdfs/GMD-1822-349.pdf#page=2","Abrir facsímil")</f>
        <v>Abrir facsímil</v>
      </c>
      <c r="K694" s="3" t="s">
        <v>22</v>
      </c>
    </row>
    <row r="695" spans="1:11" ht="42" customHeight="1">
      <c r="A695" s="2" t="s">
        <v>1505</v>
      </c>
      <c r="B695" s="2" t="s">
        <v>1505</v>
      </c>
      <c r="C695" s="2" t="s">
        <v>28</v>
      </c>
      <c r="D695" s="2" t="s">
        <v>29</v>
      </c>
      <c r="E695" s="5">
        <v>-28151</v>
      </c>
      <c r="F695" s="3" t="s">
        <v>985</v>
      </c>
      <c r="G695" s="3" t="s">
        <v>44</v>
      </c>
      <c r="H695" s="2" t="s">
        <v>20</v>
      </c>
      <c r="I695" s="2" t="s">
        <v>1553</v>
      </c>
      <c r="J695" s="3" t="str">
        <f>HYPERLINK("https://www.boe.es/gazeta/dias/1822/12/03/pdfs/GMD-1822-353.pdf#page=1","Abrir facsímil")</f>
        <v>Abrir facsímil</v>
      </c>
      <c r="K695" s="3" t="s">
        <v>22</v>
      </c>
    </row>
    <row r="696" spans="1:11" ht="42" customHeight="1">
      <c r="A696" s="2" t="s">
        <v>1505</v>
      </c>
      <c r="B696" s="2" t="s">
        <v>1505</v>
      </c>
      <c r="C696" s="2" t="s">
        <v>28</v>
      </c>
      <c r="D696" s="2" t="s">
        <v>29</v>
      </c>
      <c r="E696" s="5">
        <v>-28145</v>
      </c>
      <c r="F696" s="3" t="s">
        <v>1350</v>
      </c>
      <c r="G696" s="3" t="s">
        <v>31</v>
      </c>
      <c r="H696" s="2" t="s">
        <v>20</v>
      </c>
      <c r="I696" s="2" t="s">
        <v>1554</v>
      </c>
      <c r="J696" s="3" t="str">
        <f>HYPERLINK("https://www.boe.es/gazeta/dias/1822/12/09/pdfs/GMD-1822-359.pdf#page=3","Abrir facsímil")</f>
        <v>Abrir facsímil</v>
      </c>
      <c r="K696" s="3" t="s">
        <v>22</v>
      </c>
    </row>
    <row r="697" spans="1:11" ht="42" customHeight="1">
      <c r="A697" s="2" t="s">
        <v>1505</v>
      </c>
      <c r="B697" s="2" t="s">
        <v>1505</v>
      </c>
      <c r="C697" s="2" t="s">
        <v>28</v>
      </c>
      <c r="D697" s="2" t="s">
        <v>29</v>
      </c>
      <c r="E697" s="5">
        <v>-28130</v>
      </c>
      <c r="F697" s="3" t="s">
        <v>34</v>
      </c>
      <c r="G697" s="3" t="s">
        <v>35</v>
      </c>
      <c r="H697" s="2" t="s">
        <v>20</v>
      </c>
      <c r="I697" s="2" t="s">
        <v>1555</v>
      </c>
      <c r="J697" s="3" t="str">
        <f>HYPERLINK("https://www.boe.es/gazeta/dias/1822/12/24/pdfs/GMD-1822-374.pdf#page=2","Abrir facsímil")</f>
        <v>Abrir facsímil</v>
      </c>
      <c r="K697" s="3" t="s">
        <v>22</v>
      </c>
    </row>
    <row r="698" spans="1:11" ht="42" customHeight="1">
      <c r="A698" s="2" t="s">
        <v>1505</v>
      </c>
      <c r="B698" s="2" t="s">
        <v>1505</v>
      </c>
      <c r="C698" s="2" t="s">
        <v>28</v>
      </c>
      <c r="D698" s="2" t="s">
        <v>29</v>
      </c>
      <c r="E698" s="5">
        <v>-28130</v>
      </c>
      <c r="F698" s="3" t="s">
        <v>34</v>
      </c>
      <c r="G698" s="3" t="s">
        <v>31</v>
      </c>
      <c r="H698" s="2" t="s">
        <v>20</v>
      </c>
      <c r="I698" s="2" t="s">
        <v>1556</v>
      </c>
      <c r="J698" s="3" t="str">
        <f>HYPERLINK("https://www.boe.es/gazeta/dias/1822/12/24/pdfs/GMD-1822-374.pdf#page=3","Abrir facsímil")</f>
        <v>Abrir facsímil</v>
      </c>
      <c r="K698" s="3" t="s">
        <v>22</v>
      </c>
    </row>
    <row r="699" spans="1:11" ht="42" customHeight="1">
      <c r="A699" s="2" t="s">
        <v>1557</v>
      </c>
      <c r="B699" s="2" t="s">
        <v>1558</v>
      </c>
      <c r="C699" s="2" t="s">
        <v>42</v>
      </c>
      <c r="D699" s="2" t="s">
        <v>17</v>
      </c>
      <c r="E699" s="5">
        <v>-28258</v>
      </c>
      <c r="F699" s="3" t="s">
        <v>88</v>
      </c>
      <c r="G699" s="3" t="s">
        <v>57</v>
      </c>
      <c r="H699" s="2" t="s">
        <v>20</v>
      </c>
      <c r="I699" s="2" t="s">
        <v>1559</v>
      </c>
      <c r="J699" s="3" t="str">
        <f>HYPERLINK("https://www.boe.es/gazeta/dias/1822/08/18/pdfs/GMD-1822-242.pdf#page=4","Abrir facsímil")</f>
        <v>Abrir facsímil</v>
      </c>
      <c r="K699" s="3" t="s">
        <v>22</v>
      </c>
    </row>
    <row r="700" spans="1:11" ht="42" customHeight="1">
      <c r="A700" s="2" t="s">
        <v>1560</v>
      </c>
      <c r="B700" s="2" t="s">
        <v>1561</v>
      </c>
      <c r="C700" s="2" t="s">
        <v>50</v>
      </c>
      <c r="D700" s="2" t="s">
        <v>51</v>
      </c>
      <c r="E700" s="5">
        <v>-28432</v>
      </c>
      <c r="F700" s="3" t="s">
        <v>195</v>
      </c>
      <c r="G700" s="3" t="s">
        <v>57</v>
      </c>
      <c r="H700" s="2" t="s">
        <v>20</v>
      </c>
      <c r="I700" s="2" t="s">
        <v>1562</v>
      </c>
      <c r="J700" s="3" t="str">
        <f>HYPERLINK("https://www.boe.es/gazeta/dias/1822/02/25/pdfs/GMD-1822-57.pdf#page=4","Abrir facsímil")</f>
        <v>Abrir facsímil</v>
      </c>
      <c r="K700" s="3" t="s">
        <v>22</v>
      </c>
    </row>
    <row r="701" spans="1:11" ht="42" customHeight="1">
      <c r="A701" s="2" t="s">
        <v>1563</v>
      </c>
      <c r="B701" s="2" t="s">
        <v>1564</v>
      </c>
      <c r="C701" s="2" t="s">
        <v>28</v>
      </c>
      <c r="D701" s="2" t="s">
        <v>29</v>
      </c>
      <c r="E701" s="5">
        <v>-28210</v>
      </c>
      <c r="F701" s="3" t="s">
        <v>218</v>
      </c>
      <c r="G701" s="3" t="s">
        <v>19</v>
      </c>
      <c r="H701" s="2" t="s">
        <v>20</v>
      </c>
      <c r="I701" s="2" t="s">
        <v>1565</v>
      </c>
      <c r="J701" s="3" t="str">
        <f>HYPERLINK("https://www.boe.es/gazeta/dias/1822/10/05/pdfs/GMD-1822-291.pdf#page=5","Abrir facsímil")</f>
        <v>Abrir facsímil</v>
      </c>
      <c r="K701" s="3" t="s">
        <v>22</v>
      </c>
    </row>
    <row r="702" spans="1:11" ht="42" customHeight="1">
      <c r="A702" s="2" t="s">
        <v>1566</v>
      </c>
      <c r="B702" s="2" t="s">
        <v>1567</v>
      </c>
      <c r="C702" s="2" t="s">
        <v>42</v>
      </c>
      <c r="D702" s="2" t="s">
        <v>17</v>
      </c>
      <c r="E702" s="5">
        <v>-28156</v>
      </c>
      <c r="F702" s="3" t="s">
        <v>1568</v>
      </c>
      <c r="G702" s="3" t="s">
        <v>31</v>
      </c>
      <c r="H702" s="2" t="s">
        <v>20</v>
      </c>
      <c r="I702" s="2" t="s">
        <v>1569</v>
      </c>
      <c r="J702" s="3" t="str">
        <f>HYPERLINK("https://www.boe.es/gazeta/dias/1822/11/28/pdfs/GMD-1822-348.pdf#page=3","Abrir facsímil")</f>
        <v>Abrir facsímil</v>
      </c>
      <c r="K702" s="3" t="s">
        <v>22</v>
      </c>
    </row>
    <row r="703" spans="1:11" ht="42" customHeight="1">
      <c r="A703" s="2" t="s">
        <v>1570</v>
      </c>
      <c r="B703" s="2" t="s">
        <v>1571</v>
      </c>
      <c r="C703" s="2" t="s">
        <v>42</v>
      </c>
      <c r="D703" s="2" t="s">
        <v>17</v>
      </c>
      <c r="E703" s="5">
        <v>-28357</v>
      </c>
      <c r="F703" s="3" t="s">
        <v>690</v>
      </c>
      <c r="G703" s="3" t="s">
        <v>44</v>
      </c>
      <c r="H703" s="2" t="s">
        <v>20</v>
      </c>
      <c r="I703" s="2" t="s">
        <v>1572</v>
      </c>
      <c r="J703" s="3" t="str">
        <f>HYPERLINK("https://www.boe.es/gazeta/dias/1822/05/11/pdfs/GMD-1822-133.pdf#page=1","Abrir facsímil")</f>
        <v>Abrir facsímil</v>
      </c>
      <c r="K703" s="3" t="s">
        <v>22</v>
      </c>
    </row>
    <row r="704" spans="1:11" ht="42" customHeight="1">
      <c r="A704" s="2" t="s">
        <v>1573</v>
      </c>
      <c r="B704" s="2" t="s">
        <v>1574</v>
      </c>
      <c r="C704" s="2" t="s">
        <v>71</v>
      </c>
      <c r="D704" s="2" t="s">
        <v>17</v>
      </c>
      <c r="E704" s="5">
        <v>-28352</v>
      </c>
      <c r="F704" s="3" t="s">
        <v>1575</v>
      </c>
      <c r="G704" s="3" t="s">
        <v>31</v>
      </c>
      <c r="H704" s="2" t="s">
        <v>20</v>
      </c>
      <c r="I704" s="2" t="s">
        <v>1576</v>
      </c>
      <c r="J704" s="3" t="str">
        <f>HYPERLINK("https://www.boe.es/gazeta/dias/1822/05/16/pdfs/GMD-1822-138.pdf#page=3","Abrir facsímil")</f>
        <v>Abrir facsímil</v>
      </c>
      <c r="K704" s="3" t="s">
        <v>22</v>
      </c>
    </row>
    <row r="705" spans="1:11" ht="42" customHeight="1">
      <c r="A705" s="2" t="s">
        <v>1577</v>
      </c>
      <c r="B705" s="2" t="s">
        <v>1578</v>
      </c>
      <c r="C705" s="2" t="s">
        <v>16</v>
      </c>
      <c r="D705" s="2" t="s">
        <v>17</v>
      </c>
      <c r="E705" s="5">
        <v>-28357</v>
      </c>
      <c r="F705" s="3" t="s">
        <v>690</v>
      </c>
      <c r="G705" s="3" t="s">
        <v>19</v>
      </c>
      <c r="H705" s="2" t="s">
        <v>20</v>
      </c>
      <c r="I705" s="2" t="s">
        <v>1579</v>
      </c>
      <c r="J705" s="3" t="str">
        <f>HYPERLINK("https://www.boe.es/gazeta/dias/1822/05/11/pdfs/GMD-1822-133.pdf#page=5","Abrir facsímil")</f>
        <v>Abrir facsímil</v>
      </c>
      <c r="K705" s="3" t="s">
        <v>22</v>
      </c>
    </row>
    <row r="706" spans="1:11" ht="42" customHeight="1">
      <c r="A706" s="2" t="s">
        <v>1580</v>
      </c>
      <c r="B706" s="2" t="s">
        <v>1581</v>
      </c>
      <c r="C706" s="2" t="s">
        <v>50</v>
      </c>
      <c r="D706" s="2" t="s">
        <v>51</v>
      </c>
      <c r="E706" s="5">
        <v>-28420</v>
      </c>
      <c r="F706" s="3" t="s">
        <v>449</v>
      </c>
      <c r="G706" s="3" t="s">
        <v>57</v>
      </c>
      <c r="H706" s="2" t="s">
        <v>20</v>
      </c>
      <c r="I706" s="2" t="s">
        <v>1582</v>
      </c>
      <c r="J706" s="3" t="str">
        <f>HYPERLINK("https://www.boe.es/gazeta/dias/1822/03/09/pdfs/GMD-1822-70.pdf#page=4","Abrir facsímil")</f>
        <v>Abrir facsímil</v>
      </c>
      <c r="K706" s="3" t="s">
        <v>22</v>
      </c>
    </row>
    <row r="707" spans="1:11" ht="42" customHeight="1">
      <c r="A707" s="2" t="s">
        <v>1580</v>
      </c>
      <c r="B707" s="2" t="s">
        <v>1581</v>
      </c>
      <c r="C707" s="2" t="s">
        <v>28</v>
      </c>
      <c r="D707" s="2" t="s">
        <v>29</v>
      </c>
      <c r="E707" s="5">
        <v>-28419</v>
      </c>
      <c r="F707" s="3" t="s">
        <v>1392</v>
      </c>
      <c r="G707" s="3" t="s">
        <v>19</v>
      </c>
      <c r="H707" s="2" t="s">
        <v>20</v>
      </c>
      <c r="I707" s="2" t="s">
        <v>1583</v>
      </c>
      <c r="J707" s="3" t="str">
        <f>HYPERLINK("https://www.boe.es/gazeta/dias/1822/03/10/pdfs/GMD-1822-71.pdf#page=5","Abrir facsímil")</f>
        <v>Abrir facsímil</v>
      </c>
      <c r="K707" s="3" t="s">
        <v>22</v>
      </c>
    </row>
    <row r="708" spans="1:11" ht="42" customHeight="1">
      <c r="A708" s="2" t="s">
        <v>1580</v>
      </c>
      <c r="B708" s="2" t="s">
        <v>1581</v>
      </c>
      <c r="C708" s="2" t="s">
        <v>71</v>
      </c>
      <c r="D708" s="2" t="s">
        <v>17</v>
      </c>
      <c r="E708" s="5">
        <v>-28418</v>
      </c>
      <c r="F708" s="3" t="s">
        <v>205</v>
      </c>
      <c r="G708" s="3" t="s">
        <v>31</v>
      </c>
      <c r="H708" s="2" t="s">
        <v>20</v>
      </c>
      <c r="I708" s="2" t="s">
        <v>1584</v>
      </c>
      <c r="J708" s="3" t="str">
        <f>HYPERLINK("https://www.boe.es/gazeta/dias/1822/03/11/pdfs/GMD-1822-72.pdf#page=3","Abrir facsímil")</f>
        <v>Abrir facsímil</v>
      </c>
      <c r="K708" s="3" t="s">
        <v>22</v>
      </c>
    </row>
    <row r="709" spans="1:11" ht="42" customHeight="1">
      <c r="A709" s="2" t="s">
        <v>1580</v>
      </c>
      <c r="B709" s="2" t="s">
        <v>1581</v>
      </c>
      <c r="C709" s="2" t="s">
        <v>71</v>
      </c>
      <c r="D709" s="2" t="s">
        <v>17</v>
      </c>
      <c r="E709" s="5">
        <v>-28417</v>
      </c>
      <c r="F709" s="3" t="s">
        <v>1394</v>
      </c>
      <c r="G709" s="3" t="s">
        <v>57</v>
      </c>
      <c r="H709" s="2" t="s">
        <v>20</v>
      </c>
      <c r="I709" s="2" t="s">
        <v>1585</v>
      </c>
      <c r="J709" s="3" t="str">
        <f>HYPERLINK("https://www.boe.es/gazeta/dias/1822/03/12/pdfs/GMD-1822-73.pdf#page=4","Abrir facsímil")</f>
        <v>Abrir facsímil</v>
      </c>
      <c r="K709" s="3" t="s">
        <v>22</v>
      </c>
    </row>
    <row r="710" spans="1:11" ht="42" customHeight="1">
      <c r="A710" s="2" t="s">
        <v>1580</v>
      </c>
      <c r="B710" s="2" t="s">
        <v>1581</v>
      </c>
      <c r="C710" s="2" t="s">
        <v>28</v>
      </c>
      <c r="D710" s="2" t="s">
        <v>29</v>
      </c>
      <c r="E710" s="5">
        <v>-28415</v>
      </c>
      <c r="F710" s="3" t="s">
        <v>77</v>
      </c>
      <c r="G710" s="3" t="s">
        <v>31</v>
      </c>
      <c r="H710" s="2" t="s">
        <v>20</v>
      </c>
      <c r="I710" s="2" t="s">
        <v>1586</v>
      </c>
      <c r="J710" s="3" t="str">
        <f>HYPERLINK("https://www.boe.es/gazeta/dias/1822/03/14/pdfs/GMD-1822-75.pdf#page=3","Abrir facsímil")</f>
        <v>Abrir facsímil</v>
      </c>
      <c r="K710" s="3" t="s">
        <v>22</v>
      </c>
    </row>
    <row r="711" spans="1:11" ht="42" customHeight="1">
      <c r="A711" s="2" t="s">
        <v>1580</v>
      </c>
      <c r="B711" s="2" t="s">
        <v>1581</v>
      </c>
      <c r="C711" s="2" t="s">
        <v>50</v>
      </c>
      <c r="D711" s="2" t="s">
        <v>51</v>
      </c>
      <c r="E711" s="5">
        <v>-28415</v>
      </c>
      <c r="F711" s="3" t="s">
        <v>77</v>
      </c>
      <c r="G711" s="3" t="s">
        <v>57</v>
      </c>
      <c r="H711" s="2" t="s">
        <v>20</v>
      </c>
      <c r="I711" s="2" t="s">
        <v>1587</v>
      </c>
      <c r="J711" s="3" t="str">
        <f>HYPERLINK("https://www.boe.es/gazeta/dias/1822/03/14/pdfs/GMD-1822-75.pdf#page=4","Abrir facsímil")</f>
        <v>Abrir facsímil</v>
      </c>
      <c r="K711" s="3" t="s">
        <v>22</v>
      </c>
    </row>
    <row r="712" spans="1:11" ht="42" customHeight="1">
      <c r="A712" s="2" t="s">
        <v>1580</v>
      </c>
      <c r="B712" s="2" t="s">
        <v>1581</v>
      </c>
      <c r="C712" s="2" t="s">
        <v>71</v>
      </c>
      <c r="D712" s="2" t="s">
        <v>17</v>
      </c>
      <c r="E712" s="5">
        <v>-28381</v>
      </c>
      <c r="F712" s="3" t="s">
        <v>358</v>
      </c>
      <c r="G712" s="3" t="s">
        <v>19</v>
      </c>
      <c r="H712" s="2" t="s">
        <v>20</v>
      </c>
      <c r="I712" s="2" t="s">
        <v>1588</v>
      </c>
      <c r="J712" s="3" t="str">
        <f>HYPERLINK("https://www.boe.es/gazeta/dias/1822/04/17/pdfs/GMD-1822-109.pdf#page=5","Abrir facsímil")</f>
        <v>Abrir facsímil</v>
      </c>
      <c r="K712" s="3" t="s">
        <v>22</v>
      </c>
    </row>
    <row r="713" spans="1:11" ht="42" customHeight="1">
      <c r="A713" s="2" t="s">
        <v>1580</v>
      </c>
      <c r="B713" s="2" t="s">
        <v>1581</v>
      </c>
      <c r="C713" s="2" t="s">
        <v>16</v>
      </c>
      <c r="D713" s="2" t="s">
        <v>17</v>
      </c>
      <c r="E713" s="5">
        <v>-28377</v>
      </c>
      <c r="F713" s="3" t="s">
        <v>498</v>
      </c>
      <c r="G713" s="3" t="s">
        <v>31</v>
      </c>
      <c r="H713" s="2" t="s">
        <v>20</v>
      </c>
      <c r="I713" s="2" t="s">
        <v>1589</v>
      </c>
      <c r="J713" s="3" t="str">
        <f>HYPERLINK("https://www.boe.es/gazeta/dias/1822/04/21/pdfs/GMD-1822-113.pdf#page=3","Abrir facsímil")</f>
        <v>Abrir facsímil</v>
      </c>
      <c r="K713" s="3" t="s">
        <v>22</v>
      </c>
    </row>
    <row r="714" spans="1:11" ht="42" customHeight="1">
      <c r="A714" s="2" t="s">
        <v>1580</v>
      </c>
      <c r="B714" s="2" t="s">
        <v>1581</v>
      </c>
      <c r="C714" s="2" t="s">
        <v>42</v>
      </c>
      <c r="D714" s="2" t="s">
        <v>17</v>
      </c>
      <c r="E714" s="5">
        <v>-28369</v>
      </c>
      <c r="F714" s="3" t="s">
        <v>1590</v>
      </c>
      <c r="G714" s="3" t="s">
        <v>19</v>
      </c>
      <c r="H714" s="2" t="s">
        <v>20</v>
      </c>
      <c r="I714" s="2" t="s">
        <v>1591</v>
      </c>
      <c r="J714" s="3" t="str">
        <f>HYPERLINK("https://www.boe.es/gazeta/dias/1822/04/29/pdfs/GMD-1822-121.pdf#page=5","Abrir facsímil")</f>
        <v>Abrir facsímil</v>
      </c>
      <c r="K714" s="3" t="s">
        <v>22</v>
      </c>
    </row>
    <row r="715" spans="1:11" ht="42" customHeight="1">
      <c r="A715" s="2" t="s">
        <v>1580</v>
      </c>
      <c r="B715" s="2" t="s">
        <v>1581</v>
      </c>
      <c r="C715" s="2" t="s">
        <v>28</v>
      </c>
      <c r="D715" s="2" t="s">
        <v>29</v>
      </c>
      <c r="E715" s="5">
        <v>-28367</v>
      </c>
      <c r="F715" s="3" t="s">
        <v>280</v>
      </c>
      <c r="G715" s="3" t="s">
        <v>35</v>
      </c>
      <c r="H715" s="2" t="s">
        <v>20</v>
      </c>
      <c r="I715" s="2" t="s">
        <v>1592</v>
      </c>
      <c r="J715" s="3" t="str">
        <f>HYPERLINK("https://www.boe.es/gazeta/dias/1822/05/01/pdfs/GMD-1822-123.pdf#page=2","Abrir facsímil")</f>
        <v>Abrir facsímil</v>
      </c>
      <c r="K715" s="3" t="s">
        <v>22</v>
      </c>
    </row>
    <row r="716" spans="1:11" ht="42" customHeight="1">
      <c r="A716" s="2" t="s">
        <v>1580</v>
      </c>
      <c r="B716" s="2" t="s">
        <v>1581</v>
      </c>
      <c r="C716" s="2" t="s">
        <v>28</v>
      </c>
      <c r="D716" s="2" t="s">
        <v>29</v>
      </c>
      <c r="E716" s="5">
        <v>-28363</v>
      </c>
      <c r="F716" s="3" t="s">
        <v>72</v>
      </c>
      <c r="G716" s="3" t="s">
        <v>57</v>
      </c>
      <c r="H716" s="2" t="s">
        <v>20</v>
      </c>
      <c r="I716" s="2" t="s">
        <v>1593</v>
      </c>
      <c r="J716" s="3" t="str">
        <f>HYPERLINK("https://www.boe.es/gazeta/dias/1822/05/05/pdfs/GMD-1822-127.pdf#page=4","Abrir facsímil")</f>
        <v>Abrir facsímil</v>
      </c>
      <c r="K716" s="3" t="s">
        <v>22</v>
      </c>
    </row>
    <row r="717" spans="1:11" ht="42" customHeight="1">
      <c r="A717" s="2" t="s">
        <v>1580</v>
      </c>
      <c r="B717" s="2" t="s">
        <v>1581</v>
      </c>
      <c r="C717" s="2" t="s">
        <v>71</v>
      </c>
      <c r="D717" s="2" t="s">
        <v>17</v>
      </c>
      <c r="E717" s="5">
        <v>-28352</v>
      </c>
      <c r="F717" s="3" t="s">
        <v>1575</v>
      </c>
      <c r="G717" s="3" t="s">
        <v>57</v>
      </c>
      <c r="H717" s="2" t="s">
        <v>20</v>
      </c>
      <c r="I717" s="2" t="s">
        <v>1594</v>
      </c>
      <c r="J717" s="3" t="str">
        <f>HYPERLINK("https://www.boe.es/gazeta/dias/1822/05/16/pdfs/GMD-1822-138.pdf#page=4","Abrir facsímil")</f>
        <v>Abrir facsímil</v>
      </c>
      <c r="K717" s="3" t="s">
        <v>22</v>
      </c>
    </row>
    <row r="718" spans="1:11" ht="42" customHeight="1">
      <c r="A718" s="2" t="s">
        <v>1580</v>
      </c>
      <c r="B718" s="2" t="s">
        <v>1581</v>
      </c>
      <c r="C718" s="2" t="s">
        <v>28</v>
      </c>
      <c r="D718" s="2" t="s">
        <v>29</v>
      </c>
      <c r="E718" s="5">
        <v>-28346</v>
      </c>
      <c r="F718" s="3" t="s">
        <v>191</v>
      </c>
      <c r="G718" s="3" t="s">
        <v>35</v>
      </c>
      <c r="H718" s="2" t="s">
        <v>20</v>
      </c>
      <c r="I718" s="2" t="s">
        <v>1595</v>
      </c>
      <c r="J718" s="3" t="str">
        <f>HYPERLINK("https://www.boe.es/gazeta/dias/1822/05/22/pdfs/GMD-1822-145.pdf#page=2","Abrir facsímil")</f>
        <v>Abrir facsímil</v>
      </c>
      <c r="K718" s="3" t="s">
        <v>22</v>
      </c>
    </row>
    <row r="719" spans="1:11" ht="42" customHeight="1">
      <c r="A719" s="2" t="s">
        <v>1580</v>
      </c>
      <c r="B719" s="2" t="s">
        <v>1581</v>
      </c>
      <c r="C719" s="2" t="s">
        <v>16</v>
      </c>
      <c r="D719" s="2" t="s">
        <v>17</v>
      </c>
      <c r="E719" s="5">
        <v>-28343</v>
      </c>
      <c r="F719" s="3" t="s">
        <v>1019</v>
      </c>
      <c r="G719" s="3" t="s">
        <v>63</v>
      </c>
      <c r="H719" s="2" t="s">
        <v>20</v>
      </c>
      <c r="I719" s="2" t="s">
        <v>1596</v>
      </c>
      <c r="J719" s="3" t="str">
        <f>HYPERLINK("https://www.boe.es/gazeta/dias/1822/05/25/pdfs/GMD-1822-150.pdf#page=6","Abrir facsímil")</f>
        <v>Abrir facsímil</v>
      </c>
      <c r="K719" s="3" t="s">
        <v>22</v>
      </c>
    </row>
    <row r="720" spans="1:11" ht="42" customHeight="1">
      <c r="A720" s="2" t="s">
        <v>1580</v>
      </c>
      <c r="B720" s="2" t="s">
        <v>1581</v>
      </c>
      <c r="C720" s="2" t="s">
        <v>50</v>
      </c>
      <c r="D720" s="2" t="s">
        <v>51</v>
      </c>
      <c r="E720" s="5">
        <v>-28327</v>
      </c>
      <c r="F720" s="3" t="s">
        <v>38</v>
      </c>
      <c r="G720" s="3" t="s">
        <v>35</v>
      </c>
      <c r="H720" s="2" t="s">
        <v>20</v>
      </c>
      <c r="I720" s="2" t="s">
        <v>1597</v>
      </c>
      <c r="J720" s="3" t="str">
        <f>HYPERLINK("https://www.boe.es/gazeta/dias/1822/06/10/pdfs/GMD-1822-167.pdf#page=2","Abrir facsímil")</f>
        <v>Abrir facsímil</v>
      </c>
      <c r="K720" s="3" t="s">
        <v>22</v>
      </c>
    </row>
    <row r="721" spans="1:11" ht="42" customHeight="1">
      <c r="A721" s="2" t="s">
        <v>1580</v>
      </c>
      <c r="B721" s="2" t="s">
        <v>1581</v>
      </c>
      <c r="C721" s="2" t="s">
        <v>42</v>
      </c>
      <c r="D721" s="2" t="s">
        <v>17</v>
      </c>
      <c r="E721" s="5">
        <v>-28321</v>
      </c>
      <c r="F721" s="3" t="s">
        <v>1142</v>
      </c>
      <c r="G721" s="3" t="s">
        <v>31</v>
      </c>
      <c r="H721" s="2" t="s">
        <v>20</v>
      </c>
      <c r="I721" s="2" t="s">
        <v>1598</v>
      </c>
      <c r="J721" s="3" t="str">
        <f>HYPERLINK("https://www.boe.es/gazeta/dias/1822/06/16/pdfs/GMD-1822-173.pdf#page=3","Abrir facsímil")</f>
        <v>Abrir facsímil</v>
      </c>
      <c r="K721" s="3" t="s">
        <v>22</v>
      </c>
    </row>
    <row r="722" spans="1:11" ht="42" customHeight="1">
      <c r="A722" s="2" t="s">
        <v>1580</v>
      </c>
      <c r="B722" s="2" t="s">
        <v>1581</v>
      </c>
      <c r="C722" s="2" t="s">
        <v>42</v>
      </c>
      <c r="D722" s="2" t="s">
        <v>17</v>
      </c>
      <c r="E722" s="5">
        <v>-28316</v>
      </c>
      <c r="F722" s="3" t="s">
        <v>1144</v>
      </c>
      <c r="G722" s="3" t="s">
        <v>35</v>
      </c>
      <c r="H722" s="2" t="s">
        <v>20</v>
      </c>
      <c r="I722" s="2" t="s">
        <v>1599</v>
      </c>
      <c r="J722" s="3" t="str">
        <f>HYPERLINK("https://www.boe.es/gazeta/dias/1822/06/21/pdfs/GMD-1822-179.pdf#page=2","Abrir facsímil")</f>
        <v>Abrir facsímil</v>
      </c>
      <c r="K722" s="3" t="s">
        <v>22</v>
      </c>
    </row>
    <row r="723" spans="1:11" ht="42" customHeight="1">
      <c r="A723" s="2" t="s">
        <v>1580</v>
      </c>
      <c r="B723" s="2" t="s">
        <v>1581</v>
      </c>
      <c r="C723" s="2" t="s">
        <v>42</v>
      </c>
      <c r="D723" s="2" t="s">
        <v>17</v>
      </c>
      <c r="E723" s="5">
        <v>-28308</v>
      </c>
      <c r="F723" s="3" t="s">
        <v>1050</v>
      </c>
      <c r="G723" s="3" t="s">
        <v>57</v>
      </c>
      <c r="H723" s="2" t="s">
        <v>20</v>
      </c>
      <c r="I723" s="2" t="s">
        <v>1600</v>
      </c>
      <c r="J723" s="3" t="str">
        <f>HYPERLINK("https://www.boe.es/gazeta/dias/1822/06/29/pdfs/GMD-1822-187.pdf#page=4","Abrir facsímil")</f>
        <v>Abrir facsímil</v>
      </c>
      <c r="K723" s="3" t="s">
        <v>22</v>
      </c>
    </row>
    <row r="724" spans="1:11" ht="42" customHeight="1">
      <c r="A724" s="2" t="s">
        <v>1580</v>
      </c>
      <c r="B724" s="2" t="s">
        <v>1581</v>
      </c>
      <c r="C724" s="2" t="s">
        <v>71</v>
      </c>
      <c r="D724" s="2" t="s">
        <v>17</v>
      </c>
      <c r="E724" s="5">
        <v>-28212</v>
      </c>
      <c r="F724" s="3" t="s">
        <v>560</v>
      </c>
      <c r="G724" s="3" t="s">
        <v>31</v>
      </c>
      <c r="H724" s="2" t="s">
        <v>20</v>
      </c>
      <c r="I724" s="2" t="s">
        <v>1601</v>
      </c>
      <c r="J724" s="3" t="str">
        <f>HYPERLINK("https://www.boe.es/gazeta/dias/1822/10/03/pdfs/GMD-1822-289.pdf#page=3","Abrir facsímil")</f>
        <v>Abrir facsímil</v>
      </c>
      <c r="K724" s="3" t="s">
        <v>22</v>
      </c>
    </row>
    <row r="725" spans="1:11" ht="42" customHeight="1">
      <c r="A725" s="2" t="s">
        <v>1580</v>
      </c>
      <c r="B725" s="2" t="s">
        <v>1581</v>
      </c>
      <c r="C725" s="2" t="s">
        <v>50</v>
      </c>
      <c r="D725" s="2" t="s">
        <v>51</v>
      </c>
      <c r="E725" s="5">
        <v>-28206</v>
      </c>
      <c r="F725" s="3" t="s">
        <v>562</v>
      </c>
      <c r="G725" s="3" t="s">
        <v>35</v>
      </c>
      <c r="H725" s="2" t="s">
        <v>20</v>
      </c>
      <c r="I725" s="2" t="s">
        <v>1602</v>
      </c>
      <c r="J725" s="3" t="str">
        <f>HYPERLINK("https://www.boe.es/gazeta/dias/1822/10/09/pdfs/GMD-1822-296.pdf#page=2","Abrir facsímil")</f>
        <v>Abrir facsímil</v>
      </c>
      <c r="K725" s="3" t="s">
        <v>22</v>
      </c>
    </row>
    <row r="726" spans="1:11" ht="42" customHeight="1">
      <c r="A726" s="2" t="s">
        <v>1580</v>
      </c>
      <c r="B726" s="2" t="s">
        <v>1581</v>
      </c>
      <c r="C726" s="2" t="s">
        <v>28</v>
      </c>
      <c r="D726" s="2" t="s">
        <v>29</v>
      </c>
      <c r="E726" s="5">
        <v>-28200</v>
      </c>
      <c r="F726" s="3" t="s">
        <v>1037</v>
      </c>
      <c r="G726" s="3" t="s">
        <v>19</v>
      </c>
      <c r="H726" s="2" t="s">
        <v>20</v>
      </c>
      <c r="I726" s="2" t="s">
        <v>1603</v>
      </c>
      <c r="J726" s="3" t="str">
        <f>HYPERLINK("https://www.boe.es/gazeta/dias/1822/10/15/pdfs/GMD-1822-302.pdf#page=5","Abrir facsímil")</f>
        <v>Abrir facsímil</v>
      </c>
      <c r="K726" s="3" t="s">
        <v>22</v>
      </c>
    </row>
    <row r="727" spans="1:11" ht="42" customHeight="1">
      <c r="A727" s="2" t="s">
        <v>1580</v>
      </c>
      <c r="B727" s="2" t="s">
        <v>1581</v>
      </c>
      <c r="C727" s="2" t="s">
        <v>61</v>
      </c>
      <c r="D727" s="2" t="s">
        <v>17</v>
      </c>
      <c r="E727" s="5">
        <v>-28196</v>
      </c>
      <c r="F727" s="3" t="s">
        <v>570</v>
      </c>
      <c r="G727" s="3" t="s">
        <v>35</v>
      </c>
      <c r="H727" s="2" t="s">
        <v>20</v>
      </c>
      <c r="I727" s="2" t="s">
        <v>1604</v>
      </c>
      <c r="J727" s="3" t="str">
        <f>HYPERLINK("https://www.boe.es/gazeta/dias/1822/10/19/pdfs/GMD-1822-306.pdf#page=2","Abrir facsímil")</f>
        <v>Abrir facsímil</v>
      </c>
      <c r="K727" s="3" t="s">
        <v>22</v>
      </c>
    </row>
    <row r="728" spans="1:11" ht="42" customHeight="1">
      <c r="A728" s="2" t="s">
        <v>1580</v>
      </c>
      <c r="B728" s="2" t="s">
        <v>1581</v>
      </c>
      <c r="C728" s="2" t="s">
        <v>71</v>
      </c>
      <c r="D728" s="2" t="s">
        <v>17</v>
      </c>
      <c r="E728" s="5">
        <v>-28192</v>
      </c>
      <c r="F728" s="3" t="s">
        <v>43</v>
      </c>
      <c r="G728" s="3" t="s">
        <v>19</v>
      </c>
      <c r="H728" s="2" t="s">
        <v>20</v>
      </c>
      <c r="I728" s="2" t="s">
        <v>1605</v>
      </c>
      <c r="J728" s="3" t="str">
        <f>HYPERLINK("https://www.boe.es/gazeta/dias/1822/10/23/pdfs/GMD-1822-310.pdf#page=5","Abrir facsímil")</f>
        <v>Abrir facsímil</v>
      </c>
      <c r="K728" s="3" t="s">
        <v>22</v>
      </c>
    </row>
    <row r="729" spans="1:11" ht="42" customHeight="1">
      <c r="A729" s="2" t="s">
        <v>1580</v>
      </c>
      <c r="B729" s="2" t="s">
        <v>1581</v>
      </c>
      <c r="C729" s="2" t="s">
        <v>24</v>
      </c>
      <c r="D729" s="2" t="s">
        <v>17</v>
      </c>
      <c r="E729" s="5">
        <v>-28189</v>
      </c>
      <c r="F729" s="3" t="s">
        <v>645</v>
      </c>
      <c r="G729" s="3" t="s">
        <v>31</v>
      </c>
      <c r="H729" s="2" t="s">
        <v>20</v>
      </c>
      <c r="I729" s="2" t="s">
        <v>1606</v>
      </c>
      <c r="J729" s="3" t="str">
        <f>HYPERLINK("https://www.boe.es/gazeta/dias/1822/10/26/pdfs/GMD-1822-313.pdf#page=3","Abrir facsímil")</f>
        <v>Abrir facsímil</v>
      </c>
      <c r="K729" s="3" t="s">
        <v>22</v>
      </c>
    </row>
    <row r="730" spans="1:11" ht="42" customHeight="1">
      <c r="A730" s="2" t="s">
        <v>1580</v>
      </c>
      <c r="B730" s="2" t="s">
        <v>1581</v>
      </c>
      <c r="C730" s="2" t="s">
        <v>71</v>
      </c>
      <c r="D730" s="2" t="s">
        <v>17</v>
      </c>
      <c r="E730" s="5">
        <v>-28184</v>
      </c>
      <c r="F730" s="3" t="s">
        <v>1423</v>
      </c>
      <c r="G730" s="3" t="s">
        <v>31</v>
      </c>
      <c r="H730" s="2" t="s">
        <v>20</v>
      </c>
      <c r="I730" s="2" t="s">
        <v>1607</v>
      </c>
      <c r="J730" s="3" t="str">
        <f>HYPERLINK("https://www.boe.es/gazeta/dias/1822/10/31/pdfs/GMD-1822-318.pdf#page=3","Abrir facsímil")</f>
        <v>Abrir facsímil</v>
      </c>
      <c r="K730" s="3" t="s">
        <v>22</v>
      </c>
    </row>
    <row r="731" spans="1:11" ht="42" customHeight="1">
      <c r="A731" s="2" t="s">
        <v>1580</v>
      </c>
      <c r="B731" s="2" t="s">
        <v>1581</v>
      </c>
      <c r="C731" s="2" t="s">
        <v>16</v>
      </c>
      <c r="D731" s="2" t="s">
        <v>17</v>
      </c>
      <c r="E731" s="5">
        <v>-28181</v>
      </c>
      <c r="F731" s="3" t="s">
        <v>739</v>
      </c>
      <c r="G731" s="3" t="s">
        <v>44</v>
      </c>
      <c r="H731" s="2" t="s">
        <v>20</v>
      </c>
      <c r="I731" s="2" t="s">
        <v>1608</v>
      </c>
      <c r="J731" s="3" t="str">
        <f>HYPERLINK("https://www.boe.es/gazeta/dias/1822/11/03/pdfs/GMD-1822-321.pdf#page=1","Abrir facsímil")</f>
        <v>Abrir facsímil</v>
      </c>
      <c r="K731" s="3" t="s">
        <v>22</v>
      </c>
    </row>
    <row r="732" spans="1:11" ht="42" customHeight="1">
      <c r="A732" s="2" t="s">
        <v>1580</v>
      </c>
      <c r="B732" s="2" t="s">
        <v>1581</v>
      </c>
      <c r="C732" s="2" t="s">
        <v>42</v>
      </c>
      <c r="D732" s="2" t="s">
        <v>17</v>
      </c>
      <c r="E732" s="5">
        <v>-28181</v>
      </c>
      <c r="F732" s="3" t="s">
        <v>739</v>
      </c>
      <c r="G732" s="3" t="s">
        <v>31</v>
      </c>
      <c r="H732" s="2" t="s">
        <v>20</v>
      </c>
      <c r="I732" s="2" t="s">
        <v>1609</v>
      </c>
      <c r="J732" s="3" t="str">
        <f>HYPERLINK("https://www.boe.es/gazeta/dias/1822/11/03/pdfs/GMD-1822-321.pdf#page=3","Abrir facsímil")</f>
        <v>Abrir facsímil</v>
      </c>
      <c r="K732" s="3" t="s">
        <v>22</v>
      </c>
    </row>
    <row r="733" spans="1:11" ht="42" customHeight="1">
      <c r="A733" s="2" t="s">
        <v>1580</v>
      </c>
      <c r="B733" s="2" t="s">
        <v>1581</v>
      </c>
      <c r="C733" s="2" t="s">
        <v>71</v>
      </c>
      <c r="D733" s="2" t="s">
        <v>17</v>
      </c>
      <c r="E733" s="5">
        <v>-28165</v>
      </c>
      <c r="F733" s="3" t="s">
        <v>846</v>
      </c>
      <c r="G733" s="3" t="s">
        <v>35</v>
      </c>
      <c r="H733" s="2" t="s">
        <v>20</v>
      </c>
      <c r="I733" s="2" t="s">
        <v>1610</v>
      </c>
      <c r="J733" s="3" t="str">
        <f>HYPERLINK("https://www.boe.es/gazeta/dias/1822/11/19/pdfs/GMD-1822-339.pdf#page=2","Abrir facsímil")</f>
        <v>Abrir facsímil</v>
      </c>
      <c r="K733" s="3" t="s">
        <v>22</v>
      </c>
    </row>
    <row r="734" spans="1:11" ht="42" customHeight="1">
      <c r="A734" s="2" t="s">
        <v>1580</v>
      </c>
      <c r="B734" s="2" t="s">
        <v>1581</v>
      </c>
      <c r="C734" s="2" t="s">
        <v>42</v>
      </c>
      <c r="D734" s="2" t="s">
        <v>17</v>
      </c>
      <c r="E734" s="5">
        <v>-28147</v>
      </c>
      <c r="F734" s="3" t="s">
        <v>1611</v>
      </c>
      <c r="G734" s="3" t="s">
        <v>35</v>
      </c>
      <c r="H734" s="2" t="s">
        <v>20</v>
      </c>
      <c r="I734" s="2" t="s">
        <v>1612</v>
      </c>
      <c r="J734" s="3" t="str">
        <f>HYPERLINK("https://www.boe.es/gazeta/dias/1822/12/07/pdfs/GMD-1822-357.pdf#page=2","Abrir facsímil")</f>
        <v>Abrir facsímil</v>
      </c>
      <c r="K734" s="3" t="s">
        <v>22</v>
      </c>
    </row>
    <row r="735" spans="1:11" ht="42" customHeight="1">
      <c r="A735" s="2" t="s">
        <v>1580</v>
      </c>
      <c r="B735" s="2" t="s">
        <v>1581</v>
      </c>
      <c r="C735" s="2" t="s">
        <v>42</v>
      </c>
      <c r="D735" s="2" t="s">
        <v>17</v>
      </c>
      <c r="E735" s="5">
        <v>-28146</v>
      </c>
      <c r="F735" s="3" t="s">
        <v>180</v>
      </c>
      <c r="G735" s="3" t="s">
        <v>31</v>
      </c>
      <c r="H735" s="2" t="s">
        <v>20</v>
      </c>
      <c r="I735" s="2" t="s">
        <v>1613</v>
      </c>
      <c r="J735" s="3" t="str">
        <f>HYPERLINK("https://www.boe.es/gazeta/dias/1822/12/08/pdfs/GMD-1822-358.pdf#page=3","Abrir facsímil")</f>
        <v>Abrir facsímil</v>
      </c>
      <c r="K735" s="3" t="s">
        <v>22</v>
      </c>
    </row>
    <row r="736" spans="1:11" ht="42" customHeight="1">
      <c r="A736" s="2" t="s">
        <v>1614</v>
      </c>
      <c r="B736" s="2" t="s">
        <v>1615</v>
      </c>
      <c r="C736" s="2" t="s">
        <v>50</v>
      </c>
      <c r="D736" s="2" t="s">
        <v>51</v>
      </c>
      <c r="E736" s="5">
        <v>-28150</v>
      </c>
      <c r="F736" s="3" t="s">
        <v>62</v>
      </c>
      <c r="G736" s="3" t="s">
        <v>31</v>
      </c>
      <c r="H736" s="2" t="s">
        <v>20</v>
      </c>
      <c r="I736" s="2" t="s">
        <v>1616</v>
      </c>
      <c r="J736" s="3" t="str">
        <f>HYPERLINK("https://www.boe.es/gazeta/dias/1822/12/04/pdfs/GMD-1822-354.pdf#page=3","Abrir facsímil")</f>
        <v>Abrir facsímil</v>
      </c>
      <c r="K736" s="3" t="s">
        <v>22</v>
      </c>
    </row>
    <row r="737" spans="1:11" ht="42" customHeight="1">
      <c r="A737" s="2" t="s">
        <v>1617</v>
      </c>
      <c r="B737" s="2" t="s">
        <v>1618</v>
      </c>
      <c r="C737" s="2" t="s">
        <v>42</v>
      </c>
      <c r="D737" s="2" t="s">
        <v>17</v>
      </c>
      <c r="E737" s="5">
        <v>-28212</v>
      </c>
      <c r="F737" s="3" t="s">
        <v>560</v>
      </c>
      <c r="G737" s="3" t="s">
        <v>57</v>
      </c>
      <c r="H737" s="2" t="s">
        <v>20</v>
      </c>
      <c r="I737" s="2" t="s">
        <v>1619</v>
      </c>
      <c r="J737" s="3" t="str">
        <f>HYPERLINK("https://www.boe.es/gazeta/dias/1822/10/03/pdfs/GMD-1822-289.pdf#page=4","Abrir facsímil")</f>
        <v>Abrir facsímil</v>
      </c>
      <c r="K737" s="3" t="s">
        <v>22</v>
      </c>
    </row>
    <row r="738" spans="1:11" ht="42" customHeight="1">
      <c r="A738" s="2" t="s">
        <v>1620</v>
      </c>
      <c r="B738" s="2" t="s">
        <v>1621</v>
      </c>
      <c r="C738" s="2" t="s">
        <v>28</v>
      </c>
      <c r="D738" s="2" t="s">
        <v>29</v>
      </c>
      <c r="E738" s="5">
        <v>-28445</v>
      </c>
      <c r="F738" s="3" t="s">
        <v>1622</v>
      </c>
      <c r="G738" s="3" t="s">
        <v>57</v>
      </c>
      <c r="H738" s="2" t="s">
        <v>20</v>
      </c>
      <c r="I738" s="2" t="s">
        <v>1623</v>
      </c>
      <c r="J738" s="3" t="str">
        <f>HYPERLINK("https://www.boe.es/gazeta/dias/1822/02/12/pdfs/GMD-1822-43.pdf#page=4","Abrir facsímil")</f>
        <v>Abrir facsímil</v>
      </c>
      <c r="K738" s="3" t="s">
        <v>22</v>
      </c>
    </row>
    <row r="739" spans="1:11" ht="42" customHeight="1">
      <c r="A739" s="2" t="s">
        <v>1620</v>
      </c>
      <c r="B739" s="2" t="s">
        <v>1621</v>
      </c>
      <c r="C739" s="2" t="s">
        <v>50</v>
      </c>
      <c r="D739" s="2" t="s">
        <v>51</v>
      </c>
      <c r="E739" s="5">
        <v>-28440</v>
      </c>
      <c r="F739" s="3" t="s">
        <v>1307</v>
      </c>
      <c r="G739" s="3" t="s">
        <v>35</v>
      </c>
      <c r="H739" s="2" t="s">
        <v>20</v>
      </c>
      <c r="I739" s="2" t="s">
        <v>1624</v>
      </c>
      <c r="J739" s="3" t="str">
        <f>HYPERLINK("https://www.boe.es/gazeta/dias/1822/02/17/pdfs/GMD-1822-49.pdf#page=2","Abrir facsímil")</f>
        <v>Abrir facsímil</v>
      </c>
      <c r="K739" s="3" t="s">
        <v>22</v>
      </c>
    </row>
    <row r="740" spans="1:11" ht="42" customHeight="1">
      <c r="A740" s="2" t="s">
        <v>1620</v>
      </c>
      <c r="B740" s="2" t="s">
        <v>1621</v>
      </c>
      <c r="C740" s="2" t="s">
        <v>50</v>
      </c>
      <c r="D740" s="2" t="s">
        <v>51</v>
      </c>
      <c r="E740" s="5">
        <v>-28155</v>
      </c>
      <c r="F740" s="3" t="s">
        <v>833</v>
      </c>
      <c r="G740" s="3" t="s">
        <v>63</v>
      </c>
      <c r="H740" s="2" t="s">
        <v>20</v>
      </c>
      <c r="I740" s="2" t="s">
        <v>1625</v>
      </c>
      <c r="J740" s="3" t="str">
        <f>HYPERLINK("https://www.boe.es/gazeta/dias/1822/11/29/pdfs/GMD-1822-349.pdf#page=6","Abrir facsímil")</f>
        <v>Abrir facsímil</v>
      </c>
      <c r="K740" s="3" t="s">
        <v>22</v>
      </c>
    </row>
    <row r="741" spans="1:11" ht="42" customHeight="1">
      <c r="A741" s="2" t="s">
        <v>1626</v>
      </c>
      <c r="B741" s="2" t="s">
        <v>1627</v>
      </c>
      <c r="C741" s="2" t="s">
        <v>50</v>
      </c>
      <c r="D741" s="2" t="s">
        <v>51</v>
      </c>
      <c r="E741" s="5">
        <v>-28417</v>
      </c>
      <c r="F741" s="3" t="s">
        <v>1394</v>
      </c>
      <c r="G741" s="3" t="s">
        <v>31</v>
      </c>
      <c r="H741" s="2" t="s">
        <v>20</v>
      </c>
      <c r="I741" s="2" t="s">
        <v>1628</v>
      </c>
      <c r="J741" s="3" t="str">
        <f>HYPERLINK("https://www.boe.es/gazeta/dias/1822/03/12/pdfs/GMD-1822-73.pdf#page=3","Abrir facsímil")</f>
        <v>Abrir facsímil</v>
      </c>
      <c r="K741" s="3" t="s">
        <v>22</v>
      </c>
    </row>
    <row r="742" spans="1:11" ht="42" customHeight="1">
      <c r="A742" s="2" t="s">
        <v>1629</v>
      </c>
      <c r="B742" s="2" t="s">
        <v>1630</v>
      </c>
      <c r="C742" s="2" t="s">
        <v>50</v>
      </c>
      <c r="D742" s="2" t="s">
        <v>51</v>
      </c>
      <c r="E742" s="5">
        <v>-28265</v>
      </c>
      <c r="F742" s="3" t="s">
        <v>1263</v>
      </c>
      <c r="G742" s="3" t="s">
        <v>57</v>
      </c>
      <c r="H742" s="2" t="s">
        <v>20</v>
      </c>
      <c r="I742" s="2" t="s">
        <v>1631</v>
      </c>
      <c r="J742" s="3" t="str">
        <f>HYPERLINK("https://www.boe.es/gazeta/dias/1822/08/11/pdfs/GMD-1822-235.pdf#page=4","Abrir facsímil")</f>
        <v>Abrir facsímil</v>
      </c>
      <c r="K742" s="3" t="s">
        <v>22</v>
      </c>
    </row>
    <row r="743" spans="1:11" ht="42" customHeight="1">
      <c r="A743" s="2" t="s">
        <v>1632</v>
      </c>
      <c r="B743" s="2" t="s">
        <v>1633</v>
      </c>
      <c r="C743" s="2" t="s">
        <v>50</v>
      </c>
      <c r="D743" s="2" t="s">
        <v>51</v>
      </c>
      <c r="E743" s="5">
        <v>-28340</v>
      </c>
      <c r="F743" s="3" t="s">
        <v>139</v>
      </c>
      <c r="G743" s="3" t="s">
        <v>35</v>
      </c>
      <c r="H743" s="2" t="s">
        <v>20</v>
      </c>
      <c r="I743" s="2" t="s">
        <v>1634</v>
      </c>
      <c r="J743" s="3" t="str">
        <f>HYPERLINK("https://www.boe.es/gazeta/dias/1822/05/28/pdfs/GMD-1822-153.pdf#page=2","Abrir facsímil")</f>
        <v>Abrir facsímil</v>
      </c>
      <c r="K743" s="3" t="s">
        <v>22</v>
      </c>
    </row>
    <row r="744" spans="1:11" ht="42" customHeight="1">
      <c r="A744" s="2" t="s">
        <v>1635</v>
      </c>
      <c r="B744" s="2" t="s">
        <v>1636</v>
      </c>
      <c r="C744" s="2" t="s">
        <v>50</v>
      </c>
      <c r="D744" s="2" t="s">
        <v>51</v>
      </c>
      <c r="E744" s="5">
        <v>-28270</v>
      </c>
      <c r="F744" s="3" t="s">
        <v>130</v>
      </c>
      <c r="G744" s="3" t="s">
        <v>131</v>
      </c>
      <c r="H744" s="2" t="s">
        <v>20</v>
      </c>
      <c r="I744" s="2" t="s">
        <v>1637</v>
      </c>
      <c r="J744" s="3" t="str">
        <f>HYPERLINK("https://www.boe.es/gazeta/dias/1822/08/06/pdfs/GMD-1822-230.pdf#page=6","Abrir facsímil")</f>
        <v>Abrir facsímil</v>
      </c>
      <c r="K744" s="3" t="s">
        <v>22</v>
      </c>
    </row>
    <row r="745" spans="1:11" ht="42" customHeight="1">
      <c r="A745" s="2" t="s">
        <v>1638</v>
      </c>
      <c r="B745" s="2" t="s">
        <v>1639</v>
      </c>
      <c r="C745" s="2" t="s">
        <v>42</v>
      </c>
      <c r="D745" s="2" t="s">
        <v>17</v>
      </c>
      <c r="E745" s="5">
        <v>-28378</v>
      </c>
      <c r="F745" s="3" t="s">
        <v>496</v>
      </c>
      <c r="G745" s="3" t="s">
        <v>57</v>
      </c>
      <c r="H745" s="2" t="s">
        <v>20</v>
      </c>
      <c r="I745" s="2" t="s">
        <v>1640</v>
      </c>
      <c r="J745" s="3" t="str">
        <f>HYPERLINK("https://www.boe.es/gazeta/dias/1822/04/20/pdfs/GMD-1822-112.pdf#page=4","Abrir facsímil")</f>
        <v>Abrir facsímil</v>
      </c>
      <c r="K745" s="3" t="s">
        <v>22</v>
      </c>
    </row>
    <row r="746" spans="1:11" ht="42" customHeight="1">
      <c r="A746" s="2" t="s">
        <v>1638</v>
      </c>
      <c r="B746" s="2" t="s">
        <v>1639</v>
      </c>
      <c r="C746" s="2" t="s">
        <v>42</v>
      </c>
      <c r="D746" s="2" t="s">
        <v>17</v>
      </c>
      <c r="E746" s="5">
        <v>-28364</v>
      </c>
      <c r="F746" s="3" t="s">
        <v>509</v>
      </c>
      <c r="G746" s="3" t="s">
        <v>63</v>
      </c>
      <c r="H746" s="2" t="s">
        <v>20</v>
      </c>
      <c r="I746" s="2" t="s">
        <v>1641</v>
      </c>
      <c r="J746" s="3" t="str">
        <f>HYPERLINK("https://www.boe.es/gazeta/dias/1822/05/04/pdfs/GMD-1822-126.pdf#page=6","Abrir facsímil")</f>
        <v>Abrir facsímil</v>
      </c>
      <c r="K746" s="3" t="s">
        <v>22</v>
      </c>
    </row>
    <row r="747" spans="1:11" ht="42" customHeight="1">
      <c r="A747" s="2" t="s">
        <v>1638</v>
      </c>
      <c r="B747" s="2" t="s">
        <v>1639</v>
      </c>
      <c r="C747" s="2" t="s">
        <v>50</v>
      </c>
      <c r="D747" s="2" t="s">
        <v>51</v>
      </c>
      <c r="E747" s="5">
        <v>-28287</v>
      </c>
      <c r="F747" s="3" t="s">
        <v>1295</v>
      </c>
      <c r="G747" s="3" t="s">
        <v>63</v>
      </c>
      <c r="H747" s="2" t="s">
        <v>20</v>
      </c>
      <c r="I747" s="2" t="s">
        <v>1642</v>
      </c>
      <c r="J747" s="3" t="str">
        <f>HYPERLINK("https://www.boe.es/gazeta/dias/1822/07/20/pdfs/GMD-1822-212.pdf#page=6","Abrir facsímil")</f>
        <v>Abrir facsímil</v>
      </c>
      <c r="K747" s="3" t="s">
        <v>22</v>
      </c>
    </row>
    <row r="748" spans="1:11" ht="42" customHeight="1">
      <c r="A748" s="2" t="s">
        <v>1638</v>
      </c>
      <c r="B748" s="2" t="s">
        <v>1639</v>
      </c>
      <c r="C748" s="2" t="s">
        <v>24</v>
      </c>
      <c r="D748" s="2" t="s">
        <v>17</v>
      </c>
      <c r="E748" s="5">
        <v>-28267</v>
      </c>
      <c r="F748" s="3" t="s">
        <v>1270</v>
      </c>
      <c r="G748" s="3" t="s">
        <v>57</v>
      </c>
      <c r="H748" s="2" t="s">
        <v>20</v>
      </c>
      <c r="I748" s="2" t="s">
        <v>1643</v>
      </c>
      <c r="J748" s="3" t="str">
        <f>HYPERLINK("https://www.boe.es/gazeta/dias/1822/08/09/pdfs/GMD-1822-233.pdf#page=4","Abrir facsímil")</f>
        <v>Abrir facsímil</v>
      </c>
      <c r="K748" s="3" t="s">
        <v>22</v>
      </c>
    </row>
    <row r="749" spans="1:11" ht="42" customHeight="1">
      <c r="A749" s="2" t="s">
        <v>1638</v>
      </c>
      <c r="B749" s="2" t="s">
        <v>1639</v>
      </c>
      <c r="C749" s="2" t="s">
        <v>71</v>
      </c>
      <c r="D749" s="2" t="s">
        <v>17</v>
      </c>
      <c r="E749" s="5">
        <v>-28208</v>
      </c>
      <c r="F749" s="3" t="s">
        <v>230</v>
      </c>
      <c r="G749" s="3" t="s">
        <v>57</v>
      </c>
      <c r="H749" s="2" t="s">
        <v>20</v>
      </c>
      <c r="I749" s="2" t="s">
        <v>1644</v>
      </c>
      <c r="J749" s="3" t="str">
        <f>HYPERLINK("https://www.boe.es/gazeta/dias/1822/10/07/pdfs/GMD-1822-293.pdf#page=4","Abrir facsímil")</f>
        <v>Abrir facsímil</v>
      </c>
      <c r="K749" s="3" t="s">
        <v>22</v>
      </c>
    </row>
    <row r="750" spans="1:11" ht="42" customHeight="1">
      <c r="A750" s="2" t="s">
        <v>1645</v>
      </c>
      <c r="B750" s="2" t="s">
        <v>1646</v>
      </c>
      <c r="C750" s="2" t="s">
        <v>28</v>
      </c>
      <c r="D750" s="2" t="s">
        <v>29</v>
      </c>
      <c r="E750" s="5">
        <v>-28379</v>
      </c>
      <c r="F750" s="3" t="s">
        <v>494</v>
      </c>
      <c r="G750" s="3" t="s">
        <v>63</v>
      </c>
      <c r="H750" s="2" t="s">
        <v>20</v>
      </c>
      <c r="I750" s="2" t="s">
        <v>1647</v>
      </c>
      <c r="J750" s="3" t="str">
        <f>HYPERLINK("https://www.boe.es/gazeta/dias/1822/04/19/pdfs/GMD-1822-111.pdf#page=6","Abrir facsímil")</f>
        <v>Abrir facsímil</v>
      </c>
      <c r="K750" s="3" t="s">
        <v>22</v>
      </c>
    </row>
    <row r="751" spans="1:11" ht="42" customHeight="1">
      <c r="A751" s="2" t="s">
        <v>1648</v>
      </c>
      <c r="B751" s="2" t="s">
        <v>1649</v>
      </c>
      <c r="C751" s="2" t="s">
        <v>24</v>
      </c>
      <c r="D751" s="2" t="s">
        <v>17</v>
      </c>
      <c r="E751" s="5">
        <v>-28379</v>
      </c>
      <c r="F751" s="3" t="s">
        <v>494</v>
      </c>
      <c r="G751" s="3" t="s">
        <v>63</v>
      </c>
      <c r="H751" s="2" t="s">
        <v>20</v>
      </c>
      <c r="I751" s="2" t="s">
        <v>1650</v>
      </c>
      <c r="J751" s="3" t="str">
        <f>HYPERLINK("https://www.boe.es/gazeta/dias/1822/04/19/pdfs/GMD-1822-111.pdf#page=6","Abrir facsímil")</f>
        <v>Abrir facsímil</v>
      </c>
      <c r="K751" s="3" t="s">
        <v>22</v>
      </c>
    </row>
    <row r="752" spans="1:11" ht="42" customHeight="1">
      <c r="A752" s="2" t="s">
        <v>1651</v>
      </c>
      <c r="B752" s="2" t="s">
        <v>1651</v>
      </c>
      <c r="C752" s="2" t="s">
        <v>61</v>
      </c>
      <c r="D752" s="2" t="s">
        <v>17</v>
      </c>
      <c r="E752" s="5">
        <v>-28146</v>
      </c>
      <c r="F752" s="3" t="s">
        <v>180</v>
      </c>
      <c r="G752" s="3" t="s">
        <v>57</v>
      </c>
      <c r="H752" s="2" t="s">
        <v>20</v>
      </c>
      <c r="I752" s="2" t="s">
        <v>1652</v>
      </c>
      <c r="J752" s="3" t="str">
        <f>HYPERLINK("https://www.boe.es/gazeta/dias/1822/12/08/pdfs/GMD-1822-358.pdf#page=4","Abrir facsímil")</f>
        <v>Abrir facsímil</v>
      </c>
      <c r="K752" s="3" t="s">
        <v>22</v>
      </c>
    </row>
    <row r="753" spans="1:11" ht="42" customHeight="1">
      <c r="A753" s="2" t="s">
        <v>1653</v>
      </c>
      <c r="B753" s="2" t="s">
        <v>1654</v>
      </c>
      <c r="C753" s="2" t="s">
        <v>28</v>
      </c>
      <c r="D753" s="2" t="s">
        <v>29</v>
      </c>
      <c r="E753" s="5">
        <v>-28457</v>
      </c>
      <c r="F753" s="3" t="s">
        <v>1655</v>
      </c>
      <c r="G753" s="3" t="s">
        <v>57</v>
      </c>
      <c r="H753" s="2" t="s">
        <v>20</v>
      </c>
      <c r="I753" s="2" t="s">
        <v>1656</v>
      </c>
      <c r="J753" s="3" t="str">
        <f>HYPERLINK("https://www.boe.es/gazeta/dias/1822/01/31/pdfs/GMD-1822-31.pdf#page=4","Abrir facsímil")</f>
        <v>Abrir facsímil</v>
      </c>
      <c r="K753" s="3" t="s">
        <v>22</v>
      </c>
    </row>
    <row r="754" spans="1:11" ht="42" customHeight="1">
      <c r="A754" s="2" t="s">
        <v>1657</v>
      </c>
      <c r="B754" s="2" t="s">
        <v>1658</v>
      </c>
      <c r="C754" s="2" t="s">
        <v>28</v>
      </c>
      <c r="D754" s="2" t="s">
        <v>29</v>
      </c>
      <c r="E754" s="5">
        <v>-28423</v>
      </c>
      <c r="F754" s="3" t="s">
        <v>441</v>
      </c>
      <c r="G754" s="3" t="s">
        <v>19</v>
      </c>
      <c r="H754" s="2" t="s">
        <v>20</v>
      </c>
      <c r="I754" s="2" t="s">
        <v>1659</v>
      </c>
      <c r="J754" s="3" t="str">
        <f>HYPERLINK("https://www.boe.es/gazeta/dias/1822/03/06/pdfs/GMD-1822-67.pdf#page=5","Abrir facsímil")</f>
        <v>Abrir facsímil</v>
      </c>
      <c r="K754" s="3" t="s">
        <v>22</v>
      </c>
    </row>
    <row r="755" spans="1:11" ht="42" customHeight="1">
      <c r="A755" s="2" t="s">
        <v>1660</v>
      </c>
      <c r="B755" s="2" t="s">
        <v>1661</v>
      </c>
      <c r="C755" s="2" t="s">
        <v>50</v>
      </c>
      <c r="D755" s="2" t="s">
        <v>51</v>
      </c>
      <c r="E755" s="5">
        <v>-28339</v>
      </c>
      <c r="F755" s="3" t="s">
        <v>197</v>
      </c>
      <c r="G755" s="3" t="s">
        <v>63</v>
      </c>
      <c r="H755" s="2" t="s">
        <v>20</v>
      </c>
      <c r="I755" s="2" t="s">
        <v>1662</v>
      </c>
      <c r="J755" s="3" t="str">
        <f>HYPERLINK("https://www.boe.es/gazeta/dias/1822/05/29/pdfs/GMD-1822-154.pdf#page=6","Abrir facsímil")</f>
        <v>Abrir facsímil</v>
      </c>
      <c r="K755" s="3" t="s">
        <v>22</v>
      </c>
    </row>
    <row r="756" spans="1:11" ht="42" customHeight="1">
      <c r="A756" s="2" t="s">
        <v>1663</v>
      </c>
      <c r="B756" s="2" t="s">
        <v>1664</v>
      </c>
      <c r="C756" s="2" t="s">
        <v>42</v>
      </c>
      <c r="D756" s="2" t="s">
        <v>17</v>
      </c>
      <c r="E756" s="5">
        <v>-28483</v>
      </c>
      <c r="F756" s="3" t="s">
        <v>254</v>
      </c>
      <c r="G756" s="3" t="s">
        <v>57</v>
      </c>
      <c r="H756" s="2" t="s">
        <v>20</v>
      </c>
      <c r="I756" s="2" t="s">
        <v>1665</v>
      </c>
      <c r="J756" s="3" t="str">
        <f>HYPERLINK("https://www.boe.es/gazeta/dias/1822/01/05/pdfs/GMD-1822-5.pdf#page=4","Abrir facsímil")</f>
        <v>Abrir facsímil</v>
      </c>
      <c r="K756" s="3" t="s">
        <v>22</v>
      </c>
    </row>
    <row r="757" spans="1:11" ht="42" customHeight="1">
      <c r="A757" s="2" t="s">
        <v>1666</v>
      </c>
      <c r="B757" s="2" t="s">
        <v>1667</v>
      </c>
      <c r="C757" s="2" t="s">
        <v>16</v>
      </c>
      <c r="D757" s="2" t="s">
        <v>17</v>
      </c>
      <c r="E757" s="5">
        <v>-28477</v>
      </c>
      <c r="F757" s="3" t="s">
        <v>1668</v>
      </c>
      <c r="G757" s="3" t="s">
        <v>19</v>
      </c>
      <c r="H757" s="2" t="s">
        <v>20</v>
      </c>
      <c r="I757" s="2" t="s">
        <v>1669</v>
      </c>
      <c r="J757" s="3" t="str">
        <f>HYPERLINK("https://www.boe.es/gazeta/dias/1822/01/11/pdfs/GMD-1822-11.pdf#page=5","Abrir facsímil")</f>
        <v>Abrir facsímil</v>
      </c>
      <c r="K757" s="3" t="s">
        <v>22</v>
      </c>
    </row>
    <row r="758" spans="1:11" ht="42" customHeight="1">
      <c r="A758" s="2" t="s">
        <v>1666</v>
      </c>
      <c r="B758" s="2" t="s">
        <v>1667</v>
      </c>
      <c r="C758" s="2" t="s">
        <v>16</v>
      </c>
      <c r="D758" s="2" t="s">
        <v>17</v>
      </c>
      <c r="E758" s="5">
        <v>-28448</v>
      </c>
      <c r="F758" s="3" t="s">
        <v>1670</v>
      </c>
      <c r="G758" s="3" t="s">
        <v>31</v>
      </c>
      <c r="H758" s="2" t="s">
        <v>20</v>
      </c>
      <c r="I758" s="2" t="s">
        <v>1671</v>
      </c>
      <c r="J758" s="3" t="str">
        <f>HYPERLINK("https://www.boe.es/gazeta/dias/1822/02/09/pdfs/GMD-1822-40.pdf#page=3","Abrir facsímil")</f>
        <v>Abrir facsímil</v>
      </c>
      <c r="K758" s="3" t="s">
        <v>22</v>
      </c>
    </row>
    <row r="759" spans="1:11" ht="42" customHeight="1">
      <c r="A759" s="2" t="s">
        <v>1672</v>
      </c>
      <c r="B759" s="2" t="s">
        <v>1673</v>
      </c>
      <c r="C759" s="2" t="s">
        <v>28</v>
      </c>
      <c r="D759" s="2" t="s">
        <v>29</v>
      </c>
      <c r="E759" s="5">
        <v>-28451</v>
      </c>
      <c r="F759" s="3" t="s">
        <v>1674</v>
      </c>
      <c r="G759" s="3" t="s">
        <v>57</v>
      </c>
      <c r="H759" s="2" t="s">
        <v>20</v>
      </c>
      <c r="I759" s="2" t="s">
        <v>1675</v>
      </c>
      <c r="J759" s="3" t="str">
        <f>HYPERLINK("https://www.boe.es/gazeta/dias/1822/02/06/pdfs/GMD-1822-37.pdf#page=4","Abrir facsímil")</f>
        <v>Abrir facsímil</v>
      </c>
      <c r="K759" s="3" t="s">
        <v>22</v>
      </c>
    </row>
    <row r="760" spans="1:11" ht="42" customHeight="1">
      <c r="A760" s="2" t="s">
        <v>1676</v>
      </c>
      <c r="B760" s="2" t="s">
        <v>1677</v>
      </c>
      <c r="C760" s="2" t="s">
        <v>28</v>
      </c>
      <c r="D760" s="2" t="s">
        <v>29</v>
      </c>
      <c r="E760" s="5">
        <v>-28445</v>
      </c>
      <c r="F760" s="3" t="s">
        <v>1622</v>
      </c>
      <c r="G760" s="3" t="s">
        <v>35</v>
      </c>
      <c r="H760" s="2" t="s">
        <v>20</v>
      </c>
      <c r="I760" s="2" t="s">
        <v>1678</v>
      </c>
      <c r="J760" s="3" t="str">
        <f>HYPERLINK("https://www.boe.es/gazeta/dias/1822/02/12/pdfs/GMD-1822-43.pdf#page=2","Abrir facsímil")</f>
        <v>Abrir facsímil</v>
      </c>
      <c r="K760" s="3" t="s">
        <v>22</v>
      </c>
    </row>
    <row r="761" spans="1:11" ht="42" customHeight="1">
      <c r="A761" s="2" t="s">
        <v>1679</v>
      </c>
      <c r="B761" s="2" t="s">
        <v>1680</v>
      </c>
      <c r="C761" s="2" t="s">
        <v>71</v>
      </c>
      <c r="D761" s="2" t="s">
        <v>17</v>
      </c>
      <c r="E761" s="5">
        <v>-28444</v>
      </c>
      <c r="F761" s="3" t="s">
        <v>681</v>
      </c>
      <c r="G761" s="3" t="s">
        <v>57</v>
      </c>
      <c r="H761" s="2" t="s">
        <v>20</v>
      </c>
      <c r="I761" s="2" t="s">
        <v>1681</v>
      </c>
      <c r="J761" s="3" t="str">
        <f>HYPERLINK("https://www.boe.es/gazeta/dias/1822/02/13/pdfs/GMD-1822-44.pdf#page=4","Abrir facsímil")</f>
        <v>Abrir facsímil</v>
      </c>
      <c r="K761" s="3" t="s">
        <v>22</v>
      </c>
    </row>
    <row r="762" spans="1:11" ht="42" customHeight="1">
      <c r="A762" s="2" t="s">
        <v>1682</v>
      </c>
      <c r="B762" s="2" t="s">
        <v>1683</v>
      </c>
      <c r="C762" s="2" t="s">
        <v>28</v>
      </c>
      <c r="D762" s="2" t="s">
        <v>29</v>
      </c>
      <c r="E762" s="5">
        <v>-28483</v>
      </c>
      <c r="F762" s="3" t="s">
        <v>254</v>
      </c>
      <c r="G762" s="3" t="s">
        <v>31</v>
      </c>
      <c r="H762" s="2" t="s">
        <v>20</v>
      </c>
      <c r="I762" s="2" t="s">
        <v>1684</v>
      </c>
      <c r="J762" s="3" t="str">
        <f>HYPERLINK("https://www.boe.es/gazeta/dias/1822/01/05/pdfs/GMD-1822-5.pdf#page=3","Abrir facsímil")</f>
        <v>Abrir facsímil</v>
      </c>
      <c r="K762" s="3" t="s">
        <v>22</v>
      </c>
    </row>
    <row r="763" spans="1:11" ht="42" customHeight="1">
      <c r="A763" s="2" t="s">
        <v>1682</v>
      </c>
      <c r="B763" s="2" t="s">
        <v>1683</v>
      </c>
      <c r="C763" s="2" t="s">
        <v>42</v>
      </c>
      <c r="D763" s="2" t="s">
        <v>17</v>
      </c>
      <c r="E763" s="5">
        <v>-28475</v>
      </c>
      <c r="F763" s="3" t="s">
        <v>1205</v>
      </c>
      <c r="G763" s="3" t="s">
        <v>1685</v>
      </c>
      <c r="H763" s="2" t="s">
        <v>20</v>
      </c>
      <c r="I763" s="2" t="s">
        <v>1686</v>
      </c>
      <c r="J763" s="3" t="str">
        <f>HYPERLINK("https://www.boe.es/gazeta/dias/1822/01/13/pdfs/GMD-1822-13.pdf#page=4","Abrir facsímil")</f>
        <v>Abrir facsímil</v>
      </c>
      <c r="K763" s="3" t="s">
        <v>22</v>
      </c>
    </row>
    <row r="764" spans="1:11" ht="42" customHeight="1">
      <c r="A764" s="2" t="s">
        <v>1682</v>
      </c>
      <c r="B764" s="2" t="s">
        <v>1683</v>
      </c>
      <c r="C764" s="2" t="s">
        <v>71</v>
      </c>
      <c r="D764" s="2" t="s">
        <v>17</v>
      </c>
      <c r="E764" s="5">
        <v>-28456</v>
      </c>
      <c r="F764" s="3" t="s">
        <v>1104</v>
      </c>
      <c r="G764" s="3" t="s">
        <v>31</v>
      </c>
      <c r="H764" s="2" t="s">
        <v>20</v>
      </c>
      <c r="I764" s="2" t="s">
        <v>1687</v>
      </c>
      <c r="J764" s="3" t="str">
        <f>HYPERLINK("https://www.boe.es/gazeta/dias/1822/02/01/pdfs/GMD-1822-32.pdf#page=3","Abrir facsímil")</f>
        <v>Abrir facsímil</v>
      </c>
      <c r="K764" s="3" t="s">
        <v>22</v>
      </c>
    </row>
    <row r="765" spans="1:11" ht="42" customHeight="1">
      <c r="A765" s="2" t="s">
        <v>1682</v>
      </c>
      <c r="B765" s="2" t="s">
        <v>1683</v>
      </c>
      <c r="C765" s="2" t="s">
        <v>28</v>
      </c>
      <c r="D765" s="2" t="s">
        <v>29</v>
      </c>
      <c r="E765" s="5">
        <v>-28451</v>
      </c>
      <c r="F765" s="3" t="s">
        <v>1674</v>
      </c>
      <c r="G765" s="3" t="s">
        <v>19</v>
      </c>
      <c r="H765" s="2" t="s">
        <v>20</v>
      </c>
      <c r="I765" s="2" t="s">
        <v>1688</v>
      </c>
      <c r="J765" s="3" t="str">
        <f>HYPERLINK("https://www.boe.es/gazeta/dias/1822/02/06/pdfs/GMD-1822-37.pdf#page=5","Abrir facsímil")</f>
        <v>Abrir facsímil</v>
      </c>
      <c r="K765" s="3" t="s">
        <v>22</v>
      </c>
    </row>
    <row r="766" spans="1:11" ht="42" customHeight="1">
      <c r="A766" s="2" t="s">
        <v>1682</v>
      </c>
      <c r="B766" s="2" t="s">
        <v>1683</v>
      </c>
      <c r="C766" s="2" t="s">
        <v>50</v>
      </c>
      <c r="D766" s="2" t="s">
        <v>51</v>
      </c>
      <c r="E766" s="5">
        <v>-28450</v>
      </c>
      <c r="F766" s="3" t="s">
        <v>1450</v>
      </c>
      <c r="G766" s="3" t="s">
        <v>35</v>
      </c>
      <c r="H766" s="2" t="s">
        <v>20</v>
      </c>
      <c r="I766" s="2" t="s">
        <v>1689</v>
      </c>
      <c r="J766" s="3" t="str">
        <f>HYPERLINK("https://www.boe.es/gazeta/dias/1822/02/07/pdfs/GMD-1822-38.pdf#page=2","Abrir facsímil")</f>
        <v>Abrir facsímil</v>
      </c>
      <c r="K766" s="3" t="s">
        <v>22</v>
      </c>
    </row>
    <row r="767" spans="1:11" ht="42" customHeight="1">
      <c r="A767" s="2" t="s">
        <v>1682</v>
      </c>
      <c r="B767" s="2" t="s">
        <v>1683</v>
      </c>
      <c r="C767" s="2" t="s">
        <v>42</v>
      </c>
      <c r="D767" s="2" t="s">
        <v>17</v>
      </c>
      <c r="E767" s="5">
        <v>-28449</v>
      </c>
      <c r="F767" s="3" t="s">
        <v>1342</v>
      </c>
      <c r="G767" s="3" t="s">
        <v>35</v>
      </c>
      <c r="H767" s="2" t="s">
        <v>20</v>
      </c>
      <c r="I767" s="2" t="s">
        <v>1690</v>
      </c>
      <c r="J767" s="3" t="str">
        <f>HYPERLINK("https://www.boe.es/gazeta/dias/1822/02/08/pdfs/GMD-1822-39.pdf#page=2","Abrir facsímil")</f>
        <v>Abrir facsímil</v>
      </c>
      <c r="K767" s="3" t="s">
        <v>22</v>
      </c>
    </row>
    <row r="768" spans="1:11" ht="42" customHeight="1">
      <c r="A768" s="2" t="s">
        <v>1682</v>
      </c>
      <c r="B768" s="2" t="s">
        <v>1683</v>
      </c>
      <c r="C768" s="2" t="s">
        <v>42</v>
      </c>
      <c r="D768" s="2" t="s">
        <v>17</v>
      </c>
      <c r="E768" s="5">
        <v>-28449</v>
      </c>
      <c r="F768" s="3" t="s">
        <v>1342</v>
      </c>
      <c r="G768" s="3" t="s">
        <v>31</v>
      </c>
      <c r="H768" s="2" t="s">
        <v>20</v>
      </c>
      <c r="I768" s="2" t="s">
        <v>1691</v>
      </c>
      <c r="J768" s="3" t="str">
        <f>HYPERLINK("https://www.boe.es/gazeta/dias/1822/02/08/pdfs/GMD-1822-39.pdf#page=3","Abrir facsímil")</f>
        <v>Abrir facsímil</v>
      </c>
      <c r="K768" s="3" t="s">
        <v>22</v>
      </c>
    </row>
    <row r="769" spans="1:11" ht="42" customHeight="1">
      <c r="A769" s="2" t="s">
        <v>1682</v>
      </c>
      <c r="B769" s="2" t="s">
        <v>1683</v>
      </c>
      <c r="C769" s="2" t="s">
        <v>71</v>
      </c>
      <c r="D769" s="2" t="s">
        <v>17</v>
      </c>
      <c r="E769" s="5">
        <v>-28449</v>
      </c>
      <c r="F769" s="3" t="s">
        <v>1342</v>
      </c>
      <c r="G769" s="3" t="s">
        <v>57</v>
      </c>
      <c r="H769" s="2" t="s">
        <v>20</v>
      </c>
      <c r="I769" s="2" t="s">
        <v>1692</v>
      </c>
      <c r="J769" s="3" t="str">
        <f>HYPERLINK("https://www.boe.es/gazeta/dias/1822/02/08/pdfs/GMD-1822-39.pdf#page=4","Abrir facsímil")</f>
        <v>Abrir facsímil</v>
      </c>
      <c r="K769" s="3" t="s">
        <v>22</v>
      </c>
    </row>
    <row r="770" spans="1:11" ht="42" customHeight="1">
      <c r="A770" s="2" t="s">
        <v>1682</v>
      </c>
      <c r="B770" s="2" t="s">
        <v>1683</v>
      </c>
      <c r="C770" s="2" t="s">
        <v>71</v>
      </c>
      <c r="D770" s="2" t="s">
        <v>17</v>
      </c>
      <c r="E770" s="5">
        <v>-28446</v>
      </c>
      <c r="F770" s="3" t="s">
        <v>773</v>
      </c>
      <c r="G770" s="3" t="s">
        <v>57</v>
      </c>
      <c r="H770" s="2" t="s">
        <v>20</v>
      </c>
      <c r="I770" s="2" t="s">
        <v>1693</v>
      </c>
      <c r="J770" s="3" t="str">
        <f>HYPERLINK("https://www.boe.es/gazeta/dias/1822/02/11/pdfs/GMD-1822-42.pdf#page=4","Abrir facsímil")</f>
        <v>Abrir facsímil</v>
      </c>
      <c r="K770" s="3" t="s">
        <v>22</v>
      </c>
    </row>
    <row r="771" spans="1:11" ht="42" customHeight="1">
      <c r="A771" s="2" t="s">
        <v>1682</v>
      </c>
      <c r="B771" s="2" t="s">
        <v>1683</v>
      </c>
      <c r="C771" s="2" t="s">
        <v>28</v>
      </c>
      <c r="D771" s="2" t="s">
        <v>29</v>
      </c>
      <c r="E771" s="5">
        <v>-28445</v>
      </c>
      <c r="F771" s="3" t="s">
        <v>1622</v>
      </c>
      <c r="G771" s="3" t="s">
        <v>31</v>
      </c>
      <c r="H771" s="2" t="s">
        <v>20</v>
      </c>
      <c r="I771" s="2" t="s">
        <v>1694</v>
      </c>
      <c r="J771" s="3" t="str">
        <f>HYPERLINK("https://www.boe.es/gazeta/dias/1822/02/12/pdfs/GMD-1822-43.pdf#page=3","Abrir facsímil")</f>
        <v>Abrir facsímil</v>
      </c>
      <c r="K771" s="3" t="s">
        <v>22</v>
      </c>
    </row>
    <row r="772" spans="1:11" ht="42" customHeight="1">
      <c r="A772" s="2" t="s">
        <v>1682</v>
      </c>
      <c r="B772" s="2" t="s">
        <v>1683</v>
      </c>
      <c r="C772" s="2" t="s">
        <v>71</v>
      </c>
      <c r="D772" s="2" t="s">
        <v>17</v>
      </c>
      <c r="E772" s="5">
        <v>-28443</v>
      </c>
      <c r="F772" s="3" t="s">
        <v>668</v>
      </c>
      <c r="G772" s="3" t="s">
        <v>35</v>
      </c>
      <c r="H772" s="2" t="s">
        <v>20</v>
      </c>
      <c r="I772" s="2" t="s">
        <v>1695</v>
      </c>
      <c r="J772" s="3" t="str">
        <f>HYPERLINK("https://www.boe.es/gazeta/dias/1822/02/14/pdfs/GMD-1822-45.pdf#page=2","Abrir facsímil")</f>
        <v>Abrir facsímil</v>
      </c>
      <c r="K772" s="3" t="s">
        <v>22</v>
      </c>
    </row>
    <row r="773" spans="1:11" ht="42" customHeight="1">
      <c r="A773" s="2" t="s">
        <v>1682</v>
      </c>
      <c r="B773" s="2" t="s">
        <v>1683</v>
      </c>
      <c r="C773" s="2" t="s">
        <v>16</v>
      </c>
      <c r="D773" s="2" t="s">
        <v>17</v>
      </c>
      <c r="E773" s="5">
        <v>-28436</v>
      </c>
      <c r="F773" s="3" t="s">
        <v>431</v>
      </c>
      <c r="G773" s="3" t="s">
        <v>57</v>
      </c>
      <c r="H773" s="2" t="s">
        <v>20</v>
      </c>
      <c r="I773" s="2" t="s">
        <v>1696</v>
      </c>
      <c r="J773" s="3" t="str">
        <f>HYPERLINK("https://www.boe.es/gazeta/dias/1822/02/21/pdfs/GMD-1822-53.pdf#page=4","Abrir facsímil")</f>
        <v>Abrir facsímil</v>
      </c>
      <c r="K773" s="3" t="s">
        <v>22</v>
      </c>
    </row>
    <row r="774" spans="1:11" ht="42" customHeight="1">
      <c r="A774" s="2" t="s">
        <v>1682</v>
      </c>
      <c r="B774" s="2" t="s">
        <v>1683</v>
      </c>
      <c r="C774" s="2" t="s">
        <v>71</v>
      </c>
      <c r="D774" s="2" t="s">
        <v>17</v>
      </c>
      <c r="E774" s="5">
        <v>-28420</v>
      </c>
      <c r="F774" s="3" t="s">
        <v>449</v>
      </c>
      <c r="G774" s="3" t="s">
        <v>31</v>
      </c>
      <c r="H774" s="2" t="s">
        <v>20</v>
      </c>
      <c r="I774" s="2" t="s">
        <v>1697</v>
      </c>
      <c r="J774" s="3" t="str">
        <f>HYPERLINK("https://www.boe.es/gazeta/dias/1822/03/09/pdfs/GMD-1822-70.pdf#page=3","Abrir facsímil")</f>
        <v>Abrir facsímil</v>
      </c>
      <c r="K774" s="3" t="s">
        <v>22</v>
      </c>
    </row>
    <row r="775" spans="1:11" ht="42" customHeight="1">
      <c r="A775" s="2" t="s">
        <v>1698</v>
      </c>
      <c r="B775" s="2" t="s">
        <v>1699</v>
      </c>
      <c r="C775" s="2" t="s">
        <v>50</v>
      </c>
      <c r="D775" s="2" t="s">
        <v>51</v>
      </c>
      <c r="E775" s="5">
        <v>-28308</v>
      </c>
      <c r="F775" s="3" t="s">
        <v>1050</v>
      </c>
      <c r="G775" s="3" t="s">
        <v>44</v>
      </c>
      <c r="H775" s="2" t="s">
        <v>20</v>
      </c>
      <c r="I775" s="2" t="s">
        <v>1700</v>
      </c>
      <c r="J775" s="3" t="str">
        <f>HYPERLINK("https://www.boe.es/gazeta/dias/1822/06/29/pdfs/GMD-1822-187.pdf#page=1","Abrir facsímil")</f>
        <v>Abrir facsímil</v>
      </c>
      <c r="K775" s="3" t="s">
        <v>22</v>
      </c>
    </row>
    <row r="776" spans="1:11" ht="42" customHeight="1">
      <c r="A776" s="2" t="s">
        <v>1701</v>
      </c>
      <c r="B776" s="2" t="s">
        <v>1701</v>
      </c>
      <c r="C776" s="2" t="s">
        <v>28</v>
      </c>
      <c r="D776" s="2" t="s">
        <v>29</v>
      </c>
      <c r="E776" s="5">
        <v>-28308</v>
      </c>
      <c r="F776" s="3" t="s">
        <v>1050</v>
      </c>
      <c r="G776" s="3" t="s">
        <v>35</v>
      </c>
      <c r="H776" s="2" t="s">
        <v>20</v>
      </c>
      <c r="I776" s="2" t="s">
        <v>1702</v>
      </c>
      <c r="J776" s="3" t="str">
        <f>HYPERLINK("https://www.boe.es/gazeta/dias/1822/06/29/pdfs/GMD-1822-187.pdf#page=2","Abrir facsímil")</f>
        <v>Abrir facsímil</v>
      </c>
      <c r="K776" s="3" t="s">
        <v>22</v>
      </c>
    </row>
    <row r="777" spans="1:11" ht="42" customHeight="1">
      <c r="A777" s="2" t="s">
        <v>1703</v>
      </c>
      <c r="B777" s="2" t="s">
        <v>1703</v>
      </c>
      <c r="C777" s="2" t="s">
        <v>28</v>
      </c>
      <c r="D777" s="2" t="s">
        <v>29</v>
      </c>
      <c r="E777" s="5">
        <v>-28443</v>
      </c>
      <c r="F777" s="3" t="s">
        <v>668</v>
      </c>
      <c r="G777" s="3" t="s">
        <v>57</v>
      </c>
      <c r="H777" s="2" t="s">
        <v>20</v>
      </c>
      <c r="I777" s="2" t="s">
        <v>1704</v>
      </c>
      <c r="J777" s="3" t="str">
        <f>HYPERLINK("https://www.boe.es/gazeta/dias/1822/02/14/pdfs/GMD-1822-45.pdf#page=4","Abrir facsímil")</f>
        <v>Abrir facsímil</v>
      </c>
      <c r="K777" s="3" t="s">
        <v>22</v>
      </c>
    </row>
    <row r="778" spans="1:11" ht="42" customHeight="1">
      <c r="A778" s="2" t="s">
        <v>1705</v>
      </c>
      <c r="B778" s="2" t="s">
        <v>1706</v>
      </c>
      <c r="C778" s="2" t="s">
        <v>28</v>
      </c>
      <c r="D778" s="2" t="s">
        <v>29</v>
      </c>
      <c r="E778" s="5">
        <v>-28478</v>
      </c>
      <c r="F778" s="3" t="s">
        <v>1093</v>
      </c>
      <c r="G778" s="3" t="s">
        <v>44</v>
      </c>
      <c r="H778" s="2" t="s">
        <v>20</v>
      </c>
      <c r="I778" s="2" t="s">
        <v>1707</v>
      </c>
      <c r="J778" s="3" t="str">
        <f>HYPERLINK("https://www.boe.es/gazeta/dias/1822/01/10/pdfs/GMD-1822-10.pdf#page=1","Abrir facsímil")</f>
        <v>Abrir facsímil</v>
      </c>
      <c r="K778" s="3" t="s">
        <v>22</v>
      </c>
    </row>
    <row r="779" spans="1:11" ht="42" customHeight="1">
      <c r="A779" s="2" t="s">
        <v>1708</v>
      </c>
      <c r="B779" s="2" t="s">
        <v>1709</v>
      </c>
      <c r="C779" s="2" t="s">
        <v>42</v>
      </c>
      <c r="D779" s="2" t="s">
        <v>17</v>
      </c>
      <c r="E779" s="5">
        <v>-28435</v>
      </c>
      <c r="F779" s="3" t="s">
        <v>1710</v>
      </c>
      <c r="G779" s="3" t="s">
        <v>31</v>
      </c>
      <c r="H779" s="2" t="s">
        <v>20</v>
      </c>
      <c r="I779" s="2" t="s">
        <v>1711</v>
      </c>
      <c r="J779" s="3" t="str">
        <f>HYPERLINK("https://www.boe.es/gazeta/dias/1822/02/22/pdfs/GMD-1822-54.pdf#page=3","Abrir facsímil")</f>
        <v>Abrir facsímil</v>
      </c>
      <c r="K779" s="3" t="s">
        <v>22</v>
      </c>
    </row>
    <row r="780" spans="1:11" ht="42" customHeight="1">
      <c r="A780" s="2" t="s">
        <v>1712</v>
      </c>
      <c r="B780" s="2" t="s">
        <v>1713</v>
      </c>
      <c r="C780" s="2" t="s">
        <v>50</v>
      </c>
      <c r="D780" s="2" t="s">
        <v>51</v>
      </c>
      <c r="E780" s="5">
        <v>-28409</v>
      </c>
      <c r="F780" s="3" t="s">
        <v>394</v>
      </c>
      <c r="G780" s="3" t="s">
        <v>19</v>
      </c>
      <c r="H780" s="2" t="s">
        <v>20</v>
      </c>
      <c r="I780" s="2" t="s">
        <v>1714</v>
      </c>
      <c r="J780" s="3" t="str">
        <f>HYPERLINK("https://www.boe.es/gazeta/dias/1822/03/20/pdfs/GMD-1822-81.pdf#page=5","Abrir facsímil")</f>
        <v>Abrir facsímil</v>
      </c>
      <c r="K780" s="3" t="s">
        <v>22</v>
      </c>
    </row>
    <row r="781" spans="1:11" ht="42" customHeight="1">
      <c r="A781" s="2" t="s">
        <v>1715</v>
      </c>
      <c r="B781" s="2" t="s">
        <v>1716</v>
      </c>
      <c r="C781" s="2" t="s">
        <v>16</v>
      </c>
      <c r="D781" s="2" t="s">
        <v>17</v>
      </c>
      <c r="E781" s="5">
        <v>-28341</v>
      </c>
      <c r="F781" s="3" t="s">
        <v>284</v>
      </c>
      <c r="G781" s="3" t="s">
        <v>63</v>
      </c>
      <c r="H781" s="2" t="s">
        <v>20</v>
      </c>
      <c r="I781" s="2" t="s">
        <v>1717</v>
      </c>
      <c r="J781" s="3" t="str">
        <f>HYPERLINK("https://www.boe.es/gazeta/dias/1822/05/27/pdfs/GMD-1822-152.pdf#page=6","Abrir facsímil")</f>
        <v>Abrir facsímil</v>
      </c>
      <c r="K781" s="3" t="s">
        <v>22</v>
      </c>
    </row>
    <row r="782" spans="1:11" ht="42" customHeight="1">
      <c r="A782" s="2" t="s">
        <v>1718</v>
      </c>
      <c r="B782" s="2" t="s">
        <v>1719</v>
      </c>
      <c r="C782" s="2" t="s">
        <v>50</v>
      </c>
      <c r="D782" s="2" t="s">
        <v>51</v>
      </c>
      <c r="E782" s="5">
        <v>-28411</v>
      </c>
      <c r="F782" s="3" t="s">
        <v>1509</v>
      </c>
      <c r="G782" s="3" t="s">
        <v>57</v>
      </c>
      <c r="H782" s="2" t="s">
        <v>20</v>
      </c>
      <c r="I782" s="2" t="s">
        <v>1720</v>
      </c>
      <c r="J782" s="3" t="str">
        <f>HYPERLINK("https://www.boe.es/gazeta/dias/1822/03/18/pdfs/GMD-1822-79.pdf#page=4","Abrir facsímil")</f>
        <v>Abrir facsímil</v>
      </c>
      <c r="K782" s="3" t="s">
        <v>22</v>
      </c>
    </row>
    <row r="783" spans="1:11" ht="42" customHeight="1">
      <c r="A783" s="2" t="s">
        <v>1721</v>
      </c>
      <c r="B783" s="2" t="s">
        <v>1722</v>
      </c>
      <c r="C783" s="2" t="s">
        <v>28</v>
      </c>
      <c r="D783" s="2" t="s">
        <v>29</v>
      </c>
      <c r="E783" s="5">
        <v>-28293</v>
      </c>
      <c r="F783" s="3" t="s">
        <v>152</v>
      </c>
      <c r="G783" s="3" t="s">
        <v>31</v>
      </c>
      <c r="H783" s="2" t="s">
        <v>20</v>
      </c>
      <c r="I783" s="2" t="s">
        <v>1723</v>
      </c>
      <c r="J783" s="3" t="str">
        <f>HYPERLINK("https://www.boe.es/gazeta/dias/1822/07/14/pdfs/GMD-1822-204.pdf#page=3","Abrir facsímil")</f>
        <v>Abrir facsímil</v>
      </c>
      <c r="K783" s="3" t="s">
        <v>22</v>
      </c>
    </row>
    <row r="784" spans="1:11" ht="42" customHeight="1">
      <c r="A784" s="2" t="s">
        <v>1724</v>
      </c>
      <c r="B784" s="2" t="s">
        <v>1725</v>
      </c>
      <c r="C784" s="2" t="s">
        <v>50</v>
      </c>
      <c r="D784" s="2" t="s">
        <v>51</v>
      </c>
      <c r="E784" s="5">
        <v>-28258</v>
      </c>
      <c r="F784" s="3" t="s">
        <v>88</v>
      </c>
      <c r="G784" s="3" t="s">
        <v>57</v>
      </c>
      <c r="H784" s="2" t="s">
        <v>20</v>
      </c>
      <c r="I784" s="2" t="s">
        <v>1726</v>
      </c>
      <c r="J784" s="3" t="str">
        <f>HYPERLINK("https://www.boe.es/gazeta/dias/1822/08/18/pdfs/GMD-1822-242.pdf#page=4","Abrir facsímil")</f>
        <v>Abrir facsímil</v>
      </c>
      <c r="K784" s="3" t="s">
        <v>22</v>
      </c>
    </row>
    <row r="785" spans="1:11" ht="42" customHeight="1">
      <c r="A785" s="2" t="s">
        <v>1727</v>
      </c>
      <c r="B785" s="2" t="s">
        <v>1728</v>
      </c>
      <c r="C785" s="2" t="s">
        <v>42</v>
      </c>
      <c r="D785" s="2" t="s">
        <v>17</v>
      </c>
      <c r="E785" s="5">
        <v>-28402</v>
      </c>
      <c r="F785" s="3" t="s">
        <v>473</v>
      </c>
      <c r="G785" s="3" t="s">
        <v>63</v>
      </c>
      <c r="H785" s="2" t="s">
        <v>20</v>
      </c>
      <c r="I785" s="2" t="s">
        <v>1729</v>
      </c>
      <c r="J785" s="3" t="str">
        <f>HYPERLINK("https://www.boe.es/gazeta/dias/1822/03/27/pdfs/GMD-1822-88.pdf#page=6","Abrir facsímil")</f>
        <v>Abrir facsímil</v>
      </c>
      <c r="K785" s="3" t="s">
        <v>22</v>
      </c>
    </row>
    <row r="786" spans="1:11" ht="42" customHeight="1">
      <c r="A786" s="2" t="s">
        <v>1730</v>
      </c>
      <c r="B786" s="2" t="s">
        <v>1731</v>
      </c>
      <c r="C786" s="2" t="s">
        <v>24</v>
      </c>
      <c r="D786" s="2" t="s">
        <v>17</v>
      </c>
      <c r="E786" s="5">
        <v>-28139</v>
      </c>
      <c r="F786" s="3" t="s">
        <v>143</v>
      </c>
      <c r="G786" s="3" t="s">
        <v>144</v>
      </c>
      <c r="H786" s="2" t="s">
        <v>20</v>
      </c>
      <c r="I786" s="2" t="s">
        <v>1732</v>
      </c>
      <c r="J786" s="3" t="str">
        <f>HYPERLINK("https://www.boe.es/gazeta/dias/1822/12/15/pdfs/GMD-1822-365.pdf#page=4","Abrir facsímil")</f>
        <v>Abrir facsímil</v>
      </c>
      <c r="K786" s="3" t="s">
        <v>22</v>
      </c>
    </row>
    <row r="787" spans="1:11" ht="42" customHeight="1">
      <c r="A787" s="2" t="s">
        <v>1733</v>
      </c>
      <c r="B787" s="2" t="s">
        <v>1734</v>
      </c>
      <c r="C787" s="2" t="s">
        <v>28</v>
      </c>
      <c r="D787" s="2" t="s">
        <v>29</v>
      </c>
      <c r="E787" s="5">
        <v>-28230</v>
      </c>
      <c r="F787" s="3" t="s">
        <v>1735</v>
      </c>
      <c r="G787" s="3" t="s">
        <v>57</v>
      </c>
      <c r="H787" s="2" t="s">
        <v>20</v>
      </c>
      <c r="I787" s="2" t="s">
        <v>1736</v>
      </c>
      <c r="J787" s="3" t="str">
        <f>HYPERLINK("https://www.boe.es/gazeta/dias/1822/09/15/pdfs/GMD-1822-271.pdf#page=4","Abrir facsímil")</f>
        <v>Abrir facsímil</v>
      </c>
      <c r="K787" s="3" t="s">
        <v>22</v>
      </c>
    </row>
    <row r="788" spans="1:11" ht="42" customHeight="1">
      <c r="A788" s="2" t="s">
        <v>1737</v>
      </c>
      <c r="B788" s="2" t="s">
        <v>1737</v>
      </c>
      <c r="C788" s="2" t="s">
        <v>50</v>
      </c>
      <c r="D788" s="2" t="s">
        <v>51</v>
      </c>
      <c r="E788" s="5">
        <v>-28417</v>
      </c>
      <c r="F788" s="3" t="s">
        <v>1394</v>
      </c>
      <c r="G788" s="3" t="s">
        <v>57</v>
      </c>
      <c r="H788" s="2" t="s">
        <v>20</v>
      </c>
      <c r="I788" s="2" t="s">
        <v>1738</v>
      </c>
      <c r="J788" s="3" t="str">
        <f>HYPERLINK("https://www.boe.es/gazeta/dias/1822/03/12/pdfs/GMD-1822-73.pdf#page=4","Abrir facsímil")</f>
        <v>Abrir facsímil</v>
      </c>
      <c r="K788" s="3" t="s">
        <v>22</v>
      </c>
    </row>
    <row r="789" spans="1:11" ht="42" customHeight="1">
      <c r="A789" s="2" t="s">
        <v>1739</v>
      </c>
      <c r="B789" s="2" t="s">
        <v>1740</v>
      </c>
      <c r="C789" s="2" t="s">
        <v>28</v>
      </c>
      <c r="D789" s="2" t="s">
        <v>29</v>
      </c>
      <c r="E789" s="5">
        <v>-28199</v>
      </c>
      <c r="F789" s="3" t="s">
        <v>656</v>
      </c>
      <c r="G789" s="3" t="s">
        <v>63</v>
      </c>
      <c r="H789" s="2" t="s">
        <v>20</v>
      </c>
      <c r="I789" s="2" t="s">
        <v>1741</v>
      </c>
      <c r="J789" s="3" t="str">
        <f>HYPERLINK("https://www.boe.es/gazeta/dias/1822/10/16/pdfs/GMD-1822-303.pdf#page=6","Abrir facsímil")</f>
        <v>Abrir facsímil</v>
      </c>
      <c r="K789" s="3" t="s">
        <v>22</v>
      </c>
    </row>
    <row r="790" spans="1:11" ht="42" customHeight="1">
      <c r="A790" s="2" t="s">
        <v>1742</v>
      </c>
      <c r="B790" s="2" t="s">
        <v>1743</v>
      </c>
      <c r="C790" s="2" t="s">
        <v>16</v>
      </c>
      <c r="D790" s="2" t="s">
        <v>17</v>
      </c>
      <c r="E790" s="5">
        <v>-28152</v>
      </c>
      <c r="F790" s="3" t="s">
        <v>122</v>
      </c>
      <c r="G790" s="3" t="s">
        <v>19</v>
      </c>
      <c r="H790" s="2" t="s">
        <v>20</v>
      </c>
      <c r="I790" s="2" t="s">
        <v>1744</v>
      </c>
      <c r="J790" s="3" t="str">
        <f>HYPERLINK("https://www.boe.es/gazeta/dias/1822/12/02/pdfs/GMD-1822-352.pdf#page=5","Abrir facsímil")</f>
        <v>Abrir facsímil</v>
      </c>
      <c r="K790" s="3" t="s">
        <v>22</v>
      </c>
    </row>
    <row r="791" spans="1:11" ht="42" customHeight="1">
      <c r="A791" s="2" t="s">
        <v>1745</v>
      </c>
      <c r="B791" s="2" t="s">
        <v>1746</v>
      </c>
      <c r="C791" s="2" t="s">
        <v>28</v>
      </c>
      <c r="D791" s="2" t="s">
        <v>29</v>
      </c>
      <c r="E791" s="5">
        <v>-28275</v>
      </c>
      <c r="F791" s="3" t="s">
        <v>1297</v>
      </c>
      <c r="G791" s="3" t="s">
        <v>57</v>
      </c>
      <c r="H791" s="2" t="s">
        <v>20</v>
      </c>
      <c r="I791" s="2" t="s">
        <v>1747</v>
      </c>
      <c r="J791" s="3" t="str">
        <f>HYPERLINK("https://www.boe.es/gazeta/dias/1822/08/01/pdfs/GMD-1822-225.pdf#page=4","Abrir facsímil")</f>
        <v>Abrir facsímil</v>
      </c>
      <c r="K791" s="3" t="s">
        <v>22</v>
      </c>
    </row>
    <row r="792" spans="1:11" ht="42" customHeight="1">
      <c r="A792" s="2" t="s">
        <v>1748</v>
      </c>
      <c r="B792" s="2" t="s">
        <v>1749</v>
      </c>
      <c r="C792" s="2" t="s">
        <v>42</v>
      </c>
      <c r="D792" s="2" t="s">
        <v>17</v>
      </c>
      <c r="E792" s="5">
        <v>-28199</v>
      </c>
      <c r="F792" s="3" t="s">
        <v>656</v>
      </c>
      <c r="G792" s="3" t="s">
        <v>19</v>
      </c>
      <c r="H792" s="2" t="s">
        <v>45</v>
      </c>
      <c r="I792" s="2" t="s">
        <v>1750</v>
      </c>
      <c r="J792" s="3" t="str">
        <f>HYPERLINK("https://www.boe.es/gazeta/dias/1822/10/16/pdfs/GMD-1822-303.pdf#page=5","Abrir facsímil")</f>
        <v>Abrir facsímil</v>
      </c>
      <c r="K792" s="3" t="s">
        <v>47</v>
      </c>
    </row>
    <row r="793" spans="1:11" ht="42" customHeight="1">
      <c r="A793" s="2" t="s">
        <v>1751</v>
      </c>
      <c r="B793" s="2" t="s">
        <v>1752</v>
      </c>
      <c r="C793" s="2" t="s">
        <v>71</v>
      </c>
      <c r="D793" s="2" t="s">
        <v>17</v>
      </c>
      <c r="E793" s="5">
        <v>-28161</v>
      </c>
      <c r="F793" s="3" t="s">
        <v>166</v>
      </c>
      <c r="G793" s="3" t="s">
        <v>157</v>
      </c>
      <c r="H793" s="2" t="s">
        <v>20</v>
      </c>
      <c r="I793" s="2" t="s">
        <v>1753</v>
      </c>
      <c r="J793" s="3" t="str">
        <f>HYPERLINK("https://www.boe.es/gazeta/dias/1822/11/23/pdfs/GMD-1822-343.pdf#page=8","Abrir facsímil")</f>
        <v>Abrir facsímil</v>
      </c>
      <c r="K793" s="3" t="s">
        <v>22</v>
      </c>
    </row>
    <row r="794" spans="1:11" ht="42" customHeight="1">
      <c r="A794" s="2" t="s">
        <v>1754</v>
      </c>
      <c r="B794" s="2" t="s">
        <v>1755</v>
      </c>
      <c r="C794" s="2" t="s">
        <v>16</v>
      </c>
      <c r="D794" s="2" t="s">
        <v>17</v>
      </c>
      <c r="E794" s="5">
        <v>-28225</v>
      </c>
      <c r="F794" s="3" t="s">
        <v>177</v>
      </c>
      <c r="G794" s="3" t="s">
        <v>178</v>
      </c>
      <c r="H794" s="2" t="s">
        <v>20</v>
      </c>
      <c r="I794" s="2" t="s">
        <v>1756</v>
      </c>
      <c r="J794" s="3" t="str">
        <f>HYPERLINK("https://www.boe.es/gazeta/dias/1822/09/20/pdfs/GMD-1822-276.pdf#page=3","Abrir facsímil")</f>
        <v>Abrir facsímil</v>
      </c>
      <c r="K794" s="3" t="s">
        <v>22</v>
      </c>
    </row>
    <row r="795" spans="1:11" ht="42" customHeight="1">
      <c r="A795" s="2" t="s">
        <v>1757</v>
      </c>
      <c r="B795" s="2" t="s">
        <v>1757</v>
      </c>
      <c r="C795" s="2" t="s">
        <v>28</v>
      </c>
      <c r="D795" s="2" t="s">
        <v>29</v>
      </c>
      <c r="E795" s="5">
        <v>-28360</v>
      </c>
      <c r="F795" s="3" t="s">
        <v>514</v>
      </c>
      <c r="G795" s="3" t="s">
        <v>57</v>
      </c>
      <c r="H795" s="2" t="s">
        <v>20</v>
      </c>
      <c r="I795" s="2" t="s">
        <v>1758</v>
      </c>
      <c r="J795" s="3" t="str">
        <f>HYPERLINK("https://www.boe.es/gazeta/dias/1822/05/08/pdfs/GMD-1822-130.pdf#page=4","Abrir facsímil")</f>
        <v>Abrir facsímil</v>
      </c>
      <c r="K795" s="3" t="s">
        <v>22</v>
      </c>
    </row>
    <row r="796" spans="1:11" ht="42" customHeight="1">
      <c r="A796" s="2" t="s">
        <v>1759</v>
      </c>
      <c r="B796" s="2" t="s">
        <v>1759</v>
      </c>
      <c r="C796" s="2" t="s">
        <v>28</v>
      </c>
      <c r="D796" s="2" t="s">
        <v>29</v>
      </c>
      <c r="E796" s="5">
        <v>-28361</v>
      </c>
      <c r="F796" s="3" t="s">
        <v>374</v>
      </c>
      <c r="G796" s="3" t="s">
        <v>35</v>
      </c>
      <c r="H796" s="2" t="s">
        <v>20</v>
      </c>
      <c r="I796" s="2" t="s">
        <v>1760</v>
      </c>
      <c r="J796" s="3" t="str">
        <f>HYPERLINK("https://www.boe.es/gazeta/dias/1822/05/07/pdfs/GMD-1822-129.pdf#page=2","Abrir facsímil")</f>
        <v>Abrir facsímil</v>
      </c>
      <c r="K796" s="3" t="s">
        <v>22</v>
      </c>
    </row>
    <row r="797" spans="1:11" ht="42" customHeight="1">
      <c r="A797" s="2" t="s">
        <v>1761</v>
      </c>
      <c r="B797" s="2" t="s">
        <v>1762</v>
      </c>
      <c r="C797" s="2" t="s">
        <v>42</v>
      </c>
      <c r="D797" s="2" t="s">
        <v>17</v>
      </c>
      <c r="E797" s="5">
        <v>-28388</v>
      </c>
      <c r="F797" s="3" t="s">
        <v>1268</v>
      </c>
      <c r="G797" s="3" t="s">
        <v>57</v>
      </c>
      <c r="H797" s="2" t="s">
        <v>20</v>
      </c>
      <c r="I797" s="2" t="s">
        <v>1763</v>
      </c>
      <c r="J797" s="3" t="str">
        <f>HYPERLINK("https://www.boe.es/gazeta/dias/1822/04/10/pdfs/GMD-1822-102.pdf#page=4","Abrir facsímil")</f>
        <v>Abrir facsímil</v>
      </c>
      <c r="K797" s="3" t="s">
        <v>22</v>
      </c>
    </row>
    <row r="798" spans="1:11" ht="42" customHeight="1">
      <c r="A798" s="2" t="s">
        <v>1764</v>
      </c>
      <c r="B798" s="2" t="s">
        <v>1765</v>
      </c>
      <c r="C798" s="2" t="s">
        <v>16</v>
      </c>
      <c r="D798" s="2" t="s">
        <v>17</v>
      </c>
      <c r="E798" s="5">
        <v>-28257</v>
      </c>
      <c r="F798" s="3" t="s">
        <v>1171</v>
      </c>
      <c r="G798" s="3" t="s">
        <v>1172</v>
      </c>
      <c r="H798" s="2" t="s">
        <v>45</v>
      </c>
      <c r="I798" s="2" t="s">
        <v>1766</v>
      </c>
      <c r="J798" s="3" t="str">
        <f>HYPERLINK("https://www.boe.es/gazeta/dias/1822/08/19/pdfs/GMD-1822-243.pdf#page=4","Abrir facsímil")</f>
        <v>Abrir facsímil</v>
      </c>
      <c r="K798" s="3" t="s">
        <v>47</v>
      </c>
    </row>
    <row r="799" spans="1:11" ht="42" customHeight="1">
      <c r="A799" s="2" t="s">
        <v>1767</v>
      </c>
      <c r="B799" s="2" t="s">
        <v>1767</v>
      </c>
      <c r="C799" s="2" t="s">
        <v>71</v>
      </c>
      <c r="D799" s="2" t="s">
        <v>17</v>
      </c>
      <c r="E799" s="5">
        <v>-28412</v>
      </c>
      <c r="F799" s="3" t="s">
        <v>825</v>
      </c>
      <c r="G799" s="3" t="s">
        <v>35</v>
      </c>
      <c r="H799" s="2" t="s">
        <v>20</v>
      </c>
      <c r="I799" s="2" t="s">
        <v>1768</v>
      </c>
      <c r="J799" s="3" t="str">
        <f>HYPERLINK("https://www.boe.es/gazeta/dias/1822/03/17/pdfs/GMD-1822-78.pdf#page=2","Abrir facsímil")</f>
        <v>Abrir facsímil</v>
      </c>
      <c r="K799" s="3" t="s">
        <v>22</v>
      </c>
    </row>
    <row r="800" spans="1:11" ht="42" customHeight="1">
      <c r="A800" s="2" t="s">
        <v>1769</v>
      </c>
      <c r="B800" s="2" t="s">
        <v>1770</v>
      </c>
      <c r="C800" s="2" t="s">
        <v>50</v>
      </c>
      <c r="D800" s="2" t="s">
        <v>51</v>
      </c>
      <c r="E800" s="5">
        <v>-28262</v>
      </c>
      <c r="F800" s="3" t="s">
        <v>1771</v>
      </c>
      <c r="G800" s="3" t="s">
        <v>31</v>
      </c>
      <c r="H800" s="2" t="s">
        <v>20</v>
      </c>
      <c r="I800" s="2" t="s">
        <v>1772</v>
      </c>
      <c r="J800" s="3" t="str">
        <f>HYPERLINK("https://www.boe.es/gazeta/dias/1822/08/14/pdfs/GMD-1822-238.pdf#page=3","Abrir facsímil")</f>
        <v>Abrir facsímil</v>
      </c>
      <c r="K800" s="3" t="s">
        <v>22</v>
      </c>
    </row>
    <row r="801" spans="1:11" ht="42" customHeight="1">
      <c r="A801" s="2" t="s">
        <v>1773</v>
      </c>
      <c r="B801" s="2" t="s">
        <v>1773</v>
      </c>
      <c r="C801" s="2" t="s">
        <v>16</v>
      </c>
      <c r="D801" s="2" t="s">
        <v>17</v>
      </c>
      <c r="E801" s="5">
        <v>-28379</v>
      </c>
      <c r="F801" s="3" t="s">
        <v>494</v>
      </c>
      <c r="G801" s="3" t="s">
        <v>35</v>
      </c>
      <c r="H801" s="2" t="s">
        <v>20</v>
      </c>
      <c r="I801" s="2" t="s">
        <v>1774</v>
      </c>
      <c r="J801" s="3" t="str">
        <f>HYPERLINK("https://www.boe.es/gazeta/dias/1822/04/19/pdfs/GMD-1822-111.pdf#page=2","Abrir facsímil")</f>
        <v>Abrir facsímil</v>
      </c>
      <c r="K801" s="3" t="s">
        <v>22</v>
      </c>
    </row>
    <row r="802" spans="1:11" ht="42" customHeight="1">
      <c r="A802" s="2" t="s">
        <v>1773</v>
      </c>
      <c r="B802" s="2" t="s">
        <v>1773</v>
      </c>
      <c r="C802" s="2" t="s">
        <v>42</v>
      </c>
      <c r="D802" s="2" t="s">
        <v>17</v>
      </c>
      <c r="E802" s="5">
        <v>-28359</v>
      </c>
      <c r="F802" s="3" t="s">
        <v>209</v>
      </c>
      <c r="G802" s="3" t="s">
        <v>31</v>
      </c>
      <c r="H802" s="2" t="s">
        <v>20</v>
      </c>
      <c r="I802" s="2" t="s">
        <v>1775</v>
      </c>
      <c r="J802" s="3" t="str">
        <f>HYPERLINK("https://www.boe.es/gazeta/dias/1822/05/09/pdfs/GMD-1822-131.pdf#page=3","Abrir facsímil")</f>
        <v>Abrir facsímil</v>
      </c>
      <c r="K802" s="3" t="s">
        <v>22</v>
      </c>
    </row>
    <row r="803" spans="1:11" ht="42" customHeight="1">
      <c r="A803" s="2" t="s">
        <v>1773</v>
      </c>
      <c r="B803" s="2" t="s">
        <v>1773</v>
      </c>
      <c r="C803" s="2" t="s">
        <v>42</v>
      </c>
      <c r="D803" s="2" t="s">
        <v>17</v>
      </c>
      <c r="E803" s="5">
        <v>-28328</v>
      </c>
      <c r="F803" s="3" t="s">
        <v>540</v>
      </c>
      <c r="G803" s="3" t="s">
        <v>31</v>
      </c>
      <c r="H803" s="2" t="s">
        <v>20</v>
      </c>
      <c r="I803" s="2" t="s">
        <v>1776</v>
      </c>
      <c r="J803" s="3" t="str">
        <f>HYPERLINK("https://www.boe.es/gazeta/dias/1822/06/09/pdfs/GMD-1822-166.pdf#page=3","Abrir facsímil")</f>
        <v>Abrir facsímil</v>
      </c>
      <c r="K803" s="3" t="s">
        <v>22</v>
      </c>
    </row>
    <row r="804" spans="1:11" ht="42" customHeight="1">
      <c r="A804" s="2" t="s">
        <v>1773</v>
      </c>
      <c r="B804" s="2" t="s">
        <v>1773</v>
      </c>
      <c r="C804" s="2" t="s">
        <v>42</v>
      </c>
      <c r="D804" s="2" t="s">
        <v>17</v>
      </c>
      <c r="E804" s="5">
        <v>-28205</v>
      </c>
      <c r="F804" s="3" t="s">
        <v>806</v>
      </c>
      <c r="G804" s="3" t="s">
        <v>31</v>
      </c>
      <c r="H804" s="2" t="s">
        <v>20</v>
      </c>
      <c r="I804" s="2" t="s">
        <v>1777</v>
      </c>
      <c r="J804" s="3" t="str">
        <f>HYPERLINK("https://www.boe.es/gazeta/dias/1822/10/10/pdfs/GMD-1822-297.pdf#page=3","Abrir facsímil")</f>
        <v>Abrir facsímil</v>
      </c>
      <c r="K804" s="3" t="s">
        <v>22</v>
      </c>
    </row>
    <row r="805" spans="1:11" ht="42" customHeight="1">
      <c r="A805" s="2" t="s">
        <v>1773</v>
      </c>
      <c r="B805" s="2" t="s">
        <v>1773</v>
      </c>
      <c r="C805" s="2" t="s">
        <v>28</v>
      </c>
      <c r="D805" s="2" t="s">
        <v>29</v>
      </c>
      <c r="E805" s="5">
        <v>-28197</v>
      </c>
      <c r="F805" s="3" t="s">
        <v>568</v>
      </c>
      <c r="G805" s="3" t="s">
        <v>35</v>
      </c>
      <c r="H805" s="2" t="s">
        <v>20</v>
      </c>
      <c r="I805" s="2" t="s">
        <v>1778</v>
      </c>
      <c r="J805" s="3" t="str">
        <f>HYPERLINK("https://www.boe.es/gazeta/dias/1822/10/18/pdfs/GMD-1822-305.pdf#page=2","Abrir facsímil")</f>
        <v>Abrir facsímil</v>
      </c>
      <c r="K805" s="3" t="s">
        <v>22</v>
      </c>
    </row>
    <row r="806" spans="1:11" ht="42" customHeight="1">
      <c r="A806" s="2" t="s">
        <v>1773</v>
      </c>
      <c r="B806" s="2" t="s">
        <v>1773</v>
      </c>
      <c r="C806" s="2" t="s">
        <v>42</v>
      </c>
      <c r="D806" s="2" t="s">
        <v>17</v>
      </c>
      <c r="E806" s="5">
        <v>-28195</v>
      </c>
      <c r="F806" s="3" t="s">
        <v>770</v>
      </c>
      <c r="G806" s="3" t="s">
        <v>31</v>
      </c>
      <c r="H806" s="2" t="s">
        <v>20</v>
      </c>
      <c r="I806" s="2" t="s">
        <v>1779</v>
      </c>
      <c r="J806" s="3" t="str">
        <f>HYPERLINK("https://www.boe.es/gazeta/dias/1822/10/20/pdfs/GMD-1822-307.pdf#page=3","Abrir facsímil")</f>
        <v>Abrir facsímil</v>
      </c>
      <c r="K806" s="3" t="s">
        <v>22</v>
      </c>
    </row>
    <row r="807" spans="1:11" ht="42" customHeight="1">
      <c r="A807" s="2" t="s">
        <v>1780</v>
      </c>
      <c r="B807" s="2" t="s">
        <v>1781</v>
      </c>
      <c r="C807" s="2" t="s">
        <v>50</v>
      </c>
      <c r="D807" s="2" t="s">
        <v>51</v>
      </c>
      <c r="E807" s="5">
        <v>-28303</v>
      </c>
      <c r="F807" s="3" t="s">
        <v>201</v>
      </c>
      <c r="G807" s="3" t="s">
        <v>31</v>
      </c>
      <c r="H807" s="2" t="s">
        <v>20</v>
      </c>
      <c r="I807" s="2" t="s">
        <v>1782</v>
      </c>
      <c r="J807" s="3" t="str">
        <f>HYPERLINK("https://www.boe.es/gazeta/dias/1822/07/04/pdfs/GMD-1822-193.pdf#page=3","Abrir facsímil")</f>
        <v>Abrir facsímil</v>
      </c>
      <c r="K807" s="3" t="s">
        <v>22</v>
      </c>
    </row>
    <row r="808" spans="1:11" ht="42" customHeight="1">
      <c r="A808" s="2" t="s">
        <v>1780</v>
      </c>
      <c r="B808" s="2" t="s">
        <v>1781</v>
      </c>
      <c r="C808" s="2" t="s">
        <v>28</v>
      </c>
      <c r="D808" s="2" t="s">
        <v>29</v>
      </c>
      <c r="E808" s="5">
        <v>-28132</v>
      </c>
      <c r="F808" s="3" t="s">
        <v>820</v>
      </c>
      <c r="G808" s="3" t="s">
        <v>821</v>
      </c>
      <c r="H808" s="2" t="s">
        <v>20</v>
      </c>
      <c r="I808" s="2" t="s">
        <v>1783</v>
      </c>
      <c r="J808" s="3" t="str">
        <f>HYPERLINK("https://www.boe.es/gazeta/dias/1822/12/22/pdfs/GMD-1822-372.pdf#page=4","Abrir facsímil")</f>
        <v>Abrir facsímil</v>
      </c>
      <c r="K808" s="3" t="s">
        <v>22</v>
      </c>
    </row>
    <row r="809" spans="1:11" ht="42" customHeight="1">
      <c r="A809" s="2" t="s">
        <v>1784</v>
      </c>
      <c r="B809" s="2" t="s">
        <v>1785</v>
      </c>
      <c r="C809" s="2" t="s">
        <v>42</v>
      </c>
      <c r="D809" s="2" t="s">
        <v>17</v>
      </c>
      <c r="E809" s="5">
        <v>-28172</v>
      </c>
      <c r="F809" s="3" t="s">
        <v>674</v>
      </c>
      <c r="G809" s="3" t="s">
        <v>57</v>
      </c>
      <c r="H809" s="2" t="s">
        <v>20</v>
      </c>
      <c r="I809" s="2" t="s">
        <v>1786</v>
      </c>
      <c r="J809" s="3" t="str">
        <f>HYPERLINK("https://www.boe.es/gazeta/dias/1822/11/12/pdfs/GMD-1822-332.pdf#page=4","Abrir facsímil")</f>
        <v>Abrir facsímil</v>
      </c>
      <c r="K809" s="3" t="s">
        <v>22</v>
      </c>
    </row>
    <row r="810" spans="1:11" ht="42" customHeight="1">
      <c r="A810" s="2" t="s">
        <v>1787</v>
      </c>
      <c r="B810" s="2" t="s">
        <v>1788</v>
      </c>
      <c r="C810" s="2" t="s">
        <v>28</v>
      </c>
      <c r="D810" s="2" t="s">
        <v>29</v>
      </c>
      <c r="E810" s="5">
        <v>-28436</v>
      </c>
      <c r="F810" s="3" t="s">
        <v>431</v>
      </c>
      <c r="G810" s="3" t="s">
        <v>1428</v>
      </c>
      <c r="H810" s="2" t="s">
        <v>20</v>
      </c>
      <c r="I810" s="2" t="s">
        <v>1789</v>
      </c>
      <c r="J810" s="3" t="str">
        <f>HYPERLINK("https://www.boe.es/gazeta/dias/1822/02/21/pdfs/GMD-1822-53.pdf#page=3","Abrir facsímil")</f>
        <v>Abrir facsímil</v>
      </c>
      <c r="K810" s="3" t="s">
        <v>22</v>
      </c>
    </row>
    <row r="811" spans="1:11" ht="42" customHeight="1">
      <c r="A811" s="2" t="s">
        <v>1790</v>
      </c>
      <c r="B811" s="2" t="s">
        <v>1791</v>
      </c>
      <c r="C811" s="2" t="s">
        <v>42</v>
      </c>
      <c r="D811" s="2" t="s">
        <v>17</v>
      </c>
      <c r="E811" s="5">
        <v>-28292</v>
      </c>
      <c r="F811" s="3" t="s">
        <v>222</v>
      </c>
      <c r="G811" s="3" t="s">
        <v>31</v>
      </c>
      <c r="H811" s="2" t="s">
        <v>20</v>
      </c>
      <c r="I811" s="2" t="s">
        <v>1792</v>
      </c>
      <c r="J811" s="3" t="str">
        <f>HYPERLINK("https://www.boe.es/gazeta/dias/1822/07/15/pdfs/GMD-1822-205.pdf#page=3","Abrir facsímil")</f>
        <v>Abrir facsímil</v>
      </c>
      <c r="K811" s="3" t="s">
        <v>22</v>
      </c>
    </row>
    <row r="812" spans="1:11" ht="42" customHeight="1">
      <c r="A812" s="2" t="s">
        <v>1793</v>
      </c>
      <c r="B812" s="2" t="s">
        <v>1794</v>
      </c>
      <c r="C812" s="2" t="s">
        <v>24</v>
      </c>
      <c r="D812" s="2" t="s">
        <v>17</v>
      </c>
      <c r="E812" s="5">
        <v>-28486</v>
      </c>
      <c r="F812" s="3" t="s">
        <v>1046</v>
      </c>
      <c r="G812" s="3" t="s">
        <v>57</v>
      </c>
      <c r="H812" s="2" t="s">
        <v>20</v>
      </c>
      <c r="I812" s="2" t="s">
        <v>1795</v>
      </c>
      <c r="J812" s="3" t="str">
        <f>HYPERLINK("https://www.boe.es/gazeta/dias/1822/01/02/pdfs/GMD-1822-2.pdf#page=4","Abrir facsímil")</f>
        <v>Abrir facsímil</v>
      </c>
      <c r="K812" s="3" t="s">
        <v>22</v>
      </c>
    </row>
    <row r="813" spans="1:11" ht="42" customHeight="1">
      <c r="A813" s="2" t="s">
        <v>1796</v>
      </c>
      <c r="B813" s="2" t="s">
        <v>1797</v>
      </c>
      <c r="C813" s="2" t="s">
        <v>42</v>
      </c>
      <c r="D813" s="2" t="s">
        <v>17</v>
      </c>
      <c r="E813" s="5">
        <v>-28339</v>
      </c>
      <c r="F813" s="3" t="s">
        <v>197</v>
      </c>
      <c r="G813" s="3" t="s">
        <v>44</v>
      </c>
      <c r="H813" s="2" t="s">
        <v>20</v>
      </c>
      <c r="I813" s="2" t="s">
        <v>1798</v>
      </c>
      <c r="J813" s="3" t="str">
        <f>HYPERLINK("https://www.boe.es/gazeta/dias/1822/05/29/pdfs/GMD-1822-154.pdf#page=1","Abrir facsímil")</f>
        <v>Abrir facsímil</v>
      </c>
      <c r="K813" s="3" t="s">
        <v>22</v>
      </c>
    </row>
    <row r="814" spans="1:11" ht="42" customHeight="1">
      <c r="A814" s="2" t="s">
        <v>1799</v>
      </c>
      <c r="B814" s="2" t="s">
        <v>1800</v>
      </c>
      <c r="C814" s="2" t="s">
        <v>28</v>
      </c>
      <c r="D814" s="2" t="s">
        <v>29</v>
      </c>
      <c r="E814" s="5">
        <v>-28461</v>
      </c>
      <c r="F814" s="3" t="s">
        <v>1801</v>
      </c>
      <c r="G814" s="3" t="s">
        <v>57</v>
      </c>
      <c r="H814" s="2" t="s">
        <v>45</v>
      </c>
      <c r="I814" s="2" t="s">
        <v>1802</v>
      </c>
      <c r="J814" s="3" t="str">
        <f>HYPERLINK("https://www.boe.es/gazeta/dias/1822/01/27/pdfs/GMD-1822-27.pdf#page=4","Abrir facsímil")</f>
        <v>Abrir facsímil</v>
      </c>
      <c r="K814" s="3" t="s">
        <v>47</v>
      </c>
    </row>
    <row r="815" spans="1:11" ht="42" customHeight="1">
      <c r="A815" s="2" t="s">
        <v>1803</v>
      </c>
      <c r="B815" s="2" t="s">
        <v>1804</v>
      </c>
      <c r="C815" s="2" t="s">
        <v>16</v>
      </c>
      <c r="D815" s="2" t="s">
        <v>17</v>
      </c>
      <c r="E815" s="5">
        <v>-28432</v>
      </c>
      <c r="F815" s="3" t="s">
        <v>195</v>
      </c>
      <c r="G815" s="3" t="s">
        <v>57</v>
      </c>
      <c r="H815" s="2" t="s">
        <v>20</v>
      </c>
      <c r="I815" s="2" t="s">
        <v>1805</v>
      </c>
      <c r="J815" s="3" t="str">
        <f>HYPERLINK("https://www.boe.es/gazeta/dias/1822/02/25/pdfs/GMD-1822-57.pdf#page=4","Abrir facsímil")</f>
        <v>Abrir facsímil</v>
      </c>
      <c r="K815" s="3" t="s">
        <v>22</v>
      </c>
    </row>
    <row r="816" spans="1:11" ht="42" customHeight="1">
      <c r="A816" s="2" t="s">
        <v>1806</v>
      </c>
      <c r="B816" s="2" t="s">
        <v>1807</v>
      </c>
      <c r="C816" s="2" t="s">
        <v>50</v>
      </c>
      <c r="D816" s="2" t="s">
        <v>51</v>
      </c>
      <c r="E816" s="5">
        <v>-28264</v>
      </c>
      <c r="F816" s="3" t="s">
        <v>1329</v>
      </c>
      <c r="G816" s="3" t="s">
        <v>57</v>
      </c>
      <c r="H816" s="2" t="s">
        <v>20</v>
      </c>
      <c r="I816" s="2" t="s">
        <v>1808</v>
      </c>
      <c r="J816" s="3" t="str">
        <f>HYPERLINK("https://www.boe.es/gazeta/dias/1822/08/12/pdfs/GMD-1822-236.pdf#page=4","Abrir facsímil")</f>
        <v>Abrir facsímil</v>
      </c>
      <c r="K816" s="3" t="s">
        <v>22</v>
      </c>
    </row>
    <row r="817" spans="1:11" ht="42" customHeight="1">
      <c r="A817" s="2" t="s">
        <v>1809</v>
      </c>
      <c r="B817" s="2" t="s">
        <v>1810</v>
      </c>
      <c r="C817" s="2" t="s">
        <v>42</v>
      </c>
      <c r="D817" s="2" t="s">
        <v>17</v>
      </c>
      <c r="E817" s="5">
        <v>-28477</v>
      </c>
      <c r="F817" s="3" t="s">
        <v>1668</v>
      </c>
      <c r="G817" s="3" t="s">
        <v>19</v>
      </c>
      <c r="H817" s="2" t="s">
        <v>20</v>
      </c>
      <c r="I817" s="2" t="s">
        <v>1811</v>
      </c>
      <c r="J817" s="3" t="str">
        <f>HYPERLINK("https://www.boe.es/gazeta/dias/1822/01/11/pdfs/GMD-1822-11.pdf#page=5","Abrir facsímil")</f>
        <v>Abrir facsímil</v>
      </c>
      <c r="K817" s="3" t="s">
        <v>22</v>
      </c>
    </row>
    <row r="818" spans="1:11" ht="42" customHeight="1">
      <c r="A818" s="2" t="s">
        <v>1812</v>
      </c>
      <c r="B818" s="2" t="s">
        <v>1812</v>
      </c>
      <c r="C818" s="2" t="s">
        <v>28</v>
      </c>
      <c r="D818" s="2" t="s">
        <v>29</v>
      </c>
      <c r="E818" s="5">
        <v>-28426</v>
      </c>
      <c r="F818" s="3" t="s">
        <v>1178</v>
      </c>
      <c r="G818" s="3" t="s">
        <v>31</v>
      </c>
      <c r="H818" s="2" t="s">
        <v>20</v>
      </c>
      <c r="I818" s="2" t="s">
        <v>1813</v>
      </c>
      <c r="J818" s="3" t="str">
        <f>HYPERLINK("https://www.boe.es/gazeta/dias/1822/03/03/pdfs/GMD-1822-64.pdf#page=3","Abrir facsímil")</f>
        <v>Abrir facsímil</v>
      </c>
      <c r="K818" s="3" t="s">
        <v>22</v>
      </c>
    </row>
    <row r="819" spans="1:11" ht="42" customHeight="1">
      <c r="A819" s="2" t="s">
        <v>1812</v>
      </c>
      <c r="B819" s="2" t="s">
        <v>1812</v>
      </c>
      <c r="C819" s="2" t="s">
        <v>28</v>
      </c>
      <c r="D819" s="2" t="s">
        <v>29</v>
      </c>
      <c r="E819" s="5">
        <v>-28426</v>
      </c>
      <c r="F819" s="3" t="s">
        <v>1178</v>
      </c>
      <c r="G819" s="3" t="s">
        <v>57</v>
      </c>
      <c r="H819" s="2" t="s">
        <v>20</v>
      </c>
      <c r="I819" s="2" t="s">
        <v>1814</v>
      </c>
      <c r="J819" s="3" t="str">
        <f>HYPERLINK("https://www.boe.es/gazeta/dias/1822/03/03/pdfs/GMD-1822-64.pdf#page=4","Abrir facsímil")</f>
        <v>Abrir facsímil</v>
      </c>
      <c r="K819" s="3" t="s">
        <v>22</v>
      </c>
    </row>
    <row r="820" spans="1:11" ht="42" customHeight="1">
      <c r="A820" s="2" t="s">
        <v>1815</v>
      </c>
      <c r="B820" s="2" t="s">
        <v>1816</v>
      </c>
      <c r="C820" s="2" t="s">
        <v>16</v>
      </c>
      <c r="D820" s="2" t="s">
        <v>17</v>
      </c>
      <c r="E820" s="5">
        <v>-28270</v>
      </c>
      <c r="F820" s="3" t="s">
        <v>130</v>
      </c>
      <c r="G820" s="3" t="s">
        <v>131</v>
      </c>
      <c r="H820" s="2" t="s">
        <v>20</v>
      </c>
      <c r="I820" s="2" t="s">
        <v>1817</v>
      </c>
      <c r="J820" s="3" t="str">
        <f>HYPERLINK("https://www.boe.es/gazeta/dias/1822/08/06/pdfs/GMD-1822-230.pdf#page=6","Abrir facsímil")</f>
        <v>Abrir facsímil</v>
      </c>
      <c r="K820" s="3" t="s">
        <v>22</v>
      </c>
    </row>
    <row r="821" spans="1:11" ht="42" customHeight="1">
      <c r="A821" s="2" t="s">
        <v>1818</v>
      </c>
      <c r="B821" s="2" t="s">
        <v>1819</v>
      </c>
      <c r="C821" s="2" t="s">
        <v>16</v>
      </c>
      <c r="D821" s="2" t="s">
        <v>17</v>
      </c>
      <c r="E821" s="5">
        <v>-28360</v>
      </c>
      <c r="F821" s="3" t="s">
        <v>514</v>
      </c>
      <c r="G821" s="3" t="s">
        <v>57</v>
      </c>
      <c r="H821" s="2" t="s">
        <v>20</v>
      </c>
      <c r="I821" s="2" t="s">
        <v>1820</v>
      </c>
      <c r="J821" s="3" t="str">
        <f>HYPERLINK("https://www.boe.es/gazeta/dias/1822/05/08/pdfs/GMD-1822-130.pdf#page=4","Abrir facsímil")</f>
        <v>Abrir facsímil</v>
      </c>
      <c r="K821" s="3" t="s">
        <v>22</v>
      </c>
    </row>
    <row r="822" spans="1:11" ht="42" customHeight="1">
      <c r="A822" s="2" t="s">
        <v>1821</v>
      </c>
      <c r="B822" s="2" t="s">
        <v>1822</v>
      </c>
      <c r="C822" s="2" t="s">
        <v>50</v>
      </c>
      <c r="D822" s="2" t="s">
        <v>51</v>
      </c>
      <c r="E822" s="5">
        <v>-28317</v>
      </c>
      <c r="F822" s="3" t="s">
        <v>546</v>
      </c>
      <c r="G822" s="3" t="s">
        <v>157</v>
      </c>
      <c r="H822" s="2" t="s">
        <v>20</v>
      </c>
      <c r="I822" s="2" t="s">
        <v>1823</v>
      </c>
      <c r="J822" s="3" t="str">
        <f>HYPERLINK("https://www.boe.es/gazeta/dias/1822/06/20/pdfs/GMD-1822-177.pdf#page=8","Abrir facsímil")</f>
        <v>Abrir facsímil</v>
      </c>
      <c r="K822" s="3" t="s">
        <v>22</v>
      </c>
    </row>
    <row r="823" spans="1:11" ht="42" customHeight="1">
      <c r="A823" s="2" t="s">
        <v>1824</v>
      </c>
      <c r="B823" s="2" t="s">
        <v>1825</v>
      </c>
      <c r="C823" s="2" t="s">
        <v>61</v>
      </c>
      <c r="D823" s="2" t="s">
        <v>17</v>
      </c>
      <c r="E823" s="5">
        <v>-28257</v>
      </c>
      <c r="F823" s="3" t="s">
        <v>1171</v>
      </c>
      <c r="G823" s="3" t="s">
        <v>1172</v>
      </c>
      <c r="H823" s="2" t="s">
        <v>20</v>
      </c>
      <c r="I823" s="2" t="s">
        <v>1826</v>
      </c>
      <c r="J823" s="3" t="str">
        <f>HYPERLINK("https://www.boe.es/gazeta/dias/1822/08/19/pdfs/GMD-1822-243.pdf#page=4","Abrir facsímil")</f>
        <v>Abrir facsímil</v>
      </c>
      <c r="K823" s="3" t="s">
        <v>22</v>
      </c>
    </row>
    <row r="824" spans="1:11" ht="42" customHeight="1">
      <c r="A824" s="2" t="s">
        <v>1827</v>
      </c>
      <c r="B824" s="2" t="s">
        <v>1828</v>
      </c>
      <c r="C824" s="2" t="s">
        <v>28</v>
      </c>
      <c r="D824" s="2" t="s">
        <v>29</v>
      </c>
      <c r="E824" s="5">
        <v>-28243</v>
      </c>
      <c r="F824" s="3" t="s">
        <v>1829</v>
      </c>
      <c r="G824" s="3" t="s">
        <v>57</v>
      </c>
      <c r="H824" s="2" t="s">
        <v>20</v>
      </c>
      <c r="I824" s="2" t="s">
        <v>1830</v>
      </c>
      <c r="J824" s="3" t="str">
        <f>HYPERLINK("https://www.boe.es/gazeta/dias/1822/09/02/pdfs/GMD-1822-257.pdf#page=4","Abrir facsímil")</f>
        <v>Abrir facsímil</v>
      </c>
      <c r="K824" s="3" t="s">
        <v>22</v>
      </c>
    </row>
    <row r="825" spans="1:11" ht="42" customHeight="1">
      <c r="A825" s="2" t="s">
        <v>1831</v>
      </c>
      <c r="B825" s="2" t="s">
        <v>1831</v>
      </c>
      <c r="C825" s="2" t="s">
        <v>71</v>
      </c>
      <c r="D825" s="2" t="s">
        <v>17</v>
      </c>
      <c r="E825" s="5">
        <v>-28374</v>
      </c>
      <c r="F825" s="3" t="s">
        <v>171</v>
      </c>
      <c r="G825" s="3" t="s">
        <v>35</v>
      </c>
      <c r="H825" s="2" t="s">
        <v>20</v>
      </c>
      <c r="I825" s="2" t="s">
        <v>1832</v>
      </c>
      <c r="J825" s="3" t="str">
        <f>HYPERLINK("https://www.boe.es/gazeta/dias/1822/04/24/pdfs/GMD-1822-116.pdf#page=2","Abrir facsímil")</f>
        <v>Abrir facsímil</v>
      </c>
      <c r="K825" s="3" t="s">
        <v>22</v>
      </c>
    </row>
    <row r="826" spans="1:11" ht="42" customHeight="1">
      <c r="A826" s="2" t="s">
        <v>1833</v>
      </c>
      <c r="B826" s="2" t="s">
        <v>1833</v>
      </c>
      <c r="C826" s="2" t="s">
        <v>71</v>
      </c>
      <c r="D826" s="2" t="s">
        <v>17</v>
      </c>
      <c r="E826" s="5">
        <v>-28402</v>
      </c>
      <c r="F826" s="3" t="s">
        <v>473</v>
      </c>
      <c r="G826" s="3" t="s">
        <v>19</v>
      </c>
      <c r="H826" s="2" t="s">
        <v>20</v>
      </c>
      <c r="I826" s="2" t="s">
        <v>1834</v>
      </c>
      <c r="J826" s="3" t="str">
        <f>HYPERLINK("https://www.boe.es/gazeta/dias/1822/03/27/pdfs/GMD-1822-88.pdf#page=5","Abrir facsímil")</f>
        <v>Abrir facsímil</v>
      </c>
      <c r="K826" s="3" t="s">
        <v>22</v>
      </c>
    </row>
    <row r="827" spans="1:11" ht="42" customHeight="1">
      <c r="A827" s="2" t="s">
        <v>1833</v>
      </c>
      <c r="B827" s="2" t="s">
        <v>1833</v>
      </c>
      <c r="C827" s="2" t="s">
        <v>28</v>
      </c>
      <c r="D827" s="2" t="s">
        <v>29</v>
      </c>
      <c r="E827" s="5">
        <v>-28344</v>
      </c>
      <c r="F827" s="3" t="s">
        <v>524</v>
      </c>
      <c r="G827" s="3" t="s">
        <v>31</v>
      </c>
      <c r="H827" s="2" t="s">
        <v>20</v>
      </c>
      <c r="I827" s="2" t="s">
        <v>1835</v>
      </c>
      <c r="J827" s="3" t="str">
        <f>HYPERLINK("https://www.boe.es/gazeta/dias/1822/05/24/pdfs/GMD-1822-148.pdf#page=3","Abrir facsímil")</f>
        <v>Abrir facsímil</v>
      </c>
      <c r="K827" s="3" t="s">
        <v>22</v>
      </c>
    </row>
    <row r="828" spans="1:11" ht="42" customHeight="1">
      <c r="A828" s="2" t="s">
        <v>1833</v>
      </c>
      <c r="B828" s="2" t="s">
        <v>1833</v>
      </c>
      <c r="C828" s="2" t="s">
        <v>50</v>
      </c>
      <c r="D828" s="2" t="s">
        <v>51</v>
      </c>
      <c r="E828" s="5">
        <v>-28337</v>
      </c>
      <c r="F828" s="3" t="s">
        <v>1836</v>
      </c>
      <c r="G828" s="3" t="s">
        <v>44</v>
      </c>
      <c r="H828" s="2" t="s">
        <v>20</v>
      </c>
      <c r="I828" s="2" t="s">
        <v>1837</v>
      </c>
      <c r="J828" s="3" t="str">
        <f>HYPERLINK("https://www.boe.es/gazeta/dias/1822/05/31/pdfs/GMD-1822-156.pdf#page=1","Abrir facsímil")</f>
        <v>Abrir facsímil</v>
      </c>
      <c r="K828" s="3" t="s">
        <v>22</v>
      </c>
    </row>
    <row r="829" spans="1:11" ht="42" customHeight="1">
      <c r="A829" s="2" t="s">
        <v>1833</v>
      </c>
      <c r="B829" s="2" t="s">
        <v>1833</v>
      </c>
      <c r="C829" s="2" t="s">
        <v>50</v>
      </c>
      <c r="D829" s="2" t="s">
        <v>51</v>
      </c>
      <c r="E829" s="5">
        <v>-28309</v>
      </c>
      <c r="F829" s="3" t="s">
        <v>553</v>
      </c>
      <c r="G829" s="3" t="s">
        <v>57</v>
      </c>
      <c r="H829" s="2" t="s">
        <v>20</v>
      </c>
      <c r="I829" s="2" t="s">
        <v>1838</v>
      </c>
      <c r="J829" s="3" t="str">
        <f>HYPERLINK("https://www.boe.es/gazeta/dias/1822/06/28/pdfs/GMD-1822-186.pdf#page=4","Abrir facsímil")</f>
        <v>Abrir facsímil</v>
      </c>
      <c r="K829" s="3" t="s">
        <v>22</v>
      </c>
    </row>
    <row r="830" spans="1:11" ht="42" customHeight="1">
      <c r="A830" s="2" t="s">
        <v>1839</v>
      </c>
      <c r="B830" s="2" t="s">
        <v>1840</v>
      </c>
      <c r="C830" s="2" t="s">
        <v>50</v>
      </c>
      <c r="D830" s="2" t="s">
        <v>51</v>
      </c>
      <c r="E830" s="5">
        <v>-28415</v>
      </c>
      <c r="F830" s="3" t="s">
        <v>77</v>
      </c>
      <c r="G830" s="3" t="s">
        <v>19</v>
      </c>
      <c r="H830" s="2" t="s">
        <v>20</v>
      </c>
      <c r="I830" s="2" t="s">
        <v>1841</v>
      </c>
      <c r="J830" s="3" t="str">
        <f>HYPERLINK("https://www.boe.es/gazeta/dias/1822/03/14/pdfs/GMD-1822-75.pdf#page=5","Abrir facsímil")</f>
        <v>Abrir facsímil</v>
      </c>
      <c r="K830" s="3" t="s">
        <v>22</v>
      </c>
    </row>
    <row r="831" spans="1:11" ht="42" customHeight="1">
      <c r="A831" s="2" t="s">
        <v>1842</v>
      </c>
      <c r="B831" s="2" t="s">
        <v>1843</v>
      </c>
      <c r="C831" s="2" t="s">
        <v>50</v>
      </c>
      <c r="D831" s="2" t="s">
        <v>51</v>
      </c>
      <c r="E831" s="5">
        <v>-28391</v>
      </c>
      <c r="F831" s="3" t="s">
        <v>378</v>
      </c>
      <c r="G831" s="3" t="s">
        <v>63</v>
      </c>
      <c r="H831" s="2" t="s">
        <v>20</v>
      </c>
      <c r="I831" s="2" t="s">
        <v>1844</v>
      </c>
      <c r="J831" s="3" t="str">
        <f>HYPERLINK("https://www.boe.es/gazeta/dias/1822/04/07/pdfs/GMD-1822-99.pdf#page=6","Abrir facsímil")</f>
        <v>Abrir facsímil</v>
      </c>
      <c r="K831" s="3" t="s">
        <v>22</v>
      </c>
    </row>
    <row r="832" spans="1:11" ht="42" customHeight="1">
      <c r="A832" s="2" t="s">
        <v>1845</v>
      </c>
      <c r="B832" s="2" t="s">
        <v>1846</v>
      </c>
      <c r="C832" s="2" t="s">
        <v>42</v>
      </c>
      <c r="D832" s="2" t="s">
        <v>17</v>
      </c>
      <c r="E832" s="5">
        <v>-28196</v>
      </c>
      <c r="F832" s="3" t="s">
        <v>570</v>
      </c>
      <c r="G832" s="3" t="s">
        <v>57</v>
      </c>
      <c r="H832" s="2" t="s">
        <v>20</v>
      </c>
      <c r="I832" s="2" t="s">
        <v>1847</v>
      </c>
      <c r="J832" s="3" t="str">
        <f>HYPERLINK("https://www.boe.es/gazeta/dias/1822/10/19/pdfs/GMD-1822-306.pdf#page=4","Abrir facsímil")</f>
        <v>Abrir facsímil</v>
      </c>
      <c r="K832" s="3" t="s">
        <v>22</v>
      </c>
    </row>
    <row r="833" spans="1:11" ht="42" customHeight="1">
      <c r="A833" s="2" t="s">
        <v>1848</v>
      </c>
      <c r="B833" s="2" t="s">
        <v>1849</v>
      </c>
      <c r="C833" s="2" t="s">
        <v>28</v>
      </c>
      <c r="D833" s="2" t="s">
        <v>29</v>
      </c>
      <c r="E833" s="5">
        <v>-28419</v>
      </c>
      <c r="F833" s="3" t="s">
        <v>1392</v>
      </c>
      <c r="G833" s="3" t="s">
        <v>63</v>
      </c>
      <c r="H833" s="2" t="s">
        <v>45</v>
      </c>
      <c r="I833" s="2" t="s">
        <v>1850</v>
      </c>
      <c r="J833" s="3" t="str">
        <f>HYPERLINK("https://www.boe.es/gazeta/dias/1822/03/10/pdfs/GMD-1822-71.pdf#page=6","Abrir facsímil")</f>
        <v>Abrir facsímil</v>
      </c>
      <c r="K833" s="3" t="s">
        <v>47</v>
      </c>
    </row>
    <row r="834" spans="1:11" ht="42" customHeight="1">
      <c r="A834" s="2" t="s">
        <v>1851</v>
      </c>
      <c r="B834" s="2" t="s">
        <v>1852</v>
      </c>
      <c r="C834" s="2" t="s">
        <v>50</v>
      </c>
      <c r="D834" s="2" t="s">
        <v>51</v>
      </c>
      <c r="E834" s="5">
        <v>-28286</v>
      </c>
      <c r="F834" s="3" t="s">
        <v>1853</v>
      </c>
      <c r="G834" s="3" t="s">
        <v>57</v>
      </c>
      <c r="H834" s="2" t="s">
        <v>20</v>
      </c>
      <c r="I834" s="2" t="s">
        <v>1854</v>
      </c>
      <c r="J834" s="3" t="str">
        <f>HYPERLINK("https://www.boe.es/gazeta/dias/1822/07/21/pdfs/GMD-1822-213.pdf#page=4","Abrir facsímil")</f>
        <v>Abrir facsímil</v>
      </c>
      <c r="K834" s="3" t="s">
        <v>22</v>
      </c>
    </row>
    <row r="835" spans="1:11" ht="42" customHeight="1">
      <c r="A835" s="2" t="s">
        <v>1855</v>
      </c>
      <c r="B835" s="2" t="s">
        <v>1856</v>
      </c>
      <c r="C835" s="2" t="s">
        <v>50</v>
      </c>
      <c r="D835" s="2" t="s">
        <v>51</v>
      </c>
      <c r="E835" s="5">
        <v>-28172</v>
      </c>
      <c r="F835" s="3" t="s">
        <v>674</v>
      </c>
      <c r="G835" s="3" t="s">
        <v>57</v>
      </c>
      <c r="H835" s="2" t="s">
        <v>20</v>
      </c>
      <c r="I835" s="2" t="s">
        <v>1857</v>
      </c>
      <c r="J835" s="3" t="str">
        <f>HYPERLINK("https://www.boe.es/gazeta/dias/1822/11/12/pdfs/GMD-1822-332.pdf#page=4","Abrir facsímil")</f>
        <v>Abrir facsímil</v>
      </c>
      <c r="K835" s="3" t="s">
        <v>22</v>
      </c>
    </row>
    <row r="836" spans="1:11" ht="42" customHeight="1">
      <c r="A836" s="2" t="s">
        <v>1858</v>
      </c>
      <c r="B836" s="2" t="s">
        <v>1859</v>
      </c>
      <c r="C836" s="2" t="s">
        <v>24</v>
      </c>
      <c r="D836" s="2" t="s">
        <v>17</v>
      </c>
      <c r="E836" s="5">
        <v>-28273</v>
      </c>
      <c r="F836" s="3" t="s">
        <v>1063</v>
      </c>
      <c r="G836" s="3" t="s">
        <v>57</v>
      </c>
      <c r="H836" s="2" t="s">
        <v>20</v>
      </c>
      <c r="I836" s="2" t="s">
        <v>1860</v>
      </c>
      <c r="J836" s="3" t="str">
        <f>HYPERLINK("https://www.boe.es/gazeta/dias/1822/08/03/pdfs/GMD-1822-227.pdf#page=4","Abrir facsímil")</f>
        <v>Abrir facsímil</v>
      </c>
      <c r="K836" s="3" t="s">
        <v>22</v>
      </c>
    </row>
    <row r="837" spans="1:11" ht="42" customHeight="1">
      <c r="A837" s="2" t="s">
        <v>1861</v>
      </c>
      <c r="B837" s="2" t="s">
        <v>1862</v>
      </c>
      <c r="C837" s="2" t="s">
        <v>50</v>
      </c>
      <c r="D837" s="2" t="s">
        <v>51</v>
      </c>
      <c r="E837" s="5">
        <v>-28290</v>
      </c>
      <c r="F837" s="3" t="s">
        <v>706</v>
      </c>
      <c r="G837" s="3" t="s">
        <v>35</v>
      </c>
      <c r="H837" s="2" t="s">
        <v>20</v>
      </c>
      <c r="I837" s="2" t="s">
        <v>1863</v>
      </c>
      <c r="J837" s="3" t="str">
        <f>HYPERLINK("https://www.boe.es/gazeta/dias/1822/07/17/pdfs/GMD-1822-207.pdf#page=2","Abrir facsímil")</f>
        <v>Abrir facsímil</v>
      </c>
      <c r="K837" s="3" t="s">
        <v>22</v>
      </c>
    </row>
    <row r="838" spans="1:11" ht="42" customHeight="1">
      <c r="A838" s="2" t="s">
        <v>1864</v>
      </c>
      <c r="B838" s="2" t="s">
        <v>1865</v>
      </c>
      <c r="C838" s="2" t="s">
        <v>42</v>
      </c>
      <c r="D838" s="2" t="s">
        <v>17</v>
      </c>
      <c r="E838" s="5">
        <v>-28290</v>
      </c>
      <c r="F838" s="3" t="s">
        <v>706</v>
      </c>
      <c r="G838" s="3" t="s">
        <v>31</v>
      </c>
      <c r="H838" s="2" t="s">
        <v>20</v>
      </c>
      <c r="I838" s="2" t="s">
        <v>1866</v>
      </c>
      <c r="J838" s="3" t="str">
        <f>HYPERLINK("https://www.boe.es/gazeta/dias/1822/07/17/pdfs/GMD-1822-207.pdf#page=3","Abrir facsímil")</f>
        <v>Abrir facsímil</v>
      </c>
      <c r="K838" s="3" t="s">
        <v>22</v>
      </c>
    </row>
    <row r="839" spans="1:11" ht="42" customHeight="1">
      <c r="A839" s="2" t="s">
        <v>1867</v>
      </c>
      <c r="B839" s="2" t="s">
        <v>1868</v>
      </c>
      <c r="C839" s="2" t="s">
        <v>71</v>
      </c>
      <c r="D839" s="2" t="s">
        <v>17</v>
      </c>
      <c r="E839" s="5">
        <v>-28243</v>
      </c>
      <c r="F839" s="3" t="s">
        <v>1829</v>
      </c>
      <c r="G839" s="3" t="s">
        <v>57</v>
      </c>
      <c r="H839" s="2" t="s">
        <v>20</v>
      </c>
      <c r="I839" s="2" t="s">
        <v>1869</v>
      </c>
      <c r="J839" s="3" t="str">
        <f>HYPERLINK("https://www.boe.es/gazeta/dias/1822/09/02/pdfs/GMD-1822-257.pdf#page=4","Abrir facsímil")</f>
        <v>Abrir facsímil</v>
      </c>
      <c r="K839" s="3" t="s">
        <v>22</v>
      </c>
    </row>
    <row r="840" spans="1:11" ht="42" customHeight="1">
      <c r="A840" s="2" t="s">
        <v>1870</v>
      </c>
      <c r="B840" s="2" t="s">
        <v>1871</v>
      </c>
      <c r="C840" s="2" t="s">
        <v>50</v>
      </c>
      <c r="D840" s="2" t="s">
        <v>51</v>
      </c>
      <c r="E840" s="5">
        <v>-28290</v>
      </c>
      <c r="F840" s="3" t="s">
        <v>706</v>
      </c>
      <c r="G840" s="3" t="s">
        <v>35</v>
      </c>
      <c r="H840" s="2" t="s">
        <v>20</v>
      </c>
      <c r="I840" s="2" t="s">
        <v>1872</v>
      </c>
      <c r="J840" s="3" t="str">
        <f>HYPERLINK("https://www.boe.es/gazeta/dias/1822/07/17/pdfs/GMD-1822-207.pdf#page=2","Abrir facsímil")</f>
        <v>Abrir facsímil</v>
      </c>
      <c r="K840" s="3" t="s">
        <v>22</v>
      </c>
    </row>
    <row r="841" spans="1:11" ht="42" customHeight="1">
      <c r="A841" s="2" t="s">
        <v>1873</v>
      </c>
      <c r="B841" s="2" t="s">
        <v>1874</v>
      </c>
      <c r="C841" s="2" t="s">
        <v>24</v>
      </c>
      <c r="D841" s="2" t="s">
        <v>17</v>
      </c>
      <c r="E841" s="5">
        <v>-28286</v>
      </c>
      <c r="F841" s="3" t="s">
        <v>1853</v>
      </c>
      <c r="G841" s="3" t="s">
        <v>57</v>
      </c>
      <c r="H841" s="2" t="s">
        <v>20</v>
      </c>
      <c r="I841" s="2" t="s">
        <v>1875</v>
      </c>
      <c r="J841" s="3" t="str">
        <f>HYPERLINK("https://www.boe.es/gazeta/dias/1822/07/21/pdfs/GMD-1822-213.pdf#page=4","Abrir facsímil")</f>
        <v>Abrir facsímil</v>
      </c>
      <c r="K841" s="3" t="s">
        <v>22</v>
      </c>
    </row>
    <row r="842" spans="1:11" ht="42" customHeight="1">
      <c r="A842" s="2" t="s">
        <v>1876</v>
      </c>
      <c r="B842" s="2" t="s">
        <v>1877</v>
      </c>
      <c r="C842" s="2" t="s">
        <v>50</v>
      </c>
      <c r="D842" s="2" t="s">
        <v>51</v>
      </c>
      <c r="E842" s="5">
        <v>-28266</v>
      </c>
      <c r="F842" s="3" t="s">
        <v>1169</v>
      </c>
      <c r="G842" s="3" t="s">
        <v>31</v>
      </c>
      <c r="H842" s="2" t="s">
        <v>20</v>
      </c>
      <c r="I842" s="2" t="s">
        <v>1878</v>
      </c>
      <c r="J842" s="3" t="str">
        <f>HYPERLINK("https://www.boe.es/gazeta/dias/1822/08/10/pdfs/GMD-1822-234.pdf#page=3","Abrir facsímil")</f>
        <v>Abrir facsímil</v>
      </c>
      <c r="K842" s="3" t="s">
        <v>22</v>
      </c>
    </row>
    <row r="843" spans="1:11" ht="42" customHeight="1">
      <c r="A843" s="2" t="s">
        <v>1879</v>
      </c>
      <c r="B843" s="2" t="s">
        <v>1880</v>
      </c>
      <c r="C843" s="2" t="s">
        <v>16</v>
      </c>
      <c r="D843" s="2" t="s">
        <v>17</v>
      </c>
      <c r="E843" s="5">
        <v>-28414</v>
      </c>
      <c r="F843" s="3" t="s">
        <v>187</v>
      </c>
      <c r="G843" s="3" t="s">
        <v>31</v>
      </c>
      <c r="H843" s="2" t="s">
        <v>20</v>
      </c>
      <c r="I843" s="2" t="s">
        <v>1881</v>
      </c>
      <c r="J843" s="3" t="str">
        <f>HYPERLINK("https://www.boe.es/gazeta/dias/1822/03/15/pdfs/GMD-1822-76.pdf#page=3","Abrir facsímil")</f>
        <v>Abrir facsímil</v>
      </c>
      <c r="K843" s="3" t="s">
        <v>22</v>
      </c>
    </row>
    <row r="844" spans="1:11" ht="42" customHeight="1">
      <c r="A844" s="2" t="s">
        <v>1882</v>
      </c>
      <c r="B844" s="2" t="s">
        <v>1883</v>
      </c>
      <c r="C844" s="2" t="s">
        <v>50</v>
      </c>
      <c r="D844" s="2" t="s">
        <v>51</v>
      </c>
      <c r="E844" s="5">
        <v>-28226</v>
      </c>
      <c r="F844" s="3" t="s">
        <v>812</v>
      </c>
      <c r="G844" s="3" t="s">
        <v>35</v>
      </c>
      <c r="H844" s="2" t="s">
        <v>45</v>
      </c>
      <c r="I844" s="2" t="s">
        <v>1884</v>
      </c>
      <c r="J844" s="3" t="str">
        <f>HYPERLINK("https://www.boe.es/gazeta/dias/1822/09/19/pdfs/GMD-1822-275.pdf#page=2","Abrir facsímil")</f>
        <v>Abrir facsímil</v>
      </c>
      <c r="K844" s="3" t="s">
        <v>47</v>
      </c>
    </row>
    <row r="845" spans="1:11" ht="42" customHeight="1">
      <c r="A845" s="2" t="s">
        <v>1885</v>
      </c>
      <c r="B845" s="2" t="s">
        <v>1886</v>
      </c>
      <c r="C845" s="2" t="s">
        <v>71</v>
      </c>
      <c r="D845" s="2" t="s">
        <v>17</v>
      </c>
      <c r="E845" s="5">
        <v>-28237</v>
      </c>
      <c r="F845" s="3" t="s">
        <v>878</v>
      </c>
      <c r="G845" s="3" t="s">
        <v>57</v>
      </c>
      <c r="H845" s="2" t="s">
        <v>20</v>
      </c>
      <c r="I845" s="2" t="s">
        <v>1887</v>
      </c>
      <c r="J845" s="3" t="str">
        <f>HYPERLINK("https://www.boe.es/gazeta/dias/1822/09/08/pdfs/GMD-1822-264.pdf#page=4","Abrir facsímil")</f>
        <v>Abrir facsímil</v>
      </c>
      <c r="K845" s="3" t="s">
        <v>22</v>
      </c>
    </row>
    <row r="846" spans="1:11" ht="42" customHeight="1">
      <c r="A846" s="2" t="s">
        <v>1888</v>
      </c>
      <c r="B846" s="2" t="s">
        <v>1889</v>
      </c>
      <c r="C846" s="2" t="s">
        <v>28</v>
      </c>
      <c r="D846" s="2" t="s">
        <v>29</v>
      </c>
      <c r="E846" s="5">
        <v>-28426</v>
      </c>
      <c r="F846" s="3" t="s">
        <v>1178</v>
      </c>
      <c r="G846" s="3" t="s">
        <v>31</v>
      </c>
      <c r="H846" s="2" t="s">
        <v>20</v>
      </c>
      <c r="I846" s="2" t="s">
        <v>1890</v>
      </c>
      <c r="J846" s="3" t="str">
        <f>HYPERLINK("https://www.boe.es/gazeta/dias/1822/03/03/pdfs/GMD-1822-64.pdf#page=3","Abrir facsímil")</f>
        <v>Abrir facsímil</v>
      </c>
      <c r="K846" s="3" t="s">
        <v>22</v>
      </c>
    </row>
    <row r="847" spans="1:11" ht="42" customHeight="1">
      <c r="A847" s="2" t="s">
        <v>1891</v>
      </c>
      <c r="B847" s="2" t="s">
        <v>1891</v>
      </c>
      <c r="C847" s="2" t="s">
        <v>50</v>
      </c>
      <c r="D847" s="2" t="s">
        <v>51</v>
      </c>
      <c r="E847" s="5">
        <v>-28217</v>
      </c>
      <c r="F847" s="3" t="s">
        <v>1892</v>
      </c>
      <c r="G847" s="3" t="s">
        <v>44</v>
      </c>
      <c r="H847" s="2" t="s">
        <v>20</v>
      </c>
      <c r="I847" s="2" t="s">
        <v>1893</v>
      </c>
      <c r="J847" s="3" t="str">
        <f>HYPERLINK("https://www.boe.es/gazeta/dias/1822/09/28/pdfs/GMD-1822-284.pdf#page=1","Abrir facsímil")</f>
        <v>Abrir facsímil</v>
      </c>
      <c r="K847" s="3" t="s">
        <v>22</v>
      </c>
    </row>
    <row r="848" spans="1:11" ht="42" customHeight="1">
      <c r="A848" s="2" t="s">
        <v>1894</v>
      </c>
      <c r="B848" s="2" t="s">
        <v>1894</v>
      </c>
      <c r="C848" s="2" t="s">
        <v>42</v>
      </c>
      <c r="D848" s="2" t="s">
        <v>17</v>
      </c>
      <c r="E848" s="5">
        <v>-28310</v>
      </c>
      <c r="F848" s="3" t="s">
        <v>241</v>
      </c>
      <c r="G848" s="3" t="s">
        <v>35</v>
      </c>
      <c r="H848" s="2" t="s">
        <v>20</v>
      </c>
      <c r="I848" s="2" t="s">
        <v>1895</v>
      </c>
      <c r="J848" s="3" t="str">
        <f>HYPERLINK("https://www.boe.es/gazeta/dias/1822/06/27/pdfs/GMD-1822-185.pdf#page=2","Abrir facsímil")</f>
        <v>Abrir facsímil</v>
      </c>
      <c r="K848" s="3" t="s">
        <v>22</v>
      </c>
    </row>
    <row r="849" spans="1:11" ht="42" customHeight="1">
      <c r="A849" s="2" t="s">
        <v>1896</v>
      </c>
      <c r="B849" s="2" t="s">
        <v>1896</v>
      </c>
      <c r="C849" s="2" t="s">
        <v>28</v>
      </c>
      <c r="D849" s="2" t="s">
        <v>29</v>
      </c>
      <c r="E849" s="5">
        <v>-28181</v>
      </c>
      <c r="F849" s="3" t="s">
        <v>739</v>
      </c>
      <c r="G849" s="3" t="s">
        <v>19</v>
      </c>
      <c r="H849" s="2" t="s">
        <v>20</v>
      </c>
      <c r="I849" s="2" t="s">
        <v>1897</v>
      </c>
      <c r="J849" s="3" t="str">
        <f>HYPERLINK("https://www.boe.es/gazeta/dias/1822/11/03/pdfs/GMD-1822-321.pdf#page=5","Abrir facsímil")</f>
        <v>Abrir facsímil</v>
      </c>
      <c r="K849" s="3" t="s">
        <v>22</v>
      </c>
    </row>
    <row r="850" spans="1:11" ht="42" customHeight="1">
      <c r="A850" s="2" t="s">
        <v>1898</v>
      </c>
      <c r="B850" s="2" t="s">
        <v>1898</v>
      </c>
      <c r="C850" s="2" t="s">
        <v>50</v>
      </c>
      <c r="D850" s="2" t="s">
        <v>51</v>
      </c>
      <c r="E850" s="5">
        <v>-28411</v>
      </c>
      <c r="F850" s="3" t="s">
        <v>1509</v>
      </c>
      <c r="G850" s="3" t="s">
        <v>35</v>
      </c>
      <c r="H850" s="2" t="s">
        <v>20</v>
      </c>
      <c r="I850" s="2" t="s">
        <v>1899</v>
      </c>
      <c r="J850" s="3" t="str">
        <f>HYPERLINK("https://www.boe.es/gazeta/dias/1822/03/18/pdfs/GMD-1822-79.pdf#page=2","Abrir facsímil")</f>
        <v>Abrir facsímil</v>
      </c>
      <c r="K850" s="3" t="s">
        <v>22</v>
      </c>
    </row>
    <row r="851" spans="1:11" ht="42" customHeight="1">
      <c r="A851" s="2" t="s">
        <v>1900</v>
      </c>
      <c r="B851" s="2" t="s">
        <v>1900</v>
      </c>
      <c r="C851" s="2" t="s">
        <v>71</v>
      </c>
      <c r="D851" s="2" t="s">
        <v>17</v>
      </c>
      <c r="E851" s="5">
        <v>-28325</v>
      </c>
      <c r="F851" s="3" t="s">
        <v>104</v>
      </c>
      <c r="G851" s="3" t="s">
        <v>44</v>
      </c>
      <c r="H851" s="2" t="s">
        <v>20</v>
      </c>
      <c r="I851" s="2" t="s">
        <v>1901</v>
      </c>
      <c r="J851" s="3" t="str">
        <f>HYPERLINK("https://www.boe.es/gazeta/dias/1822/06/12/pdfs/GMD-1822-169.pdf#page=1","Abrir facsímil")</f>
        <v>Abrir facsímil</v>
      </c>
      <c r="K851" s="3" t="s">
        <v>22</v>
      </c>
    </row>
    <row r="852" spans="1:11" ht="42" customHeight="1">
      <c r="A852" s="2" t="s">
        <v>1900</v>
      </c>
      <c r="B852" s="2" t="s">
        <v>1900</v>
      </c>
      <c r="C852" s="2" t="s">
        <v>50</v>
      </c>
      <c r="D852" s="2" t="s">
        <v>51</v>
      </c>
      <c r="E852" s="5">
        <v>-28224</v>
      </c>
      <c r="F852" s="3" t="s">
        <v>1902</v>
      </c>
      <c r="G852" s="3" t="s">
        <v>31</v>
      </c>
      <c r="H852" s="2" t="s">
        <v>20</v>
      </c>
      <c r="I852" s="2" t="s">
        <v>1903</v>
      </c>
      <c r="J852" s="3" t="str">
        <f>HYPERLINK("https://www.boe.es/gazeta/dias/1822/09/21/pdfs/GMD-1822-277.pdf#page=3","Abrir facsímil")</f>
        <v>Abrir facsímil</v>
      </c>
      <c r="K852" s="3" t="s">
        <v>22</v>
      </c>
    </row>
    <row r="853" spans="1:11" ht="42" customHeight="1">
      <c r="A853" s="2" t="s">
        <v>1904</v>
      </c>
      <c r="B853" s="2" t="s">
        <v>1904</v>
      </c>
      <c r="C853" s="2" t="s">
        <v>50</v>
      </c>
      <c r="D853" s="2" t="s">
        <v>51</v>
      </c>
      <c r="E853" s="5">
        <v>-28415</v>
      </c>
      <c r="F853" s="3" t="s">
        <v>77</v>
      </c>
      <c r="G853" s="3" t="s">
        <v>35</v>
      </c>
      <c r="H853" s="2" t="s">
        <v>20</v>
      </c>
      <c r="I853" s="2" t="s">
        <v>1905</v>
      </c>
      <c r="J853" s="3" t="str">
        <f>HYPERLINK("https://www.boe.es/gazeta/dias/1822/03/14/pdfs/GMD-1822-75.pdf#page=2","Abrir facsímil")</f>
        <v>Abrir facsímil</v>
      </c>
      <c r="K853" s="3" t="s">
        <v>22</v>
      </c>
    </row>
    <row r="854" spans="1:11" ht="42" customHeight="1">
      <c r="A854" s="2" t="s">
        <v>1904</v>
      </c>
      <c r="B854" s="2" t="s">
        <v>1904</v>
      </c>
      <c r="C854" s="2" t="s">
        <v>50</v>
      </c>
      <c r="D854" s="2" t="s">
        <v>51</v>
      </c>
      <c r="E854" s="5">
        <v>-28415</v>
      </c>
      <c r="F854" s="3" t="s">
        <v>77</v>
      </c>
      <c r="G854" s="3" t="s">
        <v>63</v>
      </c>
      <c r="H854" s="2" t="s">
        <v>20</v>
      </c>
      <c r="I854" s="2" t="s">
        <v>1906</v>
      </c>
      <c r="J854" s="3" t="str">
        <f>HYPERLINK("https://www.boe.es/gazeta/dias/1822/03/14/pdfs/GMD-1822-75.pdf#page=6","Abrir facsímil")</f>
        <v>Abrir facsímil</v>
      </c>
      <c r="K854" s="3" t="s">
        <v>22</v>
      </c>
    </row>
    <row r="855" spans="1:11" ht="42" customHeight="1">
      <c r="A855" s="2" t="s">
        <v>1904</v>
      </c>
      <c r="B855" s="2" t="s">
        <v>1904</v>
      </c>
      <c r="C855" s="2" t="s">
        <v>71</v>
      </c>
      <c r="D855" s="2" t="s">
        <v>17</v>
      </c>
      <c r="E855" s="5">
        <v>-28346</v>
      </c>
      <c r="F855" s="3" t="s">
        <v>191</v>
      </c>
      <c r="G855" s="3" t="s">
        <v>63</v>
      </c>
      <c r="H855" s="2" t="s">
        <v>20</v>
      </c>
      <c r="I855" s="2" t="s">
        <v>1907</v>
      </c>
      <c r="J855" s="3" t="str">
        <f>HYPERLINK("https://www.boe.es/gazeta/dias/1822/05/22/pdfs/GMD-1822-145.pdf#page=6","Abrir facsímil")</f>
        <v>Abrir facsímil</v>
      </c>
      <c r="K855" s="3" t="s">
        <v>22</v>
      </c>
    </row>
    <row r="856" spans="1:11" ht="42" customHeight="1">
      <c r="A856" s="2" t="s">
        <v>1904</v>
      </c>
      <c r="B856" s="2" t="s">
        <v>1904</v>
      </c>
      <c r="C856" s="2" t="s">
        <v>50</v>
      </c>
      <c r="D856" s="2" t="s">
        <v>51</v>
      </c>
      <c r="E856" s="5">
        <v>-28303</v>
      </c>
      <c r="F856" s="3" t="s">
        <v>201</v>
      </c>
      <c r="G856" s="3" t="s">
        <v>31</v>
      </c>
      <c r="H856" s="2" t="s">
        <v>20</v>
      </c>
      <c r="I856" s="2" t="s">
        <v>1908</v>
      </c>
      <c r="J856" s="3" t="str">
        <f>HYPERLINK("https://www.boe.es/gazeta/dias/1822/07/04/pdfs/GMD-1822-193.pdf#page=3","Abrir facsímil")</f>
        <v>Abrir facsímil</v>
      </c>
      <c r="K856" s="3" t="s">
        <v>22</v>
      </c>
    </row>
    <row r="857" spans="1:11" ht="42" customHeight="1">
      <c r="A857" s="2" t="s">
        <v>1904</v>
      </c>
      <c r="B857" s="2" t="s">
        <v>1904</v>
      </c>
      <c r="C857" s="2" t="s">
        <v>50</v>
      </c>
      <c r="D857" s="2" t="s">
        <v>51</v>
      </c>
      <c r="E857" s="5">
        <v>-28148</v>
      </c>
      <c r="F857" s="3" t="s">
        <v>1909</v>
      </c>
      <c r="G857" s="3" t="s">
        <v>44</v>
      </c>
      <c r="H857" s="2" t="s">
        <v>20</v>
      </c>
      <c r="I857" s="2" t="s">
        <v>1910</v>
      </c>
      <c r="J857" s="3" t="str">
        <f>HYPERLINK("https://www.boe.es/gazeta/dias/1822/12/06/pdfs/GMD-1822-356.pdf#page=1","Abrir facsímil")</f>
        <v>Abrir facsímil</v>
      </c>
      <c r="K857" s="3" t="s">
        <v>22</v>
      </c>
    </row>
    <row r="858" spans="1:11" ht="42" customHeight="1">
      <c r="A858" s="2" t="s">
        <v>1911</v>
      </c>
      <c r="B858" s="2" t="s">
        <v>1911</v>
      </c>
      <c r="C858" s="2" t="s">
        <v>71</v>
      </c>
      <c r="D858" s="2" t="s">
        <v>17</v>
      </c>
      <c r="E858" s="5">
        <v>-28259</v>
      </c>
      <c r="F858" s="3" t="s">
        <v>1912</v>
      </c>
      <c r="G858" s="3" t="s">
        <v>44</v>
      </c>
      <c r="H858" s="2" t="s">
        <v>20</v>
      </c>
      <c r="I858" s="2" t="s">
        <v>1913</v>
      </c>
      <c r="J858" s="3" t="str">
        <f>HYPERLINK("https://www.boe.es/gazeta/dias/1822/08/17/pdfs/GMD-1822-241.pdf#page=1","Abrir facsímil")</f>
        <v>Abrir facsímil</v>
      </c>
      <c r="K858" s="3" t="s">
        <v>22</v>
      </c>
    </row>
    <row r="859" spans="1:11" ht="42" customHeight="1">
      <c r="A859" s="2" t="s">
        <v>1911</v>
      </c>
      <c r="B859" s="2" t="s">
        <v>1911</v>
      </c>
      <c r="C859" s="2" t="s">
        <v>50</v>
      </c>
      <c r="D859" s="2" t="s">
        <v>51</v>
      </c>
      <c r="E859" s="5">
        <v>-28220</v>
      </c>
      <c r="F859" s="3" t="s">
        <v>1914</v>
      </c>
      <c r="G859" s="3" t="s">
        <v>1915</v>
      </c>
      <c r="H859" s="2" t="s">
        <v>20</v>
      </c>
      <c r="I859" s="2" t="s">
        <v>1916</v>
      </c>
      <c r="J859" s="3" t="str">
        <f>HYPERLINK("https://www.boe.es/gazeta/dias/1822/09/25/pdfs/GMD-1822-281.pdf#page=3","Abrir facsímil")</f>
        <v>Abrir facsímil</v>
      </c>
      <c r="K859" s="3" t="s">
        <v>22</v>
      </c>
    </row>
    <row r="860" spans="1:11" ht="42" customHeight="1">
      <c r="A860" s="2" t="s">
        <v>1917</v>
      </c>
      <c r="B860" s="2" t="s">
        <v>1917</v>
      </c>
      <c r="C860" s="2" t="s">
        <v>71</v>
      </c>
      <c r="D860" s="2" t="s">
        <v>17</v>
      </c>
      <c r="E860" s="5">
        <v>-28354</v>
      </c>
      <c r="F860" s="3" t="s">
        <v>226</v>
      </c>
      <c r="G860" s="3" t="s">
        <v>44</v>
      </c>
      <c r="H860" s="2" t="s">
        <v>20</v>
      </c>
      <c r="I860" s="2" t="s">
        <v>1918</v>
      </c>
      <c r="J860" s="3" t="str">
        <f>HYPERLINK("https://www.boe.es/gazeta/dias/1822/05/14/pdfs/GMD-1822-136.pdf#page=1","Abrir facsímil")</f>
        <v>Abrir facsímil</v>
      </c>
      <c r="K860" s="3" t="s">
        <v>22</v>
      </c>
    </row>
    <row r="861" spans="1:11" ht="42" customHeight="1">
      <c r="A861" s="2" t="s">
        <v>1919</v>
      </c>
      <c r="B861" s="2" t="s">
        <v>1920</v>
      </c>
      <c r="C861" s="2" t="s">
        <v>42</v>
      </c>
      <c r="D861" s="2" t="s">
        <v>17</v>
      </c>
      <c r="E861" s="5">
        <v>-28330</v>
      </c>
      <c r="F861" s="3" t="s">
        <v>896</v>
      </c>
      <c r="G861" s="3" t="s">
        <v>57</v>
      </c>
      <c r="H861" s="2" t="s">
        <v>20</v>
      </c>
      <c r="I861" s="2" t="s">
        <v>1921</v>
      </c>
      <c r="J861" s="3" t="str">
        <f>HYPERLINK("https://www.boe.es/gazeta/dias/1822/06/07/pdfs/GMD-1822-164.pdf#page=4","Abrir facsímil")</f>
        <v>Abrir facsímil</v>
      </c>
      <c r="K861" s="3" t="s">
        <v>22</v>
      </c>
    </row>
    <row r="862" spans="1:11" ht="42" customHeight="1">
      <c r="A862" s="2" t="s">
        <v>1922</v>
      </c>
      <c r="B862" s="2" t="s">
        <v>1923</v>
      </c>
      <c r="C862" s="2" t="s">
        <v>16</v>
      </c>
      <c r="D862" s="2" t="s">
        <v>17</v>
      </c>
      <c r="E862" s="5">
        <v>-28428</v>
      </c>
      <c r="F862" s="3" t="s">
        <v>1924</v>
      </c>
      <c r="G862" s="3" t="s">
        <v>57</v>
      </c>
      <c r="H862" s="2" t="s">
        <v>45</v>
      </c>
      <c r="I862" s="2" t="s">
        <v>1925</v>
      </c>
      <c r="J862" s="3" t="str">
        <f>HYPERLINK("https://www.boe.es/gazeta/dias/1822/03/01/pdfs/GMD-1822-61.pdf#page=4","Abrir facsímil")</f>
        <v>Abrir facsímil</v>
      </c>
      <c r="K862" s="3" t="s">
        <v>47</v>
      </c>
    </row>
    <row r="863" spans="1:11" ht="42" customHeight="1">
      <c r="A863" s="2" t="s">
        <v>1926</v>
      </c>
      <c r="B863" s="2" t="s">
        <v>1927</v>
      </c>
      <c r="C863" s="2" t="s">
        <v>50</v>
      </c>
      <c r="D863" s="2" t="s">
        <v>51</v>
      </c>
      <c r="E863" s="5">
        <v>-28333</v>
      </c>
      <c r="F863" s="3" t="s">
        <v>1928</v>
      </c>
      <c r="G863" s="3" t="s">
        <v>35</v>
      </c>
      <c r="H863" s="2" t="s">
        <v>45</v>
      </c>
      <c r="I863" s="2" t="s">
        <v>1929</v>
      </c>
      <c r="J863" s="3" t="str">
        <f>HYPERLINK("https://www.boe.es/gazeta/dias/1822/06/04/pdfs/GMD-1822-161.pdf#page=2","Abrir facsímil")</f>
        <v>Abrir facsímil</v>
      </c>
      <c r="K863" s="3" t="s">
        <v>47</v>
      </c>
    </row>
    <row r="864" spans="1:11" ht="42" customHeight="1">
      <c r="A864" s="2" t="s">
        <v>1930</v>
      </c>
      <c r="B864" s="2" t="s">
        <v>1931</v>
      </c>
      <c r="C864" s="2" t="s">
        <v>50</v>
      </c>
      <c r="D864" s="2" t="s">
        <v>51</v>
      </c>
      <c r="E864" s="5">
        <v>-28379</v>
      </c>
      <c r="F864" s="3" t="s">
        <v>494</v>
      </c>
      <c r="G864" s="3" t="s">
        <v>35</v>
      </c>
      <c r="H864" s="2" t="s">
        <v>45</v>
      </c>
      <c r="I864" s="2" t="s">
        <v>1932</v>
      </c>
      <c r="J864" s="3" t="str">
        <f>HYPERLINK("https://www.boe.es/gazeta/dias/1822/04/19/pdfs/GMD-1822-111.pdf#page=2","Abrir facsímil")</f>
        <v>Abrir facsímil</v>
      </c>
      <c r="K864" s="3" t="s">
        <v>47</v>
      </c>
    </row>
    <row r="865" spans="1:11" ht="42" customHeight="1">
      <c r="A865" s="2" t="s">
        <v>1933</v>
      </c>
      <c r="B865" s="2" t="s">
        <v>1933</v>
      </c>
      <c r="C865" s="2" t="s">
        <v>50</v>
      </c>
      <c r="D865" s="2" t="s">
        <v>51</v>
      </c>
      <c r="E865" s="5">
        <v>-28475</v>
      </c>
      <c r="F865" s="3" t="s">
        <v>1205</v>
      </c>
      <c r="G865" s="3" t="s">
        <v>63</v>
      </c>
      <c r="H865" s="2" t="s">
        <v>20</v>
      </c>
      <c r="I865" s="2" t="s">
        <v>1934</v>
      </c>
      <c r="J865" s="3" t="str">
        <f>HYPERLINK("https://www.boe.es/gazeta/dias/1822/01/13/pdfs/GMD-1822-13.pdf#page=6","Abrir facsímil")</f>
        <v>Abrir facsímil</v>
      </c>
      <c r="K865" s="3" t="s">
        <v>22</v>
      </c>
    </row>
    <row r="866" spans="1:11" ht="42" customHeight="1">
      <c r="A866" s="2" t="s">
        <v>1933</v>
      </c>
      <c r="B866" s="2" t="s">
        <v>1933</v>
      </c>
      <c r="C866" s="2" t="s">
        <v>28</v>
      </c>
      <c r="D866" s="2" t="s">
        <v>29</v>
      </c>
      <c r="E866" s="5">
        <v>-28438</v>
      </c>
      <c r="F866" s="3" t="s">
        <v>963</v>
      </c>
      <c r="G866" s="3" t="s">
        <v>57</v>
      </c>
      <c r="H866" s="2" t="s">
        <v>20</v>
      </c>
      <c r="I866" s="2" t="s">
        <v>1935</v>
      </c>
      <c r="J866" s="3" t="str">
        <f>HYPERLINK("https://www.boe.es/gazeta/dias/1822/02/19/pdfs/GMD-1822-51.pdf#page=4","Abrir facsímil")</f>
        <v>Abrir facsímil</v>
      </c>
      <c r="K866" s="3" t="s">
        <v>22</v>
      </c>
    </row>
    <row r="867" spans="1:11" ht="42" customHeight="1">
      <c r="A867" s="2" t="s">
        <v>1933</v>
      </c>
      <c r="B867" s="2" t="s">
        <v>1933</v>
      </c>
      <c r="C867" s="2" t="s">
        <v>50</v>
      </c>
      <c r="D867" s="2" t="s">
        <v>51</v>
      </c>
      <c r="E867" s="5">
        <v>-28415</v>
      </c>
      <c r="F867" s="3" t="s">
        <v>77</v>
      </c>
      <c r="G867" s="3" t="s">
        <v>63</v>
      </c>
      <c r="H867" s="2" t="s">
        <v>20</v>
      </c>
      <c r="I867" s="2" t="s">
        <v>1936</v>
      </c>
      <c r="J867" s="3" t="str">
        <f>HYPERLINK("https://www.boe.es/gazeta/dias/1822/03/14/pdfs/GMD-1822-75.pdf#page=6","Abrir facsímil")</f>
        <v>Abrir facsímil</v>
      </c>
      <c r="K867" s="3" t="s">
        <v>22</v>
      </c>
    </row>
    <row r="868" spans="1:11" ht="42" customHeight="1">
      <c r="A868" s="2" t="s">
        <v>1933</v>
      </c>
      <c r="B868" s="2" t="s">
        <v>1933</v>
      </c>
      <c r="C868" s="2" t="s">
        <v>50</v>
      </c>
      <c r="D868" s="2" t="s">
        <v>51</v>
      </c>
      <c r="E868" s="5">
        <v>-28400</v>
      </c>
      <c r="F868" s="3" t="s">
        <v>1937</v>
      </c>
      <c r="G868" s="3" t="s">
        <v>35</v>
      </c>
      <c r="H868" s="2" t="s">
        <v>20</v>
      </c>
      <c r="I868" s="2" t="s">
        <v>1938</v>
      </c>
      <c r="J868" s="3" t="str">
        <f>HYPERLINK("https://www.boe.es/gazeta/dias/1822/03/29/pdfs/GMD-1822-90.pdf#page=2","Abrir facsímil")</f>
        <v>Abrir facsímil</v>
      </c>
      <c r="K868" s="3" t="s">
        <v>22</v>
      </c>
    </row>
    <row r="869" spans="1:11" ht="42" customHeight="1">
      <c r="A869" s="2" t="s">
        <v>1933</v>
      </c>
      <c r="B869" s="2" t="s">
        <v>1933</v>
      </c>
      <c r="C869" s="2" t="s">
        <v>28</v>
      </c>
      <c r="D869" s="2" t="s">
        <v>29</v>
      </c>
      <c r="E869" s="5">
        <v>-28391</v>
      </c>
      <c r="F869" s="3" t="s">
        <v>378</v>
      </c>
      <c r="G869" s="3" t="s">
        <v>19</v>
      </c>
      <c r="H869" s="2" t="s">
        <v>20</v>
      </c>
      <c r="I869" s="2" t="s">
        <v>1939</v>
      </c>
      <c r="J869" s="3" t="str">
        <f>HYPERLINK("https://www.boe.es/gazeta/dias/1822/04/07/pdfs/GMD-1822-99.pdf#page=5","Abrir facsímil")</f>
        <v>Abrir facsímil</v>
      </c>
      <c r="K869" s="3" t="s">
        <v>22</v>
      </c>
    </row>
    <row r="870" spans="1:11" ht="42" customHeight="1">
      <c r="A870" s="2" t="s">
        <v>1933</v>
      </c>
      <c r="B870" s="2" t="s">
        <v>1933</v>
      </c>
      <c r="C870" s="2" t="s">
        <v>42</v>
      </c>
      <c r="D870" s="2" t="s">
        <v>17</v>
      </c>
      <c r="E870" s="5">
        <v>-28390</v>
      </c>
      <c r="F870" s="3" t="s">
        <v>665</v>
      </c>
      <c r="G870" s="3" t="s">
        <v>57</v>
      </c>
      <c r="H870" s="2" t="s">
        <v>20</v>
      </c>
      <c r="I870" s="2" t="s">
        <v>1940</v>
      </c>
      <c r="J870" s="3" t="str">
        <f>HYPERLINK("https://www.boe.es/gazeta/dias/1822/04/08/pdfs/GMD-1822-100.pdf#page=4","Abrir facsímil")</f>
        <v>Abrir facsímil</v>
      </c>
      <c r="K870" s="3" t="s">
        <v>22</v>
      </c>
    </row>
    <row r="871" spans="1:11" ht="42" customHeight="1">
      <c r="A871" s="2" t="s">
        <v>1933</v>
      </c>
      <c r="B871" s="2" t="s">
        <v>1933</v>
      </c>
      <c r="C871" s="2" t="s">
        <v>71</v>
      </c>
      <c r="D871" s="2" t="s">
        <v>17</v>
      </c>
      <c r="E871" s="5">
        <v>-28346</v>
      </c>
      <c r="F871" s="3" t="s">
        <v>191</v>
      </c>
      <c r="G871" s="3" t="s">
        <v>31</v>
      </c>
      <c r="H871" s="2" t="s">
        <v>20</v>
      </c>
      <c r="I871" s="2" t="s">
        <v>1941</v>
      </c>
      <c r="J871" s="3" t="str">
        <f>HYPERLINK("https://www.boe.es/gazeta/dias/1822/05/22/pdfs/GMD-1822-145.pdf#page=3","Abrir facsímil")</f>
        <v>Abrir facsímil</v>
      </c>
      <c r="K871" s="3" t="s">
        <v>22</v>
      </c>
    </row>
    <row r="872" spans="1:11" ht="42" customHeight="1">
      <c r="A872" s="2" t="s">
        <v>1933</v>
      </c>
      <c r="B872" s="2" t="s">
        <v>1933</v>
      </c>
      <c r="C872" s="2" t="s">
        <v>16</v>
      </c>
      <c r="D872" s="2" t="s">
        <v>17</v>
      </c>
      <c r="E872" s="5">
        <v>-28345</v>
      </c>
      <c r="F872" s="3" t="s">
        <v>294</v>
      </c>
      <c r="G872" s="3" t="s">
        <v>63</v>
      </c>
      <c r="H872" s="2" t="s">
        <v>20</v>
      </c>
      <c r="I872" s="2" t="s">
        <v>1942</v>
      </c>
      <c r="J872" s="3" t="str">
        <f>HYPERLINK("https://www.boe.es/gazeta/dias/1822/05/23/pdfs/GMD-1822-147.pdf#page=6","Abrir facsímil")</f>
        <v>Abrir facsímil</v>
      </c>
      <c r="K872" s="3" t="s">
        <v>22</v>
      </c>
    </row>
    <row r="873" spans="1:11" ht="42" customHeight="1">
      <c r="A873" s="2" t="s">
        <v>1933</v>
      </c>
      <c r="B873" s="2" t="s">
        <v>1933</v>
      </c>
      <c r="C873" s="2" t="s">
        <v>24</v>
      </c>
      <c r="D873" s="2" t="s">
        <v>17</v>
      </c>
      <c r="E873" s="5">
        <v>-28321</v>
      </c>
      <c r="F873" s="3" t="s">
        <v>1142</v>
      </c>
      <c r="G873" s="3" t="s">
        <v>63</v>
      </c>
      <c r="H873" s="2" t="s">
        <v>20</v>
      </c>
      <c r="I873" s="2" t="s">
        <v>1943</v>
      </c>
      <c r="J873" s="3" t="str">
        <f>HYPERLINK("https://www.boe.es/gazeta/dias/1822/06/16/pdfs/GMD-1822-173.pdf#page=6","Abrir facsímil")</f>
        <v>Abrir facsímil</v>
      </c>
      <c r="K873" s="3" t="s">
        <v>22</v>
      </c>
    </row>
    <row r="874" spans="1:11" ht="42" customHeight="1">
      <c r="A874" s="2" t="s">
        <v>1933</v>
      </c>
      <c r="B874" s="2" t="s">
        <v>1933</v>
      </c>
      <c r="C874" s="2" t="s">
        <v>50</v>
      </c>
      <c r="D874" s="2" t="s">
        <v>51</v>
      </c>
      <c r="E874" s="5">
        <v>-28316</v>
      </c>
      <c r="F874" s="3" t="s">
        <v>1144</v>
      </c>
      <c r="G874" s="3" t="s">
        <v>31</v>
      </c>
      <c r="H874" s="2" t="s">
        <v>20</v>
      </c>
      <c r="I874" s="2" t="s">
        <v>1944</v>
      </c>
      <c r="J874" s="3" t="str">
        <f>HYPERLINK("https://www.boe.es/gazeta/dias/1822/06/21/pdfs/GMD-1822-179.pdf#page=3","Abrir facsímil")</f>
        <v>Abrir facsímil</v>
      </c>
      <c r="K874" s="3" t="s">
        <v>22</v>
      </c>
    </row>
    <row r="875" spans="1:11" ht="42" customHeight="1">
      <c r="A875" s="2" t="s">
        <v>1933</v>
      </c>
      <c r="B875" s="2" t="s">
        <v>1933</v>
      </c>
      <c r="C875" s="2" t="s">
        <v>61</v>
      </c>
      <c r="D875" s="2" t="s">
        <v>17</v>
      </c>
      <c r="E875" s="5">
        <v>-28311</v>
      </c>
      <c r="F875" s="3" t="s">
        <v>736</v>
      </c>
      <c r="G875" s="3" t="s">
        <v>157</v>
      </c>
      <c r="H875" s="2" t="s">
        <v>20</v>
      </c>
      <c r="I875" s="2" t="s">
        <v>1945</v>
      </c>
      <c r="J875" s="3" t="str">
        <f>HYPERLINK("https://www.boe.es/gazeta/dias/1822/06/26/pdfs/GMD-1822-184.pdf#page=8","Abrir facsímil")</f>
        <v>Abrir facsímil</v>
      </c>
      <c r="K875" s="3" t="s">
        <v>22</v>
      </c>
    </row>
    <row r="876" spans="1:11" ht="42" customHeight="1">
      <c r="A876" s="2" t="s">
        <v>1933</v>
      </c>
      <c r="B876" s="2" t="s">
        <v>1933</v>
      </c>
      <c r="C876" s="2" t="s">
        <v>50</v>
      </c>
      <c r="D876" s="2" t="s">
        <v>51</v>
      </c>
      <c r="E876" s="5">
        <v>-28287</v>
      </c>
      <c r="F876" s="3" t="s">
        <v>1295</v>
      </c>
      <c r="G876" s="3" t="s">
        <v>63</v>
      </c>
      <c r="H876" s="2" t="s">
        <v>20</v>
      </c>
      <c r="I876" s="2" t="s">
        <v>1946</v>
      </c>
      <c r="J876" s="3" t="str">
        <f>HYPERLINK("https://www.boe.es/gazeta/dias/1822/07/20/pdfs/GMD-1822-212.pdf#page=6","Abrir facsímil")</f>
        <v>Abrir facsímil</v>
      </c>
      <c r="K876" s="3" t="s">
        <v>22</v>
      </c>
    </row>
    <row r="877" spans="1:11" ht="42" customHeight="1">
      <c r="A877" s="2" t="s">
        <v>1933</v>
      </c>
      <c r="B877" s="2" t="s">
        <v>1933</v>
      </c>
      <c r="C877" s="2" t="s">
        <v>24</v>
      </c>
      <c r="D877" s="2" t="s">
        <v>17</v>
      </c>
      <c r="E877" s="5">
        <v>-28267</v>
      </c>
      <c r="F877" s="3" t="s">
        <v>1270</v>
      </c>
      <c r="G877" s="3" t="s">
        <v>57</v>
      </c>
      <c r="H877" s="2" t="s">
        <v>20</v>
      </c>
      <c r="I877" s="2" t="s">
        <v>1947</v>
      </c>
      <c r="J877" s="3" t="str">
        <f>HYPERLINK("https://www.boe.es/gazeta/dias/1822/08/09/pdfs/GMD-1822-233.pdf#page=4","Abrir facsímil")</f>
        <v>Abrir facsímil</v>
      </c>
      <c r="K877" s="3" t="s">
        <v>22</v>
      </c>
    </row>
    <row r="878" spans="1:11" ht="42" customHeight="1">
      <c r="A878" s="2" t="s">
        <v>1933</v>
      </c>
      <c r="B878" s="2" t="s">
        <v>1933</v>
      </c>
      <c r="C878" s="2" t="s">
        <v>50</v>
      </c>
      <c r="D878" s="2" t="s">
        <v>51</v>
      </c>
      <c r="E878" s="5">
        <v>-28260</v>
      </c>
      <c r="F878" s="3" t="s">
        <v>135</v>
      </c>
      <c r="G878" s="3" t="s">
        <v>35</v>
      </c>
      <c r="H878" s="2" t="s">
        <v>20</v>
      </c>
      <c r="I878" s="2" t="s">
        <v>1948</v>
      </c>
      <c r="J878" s="3" t="str">
        <f>HYPERLINK("https://www.boe.es/gazeta/dias/1822/08/16/pdfs/GMD-1822-240.pdf#page=2","Abrir facsímil")</f>
        <v>Abrir facsímil</v>
      </c>
      <c r="K878" s="3" t="s">
        <v>22</v>
      </c>
    </row>
    <row r="879" spans="1:11" ht="42" customHeight="1">
      <c r="A879" s="2" t="s">
        <v>1933</v>
      </c>
      <c r="B879" s="2" t="s">
        <v>1933</v>
      </c>
      <c r="C879" s="2" t="s">
        <v>42</v>
      </c>
      <c r="D879" s="2" t="s">
        <v>17</v>
      </c>
      <c r="E879" s="5">
        <v>-28256</v>
      </c>
      <c r="F879" s="3" t="s">
        <v>1949</v>
      </c>
      <c r="G879" s="3" t="s">
        <v>31</v>
      </c>
      <c r="H879" s="2" t="s">
        <v>20</v>
      </c>
      <c r="I879" s="2" t="s">
        <v>1950</v>
      </c>
      <c r="J879" s="3" t="str">
        <f>HYPERLINK("https://www.boe.es/gazeta/dias/1822/08/20/pdfs/GMD-1822-244.pdf#page=3","Abrir facsímil")</f>
        <v>Abrir facsímil</v>
      </c>
      <c r="K879" s="3" t="s">
        <v>22</v>
      </c>
    </row>
    <row r="880" spans="1:11" ht="42" customHeight="1">
      <c r="A880" s="2" t="s">
        <v>1933</v>
      </c>
      <c r="B880" s="2" t="s">
        <v>1933</v>
      </c>
      <c r="C880" s="2" t="s">
        <v>61</v>
      </c>
      <c r="D880" s="2" t="s">
        <v>17</v>
      </c>
      <c r="E880" s="5">
        <v>-28237</v>
      </c>
      <c r="F880" s="3" t="s">
        <v>878</v>
      </c>
      <c r="G880" s="3" t="s">
        <v>57</v>
      </c>
      <c r="H880" s="2" t="s">
        <v>20</v>
      </c>
      <c r="I880" s="2" t="s">
        <v>1951</v>
      </c>
      <c r="J880" s="3" t="str">
        <f>HYPERLINK("https://www.boe.es/gazeta/dias/1822/09/08/pdfs/GMD-1822-264.pdf#page=4","Abrir facsímil")</f>
        <v>Abrir facsímil</v>
      </c>
      <c r="K880" s="3" t="s">
        <v>22</v>
      </c>
    </row>
    <row r="881" spans="1:11" ht="42" customHeight="1">
      <c r="A881" s="2" t="s">
        <v>1933</v>
      </c>
      <c r="B881" s="2" t="s">
        <v>1933</v>
      </c>
      <c r="C881" s="2" t="s">
        <v>50</v>
      </c>
      <c r="D881" s="2" t="s">
        <v>51</v>
      </c>
      <c r="E881" s="5">
        <v>-28217</v>
      </c>
      <c r="F881" s="3" t="s">
        <v>1892</v>
      </c>
      <c r="G881" s="3" t="s">
        <v>1952</v>
      </c>
      <c r="H881" s="2" t="s">
        <v>20</v>
      </c>
      <c r="I881" s="2" t="s">
        <v>1953</v>
      </c>
      <c r="J881" s="3" t="str">
        <f>HYPERLINK("https://www.boe.es/gazeta/dias/1822/09/28/pdfs/GMD-1822-284.pdf#page=2","Abrir facsímil")</f>
        <v>Abrir facsímil</v>
      </c>
      <c r="K881" s="3" t="s">
        <v>22</v>
      </c>
    </row>
    <row r="882" spans="1:11" ht="42" customHeight="1">
      <c r="A882" s="2" t="s">
        <v>1933</v>
      </c>
      <c r="B882" s="2" t="s">
        <v>1933</v>
      </c>
      <c r="C882" s="2" t="s">
        <v>50</v>
      </c>
      <c r="D882" s="2" t="s">
        <v>51</v>
      </c>
      <c r="E882" s="5">
        <v>-28206</v>
      </c>
      <c r="F882" s="3" t="s">
        <v>562</v>
      </c>
      <c r="G882" s="3" t="s">
        <v>35</v>
      </c>
      <c r="H882" s="2" t="s">
        <v>20</v>
      </c>
      <c r="I882" s="2" t="s">
        <v>1954</v>
      </c>
      <c r="J882" s="3" t="str">
        <f>HYPERLINK("https://www.boe.es/gazeta/dias/1822/10/09/pdfs/GMD-1822-296.pdf#page=2","Abrir facsímil")</f>
        <v>Abrir facsímil</v>
      </c>
      <c r="K882" s="3" t="s">
        <v>22</v>
      </c>
    </row>
    <row r="883" spans="1:11" ht="42" customHeight="1">
      <c r="A883" s="2" t="s">
        <v>1933</v>
      </c>
      <c r="B883" s="2" t="s">
        <v>1933</v>
      </c>
      <c r="C883" s="2" t="s">
        <v>28</v>
      </c>
      <c r="D883" s="2" t="s">
        <v>29</v>
      </c>
      <c r="E883" s="5">
        <v>-28180</v>
      </c>
      <c r="F883" s="3" t="s">
        <v>839</v>
      </c>
      <c r="G883" s="3" t="s">
        <v>31</v>
      </c>
      <c r="H883" s="2" t="s">
        <v>20</v>
      </c>
      <c r="I883" s="2" t="s">
        <v>1955</v>
      </c>
      <c r="J883" s="3" t="str">
        <f>HYPERLINK("https://www.boe.es/gazeta/dias/1822/11/04/pdfs/GMD-1822-323.pdf#page=3","Abrir facsímil")</f>
        <v>Abrir facsímil</v>
      </c>
      <c r="K883" s="3" t="s">
        <v>22</v>
      </c>
    </row>
    <row r="884" spans="1:11" ht="42" customHeight="1">
      <c r="A884" s="2" t="s">
        <v>1956</v>
      </c>
      <c r="B884" s="2" t="s">
        <v>1957</v>
      </c>
      <c r="C884" s="2" t="s">
        <v>16</v>
      </c>
      <c r="D884" s="2" t="s">
        <v>17</v>
      </c>
      <c r="E884" s="5">
        <v>-28142</v>
      </c>
      <c r="F884" s="3" t="s">
        <v>290</v>
      </c>
      <c r="G884" s="3" t="s">
        <v>57</v>
      </c>
      <c r="H884" s="2" t="s">
        <v>20</v>
      </c>
      <c r="I884" s="2" t="s">
        <v>1958</v>
      </c>
      <c r="J884" s="3" t="str">
        <f>HYPERLINK("https://www.boe.es/gazeta/dias/1822/12/12/pdfs/GMD-1822-362.pdf#page=4","Abrir facsímil")</f>
        <v>Abrir facsímil</v>
      </c>
      <c r="K884" s="3" t="s">
        <v>22</v>
      </c>
    </row>
    <row r="885" spans="1:11" ht="42" customHeight="1">
      <c r="A885" s="2" t="s">
        <v>1959</v>
      </c>
      <c r="B885" s="2" t="s">
        <v>1960</v>
      </c>
      <c r="C885" s="2" t="s">
        <v>28</v>
      </c>
      <c r="D885" s="2" t="s">
        <v>29</v>
      </c>
      <c r="E885" s="5">
        <v>-28398</v>
      </c>
      <c r="F885" s="3" t="s">
        <v>1961</v>
      </c>
      <c r="G885" s="3" t="s">
        <v>35</v>
      </c>
      <c r="H885" s="2" t="s">
        <v>20</v>
      </c>
      <c r="I885" s="2" t="s">
        <v>1962</v>
      </c>
      <c r="J885" s="3" t="str">
        <f>HYPERLINK("https://www.boe.es/gazeta/dias/1822/03/31/pdfs/GMD-1822-92.pdf#page=2","Abrir facsímil")</f>
        <v>Abrir facsímil</v>
      </c>
      <c r="K885" s="3" t="s">
        <v>22</v>
      </c>
    </row>
    <row r="886" spans="1:11" ht="42" customHeight="1">
      <c r="A886" s="2" t="s">
        <v>1963</v>
      </c>
      <c r="B886" s="2" t="s">
        <v>1964</v>
      </c>
      <c r="C886" s="2" t="s">
        <v>42</v>
      </c>
      <c r="D886" s="2" t="s">
        <v>17</v>
      </c>
      <c r="E886" s="5">
        <v>-28192</v>
      </c>
      <c r="F886" s="3" t="s">
        <v>43</v>
      </c>
      <c r="G886" s="3" t="s">
        <v>167</v>
      </c>
      <c r="H886" s="2" t="s">
        <v>20</v>
      </c>
      <c r="I886" s="2" t="s">
        <v>1965</v>
      </c>
      <c r="J886" s="3" t="str">
        <f>HYPERLINK("https://www.boe.es/gazeta/dias/1822/10/23/pdfs/GMD-1822-310.pdf#page=7","Abrir facsímil")</f>
        <v>Abrir facsímil</v>
      </c>
      <c r="K886" s="3" t="s">
        <v>22</v>
      </c>
    </row>
    <row r="887" spans="1:11" ht="42" customHeight="1">
      <c r="A887" s="2" t="s">
        <v>1966</v>
      </c>
      <c r="B887" s="2" t="s">
        <v>1967</v>
      </c>
      <c r="C887" s="2" t="s">
        <v>50</v>
      </c>
      <c r="D887" s="2" t="s">
        <v>51</v>
      </c>
      <c r="E887" s="5">
        <v>-28349</v>
      </c>
      <c r="F887" s="3" t="s">
        <v>518</v>
      </c>
      <c r="G887" s="3" t="s">
        <v>57</v>
      </c>
      <c r="H887" s="2" t="s">
        <v>20</v>
      </c>
      <c r="I887" s="2" t="s">
        <v>1968</v>
      </c>
      <c r="J887" s="3" t="str">
        <f>HYPERLINK("https://www.boe.es/gazeta/dias/1822/05/19/pdfs/GMD-1822-141.pdf#page=4","Abrir facsímil")</f>
        <v>Abrir facsímil</v>
      </c>
      <c r="K887" s="3" t="s">
        <v>22</v>
      </c>
    </row>
    <row r="888" spans="1:11" ht="42" customHeight="1">
      <c r="A888" s="2" t="s">
        <v>1966</v>
      </c>
      <c r="B888" s="2" t="s">
        <v>1967</v>
      </c>
      <c r="C888" s="2" t="s">
        <v>24</v>
      </c>
      <c r="D888" s="2" t="s">
        <v>17</v>
      </c>
      <c r="E888" s="5">
        <v>-28182</v>
      </c>
      <c r="F888" s="3" t="s">
        <v>585</v>
      </c>
      <c r="G888" s="3" t="s">
        <v>63</v>
      </c>
      <c r="H888" s="2" t="s">
        <v>20</v>
      </c>
      <c r="I888" s="2" t="s">
        <v>1969</v>
      </c>
      <c r="J888" s="3" t="str">
        <f>HYPERLINK("https://www.boe.es/gazeta/dias/1822/11/02/pdfs/GMD-1822-320.pdf#page=6","Abrir facsímil")</f>
        <v>Abrir facsímil</v>
      </c>
      <c r="K888" s="3" t="s">
        <v>22</v>
      </c>
    </row>
    <row r="889" spans="1:11" ht="42" customHeight="1">
      <c r="A889" s="2" t="s">
        <v>1970</v>
      </c>
      <c r="B889" s="2" t="s">
        <v>1971</v>
      </c>
      <c r="C889" s="2" t="s">
        <v>61</v>
      </c>
      <c r="D889" s="2" t="s">
        <v>17</v>
      </c>
      <c r="E889" s="5">
        <v>-28297</v>
      </c>
      <c r="F889" s="3" t="s">
        <v>1972</v>
      </c>
      <c r="G889" s="3" t="s">
        <v>57</v>
      </c>
      <c r="H889" s="2" t="s">
        <v>20</v>
      </c>
      <c r="I889" s="2" t="s">
        <v>1973</v>
      </c>
      <c r="J889" s="3" t="str">
        <f>HYPERLINK("https://www.boe.es/gazeta/dias/1822/07/10/pdfs/GMD-1822-200.pdf#page=4","Abrir facsímil")</f>
        <v>Abrir facsímil</v>
      </c>
      <c r="K889" s="3" t="s">
        <v>22</v>
      </c>
    </row>
    <row r="890" spans="1:11" ht="42" customHeight="1">
      <c r="A890" s="2" t="s">
        <v>1974</v>
      </c>
      <c r="B890" s="2" t="s">
        <v>1974</v>
      </c>
      <c r="C890" s="2" t="s">
        <v>42</v>
      </c>
      <c r="D890" s="2" t="s">
        <v>17</v>
      </c>
      <c r="E890" s="5">
        <v>-28234</v>
      </c>
      <c r="F890" s="3" t="s">
        <v>1331</v>
      </c>
      <c r="G890" s="3" t="s">
        <v>31</v>
      </c>
      <c r="H890" s="2" t="s">
        <v>20</v>
      </c>
      <c r="I890" s="2" t="s">
        <v>1975</v>
      </c>
      <c r="J890" s="3" t="str">
        <f>HYPERLINK("https://www.boe.es/gazeta/dias/1822/09/11/pdfs/GMD-1822-267.pdf#page=3","Abrir facsímil")</f>
        <v>Abrir facsímil</v>
      </c>
      <c r="K890" s="3" t="s">
        <v>22</v>
      </c>
    </row>
    <row r="891" spans="1:11" ht="42" customHeight="1">
      <c r="A891" s="2" t="s">
        <v>1976</v>
      </c>
      <c r="B891" s="2" t="s">
        <v>1976</v>
      </c>
      <c r="C891" s="2" t="s">
        <v>50</v>
      </c>
      <c r="D891" s="2" t="s">
        <v>51</v>
      </c>
      <c r="E891" s="5">
        <v>-28415</v>
      </c>
      <c r="F891" s="3" t="s">
        <v>77</v>
      </c>
      <c r="G891" s="3" t="s">
        <v>19</v>
      </c>
      <c r="H891" s="2" t="s">
        <v>20</v>
      </c>
      <c r="I891" s="2" t="s">
        <v>1977</v>
      </c>
      <c r="J891" s="3" t="str">
        <f>HYPERLINK("https://www.boe.es/gazeta/dias/1822/03/14/pdfs/GMD-1822-75.pdf#page=5","Abrir facsímil")</f>
        <v>Abrir facsímil</v>
      </c>
      <c r="K891" s="3" t="s">
        <v>22</v>
      </c>
    </row>
    <row r="892" spans="1:11" ht="42" customHeight="1">
      <c r="A892" s="2" t="s">
        <v>1976</v>
      </c>
      <c r="B892" s="2" t="s">
        <v>1976</v>
      </c>
      <c r="C892" s="2" t="s">
        <v>42</v>
      </c>
      <c r="D892" s="2" t="s">
        <v>17</v>
      </c>
      <c r="E892" s="5">
        <v>-28166</v>
      </c>
      <c r="F892" s="3" t="s">
        <v>942</v>
      </c>
      <c r="G892" s="3" t="s">
        <v>19</v>
      </c>
      <c r="H892" s="2" t="s">
        <v>20</v>
      </c>
      <c r="I892" s="2" t="s">
        <v>1978</v>
      </c>
      <c r="J892" s="3" t="str">
        <f>HYPERLINK("https://www.boe.es/gazeta/dias/1822/11/18/pdfs/GMD-1822-338.pdf#page=5","Abrir facsímil")</f>
        <v>Abrir facsímil</v>
      </c>
      <c r="K892" s="3" t="s">
        <v>22</v>
      </c>
    </row>
    <row r="893" spans="1:11" ht="42" customHeight="1">
      <c r="A893" s="2" t="s">
        <v>1979</v>
      </c>
      <c r="B893" s="2" t="s">
        <v>1980</v>
      </c>
      <c r="C893" s="2" t="s">
        <v>28</v>
      </c>
      <c r="D893" s="2" t="s">
        <v>29</v>
      </c>
      <c r="E893" s="5">
        <v>-28468</v>
      </c>
      <c r="F893" s="3" t="s">
        <v>1012</v>
      </c>
      <c r="G893" s="3" t="s">
        <v>44</v>
      </c>
      <c r="H893" s="2" t="s">
        <v>20</v>
      </c>
      <c r="I893" s="2" t="s">
        <v>1981</v>
      </c>
      <c r="J893" s="3" t="str">
        <f>HYPERLINK("https://www.boe.es/gazeta/dias/1822/01/20/pdfs/GMD-1822-20.pdf#page=1","Abrir facsímil")</f>
        <v>Abrir facsímil</v>
      </c>
      <c r="K893" s="3" t="s">
        <v>22</v>
      </c>
    </row>
    <row r="894" spans="1:11" ht="42" customHeight="1">
      <c r="A894" s="2" t="s">
        <v>1982</v>
      </c>
      <c r="B894" s="2" t="s">
        <v>1983</v>
      </c>
      <c r="C894" s="2" t="s">
        <v>28</v>
      </c>
      <c r="D894" s="2" t="s">
        <v>29</v>
      </c>
      <c r="E894" s="5">
        <v>-28388</v>
      </c>
      <c r="F894" s="3" t="s">
        <v>1268</v>
      </c>
      <c r="G894" s="3" t="s">
        <v>57</v>
      </c>
      <c r="H894" s="2" t="s">
        <v>20</v>
      </c>
      <c r="I894" s="2" t="s">
        <v>1984</v>
      </c>
      <c r="J894" s="3" t="str">
        <f>HYPERLINK("https://www.boe.es/gazeta/dias/1822/04/10/pdfs/GMD-1822-102.pdf#page=4","Abrir facsímil")</f>
        <v>Abrir facsímil</v>
      </c>
      <c r="K894" s="3" t="s">
        <v>22</v>
      </c>
    </row>
    <row r="895" spans="1:11" ht="42" customHeight="1">
      <c r="A895" s="2" t="s">
        <v>1985</v>
      </c>
      <c r="B895" s="2" t="s">
        <v>1986</v>
      </c>
      <c r="C895" s="2" t="s">
        <v>50</v>
      </c>
      <c r="D895" s="2" t="s">
        <v>51</v>
      </c>
      <c r="E895" s="5">
        <v>-28184</v>
      </c>
      <c r="F895" s="3" t="s">
        <v>1423</v>
      </c>
      <c r="G895" s="3" t="s">
        <v>44</v>
      </c>
      <c r="H895" s="2" t="s">
        <v>20</v>
      </c>
      <c r="I895" s="2" t="s">
        <v>1987</v>
      </c>
      <c r="J895" s="3" t="str">
        <f>HYPERLINK("https://www.boe.es/gazeta/dias/1822/10/31/pdfs/GMD-1822-318.pdf#page=1","Abrir facsímil")</f>
        <v>Abrir facsímil</v>
      </c>
      <c r="K895" s="3" t="s">
        <v>22</v>
      </c>
    </row>
    <row r="896" spans="1:11" ht="42" customHeight="1">
      <c r="A896" s="2" t="s">
        <v>1988</v>
      </c>
      <c r="B896" s="2" t="s">
        <v>1988</v>
      </c>
      <c r="C896" s="2" t="s">
        <v>50</v>
      </c>
      <c r="D896" s="2" t="s">
        <v>51</v>
      </c>
      <c r="E896" s="5">
        <v>-28150</v>
      </c>
      <c r="F896" s="3" t="s">
        <v>62</v>
      </c>
      <c r="G896" s="3" t="s">
        <v>63</v>
      </c>
      <c r="H896" s="2" t="s">
        <v>20</v>
      </c>
      <c r="I896" s="2" t="s">
        <v>1989</v>
      </c>
      <c r="J896" s="3" t="str">
        <f>HYPERLINK("https://www.boe.es/gazeta/dias/1822/12/04/pdfs/GMD-1822-354.pdf#page=6","Abrir facsímil")</f>
        <v>Abrir facsímil</v>
      </c>
      <c r="K896" s="3" t="s">
        <v>22</v>
      </c>
    </row>
    <row r="897" spans="1:11" ht="42" customHeight="1">
      <c r="A897" s="2" t="s">
        <v>1990</v>
      </c>
      <c r="B897" s="2" t="s">
        <v>1990</v>
      </c>
      <c r="C897" s="2" t="s">
        <v>42</v>
      </c>
      <c r="D897" s="2" t="s">
        <v>17</v>
      </c>
      <c r="E897" s="5">
        <v>-28311</v>
      </c>
      <c r="F897" s="3" t="s">
        <v>736</v>
      </c>
      <c r="G897" s="3" t="s">
        <v>31</v>
      </c>
      <c r="H897" s="2" t="s">
        <v>20</v>
      </c>
      <c r="I897" s="2" t="s">
        <v>1991</v>
      </c>
      <c r="J897" s="3" t="str">
        <f>HYPERLINK("https://www.boe.es/gazeta/dias/1822/06/26/pdfs/GMD-1822-184.pdf#page=3","Abrir facsímil")</f>
        <v>Abrir facsímil</v>
      </c>
      <c r="K897" s="3" t="s">
        <v>22</v>
      </c>
    </row>
    <row r="898" spans="1:11" ht="42" customHeight="1">
      <c r="A898" s="2" t="s">
        <v>1992</v>
      </c>
      <c r="B898" s="2" t="s">
        <v>1992</v>
      </c>
      <c r="C898" s="2" t="s">
        <v>71</v>
      </c>
      <c r="D898" s="2" t="s">
        <v>17</v>
      </c>
      <c r="E898" s="5">
        <v>-28197</v>
      </c>
      <c r="F898" s="3" t="s">
        <v>568</v>
      </c>
      <c r="G898" s="3" t="s">
        <v>63</v>
      </c>
      <c r="H898" s="2" t="s">
        <v>20</v>
      </c>
      <c r="I898" s="2" t="s">
        <v>1993</v>
      </c>
      <c r="J898" s="3" t="str">
        <f>HYPERLINK("https://www.boe.es/gazeta/dias/1822/10/18/pdfs/GMD-1822-305.pdf#page=6","Abrir facsímil")</f>
        <v>Abrir facsímil</v>
      </c>
      <c r="K898" s="3" t="s">
        <v>22</v>
      </c>
    </row>
    <row r="899" spans="1:11" ht="42" customHeight="1">
      <c r="A899" s="2" t="s">
        <v>1994</v>
      </c>
      <c r="B899" s="2" t="s">
        <v>1994</v>
      </c>
      <c r="C899" s="2" t="s">
        <v>50</v>
      </c>
      <c r="D899" s="2" t="s">
        <v>51</v>
      </c>
      <c r="E899" s="5">
        <v>-28420</v>
      </c>
      <c r="F899" s="3" t="s">
        <v>449</v>
      </c>
      <c r="G899" s="3" t="s">
        <v>57</v>
      </c>
      <c r="H899" s="2" t="s">
        <v>20</v>
      </c>
      <c r="I899" s="2" t="s">
        <v>1995</v>
      </c>
      <c r="J899" s="3" t="str">
        <f>HYPERLINK("https://www.boe.es/gazeta/dias/1822/03/09/pdfs/GMD-1822-70.pdf#page=4","Abrir facsímil")</f>
        <v>Abrir facsímil</v>
      </c>
      <c r="K899" s="3" t="s">
        <v>22</v>
      </c>
    </row>
    <row r="900" spans="1:11" ht="42" customHeight="1">
      <c r="A900" s="2" t="s">
        <v>1996</v>
      </c>
      <c r="B900" s="2" t="s">
        <v>1997</v>
      </c>
      <c r="C900" s="2" t="s">
        <v>50</v>
      </c>
      <c r="D900" s="2" t="s">
        <v>51</v>
      </c>
      <c r="E900" s="5">
        <v>-28312</v>
      </c>
      <c r="F900" s="3" t="s">
        <v>92</v>
      </c>
      <c r="G900" s="3" t="s">
        <v>35</v>
      </c>
      <c r="H900" s="2" t="s">
        <v>20</v>
      </c>
      <c r="I900" s="2" t="s">
        <v>1998</v>
      </c>
      <c r="J900" s="3" t="str">
        <f>HYPERLINK("https://www.boe.es/gazeta/dias/1822/06/25/pdfs/GMD-1822-183.pdf#page=2","Abrir facsímil")</f>
        <v>Abrir facsímil</v>
      </c>
      <c r="K900" s="3" t="s">
        <v>22</v>
      </c>
    </row>
    <row r="901" spans="1:11" ht="42" customHeight="1">
      <c r="A901" s="2" t="s">
        <v>1999</v>
      </c>
      <c r="B901" s="2" t="s">
        <v>1999</v>
      </c>
      <c r="C901" s="2" t="s">
        <v>24</v>
      </c>
      <c r="D901" s="2" t="s">
        <v>17</v>
      </c>
      <c r="E901" s="5">
        <v>-28379</v>
      </c>
      <c r="F901" s="3" t="s">
        <v>494</v>
      </c>
      <c r="G901" s="3" t="s">
        <v>63</v>
      </c>
      <c r="H901" s="2" t="s">
        <v>20</v>
      </c>
      <c r="I901" s="2" t="s">
        <v>2000</v>
      </c>
      <c r="J901" s="3" t="str">
        <f>HYPERLINK("https://www.boe.es/gazeta/dias/1822/04/19/pdfs/GMD-1822-111.pdf#page=6","Abrir facsímil")</f>
        <v>Abrir facsímil</v>
      </c>
      <c r="K901" s="3" t="s">
        <v>22</v>
      </c>
    </row>
    <row r="902" spans="1:11" ht="42" customHeight="1">
      <c r="A902" s="2" t="s">
        <v>2001</v>
      </c>
      <c r="B902" s="2" t="s">
        <v>2002</v>
      </c>
      <c r="C902" s="2" t="s">
        <v>28</v>
      </c>
      <c r="D902" s="2" t="s">
        <v>29</v>
      </c>
      <c r="E902" s="5">
        <v>-28392</v>
      </c>
      <c r="F902" s="3" t="s">
        <v>2003</v>
      </c>
      <c r="G902" s="3" t="s">
        <v>57</v>
      </c>
      <c r="H902" s="2" t="s">
        <v>20</v>
      </c>
      <c r="I902" s="2" t="s">
        <v>2004</v>
      </c>
      <c r="J902" s="3" t="str">
        <f>HYPERLINK("https://www.boe.es/gazeta/dias/1822/04/06/pdfs/GMD-1822-98.pdf#page=4","Abrir facsímil")</f>
        <v>Abrir facsímil</v>
      </c>
      <c r="K902" s="3" t="s">
        <v>22</v>
      </c>
    </row>
    <row r="903" spans="1:11" ht="42" customHeight="1">
      <c r="A903" s="2" t="s">
        <v>2005</v>
      </c>
      <c r="B903" s="2" t="s">
        <v>2006</v>
      </c>
      <c r="C903" s="2" t="s">
        <v>42</v>
      </c>
      <c r="D903" s="2" t="s">
        <v>17</v>
      </c>
      <c r="E903" s="5">
        <v>-28428</v>
      </c>
      <c r="F903" s="3" t="s">
        <v>1924</v>
      </c>
      <c r="G903" s="3" t="s">
        <v>57</v>
      </c>
      <c r="H903" s="2" t="s">
        <v>20</v>
      </c>
      <c r="I903" s="2" t="s">
        <v>2007</v>
      </c>
      <c r="J903" s="3" t="str">
        <f>HYPERLINK("https://www.boe.es/gazeta/dias/1822/03/01/pdfs/GMD-1822-61.pdf#page=4","Abrir facsímil")</f>
        <v>Abrir facsímil</v>
      </c>
      <c r="K903" s="3" t="s">
        <v>22</v>
      </c>
    </row>
    <row r="904" spans="1:11" ht="42" customHeight="1">
      <c r="A904" s="2" t="s">
        <v>2008</v>
      </c>
      <c r="B904" s="2" t="s">
        <v>2009</v>
      </c>
      <c r="C904" s="2" t="s">
        <v>28</v>
      </c>
      <c r="D904" s="2" t="s">
        <v>29</v>
      </c>
      <c r="E904" s="5">
        <v>-28258</v>
      </c>
      <c r="F904" s="3" t="s">
        <v>88</v>
      </c>
      <c r="G904" s="3" t="s">
        <v>31</v>
      </c>
      <c r="H904" s="2" t="s">
        <v>20</v>
      </c>
      <c r="I904" s="2" t="s">
        <v>2010</v>
      </c>
      <c r="J904" s="3" t="str">
        <f>HYPERLINK("https://www.boe.es/gazeta/dias/1822/08/18/pdfs/GMD-1822-242.pdf#page=3","Abrir facsímil")</f>
        <v>Abrir facsímil</v>
      </c>
      <c r="K904" s="3" t="s">
        <v>22</v>
      </c>
    </row>
    <row r="905" spans="1:11" ht="42" customHeight="1">
      <c r="A905" s="2" t="s">
        <v>2011</v>
      </c>
      <c r="B905" s="2" t="s">
        <v>2012</v>
      </c>
      <c r="C905" s="2" t="s">
        <v>61</v>
      </c>
      <c r="D905" s="2" t="s">
        <v>17</v>
      </c>
      <c r="E905" s="5">
        <v>-28148</v>
      </c>
      <c r="F905" s="3" t="s">
        <v>1909</v>
      </c>
      <c r="G905" s="3" t="s">
        <v>63</v>
      </c>
      <c r="H905" s="2" t="s">
        <v>45</v>
      </c>
      <c r="I905" s="2" t="s">
        <v>2013</v>
      </c>
      <c r="J905" s="3" t="str">
        <f>HYPERLINK("https://www.boe.es/gazeta/dias/1822/12/06/pdfs/GMD-1822-356.pdf#page=6","Abrir facsímil")</f>
        <v>Abrir facsímil</v>
      </c>
      <c r="K905" s="3" t="s">
        <v>47</v>
      </c>
    </row>
    <row r="906" spans="1:11" ht="42" customHeight="1">
      <c r="A906" s="2" t="s">
        <v>2014</v>
      </c>
      <c r="B906" s="2" t="s">
        <v>2015</v>
      </c>
      <c r="C906" s="2" t="s">
        <v>50</v>
      </c>
      <c r="D906" s="2" t="s">
        <v>51</v>
      </c>
      <c r="E906" s="5">
        <v>-28366</v>
      </c>
      <c r="F906" s="3" t="s">
        <v>120</v>
      </c>
      <c r="G906" s="3" t="s">
        <v>35</v>
      </c>
      <c r="H906" s="2" t="s">
        <v>20</v>
      </c>
      <c r="I906" s="2" t="s">
        <v>2016</v>
      </c>
      <c r="J906" s="3" t="str">
        <f>HYPERLINK("https://www.boe.es/gazeta/dias/1822/05/02/pdfs/GMD-1822-124.pdf#page=2","Abrir facsímil")</f>
        <v>Abrir facsímil</v>
      </c>
      <c r="K906" s="3" t="s">
        <v>22</v>
      </c>
    </row>
    <row r="907" spans="1:11" ht="42" customHeight="1">
      <c r="A907" s="2" t="s">
        <v>2014</v>
      </c>
      <c r="B907" s="2" t="s">
        <v>2015</v>
      </c>
      <c r="C907" s="2" t="s">
        <v>50</v>
      </c>
      <c r="D907" s="2" t="s">
        <v>51</v>
      </c>
      <c r="E907" s="5">
        <v>-28295</v>
      </c>
      <c r="F907" s="3" t="s">
        <v>81</v>
      </c>
      <c r="G907" s="3" t="s">
        <v>35</v>
      </c>
      <c r="H907" s="2" t="s">
        <v>20</v>
      </c>
      <c r="I907" s="2" t="s">
        <v>2017</v>
      </c>
      <c r="J907" s="3" t="str">
        <f>HYPERLINK("https://www.boe.es/gazeta/dias/1822/07/12/pdfs/GMD-1822-202.pdf#page=2","Abrir facsímil")</f>
        <v>Abrir facsímil</v>
      </c>
      <c r="K907" s="3" t="s">
        <v>22</v>
      </c>
    </row>
    <row r="908" spans="1:11" ht="42" customHeight="1">
      <c r="A908" s="2" t="s">
        <v>2018</v>
      </c>
      <c r="B908" s="2" t="s">
        <v>2019</v>
      </c>
      <c r="C908" s="2" t="s">
        <v>42</v>
      </c>
      <c r="D908" s="2" t="s">
        <v>17</v>
      </c>
      <c r="E908" s="5">
        <v>-28287</v>
      </c>
      <c r="F908" s="3" t="s">
        <v>1295</v>
      </c>
      <c r="G908" s="3" t="s">
        <v>35</v>
      </c>
      <c r="H908" s="2" t="s">
        <v>20</v>
      </c>
      <c r="I908" s="2" t="s">
        <v>2020</v>
      </c>
      <c r="J908" s="3" t="str">
        <f>HYPERLINK("https://www.boe.es/gazeta/dias/1822/07/20/pdfs/GMD-1822-212.pdf#page=2","Abrir facsímil")</f>
        <v>Abrir facsímil</v>
      </c>
      <c r="K908" s="3" t="s">
        <v>22</v>
      </c>
    </row>
    <row r="909" spans="1:11" ht="42" customHeight="1">
      <c r="A909" s="2" t="s">
        <v>2021</v>
      </c>
      <c r="B909" s="2" t="s">
        <v>2022</v>
      </c>
      <c r="C909" s="2" t="s">
        <v>42</v>
      </c>
      <c r="D909" s="2" t="s">
        <v>17</v>
      </c>
      <c r="E909" s="5">
        <v>-28247</v>
      </c>
      <c r="F909" s="3" t="s">
        <v>2023</v>
      </c>
      <c r="G909" s="3" t="s">
        <v>35</v>
      </c>
      <c r="H909" s="2" t="s">
        <v>20</v>
      </c>
      <c r="I909" s="2" t="s">
        <v>2024</v>
      </c>
      <c r="J909" s="3" t="str">
        <f>HYPERLINK("https://www.boe.es/gazeta/dias/1822/08/29/pdfs/GMD-1822-253.pdf#page=2","Abrir facsímil")</f>
        <v>Abrir facsímil</v>
      </c>
      <c r="K909" s="3" t="s">
        <v>22</v>
      </c>
    </row>
    <row r="910" spans="1:11" ht="42" customHeight="1">
      <c r="A910" s="2" t="s">
        <v>2025</v>
      </c>
      <c r="B910" s="2" t="s">
        <v>2026</v>
      </c>
      <c r="C910" s="2" t="s">
        <v>28</v>
      </c>
      <c r="D910" s="2" t="s">
        <v>29</v>
      </c>
      <c r="E910" s="5">
        <v>-28222</v>
      </c>
      <c r="F910" s="3" t="s">
        <v>2027</v>
      </c>
      <c r="G910" s="3" t="s">
        <v>35</v>
      </c>
      <c r="H910" s="2" t="s">
        <v>20</v>
      </c>
      <c r="I910" s="2" t="s">
        <v>2028</v>
      </c>
      <c r="J910" s="3" t="str">
        <f>HYPERLINK("https://www.boe.es/gazeta/dias/1822/09/23/pdfs/GMD-1822-279.pdf#page=2","Abrir facsímil")</f>
        <v>Abrir facsímil</v>
      </c>
      <c r="K910" s="3" t="s">
        <v>22</v>
      </c>
    </row>
    <row r="911" spans="1:11" ht="42" customHeight="1">
      <c r="A911" s="2" t="s">
        <v>2029</v>
      </c>
      <c r="B911" s="2" t="s">
        <v>2030</v>
      </c>
      <c r="C911" s="2" t="s">
        <v>42</v>
      </c>
      <c r="D911" s="2" t="s">
        <v>17</v>
      </c>
      <c r="E911" s="5">
        <v>-28222</v>
      </c>
      <c r="F911" s="3" t="s">
        <v>2027</v>
      </c>
      <c r="G911" s="3" t="s">
        <v>35</v>
      </c>
      <c r="H911" s="2" t="s">
        <v>20</v>
      </c>
      <c r="I911" s="2" t="s">
        <v>2031</v>
      </c>
      <c r="J911" s="3" t="str">
        <f>HYPERLINK("https://www.boe.es/gazeta/dias/1822/09/23/pdfs/GMD-1822-279.pdf#page=2","Abrir facsímil")</f>
        <v>Abrir facsímil</v>
      </c>
      <c r="K911" s="3" t="s">
        <v>22</v>
      </c>
    </row>
    <row r="912" spans="1:11" ht="42" customHeight="1">
      <c r="A912" s="2" t="s">
        <v>2032</v>
      </c>
      <c r="B912" s="2" t="s">
        <v>2032</v>
      </c>
      <c r="C912" s="2" t="s">
        <v>42</v>
      </c>
      <c r="D912" s="2" t="s">
        <v>17</v>
      </c>
      <c r="E912" s="5">
        <v>-28454</v>
      </c>
      <c r="F912" s="3" t="s">
        <v>2033</v>
      </c>
      <c r="G912" s="3" t="s">
        <v>57</v>
      </c>
      <c r="H912" s="2" t="s">
        <v>20</v>
      </c>
      <c r="I912" s="2" t="s">
        <v>2034</v>
      </c>
      <c r="J912" s="3" t="str">
        <f>HYPERLINK("https://www.boe.es/gazeta/dias/1822/02/03/pdfs/GMD-1822-34.pdf#page=4","Abrir facsímil")</f>
        <v>Abrir facsímil</v>
      </c>
      <c r="K912" s="3" t="s">
        <v>22</v>
      </c>
    </row>
    <row r="913" spans="1:11" ht="42" customHeight="1">
      <c r="A913" s="2" t="s">
        <v>2032</v>
      </c>
      <c r="B913" s="2" t="s">
        <v>2032</v>
      </c>
      <c r="C913" s="2" t="s">
        <v>50</v>
      </c>
      <c r="D913" s="2" t="s">
        <v>51</v>
      </c>
      <c r="E913" s="5">
        <v>-28375</v>
      </c>
      <c r="F913" s="3" t="s">
        <v>2035</v>
      </c>
      <c r="G913" s="3" t="s">
        <v>31</v>
      </c>
      <c r="H913" s="2" t="s">
        <v>20</v>
      </c>
      <c r="I913" s="2" t="s">
        <v>2036</v>
      </c>
      <c r="J913" s="3" t="str">
        <f>HYPERLINK("https://www.boe.es/gazeta/dias/1822/04/23/pdfs/GMD-1822-115.pdf#page=3","Abrir facsímil")</f>
        <v>Abrir facsímil</v>
      </c>
      <c r="K913" s="3" t="s">
        <v>22</v>
      </c>
    </row>
    <row r="914" spans="1:11" ht="42" customHeight="1">
      <c r="A914" s="2" t="s">
        <v>2032</v>
      </c>
      <c r="B914" s="2" t="s">
        <v>2032</v>
      </c>
      <c r="C914" s="2" t="s">
        <v>50</v>
      </c>
      <c r="D914" s="2" t="s">
        <v>51</v>
      </c>
      <c r="E914" s="5">
        <v>-28184</v>
      </c>
      <c r="F914" s="3" t="s">
        <v>1423</v>
      </c>
      <c r="G914" s="3" t="s">
        <v>57</v>
      </c>
      <c r="H914" s="2" t="s">
        <v>20</v>
      </c>
      <c r="I914" s="2" t="s">
        <v>2037</v>
      </c>
      <c r="J914" s="3" t="str">
        <f>HYPERLINK("https://www.boe.es/gazeta/dias/1822/10/31/pdfs/GMD-1822-318.pdf#page=4","Abrir facsímil")</f>
        <v>Abrir facsímil</v>
      </c>
      <c r="K914" s="3" t="s">
        <v>22</v>
      </c>
    </row>
    <row r="915" spans="1:11" ht="42" customHeight="1">
      <c r="A915" s="2" t="s">
        <v>2038</v>
      </c>
      <c r="B915" s="2" t="s">
        <v>2038</v>
      </c>
      <c r="C915" s="2" t="s">
        <v>42</v>
      </c>
      <c r="D915" s="2" t="s">
        <v>17</v>
      </c>
      <c r="E915" s="5">
        <v>-28453</v>
      </c>
      <c r="F915" s="3" t="s">
        <v>2039</v>
      </c>
      <c r="G915" s="3" t="s">
        <v>57</v>
      </c>
      <c r="H915" s="2" t="s">
        <v>20</v>
      </c>
      <c r="I915" s="2" t="s">
        <v>2040</v>
      </c>
      <c r="J915" s="3" t="str">
        <f>HYPERLINK("https://www.boe.es/gazeta/dias/1822/02/04/pdfs/GMD-1822-35.pdf#page=4","Abrir facsímil")</f>
        <v>Abrir facsímil</v>
      </c>
      <c r="K915" s="3" t="s">
        <v>22</v>
      </c>
    </row>
    <row r="916" spans="1:11" ht="42" customHeight="1">
      <c r="A916" s="2" t="s">
        <v>2038</v>
      </c>
      <c r="B916" s="2" t="s">
        <v>2038</v>
      </c>
      <c r="C916" s="2" t="s">
        <v>71</v>
      </c>
      <c r="D916" s="2" t="s">
        <v>17</v>
      </c>
      <c r="E916" s="5">
        <v>-28447</v>
      </c>
      <c r="F916" s="3" t="s">
        <v>997</v>
      </c>
      <c r="G916" s="3" t="s">
        <v>35</v>
      </c>
      <c r="H916" s="2" t="s">
        <v>20</v>
      </c>
      <c r="I916" s="2" t="s">
        <v>2041</v>
      </c>
      <c r="J916" s="3" t="str">
        <f>HYPERLINK("https://www.boe.es/gazeta/dias/1822/02/10/pdfs/GMD-1822-41.pdf#page=2","Abrir facsímil")</f>
        <v>Abrir facsímil</v>
      </c>
      <c r="K916" s="3" t="s">
        <v>22</v>
      </c>
    </row>
    <row r="917" spans="1:11" ht="42" customHeight="1">
      <c r="A917" s="2" t="s">
        <v>2038</v>
      </c>
      <c r="B917" s="2" t="s">
        <v>2038</v>
      </c>
      <c r="C917" s="2" t="s">
        <v>71</v>
      </c>
      <c r="D917" s="2" t="s">
        <v>17</v>
      </c>
      <c r="E917" s="5">
        <v>-28327</v>
      </c>
      <c r="F917" s="3" t="s">
        <v>38</v>
      </c>
      <c r="G917" s="3" t="s">
        <v>31</v>
      </c>
      <c r="H917" s="2" t="s">
        <v>20</v>
      </c>
      <c r="I917" s="2" t="s">
        <v>2042</v>
      </c>
      <c r="J917" s="3" t="str">
        <f>HYPERLINK("https://www.boe.es/gazeta/dias/1822/06/10/pdfs/GMD-1822-167.pdf#page=3","Abrir facsímil")</f>
        <v>Abrir facsímil</v>
      </c>
      <c r="K917" s="3" t="s">
        <v>22</v>
      </c>
    </row>
    <row r="918" spans="1:11" ht="42" customHeight="1">
      <c r="A918" s="2" t="s">
        <v>2038</v>
      </c>
      <c r="B918" s="2" t="s">
        <v>2038</v>
      </c>
      <c r="C918" s="2" t="s">
        <v>71</v>
      </c>
      <c r="D918" s="2" t="s">
        <v>17</v>
      </c>
      <c r="E918" s="5">
        <v>-28286</v>
      </c>
      <c r="F918" s="3" t="s">
        <v>1853</v>
      </c>
      <c r="G918" s="3" t="s">
        <v>57</v>
      </c>
      <c r="H918" s="2" t="s">
        <v>20</v>
      </c>
      <c r="I918" s="2" t="s">
        <v>2043</v>
      </c>
      <c r="J918" s="3" t="str">
        <f>HYPERLINK("https://www.boe.es/gazeta/dias/1822/07/21/pdfs/GMD-1822-213.pdf#page=4","Abrir facsímil")</f>
        <v>Abrir facsímil</v>
      </c>
      <c r="K918" s="3" t="s">
        <v>22</v>
      </c>
    </row>
    <row r="919" spans="1:11" ht="42" customHeight="1">
      <c r="A919" s="2" t="s">
        <v>2044</v>
      </c>
      <c r="B919" s="2" t="s">
        <v>2045</v>
      </c>
      <c r="C919" s="2" t="s">
        <v>50</v>
      </c>
      <c r="D919" s="2" t="s">
        <v>51</v>
      </c>
      <c r="E919" s="5">
        <v>-28486</v>
      </c>
      <c r="F919" s="3" t="s">
        <v>1046</v>
      </c>
      <c r="G919" s="3" t="s">
        <v>57</v>
      </c>
      <c r="H919" s="2" t="s">
        <v>20</v>
      </c>
      <c r="I919" s="2" t="s">
        <v>2046</v>
      </c>
      <c r="J919" s="3" t="str">
        <f>HYPERLINK("https://www.boe.es/gazeta/dias/1822/01/02/pdfs/GMD-1822-2.pdf#page=4","Abrir facsímil")</f>
        <v>Abrir facsímil</v>
      </c>
      <c r="K919" s="3" t="s">
        <v>22</v>
      </c>
    </row>
    <row r="920" spans="1:11" ht="42" customHeight="1">
      <c r="A920" s="2" t="s">
        <v>2047</v>
      </c>
      <c r="B920" s="2" t="s">
        <v>2048</v>
      </c>
      <c r="C920" s="2" t="s">
        <v>28</v>
      </c>
      <c r="D920" s="2" t="s">
        <v>29</v>
      </c>
      <c r="E920" s="5">
        <v>-28231</v>
      </c>
      <c r="F920" s="3" t="s">
        <v>2049</v>
      </c>
      <c r="G920" s="3" t="s">
        <v>57</v>
      </c>
      <c r="H920" s="2" t="s">
        <v>20</v>
      </c>
      <c r="I920" s="2" t="s">
        <v>2050</v>
      </c>
      <c r="J920" s="3" t="str">
        <f>HYPERLINK("https://www.boe.es/gazeta/dias/1822/09/14/pdfs/GMD-1822-270.pdf#page=4","Abrir facsímil")</f>
        <v>Abrir facsímil</v>
      </c>
      <c r="K920" s="3" t="s">
        <v>22</v>
      </c>
    </row>
    <row r="921" spans="1:11" ht="42" customHeight="1">
      <c r="A921" s="2" t="s">
        <v>2051</v>
      </c>
      <c r="B921" s="2" t="s">
        <v>2052</v>
      </c>
      <c r="C921" s="2" t="s">
        <v>16</v>
      </c>
      <c r="D921" s="2" t="s">
        <v>17</v>
      </c>
      <c r="E921" s="5">
        <v>-28378</v>
      </c>
      <c r="F921" s="3" t="s">
        <v>496</v>
      </c>
      <c r="G921" s="3" t="s">
        <v>57</v>
      </c>
      <c r="H921" s="2" t="s">
        <v>20</v>
      </c>
      <c r="I921" s="2" t="s">
        <v>2053</v>
      </c>
      <c r="J921" s="3" t="str">
        <f>HYPERLINK("https://www.boe.es/gazeta/dias/1822/04/20/pdfs/GMD-1822-112.pdf#page=4","Abrir facsímil")</f>
        <v>Abrir facsímil</v>
      </c>
      <c r="K921" s="3" t="s">
        <v>22</v>
      </c>
    </row>
    <row r="922" spans="1:11" ht="42" customHeight="1">
      <c r="A922" s="2" t="s">
        <v>2051</v>
      </c>
      <c r="B922" s="2" t="s">
        <v>2052</v>
      </c>
      <c r="C922" s="2" t="s">
        <v>61</v>
      </c>
      <c r="D922" s="2" t="s">
        <v>17</v>
      </c>
      <c r="E922" s="5">
        <v>-28257</v>
      </c>
      <c r="F922" s="3" t="s">
        <v>1171</v>
      </c>
      <c r="G922" s="3" t="s">
        <v>1172</v>
      </c>
      <c r="H922" s="2" t="s">
        <v>20</v>
      </c>
      <c r="I922" s="2" t="s">
        <v>2054</v>
      </c>
      <c r="J922" s="3" t="str">
        <f>HYPERLINK("https://www.boe.es/gazeta/dias/1822/08/19/pdfs/GMD-1822-243.pdf#page=4","Abrir facsímil")</f>
        <v>Abrir facsímil</v>
      </c>
      <c r="K922" s="3" t="s">
        <v>22</v>
      </c>
    </row>
    <row r="923" spans="1:11" ht="42" customHeight="1">
      <c r="A923" s="2" t="s">
        <v>2051</v>
      </c>
      <c r="B923" s="2" t="s">
        <v>2052</v>
      </c>
      <c r="C923" s="2" t="s">
        <v>42</v>
      </c>
      <c r="D923" s="2" t="s">
        <v>17</v>
      </c>
      <c r="E923" s="5">
        <v>-28243</v>
      </c>
      <c r="F923" s="3" t="s">
        <v>1829</v>
      </c>
      <c r="G923" s="3" t="s">
        <v>57</v>
      </c>
      <c r="H923" s="2" t="s">
        <v>20</v>
      </c>
      <c r="I923" s="2" t="s">
        <v>2055</v>
      </c>
      <c r="J923" s="3" t="str">
        <f>HYPERLINK("https://www.boe.es/gazeta/dias/1822/09/02/pdfs/GMD-1822-257.pdf#page=4","Abrir facsímil")</f>
        <v>Abrir facsímil</v>
      </c>
      <c r="K923" s="3" t="s">
        <v>22</v>
      </c>
    </row>
    <row r="924" spans="1:11" ht="42" customHeight="1">
      <c r="A924" s="2" t="s">
        <v>2056</v>
      </c>
      <c r="B924" s="2" t="s">
        <v>2057</v>
      </c>
      <c r="C924" s="2" t="s">
        <v>28</v>
      </c>
      <c r="D924" s="2" t="s">
        <v>29</v>
      </c>
      <c r="E924" s="5">
        <v>-28308</v>
      </c>
      <c r="F924" s="3" t="s">
        <v>1050</v>
      </c>
      <c r="G924" s="3" t="s">
        <v>157</v>
      </c>
      <c r="H924" s="2" t="s">
        <v>20</v>
      </c>
      <c r="I924" s="2" t="s">
        <v>2058</v>
      </c>
      <c r="J924" s="3" t="str">
        <f>HYPERLINK("https://www.boe.es/gazeta/dias/1822/06/29/pdfs/GMD-1822-187.pdf#page=8","Abrir facsímil")</f>
        <v>Abrir facsímil</v>
      </c>
      <c r="K924" s="3" t="s">
        <v>22</v>
      </c>
    </row>
    <row r="925" spans="1:11" ht="42" customHeight="1">
      <c r="A925" s="2" t="s">
        <v>2059</v>
      </c>
      <c r="B925" s="2" t="s">
        <v>2060</v>
      </c>
      <c r="C925" s="2" t="s">
        <v>50</v>
      </c>
      <c r="D925" s="2" t="s">
        <v>51</v>
      </c>
      <c r="E925" s="5">
        <v>-28349</v>
      </c>
      <c r="F925" s="3" t="s">
        <v>518</v>
      </c>
      <c r="G925" s="3" t="s">
        <v>57</v>
      </c>
      <c r="H925" s="2" t="s">
        <v>20</v>
      </c>
      <c r="I925" s="2" t="s">
        <v>2061</v>
      </c>
      <c r="J925" s="3" t="str">
        <f>HYPERLINK("https://www.boe.es/gazeta/dias/1822/05/19/pdfs/GMD-1822-141.pdf#page=4","Abrir facsímil")</f>
        <v>Abrir facsímil</v>
      </c>
      <c r="K925" s="3" t="s">
        <v>22</v>
      </c>
    </row>
    <row r="926" spans="1:11" ht="42" customHeight="1">
      <c r="A926" s="2" t="s">
        <v>2062</v>
      </c>
      <c r="B926" s="2" t="s">
        <v>2063</v>
      </c>
      <c r="C926" s="2" t="s">
        <v>24</v>
      </c>
      <c r="D926" s="2" t="s">
        <v>17</v>
      </c>
      <c r="E926" s="5">
        <v>-28159</v>
      </c>
      <c r="F926" s="3" t="s">
        <v>67</v>
      </c>
      <c r="G926" s="3" t="s">
        <v>57</v>
      </c>
      <c r="H926" s="2" t="s">
        <v>20</v>
      </c>
      <c r="I926" s="2" t="s">
        <v>2064</v>
      </c>
      <c r="J926" s="3" t="str">
        <f>HYPERLINK("https://www.boe.es/gazeta/dias/1822/11/25/pdfs/GMD-1822-345.pdf#page=4","Abrir facsímil")</f>
        <v>Abrir facsímil</v>
      </c>
      <c r="K926" s="3" t="s">
        <v>22</v>
      </c>
    </row>
    <row r="927" spans="1:11" ht="42" customHeight="1">
      <c r="A927" s="2" t="s">
        <v>2065</v>
      </c>
      <c r="B927" s="2" t="s">
        <v>2066</v>
      </c>
      <c r="C927" s="2" t="s">
        <v>42</v>
      </c>
      <c r="D927" s="2" t="s">
        <v>17</v>
      </c>
      <c r="E927" s="5">
        <v>-28258</v>
      </c>
      <c r="F927" s="3" t="s">
        <v>88</v>
      </c>
      <c r="G927" s="3" t="s">
        <v>31</v>
      </c>
      <c r="H927" s="2" t="s">
        <v>20</v>
      </c>
      <c r="I927" s="2" t="s">
        <v>2067</v>
      </c>
      <c r="J927" s="3" t="str">
        <f>HYPERLINK("https://www.boe.es/gazeta/dias/1822/08/18/pdfs/GMD-1822-242.pdf#page=3","Abrir facsímil")</f>
        <v>Abrir facsímil</v>
      </c>
      <c r="K927" s="3" t="s">
        <v>22</v>
      </c>
    </row>
    <row r="928" spans="1:11" ht="42" customHeight="1">
      <c r="A928" s="2" t="s">
        <v>2068</v>
      </c>
      <c r="B928" s="2" t="s">
        <v>2069</v>
      </c>
      <c r="C928" s="2" t="s">
        <v>28</v>
      </c>
      <c r="D928" s="2" t="s">
        <v>29</v>
      </c>
      <c r="E928" s="5">
        <v>-28426</v>
      </c>
      <c r="F928" s="3" t="s">
        <v>1178</v>
      </c>
      <c r="G928" s="3" t="s">
        <v>31</v>
      </c>
      <c r="H928" s="2" t="s">
        <v>20</v>
      </c>
      <c r="I928" s="2" t="s">
        <v>2070</v>
      </c>
      <c r="J928" s="3" t="str">
        <f>HYPERLINK("https://www.boe.es/gazeta/dias/1822/03/03/pdfs/GMD-1822-64.pdf#page=3","Abrir facsímil")</f>
        <v>Abrir facsímil</v>
      </c>
      <c r="K928" s="3" t="s">
        <v>22</v>
      </c>
    </row>
    <row r="929" spans="1:11" ht="42" customHeight="1">
      <c r="A929" s="2" t="s">
        <v>2071</v>
      </c>
      <c r="B929" s="2" t="s">
        <v>2071</v>
      </c>
      <c r="C929" s="2" t="s">
        <v>71</v>
      </c>
      <c r="D929" s="2" t="s">
        <v>17</v>
      </c>
      <c r="E929" s="5">
        <v>-28264</v>
      </c>
      <c r="F929" s="3" t="s">
        <v>1329</v>
      </c>
      <c r="G929" s="3" t="s">
        <v>35</v>
      </c>
      <c r="H929" s="2" t="s">
        <v>20</v>
      </c>
      <c r="I929" s="2" t="s">
        <v>2072</v>
      </c>
      <c r="J929" s="3" t="str">
        <f>HYPERLINK("https://www.boe.es/gazeta/dias/1822/08/12/pdfs/GMD-1822-236.pdf#page=2","Abrir facsímil")</f>
        <v>Abrir facsímil</v>
      </c>
      <c r="K929" s="3" t="s">
        <v>22</v>
      </c>
    </row>
    <row r="930" spans="1:11" ht="42" customHeight="1">
      <c r="A930" s="2" t="s">
        <v>2073</v>
      </c>
      <c r="B930" s="2" t="s">
        <v>2073</v>
      </c>
      <c r="C930" s="2" t="s">
        <v>50</v>
      </c>
      <c r="D930" s="2" t="s">
        <v>51</v>
      </c>
      <c r="E930" s="5">
        <v>-28480</v>
      </c>
      <c r="F930" s="3" t="s">
        <v>995</v>
      </c>
      <c r="G930" s="3" t="s">
        <v>63</v>
      </c>
      <c r="H930" s="2" t="s">
        <v>20</v>
      </c>
      <c r="I930" s="2" t="s">
        <v>2074</v>
      </c>
      <c r="J930" s="3" t="str">
        <f>HYPERLINK("https://www.boe.es/gazeta/dias/1822/01/08/pdfs/GMD-1822-8.pdf#page=6","Abrir facsímil")</f>
        <v>Abrir facsímil</v>
      </c>
      <c r="K930" s="3" t="s">
        <v>22</v>
      </c>
    </row>
    <row r="931" spans="1:11" ht="42" customHeight="1">
      <c r="A931" s="2" t="s">
        <v>2073</v>
      </c>
      <c r="B931" s="2" t="s">
        <v>2073</v>
      </c>
      <c r="C931" s="2" t="s">
        <v>50</v>
      </c>
      <c r="D931" s="2" t="s">
        <v>51</v>
      </c>
      <c r="E931" s="5">
        <v>-28476</v>
      </c>
      <c r="F931" s="3" t="s">
        <v>160</v>
      </c>
      <c r="G931" s="3" t="s">
        <v>57</v>
      </c>
      <c r="H931" s="2" t="s">
        <v>20</v>
      </c>
      <c r="I931" s="2" t="s">
        <v>2075</v>
      </c>
      <c r="J931" s="3" t="str">
        <f>HYPERLINK("https://www.boe.es/gazeta/dias/1822/01/12/pdfs/GMD-1822-12.pdf#page=4","Abrir facsímil")</f>
        <v>Abrir facsímil</v>
      </c>
      <c r="K931" s="3" t="s">
        <v>22</v>
      </c>
    </row>
    <row r="932" spans="1:11" ht="42" customHeight="1">
      <c r="A932" s="2" t="s">
        <v>2073</v>
      </c>
      <c r="B932" s="2" t="s">
        <v>2073</v>
      </c>
      <c r="C932" s="2" t="s">
        <v>42</v>
      </c>
      <c r="D932" s="2" t="s">
        <v>17</v>
      </c>
      <c r="E932" s="5">
        <v>-28292</v>
      </c>
      <c r="F932" s="3" t="s">
        <v>222</v>
      </c>
      <c r="G932" s="3" t="s">
        <v>31</v>
      </c>
      <c r="H932" s="2" t="s">
        <v>20</v>
      </c>
      <c r="I932" s="2" t="s">
        <v>2076</v>
      </c>
      <c r="J932" s="3" t="str">
        <f>HYPERLINK("https://www.boe.es/gazeta/dias/1822/07/15/pdfs/GMD-1822-205.pdf#page=3","Abrir facsímil")</f>
        <v>Abrir facsímil</v>
      </c>
      <c r="K932" s="3" t="s">
        <v>22</v>
      </c>
    </row>
    <row r="933" spans="1:11" ht="42" customHeight="1">
      <c r="A933" s="2" t="s">
        <v>2073</v>
      </c>
      <c r="B933" s="2" t="s">
        <v>2073</v>
      </c>
      <c r="C933" s="2" t="s">
        <v>50</v>
      </c>
      <c r="D933" s="2" t="s">
        <v>51</v>
      </c>
      <c r="E933" s="5">
        <v>-28238</v>
      </c>
      <c r="F933" s="3" t="s">
        <v>2077</v>
      </c>
      <c r="G933" s="3" t="s">
        <v>44</v>
      </c>
      <c r="H933" s="2" t="s">
        <v>20</v>
      </c>
      <c r="I933" s="2" t="s">
        <v>2078</v>
      </c>
      <c r="J933" s="3" t="str">
        <f>HYPERLINK("https://www.boe.es/gazeta/dias/1822/09/07/pdfs/GMD-1822-262.pdf#page=1","Abrir facsímil")</f>
        <v>Abrir facsímil</v>
      </c>
      <c r="K933" s="3" t="s">
        <v>22</v>
      </c>
    </row>
    <row r="934" spans="1:11" ht="42" customHeight="1">
      <c r="A934" s="2" t="s">
        <v>2073</v>
      </c>
      <c r="B934" s="2" t="s">
        <v>2073</v>
      </c>
      <c r="C934" s="2" t="s">
        <v>42</v>
      </c>
      <c r="D934" s="2" t="s">
        <v>17</v>
      </c>
      <c r="E934" s="5">
        <v>-28214</v>
      </c>
      <c r="F934" s="3" t="s">
        <v>814</v>
      </c>
      <c r="G934" s="3" t="s">
        <v>31</v>
      </c>
      <c r="H934" s="2" t="s">
        <v>20</v>
      </c>
      <c r="I934" s="2" t="s">
        <v>2079</v>
      </c>
      <c r="J934" s="3" t="str">
        <f>HYPERLINK("https://www.boe.es/gazeta/dias/1822/10/01/pdfs/GMD-1822-287.pdf#page=3","Abrir facsímil")</f>
        <v>Abrir facsímil</v>
      </c>
      <c r="K934" s="3" t="s">
        <v>22</v>
      </c>
    </row>
    <row r="935" spans="1:11" ht="42" customHeight="1">
      <c r="A935" s="2" t="s">
        <v>2073</v>
      </c>
      <c r="B935" s="2" t="s">
        <v>2073</v>
      </c>
      <c r="C935" s="2" t="s">
        <v>28</v>
      </c>
      <c r="D935" s="2" t="s">
        <v>29</v>
      </c>
      <c r="E935" s="5">
        <v>-28199</v>
      </c>
      <c r="F935" s="3" t="s">
        <v>656</v>
      </c>
      <c r="G935" s="3" t="s">
        <v>19</v>
      </c>
      <c r="H935" s="2" t="s">
        <v>20</v>
      </c>
      <c r="I935" s="2" t="s">
        <v>2080</v>
      </c>
      <c r="J935" s="3" t="str">
        <f>HYPERLINK("https://www.boe.es/gazeta/dias/1822/10/16/pdfs/GMD-1822-303.pdf#page=5","Abrir facsímil")</f>
        <v>Abrir facsímil</v>
      </c>
      <c r="K935" s="3" t="s">
        <v>22</v>
      </c>
    </row>
    <row r="936" spans="1:11" ht="42" customHeight="1">
      <c r="A936" s="2" t="s">
        <v>2081</v>
      </c>
      <c r="B936" s="2" t="s">
        <v>2081</v>
      </c>
      <c r="C936" s="2" t="s">
        <v>42</v>
      </c>
      <c r="D936" s="2" t="s">
        <v>17</v>
      </c>
      <c r="E936" s="5">
        <v>-28480</v>
      </c>
      <c r="F936" s="3" t="s">
        <v>995</v>
      </c>
      <c r="G936" s="3" t="s">
        <v>63</v>
      </c>
      <c r="H936" s="2" t="s">
        <v>20</v>
      </c>
      <c r="I936" s="2" t="s">
        <v>2082</v>
      </c>
      <c r="J936" s="3" t="str">
        <f>HYPERLINK("https://www.boe.es/gazeta/dias/1822/01/08/pdfs/GMD-1822-8.pdf#page=6","Abrir facsímil")</f>
        <v>Abrir facsímil</v>
      </c>
      <c r="K936" s="3" t="s">
        <v>22</v>
      </c>
    </row>
    <row r="937" spans="1:11" ht="42" customHeight="1">
      <c r="A937" s="2" t="s">
        <v>2083</v>
      </c>
      <c r="B937" s="2" t="s">
        <v>2083</v>
      </c>
      <c r="C937" s="2" t="s">
        <v>42</v>
      </c>
      <c r="D937" s="2" t="s">
        <v>17</v>
      </c>
      <c r="E937" s="5">
        <v>-28482</v>
      </c>
      <c r="F937" s="3" t="s">
        <v>850</v>
      </c>
      <c r="G937" s="3" t="s">
        <v>57</v>
      </c>
      <c r="H937" s="2" t="s">
        <v>20</v>
      </c>
      <c r="I937" s="2" t="s">
        <v>2084</v>
      </c>
      <c r="J937" s="3" t="str">
        <f>HYPERLINK("https://www.boe.es/gazeta/dias/1822/01/06/pdfs/GMD-1822-6.pdf#page=4","Abrir facsímil")</f>
        <v>Abrir facsímil</v>
      </c>
      <c r="K937" s="3" t="s">
        <v>22</v>
      </c>
    </row>
    <row r="938" spans="1:11" ht="42" customHeight="1">
      <c r="A938" s="2" t="s">
        <v>2085</v>
      </c>
      <c r="B938" s="2" t="s">
        <v>2086</v>
      </c>
      <c r="C938" s="2" t="s">
        <v>61</v>
      </c>
      <c r="D938" s="2" t="s">
        <v>17</v>
      </c>
      <c r="E938" s="5">
        <v>-28136</v>
      </c>
      <c r="F938" s="3" t="s">
        <v>948</v>
      </c>
      <c r="G938" s="3" t="s">
        <v>63</v>
      </c>
      <c r="H938" s="2" t="s">
        <v>20</v>
      </c>
      <c r="I938" s="2" t="s">
        <v>2087</v>
      </c>
      <c r="J938" s="3" t="str">
        <f>HYPERLINK("https://www.boe.es/gazeta/dias/1822/12/18/pdfs/GMD-1822-368.pdf#page=6","Abrir facsímil")</f>
        <v>Abrir facsímil</v>
      </c>
      <c r="K938" s="3" t="s">
        <v>22</v>
      </c>
    </row>
    <row r="939" spans="1:11" ht="42" customHeight="1">
      <c r="A939" s="2" t="s">
        <v>2088</v>
      </c>
      <c r="B939" s="2" t="s">
        <v>2089</v>
      </c>
      <c r="C939" s="2" t="s">
        <v>50</v>
      </c>
      <c r="D939" s="2" t="s">
        <v>51</v>
      </c>
      <c r="E939" s="5">
        <v>-28264</v>
      </c>
      <c r="F939" s="3" t="s">
        <v>1329</v>
      </c>
      <c r="G939" s="3" t="s">
        <v>57</v>
      </c>
      <c r="H939" s="2" t="s">
        <v>20</v>
      </c>
      <c r="I939" s="2" t="s">
        <v>2090</v>
      </c>
      <c r="J939" s="3" t="str">
        <f>HYPERLINK("https://www.boe.es/gazeta/dias/1822/08/12/pdfs/GMD-1822-236.pdf#page=4","Abrir facsímil")</f>
        <v>Abrir facsímil</v>
      </c>
      <c r="K939" s="3" t="s">
        <v>22</v>
      </c>
    </row>
    <row r="940" spans="1:11" ht="42" customHeight="1">
      <c r="A940" s="2" t="s">
        <v>2091</v>
      </c>
      <c r="B940" s="2" t="s">
        <v>2092</v>
      </c>
      <c r="C940" s="2" t="s">
        <v>42</v>
      </c>
      <c r="D940" s="2" t="s">
        <v>17</v>
      </c>
      <c r="E940" s="5">
        <v>-28365</v>
      </c>
      <c r="F940" s="3" t="s">
        <v>506</v>
      </c>
      <c r="G940" s="3" t="s">
        <v>2093</v>
      </c>
      <c r="H940" s="2" t="s">
        <v>20</v>
      </c>
      <c r="I940" s="2" t="s">
        <v>2094</v>
      </c>
      <c r="J940" s="3" t="str">
        <f>HYPERLINK("https://www.boe.es/gazeta/dias/1822/05/03/pdfs/GMD-1822-125.pdf#page=6","Abrir facsímil")</f>
        <v>Abrir facsímil</v>
      </c>
      <c r="K940" s="3" t="s">
        <v>22</v>
      </c>
    </row>
    <row r="941" spans="1:11" ht="42" customHeight="1">
      <c r="A941" s="2" t="s">
        <v>2095</v>
      </c>
      <c r="B941" s="2" t="s">
        <v>2096</v>
      </c>
      <c r="C941" s="2" t="s">
        <v>50</v>
      </c>
      <c r="D941" s="2" t="s">
        <v>51</v>
      </c>
      <c r="E941" s="5">
        <v>-28208</v>
      </c>
      <c r="F941" s="3" t="s">
        <v>230</v>
      </c>
      <c r="G941" s="3" t="s">
        <v>57</v>
      </c>
      <c r="H941" s="2" t="s">
        <v>20</v>
      </c>
      <c r="I941" s="2" t="s">
        <v>2097</v>
      </c>
      <c r="J941" s="3" t="str">
        <f>HYPERLINK("https://www.boe.es/gazeta/dias/1822/10/07/pdfs/GMD-1822-293.pdf#page=4","Abrir facsímil")</f>
        <v>Abrir facsímil</v>
      </c>
      <c r="K941" s="3" t="s">
        <v>22</v>
      </c>
    </row>
    <row r="942" spans="1:11" ht="42" customHeight="1">
      <c r="A942" s="2" t="s">
        <v>2098</v>
      </c>
      <c r="B942" s="2" t="s">
        <v>2099</v>
      </c>
      <c r="C942" s="2" t="s">
        <v>50</v>
      </c>
      <c r="D942" s="2" t="s">
        <v>51</v>
      </c>
      <c r="E942" s="5">
        <v>-28155</v>
      </c>
      <c r="F942" s="3" t="s">
        <v>833</v>
      </c>
      <c r="G942" s="3" t="s">
        <v>63</v>
      </c>
      <c r="H942" s="2" t="s">
        <v>20</v>
      </c>
      <c r="I942" s="2" t="s">
        <v>2100</v>
      </c>
      <c r="J942" s="3" t="str">
        <f>HYPERLINK("https://www.boe.es/gazeta/dias/1822/11/29/pdfs/GMD-1822-349.pdf#page=6","Abrir facsímil")</f>
        <v>Abrir facsímil</v>
      </c>
      <c r="K942" s="3" t="s">
        <v>22</v>
      </c>
    </row>
    <row r="943" spans="1:11" ht="42" customHeight="1">
      <c r="A943" s="2" t="s">
        <v>2101</v>
      </c>
      <c r="B943" s="2" t="s">
        <v>2102</v>
      </c>
      <c r="C943" s="2" t="s">
        <v>61</v>
      </c>
      <c r="D943" s="2" t="s">
        <v>17</v>
      </c>
      <c r="E943" s="5">
        <v>-28311</v>
      </c>
      <c r="F943" s="3" t="s">
        <v>736</v>
      </c>
      <c r="G943" s="3" t="s">
        <v>157</v>
      </c>
      <c r="H943" s="2" t="s">
        <v>20</v>
      </c>
      <c r="I943" s="2" t="s">
        <v>2103</v>
      </c>
      <c r="J943" s="3" t="str">
        <f>HYPERLINK("https://www.boe.es/gazeta/dias/1822/06/26/pdfs/GMD-1822-184.pdf#page=8","Abrir facsímil")</f>
        <v>Abrir facsímil</v>
      </c>
      <c r="K943" s="3" t="s">
        <v>22</v>
      </c>
    </row>
    <row r="944" spans="1:11" ht="42" customHeight="1">
      <c r="A944" s="2" t="s">
        <v>2101</v>
      </c>
      <c r="B944" s="2" t="s">
        <v>2102</v>
      </c>
      <c r="C944" s="2" t="s">
        <v>50</v>
      </c>
      <c r="D944" s="2" t="s">
        <v>51</v>
      </c>
      <c r="E944" s="5">
        <v>-28287</v>
      </c>
      <c r="F944" s="3" t="s">
        <v>1295</v>
      </c>
      <c r="G944" s="3" t="s">
        <v>63</v>
      </c>
      <c r="H944" s="2" t="s">
        <v>20</v>
      </c>
      <c r="I944" s="2" t="s">
        <v>2104</v>
      </c>
      <c r="J944" s="3" t="str">
        <f>HYPERLINK("https://www.boe.es/gazeta/dias/1822/07/20/pdfs/GMD-1822-212.pdf#page=6","Abrir facsímil")</f>
        <v>Abrir facsímil</v>
      </c>
      <c r="K944" s="3" t="s">
        <v>22</v>
      </c>
    </row>
    <row r="945" spans="1:11" ht="42" customHeight="1">
      <c r="A945" s="2" t="s">
        <v>2105</v>
      </c>
      <c r="B945" s="2" t="s">
        <v>2106</v>
      </c>
      <c r="C945" s="2" t="s">
        <v>50</v>
      </c>
      <c r="D945" s="2" t="s">
        <v>51</v>
      </c>
      <c r="E945" s="5">
        <v>-28349</v>
      </c>
      <c r="F945" s="3" t="s">
        <v>518</v>
      </c>
      <c r="G945" s="3" t="s">
        <v>57</v>
      </c>
      <c r="H945" s="2" t="s">
        <v>20</v>
      </c>
      <c r="I945" s="2" t="s">
        <v>2107</v>
      </c>
      <c r="J945" s="3" t="str">
        <f>HYPERLINK("https://www.boe.es/gazeta/dias/1822/05/19/pdfs/GMD-1822-141.pdf#page=4","Abrir facsímil")</f>
        <v>Abrir facsímil</v>
      </c>
      <c r="K945" s="3" t="s">
        <v>22</v>
      </c>
    </row>
    <row r="946" spans="1:11" ht="42" customHeight="1">
      <c r="A946" s="2" t="s">
        <v>2108</v>
      </c>
      <c r="B946" s="2" t="s">
        <v>2109</v>
      </c>
      <c r="C946" s="2" t="s">
        <v>16</v>
      </c>
      <c r="D946" s="2" t="s">
        <v>17</v>
      </c>
      <c r="E946" s="5">
        <v>-28152</v>
      </c>
      <c r="F946" s="3" t="s">
        <v>122</v>
      </c>
      <c r="G946" s="3" t="s">
        <v>19</v>
      </c>
      <c r="H946" s="2" t="s">
        <v>20</v>
      </c>
      <c r="I946" s="2" t="s">
        <v>2110</v>
      </c>
      <c r="J946" s="3" t="str">
        <f>HYPERLINK("https://www.boe.es/gazeta/dias/1822/12/02/pdfs/GMD-1822-352.pdf#page=5","Abrir facsímil")</f>
        <v>Abrir facsímil</v>
      </c>
      <c r="K946" s="3" t="s">
        <v>22</v>
      </c>
    </row>
    <row r="947" spans="1:11" ht="42" customHeight="1">
      <c r="A947" s="2" t="s">
        <v>2111</v>
      </c>
      <c r="B947" s="2" t="s">
        <v>2112</v>
      </c>
      <c r="C947" s="2" t="s">
        <v>50</v>
      </c>
      <c r="D947" s="2" t="s">
        <v>51</v>
      </c>
      <c r="E947" s="5">
        <v>-28189</v>
      </c>
      <c r="F947" s="3" t="s">
        <v>645</v>
      </c>
      <c r="G947" s="3" t="s">
        <v>63</v>
      </c>
      <c r="H947" s="2" t="s">
        <v>20</v>
      </c>
      <c r="I947" s="2" t="s">
        <v>2113</v>
      </c>
      <c r="J947" s="3" t="str">
        <f>HYPERLINK("https://www.boe.es/gazeta/dias/1822/10/26/pdfs/GMD-1822-313.pdf#page=6","Abrir facsímil")</f>
        <v>Abrir facsímil</v>
      </c>
      <c r="K947" s="3" t="s">
        <v>22</v>
      </c>
    </row>
    <row r="948" spans="1:11" ht="42" customHeight="1">
      <c r="A948" s="2" t="s">
        <v>2114</v>
      </c>
      <c r="B948" s="2" t="s">
        <v>2114</v>
      </c>
      <c r="C948" s="2" t="s">
        <v>50</v>
      </c>
      <c r="D948" s="2" t="s">
        <v>51</v>
      </c>
      <c r="E948" s="5">
        <v>-28370</v>
      </c>
      <c r="F948" s="3" t="s">
        <v>207</v>
      </c>
      <c r="G948" s="3" t="s">
        <v>63</v>
      </c>
      <c r="H948" s="2" t="s">
        <v>20</v>
      </c>
      <c r="I948" s="2" t="s">
        <v>2115</v>
      </c>
      <c r="J948" s="3" t="str">
        <f>HYPERLINK("https://www.boe.es/gazeta/dias/1822/04/28/pdfs/GMD-1822-120.pdf#page=6","Abrir facsímil")</f>
        <v>Abrir facsímil</v>
      </c>
      <c r="K948" s="3" t="s">
        <v>22</v>
      </c>
    </row>
    <row r="949" spans="1:11" ht="42" customHeight="1">
      <c r="A949" s="2" t="s">
        <v>2116</v>
      </c>
      <c r="B949" s="2" t="s">
        <v>2116</v>
      </c>
      <c r="C949" s="2" t="s">
        <v>50</v>
      </c>
      <c r="D949" s="2" t="s">
        <v>51</v>
      </c>
      <c r="E949" s="5">
        <v>-28211</v>
      </c>
      <c r="F949" s="3" t="s">
        <v>273</v>
      </c>
      <c r="G949" s="3" t="s">
        <v>35</v>
      </c>
      <c r="H949" s="2" t="s">
        <v>20</v>
      </c>
      <c r="I949" s="2" t="s">
        <v>2117</v>
      </c>
      <c r="J949" s="3" t="str">
        <f>HYPERLINK("https://www.boe.es/gazeta/dias/1822/10/04/pdfs/GMD-1822-290.pdf#page=2","Abrir facsímil")</f>
        <v>Abrir facsímil</v>
      </c>
      <c r="K949" s="3" t="s">
        <v>22</v>
      </c>
    </row>
    <row r="950" spans="1:11" ht="42" customHeight="1">
      <c r="A950" s="2" t="s">
        <v>2118</v>
      </c>
      <c r="B950" s="2" t="s">
        <v>2118</v>
      </c>
      <c r="C950" s="2" t="s">
        <v>28</v>
      </c>
      <c r="D950" s="2" t="s">
        <v>29</v>
      </c>
      <c r="E950" s="5">
        <v>-28311</v>
      </c>
      <c r="F950" s="3" t="s">
        <v>736</v>
      </c>
      <c r="G950" s="3" t="s">
        <v>167</v>
      </c>
      <c r="H950" s="2" t="s">
        <v>20</v>
      </c>
      <c r="I950" s="2" t="s">
        <v>2119</v>
      </c>
      <c r="J950" s="3" t="str">
        <f>HYPERLINK("https://www.boe.es/gazeta/dias/1822/06/26/pdfs/GMD-1822-184.pdf#page=7","Abrir facsímil")</f>
        <v>Abrir facsímil</v>
      </c>
      <c r="K950" s="3" t="s">
        <v>22</v>
      </c>
    </row>
    <row r="951" spans="1:11" ht="42" customHeight="1">
      <c r="A951" s="2" t="s">
        <v>2120</v>
      </c>
      <c r="B951" s="2" t="s">
        <v>2121</v>
      </c>
      <c r="C951" s="2" t="s">
        <v>28</v>
      </c>
      <c r="D951" s="2" t="s">
        <v>29</v>
      </c>
      <c r="E951" s="5">
        <v>-28291</v>
      </c>
      <c r="F951" s="3" t="s">
        <v>363</v>
      </c>
      <c r="G951" s="3" t="s">
        <v>35</v>
      </c>
      <c r="H951" s="2" t="s">
        <v>20</v>
      </c>
      <c r="I951" s="2" t="s">
        <v>2122</v>
      </c>
      <c r="J951" s="3" t="str">
        <f>HYPERLINK("https://www.boe.es/gazeta/dias/1822/07/16/pdfs/GMD-1822-206.pdf#page=2","Abrir facsímil")</f>
        <v>Abrir facsímil</v>
      </c>
      <c r="K951" s="3" t="s">
        <v>22</v>
      </c>
    </row>
    <row r="952" spans="1:11" ht="42" customHeight="1">
      <c r="A952" s="2" t="s">
        <v>2123</v>
      </c>
      <c r="B952" s="2" t="s">
        <v>2124</v>
      </c>
      <c r="C952" s="2" t="s">
        <v>50</v>
      </c>
      <c r="D952" s="2" t="s">
        <v>51</v>
      </c>
      <c r="E952" s="5">
        <v>-28391</v>
      </c>
      <c r="F952" s="3" t="s">
        <v>378</v>
      </c>
      <c r="G952" s="3" t="s">
        <v>63</v>
      </c>
      <c r="H952" s="2" t="s">
        <v>20</v>
      </c>
      <c r="I952" s="2" t="s">
        <v>2125</v>
      </c>
      <c r="J952" s="3" t="str">
        <f>HYPERLINK("https://www.boe.es/gazeta/dias/1822/04/07/pdfs/GMD-1822-99.pdf#page=6","Abrir facsímil")</f>
        <v>Abrir facsímil</v>
      </c>
      <c r="K952" s="3" t="s">
        <v>22</v>
      </c>
    </row>
    <row r="953" spans="1:11" ht="42" customHeight="1">
      <c r="A953" s="2" t="s">
        <v>2123</v>
      </c>
      <c r="B953" s="2" t="s">
        <v>2124</v>
      </c>
      <c r="C953" s="2" t="s">
        <v>28</v>
      </c>
      <c r="D953" s="2" t="s">
        <v>29</v>
      </c>
      <c r="E953" s="5">
        <v>-28309</v>
      </c>
      <c r="F953" s="3" t="s">
        <v>553</v>
      </c>
      <c r="G953" s="3" t="s">
        <v>157</v>
      </c>
      <c r="H953" s="2" t="s">
        <v>20</v>
      </c>
      <c r="I953" s="2" t="s">
        <v>2126</v>
      </c>
      <c r="J953" s="3" t="str">
        <f>HYPERLINK("https://www.boe.es/gazeta/dias/1822/06/28/pdfs/GMD-1822-186.pdf#page=8","Abrir facsímil")</f>
        <v>Abrir facsímil</v>
      </c>
      <c r="K953" s="3" t="s">
        <v>22</v>
      </c>
    </row>
    <row r="954" spans="1:11" ht="42" customHeight="1">
      <c r="A954" s="2" t="s">
        <v>2127</v>
      </c>
      <c r="B954" s="2" t="s">
        <v>2128</v>
      </c>
      <c r="C954" s="2" t="s">
        <v>28</v>
      </c>
      <c r="D954" s="2" t="s">
        <v>29</v>
      </c>
      <c r="E954" s="5">
        <v>-28363</v>
      </c>
      <c r="F954" s="3" t="s">
        <v>72</v>
      </c>
      <c r="G954" s="3" t="s">
        <v>31</v>
      </c>
      <c r="H954" s="2" t="s">
        <v>20</v>
      </c>
      <c r="I954" s="2" t="s">
        <v>2129</v>
      </c>
      <c r="J954" s="3" t="str">
        <f>HYPERLINK("https://www.boe.es/gazeta/dias/1822/05/05/pdfs/GMD-1822-127.pdf#page=3","Abrir facsímil")</f>
        <v>Abrir facsímil</v>
      </c>
      <c r="K954" s="3" t="s">
        <v>22</v>
      </c>
    </row>
    <row r="955" spans="1:11" ht="42" customHeight="1">
      <c r="A955" s="2" t="s">
        <v>2130</v>
      </c>
      <c r="B955" s="2" t="s">
        <v>2131</v>
      </c>
      <c r="C955" s="2" t="s">
        <v>28</v>
      </c>
      <c r="D955" s="2" t="s">
        <v>29</v>
      </c>
      <c r="E955" s="5">
        <v>-28326</v>
      </c>
      <c r="F955" s="3" t="s">
        <v>543</v>
      </c>
      <c r="G955" s="3" t="s">
        <v>63</v>
      </c>
      <c r="H955" s="2" t="s">
        <v>20</v>
      </c>
      <c r="I955" s="2" t="s">
        <v>2132</v>
      </c>
      <c r="J955" s="3" t="str">
        <f>HYPERLINK("https://www.boe.es/gazeta/dias/1822/06/11/pdfs/GMD-1822-168.pdf#page=6","Abrir facsímil")</f>
        <v>Abrir facsímil</v>
      </c>
      <c r="K955" s="3" t="s">
        <v>22</v>
      </c>
    </row>
    <row r="956" spans="1:11" ht="42" customHeight="1">
      <c r="A956" s="2" t="s">
        <v>2133</v>
      </c>
      <c r="B956" s="2" t="s">
        <v>2134</v>
      </c>
      <c r="C956" s="2" t="s">
        <v>42</v>
      </c>
      <c r="D956" s="2" t="s">
        <v>17</v>
      </c>
      <c r="E956" s="5">
        <v>-28359</v>
      </c>
      <c r="F956" s="3" t="s">
        <v>209</v>
      </c>
      <c r="G956" s="3" t="s">
        <v>31</v>
      </c>
      <c r="H956" s="2" t="s">
        <v>20</v>
      </c>
      <c r="I956" s="2" t="s">
        <v>2135</v>
      </c>
      <c r="J956" s="3" t="str">
        <f>HYPERLINK("https://www.boe.es/gazeta/dias/1822/05/09/pdfs/GMD-1822-131.pdf#page=3","Abrir facsímil")</f>
        <v>Abrir facsímil</v>
      </c>
      <c r="K956" s="3" t="s">
        <v>22</v>
      </c>
    </row>
    <row r="957" spans="1:11" ht="42" customHeight="1">
      <c r="A957" s="2" t="s">
        <v>2136</v>
      </c>
      <c r="B957" s="2" t="s">
        <v>2137</v>
      </c>
      <c r="C957" s="2" t="s">
        <v>16</v>
      </c>
      <c r="D957" s="2" t="s">
        <v>17</v>
      </c>
      <c r="E957" s="5">
        <v>-28295</v>
      </c>
      <c r="F957" s="3" t="s">
        <v>81</v>
      </c>
      <c r="G957" s="3" t="s">
        <v>57</v>
      </c>
      <c r="H957" s="2" t="s">
        <v>20</v>
      </c>
      <c r="I957" s="2" t="s">
        <v>2138</v>
      </c>
      <c r="J957" s="3" t="str">
        <f>HYPERLINK("https://www.boe.es/gazeta/dias/1822/07/12/pdfs/GMD-1822-202.pdf#page=4","Abrir facsímil")</f>
        <v>Abrir facsímil</v>
      </c>
      <c r="K957" s="3" t="s">
        <v>22</v>
      </c>
    </row>
    <row r="958" spans="1:11" ht="42" customHeight="1">
      <c r="A958" s="2" t="s">
        <v>2139</v>
      </c>
      <c r="B958" s="2" t="s">
        <v>2140</v>
      </c>
      <c r="C958" s="2" t="s">
        <v>50</v>
      </c>
      <c r="D958" s="2" t="s">
        <v>51</v>
      </c>
      <c r="E958" s="5">
        <v>-28339</v>
      </c>
      <c r="F958" s="3" t="s">
        <v>197</v>
      </c>
      <c r="G958" s="3" t="s">
        <v>63</v>
      </c>
      <c r="H958" s="2" t="s">
        <v>45</v>
      </c>
      <c r="I958" s="2" t="s">
        <v>2141</v>
      </c>
      <c r="J958" s="3" t="str">
        <f>HYPERLINK("https://www.boe.es/gazeta/dias/1822/05/29/pdfs/GMD-1822-154.pdf#page=6","Abrir facsímil")</f>
        <v>Abrir facsímil</v>
      </c>
      <c r="K958" s="3" t="s">
        <v>47</v>
      </c>
    </row>
    <row r="959" spans="1:11" ht="42" customHeight="1">
      <c r="A959" s="2" t="s">
        <v>2142</v>
      </c>
      <c r="B959" s="2" t="s">
        <v>2142</v>
      </c>
      <c r="C959" s="2" t="s">
        <v>50</v>
      </c>
      <c r="D959" s="2" t="s">
        <v>51</v>
      </c>
      <c r="E959" s="5">
        <v>-28455</v>
      </c>
      <c r="F959" s="3" t="s">
        <v>1107</v>
      </c>
      <c r="G959" s="3" t="s">
        <v>19</v>
      </c>
      <c r="H959" s="2" t="s">
        <v>20</v>
      </c>
      <c r="I959" s="2" t="s">
        <v>2143</v>
      </c>
      <c r="J959" s="3" t="str">
        <f>HYPERLINK("https://www.boe.es/gazeta/dias/1822/02/02/pdfs/GMD-1822-33.pdf#page=5","Abrir facsímil")</f>
        <v>Abrir facsímil</v>
      </c>
      <c r="K959" s="3" t="s">
        <v>22</v>
      </c>
    </row>
    <row r="960" spans="1:11" ht="42" customHeight="1">
      <c r="A960" s="2" t="s">
        <v>2144</v>
      </c>
      <c r="B960" s="2" t="s">
        <v>2144</v>
      </c>
      <c r="C960" s="2" t="s">
        <v>50</v>
      </c>
      <c r="D960" s="2" t="s">
        <v>51</v>
      </c>
      <c r="E960" s="5">
        <v>-28210</v>
      </c>
      <c r="F960" s="3" t="s">
        <v>218</v>
      </c>
      <c r="G960" s="3" t="s">
        <v>19</v>
      </c>
      <c r="H960" s="2" t="s">
        <v>20</v>
      </c>
      <c r="I960" s="2" t="s">
        <v>2145</v>
      </c>
      <c r="J960" s="3" t="str">
        <f>HYPERLINK("https://www.boe.es/gazeta/dias/1822/10/05/pdfs/GMD-1822-291.pdf#page=5","Abrir facsímil")</f>
        <v>Abrir facsímil</v>
      </c>
      <c r="K960" s="3" t="s">
        <v>22</v>
      </c>
    </row>
    <row r="961" spans="1:11" ht="42" customHeight="1">
      <c r="A961" s="2" t="s">
        <v>2144</v>
      </c>
      <c r="B961" s="2" t="s">
        <v>2144</v>
      </c>
      <c r="C961" s="2" t="s">
        <v>28</v>
      </c>
      <c r="D961" s="2" t="s">
        <v>29</v>
      </c>
      <c r="E961" s="5">
        <v>-28148</v>
      </c>
      <c r="F961" s="3" t="s">
        <v>1909</v>
      </c>
      <c r="G961" s="3" t="s">
        <v>44</v>
      </c>
      <c r="H961" s="2" t="s">
        <v>20</v>
      </c>
      <c r="I961" s="2" t="s">
        <v>2146</v>
      </c>
      <c r="J961" s="3" t="str">
        <f>HYPERLINK("https://www.boe.es/gazeta/dias/1822/12/06/pdfs/GMD-1822-356.pdf#page=1","Abrir facsímil")</f>
        <v>Abrir facsímil</v>
      </c>
      <c r="K961" s="3" t="s">
        <v>22</v>
      </c>
    </row>
    <row r="962" spans="1:11" ht="42" customHeight="1">
      <c r="A962" s="2" t="s">
        <v>2147</v>
      </c>
      <c r="B962" s="2" t="s">
        <v>2147</v>
      </c>
      <c r="C962" s="2" t="s">
        <v>28</v>
      </c>
      <c r="D962" s="2" t="s">
        <v>29</v>
      </c>
      <c r="E962" s="5">
        <v>-28227</v>
      </c>
      <c r="F962" s="3" t="s">
        <v>2148</v>
      </c>
      <c r="G962" s="3" t="s">
        <v>31</v>
      </c>
      <c r="H962" s="2" t="s">
        <v>20</v>
      </c>
      <c r="I962" s="2" t="s">
        <v>2149</v>
      </c>
      <c r="J962" s="3" t="str">
        <f>HYPERLINK("https://www.boe.es/gazeta/dias/1822/09/18/pdfs/GMD-1822-274.pdf#page=3","Abrir facsímil")</f>
        <v>Abrir facsímil</v>
      </c>
      <c r="K962" s="3" t="s">
        <v>22</v>
      </c>
    </row>
    <row r="963" spans="1:11" ht="42" customHeight="1">
      <c r="A963" s="2" t="s">
        <v>2150</v>
      </c>
      <c r="B963" s="2" t="s">
        <v>2151</v>
      </c>
      <c r="C963" s="2" t="s">
        <v>16</v>
      </c>
      <c r="D963" s="2" t="s">
        <v>17</v>
      </c>
      <c r="E963" s="5">
        <v>-28480</v>
      </c>
      <c r="F963" s="3" t="s">
        <v>995</v>
      </c>
      <c r="G963" s="3" t="s">
        <v>31</v>
      </c>
      <c r="H963" s="2" t="s">
        <v>20</v>
      </c>
      <c r="I963" s="2" t="s">
        <v>2152</v>
      </c>
      <c r="J963" s="3" t="str">
        <f>HYPERLINK("https://www.boe.es/gazeta/dias/1822/01/08/pdfs/GMD-1822-8.pdf#page=3","Abrir facsímil")</f>
        <v>Abrir facsímil</v>
      </c>
      <c r="K963" s="3" t="s">
        <v>22</v>
      </c>
    </row>
    <row r="964" spans="1:11" ht="42" customHeight="1">
      <c r="A964" s="2" t="s">
        <v>2153</v>
      </c>
      <c r="B964" s="2" t="s">
        <v>2154</v>
      </c>
      <c r="C964" s="2" t="s">
        <v>42</v>
      </c>
      <c r="D964" s="2" t="s">
        <v>17</v>
      </c>
      <c r="E964" s="5">
        <v>-28366</v>
      </c>
      <c r="F964" s="3" t="s">
        <v>120</v>
      </c>
      <c r="G964" s="3" t="s">
        <v>63</v>
      </c>
      <c r="H964" s="2" t="s">
        <v>20</v>
      </c>
      <c r="I964" s="2" t="s">
        <v>2155</v>
      </c>
      <c r="J964" s="3" t="str">
        <f>HYPERLINK("https://www.boe.es/gazeta/dias/1822/05/02/pdfs/GMD-1822-124.pdf#page=6","Abrir facsímil")</f>
        <v>Abrir facsímil</v>
      </c>
      <c r="K964" s="3" t="s">
        <v>22</v>
      </c>
    </row>
    <row r="965" spans="1:11" ht="42" customHeight="1">
      <c r="A965" s="2" t="s">
        <v>2156</v>
      </c>
      <c r="B965" s="2" t="s">
        <v>2157</v>
      </c>
      <c r="C965" s="2" t="s">
        <v>16</v>
      </c>
      <c r="D965" s="2" t="s">
        <v>17</v>
      </c>
      <c r="E965" s="5">
        <v>-28378</v>
      </c>
      <c r="F965" s="3" t="s">
        <v>496</v>
      </c>
      <c r="G965" s="3" t="s">
        <v>35</v>
      </c>
      <c r="H965" s="2" t="s">
        <v>20</v>
      </c>
      <c r="I965" s="2" t="s">
        <v>2158</v>
      </c>
      <c r="J965" s="3" t="str">
        <f>HYPERLINK("https://www.boe.es/gazeta/dias/1822/04/20/pdfs/GMD-1822-112.pdf#page=2","Abrir facsímil")</f>
        <v>Abrir facsímil</v>
      </c>
      <c r="K965" s="3" t="s">
        <v>22</v>
      </c>
    </row>
    <row r="966" spans="1:11" ht="42" customHeight="1">
      <c r="A966" s="2" t="s">
        <v>2159</v>
      </c>
      <c r="B966" s="2" t="s">
        <v>2160</v>
      </c>
      <c r="C966" s="2" t="s">
        <v>50</v>
      </c>
      <c r="D966" s="2" t="s">
        <v>51</v>
      </c>
      <c r="E966" s="5">
        <v>-28367</v>
      </c>
      <c r="F966" s="3" t="s">
        <v>280</v>
      </c>
      <c r="G966" s="3" t="s">
        <v>19</v>
      </c>
      <c r="H966" s="2" t="s">
        <v>20</v>
      </c>
      <c r="I966" s="2" t="s">
        <v>2161</v>
      </c>
      <c r="J966" s="3" t="str">
        <f>HYPERLINK("https://www.boe.es/gazeta/dias/1822/05/01/pdfs/GMD-1822-123.pdf#page=5","Abrir facsímil")</f>
        <v>Abrir facsímil</v>
      </c>
      <c r="K966" s="3" t="s">
        <v>22</v>
      </c>
    </row>
    <row r="967" spans="1:11" ht="42" customHeight="1">
      <c r="A967" s="2" t="s">
        <v>2162</v>
      </c>
      <c r="B967" s="2" t="s">
        <v>2162</v>
      </c>
      <c r="C967" s="2" t="s">
        <v>28</v>
      </c>
      <c r="D967" s="2" t="s">
        <v>29</v>
      </c>
      <c r="E967" s="5">
        <v>-28486</v>
      </c>
      <c r="F967" s="3" t="s">
        <v>1046</v>
      </c>
      <c r="G967" s="3" t="s">
        <v>57</v>
      </c>
      <c r="H967" s="2" t="s">
        <v>20</v>
      </c>
      <c r="I967" s="2" t="s">
        <v>2163</v>
      </c>
      <c r="J967" s="3" t="str">
        <f>HYPERLINK("https://www.boe.es/gazeta/dias/1822/01/02/pdfs/GMD-1822-2.pdf#page=4","Abrir facsímil")</f>
        <v>Abrir facsímil</v>
      </c>
      <c r="K967" s="3" t="s">
        <v>22</v>
      </c>
    </row>
    <row r="968" spans="1:11" ht="42" customHeight="1">
      <c r="A968" s="2" t="s">
        <v>2162</v>
      </c>
      <c r="B968" s="2" t="s">
        <v>2162</v>
      </c>
      <c r="C968" s="2" t="s">
        <v>42</v>
      </c>
      <c r="D968" s="2" t="s">
        <v>17</v>
      </c>
      <c r="E968" s="5">
        <v>-28436</v>
      </c>
      <c r="F968" s="3" t="s">
        <v>431</v>
      </c>
      <c r="G968" s="3" t="s">
        <v>1428</v>
      </c>
      <c r="H968" s="2" t="s">
        <v>20</v>
      </c>
      <c r="I968" s="2" t="s">
        <v>2164</v>
      </c>
      <c r="J968" s="3" t="str">
        <f>HYPERLINK("https://www.boe.es/gazeta/dias/1822/02/21/pdfs/GMD-1822-53.pdf#page=3","Abrir facsímil")</f>
        <v>Abrir facsímil</v>
      </c>
      <c r="K968" s="3" t="s">
        <v>22</v>
      </c>
    </row>
    <row r="969" spans="1:11" ht="42" customHeight="1">
      <c r="A969" s="2" t="s">
        <v>2162</v>
      </c>
      <c r="B969" s="2" t="s">
        <v>2162</v>
      </c>
      <c r="C969" s="2" t="s">
        <v>50</v>
      </c>
      <c r="D969" s="2" t="s">
        <v>51</v>
      </c>
      <c r="E969" s="5">
        <v>-28410</v>
      </c>
      <c r="F969" s="3" t="s">
        <v>966</v>
      </c>
      <c r="G969" s="3" t="s">
        <v>35</v>
      </c>
      <c r="H969" s="2" t="s">
        <v>20</v>
      </c>
      <c r="I969" s="2" t="s">
        <v>2165</v>
      </c>
      <c r="J969" s="3" t="str">
        <f>HYPERLINK("https://www.boe.es/gazeta/dias/1822/03/19/pdfs/GMD-1822-80.pdf#page=2","Abrir facsímil")</f>
        <v>Abrir facsímil</v>
      </c>
      <c r="K969" s="3" t="s">
        <v>22</v>
      </c>
    </row>
    <row r="970" spans="1:11" ht="42" customHeight="1">
      <c r="A970" s="2" t="s">
        <v>2162</v>
      </c>
      <c r="B970" s="2" t="s">
        <v>2162</v>
      </c>
      <c r="C970" s="2" t="s">
        <v>28</v>
      </c>
      <c r="D970" s="2" t="s">
        <v>29</v>
      </c>
      <c r="E970" s="5">
        <v>-28401</v>
      </c>
      <c r="F970" s="3" t="s">
        <v>108</v>
      </c>
      <c r="G970" s="3" t="s">
        <v>63</v>
      </c>
      <c r="H970" s="2" t="s">
        <v>20</v>
      </c>
      <c r="I970" s="2" t="s">
        <v>2166</v>
      </c>
      <c r="J970" s="3" t="str">
        <f>HYPERLINK("https://www.boe.es/gazeta/dias/1822/03/28/pdfs/GMD-1822-89.pdf#page=6","Abrir facsímil")</f>
        <v>Abrir facsímil</v>
      </c>
      <c r="K970" s="3" t="s">
        <v>22</v>
      </c>
    </row>
    <row r="971" spans="1:11" ht="42" customHeight="1">
      <c r="A971" s="2" t="s">
        <v>2162</v>
      </c>
      <c r="B971" s="2" t="s">
        <v>2162</v>
      </c>
      <c r="C971" s="2" t="s">
        <v>50</v>
      </c>
      <c r="D971" s="2" t="s">
        <v>51</v>
      </c>
      <c r="E971" s="5">
        <v>-28391</v>
      </c>
      <c r="F971" s="3" t="s">
        <v>378</v>
      </c>
      <c r="G971" s="3" t="s">
        <v>63</v>
      </c>
      <c r="H971" s="2" t="s">
        <v>20</v>
      </c>
      <c r="I971" s="2" t="s">
        <v>2167</v>
      </c>
      <c r="J971" s="3" t="str">
        <f>HYPERLINK("https://www.boe.es/gazeta/dias/1822/04/07/pdfs/GMD-1822-99.pdf#page=6","Abrir facsímil")</f>
        <v>Abrir facsímil</v>
      </c>
      <c r="K971" s="3" t="s">
        <v>22</v>
      </c>
    </row>
    <row r="972" spans="1:11" ht="42" customHeight="1">
      <c r="A972" s="2" t="s">
        <v>2162</v>
      </c>
      <c r="B972" s="2" t="s">
        <v>2162</v>
      </c>
      <c r="C972" s="2" t="s">
        <v>24</v>
      </c>
      <c r="D972" s="2" t="s">
        <v>17</v>
      </c>
      <c r="E972" s="5">
        <v>-28346</v>
      </c>
      <c r="F972" s="3" t="s">
        <v>191</v>
      </c>
      <c r="G972" s="3" t="s">
        <v>63</v>
      </c>
      <c r="H972" s="2" t="s">
        <v>20</v>
      </c>
      <c r="I972" s="2" t="s">
        <v>2168</v>
      </c>
      <c r="J972" s="3" t="str">
        <f>HYPERLINK("https://www.boe.es/gazeta/dias/1822/05/22/pdfs/GMD-1822-145.pdf#page=6","Abrir facsímil")</f>
        <v>Abrir facsímil</v>
      </c>
      <c r="K972" s="3" t="s">
        <v>22</v>
      </c>
    </row>
    <row r="973" spans="1:11" ht="42" customHeight="1">
      <c r="A973" s="2" t="s">
        <v>2162</v>
      </c>
      <c r="B973" s="2" t="s">
        <v>2162</v>
      </c>
      <c r="C973" s="2" t="s">
        <v>28</v>
      </c>
      <c r="D973" s="2" t="s">
        <v>29</v>
      </c>
      <c r="E973" s="5">
        <v>-28326</v>
      </c>
      <c r="F973" s="3" t="s">
        <v>543</v>
      </c>
      <c r="G973" s="3" t="s">
        <v>63</v>
      </c>
      <c r="H973" s="2" t="s">
        <v>20</v>
      </c>
      <c r="I973" s="2" t="s">
        <v>2169</v>
      </c>
      <c r="J973" s="3" t="str">
        <f>HYPERLINK("https://www.boe.es/gazeta/dias/1822/06/11/pdfs/GMD-1822-168.pdf#page=6","Abrir facsímil")</f>
        <v>Abrir facsímil</v>
      </c>
      <c r="K973" s="3" t="s">
        <v>22</v>
      </c>
    </row>
    <row r="974" spans="1:11" ht="42" customHeight="1">
      <c r="A974" s="2" t="s">
        <v>2162</v>
      </c>
      <c r="B974" s="2" t="s">
        <v>2162</v>
      </c>
      <c r="C974" s="2" t="s">
        <v>42</v>
      </c>
      <c r="D974" s="2" t="s">
        <v>17</v>
      </c>
      <c r="E974" s="5">
        <v>-28250</v>
      </c>
      <c r="F974" s="3" t="s">
        <v>1174</v>
      </c>
      <c r="G974" s="3" t="s">
        <v>57</v>
      </c>
      <c r="H974" s="2" t="s">
        <v>20</v>
      </c>
      <c r="I974" s="2" t="s">
        <v>2170</v>
      </c>
      <c r="J974" s="3" t="str">
        <f>HYPERLINK("https://www.boe.es/gazeta/dias/1822/08/26/pdfs/GMD-1822-250.pdf#page=4","Abrir facsímil")</f>
        <v>Abrir facsímil</v>
      </c>
      <c r="K974" s="3" t="s">
        <v>22</v>
      </c>
    </row>
    <row r="975" spans="1:11" ht="42" customHeight="1">
      <c r="A975" s="2" t="s">
        <v>2162</v>
      </c>
      <c r="B975" s="2" t="s">
        <v>2162</v>
      </c>
      <c r="C975" s="2" t="s">
        <v>42</v>
      </c>
      <c r="D975" s="2" t="s">
        <v>17</v>
      </c>
      <c r="E975" s="5">
        <v>-28214</v>
      </c>
      <c r="F975" s="3" t="s">
        <v>814</v>
      </c>
      <c r="G975" s="3" t="s">
        <v>57</v>
      </c>
      <c r="H975" s="2" t="s">
        <v>20</v>
      </c>
      <c r="I975" s="2" t="s">
        <v>2171</v>
      </c>
      <c r="J975" s="3" t="str">
        <f>HYPERLINK("https://www.boe.es/gazeta/dias/1822/10/01/pdfs/GMD-1822-287.pdf#page=4","Abrir facsímil")</f>
        <v>Abrir facsímil</v>
      </c>
      <c r="K975" s="3" t="s">
        <v>22</v>
      </c>
    </row>
    <row r="976" spans="1:11" ht="42" customHeight="1">
      <c r="A976" s="2" t="s">
        <v>2162</v>
      </c>
      <c r="B976" s="2" t="s">
        <v>2162</v>
      </c>
      <c r="C976" s="2" t="s">
        <v>362</v>
      </c>
      <c r="D976" s="2" t="s">
        <v>17</v>
      </c>
      <c r="E976" s="5">
        <v>-28164</v>
      </c>
      <c r="F976" s="3" t="s">
        <v>2172</v>
      </c>
      <c r="G976" s="3" t="s">
        <v>63</v>
      </c>
      <c r="H976" s="2" t="s">
        <v>20</v>
      </c>
      <c r="I976" s="2" t="s">
        <v>2173</v>
      </c>
      <c r="J976" s="3" t="str">
        <f>HYPERLINK("https://www.boe.es/gazeta/dias/1822/11/20/pdfs/GMD-1822-340.pdf#page=6","Abrir facsímil")</f>
        <v>Abrir facsímil</v>
      </c>
      <c r="K976" s="3" t="s">
        <v>22</v>
      </c>
    </row>
    <row r="977" spans="1:11" ht="42" customHeight="1">
      <c r="A977" s="2" t="s">
        <v>2162</v>
      </c>
      <c r="B977" s="2" t="s">
        <v>2162</v>
      </c>
      <c r="C977" s="2" t="s">
        <v>50</v>
      </c>
      <c r="D977" s="2" t="s">
        <v>51</v>
      </c>
      <c r="E977" s="5">
        <v>-28161</v>
      </c>
      <c r="F977" s="3" t="s">
        <v>166</v>
      </c>
      <c r="G977" s="3" t="s">
        <v>157</v>
      </c>
      <c r="H977" s="2" t="s">
        <v>20</v>
      </c>
      <c r="I977" s="2" t="s">
        <v>2174</v>
      </c>
      <c r="J977" s="3" t="str">
        <f>HYPERLINK("https://www.boe.es/gazeta/dias/1822/11/23/pdfs/GMD-1822-343.pdf#page=8","Abrir facsímil")</f>
        <v>Abrir facsímil</v>
      </c>
      <c r="K977" s="3" t="s">
        <v>22</v>
      </c>
    </row>
    <row r="978" spans="1:11" ht="42" customHeight="1">
      <c r="A978" s="2" t="s">
        <v>2175</v>
      </c>
      <c r="B978" s="2" t="s">
        <v>2176</v>
      </c>
      <c r="C978" s="2" t="s">
        <v>50</v>
      </c>
      <c r="D978" s="2" t="s">
        <v>51</v>
      </c>
      <c r="E978" s="5">
        <v>-28424</v>
      </c>
      <c r="F978" s="3" t="s">
        <v>439</v>
      </c>
      <c r="G978" s="3" t="s">
        <v>31</v>
      </c>
      <c r="H978" s="2" t="s">
        <v>20</v>
      </c>
      <c r="I978" s="2" t="s">
        <v>2177</v>
      </c>
      <c r="J978" s="3" t="str">
        <f>HYPERLINK("https://www.boe.es/gazeta/dias/1822/03/05/pdfs/GMD-1822-66.pdf#page=3","Abrir facsímil")</f>
        <v>Abrir facsímil</v>
      </c>
      <c r="K978" s="3" t="s">
        <v>22</v>
      </c>
    </row>
    <row r="979" spans="1:11" ht="42" customHeight="1">
      <c r="A979" s="2" t="s">
        <v>2175</v>
      </c>
      <c r="B979" s="2" t="s">
        <v>2176</v>
      </c>
      <c r="C979" s="2" t="s">
        <v>61</v>
      </c>
      <c r="D979" s="2" t="s">
        <v>17</v>
      </c>
      <c r="E979" s="5">
        <v>-28297</v>
      </c>
      <c r="F979" s="3" t="s">
        <v>1972</v>
      </c>
      <c r="G979" s="3" t="s">
        <v>57</v>
      </c>
      <c r="H979" s="2" t="s">
        <v>20</v>
      </c>
      <c r="I979" s="2" t="s">
        <v>2178</v>
      </c>
      <c r="J979" s="3" t="str">
        <f>HYPERLINK("https://www.boe.es/gazeta/dias/1822/07/10/pdfs/GMD-1822-200.pdf#page=4","Abrir facsímil")</f>
        <v>Abrir facsímil</v>
      </c>
      <c r="K979" s="3" t="s">
        <v>22</v>
      </c>
    </row>
    <row r="980" spans="1:11" ht="42" customHeight="1">
      <c r="A980" s="2" t="s">
        <v>2179</v>
      </c>
      <c r="B980" s="2" t="s">
        <v>2180</v>
      </c>
      <c r="C980" s="2" t="s">
        <v>16</v>
      </c>
      <c r="D980" s="2" t="s">
        <v>17</v>
      </c>
      <c r="E980" s="5">
        <v>-28383</v>
      </c>
      <c r="F980" s="3" t="s">
        <v>488</v>
      </c>
      <c r="G980" s="3" t="s">
        <v>63</v>
      </c>
      <c r="H980" s="2" t="s">
        <v>20</v>
      </c>
      <c r="I980" s="2" t="s">
        <v>2181</v>
      </c>
      <c r="J980" s="3" t="str">
        <f>HYPERLINK("https://www.boe.es/gazeta/dias/1822/04/15/pdfs/GMD-1822-107.pdf#page=6","Abrir facsímil")</f>
        <v>Abrir facsímil</v>
      </c>
      <c r="K980" s="3" t="s">
        <v>22</v>
      </c>
    </row>
    <row r="981" spans="1:11" ht="42" customHeight="1">
      <c r="A981" s="2" t="s">
        <v>2182</v>
      </c>
      <c r="B981" s="2" t="s">
        <v>2183</v>
      </c>
      <c r="C981" s="2" t="s">
        <v>50</v>
      </c>
      <c r="D981" s="2" t="s">
        <v>51</v>
      </c>
      <c r="E981" s="5">
        <v>-28209</v>
      </c>
      <c r="F981" s="3" t="s">
        <v>748</v>
      </c>
      <c r="G981" s="3" t="s">
        <v>57</v>
      </c>
      <c r="H981" s="2" t="s">
        <v>20</v>
      </c>
      <c r="I981" s="2" t="s">
        <v>2184</v>
      </c>
      <c r="J981" s="3" t="str">
        <f>HYPERLINK("https://www.boe.es/gazeta/dias/1822/10/06/pdfs/GMD-1822-292.pdf#page=4","Abrir facsímil")</f>
        <v>Abrir facsímil</v>
      </c>
      <c r="K981" s="3" t="s">
        <v>22</v>
      </c>
    </row>
    <row r="982" spans="1:11" ht="42" customHeight="1">
      <c r="A982" s="2" t="s">
        <v>2185</v>
      </c>
      <c r="B982" s="2" t="s">
        <v>2186</v>
      </c>
      <c r="C982" s="2" t="s">
        <v>50</v>
      </c>
      <c r="D982" s="2" t="s">
        <v>51</v>
      </c>
      <c r="E982" s="5">
        <v>-28471</v>
      </c>
      <c r="F982" s="3" t="s">
        <v>1436</v>
      </c>
      <c r="G982" s="3" t="s">
        <v>35</v>
      </c>
      <c r="H982" s="2" t="s">
        <v>20</v>
      </c>
      <c r="I982" s="2" t="s">
        <v>2187</v>
      </c>
      <c r="J982" s="3" t="str">
        <f>HYPERLINK("https://www.boe.es/gazeta/dias/1822/01/17/pdfs/GMD-1822-17.pdf#page=2","Abrir facsímil")</f>
        <v>Abrir facsímil</v>
      </c>
      <c r="K982" s="3" t="s">
        <v>22</v>
      </c>
    </row>
    <row r="983" spans="1:11" ht="42" customHeight="1">
      <c r="A983" s="2" t="s">
        <v>2185</v>
      </c>
      <c r="B983" s="2" t="s">
        <v>2186</v>
      </c>
      <c r="C983" s="2" t="s">
        <v>24</v>
      </c>
      <c r="D983" s="2" t="s">
        <v>17</v>
      </c>
      <c r="E983" s="5">
        <v>-28364</v>
      </c>
      <c r="F983" s="3" t="s">
        <v>509</v>
      </c>
      <c r="G983" s="3" t="s">
        <v>63</v>
      </c>
      <c r="H983" s="2" t="s">
        <v>20</v>
      </c>
      <c r="I983" s="2" t="s">
        <v>2188</v>
      </c>
      <c r="J983" s="3" t="str">
        <f>HYPERLINK("https://www.boe.es/gazeta/dias/1822/05/04/pdfs/GMD-1822-126.pdf#page=6","Abrir facsímil")</f>
        <v>Abrir facsímil</v>
      </c>
      <c r="K983" s="3" t="s">
        <v>22</v>
      </c>
    </row>
    <row r="984" spans="1:11" ht="42" customHeight="1">
      <c r="A984" s="2" t="s">
        <v>2185</v>
      </c>
      <c r="B984" s="2" t="s">
        <v>2186</v>
      </c>
      <c r="C984" s="2" t="s">
        <v>42</v>
      </c>
      <c r="D984" s="2" t="s">
        <v>17</v>
      </c>
      <c r="E984" s="5">
        <v>-28218</v>
      </c>
      <c r="F984" s="3" t="s">
        <v>405</v>
      </c>
      <c r="G984" s="3" t="s">
        <v>35</v>
      </c>
      <c r="H984" s="2" t="s">
        <v>20</v>
      </c>
      <c r="I984" s="2" t="s">
        <v>2189</v>
      </c>
      <c r="J984" s="3" t="str">
        <f>HYPERLINK("https://www.boe.es/gazeta/dias/1822/09/27/pdfs/GMD-1822-283.pdf#page=2","Abrir facsímil")</f>
        <v>Abrir facsímil</v>
      </c>
      <c r="K984" s="3" t="s">
        <v>22</v>
      </c>
    </row>
    <row r="985" spans="1:11" ht="42" customHeight="1">
      <c r="A985" s="2" t="s">
        <v>2190</v>
      </c>
      <c r="B985" s="2" t="s">
        <v>2191</v>
      </c>
      <c r="C985" s="2" t="s">
        <v>50</v>
      </c>
      <c r="D985" s="2" t="s">
        <v>51</v>
      </c>
      <c r="E985" s="5">
        <v>-28437</v>
      </c>
      <c r="F985" s="3" t="s">
        <v>2192</v>
      </c>
      <c r="G985" s="3" t="s">
        <v>57</v>
      </c>
      <c r="H985" s="2" t="s">
        <v>20</v>
      </c>
      <c r="I985" s="2" t="s">
        <v>2193</v>
      </c>
      <c r="J985" s="3" t="str">
        <f>HYPERLINK("https://www.boe.es/gazeta/dias/1822/02/20/pdfs/GMD-1822-52.pdf#page=4","Abrir facsímil")</f>
        <v>Abrir facsímil</v>
      </c>
      <c r="K985" s="3" t="s">
        <v>22</v>
      </c>
    </row>
    <row r="986" spans="1:11" ht="42" customHeight="1">
      <c r="A986" s="2" t="s">
        <v>2190</v>
      </c>
      <c r="B986" s="2" t="s">
        <v>2191</v>
      </c>
      <c r="C986" s="2" t="s">
        <v>50</v>
      </c>
      <c r="D986" s="2" t="s">
        <v>51</v>
      </c>
      <c r="E986" s="5">
        <v>-28124</v>
      </c>
      <c r="F986" s="3" t="s">
        <v>301</v>
      </c>
      <c r="G986" s="3" t="s">
        <v>63</v>
      </c>
      <c r="H986" s="2" t="s">
        <v>20</v>
      </c>
      <c r="I986" s="2" t="s">
        <v>2194</v>
      </c>
      <c r="J986" s="3" t="str">
        <f>HYPERLINK("https://www.boe.es/gazeta/dias/1822/12/30/pdfs/GMD-1822-380.pdf#page=6","Abrir facsímil")</f>
        <v>Abrir facsímil</v>
      </c>
      <c r="K986" s="3" t="s">
        <v>22</v>
      </c>
    </row>
    <row r="987" spans="1:11" ht="42" customHeight="1">
      <c r="A987" s="2" t="s">
        <v>2195</v>
      </c>
      <c r="B987" s="2" t="s">
        <v>2196</v>
      </c>
      <c r="C987" s="2" t="s">
        <v>24</v>
      </c>
      <c r="D987" s="2" t="s">
        <v>17</v>
      </c>
      <c r="E987" s="5">
        <v>-28451</v>
      </c>
      <c r="F987" s="3" t="s">
        <v>1674</v>
      </c>
      <c r="G987" s="3" t="s">
        <v>63</v>
      </c>
      <c r="H987" s="2" t="s">
        <v>20</v>
      </c>
      <c r="I987" s="2" t="s">
        <v>2197</v>
      </c>
      <c r="J987" s="3" t="str">
        <f>HYPERLINK("https://www.boe.es/gazeta/dias/1822/02/06/pdfs/GMD-1822-37.pdf#page=6","Abrir facsímil")</f>
        <v>Abrir facsímil</v>
      </c>
      <c r="K987" s="3" t="s">
        <v>22</v>
      </c>
    </row>
    <row r="988" spans="1:11" ht="42" customHeight="1">
      <c r="A988" s="2" t="s">
        <v>2198</v>
      </c>
      <c r="B988" s="2" t="s">
        <v>2199</v>
      </c>
      <c r="C988" s="2" t="s">
        <v>16</v>
      </c>
      <c r="D988" s="2" t="s">
        <v>17</v>
      </c>
      <c r="E988" s="5">
        <v>-28199</v>
      </c>
      <c r="F988" s="3" t="s">
        <v>656</v>
      </c>
      <c r="G988" s="3" t="s">
        <v>63</v>
      </c>
      <c r="H988" s="2" t="s">
        <v>20</v>
      </c>
      <c r="I988" s="2" t="s">
        <v>2200</v>
      </c>
      <c r="J988" s="3" t="str">
        <f>HYPERLINK("https://www.boe.es/gazeta/dias/1822/10/16/pdfs/GMD-1822-303.pdf#page=6","Abrir facsímil")</f>
        <v>Abrir facsímil</v>
      </c>
      <c r="K988" s="3" t="s">
        <v>22</v>
      </c>
    </row>
    <row r="989" spans="1:11" ht="42" customHeight="1">
      <c r="A989" s="2" t="s">
        <v>2201</v>
      </c>
      <c r="B989" s="2" t="s">
        <v>2201</v>
      </c>
      <c r="C989" s="2" t="s">
        <v>42</v>
      </c>
      <c r="D989" s="2" t="s">
        <v>17</v>
      </c>
      <c r="E989" s="5">
        <v>-28167</v>
      </c>
      <c r="F989" s="3" t="s">
        <v>904</v>
      </c>
      <c r="G989" s="3" t="s">
        <v>35</v>
      </c>
      <c r="H989" s="2" t="s">
        <v>20</v>
      </c>
      <c r="I989" s="2" t="s">
        <v>2202</v>
      </c>
      <c r="J989" s="3" t="str">
        <f>HYPERLINK("https://www.boe.es/gazeta/dias/1822/11/17/pdfs/GMD-1822-337.pdf#page=2","Abrir facsímil")</f>
        <v>Abrir facsímil</v>
      </c>
      <c r="K989" s="3" t="s">
        <v>22</v>
      </c>
    </row>
    <row r="990" spans="1:11" ht="42" customHeight="1">
      <c r="A990" s="2" t="s">
        <v>2203</v>
      </c>
      <c r="B990" s="2" t="s">
        <v>2203</v>
      </c>
      <c r="C990" s="2" t="s">
        <v>28</v>
      </c>
      <c r="D990" s="2" t="s">
        <v>29</v>
      </c>
      <c r="E990" s="5">
        <v>-28325</v>
      </c>
      <c r="F990" s="3" t="s">
        <v>104</v>
      </c>
      <c r="G990" s="3" t="s">
        <v>31</v>
      </c>
      <c r="H990" s="2" t="s">
        <v>20</v>
      </c>
      <c r="I990" s="2" t="s">
        <v>2204</v>
      </c>
      <c r="J990" s="3" t="str">
        <f>HYPERLINK("https://www.boe.es/gazeta/dias/1822/06/12/pdfs/GMD-1822-169.pdf#page=3","Abrir facsímil")</f>
        <v>Abrir facsímil</v>
      </c>
      <c r="K990" s="3" t="s">
        <v>22</v>
      </c>
    </row>
    <row r="991" spans="1:11" ht="42" customHeight="1">
      <c r="A991" s="2" t="s">
        <v>2203</v>
      </c>
      <c r="B991" s="2" t="s">
        <v>2203</v>
      </c>
      <c r="C991" s="2" t="s">
        <v>24</v>
      </c>
      <c r="D991" s="2" t="s">
        <v>17</v>
      </c>
      <c r="E991" s="5">
        <v>-28322</v>
      </c>
      <c r="F991" s="3" t="s">
        <v>2205</v>
      </c>
      <c r="G991" s="3" t="s">
        <v>57</v>
      </c>
      <c r="H991" s="2" t="s">
        <v>20</v>
      </c>
      <c r="I991" s="2" t="s">
        <v>2206</v>
      </c>
      <c r="J991" s="3" t="str">
        <f>HYPERLINK("https://www.boe.es/gazeta/dias/1822/06/15/pdfs/GMD-1822-172.pdf#page=4","Abrir facsímil")</f>
        <v>Abrir facsímil</v>
      </c>
      <c r="K991" s="3" t="s">
        <v>22</v>
      </c>
    </row>
    <row r="992" spans="1:11" ht="42" customHeight="1">
      <c r="A992" s="2" t="s">
        <v>2207</v>
      </c>
      <c r="B992" s="2" t="s">
        <v>2207</v>
      </c>
      <c r="C992" s="2" t="s">
        <v>71</v>
      </c>
      <c r="D992" s="2" t="s">
        <v>17</v>
      </c>
      <c r="E992" s="5">
        <v>-28293</v>
      </c>
      <c r="F992" s="3" t="s">
        <v>152</v>
      </c>
      <c r="G992" s="3" t="s">
        <v>57</v>
      </c>
      <c r="H992" s="2" t="s">
        <v>20</v>
      </c>
      <c r="I992" s="2" t="s">
        <v>2208</v>
      </c>
      <c r="J992" s="3" t="str">
        <f>HYPERLINK("https://www.boe.es/gazeta/dias/1822/07/14/pdfs/GMD-1822-204.pdf#page=4","Abrir facsímil")</f>
        <v>Abrir facsímil</v>
      </c>
      <c r="K992" s="3" t="s">
        <v>22</v>
      </c>
    </row>
    <row r="993" spans="1:11" ht="42" customHeight="1">
      <c r="A993" s="2" t="s">
        <v>2203</v>
      </c>
      <c r="B993" s="2" t="s">
        <v>2203</v>
      </c>
      <c r="C993" s="2" t="s">
        <v>50</v>
      </c>
      <c r="D993" s="2" t="s">
        <v>51</v>
      </c>
      <c r="E993" s="5">
        <v>-28264</v>
      </c>
      <c r="F993" s="3" t="s">
        <v>1329</v>
      </c>
      <c r="G993" s="3" t="s">
        <v>31</v>
      </c>
      <c r="H993" s="2" t="s">
        <v>20</v>
      </c>
      <c r="I993" s="2" t="s">
        <v>2209</v>
      </c>
      <c r="J993" s="3" t="str">
        <f>HYPERLINK("https://www.boe.es/gazeta/dias/1822/08/12/pdfs/GMD-1822-236.pdf#page=3","Abrir facsímil")</f>
        <v>Abrir facsímil</v>
      </c>
      <c r="K993" s="3" t="s">
        <v>22</v>
      </c>
    </row>
    <row r="994" spans="1:11" ht="42" customHeight="1">
      <c r="A994" s="2" t="s">
        <v>2203</v>
      </c>
      <c r="B994" s="2" t="s">
        <v>2203</v>
      </c>
      <c r="C994" s="2" t="s">
        <v>50</v>
      </c>
      <c r="D994" s="2" t="s">
        <v>51</v>
      </c>
      <c r="E994" s="5">
        <v>-28258</v>
      </c>
      <c r="F994" s="3" t="s">
        <v>88</v>
      </c>
      <c r="G994" s="3" t="s">
        <v>31</v>
      </c>
      <c r="H994" s="2" t="s">
        <v>20</v>
      </c>
      <c r="I994" s="2" t="s">
        <v>2210</v>
      </c>
      <c r="J994" s="3" t="str">
        <f>HYPERLINK("https://www.boe.es/gazeta/dias/1822/08/18/pdfs/GMD-1822-242.pdf#page=3","Abrir facsímil")</f>
        <v>Abrir facsímil</v>
      </c>
      <c r="K994" s="3" t="s">
        <v>22</v>
      </c>
    </row>
    <row r="995" spans="1:11" ht="42" customHeight="1">
      <c r="A995" s="2" t="s">
        <v>2203</v>
      </c>
      <c r="B995" s="2" t="s">
        <v>2203</v>
      </c>
      <c r="C995" s="2" t="s">
        <v>28</v>
      </c>
      <c r="D995" s="2" t="s">
        <v>29</v>
      </c>
      <c r="E995" s="5">
        <v>-28208</v>
      </c>
      <c r="F995" s="3" t="s">
        <v>230</v>
      </c>
      <c r="G995" s="3" t="s">
        <v>57</v>
      </c>
      <c r="H995" s="2" t="s">
        <v>20</v>
      </c>
      <c r="I995" s="2" t="s">
        <v>2211</v>
      </c>
      <c r="J995" s="3" t="str">
        <f>HYPERLINK("https://www.boe.es/gazeta/dias/1822/10/07/pdfs/GMD-1822-293.pdf#page=4","Abrir facsímil")</f>
        <v>Abrir facsímil</v>
      </c>
      <c r="K995" s="3" t="s">
        <v>22</v>
      </c>
    </row>
    <row r="996" spans="1:11" ht="42" customHeight="1">
      <c r="A996" s="2" t="s">
        <v>2203</v>
      </c>
      <c r="B996" s="2" t="s">
        <v>2203</v>
      </c>
      <c r="C996" s="2" t="s">
        <v>42</v>
      </c>
      <c r="D996" s="2" t="s">
        <v>17</v>
      </c>
      <c r="E996" s="5">
        <v>-28182</v>
      </c>
      <c r="F996" s="3" t="s">
        <v>585</v>
      </c>
      <c r="G996" s="3" t="s">
        <v>19</v>
      </c>
      <c r="H996" s="2" t="s">
        <v>20</v>
      </c>
      <c r="I996" s="2" t="s">
        <v>2212</v>
      </c>
      <c r="J996" s="3" t="str">
        <f>HYPERLINK("https://www.boe.es/gazeta/dias/1822/11/02/pdfs/GMD-1822-320.pdf#page=5","Abrir facsímil")</f>
        <v>Abrir facsímil</v>
      </c>
      <c r="K996" s="3" t="s">
        <v>22</v>
      </c>
    </row>
    <row r="997" spans="1:11" ht="42" customHeight="1">
      <c r="A997" s="2" t="s">
        <v>2203</v>
      </c>
      <c r="B997" s="2" t="s">
        <v>2203</v>
      </c>
      <c r="C997" s="2" t="s">
        <v>28</v>
      </c>
      <c r="D997" s="2" t="s">
        <v>29</v>
      </c>
      <c r="E997" s="5">
        <v>-28159</v>
      </c>
      <c r="F997" s="3" t="s">
        <v>67</v>
      </c>
      <c r="G997" s="3" t="s">
        <v>31</v>
      </c>
      <c r="H997" s="2" t="s">
        <v>20</v>
      </c>
      <c r="I997" s="2" t="s">
        <v>2213</v>
      </c>
      <c r="J997" s="3" t="str">
        <f>HYPERLINK("https://www.boe.es/gazeta/dias/1822/11/25/pdfs/GMD-1822-345.pdf#page=3","Abrir facsímil")</f>
        <v>Abrir facsímil</v>
      </c>
      <c r="K997" s="3" t="s">
        <v>22</v>
      </c>
    </row>
    <row r="998" spans="1:11" ht="42" customHeight="1">
      <c r="A998" s="2" t="s">
        <v>2203</v>
      </c>
      <c r="B998" s="2" t="s">
        <v>2203</v>
      </c>
      <c r="C998" s="2" t="s">
        <v>42</v>
      </c>
      <c r="D998" s="2" t="s">
        <v>17</v>
      </c>
      <c r="E998" s="5">
        <v>-28139</v>
      </c>
      <c r="F998" s="3" t="s">
        <v>143</v>
      </c>
      <c r="G998" s="3" t="s">
        <v>44</v>
      </c>
      <c r="H998" s="2" t="s">
        <v>20</v>
      </c>
      <c r="I998" s="2" t="s">
        <v>2214</v>
      </c>
      <c r="J998" s="3" t="str">
        <f>HYPERLINK("https://www.boe.es/gazeta/dias/1822/12/15/pdfs/GMD-1822-365.pdf#page=1","Abrir facsímil")</f>
        <v>Abrir facsímil</v>
      </c>
      <c r="K998" s="3" t="s">
        <v>22</v>
      </c>
    </row>
    <row r="999" spans="1:11" ht="42" customHeight="1">
      <c r="A999" s="2" t="s">
        <v>2215</v>
      </c>
      <c r="B999" s="2" t="s">
        <v>2216</v>
      </c>
      <c r="C999" s="2" t="s">
        <v>42</v>
      </c>
      <c r="D999" s="2" t="s">
        <v>17</v>
      </c>
      <c r="E999" s="5">
        <v>-28210</v>
      </c>
      <c r="F999" s="3" t="s">
        <v>218</v>
      </c>
      <c r="G999" s="3" t="s">
        <v>19</v>
      </c>
      <c r="H999" s="2" t="s">
        <v>20</v>
      </c>
      <c r="I999" s="2" t="s">
        <v>2217</v>
      </c>
      <c r="J999" s="3" t="str">
        <f>HYPERLINK("https://www.boe.es/gazeta/dias/1822/10/05/pdfs/GMD-1822-291.pdf#page=5","Abrir facsímil")</f>
        <v>Abrir facsímil</v>
      </c>
      <c r="K999" s="3" t="s">
        <v>22</v>
      </c>
    </row>
    <row r="1000" spans="1:11" ht="42" customHeight="1">
      <c r="A1000" s="2" t="s">
        <v>2218</v>
      </c>
      <c r="B1000" s="2" t="s">
        <v>2219</v>
      </c>
      <c r="C1000" s="2" t="s">
        <v>71</v>
      </c>
      <c r="D1000" s="2" t="s">
        <v>17</v>
      </c>
      <c r="E1000" s="5">
        <v>-28152</v>
      </c>
      <c r="F1000" s="3" t="s">
        <v>122</v>
      </c>
      <c r="G1000" s="3" t="s">
        <v>19</v>
      </c>
      <c r="H1000" s="2" t="s">
        <v>20</v>
      </c>
      <c r="I1000" s="2" t="s">
        <v>2220</v>
      </c>
      <c r="J1000" s="3" t="str">
        <f>HYPERLINK("https://www.boe.es/gazeta/dias/1822/12/02/pdfs/GMD-1822-352.pdf#page=5","Abrir facsímil")</f>
        <v>Abrir facsímil</v>
      </c>
      <c r="K1000" s="3" t="s">
        <v>22</v>
      </c>
    </row>
    <row r="1001" spans="1:11" ht="42" customHeight="1">
      <c r="A1001" s="2" t="s">
        <v>2221</v>
      </c>
      <c r="B1001" s="2" t="s">
        <v>2222</v>
      </c>
      <c r="C1001" s="2" t="s">
        <v>61</v>
      </c>
      <c r="D1001" s="2" t="s">
        <v>17</v>
      </c>
      <c r="E1001" s="5">
        <v>-28372</v>
      </c>
      <c r="F1001" s="3" t="s">
        <v>503</v>
      </c>
      <c r="G1001" s="3" t="s">
        <v>44</v>
      </c>
      <c r="H1001" s="2" t="s">
        <v>20</v>
      </c>
      <c r="I1001" s="2" t="s">
        <v>2223</v>
      </c>
      <c r="J1001" s="3" t="str">
        <f>HYPERLINK("https://www.boe.es/gazeta/dias/1822/04/26/pdfs/GMD-1822-118.pdf#page=1","Abrir facsímil")</f>
        <v>Abrir facsímil</v>
      </c>
      <c r="K1001" s="3" t="s">
        <v>22</v>
      </c>
    </row>
    <row r="1002" spans="1:11" ht="42" customHeight="1">
      <c r="A1002" s="2" t="s">
        <v>2224</v>
      </c>
      <c r="B1002" s="2" t="s">
        <v>2225</v>
      </c>
      <c r="C1002" s="2" t="s">
        <v>50</v>
      </c>
      <c r="D1002" s="2" t="s">
        <v>51</v>
      </c>
      <c r="E1002" s="5">
        <v>-28395</v>
      </c>
      <c r="F1002" s="3" t="s">
        <v>237</v>
      </c>
      <c r="G1002" s="3" t="s">
        <v>57</v>
      </c>
      <c r="H1002" s="2" t="s">
        <v>20</v>
      </c>
      <c r="I1002" s="2" t="s">
        <v>2226</v>
      </c>
      <c r="J1002" s="3" t="str">
        <f>HYPERLINK("https://www.boe.es/gazeta/dias/1822/04/03/pdfs/GMD-1822-95.pdf#page=4","Abrir facsímil")</f>
        <v>Abrir facsímil</v>
      </c>
      <c r="K1002" s="3" t="s">
        <v>22</v>
      </c>
    </row>
    <row r="1003" spans="1:11" ht="42" customHeight="1">
      <c r="A1003" s="2" t="s">
        <v>2227</v>
      </c>
      <c r="B1003" s="2" t="s">
        <v>2228</v>
      </c>
      <c r="C1003" s="2" t="s">
        <v>71</v>
      </c>
      <c r="D1003" s="2" t="s">
        <v>17</v>
      </c>
      <c r="E1003" s="5">
        <v>-28325</v>
      </c>
      <c r="F1003" s="3" t="s">
        <v>104</v>
      </c>
      <c r="G1003" s="3" t="s">
        <v>44</v>
      </c>
      <c r="H1003" s="2" t="s">
        <v>20</v>
      </c>
      <c r="I1003" s="2" t="s">
        <v>2229</v>
      </c>
      <c r="J1003" s="3" t="str">
        <f>HYPERLINK("https://www.boe.es/gazeta/dias/1822/06/12/pdfs/GMD-1822-169.pdf#page=1","Abrir facsímil")</f>
        <v>Abrir facsímil</v>
      </c>
      <c r="K1003" s="3" t="s">
        <v>22</v>
      </c>
    </row>
    <row r="1004" spans="1:11" ht="42" customHeight="1">
      <c r="A1004" s="2" t="s">
        <v>2230</v>
      </c>
      <c r="B1004" s="2" t="s">
        <v>2230</v>
      </c>
      <c r="C1004" s="2" t="s">
        <v>24</v>
      </c>
      <c r="D1004" s="2" t="s">
        <v>17</v>
      </c>
      <c r="E1004" s="5">
        <v>-28415</v>
      </c>
      <c r="F1004" s="3" t="s">
        <v>77</v>
      </c>
      <c r="G1004" s="3" t="s">
        <v>35</v>
      </c>
      <c r="H1004" s="2" t="s">
        <v>20</v>
      </c>
      <c r="I1004" s="2" t="s">
        <v>2231</v>
      </c>
      <c r="J1004" s="3" t="str">
        <f>HYPERLINK("https://www.boe.es/gazeta/dias/1822/03/14/pdfs/GMD-1822-75.pdf#page=2","Abrir facsímil")</f>
        <v>Abrir facsímil</v>
      </c>
      <c r="K1004" s="3" t="s">
        <v>22</v>
      </c>
    </row>
    <row r="1005" spans="1:11" ht="42" customHeight="1">
      <c r="A1005" s="2" t="s">
        <v>2230</v>
      </c>
      <c r="B1005" s="2" t="s">
        <v>2230</v>
      </c>
      <c r="C1005" s="2" t="s">
        <v>50</v>
      </c>
      <c r="D1005" s="2" t="s">
        <v>51</v>
      </c>
      <c r="E1005" s="5">
        <v>-28415</v>
      </c>
      <c r="F1005" s="3" t="s">
        <v>77</v>
      </c>
      <c r="G1005" s="3" t="s">
        <v>19</v>
      </c>
      <c r="H1005" s="2" t="s">
        <v>20</v>
      </c>
      <c r="I1005" s="2" t="s">
        <v>2232</v>
      </c>
      <c r="J1005" s="3" t="str">
        <f>HYPERLINK("https://www.boe.es/gazeta/dias/1822/03/14/pdfs/GMD-1822-75.pdf#page=5","Abrir facsímil")</f>
        <v>Abrir facsímil</v>
      </c>
      <c r="K1005" s="3" t="s">
        <v>22</v>
      </c>
    </row>
    <row r="1006" spans="1:11" ht="42" customHeight="1">
      <c r="A1006" s="2" t="s">
        <v>2233</v>
      </c>
      <c r="B1006" s="2" t="s">
        <v>2234</v>
      </c>
      <c r="C1006" s="2" t="s">
        <v>50</v>
      </c>
      <c r="D1006" s="2" t="s">
        <v>51</v>
      </c>
      <c r="E1006" s="5">
        <v>-28182</v>
      </c>
      <c r="F1006" s="3" t="s">
        <v>585</v>
      </c>
      <c r="G1006" s="3" t="s">
        <v>63</v>
      </c>
      <c r="H1006" s="2" t="s">
        <v>20</v>
      </c>
      <c r="I1006" s="2" t="s">
        <v>2235</v>
      </c>
      <c r="J1006" s="3" t="str">
        <f>HYPERLINK("https://www.boe.es/gazeta/dias/1822/11/02/pdfs/GMD-1822-320.pdf#page=6","Abrir facsímil")</f>
        <v>Abrir facsímil</v>
      </c>
      <c r="K1006" s="3" t="s">
        <v>22</v>
      </c>
    </row>
    <row r="1007" spans="1:11" ht="42" customHeight="1">
      <c r="A1007" s="2" t="s">
        <v>2236</v>
      </c>
      <c r="B1007" s="2" t="s">
        <v>2237</v>
      </c>
      <c r="C1007" s="2" t="s">
        <v>28</v>
      </c>
      <c r="D1007" s="2" t="s">
        <v>29</v>
      </c>
      <c r="E1007" s="5">
        <v>-28378</v>
      </c>
      <c r="F1007" s="3" t="s">
        <v>496</v>
      </c>
      <c r="G1007" s="3" t="s">
        <v>57</v>
      </c>
      <c r="H1007" s="2" t="s">
        <v>20</v>
      </c>
      <c r="I1007" s="2" t="s">
        <v>2238</v>
      </c>
      <c r="J1007" s="3" t="str">
        <f>HYPERLINK("https://www.boe.es/gazeta/dias/1822/04/20/pdfs/GMD-1822-112.pdf#page=4","Abrir facsímil")</f>
        <v>Abrir facsímil</v>
      </c>
      <c r="K1007" s="3" t="s">
        <v>22</v>
      </c>
    </row>
    <row r="1008" spans="1:11" ht="42" customHeight="1">
      <c r="A1008" s="2" t="s">
        <v>2239</v>
      </c>
      <c r="B1008" s="2" t="s">
        <v>2239</v>
      </c>
      <c r="C1008" s="2" t="s">
        <v>50</v>
      </c>
      <c r="D1008" s="2" t="s">
        <v>51</v>
      </c>
      <c r="E1008" s="5">
        <v>-28486</v>
      </c>
      <c r="F1008" s="3" t="s">
        <v>1046</v>
      </c>
      <c r="G1008" s="3" t="s">
        <v>35</v>
      </c>
      <c r="H1008" s="2" t="s">
        <v>20</v>
      </c>
      <c r="I1008" s="2" t="s">
        <v>2240</v>
      </c>
      <c r="J1008" s="3" t="str">
        <f>HYPERLINK("https://www.boe.es/gazeta/dias/1822/01/02/pdfs/GMD-1822-2.pdf#page=2","Abrir facsímil")</f>
        <v>Abrir facsímil</v>
      </c>
      <c r="K1008" s="3" t="s">
        <v>22</v>
      </c>
    </row>
    <row r="1009" spans="1:11" ht="42" customHeight="1">
      <c r="A1009" s="2" t="s">
        <v>2239</v>
      </c>
      <c r="B1009" s="2" t="s">
        <v>2239</v>
      </c>
      <c r="C1009" s="2" t="s">
        <v>50</v>
      </c>
      <c r="D1009" s="2" t="s">
        <v>51</v>
      </c>
      <c r="E1009" s="5">
        <v>-28484</v>
      </c>
      <c r="F1009" s="3" t="s">
        <v>743</v>
      </c>
      <c r="G1009" s="3" t="s">
        <v>63</v>
      </c>
      <c r="H1009" s="2" t="s">
        <v>20</v>
      </c>
      <c r="I1009" s="2" t="s">
        <v>2241</v>
      </c>
      <c r="J1009" s="3" t="str">
        <f>HYPERLINK("https://www.boe.es/gazeta/dias/1822/01/04/pdfs/GMD-1822-4.pdf#page=6","Abrir facsímil")</f>
        <v>Abrir facsímil</v>
      </c>
      <c r="K1009" s="3" t="s">
        <v>22</v>
      </c>
    </row>
    <row r="1010" spans="1:11" ht="42" customHeight="1">
      <c r="A1010" s="2" t="s">
        <v>2239</v>
      </c>
      <c r="B1010" s="2" t="s">
        <v>2239</v>
      </c>
      <c r="C1010" s="2" t="s">
        <v>28</v>
      </c>
      <c r="D1010" s="2" t="s">
        <v>29</v>
      </c>
      <c r="E1010" s="5">
        <v>-28479</v>
      </c>
      <c r="F1010" s="3" t="s">
        <v>1091</v>
      </c>
      <c r="G1010" s="3" t="s">
        <v>57</v>
      </c>
      <c r="H1010" s="2" t="s">
        <v>20</v>
      </c>
      <c r="I1010" s="2" t="s">
        <v>2242</v>
      </c>
      <c r="J1010" s="3" t="str">
        <f>HYPERLINK("https://www.boe.es/gazeta/dias/1822/01/09/pdfs/GMD-1822-9.pdf#page=4","Abrir facsímil")</f>
        <v>Abrir facsímil</v>
      </c>
      <c r="K1010" s="3" t="s">
        <v>22</v>
      </c>
    </row>
    <row r="1011" spans="1:11" ht="42" customHeight="1">
      <c r="A1011" s="2" t="s">
        <v>2239</v>
      </c>
      <c r="B1011" s="2" t="s">
        <v>2239</v>
      </c>
      <c r="C1011" s="2" t="s">
        <v>28</v>
      </c>
      <c r="D1011" s="2" t="s">
        <v>29</v>
      </c>
      <c r="E1011" s="5">
        <v>-28457</v>
      </c>
      <c r="F1011" s="3" t="s">
        <v>1655</v>
      </c>
      <c r="G1011" s="3" t="s">
        <v>57</v>
      </c>
      <c r="H1011" s="2" t="s">
        <v>20</v>
      </c>
      <c r="I1011" s="2" t="s">
        <v>2243</v>
      </c>
      <c r="J1011" s="3" t="str">
        <f>HYPERLINK("https://www.boe.es/gazeta/dias/1822/01/31/pdfs/GMD-1822-31.pdf#page=4","Abrir facsímil")</f>
        <v>Abrir facsímil</v>
      </c>
      <c r="K1011" s="3" t="s">
        <v>22</v>
      </c>
    </row>
    <row r="1012" spans="1:11" ht="42" customHeight="1">
      <c r="A1012" s="2" t="s">
        <v>2239</v>
      </c>
      <c r="B1012" s="2" t="s">
        <v>2239</v>
      </c>
      <c r="C1012" s="2" t="s">
        <v>50</v>
      </c>
      <c r="D1012" s="2" t="s">
        <v>51</v>
      </c>
      <c r="E1012" s="5">
        <v>-28455</v>
      </c>
      <c r="F1012" s="3" t="s">
        <v>1107</v>
      </c>
      <c r="G1012" s="3" t="s">
        <v>19</v>
      </c>
      <c r="H1012" s="2" t="s">
        <v>20</v>
      </c>
      <c r="I1012" s="2" t="s">
        <v>2244</v>
      </c>
      <c r="J1012" s="3" t="str">
        <f>HYPERLINK("https://www.boe.es/gazeta/dias/1822/02/02/pdfs/GMD-1822-33.pdf#page=5","Abrir facsímil")</f>
        <v>Abrir facsímil</v>
      </c>
      <c r="K1012" s="3" t="s">
        <v>22</v>
      </c>
    </row>
    <row r="1013" spans="1:11" ht="42" customHeight="1">
      <c r="A1013" s="2" t="s">
        <v>2239</v>
      </c>
      <c r="B1013" s="2" t="s">
        <v>2239</v>
      </c>
      <c r="C1013" s="2" t="s">
        <v>71</v>
      </c>
      <c r="D1013" s="2" t="s">
        <v>17</v>
      </c>
      <c r="E1013" s="5">
        <v>-28453</v>
      </c>
      <c r="F1013" s="3" t="s">
        <v>2039</v>
      </c>
      <c r="G1013" s="3" t="s">
        <v>57</v>
      </c>
      <c r="H1013" s="2" t="s">
        <v>20</v>
      </c>
      <c r="I1013" s="2" t="s">
        <v>2245</v>
      </c>
      <c r="J1013" s="3" t="str">
        <f>HYPERLINK("https://www.boe.es/gazeta/dias/1822/02/04/pdfs/GMD-1822-35.pdf#page=4","Abrir facsímil")</f>
        <v>Abrir facsímil</v>
      </c>
      <c r="K1013" s="3" t="s">
        <v>22</v>
      </c>
    </row>
    <row r="1014" spans="1:11" ht="42" customHeight="1">
      <c r="A1014" s="2" t="s">
        <v>2239</v>
      </c>
      <c r="B1014" s="2" t="s">
        <v>2239</v>
      </c>
      <c r="C1014" s="2" t="s">
        <v>50</v>
      </c>
      <c r="D1014" s="2" t="s">
        <v>51</v>
      </c>
      <c r="E1014" s="5">
        <v>-28451</v>
      </c>
      <c r="F1014" s="3" t="s">
        <v>1674</v>
      </c>
      <c r="G1014" s="3" t="s">
        <v>63</v>
      </c>
      <c r="H1014" s="2" t="s">
        <v>20</v>
      </c>
      <c r="I1014" s="2" t="s">
        <v>2246</v>
      </c>
      <c r="J1014" s="3" t="str">
        <f>HYPERLINK("https://www.boe.es/gazeta/dias/1822/02/06/pdfs/GMD-1822-37.pdf#page=6","Abrir facsímil")</f>
        <v>Abrir facsímil</v>
      </c>
      <c r="K1014" s="3" t="s">
        <v>22</v>
      </c>
    </row>
    <row r="1015" spans="1:11" ht="42" customHeight="1">
      <c r="A1015" s="2" t="s">
        <v>2239</v>
      </c>
      <c r="B1015" s="2" t="s">
        <v>2239</v>
      </c>
      <c r="C1015" s="2" t="s">
        <v>24</v>
      </c>
      <c r="D1015" s="2" t="s">
        <v>17</v>
      </c>
      <c r="E1015" s="5">
        <v>-28450</v>
      </c>
      <c r="F1015" s="3" t="s">
        <v>1450</v>
      </c>
      <c r="G1015" s="3" t="s">
        <v>2247</v>
      </c>
      <c r="H1015" s="2" t="s">
        <v>20</v>
      </c>
      <c r="I1015" s="2" t="s">
        <v>2248</v>
      </c>
      <c r="J1015" s="3" t="str">
        <f>HYPERLINK("https://www.boe.es/gazeta/dias/1822/02/07/pdfs/GMD-1822-38.pdf#page=6","Abrir facsímil")</f>
        <v>Abrir facsímil</v>
      </c>
      <c r="K1015" s="3" t="s">
        <v>22</v>
      </c>
    </row>
    <row r="1016" spans="1:11" ht="42" customHeight="1">
      <c r="A1016" s="2" t="s">
        <v>2239</v>
      </c>
      <c r="B1016" s="2" t="s">
        <v>2239</v>
      </c>
      <c r="C1016" s="2" t="s">
        <v>50</v>
      </c>
      <c r="D1016" s="2" t="s">
        <v>51</v>
      </c>
      <c r="E1016" s="5">
        <v>-28447</v>
      </c>
      <c r="F1016" s="3" t="s">
        <v>997</v>
      </c>
      <c r="G1016" s="3" t="s">
        <v>35</v>
      </c>
      <c r="H1016" s="2" t="s">
        <v>20</v>
      </c>
      <c r="I1016" s="2" t="s">
        <v>2249</v>
      </c>
      <c r="J1016" s="3" t="str">
        <f>HYPERLINK("https://www.boe.es/gazeta/dias/1822/02/10/pdfs/GMD-1822-41.pdf#page=2","Abrir facsímil")</f>
        <v>Abrir facsímil</v>
      </c>
      <c r="K1016" s="3" t="s">
        <v>22</v>
      </c>
    </row>
    <row r="1017" spans="1:11" ht="42" customHeight="1">
      <c r="A1017" s="2" t="s">
        <v>2239</v>
      </c>
      <c r="B1017" s="2" t="s">
        <v>2239</v>
      </c>
      <c r="C1017" s="2" t="s">
        <v>50</v>
      </c>
      <c r="D1017" s="2" t="s">
        <v>51</v>
      </c>
      <c r="E1017" s="5">
        <v>-28442</v>
      </c>
      <c r="F1017" s="3" t="s">
        <v>2250</v>
      </c>
      <c r="G1017" s="3" t="s">
        <v>2251</v>
      </c>
      <c r="H1017" s="2" t="s">
        <v>20</v>
      </c>
      <c r="I1017" s="2" t="s">
        <v>2252</v>
      </c>
      <c r="J1017" s="3" t="str">
        <f>HYPERLINK("https://www.boe.es/gazeta/dias/1822/02/15/pdfs/GMD-1822-47.pdf#page=4","Abrir facsímil")</f>
        <v>Abrir facsímil</v>
      </c>
      <c r="K1017" s="3" t="s">
        <v>22</v>
      </c>
    </row>
    <row r="1018" spans="1:11" ht="42" customHeight="1">
      <c r="A1018" s="2" t="s">
        <v>2239</v>
      </c>
      <c r="B1018" s="2" t="s">
        <v>2239</v>
      </c>
      <c r="C1018" s="2" t="s">
        <v>42</v>
      </c>
      <c r="D1018" s="2" t="s">
        <v>17</v>
      </c>
      <c r="E1018" s="5">
        <v>-28436</v>
      </c>
      <c r="F1018" s="3" t="s">
        <v>431</v>
      </c>
      <c r="G1018" s="3" t="s">
        <v>1428</v>
      </c>
      <c r="H1018" s="2" t="s">
        <v>20</v>
      </c>
      <c r="I1018" s="2" t="s">
        <v>2253</v>
      </c>
      <c r="J1018" s="3" t="str">
        <f>HYPERLINK("https://www.boe.es/gazeta/dias/1822/02/21/pdfs/GMD-1822-53.pdf#page=3","Abrir facsímil")</f>
        <v>Abrir facsímil</v>
      </c>
      <c r="K1018" s="3" t="s">
        <v>22</v>
      </c>
    </row>
    <row r="1019" spans="1:11" ht="42" customHeight="1">
      <c r="A1019" s="2" t="s">
        <v>2239</v>
      </c>
      <c r="B1019" s="2" t="s">
        <v>2239</v>
      </c>
      <c r="C1019" s="2" t="s">
        <v>42</v>
      </c>
      <c r="D1019" s="2" t="s">
        <v>17</v>
      </c>
      <c r="E1019" s="5">
        <v>-28428</v>
      </c>
      <c r="F1019" s="3" t="s">
        <v>1924</v>
      </c>
      <c r="G1019" s="3" t="s">
        <v>57</v>
      </c>
      <c r="H1019" s="2" t="s">
        <v>20</v>
      </c>
      <c r="I1019" s="2" t="s">
        <v>2254</v>
      </c>
      <c r="J1019" s="3" t="str">
        <f>HYPERLINK("https://www.boe.es/gazeta/dias/1822/03/01/pdfs/GMD-1822-61.pdf#page=4","Abrir facsímil")</f>
        <v>Abrir facsímil</v>
      </c>
      <c r="K1019" s="3" t="s">
        <v>22</v>
      </c>
    </row>
    <row r="1020" spans="1:11" ht="42" customHeight="1">
      <c r="A1020" s="2" t="s">
        <v>2239</v>
      </c>
      <c r="B1020" s="2" t="s">
        <v>2239</v>
      </c>
      <c r="C1020" s="2" t="s">
        <v>28</v>
      </c>
      <c r="D1020" s="2" t="s">
        <v>29</v>
      </c>
      <c r="E1020" s="5">
        <v>-28427</v>
      </c>
      <c r="F1020" s="3" t="s">
        <v>755</v>
      </c>
      <c r="G1020" s="3" t="s">
        <v>31</v>
      </c>
      <c r="H1020" s="2" t="s">
        <v>20</v>
      </c>
      <c r="I1020" s="2" t="s">
        <v>2255</v>
      </c>
      <c r="J1020" s="3" t="str">
        <f>HYPERLINK("https://www.boe.es/gazeta/dias/1822/03/02/pdfs/GMD-1822-63.pdf#page=3","Abrir facsímil")</f>
        <v>Abrir facsímil</v>
      </c>
      <c r="K1020" s="3" t="s">
        <v>22</v>
      </c>
    </row>
    <row r="1021" spans="1:11" ht="42" customHeight="1">
      <c r="A1021" s="2" t="s">
        <v>2239</v>
      </c>
      <c r="B1021" s="2" t="s">
        <v>2239</v>
      </c>
      <c r="C1021" s="2" t="s">
        <v>61</v>
      </c>
      <c r="D1021" s="2" t="s">
        <v>17</v>
      </c>
      <c r="E1021" s="5">
        <v>-28423</v>
      </c>
      <c r="F1021" s="3" t="s">
        <v>441</v>
      </c>
      <c r="G1021" s="3" t="s">
        <v>31</v>
      </c>
      <c r="H1021" s="2" t="s">
        <v>20</v>
      </c>
      <c r="I1021" s="2" t="s">
        <v>2256</v>
      </c>
      <c r="J1021" s="3" t="str">
        <f>HYPERLINK("https://www.boe.es/gazeta/dias/1822/03/06/pdfs/GMD-1822-67.pdf#page=3","Abrir facsímil")</f>
        <v>Abrir facsímil</v>
      </c>
      <c r="K1021" s="3" t="s">
        <v>22</v>
      </c>
    </row>
    <row r="1022" spans="1:11" ht="42" customHeight="1">
      <c r="A1022" s="2" t="s">
        <v>2239</v>
      </c>
      <c r="B1022" s="2" t="s">
        <v>2239</v>
      </c>
      <c r="C1022" s="2" t="s">
        <v>50</v>
      </c>
      <c r="D1022" s="2" t="s">
        <v>51</v>
      </c>
      <c r="E1022" s="5">
        <v>-28418</v>
      </c>
      <c r="F1022" s="3" t="s">
        <v>205</v>
      </c>
      <c r="G1022" s="3" t="s">
        <v>167</v>
      </c>
      <c r="H1022" s="2" t="s">
        <v>20</v>
      </c>
      <c r="I1022" s="2" t="s">
        <v>2257</v>
      </c>
      <c r="J1022" s="3" t="str">
        <f>HYPERLINK("https://www.boe.es/gazeta/dias/1822/03/11/pdfs/GMD-1822-72.pdf#page=7","Abrir facsímil")</f>
        <v>Abrir facsímil</v>
      </c>
      <c r="K1022" s="3" t="s">
        <v>22</v>
      </c>
    </row>
    <row r="1023" spans="1:11" ht="42" customHeight="1">
      <c r="A1023" s="2" t="s">
        <v>2239</v>
      </c>
      <c r="B1023" s="2" t="s">
        <v>2239</v>
      </c>
      <c r="C1023" s="2" t="s">
        <v>50</v>
      </c>
      <c r="D1023" s="2" t="s">
        <v>51</v>
      </c>
      <c r="E1023" s="5">
        <v>-28417</v>
      </c>
      <c r="F1023" s="3" t="s">
        <v>1394</v>
      </c>
      <c r="G1023" s="3" t="s">
        <v>35</v>
      </c>
      <c r="H1023" s="2" t="s">
        <v>20</v>
      </c>
      <c r="I1023" s="2" t="s">
        <v>2258</v>
      </c>
      <c r="J1023" s="3" t="str">
        <f>HYPERLINK("https://www.boe.es/gazeta/dias/1822/03/12/pdfs/GMD-1822-73.pdf#page=2","Abrir facsímil")</f>
        <v>Abrir facsímil</v>
      </c>
      <c r="K1023" s="3" t="s">
        <v>22</v>
      </c>
    </row>
    <row r="1024" spans="1:11" ht="42" customHeight="1">
      <c r="A1024" s="2" t="s">
        <v>2239</v>
      </c>
      <c r="B1024" s="2" t="s">
        <v>2239</v>
      </c>
      <c r="C1024" s="2" t="s">
        <v>24</v>
      </c>
      <c r="D1024" s="2" t="s">
        <v>17</v>
      </c>
      <c r="E1024" s="5">
        <v>-28404</v>
      </c>
      <c r="F1024" s="3" t="s">
        <v>421</v>
      </c>
      <c r="G1024" s="3" t="s">
        <v>57</v>
      </c>
      <c r="H1024" s="2" t="s">
        <v>20</v>
      </c>
      <c r="I1024" s="2" t="s">
        <v>2259</v>
      </c>
      <c r="J1024" s="3" t="str">
        <f>HYPERLINK("https://www.boe.es/gazeta/dias/1822/03/25/pdfs/GMD-1822-86.pdf#page=4","Abrir facsímil")</f>
        <v>Abrir facsímil</v>
      </c>
      <c r="K1024" s="3" t="s">
        <v>22</v>
      </c>
    </row>
    <row r="1025" spans="1:11" ht="42" customHeight="1">
      <c r="A1025" s="2" t="s">
        <v>2239</v>
      </c>
      <c r="B1025" s="2" t="s">
        <v>2239</v>
      </c>
      <c r="C1025" s="2" t="s">
        <v>42</v>
      </c>
      <c r="D1025" s="2" t="s">
        <v>17</v>
      </c>
      <c r="E1025" s="5">
        <v>-28400</v>
      </c>
      <c r="F1025" s="3" t="s">
        <v>1937</v>
      </c>
      <c r="G1025" s="3" t="s">
        <v>2260</v>
      </c>
      <c r="H1025" s="2" t="s">
        <v>20</v>
      </c>
      <c r="I1025" s="2" t="s">
        <v>2261</v>
      </c>
      <c r="J1025" s="3" t="str">
        <f>HYPERLINK("https://www.boe.es/gazeta/dias/1822/03/29/pdfs/GMD-1822-90.pdf#page=4","Abrir facsímil")</f>
        <v>Abrir facsímil</v>
      </c>
      <c r="K1025" s="3" t="s">
        <v>22</v>
      </c>
    </row>
    <row r="1026" spans="1:11" ht="42" customHeight="1">
      <c r="A1026" s="2" t="s">
        <v>2239</v>
      </c>
      <c r="B1026" s="2" t="s">
        <v>2239</v>
      </c>
      <c r="C1026" s="2" t="s">
        <v>50</v>
      </c>
      <c r="D1026" s="2" t="s">
        <v>51</v>
      </c>
      <c r="E1026" s="5">
        <v>-28398</v>
      </c>
      <c r="F1026" s="3" t="s">
        <v>1961</v>
      </c>
      <c r="G1026" s="3" t="s">
        <v>2262</v>
      </c>
      <c r="H1026" s="2" t="s">
        <v>20</v>
      </c>
      <c r="I1026" s="2" t="s">
        <v>2263</v>
      </c>
      <c r="J1026" s="3" t="str">
        <f>HYPERLINK("https://www.boe.es/gazeta/dias/1822/03/31/pdfs/GMD-1822-92.pdf#page=4","Abrir facsímil")</f>
        <v>Abrir facsímil</v>
      </c>
      <c r="K1026" s="3" t="s">
        <v>22</v>
      </c>
    </row>
    <row r="1027" spans="1:11" ht="42" customHeight="1">
      <c r="A1027" s="2" t="s">
        <v>2239</v>
      </c>
      <c r="B1027" s="2" t="s">
        <v>2239</v>
      </c>
      <c r="C1027" s="2" t="s">
        <v>28</v>
      </c>
      <c r="D1027" s="2" t="s">
        <v>29</v>
      </c>
      <c r="E1027" s="5">
        <v>-28397</v>
      </c>
      <c r="F1027" s="3" t="s">
        <v>1401</v>
      </c>
      <c r="G1027" s="3" t="s">
        <v>57</v>
      </c>
      <c r="H1027" s="2" t="s">
        <v>20</v>
      </c>
      <c r="I1027" s="2" t="s">
        <v>2264</v>
      </c>
      <c r="J1027" s="3" t="str">
        <f>HYPERLINK("https://www.boe.es/gazeta/dias/1822/04/01/pdfs/GMD-1822-93.pdf#page=4","Abrir facsímil")</f>
        <v>Abrir facsímil</v>
      </c>
      <c r="K1027" s="3" t="s">
        <v>22</v>
      </c>
    </row>
    <row r="1028" spans="1:11" ht="42" customHeight="1">
      <c r="A1028" s="2" t="s">
        <v>2239</v>
      </c>
      <c r="B1028" s="2" t="s">
        <v>2239</v>
      </c>
      <c r="C1028" s="2" t="s">
        <v>50</v>
      </c>
      <c r="D1028" s="2" t="s">
        <v>51</v>
      </c>
      <c r="E1028" s="5">
        <v>-28396</v>
      </c>
      <c r="F1028" s="3" t="s">
        <v>1138</v>
      </c>
      <c r="G1028" s="3" t="s">
        <v>63</v>
      </c>
      <c r="H1028" s="2" t="s">
        <v>20</v>
      </c>
      <c r="I1028" s="2" t="s">
        <v>2265</v>
      </c>
      <c r="J1028" s="3" t="str">
        <f>HYPERLINK("https://www.boe.es/gazeta/dias/1822/04/02/pdfs/GMD-1822-94.pdf#page=6","Abrir facsímil")</f>
        <v>Abrir facsímil</v>
      </c>
      <c r="K1028" s="3" t="s">
        <v>22</v>
      </c>
    </row>
    <row r="1029" spans="1:11" ht="42" customHeight="1">
      <c r="A1029" s="2" t="s">
        <v>2239</v>
      </c>
      <c r="B1029" s="2" t="s">
        <v>2239</v>
      </c>
      <c r="C1029" s="2" t="s">
        <v>61</v>
      </c>
      <c r="D1029" s="2" t="s">
        <v>17</v>
      </c>
      <c r="E1029" s="5">
        <v>-28393</v>
      </c>
      <c r="F1029" s="3" t="s">
        <v>326</v>
      </c>
      <c r="G1029" s="3" t="s">
        <v>57</v>
      </c>
      <c r="H1029" s="2" t="s">
        <v>20</v>
      </c>
      <c r="I1029" s="2" t="s">
        <v>2266</v>
      </c>
      <c r="J1029" s="3" t="str">
        <f>HYPERLINK("https://www.boe.es/gazeta/dias/1822/04/05/pdfs/GMD-1822-97.pdf#page=4","Abrir facsímil")</f>
        <v>Abrir facsímil</v>
      </c>
      <c r="K1029" s="3" t="s">
        <v>22</v>
      </c>
    </row>
    <row r="1030" spans="1:11" ht="42" customHeight="1">
      <c r="A1030" s="2" t="s">
        <v>2239</v>
      </c>
      <c r="B1030" s="2" t="s">
        <v>2239</v>
      </c>
      <c r="C1030" s="2" t="s">
        <v>28</v>
      </c>
      <c r="D1030" s="2" t="s">
        <v>29</v>
      </c>
      <c r="E1030" s="5">
        <v>-28389</v>
      </c>
      <c r="F1030" s="3" t="s">
        <v>481</v>
      </c>
      <c r="G1030" s="3" t="s">
        <v>31</v>
      </c>
      <c r="H1030" s="2" t="s">
        <v>20</v>
      </c>
      <c r="I1030" s="2" t="s">
        <v>2267</v>
      </c>
      <c r="J1030" s="3" t="str">
        <f>HYPERLINK("https://www.boe.es/gazeta/dias/1822/04/09/pdfs/GMD-1822-101.pdf#page=3","Abrir facsímil")</f>
        <v>Abrir facsímil</v>
      </c>
      <c r="K1030" s="3" t="s">
        <v>22</v>
      </c>
    </row>
    <row r="1031" spans="1:11" ht="42" customHeight="1">
      <c r="A1031" s="2" t="s">
        <v>2239</v>
      </c>
      <c r="B1031" s="2" t="s">
        <v>2239</v>
      </c>
      <c r="C1031" s="2" t="s">
        <v>71</v>
      </c>
      <c r="D1031" s="2" t="s">
        <v>17</v>
      </c>
      <c r="E1031" s="5">
        <v>-28382</v>
      </c>
      <c r="F1031" s="3" t="s">
        <v>973</v>
      </c>
      <c r="G1031" s="3" t="s">
        <v>31</v>
      </c>
      <c r="H1031" s="2" t="s">
        <v>20</v>
      </c>
      <c r="I1031" s="2" t="s">
        <v>2268</v>
      </c>
      <c r="J1031" s="3" t="str">
        <f>HYPERLINK("https://www.boe.es/gazeta/dias/1822/04/16/pdfs/GMD-1822-108.pdf#page=3","Abrir facsímil")</f>
        <v>Abrir facsímil</v>
      </c>
      <c r="K1031" s="3" t="s">
        <v>22</v>
      </c>
    </row>
    <row r="1032" spans="1:11" ht="42" customHeight="1">
      <c r="A1032" s="2" t="s">
        <v>2239</v>
      </c>
      <c r="B1032" s="2" t="s">
        <v>2239</v>
      </c>
      <c r="C1032" s="2" t="s">
        <v>71</v>
      </c>
      <c r="D1032" s="2" t="s">
        <v>17</v>
      </c>
      <c r="E1032" s="5">
        <v>-28381</v>
      </c>
      <c r="F1032" s="3" t="s">
        <v>358</v>
      </c>
      <c r="G1032" s="3" t="s">
        <v>2269</v>
      </c>
      <c r="H1032" s="2" t="s">
        <v>20</v>
      </c>
      <c r="I1032" s="2" t="s">
        <v>2270</v>
      </c>
      <c r="J1032" s="3" t="str">
        <f>HYPERLINK("https://www.boe.es/gazeta/dias/1822/04/17/pdfs/GMD-1822-109.pdf#page=3","Abrir facsímil")</f>
        <v>Abrir facsímil</v>
      </c>
      <c r="K1032" s="3" t="s">
        <v>22</v>
      </c>
    </row>
    <row r="1033" spans="1:11" ht="42" customHeight="1">
      <c r="A1033" s="2" t="s">
        <v>2239</v>
      </c>
      <c r="B1033" s="2" t="s">
        <v>2239</v>
      </c>
      <c r="C1033" s="2" t="s">
        <v>50</v>
      </c>
      <c r="D1033" s="2" t="s">
        <v>51</v>
      </c>
      <c r="E1033" s="5">
        <v>-28379</v>
      </c>
      <c r="F1033" s="3" t="s">
        <v>494</v>
      </c>
      <c r="G1033" s="3" t="s">
        <v>19</v>
      </c>
      <c r="H1033" s="2" t="s">
        <v>20</v>
      </c>
      <c r="I1033" s="2" t="s">
        <v>2271</v>
      </c>
      <c r="J1033" s="3" t="str">
        <f>HYPERLINK("https://www.boe.es/gazeta/dias/1822/04/19/pdfs/GMD-1822-111.pdf#page=5","Abrir facsímil")</f>
        <v>Abrir facsímil</v>
      </c>
      <c r="K1033" s="3" t="s">
        <v>22</v>
      </c>
    </row>
    <row r="1034" spans="1:11" ht="42" customHeight="1">
      <c r="A1034" s="2" t="s">
        <v>2239</v>
      </c>
      <c r="B1034" s="2" t="s">
        <v>2239</v>
      </c>
      <c r="C1034" s="2" t="s">
        <v>28</v>
      </c>
      <c r="D1034" s="2" t="s">
        <v>29</v>
      </c>
      <c r="E1034" s="5">
        <v>-28378</v>
      </c>
      <c r="F1034" s="3" t="s">
        <v>496</v>
      </c>
      <c r="G1034" s="3" t="s">
        <v>57</v>
      </c>
      <c r="H1034" s="2" t="s">
        <v>20</v>
      </c>
      <c r="I1034" s="2" t="s">
        <v>2272</v>
      </c>
      <c r="J1034" s="3" t="str">
        <f>HYPERLINK("https://www.boe.es/gazeta/dias/1822/04/20/pdfs/GMD-1822-112.pdf#page=4","Abrir facsímil")</f>
        <v>Abrir facsímil</v>
      </c>
      <c r="K1034" s="3" t="s">
        <v>22</v>
      </c>
    </row>
    <row r="1035" spans="1:11" ht="42" customHeight="1">
      <c r="A1035" s="2" t="s">
        <v>2239</v>
      </c>
      <c r="B1035" s="2" t="s">
        <v>2239</v>
      </c>
      <c r="C1035" s="2" t="s">
        <v>50</v>
      </c>
      <c r="D1035" s="2" t="s">
        <v>51</v>
      </c>
      <c r="E1035" s="5">
        <v>-28366</v>
      </c>
      <c r="F1035" s="3" t="s">
        <v>120</v>
      </c>
      <c r="G1035" s="3" t="s">
        <v>19</v>
      </c>
      <c r="H1035" s="2" t="s">
        <v>20</v>
      </c>
      <c r="I1035" s="2" t="s">
        <v>2273</v>
      </c>
      <c r="J1035" s="3" t="str">
        <f>HYPERLINK("https://www.boe.es/gazeta/dias/1822/05/02/pdfs/GMD-1822-124.pdf#page=5","Abrir facsímil")</f>
        <v>Abrir facsímil</v>
      </c>
      <c r="K1035" s="3" t="s">
        <v>22</v>
      </c>
    </row>
    <row r="1036" spans="1:11" ht="42" customHeight="1">
      <c r="A1036" s="2" t="s">
        <v>2239</v>
      </c>
      <c r="B1036" s="2" t="s">
        <v>2239</v>
      </c>
      <c r="C1036" s="2" t="s">
        <v>42</v>
      </c>
      <c r="D1036" s="2" t="s">
        <v>17</v>
      </c>
      <c r="E1036" s="5">
        <v>-28366</v>
      </c>
      <c r="F1036" s="3" t="s">
        <v>120</v>
      </c>
      <c r="G1036" s="3" t="s">
        <v>63</v>
      </c>
      <c r="H1036" s="2" t="s">
        <v>20</v>
      </c>
      <c r="I1036" s="2" t="s">
        <v>2274</v>
      </c>
      <c r="J1036" s="3" t="str">
        <f>HYPERLINK("https://www.boe.es/gazeta/dias/1822/05/02/pdfs/GMD-1822-124.pdf#page=6","Abrir facsímil")</f>
        <v>Abrir facsímil</v>
      </c>
      <c r="K1036" s="3" t="s">
        <v>22</v>
      </c>
    </row>
    <row r="1037" spans="1:11" ht="42" customHeight="1">
      <c r="A1037" s="2" t="s">
        <v>2239</v>
      </c>
      <c r="B1037" s="2" t="s">
        <v>2239</v>
      </c>
      <c r="C1037" s="2" t="s">
        <v>28</v>
      </c>
      <c r="D1037" s="2" t="s">
        <v>29</v>
      </c>
      <c r="E1037" s="5">
        <v>-28364</v>
      </c>
      <c r="F1037" s="3" t="s">
        <v>509</v>
      </c>
      <c r="G1037" s="3" t="s">
        <v>63</v>
      </c>
      <c r="H1037" s="2" t="s">
        <v>20</v>
      </c>
      <c r="I1037" s="2" t="s">
        <v>2275</v>
      </c>
      <c r="J1037" s="3" t="str">
        <f>HYPERLINK("https://www.boe.es/gazeta/dias/1822/05/04/pdfs/GMD-1822-126.pdf#page=6","Abrir facsímil")</f>
        <v>Abrir facsímil</v>
      </c>
      <c r="K1037" s="3" t="s">
        <v>22</v>
      </c>
    </row>
    <row r="1038" spans="1:11" ht="42" customHeight="1">
      <c r="A1038" s="2" t="s">
        <v>2239</v>
      </c>
      <c r="B1038" s="2" t="s">
        <v>2239</v>
      </c>
      <c r="C1038" s="2" t="s">
        <v>28</v>
      </c>
      <c r="D1038" s="2" t="s">
        <v>29</v>
      </c>
      <c r="E1038" s="5">
        <v>-28358</v>
      </c>
      <c r="F1038" s="3" t="s">
        <v>211</v>
      </c>
      <c r="G1038" s="3" t="s">
        <v>57</v>
      </c>
      <c r="H1038" s="2" t="s">
        <v>20</v>
      </c>
      <c r="I1038" s="2" t="s">
        <v>2276</v>
      </c>
      <c r="J1038" s="3" t="str">
        <f>HYPERLINK("https://www.boe.es/gazeta/dias/1822/05/10/pdfs/GMD-1822-132.pdf#page=4","Abrir facsímil")</f>
        <v>Abrir facsímil</v>
      </c>
      <c r="K1038" s="3" t="s">
        <v>22</v>
      </c>
    </row>
    <row r="1039" spans="1:11" ht="42" customHeight="1">
      <c r="A1039" s="2" t="s">
        <v>2239</v>
      </c>
      <c r="B1039" s="2" t="s">
        <v>2239</v>
      </c>
      <c r="C1039" s="2" t="s">
        <v>28</v>
      </c>
      <c r="D1039" s="2" t="s">
        <v>29</v>
      </c>
      <c r="E1039" s="5">
        <v>-28349</v>
      </c>
      <c r="F1039" s="3" t="s">
        <v>518</v>
      </c>
      <c r="G1039" s="3" t="s">
        <v>44</v>
      </c>
      <c r="H1039" s="2" t="s">
        <v>20</v>
      </c>
      <c r="I1039" s="2" t="s">
        <v>2277</v>
      </c>
      <c r="J1039" s="3" t="str">
        <f>HYPERLINK("https://www.boe.es/gazeta/dias/1822/05/19/pdfs/GMD-1822-141.pdf#page=1","Abrir facsímil")</f>
        <v>Abrir facsímil</v>
      </c>
      <c r="K1039" s="3" t="s">
        <v>22</v>
      </c>
    </row>
    <row r="1040" spans="1:11" ht="42" customHeight="1">
      <c r="A1040" s="2" t="s">
        <v>2239</v>
      </c>
      <c r="B1040" s="2" t="s">
        <v>2239</v>
      </c>
      <c r="C1040" s="2" t="s">
        <v>50</v>
      </c>
      <c r="D1040" s="2" t="s">
        <v>51</v>
      </c>
      <c r="E1040" s="5">
        <v>-28349</v>
      </c>
      <c r="F1040" s="3" t="s">
        <v>518</v>
      </c>
      <c r="G1040" s="3" t="s">
        <v>57</v>
      </c>
      <c r="H1040" s="2" t="s">
        <v>20</v>
      </c>
      <c r="I1040" s="2" t="s">
        <v>2278</v>
      </c>
      <c r="J1040" s="3" t="str">
        <f>HYPERLINK("https://www.boe.es/gazeta/dias/1822/05/19/pdfs/GMD-1822-141.pdf#page=4","Abrir facsímil")</f>
        <v>Abrir facsímil</v>
      </c>
      <c r="K1040" s="3" t="s">
        <v>22</v>
      </c>
    </row>
    <row r="1041" spans="1:11" ht="42" customHeight="1">
      <c r="A1041" s="2" t="s">
        <v>2239</v>
      </c>
      <c r="B1041" s="2" t="s">
        <v>2239</v>
      </c>
      <c r="C1041" s="2" t="s">
        <v>50</v>
      </c>
      <c r="D1041" s="2" t="s">
        <v>51</v>
      </c>
      <c r="E1041" s="5">
        <v>-28347</v>
      </c>
      <c r="F1041" s="3" t="s">
        <v>520</v>
      </c>
      <c r="G1041" s="3" t="s">
        <v>35</v>
      </c>
      <c r="H1041" s="2" t="s">
        <v>20</v>
      </c>
      <c r="I1041" s="2" t="s">
        <v>2279</v>
      </c>
      <c r="J1041" s="3" t="str">
        <f>HYPERLINK("https://www.boe.es/gazeta/dias/1822/05/21/pdfs/GMD-1822-144.pdf#page=2","Abrir facsímil")</f>
        <v>Abrir facsímil</v>
      </c>
      <c r="K1041" s="3" t="s">
        <v>22</v>
      </c>
    </row>
    <row r="1042" spans="1:11" ht="42" customHeight="1">
      <c r="A1042" s="2" t="s">
        <v>2239</v>
      </c>
      <c r="B1042" s="2" t="s">
        <v>2239</v>
      </c>
      <c r="C1042" s="2" t="s">
        <v>28</v>
      </c>
      <c r="D1042" s="2" t="s">
        <v>29</v>
      </c>
      <c r="E1042" s="5">
        <v>-28346</v>
      </c>
      <c r="F1042" s="3" t="s">
        <v>191</v>
      </c>
      <c r="G1042" s="3" t="s">
        <v>63</v>
      </c>
      <c r="H1042" s="2" t="s">
        <v>20</v>
      </c>
      <c r="I1042" s="2" t="s">
        <v>2280</v>
      </c>
      <c r="J1042" s="3" t="str">
        <f>HYPERLINK("https://www.boe.es/gazeta/dias/1822/05/22/pdfs/GMD-1822-145.pdf#page=6","Abrir facsímil")</f>
        <v>Abrir facsímil</v>
      </c>
      <c r="K1042" s="3" t="s">
        <v>22</v>
      </c>
    </row>
    <row r="1043" spans="1:11" ht="42" customHeight="1">
      <c r="A1043" s="2" t="s">
        <v>2239</v>
      </c>
      <c r="B1043" s="2" t="s">
        <v>2239</v>
      </c>
      <c r="C1043" s="2" t="s">
        <v>50</v>
      </c>
      <c r="D1043" s="2" t="s">
        <v>51</v>
      </c>
      <c r="E1043" s="5">
        <v>-28342</v>
      </c>
      <c r="F1043" s="3" t="s">
        <v>2281</v>
      </c>
      <c r="G1043" s="3" t="s">
        <v>19</v>
      </c>
      <c r="H1043" s="2" t="s">
        <v>20</v>
      </c>
      <c r="I1043" s="2" t="s">
        <v>2282</v>
      </c>
      <c r="J1043" s="3" t="str">
        <f>HYPERLINK("https://www.boe.es/gazeta/dias/1822/05/26/pdfs/GMD-1822-151.pdf#page=5","Abrir facsímil")</f>
        <v>Abrir facsímil</v>
      </c>
      <c r="K1043" s="3" t="s">
        <v>22</v>
      </c>
    </row>
    <row r="1044" spans="1:11" ht="42" customHeight="1">
      <c r="A1044" s="2" t="s">
        <v>2239</v>
      </c>
      <c r="B1044" s="2" t="s">
        <v>2239</v>
      </c>
      <c r="C1044" s="2" t="s">
        <v>50</v>
      </c>
      <c r="D1044" s="2" t="s">
        <v>51</v>
      </c>
      <c r="E1044" s="5">
        <v>-28339</v>
      </c>
      <c r="F1044" s="3" t="s">
        <v>197</v>
      </c>
      <c r="G1044" s="3" t="s">
        <v>63</v>
      </c>
      <c r="H1044" s="2" t="s">
        <v>20</v>
      </c>
      <c r="I1044" s="2" t="s">
        <v>2283</v>
      </c>
      <c r="J1044" s="3" t="str">
        <f>HYPERLINK("https://www.boe.es/gazeta/dias/1822/05/29/pdfs/GMD-1822-154.pdf#page=6","Abrir facsímil")</f>
        <v>Abrir facsímil</v>
      </c>
      <c r="K1044" s="3" t="s">
        <v>22</v>
      </c>
    </row>
    <row r="1045" spans="1:11" ht="42" customHeight="1">
      <c r="A1045" s="2" t="s">
        <v>2239</v>
      </c>
      <c r="B1045" s="2" t="s">
        <v>2239</v>
      </c>
      <c r="C1045" s="2" t="s">
        <v>50</v>
      </c>
      <c r="D1045" s="2" t="s">
        <v>51</v>
      </c>
      <c r="E1045" s="5">
        <v>-28338</v>
      </c>
      <c r="F1045" s="3" t="s">
        <v>527</v>
      </c>
      <c r="G1045" s="3" t="s">
        <v>31</v>
      </c>
      <c r="H1045" s="2" t="s">
        <v>20</v>
      </c>
      <c r="I1045" s="2" t="s">
        <v>2284</v>
      </c>
      <c r="J1045" s="3" t="str">
        <f>HYPERLINK("https://www.boe.es/gazeta/dias/1822/05/30/pdfs/GMD-1822-155.pdf#page=3","Abrir facsímil")</f>
        <v>Abrir facsímil</v>
      </c>
      <c r="K1045" s="3" t="s">
        <v>22</v>
      </c>
    </row>
    <row r="1046" spans="1:11" ht="42" customHeight="1">
      <c r="A1046" s="2" t="s">
        <v>2239</v>
      </c>
      <c r="B1046" s="2" t="s">
        <v>2239</v>
      </c>
      <c r="C1046" s="2" t="s">
        <v>50</v>
      </c>
      <c r="D1046" s="2" t="s">
        <v>51</v>
      </c>
      <c r="E1046" s="5">
        <v>-28334</v>
      </c>
      <c r="F1046" s="3" t="s">
        <v>532</v>
      </c>
      <c r="G1046" s="3" t="s">
        <v>57</v>
      </c>
      <c r="H1046" s="2" t="s">
        <v>20</v>
      </c>
      <c r="I1046" s="2" t="s">
        <v>2285</v>
      </c>
      <c r="J1046" s="3" t="str">
        <f>HYPERLINK("https://www.boe.es/gazeta/dias/1822/06/03/pdfs/GMD-1822-159.pdf#page=4","Abrir facsímil")</f>
        <v>Abrir facsímil</v>
      </c>
      <c r="K1046" s="3" t="s">
        <v>22</v>
      </c>
    </row>
    <row r="1047" spans="1:11" ht="42" customHeight="1">
      <c r="A1047" s="2" t="s">
        <v>2239</v>
      </c>
      <c r="B1047" s="2" t="s">
        <v>2239</v>
      </c>
      <c r="C1047" s="2" t="s">
        <v>71</v>
      </c>
      <c r="D1047" s="2" t="s">
        <v>17</v>
      </c>
      <c r="E1047" s="5">
        <v>-28332</v>
      </c>
      <c r="F1047" s="3" t="s">
        <v>535</v>
      </c>
      <c r="G1047" s="3" t="s">
        <v>35</v>
      </c>
      <c r="H1047" s="2" t="s">
        <v>20</v>
      </c>
      <c r="I1047" s="2" t="s">
        <v>2286</v>
      </c>
      <c r="J1047" s="3" t="str">
        <f>HYPERLINK("https://www.boe.es/gazeta/dias/1822/06/05/pdfs/GMD-1822-162.pdf#page=2","Abrir facsímil")</f>
        <v>Abrir facsímil</v>
      </c>
      <c r="K1047" s="3" t="s">
        <v>22</v>
      </c>
    </row>
    <row r="1048" spans="1:11" ht="42" customHeight="1">
      <c r="A1048" s="2" t="s">
        <v>2239</v>
      </c>
      <c r="B1048" s="2" t="s">
        <v>2239</v>
      </c>
      <c r="C1048" s="2" t="s">
        <v>42</v>
      </c>
      <c r="D1048" s="2" t="s">
        <v>17</v>
      </c>
      <c r="E1048" s="5">
        <v>-28326</v>
      </c>
      <c r="F1048" s="3" t="s">
        <v>543</v>
      </c>
      <c r="G1048" s="3" t="s">
        <v>19</v>
      </c>
      <c r="H1048" s="2" t="s">
        <v>20</v>
      </c>
      <c r="I1048" s="2" t="s">
        <v>2287</v>
      </c>
      <c r="J1048" s="3" t="str">
        <f>HYPERLINK("https://www.boe.es/gazeta/dias/1822/06/11/pdfs/GMD-1822-168.pdf#page=5","Abrir facsímil")</f>
        <v>Abrir facsímil</v>
      </c>
      <c r="K1048" s="3" t="s">
        <v>22</v>
      </c>
    </row>
    <row r="1049" spans="1:11" ht="42" customHeight="1">
      <c r="A1049" s="2" t="s">
        <v>2239</v>
      </c>
      <c r="B1049" s="2" t="s">
        <v>2239</v>
      </c>
      <c r="C1049" s="2" t="s">
        <v>42</v>
      </c>
      <c r="D1049" s="2" t="s">
        <v>17</v>
      </c>
      <c r="E1049" s="5">
        <v>-28321</v>
      </c>
      <c r="F1049" s="3" t="s">
        <v>1142</v>
      </c>
      <c r="G1049" s="3" t="s">
        <v>44</v>
      </c>
      <c r="H1049" s="2" t="s">
        <v>20</v>
      </c>
      <c r="I1049" s="2" t="s">
        <v>2288</v>
      </c>
      <c r="J1049" s="3" t="str">
        <f>HYPERLINK("https://www.boe.es/gazeta/dias/1822/06/16/pdfs/GMD-1822-173.pdf#page=1","Abrir facsímil")</f>
        <v>Abrir facsímil</v>
      </c>
      <c r="K1049" s="3" t="s">
        <v>22</v>
      </c>
    </row>
    <row r="1050" spans="1:11" ht="42" customHeight="1">
      <c r="A1050" s="2" t="s">
        <v>2239</v>
      </c>
      <c r="B1050" s="2" t="s">
        <v>2239</v>
      </c>
      <c r="C1050" s="2" t="s">
        <v>71</v>
      </c>
      <c r="D1050" s="2" t="s">
        <v>17</v>
      </c>
      <c r="E1050" s="5">
        <v>-28320</v>
      </c>
      <c r="F1050" s="3" t="s">
        <v>700</v>
      </c>
      <c r="G1050" s="3" t="s">
        <v>31</v>
      </c>
      <c r="H1050" s="2" t="s">
        <v>20</v>
      </c>
      <c r="I1050" s="2" t="s">
        <v>2289</v>
      </c>
      <c r="J1050" s="3" t="str">
        <f>HYPERLINK("https://www.boe.es/gazeta/dias/1822/06/17/pdfs/GMD-1822-174.pdf#page=3","Abrir facsímil")</f>
        <v>Abrir facsímil</v>
      </c>
      <c r="K1050" s="3" t="s">
        <v>22</v>
      </c>
    </row>
    <row r="1051" spans="1:11" ht="42" customHeight="1">
      <c r="A1051" s="2" t="s">
        <v>2239</v>
      </c>
      <c r="B1051" s="2" t="s">
        <v>2239</v>
      </c>
      <c r="C1051" s="2" t="s">
        <v>28</v>
      </c>
      <c r="D1051" s="2" t="s">
        <v>29</v>
      </c>
      <c r="E1051" s="5">
        <v>-28317</v>
      </c>
      <c r="F1051" s="3" t="s">
        <v>546</v>
      </c>
      <c r="G1051" s="3" t="s">
        <v>35</v>
      </c>
      <c r="H1051" s="2" t="s">
        <v>20</v>
      </c>
      <c r="I1051" s="2" t="s">
        <v>2290</v>
      </c>
      <c r="J1051" s="3" t="str">
        <f>HYPERLINK("https://www.boe.es/gazeta/dias/1822/06/20/pdfs/GMD-1822-177.pdf#page=2","Abrir facsímil")</f>
        <v>Abrir facsímil</v>
      </c>
      <c r="K1051" s="3" t="s">
        <v>22</v>
      </c>
    </row>
    <row r="1052" spans="1:11" ht="42" customHeight="1">
      <c r="A1052" s="2" t="s">
        <v>2239</v>
      </c>
      <c r="B1052" s="2" t="s">
        <v>2239</v>
      </c>
      <c r="C1052" s="2" t="s">
        <v>42</v>
      </c>
      <c r="D1052" s="2" t="s">
        <v>17</v>
      </c>
      <c r="E1052" s="5">
        <v>-28316</v>
      </c>
      <c r="F1052" s="3" t="s">
        <v>1144</v>
      </c>
      <c r="G1052" s="3" t="s">
        <v>31</v>
      </c>
      <c r="H1052" s="2" t="s">
        <v>20</v>
      </c>
      <c r="I1052" s="2" t="s">
        <v>2291</v>
      </c>
      <c r="J1052" s="3" t="str">
        <f>HYPERLINK("https://www.boe.es/gazeta/dias/1822/06/21/pdfs/GMD-1822-179.pdf#page=3","Abrir facsímil")</f>
        <v>Abrir facsímil</v>
      </c>
      <c r="K1052" s="3" t="s">
        <v>22</v>
      </c>
    </row>
    <row r="1053" spans="1:11" ht="42" customHeight="1">
      <c r="A1053" s="2" t="s">
        <v>2239</v>
      </c>
      <c r="B1053" s="2" t="s">
        <v>2239</v>
      </c>
      <c r="C1053" s="2" t="s">
        <v>1141</v>
      </c>
      <c r="D1053" s="2" t="s">
        <v>29</v>
      </c>
      <c r="E1053" s="5">
        <v>-28315</v>
      </c>
      <c r="F1053" s="3" t="s">
        <v>1220</v>
      </c>
      <c r="G1053" s="3" t="s">
        <v>19</v>
      </c>
      <c r="H1053" s="2" t="s">
        <v>20</v>
      </c>
      <c r="I1053" s="2" t="s">
        <v>2292</v>
      </c>
      <c r="J1053" s="3" t="str">
        <f>HYPERLINK("https://www.boe.es/gazeta/dias/1822/06/22/pdfs/GMD-1822-180.pdf#page=5","Abrir facsímil")</f>
        <v>Abrir facsímil</v>
      </c>
      <c r="K1053" s="3" t="s">
        <v>22</v>
      </c>
    </row>
    <row r="1054" spans="1:11" ht="42" customHeight="1">
      <c r="A1054" s="2" t="s">
        <v>2239</v>
      </c>
      <c r="B1054" s="2" t="s">
        <v>2239</v>
      </c>
      <c r="C1054" s="2" t="s">
        <v>50</v>
      </c>
      <c r="D1054" s="2" t="s">
        <v>51</v>
      </c>
      <c r="E1054" s="5">
        <v>-28315</v>
      </c>
      <c r="F1054" s="3" t="s">
        <v>1220</v>
      </c>
      <c r="G1054" s="3" t="s">
        <v>63</v>
      </c>
      <c r="H1054" s="2" t="s">
        <v>20</v>
      </c>
      <c r="I1054" s="2" t="s">
        <v>2293</v>
      </c>
      <c r="J1054" s="3" t="str">
        <f>HYPERLINK("https://www.boe.es/gazeta/dias/1822/06/22/pdfs/GMD-1822-180.pdf#page=6","Abrir facsímil")</f>
        <v>Abrir facsímil</v>
      </c>
      <c r="K1054" s="3" t="s">
        <v>22</v>
      </c>
    </row>
    <row r="1055" spans="1:11" ht="42" customHeight="1">
      <c r="A1055" s="2" t="s">
        <v>2239</v>
      </c>
      <c r="B1055" s="2" t="s">
        <v>2239</v>
      </c>
      <c r="C1055" s="2" t="s">
        <v>42</v>
      </c>
      <c r="D1055" s="2" t="s">
        <v>17</v>
      </c>
      <c r="E1055" s="5">
        <v>-28313</v>
      </c>
      <c r="F1055" s="3" t="s">
        <v>315</v>
      </c>
      <c r="G1055" s="3" t="s">
        <v>549</v>
      </c>
      <c r="H1055" s="2" t="s">
        <v>20</v>
      </c>
      <c r="I1055" s="2" t="s">
        <v>2294</v>
      </c>
      <c r="J1055" s="3" t="str">
        <f>HYPERLINK("https://www.boe.es/gazeta/dias/1822/06/24/pdfs/GMD-1822-182.pdf#page=6","Abrir facsímil")</f>
        <v>Abrir facsímil</v>
      </c>
      <c r="K1055" s="3" t="s">
        <v>22</v>
      </c>
    </row>
    <row r="1056" spans="1:11" ht="42" customHeight="1">
      <c r="A1056" s="2" t="s">
        <v>2239</v>
      </c>
      <c r="B1056" s="2" t="s">
        <v>2239</v>
      </c>
      <c r="C1056" s="2" t="s">
        <v>24</v>
      </c>
      <c r="D1056" s="2" t="s">
        <v>17</v>
      </c>
      <c r="E1056" s="5">
        <v>-28310</v>
      </c>
      <c r="F1056" s="3" t="s">
        <v>241</v>
      </c>
      <c r="G1056" s="3" t="s">
        <v>63</v>
      </c>
      <c r="H1056" s="2" t="s">
        <v>20</v>
      </c>
      <c r="I1056" s="2" t="s">
        <v>2295</v>
      </c>
      <c r="J1056" s="3" t="str">
        <f>HYPERLINK("https://www.boe.es/gazeta/dias/1822/06/27/pdfs/GMD-1822-185.pdf#page=6","Abrir facsímil")</f>
        <v>Abrir facsímil</v>
      </c>
      <c r="K1056" s="3" t="s">
        <v>22</v>
      </c>
    </row>
    <row r="1057" spans="1:11" ht="42" customHeight="1">
      <c r="A1057" s="2" t="s">
        <v>2239</v>
      </c>
      <c r="B1057" s="2" t="s">
        <v>2239</v>
      </c>
      <c r="C1057" s="2" t="s">
        <v>16</v>
      </c>
      <c r="D1057" s="2" t="s">
        <v>17</v>
      </c>
      <c r="E1057" s="5">
        <v>-28307</v>
      </c>
      <c r="F1057" s="3" t="s">
        <v>555</v>
      </c>
      <c r="G1057" s="3" t="s">
        <v>31</v>
      </c>
      <c r="H1057" s="2" t="s">
        <v>20</v>
      </c>
      <c r="I1057" s="2" t="s">
        <v>2296</v>
      </c>
      <c r="J1057" s="3" t="str">
        <f>HYPERLINK("https://www.boe.es/gazeta/dias/1822/06/30/pdfs/GMD-1822-188.pdf#page=3","Abrir facsímil")</f>
        <v>Abrir facsímil</v>
      </c>
      <c r="K1057" s="3" t="s">
        <v>22</v>
      </c>
    </row>
    <row r="1058" spans="1:11" ht="42" customHeight="1">
      <c r="A1058" s="2" t="s">
        <v>2239</v>
      </c>
      <c r="B1058" s="2" t="s">
        <v>2239</v>
      </c>
      <c r="C1058" s="2" t="s">
        <v>50</v>
      </c>
      <c r="D1058" s="2" t="s">
        <v>51</v>
      </c>
      <c r="E1058" s="5">
        <v>-28303</v>
      </c>
      <c r="F1058" s="3" t="s">
        <v>201</v>
      </c>
      <c r="G1058" s="3" t="s">
        <v>31</v>
      </c>
      <c r="H1058" s="2" t="s">
        <v>20</v>
      </c>
      <c r="I1058" s="2" t="s">
        <v>2297</v>
      </c>
      <c r="J1058" s="3" t="str">
        <f>HYPERLINK("https://www.boe.es/gazeta/dias/1822/07/04/pdfs/GMD-1822-193.pdf#page=3","Abrir facsímil")</f>
        <v>Abrir facsímil</v>
      </c>
      <c r="K1058" s="3" t="s">
        <v>22</v>
      </c>
    </row>
    <row r="1059" spans="1:11" ht="42" customHeight="1">
      <c r="A1059" s="2" t="s">
        <v>2239</v>
      </c>
      <c r="B1059" s="2" t="s">
        <v>2239</v>
      </c>
      <c r="C1059" s="2" t="s">
        <v>50</v>
      </c>
      <c r="D1059" s="2" t="s">
        <v>51</v>
      </c>
      <c r="E1059" s="5">
        <v>-28294</v>
      </c>
      <c r="F1059" s="3" t="s">
        <v>2298</v>
      </c>
      <c r="G1059" s="3" t="s">
        <v>35</v>
      </c>
      <c r="H1059" s="2" t="s">
        <v>20</v>
      </c>
      <c r="I1059" s="2" t="s">
        <v>2299</v>
      </c>
      <c r="J1059" s="3" t="str">
        <f>HYPERLINK("https://www.boe.es/gazeta/dias/1822/07/13/pdfs/GMD-1822-203.pdf#page=2","Abrir facsímil")</f>
        <v>Abrir facsímil</v>
      </c>
      <c r="K1059" s="3" t="s">
        <v>22</v>
      </c>
    </row>
    <row r="1060" spans="1:11" ht="42" customHeight="1">
      <c r="A1060" s="2" t="s">
        <v>2239</v>
      </c>
      <c r="B1060" s="2" t="s">
        <v>2239</v>
      </c>
      <c r="C1060" s="2" t="s">
        <v>50</v>
      </c>
      <c r="D1060" s="2" t="s">
        <v>51</v>
      </c>
      <c r="E1060" s="5">
        <v>-28288</v>
      </c>
      <c r="F1060" s="3" t="s">
        <v>970</v>
      </c>
      <c r="G1060" s="3" t="s">
        <v>35</v>
      </c>
      <c r="H1060" s="2" t="s">
        <v>20</v>
      </c>
      <c r="I1060" s="2" t="s">
        <v>2300</v>
      </c>
      <c r="J1060" s="3" t="str">
        <f>HYPERLINK("https://www.boe.es/gazeta/dias/1822/07/19/pdfs/GMD-1822-211.pdf#page=2","Abrir facsímil")</f>
        <v>Abrir facsímil</v>
      </c>
      <c r="K1060" s="3" t="s">
        <v>22</v>
      </c>
    </row>
    <row r="1061" spans="1:11" ht="42" customHeight="1">
      <c r="A1061" s="2" t="s">
        <v>2239</v>
      </c>
      <c r="B1061" s="2" t="s">
        <v>2239</v>
      </c>
      <c r="C1061" s="2" t="s">
        <v>50</v>
      </c>
      <c r="D1061" s="2" t="s">
        <v>51</v>
      </c>
      <c r="E1061" s="5">
        <v>-28265</v>
      </c>
      <c r="F1061" s="3" t="s">
        <v>1263</v>
      </c>
      <c r="G1061" s="3" t="s">
        <v>57</v>
      </c>
      <c r="H1061" s="2" t="s">
        <v>20</v>
      </c>
      <c r="I1061" s="2" t="s">
        <v>2301</v>
      </c>
      <c r="J1061" s="3" t="str">
        <f>HYPERLINK("https://www.boe.es/gazeta/dias/1822/08/11/pdfs/GMD-1822-235.pdf#page=4","Abrir facsímil")</f>
        <v>Abrir facsímil</v>
      </c>
      <c r="K1061" s="3" t="s">
        <v>22</v>
      </c>
    </row>
    <row r="1062" spans="1:11" ht="42" customHeight="1">
      <c r="A1062" s="2" t="s">
        <v>2239</v>
      </c>
      <c r="B1062" s="2" t="s">
        <v>2239</v>
      </c>
      <c r="C1062" s="2" t="s">
        <v>50</v>
      </c>
      <c r="D1062" s="2" t="s">
        <v>51</v>
      </c>
      <c r="E1062" s="5">
        <v>-28264</v>
      </c>
      <c r="F1062" s="3" t="s">
        <v>1329</v>
      </c>
      <c r="G1062" s="3" t="s">
        <v>31</v>
      </c>
      <c r="H1062" s="2" t="s">
        <v>20</v>
      </c>
      <c r="I1062" s="2" t="s">
        <v>2302</v>
      </c>
      <c r="J1062" s="3" t="str">
        <f>HYPERLINK("https://www.boe.es/gazeta/dias/1822/08/12/pdfs/GMD-1822-236.pdf#page=3","Abrir facsímil")</f>
        <v>Abrir facsímil</v>
      </c>
      <c r="K1062" s="3" t="s">
        <v>22</v>
      </c>
    </row>
    <row r="1063" spans="1:11" ht="42" customHeight="1">
      <c r="A1063" s="2" t="s">
        <v>2239</v>
      </c>
      <c r="B1063" s="2" t="s">
        <v>2239</v>
      </c>
      <c r="C1063" s="2" t="s">
        <v>50</v>
      </c>
      <c r="D1063" s="2" t="s">
        <v>51</v>
      </c>
      <c r="E1063" s="5">
        <v>-28264</v>
      </c>
      <c r="F1063" s="3" t="s">
        <v>1329</v>
      </c>
      <c r="G1063" s="3" t="s">
        <v>57</v>
      </c>
      <c r="H1063" s="2" t="s">
        <v>20</v>
      </c>
      <c r="I1063" s="2" t="s">
        <v>2303</v>
      </c>
      <c r="J1063" s="3" t="str">
        <f>HYPERLINK("https://www.boe.es/gazeta/dias/1822/08/12/pdfs/GMD-1822-236.pdf#page=4","Abrir facsímil")</f>
        <v>Abrir facsímil</v>
      </c>
      <c r="K1063" s="3" t="s">
        <v>22</v>
      </c>
    </row>
    <row r="1064" spans="1:11" ht="42" customHeight="1">
      <c r="A1064" s="2" t="s">
        <v>2239</v>
      </c>
      <c r="B1064" s="2" t="s">
        <v>2239</v>
      </c>
      <c r="C1064" s="2" t="s">
        <v>42</v>
      </c>
      <c r="D1064" s="2" t="s">
        <v>17</v>
      </c>
      <c r="E1064" s="5">
        <v>-28259</v>
      </c>
      <c r="F1064" s="3" t="s">
        <v>1912</v>
      </c>
      <c r="G1064" s="3" t="s">
        <v>57</v>
      </c>
      <c r="H1064" s="2" t="s">
        <v>20</v>
      </c>
      <c r="I1064" s="2" t="s">
        <v>2304</v>
      </c>
      <c r="J1064" s="3" t="str">
        <f>HYPERLINK("https://www.boe.es/gazeta/dias/1822/08/17/pdfs/GMD-1822-241.pdf#page=4","Abrir facsímil")</f>
        <v>Abrir facsímil</v>
      </c>
      <c r="K1064" s="3" t="s">
        <v>22</v>
      </c>
    </row>
    <row r="1065" spans="1:11" ht="42" customHeight="1">
      <c r="A1065" s="2" t="s">
        <v>2239</v>
      </c>
      <c r="B1065" s="2" t="s">
        <v>2239</v>
      </c>
      <c r="C1065" s="2" t="s">
        <v>24</v>
      </c>
      <c r="D1065" s="2" t="s">
        <v>17</v>
      </c>
      <c r="E1065" s="5">
        <v>-28258</v>
      </c>
      <c r="F1065" s="3" t="s">
        <v>88</v>
      </c>
      <c r="G1065" s="3" t="s">
        <v>31</v>
      </c>
      <c r="H1065" s="2" t="s">
        <v>20</v>
      </c>
      <c r="I1065" s="2" t="s">
        <v>2305</v>
      </c>
      <c r="J1065" s="3" t="str">
        <f>HYPERLINK("https://www.boe.es/gazeta/dias/1822/08/18/pdfs/GMD-1822-242.pdf#page=3","Abrir facsímil")</f>
        <v>Abrir facsímil</v>
      </c>
      <c r="K1065" s="3" t="s">
        <v>22</v>
      </c>
    </row>
    <row r="1066" spans="1:11" ht="42" customHeight="1">
      <c r="A1066" s="2" t="s">
        <v>2239</v>
      </c>
      <c r="B1066" s="2" t="s">
        <v>2239</v>
      </c>
      <c r="C1066" s="2" t="s">
        <v>28</v>
      </c>
      <c r="D1066" s="2" t="s">
        <v>29</v>
      </c>
      <c r="E1066" s="5">
        <v>-28258</v>
      </c>
      <c r="F1066" s="3" t="s">
        <v>88</v>
      </c>
      <c r="G1066" s="3" t="s">
        <v>57</v>
      </c>
      <c r="H1066" s="2" t="s">
        <v>20</v>
      </c>
      <c r="I1066" s="2" t="s">
        <v>2306</v>
      </c>
      <c r="J1066" s="3" t="str">
        <f>HYPERLINK("https://www.boe.es/gazeta/dias/1822/08/18/pdfs/GMD-1822-242.pdf#page=4","Abrir facsímil")</f>
        <v>Abrir facsímil</v>
      </c>
      <c r="K1066" s="3" t="s">
        <v>22</v>
      </c>
    </row>
    <row r="1067" spans="1:11" ht="42" customHeight="1">
      <c r="A1067" s="2" t="s">
        <v>2239</v>
      </c>
      <c r="B1067" s="2" t="s">
        <v>2239</v>
      </c>
      <c r="C1067" s="2" t="s">
        <v>50</v>
      </c>
      <c r="D1067" s="2" t="s">
        <v>51</v>
      </c>
      <c r="E1067" s="5">
        <v>-28245</v>
      </c>
      <c r="F1067" s="3" t="s">
        <v>2307</v>
      </c>
      <c r="G1067" s="3" t="s">
        <v>35</v>
      </c>
      <c r="H1067" s="2" t="s">
        <v>20</v>
      </c>
      <c r="I1067" s="2" t="s">
        <v>2308</v>
      </c>
      <c r="J1067" s="3" t="str">
        <f>HYPERLINK("https://www.boe.es/gazeta/dias/1822/08/31/pdfs/GMD-1822-255.pdf#page=2","Abrir facsímil")</f>
        <v>Abrir facsímil</v>
      </c>
      <c r="K1067" s="3" t="s">
        <v>22</v>
      </c>
    </row>
    <row r="1068" spans="1:11" ht="42" customHeight="1">
      <c r="A1068" s="2" t="s">
        <v>2239</v>
      </c>
      <c r="B1068" s="2" t="s">
        <v>2239</v>
      </c>
      <c r="C1068" s="2" t="s">
        <v>28</v>
      </c>
      <c r="D1068" s="2" t="s">
        <v>29</v>
      </c>
      <c r="E1068" s="5">
        <v>-28231</v>
      </c>
      <c r="F1068" s="3" t="s">
        <v>2049</v>
      </c>
      <c r="G1068" s="3" t="s">
        <v>57</v>
      </c>
      <c r="H1068" s="2" t="s">
        <v>20</v>
      </c>
      <c r="I1068" s="2" t="s">
        <v>2309</v>
      </c>
      <c r="J1068" s="3" t="str">
        <f>HYPERLINK("https://www.boe.es/gazeta/dias/1822/09/14/pdfs/GMD-1822-270.pdf#page=4","Abrir facsímil")</f>
        <v>Abrir facsímil</v>
      </c>
      <c r="K1068" s="3" t="s">
        <v>22</v>
      </c>
    </row>
    <row r="1069" spans="1:11" ht="42" customHeight="1">
      <c r="A1069" s="2" t="s">
        <v>2239</v>
      </c>
      <c r="B1069" s="2" t="s">
        <v>2239</v>
      </c>
      <c r="C1069" s="2" t="s">
        <v>28</v>
      </c>
      <c r="D1069" s="2" t="s">
        <v>29</v>
      </c>
      <c r="E1069" s="5">
        <v>-28229</v>
      </c>
      <c r="F1069" s="3" t="s">
        <v>2310</v>
      </c>
      <c r="G1069" s="3" t="s">
        <v>57</v>
      </c>
      <c r="H1069" s="2" t="s">
        <v>20</v>
      </c>
      <c r="I1069" s="2" t="s">
        <v>2311</v>
      </c>
      <c r="J1069" s="3" t="str">
        <f>HYPERLINK("https://www.boe.es/gazeta/dias/1822/09/16/pdfs/GMD-1822-272.pdf#page=4","Abrir facsímil")</f>
        <v>Abrir facsímil</v>
      </c>
      <c r="K1069" s="3" t="s">
        <v>22</v>
      </c>
    </row>
    <row r="1070" spans="1:11" ht="42" customHeight="1">
      <c r="A1070" s="2" t="s">
        <v>2239</v>
      </c>
      <c r="B1070" s="2" t="s">
        <v>2239</v>
      </c>
      <c r="C1070" s="2" t="s">
        <v>42</v>
      </c>
      <c r="D1070" s="2" t="s">
        <v>17</v>
      </c>
      <c r="E1070" s="5">
        <v>-28208</v>
      </c>
      <c r="F1070" s="3" t="s">
        <v>230</v>
      </c>
      <c r="G1070" s="3" t="s">
        <v>57</v>
      </c>
      <c r="H1070" s="2" t="s">
        <v>20</v>
      </c>
      <c r="I1070" s="2" t="s">
        <v>2312</v>
      </c>
      <c r="J1070" s="3" t="str">
        <f>HYPERLINK("https://www.boe.es/gazeta/dias/1822/10/07/pdfs/GMD-1822-293.pdf#page=4","Abrir facsímil")</f>
        <v>Abrir facsímil</v>
      </c>
      <c r="K1070" s="3" t="s">
        <v>22</v>
      </c>
    </row>
    <row r="1071" spans="1:11" ht="42" customHeight="1">
      <c r="A1071" s="2" t="s">
        <v>2239</v>
      </c>
      <c r="B1071" s="2" t="s">
        <v>2239</v>
      </c>
      <c r="C1071" s="2" t="s">
        <v>50</v>
      </c>
      <c r="D1071" s="2" t="s">
        <v>51</v>
      </c>
      <c r="E1071" s="5">
        <v>-28203</v>
      </c>
      <c r="F1071" s="3" t="s">
        <v>564</v>
      </c>
      <c r="G1071" s="3" t="s">
        <v>57</v>
      </c>
      <c r="H1071" s="2" t="s">
        <v>20</v>
      </c>
      <c r="I1071" s="2" t="s">
        <v>2313</v>
      </c>
      <c r="J1071" s="3" t="str">
        <f>HYPERLINK("https://www.boe.es/gazeta/dias/1822/10/12/pdfs/GMD-1822-299.pdf#page=4","Abrir facsímil")</f>
        <v>Abrir facsímil</v>
      </c>
      <c r="K1071" s="3" t="s">
        <v>22</v>
      </c>
    </row>
    <row r="1072" spans="1:11" ht="42" customHeight="1">
      <c r="A1072" s="2" t="s">
        <v>2239</v>
      </c>
      <c r="B1072" s="2" t="s">
        <v>2239</v>
      </c>
      <c r="C1072" s="2" t="s">
        <v>24</v>
      </c>
      <c r="D1072" s="2" t="s">
        <v>17</v>
      </c>
      <c r="E1072" s="5">
        <v>-28185</v>
      </c>
      <c r="F1072" s="3" t="s">
        <v>933</v>
      </c>
      <c r="G1072" s="3" t="s">
        <v>44</v>
      </c>
      <c r="H1072" s="2" t="s">
        <v>20</v>
      </c>
      <c r="I1072" s="2" t="s">
        <v>2314</v>
      </c>
      <c r="J1072" s="3" t="str">
        <f>HYPERLINK("https://www.boe.es/gazeta/dias/1822/10/30/pdfs/GMD-1822-317.pdf#page=1","Abrir facsímil")</f>
        <v>Abrir facsímil</v>
      </c>
      <c r="K1072" s="3" t="s">
        <v>22</v>
      </c>
    </row>
    <row r="1073" spans="1:11" ht="42" customHeight="1">
      <c r="A1073" s="2" t="s">
        <v>2239</v>
      </c>
      <c r="B1073" s="2" t="s">
        <v>2239</v>
      </c>
      <c r="C1073" s="2" t="s">
        <v>50</v>
      </c>
      <c r="D1073" s="2" t="s">
        <v>51</v>
      </c>
      <c r="E1073" s="5">
        <v>-28183</v>
      </c>
      <c r="F1073" s="3" t="s">
        <v>583</v>
      </c>
      <c r="G1073" s="3" t="s">
        <v>63</v>
      </c>
      <c r="H1073" s="2" t="s">
        <v>20</v>
      </c>
      <c r="I1073" s="2" t="s">
        <v>2315</v>
      </c>
      <c r="J1073" s="3" t="str">
        <f>HYPERLINK("https://www.boe.es/gazeta/dias/1822/11/01/pdfs/GMD-1822-319.pdf#page=6","Abrir facsímil")</f>
        <v>Abrir facsímil</v>
      </c>
      <c r="K1073" s="3" t="s">
        <v>22</v>
      </c>
    </row>
    <row r="1074" spans="1:11" ht="42" customHeight="1">
      <c r="A1074" s="2" t="s">
        <v>2239</v>
      </c>
      <c r="B1074" s="2" t="s">
        <v>2239</v>
      </c>
      <c r="C1074" s="2" t="s">
        <v>50</v>
      </c>
      <c r="D1074" s="2" t="s">
        <v>51</v>
      </c>
      <c r="E1074" s="5">
        <v>-28182</v>
      </c>
      <c r="F1074" s="3" t="s">
        <v>585</v>
      </c>
      <c r="G1074" s="3" t="s">
        <v>44</v>
      </c>
      <c r="H1074" s="2" t="s">
        <v>20</v>
      </c>
      <c r="I1074" s="2" t="s">
        <v>2316</v>
      </c>
      <c r="J1074" s="3" t="str">
        <f>HYPERLINK("https://www.boe.es/gazeta/dias/1822/11/02/pdfs/GMD-1822-320.pdf#page=1","Abrir facsímil")</f>
        <v>Abrir facsímil</v>
      </c>
      <c r="K1074" s="3" t="s">
        <v>22</v>
      </c>
    </row>
    <row r="1075" spans="1:11" ht="42" customHeight="1">
      <c r="A1075" s="2" t="s">
        <v>2239</v>
      </c>
      <c r="B1075" s="2" t="s">
        <v>2239</v>
      </c>
      <c r="C1075" s="2" t="s">
        <v>42</v>
      </c>
      <c r="D1075" s="2" t="s">
        <v>17</v>
      </c>
      <c r="E1075" s="5">
        <v>-28179</v>
      </c>
      <c r="F1075" s="3" t="s">
        <v>935</v>
      </c>
      <c r="G1075" s="3" t="s">
        <v>63</v>
      </c>
      <c r="H1075" s="2" t="s">
        <v>20</v>
      </c>
      <c r="I1075" s="2" t="s">
        <v>2317</v>
      </c>
      <c r="J1075" s="3" t="str">
        <f>HYPERLINK("https://www.boe.es/gazeta/dias/1822/11/05/pdfs/GMD-1822-325.pdf#page=6","Abrir facsímil")</f>
        <v>Abrir facsímil</v>
      </c>
      <c r="K1075" s="3" t="s">
        <v>22</v>
      </c>
    </row>
    <row r="1076" spans="1:11" ht="42" customHeight="1">
      <c r="A1076" s="2" t="s">
        <v>2239</v>
      </c>
      <c r="B1076" s="2" t="s">
        <v>2239</v>
      </c>
      <c r="C1076" s="2" t="s">
        <v>71</v>
      </c>
      <c r="D1076" s="2" t="s">
        <v>17</v>
      </c>
      <c r="E1076" s="5">
        <v>-28174</v>
      </c>
      <c r="F1076" s="3" t="s">
        <v>881</v>
      </c>
      <c r="G1076" s="3" t="s">
        <v>63</v>
      </c>
      <c r="H1076" s="2" t="s">
        <v>20</v>
      </c>
      <c r="I1076" s="2" t="s">
        <v>2318</v>
      </c>
      <c r="J1076" s="3" t="str">
        <f>HYPERLINK("https://www.boe.es/gazeta/dias/1822/11/10/pdfs/GMD-1822-330.pdf#page=6","Abrir facsímil")</f>
        <v>Abrir facsímil</v>
      </c>
      <c r="K1076" s="3" t="s">
        <v>22</v>
      </c>
    </row>
    <row r="1077" spans="1:11" ht="42" customHeight="1">
      <c r="A1077" s="2" t="s">
        <v>2239</v>
      </c>
      <c r="B1077" s="2" t="s">
        <v>2239</v>
      </c>
      <c r="C1077" s="2" t="s">
        <v>28</v>
      </c>
      <c r="D1077" s="2" t="s">
        <v>29</v>
      </c>
      <c r="E1077" s="5">
        <v>-28172</v>
      </c>
      <c r="F1077" s="3" t="s">
        <v>674</v>
      </c>
      <c r="G1077" s="3" t="s">
        <v>57</v>
      </c>
      <c r="H1077" s="2" t="s">
        <v>20</v>
      </c>
      <c r="I1077" s="2" t="s">
        <v>2319</v>
      </c>
      <c r="J1077" s="3" t="str">
        <f>HYPERLINK("https://www.boe.es/gazeta/dias/1822/11/12/pdfs/GMD-1822-332.pdf#page=4","Abrir facsímil")</f>
        <v>Abrir facsímil</v>
      </c>
      <c r="K1077" s="3" t="s">
        <v>22</v>
      </c>
    </row>
    <row r="1078" spans="1:11" ht="42" customHeight="1">
      <c r="A1078" s="2" t="s">
        <v>2239</v>
      </c>
      <c r="B1078" s="2" t="s">
        <v>2239</v>
      </c>
      <c r="C1078" s="2" t="s">
        <v>42</v>
      </c>
      <c r="D1078" s="2" t="s">
        <v>17</v>
      </c>
      <c r="E1078" s="5">
        <v>-28167</v>
      </c>
      <c r="F1078" s="3" t="s">
        <v>904</v>
      </c>
      <c r="G1078" s="3" t="s">
        <v>31</v>
      </c>
      <c r="H1078" s="2" t="s">
        <v>20</v>
      </c>
      <c r="I1078" s="2" t="s">
        <v>2320</v>
      </c>
      <c r="J1078" s="3" t="str">
        <f>HYPERLINK("https://www.boe.es/gazeta/dias/1822/11/17/pdfs/GMD-1822-337.pdf#page=3","Abrir facsímil")</f>
        <v>Abrir facsímil</v>
      </c>
      <c r="K1078" s="3" t="s">
        <v>22</v>
      </c>
    </row>
    <row r="1079" spans="1:11" ht="42" customHeight="1">
      <c r="A1079" s="2" t="s">
        <v>2239</v>
      </c>
      <c r="B1079" s="2" t="s">
        <v>2239</v>
      </c>
      <c r="C1079" s="2" t="s">
        <v>71</v>
      </c>
      <c r="D1079" s="2" t="s">
        <v>17</v>
      </c>
      <c r="E1079" s="5">
        <v>-28154</v>
      </c>
      <c r="F1079" s="3" t="s">
        <v>2321</v>
      </c>
      <c r="G1079" s="3" t="s">
        <v>31</v>
      </c>
      <c r="H1079" s="2" t="s">
        <v>20</v>
      </c>
      <c r="I1079" s="2" t="s">
        <v>2322</v>
      </c>
      <c r="J1079" s="3" t="str">
        <f>HYPERLINK("https://www.boe.es/gazeta/dias/1822/11/30/pdfs/GMD-1822-350.pdf#page=3","Abrir facsímil")</f>
        <v>Abrir facsímil</v>
      </c>
      <c r="K1079" s="3" t="s">
        <v>22</v>
      </c>
    </row>
    <row r="1080" spans="1:11" ht="42" customHeight="1">
      <c r="A1080" s="2" t="s">
        <v>2239</v>
      </c>
      <c r="B1080" s="2" t="s">
        <v>2239</v>
      </c>
      <c r="C1080" s="2" t="s">
        <v>50</v>
      </c>
      <c r="D1080" s="2" t="s">
        <v>51</v>
      </c>
      <c r="E1080" s="5">
        <v>-28153</v>
      </c>
      <c r="F1080" s="3" t="s">
        <v>946</v>
      </c>
      <c r="G1080" s="3" t="s">
        <v>63</v>
      </c>
      <c r="H1080" s="2" t="s">
        <v>20</v>
      </c>
      <c r="I1080" s="2" t="s">
        <v>2323</v>
      </c>
      <c r="J1080" s="3" t="str">
        <f>HYPERLINK("https://www.boe.es/gazeta/dias/1822/12/01/pdfs/GMD-1822-351.pdf#page=6","Abrir facsímil")</f>
        <v>Abrir facsímil</v>
      </c>
      <c r="K1080" s="3" t="s">
        <v>22</v>
      </c>
    </row>
    <row r="1081" spans="1:11" ht="42" customHeight="1">
      <c r="A1081" s="2" t="s">
        <v>2239</v>
      </c>
      <c r="B1081" s="2" t="s">
        <v>2239</v>
      </c>
      <c r="C1081" s="2" t="s">
        <v>50</v>
      </c>
      <c r="D1081" s="2" t="s">
        <v>51</v>
      </c>
      <c r="E1081" s="5">
        <v>-28135</v>
      </c>
      <c r="F1081" s="3" t="s">
        <v>1030</v>
      </c>
      <c r="G1081" s="3" t="s">
        <v>57</v>
      </c>
      <c r="H1081" s="2" t="s">
        <v>20</v>
      </c>
      <c r="I1081" s="2" t="s">
        <v>2324</v>
      </c>
      <c r="J1081" s="3" t="str">
        <f>HYPERLINK("https://www.boe.es/gazeta/dias/1822/12/19/pdfs/GMD-1822-369.pdf#page=4","Abrir facsímil")</f>
        <v>Abrir facsímil</v>
      </c>
      <c r="K1081" s="3" t="s">
        <v>22</v>
      </c>
    </row>
    <row r="1082" spans="1:11" ht="42" customHeight="1">
      <c r="A1082" s="2" t="s">
        <v>2239</v>
      </c>
      <c r="B1082" s="2" t="s">
        <v>2239</v>
      </c>
      <c r="C1082" s="2" t="s">
        <v>42</v>
      </c>
      <c r="D1082" s="2" t="s">
        <v>17</v>
      </c>
      <c r="E1082" s="5">
        <v>-28134</v>
      </c>
      <c r="F1082" s="3" t="s">
        <v>620</v>
      </c>
      <c r="G1082" s="3" t="s">
        <v>44</v>
      </c>
      <c r="H1082" s="2" t="s">
        <v>20</v>
      </c>
      <c r="I1082" s="2" t="s">
        <v>2325</v>
      </c>
      <c r="J1082" s="3" t="str">
        <f>HYPERLINK("https://www.boe.es/gazeta/dias/1822/12/20/pdfs/GMD-1822-370.pdf#page=1","Abrir facsímil")</f>
        <v>Abrir facsímil</v>
      </c>
      <c r="K1082" s="3" t="s">
        <v>22</v>
      </c>
    </row>
    <row r="1083" spans="1:11" ht="42" customHeight="1">
      <c r="A1083" s="2" t="s">
        <v>2239</v>
      </c>
      <c r="B1083" s="2" t="s">
        <v>2239</v>
      </c>
      <c r="C1083" s="2" t="s">
        <v>24</v>
      </c>
      <c r="D1083" s="2" t="s">
        <v>17</v>
      </c>
      <c r="E1083" s="5">
        <v>-28134</v>
      </c>
      <c r="F1083" s="3" t="s">
        <v>620</v>
      </c>
      <c r="G1083" s="3" t="s">
        <v>57</v>
      </c>
      <c r="H1083" s="2" t="s">
        <v>20</v>
      </c>
      <c r="I1083" s="2" t="s">
        <v>2326</v>
      </c>
      <c r="J1083" s="3" t="str">
        <f>HYPERLINK("https://www.boe.es/gazeta/dias/1822/12/20/pdfs/GMD-1822-370.pdf#page=4","Abrir facsímil")</f>
        <v>Abrir facsímil</v>
      </c>
      <c r="K1083" s="3" t="s">
        <v>22</v>
      </c>
    </row>
    <row r="1084" spans="1:11" ht="42" customHeight="1">
      <c r="A1084" s="2" t="s">
        <v>2239</v>
      </c>
      <c r="B1084" s="2" t="s">
        <v>2239</v>
      </c>
      <c r="C1084" s="2" t="s">
        <v>24</v>
      </c>
      <c r="D1084" s="2" t="s">
        <v>17</v>
      </c>
      <c r="E1084" s="5">
        <v>-28131</v>
      </c>
      <c r="F1084" s="3" t="s">
        <v>893</v>
      </c>
      <c r="G1084" s="3" t="s">
        <v>991</v>
      </c>
      <c r="H1084" s="2" t="s">
        <v>20</v>
      </c>
      <c r="I1084" s="2" t="s">
        <v>2327</v>
      </c>
      <c r="J1084" s="3" t="str">
        <f>HYPERLINK("https://www.boe.es/gazeta/dias/1822/12/23/pdfs/GMD-1822-373.pdf#page=6","Abrir facsímil")</f>
        <v>Abrir facsímil</v>
      </c>
      <c r="K1084" s="3" t="s">
        <v>22</v>
      </c>
    </row>
    <row r="1085" spans="1:11" ht="42" customHeight="1">
      <c r="A1085" s="2" t="s">
        <v>2239</v>
      </c>
      <c r="B1085" s="2" t="s">
        <v>2239</v>
      </c>
      <c r="C1085" s="2" t="s">
        <v>28</v>
      </c>
      <c r="D1085" s="2" t="s">
        <v>29</v>
      </c>
      <c r="E1085" s="5">
        <v>-28130</v>
      </c>
      <c r="F1085" s="3" t="s">
        <v>34</v>
      </c>
      <c r="G1085" s="3" t="s">
        <v>35</v>
      </c>
      <c r="H1085" s="2" t="s">
        <v>20</v>
      </c>
      <c r="I1085" s="2" t="s">
        <v>2328</v>
      </c>
      <c r="J1085" s="3" t="str">
        <f>HYPERLINK("https://www.boe.es/gazeta/dias/1822/12/24/pdfs/GMD-1822-374.pdf#page=2","Abrir facsímil")</f>
        <v>Abrir facsímil</v>
      </c>
      <c r="K1085" s="3" t="s">
        <v>22</v>
      </c>
    </row>
    <row r="1086" spans="1:11" ht="42" customHeight="1">
      <c r="A1086" s="2" t="s">
        <v>2329</v>
      </c>
      <c r="B1086" s="2" t="s">
        <v>2330</v>
      </c>
      <c r="C1086" s="2" t="s">
        <v>50</v>
      </c>
      <c r="D1086" s="2" t="s">
        <v>51</v>
      </c>
      <c r="E1086" s="5">
        <v>-28407</v>
      </c>
      <c r="F1086" s="3" t="s">
        <v>460</v>
      </c>
      <c r="G1086" s="3" t="s">
        <v>35</v>
      </c>
      <c r="H1086" s="2" t="s">
        <v>20</v>
      </c>
      <c r="I1086" s="2" t="s">
        <v>2331</v>
      </c>
      <c r="J1086" s="3" t="str">
        <f>HYPERLINK("https://www.boe.es/gazeta/dias/1822/03/22/pdfs/GMD-1822-83.pdf#page=2","Abrir facsímil")</f>
        <v>Abrir facsímil</v>
      </c>
      <c r="K1086" s="3" t="s">
        <v>22</v>
      </c>
    </row>
    <row r="1087" spans="1:11" ht="42" customHeight="1">
      <c r="A1087" s="2" t="s">
        <v>2332</v>
      </c>
      <c r="B1087" s="2" t="s">
        <v>2333</v>
      </c>
      <c r="C1087" s="2" t="s">
        <v>71</v>
      </c>
      <c r="D1087" s="2" t="s">
        <v>17</v>
      </c>
      <c r="E1087" s="5">
        <v>-28336</v>
      </c>
      <c r="F1087" s="3" t="s">
        <v>156</v>
      </c>
      <c r="G1087" s="3" t="s">
        <v>35</v>
      </c>
      <c r="H1087" s="2" t="s">
        <v>20</v>
      </c>
      <c r="I1087" s="2" t="s">
        <v>2334</v>
      </c>
      <c r="J1087" s="3" t="str">
        <f>HYPERLINK("https://www.boe.es/gazeta/dias/1822/06/01/pdfs/GMD-1822-157.pdf#page=2","Abrir facsímil")</f>
        <v>Abrir facsímil</v>
      </c>
      <c r="K1087" s="3" t="s">
        <v>22</v>
      </c>
    </row>
    <row r="1088" spans="1:11" ht="42" customHeight="1">
      <c r="A1088" s="2" t="s">
        <v>2335</v>
      </c>
      <c r="B1088" s="2" t="s">
        <v>2336</v>
      </c>
      <c r="C1088" s="2" t="s">
        <v>50</v>
      </c>
      <c r="D1088" s="2" t="s">
        <v>51</v>
      </c>
      <c r="E1088" s="5">
        <v>-28473</v>
      </c>
      <c r="F1088" s="3" t="s">
        <v>2337</v>
      </c>
      <c r="G1088" s="3" t="s">
        <v>157</v>
      </c>
      <c r="H1088" s="2" t="s">
        <v>20</v>
      </c>
      <c r="I1088" s="2" t="s">
        <v>2338</v>
      </c>
      <c r="J1088" s="3" t="str">
        <f>HYPERLINK("https://www.boe.es/gazeta/dias/1822/01/15/pdfs/GMD-1822-15.pdf#page=8","Abrir facsímil")</f>
        <v>Abrir facsímil</v>
      </c>
      <c r="K1088" s="3" t="s">
        <v>22</v>
      </c>
    </row>
    <row r="1089" spans="1:11" ht="42" customHeight="1">
      <c r="A1089" s="2" t="s">
        <v>2335</v>
      </c>
      <c r="B1089" s="2" t="s">
        <v>2336</v>
      </c>
      <c r="C1089" s="2" t="s">
        <v>362</v>
      </c>
      <c r="D1089" s="2" t="s">
        <v>17</v>
      </c>
      <c r="E1089" s="5">
        <v>-28427</v>
      </c>
      <c r="F1089" s="3" t="s">
        <v>755</v>
      </c>
      <c r="G1089" s="3" t="s">
        <v>57</v>
      </c>
      <c r="H1089" s="2" t="s">
        <v>20</v>
      </c>
      <c r="I1089" s="2" t="s">
        <v>2339</v>
      </c>
      <c r="J1089" s="3" t="str">
        <f>HYPERLINK("https://www.boe.es/gazeta/dias/1822/03/02/pdfs/GMD-1822-63.pdf#page=4","Abrir facsímil")</f>
        <v>Abrir facsímil</v>
      </c>
      <c r="K1089" s="3" t="s">
        <v>22</v>
      </c>
    </row>
    <row r="1090" spans="1:11" ht="42" customHeight="1">
      <c r="A1090" s="2" t="s">
        <v>2335</v>
      </c>
      <c r="B1090" s="2" t="s">
        <v>2336</v>
      </c>
      <c r="C1090" s="2" t="s">
        <v>50</v>
      </c>
      <c r="D1090" s="2" t="s">
        <v>51</v>
      </c>
      <c r="E1090" s="5">
        <v>-28388</v>
      </c>
      <c r="F1090" s="3" t="s">
        <v>1268</v>
      </c>
      <c r="G1090" s="3" t="s">
        <v>57</v>
      </c>
      <c r="H1090" s="2" t="s">
        <v>20</v>
      </c>
      <c r="I1090" s="2" t="s">
        <v>2340</v>
      </c>
      <c r="J1090" s="3" t="str">
        <f>HYPERLINK("https://www.boe.es/gazeta/dias/1822/04/10/pdfs/GMD-1822-102.pdf#page=4","Abrir facsímil")</f>
        <v>Abrir facsímil</v>
      </c>
      <c r="K1090" s="3" t="s">
        <v>22</v>
      </c>
    </row>
    <row r="1091" spans="1:11" ht="42" customHeight="1">
      <c r="A1091" s="2" t="s">
        <v>2335</v>
      </c>
      <c r="B1091" s="2" t="s">
        <v>2336</v>
      </c>
      <c r="C1091" s="2" t="s">
        <v>71</v>
      </c>
      <c r="D1091" s="2" t="s">
        <v>17</v>
      </c>
      <c r="E1091" s="5">
        <v>-28375</v>
      </c>
      <c r="F1091" s="3" t="s">
        <v>2035</v>
      </c>
      <c r="G1091" s="3" t="s">
        <v>57</v>
      </c>
      <c r="H1091" s="2" t="s">
        <v>20</v>
      </c>
      <c r="I1091" s="2" t="s">
        <v>2341</v>
      </c>
      <c r="J1091" s="3" t="str">
        <f>HYPERLINK("https://www.boe.es/gazeta/dias/1822/04/23/pdfs/GMD-1822-115.pdf#page=4","Abrir facsímil")</f>
        <v>Abrir facsímil</v>
      </c>
      <c r="K1091" s="3" t="s">
        <v>22</v>
      </c>
    </row>
    <row r="1092" spans="1:11" ht="42" customHeight="1">
      <c r="A1092" s="2" t="s">
        <v>2335</v>
      </c>
      <c r="B1092" s="2" t="s">
        <v>2336</v>
      </c>
      <c r="C1092" s="2" t="s">
        <v>42</v>
      </c>
      <c r="D1092" s="2" t="s">
        <v>17</v>
      </c>
      <c r="E1092" s="5">
        <v>-28358</v>
      </c>
      <c r="F1092" s="3" t="s">
        <v>211</v>
      </c>
      <c r="G1092" s="3" t="s">
        <v>157</v>
      </c>
      <c r="H1092" s="2" t="s">
        <v>20</v>
      </c>
      <c r="I1092" s="2" t="s">
        <v>2342</v>
      </c>
      <c r="J1092" s="3" t="str">
        <f>HYPERLINK("https://www.boe.es/gazeta/dias/1822/05/10/pdfs/GMD-1822-132.pdf#page=8","Abrir facsímil")</f>
        <v>Abrir facsímil</v>
      </c>
      <c r="K1092" s="3" t="s">
        <v>22</v>
      </c>
    </row>
    <row r="1093" spans="1:11" ht="42" customHeight="1">
      <c r="A1093" s="2" t="s">
        <v>2343</v>
      </c>
      <c r="B1093" s="2" t="s">
        <v>2344</v>
      </c>
      <c r="C1093" s="2" t="s">
        <v>42</v>
      </c>
      <c r="D1093" s="2" t="s">
        <v>17</v>
      </c>
      <c r="E1093" s="5">
        <v>-28351</v>
      </c>
      <c r="F1093" s="3" t="s">
        <v>282</v>
      </c>
      <c r="G1093" s="3" t="s">
        <v>31</v>
      </c>
      <c r="H1093" s="2" t="s">
        <v>20</v>
      </c>
      <c r="I1093" s="2" t="s">
        <v>2345</v>
      </c>
      <c r="J1093" s="3" t="str">
        <f>HYPERLINK("https://www.boe.es/gazeta/dias/1822/05/17/pdfs/GMD-1822-139.pdf#page=3","Abrir facsímil")</f>
        <v>Abrir facsímil</v>
      </c>
      <c r="K1093" s="3" t="s">
        <v>22</v>
      </c>
    </row>
    <row r="1094" spans="1:11" ht="42" customHeight="1">
      <c r="A1094" s="2" t="s">
        <v>2346</v>
      </c>
      <c r="B1094" s="2" t="s">
        <v>2347</v>
      </c>
      <c r="C1094" s="2" t="s">
        <v>50</v>
      </c>
      <c r="D1094" s="2" t="s">
        <v>51</v>
      </c>
      <c r="E1094" s="5">
        <v>-28301</v>
      </c>
      <c r="F1094" s="3" t="s">
        <v>2348</v>
      </c>
      <c r="G1094" s="3" t="s">
        <v>31</v>
      </c>
      <c r="H1094" s="2" t="s">
        <v>20</v>
      </c>
      <c r="I1094" s="2" t="s">
        <v>2349</v>
      </c>
      <c r="J1094" s="3" t="str">
        <f>HYPERLINK("https://www.boe.es/gazeta/dias/1822/07/06/pdfs/GMD-1822-195.pdf#page=3","Abrir facsímil")</f>
        <v>Abrir facsímil</v>
      </c>
      <c r="K1094" s="3" t="s">
        <v>22</v>
      </c>
    </row>
    <row r="1095" spans="1:11" ht="42" customHeight="1">
      <c r="A1095" s="2" t="s">
        <v>2350</v>
      </c>
      <c r="B1095" s="2" t="s">
        <v>2351</v>
      </c>
      <c r="C1095" s="2" t="s">
        <v>16</v>
      </c>
      <c r="D1095" s="2" t="s">
        <v>17</v>
      </c>
      <c r="E1095" s="5">
        <v>-28393</v>
      </c>
      <c r="F1095" s="3" t="s">
        <v>326</v>
      </c>
      <c r="G1095" s="3" t="s">
        <v>57</v>
      </c>
      <c r="H1095" s="2" t="s">
        <v>20</v>
      </c>
      <c r="I1095" s="2" t="s">
        <v>2352</v>
      </c>
      <c r="J1095" s="3" t="str">
        <f>HYPERLINK("https://www.boe.es/gazeta/dias/1822/04/05/pdfs/GMD-1822-97.pdf#page=4","Abrir facsímil")</f>
        <v>Abrir facsímil</v>
      </c>
      <c r="K1095" s="3" t="s">
        <v>22</v>
      </c>
    </row>
    <row r="1096" spans="1:11" ht="42" customHeight="1">
      <c r="A1096" s="2" t="s">
        <v>2353</v>
      </c>
      <c r="B1096" s="2" t="s">
        <v>2354</v>
      </c>
      <c r="C1096" s="2" t="s">
        <v>42</v>
      </c>
      <c r="D1096" s="2" t="s">
        <v>17</v>
      </c>
      <c r="E1096" s="5">
        <v>-28308</v>
      </c>
      <c r="F1096" s="3" t="s">
        <v>1050</v>
      </c>
      <c r="G1096" s="3" t="s">
        <v>157</v>
      </c>
      <c r="H1096" s="2" t="s">
        <v>20</v>
      </c>
      <c r="I1096" s="2" t="s">
        <v>2355</v>
      </c>
      <c r="J1096" s="3" t="str">
        <f>HYPERLINK("https://www.boe.es/gazeta/dias/1822/06/29/pdfs/GMD-1822-187.pdf#page=8","Abrir facsímil")</f>
        <v>Abrir facsímil</v>
      </c>
      <c r="K1096" s="3" t="s">
        <v>22</v>
      </c>
    </row>
    <row r="1097" spans="1:11" ht="42" customHeight="1">
      <c r="A1097" s="2" t="s">
        <v>2353</v>
      </c>
      <c r="B1097" s="2" t="s">
        <v>2354</v>
      </c>
      <c r="C1097" s="2" t="s">
        <v>28</v>
      </c>
      <c r="D1097" s="2" t="s">
        <v>29</v>
      </c>
      <c r="E1097" s="5">
        <v>-28305</v>
      </c>
      <c r="F1097" s="3" t="s">
        <v>1337</v>
      </c>
      <c r="G1097" s="3" t="s">
        <v>57</v>
      </c>
      <c r="H1097" s="2" t="s">
        <v>20</v>
      </c>
      <c r="I1097" s="2" t="s">
        <v>2356</v>
      </c>
      <c r="J1097" s="3" t="str">
        <f>HYPERLINK("https://www.boe.es/gazeta/dias/1822/07/02/pdfs/GMD-1822-191.pdf#page=4","Abrir facsímil")</f>
        <v>Abrir facsímil</v>
      </c>
      <c r="K1097" s="3" t="s">
        <v>22</v>
      </c>
    </row>
    <row r="1098" spans="1:11" ht="42" customHeight="1">
      <c r="A1098" s="2" t="s">
        <v>2357</v>
      </c>
      <c r="B1098" s="2" t="s">
        <v>2358</v>
      </c>
      <c r="C1098" s="2" t="s">
        <v>50</v>
      </c>
      <c r="D1098" s="2" t="s">
        <v>51</v>
      </c>
      <c r="E1098" s="5">
        <v>-28303</v>
      </c>
      <c r="F1098" s="3" t="s">
        <v>201</v>
      </c>
      <c r="G1098" s="3" t="s">
        <v>31</v>
      </c>
      <c r="H1098" s="2" t="s">
        <v>20</v>
      </c>
      <c r="I1098" s="2" t="s">
        <v>2359</v>
      </c>
      <c r="J1098" s="3" t="str">
        <f>HYPERLINK("https://www.boe.es/gazeta/dias/1822/07/04/pdfs/GMD-1822-193.pdf#page=3","Abrir facsímil")</f>
        <v>Abrir facsímil</v>
      </c>
      <c r="K1098" s="3" t="s">
        <v>22</v>
      </c>
    </row>
    <row r="1099" spans="1:11" ht="42" customHeight="1">
      <c r="A1099" s="2" t="s">
        <v>2360</v>
      </c>
      <c r="B1099" s="2" t="s">
        <v>2361</v>
      </c>
      <c r="C1099" s="2" t="s">
        <v>50</v>
      </c>
      <c r="D1099" s="2" t="s">
        <v>51</v>
      </c>
      <c r="E1099" s="5">
        <v>-28292</v>
      </c>
      <c r="F1099" s="3" t="s">
        <v>222</v>
      </c>
      <c r="G1099" s="3" t="s">
        <v>31</v>
      </c>
      <c r="H1099" s="2" t="s">
        <v>20</v>
      </c>
      <c r="I1099" s="2" t="s">
        <v>2362</v>
      </c>
      <c r="J1099" s="3" t="str">
        <f>HYPERLINK("https://www.boe.es/gazeta/dias/1822/07/15/pdfs/GMD-1822-205.pdf#page=3","Abrir facsímil")</f>
        <v>Abrir facsímil</v>
      </c>
      <c r="K1099" s="3" t="s">
        <v>22</v>
      </c>
    </row>
    <row r="1100" spans="1:11" ht="42" customHeight="1">
      <c r="A1100" s="2" t="s">
        <v>2363</v>
      </c>
      <c r="B1100" s="2" t="s">
        <v>2364</v>
      </c>
      <c r="C1100" s="2" t="s">
        <v>28</v>
      </c>
      <c r="D1100" s="2" t="s">
        <v>29</v>
      </c>
      <c r="E1100" s="5">
        <v>-28197</v>
      </c>
      <c r="F1100" s="3" t="s">
        <v>568</v>
      </c>
      <c r="G1100" s="3" t="s">
        <v>63</v>
      </c>
      <c r="H1100" s="2" t="s">
        <v>20</v>
      </c>
      <c r="I1100" s="2" t="s">
        <v>2365</v>
      </c>
      <c r="J1100" s="3" t="str">
        <f>HYPERLINK("https://www.boe.es/gazeta/dias/1822/10/18/pdfs/GMD-1822-305.pdf#page=6","Abrir facsímil")</f>
        <v>Abrir facsímil</v>
      </c>
      <c r="K1100" s="3" t="s">
        <v>22</v>
      </c>
    </row>
    <row r="1101" spans="1:11" ht="42" customHeight="1">
      <c r="A1101" s="2" t="s">
        <v>2366</v>
      </c>
      <c r="B1101" s="2" t="s">
        <v>2367</v>
      </c>
      <c r="C1101" s="2" t="s">
        <v>16</v>
      </c>
      <c r="D1101" s="2" t="s">
        <v>17</v>
      </c>
      <c r="E1101" s="5">
        <v>-28338</v>
      </c>
      <c r="F1101" s="3" t="s">
        <v>527</v>
      </c>
      <c r="G1101" s="3" t="s">
        <v>57</v>
      </c>
      <c r="H1101" s="2" t="s">
        <v>20</v>
      </c>
      <c r="I1101" s="2" t="s">
        <v>2368</v>
      </c>
      <c r="J1101" s="3" t="str">
        <f>HYPERLINK("https://www.boe.es/gazeta/dias/1822/05/30/pdfs/GMD-1822-155.pdf#page=4","Abrir facsímil")</f>
        <v>Abrir facsímil</v>
      </c>
      <c r="K1101" s="3" t="s">
        <v>22</v>
      </c>
    </row>
    <row r="1102" spans="1:11" ht="42" customHeight="1">
      <c r="A1102" s="2" t="s">
        <v>2369</v>
      </c>
      <c r="B1102" s="2" t="s">
        <v>2370</v>
      </c>
      <c r="C1102" s="2" t="s">
        <v>50</v>
      </c>
      <c r="D1102" s="2" t="s">
        <v>51</v>
      </c>
      <c r="E1102" s="5">
        <v>-28279</v>
      </c>
      <c r="F1102" s="3" t="s">
        <v>662</v>
      </c>
      <c r="G1102" s="3" t="s">
        <v>57</v>
      </c>
      <c r="H1102" s="2" t="s">
        <v>20</v>
      </c>
      <c r="I1102" s="2" t="s">
        <v>2371</v>
      </c>
      <c r="J1102" s="3" t="str">
        <f>HYPERLINK("https://www.boe.es/gazeta/dias/1822/07/28/pdfs/GMD-1822-221.pdf#page=4","Abrir facsímil")</f>
        <v>Abrir facsímil</v>
      </c>
      <c r="K1102" s="3" t="s">
        <v>22</v>
      </c>
    </row>
    <row r="1103" spans="1:11" ht="42" customHeight="1">
      <c r="A1103" s="2" t="s">
        <v>2372</v>
      </c>
      <c r="B1103" s="2" t="s">
        <v>2373</v>
      </c>
      <c r="C1103" s="2" t="s">
        <v>16</v>
      </c>
      <c r="D1103" s="2" t="s">
        <v>17</v>
      </c>
      <c r="E1103" s="5">
        <v>-28223</v>
      </c>
      <c r="F1103" s="3" t="s">
        <v>2374</v>
      </c>
      <c r="G1103" s="3" t="s">
        <v>31</v>
      </c>
      <c r="H1103" s="2" t="s">
        <v>20</v>
      </c>
      <c r="I1103" s="2" t="s">
        <v>2375</v>
      </c>
      <c r="J1103" s="3" t="str">
        <f>HYPERLINK("https://www.boe.es/gazeta/dias/1822/09/22/pdfs/GMD-1822-278.pdf#page=3","Abrir facsímil")</f>
        <v>Abrir facsímil</v>
      </c>
      <c r="K1103" s="3" t="s">
        <v>22</v>
      </c>
    </row>
    <row r="1104" spans="1:11" ht="42" customHeight="1">
      <c r="A1104" s="2" t="s">
        <v>2376</v>
      </c>
      <c r="B1104" s="2" t="s">
        <v>2376</v>
      </c>
      <c r="C1104" s="2" t="s">
        <v>50</v>
      </c>
      <c r="D1104" s="2" t="s">
        <v>51</v>
      </c>
      <c r="E1104" s="5">
        <v>-28288</v>
      </c>
      <c r="F1104" s="3" t="s">
        <v>970</v>
      </c>
      <c r="G1104" s="3" t="s">
        <v>57</v>
      </c>
      <c r="H1104" s="2" t="s">
        <v>20</v>
      </c>
      <c r="I1104" s="2" t="s">
        <v>2377</v>
      </c>
      <c r="J1104" s="3" t="str">
        <f>HYPERLINK("https://www.boe.es/gazeta/dias/1822/07/19/pdfs/GMD-1822-211.pdf#page=4","Abrir facsímil")</f>
        <v>Abrir facsímil</v>
      </c>
      <c r="K1104" s="3" t="s">
        <v>22</v>
      </c>
    </row>
    <row r="1105" spans="1:11" ht="42" customHeight="1">
      <c r="A1105" s="2" t="s">
        <v>2378</v>
      </c>
      <c r="B1105" s="2" t="s">
        <v>2379</v>
      </c>
      <c r="C1105" s="2" t="s">
        <v>16</v>
      </c>
      <c r="D1105" s="2" t="s">
        <v>17</v>
      </c>
      <c r="E1105" s="5">
        <v>-28482</v>
      </c>
      <c r="F1105" s="3" t="s">
        <v>850</v>
      </c>
      <c r="G1105" s="3" t="s">
        <v>57</v>
      </c>
      <c r="H1105" s="2" t="s">
        <v>20</v>
      </c>
      <c r="I1105" s="2" t="s">
        <v>2380</v>
      </c>
      <c r="J1105" s="3" t="str">
        <f>HYPERLINK("https://www.boe.es/gazeta/dias/1822/01/06/pdfs/GMD-1822-6.pdf#page=4","Abrir facsímil")</f>
        <v>Abrir facsímil</v>
      </c>
      <c r="K1105" s="3" t="s">
        <v>22</v>
      </c>
    </row>
    <row r="1106" spans="1:11" ht="42" customHeight="1">
      <c r="A1106" s="2" t="s">
        <v>2381</v>
      </c>
      <c r="B1106" s="2" t="s">
        <v>2382</v>
      </c>
      <c r="C1106" s="2" t="s">
        <v>24</v>
      </c>
      <c r="D1106" s="2" t="s">
        <v>17</v>
      </c>
      <c r="E1106" s="5">
        <v>-28165</v>
      </c>
      <c r="F1106" s="3" t="s">
        <v>846</v>
      </c>
      <c r="G1106" s="3" t="s">
        <v>57</v>
      </c>
      <c r="H1106" s="2" t="s">
        <v>20</v>
      </c>
      <c r="I1106" s="2" t="s">
        <v>2383</v>
      </c>
      <c r="J1106" s="3" t="str">
        <f>HYPERLINK("https://www.boe.es/gazeta/dias/1822/11/19/pdfs/GMD-1822-339.pdf#page=4","Abrir facsímil")</f>
        <v>Abrir facsímil</v>
      </c>
      <c r="K1106" s="3" t="s">
        <v>22</v>
      </c>
    </row>
    <row r="1107" spans="1:11" ht="42" customHeight="1">
      <c r="A1107" s="2" t="s">
        <v>2384</v>
      </c>
      <c r="B1107" s="2" t="s">
        <v>2385</v>
      </c>
      <c r="C1107" s="2" t="s">
        <v>16</v>
      </c>
      <c r="D1107" s="2" t="s">
        <v>17</v>
      </c>
      <c r="E1107" s="5">
        <v>-28181</v>
      </c>
      <c r="F1107" s="3" t="s">
        <v>739</v>
      </c>
      <c r="G1107" s="3" t="s">
        <v>63</v>
      </c>
      <c r="H1107" s="2" t="s">
        <v>20</v>
      </c>
      <c r="I1107" s="2" t="s">
        <v>2386</v>
      </c>
      <c r="J1107" s="3" t="str">
        <f>HYPERLINK("https://www.boe.es/gazeta/dias/1822/11/03/pdfs/GMD-1822-321.pdf#page=6","Abrir facsímil")</f>
        <v>Abrir facsímil</v>
      </c>
      <c r="K1107" s="3" t="s">
        <v>22</v>
      </c>
    </row>
    <row r="1108" spans="1:11" ht="42" customHeight="1">
      <c r="A1108" s="2" t="s">
        <v>2387</v>
      </c>
      <c r="B1108" s="2" t="s">
        <v>2388</v>
      </c>
      <c r="C1108" s="2" t="s">
        <v>24</v>
      </c>
      <c r="D1108" s="2" t="s">
        <v>17</v>
      </c>
      <c r="E1108" s="5">
        <v>-28486</v>
      </c>
      <c r="F1108" s="3" t="s">
        <v>1046</v>
      </c>
      <c r="G1108" s="3" t="s">
        <v>57</v>
      </c>
      <c r="H1108" s="2" t="s">
        <v>20</v>
      </c>
      <c r="I1108" s="2" t="s">
        <v>2389</v>
      </c>
      <c r="J1108" s="3" t="str">
        <f>HYPERLINK("https://www.boe.es/gazeta/dias/1822/01/02/pdfs/GMD-1822-2.pdf#page=4","Abrir facsímil")</f>
        <v>Abrir facsímil</v>
      </c>
      <c r="K1108" s="3" t="s">
        <v>22</v>
      </c>
    </row>
    <row r="1109" spans="1:11" ht="42" customHeight="1">
      <c r="A1109" s="2" t="s">
        <v>2390</v>
      </c>
      <c r="B1109" s="2" t="s">
        <v>2391</v>
      </c>
      <c r="C1109" s="2" t="s">
        <v>61</v>
      </c>
      <c r="D1109" s="2" t="s">
        <v>17</v>
      </c>
      <c r="E1109" s="5">
        <v>-28319</v>
      </c>
      <c r="F1109" s="3" t="s">
        <v>271</v>
      </c>
      <c r="G1109" s="3" t="s">
        <v>63</v>
      </c>
      <c r="H1109" s="2" t="s">
        <v>20</v>
      </c>
      <c r="I1109" s="2" t="s">
        <v>2392</v>
      </c>
      <c r="J1109" s="3" t="str">
        <f>HYPERLINK("https://www.boe.es/gazeta/dias/1822/06/18/pdfs/GMD-1822-175.pdf#page=6","Abrir facsímil")</f>
        <v>Abrir facsímil</v>
      </c>
      <c r="K1109" s="3" t="s">
        <v>22</v>
      </c>
    </row>
    <row r="1110" spans="1:11" ht="42" customHeight="1">
      <c r="A1110" s="2" t="s">
        <v>2393</v>
      </c>
      <c r="B1110" s="2" t="s">
        <v>2393</v>
      </c>
      <c r="C1110" s="2" t="s">
        <v>61</v>
      </c>
      <c r="D1110" s="2" t="s">
        <v>17</v>
      </c>
      <c r="E1110" s="5">
        <v>-28377</v>
      </c>
      <c r="F1110" s="3" t="s">
        <v>498</v>
      </c>
      <c r="G1110" s="3" t="s">
        <v>57</v>
      </c>
      <c r="H1110" s="2" t="s">
        <v>20</v>
      </c>
      <c r="I1110" s="2" t="s">
        <v>2394</v>
      </c>
      <c r="J1110" s="3" t="str">
        <f>HYPERLINK("https://www.boe.es/gazeta/dias/1822/04/21/pdfs/GMD-1822-113.pdf#page=4","Abrir facsímil")</f>
        <v>Abrir facsímil</v>
      </c>
      <c r="K1110" s="3" t="s">
        <v>22</v>
      </c>
    </row>
    <row r="1111" spans="1:11" ht="42" customHeight="1">
      <c r="A1111" s="2" t="s">
        <v>2395</v>
      </c>
      <c r="B1111" s="2" t="s">
        <v>2396</v>
      </c>
      <c r="C1111" s="2" t="s">
        <v>42</v>
      </c>
      <c r="D1111" s="2" t="s">
        <v>17</v>
      </c>
      <c r="E1111" s="5">
        <v>-28429</v>
      </c>
      <c r="F1111" s="3" t="s">
        <v>2397</v>
      </c>
      <c r="G1111" s="3" t="s">
        <v>57</v>
      </c>
      <c r="H1111" s="2" t="s">
        <v>20</v>
      </c>
      <c r="I1111" s="2" t="s">
        <v>2398</v>
      </c>
      <c r="J1111" s="3" t="str">
        <f>HYPERLINK("https://www.boe.es/gazeta/dias/1822/02/28/pdfs/GMD-1822-60.pdf#page=4","Abrir facsímil")</f>
        <v>Abrir facsímil</v>
      </c>
      <c r="K1111" s="3" t="s">
        <v>22</v>
      </c>
    </row>
    <row r="1112" spans="1:11" ht="42" customHeight="1">
      <c r="A1112" s="2" t="s">
        <v>2399</v>
      </c>
      <c r="B1112" s="2" t="s">
        <v>2400</v>
      </c>
      <c r="C1112" s="2" t="s">
        <v>50</v>
      </c>
      <c r="D1112" s="2" t="s">
        <v>51</v>
      </c>
      <c r="E1112" s="5">
        <v>-28385</v>
      </c>
      <c r="F1112" s="3" t="s">
        <v>484</v>
      </c>
      <c r="G1112" s="3" t="s">
        <v>63</v>
      </c>
      <c r="H1112" s="2" t="s">
        <v>20</v>
      </c>
      <c r="I1112" s="2" t="s">
        <v>2401</v>
      </c>
      <c r="J1112" s="3" t="str">
        <f>HYPERLINK("https://www.boe.es/gazeta/dias/1822/04/13/pdfs/GMD-1822-105.pdf#page=6","Abrir facsímil")</f>
        <v>Abrir facsímil</v>
      </c>
      <c r="K1112" s="3" t="s">
        <v>22</v>
      </c>
    </row>
    <row r="1113" spans="1:11" ht="42" customHeight="1">
      <c r="A1113" s="2" t="s">
        <v>2402</v>
      </c>
      <c r="B1113" s="2" t="s">
        <v>2403</v>
      </c>
      <c r="C1113" s="2" t="s">
        <v>50</v>
      </c>
      <c r="D1113" s="2" t="s">
        <v>51</v>
      </c>
      <c r="E1113" s="5">
        <v>-28461</v>
      </c>
      <c r="F1113" s="3" t="s">
        <v>1801</v>
      </c>
      <c r="G1113" s="3" t="s">
        <v>35</v>
      </c>
      <c r="H1113" s="2" t="s">
        <v>20</v>
      </c>
      <c r="I1113" s="2" t="s">
        <v>2404</v>
      </c>
      <c r="J1113" s="3" t="str">
        <f>HYPERLINK("https://www.boe.es/gazeta/dias/1822/01/27/pdfs/GMD-1822-27.pdf#page=2","Abrir facsímil")</f>
        <v>Abrir facsímil</v>
      </c>
      <c r="K1113" s="3" t="s">
        <v>22</v>
      </c>
    </row>
    <row r="1114" spans="1:11" ht="42" customHeight="1">
      <c r="A1114" s="2" t="s">
        <v>2405</v>
      </c>
      <c r="B1114" s="2" t="s">
        <v>2406</v>
      </c>
      <c r="C1114" s="2" t="s">
        <v>50</v>
      </c>
      <c r="D1114" s="2" t="s">
        <v>51</v>
      </c>
      <c r="E1114" s="5">
        <v>-28346</v>
      </c>
      <c r="F1114" s="3" t="s">
        <v>191</v>
      </c>
      <c r="G1114" s="3" t="s">
        <v>44</v>
      </c>
      <c r="H1114" s="2" t="s">
        <v>20</v>
      </c>
      <c r="I1114" s="2" t="s">
        <v>2407</v>
      </c>
      <c r="J1114" s="3" t="str">
        <f>HYPERLINK("https://www.boe.es/gazeta/dias/1822/05/22/pdfs/GMD-1822-145.pdf#page=1","Abrir facsímil")</f>
        <v>Abrir facsímil</v>
      </c>
      <c r="K1114" s="3" t="s">
        <v>22</v>
      </c>
    </row>
    <row r="1115" spans="1:11" ht="42" customHeight="1">
      <c r="A1115" s="2" t="s">
        <v>2408</v>
      </c>
      <c r="B1115" s="2" t="s">
        <v>2409</v>
      </c>
      <c r="C1115" s="2" t="s">
        <v>50</v>
      </c>
      <c r="D1115" s="2" t="s">
        <v>51</v>
      </c>
      <c r="E1115" s="5">
        <v>-28208</v>
      </c>
      <c r="F1115" s="3" t="s">
        <v>230</v>
      </c>
      <c r="G1115" s="3" t="s">
        <v>57</v>
      </c>
      <c r="H1115" s="2" t="s">
        <v>20</v>
      </c>
      <c r="I1115" s="2" t="s">
        <v>2410</v>
      </c>
      <c r="J1115" s="3" t="str">
        <f>HYPERLINK("https://www.boe.es/gazeta/dias/1822/10/07/pdfs/GMD-1822-293.pdf#page=4","Abrir facsímil")</f>
        <v>Abrir facsímil</v>
      </c>
      <c r="K1115" s="3" t="s">
        <v>22</v>
      </c>
    </row>
    <row r="1116" spans="1:11" ht="42" customHeight="1">
      <c r="A1116" s="2" t="s">
        <v>2411</v>
      </c>
      <c r="B1116" s="2" t="s">
        <v>2411</v>
      </c>
      <c r="C1116" s="2" t="s">
        <v>71</v>
      </c>
      <c r="D1116" s="2" t="s">
        <v>17</v>
      </c>
      <c r="E1116" s="5">
        <v>-28320</v>
      </c>
      <c r="F1116" s="3" t="s">
        <v>700</v>
      </c>
      <c r="G1116" s="3" t="s">
        <v>19</v>
      </c>
      <c r="H1116" s="2" t="s">
        <v>20</v>
      </c>
      <c r="I1116" s="2" t="s">
        <v>2412</v>
      </c>
      <c r="J1116" s="3" t="str">
        <f>HYPERLINK("https://www.boe.es/gazeta/dias/1822/06/17/pdfs/GMD-1822-174.pdf#page=5","Abrir facsímil")</f>
        <v>Abrir facsímil</v>
      </c>
      <c r="K1116" s="3" t="s">
        <v>22</v>
      </c>
    </row>
    <row r="1117" spans="1:11" ht="42" customHeight="1">
      <c r="A1117" s="2" t="s">
        <v>2413</v>
      </c>
      <c r="B1117" s="2" t="s">
        <v>2413</v>
      </c>
      <c r="C1117" s="2" t="s">
        <v>42</v>
      </c>
      <c r="D1117" s="2" t="s">
        <v>17</v>
      </c>
      <c r="E1117" s="5">
        <v>-28384</v>
      </c>
      <c r="F1117" s="3" t="s">
        <v>258</v>
      </c>
      <c r="G1117" s="3" t="s">
        <v>35</v>
      </c>
      <c r="H1117" s="2" t="s">
        <v>20</v>
      </c>
      <c r="I1117" s="2" t="s">
        <v>2414</v>
      </c>
      <c r="J1117" s="3" t="str">
        <f>HYPERLINK("https://www.boe.es/gazeta/dias/1822/04/14/pdfs/GMD-1822-106.pdf#page=2","Abrir facsímil")</f>
        <v>Abrir facsímil</v>
      </c>
      <c r="K1117" s="3" t="s">
        <v>22</v>
      </c>
    </row>
    <row r="1118" spans="1:11" ht="42" customHeight="1">
      <c r="A1118" s="2" t="s">
        <v>2413</v>
      </c>
      <c r="B1118" s="2" t="s">
        <v>2413</v>
      </c>
      <c r="C1118" s="2" t="s">
        <v>42</v>
      </c>
      <c r="D1118" s="2" t="s">
        <v>17</v>
      </c>
      <c r="E1118" s="5">
        <v>-28317</v>
      </c>
      <c r="F1118" s="3" t="s">
        <v>546</v>
      </c>
      <c r="G1118" s="3" t="s">
        <v>167</v>
      </c>
      <c r="H1118" s="2" t="s">
        <v>20</v>
      </c>
      <c r="I1118" s="2" t="s">
        <v>2415</v>
      </c>
      <c r="J1118" s="3" t="str">
        <f>HYPERLINK("https://www.boe.es/gazeta/dias/1822/06/20/pdfs/GMD-1822-177.pdf#page=7","Abrir facsímil")</f>
        <v>Abrir facsímil</v>
      </c>
      <c r="K1118" s="3" t="s">
        <v>22</v>
      </c>
    </row>
    <row r="1119" spans="1:11" ht="42" customHeight="1">
      <c r="A1119" s="2" t="s">
        <v>2413</v>
      </c>
      <c r="B1119" s="2" t="s">
        <v>2413</v>
      </c>
      <c r="C1119" s="2" t="s">
        <v>71</v>
      </c>
      <c r="D1119" s="2" t="s">
        <v>17</v>
      </c>
      <c r="E1119" s="5">
        <v>-28306</v>
      </c>
      <c r="F1119" s="3" t="s">
        <v>348</v>
      </c>
      <c r="G1119" s="3" t="s">
        <v>31</v>
      </c>
      <c r="H1119" s="2" t="s">
        <v>20</v>
      </c>
      <c r="I1119" s="2" t="s">
        <v>2416</v>
      </c>
      <c r="J1119" s="3" t="str">
        <f>HYPERLINK("https://www.boe.es/gazeta/dias/1822/07/01/pdfs/GMD-1822-190.pdf#page=3","Abrir facsímil")</f>
        <v>Abrir facsímil</v>
      </c>
      <c r="K1119" s="3" t="s">
        <v>22</v>
      </c>
    </row>
    <row r="1120" spans="1:11" ht="42" customHeight="1">
      <c r="A1120" s="2" t="s">
        <v>2413</v>
      </c>
      <c r="B1120" s="2" t="s">
        <v>2413</v>
      </c>
      <c r="C1120" s="2" t="s">
        <v>42</v>
      </c>
      <c r="D1120" s="2" t="s">
        <v>17</v>
      </c>
      <c r="E1120" s="5">
        <v>-28185</v>
      </c>
      <c r="F1120" s="3" t="s">
        <v>933</v>
      </c>
      <c r="G1120" s="3" t="s">
        <v>35</v>
      </c>
      <c r="H1120" s="2" t="s">
        <v>20</v>
      </c>
      <c r="I1120" s="2" t="s">
        <v>2417</v>
      </c>
      <c r="J1120" s="3" t="str">
        <f>HYPERLINK("https://www.boe.es/gazeta/dias/1822/10/30/pdfs/GMD-1822-317.pdf#page=2","Abrir facsímil")</f>
        <v>Abrir facsímil</v>
      </c>
      <c r="K1120" s="3" t="s">
        <v>22</v>
      </c>
    </row>
    <row r="1121" spans="1:11" ht="42" customHeight="1">
      <c r="A1121" s="2" t="s">
        <v>2418</v>
      </c>
      <c r="B1121" s="2" t="s">
        <v>2419</v>
      </c>
      <c r="C1121" s="2" t="s">
        <v>28</v>
      </c>
      <c r="D1121" s="2" t="s">
        <v>29</v>
      </c>
      <c r="E1121" s="5">
        <v>-28436</v>
      </c>
      <c r="F1121" s="3" t="s">
        <v>431</v>
      </c>
      <c r="G1121" s="3" t="s">
        <v>57</v>
      </c>
      <c r="H1121" s="2" t="s">
        <v>20</v>
      </c>
      <c r="I1121" s="2" t="s">
        <v>2420</v>
      </c>
      <c r="J1121" s="3" t="str">
        <f>HYPERLINK("https://www.boe.es/gazeta/dias/1822/02/21/pdfs/GMD-1822-53.pdf#page=4","Abrir facsímil")</f>
        <v>Abrir facsímil</v>
      </c>
      <c r="K1121" s="3" t="s">
        <v>22</v>
      </c>
    </row>
    <row r="1122" spans="1:11" ht="42" customHeight="1">
      <c r="A1122" s="2" t="s">
        <v>2421</v>
      </c>
      <c r="B1122" s="2" t="s">
        <v>2422</v>
      </c>
      <c r="C1122" s="2" t="s">
        <v>16</v>
      </c>
      <c r="D1122" s="2" t="s">
        <v>17</v>
      </c>
      <c r="E1122" s="5">
        <v>-28427</v>
      </c>
      <c r="F1122" s="3" t="s">
        <v>755</v>
      </c>
      <c r="G1122" s="3" t="s">
        <v>35</v>
      </c>
      <c r="H1122" s="2" t="s">
        <v>20</v>
      </c>
      <c r="I1122" s="2" t="s">
        <v>2423</v>
      </c>
      <c r="J1122" s="3" t="str">
        <f>HYPERLINK("https://www.boe.es/gazeta/dias/1822/03/02/pdfs/GMD-1822-63.pdf#page=2","Abrir facsímil")</f>
        <v>Abrir facsímil</v>
      </c>
      <c r="K1122" s="3" t="s">
        <v>22</v>
      </c>
    </row>
    <row r="1123" spans="1:11" ht="42" customHeight="1">
      <c r="A1123" s="2" t="s">
        <v>2424</v>
      </c>
      <c r="B1123" s="2" t="s">
        <v>2424</v>
      </c>
      <c r="C1123" s="2" t="s">
        <v>71</v>
      </c>
      <c r="D1123" s="2" t="s">
        <v>17</v>
      </c>
      <c r="E1123" s="5">
        <v>-28415</v>
      </c>
      <c r="F1123" s="3" t="s">
        <v>77</v>
      </c>
      <c r="G1123" s="3" t="s">
        <v>35</v>
      </c>
      <c r="H1123" s="2" t="s">
        <v>20</v>
      </c>
      <c r="I1123" s="2" t="s">
        <v>2425</v>
      </c>
      <c r="J1123" s="3" t="str">
        <f>HYPERLINK("https://www.boe.es/gazeta/dias/1822/03/14/pdfs/GMD-1822-75.pdf#page=2","Abrir facsímil")</f>
        <v>Abrir facsímil</v>
      </c>
      <c r="K1123" s="3" t="s">
        <v>22</v>
      </c>
    </row>
    <row r="1124" spans="1:11" ht="42" customHeight="1">
      <c r="A1124" s="2" t="s">
        <v>2424</v>
      </c>
      <c r="B1124" s="2" t="s">
        <v>2424</v>
      </c>
      <c r="C1124" s="2" t="s">
        <v>42</v>
      </c>
      <c r="D1124" s="2" t="s">
        <v>17</v>
      </c>
      <c r="E1124" s="5">
        <v>-28307</v>
      </c>
      <c r="F1124" s="3" t="s">
        <v>555</v>
      </c>
      <c r="G1124" s="3" t="s">
        <v>871</v>
      </c>
      <c r="H1124" s="2" t="s">
        <v>20</v>
      </c>
      <c r="I1124" s="2" t="s">
        <v>2426</v>
      </c>
      <c r="J1124" s="3" t="str">
        <f>HYPERLINK("https://www.boe.es/gazeta/dias/1822/06/30/pdfs/GMD-1822-188.pdf#page=4","Abrir facsímil")</f>
        <v>Abrir facsímil</v>
      </c>
      <c r="K1124" s="3" t="s">
        <v>22</v>
      </c>
    </row>
    <row r="1125" spans="1:11" ht="42" customHeight="1">
      <c r="A1125" s="2" t="s">
        <v>2424</v>
      </c>
      <c r="B1125" s="2" t="s">
        <v>2424</v>
      </c>
      <c r="C1125" s="2" t="s">
        <v>50</v>
      </c>
      <c r="D1125" s="2" t="s">
        <v>51</v>
      </c>
      <c r="E1125" s="5">
        <v>-28149</v>
      </c>
      <c r="F1125" s="3" t="s">
        <v>1322</v>
      </c>
      <c r="G1125" s="3" t="s">
        <v>31</v>
      </c>
      <c r="H1125" s="2" t="s">
        <v>20</v>
      </c>
      <c r="I1125" s="2" t="s">
        <v>2427</v>
      </c>
      <c r="J1125" s="3" t="str">
        <f>HYPERLINK("https://www.boe.es/gazeta/dias/1822/12/05/pdfs/GMD-1822-355.pdf#page=3","Abrir facsímil")</f>
        <v>Abrir facsímil</v>
      </c>
      <c r="K1125" s="3" t="s">
        <v>22</v>
      </c>
    </row>
    <row r="1126" spans="1:11" ht="42" customHeight="1">
      <c r="A1126" s="2" t="s">
        <v>2428</v>
      </c>
      <c r="B1126" s="2" t="s">
        <v>2429</v>
      </c>
      <c r="C1126" s="2" t="s">
        <v>16</v>
      </c>
      <c r="D1126" s="2" t="s">
        <v>17</v>
      </c>
      <c r="E1126" s="5">
        <v>-28409</v>
      </c>
      <c r="F1126" s="3" t="s">
        <v>394</v>
      </c>
      <c r="G1126" s="3" t="s">
        <v>57</v>
      </c>
      <c r="H1126" s="2" t="s">
        <v>45</v>
      </c>
      <c r="I1126" s="2" t="s">
        <v>2430</v>
      </c>
      <c r="J1126" s="3" t="str">
        <f>HYPERLINK("https://www.boe.es/gazeta/dias/1822/03/20/pdfs/GMD-1822-81.pdf#page=4","Abrir facsímil")</f>
        <v>Abrir facsímil</v>
      </c>
      <c r="K1126" s="3" t="s">
        <v>47</v>
      </c>
    </row>
    <row r="1127" spans="1:11" ht="42" customHeight="1">
      <c r="A1127" s="2" t="s">
        <v>2431</v>
      </c>
      <c r="B1127" s="2" t="s">
        <v>2431</v>
      </c>
      <c r="C1127" s="2" t="s">
        <v>28</v>
      </c>
      <c r="D1127" s="2" t="s">
        <v>29</v>
      </c>
      <c r="E1127" s="5">
        <v>-28411</v>
      </c>
      <c r="F1127" s="3" t="s">
        <v>1509</v>
      </c>
      <c r="G1127" s="3" t="s">
        <v>31</v>
      </c>
      <c r="H1127" s="2" t="s">
        <v>20</v>
      </c>
      <c r="I1127" s="2" t="s">
        <v>2432</v>
      </c>
      <c r="J1127" s="3" t="str">
        <f>HYPERLINK("https://www.boe.es/gazeta/dias/1822/03/18/pdfs/GMD-1822-79.pdf#page=3","Abrir facsímil")</f>
        <v>Abrir facsímil</v>
      </c>
      <c r="K1127" s="3" t="s">
        <v>22</v>
      </c>
    </row>
    <row r="1128" spans="1:11" ht="42" customHeight="1">
      <c r="A1128" s="2" t="s">
        <v>2431</v>
      </c>
      <c r="B1128" s="2" t="s">
        <v>2431</v>
      </c>
      <c r="C1128" s="2" t="s">
        <v>24</v>
      </c>
      <c r="D1128" s="2" t="s">
        <v>17</v>
      </c>
      <c r="E1128" s="5">
        <v>-28385</v>
      </c>
      <c r="F1128" s="3" t="s">
        <v>484</v>
      </c>
      <c r="G1128" s="3" t="s">
        <v>19</v>
      </c>
      <c r="H1128" s="2" t="s">
        <v>20</v>
      </c>
      <c r="I1128" s="2" t="s">
        <v>2433</v>
      </c>
      <c r="J1128" s="3" t="str">
        <f>HYPERLINK("https://www.boe.es/gazeta/dias/1822/04/13/pdfs/GMD-1822-105.pdf#page=5","Abrir facsímil")</f>
        <v>Abrir facsímil</v>
      </c>
      <c r="K1128" s="3" t="s">
        <v>22</v>
      </c>
    </row>
    <row r="1129" spans="1:11" ht="42" customHeight="1">
      <c r="A1129" s="2" t="s">
        <v>2431</v>
      </c>
      <c r="B1129" s="2" t="s">
        <v>2431</v>
      </c>
      <c r="C1129" s="2" t="s">
        <v>42</v>
      </c>
      <c r="D1129" s="2" t="s">
        <v>17</v>
      </c>
      <c r="E1129" s="5">
        <v>-28337</v>
      </c>
      <c r="F1129" s="3" t="s">
        <v>1836</v>
      </c>
      <c r="G1129" s="3" t="s">
        <v>19</v>
      </c>
      <c r="H1129" s="2" t="s">
        <v>20</v>
      </c>
      <c r="I1129" s="2" t="s">
        <v>2434</v>
      </c>
      <c r="J1129" s="3" t="str">
        <f>HYPERLINK("https://www.boe.es/gazeta/dias/1822/05/31/pdfs/GMD-1822-156.pdf#page=5","Abrir facsímil")</f>
        <v>Abrir facsímil</v>
      </c>
      <c r="K1129" s="3" t="s">
        <v>22</v>
      </c>
    </row>
    <row r="1130" spans="1:11" ht="42" customHeight="1">
      <c r="A1130" s="2" t="s">
        <v>2431</v>
      </c>
      <c r="B1130" s="2" t="s">
        <v>2431</v>
      </c>
      <c r="C1130" s="2" t="s">
        <v>71</v>
      </c>
      <c r="D1130" s="2" t="s">
        <v>17</v>
      </c>
      <c r="E1130" s="5">
        <v>-28331</v>
      </c>
      <c r="F1130" s="3" t="s">
        <v>537</v>
      </c>
      <c r="G1130" s="3" t="s">
        <v>31</v>
      </c>
      <c r="H1130" s="2" t="s">
        <v>20</v>
      </c>
      <c r="I1130" s="2" t="s">
        <v>2435</v>
      </c>
      <c r="J1130" s="3" t="str">
        <f>HYPERLINK("https://www.boe.es/gazeta/dias/1822/06/06/pdfs/GMD-1822-163.pdf#page=3","Abrir facsímil")</f>
        <v>Abrir facsímil</v>
      </c>
      <c r="K1130" s="3" t="s">
        <v>22</v>
      </c>
    </row>
    <row r="1131" spans="1:11" ht="42" customHeight="1">
      <c r="A1131" s="2" t="s">
        <v>2431</v>
      </c>
      <c r="B1131" s="2" t="s">
        <v>2431</v>
      </c>
      <c r="C1131" s="2" t="s">
        <v>28</v>
      </c>
      <c r="D1131" s="2" t="s">
        <v>29</v>
      </c>
      <c r="E1131" s="5">
        <v>-28176</v>
      </c>
      <c r="F1131" s="3" t="s">
        <v>780</v>
      </c>
      <c r="G1131" s="3" t="s">
        <v>35</v>
      </c>
      <c r="H1131" s="2" t="s">
        <v>20</v>
      </c>
      <c r="I1131" s="2" t="s">
        <v>2436</v>
      </c>
      <c r="J1131" s="3" t="str">
        <f>HYPERLINK("https://www.boe.es/gazeta/dias/1822/11/08/pdfs/GMD-1822-328.pdf#page=2","Abrir facsímil")</f>
        <v>Abrir facsímil</v>
      </c>
      <c r="K1131" s="3" t="s">
        <v>22</v>
      </c>
    </row>
    <row r="1132" spans="1:11" ht="42" customHeight="1">
      <c r="A1132" s="2" t="s">
        <v>2437</v>
      </c>
      <c r="B1132" s="2" t="s">
        <v>2438</v>
      </c>
      <c r="C1132" s="2" t="s">
        <v>71</v>
      </c>
      <c r="D1132" s="2" t="s">
        <v>17</v>
      </c>
      <c r="E1132" s="5">
        <v>-28336</v>
      </c>
      <c r="F1132" s="3" t="s">
        <v>156</v>
      </c>
      <c r="G1132" s="3" t="s">
        <v>529</v>
      </c>
      <c r="H1132" s="2" t="s">
        <v>20</v>
      </c>
      <c r="I1132" s="2" t="s">
        <v>2439</v>
      </c>
      <c r="J1132" s="3" t="str">
        <f>HYPERLINK("https://www.boe.es/gazeta/dias/1822/06/01/pdfs/GMD-1822-157.pdf#page=4","Abrir facsímil")</f>
        <v>Abrir facsímil</v>
      </c>
      <c r="K1132" s="3" t="s">
        <v>22</v>
      </c>
    </row>
    <row r="1133" spans="1:11" ht="42" customHeight="1">
      <c r="A1133" s="2" t="s">
        <v>2440</v>
      </c>
      <c r="B1133" s="2" t="s">
        <v>2441</v>
      </c>
      <c r="C1133" s="2" t="s">
        <v>28</v>
      </c>
      <c r="D1133" s="2" t="s">
        <v>29</v>
      </c>
      <c r="E1133" s="5">
        <v>-28418</v>
      </c>
      <c r="F1133" s="3" t="s">
        <v>205</v>
      </c>
      <c r="G1133" s="3" t="s">
        <v>57</v>
      </c>
      <c r="H1133" s="2" t="s">
        <v>20</v>
      </c>
      <c r="I1133" s="2" t="s">
        <v>2442</v>
      </c>
      <c r="J1133" s="3" t="str">
        <f>HYPERLINK("https://www.boe.es/gazeta/dias/1822/03/11/pdfs/GMD-1822-72.pdf#page=4","Abrir facsímil")</f>
        <v>Abrir facsímil</v>
      </c>
      <c r="K1133" s="3" t="s">
        <v>22</v>
      </c>
    </row>
    <row r="1134" spans="1:11" ht="42" customHeight="1">
      <c r="A1134" s="2" t="s">
        <v>2443</v>
      </c>
      <c r="B1134" s="2" t="s">
        <v>2443</v>
      </c>
      <c r="C1134" s="2" t="s">
        <v>16</v>
      </c>
      <c r="D1134" s="2" t="s">
        <v>17</v>
      </c>
      <c r="E1134" s="5">
        <v>-28422</v>
      </c>
      <c r="F1134" s="3" t="s">
        <v>416</v>
      </c>
      <c r="G1134" s="3" t="s">
        <v>57</v>
      </c>
      <c r="H1134" s="2" t="s">
        <v>20</v>
      </c>
      <c r="I1134" s="2" t="s">
        <v>2444</v>
      </c>
      <c r="J1134" s="3" t="str">
        <f>HYPERLINK("https://www.boe.es/gazeta/dias/1822/03/07/pdfs/GMD-1822-68.pdf#page=4","Abrir facsímil")</f>
        <v>Abrir facsímil</v>
      </c>
      <c r="K1134" s="3" t="s">
        <v>22</v>
      </c>
    </row>
    <row r="1135" spans="1:11" ht="42" customHeight="1">
      <c r="A1135" s="2" t="s">
        <v>2445</v>
      </c>
      <c r="B1135" s="2" t="s">
        <v>2445</v>
      </c>
      <c r="C1135" s="2" t="s">
        <v>42</v>
      </c>
      <c r="D1135" s="2" t="s">
        <v>17</v>
      </c>
      <c r="E1135" s="5">
        <v>-28191</v>
      </c>
      <c r="F1135" s="3" t="s">
        <v>710</v>
      </c>
      <c r="G1135" s="3" t="s">
        <v>31</v>
      </c>
      <c r="H1135" s="2" t="s">
        <v>20</v>
      </c>
      <c r="I1135" s="2" t="s">
        <v>2446</v>
      </c>
      <c r="J1135" s="3" t="str">
        <f>HYPERLINK("https://www.boe.es/gazeta/dias/1822/10/24/pdfs/GMD-1822-311.pdf#page=3","Abrir facsímil")</f>
        <v>Abrir facsímil</v>
      </c>
      <c r="K1135" s="3" t="s">
        <v>22</v>
      </c>
    </row>
    <row r="1136" spans="1:11" ht="42" customHeight="1">
      <c r="A1136" s="2" t="s">
        <v>2447</v>
      </c>
      <c r="B1136" s="2" t="s">
        <v>2448</v>
      </c>
      <c r="C1136" s="2" t="s">
        <v>28</v>
      </c>
      <c r="D1136" s="2" t="s">
        <v>29</v>
      </c>
      <c r="E1136" s="5">
        <v>-28468</v>
      </c>
      <c r="F1136" s="3" t="s">
        <v>1012</v>
      </c>
      <c r="G1136" s="3" t="s">
        <v>44</v>
      </c>
      <c r="H1136" s="2" t="s">
        <v>20</v>
      </c>
      <c r="I1136" s="2" t="s">
        <v>2449</v>
      </c>
      <c r="J1136" s="3" t="str">
        <f>HYPERLINK("https://www.boe.es/gazeta/dias/1822/01/20/pdfs/GMD-1822-20.pdf#page=1","Abrir facsímil")</f>
        <v>Abrir facsímil</v>
      </c>
      <c r="K1136" s="3" t="s">
        <v>22</v>
      </c>
    </row>
    <row r="1137" spans="1:11" ht="42" customHeight="1">
      <c r="A1137" s="2" t="s">
        <v>2450</v>
      </c>
      <c r="B1137" s="2" t="s">
        <v>2450</v>
      </c>
      <c r="C1137" s="2" t="s">
        <v>50</v>
      </c>
      <c r="D1137" s="2" t="s">
        <v>51</v>
      </c>
      <c r="E1137" s="5">
        <v>-28163</v>
      </c>
      <c r="F1137" s="3" t="s">
        <v>891</v>
      </c>
      <c r="G1137" s="3" t="s">
        <v>19</v>
      </c>
      <c r="H1137" s="2" t="s">
        <v>20</v>
      </c>
      <c r="I1137" s="2" t="s">
        <v>2451</v>
      </c>
      <c r="J1137" s="3" t="str">
        <f>HYPERLINK("https://www.boe.es/gazeta/dias/1822/11/21/pdfs/GMD-1822-341.pdf#page=5","Abrir facsímil")</f>
        <v>Abrir facsímil</v>
      </c>
      <c r="K1137" s="3" t="s">
        <v>22</v>
      </c>
    </row>
    <row r="1138" spans="1:11" ht="42" customHeight="1">
      <c r="A1138" s="2" t="s">
        <v>2452</v>
      </c>
      <c r="B1138" s="2" t="s">
        <v>2452</v>
      </c>
      <c r="C1138" s="2" t="s">
        <v>42</v>
      </c>
      <c r="D1138" s="2" t="s">
        <v>17</v>
      </c>
      <c r="E1138" s="5">
        <v>-28191</v>
      </c>
      <c r="F1138" s="3" t="s">
        <v>710</v>
      </c>
      <c r="G1138" s="3" t="s">
        <v>31</v>
      </c>
      <c r="H1138" s="2" t="s">
        <v>20</v>
      </c>
      <c r="I1138" s="2" t="s">
        <v>2453</v>
      </c>
      <c r="J1138" s="3" t="str">
        <f>HYPERLINK("https://www.boe.es/gazeta/dias/1822/10/24/pdfs/GMD-1822-311.pdf#page=3","Abrir facsímil")</f>
        <v>Abrir facsímil</v>
      </c>
      <c r="K1138" s="3" t="s">
        <v>22</v>
      </c>
    </row>
    <row r="1139" spans="1:11" ht="42" customHeight="1">
      <c r="A1139" s="2" t="s">
        <v>2454</v>
      </c>
      <c r="B1139" s="2" t="s">
        <v>2455</v>
      </c>
      <c r="C1139" s="2" t="s">
        <v>50</v>
      </c>
      <c r="D1139" s="2" t="s">
        <v>51</v>
      </c>
      <c r="E1139" s="5">
        <v>-28363</v>
      </c>
      <c r="F1139" s="3" t="s">
        <v>72</v>
      </c>
      <c r="G1139" s="3" t="s">
        <v>44</v>
      </c>
      <c r="H1139" s="2" t="s">
        <v>20</v>
      </c>
      <c r="I1139" s="2" t="s">
        <v>2456</v>
      </c>
      <c r="J1139" s="3" t="str">
        <f>HYPERLINK("https://www.boe.es/gazeta/dias/1822/05/05/pdfs/GMD-1822-127.pdf#page=1","Abrir facsímil")</f>
        <v>Abrir facsímil</v>
      </c>
      <c r="K1139" s="3" t="s">
        <v>22</v>
      </c>
    </row>
    <row r="1140" spans="1:11" ht="42" customHeight="1">
      <c r="A1140" s="2" t="s">
        <v>2457</v>
      </c>
      <c r="B1140" s="2" t="s">
        <v>2458</v>
      </c>
      <c r="C1140" s="2" t="s">
        <v>362</v>
      </c>
      <c r="D1140" s="2" t="s">
        <v>17</v>
      </c>
      <c r="E1140" s="5">
        <v>-28311</v>
      </c>
      <c r="F1140" s="3" t="s">
        <v>736</v>
      </c>
      <c r="G1140" s="3" t="s">
        <v>157</v>
      </c>
      <c r="H1140" s="2" t="s">
        <v>20</v>
      </c>
      <c r="I1140" s="2" t="s">
        <v>2459</v>
      </c>
      <c r="J1140" s="3" t="str">
        <f>HYPERLINK("https://www.boe.es/gazeta/dias/1822/06/26/pdfs/GMD-1822-184.pdf#page=8","Abrir facsímil")</f>
        <v>Abrir facsímil</v>
      </c>
      <c r="K1140" s="3" t="s">
        <v>22</v>
      </c>
    </row>
    <row r="1141" spans="1:11" ht="42" customHeight="1">
      <c r="A1141" s="2" t="s">
        <v>2460</v>
      </c>
      <c r="B1141" s="2" t="s">
        <v>2460</v>
      </c>
      <c r="C1141" s="2" t="s">
        <v>16</v>
      </c>
      <c r="D1141" s="2" t="s">
        <v>17</v>
      </c>
      <c r="E1141" s="5">
        <v>-28291</v>
      </c>
      <c r="F1141" s="3" t="s">
        <v>363</v>
      </c>
      <c r="G1141" s="3" t="s">
        <v>57</v>
      </c>
      <c r="H1141" s="2" t="s">
        <v>20</v>
      </c>
      <c r="I1141" s="2" t="s">
        <v>2461</v>
      </c>
      <c r="J1141" s="3" t="str">
        <f>HYPERLINK("https://www.boe.es/gazeta/dias/1822/07/16/pdfs/GMD-1822-206.pdf#page=4","Abrir facsímil")</f>
        <v>Abrir facsímil</v>
      </c>
      <c r="K1141" s="3" t="s">
        <v>22</v>
      </c>
    </row>
    <row r="1142" spans="1:11" ht="42" customHeight="1">
      <c r="A1142" s="2" t="s">
        <v>2462</v>
      </c>
      <c r="B1142" s="2" t="s">
        <v>2463</v>
      </c>
      <c r="C1142" s="2" t="s">
        <v>28</v>
      </c>
      <c r="D1142" s="2" t="s">
        <v>29</v>
      </c>
      <c r="E1142" s="5">
        <v>-28208</v>
      </c>
      <c r="F1142" s="3" t="s">
        <v>230</v>
      </c>
      <c r="G1142" s="3" t="s">
        <v>57</v>
      </c>
      <c r="H1142" s="2" t="s">
        <v>45</v>
      </c>
      <c r="I1142" s="2" t="s">
        <v>2464</v>
      </c>
      <c r="J1142" s="3" t="str">
        <f>HYPERLINK("https://www.boe.es/gazeta/dias/1822/10/07/pdfs/GMD-1822-293.pdf#page=4","Abrir facsímil")</f>
        <v>Abrir facsímil</v>
      </c>
      <c r="K1142" s="3" t="s">
        <v>47</v>
      </c>
    </row>
    <row r="1143" spans="1:11" ht="42" customHeight="1">
      <c r="A1143" s="2" t="s">
        <v>2465</v>
      </c>
      <c r="B1143" s="2" t="s">
        <v>2466</v>
      </c>
      <c r="C1143" s="2" t="s">
        <v>61</v>
      </c>
      <c r="D1143" s="2" t="s">
        <v>17</v>
      </c>
      <c r="E1143" s="5">
        <v>-28293</v>
      </c>
      <c r="F1143" s="3" t="s">
        <v>152</v>
      </c>
      <c r="G1143" s="3" t="s">
        <v>57</v>
      </c>
      <c r="H1143" s="2" t="s">
        <v>20</v>
      </c>
      <c r="I1143" s="2" t="s">
        <v>2467</v>
      </c>
      <c r="J1143" s="3" t="str">
        <f>HYPERLINK("https://www.boe.es/gazeta/dias/1822/07/14/pdfs/GMD-1822-204.pdf#page=4","Abrir facsímil")</f>
        <v>Abrir facsímil</v>
      </c>
      <c r="K1143" s="3" t="s">
        <v>22</v>
      </c>
    </row>
    <row r="1144" spans="1:11" ht="42" customHeight="1">
      <c r="A1144" s="2" t="s">
        <v>2468</v>
      </c>
      <c r="B1144" s="2" t="s">
        <v>2469</v>
      </c>
      <c r="C1144" s="2" t="s">
        <v>50</v>
      </c>
      <c r="D1144" s="2" t="s">
        <v>51</v>
      </c>
      <c r="E1144" s="5">
        <v>-28411</v>
      </c>
      <c r="F1144" s="3" t="s">
        <v>1509</v>
      </c>
      <c r="G1144" s="3" t="s">
        <v>35</v>
      </c>
      <c r="H1144" s="2" t="s">
        <v>20</v>
      </c>
      <c r="I1144" s="2" t="s">
        <v>2470</v>
      </c>
      <c r="J1144" s="3" t="str">
        <f>HYPERLINK("https://www.boe.es/gazeta/dias/1822/03/18/pdfs/GMD-1822-79.pdf#page=2","Abrir facsímil")</f>
        <v>Abrir facsímil</v>
      </c>
      <c r="K1144" s="3" t="s">
        <v>22</v>
      </c>
    </row>
    <row r="1145" spans="1:11" ht="42" customHeight="1">
      <c r="A1145" s="2" t="s">
        <v>2471</v>
      </c>
      <c r="B1145" s="2" t="s">
        <v>2472</v>
      </c>
      <c r="C1145" s="2" t="s">
        <v>50</v>
      </c>
      <c r="D1145" s="2" t="s">
        <v>51</v>
      </c>
      <c r="E1145" s="5">
        <v>-28318</v>
      </c>
      <c r="F1145" s="3" t="s">
        <v>397</v>
      </c>
      <c r="G1145" s="3" t="s">
        <v>157</v>
      </c>
      <c r="H1145" s="2" t="s">
        <v>20</v>
      </c>
      <c r="I1145" s="2" t="s">
        <v>2473</v>
      </c>
      <c r="J1145" s="3" t="str">
        <f>HYPERLINK("https://www.boe.es/gazeta/dias/1822/06/19/pdfs/GMD-1822-176.pdf#page=8","Abrir facsímil")</f>
        <v>Abrir facsímil</v>
      </c>
      <c r="K1145" s="3" t="s">
        <v>22</v>
      </c>
    </row>
    <row r="1146" spans="1:11" ht="42" customHeight="1">
      <c r="A1146" s="2" t="s">
        <v>2474</v>
      </c>
      <c r="B1146" s="2" t="s">
        <v>2475</v>
      </c>
      <c r="C1146" s="2" t="s">
        <v>16</v>
      </c>
      <c r="D1146" s="2" t="s">
        <v>17</v>
      </c>
      <c r="E1146" s="5">
        <v>-28160</v>
      </c>
      <c r="F1146" s="3" t="s">
        <v>148</v>
      </c>
      <c r="G1146" s="3" t="s">
        <v>19</v>
      </c>
      <c r="H1146" s="2" t="s">
        <v>20</v>
      </c>
      <c r="I1146" s="2" t="s">
        <v>2476</v>
      </c>
      <c r="J1146" s="3" t="str">
        <f>HYPERLINK("https://www.boe.es/gazeta/dias/1822/11/24/pdfs/GMD-1822-344.pdf#page=5","Abrir facsímil")</f>
        <v>Abrir facsímil</v>
      </c>
      <c r="K1146" s="3" t="s">
        <v>22</v>
      </c>
    </row>
    <row r="1147" spans="1:11" ht="42" customHeight="1">
      <c r="A1147" s="2" t="s">
        <v>2477</v>
      </c>
      <c r="B1147" s="2" t="s">
        <v>2478</v>
      </c>
      <c r="C1147" s="2" t="s">
        <v>28</v>
      </c>
      <c r="D1147" s="2" t="s">
        <v>29</v>
      </c>
      <c r="E1147" s="5">
        <v>-28136</v>
      </c>
      <c r="F1147" s="3" t="s">
        <v>948</v>
      </c>
      <c r="G1147" s="3" t="s">
        <v>63</v>
      </c>
      <c r="H1147" s="2" t="s">
        <v>20</v>
      </c>
      <c r="I1147" s="2" t="s">
        <v>2479</v>
      </c>
      <c r="J1147" s="3" t="str">
        <f>HYPERLINK("https://www.boe.es/gazeta/dias/1822/12/18/pdfs/GMD-1822-368.pdf#page=6","Abrir facsímil")</f>
        <v>Abrir facsímil</v>
      </c>
      <c r="K1147" s="3" t="s">
        <v>22</v>
      </c>
    </row>
    <row r="1148" spans="1:11" ht="42" customHeight="1">
      <c r="A1148" s="2" t="s">
        <v>2480</v>
      </c>
      <c r="B1148" s="2" t="s">
        <v>2481</v>
      </c>
      <c r="C1148" s="2" t="s">
        <v>50</v>
      </c>
      <c r="D1148" s="2" t="s">
        <v>51</v>
      </c>
      <c r="E1148" s="5">
        <v>-28222</v>
      </c>
      <c r="F1148" s="3" t="s">
        <v>2027</v>
      </c>
      <c r="G1148" s="3" t="s">
        <v>57</v>
      </c>
      <c r="H1148" s="2" t="s">
        <v>20</v>
      </c>
      <c r="I1148" s="2" t="s">
        <v>2482</v>
      </c>
      <c r="J1148" s="3" t="str">
        <f>HYPERLINK("https://www.boe.es/gazeta/dias/1822/09/23/pdfs/GMD-1822-279.pdf#page=4","Abrir facsímil")</f>
        <v>Abrir facsímil</v>
      </c>
      <c r="K1148" s="3" t="s">
        <v>22</v>
      </c>
    </row>
    <row r="1149" spans="1:11" ht="42" customHeight="1">
      <c r="A1149" s="2" t="s">
        <v>2483</v>
      </c>
      <c r="B1149" s="2" t="s">
        <v>2484</v>
      </c>
      <c r="C1149" s="2" t="s">
        <v>50</v>
      </c>
      <c r="D1149" s="2" t="s">
        <v>51</v>
      </c>
      <c r="E1149" s="5">
        <v>-28317</v>
      </c>
      <c r="F1149" s="3" t="s">
        <v>546</v>
      </c>
      <c r="G1149" s="3" t="s">
        <v>157</v>
      </c>
      <c r="H1149" s="2" t="s">
        <v>20</v>
      </c>
      <c r="I1149" s="2" t="s">
        <v>2485</v>
      </c>
      <c r="J1149" s="3" t="str">
        <f>HYPERLINK("https://www.boe.es/gazeta/dias/1822/06/20/pdfs/GMD-1822-177.pdf#page=8","Abrir facsímil")</f>
        <v>Abrir facsímil</v>
      </c>
      <c r="K1149" s="3" t="s">
        <v>22</v>
      </c>
    </row>
    <row r="1150" spans="1:11" ht="42" customHeight="1">
      <c r="A1150" s="2" t="s">
        <v>2486</v>
      </c>
      <c r="B1150" s="2" t="s">
        <v>2487</v>
      </c>
      <c r="C1150" s="2" t="s">
        <v>71</v>
      </c>
      <c r="D1150" s="2" t="s">
        <v>17</v>
      </c>
      <c r="E1150" s="5">
        <v>-28144</v>
      </c>
      <c r="F1150" s="3" t="s">
        <v>288</v>
      </c>
      <c r="G1150" s="3" t="s">
        <v>63</v>
      </c>
      <c r="H1150" s="2" t="s">
        <v>20</v>
      </c>
      <c r="I1150" s="2" t="s">
        <v>2488</v>
      </c>
      <c r="J1150" s="3" t="str">
        <f>HYPERLINK("https://www.boe.es/gazeta/dias/1822/12/10/pdfs/GMD-1822-360.pdf#page=6","Abrir facsímil")</f>
        <v>Abrir facsímil</v>
      </c>
      <c r="K1150" s="3" t="s">
        <v>22</v>
      </c>
    </row>
    <row r="1151" spans="1:11" ht="42" customHeight="1">
      <c r="A1151" s="2" t="s">
        <v>2489</v>
      </c>
      <c r="B1151" s="2" t="s">
        <v>2490</v>
      </c>
      <c r="C1151" s="2" t="s">
        <v>50</v>
      </c>
      <c r="D1151" s="2" t="s">
        <v>51</v>
      </c>
      <c r="E1151" s="5">
        <v>-28154</v>
      </c>
      <c r="F1151" s="3" t="s">
        <v>2321</v>
      </c>
      <c r="G1151" s="3" t="s">
        <v>31</v>
      </c>
      <c r="H1151" s="2" t="s">
        <v>20</v>
      </c>
      <c r="I1151" s="2" t="s">
        <v>2491</v>
      </c>
      <c r="J1151" s="3" t="str">
        <f>HYPERLINK("https://www.boe.es/gazeta/dias/1822/11/30/pdfs/GMD-1822-350.pdf#page=3","Abrir facsímil")</f>
        <v>Abrir facsímil</v>
      </c>
      <c r="K1151" s="3" t="s">
        <v>22</v>
      </c>
    </row>
    <row r="1152" spans="1:11" ht="42" customHeight="1">
      <c r="A1152" s="2" t="s">
        <v>2492</v>
      </c>
      <c r="B1152" s="2" t="s">
        <v>2493</v>
      </c>
      <c r="C1152" s="2" t="s">
        <v>24</v>
      </c>
      <c r="D1152" s="2" t="s">
        <v>17</v>
      </c>
      <c r="E1152" s="5">
        <v>-28154</v>
      </c>
      <c r="F1152" s="3" t="s">
        <v>2321</v>
      </c>
      <c r="G1152" s="3" t="s">
        <v>31</v>
      </c>
      <c r="H1152" s="2" t="s">
        <v>20</v>
      </c>
      <c r="I1152" s="2" t="s">
        <v>2494</v>
      </c>
      <c r="J1152" s="3" t="str">
        <f>HYPERLINK("https://www.boe.es/gazeta/dias/1822/11/30/pdfs/GMD-1822-350.pdf#page=3","Abrir facsímil")</f>
        <v>Abrir facsímil</v>
      </c>
      <c r="K1152" s="3" t="s">
        <v>22</v>
      </c>
    </row>
    <row r="1153" spans="1:11" ht="42" customHeight="1">
      <c r="A1153" s="2" t="s">
        <v>2495</v>
      </c>
      <c r="B1153" s="2" t="s">
        <v>2496</v>
      </c>
      <c r="C1153" s="2" t="s">
        <v>50</v>
      </c>
      <c r="D1153" s="2" t="s">
        <v>51</v>
      </c>
      <c r="E1153" s="5">
        <v>-28461</v>
      </c>
      <c r="F1153" s="3" t="s">
        <v>1801</v>
      </c>
      <c r="G1153" s="3" t="s">
        <v>35</v>
      </c>
      <c r="H1153" s="2" t="s">
        <v>20</v>
      </c>
      <c r="I1153" s="2" t="s">
        <v>2497</v>
      </c>
      <c r="J1153" s="3" t="str">
        <f>HYPERLINK("https://www.boe.es/gazeta/dias/1822/01/27/pdfs/GMD-1822-27.pdf#page=2","Abrir facsímil")</f>
        <v>Abrir facsímil</v>
      </c>
      <c r="K1153" s="3" t="s">
        <v>22</v>
      </c>
    </row>
    <row r="1154" spans="1:11" ht="42" customHeight="1">
      <c r="A1154" s="2" t="s">
        <v>2498</v>
      </c>
      <c r="B1154" s="2" t="s">
        <v>2499</v>
      </c>
      <c r="C1154" s="2" t="s">
        <v>50</v>
      </c>
      <c r="D1154" s="2" t="s">
        <v>51</v>
      </c>
      <c r="E1154" s="5">
        <v>-28219</v>
      </c>
      <c r="F1154" s="3" t="s">
        <v>1082</v>
      </c>
      <c r="G1154" s="3" t="s">
        <v>31</v>
      </c>
      <c r="H1154" s="2" t="s">
        <v>45</v>
      </c>
      <c r="I1154" s="2" t="s">
        <v>2500</v>
      </c>
      <c r="J1154" s="3" t="str">
        <f>HYPERLINK("https://www.boe.es/gazeta/dias/1822/09/26/pdfs/GMD-1822-282.pdf#page=3","Abrir facsímil")</f>
        <v>Abrir facsímil</v>
      </c>
      <c r="K1154" s="3" t="s">
        <v>47</v>
      </c>
    </row>
    <row r="1155" spans="1:11" ht="42" customHeight="1">
      <c r="A1155" s="2" t="s">
        <v>2501</v>
      </c>
      <c r="B1155" s="2" t="s">
        <v>2502</v>
      </c>
      <c r="C1155" s="2" t="s">
        <v>42</v>
      </c>
      <c r="D1155" s="2" t="s">
        <v>17</v>
      </c>
      <c r="E1155" s="5">
        <v>-28391</v>
      </c>
      <c r="F1155" s="3" t="s">
        <v>378</v>
      </c>
      <c r="G1155" s="3" t="s">
        <v>63</v>
      </c>
      <c r="H1155" s="2" t="s">
        <v>20</v>
      </c>
      <c r="I1155" s="2" t="s">
        <v>2503</v>
      </c>
      <c r="J1155" s="3" t="str">
        <f>HYPERLINK("https://www.boe.es/gazeta/dias/1822/04/07/pdfs/GMD-1822-99.pdf#page=6","Abrir facsímil")</f>
        <v>Abrir facsímil</v>
      </c>
      <c r="K1155" s="3" t="s">
        <v>22</v>
      </c>
    </row>
    <row r="1156" spans="1:11" ht="42" customHeight="1">
      <c r="A1156" s="2" t="s">
        <v>2501</v>
      </c>
      <c r="B1156" s="2" t="s">
        <v>2502</v>
      </c>
      <c r="C1156" s="2" t="s">
        <v>28</v>
      </c>
      <c r="D1156" s="2" t="s">
        <v>29</v>
      </c>
      <c r="E1156" s="5">
        <v>-28379</v>
      </c>
      <c r="F1156" s="3" t="s">
        <v>494</v>
      </c>
      <c r="G1156" s="3" t="s">
        <v>63</v>
      </c>
      <c r="H1156" s="2" t="s">
        <v>20</v>
      </c>
      <c r="I1156" s="2" t="s">
        <v>2504</v>
      </c>
      <c r="J1156" s="3" t="str">
        <f>HYPERLINK("https://www.boe.es/gazeta/dias/1822/04/19/pdfs/GMD-1822-111.pdf#page=6","Abrir facsímil")</f>
        <v>Abrir facsímil</v>
      </c>
      <c r="K1156" s="3" t="s">
        <v>22</v>
      </c>
    </row>
    <row r="1157" spans="1:11" ht="42" customHeight="1">
      <c r="A1157" s="2" t="s">
        <v>2501</v>
      </c>
      <c r="B1157" s="2" t="s">
        <v>2502</v>
      </c>
      <c r="C1157" s="2" t="s">
        <v>50</v>
      </c>
      <c r="D1157" s="2" t="s">
        <v>51</v>
      </c>
      <c r="E1157" s="5">
        <v>-28345</v>
      </c>
      <c r="F1157" s="3" t="s">
        <v>294</v>
      </c>
      <c r="G1157" s="3" t="s">
        <v>63</v>
      </c>
      <c r="H1157" s="2" t="s">
        <v>20</v>
      </c>
      <c r="I1157" s="2" t="s">
        <v>2505</v>
      </c>
      <c r="J1157" s="3" t="str">
        <f>HYPERLINK("https://www.boe.es/gazeta/dias/1822/05/23/pdfs/GMD-1822-147.pdf#page=6","Abrir facsímil")</f>
        <v>Abrir facsímil</v>
      </c>
      <c r="K1157" s="3" t="s">
        <v>22</v>
      </c>
    </row>
    <row r="1158" spans="1:11" ht="42" customHeight="1">
      <c r="A1158" s="2" t="s">
        <v>2501</v>
      </c>
      <c r="B1158" s="2" t="s">
        <v>2502</v>
      </c>
      <c r="C1158" s="2" t="s">
        <v>28</v>
      </c>
      <c r="D1158" s="2" t="s">
        <v>29</v>
      </c>
      <c r="E1158" s="5">
        <v>-28235</v>
      </c>
      <c r="F1158" s="3" t="s">
        <v>1470</v>
      </c>
      <c r="G1158" s="3" t="s">
        <v>57</v>
      </c>
      <c r="H1158" s="2" t="s">
        <v>20</v>
      </c>
      <c r="I1158" s="2" t="s">
        <v>2506</v>
      </c>
      <c r="J1158" s="3" t="str">
        <f>HYPERLINK("https://www.boe.es/gazeta/dias/1822/09/10/pdfs/GMD-1822-266.pdf#page=4","Abrir facsímil")</f>
        <v>Abrir facsímil</v>
      </c>
      <c r="K1158" s="3" t="s">
        <v>22</v>
      </c>
    </row>
    <row r="1159" spans="1:11" ht="42" customHeight="1">
      <c r="A1159" s="2" t="s">
        <v>2501</v>
      </c>
      <c r="B1159" s="2" t="s">
        <v>2502</v>
      </c>
      <c r="C1159" s="2" t="s">
        <v>42</v>
      </c>
      <c r="D1159" s="2" t="s">
        <v>17</v>
      </c>
      <c r="E1159" s="5">
        <v>-28131</v>
      </c>
      <c r="F1159" s="3" t="s">
        <v>893</v>
      </c>
      <c r="G1159" s="3" t="s">
        <v>991</v>
      </c>
      <c r="H1159" s="2" t="s">
        <v>20</v>
      </c>
      <c r="I1159" s="2" t="s">
        <v>2507</v>
      </c>
      <c r="J1159" s="3" t="str">
        <f>HYPERLINK("https://www.boe.es/gazeta/dias/1822/12/23/pdfs/GMD-1822-373.pdf#page=6","Abrir facsímil")</f>
        <v>Abrir facsímil</v>
      </c>
      <c r="K1159" s="3" t="s">
        <v>22</v>
      </c>
    </row>
    <row r="1160" spans="1:11" ht="42" customHeight="1">
      <c r="A1160" s="2" t="s">
        <v>2508</v>
      </c>
      <c r="B1160" s="2" t="s">
        <v>2509</v>
      </c>
      <c r="C1160" s="2" t="s">
        <v>50</v>
      </c>
      <c r="D1160" s="2" t="s">
        <v>51</v>
      </c>
      <c r="E1160" s="5">
        <v>-28375</v>
      </c>
      <c r="F1160" s="3" t="s">
        <v>2035</v>
      </c>
      <c r="G1160" s="3" t="s">
        <v>57</v>
      </c>
      <c r="H1160" s="2" t="s">
        <v>20</v>
      </c>
      <c r="I1160" s="2" t="s">
        <v>2510</v>
      </c>
      <c r="J1160" s="3" t="str">
        <f>HYPERLINK("https://www.boe.es/gazeta/dias/1822/04/23/pdfs/GMD-1822-115.pdf#page=4","Abrir facsímil")</f>
        <v>Abrir facsímil</v>
      </c>
      <c r="K1160" s="3" t="s">
        <v>22</v>
      </c>
    </row>
    <row r="1161" spans="1:11" ht="42" customHeight="1">
      <c r="A1161" s="2" t="s">
        <v>2508</v>
      </c>
      <c r="B1161" s="2" t="s">
        <v>2509</v>
      </c>
      <c r="C1161" s="2" t="s">
        <v>50</v>
      </c>
      <c r="D1161" s="2" t="s">
        <v>51</v>
      </c>
      <c r="E1161" s="5">
        <v>-28330</v>
      </c>
      <c r="F1161" s="3" t="s">
        <v>896</v>
      </c>
      <c r="G1161" s="3" t="s">
        <v>57</v>
      </c>
      <c r="H1161" s="2" t="s">
        <v>20</v>
      </c>
      <c r="I1161" s="2" t="s">
        <v>2511</v>
      </c>
      <c r="J1161" s="3" t="str">
        <f>HYPERLINK("https://www.boe.es/gazeta/dias/1822/06/07/pdfs/GMD-1822-164.pdf#page=4","Abrir facsímil")</f>
        <v>Abrir facsímil</v>
      </c>
      <c r="K1161" s="3" t="s">
        <v>22</v>
      </c>
    </row>
    <row r="1162" spans="1:11" ht="42" customHeight="1">
      <c r="A1162" s="2" t="s">
        <v>2508</v>
      </c>
      <c r="B1162" s="2" t="s">
        <v>2509</v>
      </c>
      <c r="C1162" s="2" t="s">
        <v>28</v>
      </c>
      <c r="D1162" s="2" t="s">
        <v>29</v>
      </c>
      <c r="E1162" s="5">
        <v>-28170</v>
      </c>
      <c r="F1162" s="3" t="s">
        <v>1457</v>
      </c>
      <c r="G1162" s="3" t="s">
        <v>63</v>
      </c>
      <c r="H1162" s="2" t="s">
        <v>20</v>
      </c>
      <c r="I1162" s="2" t="s">
        <v>2512</v>
      </c>
      <c r="J1162" s="3" t="str">
        <f>HYPERLINK("https://www.boe.es/gazeta/dias/1822/11/14/pdfs/GMD-1822-334.pdf#page=6","Abrir facsímil")</f>
        <v>Abrir facsímil</v>
      </c>
      <c r="K1162" s="3" t="s">
        <v>22</v>
      </c>
    </row>
    <row r="1163" spans="1:11" ht="42" customHeight="1">
      <c r="A1163" s="2" t="s">
        <v>2513</v>
      </c>
      <c r="B1163" s="2" t="s">
        <v>2514</v>
      </c>
      <c r="C1163" s="2" t="s">
        <v>50</v>
      </c>
      <c r="D1163" s="2" t="s">
        <v>51</v>
      </c>
      <c r="E1163" s="5">
        <v>-28363</v>
      </c>
      <c r="F1163" s="3" t="s">
        <v>72</v>
      </c>
      <c r="G1163" s="3" t="s">
        <v>35</v>
      </c>
      <c r="H1163" s="2" t="s">
        <v>20</v>
      </c>
      <c r="I1163" s="2" t="s">
        <v>2515</v>
      </c>
      <c r="J1163" s="3" t="str">
        <f>HYPERLINK("https://www.boe.es/gazeta/dias/1822/05/05/pdfs/GMD-1822-127.pdf#page=2","Abrir facsímil")</f>
        <v>Abrir facsímil</v>
      </c>
      <c r="K1163" s="3" t="s">
        <v>22</v>
      </c>
    </row>
    <row r="1164" spans="1:11" ht="42" customHeight="1">
      <c r="A1164" s="2" t="s">
        <v>2516</v>
      </c>
      <c r="B1164" s="2" t="s">
        <v>2516</v>
      </c>
      <c r="C1164" s="2" t="s">
        <v>50</v>
      </c>
      <c r="D1164" s="2" t="s">
        <v>51</v>
      </c>
      <c r="E1164" s="5">
        <v>-28352</v>
      </c>
      <c r="F1164" s="3" t="s">
        <v>1575</v>
      </c>
      <c r="G1164" s="3" t="s">
        <v>63</v>
      </c>
      <c r="H1164" s="2" t="s">
        <v>20</v>
      </c>
      <c r="I1164" s="2" t="s">
        <v>2517</v>
      </c>
      <c r="J1164" s="3" t="str">
        <f>HYPERLINK("https://www.boe.es/gazeta/dias/1822/05/16/pdfs/GMD-1822-138.pdf#page=6","Abrir facsímil")</f>
        <v>Abrir facsímil</v>
      </c>
      <c r="K1164" s="3" t="s">
        <v>22</v>
      </c>
    </row>
    <row r="1165" spans="1:11" ht="42" customHeight="1">
      <c r="A1165" s="2" t="s">
        <v>2518</v>
      </c>
      <c r="B1165" s="2" t="s">
        <v>2519</v>
      </c>
      <c r="C1165" s="2" t="s">
        <v>50</v>
      </c>
      <c r="D1165" s="2" t="s">
        <v>51</v>
      </c>
      <c r="E1165" s="5">
        <v>-28190</v>
      </c>
      <c r="F1165" s="3" t="s">
        <v>576</v>
      </c>
      <c r="G1165" s="3" t="s">
        <v>63</v>
      </c>
      <c r="H1165" s="2" t="s">
        <v>20</v>
      </c>
      <c r="I1165" s="2" t="s">
        <v>2520</v>
      </c>
      <c r="J1165" s="3" t="str">
        <f>HYPERLINK("https://www.boe.es/gazeta/dias/1822/10/25/pdfs/GMD-1822-312.pdf#page=6","Abrir facsímil")</f>
        <v>Abrir facsímil</v>
      </c>
      <c r="K1165" s="3" t="s">
        <v>22</v>
      </c>
    </row>
    <row r="1166" spans="1:11" ht="42" customHeight="1">
      <c r="A1166" s="2" t="s">
        <v>2521</v>
      </c>
      <c r="B1166" s="2" t="s">
        <v>2522</v>
      </c>
      <c r="C1166" s="2" t="s">
        <v>42</v>
      </c>
      <c r="D1166" s="2" t="s">
        <v>17</v>
      </c>
      <c r="E1166" s="5">
        <v>-28352</v>
      </c>
      <c r="F1166" s="3" t="s">
        <v>1575</v>
      </c>
      <c r="G1166" s="3" t="s">
        <v>63</v>
      </c>
      <c r="H1166" s="2" t="s">
        <v>20</v>
      </c>
      <c r="I1166" s="2" t="s">
        <v>2523</v>
      </c>
      <c r="J1166" s="3" t="str">
        <f>HYPERLINK("https://www.boe.es/gazeta/dias/1822/05/16/pdfs/GMD-1822-138.pdf#page=6","Abrir facsímil")</f>
        <v>Abrir facsímil</v>
      </c>
      <c r="K1166" s="3" t="s">
        <v>22</v>
      </c>
    </row>
    <row r="1167" spans="1:11" ht="42" customHeight="1">
      <c r="A1167" s="2" t="s">
        <v>2524</v>
      </c>
      <c r="B1167" s="2" t="s">
        <v>2524</v>
      </c>
      <c r="C1167" s="2" t="s">
        <v>42</v>
      </c>
      <c r="D1167" s="2" t="s">
        <v>17</v>
      </c>
      <c r="E1167" s="5">
        <v>-28329</v>
      </c>
      <c r="F1167" s="3" t="s">
        <v>354</v>
      </c>
      <c r="G1167" s="3" t="s">
        <v>19</v>
      </c>
      <c r="H1167" s="2" t="s">
        <v>20</v>
      </c>
      <c r="I1167" s="2" t="s">
        <v>2525</v>
      </c>
      <c r="J1167" s="3" t="str">
        <f>HYPERLINK("https://www.boe.es/gazeta/dias/1822/06/08/pdfs/GMD-1822-165.pdf#page=5","Abrir facsímil")</f>
        <v>Abrir facsímil</v>
      </c>
      <c r="K1167" s="3" t="s">
        <v>22</v>
      </c>
    </row>
    <row r="1168" spans="1:11" ht="42" customHeight="1">
      <c r="A1168" s="2" t="s">
        <v>2526</v>
      </c>
      <c r="B1168" s="2" t="s">
        <v>2527</v>
      </c>
      <c r="C1168" s="2" t="s">
        <v>50</v>
      </c>
      <c r="D1168" s="2" t="s">
        <v>51</v>
      </c>
      <c r="E1168" s="5">
        <v>-28342</v>
      </c>
      <c r="F1168" s="3" t="s">
        <v>2281</v>
      </c>
      <c r="G1168" s="3" t="s">
        <v>31</v>
      </c>
      <c r="H1168" s="2" t="s">
        <v>20</v>
      </c>
      <c r="I1168" s="2" t="s">
        <v>2528</v>
      </c>
      <c r="J1168" s="3" t="str">
        <f>HYPERLINK("https://www.boe.es/gazeta/dias/1822/05/26/pdfs/GMD-1822-151.pdf#page=3","Abrir facsímil")</f>
        <v>Abrir facsímil</v>
      </c>
      <c r="K1168" s="3" t="s">
        <v>22</v>
      </c>
    </row>
    <row r="1169" spans="1:11" ht="42" customHeight="1">
      <c r="A1169" s="2" t="s">
        <v>2529</v>
      </c>
      <c r="B1169" s="2" t="s">
        <v>2530</v>
      </c>
      <c r="C1169" s="2" t="s">
        <v>42</v>
      </c>
      <c r="D1169" s="2" t="s">
        <v>17</v>
      </c>
      <c r="E1169" s="5">
        <v>-28228</v>
      </c>
      <c r="F1169" s="3" t="s">
        <v>718</v>
      </c>
      <c r="G1169" s="3" t="s">
        <v>719</v>
      </c>
      <c r="H1169" s="2" t="s">
        <v>20</v>
      </c>
      <c r="I1169" s="2" t="s">
        <v>2531</v>
      </c>
      <c r="J1169" s="3" t="str">
        <f>HYPERLINK("https://www.boe.es/gazeta/dias/1822/09/17/pdfs/GMD-1822-273.pdf#page=3","Abrir facsímil")</f>
        <v>Abrir facsímil</v>
      </c>
      <c r="K1169" s="3" t="s">
        <v>22</v>
      </c>
    </row>
    <row r="1170" spans="1:11" ht="42" customHeight="1">
      <c r="A1170" s="2" t="s">
        <v>2532</v>
      </c>
      <c r="B1170" s="2" t="s">
        <v>2532</v>
      </c>
      <c r="C1170" s="2" t="s">
        <v>1141</v>
      </c>
      <c r="D1170" s="2" t="s">
        <v>29</v>
      </c>
      <c r="E1170" s="5">
        <v>-28218</v>
      </c>
      <c r="F1170" s="3" t="s">
        <v>405</v>
      </c>
      <c r="G1170" s="3" t="s">
        <v>2533</v>
      </c>
      <c r="H1170" s="2" t="s">
        <v>20</v>
      </c>
      <c r="I1170" s="2" t="s">
        <v>2534</v>
      </c>
      <c r="J1170" s="3" t="str">
        <f>HYPERLINK("https://www.boe.es/gazeta/dias/1822/09/27/pdfs/GMD-1822-283.pdf#page=4","Abrir facsímil")</f>
        <v>Abrir facsímil</v>
      </c>
      <c r="K1170" s="3" t="s">
        <v>22</v>
      </c>
    </row>
    <row r="1171" spans="1:11" ht="42" customHeight="1">
      <c r="A1171" s="2" t="s">
        <v>2535</v>
      </c>
      <c r="B1171" s="2" t="s">
        <v>2536</v>
      </c>
      <c r="C1171" s="2" t="s">
        <v>28</v>
      </c>
      <c r="D1171" s="2" t="s">
        <v>29</v>
      </c>
      <c r="E1171" s="5">
        <v>-28427</v>
      </c>
      <c r="F1171" s="3" t="s">
        <v>755</v>
      </c>
      <c r="G1171" s="3" t="s">
        <v>57</v>
      </c>
      <c r="H1171" s="2" t="s">
        <v>20</v>
      </c>
      <c r="I1171" s="2" t="s">
        <v>2537</v>
      </c>
      <c r="J1171" s="3" t="str">
        <f>HYPERLINK("https://www.boe.es/gazeta/dias/1822/03/02/pdfs/GMD-1822-63.pdf#page=4","Abrir facsímil")</f>
        <v>Abrir facsímil</v>
      </c>
      <c r="K1171" s="3" t="s">
        <v>22</v>
      </c>
    </row>
    <row r="1172" spans="1:11" ht="42" customHeight="1">
      <c r="A1172" s="2" t="s">
        <v>2538</v>
      </c>
      <c r="B1172" s="2" t="s">
        <v>2539</v>
      </c>
      <c r="C1172" s="2" t="s">
        <v>24</v>
      </c>
      <c r="D1172" s="2" t="s">
        <v>17</v>
      </c>
      <c r="E1172" s="5">
        <v>-28450</v>
      </c>
      <c r="F1172" s="3" t="s">
        <v>1450</v>
      </c>
      <c r="G1172" s="3" t="s">
        <v>2247</v>
      </c>
      <c r="H1172" s="2" t="s">
        <v>20</v>
      </c>
      <c r="I1172" s="2" t="s">
        <v>2540</v>
      </c>
      <c r="J1172" s="3" t="str">
        <f>HYPERLINK("https://www.boe.es/gazeta/dias/1822/02/07/pdfs/GMD-1822-38.pdf#page=6","Abrir facsímil")</f>
        <v>Abrir facsímil</v>
      </c>
      <c r="K1172" s="3" t="s">
        <v>22</v>
      </c>
    </row>
    <row r="1173" spans="1:11" ht="42" customHeight="1">
      <c r="A1173" s="2" t="s">
        <v>2541</v>
      </c>
      <c r="B1173" s="2" t="s">
        <v>2542</v>
      </c>
      <c r="C1173" s="2" t="s">
        <v>50</v>
      </c>
      <c r="D1173" s="2" t="s">
        <v>51</v>
      </c>
      <c r="E1173" s="5">
        <v>-28303</v>
      </c>
      <c r="F1173" s="3" t="s">
        <v>201</v>
      </c>
      <c r="G1173" s="3" t="s">
        <v>31</v>
      </c>
      <c r="H1173" s="2" t="s">
        <v>20</v>
      </c>
      <c r="I1173" s="2" t="s">
        <v>2543</v>
      </c>
      <c r="J1173" s="3" t="str">
        <f>HYPERLINK("https://www.boe.es/gazeta/dias/1822/07/04/pdfs/GMD-1822-193.pdf#page=3","Abrir facsímil")</f>
        <v>Abrir facsímil</v>
      </c>
      <c r="K1173" s="3" t="s">
        <v>22</v>
      </c>
    </row>
    <row r="1174" spans="1:11" ht="42" customHeight="1">
      <c r="A1174" s="2" t="s">
        <v>2544</v>
      </c>
      <c r="B1174" s="2" t="s">
        <v>2545</v>
      </c>
      <c r="C1174" s="2" t="s">
        <v>50</v>
      </c>
      <c r="D1174" s="2" t="s">
        <v>51</v>
      </c>
      <c r="E1174" s="5">
        <v>-28451</v>
      </c>
      <c r="F1174" s="3" t="s">
        <v>1674</v>
      </c>
      <c r="G1174" s="3" t="s">
        <v>63</v>
      </c>
      <c r="H1174" s="2" t="s">
        <v>20</v>
      </c>
      <c r="I1174" s="2" t="s">
        <v>2546</v>
      </c>
      <c r="J1174" s="3" t="str">
        <f>HYPERLINK("https://www.boe.es/gazeta/dias/1822/02/06/pdfs/GMD-1822-37.pdf#page=6","Abrir facsímil")</f>
        <v>Abrir facsímil</v>
      </c>
      <c r="K1174" s="3" t="s">
        <v>22</v>
      </c>
    </row>
    <row r="1175" spans="1:11" ht="42" customHeight="1">
      <c r="A1175" s="2" t="s">
        <v>2547</v>
      </c>
      <c r="B1175" s="2" t="s">
        <v>2548</v>
      </c>
      <c r="C1175" s="2" t="s">
        <v>61</v>
      </c>
      <c r="D1175" s="2" t="s">
        <v>17</v>
      </c>
      <c r="E1175" s="5">
        <v>-28427</v>
      </c>
      <c r="F1175" s="3" t="s">
        <v>755</v>
      </c>
      <c r="G1175" s="3" t="s">
        <v>57</v>
      </c>
      <c r="H1175" s="2" t="s">
        <v>20</v>
      </c>
      <c r="I1175" s="2" t="s">
        <v>2549</v>
      </c>
      <c r="J1175" s="3" t="str">
        <f>HYPERLINK("https://www.boe.es/gazeta/dias/1822/03/02/pdfs/GMD-1822-63.pdf#page=4","Abrir facsímil")</f>
        <v>Abrir facsímil</v>
      </c>
      <c r="K1175" s="3" t="s">
        <v>22</v>
      </c>
    </row>
    <row r="1176" spans="1:11" ht="42" customHeight="1">
      <c r="A1176" s="2" t="s">
        <v>2550</v>
      </c>
      <c r="B1176" s="2" t="s">
        <v>2550</v>
      </c>
      <c r="C1176" s="2" t="s">
        <v>42</v>
      </c>
      <c r="D1176" s="2" t="s">
        <v>17</v>
      </c>
      <c r="E1176" s="5">
        <v>-28191</v>
      </c>
      <c r="F1176" s="3" t="s">
        <v>710</v>
      </c>
      <c r="G1176" s="3" t="s">
        <v>31</v>
      </c>
      <c r="H1176" s="2" t="s">
        <v>20</v>
      </c>
      <c r="I1176" s="2" t="s">
        <v>2551</v>
      </c>
      <c r="J1176" s="3" t="str">
        <f>HYPERLINK("https://www.boe.es/gazeta/dias/1822/10/24/pdfs/GMD-1822-311.pdf#page=3","Abrir facsímil")</f>
        <v>Abrir facsímil</v>
      </c>
      <c r="K1176" s="3" t="s">
        <v>22</v>
      </c>
    </row>
    <row r="1177" spans="1:11" ht="42" customHeight="1">
      <c r="A1177" s="2" t="s">
        <v>2552</v>
      </c>
      <c r="B1177" s="2" t="s">
        <v>2553</v>
      </c>
      <c r="C1177" s="2" t="s">
        <v>28</v>
      </c>
      <c r="D1177" s="2" t="s">
        <v>29</v>
      </c>
      <c r="E1177" s="5">
        <v>-28398</v>
      </c>
      <c r="F1177" s="3" t="s">
        <v>1961</v>
      </c>
      <c r="G1177" s="3" t="s">
        <v>35</v>
      </c>
      <c r="H1177" s="2" t="s">
        <v>20</v>
      </c>
      <c r="I1177" s="2" t="s">
        <v>2554</v>
      </c>
      <c r="J1177" s="3" t="str">
        <f>HYPERLINK("https://www.boe.es/gazeta/dias/1822/03/31/pdfs/GMD-1822-92.pdf#page=2","Abrir facsímil")</f>
        <v>Abrir facsímil</v>
      </c>
      <c r="K1177" s="3" t="s">
        <v>22</v>
      </c>
    </row>
    <row r="1178" spans="1:11" ht="42" customHeight="1">
      <c r="A1178" s="2" t="s">
        <v>2555</v>
      </c>
      <c r="B1178" s="2" t="s">
        <v>2555</v>
      </c>
      <c r="C1178" s="2" t="s">
        <v>50</v>
      </c>
      <c r="D1178" s="2" t="s">
        <v>51</v>
      </c>
      <c r="E1178" s="5">
        <v>-28417</v>
      </c>
      <c r="F1178" s="3" t="s">
        <v>1394</v>
      </c>
      <c r="G1178" s="3" t="s">
        <v>31</v>
      </c>
      <c r="H1178" s="2" t="s">
        <v>20</v>
      </c>
      <c r="I1178" s="2" t="s">
        <v>2556</v>
      </c>
      <c r="J1178" s="3" t="str">
        <f>HYPERLINK("https://www.boe.es/gazeta/dias/1822/03/12/pdfs/GMD-1822-73.pdf#page=3","Abrir facsímil")</f>
        <v>Abrir facsímil</v>
      </c>
      <c r="K1178" s="3" t="s">
        <v>22</v>
      </c>
    </row>
    <row r="1179" spans="1:11" ht="42" customHeight="1">
      <c r="A1179" s="2" t="s">
        <v>2557</v>
      </c>
      <c r="B1179" s="2" t="s">
        <v>2557</v>
      </c>
      <c r="C1179" s="2" t="s">
        <v>71</v>
      </c>
      <c r="D1179" s="2" t="s">
        <v>17</v>
      </c>
      <c r="E1179" s="5">
        <v>-28337</v>
      </c>
      <c r="F1179" s="3" t="s">
        <v>1836</v>
      </c>
      <c r="G1179" s="3" t="s">
        <v>19</v>
      </c>
      <c r="H1179" s="2" t="s">
        <v>20</v>
      </c>
      <c r="I1179" s="2" t="s">
        <v>2558</v>
      </c>
      <c r="J1179" s="3" t="str">
        <f>HYPERLINK("https://www.boe.es/gazeta/dias/1822/05/31/pdfs/GMD-1822-156.pdf#page=5","Abrir facsímil")</f>
        <v>Abrir facsímil</v>
      </c>
      <c r="K1179" s="3" t="s">
        <v>22</v>
      </c>
    </row>
    <row r="1180" spans="1:11" ht="42" customHeight="1">
      <c r="A1180" s="2" t="s">
        <v>2559</v>
      </c>
      <c r="B1180" s="2" t="s">
        <v>2560</v>
      </c>
      <c r="C1180" s="2" t="s">
        <v>50</v>
      </c>
      <c r="D1180" s="2" t="s">
        <v>51</v>
      </c>
      <c r="E1180" s="5">
        <v>-28408</v>
      </c>
      <c r="F1180" s="3" t="s">
        <v>2561</v>
      </c>
      <c r="G1180" s="3" t="s">
        <v>63</v>
      </c>
      <c r="H1180" s="2" t="s">
        <v>20</v>
      </c>
      <c r="I1180" s="2" t="s">
        <v>2562</v>
      </c>
      <c r="J1180" s="3" t="str">
        <f>HYPERLINK("https://www.boe.es/gazeta/dias/1822/03/21/pdfs/GMD-1822-82.pdf#page=6","Abrir facsímil")</f>
        <v>Abrir facsímil</v>
      </c>
      <c r="K1180" s="3" t="s">
        <v>22</v>
      </c>
    </row>
    <row r="1181" spans="1:11" ht="42" customHeight="1">
      <c r="A1181" s="2" t="s">
        <v>2563</v>
      </c>
      <c r="B1181" s="2" t="s">
        <v>2564</v>
      </c>
      <c r="C1181" s="2" t="s">
        <v>50</v>
      </c>
      <c r="D1181" s="2" t="s">
        <v>51</v>
      </c>
      <c r="E1181" s="5">
        <v>-28290</v>
      </c>
      <c r="F1181" s="3" t="s">
        <v>706</v>
      </c>
      <c r="G1181" s="3" t="s">
        <v>57</v>
      </c>
      <c r="H1181" s="2" t="s">
        <v>20</v>
      </c>
      <c r="I1181" s="2" t="s">
        <v>2565</v>
      </c>
      <c r="J1181" s="3" t="str">
        <f>HYPERLINK("https://www.boe.es/gazeta/dias/1822/07/17/pdfs/GMD-1822-207.pdf#page=4","Abrir facsímil")</f>
        <v>Abrir facsímil</v>
      </c>
      <c r="K1181" s="3" t="s">
        <v>22</v>
      </c>
    </row>
    <row r="1182" spans="1:11" ht="42" customHeight="1">
      <c r="A1182" s="2" t="s">
        <v>2566</v>
      </c>
      <c r="B1182" s="2" t="s">
        <v>2566</v>
      </c>
      <c r="C1182" s="2" t="s">
        <v>28</v>
      </c>
      <c r="D1182" s="2" t="s">
        <v>29</v>
      </c>
      <c r="E1182" s="5">
        <v>-28370</v>
      </c>
      <c r="F1182" s="3" t="s">
        <v>207</v>
      </c>
      <c r="G1182" s="3" t="s">
        <v>19</v>
      </c>
      <c r="H1182" s="2" t="s">
        <v>20</v>
      </c>
      <c r="I1182" s="2" t="s">
        <v>2567</v>
      </c>
      <c r="J1182" s="3" t="str">
        <f>HYPERLINK("https://www.boe.es/gazeta/dias/1822/04/28/pdfs/GMD-1822-120.pdf#page=5","Abrir facsímil")</f>
        <v>Abrir facsímil</v>
      </c>
      <c r="K1182" s="3" t="s">
        <v>22</v>
      </c>
    </row>
    <row r="1183" spans="1:11" ht="42" customHeight="1">
      <c r="A1183" s="2" t="s">
        <v>2568</v>
      </c>
      <c r="B1183" s="2" t="s">
        <v>2568</v>
      </c>
      <c r="C1183" s="2" t="s">
        <v>50</v>
      </c>
      <c r="D1183" s="2" t="s">
        <v>51</v>
      </c>
      <c r="E1183" s="5">
        <v>-28202</v>
      </c>
      <c r="F1183" s="3" t="s">
        <v>922</v>
      </c>
      <c r="G1183" s="3" t="s">
        <v>19</v>
      </c>
      <c r="H1183" s="2" t="s">
        <v>20</v>
      </c>
      <c r="I1183" s="2" t="s">
        <v>2569</v>
      </c>
      <c r="J1183" s="3" t="str">
        <f>HYPERLINK("https://www.boe.es/gazeta/dias/1822/10/13/pdfs/GMD-1822-300.pdf#page=5","Abrir facsímil")</f>
        <v>Abrir facsímil</v>
      </c>
      <c r="K1183" s="3" t="s">
        <v>22</v>
      </c>
    </row>
    <row r="1184" spans="1:11" ht="42" customHeight="1">
      <c r="A1184" s="2" t="s">
        <v>2570</v>
      </c>
      <c r="B1184" s="2" t="s">
        <v>2570</v>
      </c>
      <c r="C1184" s="2" t="s">
        <v>50</v>
      </c>
      <c r="D1184" s="2" t="s">
        <v>51</v>
      </c>
      <c r="E1184" s="5">
        <v>-28169</v>
      </c>
      <c r="F1184" s="3" t="s">
        <v>2571</v>
      </c>
      <c r="G1184" s="3" t="s">
        <v>57</v>
      </c>
      <c r="H1184" s="2" t="s">
        <v>20</v>
      </c>
      <c r="I1184" s="2" t="s">
        <v>2572</v>
      </c>
      <c r="J1184" s="3" t="str">
        <f>HYPERLINK("https://www.boe.es/gazeta/dias/1822/11/15/pdfs/GMD-1822-335.pdf#page=4","Abrir facsímil")</f>
        <v>Abrir facsímil</v>
      </c>
      <c r="K1184" s="3" t="s">
        <v>22</v>
      </c>
    </row>
    <row r="1185" spans="1:11" ht="42" customHeight="1">
      <c r="A1185" s="2" t="s">
        <v>2573</v>
      </c>
      <c r="B1185" s="2" t="s">
        <v>2574</v>
      </c>
      <c r="C1185" s="2" t="s">
        <v>50</v>
      </c>
      <c r="D1185" s="2" t="s">
        <v>51</v>
      </c>
      <c r="E1185" s="5">
        <v>-28319</v>
      </c>
      <c r="F1185" s="3" t="s">
        <v>271</v>
      </c>
      <c r="G1185" s="3" t="s">
        <v>57</v>
      </c>
      <c r="H1185" s="2" t="s">
        <v>20</v>
      </c>
      <c r="I1185" s="2" t="s">
        <v>2575</v>
      </c>
      <c r="J1185" s="3" t="str">
        <f>HYPERLINK("https://www.boe.es/gazeta/dias/1822/06/18/pdfs/GMD-1822-175.pdf#page=4","Abrir facsímil")</f>
        <v>Abrir facsímil</v>
      </c>
      <c r="K1185" s="3" t="s">
        <v>22</v>
      </c>
    </row>
    <row r="1186" spans="1:11" ht="42" customHeight="1">
      <c r="A1186" s="2" t="s">
        <v>2576</v>
      </c>
      <c r="B1186" s="2" t="s">
        <v>2576</v>
      </c>
      <c r="C1186" s="2" t="s">
        <v>16</v>
      </c>
      <c r="D1186" s="2" t="s">
        <v>17</v>
      </c>
      <c r="E1186" s="5">
        <v>-28357</v>
      </c>
      <c r="F1186" s="3" t="s">
        <v>690</v>
      </c>
      <c r="G1186" s="3" t="s">
        <v>44</v>
      </c>
      <c r="H1186" s="2" t="s">
        <v>20</v>
      </c>
      <c r="I1186" s="2" t="s">
        <v>2577</v>
      </c>
      <c r="J1186" s="3" t="str">
        <f>HYPERLINK("https://www.boe.es/gazeta/dias/1822/05/11/pdfs/GMD-1822-133.pdf#page=1","Abrir facsímil")</f>
        <v>Abrir facsímil</v>
      </c>
      <c r="K1186" s="3" t="s">
        <v>22</v>
      </c>
    </row>
    <row r="1187" spans="1:11" ht="42" customHeight="1">
      <c r="A1187" s="2" t="s">
        <v>2578</v>
      </c>
      <c r="B1187" s="2" t="s">
        <v>2578</v>
      </c>
      <c r="C1187" s="2" t="s">
        <v>71</v>
      </c>
      <c r="D1187" s="2" t="s">
        <v>17</v>
      </c>
      <c r="E1187" s="5">
        <v>-28382</v>
      </c>
      <c r="F1187" s="3" t="s">
        <v>973</v>
      </c>
      <c r="G1187" s="3" t="s">
        <v>31</v>
      </c>
      <c r="H1187" s="2" t="s">
        <v>20</v>
      </c>
      <c r="I1187" s="2" t="s">
        <v>2579</v>
      </c>
      <c r="J1187" s="3" t="str">
        <f>HYPERLINK("https://www.boe.es/gazeta/dias/1822/04/16/pdfs/GMD-1822-108.pdf#page=3","Abrir facsímil")</f>
        <v>Abrir facsímil</v>
      </c>
      <c r="K1187" s="3" t="s">
        <v>22</v>
      </c>
    </row>
    <row r="1188" spans="1:11" ht="42" customHeight="1">
      <c r="A1188" s="2" t="s">
        <v>2580</v>
      </c>
      <c r="B1188" s="2" t="s">
        <v>2581</v>
      </c>
      <c r="C1188" s="2" t="s">
        <v>28</v>
      </c>
      <c r="D1188" s="2" t="s">
        <v>29</v>
      </c>
      <c r="E1188" s="5">
        <v>-28436</v>
      </c>
      <c r="F1188" s="3" t="s">
        <v>431</v>
      </c>
      <c r="G1188" s="3" t="s">
        <v>1428</v>
      </c>
      <c r="H1188" s="2" t="s">
        <v>20</v>
      </c>
      <c r="I1188" s="2" t="s">
        <v>2582</v>
      </c>
      <c r="J1188" s="3" t="str">
        <f>HYPERLINK("https://www.boe.es/gazeta/dias/1822/02/21/pdfs/GMD-1822-53.pdf#page=3","Abrir facsímil")</f>
        <v>Abrir facsímil</v>
      </c>
      <c r="K1188" s="3" t="s">
        <v>22</v>
      </c>
    </row>
    <row r="1189" spans="1:11" ht="42" customHeight="1">
      <c r="A1189" s="2" t="s">
        <v>2583</v>
      </c>
      <c r="B1189" s="2" t="s">
        <v>2583</v>
      </c>
      <c r="C1189" s="2" t="s">
        <v>24</v>
      </c>
      <c r="D1189" s="2" t="s">
        <v>17</v>
      </c>
      <c r="E1189" s="5">
        <v>-28384</v>
      </c>
      <c r="F1189" s="3" t="s">
        <v>258</v>
      </c>
      <c r="G1189" s="3" t="s">
        <v>31</v>
      </c>
      <c r="H1189" s="2" t="s">
        <v>20</v>
      </c>
      <c r="I1189" s="2" t="s">
        <v>2584</v>
      </c>
      <c r="J1189" s="3" t="str">
        <f>HYPERLINK("https://www.boe.es/gazeta/dias/1822/04/14/pdfs/GMD-1822-106.pdf#page=3","Abrir facsímil")</f>
        <v>Abrir facsímil</v>
      </c>
      <c r="K1189" s="3" t="s">
        <v>22</v>
      </c>
    </row>
    <row r="1190" spans="1:11" ht="42" customHeight="1">
      <c r="A1190" s="2" t="s">
        <v>2585</v>
      </c>
      <c r="B1190" s="2" t="s">
        <v>2586</v>
      </c>
      <c r="C1190" s="2" t="s">
        <v>42</v>
      </c>
      <c r="D1190" s="2" t="s">
        <v>17</v>
      </c>
      <c r="E1190" s="5">
        <v>-28381</v>
      </c>
      <c r="F1190" s="3" t="s">
        <v>358</v>
      </c>
      <c r="G1190" s="3" t="s">
        <v>63</v>
      </c>
      <c r="H1190" s="2" t="s">
        <v>20</v>
      </c>
      <c r="I1190" s="2" t="s">
        <v>2587</v>
      </c>
      <c r="J1190" s="3" t="str">
        <f>HYPERLINK("https://www.boe.es/gazeta/dias/1822/04/17/pdfs/GMD-1822-109.pdf#page=6","Abrir facsímil")</f>
        <v>Abrir facsímil</v>
      </c>
      <c r="K1190" s="3" t="s">
        <v>22</v>
      </c>
    </row>
    <row r="1191" spans="1:11" ht="42" customHeight="1">
      <c r="A1191" s="2" t="s">
        <v>2588</v>
      </c>
      <c r="B1191" s="2" t="s">
        <v>2589</v>
      </c>
      <c r="C1191" s="2" t="s">
        <v>42</v>
      </c>
      <c r="D1191" s="2" t="s">
        <v>17</v>
      </c>
      <c r="E1191" s="5">
        <v>-28277</v>
      </c>
      <c r="F1191" s="3" t="s">
        <v>296</v>
      </c>
      <c r="G1191" s="3" t="s">
        <v>63</v>
      </c>
      <c r="H1191" s="2" t="s">
        <v>20</v>
      </c>
      <c r="I1191" s="2" t="s">
        <v>2590</v>
      </c>
      <c r="J1191" s="3" t="str">
        <f>HYPERLINK("https://www.boe.es/gazeta/dias/1822/07/30/pdfs/GMD-1822-223.pdf#page=6","Abrir facsímil")</f>
        <v>Abrir facsímil</v>
      </c>
      <c r="K1191" s="3" t="s">
        <v>22</v>
      </c>
    </row>
    <row r="1192" spans="1:11" ht="42" customHeight="1">
      <c r="A1192" s="2" t="s">
        <v>2588</v>
      </c>
      <c r="B1192" s="2" t="s">
        <v>2589</v>
      </c>
      <c r="C1192" s="2" t="s">
        <v>42</v>
      </c>
      <c r="D1192" s="2" t="s">
        <v>17</v>
      </c>
      <c r="E1192" s="5">
        <v>-28221</v>
      </c>
      <c r="F1192" s="3" t="s">
        <v>2591</v>
      </c>
      <c r="G1192" s="3" t="s">
        <v>57</v>
      </c>
      <c r="H1192" s="2" t="s">
        <v>20</v>
      </c>
      <c r="I1192" s="2" t="s">
        <v>2592</v>
      </c>
      <c r="J1192" s="3" t="str">
        <f>HYPERLINK("https://www.boe.es/gazeta/dias/1822/09/24/pdfs/GMD-1822-280.pdf#page=4","Abrir facsímil")</f>
        <v>Abrir facsímil</v>
      </c>
      <c r="K1192" s="3" t="s">
        <v>22</v>
      </c>
    </row>
    <row r="1193" spans="1:11" ht="42" customHeight="1">
      <c r="A1193" s="2" t="s">
        <v>2593</v>
      </c>
      <c r="B1193" s="2" t="s">
        <v>2594</v>
      </c>
      <c r="C1193" s="2" t="s">
        <v>42</v>
      </c>
      <c r="D1193" s="2" t="s">
        <v>17</v>
      </c>
      <c r="E1193" s="5">
        <v>-28336</v>
      </c>
      <c r="F1193" s="3" t="s">
        <v>156</v>
      </c>
      <c r="G1193" s="3" t="s">
        <v>35</v>
      </c>
      <c r="H1193" s="2" t="s">
        <v>20</v>
      </c>
      <c r="I1193" s="2" t="s">
        <v>2595</v>
      </c>
      <c r="J1193" s="3" t="str">
        <f>HYPERLINK("https://www.boe.es/gazeta/dias/1822/06/01/pdfs/GMD-1822-157.pdf#page=2","Abrir facsímil")</f>
        <v>Abrir facsímil</v>
      </c>
      <c r="K1193" s="3" t="s">
        <v>22</v>
      </c>
    </row>
    <row r="1194" spans="1:11" ht="42" customHeight="1">
      <c r="A1194" s="2" t="s">
        <v>2596</v>
      </c>
      <c r="B1194" s="2" t="s">
        <v>2596</v>
      </c>
      <c r="C1194" s="2" t="s">
        <v>28</v>
      </c>
      <c r="D1194" s="2" t="s">
        <v>29</v>
      </c>
      <c r="E1194" s="5">
        <v>-28400</v>
      </c>
      <c r="F1194" s="3" t="s">
        <v>1937</v>
      </c>
      <c r="G1194" s="3" t="s">
        <v>2260</v>
      </c>
      <c r="H1194" s="2" t="s">
        <v>20</v>
      </c>
      <c r="I1194" s="2" t="s">
        <v>2597</v>
      </c>
      <c r="J1194" s="3" t="str">
        <f>HYPERLINK("https://www.boe.es/gazeta/dias/1822/03/29/pdfs/GMD-1822-90.pdf#page=4","Abrir facsímil")</f>
        <v>Abrir facsímil</v>
      </c>
      <c r="K1194" s="3" t="s">
        <v>22</v>
      </c>
    </row>
    <row r="1195" spans="1:11" ht="42" customHeight="1">
      <c r="A1195" s="2" t="s">
        <v>2598</v>
      </c>
      <c r="B1195" s="2" t="s">
        <v>2599</v>
      </c>
      <c r="C1195" s="2" t="s">
        <v>71</v>
      </c>
      <c r="D1195" s="2" t="s">
        <v>17</v>
      </c>
      <c r="E1195" s="5">
        <v>-28340</v>
      </c>
      <c r="F1195" s="3" t="s">
        <v>139</v>
      </c>
      <c r="G1195" s="3" t="s">
        <v>35</v>
      </c>
      <c r="H1195" s="2" t="s">
        <v>20</v>
      </c>
      <c r="I1195" s="2" t="s">
        <v>2600</v>
      </c>
      <c r="J1195" s="3" t="str">
        <f>HYPERLINK("https://www.boe.es/gazeta/dias/1822/05/28/pdfs/GMD-1822-153.pdf#page=2","Abrir facsímil")</f>
        <v>Abrir facsímil</v>
      </c>
      <c r="K1195" s="3" t="s">
        <v>22</v>
      </c>
    </row>
    <row r="1196" spans="1:11" ht="42" customHeight="1">
      <c r="A1196" s="2" t="s">
        <v>2601</v>
      </c>
      <c r="B1196" s="2" t="s">
        <v>2601</v>
      </c>
      <c r="C1196" s="2" t="s">
        <v>50</v>
      </c>
      <c r="D1196" s="2" t="s">
        <v>51</v>
      </c>
      <c r="E1196" s="5">
        <v>-28400</v>
      </c>
      <c r="F1196" s="3" t="s">
        <v>1937</v>
      </c>
      <c r="G1196" s="3" t="s">
        <v>2260</v>
      </c>
      <c r="H1196" s="2" t="s">
        <v>20</v>
      </c>
      <c r="I1196" s="2" t="s">
        <v>2602</v>
      </c>
      <c r="J1196" s="3" t="str">
        <f>HYPERLINK("https://www.boe.es/gazeta/dias/1822/03/29/pdfs/GMD-1822-90.pdf#page=4","Abrir facsímil")</f>
        <v>Abrir facsímil</v>
      </c>
      <c r="K1196" s="3" t="s">
        <v>22</v>
      </c>
    </row>
    <row r="1197" spans="1:11" ht="42" customHeight="1">
      <c r="A1197" s="2" t="s">
        <v>2603</v>
      </c>
      <c r="B1197" s="2" t="s">
        <v>2604</v>
      </c>
      <c r="C1197" s="2" t="s">
        <v>50</v>
      </c>
      <c r="D1197" s="2" t="s">
        <v>51</v>
      </c>
      <c r="E1197" s="5">
        <v>-28237</v>
      </c>
      <c r="F1197" s="3" t="s">
        <v>878</v>
      </c>
      <c r="G1197" s="3" t="s">
        <v>57</v>
      </c>
      <c r="H1197" s="2" t="s">
        <v>20</v>
      </c>
      <c r="I1197" s="2" t="s">
        <v>2605</v>
      </c>
      <c r="J1197" s="3" t="str">
        <f>HYPERLINK("https://www.boe.es/gazeta/dias/1822/09/08/pdfs/GMD-1822-264.pdf#page=4","Abrir facsímil")</f>
        <v>Abrir facsímil</v>
      </c>
      <c r="K1197" s="3" t="s">
        <v>22</v>
      </c>
    </row>
    <row r="1198" spans="1:11" ht="42" customHeight="1">
      <c r="A1198" s="2" t="s">
        <v>2606</v>
      </c>
      <c r="B1198" s="2" t="s">
        <v>2607</v>
      </c>
      <c r="C1198" s="2" t="s">
        <v>50</v>
      </c>
      <c r="D1198" s="2" t="s">
        <v>51</v>
      </c>
      <c r="E1198" s="5">
        <v>-28166</v>
      </c>
      <c r="F1198" s="3" t="s">
        <v>942</v>
      </c>
      <c r="G1198" s="3" t="s">
        <v>57</v>
      </c>
      <c r="H1198" s="2" t="s">
        <v>20</v>
      </c>
      <c r="I1198" s="2" t="s">
        <v>2608</v>
      </c>
      <c r="J1198" s="3" t="str">
        <f>HYPERLINK("https://www.boe.es/gazeta/dias/1822/11/18/pdfs/GMD-1822-338.pdf#page=4","Abrir facsímil")</f>
        <v>Abrir facsímil</v>
      </c>
      <c r="K1198" s="3" t="s">
        <v>22</v>
      </c>
    </row>
    <row r="1199" spans="1:11" ht="42" customHeight="1">
      <c r="A1199" s="2" t="s">
        <v>2609</v>
      </c>
      <c r="B1199" s="2" t="s">
        <v>2610</v>
      </c>
      <c r="C1199" s="2" t="s">
        <v>42</v>
      </c>
      <c r="D1199" s="2" t="s">
        <v>17</v>
      </c>
      <c r="E1199" s="5">
        <v>-28423</v>
      </c>
      <c r="F1199" s="3" t="s">
        <v>441</v>
      </c>
      <c r="G1199" s="3" t="s">
        <v>35</v>
      </c>
      <c r="H1199" s="2" t="s">
        <v>20</v>
      </c>
      <c r="I1199" s="2" t="s">
        <v>2611</v>
      </c>
      <c r="J1199" s="3" t="str">
        <f>HYPERLINK("https://www.boe.es/gazeta/dias/1822/03/06/pdfs/GMD-1822-67.pdf#page=2","Abrir facsímil")</f>
        <v>Abrir facsímil</v>
      </c>
      <c r="K1199" s="3" t="s">
        <v>22</v>
      </c>
    </row>
    <row r="1200" spans="1:11" ht="42" customHeight="1">
      <c r="A1200" s="2" t="s">
        <v>2609</v>
      </c>
      <c r="B1200" s="2" t="s">
        <v>2610</v>
      </c>
      <c r="C1200" s="2" t="s">
        <v>24</v>
      </c>
      <c r="D1200" s="2" t="s">
        <v>17</v>
      </c>
      <c r="E1200" s="5">
        <v>-28423</v>
      </c>
      <c r="F1200" s="3" t="s">
        <v>441</v>
      </c>
      <c r="G1200" s="3" t="s">
        <v>63</v>
      </c>
      <c r="H1200" s="2" t="s">
        <v>20</v>
      </c>
      <c r="I1200" s="2" t="s">
        <v>2612</v>
      </c>
      <c r="J1200" s="3" t="str">
        <f>HYPERLINK("https://www.boe.es/gazeta/dias/1822/03/06/pdfs/GMD-1822-67.pdf#page=6","Abrir facsímil")</f>
        <v>Abrir facsímil</v>
      </c>
      <c r="K1200" s="3" t="s">
        <v>22</v>
      </c>
    </row>
    <row r="1201" spans="1:11" ht="42" customHeight="1">
      <c r="A1201" s="2" t="s">
        <v>2609</v>
      </c>
      <c r="B1201" s="2" t="s">
        <v>2610</v>
      </c>
      <c r="C1201" s="2" t="s">
        <v>28</v>
      </c>
      <c r="D1201" s="2" t="s">
        <v>29</v>
      </c>
      <c r="E1201" s="5">
        <v>-28353</v>
      </c>
      <c r="F1201" s="3" t="s">
        <v>843</v>
      </c>
      <c r="G1201" s="3" t="s">
        <v>57</v>
      </c>
      <c r="H1201" s="2" t="s">
        <v>20</v>
      </c>
      <c r="I1201" s="2" t="s">
        <v>2613</v>
      </c>
      <c r="J1201" s="3" t="str">
        <f>HYPERLINK("https://www.boe.es/gazeta/dias/1822/05/15/pdfs/GMD-1822-137.pdf#page=4","Abrir facsímil")</f>
        <v>Abrir facsímil</v>
      </c>
      <c r="K1201" s="3" t="s">
        <v>22</v>
      </c>
    </row>
    <row r="1202" spans="1:11" ht="42" customHeight="1">
      <c r="A1202" s="2" t="s">
        <v>2609</v>
      </c>
      <c r="B1202" s="2" t="s">
        <v>2610</v>
      </c>
      <c r="C1202" s="2" t="s">
        <v>28</v>
      </c>
      <c r="D1202" s="2" t="s">
        <v>29</v>
      </c>
      <c r="E1202" s="5">
        <v>-28336</v>
      </c>
      <c r="F1202" s="3" t="s">
        <v>156</v>
      </c>
      <c r="G1202" s="3" t="s">
        <v>35</v>
      </c>
      <c r="H1202" s="2" t="s">
        <v>20</v>
      </c>
      <c r="I1202" s="2" t="s">
        <v>2614</v>
      </c>
      <c r="J1202" s="3" t="str">
        <f>HYPERLINK("https://www.boe.es/gazeta/dias/1822/06/01/pdfs/GMD-1822-157.pdf#page=2","Abrir facsímil")</f>
        <v>Abrir facsímil</v>
      </c>
      <c r="K1202" s="3" t="s">
        <v>22</v>
      </c>
    </row>
    <row r="1203" spans="1:11" ht="42" customHeight="1">
      <c r="A1203" s="2" t="s">
        <v>2615</v>
      </c>
      <c r="B1203" s="2" t="s">
        <v>2616</v>
      </c>
      <c r="C1203" s="2" t="s">
        <v>28</v>
      </c>
      <c r="D1203" s="2" t="s">
        <v>29</v>
      </c>
      <c r="E1203" s="5">
        <v>-28316</v>
      </c>
      <c r="F1203" s="3" t="s">
        <v>1144</v>
      </c>
      <c r="G1203" s="3" t="s">
        <v>35</v>
      </c>
      <c r="H1203" s="2" t="s">
        <v>20</v>
      </c>
      <c r="I1203" s="2" t="s">
        <v>2617</v>
      </c>
      <c r="J1203" s="3" t="str">
        <f>HYPERLINK("https://www.boe.es/gazeta/dias/1822/06/21/pdfs/GMD-1822-179.pdf#page=2","Abrir facsímil")</f>
        <v>Abrir facsímil</v>
      </c>
      <c r="K1203" s="3" t="s">
        <v>22</v>
      </c>
    </row>
    <row r="1204" spans="1:11" ht="42" customHeight="1">
      <c r="A1204" s="2" t="s">
        <v>2618</v>
      </c>
      <c r="B1204" s="2" t="s">
        <v>2619</v>
      </c>
      <c r="C1204" s="2" t="s">
        <v>42</v>
      </c>
      <c r="D1204" s="2" t="s">
        <v>17</v>
      </c>
      <c r="E1204" s="5">
        <v>-28324</v>
      </c>
      <c r="F1204" s="3" t="s">
        <v>305</v>
      </c>
      <c r="G1204" s="3" t="s">
        <v>19</v>
      </c>
      <c r="H1204" s="2" t="s">
        <v>20</v>
      </c>
      <c r="I1204" s="2" t="s">
        <v>2620</v>
      </c>
      <c r="J1204" s="3" t="str">
        <f>HYPERLINK("https://www.boe.es/gazeta/dias/1822/06/13/pdfs/GMD-1822-170.pdf#page=5","Abrir facsímil")</f>
        <v>Abrir facsímil</v>
      </c>
      <c r="K1204" s="3" t="s">
        <v>22</v>
      </c>
    </row>
    <row r="1205" spans="1:11" ht="42" customHeight="1">
      <c r="A1205" s="2" t="s">
        <v>2621</v>
      </c>
      <c r="B1205" s="2" t="s">
        <v>2621</v>
      </c>
      <c r="C1205" s="2" t="s">
        <v>50</v>
      </c>
      <c r="D1205" s="2" t="s">
        <v>51</v>
      </c>
      <c r="E1205" s="5">
        <v>-28217</v>
      </c>
      <c r="F1205" s="3" t="s">
        <v>1892</v>
      </c>
      <c r="G1205" s="3" t="s">
        <v>57</v>
      </c>
      <c r="H1205" s="2" t="s">
        <v>20</v>
      </c>
      <c r="I1205" s="2" t="s">
        <v>2622</v>
      </c>
      <c r="J1205" s="3" t="str">
        <f>HYPERLINK("https://www.boe.es/gazeta/dias/1822/09/28/pdfs/GMD-1822-284.pdf#page=4","Abrir facsímil")</f>
        <v>Abrir facsímil</v>
      </c>
      <c r="K1205" s="3" t="s">
        <v>22</v>
      </c>
    </row>
    <row r="1206" spans="1:11" ht="42" customHeight="1">
      <c r="A1206" s="2" t="s">
        <v>2623</v>
      </c>
      <c r="B1206" s="2" t="s">
        <v>2624</v>
      </c>
      <c r="C1206" s="2" t="s">
        <v>50</v>
      </c>
      <c r="D1206" s="2" t="s">
        <v>51</v>
      </c>
      <c r="E1206" s="5">
        <v>-28312</v>
      </c>
      <c r="F1206" s="3" t="s">
        <v>92</v>
      </c>
      <c r="G1206" s="3" t="s">
        <v>93</v>
      </c>
      <c r="H1206" s="2" t="s">
        <v>20</v>
      </c>
      <c r="I1206" s="2" t="s">
        <v>2625</v>
      </c>
      <c r="J1206" s="3" t="str">
        <f>HYPERLINK("https://www.boe.es/gazeta/dias/1822/06/25/pdfs/GMD-1822-183.pdf#page=4","Abrir facsímil")</f>
        <v>Abrir facsímil</v>
      </c>
      <c r="K1206" s="3" t="s">
        <v>22</v>
      </c>
    </row>
    <row r="1207" spans="1:11" ht="42" customHeight="1">
      <c r="A1207" s="2" t="s">
        <v>2626</v>
      </c>
      <c r="B1207" s="2" t="s">
        <v>2626</v>
      </c>
      <c r="C1207" s="2" t="s">
        <v>50</v>
      </c>
      <c r="D1207" s="2" t="s">
        <v>51</v>
      </c>
      <c r="E1207" s="5">
        <v>-28447</v>
      </c>
      <c r="F1207" s="3" t="s">
        <v>997</v>
      </c>
      <c r="G1207" s="3" t="s">
        <v>44</v>
      </c>
      <c r="H1207" s="2" t="s">
        <v>20</v>
      </c>
      <c r="I1207" s="2" t="s">
        <v>2627</v>
      </c>
      <c r="J1207" s="3" t="str">
        <f>HYPERLINK("https://www.boe.es/gazeta/dias/1822/02/10/pdfs/GMD-1822-41.pdf#page=1","Abrir facsímil")</f>
        <v>Abrir facsímil</v>
      </c>
      <c r="K1207" s="3" t="s">
        <v>22</v>
      </c>
    </row>
    <row r="1208" spans="1:11" ht="42" customHeight="1">
      <c r="A1208" s="2" t="s">
        <v>2628</v>
      </c>
      <c r="B1208" s="2" t="s">
        <v>2629</v>
      </c>
      <c r="C1208" s="2" t="s">
        <v>50</v>
      </c>
      <c r="D1208" s="2" t="s">
        <v>51</v>
      </c>
      <c r="E1208" s="5">
        <v>-28426</v>
      </c>
      <c r="F1208" s="3" t="s">
        <v>1178</v>
      </c>
      <c r="G1208" s="3" t="s">
        <v>35</v>
      </c>
      <c r="H1208" s="2" t="s">
        <v>20</v>
      </c>
      <c r="I1208" s="2" t="s">
        <v>2630</v>
      </c>
      <c r="J1208" s="3" t="str">
        <f>HYPERLINK("https://www.boe.es/gazeta/dias/1822/03/03/pdfs/GMD-1822-64.pdf#page=2","Abrir facsímil")</f>
        <v>Abrir facsímil</v>
      </c>
      <c r="K1208" s="3" t="s">
        <v>22</v>
      </c>
    </row>
    <row r="1209" spans="1:11" ht="42" customHeight="1">
      <c r="A1209" s="2" t="s">
        <v>2631</v>
      </c>
      <c r="B1209" s="2" t="s">
        <v>2632</v>
      </c>
      <c r="C1209" s="2" t="s">
        <v>362</v>
      </c>
      <c r="D1209" s="2" t="s">
        <v>17</v>
      </c>
      <c r="E1209" s="5">
        <v>-28375</v>
      </c>
      <c r="F1209" s="3" t="s">
        <v>2035</v>
      </c>
      <c r="G1209" s="3" t="s">
        <v>31</v>
      </c>
      <c r="H1209" s="2" t="s">
        <v>20</v>
      </c>
      <c r="I1209" s="2" t="s">
        <v>2633</v>
      </c>
      <c r="J1209" s="3" t="str">
        <f>HYPERLINK("https://www.boe.es/gazeta/dias/1822/04/23/pdfs/GMD-1822-115.pdf#page=3","Abrir facsímil")</f>
        <v>Abrir facsímil</v>
      </c>
      <c r="K1209" s="3" t="s">
        <v>22</v>
      </c>
    </row>
    <row r="1210" spans="1:11" ht="42" customHeight="1">
      <c r="A1210" s="2" t="s">
        <v>2634</v>
      </c>
      <c r="B1210" s="2" t="s">
        <v>2635</v>
      </c>
      <c r="C1210" s="2" t="s">
        <v>42</v>
      </c>
      <c r="D1210" s="2" t="s">
        <v>17</v>
      </c>
      <c r="E1210" s="5">
        <v>-28344</v>
      </c>
      <c r="F1210" s="3" t="s">
        <v>524</v>
      </c>
      <c r="G1210" s="3" t="s">
        <v>44</v>
      </c>
      <c r="H1210" s="2" t="s">
        <v>45</v>
      </c>
      <c r="I1210" s="2" t="s">
        <v>2636</v>
      </c>
      <c r="J1210" s="3" t="str">
        <f>HYPERLINK("https://www.boe.es/gazeta/dias/1822/05/24/pdfs/GMD-1822-148.pdf#page=1","Abrir facsímil")</f>
        <v>Abrir facsímil</v>
      </c>
      <c r="K1210" s="3" t="s">
        <v>47</v>
      </c>
    </row>
    <row r="1211" spans="1:11" ht="42" customHeight="1">
      <c r="A1211" s="2" t="s">
        <v>2637</v>
      </c>
      <c r="B1211" s="2" t="s">
        <v>2638</v>
      </c>
      <c r="C1211" s="2" t="s">
        <v>50</v>
      </c>
      <c r="D1211" s="2" t="s">
        <v>51</v>
      </c>
      <c r="E1211" s="5">
        <v>-28340</v>
      </c>
      <c r="F1211" s="3" t="s">
        <v>139</v>
      </c>
      <c r="G1211" s="3" t="s">
        <v>63</v>
      </c>
      <c r="H1211" s="2" t="s">
        <v>20</v>
      </c>
      <c r="I1211" s="2" t="s">
        <v>2639</v>
      </c>
      <c r="J1211" s="3" t="str">
        <f>HYPERLINK("https://www.boe.es/gazeta/dias/1822/05/28/pdfs/GMD-1822-153.pdf#page=6","Abrir facsímil")</f>
        <v>Abrir facsímil</v>
      </c>
      <c r="K1211" s="3" t="s">
        <v>22</v>
      </c>
    </row>
    <row r="1212" spans="1:11" ht="42" customHeight="1">
      <c r="A1212" s="2" t="s">
        <v>2640</v>
      </c>
      <c r="B1212" s="2" t="s">
        <v>2641</v>
      </c>
      <c r="C1212" s="2" t="s">
        <v>42</v>
      </c>
      <c r="D1212" s="2" t="s">
        <v>17</v>
      </c>
      <c r="E1212" s="5">
        <v>-28123</v>
      </c>
      <c r="F1212" s="3" t="s">
        <v>603</v>
      </c>
      <c r="G1212" s="3" t="s">
        <v>2642</v>
      </c>
      <c r="H1212" s="2" t="s">
        <v>20</v>
      </c>
      <c r="I1212" s="2" t="s">
        <v>2643</v>
      </c>
      <c r="J1212" s="3" t="str">
        <f>HYPERLINK("https://www.boe.es/gazeta/dias/1822/12/31/pdfs/GMD-1822-381.pdf#page=6","Abrir facsímil")</f>
        <v>Abrir facsímil</v>
      </c>
      <c r="K1212" s="3" t="s">
        <v>22</v>
      </c>
    </row>
    <row r="1213" spans="1:11" ht="42" customHeight="1">
      <c r="A1213" s="2" t="s">
        <v>2644</v>
      </c>
      <c r="B1213" s="2" t="s">
        <v>2645</v>
      </c>
      <c r="C1213" s="2" t="s">
        <v>28</v>
      </c>
      <c r="D1213" s="2" t="s">
        <v>29</v>
      </c>
      <c r="E1213" s="5">
        <v>-28318</v>
      </c>
      <c r="F1213" s="3" t="s">
        <v>397</v>
      </c>
      <c r="G1213" s="3" t="s">
        <v>167</v>
      </c>
      <c r="H1213" s="2" t="s">
        <v>20</v>
      </c>
      <c r="I1213" s="2" t="s">
        <v>2646</v>
      </c>
      <c r="J1213" s="3" t="str">
        <f>HYPERLINK("https://www.boe.es/gazeta/dias/1822/06/19/pdfs/GMD-1822-176.pdf#page=7","Abrir facsímil")</f>
        <v>Abrir facsímil</v>
      </c>
      <c r="K1213" s="3" t="s">
        <v>22</v>
      </c>
    </row>
    <row r="1214" spans="1:11" ht="42" customHeight="1">
      <c r="A1214" s="2" t="s">
        <v>2647</v>
      </c>
      <c r="B1214" s="2" t="s">
        <v>2648</v>
      </c>
      <c r="C1214" s="2" t="s">
        <v>42</v>
      </c>
      <c r="D1214" s="2" t="s">
        <v>17</v>
      </c>
      <c r="E1214" s="5">
        <v>-28234</v>
      </c>
      <c r="F1214" s="3" t="s">
        <v>1331</v>
      </c>
      <c r="G1214" s="3" t="s">
        <v>57</v>
      </c>
      <c r="H1214" s="2" t="s">
        <v>20</v>
      </c>
      <c r="I1214" s="2" t="s">
        <v>2649</v>
      </c>
      <c r="J1214" s="3" t="str">
        <f>HYPERLINK("https://www.boe.es/gazeta/dias/1822/09/11/pdfs/GMD-1822-267.pdf#page=4","Abrir facsímil")</f>
        <v>Abrir facsímil</v>
      </c>
      <c r="K1214" s="3" t="s">
        <v>22</v>
      </c>
    </row>
    <row r="1215" spans="1:11" ht="42" customHeight="1">
      <c r="A1215" s="2" t="s">
        <v>2650</v>
      </c>
      <c r="B1215" s="2" t="s">
        <v>2651</v>
      </c>
      <c r="C1215" s="2" t="s">
        <v>42</v>
      </c>
      <c r="D1215" s="2" t="s">
        <v>17</v>
      </c>
      <c r="E1215" s="5">
        <v>-28322</v>
      </c>
      <c r="F1215" s="3" t="s">
        <v>2205</v>
      </c>
      <c r="G1215" s="3" t="s">
        <v>57</v>
      </c>
      <c r="H1215" s="2" t="s">
        <v>20</v>
      </c>
      <c r="I1215" s="2" t="s">
        <v>2652</v>
      </c>
      <c r="J1215" s="3" t="str">
        <f>HYPERLINK("https://www.boe.es/gazeta/dias/1822/06/15/pdfs/GMD-1822-172.pdf#page=4","Abrir facsímil")</f>
        <v>Abrir facsímil</v>
      </c>
      <c r="K1215" s="3" t="s">
        <v>22</v>
      </c>
    </row>
    <row r="1216" spans="1:11" ht="42" customHeight="1">
      <c r="A1216" s="2" t="s">
        <v>2653</v>
      </c>
      <c r="B1216" s="2" t="s">
        <v>2654</v>
      </c>
      <c r="C1216" s="2" t="s">
        <v>50</v>
      </c>
      <c r="D1216" s="2" t="s">
        <v>51</v>
      </c>
      <c r="E1216" s="5">
        <v>-28186</v>
      </c>
      <c r="F1216" s="3" t="s">
        <v>581</v>
      </c>
      <c r="G1216" s="3" t="s">
        <v>57</v>
      </c>
      <c r="H1216" s="2" t="s">
        <v>20</v>
      </c>
      <c r="I1216" s="2" t="s">
        <v>2655</v>
      </c>
      <c r="J1216" s="3" t="str">
        <f>HYPERLINK("https://www.boe.es/gazeta/dias/1822/10/29/pdfs/GMD-1822-316.pdf#page=4","Abrir facsímil")</f>
        <v>Abrir facsímil</v>
      </c>
      <c r="K1216" s="3" t="s">
        <v>22</v>
      </c>
    </row>
    <row r="1217" spans="1:11" ht="42" customHeight="1">
      <c r="A1217" s="2" t="s">
        <v>2656</v>
      </c>
      <c r="B1217" s="2" t="s">
        <v>2657</v>
      </c>
      <c r="C1217" s="2" t="s">
        <v>61</v>
      </c>
      <c r="D1217" s="2" t="s">
        <v>17</v>
      </c>
      <c r="E1217" s="5">
        <v>-28473</v>
      </c>
      <c r="F1217" s="3" t="s">
        <v>2337</v>
      </c>
      <c r="G1217" s="3" t="s">
        <v>167</v>
      </c>
      <c r="H1217" s="2" t="s">
        <v>20</v>
      </c>
      <c r="I1217" s="2" t="s">
        <v>2658</v>
      </c>
      <c r="J1217" s="3" t="str">
        <f>HYPERLINK("https://www.boe.es/gazeta/dias/1822/01/15/pdfs/GMD-1822-15.pdf#page=7","Abrir facsímil")</f>
        <v>Abrir facsímil</v>
      </c>
      <c r="K1217" s="3" t="s">
        <v>22</v>
      </c>
    </row>
    <row r="1218" spans="1:11" ht="42" customHeight="1">
      <c r="A1218" s="2" t="s">
        <v>2659</v>
      </c>
      <c r="B1218" s="2" t="s">
        <v>2659</v>
      </c>
      <c r="C1218" s="2" t="s">
        <v>71</v>
      </c>
      <c r="D1218" s="2" t="s">
        <v>17</v>
      </c>
      <c r="E1218" s="5">
        <v>-28416</v>
      </c>
      <c r="F1218" s="3" t="s">
        <v>97</v>
      </c>
      <c r="G1218" s="3" t="s">
        <v>19</v>
      </c>
      <c r="H1218" s="2" t="s">
        <v>20</v>
      </c>
      <c r="I1218" s="2" t="s">
        <v>2660</v>
      </c>
      <c r="J1218" s="3" t="str">
        <f>HYPERLINK("https://www.boe.es/gazeta/dias/1822/03/13/pdfs/GMD-1822-74.pdf#page=5","Abrir facsímil")</f>
        <v>Abrir facsímil</v>
      </c>
      <c r="K1218" s="3" t="s">
        <v>22</v>
      </c>
    </row>
    <row r="1219" spans="1:11" ht="42" customHeight="1">
      <c r="A1219" s="2" t="s">
        <v>2661</v>
      </c>
      <c r="B1219" s="2" t="s">
        <v>2661</v>
      </c>
      <c r="C1219" s="2" t="s">
        <v>50</v>
      </c>
      <c r="D1219" s="2" t="s">
        <v>51</v>
      </c>
      <c r="E1219" s="5">
        <v>-28456</v>
      </c>
      <c r="F1219" s="3" t="s">
        <v>1104</v>
      </c>
      <c r="G1219" s="3" t="s">
        <v>35</v>
      </c>
      <c r="H1219" s="2" t="s">
        <v>20</v>
      </c>
      <c r="I1219" s="2" t="s">
        <v>2662</v>
      </c>
      <c r="J1219" s="3" t="str">
        <f>HYPERLINK("https://www.boe.es/gazeta/dias/1822/02/01/pdfs/GMD-1822-32.pdf#page=2","Abrir facsímil")</f>
        <v>Abrir facsímil</v>
      </c>
      <c r="K1219" s="3" t="s">
        <v>22</v>
      </c>
    </row>
    <row r="1220" spans="1:11" ht="42" customHeight="1">
      <c r="A1220" s="2" t="s">
        <v>2663</v>
      </c>
      <c r="B1220" s="2" t="s">
        <v>2663</v>
      </c>
      <c r="C1220" s="2" t="s">
        <v>50</v>
      </c>
      <c r="D1220" s="2" t="s">
        <v>51</v>
      </c>
      <c r="E1220" s="5">
        <v>-28395</v>
      </c>
      <c r="F1220" s="3" t="s">
        <v>237</v>
      </c>
      <c r="G1220" s="3" t="s">
        <v>31</v>
      </c>
      <c r="H1220" s="2" t="s">
        <v>20</v>
      </c>
      <c r="I1220" s="2" t="s">
        <v>2664</v>
      </c>
      <c r="J1220" s="3" t="str">
        <f>HYPERLINK("https://www.boe.es/gazeta/dias/1822/04/03/pdfs/GMD-1822-95.pdf#page=3","Abrir facsímil")</f>
        <v>Abrir facsímil</v>
      </c>
      <c r="K1220" s="3" t="s">
        <v>22</v>
      </c>
    </row>
    <row r="1221" spans="1:11" ht="42" customHeight="1">
      <c r="A1221" s="2" t="s">
        <v>2665</v>
      </c>
      <c r="B1221" s="2" t="s">
        <v>2665</v>
      </c>
      <c r="C1221" s="2" t="s">
        <v>50</v>
      </c>
      <c r="D1221" s="2" t="s">
        <v>51</v>
      </c>
      <c r="E1221" s="5">
        <v>-28192</v>
      </c>
      <c r="F1221" s="3" t="s">
        <v>43</v>
      </c>
      <c r="G1221" s="3" t="s">
        <v>19</v>
      </c>
      <c r="H1221" s="2" t="s">
        <v>20</v>
      </c>
      <c r="I1221" s="2" t="s">
        <v>2666</v>
      </c>
      <c r="J1221" s="3" t="str">
        <f>HYPERLINK("https://www.boe.es/gazeta/dias/1822/10/23/pdfs/GMD-1822-310.pdf#page=5","Abrir facsímil")</f>
        <v>Abrir facsímil</v>
      </c>
      <c r="K1221" s="3" t="s">
        <v>22</v>
      </c>
    </row>
    <row r="1222" spans="1:11" ht="42" customHeight="1">
      <c r="A1222" s="2" t="s">
        <v>2667</v>
      </c>
      <c r="B1222" s="2" t="s">
        <v>2667</v>
      </c>
      <c r="C1222" s="2" t="s">
        <v>28</v>
      </c>
      <c r="D1222" s="2" t="s">
        <v>29</v>
      </c>
      <c r="E1222" s="5">
        <v>-28425</v>
      </c>
      <c r="F1222" s="3" t="s">
        <v>419</v>
      </c>
      <c r="G1222" s="3" t="s">
        <v>31</v>
      </c>
      <c r="H1222" s="2" t="s">
        <v>20</v>
      </c>
      <c r="I1222" s="2" t="s">
        <v>2668</v>
      </c>
      <c r="J1222" s="3" t="str">
        <f>HYPERLINK("https://www.boe.es/gazeta/dias/1822/03/04/pdfs/GMD-1822-65.pdf#page=3","Abrir facsímil")</f>
        <v>Abrir facsímil</v>
      </c>
      <c r="K1222" s="3" t="s">
        <v>22</v>
      </c>
    </row>
    <row r="1223" spans="1:11" ht="42" customHeight="1">
      <c r="A1223" s="2" t="s">
        <v>2669</v>
      </c>
      <c r="B1223" s="2" t="s">
        <v>2669</v>
      </c>
      <c r="C1223" s="2" t="s">
        <v>42</v>
      </c>
      <c r="D1223" s="2" t="s">
        <v>17</v>
      </c>
      <c r="E1223" s="5">
        <v>-28327</v>
      </c>
      <c r="F1223" s="3" t="s">
        <v>38</v>
      </c>
      <c r="G1223" s="3" t="s">
        <v>35</v>
      </c>
      <c r="H1223" s="2" t="s">
        <v>20</v>
      </c>
      <c r="I1223" s="2" t="s">
        <v>2670</v>
      </c>
      <c r="J1223" s="3" t="str">
        <f>HYPERLINK("https://www.boe.es/gazeta/dias/1822/06/10/pdfs/GMD-1822-167.pdf#page=2","Abrir facsímil")</f>
        <v>Abrir facsímil</v>
      </c>
      <c r="K1223" s="3" t="s">
        <v>22</v>
      </c>
    </row>
    <row r="1224" spans="1:11" ht="42" customHeight="1">
      <c r="A1224" s="2" t="s">
        <v>2671</v>
      </c>
      <c r="B1224" s="2" t="s">
        <v>2671</v>
      </c>
      <c r="C1224" s="2" t="s">
        <v>28</v>
      </c>
      <c r="D1224" s="2" t="s">
        <v>29</v>
      </c>
      <c r="E1224" s="5">
        <v>-28311</v>
      </c>
      <c r="F1224" s="3" t="s">
        <v>736</v>
      </c>
      <c r="G1224" s="3" t="s">
        <v>31</v>
      </c>
      <c r="H1224" s="2" t="s">
        <v>20</v>
      </c>
      <c r="I1224" s="2" t="s">
        <v>2672</v>
      </c>
      <c r="J1224" s="3" t="str">
        <f>HYPERLINK("https://www.boe.es/gazeta/dias/1822/06/26/pdfs/GMD-1822-184.pdf#page=3","Abrir facsímil")</f>
        <v>Abrir facsímil</v>
      </c>
      <c r="K1224" s="3" t="s">
        <v>22</v>
      </c>
    </row>
    <row r="1225" spans="1:11" ht="42" customHeight="1">
      <c r="A1225" s="2" t="s">
        <v>2673</v>
      </c>
      <c r="B1225" s="2" t="s">
        <v>2673</v>
      </c>
      <c r="C1225" s="2" t="s">
        <v>24</v>
      </c>
      <c r="D1225" s="2" t="s">
        <v>17</v>
      </c>
      <c r="E1225" s="5">
        <v>-28414</v>
      </c>
      <c r="F1225" s="3" t="s">
        <v>187</v>
      </c>
      <c r="G1225" s="3" t="s">
        <v>19</v>
      </c>
      <c r="H1225" s="2" t="s">
        <v>20</v>
      </c>
      <c r="I1225" s="2" t="s">
        <v>2674</v>
      </c>
      <c r="J1225" s="3" t="str">
        <f>HYPERLINK("https://www.boe.es/gazeta/dias/1822/03/15/pdfs/GMD-1822-76.pdf#page=5","Abrir facsímil")</f>
        <v>Abrir facsímil</v>
      </c>
      <c r="K1225" s="3" t="s">
        <v>22</v>
      </c>
    </row>
    <row r="1226" spans="1:11" ht="42" customHeight="1">
      <c r="A1226" s="2" t="s">
        <v>2675</v>
      </c>
      <c r="B1226" s="2" t="s">
        <v>2676</v>
      </c>
      <c r="C1226" s="2" t="s">
        <v>42</v>
      </c>
      <c r="D1226" s="2" t="s">
        <v>17</v>
      </c>
      <c r="E1226" s="5">
        <v>-28434</v>
      </c>
      <c r="F1226" s="3" t="s">
        <v>433</v>
      </c>
      <c r="G1226" s="3" t="s">
        <v>31</v>
      </c>
      <c r="H1226" s="2" t="s">
        <v>20</v>
      </c>
      <c r="I1226" s="2" t="s">
        <v>2677</v>
      </c>
      <c r="J1226" s="3" t="str">
        <f>HYPERLINK("https://www.boe.es/gazeta/dias/1822/02/23/pdfs/GMD-1822-55.pdf#page=3","Abrir facsímil")</f>
        <v>Abrir facsímil</v>
      </c>
      <c r="K1226" s="3" t="s">
        <v>22</v>
      </c>
    </row>
    <row r="1227" spans="1:11" ht="42" customHeight="1">
      <c r="A1227" s="2" t="s">
        <v>2678</v>
      </c>
      <c r="B1227" s="2" t="s">
        <v>2678</v>
      </c>
      <c r="C1227" s="2" t="s">
        <v>42</v>
      </c>
      <c r="D1227" s="2" t="s">
        <v>17</v>
      </c>
      <c r="E1227" s="5">
        <v>-28197</v>
      </c>
      <c r="F1227" s="3" t="s">
        <v>568</v>
      </c>
      <c r="G1227" s="3" t="s">
        <v>57</v>
      </c>
      <c r="H1227" s="2" t="s">
        <v>20</v>
      </c>
      <c r="I1227" s="2" t="s">
        <v>2679</v>
      </c>
      <c r="J1227" s="3" t="str">
        <f>HYPERLINK("https://www.boe.es/gazeta/dias/1822/10/18/pdfs/GMD-1822-305.pdf#page=4","Abrir facsímil")</f>
        <v>Abrir facsímil</v>
      </c>
      <c r="K1227" s="3" t="s">
        <v>22</v>
      </c>
    </row>
    <row r="1228" spans="1:11" ht="42" customHeight="1">
      <c r="A1228" s="2" t="s">
        <v>2680</v>
      </c>
      <c r="B1228" s="2" t="s">
        <v>2681</v>
      </c>
      <c r="C1228" s="2" t="s">
        <v>362</v>
      </c>
      <c r="D1228" s="2" t="s">
        <v>17</v>
      </c>
      <c r="E1228" s="5">
        <v>-28436</v>
      </c>
      <c r="F1228" s="3" t="s">
        <v>431</v>
      </c>
      <c r="G1228" s="3" t="s">
        <v>1428</v>
      </c>
      <c r="H1228" s="2" t="s">
        <v>20</v>
      </c>
      <c r="I1228" s="2" t="s">
        <v>2682</v>
      </c>
      <c r="J1228" s="3" t="str">
        <f>HYPERLINK("https://www.boe.es/gazeta/dias/1822/02/21/pdfs/GMD-1822-53.pdf#page=3","Abrir facsímil")</f>
        <v>Abrir facsímil</v>
      </c>
      <c r="K1228" s="3" t="s">
        <v>22</v>
      </c>
    </row>
    <row r="1229" spans="1:11" ht="42" customHeight="1">
      <c r="A1229" s="2" t="s">
        <v>2683</v>
      </c>
      <c r="B1229" s="2" t="s">
        <v>2684</v>
      </c>
      <c r="C1229" s="2" t="s">
        <v>42</v>
      </c>
      <c r="D1229" s="2" t="s">
        <v>17</v>
      </c>
      <c r="E1229" s="5">
        <v>-28436</v>
      </c>
      <c r="F1229" s="3" t="s">
        <v>431</v>
      </c>
      <c r="G1229" s="3" t="s">
        <v>1428</v>
      </c>
      <c r="H1229" s="2" t="s">
        <v>45</v>
      </c>
      <c r="I1229" s="2" t="s">
        <v>2685</v>
      </c>
      <c r="J1229" s="3" t="str">
        <f>HYPERLINK("https://www.boe.es/gazeta/dias/1822/02/21/pdfs/GMD-1822-53.pdf#page=3","Abrir facsímil")</f>
        <v>Abrir facsímil</v>
      </c>
      <c r="K1229" s="3" t="s">
        <v>47</v>
      </c>
    </row>
    <row r="1230" spans="1:11" ht="42" customHeight="1">
      <c r="A1230" s="2" t="s">
        <v>2686</v>
      </c>
      <c r="B1230" s="2" t="s">
        <v>2686</v>
      </c>
      <c r="C1230" s="2" t="s">
        <v>71</v>
      </c>
      <c r="D1230" s="2" t="s">
        <v>17</v>
      </c>
      <c r="E1230" s="5">
        <v>-28337</v>
      </c>
      <c r="F1230" s="3" t="s">
        <v>1836</v>
      </c>
      <c r="G1230" s="3" t="s">
        <v>57</v>
      </c>
      <c r="H1230" s="2" t="s">
        <v>20</v>
      </c>
      <c r="I1230" s="2" t="s">
        <v>2687</v>
      </c>
      <c r="J1230" s="3" t="str">
        <f>HYPERLINK("https://www.boe.es/gazeta/dias/1822/05/31/pdfs/GMD-1822-156.pdf#page=4","Abrir facsímil")</f>
        <v>Abrir facsímil</v>
      </c>
      <c r="K1230" s="3" t="s">
        <v>22</v>
      </c>
    </row>
    <row r="1231" spans="1:11" ht="42" customHeight="1">
      <c r="A1231" s="2" t="s">
        <v>2688</v>
      </c>
      <c r="B1231" s="2" t="s">
        <v>2688</v>
      </c>
      <c r="C1231" s="2" t="s">
        <v>71</v>
      </c>
      <c r="D1231" s="2" t="s">
        <v>17</v>
      </c>
      <c r="E1231" s="5">
        <v>-28129</v>
      </c>
      <c r="F1231" s="3" t="s">
        <v>599</v>
      </c>
      <c r="G1231" s="3" t="s">
        <v>31</v>
      </c>
      <c r="H1231" s="2" t="s">
        <v>20</v>
      </c>
      <c r="I1231" s="2" t="s">
        <v>2689</v>
      </c>
      <c r="J1231" s="3" t="str">
        <f>HYPERLINK("https://www.boe.es/gazeta/dias/1822/12/25/pdfs/GMD-1822-375.pdf#page=3","Abrir facsímil")</f>
        <v>Abrir facsímil</v>
      </c>
      <c r="K1231" s="3" t="s">
        <v>22</v>
      </c>
    </row>
    <row r="1232" spans="1:11" ht="42" customHeight="1">
      <c r="A1232" s="2" t="s">
        <v>2690</v>
      </c>
      <c r="B1232" s="2" t="s">
        <v>2690</v>
      </c>
      <c r="C1232" s="2" t="s">
        <v>42</v>
      </c>
      <c r="D1232" s="2" t="s">
        <v>17</v>
      </c>
      <c r="E1232" s="5">
        <v>-28417</v>
      </c>
      <c r="F1232" s="3" t="s">
        <v>1394</v>
      </c>
      <c r="G1232" s="3" t="s">
        <v>31</v>
      </c>
      <c r="H1232" s="2" t="s">
        <v>20</v>
      </c>
      <c r="I1232" s="2" t="s">
        <v>2691</v>
      </c>
      <c r="J1232" s="3" t="str">
        <f>HYPERLINK("https://www.boe.es/gazeta/dias/1822/03/12/pdfs/GMD-1822-73.pdf#page=3","Abrir facsímil")</f>
        <v>Abrir facsímil</v>
      </c>
      <c r="K1232" s="3" t="s">
        <v>22</v>
      </c>
    </row>
    <row r="1233" spans="1:11" ht="42" customHeight="1">
      <c r="A1233" s="2" t="s">
        <v>2692</v>
      </c>
      <c r="B1233" s="2" t="s">
        <v>2692</v>
      </c>
      <c r="C1233" s="2" t="s">
        <v>42</v>
      </c>
      <c r="D1233" s="2" t="s">
        <v>17</v>
      </c>
      <c r="E1233" s="5">
        <v>-28370</v>
      </c>
      <c r="F1233" s="3" t="s">
        <v>207</v>
      </c>
      <c r="G1233" s="3" t="s">
        <v>19</v>
      </c>
      <c r="H1233" s="2" t="s">
        <v>20</v>
      </c>
      <c r="I1233" s="2" t="s">
        <v>2693</v>
      </c>
      <c r="J1233" s="3" t="str">
        <f>HYPERLINK("https://www.boe.es/gazeta/dias/1822/04/28/pdfs/GMD-1822-120.pdf#page=5","Abrir facsímil")</f>
        <v>Abrir facsímil</v>
      </c>
      <c r="K1233" s="3" t="s">
        <v>22</v>
      </c>
    </row>
    <row r="1234" spans="1:11" ht="42" customHeight="1">
      <c r="A1234" s="2" t="s">
        <v>2694</v>
      </c>
      <c r="B1234" s="2" t="s">
        <v>2694</v>
      </c>
      <c r="C1234" s="2" t="s">
        <v>71</v>
      </c>
      <c r="D1234" s="2" t="s">
        <v>17</v>
      </c>
      <c r="E1234" s="5">
        <v>-28401</v>
      </c>
      <c r="F1234" s="3" t="s">
        <v>108</v>
      </c>
      <c r="G1234" s="3" t="s">
        <v>63</v>
      </c>
      <c r="H1234" s="2" t="s">
        <v>20</v>
      </c>
      <c r="I1234" s="2" t="s">
        <v>2695</v>
      </c>
      <c r="J1234" s="3" t="str">
        <f>HYPERLINK("https://www.boe.es/gazeta/dias/1822/03/28/pdfs/GMD-1822-89.pdf#page=6","Abrir facsímil")</f>
        <v>Abrir facsímil</v>
      </c>
      <c r="K1234" s="3" t="s">
        <v>22</v>
      </c>
    </row>
    <row r="1235" spans="1:11" ht="42" customHeight="1">
      <c r="A1235" s="2" t="s">
        <v>2696</v>
      </c>
      <c r="B1235" s="2" t="s">
        <v>2696</v>
      </c>
      <c r="C1235" s="2" t="s">
        <v>50</v>
      </c>
      <c r="D1235" s="2" t="s">
        <v>51</v>
      </c>
      <c r="E1235" s="5">
        <v>-28412</v>
      </c>
      <c r="F1235" s="3" t="s">
        <v>825</v>
      </c>
      <c r="G1235" s="3" t="s">
        <v>35</v>
      </c>
      <c r="H1235" s="2" t="s">
        <v>20</v>
      </c>
      <c r="I1235" s="2" t="s">
        <v>2697</v>
      </c>
      <c r="J1235" s="3" t="str">
        <f>HYPERLINK("https://www.boe.es/gazeta/dias/1822/03/17/pdfs/GMD-1822-78.pdf#page=2","Abrir facsímil")</f>
        <v>Abrir facsímil</v>
      </c>
      <c r="K1235" s="3" t="s">
        <v>22</v>
      </c>
    </row>
    <row r="1236" spans="1:11" ht="42" customHeight="1">
      <c r="A1236" s="2" t="s">
        <v>2698</v>
      </c>
      <c r="B1236" s="2" t="s">
        <v>2698</v>
      </c>
      <c r="C1236" s="2" t="s">
        <v>71</v>
      </c>
      <c r="D1236" s="2" t="s">
        <v>17</v>
      </c>
      <c r="E1236" s="5">
        <v>-28378</v>
      </c>
      <c r="F1236" s="3" t="s">
        <v>496</v>
      </c>
      <c r="G1236" s="3" t="s">
        <v>35</v>
      </c>
      <c r="H1236" s="2" t="s">
        <v>20</v>
      </c>
      <c r="I1236" s="2" t="s">
        <v>2699</v>
      </c>
      <c r="J1236" s="3" t="str">
        <f>HYPERLINK("https://www.boe.es/gazeta/dias/1822/04/20/pdfs/GMD-1822-112.pdf#page=2","Abrir facsímil")</f>
        <v>Abrir facsímil</v>
      </c>
      <c r="K1236" s="3" t="s">
        <v>22</v>
      </c>
    </row>
    <row r="1237" spans="1:11" ht="42" customHeight="1">
      <c r="A1237" s="2" t="s">
        <v>2698</v>
      </c>
      <c r="B1237" s="2" t="s">
        <v>2698</v>
      </c>
      <c r="C1237" s="2" t="s">
        <v>42</v>
      </c>
      <c r="D1237" s="2" t="s">
        <v>17</v>
      </c>
      <c r="E1237" s="5">
        <v>-28365</v>
      </c>
      <c r="F1237" s="3" t="s">
        <v>506</v>
      </c>
      <c r="G1237" s="3" t="s">
        <v>19</v>
      </c>
      <c r="H1237" s="2" t="s">
        <v>20</v>
      </c>
      <c r="I1237" s="2" t="s">
        <v>2700</v>
      </c>
      <c r="J1237" s="3" t="str">
        <f>HYPERLINK("https://www.boe.es/gazeta/dias/1822/05/03/pdfs/GMD-1822-125.pdf#page=5","Abrir facsímil")</f>
        <v>Abrir facsímil</v>
      </c>
      <c r="K1237" s="3" t="s">
        <v>22</v>
      </c>
    </row>
    <row r="1238" spans="1:11" ht="42" customHeight="1">
      <c r="A1238" s="2" t="s">
        <v>2701</v>
      </c>
      <c r="B1238" s="2" t="s">
        <v>2701</v>
      </c>
      <c r="C1238" s="2" t="s">
        <v>50</v>
      </c>
      <c r="D1238" s="2" t="s">
        <v>51</v>
      </c>
      <c r="E1238" s="5">
        <v>-28361</v>
      </c>
      <c r="F1238" s="3" t="s">
        <v>374</v>
      </c>
      <c r="G1238" s="3" t="s">
        <v>31</v>
      </c>
      <c r="H1238" s="2" t="s">
        <v>20</v>
      </c>
      <c r="I1238" s="2" t="s">
        <v>2702</v>
      </c>
      <c r="J1238" s="3" t="str">
        <f>HYPERLINK("https://www.boe.es/gazeta/dias/1822/05/07/pdfs/GMD-1822-129.pdf#page=3","Abrir facsímil")</f>
        <v>Abrir facsímil</v>
      </c>
      <c r="K1238" s="3" t="s">
        <v>22</v>
      </c>
    </row>
    <row r="1239" spans="1:11" ht="42" customHeight="1">
      <c r="A1239" s="2" t="s">
        <v>2696</v>
      </c>
      <c r="B1239" s="2" t="s">
        <v>2696</v>
      </c>
      <c r="C1239" s="2" t="s">
        <v>28</v>
      </c>
      <c r="D1239" s="2" t="s">
        <v>29</v>
      </c>
      <c r="E1239" s="5">
        <v>-28357</v>
      </c>
      <c r="F1239" s="3" t="s">
        <v>690</v>
      </c>
      <c r="G1239" s="3" t="s">
        <v>19</v>
      </c>
      <c r="H1239" s="2" t="s">
        <v>20</v>
      </c>
      <c r="I1239" s="2" t="s">
        <v>2703</v>
      </c>
      <c r="J1239" s="3" t="str">
        <f>HYPERLINK("https://www.boe.es/gazeta/dias/1822/05/11/pdfs/GMD-1822-133.pdf#page=5","Abrir facsímil")</f>
        <v>Abrir facsímil</v>
      </c>
      <c r="K1239" s="3" t="s">
        <v>22</v>
      </c>
    </row>
    <row r="1240" spans="1:11" ht="42" customHeight="1">
      <c r="A1240" s="2" t="s">
        <v>2696</v>
      </c>
      <c r="B1240" s="2" t="s">
        <v>2696</v>
      </c>
      <c r="C1240" s="2" t="s">
        <v>28</v>
      </c>
      <c r="D1240" s="2" t="s">
        <v>29</v>
      </c>
      <c r="E1240" s="5">
        <v>-28353</v>
      </c>
      <c r="F1240" s="3" t="s">
        <v>843</v>
      </c>
      <c r="G1240" s="3" t="s">
        <v>57</v>
      </c>
      <c r="H1240" s="2" t="s">
        <v>20</v>
      </c>
      <c r="I1240" s="2" t="s">
        <v>2704</v>
      </c>
      <c r="J1240" s="3" t="str">
        <f>HYPERLINK("https://www.boe.es/gazeta/dias/1822/05/15/pdfs/GMD-1822-137.pdf#page=4","Abrir facsímil")</f>
        <v>Abrir facsímil</v>
      </c>
      <c r="K1240" s="3" t="s">
        <v>22</v>
      </c>
    </row>
    <row r="1241" spans="1:11" ht="42" customHeight="1">
      <c r="A1241" s="2" t="s">
        <v>2696</v>
      </c>
      <c r="B1241" s="2" t="s">
        <v>2696</v>
      </c>
      <c r="C1241" s="2" t="s">
        <v>42</v>
      </c>
      <c r="D1241" s="2" t="s">
        <v>17</v>
      </c>
      <c r="E1241" s="5">
        <v>-28350</v>
      </c>
      <c r="F1241" s="3" t="s">
        <v>352</v>
      </c>
      <c r="G1241" s="3" t="s">
        <v>63</v>
      </c>
      <c r="H1241" s="2" t="s">
        <v>20</v>
      </c>
      <c r="I1241" s="2" t="s">
        <v>2705</v>
      </c>
      <c r="J1241" s="3" t="str">
        <f>HYPERLINK("https://www.boe.es/gazeta/dias/1822/05/18/pdfs/GMD-1822-140.pdf#page=6","Abrir facsímil")</f>
        <v>Abrir facsímil</v>
      </c>
      <c r="K1241" s="3" t="s">
        <v>22</v>
      </c>
    </row>
    <row r="1242" spans="1:11" ht="42" customHeight="1">
      <c r="A1242" s="2" t="s">
        <v>2696</v>
      </c>
      <c r="B1242" s="2" t="s">
        <v>2696</v>
      </c>
      <c r="C1242" s="2" t="s">
        <v>28</v>
      </c>
      <c r="D1242" s="2" t="s">
        <v>29</v>
      </c>
      <c r="E1242" s="5">
        <v>-28342</v>
      </c>
      <c r="F1242" s="3" t="s">
        <v>2281</v>
      </c>
      <c r="G1242" s="3" t="s">
        <v>31</v>
      </c>
      <c r="H1242" s="2" t="s">
        <v>20</v>
      </c>
      <c r="I1242" s="2" t="s">
        <v>2706</v>
      </c>
      <c r="J1242" s="3" t="str">
        <f>HYPERLINK("https://www.boe.es/gazeta/dias/1822/05/26/pdfs/GMD-1822-151.pdf#page=3","Abrir facsímil")</f>
        <v>Abrir facsímil</v>
      </c>
      <c r="K1242" s="3" t="s">
        <v>22</v>
      </c>
    </row>
    <row r="1243" spans="1:11" ht="42" customHeight="1">
      <c r="A1243" s="2" t="s">
        <v>2696</v>
      </c>
      <c r="B1243" s="2" t="s">
        <v>2696</v>
      </c>
      <c r="C1243" s="2" t="s">
        <v>50</v>
      </c>
      <c r="D1243" s="2" t="s">
        <v>51</v>
      </c>
      <c r="E1243" s="5">
        <v>-28327</v>
      </c>
      <c r="F1243" s="3" t="s">
        <v>38</v>
      </c>
      <c r="G1243" s="3" t="s">
        <v>57</v>
      </c>
      <c r="H1243" s="2" t="s">
        <v>20</v>
      </c>
      <c r="I1243" s="2" t="s">
        <v>2707</v>
      </c>
      <c r="J1243" s="3" t="str">
        <f>HYPERLINK("https://www.boe.es/gazeta/dias/1822/06/10/pdfs/GMD-1822-167.pdf#page=4","Abrir facsímil")</f>
        <v>Abrir facsímil</v>
      </c>
      <c r="K1243" s="3" t="s">
        <v>22</v>
      </c>
    </row>
    <row r="1244" spans="1:11" ht="42" customHeight="1">
      <c r="A1244" s="2" t="s">
        <v>2696</v>
      </c>
      <c r="B1244" s="2" t="s">
        <v>2696</v>
      </c>
      <c r="C1244" s="2" t="s">
        <v>71</v>
      </c>
      <c r="D1244" s="2" t="s">
        <v>17</v>
      </c>
      <c r="E1244" s="5">
        <v>-28320</v>
      </c>
      <c r="F1244" s="3" t="s">
        <v>700</v>
      </c>
      <c r="G1244" s="3" t="s">
        <v>35</v>
      </c>
      <c r="H1244" s="2" t="s">
        <v>20</v>
      </c>
      <c r="I1244" s="2" t="s">
        <v>2708</v>
      </c>
      <c r="J1244" s="3" t="str">
        <f>HYPERLINK("https://www.boe.es/gazeta/dias/1822/06/17/pdfs/GMD-1822-174.pdf#page=2","Abrir facsímil")</f>
        <v>Abrir facsímil</v>
      </c>
      <c r="K1244" s="3" t="s">
        <v>22</v>
      </c>
    </row>
    <row r="1245" spans="1:11" ht="42" customHeight="1">
      <c r="A1245" s="2" t="s">
        <v>2696</v>
      </c>
      <c r="B1245" s="2" t="s">
        <v>2696</v>
      </c>
      <c r="C1245" s="2" t="s">
        <v>42</v>
      </c>
      <c r="D1245" s="2" t="s">
        <v>17</v>
      </c>
      <c r="E1245" s="5">
        <v>-28316</v>
      </c>
      <c r="F1245" s="3" t="s">
        <v>1144</v>
      </c>
      <c r="G1245" s="3" t="s">
        <v>31</v>
      </c>
      <c r="H1245" s="2" t="s">
        <v>20</v>
      </c>
      <c r="I1245" s="2" t="s">
        <v>2709</v>
      </c>
      <c r="J1245" s="3" t="str">
        <f>HYPERLINK("https://www.boe.es/gazeta/dias/1822/06/21/pdfs/GMD-1822-179.pdf#page=3","Abrir facsímil")</f>
        <v>Abrir facsímil</v>
      </c>
      <c r="K1245" s="3" t="s">
        <v>22</v>
      </c>
    </row>
    <row r="1246" spans="1:11" ht="42" customHeight="1">
      <c r="A1246" s="2" t="s">
        <v>2698</v>
      </c>
      <c r="B1246" s="2" t="s">
        <v>2698</v>
      </c>
      <c r="C1246" s="2" t="s">
        <v>71</v>
      </c>
      <c r="D1246" s="2" t="s">
        <v>17</v>
      </c>
      <c r="E1246" s="5">
        <v>-28191</v>
      </c>
      <c r="F1246" s="3" t="s">
        <v>710</v>
      </c>
      <c r="G1246" s="3" t="s">
        <v>35</v>
      </c>
      <c r="H1246" s="2" t="s">
        <v>20</v>
      </c>
      <c r="I1246" s="2" t="s">
        <v>2710</v>
      </c>
      <c r="J1246" s="3" t="str">
        <f>HYPERLINK("https://www.boe.es/gazeta/dias/1822/10/24/pdfs/GMD-1822-311.pdf#page=2","Abrir facsímil")</f>
        <v>Abrir facsímil</v>
      </c>
      <c r="K1246" s="3" t="s">
        <v>22</v>
      </c>
    </row>
    <row r="1247" spans="1:11" ht="42" customHeight="1">
      <c r="A1247" s="2" t="s">
        <v>2696</v>
      </c>
      <c r="B1247" s="2" t="s">
        <v>2696</v>
      </c>
      <c r="C1247" s="2" t="s">
        <v>24</v>
      </c>
      <c r="D1247" s="2" t="s">
        <v>17</v>
      </c>
      <c r="E1247" s="5">
        <v>-28181</v>
      </c>
      <c r="F1247" s="3" t="s">
        <v>739</v>
      </c>
      <c r="G1247" s="3" t="s">
        <v>35</v>
      </c>
      <c r="H1247" s="2" t="s">
        <v>20</v>
      </c>
      <c r="I1247" s="2" t="s">
        <v>2711</v>
      </c>
      <c r="J1247" s="3" t="str">
        <f>HYPERLINK("https://www.boe.es/gazeta/dias/1822/11/03/pdfs/GMD-1822-321.pdf#page=2","Abrir facsímil")</f>
        <v>Abrir facsímil</v>
      </c>
      <c r="K1247" s="3" t="s">
        <v>22</v>
      </c>
    </row>
    <row r="1248" spans="1:11" ht="42" customHeight="1">
      <c r="A1248" s="2" t="s">
        <v>2696</v>
      </c>
      <c r="B1248" s="2" t="s">
        <v>2696</v>
      </c>
      <c r="C1248" s="2" t="s">
        <v>50</v>
      </c>
      <c r="D1248" s="2" t="s">
        <v>51</v>
      </c>
      <c r="E1248" s="5">
        <v>-28176</v>
      </c>
      <c r="F1248" s="3" t="s">
        <v>780</v>
      </c>
      <c r="G1248" s="3" t="s">
        <v>31</v>
      </c>
      <c r="H1248" s="2" t="s">
        <v>20</v>
      </c>
      <c r="I1248" s="2" t="s">
        <v>2712</v>
      </c>
      <c r="J1248" s="3" t="str">
        <f>HYPERLINK("https://www.boe.es/gazeta/dias/1822/11/08/pdfs/GMD-1822-328.pdf#page=3","Abrir facsímil")</f>
        <v>Abrir facsímil</v>
      </c>
      <c r="K1248" s="3" t="s">
        <v>22</v>
      </c>
    </row>
    <row r="1249" spans="1:11" ht="42" customHeight="1">
      <c r="A1249" s="2" t="s">
        <v>2696</v>
      </c>
      <c r="B1249" s="2" t="s">
        <v>2696</v>
      </c>
      <c r="C1249" s="2" t="s">
        <v>50</v>
      </c>
      <c r="D1249" s="2" t="s">
        <v>51</v>
      </c>
      <c r="E1249" s="5">
        <v>-28171</v>
      </c>
      <c r="F1249" s="3" t="s">
        <v>1075</v>
      </c>
      <c r="G1249" s="3" t="s">
        <v>35</v>
      </c>
      <c r="H1249" s="2" t="s">
        <v>20</v>
      </c>
      <c r="I1249" s="2" t="s">
        <v>2713</v>
      </c>
      <c r="J1249" s="3" t="str">
        <f>HYPERLINK("https://www.boe.es/gazeta/dias/1822/11/13/pdfs/GMD-1822-333.pdf#page=2","Abrir facsímil")</f>
        <v>Abrir facsímil</v>
      </c>
      <c r="K1249" s="3" t="s">
        <v>22</v>
      </c>
    </row>
    <row r="1250" spans="1:11" ht="42" customHeight="1">
      <c r="A1250" s="2" t="s">
        <v>2714</v>
      </c>
      <c r="B1250" s="2" t="s">
        <v>2714</v>
      </c>
      <c r="C1250" s="2" t="s">
        <v>71</v>
      </c>
      <c r="D1250" s="2" t="s">
        <v>17</v>
      </c>
      <c r="E1250" s="5">
        <v>-28404</v>
      </c>
      <c r="F1250" s="3" t="s">
        <v>421</v>
      </c>
      <c r="G1250" s="3" t="s">
        <v>31</v>
      </c>
      <c r="H1250" s="2" t="s">
        <v>20</v>
      </c>
      <c r="I1250" s="2" t="s">
        <v>2715</v>
      </c>
      <c r="J1250" s="3" t="str">
        <f>HYPERLINK("https://www.boe.es/gazeta/dias/1822/03/25/pdfs/GMD-1822-86.pdf#page=3","Abrir facsímil")</f>
        <v>Abrir facsímil</v>
      </c>
      <c r="K1250" s="3" t="s">
        <v>22</v>
      </c>
    </row>
    <row r="1251" spans="1:11" ht="42" customHeight="1">
      <c r="A1251" s="2" t="s">
        <v>2714</v>
      </c>
      <c r="B1251" s="2" t="s">
        <v>2714</v>
      </c>
      <c r="C1251" s="2" t="s">
        <v>42</v>
      </c>
      <c r="D1251" s="2" t="s">
        <v>17</v>
      </c>
      <c r="E1251" s="5">
        <v>-28345</v>
      </c>
      <c r="F1251" s="3" t="s">
        <v>294</v>
      </c>
      <c r="G1251" s="3" t="s">
        <v>57</v>
      </c>
      <c r="H1251" s="2" t="s">
        <v>20</v>
      </c>
      <c r="I1251" s="2" t="s">
        <v>2716</v>
      </c>
      <c r="J1251" s="3" t="str">
        <f>HYPERLINK("https://www.boe.es/gazeta/dias/1822/05/23/pdfs/GMD-1822-147.pdf#page=4","Abrir facsímil")</f>
        <v>Abrir facsímil</v>
      </c>
      <c r="K1251" s="3" t="s">
        <v>22</v>
      </c>
    </row>
    <row r="1252" spans="1:11" ht="42" customHeight="1">
      <c r="A1252" s="2" t="s">
        <v>2717</v>
      </c>
      <c r="B1252" s="2" t="s">
        <v>2717</v>
      </c>
      <c r="C1252" s="2" t="s">
        <v>28</v>
      </c>
      <c r="D1252" s="2" t="s">
        <v>29</v>
      </c>
      <c r="E1252" s="5">
        <v>-28341</v>
      </c>
      <c r="F1252" s="3" t="s">
        <v>284</v>
      </c>
      <c r="G1252" s="3" t="s">
        <v>57</v>
      </c>
      <c r="H1252" s="2" t="s">
        <v>20</v>
      </c>
      <c r="I1252" s="2" t="s">
        <v>2718</v>
      </c>
      <c r="J1252" s="3" t="str">
        <f>HYPERLINK("https://www.boe.es/gazeta/dias/1822/05/27/pdfs/GMD-1822-152.pdf#page=4","Abrir facsímil")</f>
        <v>Abrir facsímil</v>
      </c>
      <c r="K1252" s="3" t="s">
        <v>22</v>
      </c>
    </row>
    <row r="1253" spans="1:11" ht="42" customHeight="1">
      <c r="A1253" s="2" t="s">
        <v>2719</v>
      </c>
      <c r="B1253" s="2" t="s">
        <v>2719</v>
      </c>
      <c r="C1253" s="2" t="s">
        <v>28</v>
      </c>
      <c r="D1253" s="2" t="s">
        <v>29</v>
      </c>
      <c r="E1253" s="5">
        <v>-28404</v>
      </c>
      <c r="F1253" s="3" t="s">
        <v>421</v>
      </c>
      <c r="G1253" s="3" t="s">
        <v>35</v>
      </c>
      <c r="H1253" s="2" t="s">
        <v>20</v>
      </c>
      <c r="I1253" s="2" t="s">
        <v>2720</v>
      </c>
      <c r="J1253" s="3" t="str">
        <f>HYPERLINK("https://www.boe.es/gazeta/dias/1822/03/25/pdfs/GMD-1822-86.pdf#page=2","Abrir facsímil")</f>
        <v>Abrir facsímil</v>
      </c>
      <c r="K1253" s="3" t="s">
        <v>22</v>
      </c>
    </row>
    <row r="1254" spans="1:11" ht="42" customHeight="1">
      <c r="A1254" s="2" t="s">
        <v>2721</v>
      </c>
      <c r="B1254" s="2" t="s">
        <v>2721</v>
      </c>
      <c r="C1254" s="2" t="s">
        <v>50</v>
      </c>
      <c r="D1254" s="2" t="s">
        <v>51</v>
      </c>
      <c r="E1254" s="5">
        <v>-28181</v>
      </c>
      <c r="F1254" s="3" t="s">
        <v>739</v>
      </c>
      <c r="G1254" s="3" t="s">
        <v>35</v>
      </c>
      <c r="H1254" s="2" t="s">
        <v>20</v>
      </c>
      <c r="I1254" s="2" t="s">
        <v>2722</v>
      </c>
      <c r="J1254" s="3" t="str">
        <f>HYPERLINK("https://www.boe.es/gazeta/dias/1822/11/03/pdfs/GMD-1822-321.pdf#page=2","Abrir facsímil")</f>
        <v>Abrir facsímil</v>
      </c>
      <c r="K1254" s="3" t="s">
        <v>22</v>
      </c>
    </row>
    <row r="1255" spans="1:11" ht="42" customHeight="1">
      <c r="A1255" s="2" t="s">
        <v>2723</v>
      </c>
      <c r="B1255" s="2" t="s">
        <v>2724</v>
      </c>
      <c r="C1255" s="2" t="s">
        <v>71</v>
      </c>
      <c r="D1255" s="2" t="s">
        <v>17</v>
      </c>
      <c r="E1255" s="5">
        <v>-28480</v>
      </c>
      <c r="F1255" s="3" t="s">
        <v>995</v>
      </c>
      <c r="G1255" s="3" t="s">
        <v>57</v>
      </c>
      <c r="H1255" s="2" t="s">
        <v>20</v>
      </c>
      <c r="I1255" s="2" t="s">
        <v>2725</v>
      </c>
      <c r="J1255" s="3" t="str">
        <f>HYPERLINK("https://www.boe.es/gazeta/dias/1822/01/08/pdfs/GMD-1822-8.pdf#page=4","Abrir facsímil")</f>
        <v>Abrir facsímil</v>
      </c>
      <c r="K1255" s="3" t="s">
        <v>22</v>
      </c>
    </row>
    <row r="1256" spans="1:11" ht="42" customHeight="1">
      <c r="A1256" s="2" t="s">
        <v>2726</v>
      </c>
      <c r="B1256" s="2" t="s">
        <v>2726</v>
      </c>
      <c r="C1256" s="2" t="s">
        <v>50</v>
      </c>
      <c r="D1256" s="2" t="s">
        <v>51</v>
      </c>
      <c r="E1256" s="5">
        <v>-28311</v>
      </c>
      <c r="F1256" s="3" t="s">
        <v>736</v>
      </c>
      <c r="G1256" s="3" t="s">
        <v>63</v>
      </c>
      <c r="H1256" s="2" t="s">
        <v>20</v>
      </c>
      <c r="I1256" s="2" t="s">
        <v>2727</v>
      </c>
      <c r="J1256" s="3" t="str">
        <f>HYPERLINK("https://www.boe.es/gazeta/dias/1822/06/26/pdfs/GMD-1822-184.pdf#page=6","Abrir facsímil")</f>
        <v>Abrir facsímil</v>
      </c>
      <c r="K1256" s="3" t="s">
        <v>22</v>
      </c>
    </row>
    <row r="1257" spans="1:11" ht="42" customHeight="1">
      <c r="A1257" s="2" t="s">
        <v>2728</v>
      </c>
      <c r="B1257" s="2" t="s">
        <v>2728</v>
      </c>
      <c r="C1257" s="2" t="s">
        <v>28</v>
      </c>
      <c r="D1257" s="2" t="s">
        <v>29</v>
      </c>
      <c r="E1257" s="5">
        <v>-28191</v>
      </c>
      <c r="F1257" s="3" t="s">
        <v>710</v>
      </c>
      <c r="G1257" s="3" t="s">
        <v>57</v>
      </c>
      <c r="H1257" s="2" t="s">
        <v>20</v>
      </c>
      <c r="I1257" s="2" t="s">
        <v>2729</v>
      </c>
      <c r="J1257" s="3" t="str">
        <f>HYPERLINK("https://www.boe.es/gazeta/dias/1822/10/24/pdfs/GMD-1822-311.pdf#page=4","Abrir facsímil")</f>
        <v>Abrir facsímil</v>
      </c>
      <c r="K1257" s="3" t="s">
        <v>22</v>
      </c>
    </row>
    <row r="1258" spans="1:11" ht="42" customHeight="1">
      <c r="A1258" s="2" t="s">
        <v>2730</v>
      </c>
      <c r="B1258" s="2" t="s">
        <v>2730</v>
      </c>
      <c r="C1258" s="2" t="s">
        <v>61</v>
      </c>
      <c r="D1258" s="2" t="s">
        <v>17</v>
      </c>
      <c r="E1258" s="5">
        <v>-28313</v>
      </c>
      <c r="F1258" s="3" t="s">
        <v>315</v>
      </c>
      <c r="G1258" s="3" t="s">
        <v>19</v>
      </c>
      <c r="H1258" s="2" t="s">
        <v>20</v>
      </c>
      <c r="I1258" s="2" t="s">
        <v>2731</v>
      </c>
      <c r="J1258" s="3" t="str">
        <f>HYPERLINK("https://www.boe.es/gazeta/dias/1822/06/24/pdfs/GMD-1822-182.pdf#page=5","Abrir facsímil")</f>
        <v>Abrir facsímil</v>
      </c>
      <c r="K1258" s="3" t="s">
        <v>22</v>
      </c>
    </row>
    <row r="1259" spans="1:11" ht="42" customHeight="1">
      <c r="A1259" s="2" t="s">
        <v>2732</v>
      </c>
      <c r="B1259" s="2" t="s">
        <v>2733</v>
      </c>
      <c r="C1259" s="2" t="s">
        <v>42</v>
      </c>
      <c r="D1259" s="2" t="s">
        <v>17</v>
      </c>
      <c r="E1259" s="5">
        <v>-28422</v>
      </c>
      <c r="F1259" s="3" t="s">
        <v>416</v>
      </c>
      <c r="G1259" s="3" t="s">
        <v>35</v>
      </c>
      <c r="H1259" s="2" t="s">
        <v>20</v>
      </c>
      <c r="I1259" s="2" t="s">
        <v>2734</v>
      </c>
      <c r="J1259" s="3" t="str">
        <f>HYPERLINK("https://www.boe.es/gazeta/dias/1822/03/07/pdfs/GMD-1822-68.pdf#page=2","Abrir facsímil")</f>
        <v>Abrir facsímil</v>
      </c>
      <c r="K1259" s="3" t="s">
        <v>22</v>
      </c>
    </row>
    <row r="1260" spans="1:11" ht="42" customHeight="1">
      <c r="A1260" s="2" t="s">
        <v>2735</v>
      </c>
      <c r="B1260" s="2" t="s">
        <v>2735</v>
      </c>
      <c r="C1260" s="2" t="s">
        <v>71</v>
      </c>
      <c r="D1260" s="2" t="s">
        <v>17</v>
      </c>
      <c r="E1260" s="5">
        <v>-28404</v>
      </c>
      <c r="F1260" s="3" t="s">
        <v>421</v>
      </c>
      <c r="G1260" s="3" t="s">
        <v>35</v>
      </c>
      <c r="H1260" s="2" t="s">
        <v>20</v>
      </c>
      <c r="I1260" s="2" t="s">
        <v>2736</v>
      </c>
      <c r="J1260" s="3" t="str">
        <f>HYPERLINK("https://www.boe.es/gazeta/dias/1822/03/25/pdfs/GMD-1822-86.pdf#page=2","Abrir facsímil")</f>
        <v>Abrir facsímil</v>
      </c>
      <c r="K1260" s="3" t="s">
        <v>22</v>
      </c>
    </row>
    <row r="1261" spans="1:11" ht="42" customHeight="1">
      <c r="A1261" s="2" t="s">
        <v>2737</v>
      </c>
      <c r="B1261" s="2" t="s">
        <v>2737</v>
      </c>
      <c r="C1261" s="2" t="s">
        <v>71</v>
      </c>
      <c r="D1261" s="2" t="s">
        <v>17</v>
      </c>
      <c r="E1261" s="5">
        <v>-28411</v>
      </c>
      <c r="F1261" s="3" t="s">
        <v>1509</v>
      </c>
      <c r="G1261" s="3" t="s">
        <v>35</v>
      </c>
      <c r="H1261" s="2" t="s">
        <v>20</v>
      </c>
      <c r="I1261" s="2" t="s">
        <v>2738</v>
      </c>
      <c r="J1261" s="3" t="str">
        <f>HYPERLINK("https://www.boe.es/gazeta/dias/1822/03/18/pdfs/GMD-1822-79.pdf#page=2","Abrir facsímil")</f>
        <v>Abrir facsímil</v>
      </c>
      <c r="K1261" s="3" t="s">
        <v>22</v>
      </c>
    </row>
    <row r="1262" spans="1:11" ht="42" customHeight="1">
      <c r="A1262" s="2" t="s">
        <v>2739</v>
      </c>
      <c r="B1262" s="2" t="s">
        <v>2739</v>
      </c>
      <c r="C1262" s="2" t="s">
        <v>24</v>
      </c>
      <c r="D1262" s="2" t="s">
        <v>17</v>
      </c>
      <c r="E1262" s="5">
        <v>-28394</v>
      </c>
      <c r="F1262" s="3" t="s">
        <v>268</v>
      </c>
      <c r="G1262" s="3" t="s">
        <v>35</v>
      </c>
      <c r="H1262" s="2" t="s">
        <v>20</v>
      </c>
      <c r="I1262" s="2" t="s">
        <v>2740</v>
      </c>
      <c r="J1262" s="3" t="str">
        <f>HYPERLINK("https://www.boe.es/gazeta/dias/1822/04/04/pdfs/GMD-1822-96.pdf#page=2","Abrir facsímil")</f>
        <v>Abrir facsímil</v>
      </c>
      <c r="K1262" s="3" t="s">
        <v>22</v>
      </c>
    </row>
    <row r="1263" spans="1:11" ht="42" customHeight="1">
      <c r="A1263" s="2" t="s">
        <v>2741</v>
      </c>
      <c r="B1263" s="2" t="s">
        <v>2741</v>
      </c>
      <c r="C1263" s="2" t="s">
        <v>50</v>
      </c>
      <c r="D1263" s="2" t="s">
        <v>51</v>
      </c>
      <c r="E1263" s="5">
        <v>-28199</v>
      </c>
      <c r="F1263" s="3" t="s">
        <v>656</v>
      </c>
      <c r="G1263" s="3" t="s">
        <v>57</v>
      </c>
      <c r="H1263" s="2" t="s">
        <v>20</v>
      </c>
      <c r="I1263" s="2" t="s">
        <v>2742</v>
      </c>
      <c r="J1263" s="3" t="str">
        <f>HYPERLINK("https://www.boe.es/gazeta/dias/1822/10/16/pdfs/GMD-1822-303.pdf#page=4","Abrir facsímil")</f>
        <v>Abrir facsímil</v>
      </c>
      <c r="K1263" s="3" t="s">
        <v>22</v>
      </c>
    </row>
    <row r="1264" spans="1:11" ht="42" customHeight="1">
      <c r="A1264" s="2" t="s">
        <v>2743</v>
      </c>
      <c r="B1264" s="2" t="s">
        <v>2743</v>
      </c>
      <c r="C1264" s="2" t="s">
        <v>42</v>
      </c>
      <c r="D1264" s="2" t="s">
        <v>17</v>
      </c>
      <c r="E1264" s="5">
        <v>-28377</v>
      </c>
      <c r="F1264" s="3" t="s">
        <v>498</v>
      </c>
      <c r="G1264" s="3" t="s">
        <v>35</v>
      </c>
      <c r="H1264" s="2" t="s">
        <v>20</v>
      </c>
      <c r="I1264" s="2" t="s">
        <v>2744</v>
      </c>
      <c r="J1264" s="3" t="str">
        <f>HYPERLINK("https://www.boe.es/gazeta/dias/1822/04/21/pdfs/GMD-1822-113.pdf#page=2","Abrir facsímil")</f>
        <v>Abrir facsímil</v>
      </c>
      <c r="K1264" s="3" t="s">
        <v>22</v>
      </c>
    </row>
    <row r="1265" spans="1:11" ht="42" customHeight="1">
      <c r="A1265" s="2" t="s">
        <v>2745</v>
      </c>
      <c r="B1265" s="2" t="s">
        <v>2745</v>
      </c>
      <c r="C1265" s="2" t="s">
        <v>16</v>
      </c>
      <c r="D1265" s="2" t="s">
        <v>17</v>
      </c>
      <c r="E1265" s="5">
        <v>-28280</v>
      </c>
      <c r="F1265" s="3" t="s">
        <v>56</v>
      </c>
      <c r="G1265" s="3" t="s">
        <v>57</v>
      </c>
      <c r="H1265" s="2" t="s">
        <v>20</v>
      </c>
      <c r="I1265" s="2" t="s">
        <v>2746</v>
      </c>
      <c r="J1265" s="3" t="str">
        <f>HYPERLINK("https://www.boe.es/gazeta/dias/1822/07/27/pdfs/GMD-1822-220.pdf#page=4","Abrir facsímil")</f>
        <v>Abrir facsímil</v>
      </c>
      <c r="K1265" s="3" t="s">
        <v>22</v>
      </c>
    </row>
    <row r="1266" spans="1:11" ht="42" customHeight="1">
      <c r="A1266" s="2" t="s">
        <v>2747</v>
      </c>
      <c r="B1266" s="2" t="s">
        <v>2748</v>
      </c>
      <c r="C1266" s="2" t="s">
        <v>42</v>
      </c>
      <c r="D1266" s="2" t="s">
        <v>17</v>
      </c>
      <c r="E1266" s="5">
        <v>-28395</v>
      </c>
      <c r="F1266" s="3" t="s">
        <v>237</v>
      </c>
      <c r="G1266" s="3" t="s">
        <v>57</v>
      </c>
      <c r="H1266" s="2" t="s">
        <v>20</v>
      </c>
      <c r="I1266" s="2" t="s">
        <v>2749</v>
      </c>
      <c r="J1266" s="3" t="str">
        <f>HYPERLINK("https://www.boe.es/gazeta/dias/1822/04/03/pdfs/GMD-1822-95.pdf#page=4","Abrir facsímil")</f>
        <v>Abrir facsímil</v>
      </c>
      <c r="K1266" s="3" t="s">
        <v>22</v>
      </c>
    </row>
    <row r="1267" spans="1:11" ht="42" customHeight="1">
      <c r="A1267" s="2" t="s">
        <v>2750</v>
      </c>
      <c r="B1267" s="2" t="s">
        <v>2751</v>
      </c>
      <c r="C1267" s="2" t="s">
        <v>42</v>
      </c>
      <c r="D1267" s="2" t="s">
        <v>17</v>
      </c>
      <c r="E1267" s="5">
        <v>-28439</v>
      </c>
      <c r="F1267" s="3" t="s">
        <v>2752</v>
      </c>
      <c r="G1267" s="3" t="s">
        <v>57</v>
      </c>
      <c r="H1267" s="2" t="s">
        <v>20</v>
      </c>
      <c r="I1267" s="2" t="s">
        <v>2753</v>
      </c>
      <c r="J1267" s="3" t="str">
        <f>HYPERLINK("https://www.boe.es/gazeta/dias/1822/02/18/pdfs/GMD-1822-50.pdf#page=4","Abrir facsímil")</f>
        <v>Abrir facsímil</v>
      </c>
      <c r="K1267" s="3" t="s">
        <v>22</v>
      </c>
    </row>
    <row r="1268" spans="1:11" ht="42" customHeight="1">
      <c r="A1268" s="2" t="s">
        <v>2750</v>
      </c>
      <c r="B1268" s="2" t="s">
        <v>2751</v>
      </c>
      <c r="C1268" s="2" t="s">
        <v>28</v>
      </c>
      <c r="D1268" s="2" t="s">
        <v>29</v>
      </c>
      <c r="E1268" s="5">
        <v>-28436</v>
      </c>
      <c r="F1268" s="3" t="s">
        <v>431</v>
      </c>
      <c r="G1268" s="3" t="s">
        <v>57</v>
      </c>
      <c r="H1268" s="2" t="s">
        <v>20</v>
      </c>
      <c r="I1268" s="2" t="s">
        <v>2754</v>
      </c>
      <c r="J1268" s="3" t="str">
        <f>HYPERLINK("https://www.boe.es/gazeta/dias/1822/02/21/pdfs/GMD-1822-53.pdf#page=4","Abrir facsímil")</f>
        <v>Abrir facsímil</v>
      </c>
      <c r="K1268" s="3" t="s">
        <v>22</v>
      </c>
    </row>
    <row r="1269" spans="1:11" ht="42" customHeight="1">
      <c r="A1269" s="2" t="s">
        <v>2750</v>
      </c>
      <c r="B1269" s="2" t="s">
        <v>2751</v>
      </c>
      <c r="C1269" s="2" t="s">
        <v>42</v>
      </c>
      <c r="D1269" s="2" t="s">
        <v>17</v>
      </c>
      <c r="E1269" s="5">
        <v>-28392</v>
      </c>
      <c r="F1269" s="3" t="s">
        <v>2003</v>
      </c>
      <c r="G1269" s="3" t="s">
        <v>57</v>
      </c>
      <c r="H1269" s="2" t="s">
        <v>20</v>
      </c>
      <c r="I1269" s="2" t="s">
        <v>2755</v>
      </c>
      <c r="J1269" s="3" t="str">
        <f>HYPERLINK("https://www.boe.es/gazeta/dias/1822/04/06/pdfs/GMD-1822-98.pdf#page=4","Abrir facsímil")</f>
        <v>Abrir facsímil</v>
      </c>
      <c r="K1269" s="3" t="s">
        <v>22</v>
      </c>
    </row>
    <row r="1270" spans="1:11" ht="42" customHeight="1">
      <c r="A1270" s="2" t="s">
        <v>2750</v>
      </c>
      <c r="B1270" s="2" t="s">
        <v>2751</v>
      </c>
      <c r="C1270" s="2" t="s">
        <v>50</v>
      </c>
      <c r="D1270" s="2" t="s">
        <v>51</v>
      </c>
      <c r="E1270" s="5">
        <v>-28380</v>
      </c>
      <c r="F1270" s="3" t="s">
        <v>492</v>
      </c>
      <c r="G1270" s="3" t="s">
        <v>63</v>
      </c>
      <c r="H1270" s="2" t="s">
        <v>20</v>
      </c>
      <c r="I1270" s="2" t="s">
        <v>2756</v>
      </c>
      <c r="J1270" s="3" t="str">
        <f>HYPERLINK("https://www.boe.es/gazeta/dias/1822/04/18/pdfs/GMD-1822-110.pdf#page=6","Abrir facsímil")</f>
        <v>Abrir facsímil</v>
      </c>
      <c r="K1270" s="3" t="s">
        <v>22</v>
      </c>
    </row>
    <row r="1271" spans="1:11" ht="42" customHeight="1">
      <c r="A1271" s="2" t="s">
        <v>2750</v>
      </c>
      <c r="B1271" s="2" t="s">
        <v>2751</v>
      </c>
      <c r="C1271" s="2" t="s">
        <v>28</v>
      </c>
      <c r="D1271" s="2" t="s">
        <v>29</v>
      </c>
      <c r="E1271" s="5">
        <v>-28314</v>
      </c>
      <c r="F1271" s="3" t="s">
        <v>309</v>
      </c>
      <c r="G1271" s="3" t="s">
        <v>63</v>
      </c>
      <c r="H1271" s="2" t="s">
        <v>20</v>
      </c>
      <c r="I1271" s="2" t="s">
        <v>2757</v>
      </c>
      <c r="J1271" s="3" t="str">
        <f>HYPERLINK("https://www.boe.es/gazeta/dias/1822/06/23/pdfs/GMD-1822-181.pdf#page=6","Abrir facsímil")</f>
        <v>Abrir facsímil</v>
      </c>
      <c r="K1271" s="3" t="s">
        <v>22</v>
      </c>
    </row>
    <row r="1272" spans="1:11" ht="42" customHeight="1">
      <c r="A1272" s="2" t="s">
        <v>2750</v>
      </c>
      <c r="B1272" s="2" t="s">
        <v>2751</v>
      </c>
      <c r="C1272" s="2" t="s">
        <v>42</v>
      </c>
      <c r="D1272" s="2" t="s">
        <v>17</v>
      </c>
      <c r="E1272" s="5">
        <v>-28295</v>
      </c>
      <c r="F1272" s="3" t="s">
        <v>81</v>
      </c>
      <c r="G1272" s="3" t="s">
        <v>57</v>
      </c>
      <c r="H1272" s="2" t="s">
        <v>20</v>
      </c>
      <c r="I1272" s="2" t="s">
        <v>2758</v>
      </c>
      <c r="J1272" s="3" t="str">
        <f>HYPERLINK("https://www.boe.es/gazeta/dias/1822/07/12/pdfs/GMD-1822-202.pdf#page=4","Abrir facsímil")</f>
        <v>Abrir facsímil</v>
      </c>
      <c r="K1272" s="3" t="s">
        <v>22</v>
      </c>
    </row>
    <row r="1273" spans="1:11" ht="42" customHeight="1">
      <c r="A1273" s="2" t="s">
        <v>2750</v>
      </c>
      <c r="B1273" s="2" t="s">
        <v>2751</v>
      </c>
      <c r="C1273" s="2" t="s">
        <v>61</v>
      </c>
      <c r="D1273" s="2" t="s">
        <v>17</v>
      </c>
      <c r="E1273" s="5">
        <v>-28226</v>
      </c>
      <c r="F1273" s="3" t="s">
        <v>812</v>
      </c>
      <c r="G1273" s="3" t="s">
        <v>57</v>
      </c>
      <c r="H1273" s="2" t="s">
        <v>20</v>
      </c>
      <c r="I1273" s="2" t="s">
        <v>2759</v>
      </c>
      <c r="J1273" s="3" t="str">
        <f>HYPERLINK("https://www.boe.es/gazeta/dias/1822/09/19/pdfs/GMD-1822-275.pdf#page=4","Abrir facsímil")</f>
        <v>Abrir facsímil</v>
      </c>
      <c r="K1273" s="3" t="s">
        <v>22</v>
      </c>
    </row>
    <row r="1274" spans="1:11" ht="42" customHeight="1">
      <c r="A1274" s="2" t="s">
        <v>2750</v>
      </c>
      <c r="B1274" s="2" t="s">
        <v>2751</v>
      </c>
      <c r="C1274" s="2" t="s">
        <v>28</v>
      </c>
      <c r="D1274" s="2" t="s">
        <v>29</v>
      </c>
      <c r="E1274" s="5">
        <v>-28144</v>
      </c>
      <c r="F1274" s="3" t="s">
        <v>288</v>
      </c>
      <c r="G1274" s="3" t="s">
        <v>63</v>
      </c>
      <c r="H1274" s="2" t="s">
        <v>20</v>
      </c>
      <c r="I1274" s="2" t="s">
        <v>2760</v>
      </c>
      <c r="J1274" s="3" t="str">
        <f>HYPERLINK("https://www.boe.es/gazeta/dias/1822/12/10/pdfs/GMD-1822-360.pdf#page=6","Abrir facsímil")</f>
        <v>Abrir facsímil</v>
      </c>
      <c r="K1274" s="3" t="s">
        <v>22</v>
      </c>
    </row>
    <row r="1275" spans="1:11" ht="42" customHeight="1">
      <c r="A1275" s="2" t="s">
        <v>2761</v>
      </c>
      <c r="B1275" s="2" t="s">
        <v>2762</v>
      </c>
      <c r="C1275" s="2" t="s">
        <v>16</v>
      </c>
      <c r="D1275" s="2" t="s">
        <v>17</v>
      </c>
      <c r="E1275" s="5">
        <v>-28428</v>
      </c>
      <c r="F1275" s="3" t="s">
        <v>1924</v>
      </c>
      <c r="G1275" s="3" t="s">
        <v>57</v>
      </c>
      <c r="H1275" s="2" t="s">
        <v>20</v>
      </c>
      <c r="I1275" s="2" t="s">
        <v>2763</v>
      </c>
      <c r="J1275" s="3" t="str">
        <f>HYPERLINK("https://www.boe.es/gazeta/dias/1822/03/01/pdfs/GMD-1822-61.pdf#page=4","Abrir facsímil")</f>
        <v>Abrir facsímil</v>
      </c>
      <c r="K1275" s="3" t="s">
        <v>22</v>
      </c>
    </row>
    <row r="1276" spans="1:11" ht="42" customHeight="1">
      <c r="A1276" s="2" t="s">
        <v>2764</v>
      </c>
      <c r="B1276" s="2" t="s">
        <v>2765</v>
      </c>
      <c r="C1276" s="2" t="s">
        <v>28</v>
      </c>
      <c r="D1276" s="2" t="s">
        <v>29</v>
      </c>
      <c r="E1276" s="5">
        <v>-28295</v>
      </c>
      <c r="F1276" s="3" t="s">
        <v>81</v>
      </c>
      <c r="G1276" s="3" t="s">
        <v>57</v>
      </c>
      <c r="H1276" s="2" t="s">
        <v>20</v>
      </c>
      <c r="I1276" s="2" t="s">
        <v>2766</v>
      </c>
      <c r="J1276" s="3" t="str">
        <f>HYPERLINK("https://www.boe.es/gazeta/dias/1822/07/12/pdfs/GMD-1822-202.pdf#page=4","Abrir facsímil")</f>
        <v>Abrir facsímil</v>
      </c>
      <c r="K1276" s="3" t="s">
        <v>22</v>
      </c>
    </row>
    <row r="1277" spans="1:11" ht="42" customHeight="1">
      <c r="A1277" s="2" t="s">
        <v>2764</v>
      </c>
      <c r="B1277" s="2" t="s">
        <v>2765</v>
      </c>
      <c r="C1277" s="2" t="s">
        <v>16</v>
      </c>
      <c r="D1277" s="2" t="s">
        <v>17</v>
      </c>
      <c r="E1277" s="5">
        <v>-28280</v>
      </c>
      <c r="F1277" s="3" t="s">
        <v>56</v>
      </c>
      <c r="G1277" s="3" t="s">
        <v>57</v>
      </c>
      <c r="H1277" s="2" t="s">
        <v>20</v>
      </c>
      <c r="I1277" s="2" t="s">
        <v>2767</v>
      </c>
      <c r="J1277" s="3" t="str">
        <f>HYPERLINK("https://www.boe.es/gazeta/dias/1822/07/27/pdfs/GMD-1822-220.pdf#page=4","Abrir facsímil")</f>
        <v>Abrir facsímil</v>
      </c>
      <c r="K1277" s="3" t="s">
        <v>22</v>
      </c>
    </row>
    <row r="1278" spans="1:11" ht="42" customHeight="1">
      <c r="A1278" s="2" t="s">
        <v>2768</v>
      </c>
      <c r="B1278" s="2" t="s">
        <v>2768</v>
      </c>
      <c r="C1278" s="2" t="s">
        <v>42</v>
      </c>
      <c r="D1278" s="2" t="s">
        <v>17</v>
      </c>
      <c r="E1278" s="5">
        <v>-28401</v>
      </c>
      <c r="F1278" s="3" t="s">
        <v>108</v>
      </c>
      <c r="G1278" s="3" t="s">
        <v>19</v>
      </c>
      <c r="H1278" s="2" t="s">
        <v>20</v>
      </c>
      <c r="I1278" s="2" t="s">
        <v>2769</v>
      </c>
      <c r="J1278" s="3" t="str">
        <f>HYPERLINK("https://www.boe.es/gazeta/dias/1822/03/28/pdfs/GMD-1822-89.pdf#page=5","Abrir facsímil")</f>
        <v>Abrir facsímil</v>
      </c>
      <c r="K1278" s="3" t="s">
        <v>22</v>
      </c>
    </row>
    <row r="1279" spans="1:11" ht="42" customHeight="1">
      <c r="A1279" s="2" t="s">
        <v>2770</v>
      </c>
      <c r="B1279" s="2" t="s">
        <v>2770</v>
      </c>
      <c r="C1279" s="2" t="s">
        <v>42</v>
      </c>
      <c r="D1279" s="2" t="s">
        <v>17</v>
      </c>
      <c r="E1279" s="5">
        <v>-28350</v>
      </c>
      <c r="F1279" s="3" t="s">
        <v>352</v>
      </c>
      <c r="G1279" s="3" t="s">
        <v>31</v>
      </c>
      <c r="H1279" s="2" t="s">
        <v>20</v>
      </c>
      <c r="I1279" s="2" t="s">
        <v>2771</v>
      </c>
      <c r="J1279" s="3" t="str">
        <f>HYPERLINK("https://www.boe.es/gazeta/dias/1822/05/18/pdfs/GMD-1822-140.pdf#page=3","Abrir facsímil")</f>
        <v>Abrir facsímil</v>
      </c>
      <c r="K1279" s="3" t="s">
        <v>22</v>
      </c>
    </row>
    <row r="1280" spans="1:11" ht="42" customHeight="1">
      <c r="A1280" s="2" t="s">
        <v>2772</v>
      </c>
      <c r="B1280" s="2" t="s">
        <v>2772</v>
      </c>
      <c r="C1280" s="2" t="s">
        <v>28</v>
      </c>
      <c r="D1280" s="2" t="s">
        <v>29</v>
      </c>
      <c r="E1280" s="5">
        <v>-28174</v>
      </c>
      <c r="F1280" s="3" t="s">
        <v>881</v>
      </c>
      <c r="G1280" s="3" t="s">
        <v>63</v>
      </c>
      <c r="H1280" s="2" t="s">
        <v>20</v>
      </c>
      <c r="I1280" s="2" t="s">
        <v>2773</v>
      </c>
      <c r="J1280" s="3" t="str">
        <f>HYPERLINK("https://www.boe.es/gazeta/dias/1822/11/10/pdfs/GMD-1822-330.pdf#page=6","Abrir facsímil")</f>
        <v>Abrir facsímil</v>
      </c>
      <c r="K1280" s="3" t="s">
        <v>22</v>
      </c>
    </row>
    <row r="1281" spans="1:11" ht="42" customHeight="1">
      <c r="A1281" s="2" t="s">
        <v>2774</v>
      </c>
      <c r="B1281" s="2" t="s">
        <v>2774</v>
      </c>
      <c r="C1281" s="2" t="s">
        <v>42</v>
      </c>
      <c r="D1281" s="2" t="s">
        <v>17</v>
      </c>
      <c r="E1281" s="5">
        <v>-28325</v>
      </c>
      <c r="F1281" s="3" t="s">
        <v>104</v>
      </c>
      <c r="G1281" s="3" t="s">
        <v>35</v>
      </c>
      <c r="H1281" s="2" t="s">
        <v>20</v>
      </c>
      <c r="I1281" s="2" t="s">
        <v>2775</v>
      </c>
      <c r="J1281" s="3" t="str">
        <f>HYPERLINK("https://www.boe.es/gazeta/dias/1822/06/12/pdfs/GMD-1822-169.pdf#page=2","Abrir facsímil")</f>
        <v>Abrir facsímil</v>
      </c>
      <c r="K1281" s="3" t="s">
        <v>22</v>
      </c>
    </row>
    <row r="1282" spans="1:11" ht="42" customHeight="1">
      <c r="A1282" s="2" t="s">
        <v>2776</v>
      </c>
      <c r="B1282" s="2" t="s">
        <v>2776</v>
      </c>
      <c r="C1282" s="2" t="s">
        <v>28</v>
      </c>
      <c r="D1282" s="2" t="s">
        <v>29</v>
      </c>
      <c r="E1282" s="5">
        <v>-28402</v>
      </c>
      <c r="F1282" s="3" t="s">
        <v>473</v>
      </c>
      <c r="G1282" s="3" t="s">
        <v>35</v>
      </c>
      <c r="H1282" s="2" t="s">
        <v>20</v>
      </c>
      <c r="I1282" s="2" t="s">
        <v>2777</v>
      </c>
      <c r="J1282" s="3" t="str">
        <f>HYPERLINK("https://www.boe.es/gazeta/dias/1822/03/27/pdfs/GMD-1822-88.pdf#page=2","Abrir facsímil")</f>
        <v>Abrir facsímil</v>
      </c>
      <c r="K1282" s="3" t="s">
        <v>22</v>
      </c>
    </row>
    <row r="1283" spans="1:11" ht="42" customHeight="1">
      <c r="A1283" s="2" t="s">
        <v>2778</v>
      </c>
      <c r="B1283" s="2" t="s">
        <v>2778</v>
      </c>
      <c r="C1283" s="2" t="s">
        <v>50</v>
      </c>
      <c r="D1283" s="2" t="s">
        <v>51</v>
      </c>
      <c r="E1283" s="5">
        <v>-28311</v>
      </c>
      <c r="F1283" s="3" t="s">
        <v>736</v>
      </c>
      <c r="G1283" s="3" t="s">
        <v>63</v>
      </c>
      <c r="H1283" s="2" t="s">
        <v>20</v>
      </c>
      <c r="I1283" s="2" t="s">
        <v>2779</v>
      </c>
      <c r="J1283" s="3" t="str">
        <f>HYPERLINK("https://www.boe.es/gazeta/dias/1822/06/26/pdfs/GMD-1822-184.pdf#page=6","Abrir facsímil")</f>
        <v>Abrir facsímil</v>
      </c>
      <c r="K1283" s="3" t="s">
        <v>22</v>
      </c>
    </row>
    <row r="1284" spans="1:11" ht="42" customHeight="1">
      <c r="A1284" s="2" t="s">
        <v>2780</v>
      </c>
      <c r="B1284" s="2" t="s">
        <v>2780</v>
      </c>
      <c r="C1284" s="2" t="s">
        <v>16</v>
      </c>
      <c r="D1284" s="2" t="s">
        <v>17</v>
      </c>
      <c r="E1284" s="5">
        <v>-28378</v>
      </c>
      <c r="F1284" s="3" t="s">
        <v>496</v>
      </c>
      <c r="G1284" s="3" t="s">
        <v>35</v>
      </c>
      <c r="H1284" s="2" t="s">
        <v>20</v>
      </c>
      <c r="I1284" s="2" t="s">
        <v>2781</v>
      </c>
      <c r="J1284" s="3" t="str">
        <f>HYPERLINK("https://www.boe.es/gazeta/dias/1822/04/20/pdfs/GMD-1822-112.pdf#page=2","Abrir facsímil")</f>
        <v>Abrir facsímil</v>
      </c>
      <c r="K1284" s="3" t="s">
        <v>22</v>
      </c>
    </row>
    <row r="1285" spans="1:11" ht="42" customHeight="1">
      <c r="A1285" s="2" t="s">
        <v>2782</v>
      </c>
      <c r="B1285" s="2" t="s">
        <v>2782</v>
      </c>
      <c r="C1285" s="2" t="s">
        <v>16</v>
      </c>
      <c r="D1285" s="2" t="s">
        <v>17</v>
      </c>
      <c r="E1285" s="5">
        <v>-28394</v>
      </c>
      <c r="F1285" s="3" t="s">
        <v>268</v>
      </c>
      <c r="G1285" s="3" t="s">
        <v>57</v>
      </c>
      <c r="H1285" s="2" t="s">
        <v>20</v>
      </c>
      <c r="I1285" s="2" t="s">
        <v>2783</v>
      </c>
      <c r="J1285" s="3" t="str">
        <f>HYPERLINK("https://www.boe.es/gazeta/dias/1822/04/04/pdfs/GMD-1822-96.pdf#page=4","Abrir facsímil")</f>
        <v>Abrir facsímil</v>
      </c>
      <c r="K1285" s="3" t="s">
        <v>22</v>
      </c>
    </row>
    <row r="1286" spans="1:11" ht="42" customHeight="1">
      <c r="A1286" s="2" t="s">
        <v>2784</v>
      </c>
      <c r="B1286" s="2" t="s">
        <v>2784</v>
      </c>
      <c r="C1286" s="2" t="s">
        <v>28</v>
      </c>
      <c r="D1286" s="2" t="s">
        <v>29</v>
      </c>
      <c r="E1286" s="5">
        <v>-28325</v>
      </c>
      <c r="F1286" s="3" t="s">
        <v>104</v>
      </c>
      <c r="G1286" s="3" t="s">
        <v>35</v>
      </c>
      <c r="H1286" s="2" t="s">
        <v>20</v>
      </c>
      <c r="I1286" s="2" t="s">
        <v>2785</v>
      </c>
      <c r="J1286" s="3" t="str">
        <f>HYPERLINK("https://www.boe.es/gazeta/dias/1822/06/12/pdfs/GMD-1822-169.pdf#page=2","Abrir facsímil")</f>
        <v>Abrir facsímil</v>
      </c>
      <c r="K1286" s="3" t="s">
        <v>22</v>
      </c>
    </row>
    <row r="1287" spans="1:11" ht="42" customHeight="1">
      <c r="A1287" s="2" t="s">
        <v>2786</v>
      </c>
      <c r="B1287" s="2" t="s">
        <v>2786</v>
      </c>
      <c r="C1287" s="2" t="s">
        <v>24</v>
      </c>
      <c r="D1287" s="2" t="s">
        <v>17</v>
      </c>
      <c r="E1287" s="5">
        <v>-28364</v>
      </c>
      <c r="F1287" s="3" t="s">
        <v>509</v>
      </c>
      <c r="G1287" s="3" t="s">
        <v>35</v>
      </c>
      <c r="H1287" s="2" t="s">
        <v>20</v>
      </c>
      <c r="I1287" s="2" t="s">
        <v>2787</v>
      </c>
      <c r="J1287" s="3" t="str">
        <f>HYPERLINK("https://www.boe.es/gazeta/dias/1822/05/04/pdfs/GMD-1822-126.pdf#page=2","Abrir facsímil")</f>
        <v>Abrir facsímil</v>
      </c>
      <c r="K1287" s="3" t="s">
        <v>22</v>
      </c>
    </row>
    <row r="1288" spans="1:11" ht="42" customHeight="1">
      <c r="A1288" s="2" t="s">
        <v>2788</v>
      </c>
      <c r="B1288" s="2" t="s">
        <v>2788</v>
      </c>
      <c r="C1288" s="2" t="s">
        <v>42</v>
      </c>
      <c r="D1288" s="2" t="s">
        <v>17</v>
      </c>
      <c r="E1288" s="5">
        <v>-28133</v>
      </c>
      <c r="F1288" s="3" t="s">
        <v>595</v>
      </c>
      <c r="G1288" s="3" t="s">
        <v>31</v>
      </c>
      <c r="H1288" s="2" t="s">
        <v>20</v>
      </c>
      <c r="I1288" s="2" t="s">
        <v>2789</v>
      </c>
      <c r="J1288" s="3" t="str">
        <f>HYPERLINK("https://www.boe.es/gazeta/dias/1822/12/21/pdfs/GMD-1822-371.pdf#page=3","Abrir facsímil")</f>
        <v>Abrir facsímil</v>
      </c>
      <c r="K1288" s="3" t="s">
        <v>22</v>
      </c>
    </row>
    <row r="1289" spans="1:11" ht="42" customHeight="1">
      <c r="A1289" s="2" t="s">
        <v>2790</v>
      </c>
      <c r="B1289" s="2" t="s">
        <v>2790</v>
      </c>
      <c r="C1289" s="2" t="s">
        <v>28</v>
      </c>
      <c r="D1289" s="2" t="s">
        <v>29</v>
      </c>
      <c r="E1289" s="5">
        <v>-28361</v>
      </c>
      <c r="F1289" s="3" t="s">
        <v>374</v>
      </c>
      <c r="G1289" s="3" t="s">
        <v>31</v>
      </c>
      <c r="H1289" s="2" t="s">
        <v>20</v>
      </c>
      <c r="I1289" s="2" t="s">
        <v>2791</v>
      </c>
      <c r="J1289" s="3" t="str">
        <f>HYPERLINK("https://www.boe.es/gazeta/dias/1822/05/07/pdfs/GMD-1822-129.pdf#page=3","Abrir facsímil")</f>
        <v>Abrir facsímil</v>
      </c>
      <c r="K1289" s="3" t="s">
        <v>22</v>
      </c>
    </row>
    <row r="1290" spans="1:11" ht="42" customHeight="1">
      <c r="A1290" s="2" t="s">
        <v>2792</v>
      </c>
      <c r="B1290" s="2" t="s">
        <v>2792</v>
      </c>
      <c r="C1290" s="2" t="s">
        <v>28</v>
      </c>
      <c r="D1290" s="2" t="s">
        <v>29</v>
      </c>
      <c r="E1290" s="5">
        <v>-28329</v>
      </c>
      <c r="F1290" s="3" t="s">
        <v>354</v>
      </c>
      <c r="G1290" s="3" t="s">
        <v>35</v>
      </c>
      <c r="H1290" s="2" t="s">
        <v>20</v>
      </c>
      <c r="I1290" s="2" t="s">
        <v>2793</v>
      </c>
      <c r="J1290" s="3" t="str">
        <f>HYPERLINK("https://www.boe.es/gazeta/dias/1822/06/08/pdfs/GMD-1822-165.pdf#page=2","Abrir facsímil")</f>
        <v>Abrir facsímil</v>
      </c>
      <c r="K1290" s="3" t="s">
        <v>22</v>
      </c>
    </row>
    <row r="1291" spans="1:11" ht="42" customHeight="1">
      <c r="A1291" s="2" t="s">
        <v>2794</v>
      </c>
      <c r="B1291" s="2" t="s">
        <v>2794</v>
      </c>
      <c r="C1291" s="2" t="s">
        <v>28</v>
      </c>
      <c r="D1291" s="2" t="s">
        <v>29</v>
      </c>
      <c r="E1291" s="5">
        <v>-28411</v>
      </c>
      <c r="F1291" s="3" t="s">
        <v>1509</v>
      </c>
      <c r="G1291" s="3" t="s">
        <v>31</v>
      </c>
      <c r="H1291" s="2" t="s">
        <v>20</v>
      </c>
      <c r="I1291" s="2" t="s">
        <v>2795</v>
      </c>
      <c r="J1291" s="3" t="str">
        <f>HYPERLINK("https://www.boe.es/gazeta/dias/1822/03/18/pdfs/GMD-1822-79.pdf#page=3","Abrir facsímil")</f>
        <v>Abrir facsímil</v>
      </c>
      <c r="K1291" s="3" t="s">
        <v>22</v>
      </c>
    </row>
    <row r="1292" spans="1:11" ht="42" customHeight="1">
      <c r="A1292" s="2" t="s">
        <v>2794</v>
      </c>
      <c r="B1292" s="2" t="s">
        <v>2794</v>
      </c>
      <c r="C1292" s="2" t="s">
        <v>28</v>
      </c>
      <c r="D1292" s="2" t="s">
        <v>29</v>
      </c>
      <c r="E1292" s="5">
        <v>-28401</v>
      </c>
      <c r="F1292" s="3" t="s">
        <v>108</v>
      </c>
      <c r="G1292" s="3" t="s">
        <v>44</v>
      </c>
      <c r="H1292" s="2" t="s">
        <v>20</v>
      </c>
      <c r="I1292" s="2" t="s">
        <v>2796</v>
      </c>
      <c r="J1292" s="3" t="str">
        <f>HYPERLINK("https://www.boe.es/gazeta/dias/1822/03/28/pdfs/GMD-1822-89.pdf#page=1","Abrir facsímil")</f>
        <v>Abrir facsímil</v>
      </c>
      <c r="K1292" s="3" t="s">
        <v>22</v>
      </c>
    </row>
    <row r="1293" spans="1:11" ht="42" customHeight="1">
      <c r="A1293" s="2" t="s">
        <v>2794</v>
      </c>
      <c r="B1293" s="2" t="s">
        <v>2794</v>
      </c>
      <c r="C1293" s="2" t="s">
        <v>42</v>
      </c>
      <c r="D1293" s="2" t="s">
        <v>17</v>
      </c>
      <c r="E1293" s="5">
        <v>-28388</v>
      </c>
      <c r="F1293" s="3" t="s">
        <v>1268</v>
      </c>
      <c r="G1293" s="3" t="s">
        <v>35</v>
      </c>
      <c r="H1293" s="2" t="s">
        <v>20</v>
      </c>
      <c r="I1293" s="2" t="s">
        <v>2797</v>
      </c>
      <c r="J1293" s="3" t="str">
        <f>HYPERLINK("https://www.boe.es/gazeta/dias/1822/04/10/pdfs/GMD-1822-102.pdf#page=2","Abrir facsímil")</f>
        <v>Abrir facsímil</v>
      </c>
      <c r="K1293" s="3" t="s">
        <v>22</v>
      </c>
    </row>
    <row r="1294" spans="1:11" ht="42" customHeight="1">
      <c r="A1294" s="2" t="s">
        <v>2798</v>
      </c>
      <c r="B1294" s="2" t="s">
        <v>2798</v>
      </c>
      <c r="C1294" s="2" t="s">
        <v>71</v>
      </c>
      <c r="D1294" s="2" t="s">
        <v>17</v>
      </c>
      <c r="E1294" s="5">
        <v>-28361</v>
      </c>
      <c r="F1294" s="3" t="s">
        <v>374</v>
      </c>
      <c r="G1294" s="3" t="s">
        <v>31</v>
      </c>
      <c r="H1294" s="2" t="s">
        <v>20</v>
      </c>
      <c r="I1294" s="2" t="s">
        <v>2799</v>
      </c>
      <c r="J1294" s="3" t="str">
        <f>HYPERLINK("https://www.boe.es/gazeta/dias/1822/05/07/pdfs/GMD-1822-129.pdf#page=3","Abrir facsímil")</f>
        <v>Abrir facsímil</v>
      </c>
      <c r="K1294" s="3" t="s">
        <v>22</v>
      </c>
    </row>
    <row r="1295" spans="1:11" ht="42" customHeight="1">
      <c r="A1295" s="2" t="s">
        <v>2798</v>
      </c>
      <c r="B1295" s="2" t="s">
        <v>2798</v>
      </c>
      <c r="C1295" s="2" t="s">
        <v>61</v>
      </c>
      <c r="D1295" s="2" t="s">
        <v>17</v>
      </c>
      <c r="E1295" s="5">
        <v>-28329</v>
      </c>
      <c r="F1295" s="3" t="s">
        <v>354</v>
      </c>
      <c r="G1295" s="3" t="s">
        <v>31</v>
      </c>
      <c r="H1295" s="2" t="s">
        <v>20</v>
      </c>
      <c r="I1295" s="2" t="s">
        <v>2800</v>
      </c>
      <c r="J1295" s="3" t="str">
        <f>HYPERLINK("https://www.boe.es/gazeta/dias/1822/06/08/pdfs/GMD-1822-165.pdf#page=3","Abrir facsímil")</f>
        <v>Abrir facsímil</v>
      </c>
      <c r="K1295" s="3" t="s">
        <v>22</v>
      </c>
    </row>
    <row r="1296" spans="1:11" ht="42" customHeight="1">
      <c r="A1296" s="2" t="s">
        <v>2794</v>
      </c>
      <c r="B1296" s="2" t="s">
        <v>2794</v>
      </c>
      <c r="C1296" s="2" t="s">
        <v>42</v>
      </c>
      <c r="D1296" s="2" t="s">
        <v>17</v>
      </c>
      <c r="E1296" s="5">
        <v>-28325</v>
      </c>
      <c r="F1296" s="3" t="s">
        <v>104</v>
      </c>
      <c r="G1296" s="3" t="s">
        <v>35</v>
      </c>
      <c r="H1296" s="2" t="s">
        <v>20</v>
      </c>
      <c r="I1296" s="2" t="s">
        <v>2801</v>
      </c>
      <c r="J1296" s="3" t="str">
        <f>HYPERLINK("https://www.boe.es/gazeta/dias/1822/06/12/pdfs/GMD-1822-169.pdf#page=2","Abrir facsímil")</f>
        <v>Abrir facsímil</v>
      </c>
      <c r="K1296" s="3" t="s">
        <v>22</v>
      </c>
    </row>
    <row r="1297" spans="1:11" ht="42" customHeight="1">
      <c r="A1297" s="2" t="s">
        <v>2794</v>
      </c>
      <c r="B1297" s="2" t="s">
        <v>2794</v>
      </c>
      <c r="C1297" s="2" t="s">
        <v>71</v>
      </c>
      <c r="D1297" s="2" t="s">
        <v>17</v>
      </c>
      <c r="E1297" s="5">
        <v>-28316</v>
      </c>
      <c r="F1297" s="3" t="s">
        <v>1144</v>
      </c>
      <c r="G1297" s="3" t="s">
        <v>31</v>
      </c>
      <c r="H1297" s="2" t="s">
        <v>20</v>
      </c>
      <c r="I1297" s="2" t="s">
        <v>2802</v>
      </c>
      <c r="J1297" s="3" t="str">
        <f>HYPERLINK("https://www.boe.es/gazeta/dias/1822/06/21/pdfs/GMD-1822-179.pdf#page=3","Abrir facsímil")</f>
        <v>Abrir facsímil</v>
      </c>
      <c r="K1297" s="3" t="s">
        <v>22</v>
      </c>
    </row>
    <row r="1298" spans="1:11" ht="42" customHeight="1">
      <c r="A1298" s="2" t="s">
        <v>2798</v>
      </c>
      <c r="B1298" s="2" t="s">
        <v>2798</v>
      </c>
      <c r="C1298" s="2" t="s">
        <v>42</v>
      </c>
      <c r="D1298" s="2" t="s">
        <v>17</v>
      </c>
      <c r="E1298" s="5">
        <v>-28192</v>
      </c>
      <c r="F1298" s="3" t="s">
        <v>43</v>
      </c>
      <c r="G1298" s="3" t="s">
        <v>19</v>
      </c>
      <c r="H1298" s="2" t="s">
        <v>20</v>
      </c>
      <c r="I1298" s="2" t="s">
        <v>2803</v>
      </c>
      <c r="J1298" s="3" t="str">
        <f>HYPERLINK("https://www.boe.es/gazeta/dias/1822/10/23/pdfs/GMD-1822-310.pdf#page=5","Abrir facsímil")</f>
        <v>Abrir facsímil</v>
      </c>
      <c r="K1298" s="3" t="s">
        <v>22</v>
      </c>
    </row>
    <row r="1299" spans="1:11" ht="42" customHeight="1">
      <c r="A1299" s="2" t="s">
        <v>2794</v>
      </c>
      <c r="B1299" s="2" t="s">
        <v>2794</v>
      </c>
      <c r="C1299" s="2" t="s">
        <v>42</v>
      </c>
      <c r="D1299" s="2" t="s">
        <v>17</v>
      </c>
      <c r="E1299" s="5">
        <v>-28176</v>
      </c>
      <c r="F1299" s="3" t="s">
        <v>780</v>
      </c>
      <c r="G1299" s="3" t="s">
        <v>31</v>
      </c>
      <c r="H1299" s="2" t="s">
        <v>20</v>
      </c>
      <c r="I1299" s="2" t="s">
        <v>2804</v>
      </c>
      <c r="J1299" s="3" t="str">
        <f>HYPERLINK("https://www.boe.es/gazeta/dias/1822/11/08/pdfs/GMD-1822-328.pdf#page=3","Abrir facsímil")</f>
        <v>Abrir facsímil</v>
      </c>
      <c r="K1299" s="3" t="s">
        <v>22</v>
      </c>
    </row>
    <row r="1300" spans="1:11" ht="42" customHeight="1">
      <c r="A1300" s="2" t="s">
        <v>2805</v>
      </c>
      <c r="B1300" s="2" t="s">
        <v>2805</v>
      </c>
      <c r="C1300" s="2" t="s">
        <v>50</v>
      </c>
      <c r="D1300" s="2" t="s">
        <v>51</v>
      </c>
      <c r="E1300" s="5">
        <v>-28423</v>
      </c>
      <c r="F1300" s="3" t="s">
        <v>441</v>
      </c>
      <c r="G1300" s="3" t="s">
        <v>31</v>
      </c>
      <c r="H1300" s="2" t="s">
        <v>20</v>
      </c>
      <c r="I1300" s="2" t="s">
        <v>2806</v>
      </c>
      <c r="J1300" s="3" t="str">
        <f>HYPERLINK("https://www.boe.es/gazeta/dias/1822/03/06/pdfs/GMD-1822-67.pdf#page=3","Abrir facsímil")</f>
        <v>Abrir facsímil</v>
      </c>
      <c r="K1300" s="3" t="s">
        <v>22</v>
      </c>
    </row>
    <row r="1301" spans="1:11" ht="42" customHeight="1">
      <c r="A1301" s="2" t="s">
        <v>2807</v>
      </c>
      <c r="B1301" s="2" t="s">
        <v>2808</v>
      </c>
      <c r="C1301" s="2" t="s">
        <v>28</v>
      </c>
      <c r="D1301" s="2" t="s">
        <v>29</v>
      </c>
      <c r="E1301" s="5">
        <v>-28415</v>
      </c>
      <c r="F1301" s="3" t="s">
        <v>77</v>
      </c>
      <c r="G1301" s="3" t="s">
        <v>19</v>
      </c>
      <c r="H1301" s="2" t="s">
        <v>20</v>
      </c>
      <c r="I1301" s="2" t="s">
        <v>2809</v>
      </c>
      <c r="J1301" s="3" t="str">
        <f>HYPERLINK("https://www.boe.es/gazeta/dias/1822/03/14/pdfs/GMD-1822-75.pdf#page=5","Abrir facsímil")</f>
        <v>Abrir facsímil</v>
      </c>
      <c r="K1301" s="3" t="s">
        <v>22</v>
      </c>
    </row>
    <row r="1302" spans="1:11" ht="42" customHeight="1">
      <c r="A1302" s="2" t="s">
        <v>2810</v>
      </c>
      <c r="B1302" s="2" t="s">
        <v>2811</v>
      </c>
      <c r="C1302" s="2" t="s">
        <v>71</v>
      </c>
      <c r="D1302" s="2" t="s">
        <v>17</v>
      </c>
      <c r="E1302" s="5">
        <v>-28434</v>
      </c>
      <c r="F1302" s="3" t="s">
        <v>433</v>
      </c>
      <c r="G1302" s="3" t="s">
        <v>57</v>
      </c>
      <c r="H1302" s="2" t="s">
        <v>20</v>
      </c>
      <c r="I1302" s="2" t="s">
        <v>2812</v>
      </c>
      <c r="J1302" s="3" t="str">
        <f>HYPERLINK("https://www.boe.es/gazeta/dias/1822/02/23/pdfs/GMD-1822-55.pdf#page=4","Abrir facsímil")</f>
        <v>Abrir facsímil</v>
      </c>
      <c r="K1302" s="3" t="s">
        <v>22</v>
      </c>
    </row>
    <row r="1303" spans="1:11" ht="42" customHeight="1">
      <c r="A1303" s="2" t="s">
        <v>2813</v>
      </c>
      <c r="B1303" s="2" t="s">
        <v>2814</v>
      </c>
      <c r="C1303" s="2" t="s">
        <v>71</v>
      </c>
      <c r="D1303" s="2" t="s">
        <v>17</v>
      </c>
      <c r="E1303" s="5">
        <v>-28474</v>
      </c>
      <c r="F1303" s="3" t="s">
        <v>30</v>
      </c>
      <c r="G1303" s="3" t="s">
        <v>31</v>
      </c>
      <c r="H1303" s="2" t="s">
        <v>20</v>
      </c>
      <c r="I1303" s="2" t="s">
        <v>2815</v>
      </c>
      <c r="J1303" s="3" t="str">
        <f>HYPERLINK("https://www.boe.es/gazeta/dias/1822/01/14/pdfs/GMD-1822-14.pdf#page=3","Abrir facsímil")</f>
        <v>Abrir facsímil</v>
      </c>
      <c r="K1303" s="3" t="s">
        <v>22</v>
      </c>
    </row>
    <row r="1304" spans="1:11" ht="42" customHeight="1">
      <c r="A1304" s="2" t="s">
        <v>2816</v>
      </c>
      <c r="B1304" s="2" t="s">
        <v>2816</v>
      </c>
      <c r="C1304" s="2" t="s">
        <v>71</v>
      </c>
      <c r="D1304" s="2" t="s">
        <v>17</v>
      </c>
      <c r="E1304" s="5">
        <v>-28350</v>
      </c>
      <c r="F1304" s="3" t="s">
        <v>352</v>
      </c>
      <c r="G1304" s="3" t="s">
        <v>63</v>
      </c>
      <c r="H1304" s="2" t="s">
        <v>20</v>
      </c>
      <c r="I1304" s="2" t="s">
        <v>2817</v>
      </c>
      <c r="J1304" s="3" t="str">
        <f>HYPERLINK("https://www.boe.es/gazeta/dias/1822/05/18/pdfs/GMD-1822-140.pdf#page=6","Abrir facsímil")</f>
        <v>Abrir facsímil</v>
      </c>
      <c r="K1304" s="3" t="s">
        <v>22</v>
      </c>
    </row>
    <row r="1305" spans="1:11" ht="42" customHeight="1">
      <c r="A1305" s="2" t="s">
        <v>2818</v>
      </c>
      <c r="B1305" s="2" t="s">
        <v>2818</v>
      </c>
      <c r="C1305" s="2" t="s">
        <v>42</v>
      </c>
      <c r="D1305" s="2" t="s">
        <v>17</v>
      </c>
      <c r="E1305" s="5">
        <v>-28321</v>
      </c>
      <c r="F1305" s="3" t="s">
        <v>1142</v>
      </c>
      <c r="G1305" s="3" t="s">
        <v>35</v>
      </c>
      <c r="H1305" s="2" t="s">
        <v>20</v>
      </c>
      <c r="I1305" s="2" t="s">
        <v>2819</v>
      </c>
      <c r="J1305" s="3" t="str">
        <f>HYPERLINK("https://www.boe.es/gazeta/dias/1822/06/16/pdfs/GMD-1822-173.pdf#page=2","Abrir facsímil")</f>
        <v>Abrir facsímil</v>
      </c>
      <c r="K1305" s="3" t="s">
        <v>22</v>
      </c>
    </row>
    <row r="1306" spans="1:11" ht="42" customHeight="1">
      <c r="A1306" s="2" t="s">
        <v>2820</v>
      </c>
      <c r="B1306" s="2" t="s">
        <v>2820</v>
      </c>
      <c r="C1306" s="2" t="s">
        <v>28</v>
      </c>
      <c r="D1306" s="2" t="s">
        <v>29</v>
      </c>
      <c r="E1306" s="5">
        <v>-28337</v>
      </c>
      <c r="F1306" s="3" t="s">
        <v>1836</v>
      </c>
      <c r="G1306" s="3" t="s">
        <v>57</v>
      </c>
      <c r="H1306" s="2" t="s">
        <v>20</v>
      </c>
      <c r="I1306" s="2" t="s">
        <v>2821</v>
      </c>
      <c r="J1306" s="3" t="str">
        <f>HYPERLINK("https://www.boe.es/gazeta/dias/1822/05/31/pdfs/GMD-1822-156.pdf#page=4","Abrir facsímil")</f>
        <v>Abrir facsímil</v>
      </c>
      <c r="K1306" s="3" t="s">
        <v>22</v>
      </c>
    </row>
    <row r="1307" spans="1:11" ht="42" customHeight="1">
      <c r="A1307" s="2" t="s">
        <v>2822</v>
      </c>
      <c r="B1307" s="2" t="s">
        <v>2822</v>
      </c>
      <c r="C1307" s="2" t="s">
        <v>61</v>
      </c>
      <c r="D1307" s="2" t="s">
        <v>17</v>
      </c>
      <c r="E1307" s="5">
        <v>-28346</v>
      </c>
      <c r="F1307" s="3" t="s">
        <v>191</v>
      </c>
      <c r="G1307" s="3" t="s">
        <v>2823</v>
      </c>
      <c r="H1307" s="2" t="s">
        <v>20</v>
      </c>
      <c r="I1307" s="2" t="s">
        <v>2824</v>
      </c>
      <c r="J1307" s="3" t="str">
        <f>HYPERLINK("https://www.boe.es/gazeta/dias/1822/05/22/pdfs/GMD-1822-145.pdf#page=4","Abrir facsímil")</f>
        <v>Abrir facsímil</v>
      </c>
      <c r="K1307" s="3" t="s">
        <v>22</v>
      </c>
    </row>
    <row r="1308" spans="1:11" ht="42" customHeight="1">
      <c r="A1308" s="2" t="s">
        <v>2825</v>
      </c>
      <c r="B1308" s="2" t="s">
        <v>2825</v>
      </c>
      <c r="C1308" s="2" t="s">
        <v>28</v>
      </c>
      <c r="D1308" s="2" t="s">
        <v>29</v>
      </c>
      <c r="E1308" s="5">
        <v>-28329</v>
      </c>
      <c r="F1308" s="3" t="s">
        <v>354</v>
      </c>
      <c r="G1308" s="3" t="s">
        <v>35</v>
      </c>
      <c r="H1308" s="2" t="s">
        <v>20</v>
      </c>
      <c r="I1308" s="2" t="s">
        <v>2826</v>
      </c>
      <c r="J1308" s="3" t="str">
        <f>HYPERLINK("https://www.boe.es/gazeta/dias/1822/06/08/pdfs/GMD-1822-165.pdf#page=2","Abrir facsímil")</f>
        <v>Abrir facsímil</v>
      </c>
      <c r="K1308" s="3" t="s">
        <v>22</v>
      </c>
    </row>
    <row r="1309" spans="1:11" ht="42" customHeight="1">
      <c r="A1309" s="2" t="s">
        <v>2827</v>
      </c>
      <c r="B1309" s="2" t="s">
        <v>2827</v>
      </c>
      <c r="C1309" s="2" t="s">
        <v>50</v>
      </c>
      <c r="D1309" s="2" t="s">
        <v>51</v>
      </c>
      <c r="E1309" s="5">
        <v>-28423</v>
      </c>
      <c r="F1309" s="3" t="s">
        <v>441</v>
      </c>
      <c r="G1309" s="3" t="s">
        <v>57</v>
      </c>
      <c r="H1309" s="2" t="s">
        <v>20</v>
      </c>
      <c r="I1309" s="2" t="s">
        <v>2828</v>
      </c>
      <c r="J1309" s="3" t="str">
        <f>HYPERLINK("https://www.boe.es/gazeta/dias/1822/03/06/pdfs/GMD-1822-67.pdf#page=4","Abrir facsímil")</f>
        <v>Abrir facsímil</v>
      </c>
      <c r="K1309" s="3" t="s">
        <v>22</v>
      </c>
    </row>
    <row r="1310" spans="1:11" ht="42" customHeight="1">
      <c r="A1310" s="2" t="s">
        <v>2827</v>
      </c>
      <c r="B1310" s="2" t="s">
        <v>2827</v>
      </c>
      <c r="C1310" s="2" t="s">
        <v>61</v>
      </c>
      <c r="D1310" s="2" t="s">
        <v>17</v>
      </c>
      <c r="E1310" s="5">
        <v>-28403</v>
      </c>
      <c r="F1310" s="3" t="s">
        <v>471</v>
      </c>
      <c r="G1310" s="3" t="s">
        <v>2829</v>
      </c>
      <c r="H1310" s="2" t="s">
        <v>20</v>
      </c>
      <c r="I1310" s="2" t="s">
        <v>2830</v>
      </c>
      <c r="J1310" s="3" t="str">
        <f>HYPERLINK("https://www.boe.es/gazeta/dias/1822/03/26/pdfs/GMD-1822-87.pdf#page=4","Abrir facsímil")</f>
        <v>Abrir facsímil</v>
      </c>
      <c r="K1310" s="3" t="s">
        <v>22</v>
      </c>
    </row>
    <row r="1311" spans="1:11" ht="42" customHeight="1">
      <c r="A1311" s="2" t="s">
        <v>2827</v>
      </c>
      <c r="B1311" s="2" t="s">
        <v>2827</v>
      </c>
      <c r="C1311" s="2" t="s">
        <v>61</v>
      </c>
      <c r="D1311" s="2" t="s">
        <v>17</v>
      </c>
      <c r="E1311" s="5">
        <v>-28351</v>
      </c>
      <c r="F1311" s="3" t="s">
        <v>282</v>
      </c>
      <c r="G1311" s="3" t="s">
        <v>31</v>
      </c>
      <c r="H1311" s="2" t="s">
        <v>20</v>
      </c>
      <c r="I1311" s="2" t="s">
        <v>2831</v>
      </c>
      <c r="J1311" s="3" t="str">
        <f>HYPERLINK("https://www.boe.es/gazeta/dias/1822/05/17/pdfs/GMD-1822-139.pdf#page=3","Abrir facsímil")</f>
        <v>Abrir facsímil</v>
      </c>
      <c r="K1311" s="3" t="s">
        <v>22</v>
      </c>
    </row>
    <row r="1312" spans="1:11" ht="42" customHeight="1">
      <c r="A1312" s="2" t="s">
        <v>2827</v>
      </c>
      <c r="B1312" s="2" t="s">
        <v>2827</v>
      </c>
      <c r="C1312" s="2" t="s">
        <v>61</v>
      </c>
      <c r="D1312" s="2" t="s">
        <v>17</v>
      </c>
      <c r="E1312" s="5">
        <v>-28339</v>
      </c>
      <c r="F1312" s="3" t="s">
        <v>197</v>
      </c>
      <c r="G1312" s="3" t="s">
        <v>31</v>
      </c>
      <c r="H1312" s="2" t="s">
        <v>20</v>
      </c>
      <c r="I1312" s="2" t="s">
        <v>2832</v>
      </c>
      <c r="J1312" s="3" t="str">
        <f>HYPERLINK("https://www.boe.es/gazeta/dias/1822/05/29/pdfs/GMD-1822-154.pdf#page=3","Abrir facsímil")</f>
        <v>Abrir facsímil</v>
      </c>
      <c r="K1312" s="3" t="s">
        <v>22</v>
      </c>
    </row>
    <row r="1313" spans="1:11" ht="42" customHeight="1">
      <c r="A1313" s="2" t="s">
        <v>2833</v>
      </c>
      <c r="B1313" s="2" t="s">
        <v>2833</v>
      </c>
      <c r="C1313" s="2" t="s">
        <v>42</v>
      </c>
      <c r="D1313" s="2" t="s">
        <v>17</v>
      </c>
      <c r="E1313" s="5">
        <v>-28193</v>
      </c>
      <c r="F1313" s="3" t="s">
        <v>574</v>
      </c>
      <c r="G1313" s="3" t="s">
        <v>19</v>
      </c>
      <c r="H1313" s="2" t="s">
        <v>20</v>
      </c>
      <c r="I1313" s="2" t="s">
        <v>2834</v>
      </c>
      <c r="J1313" s="3" t="str">
        <f>HYPERLINK("https://www.boe.es/gazeta/dias/1822/10/22/pdfs/GMD-1822-309.pdf#page=5","Abrir facsímil")</f>
        <v>Abrir facsímil</v>
      </c>
      <c r="K1313" s="3" t="s">
        <v>22</v>
      </c>
    </row>
    <row r="1314" spans="1:11" ht="42" customHeight="1">
      <c r="A1314" s="2" t="s">
        <v>2827</v>
      </c>
      <c r="B1314" s="2" t="s">
        <v>2827</v>
      </c>
      <c r="C1314" s="2" t="s">
        <v>50</v>
      </c>
      <c r="D1314" s="2" t="s">
        <v>51</v>
      </c>
      <c r="E1314" s="5">
        <v>-28187</v>
      </c>
      <c r="F1314" s="3" t="s">
        <v>929</v>
      </c>
      <c r="G1314" s="3" t="s">
        <v>19</v>
      </c>
      <c r="H1314" s="2" t="s">
        <v>20</v>
      </c>
      <c r="I1314" s="2" t="s">
        <v>2835</v>
      </c>
      <c r="J1314" s="3" t="str">
        <f>HYPERLINK("https://www.boe.es/gazeta/dias/1822/10/28/pdfs/GMD-1822-315.pdf#page=5","Abrir facsímil")</f>
        <v>Abrir facsímil</v>
      </c>
      <c r="K1314" s="3" t="s">
        <v>22</v>
      </c>
    </row>
    <row r="1315" spans="1:11" ht="42" customHeight="1">
      <c r="A1315" s="2" t="s">
        <v>2836</v>
      </c>
      <c r="B1315" s="2" t="s">
        <v>2837</v>
      </c>
      <c r="C1315" s="2" t="s">
        <v>28</v>
      </c>
      <c r="D1315" s="2" t="s">
        <v>29</v>
      </c>
      <c r="E1315" s="5">
        <v>-28160</v>
      </c>
      <c r="F1315" s="3" t="s">
        <v>148</v>
      </c>
      <c r="G1315" s="3" t="s">
        <v>57</v>
      </c>
      <c r="H1315" s="2" t="s">
        <v>20</v>
      </c>
      <c r="I1315" s="2" t="s">
        <v>2838</v>
      </c>
      <c r="J1315" s="3" t="str">
        <f>HYPERLINK("https://www.boe.es/gazeta/dias/1822/11/24/pdfs/GMD-1822-344.pdf#page=4","Abrir facsímil")</f>
        <v>Abrir facsímil</v>
      </c>
      <c r="K1315" s="3" t="s">
        <v>22</v>
      </c>
    </row>
    <row r="1316" spans="1:11" ht="42" customHeight="1">
      <c r="A1316" s="2" t="s">
        <v>2839</v>
      </c>
      <c r="B1316" s="2" t="s">
        <v>2839</v>
      </c>
      <c r="C1316" s="2" t="s">
        <v>71</v>
      </c>
      <c r="D1316" s="2" t="s">
        <v>17</v>
      </c>
      <c r="E1316" s="5">
        <v>-28377</v>
      </c>
      <c r="F1316" s="3" t="s">
        <v>498</v>
      </c>
      <c r="G1316" s="3" t="s">
        <v>44</v>
      </c>
      <c r="H1316" s="2" t="s">
        <v>20</v>
      </c>
      <c r="I1316" s="2" t="s">
        <v>2840</v>
      </c>
      <c r="J1316" s="3" t="str">
        <f>HYPERLINK("https://www.boe.es/gazeta/dias/1822/04/21/pdfs/GMD-1822-113.pdf#page=1","Abrir facsímil")</f>
        <v>Abrir facsímil</v>
      </c>
      <c r="K1316" s="3" t="s">
        <v>22</v>
      </c>
    </row>
    <row r="1317" spans="1:11" ht="42" customHeight="1">
      <c r="A1317" s="2" t="s">
        <v>2841</v>
      </c>
      <c r="B1317" s="2" t="s">
        <v>2841</v>
      </c>
      <c r="C1317" s="2" t="s">
        <v>42</v>
      </c>
      <c r="D1317" s="2" t="s">
        <v>17</v>
      </c>
      <c r="E1317" s="5">
        <v>-28447</v>
      </c>
      <c r="F1317" s="3" t="s">
        <v>997</v>
      </c>
      <c r="G1317" s="3" t="s">
        <v>31</v>
      </c>
      <c r="H1317" s="2" t="s">
        <v>20</v>
      </c>
      <c r="I1317" s="2" t="s">
        <v>2842</v>
      </c>
      <c r="J1317" s="3" t="str">
        <f>HYPERLINK("https://www.boe.es/gazeta/dias/1822/02/10/pdfs/GMD-1822-41.pdf#page=3","Abrir facsímil")</f>
        <v>Abrir facsímil</v>
      </c>
      <c r="K1317" s="3" t="s">
        <v>22</v>
      </c>
    </row>
    <row r="1318" spans="1:11" ht="42" customHeight="1">
      <c r="A1318" s="2" t="s">
        <v>2841</v>
      </c>
      <c r="B1318" s="2" t="s">
        <v>2841</v>
      </c>
      <c r="C1318" s="2" t="s">
        <v>61</v>
      </c>
      <c r="D1318" s="2" t="s">
        <v>17</v>
      </c>
      <c r="E1318" s="5">
        <v>-28423</v>
      </c>
      <c r="F1318" s="3" t="s">
        <v>441</v>
      </c>
      <c r="G1318" s="3" t="s">
        <v>35</v>
      </c>
      <c r="H1318" s="2" t="s">
        <v>20</v>
      </c>
      <c r="I1318" s="2" t="s">
        <v>2843</v>
      </c>
      <c r="J1318" s="3" t="str">
        <f>HYPERLINK("https://www.boe.es/gazeta/dias/1822/03/06/pdfs/GMD-1822-67.pdf#page=2","Abrir facsímil")</f>
        <v>Abrir facsímil</v>
      </c>
      <c r="K1318" s="3" t="s">
        <v>22</v>
      </c>
    </row>
    <row r="1319" spans="1:11" ht="42" customHeight="1">
      <c r="A1319" s="2" t="s">
        <v>2841</v>
      </c>
      <c r="B1319" s="2" t="s">
        <v>2841</v>
      </c>
      <c r="C1319" s="2" t="s">
        <v>50</v>
      </c>
      <c r="D1319" s="2" t="s">
        <v>51</v>
      </c>
      <c r="E1319" s="5">
        <v>-28423</v>
      </c>
      <c r="F1319" s="3" t="s">
        <v>441</v>
      </c>
      <c r="G1319" s="3" t="s">
        <v>31</v>
      </c>
      <c r="H1319" s="2" t="s">
        <v>20</v>
      </c>
      <c r="I1319" s="2" t="s">
        <v>2844</v>
      </c>
      <c r="J1319" s="3" t="str">
        <f>HYPERLINK("https://www.boe.es/gazeta/dias/1822/03/06/pdfs/GMD-1822-67.pdf#page=3","Abrir facsímil")</f>
        <v>Abrir facsímil</v>
      </c>
      <c r="K1319" s="3" t="s">
        <v>22</v>
      </c>
    </row>
    <row r="1320" spans="1:11" ht="42" customHeight="1">
      <c r="A1320" s="2" t="s">
        <v>2841</v>
      </c>
      <c r="B1320" s="2" t="s">
        <v>2841</v>
      </c>
      <c r="C1320" s="2" t="s">
        <v>28</v>
      </c>
      <c r="D1320" s="2" t="s">
        <v>29</v>
      </c>
      <c r="E1320" s="5">
        <v>-28423</v>
      </c>
      <c r="F1320" s="3" t="s">
        <v>441</v>
      </c>
      <c r="G1320" s="3" t="s">
        <v>57</v>
      </c>
      <c r="H1320" s="2" t="s">
        <v>20</v>
      </c>
      <c r="I1320" s="2" t="s">
        <v>2845</v>
      </c>
      <c r="J1320" s="3" t="str">
        <f>HYPERLINK("https://www.boe.es/gazeta/dias/1822/03/06/pdfs/GMD-1822-67.pdf#page=4","Abrir facsímil")</f>
        <v>Abrir facsímil</v>
      </c>
      <c r="K1320" s="3" t="s">
        <v>22</v>
      </c>
    </row>
    <row r="1321" spans="1:11" ht="42" customHeight="1">
      <c r="A1321" s="2" t="s">
        <v>2841</v>
      </c>
      <c r="B1321" s="2" t="s">
        <v>2841</v>
      </c>
      <c r="C1321" s="2" t="s">
        <v>28</v>
      </c>
      <c r="D1321" s="2" t="s">
        <v>29</v>
      </c>
      <c r="E1321" s="5">
        <v>-28422</v>
      </c>
      <c r="F1321" s="3" t="s">
        <v>416</v>
      </c>
      <c r="G1321" s="3" t="s">
        <v>35</v>
      </c>
      <c r="H1321" s="2" t="s">
        <v>20</v>
      </c>
      <c r="I1321" s="2" t="s">
        <v>2846</v>
      </c>
      <c r="J1321" s="3" t="str">
        <f>HYPERLINK("https://www.boe.es/gazeta/dias/1822/03/07/pdfs/GMD-1822-68.pdf#page=2","Abrir facsímil")</f>
        <v>Abrir facsímil</v>
      </c>
      <c r="K1321" s="3" t="s">
        <v>22</v>
      </c>
    </row>
    <row r="1322" spans="1:11" ht="42" customHeight="1">
      <c r="A1322" s="2" t="s">
        <v>2841</v>
      </c>
      <c r="B1322" s="2" t="s">
        <v>2841</v>
      </c>
      <c r="C1322" s="2" t="s">
        <v>28</v>
      </c>
      <c r="D1322" s="2" t="s">
        <v>29</v>
      </c>
      <c r="E1322" s="5">
        <v>-28417</v>
      </c>
      <c r="F1322" s="3" t="s">
        <v>1394</v>
      </c>
      <c r="G1322" s="3" t="s">
        <v>31</v>
      </c>
      <c r="H1322" s="2" t="s">
        <v>20</v>
      </c>
      <c r="I1322" s="2" t="s">
        <v>2847</v>
      </c>
      <c r="J1322" s="3" t="str">
        <f>HYPERLINK("https://www.boe.es/gazeta/dias/1822/03/12/pdfs/GMD-1822-73.pdf#page=3","Abrir facsímil")</f>
        <v>Abrir facsímil</v>
      </c>
      <c r="K1322" s="3" t="s">
        <v>22</v>
      </c>
    </row>
    <row r="1323" spans="1:11" ht="42" customHeight="1">
      <c r="A1323" s="2" t="s">
        <v>2841</v>
      </c>
      <c r="B1323" s="2" t="s">
        <v>2841</v>
      </c>
      <c r="C1323" s="2" t="s">
        <v>28</v>
      </c>
      <c r="D1323" s="2" t="s">
        <v>29</v>
      </c>
      <c r="E1323" s="5">
        <v>-28417</v>
      </c>
      <c r="F1323" s="3" t="s">
        <v>1394</v>
      </c>
      <c r="G1323" s="3" t="s">
        <v>57</v>
      </c>
      <c r="H1323" s="2" t="s">
        <v>20</v>
      </c>
      <c r="I1323" s="2" t="s">
        <v>2848</v>
      </c>
      <c r="J1323" s="3" t="str">
        <f>HYPERLINK("https://www.boe.es/gazeta/dias/1822/03/12/pdfs/GMD-1822-73.pdf#page=4","Abrir facsímil")</f>
        <v>Abrir facsímil</v>
      </c>
      <c r="K1323" s="3" t="s">
        <v>22</v>
      </c>
    </row>
    <row r="1324" spans="1:11" ht="42" customHeight="1">
      <c r="A1324" s="2" t="s">
        <v>2841</v>
      </c>
      <c r="B1324" s="2" t="s">
        <v>2841</v>
      </c>
      <c r="C1324" s="2" t="s">
        <v>50</v>
      </c>
      <c r="D1324" s="2" t="s">
        <v>51</v>
      </c>
      <c r="E1324" s="5">
        <v>-28416</v>
      </c>
      <c r="F1324" s="3" t="s">
        <v>97</v>
      </c>
      <c r="G1324" s="3" t="s">
        <v>31</v>
      </c>
      <c r="H1324" s="2" t="s">
        <v>20</v>
      </c>
      <c r="I1324" s="2" t="s">
        <v>2849</v>
      </c>
      <c r="J1324" s="3" t="str">
        <f>HYPERLINK("https://www.boe.es/gazeta/dias/1822/03/13/pdfs/GMD-1822-74.pdf#page=3","Abrir facsímil")</f>
        <v>Abrir facsímil</v>
      </c>
      <c r="K1324" s="3" t="s">
        <v>22</v>
      </c>
    </row>
    <row r="1325" spans="1:11" ht="42" customHeight="1">
      <c r="A1325" s="2" t="s">
        <v>2841</v>
      </c>
      <c r="B1325" s="2" t="s">
        <v>2841</v>
      </c>
      <c r="C1325" s="2" t="s">
        <v>42</v>
      </c>
      <c r="D1325" s="2" t="s">
        <v>17</v>
      </c>
      <c r="E1325" s="5">
        <v>-28416</v>
      </c>
      <c r="F1325" s="3" t="s">
        <v>97</v>
      </c>
      <c r="G1325" s="3" t="s">
        <v>19</v>
      </c>
      <c r="H1325" s="2" t="s">
        <v>20</v>
      </c>
      <c r="I1325" s="2" t="s">
        <v>2850</v>
      </c>
      <c r="J1325" s="3" t="str">
        <f>HYPERLINK("https://www.boe.es/gazeta/dias/1822/03/13/pdfs/GMD-1822-74.pdf#page=5","Abrir facsímil")</f>
        <v>Abrir facsímil</v>
      </c>
      <c r="K1325" s="3" t="s">
        <v>22</v>
      </c>
    </row>
    <row r="1326" spans="1:11" ht="42" customHeight="1">
      <c r="A1326" s="2" t="s">
        <v>2841</v>
      </c>
      <c r="B1326" s="2" t="s">
        <v>2841</v>
      </c>
      <c r="C1326" s="2" t="s">
        <v>50</v>
      </c>
      <c r="D1326" s="2" t="s">
        <v>51</v>
      </c>
      <c r="E1326" s="5">
        <v>-28415</v>
      </c>
      <c r="F1326" s="3" t="s">
        <v>77</v>
      </c>
      <c r="G1326" s="3" t="s">
        <v>19</v>
      </c>
      <c r="H1326" s="2" t="s">
        <v>20</v>
      </c>
      <c r="I1326" s="2" t="s">
        <v>2851</v>
      </c>
      <c r="J1326" s="3" t="str">
        <f>HYPERLINK("https://www.boe.es/gazeta/dias/1822/03/14/pdfs/GMD-1822-75.pdf#page=5","Abrir facsímil")</f>
        <v>Abrir facsímil</v>
      </c>
      <c r="K1326" s="3" t="s">
        <v>22</v>
      </c>
    </row>
    <row r="1327" spans="1:11" ht="42" customHeight="1">
      <c r="A1327" s="2" t="s">
        <v>2841</v>
      </c>
      <c r="B1327" s="2" t="s">
        <v>2841</v>
      </c>
      <c r="C1327" s="2" t="s">
        <v>71</v>
      </c>
      <c r="D1327" s="2" t="s">
        <v>17</v>
      </c>
      <c r="E1327" s="5">
        <v>-28414</v>
      </c>
      <c r="F1327" s="3" t="s">
        <v>187</v>
      </c>
      <c r="G1327" s="3" t="s">
        <v>19</v>
      </c>
      <c r="H1327" s="2" t="s">
        <v>20</v>
      </c>
      <c r="I1327" s="2" t="s">
        <v>2852</v>
      </c>
      <c r="J1327" s="3" t="str">
        <f>HYPERLINK("https://www.boe.es/gazeta/dias/1822/03/15/pdfs/GMD-1822-76.pdf#page=5","Abrir facsímil")</f>
        <v>Abrir facsímil</v>
      </c>
      <c r="K1327" s="3" t="s">
        <v>22</v>
      </c>
    </row>
    <row r="1328" spans="1:11" ht="42" customHeight="1">
      <c r="A1328" s="2" t="s">
        <v>2841</v>
      </c>
      <c r="B1328" s="2" t="s">
        <v>2841</v>
      </c>
      <c r="C1328" s="2" t="s">
        <v>28</v>
      </c>
      <c r="D1328" s="2" t="s">
        <v>29</v>
      </c>
      <c r="E1328" s="5">
        <v>-28413</v>
      </c>
      <c r="F1328" s="3" t="s">
        <v>458</v>
      </c>
      <c r="G1328" s="3" t="s">
        <v>57</v>
      </c>
      <c r="H1328" s="2" t="s">
        <v>20</v>
      </c>
      <c r="I1328" s="2" t="s">
        <v>2853</v>
      </c>
      <c r="J1328" s="3" t="str">
        <f>HYPERLINK("https://www.boe.es/gazeta/dias/1822/03/16/pdfs/GMD-1822-77.pdf#page=4","Abrir facsímil")</f>
        <v>Abrir facsímil</v>
      </c>
      <c r="K1328" s="3" t="s">
        <v>22</v>
      </c>
    </row>
    <row r="1329" spans="1:11" ht="42" customHeight="1">
      <c r="A1329" s="2" t="s">
        <v>2841</v>
      </c>
      <c r="B1329" s="2" t="s">
        <v>2841</v>
      </c>
      <c r="C1329" s="2" t="s">
        <v>16</v>
      </c>
      <c r="D1329" s="2" t="s">
        <v>17</v>
      </c>
      <c r="E1329" s="5">
        <v>-28412</v>
      </c>
      <c r="F1329" s="3" t="s">
        <v>825</v>
      </c>
      <c r="G1329" s="3" t="s">
        <v>31</v>
      </c>
      <c r="H1329" s="2" t="s">
        <v>20</v>
      </c>
      <c r="I1329" s="2" t="s">
        <v>2854</v>
      </c>
      <c r="J1329" s="3" t="str">
        <f>HYPERLINK("https://www.boe.es/gazeta/dias/1822/03/17/pdfs/GMD-1822-78.pdf#page=3","Abrir facsímil")</f>
        <v>Abrir facsímil</v>
      </c>
      <c r="K1329" s="3" t="s">
        <v>22</v>
      </c>
    </row>
    <row r="1330" spans="1:11" ht="42" customHeight="1">
      <c r="A1330" s="2" t="s">
        <v>2841</v>
      </c>
      <c r="B1330" s="2" t="s">
        <v>2841</v>
      </c>
      <c r="C1330" s="2" t="s">
        <v>28</v>
      </c>
      <c r="D1330" s="2" t="s">
        <v>29</v>
      </c>
      <c r="E1330" s="5">
        <v>-28411</v>
      </c>
      <c r="F1330" s="3" t="s">
        <v>1509</v>
      </c>
      <c r="G1330" s="3" t="s">
        <v>31</v>
      </c>
      <c r="H1330" s="2" t="s">
        <v>20</v>
      </c>
      <c r="I1330" s="2" t="s">
        <v>2855</v>
      </c>
      <c r="J1330" s="3" t="str">
        <f>HYPERLINK("https://www.boe.es/gazeta/dias/1822/03/18/pdfs/GMD-1822-79.pdf#page=3","Abrir facsímil")</f>
        <v>Abrir facsímil</v>
      </c>
      <c r="K1330" s="3" t="s">
        <v>22</v>
      </c>
    </row>
    <row r="1331" spans="1:11" ht="42" customHeight="1">
      <c r="A1331" s="2" t="s">
        <v>2841</v>
      </c>
      <c r="B1331" s="2" t="s">
        <v>2841</v>
      </c>
      <c r="C1331" s="2" t="s">
        <v>50</v>
      </c>
      <c r="D1331" s="2" t="s">
        <v>51</v>
      </c>
      <c r="E1331" s="5">
        <v>-28410</v>
      </c>
      <c r="F1331" s="3" t="s">
        <v>966</v>
      </c>
      <c r="G1331" s="3" t="s">
        <v>57</v>
      </c>
      <c r="H1331" s="2" t="s">
        <v>20</v>
      </c>
      <c r="I1331" s="2" t="s">
        <v>2856</v>
      </c>
      <c r="J1331" s="3" t="str">
        <f>HYPERLINK("https://www.boe.es/gazeta/dias/1822/03/19/pdfs/GMD-1822-80.pdf#page=4","Abrir facsímil")</f>
        <v>Abrir facsímil</v>
      </c>
      <c r="K1331" s="3" t="s">
        <v>22</v>
      </c>
    </row>
    <row r="1332" spans="1:11" ht="42" customHeight="1">
      <c r="A1332" s="2" t="s">
        <v>2841</v>
      </c>
      <c r="B1332" s="2" t="s">
        <v>2841</v>
      </c>
      <c r="C1332" s="2" t="s">
        <v>28</v>
      </c>
      <c r="D1332" s="2" t="s">
        <v>29</v>
      </c>
      <c r="E1332" s="5">
        <v>-28409</v>
      </c>
      <c r="F1332" s="3" t="s">
        <v>394</v>
      </c>
      <c r="G1332" s="3" t="s">
        <v>57</v>
      </c>
      <c r="H1332" s="2" t="s">
        <v>20</v>
      </c>
      <c r="I1332" s="2" t="s">
        <v>2857</v>
      </c>
      <c r="J1332" s="3" t="str">
        <f>HYPERLINK("https://www.boe.es/gazeta/dias/1822/03/20/pdfs/GMD-1822-81.pdf#page=4","Abrir facsímil")</f>
        <v>Abrir facsímil</v>
      </c>
      <c r="K1332" s="3" t="s">
        <v>22</v>
      </c>
    </row>
    <row r="1333" spans="1:11" ht="42" customHeight="1">
      <c r="A1333" s="2" t="s">
        <v>2841</v>
      </c>
      <c r="B1333" s="2" t="s">
        <v>2841</v>
      </c>
      <c r="C1333" s="2" t="s">
        <v>50</v>
      </c>
      <c r="D1333" s="2" t="s">
        <v>51</v>
      </c>
      <c r="E1333" s="5">
        <v>-28405</v>
      </c>
      <c r="F1333" s="3" t="s">
        <v>466</v>
      </c>
      <c r="G1333" s="3" t="s">
        <v>35</v>
      </c>
      <c r="H1333" s="2" t="s">
        <v>20</v>
      </c>
      <c r="I1333" s="2" t="s">
        <v>2858</v>
      </c>
      <c r="J1333" s="3" t="str">
        <f>HYPERLINK("https://www.boe.es/gazeta/dias/1822/03/24/pdfs/GMD-1822-85.pdf#page=2","Abrir facsímil")</f>
        <v>Abrir facsímil</v>
      </c>
      <c r="K1333" s="3" t="s">
        <v>22</v>
      </c>
    </row>
    <row r="1334" spans="1:11" ht="42" customHeight="1">
      <c r="A1334" s="2" t="s">
        <v>2841</v>
      </c>
      <c r="B1334" s="2" t="s">
        <v>2841</v>
      </c>
      <c r="C1334" s="2" t="s">
        <v>71</v>
      </c>
      <c r="D1334" s="2" t="s">
        <v>17</v>
      </c>
      <c r="E1334" s="5">
        <v>-28405</v>
      </c>
      <c r="F1334" s="3" t="s">
        <v>466</v>
      </c>
      <c r="G1334" s="3" t="s">
        <v>19</v>
      </c>
      <c r="H1334" s="2" t="s">
        <v>20</v>
      </c>
      <c r="I1334" s="2" t="s">
        <v>2859</v>
      </c>
      <c r="J1334" s="3" t="str">
        <f>HYPERLINK("https://www.boe.es/gazeta/dias/1822/03/24/pdfs/GMD-1822-85.pdf#page=5","Abrir facsímil")</f>
        <v>Abrir facsímil</v>
      </c>
      <c r="K1334" s="3" t="s">
        <v>22</v>
      </c>
    </row>
    <row r="1335" spans="1:11" ht="42" customHeight="1">
      <c r="A1335" s="2" t="s">
        <v>2841</v>
      </c>
      <c r="B1335" s="2" t="s">
        <v>2841</v>
      </c>
      <c r="C1335" s="2" t="s">
        <v>71</v>
      </c>
      <c r="D1335" s="2" t="s">
        <v>17</v>
      </c>
      <c r="E1335" s="5">
        <v>-28404</v>
      </c>
      <c r="F1335" s="3" t="s">
        <v>421</v>
      </c>
      <c r="G1335" s="3" t="s">
        <v>35</v>
      </c>
      <c r="H1335" s="2" t="s">
        <v>20</v>
      </c>
      <c r="I1335" s="2" t="s">
        <v>2860</v>
      </c>
      <c r="J1335" s="3" t="str">
        <f>HYPERLINK("https://www.boe.es/gazeta/dias/1822/03/25/pdfs/GMD-1822-86.pdf#page=2","Abrir facsímil")</f>
        <v>Abrir facsímil</v>
      </c>
      <c r="K1335" s="3" t="s">
        <v>22</v>
      </c>
    </row>
    <row r="1336" spans="1:11" ht="42" customHeight="1">
      <c r="A1336" s="2" t="s">
        <v>2841</v>
      </c>
      <c r="B1336" s="2" t="s">
        <v>2841</v>
      </c>
      <c r="C1336" s="2" t="s">
        <v>28</v>
      </c>
      <c r="D1336" s="2" t="s">
        <v>29</v>
      </c>
      <c r="E1336" s="5">
        <v>-28403</v>
      </c>
      <c r="F1336" s="3" t="s">
        <v>471</v>
      </c>
      <c r="G1336" s="3" t="s">
        <v>2829</v>
      </c>
      <c r="H1336" s="2" t="s">
        <v>20</v>
      </c>
      <c r="I1336" s="2" t="s">
        <v>2861</v>
      </c>
      <c r="J1336" s="3" t="str">
        <f>HYPERLINK("https://www.boe.es/gazeta/dias/1822/03/26/pdfs/GMD-1822-87.pdf#page=4","Abrir facsímil")</f>
        <v>Abrir facsímil</v>
      </c>
      <c r="K1336" s="3" t="s">
        <v>22</v>
      </c>
    </row>
    <row r="1337" spans="1:11" ht="42" customHeight="1">
      <c r="A1337" s="2" t="s">
        <v>2841</v>
      </c>
      <c r="B1337" s="2" t="s">
        <v>2841</v>
      </c>
      <c r="C1337" s="2" t="s">
        <v>42</v>
      </c>
      <c r="D1337" s="2" t="s">
        <v>17</v>
      </c>
      <c r="E1337" s="5">
        <v>-28402</v>
      </c>
      <c r="F1337" s="3" t="s">
        <v>473</v>
      </c>
      <c r="G1337" s="3" t="s">
        <v>57</v>
      </c>
      <c r="H1337" s="2" t="s">
        <v>20</v>
      </c>
      <c r="I1337" s="2" t="s">
        <v>2862</v>
      </c>
      <c r="J1337" s="3" t="str">
        <f>HYPERLINK("https://www.boe.es/gazeta/dias/1822/03/27/pdfs/GMD-1822-88.pdf#page=4","Abrir facsímil")</f>
        <v>Abrir facsímil</v>
      </c>
      <c r="K1337" s="3" t="s">
        <v>22</v>
      </c>
    </row>
    <row r="1338" spans="1:11" ht="42" customHeight="1">
      <c r="A1338" s="2" t="s">
        <v>2841</v>
      </c>
      <c r="B1338" s="2" t="s">
        <v>2841</v>
      </c>
      <c r="C1338" s="2" t="s">
        <v>71</v>
      </c>
      <c r="D1338" s="2" t="s">
        <v>17</v>
      </c>
      <c r="E1338" s="5">
        <v>-28402</v>
      </c>
      <c r="F1338" s="3" t="s">
        <v>473</v>
      </c>
      <c r="G1338" s="3" t="s">
        <v>19</v>
      </c>
      <c r="H1338" s="2" t="s">
        <v>20</v>
      </c>
      <c r="I1338" s="2" t="s">
        <v>2863</v>
      </c>
      <c r="J1338" s="3" t="str">
        <f>HYPERLINK("https://www.boe.es/gazeta/dias/1822/03/27/pdfs/GMD-1822-88.pdf#page=5","Abrir facsímil")</f>
        <v>Abrir facsímil</v>
      </c>
      <c r="K1338" s="3" t="s">
        <v>22</v>
      </c>
    </row>
    <row r="1339" spans="1:11" ht="42" customHeight="1">
      <c r="A1339" s="2" t="s">
        <v>2841</v>
      </c>
      <c r="B1339" s="2" t="s">
        <v>2841</v>
      </c>
      <c r="C1339" s="2" t="s">
        <v>71</v>
      </c>
      <c r="D1339" s="2" t="s">
        <v>17</v>
      </c>
      <c r="E1339" s="5">
        <v>-28401</v>
      </c>
      <c r="F1339" s="3" t="s">
        <v>108</v>
      </c>
      <c r="G1339" s="3" t="s">
        <v>19</v>
      </c>
      <c r="H1339" s="2" t="s">
        <v>20</v>
      </c>
      <c r="I1339" s="2" t="s">
        <v>2864</v>
      </c>
      <c r="J1339" s="3" t="str">
        <f>HYPERLINK("https://www.boe.es/gazeta/dias/1822/03/28/pdfs/GMD-1822-89.pdf#page=5","Abrir facsímil")</f>
        <v>Abrir facsímil</v>
      </c>
      <c r="K1339" s="3" t="s">
        <v>22</v>
      </c>
    </row>
    <row r="1340" spans="1:11" ht="42" customHeight="1">
      <c r="A1340" s="2" t="s">
        <v>2841</v>
      </c>
      <c r="B1340" s="2" t="s">
        <v>2841</v>
      </c>
      <c r="C1340" s="2" t="s">
        <v>50</v>
      </c>
      <c r="D1340" s="2" t="s">
        <v>51</v>
      </c>
      <c r="E1340" s="5">
        <v>-28401</v>
      </c>
      <c r="F1340" s="3" t="s">
        <v>108</v>
      </c>
      <c r="G1340" s="3" t="s">
        <v>63</v>
      </c>
      <c r="H1340" s="2" t="s">
        <v>20</v>
      </c>
      <c r="I1340" s="2" t="s">
        <v>2865</v>
      </c>
      <c r="J1340" s="3" t="str">
        <f>HYPERLINK("https://www.boe.es/gazeta/dias/1822/03/28/pdfs/GMD-1822-89.pdf#page=6","Abrir facsímil")</f>
        <v>Abrir facsímil</v>
      </c>
      <c r="K1340" s="3" t="s">
        <v>22</v>
      </c>
    </row>
    <row r="1341" spans="1:11" ht="42" customHeight="1">
      <c r="A1341" s="2" t="s">
        <v>2841</v>
      </c>
      <c r="B1341" s="2" t="s">
        <v>2841</v>
      </c>
      <c r="C1341" s="2" t="s">
        <v>42</v>
      </c>
      <c r="D1341" s="2" t="s">
        <v>17</v>
      </c>
      <c r="E1341" s="5">
        <v>-28399</v>
      </c>
      <c r="F1341" s="3" t="s">
        <v>476</v>
      </c>
      <c r="G1341" s="3" t="s">
        <v>35</v>
      </c>
      <c r="H1341" s="2" t="s">
        <v>20</v>
      </c>
      <c r="I1341" s="2" t="s">
        <v>2866</v>
      </c>
      <c r="J1341" s="3" t="str">
        <f>HYPERLINK("https://www.boe.es/gazeta/dias/1822/03/30/pdfs/GMD-1822-91.pdf#page=2","Abrir facsímil")</f>
        <v>Abrir facsímil</v>
      </c>
      <c r="K1341" s="3" t="s">
        <v>22</v>
      </c>
    </row>
    <row r="1342" spans="1:11" ht="42" customHeight="1">
      <c r="A1342" s="2" t="s">
        <v>2841</v>
      </c>
      <c r="B1342" s="2" t="s">
        <v>2841</v>
      </c>
      <c r="C1342" s="2" t="s">
        <v>71</v>
      </c>
      <c r="D1342" s="2" t="s">
        <v>17</v>
      </c>
      <c r="E1342" s="5">
        <v>-28395</v>
      </c>
      <c r="F1342" s="3" t="s">
        <v>237</v>
      </c>
      <c r="G1342" s="3" t="s">
        <v>35</v>
      </c>
      <c r="H1342" s="2" t="s">
        <v>20</v>
      </c>
      <c r="I1342" s="2" t="s">
        <v>2867</v>
      </c>
      <c r="J1342" s="3" t="str">
        <f>HYPERLINK("https://www.boe.es/gazeta/dias/1822/04/03/pdfs/GMD-1822-95.pdf#page=2","Abrir facsímil")</f>
        <v>Abrir facsímil</v>
      </c>
      <c r="K1342" s="3" t="s">
        <v>22</v>
      </c>
    </row>
    <row r="1343" spans="1:11" ht="42" customHeight="1">
      <c r="A1343" s="2" t="s">
        <v>2841</v>
      </c>
      <c r="B1343" s="2" t="s">
        <v>2841</v>
      </c>
      <c r="C1343" s="2" t="s">
        <v>50</v>
      </c>
      <c r="D1343" s="2" t="s">
        <v>51</v>
      </c>
      <c r="E1343" s="5">
        <v>-28395</v>
      </c>
      <c r="F1343" s="3" t="s">
        <v>237</v>
      </c>
      <c r="G1343" s="3" t="s">
        <v>31</v>
      </c>
      <c r="H1343" s="2" t="s">
        <v>20</v>
      </c>
      <c r="I1343" s="2" t="s">
        <v>2868</v>
      </c>
      <c r="J1343" s="3" t="str">
        <f>HYPERLINK("https://www.boe.es/gazeta/dias/1822/04/03/pdfs/GMD-1822-95.pdf#page=3","Abrir facsímil")</f>
        <v>Abrir facsímil</v>
      </c>
      <c r="K1343" s="3" t="s">
        <v>22</v>
      </c>
    </row>
    <row r="1344" spans="1:11" ht="42" customHeight="1">
      <c r="A1344" s="2" t="s">
        <v>2869</v>
      </c>
      <c r="B1344" s="2" t="s">
        <v>2869</v>
      </c>
      <c r="C1344" s="2" t="s">
        <v>50</v>
      </c>
      <c r="D1344" s="2" t="s">
        <v>51</v>
      </c>
      <c r="E1344" s="5">
        <v>-28389</v>
      </c>
      <c r="F1344" s="3" t="s">
        <v>481</v>
      </c>
      <c r="G1344" s="3" t="s">
        <v>31</v>
      </c>
      <c r="H1344" s="2" t="s">
        <v>20</v>
      </c>
      <c r="I1344" s="2" t="s">
        <v>2870</v>
      </c>
      <c r="J1344" s="3" t="str">
        <f>HYPERLINK("https://www.boe.es/gazeta/dias/1822/04/09/pdfs/GMD-1822-101.pdf#page=3","Abrir facsímil")</f>
        <v>Abrir facsímil</v>
      </c>
      <c r="K1344" s="3" t="s">
        <v>22</v>
      </c>
    </row>
    <row r="1345" spans="1:11" ht="42" customHeight="1">
      <c r="A1345" s="2" t="s">
        <v>2841</v>
      </c>
      <c r="B1345" s="2" t="s">
        <v>2841</v>
      </c>
      <c r="C1345" s="2" t="s">
        <v>61</v>
      </c>
      <c r="D1345" s="2" t="s">
        <v>17</v>
      </c>
      <c r="E1345" s="5">
        <v>-28389</v>
      </c>
      <c r="F1345" s="3" t="s">
        <v>481</v>
      </c>
      <c r="G1345" s="3" t="s">
        <v>57</v>
      </c>
      <c r="H1345" s="2" t="s">
        <v>20</v>
      </c>
      <c r="I1345" s="2" t="s">
        <v>2871</v>
      </c>
      <c r="J1345" s="3" t="str">
        <f>HYPERLINK("https://www.boe.es/gazeta/dias/1822/04/09/pdfs/GMD-1822-101.pdf#page=4","Abrir facsímil")</f>
        <v>Abrir facsímil</v>
      </c>
      <c r="K1345" s="3" t="s">
        <v>22</v>
      </c>
    </row>
    <row r="1346" spans="1:11" ht="42" customHeight="1">
      <c r="A1346" s="2" t="s">
        <v>2841</v>
      </c>
      <c r="B1346" s="2" t="s">
        <v>2841</v>
      </c>
      <c r="C1346" s="2" t="s">
        <v>28</v>
      </c>
      <c r="D1346" s="2" t="s">
        <v>29</v>
      </c>
      <c r="E1346" s="5">
        <v>-28388</v>
      </c>
      <c r="F1346" s="3" t="s">
        <v>1268</v>
      </c>
      <c r="G1346" s="3" t="s">
        <v>35</v>
      </c>
      <c r="H1346" s="2" t="s">
        <v>20</v>
      </c>
      <c r="I1346" s="2" t="s">
        <v>2872</v>
      </c>
      <c r="J1346" s="3" t="str">
        <f>HYPERLINK("https://www.boe.es/gazeta/dias/1822/04/10/pdfs/GMD-1822-102.pdf#page=2","Abrir facsímil")</f>
        <v>Abrir facsímil</v>
      </c>
      <c r="K1346" s="3" t="s">
        <v>22</v>
      </c>
    </row>
    <row r="1347" spans="1:11" ht="42" customHeight="1">
      <c r="A1347" s="2" t="s">
        <v>2841</v>
      </c>
      <c r="B1347" s="2" t="s">
        <v>2841</v>
      </c>
      <c r="C1347" s="2" t="s">
        <v>61</v>
      </c>
      <c r="D1347" s="2" t="s">
        <v>17</v>
      </c>
      <c r="E1347" s="5">
        <v>-28388</v>
      </c>
      <c r="F1347" s="3" t="s">
        <v>1268</v>
      </c>
      <c r="G1347" s="3" t="s">
        <v>31</v>
      </c>
      <c r="H1347" s="2" t="s">
        <v>20</v>
      </c>
      <c r="I1347" s="2" t="s">
        <v>2873</v>
      </c>
      <c r="J1347" s="3" t="str">
        <f>HYPERLINK("https://www.boe.es/gazeta/dias/1822/04/10/pdfs/GMD-1822-102.pdf#page=3","Abrir facsímil")</f>
        <v>Abrir facsímil</v>
      </c>
      <c r="K1347" s="3" t="s">
        <v>22</v>
      </c>
    </row>
    <row r="1348" spans="1:11" ht="42" customHeight="1">
      <c r="A1348" s="2" t="s">
        <v>2841</v>
      </c>
      <c r="B1348" s="2" t="s">
        <v>2841</v>
      </c>
      <c r="C1348" s="2" t="s">
        <v>42</v>
      </c>
      <c r="D1348" s="2" t="s">
        <v>17</v>
      </c>
      <c r="E1348" s="5">
        <v>-28387</v>
      </c>
      <c r="F1348" s="3" t="s">
        <v>2874</v>
      </c>
      <c r="G1348" s="3" t="s">
        <v>57</v>
      </c>
      <c r="H1348" s="2" t="s">
        <v>20</v>
      </c>
      <c r="I1348" s="2" t="s">
        <v>2875</v>
      </c>
      <c r="J1348" s="3" t="str">
        <f>HYPERLINK("https://www.boe.es/gazeta/dias/1822/04/11/pdfs/GMD-1822-103.pdf#page=4","Abrir facsímil")</f>
        <v>Abrir facsímil</v>
      </c>
      <c r="K1348" s="3" t="s">
        <v>22</v>
      </c>
    </row>
    <row r="1349" spans="1:11" ht="42" customHeight="1">
      <c r="A1349" s="2" t="s">
        <v>2841</v>
      </c>
      <c r="B1349" s="2" t="s">
        <v>2841</v>
      </c>
      <c r="C1349" s="2" t="s">
        <v>71</v>
      </c>
      <c r="D1349" s="2" t="s">
        <v>17</v>
      </c>
      <c r="E1349" s="5">
        <v>-28385</v>
      </c>
      <c r="F1349" s="3" t="s">
        <v>484</v>
      </c>
      <c r="G1349" s="3" t="s">
        <v>31</v>
      </c>
      <c r="H1349" s="2" t="s">
        <v>20</v>
      </c>
      <c r="I1349" s="2" t="s">
        <v>2876</v>
      </c>
      <c r="J1349" s="3" t="str">
        <f>HYPERLINK("https://www.boe.es/gazeta/dias/1822/04/13/pdfs/GMD-1822-105.pdf#page=3","Abrir facsímil")</f>
        <v>Abrir facsímil</v>
      </c>
      <c r="K1349" s="3" t="s">
        <v>22</v>
      </c>
    </row>
    <row r="1350" spans="1:11" ht="42" customHeight="1">
      <c r="A1350" s="2" t="s">
        <v>2841</v>
      </c>
      <c r="B1350" s="2" t="s">
        <v>2841</v>
      </c>
      <c r="C1350" s="2" t="s">
        <v>42</v>
      </c>
      <c r="D1350" s="2" t="s">
        <v>17</v>
      </c>
      <c r="E1350" s="5">
        <v>-28382</v>
      </c>
      <c r="F1350" s="3" t="s">
        <v>973</v>
      </c>
      <c r="G1350" s="3" t="s">
        <v>31</v>
      </c>
      <c r="H1350" s="2" t="s">
        <v>20</v>
      </c>
      <c r="I1350" s="2" t="s">
        <v>2877</v>
      </c>
      <c r="J1350" s="3" t="str">
        <f>HYPERLINK("https://www.boe.es/gazeta/dias/1822/04/16/pdfs/GMD-1822-108.pdf#page=3","Abrir facsímil")</f>
        <v>Abrir facsímil</v>
      </c>
      <c r="K1350" s="3" t="s">
        <v>22</v>
      </c>
    </row>
    <row r="1351" spans="1:11" ht="42" customHeight="1">
      <c r="A1351" s="2" t="s">
        <v>2841</v>
      </c>
      <c r="B1351" s="2" t="s">
        <v>2841</v>
      </c>
      <c r="C1351" s="2" t="s">
        <v>28</v>
      </c>
      <c r="D1351" s="2" t="s">
        <v>29</v>
      </c>
      <c r="E1351" s="5">
        <v>-28382</v>
      </c>
      <c r="F1351" s="3" t="s">
        <v>973</v>
      </c>
      <c r="G1351" s="3" t="s">
        <v>57</v>
      </c>
      <c r="H1351" s="2" t="s">
        <v>20</v>
      </c>
      <c r="I1351" s="2" t="s">
        <v>2878</v>
      </c>
      <c r="J1351" s="3" t="str">
        <f>HYPERLINK("https://www.boe.es/gazeta/dias/1822/04/16/pdfs/GMD-1822-108.pdf#page=4","Abrir facsímil")</f>
        <v>Abrir facsímil</v>
      </c>
      <c r="K1351" s="3" t="s">
        <v>22</v>
      </c>
    </row>
    <row r="1352" spans="1:11" ht="42" customHeight="1">
      <c r="A1352" s="2" t="s">
        <v>2841</v>
      </c>
      <c r="B1352" s="2" t="s">
        <v>2841</v>
      </c>
      <c r="C1352" s="2" t="s">
        <v>28</v>
      </c>
      <c r="D1352" s="2" t="s">
        <v>29</v>
      </c>
      <c r="E1352" s="5">
        <v>-28382</v>
      </c>
      <c r="F1352" s="3" t="s">
        <v>973</v>
      </c>
      <c r="G1352" s="3" t="s">
        <v>19</v>
      </c>
      <c r="H1352" s="2" t="s">
        <v>20</v>
      </c>
      <c r="I1352" s="2" t="s">
        <v>2879</v>
      </c>
      <c r="J1352" s="3" t="str">
        <f>HYPERLINK("https://www.boe.es/gazeta/dias/1822/04/16/pdfs/GMD-1822-108.pdf#page=5","Abrir facsímil")</f>
        <v>Abrir facsímil</v>
      </c>
      <c r="K1352" s="3" t="s">
        <v>22</v>
      </c>
    </row>
    <row r="1353" spans="1:11" ht="42" customHeight="1">
      <c r="A1353" s="2" t="s">
        <v>2841</v>
      </c>
      <c r="B1353" s="2" t="s">
        <v>2841</v>
      </c>
      <c r="C1353" s="2" t="s">
        <v>50</v>
      </c>
      <c r="D1353" s="2" t="s">
        <v>51</v>
      </c>
      <c r="E1353" s="5">
        <v>-28381</v>
      </c>
      <c r="F1353" s="3" t="s">
        <v>358</v>
      </c>
      <c r="G1353" s="3" t="s">
        <v>19</v>
      </c>
      <c r="H1353" s="2" t="s">
        <v>20</v>
      </c>
      <c r="I1353" s="2" t="s">
        <v>2880</v>
      </c>
      <c r="J1353" s="3" t="str">
        <f>HYPERLINK("https://www.boe.es/gazeta/dias/1822/04/17/pdfs/GMD-1822-109.pdf#page=5","Abrir facsímil")</f>
        <v>Abrir facsímil</v>
      </c>
      <c r="K1353" s="3" t="s">
        <v>22</v>
      </c>
    </row>
    <row r="1354" spans="1:11" ht="42" customHeight="1">
      <c r="A1354" s="2" t="s">
        <v>2841</v>
      </c>
      <c r="B1354" s="2" t="s">
        <v>2841</v>
      </c>
      <c r="C1354" s="2" t="s">
        <v>50</v>
      </c>
      <c r="D1354" s="2" t="s">
        <v>51</v>
      </c>
      <c r="E1354" s="5">
        <v>-28380</v>
      </c>
      <c r="F1354" s="3" t="s">
        <v>492</v>
      </c>
      <c r="G1354" s="3" t="s">
        <v>57</v>
      </c>
      <c r="H1354" s="2" t="s">
        <v>20</v>
      </c>
      <c r="I1354" s="2" t="s">
        <v>2881</v>
      </c>
      <c r="J1354" s="3" t="str">
        <f>HYPERLINK("https://www.boe.es/gazeta/dias/1822/04/18/pdfs/GMD-1822-110.pdf#page=4","Abrir facsímil")</f>
        <v>Abrir facsímil</v>
      </c>
      <c r="K1354" s="3" t="s">
        <v>22</v>
      </c>
    </row>
    <row r="1355" spans="1:11" ht="42" customHeight="1">
      <c r="A1355" s="2" t="s">
        <v>2841</v>
      </c>
      <c r="B1355" s="2" t="s">
        <v>2841</v>
      </c>
      <c r="C1355" s="2" t="s">
        <v>28</v>
      </c>
      <c r="D1355" s="2" t="s">
        <v>29</v>
      </c>
      <c r="E1355" s="5">
        <v>-28379</v>
      </c>
      <c r="F1355" s="3" t="s">
        <v>494</v>
      </c>
      <c r="G1355" s="3" t="s">
        <v>19</v>
      </c>
      <c r="H1355" s="2" t="s">
        <v>20</v>
      </c>
      <c r="I1355" s="2" t="s">
        <v>2882</v>
      </c>
      <c r="J1355" s="3" t="str">
        <f>HYPERLINK("https://www.boe.es/gazeta/dias/1822/04/19/pdfs/GMD-1822-111.pdf#page=5","Abrir facsímil")</f>
        <v>Abrir facsímil</v>
      </c>
      <c r="K1355" s="3" t="s">
        <v>22</v>
      </c>
    </row>
    <row r="1356" spans="1:11" ht="42" customHeight="1">
      <c r="A1356" s="2" t="s">
        <v>2841</v>
      </c>
      <c r="B1356" s="2" t="s">
        <v>2841</v>
      </c>
      <c r="C1356" s="2" t="s">
        <v>71</v>
      </c>
      <c r="D1356" s="2" t="s">
        <v>17</v>
      </c>
      <c r="E1356" s="5">
        <v>-28373</v>
      </c>
      <c r="F1356" s="3" t="s">
        <v>614</v>
      </c>
      <c r="G1356" s="3" t="s">
        <v>35</v>
      </c>
      <c r="H1356" s="2" t="s">
        <v>20</v>
      </c>
      <c r="I1356" s="2" t="s">
        <v>2883</v>
      </c>
      <c r="J1356" s="3" t="str">
        <f>HYPERLINK("https://www.boe.es/gazeta/dias/1822/04/25/pdfs/GMD-1822-117.pdf#page=2","Abrir facsímil")</f>
        <v>Abrir facsímil</v>
      </c>
      <c r="K1356" s="3" t="s">
        <v>22</v>
      </c>
    </row>
    <row r="1357" spans="1:11" ht="42" customHeight="1">
      <c r="A1357" s="2" t="s">
        <v>2841</v>
      </c>
      <c r="B1357" s="2" t="s">
        <v>2841</v>
      </c>
      <c r="C1357" s="2" t="s">
        <v>50</v>
      </c>
      <c r="D1357" s="2" t="s">
        <v>51</v>
      </c>
      <c r="E1357" s="5">
        <v>-28371</v>
      </c>
      <c r="F1357" s="3" t="s">
        <v>401</v>
      </c>
      <c r="G1357" s="3" t="s">
        <v>35</v>
      </c>
      <c r="H1357" s="2" t="s">
        <v>20</v>
      </c>
      <c r="I1357" s="2" t="s">
        <v>2884</v>
      </c>
      <c r="J1357" s="3" t="str">
        <f>HYPERLINK("https://www.boe.es/gazeta/dias/1822/04/27/pdfs/GMD-1822-119.pdf#page=2","Abrir facsímil")</f>
        <v>Abrir facsímil</v>
      </c>
      <c r="K1357" s="3" t="s">
        <v>22</v>
      </c>
    </row>
    <row r="1358" spans="1:11" ht="42" customHeight="1">
      <c r="A1358" s="2" t="s">
        <v>2841</v>
      </c>
      <c r="B1358" s="2" t="s">
        <v>2841</v>
      </c>
      <c r="C1358" s="2" t="s">
        <v>61</v>
      </c>
      <c r="D1358" s="2" t="s">
        <v>17</v>
      </c>
      <c r="E1358" s="5">
        <v>-28371</v>
      </c>
      <c r="F1358" s="3" t="s">
        <v>401</v>
      </c>
      <c r="G1358" s="3" t="s">
        <v>31</v>
      </c>
      <c r="H1358" s="2" t="s">
        <v>20</v>
      </c>
      <c r="I1358" s="2" t="s">
        <v>2885</v>
      </c>
      <c r="J1358" s="3" t="str">
        <f>HYPERLINK("https://www.boe.es/gazeta/dias/1822/04/27/pdfs/GMD-1822-119.pdf#page=3","Abrir facsímil")</f>
        <v>Abrir facsímil</v>
      </c>
      <c r="K1358" s="3" t="s">
        <v>22</v>
      </c>
    </row>
    <row r="1359" spans="1:11" ht="42" customHeight="1">
      <c r="A1359" s="2" t="s">
        <v>2841</v>
      </c>
      <c r="B1359" s="2" t="s">
        <v>2841</v>
      </c>
      <c r="C1359" s="2" t="s">
        <v>28</v>
      </c>
      <c r="D1359" s="2" t="s">
        <v>29</v>
      </c>
      <c r="E1359" s="5">
        <v>-28367</v>
      </c>
      <c r="F1359" s="3" t="s">
        <v>280</v>
      </c>
      <c r="G1359" s="3" t="s">
        <v>31</v>
      </c>
      <c r="H1359" s="2" t="s">
        <v>20</v>
      </c>
      <c r="I1359" s="2" t="s">
        <v>2886</v>
      </c>
      <c r="J1359" s="3" t="str">
        <f>HYPERLINK("https://www.boe.es/gazeta/dias/1822/05/01/pdfs/GMD-1822-123.pdf#page=3","Abrir facsímil")</f>
        <v>Abrir facsímil</v>
      </c>
      <c r="K1359" s="3" t="s">
        <v>22</v>
      </c>
    </row>
    <row r="1360" spans="1:11" ht="42" customHeight="1">
      <c r="A1360" s="2" t="s">
        <v>2841</v>
      </c>
      <c r="B1360" s="2" t="s">
        <v>2841</v>
      </c>
      <c r="C1360" s="2" t="s">
        <v>28</v>
      </c>
      <c r="D1360" s="2" t="s">
        <v>29</v>
      </c>
      <c r="E1360" s="5">
        <v>-28364</v>
      </c>
      <c r="F1360" s="3" t="s">
        <v>509</v>
      </c>
      <c r="G1360" s="3" t="s">
        <v>19</v>
      </c>
      <c r="H1360" s="2" t="s">
        <v>20</v>
      </c>
      <c r="I1360" s="2" t="s">
        <v>2887</v>
      </c>
      <c r="J1360" s="3" t="str">
        <f>HYPERLINK("https://www.boe.es/gazeta/dias/1822/05/04/pdfs/GMD-1822-126.pdf#page=5","Abrir facsímil")</f>
        <v>Abrir facsímil</v>
      </c>
      <c r="K1360" s="3" t="s">
        <v>22</v>
      </c>
    </row>
    <row r="1361" spans="1:11" ht="42" customHeight="1">
      <c r="A1361" s="2" t="s">
        <v>2841</v>
      </c>
      <c r="B1361" s="2" t="s">
        <v>2841</v>
      </c>
      <c r="C1361" s="2" t="s">
        <v>50</v>
      </c>
      <c r="D1361" s="2" t="s">
        <v>51</v>
      </c>
      <c r="E1361" s="5">
        <v>-28363</v>
      </c>
      <c r="F1361" s="3" t="s">
        <v>72</v>
      </c>
      <c r="G1361" s="3" t="s">
        <v>63</v>
      </c>
      <c r="H1361" s="2" t="s">
        <v>20</v>
      </c>
      <c r="I1361" s="2" t="s">
        <v>2888</v>
      </c>
      <c r="J1361" s="3" t="str">
        <f>HYPERLINK("https://www.boe.es/gazeta/dias/1822/05/05/pdfs/GMD-1822-127.pdf#page=6","Abrir facsímil")</f>
        <v>Abrir facsímil</v>
      </c>
      <c r="K1361" s="3" t="s">
        <v>22</v>
      </c>
    </row>
    <row r="1362" spans="1:11" ht="42" customHeight="1">
      <c r="A1362" s="2" t="s">
        <v>2841</v>
      </c>
      <c r="B1362" s="2" t="s">
        <v>2841</v>
      </c>
      <c r="C1362" s="2" t="s">
        <v>71</v>
      </c>
      <c r="D1362" s="2" t="s">
        <v>17</v>
      </c>
      <c r="E1362" s="5">
        <v>-28361</v>
      </c>
      <c r="F1362" s="3" t="s">
        <v>374</v>
      </c>
      <c r="G1362" s="3" t="s">
        <v>35</v>
      </c>
      <c r="H1362" s="2" t="s">
        <v>20</v>
      </c>
      <c r="I1362" s="2" t="s">
        <v>2889</v>
      </c>
      <c r="J1362" s="3" t="str">
        <f>HYPERLINK("https://www.boe.es/gazeta/dias/1822/05/07/pdfs/GMD-1822-129.pdf#page=2","Abrir facsímil")</f>
        <v>Abrir facsímil</v>
      </c>
      <c r="K1362" s="3" t="s">
        <v>22</v>
      </c>
    </row>
    <row r="1363" spans="1:11" ht="42" customHeight="1">
      <c r="A1363" s="2" t="s">
        <v>2841</v>
      </c>
      <c r="B1363" s="2" t="s">
        <v>2841</v>
      </c>
      <c r="C1363" s="2" t="s">
        <v>42</v>
      </c>
      <c r="D1363" s="2" t="s">
        <v>17</v>
      </c>
      <c r="E1363" s="5">
        <v>-28361</v>
      </c>
      <c r="F1363" s="3" t="s">
        <v>374</v>
      </c>
      <c r="G1363" s="3" t="s">
        <v>31</v>
      </c>
      <c r="H1363" s="2" t="s">
        <v>20</v>
      </c>
      <c r="I1363" s="2" t="s">
        <v>2890</v>
      </c>
      <c r="J1363" s="3" t="str">
        <f>HYPERLINK("https://www.boe.es/gazeta/dias/1822/05/07/pdfs/GMD-1822-129.pdf#page=3","Abrir facsímil")</f>
        <v>Abrir facsímil</v>
      </c>
      <c r="K1363" s="3" t="s">
        <v>22</v>
      </c>
    </row>
    <row r="1364" spans="1:11" ht="42" customHeight="1">
      <c r="A1364" s="2" t="s">
        <v>2841</v>
      </c>
      <c r="B1364" s="2" t="s">
        <v>2841</v>
      </c>
      <c r="C1364" s="2" t="s">
        <v>50</v>
      </c>
      <c r="D1364" s="2" t="s">
        <v>51</v>
      </c>
      <c r="E1364" s="5">
        <v>-28360</v>
      </c>
      <c r="F1364" s="3" t="s">
        <v>514</v>
      </c>
      <c r="G1364" s="3" t="s">
        <v>31</v>
      </c>
      <c r="H1364" s="2" t="s">
        <v>20</v>
      </c>
      <c r="I1364" s="2" t="s">
        <v>2891</v>
      </c>
      <c r="J1364" s="3" t="str">
        <f>HYPERLINK("https://www.boe.es/gazeta/dias/1822/05/08/pdfs/GMD-1822-130.pdf#page=3","Abrir facsímil")</f>
        <v>Abrir facsímil</v>
      </c>
      <c r="K1364" s="3" t="s">
        <v>22</v>
      </c>
    </row>
    <row r="1365" spans="1:11" ht="42" customHeight="1">
      <c r="A1365" s="2" t="s">
        <v>2841</v>
      </c>
      <c r="B1365" s="2" t="s">
        <v>2841</v>
      </c>
      <c r="C1365" s="2" t="s">
        <v>16</v>
      </c>
      <c r="D1365" s="2" t="s">
        <v>17</v>
      </c>
      <c r="E1365" s="5">
        <v>-28359</v>
      </c>
      <c r="F1365" s="3" t="s">
        <v>209</v>
      </c>
      <c r="G1365" s="3" t="s">
        <v>31</v>
      </c>
      <c r="H1365" s="2" t="s">
        <v>20</v>
      </c>
      <c r="I1365" s="2" t="s">
        <v>2892</v>
      </c>
      <c r="J1365" s="3" t="str">
        <f>HYPERLINK("https://www.boe.es/gazeta/dias/1822/05/09/pdfs/GMD-1822-131.pdf#page=3","Abrir facsímil")</f>
        <v>Abrir facsímil</v>
      </c>
      <c r="K1365" s="3" t="s">
        <v>22</v>
      </c>
    </row>
    <row r="1366" spans="1:11" ht="42" customHeight="1">
      <c r="A1366" s="2" t="s">
        <v>2841</v>
      </c>
      <c r="B1366" s="2" t="s">
        <v>2841</v>
      </c>
      <c r="C1366" s="2" t="s">
        <v>42</v>
      </c>
      <c r="D1366" s="2" t="s">
        <v>17</v>
      </c>
      <c r="E1366" s="5">
        <v>-28358</v>
      </c>
      <c r="F1366" s="3" t="s">
        <v>211</v>
      </c>
      <c r="G1366" s="3" t="s">
        <v>57</v>
      </c>
      <c r="H1366" s="2" t="s">
        <v>20</v>
      </c>
      <c r="I1366" s="2" t="s">
        <v>2893</v>
      </c>
      <c r="J1366" s="3" t="str">
        <f>HYPERLINK("https://www.boe.es/gazeta/dias/1822/05/10/pdfs/GMD-1822-132.pdf#page=4","Abrir facsímil")</f>
        <v>Abrir facsímil</v>
      </c>
      <c r="K1366" s="3" t="s">
        <v>22</v>
      </c>
    </row>
    <row r="1367" spans="1:11" ht="42" customHeight="1">
      <c r="A1367" s="2" t="s">
        <v>2841</v>
      </c>
      <c r="B1367" s="2" t="s">
        <v>2841</v>
      </c>
      <c r="C1367" s="2" t="s">
        <v>71</v>
      </c>
      <c r="D1367" s="2" t="s">
        <v>17</v>
      </c>
      <c r="E1367" s="5">
        <v>-28357</v>
      </c>
      <c r="F1367" s="3" t="s">
        <v>690</v>
      </c>
      <c r="G1367" s="3" t="s">
        <v>63</v>
      </c>
      <c r="H1367" s="2" t="s">
        <v>20</v>
      </c>
      <c r="I1367" s="2" t="s">
        <v>2894</v>
      </c>
      <c r="J1367" s="3" t="str">
        <f>HYPERLINK("https://www.boe.es/gazeta/dias/1822/05/11/pdfs/GMD-1822-133.pdf#page=6","Abrir facsímil")</f>
        <v>Abrir facsímil</v>
      </c>
      <c r="K1367" s="3" t="s">
        <v>22</v>
      </c>
    </row>
    <row r="1368" spans="1:11" ht="42" customHeight="1">
      <c r="A1368" s="2" t="s">
        <v>2841</v>
      </c>
      <c r="B1368" s="2" t="s">
        <v>2841</v>
      </c>
      <c r="C1368" s="2" t="s">
        <v>28</v>
      </c>
      <c r="D1368" s="2" t="s">
        <v>29</v>
      </c>
      <c r="E1368" s="5">
        <v>-28355</v>
      </c>
      <c r="F1368" s="3" t="s">
        <v>692</v>
      </c>
      <c r="G1368" s="3" t="s">
        <v>63</v>
      </c>
      <c r="H1368" s="2" t="s">
        <v>20</v>
      </c>
      <c r="I1368" s="2" t="s">
        <v>2895</v>
      </c>
      <c r="J1368" s="3" t="str">
        <f>HYPERLINK("https://www.boe.es/gazeta/dias/1822/05/13/pdfs/GMD-1822-135.pdf#page=6","Abrir facsímil")</f>
        <v>Abrir facsímil</v>
      </c>
      <c r="K1368" s="3" t="s">
        <v>22</v>
      </c>
    </row>
    <row r="1369" spans="1:11" ht="42" customHeight="1">
      <c r="A1369" s="2" t="s">
        <v>2841</v>
      </c>
      <c r="B1369" s="2" t="s">
        <v>2841</v>
      </c>
      <c r="C1369" s="2" t="s">
        <v>28</v>
      </c>
      <c r="D1369" s="2" t="s">
        <v>29</v>
      </c>
      <c r="E1369" s="5">
        <v>-28353</v>
      </c>
      <c r="F1369" s="3" t="s">
        <v>843</v>
      </c>
      <c r="G1369" s="3" t="s">
        <v>57</v>
      </c>
      <c r="H1369" s="2" t="s">
        <v>20</v>
      </c>
      <c r="I1369" s="2" t="s">
        <v>2896</v>
      </c>
      <c r="J1369" s="3" t="str">
        <f>HYPERLINK("https://www.boe.es/gazeta/dias/1822/05/15/pdfs/GMD-1822-137.pdf#page=4","Abrir facsímil")</f>
        <v>Abrir facsímil</v>
      </c>
      <c r="K1369" s="3" t="s">
        <v>22</v>
      </c>
    </row>
    <row r="1370" spans="1:11" ht="42" customHeight="1">
      <c r="A1370" s="2" t="s">
        <v>2841</v>
      </c>
      <c r="B1370" s="2" t="s">
        <v>2841</v>
      </c>
      <c r="C1370" s="2" t="s">
        <v>50</v>
      </c>
      <c r="D1370" s="2" t="s">
        <v>51</v>
      </c>
      <c r="E1370" s="5">
        <v>-28352</v>
      </c>
      <c r="F1370" s="3" t="s">
        <v>1575</v>
      </c>
      <c r="G1370" s="3" t="s">
        <v>35</v>
      </c>
      <c r="H1370" s="2" t="s">
        <v>20</v>
      </c>
      <c r="I1370" s="2" t="s">
        <v>2897</v>
      </c>
      <c r="J1370" s="3" t="str">
        <f>HYPERLINK("https://www.boe.es/gazeta/dias/1822/05/16/pdfs/GMD-1822-138.pdf#page=2","Abrir facsímil")</f>
        <v>Abrir facsímil</v>
      </c>
      <c r="K1370" s="3" t="s">
        <v>22</v>
      </c>
    </row>
    <row r="1371" spans="1:11" ht="42" customHeight="1">
      <c r="A1371" s="2" t="s">
        <v>2841</v>
      </c>
      <c r="B1371" s="2" t="s">
        <v>2841</v>
      </c>
      <c r="C1371" s="2" t="s">
        <v>16</v>
      </c>
      <c r="D1371" s="2" t="s">
        <v>17</v>
      </c>
      <c r="E1371" s="5">
        <v>-28352</v>
      </c>
      <c r="F1371" s="3" t="s">
        <v>1575</v>
      </c>
      <c r="G1371" s="3" t="s">
        <v>57</v>
      </c>
      <c r="H1371" s="2" t="s">
        <v>20</v>
      </c>
      <c r="I1371" s="2" t="s">
        <v>2898</v>
      </c>
      <c r="J1371" s="3" t="str">
        <f>HYPERLINK("https://www.boe.es/gazeta/dias/1822/05/16/pdfs/GMD-1822-138.pdf#page=4","Abrir facsímil")</f>
        <v>Abrir facsímil</v>
      </c>
      <c r="K1371" s="3" t="s">
        <v>22</v>
      </c>
    </row>
    <row r="1372" spans="1:11" ht="42" customHeight="1">
      <c r="A1372" s="2" t="s">
        <v>2841</v>
      </c>
      <c r="B1372" s="2" t="s">
        <v>2841</v>
      </c>
      <c r="C1372" s="2" t="s">
        <v>24</v>
      </c>
      <c r="D1372" s="2" t="s">
        <v>17</v>
      </c>
      <c r="E1372" s="5">
        <v>-28352</v>
      </c>
      <c r="F1372" s="3" t="s">
        <v>1575</v>
      </c>
      <c r="G1372" s="3" t="s">
        <v>19</v>
      </c>
      <c r="H1372" s="2" t="s">
        <v>20</v>
      </c>
      <c r="I1372" s="2" t="s">
        <v>2899</v>
      </c>
      <c r="J1372" s="3" t="str">
        <f>HYPERLINK("https://www.boe.es/gazeta/dias/1822/05/16/pdfs/GMD-1822-138.pdf#page=5","Abrir facsímil")</f>
        <v>Abrir facsímil</v>
      </c>
      <c r="K1372" s="3" t="s">
        <v>22</v>
      </c>
    </row>
    <row r="1373" spans="1:11" ht="42" customHeight="1">
      <c r="A1373" s="2" t="s">
        <v>2841</v>
      </c>
      <c r="B1373" s="2" t="s">
        <v>2841</v>
      </c>
      <c r="C1373" s="2" t="s">
        <v>42</v>
      </c>
      <c r="D1373" s="2" t="s">
        <v>17</v>
      </c>
      <c r="E1373" s="5">
        <v>-28350</v>
      </c>
      <c r="F1373" s="3" t="s">
        <v>352</v>
      </c>
      <c r="G1373" s="3" t="s">
        <v>31</v>
      </c>
      <c r="H1373" s="2" t="s">
        <v>20</v>
      </c>
      <c r="I1373" s="2" t="s">
        <v>2900</v>
      </c>
      <c r="J1373" s="3" t="str">
        <f>HYPERLINK("https://www.boe.es/gazeta/dias/1822/05/18/pdfs/GMD-1822-140.pdf#page=3","Abrir facsímil")</f>
        <v>Abrir facsímil</v>
      </c>
      <c r="K1373" s="3" t="s">
        <v>22</v>
      </c>
    </row>
    <row r="1374" spans="1:11" ht="42" customHeight="1">
      <c r="A1374" s="2" t="s">
        <v>2841</v>
      </c>
      <c r="B1374" s="2" t="s">
        <v>2841</v>
      </c>
      <c r="C1374" s="2" t="s">
        <v>28</v>
      </c>
      <c r="D1374" s="2" t="s">
        <v>29</v>
      </c>
      <c r="E1374" s="5">
        <v>-28350</v>
      </c>
      <c r="F1374" s="3" t="s">
        <v>352</v>
      </c>
      <c r="G1374" s="3" t="s">
        <v>19</v>
      </c>
      <c r="H1374" s="2" t="s">
        <v>20</v>
      </c>
      <c r="I1374" s="2" t="s">
        <v>2901</v>
      </c>
      <c r="J1374" s="3" t="str">
        <f>HYPERLINK("https://www.boe.es/gazeta/dias/1822/05/18/pdfs/GMD-1822-140.pdf#page=5","Abrir facsímil")</f>
        <v>Abrir facsímil</v>
      </c>
      <c r="K1374" s="3" t="s">
        <v>22</v>
      </c>
    </row>
    <row r="1375" spans="1:11" ht="42" customHeight="1">
      <c r="A1375" s="2" t="s">
        <v>2841</v>
      </c>
      <c r="B1375" s="2" t="s">
        <v>2841</v>
      </c>
      <c r="C1375" s="2" t="s">
        <v>28</v>
      </c>
      <c r="D1375" s="2" t="s">
        <v>29</v>
      </c>
      <c r="E1375" s="5">
        <v>-28350</v>
      </c>
      <c r="F1375" s="3" t="s">
        <v>352</v>
      </c>
      <c r="G1375" s="3" t="s">
        <v>63</v>
      </c>
      <c r="H1375" s="2" t="s">
        <v>20</v>
      </c>
      <c r="I1375" s="2" t="s">
        <v>2902</v>
      </c>
      <c r="J1375" s="3" t="str">
        <f>HYPERLINK("https://www.boe.es/gazeta/dias/1822/05/18/pdfs/GMD-1822-140.pdf#page=6","Abrir facsímil")</f>
        <v>Abrir facsímil</v>
      </c>
      <c r="K1375" s="3" t="s">
        <v>22</v>
      </c>
    </row>
    <row r="1376" spans="1:11" ht="42" customHeight="1">
      <c r="A1376" s="2" t="s">
        <v>2841</v>
      </c>
      <c r="B1376" s="2" t="s">
        <v>2841</v>
      </c>
      <c r="C1376" s="2" t="s">
        <v>42</v>
      </c>
      <c r="D1376" s="2" t="s">
        <v>17</v>
      </c>
      <c r="E1376" s="5">
        <v>-28348</v>
      </c>
      <c r="F1376" s="3" t="s">
        <v>2903</v>
      </c>
      <c r="G1376" s="3" t="s">
        <v>31</v>
      </c>
      <c r="H1376" s="2" t="s">
        <v>20</v>
      </c>
      <c r="I1376" s="2" t="s">
        <v>2904</v>
      </c>
      <c r="J1376" s="3" t="str">
        <f>HYPERLINK("https://www.boe.es/gazeta/dias/1822/05/20/pdfs/GMD-1822-143.pdf#page=3","Abrir facsímil")</f>
        <v>Abrir facsímil</v>
      </c>
      <c r="K1376" s="3" t="s">
        <v>22</v>
      </c>
    </row>
    <row r="1377" spans="1:11" ht="42" customHeight="1">
      <c r="A1377" s="2" t="s">
        <v>2841</v>
      </c>
      <c r="B1377" s="2" t="s">
        <v>2841</v>
      </c>
      <c r="C1377" s="2" t="s">
        <v>61</v>
      </c>
      <c r="D1377" s="2" t="s">
        <v>17</v>
      </c>
      <c r="E1377" s="5">
        <v>-28348</v>
      </c>
      <c r="F1377" s="3" t="s">
        <v>2903</v>
      </c>
      <c r="G1377" s="3" t="s">
        <v>57</v>
      </c>
      <c r="H1377" s="2" t="s">
        <v>20</v>
      </c>
      <c r="I1377" s="2" t="s">
        <v>2905</v>
      </c>
      <c r="J1377" s="3" t="str">
        <f>HYPERLINK("https://www.boe.es/gazeta/dias/1822/05/20/pdfs/GMD-1822-143.pdf#page=4","Abrir facsímil")</f>
        <v>Abrir facsímil</v>
      </c>
      <c r="K1377" s="3" t="s">
        <v>22</v>
      </c>
    </row>
    <row r="1378" spans="1:11" ht="42" customHeight="1">
      <c r="A1378" s="2" t="s">
        <v>2841</v>
      </c>
      <c r="B1378" s="2" t="s">
        <v>2841</v>
      </c>
      <c r="C1378" s="2" t="s">
        <v>71</v>
      </c>
      <c r="D1378" s="2" t="s">
        <v>17</v>
      </c>
      <c r="E1378" s="5">
        <v>-28347</v>
      </c>
      <c r="F1378" s="3" t="s">
        <v>520</v>
      </c>
      <c r="G1378" s="3" t="s">
        <v>31</v>
      </c>
      <c r="H1378" s="2" t="s">
        <v>20</v>
      </c>
      <c r="I1378" s="2" t="s">
        <v>2906</v>
      </c>
      <c r="J1378" s="3" t="str">
        <f>HYPERLINK("https://www.boe.es/gazeta/dias/1822/05/21/pdfs/GMD-1822-144.pdf#page=3","Abrir facsímil")</f>
        <v>Abrir facsímil</v>
      </c>
      <c r="K1378" s="3" t="s">
        <v>22</v>
      </c>
    </row>
    <row r="1379" spans="1:11" ht="42" customHeight="1">
      <c r="A1379" s="2" t="s">
        <v>2841</v>
      </c>
      <c r="B1379" s="2" t="s">
        <v>2841</v>
      </c>
      <c r="C1379" s="2" t="s">
        <v>28</v>
      </c>
      <c r="D1379" s="2" t="s">
        <v>29</v>
      </c>
      <c r="E1379" s="5">
        <v>-28346</v>
      </c>
      <c r="F1379" s="3" t="s">
        <v>191</v>
      </c>
      <c r="G1379" s="3" t="s">
        <v>2823</v>
      </c>
      <c r="H1379" s="2" t="s">
        <v>20</v>
      </c>
      <c r="I1379" s="2" t="s">
        <v>2907</v>
      </c>
      <c r="J1379" s="3" t="str">
        <f>HYPERLINK("https://www.boe.es/gazeta/dias/1822/05/22/pdfs/GMD-1822-145.pdf#page=4","Abrir facsímil")</f>
        <v>Abrir facsímil</v>
      </c>
      <c r="K1379" s="3" t="s">
        <v>22</v>
      </c>
    </row>
    <row r="1380" spans="1:11" ht="42" customHeight="1">
      <c r="A1380" s="2" t="s">
        <v>2841</v>
      </c>
      <c r="B1380" s="2" t="s">
        <v>2841</v>
      </c>
      <c r="C1380" s="2" t="s">
        <v>71</v>
      </c>
      <c r="D1380" s="2" t="s">
        <v>17</v>
      </c>
      <c r="E1380" s="5">
        <v>-28345</v>
      </c>
      <c r="F1380" s="3" t="s">
        <v>294</v>
      </c>
      <c r="G1380" s="3" t="s">
        <v>57</v>
      </c>
      <c r="H1380" s="2" t="s">
        <v>20</v>
      </c>
      <c r="I1380" s="2" t="s">
        <v>2908</v>
      </c>
      <c r="J1380" s="3" t="str">
        <f>HYPERLINK("https://www.boe.es/gazeta/dias/1822/05/23/pdfs/GMD-1822-147.pdf#page=4","Abrir facsímil")</f>
        <v>Abrir facsímil</v>
      </c>
      <c r="K1380" s="3" t="s">
        <v>22</v>
      </c>
    </row>
    <row r="1381" spans="1:11" ht="42" customHeight="1">
      <c r="A1381" s="2" t="s">
        <v>2841</v>
      </c>
      <c r="B1381" s="2" t="s">
        <v>2841</v>
      </c>
      <c r="C1381" s="2" t="s">
        <v>28</v>
      </c>
      <c r="D1381" s="2" t="s">
        <v>29</v>
      </c>
      <c r="E1381" s="5">
        <v>-28343</v>
      </c>
      <c r="F1381" s="3" t="s">
        <v>1019</v>
      </c>
      <c r="G1381" s="3" t="s">
        <v>31</v>
      </c>
      <c r="H1381" s="2" t="s">
        <v>20</v>
      </c>
      <c r="I1381" s="2" t="s">
        <v>2909</v>
      </c>
      <c r="J1381" s="3" t="str">
        <f>HYPERLINK("https://www.boe.es/gazeta/dias/1822/05/25/pdfs/GMD-1822-150.pdf#page=3","Abrir facsímil")</f>
        <v>Abrir facsímil</v>
      </c>
      <c r="K1381" s="3" t="s">
        <v>22</v>
      </c>
    </row>
    <row r="1382" spans="1:11" ht="42" customHeight="1">
      <c r="A1382" s="2" t="s">
        <v>2841</v>
      </c>
      <c r="B1382" s="2" t="s">
        <v>2841</v>
      </c>
      <c r="C1382" s="2" t="s">
        <v>42</v>
      </c>
      <c r="D1382" s="2" t="s">
        <v>17</v>
      </c>
      <c r="E1382" s="5">
        <v>-28342</v>
      </c>
      <c r="F1382" s="3" t="s">
        <v>2281</v>
      </c>
      <c r="G1382" s="3" t="s">
        <v>19</v>
      </c>
      <c r="H1382" s="2" t="s">
        <v>20</v>
      </c>
      <c r="I1382" s="2" t="s">
        <v>2910</v>
      </c>
      <c r="J1382" s="3" t="str">
        <f>HYPERLINK("https://www.boe.es/gazeta/dias/1822/05/26/pdfs/GMD-1822-151.pdf#page=5","Abrir facsímil")</f>
        <v>Abrir facsímil</v>
      </c>
      <c r="K1382" s="3" t="s">
        <v>22</v>
      </c>
    </row>
    <row r="1383" spans="1:11" ht="42" customHeight="1">
      <c r="A1383" s="2" t="s">
        <v>2841</v>
      </c>
      <c r="B1383" s="2" t="s">
        <v>2841</v>
      </c>
      <c r="C1383" s="2" t="s">
        <v>28</v>
      </c>
      <c r="D1383" s="2" t="s">
        <v>29</v>
      </c>
      <c r="E1383" s="5">
        <v>-28341</v>
      </c>
      <c r="F1383" s="3" t="s">
        <v>284</v>
      </c>
      <c r="G1383" s="3" t="s">
        <v>57</v>
      </c>
      <c r="H1383" s="2" t="s">
        <v>20</v>
      </c>
      <c r="I1383" s="2" t="s">
        <v>2911</v>
      </c>
      <c r="J1383" s="3" t="str">
        <f>HYPERLINK("https://www.boe.es/gazeta/dias/1822/05/27/pdfs/GMD-1822-152.pdf#page=4","Abrir facsímil")</f>
        <v>Abrir facsímil</v>
      </c>
      <c r="K1383" s="3" t="s">
        <v>22</v>
      </c>
    </row>
    <row r="1384" spans="1:11" ht="42" customHeight="1">
      <c r="A1384" s="2" t="s">
        <v>2841</v>
      </c>
      <c r="B1384" s="2" t="s">
        <v>2841</v>
      </c>
      <c r="C1384" s="2" t="s">
        <v>28</v>
      </c>
      <c r="D1384" s="2" t="s">
        <v>29</v>
      </c>
      <c r="E1384" s="5">
        <v>-28341</v>
      </c>
      <c r="F1384" s="3" t="s">
        <v>284</v>
      </c>
      <c r="G1384" s="3" t="s">
        <v>19</v>
      </c>
      <c r="H1384" s="2" t="s">
        <v>20</v>
      </c>
      <c r="I1384" s="2" t="s">
        <v>2912</v>
      </c>
      <c r="J1384" s="3" t="str">
        <f>HYPERLINK("https://www.boe.es/gazeta/dias/1822/05/27/pdfs/GMD-1822-152.pdf#page=5","Abrir facsímil")</f>
        <v>Abrir facsímil</v>
      </c>
      <c r="K1384" s="3" t="s">
        <v>22</v>
      </c>
    </row>
    <row r="1385" spans="1:11" ht="42" customHeight="1">
      <c r="A1385" s="2" t="s">
        <v>2841</v>
      </c>
      <c r="B1385" s="2" t="s">
        <v>2841</v>
      </c>
      <c r="C1385" s="2" t="s">
        <v>50</v>
      </c>
      <c r="D1385" s="2" t="s">
        <v>51</v>
      </c>
      <c r="E1385" s="5">
        <v>-28337</v>
      </c>
      <c r="F1385" s="3" t="s">
        <v>1836</v>
      </c>
      <c r="G1385" s="3" t="s">
        <v>57</v>
      </c>
      <c r="H1385" s="2" t="s">
        <v>20</v>
      </c>
      <c r="I1385" s="2" t="s">
        <v>2913</v>
      </c>
      <c r="J1385" s="3" t="str">
        <f>HYPERLINK("https://www.boe.es/gazeta/dias/1822/05/31/pdfs/GMD-1822-156.pdf#page=4","Abrir facsímil")</f>
        <v>Abrir facsímil</v>
      </c>
      <c r="K1385" s="3" t="s">
        <v>22</v>
      </c>
    </row>
    <row r="1386" spans="1:11" ht="42" customHeight="1">
      <c r="A1386" s="2" t="s">
        <v>2841</v>
      </c>
      <c r="B1386" s="2" t="s">
        <v>2841</v>
      </c>
      <c r="C1386" s="2" t="s">
        <v>50</v>
      </c>
      <c r="D1386" s="2" t="s">
        <v>51</v>
      </c>
      <c r="E1386" s="5">
        <v>-28337</v>
      </c>
      <c r="F1386" s="3" t="s">
        <v>1836</v>
      </c>
      <c r="G1386" s="3" t="s">
        <v>19</v>
      </c>
      <c r="H1386" s="2" t="s">
        <v>20</v>
      </c>
      <c r="I1386" s="2" t="s">
        <v>2914</v>
      </c>
      <c r="J1386" s="3" t="str">
        <f>HYPERLINK("https://www.boe.es/gazeta/dias/1822/05/31/pdfs/GMD-1822-156.pdf#page=5","Abrir facsímil")</f>
        <v>Abrir facsímil</v>
      </c>
      <c r="K1386" s="3" t="s">
        <v>22</v>
      </c>
    </row>
    <row r="1387" spans="1:11" ht="42" customHeight="1">
      <c r="A1387" s="2" t="s">
        <v>2841</v>
      </c>
      <c r="B1387" s="2" t="s">
        <v>2841</v>
      </c>
      <c r="C1387" s="2" t="s">
        <v>71</v>
      </c>
      <c r="D1387" s="2" t="s">
        <v>17</v>
      </c>
      <c r="E1387" s="5">
        <v>-28332</v>
      </c>
      <c r="F1387" s="3" t="s">
        <v>535</v>
      </c>
      <c r="G1387" s="3" t="s">
        <v>31</v>
      </c>
      <c r="H1387" s="2" t="s">
        <v>20</v>
      </c>
      <c r="I1387" s="2" t="s">
        <v>2915</v>
      </c>
      <c r="J1387" s="3" t="str">
        <f>HYPERLINK("https://www.boe.es/gazeta/dias/1822/06/05/pdfs/GMD-1822-162.pdf#page=3","Abrir facsímil")</f>
        <v>Abrir facsímil</v>
      </c>
      <c r="K1387" s="3" t="s">
        <v>22</v>
      </c>
    </row>
    <row r="1388" spans="1:11" ht="42" customHeight="1">
      <c r="A1388" s="2" t="s">
        <v>2841</v>
      </c>
      <c r="B1388" s="2" t="s">
        <v>2841</v>
      </c>
      <c r="C1388" s="2" t="s">
        <v>28</v>
      </c>
      <c r="D1388" s="2" t="s">
        <v>29</v>
      </c>
      <c r="E1388" s="5">
        <v>-28331</v>
      </c>
      <c r="F1388" s="3" t="s">
        <v>537</v>
      </c>
      <c r="G1388" s="3" t="s">
        <v>35</v>
      </c>
      <c r="H1388" s="2" t="s">
        <v>20</v>
      </c>
      <c r="I1388" s="2" t="s">
        <v>2916</v>
      </c>
      <c r="J1388" s="3" t="str">
        <f>HYPERLINK("https://www.boe.es/gazeta/dias/1822/06/06/pdfs/GMD-1822-163.pdf#page=2","Abrir facsímil")</f>
        <v>Abrir facsímil</v>
      </c>
      <c r="K1388" s="3" t="s">
        <v>22</v>
      </c>
    </row>
    <row r="1389" spans="1:11" ht="42" customHeight="1">
      <c r="A1389" s="2" t="s">
        <v>2841</v>
      </c>
      <c r="B1389" s="2" t="s">
        <v>2841</v>
      </c>
      <c r="C1389" s="2" t="s">
        <v>28</v>
      </c>
      <c r="D1389" s="2" t="s">
        <v>29</v>
      </c>
      <c r="E1389" s="5">
        <v>-28329</v>
      </c>
      <c r="F1389" s="3" t="s">
        <v>354</v>
      </c>
      <c r="G1389" s="3" t="s">
        <v>35</v>
      </c>
      <c r="H1389" s="2" t="s">
        <v>20</v>
      </c>
      <c r="I1389" s="2" t="s">
        <v>2917</v>
      </c>
      <c r="J1389" s="3" t="str">
        <f>HYPERLINK("https://www.boe.es/gazeta/dias/1822/06/08/pdfs/GMD-1822-165.pdf#page=2","Abrir facsímil")</f>
        <v>Abrir facsímil</v>
      </c>
      <c r="K1389" s="3" t="s">
        <v>22</v>
      </c>
    </row>
    <row r="1390" spans="1:11" ht="42" customHeight="1">
      <c r="A1390" s="2" t="s">
        <v>2869</v>
      </c>
      <c r="B1390" s="2" t="s">
        <v>2869</v>
      </c>
      <c r="C1390" s="2" t="s">
        <v>28</v>
      </c>
      <c r="D1390" s="2" t="s">
        <v>29</v>
      </c>
      <c r="E1390" s="5">
        <v>-28329</v>
      </c>
      <c r="F1390" s="3" t="s">
        <v>354</v>
      </c>
      <c r="G1390" s="3" t="s">
        <v>31</v>
      </c>
      <c r="H1390" s="2" t="s">
        <v>20</v>
      </c>
      <c r="I1390" s="2" t="s">
        <v>2918</v>
      </c>
      <c r="J1390" s="3" t="str">
        <f>HYPERLINK("https://www.boe.es/gazeta/dias/1822/06/08/pdfs/GMD-1822-165.pdf#page=3","Abrir facsímil")</f>
        <v>Abrir facsímil</v>
      </c>
      <c r="K1390" s="3" t="s">
        <v>22</v>
      </c>
    </row>
    <row r="1391" spans="1:11" ht="42" customHeight="1">
      <c r="A1391" s="2" t="s">
        <v>2841</v>
      </c>
      <c r="B1391" s="2" t="s">
        <v>2841</v>
      </c>
      <c r="C1391" s="2" t="s">
        <v>28</v>
      </c>
      <c r="D1391" s="2" t="s">
        <v>29</v>
      </c>
      <c r="E1391" s="5">
        <v>-28328</v>
      </c>
      <c r="F1391" s="3" t="s">
        <v>540</v>
      </c>
      <c r="G1391" s="3" t="s">
        <v>19</v>
      </c>
      <c r="H1391" s="2" t="s">
        <v>20</v>
      </c>
      <c r="I1391" s="2" t="s">
        <v>2919</v>
      </c>
      <c r="J1391" s="3" t="str">
        <f>HYPERLINK("https://www.boe.es/gazeta/dias/1822/06/09/pdfs/GMD-1822-166.pdf#page=5","Abrir facsímil")</f>
        <v>Abrir facsímil</v>
      </c>
      <c r="K1391" s="3" t="s">
        <v>22</v>
      </c>
    </row>
    <row r="1392" spans="1:11" ht="42" customHeight="1">
      <c r="A1392" s="2" t="s">
        <v>2841</v>
      </c>
      <c r="B1392" s="2" t="s">
        <v>2841</v>
      </c>
      <c r="C1392" s="2" t="s">
        <v>71</v>
      </c>
      <c r="D1392" s="2" t="s">
        <v>17</v>
      </c>
      <c r="E1392" s="5">
        <v>-28327</v>
      </c>
      <c r="F1392" s="3" t="s">
        <v>38</v>
      </c>
      <c r="G1392" s="3" t="s">
        <v>19</v>
      </c>
      <c r="H1392" s="2" t="s">
        <v>20</v>
      </c>
      <c r="I1392" s="2" t="s">
        <v>2920</v>
      </c>
      <c r="J1392" s="3" t="str">
        <f>HYPERLINK("https://www.boe.es/gazeta/dias/1822/06/10/pdfs/GMD-1822-167.pdf#page=5","Abrir facsímil")</f>
        <v>Abrir facsímil</v>
      </c>
      <c r="K1392" s="3" t="s">
        <v>22</v>
      </c>
    </row>
    <row r="1393" spans="1:11" ht="42" customHeight="1">
      <c r="A1393" s="2" t="s">
        <v>2841</v>
      </c>
      <c r="B1393" s="2" t="s">
        <v>2841</v>
      </c>
      <c r="C1393" s="2" t="s">
        <v>42</v>
      </c>
      <c r="D1393" s="2" t="s">
        <v>17</v>
      </c>
      <c r="E1393" s="5">
        <v>-28325</v>
      </c>
      <c r="F1393" s="3" t="s">
        <v>104</v>
      </c>
      <c r="G1393" s="3" t="s">
        <v>35</v>
      </c>
      <c r="H1393" s="2" t="s">
        <v>20</v>
      </c>
      <c r="I1393" s="2" t="s">
        <v>2921</v>
      </c>
      <c r="J1393" s="3" t="str">
        <f>HYPERLINK("https://www.boe.es/gazeta/dias/1822/06/12/pdfs/GMD-1822-169.pdf#page=2","Abrir facsímil")</f>
        <v>Abrir facsímil</v>
      </c>
      <c r="K1393" s="3" t="s">
        <v>22</v>
      </c>
    </row>
    <row r="1394" spans="1:11" ht="42" customHeight="1">
      <c r="A1394" s="2" t="s">
        <v>2841</v>
      </c>
      <c r="B1394" s="2" t="s">
        <v>2841</v>
      </c>
      <c r="C1394" s="2" t="s">
        <v>71</v>
      </c>
      <c r="D1394" s="2" t="s">
        <v>17</v>
      </c>
      <c r="E1394" s="5">
        <v>-28323</v>
      </c>
      <c r="F1394" s="3" t="s">
        <v>116</v>
      </c>
      <c r="G1394" s="3" t="s">
        <v>57</v>
      </c>
      <c r="H1394" s="2" t="s">
        <v>20</v>
      </c>
      <c r="I1394" s="2" t="s">
        <v>2922</v>
      </c>
      <c r="J1394" s="3" t="str">
        <f>HYPERLINK("https://www.boe.es/gazeta/dias/1822/06/14/pdfs/GMD-1822-171.pdf#page=4","Abrir facsímil")</f>
        <v>Abrir facsímil</v>
      </c>
      <c r="K1394" s="3" t="s">
        <v>22</v>
      </c>
    </row>
    <row r="1395" spans="1:11" ht="42" customHeight="1">
      <c r="A1395" s="2" t="s">
        <v>2841</v>
      </c>
      <c r="B1395" s="2" t="s">
        <v>2841</v>
      </c>
      <c r="C1395" s="2" t="s">
        <v>42</v>
      </c>
      <c r="D1395" s="2" t="s">
        <v>17</v>
      </c>
      <c r="E1395" s="5">
        <v>-28322</v>
      </c>
      <c r="F1395" s="3" t="s">
        <v>2205</v>
      </c>
      <c r="G1395" s="3" t="s">
        <v>31</v>
      </c>
      <c r="H1395" s="2" t="s">
        <v>20</v>
      </c>
      <c r="I1395" s="2" t="s">
        <v>2923</v>
      </c>
      <c r="J1395" s="3" t="str">
        <f>HYPERLINK("https://www.boe.es/gazeta/dias/1822/06/15/pdfs/GMD-1822-172.pdf#page=3","Abrir facsímil")</f>
        <v>Abrir facsímil</v>
      </c>
      <c r="K1395" s="3" t="s">
        <v>22</v>
      </c>
    </row>
    <row r="1396" spans="1:11" ht="42" customHeight="1">
      <c r="A1396" s="2" t="s">
        <v>2841</v>
      </c>
      <c r="B1396" s="2" t="s">
        <v>2841</v>
      </c>
      <c r="C1396" s="2" t="s">
        <v>50</v>
      </c>
      <c r="D1396" s="2" t="s">
        <v>51</v>
      </c>
      <c r="E1396" s="5">
        <v>-28321</v>
      </c>
      <c r="F1396" s="3" t="s">
        <v>1142</v>
      </c>
      <c r="G1396" s="3" t="s">
        <v>35</v>
      </c>
      <c r="H1396" s="2" t="s">
        <v>20</v>
      </c>
      <c r="I1396" s="2" t="s">
        <v>2924</v>
      </c>
      <c r="J1396" s="3" t="str">
        <f>HYPERLINK("https://www.boe.es/gazeta/dias/1822/06/16/pdfs/GMD-1822-173.pdf#page=2","Abrir facsímil")</f>
        <v>Abrir facsímil</v>
      </c>
      <c r="K1396" s="3" t="s">
        <v>22</v>
      </c>
    </row>
    <row r="1397" spans="1:11" ht="42" customHeight="1">
      <c r="A1397" s="2" t="s">
        <v>2841</v>
      </c>
      <c r="B1397" s="2" t="s">
        <v>2841</v>
      </c>
      <c r="C1397" s="2" t="s">
        <v>61</v>
      </c>
      <c r="D1397" s="2" t="s">
        <v>17</v>
      </c>
      <c r="E1397" s="5">
        <v>-28321</v>
      </c>
      <c r="F1397" s="3" t="s">
        <v>1142</v>
      </c>
      <c r="G1397" s="3" t="s">
        <v>31</v>
      </c>
      <c r="H1397" s="2" t="s">
        <v>20</v>
      </c>
      <c r="I1397" s="2" t="s">
        <v>2925</v>
      </c>
      <c r="J1397" s="3" t="str">
        <f>HYPERLINK("https://www.boe.es/gazeta/dias/1822/06/16/pdfs/GMD-1822-173.pdf#page=3","Abrir facsímil")</f>
        <v>Abrir facsímil</v>
      </c>
      <c r="K1397" s="3" t="s">
        <v>22</v>
      </c>
    </row>
    <row r="1398" spans="1:11" ht="42" customHeight="1">
      <c r="A1398" s="2" t="s">
        <v>2841</v>
      </c>
      <c r="B1398" s="2" t="s">
        <v>2841</v>
      </c>
      <c r="C1398" s="2" t="s">
        <v>28</v>
      </c>
      <c r="D1398" s="2" t="s">
        <v>29</v>
      </c>
      <c r="E1398" s="5">
        <v>-28318</v>
      </c>
      <c r="F1398" s="3" t="s">
        <v>397</v>
      </c>
      <c r="G1398" s="3" t="s">
        <v>35</v>
      </c>
      <c r="H1398" s="2" t="s">
        <v>20</v>
      </c>
      <c r="I1398" s="2" t="s">
        <v>2926</v>
      </c>
      <c r="J1398" s="3" t="str">
        <f>HYPERLINK("https://www.boe.es/gazeta/dias/1822/06/19/pdfs/GMD-1822-176.pdf#page=2","Abrir facsímil")</f>
        <v>Abrir facsímil</v>
      </c>
      <c r="K1398" s="3" t="s">
        <v>22</v>
      </c>
    </row>
    <row r="1399" spans="1:11" ht="42" customHeight="1">
      <c r="A1399" s="2" t="s">
        <v>2841</v>
      </c>
      <c r="B1399" s="2" t="s">
        <v>2841</v>
      </c>
      <c r="C1399" s="2" t="s">
        <v>61</v>
      </c>
      <c r="D1399" s="2" t="s">
        <v>17</v>
      </c>
      <c r="E1399" s="5">
        <v>-28318</v>
      </c>
      <c r="F1399" s="3" t="s">
        <v>397</v>
      </c>
      <c r="G1399" s="3" t="s">
        <v>63</v>
      </c>
      <c r="H1399" s="2" t="s">
        <v>20</v>
      </c>
      <c r="I1399" s="2" t="s">
        <v>2927</v>
      </c>
      <c r="J1399" s="3" t="str">
        <f>HYPERLINK("https://www.boe.es/gazeta/dias/1822/06/19/pdfs/GMD-1822-176.pdf#page=6","Abrir facsímil")</f>
        <v>Abrir facsímil</v>
      </c>
      <c r="K1399" s="3" t="s">
        <v>22</v>
      </c>
    </row>
    <row r="1400" spans="1:11" ht="42" customHeight="1">
      <c r="A1400" s="2" t="s">
        <v>2841</v>
      </c>
      <c r="B1400" s="2" t="s">
        <v>2841</v>
      </c>
      <c r="C1400" s="2" t="s">
        <v>24</v>
      </c>
      <c r="D1400" s="2" t="s">
        <v>17</v>
      </c>
      <c r="E1400" s="5">
        <v>-28317</v>
      </c>
      <c r="F1400" s="3" t="s">
        <v>546</v>
      </c>
      <c r="G1400" s="3" t="s">
        <v>57</v>
      </c>
      <c r="H1400" s="2" t="s">
        <v>20</v>
      </c>
      <c r="I1400" s="2" t="s">
        <v>2928</v>
      </c>
      <c r="J1400" s="3" t="str">
        <f>HYPERLINK("https://www.boe.es/gazeta/dias/1822/06/20/pdfs/GMD-1822-177.pdf#page=4","Abrir facsímil")</f>
        <v>Abrir facsímil</v>
      </c>
      <c r="K1400" s="3" t="s">
        <v>22</v>
      </c>
    </row>
    <row r="1401" spans="1:11" ht="42" customHeight="1">
      <c r="A1401" s="2" t="s">
        <v>2841</v>
      </c>
      <c r="B1401" s="2" t="s">
        <v>2841</v>
      </c>
      <c r="C1401" s="2" t="s">
        <v>42</v>
      </c>
      <c r="D1401" s="2" t="s">
        <v>17</v>
      </c>
      <c r="E1401" s="5">
        <v>-28316</v>
      </c>
      <c r="F1401" s="3" t="s">
        <v>1144</v>
      </c>
      <c r="G1401" s="3" t="s">
        <v>35</v>
      </c>
      <c r="H1401" s="2" t="s">
        <v>20</v>
      </c>
      <c r="I1401" s="2" t="s">
        <v>2929</v>
      </c>
      <c r="J1401" s="3" t="str">
        <f>HYPERLINK("https://www.boe.es/gazeta/dias/1822/06/21/pdfs/GMD-1822-179.pdf#page=2","Abrir facsímil")</f>
        <v>Abrir facsímil</v>
      </c>
      <c r="K1401" s="3" t="s">
        <v>22</v>
      </c>
    </row>
    <row r="1402" spans="1:11" ht="42" customHeight="1">
      <c r="A1402" s="2" t="s">
        <v>2841</v>
      </c>
      <c r="B1402" s="2" t="s">
        <v>2841</v>
      </c>
      <c r="C1402" s="2" t="s">
        <v>42</v>
      </c>
      <c r="D1402" s="2" t="s">
        <v>17</v>
      </c>
      <c r="E1402" s="5">
        <v>-28316</v>
      </c>
      <c r="F1402" s="3" t="s">
        <v>1144</v>
      </c>
      <c r="G1402" s="3" t="s">
        <v>31</v>
      </c>
      <c r="H1402" s="2" t="s">
        <v>20</v>
      </c>
      <c r="I1402" s="2" t="s">
        <v>2930</v>
      </c>
      <c r="J1402" s="3" t="str">
        <f>HYPERLINK("https://www.boe.es/gazeta/dias/1822/06/21/pdfs/GMD-1822-179.pdf#page=3","Abrir facsímil")</f>
        <v>Abrir facsímil</v>
      </c>
      <c r="K1402" s="3" t="s">
        <v>22</v>
      </c>
    </row>
    <row r="1403" spans="1:11" ht="42" customHeight="1">
      <c r="A1403" s="2" t="s">
        <v>2841</v>
      </c>
      <c r="B1403" s="2" t="s">
        <v>2841</v>
      </c>
      <c r="C1403" s="2" t="s">
        <v>42</v>
      </c>
      <c r="D1403" s="2" t="s">
        <v>17</v>
      </c>
      <c r="E1403" s="5">
        <v>-28314</v>
      </c>
      <c r="F1403" s="3" t="s">
        <v>309</v>
      </c>
      <c r="G1403" s="3" t="s">
        <v>35</v>
      </c>
      <c r="H1403" s="2" t="s">
        <v>20</v>
      </c>
      <c r="I1403" s="2" t="s">
        <v>2931</v>
      </c>
      <c r="J1403" s="3" t="str">
        <f>HYPERLINK("https://www.boe.es/gazeta/dias/1822/06/23/pdfs/GMD-1822-181.pdf#page=2","Abrir facsímil")</f>
        <v>Abrir facsímil</v>
      </c>
      <c r="K1403" s="3" t="s">
        <v>22</v>
      </c>
    </row>
    <row r="1404" spans="1:11" ht="42" customHeight="1">
      <c r="A1404" s="2" t="s">
        <v>2841</v>
      </c>
      <c r="B1404" s="2" t="s">
        <v>2841</v>
      </c>
      <c r="C1404" s="2" t="s">
        <v>28</v>
      </c>
      <c r="D1404" s="2" t="s">
        <v>29</v>
      </c>
      <c r="E1404" s="5">
        <v>-28311</v>
      </c>
      <c r="F1404" s="3" t="s">
        <v>736</v>
      </c>
      <c r="G1404" s="3" t="s">
        <v>63</v>
      </c>
      <c r="H1404" s="2" t="s">
        <v>20</v>
      </c>
      <c r="I1404" s="2" t="s">
        <v>2932</v>
      </c>
      <c r="J1404" s="3" t="str">
        <f>HYPERLINK("https://www.boe.es/gazeta/dias/1822/06/26/pdfs/GMD-1822-184.pdf#page=6","Abrir facsímil")</f>
        <v>Abrir facsímil</v>
      </c>
      <c r="K1404" s="3" t="s">
        <v>22</v>
      </c>
    </row>
    <row r="1405" spans="1:11" ht="42" customHeight="1">
      <c r="A1405" s="2" t="s">
        <v>2841</v>
      </c>
      <c r="B1405" s="2" t="s">
        <v>2841</v>
      </c>
      <c r="C1405" s="2" t="s">
        <v>71</v>
      </c>
      <c r="D1405" s="2" t="s">
        <v>17</v>
      </c>
      <c r="E1405" s="5">
        <v>-28310</v>
      </c>
      <c r="F1405" s="3" t="s">
        <v>241</v>
      </c>
      <c r="G1405" s="3" t="s">
        <v>31</v>
      </c>
      <c r="H1405" s="2" t="s">
        <v>20</v>
      </c>
      <c r="I1405" s="2" t="s">
        <v>2933</v>
      </c>
      <c r="J1405" s="3" t="str">
        <f>HYPERLINK("https://www.boe.es/gazeta/dias/1822/06/27/pdfs/GMD-1822-185.pdf#page=3","Abrir facsímil")</f>
        <v>Abrir facsímil</v>
      </c>
      <c r="K1405" s="3" t="s">
        <v>22</v>
      </c>
    </row>
    <row r="1406" spans="1:11" ht="42" customHeight="1">
      <c r="A1406" s="2" t="s">
        <v>2841</v>
      </c>
      <c r="B1406" s="2" t="s">
        <v>2841</v>
      </c>
      <c r="C1406" s="2" t="s">
        <v>28</v>
      </c>
      <c r="D1406" s="2" t="s">
        <v>29</v>
      </c>
      <c r="E1406" s="5">
        <v>-28309</v>
      </c>
      <c r="F1406" s="3" t="s">
        <v>553</v>
      </c>
      <c r="G1406" s="3" t="s">
        <v>2934</v>
      </c>
      <c r="H1406" s="2" t="s">
        <v>20</v>
      </c>
      <c r="I1406" s="2" t="s">
        <v>2935</v>
      </c>
      <c r="J1406" s="3" t="str">
        <f>HYPERLINK("https://www.boe.es/gazeta/dias/1822/06/28/pdfs/GMD-1822-186.pdf#page=2","Abrir facsímil")</f>
        <v>Abrir facsímil</v>
      </c>
      <c r="K1406" s="3" t="s">
        <v>22</v>
      </c>
    </row>
    <row r="1407" spans="1:11" ht="42" customHeight="1">
      <c r="A1407" s="2" t="s">
        <v>2841</v>
      </c>
      <c r="B1407" s="2" t="s">
        <v>2841</v>
      </c>
      <c r="C1407" s="2" t="s">
        <v>50</v>
      </c>
      <c r="D1407" s="2" t="s">
        <v>51</v>
      </c>
      <c r="E1407" s="5">
        <v>-28309</v>
      </c>
      <c r="F1407" s="3" t="s">
        <v>553</v>
      </c>
      <c r="G1407" s="3" t="s">
        <v>63</v>
      </c>
      <c r="H1407" s="2" t="s">
        <v>20</v>
      </c>
      <c r="I1407" s="2" t="s">
        <v>2936</v>
      </c>
      <c r="J1407" s="3" t="str">
        <f>HYPERLINK("https://www.boe.es/gazeta/dias/1822/06/28/pdfs/GMD-1822-186.pdf#page=6","Abrir facsímil")</f>
        <v>Abrir facsímil</v>
      </c>
      <c r="K1407" s="3" t="s">
        <v>22</v>
      </c>
    </row>
    <row r="1408" spans="1:11" ht="42" customHeight="1">
      <c r="A1408" s="2" t="s">
        <v>2841</v>
      </c>
      <c r="B1408" s="2" t="s">
        <v>2841</v>
      </c>
      <c r="C1408" s="2" t="s">
        <v>50</v>
      </c>
      <c r="D1408" s="2" t="s">
        <v>51</v>
      </c>
      <c r="E1408" s="5">
        <v>-28308</v>
      </c>
      <c r="F1408" s="3" t="s">
        <v>1050</v>
      </c>
      <c r="G1408" s="3" t="s">
        <v>31</v>
      </c>
      <c r="H1408" s="2" t="s">
        <v>20</v>
      </c>
      <c r="I1408" s="2" t="s">
        <v>2937</v>
      </c>
      <c r="J1408" s="3" t="str">
        <f>HYPERLINK("https://www.boe.es/gazeta/dias/1822/06/29/pdfs/GMD-1822-187.pdf#page=3","Abrir facsímil")</f>
        <v>Abrir facsímil</v>
      </c>
      <c r="K1408" s="3" t="s">
        <v>22</v>
      </c>
    </row>
    <row r="1409" spans="1:11" ht="42" customHeight="1">
      <c r="A1409" s="2" t="s">
        <v>2841</v>
      </c>
      <c r="B1409" s="2" t="s">
        <v>2841</v>
      </c>
      <c r="C1409" s="2" t="s">
        <v>42</v>
      </c>
      <c r="D1409" s="2" t="s">
        <v>17</v>
      </c>
      <c r="E1409" s="5">
        <v>-28307</v>
      </c>
      <c r="F1409" s="3" t="s">
        <v>555</v>
      </c>
      <c r="G1409" s="3" t="s">
        <v>19</v>
      </c>
      <c r="H1409" s="2" t="s">
        <v>20</v>
      </c>
      <c r="I1409" s="2" t="s">
        <v>2938</v>
      </c>
      <c r="J1409" s="3" t="str">
        <f>HYPERLINK("https://www.boe.es/gazeta/dias/1822/06/30/pdfs/GMD-1822-188.pdf#page=5","Abrir facsímil")</f>
        <v>Abrir facsímil</v>
      </c>
      <c r="K1409" s="3" t="s">
        <v>22</v>
      </c>
    </row>
    <row r="1410" spans="1:11" ht="42" customHeight="1">
      <c r="A1410" s="2" t="s">
        <v>2841</v>
      </c>
      <c r="B1410" s="2" t="s">
        <v>2841</v>
      </c>
      <c r="C1410" s="2" t="s">
        <v>50</v>
      </c>
      <c r="D1410" s="2" t="s">
        <v>51</v>
      </c>
      <c r="E1410" s="5">
        <v>-28200</v>
      </c>
      <c r="F1410" s="3" t="s">
        <v>1037</v>
      </c>
      <c r="G1410" s="3" t="s">
        <v>57</v>
      </c>
      <c r="H1410" s="2" t="s">
        <v>20</v>
      </c>
      <c r="I1410" s="2" t="s">
        <v>2939</v>
      </c>
      <c r="J1410" s="3" t="str">
        <f>HYPERLINK("https://www.boe.es/gazeta/dias/1822/10/15/pdfs/GMD-1822-302.pdf#page=4","Abrir facsímil")</f>
        <v>Abrir facsímil</v>
      </c>
      <c r="K1410" s="3" t="s">
        <v>22</v>
      </c>
    </row>
    <row r="1411" spans="1:11" ht="42" customHeight="1">
      <c r="A1411" s="2" t="s">
        <v>2841</v>
      </c>
      <c r="B1411" s="2" t="s">
        <v>2841</v>
      </c>
      <c r="C1411" s="2" t="s">
        <v>28</v>
      </c>
      <c r="D1411" s="2" t="s">
        <v>29</v>
      </c>
      <c r="E1411" s="5">
        <v>-28199</v>
      </c>
      <c r="F1411" s="3" t="s">
        <v>656</v>
      </c>
      <c r="G1411" s="3" t="s">
        <v>57</v>
      </c>
      <c r="H1411" s="2" t="s">
        <v>20</v>
      </c>
      <c r="I1411" s="2" t="s">
        <v>2940</v>
      </c>
      <c r="J1411" s="3" t="str">
        <f>HYPERLINK("https://www.boe.es/gazeta/dias/1822/10/16/pdfs/GMD-1822-303.pdf#page=4","Abrir facsímil")</f>
        <v>Abrir facsímil</v>
      </c>
      <c r="K1411" s="3" t="s">
        <v>22</v>
      </c>
    </row>
    <row r="1412" spans="1:11" ht="42" customHeight="1">
      <c r="A1412" s="2" t="s">
        <v>2841</v>
      </c>
      <c r="B1412" s="2" t="s">
        <v>2841</v>
      </c>
      <c r="C1412" s="2" t="s">
        <v>50</v>
      </c>
      <c r="D1412" s="2" t="s">
        <v>51</v>
      </c>
      <c r="E1412" s="5">
        <v>-28198</v>
      </c>
      <c r="F1412" s="3" t="s">
        <v>981</v>
      </c>
      <c r="G1412" s="3" t="s">
        <v>35</v>
      </c>
      <c r="H1412" s="2" t="s">
        <v>20</v>
      </c>
      <c r="I1412" s="2" t="s">
        <v>2941</v>
      </c>
      <c r="J1412" s="3" t="str">
        <f>HYPERLINK("https://www.boe.es/gazeta/dias/1822/10/17/pdfs/GMD-1822-304.pdf#page=2","Abrir facsímil")</f>
        <v>Abrir facsímil</v>
      </c>
      <c r="K1412" s="3" t="s">
        <v>22</v>
      </c>
    </row>
    <row r="1413" spans="1:11" ht="42" customHeight="1">
      <c r="A1413" s="2" t="s">
        <v>2841</v>
      </c>
      <c r="B1413" s="2" t="s">
        <v>2841</v>
      </c>
      <c r="C1413" s="2" t="s">
        <v>71</v>
      </c>
      <c r="D1413" s="2" t="s">
        <v>17</v>
      </c>
      <c r="E1413" s="5">
        <v>-28197</v>
      </c>
      <c r="F1413" s="3" t="s">
        <v>568</v>
      </c>
      <c r="G1413" s="3" t="s">
        <v>35</v>
      </c>
      <c r="H1413" s="2" t="s">
        <v>20</v>
      </c>
      <c r="I1413" s="2" t="s">
        <v>2942</v>
      </c>
      <c r="J1413" s="3" t="str">
        <f>HYPERLINK("https://www.boe.es/gazeta/dias/1822/10/18/pdfs/GMD-1822-305.pdf#page=2","Abrir facsímil")</f>
        <v>Abrir facsímil</v>
      </c>
      <c r="K1413" s="3" t="s">
        <v>22</v>
      </c>
    </row>
    <row r="1414" spans="1:11" ht="42" customHeight="1">
      <c r="A1414" s="2" t="s">
        <v>2841</v>
      </c>
      <c r="B1414" s="2" t="s">
        <v>2841</v>
      </c>
      <c r="C1414" s="2" t="s">
        <v>71</v>
      </c>
      <c r="D1414" s="2" t="s">
        <v>17</v>
      </c>
      <c r="E1414" s="5">
        <v>-28194</v>
      </c>
      <c r="F1414" s="3" t="s">
        <v>18</v>
      </c>
      <c r="G1414" s="3" t="s">
        <v>44</v>
      </c>
      <c r="H1414" s="2" t="s">
        <v>20</v>
      </c>
      <c r="I1414" s="2" t="s">
        <v>2943</v>
      </c>
      <c r="J1414" s="3" t="str">
        <f>HYPERLINK("https://www.boe.es/gazeta/dias/1822/10/21/pdfs/GMD-1822-308.pdf#page=1","Abrir facsímil")</f>
        <v>Abrir facsímil</v>
      </c>
      <c r="K1414" s="3" t="s">
        <v>22</v>
      </c>
    </row>
    <row r="1415" spans="1:11" ht="42" customHeight="1">
      <c r="A1415" s="2" t="s">
        <v>2841</v>
      </c>
      <c r="B1415" s="2" t="s">
        <v>2841</v>
      </c>
      <c r="C1415" s="2" t="s">
        <v>71</v>
      </c>
      <c r="D1415" s="2" t="s">
        <v>17</v>
      </c>
      <c r="E1415" s="5">
        <v>-28193</v>
      </c>
      <c r="F1415" s="3" t="s">
        <v>574</v>
      </c>
      <c r="G1415" s="3" t="s">
        <v>31</v>
      </c>
      <c r="H1415" s="2" t="s">
        <v>20</v>
      </c>
      <c r="I1415" s="2" t="s">
        <v>2944</v>
      </c>
      <c r="J1415" s="3" t="str">
        <f>HYPERLINK("https://www.boe.es/gazeta/dias/1822/10/22/pdfs/GMD-1822-309.pdf#page=3","Abrir facsímil")</f>
        <v>Abrir facsímil</v>
      </c>
      <c r="K1415" s="3" t="s">
        <v>22</v>
      </c>
    </row>
    <row r="1416" spans="1:11" ht="42" customHeight="1">
      <c r="A1416" s="2" t="s">
        <v>2841</v>
      </c>
      <c r="B1416" s="2" t="s">
        <v>2841</v>
      </c>
      <c r="C1416" s="2" t="s">
        <v>42</v>
      </c>
      <c r="D1416" s="2" t="s">
        <v>17</v>
      </c>
      <c r="E1416" s="5">
        <v>-28193</v>
      </c>
      <c r="F1416" s="3" t="s">
        <v>574</v>
      </c>
      <c r="G1416" s="3" t="s">
        <v>57</v>
      </c>
      <c r="H1416" s="2" t="s">
        <v>20</v>
      </c>
      <c r="I1416" s="2" t="s">
        <v>2945</v>
      </c>
      <c r="J1416" s="3" t="str">
        <f>HYPERLINK("https://www.boe.es/gazeta/dias/1822/10/22/pdfs/GMD-1822-309.pdf#page=4","Abrir facsímil")</f>
        <v>Abrir facsímil</v>
      </c>
      <c r="K1416" s="3" t="s">
        <v>22</v>
      </c>
    </row>
    <row r="1417" spans="1:11" ht="42" customHeight="1">
      <c r="A1417" s="2" t="s">
        <v>2841</v>
      </c>
      <c r="B1417" s="2" t="s">
        <v>2841</v>
      </c>
      <c r="C1417" s="2" t="s">
        <v>42</v>
      </c>
      <c r="D1417" s="2" t="s">
        <v>17</v>
      </c>
      <c r="E1417" s="5">
        <v>-28193</v>
      </c>
      <c r="F1417" s="3" t="s">
        <v>574</v>
      </c>
      <c r="G1417" s="3" t="s">
        <v>19</v>
      </c>
      <c r="H1417" s="2" t="s">
        <v>20</v>
      </c>
      <c r="I1417" s="2" t="s">
        <v>2946</v>
      </c>
      <c r="J1417" s="3" t="str">
        <f>HYPERLINK("https://www.boe.es/gazeta/dias/1822/10/22/pdfs/GMD-1822-309.pdf#page=5","Abrir facsímil")</f>
        <v>Abrir facsímil</v>
      </c>
      <c r="K1417" s="3" t="s">
        <v>22</v>
      </c>
    </row>
    <row r="1418" spans="1:11" ht="42" customHeight="1">
      <c r="A1418" s="2" t="s">
        <v>2841</v>
      </c>
      <c r="B1418" s="2" t="s">
        <v>2841</v>
      </c>
      <c r="C1418" s="2" t="s">
        <v>42</v>
      </c>
      <c r="D1418" s="2" t="s">
        <v>17</v>
      </c>
      <c r="E1418" s="5">
        <v>-28192</v>
      </c>
      <c r="F1418" s="3" t="s">
        <v>43</v>
      </c>
      <c r="G1418" s="3" t="s">
        <v>63</v>
      </c>
      <c r="H1418" s="2" t="s">
        <v>20</v>
      </c>
      <c r="I1418" s="2" t="s">
        <v>2947</v>
      </c>
      <c r="J1418" s="3" t="str">
        <f>HYPERLINK("https://www.boe.es/gazeta/dias/1822/10/23/pdfs/GMD-1822-310.pdf#page=6","Abrir facsímil")</f>
        <v>Abrir facsímil</v>
      </c>
      <c r="K1418" s="3" t="s">
        <v>22</v>
      </c>
    </row>
    <row r="1419" spans="1:11" ht="42" customHeight="1">
      <c r="A1419" s="2" t="s">
        <v>2841</v>
      </c>
      <c r="B1419" s="2" t="s">
        <v>2841</v>
      </c>
      <c r="C1419" s="2" t="s">
        <v>71</v>
      </c>
      <c r="D1419" s="2" t="s">
        <v>17</v>
      </c>
      <c r="E1419" s="5">
        <v>-28191</v>
      </c>
      <c r="F1419" s="3" t="s">
        <v>710</v>
      </c>
      <c r="G1419" s="3" t="s">
        <v>31</v>
      </c>
      <c r="H1419" s="2" t="s">
        <v>20</v>
      </c>
      <c r="I1419" s="2" t="s">
        <v>2948</v>
      </c>
      <c r="J1419" s="3" t="str">
        <f>HYPERLINK("https://www.boe.es/gazeta/dias/1822/10/24/pdfs/GMD-1822-311.pdf#page=3","Abrir facsímil")</f>
        <v>Abrir facsímil</v>
      </c>
      <c r="K1419" s="3" t="s">
        <v>22</v>
      </c>
    </row>
    <row r="1420" spans="1:11" ht="42" customHeight="1">
      <c r="A1420" s="2" t="s">
        <v>2841</v>
      </c>
      <c r="B1420" s="2" t="s">
        <v>2841</v>
      </c>
      <c r="C1420" s="2" t="s">
        <v>16</v>
      </c>
      <c r="D1420" s="2" t="s">
        <v>17</v>
      </c>
      <c r="E1420" s="5">
        <v>-28191</v>
      </c>
      <c r="F1420" s="3" t="s">
        <v>710</v>
      </c>
      <c r="G1420" s="3" t="s">
        <v>57</v>
      </c>
      <c r="H1420" s="2" t="s">
        <v>20</v>
      </c>
      <c r="I1420" s="2" t="s">
        <v>2949</v>
      </c>
      <c r="J1420" s="3" t="str">
        <f>HYPERLINK("https://www.boe.es/gazeta/dias/1822/10/24/pdfs/GMD-1822-311.pdf#page=4","Abrir facsímil")</f>
        <v>Abrir facsímil</v>
      </c>
      <c r="K1420" s="3" t="s">
        <v>22</v>
      </c>
    </row>
    <row r="1421" spans="1:11" ht="42" customHeight="1">
      <c r="A1421" s="2" t="s">
        <v>2841</v>
      </c>
      <c r="B1421" s="2" t="s">
        <v>2841</v>
      </c>
      <c r="C1421" s="2" t="s">
        <v>28</v>
      </c>
      <c r="D1421" s="2" t="s">
        <v>29</v>
      </c>
      <c r="E1421" s="5">
        <v>-28191</v>
      </c>
      <c r="F1421" s="3" t="s">
        <v>710</v>
      </c>
      <c r="G1421" s="3" t="s">
        <v>63</v>
      </c>
      <c r="H1421" s="2" t="s">
        <v>20</v>
      </c>
      <c r="I1421" s="2" t="s">
        <v>2950</v>
      </c>
      <c r="J1421" s="3" t="str">
        <f>HYPERLINK("https://www.boe.es/gazeta/dias/1822/10/24/pdfs/GMD-1822-311.pdf#page=6","Abrir facsímil")</f>
        <v>Abrir facsímil</v>
      </c>
      <c r="K1421" s="3" t="s">
        <v>22</v>
      </c>
    </row>
    <row r="1422" spans="1:11" ht="42" customHeight="1">
      <c r="A1422" s="2" t="s">
        <v>2841</v>
      </c>
      <c r="B1422" s="2" t="s">
        <v>2841</v>
      </c>
      <c r="C1422" s="2" t="s">
        <v>50</v>
      </c>
      <c r="D1422" s="2" t="s">
        <v>51</v>
      </c>
      <c r="E1422" s="5">
        <v>-28187</v>
      </c>
      <c r="F1422" s="3" t="s">
        <v>929</v>
      </c>
      <c r="G1422" s="3" t="s">
        <v>19</v>
      </c>
      <c r="H1422" s="2" t="s">
        <v>20</v>
      </c>
      <c r="I1422" s="2" t="s">
        <v>2951</v>
      </c>
      <c r="J1422" s="3" t="str">
        <f>HYPERLINK("https://www.boe.es/gazeta/dias/1822/10/28/pdfs/GMD-1822-315.pdf#page=5","Abrir facsímil")</f>
        <v>Abrir facsímil</v>
      </c>
      <c r="K1422" s="3" t="s">
        <v>22</v>
      </c>
    </row>
    <row r="1423" spans="1:11" ht="42" customHeight="1">
      <c r="A1423" s="2" t="s">
        <v>2841</v>
      </c>
      <c r="B1423" s="2" t="s">
        <v>2841</v>
      </c>
      <c r="C1423" s="2" t="s">
        <v>28</v>
      </c>
      <c r="D1423" s="2" t="s">
        <v>29</v>
      </c>
      <c r="E1423" s="5">
        <v>-28186</v>
      </c>
      <c r="F1423" s="3" t="s">
        <v>581</v>
      </c>
      <c r="G1423" s="3" t="s">
        <v>31</v>
      </c>
      <c r="H1423" s="2" t="s">
        <v>20</v>
      </c>
      <c r="I1423" s="2" t="s">
        <v>2952</v>
      </c>
      <c r="J1423" s="3" t="str">
        <f>HYPERLINK("https://www.boe.es/gazeta/dias/1822/10/29/pdfs/GMD-1822-316.pdf#page=3","Abrir facsímil")</f>
        <v>Abrir facsímil</v>
      </c>
      <c r="K1423" s="3" t="s">
        <v>22</v>
      </c>
    </row>
    <row r="1424" spans="1:11" ht="42" customHeight="1">
      <c r="A1424" s="2" t="s">
        <v>2841</v>
      </c>
      <c r="B1424" s="2" t="s">
        <v>2841</v>
      </c>
      <c r="C1424" s="2" t="s">
        <v>42</v>
      </c>
      <c r="D1424" s="2" t="s">
        <v>17</v>
      </c>
      <c r="E1424" s="5">
        <v>-28183</v>
      </c>
      <c r="F1424" s="3" t="s">
        <v>583</v>
      </c>
      <c r="G1424" s="3" t="s">
        <v>2953</v>
      </c>
      <c r="H1424" s="2" t="s">
        <v>20</v>
      </c>
      <c r="I1424" s="2" t="s">
        <v>2954</v>
      </c>
      <c r="J1424" s="3" t="str">
        <f>HYPERLINK("https://www.boe.es/gazeta/dias/1822/11/01/pdfs/GMD-1822-319.pdf#page=3","Abrir facsímil")</f>
        <v>Abrir facsímil</v>
      </c>
      <c r="K1424" s="3" t="s">
        <v>22</v>
      </c>
    </row>
    <row r="1425" spans="1:11" ht="42" customHeight="1">
      <c r="A1425" s="2" t="s">
        <v>2841</v>
      </c>
      <c r="B1425" s="2" t="s">
        <v>2841</v>
      </c>
      <c r="C1425" s="2" t="s">
        <v>71</v>
      </c>
      <c r="D1425" s="2" t="s">
        <v>17</v>
      </c>
      <c r="E1425" s="5">
        <v>-28182</v>
      </c>
      <c r="F1425" s="3" t="s">
        <v>585</v>
      </c>
      <c r="G1425" s="3" t="s">
        <v>57</v>
      </c>
      <c r="H1425" s="2" t="s">
        <v>20</v>
      </c>
      <c r="I1425" s="2" t="s">
        <v>2955</v>
      </c>
      <c r="J1425" s="3" t="str">
        <f>HYPERLINK("https://www.boe.es/gazeta/dias/1822/11/02/pdfs/GMD-1822-320.pdf#page=4","Abrir facsímil")</f>
        <v>Abrir facsímil</v>
      </c>
      <c r="K1425" s="3" t="s">
        <v>22</v>
      </c>
    </row>
    <row r="1426" spans="1:11" ht="42" customHeight="1">
      <c r="A1426" s="2" t="s">
        <v>2841</v>
      </c>
      <c r="B1426" s="2" t="s">
        <v>2841</v>
      </c>
      <c r="C1426" s="2" t="s">
        <v>42</v>
      </c>
      <c r="D1426" s="2" t="s">
        <v>17</v>
      </c>
      <c r="E1426" s="5">
        <v>-28181</v>
      </c>
      <c r="F1426" s="3" t="s">
        <v>739</v>
      </c>
      <c r="G1426" s="3" t="s">
        <v>35</v>
      </c>
      <c r="H1426" s="2" t="s">
        <v>20</v>
      </c>
      <c r="I1426" s="2" t="s">
        <v>2956</v>
      </c>
      <c r="J1426" s="3" t="str">
        <f>HYPERLINK("https://www.boe.es/gazeta/dias/1822/11/03/pdfs/GMD-1822-321.pdf#page=2","Abrir facsímil")</f>
        <v>Abrir facsímil</v>
      </c>
      <c r="K1426" s="3" t="s">
        <v>22</v>
      </c>
    </row>
    <row r="1427" spans="1:11" ht="42" customHeight="1">
      <c r="A1427" s="2" t="s">
        <v>2841</v>
      </c>
      <c r="B1427" s="2" t="s">
        <v>2841</v>
      </c>
      <c r="C1427" s="2" t="s">
        <v>42</v>
      </c>
      <c r="D1427" s="2" t="s">
        <v>17</v>
      </c>
      <c r="E1427" s="5">
        <v>-28180</v>
      </c>
      <c r="F1427" s="3" t="s">
        <v>839</v>
      </c>
      <c r="G1427" s="3" t="s">
        <v>35</v>
      </c>
      <c r="H1427" s="2" t="s">
        <v>20</v>
      </c>
      <c r="I1427" s="2" t="s">
        <v>2957</v>
      </c>
      <c r="J1427" s="3" t="str">
        <f>HYPERLINK("https://www.boe.es/gazeta/dias/1822/11/04/pdfs/GMD-1822-323.pdf#page=2","Abrir facsímil")</f>
        <v>Abrir facsímil</v>
      </c>
      <c r="K1427" s="3" t="s">
        <v>22</v>
      </c>
    </row>
    <row r="1428" spans="1:11" ht="42" customHeight="1">
      <c r="A1428" s="2" t="s">
        <v>2841</v>
      </c>
      <c r="B1428" s="2" t="s">
        <v>2841</v>
      </c>
      <c r="C1428" s="2" t="s">
        <v>50</v>
      </c>
      <c r="D1428" s="2" t="s">
        <v>51</v>
      </c>
      <c r="E1428" s="5">
        <v>-28179</v>
      </c>
      <c r="F1428" s="3" t="s">
        <v>935</v>
      </c>
      <c r="G1428" s="3" t="s">
        <v>44</v>
      </c>
      <c r="H1428" s="2" t="s">
        <v>20</v>
      </c>
      <c r="I1428" s="2" t="s">
        <v>2958</v>
      </c>
      <c r="J1428" s="3" t="str">
        <f>HYPERLINK("https://www.boe.es/gazeta/dias/1822/11/05/pdfs/GMD-1822-325.pdf#page=1","Abrir facsímil")</f>
        <v>Abrir facsímil</v>
      </c>
      <c r="K1428" s="3" t="s">
        <v>22</v>
      </c>
    </row>
    <row r="1429" spans="1:11" ht="42" customHeight="1">
      <c r="A1429" s="2" t="s">
        <v>2841</v>
      </c>
      <c r="B1429" s="2" t="s">
        <v>2841</v>
      </c>
      <c r="C1429" s="2" t="s">
        <v>28</v>
      </c>
      <c r="D1429" s="2" t="s">
        <v>29</v>
      </c>
      <c r="E1429" s="5">
        <v>-28173</v>
      </c>
      <c r="F1429" s="3" t="s">
        <v>2959</v>
      </c>
      <c r="G1429" s="3" t="s">
        <v>35</v>
      </c>
      <c r="H1429" s="2" t="s">
        <v>20</v>
      </c>
      <c r="I1429" s="2" t="s">
        <v>2960</v>
      </c>
      <c r="J1429" s="3" t="str">
        <f>HYPERLINK("https://www.boe.es/gazeta/dias/1822/11/11/pdfs/GMD-1822-331.pdf#page=2","Abrir facsímil")</f>
        <v>Abrir facsímil</v>
      </c>
      <c r="K1429" s="3" t="s">
        <v>22</v>
      </c>
    </row>
    <row r="1430" spans="1:11" ht="42" customHeight="1">
      <c r="A1430" s="2" t="s">
        <v>2841</v>
      </c>
      <c r="B1430" s="2" t="s">
        <v>2841</v>
      </c>
      <c r="C1430" s="2" t="s">
        <v>71</v>
      </c>
      <c r="D1430" s="2" t="s">
        <v>17</v>
      </c>
      <c r="E1430" s="5">
        <v>-28167</v>
      </c>
      <c r="F1430" s="3" t="s">
        <v>904</v>
      </c>
      <c r="G1430" s="3" t="s">
        <v>35</v>
      </c>
      <c r="H1430" s="2" t="s">
        <v>20</v>
      </c>
      <c r="I1430" s="2" t="s">
        <v>2961</v>
      </c>
      <c r="J1430" s="3" t="str">
        <f>HYPERLINK("https://www.boe.es/gazeta/dias/1822/11/17/pdfs/GMD-1822-337.pdf#page=2","Abrir facsímil")</f>
        <v>Abrir facsímil</v>
      </c>
      <c r="K1430" s="3" t="s">
        <v>22</v>
      </c>
    </row>
    <row r="1431" spans="1:11" ht="42" customHeight="1">
      <c r="A1431" s="2" t="s">
        <v>2841</v>
      </c>
      <c r="B1431" s="2" t="s">
        <v>2841</v>
      </c>
      <c r="C1431" s="2" t="s">
        <v>50</v>
      </c>
      <c r="D1431" s="2" t="s">
        <v>51</v>
      </c>
      <c r="E1431" s="5">
        <v>-28161</v>
      </c>
      <c r="F1431" s="3" t="s">
        <v>166</v>
      </c>
      <c r="G1431" s="3" t="s">
        <v>35</v>
      </c>
      <c r="H1431" s="2" t="s">
        <v>20</v>
      </c>
      <c r="I1431" s="2" t="s">
        <v>2962</v>
      </c>
      <c r="J1431" s="3" t="str">
        <f>HYPERLINK("https://www.boe.es/gazeta/dias/1822/11/23/pdfs/GMD-1822-343.pdf#page=2","Abrir facsímil")</f>
        <v>Abrir facsímil</v>
      </c>
      <c r="K1431" s="3" t="s">
        <v>22</v>
      </c>
    </row>
    <row r="1432" spans="1:11" ht="42" customHeight="1">
      <c r="A1432" s="2" t="s">
        <v>2841</v>
      </c>
      <c r="B1432" s="2" t="s">
        <v>2841</v>
      </c>
      <c r="C1432" s="2" t="s">
        <v>24</v>
      </c>
      <c r="D1432" s="2" t="s">
        <v>17</v>
      </c>
      <c r="E1432" s="5">
        <v>-28152</v>
      </c>
      <c r="F1432" s="3" t="s">
        <v>122</v>
      </c>
      <c r="G1432" s="3" t="s">
        <v>31</v>
      </c>
      <c r="H1432" s="2" t="s">
        <v>20</v>
      </c>
      <c r="I1432" s="2" t="s">
        <v>2963</v>
      </c>
      <c r="J1432" s="3" t="str">
        <f>HYPERLINK("https://www.boe.es/gazeta/dias/1822/12/02/pdfs/GMD-1822-352.pdf#page=3","Abrir facsímil")</f>
        <v>Abrir facsímil</v>
      </c>
      <c r="K1432" s="3" t="s">
        <v>22</v>
      </c>
    </row>
    <row r="1433" spans="1:11" ht="42" customHeight="1">
      <c r="A1433" s="2" t="s">
        <v>2841</v>
      </c>
      <c r="B1433" s="2" t="s">
        <v>2841</v>
      </c>
      <c r="C1433" s="2" t="s">
        <v>71</v>
      </c>
      <c r="D1433" s="2" t="s">
        <v>17</v>
      </c>
      <c r="E1433" s="5">
        <v>-28150</v>
      </c>
      <c r="F1433" s="3" t="s">
        <v>62</v>
      </c>
      <c r="G1433" s="3" t="s">
        <v>31</v>
      </c>
      <c r="H1433" s="2" t="s">
        <v>20</v>
      </c>
      <c r="I1433" s="2" t="s">
        <v>2964</v>
      </c>
      <c r="J1433" s="3" t="str">
        <f>HYPERLINK("https://www.boe.es/gazeta/dias/1822/12/04/pdfs/GMD-1822-354.pdf#page=3","Abrir facsímil")</f>
        <v>Abrir facsímil</v>
      </c>
      <c r="K1433" s="3" t="s">
        <v>22</v>
      </c>
    </row>
    <row r="1434" spans="1:11" ht="42" customHeight="1">
      <c r="A1434" s="2" t="s">
        <v>2841</v>
      </c>
      <c r="B1434" s="2" t="s">
        <v>2841</v>
      </c>
      <c r="C1434" s="2" t="s">
        <v>50</v>
      </c>
      <c r="D1434" s="2" t="s">
        <v>51</v>
      </c>
      <c r="E1434" s="5">
        <v>-28147</v>
      </c>
      <c r="F1434" s="3" t="s">
        <v>1611</v>
      </c>
      <c r="G1434" s="3" t="s">
        <v>35</v>
      </c>
      <c r="H1434" s="2" t="s">
        <v>20</v>
      </c>
      <c r="I1434" s="2" t="s">
        <v>2965</v>
      </c>
      <c r="J1434" s="3" t="str">
        <f>HYPERLINK("https://www.boe.es/gazeta/dias/1822/12/07/pdfs/GMD-1822-357.pdf#page=2","Abrir facsímil")</f>
        <v>Abrir facsímil</v>
      </c>
      <c r="K1434" s="3" t="s">
        <v>22</v>
      </c>
    </row>
    <row r="1435" spans="1:11" ht="42" customHeight="1">
      <c r="A1435" s="2" t="s">
        <v>2841</v>
      </c>
      <c r="B1435" s="2" t="s">
        <v>2841</v>
      </c>
      <c r="C1435" s="2" t="s">
        <v>28</v>
      </c>
      <c r="D1435" s="2" t="s">
        <v>29</v>
      </c>
      <c r="E1435" s="5">
        <v>-28144</v>
      </c>
      <c r="F1435" s="3" t="s">
        <v>288</v>
      </c>
      <c r="G1435" s="3" t="s">
        <v>57</v>
      </c>
      <c r="H1435" s="2" t="s">
        <v>20</v>
      </c>
      <c r="I1435" s="2" t="s">
        <v>2966</v>
      </c>
      <c r="J1435" s="3" t="str">
        <f>HYPERLINK("https://www.boe.es/gazeta/dias/1822/12/10/pdfs/GMD-1822-360.pdf#page=4","Abrir facsímil")</f>
        <v>Abrir facsímil</v>
      </c>
      <c r="K1435" s="3" t="s">
        <v>22</v>
      </c>
    </row>
    <row r="1436" spans="1:11" ht="42" customHeight="1">
      <c r="A1436" s="2" t="s">
        <v>2841</v>
      </c>
      <c r="B1436" s="2" t="s">
        <v>2841</v>
      </c>
      <c r="C1436" s="2" t="s">
        <v>50</v>
      </c>
      <c r="D1436" s="2" t="s">
        <v>51</v>
      </c>
      <c r="E1436" s="5">
        <v>-28143</v>
      </c>
      <c r="F1436" s="3" t="s">
        <v>2967</v>
      </c>
      <c r="G1436" s="3" t="s">
        <v>35</v>
      </c>
      <c r="H1436" s="2" t="s">
        <v>20</v>
      </c>
      <c r="I1436" s="2" t="s">
        <v>2968</v>
      </c>
      <c r="J1436" s="3" t="str">
        <f>HYPERLINK("https://www.boe.es/gazeta/dias/1822/12/11/pdfs/GMD-1822-361.pdf#page=2","Abrir facsímil")</f>
        <v>Abrir facsímil</v>
      </c>
      <c r="K1436" s="3" t="s">
        <v>22</v>
      </c>
    </row>
    <row r="1437" spans="1:11" ht="42" customHeight="1">
      <c r="A1437" s="2" t="s">
        <v>2841</v>
      </c>
      <c r="B1437" s="2" t="s">
        <v>2841</v>
      </c>
      <c r="C1437" s="2" t="s">
        <v>71</v>
      </c>
      <c r="D1437" s="2" t="s">
        <v>17</v>
      </c>
      <c r="E1437" s="5">
        <v>-28132</v>
      </c>
      <c r="F1437" s="3" t="s">
        <v>820</v>
      </c>
      <c r="G1437" s="3" t="s">
        <v>35</v>
      </c>
      <c r="H1437" s="2" t="s">
        <v>20</v>
      </c>
      <c r="I1437" s="2" t="s">
        <v>2969</v>
      </c>
      <c r="J1437" s="3" t="str">
        <f>HYPERLINK("https://www.boe.es/gazeta/dias/1822/12/22/pdfs/GMD-1822-372.pdf#page=2","Abrir facsímil")</f>
        <v>Abrir facsímil</v>
      </c>
      <c r="K1437" s="3" t="s">
        <v>22</v>
      </c>
    </row>
    <row r="1438" spans="1:11" ht="42" customHeight="1">
      <c r="A1438" s="2" t="s">
        <v>2841</v>
      </c>
      <c r="B1438" s="2" t="s">
        <v>2841</v>
      </c>
      <c r="C1438" s="2" t="s">
        <v>42</v>
      </c>
      <c r="D1438" s="2" t="s">
        <v>17</v>
      </c>
      <c r="E1438" s="5">
        <v>-28132</v>
      </c>
      <c r="F1438" s="3" t="s">
        <v>820</v>
      </c>
      <c r="G1438" s="3" t="s">
        <v>31</v>
      </c>
      <c r="H1438" s="2" t="s">
        <v>20</v>
      </c>
      <c r="I1438" s="2" t="s">
        <v>2970</v>
      </c>
      <c r="J1438" s="3" t="str">
        <f>HYPERLINK("https://www.boe.es/gazeta/dias/1822/12/22/pdfs/GMD-1822-372.pdf#page=3","Abrir facsímil")</f>
        <v>Abrir facsímil</v>
      </c>
      <c r="K1438" s="3" t="s">
        <v>22</v>
      </c>
    </row>
    <row r="1439" spans="1:11" ht="42" customHeight="1">
      <c r="A1439" s="2" t="s">
        <v>2841</v>
      </c>
      <c r="B1439" s="2" t="s">
        <v>2841</v>
      </c>
      <c r="C1439" s="2" t="s">
        <v>42</v>
      </c>
      <c r="D1439" s="2" t="s">
        <v>17</v>
      </c>
      <c r="E1439" s="5">
        <v>-28130</v>
      </c>
      <c r="F1439" s="3" t="s">
        <v>34</v>
      </c>
      <c r="G1439" s="3" t="s">
        <v>35</v>
      </c>
      <c r="H1439" s="2" t="s">
        <v>20</v>
      </c>
      <c r="I1439" s="2" t="s">
        <v>2971</v>
      </c>
      <c r="J1439" s="3" t="str">
        <f>HYPERLINK("https://www.boe.es/gazeta/dias/1822/12/24/pdfs/GMD-1822-374.pdf#page=2","Abrir facsímil")</f>
        <v>Abrir facsímil</v>
      </c>
      <c r="K1439" s="3" t="s">
        <v>22</v>
      </c>
    </row>
    <row r="1440" spans="1:11" ht="42" customHeight="1">
      <c r="A1440" s="2" t="s">
        <v>2841</v>
      </c>
      <c r="B1440" s="2" t="s">
        <v>2841</v>
      </c>
      <c r="C1440" s="2" t="s">
        <v>50</v>
      </c>
      <c r="D1440" s="2" t="s">
        <v>51</v>
      </c>
      <c r="E1440" s="5">
        <v>-28129</v>
      </c>
      <c r="F1440" s="3" t="s">
        <v>599</v>
      </c>
      <c r="G1440" s="3" t="s">
        <v>31</v>
      </c>
      <c r="H1440" s="2" t="s">
        <v>20</v>
      </c>
      <c r="I1440" s="2" t="s">
        <v>2972</v>
      </c>
      <c r="J1440" s="3" t="str">
        <f>HYPERLINK("https://www.boe.es/gazeta/dias/1822/12/25/pdfs/GMD-1822-375.pdf#page=3","Abrir facsímil")</f>
        <v>Abrir facsímil</v>
      </c>
      <c r="K1440" s="3" t="s">
        <v>22</v>
      </c>
    </row>
    <row r="1441" spans="1:11" ht="42" customHeight="1">
      <c r="A1441" s="2" t="s">
        <v>2841</v>
      </c>
      <c r="B1441" s="2" t="s">
        <v>2841</v>
      </c>
      <c r="C1441" s="2" t="s">
        <v>42</v>
      </c>
      <c r="D1441" s="2" t="s">
        <v>17</v>
      </c>
      <c r="E1441" s="5">
        <v>-28124</v>
      </c>
      <c r="F1441" s="3" t="s">
        <v>301</v>
      </c>
      <c r="G1441" s="3" t="s">
        <v>601</v>
      </c>
      <c r="H1441" s="2" t="s">
        <v>20</v>
      </c>
      <c r="I1441" s="2" t="s">
        <v>2973</v>
      </c>
      <c r="J1441" s="3" t="str">
        <f>HYPERLINK("https://www.boe.es/gazeta/dias/1822/12/30/pdfs/GMD-1822-380.pdf#page=4","Abrir facsímil")</f>
        <v>Abrir facsímil</v>
      </c>
      <c r="K1441" s="3" t="s">
        <v>22</v>
      </c>
    </row>
    <row r="1442" spans="1:11" ht="42" customHeight="1">
      <c r="A1442" s="2" t="s">
        <v>2841</v>
      </c>
      <c r="B1442" s="2" t="s">
        <v>2841</v>
      </c>
      <c r="C1442" s="2" t="s">
        <v>50</v>
      </c>
      <c r="D1442" s="2" t="s">
        <v>51</v>
      </c>
      <c r="E1442" s="5">
        <v>-28124</v>
      </c>
      <c r="F1442" s="3" t="s">
        <v>301</v>
      </c>
      <c r="G1442" s="3" t="s">
        <v>31</v>
      </c>
      <c r="H1442" s="2" t="s">
        <v>20</v>
      </c>
      <c r="I1442" s="2" t="s">
        <v>2974</v>
      </c>
      <c r="J1442" s="3" t="str">
        <f>HYPERLINK("https://www.boe.es/gazeta/dias/1822/12/30/pdfs/GMD-1822-380.pdf#page=3","Abrir facsímil")</f>
        <v>Abrir facsímil</v>
      </c>
      <c r="K1442" s="3" t="s">
        <v>22</v>
      </c>
    </row>
    <row r="1443" spans="1:11" ht="42" customHeight="1">
      <c r="A1443" s="2" t="s">
        <v>2841</v>
      </c>
      <c r="B1443" s="2" t="s">
        <v>2841</v>
      </c>
      <c r="C1443" s="2" t="s">
        <v>71</v>
      </c>
      <c r="D1443" s="2" t="s">
        <v>17</v>
      </c>
      <c r="E1443" s="5">
        <v>-28123</v>
      </c>
      <c r="F1443" s="3" t="s">
        <v>603</v>
      </c>
      <c r="G1443" s="3" t="s">
        <v>31</v>
      </c>
      <c r="H1443" s="2" t="s">
        <v>20</v>
      </c>
      <c r="I1443" s="2" t="s">
        <v>2975</v>
      </c>
      <c r="J1443" s="3" t="str">
        <f>HYPERLINK("https://www.boe.es/gazeta/dias/1822/12/31/pdfs/GMD-1822-381.pdf#page=3","Abrir facsímil")</f>
        <v>Abrir facsímil</v>
      </c>
      <c r="K1443" s="3" t="s">
        <v>22</v>
      </c>
    </row>
    <row r="1444" spans="1:11" ht="42" customHeight="1">
      <c r="A1444" s="2" t="s">
        <v>2976</v>
      </c>
      <c r="B1444" s="2" t="s">
        <v>2977</v>
      </c>
      <c r="C1444" s="2" t="s">
        <v>50</v>
      </c>
      <c r="D1444" s="2" t="s">
        <v>51</v>
      </c>
      <c r="E1444" s="5">
        <v>-28432</v>
      </c>
      <c r="F1444" s="3" t="s">
        <v>195</v>
      </c>
      <c r="G1444" s="3" t="s">
        <v>57</v>
      </c>
      <c r="H1444" s="2" t="s">
        <v>20</v>
      </c>
      <c r="I1444" s="2" t="s">
        <v>2978</v>
      </c>
      <c r="J1444" s="3" t="str">
        <f>HYPERLINK("https://www.boe.es/gazeta/dias/1822/02/25/pdfs/GMD-1822-57.pdf#page=4","Abrir facsímil")</f>
        <v>Abrir facsímil</v>
      </c>
      <c r="K1444" s="3" t="s">
        <v>22</v>
      </c>
    </row>
    <row r="1445" spans="1:11" ht="42" customHeight="1">
      <c r="A1445" s="2" t="s">
        <v>2976</v>
      </c>
      <c r="B1445" s="2" t="s">
        <v>2977</v>
      </c>
      <c r="C1445" s="2" t="s">
        <v>28</v>
      </c>
      <c r="D1445" s="2" t="s">
        <v>29</v>
      </c>
      <c r="E1445" s="5">
        <v>-28192</v>
      </c>
      <c r="F1445" s="3" t="s">
        <v>43</v>
      </c>
      <c r="G1445" s="3" t="s">
        <v>19</v>
      </c>
      <c r="H1445" s="2" t="s">
        <v>20</v>
      </c>
      <c r="I1445" s="2" t="s">
        <v>2979</v>
      </c>
      <c r="J1445" s="3" t="str">
        <f>HYPERLINK("https://www.boe.es/gazeta/dias/1822/10/23/pdfs/GMD-1822-310.pdf#page=5","Abrir facsímil")</f>
        <v>Abrir facsímil</v>
      </c>
      <c r="K1445" s="3" t="s">
        <v>22</v>
      </c>
    </row>
    <row r="1446" spans="1:11" ht="42" customHeight="1">
      <c r="A1446" s="2" t="s">
        <v>2980</v>
      </c>
      <c r="B1446" s="2" t="s">
        <v>2981</v>
      </c>
      <c r="C1446" s="2" t="s">
        <v>71</v>
      </c>
      <c r="D1446" s="2" t="s">
        <v>17</v>
      </c>
      <c r="E1446" s="5">
        <v>-28432</v>
      </c>
      <c r="F1446" s="3" t="s">
        <v>195</v>
      </c>
      <c r="G1446" s="3" t="s">
        <v>57</v>
      </c>
      <c r="H1446" s="2" t="s">
        <v>20</v>
      </c>
      <c r="I1446" s="2" t="s">
        <v>2982</v>
      </c>
      <c r="J1446" s="3" t="str">
        <f>HYPERLINK("https://www.boe.es/gazeta/dias/1822/02/25/pdfs/GMD-1822-57.pdf#page=4","Abrir facsímil")</f>
        <v>Abrir facsímil</v>
      </c>
      <c r="K1446" s="3" t="s">
        <v>22</v>
      </c>
    </row>
    <row r="1447" spans="1:11" ht="42" customHeight="1">
      <c r="A1447" s="2" t="s">
        <v>2980</v>
      </c>
      <c r="B1447" s="2" t="s">
        <v>2981</v>
      </c>
      <c r="C1447" s="2" t="s">
        <v>71</v>
      </c>
      <c r="D1447" s="2" t="s">
        <v>17</v>
      </c>
      <c r="E1447" s="5">
        <v>-28425</v>
      </c>
      <c r="F1447" s="3" t="s">
        <v>419</v>
      </c>
      <c r="G1447" s="3" t="s">
        <v>31</v>
      </c>
      <c r="H1447" s="2" t="s">
        <v>20</v>
      </c>
      <c r="I1447" s="2" t="s">
        <v>2983</v>
      </c>
      <c r="J1447" s="3" t="str">
        <f>HYPERLINK("https://www.boe.es/gazeta/dias/1822/03/04/pdfs/GMD-1822-65.pdf#page=3","Abrir facsímil")</f>
        <v>Abrir facsímil</v>
      </c>
      <c r="K1447" s="3" t="s">
        <v>22</v>
      </c>
    </row>
    <row r="1448" spans="1:11" ht="42" customHeight="1">
      <c r="A1448" s="2" t="s">
        <v>2980</v>
      </c>
      <c r="B1448" s="2" t="s">
        <v>2981</v>
      </c>
      <c r="C1448" s="2" t="s">
        <v>71</v>
      </c>
      <c r="D1448" s="2" t="s">
        <v>17</v>
      </c>
      <c r="E1448" s="5">
        <v>-28424</v>
      </c>
      <c r="F1448" s="3" t="s">
        <v>439</v>
      </c>
      <c r="G1448" s="3" t="s">
        <v>31</v>
      </c>
      <c r="H1448" s="2" t="s">
        <v>20</v>
      </c>
      <c r="I1448" s="2" t="s">
        <v>2984</v>
      </c>
      <c r="J1448" s="3" t="str">
        <f>HYPERLINK("https://www.boe.es/gazeta/dias/1822/03/05/pdfs/GMD-1822-66.pdf#page=3","Abrir facsímil")</f>
        <v>Abrir facsímil</v>
      </c>
      <c r="K1448" s="3" t="s">
        <v>22</v>
      </c>
    </row>
    <row r="1449" spans="1:11" ht="42" customHeight="1">
      <c r="A1449" s="2" t="s">
        <v>2980</v>
      </c>
      <c r="B1449" s="2" t="s">
        <v>2981</v>
      </c>
      <c r="C1449" s="2" t="s">
        <v>42</v>
      </c>
      <c r="D1449" s="2" t="s">
        <v>17</v>
      </c>
      <c r="E1449" s="5">
        <v>-28401</v>
      </c>
      <c r="F1449" s="3" t="s">
        <v>108</v>
      </c>
      <c r="G1449" s="3" t="s">
        <v>19</v>
      </c>
      <c r="H1449" s="2" t="s">
        <v>20</v>
      </c>
      <c r="I1449" s="2" t="s">
        <v>2985</v>
      </c>
      <c r="J1449" s="3" t="str">
        <f>HYPERLINK("https://www.boe.es/gazeta/dias/1822/03/28/pdfs/GMD-1822-89.pdf#page=5","Abrir facsímil")</f>
        <v>Abrir facsímil</v>
      </c>
      <c r="K1449" s="3" t="s">
        <v>22</v>
      </c>
    </row>
    <row r="1450" spans="1:11" ht="42" customHeight="1">
      <c r="A1450" s="2" t="s">
        <v>2986</v>
      </c>
      <c r="B1450" s="2" t="s">
        <v>2987</v>
      </c>
      <c r="C1450" s="2" t="s">
        <v>71</v>
      </c>
      <c r="D1450" s="2" t="s">
        <v>17</v>
      </c>
      <c r="E1450" s="5">
        <v>-28314</v>
      </c>
      <c r="F1450" s="3" t="s">
        <v>309</v>
      </c>
      <c r="G1450" s="3" t="s">
        <v>35</v>
      </c>
      <c r="H1450" s="2" t="s">
        <v>20</v>
      </c>
      <c r="I1450" s="2" t="s">
        <v>2988</v>
      </c>
      <c r="J1450" s="3" t="str">
        <f>HYPERLINK("https://www.boe.es/gazeta/dias/1822/06/23/pdfs/GMD-1822-181.pdf#page=2","Abrir facsímil")</f>
        <v>Abrir facsímil</v>
      </c>
      <c r="K1450" s="3" t="s">
        <v>22</v>
      </c>
    </row>
    <row r="1451" spans="1:11" ht="42" customHeight="1">
      <c r="A1451" s="2" t="s">
        <v>2989</v>
      </c>
      <c r="B1451" s="2" t="s">
        <v>2990</v>
      </c>
      <c r="C1451" s="2" t="s">
        <v>50</v>
      </c>
      <c r="D1451" s="2" t="s">
        <v>51</v>
      </c>
      <c r="E1451" s="5">
        <v>-28381</v>
      </c>
      <c r="F1451" s="3" t="s">
        <v>358</v>
      </c>
      <c r="G1451" s="3" t="s">
        <v>63</v>
      </c>
      <c r="H1451" s="2" t="s">
        <v>20</v>
      </c>
      <c r="I1451" s="2" t="s">
        <v>2991</v>
      </c>
      <c r="J1451" s="3" t="str">
        <f>HYPERLINK("https://www.boe.es/gazeta/dias/1822/04/17/pdfs/GMD-1822-109.pdf#page=6","Abrir facsímil")</f>
        <v>Abrir facsímil</v>
      </c>
      <c r="K1451" s="3" t="s">
        <v>22</v>
      </c>
    </row>
    <row r="1452" spans="1:11" ht="42" customHeight="1">
      <c r="A1452" s="2" t="s">
        <v>2992</v>
      </c>
      <c r="B1452" s="2" t="s">
        <v>2992</v>
      </c>
      <c r="C1452" s="2" t="s">
        <v>28</v>
      </c>
      <c r="D1452" s="2" t="s">
        <v>29</v>
      </c>
      <c r="E1452" s="5">
        <v>-28386</v>
      </c>
      <c r="F1452" s="3" t="s">
        <v>2993</v>
      </c>
      <c r="G1452" s="3" t="s">
        <v>35</v>
      </c>
      <c r="H1452" s="2" t="s">
        <v>20</v>
      </c>
      <c r="I1452" s="2" t="s">
        <v>2994</v>
      </c>
      <c r="J1452" s="3" t="str">
        <f>HYPERLINK("https://www.boe.es/gazeta/dias/1822/04/12/pdfs/GMD-1822-104.pdf#page=2","Abrir facsímil")</f>
        <v>Abrir facsímil</v>
      </c>
      <c r="K1452" s="3" t="s">
        <v>22</v>
      </c>
    </row>
    <row r="1453" spans="1:11" ht="42" customHeight="1">
      <c r="A1453" s="2" t="s">
        <v>2995</v>
      </c>
      <c r="B1453" s="2" t="s">
        <v>2995</v>
      </c>
      <c r="C1453" s="2" t="s">
        <v>28</v>
      </c>
      <c r="D1453" s="2" t="s">
        <v>29</v>
      </c>
      <c r="E1453" s="5">
        <v>-28329</v>
      </c>
      <c r="F1453" s="3" t="s">
        <v>354</v>
      </c>
      <c r="G1453" s="3" t="s">
        <v>31</v>
      </c>
      <c r="H1453" s="2" t="s">
        <v>20</v>
      </c>
      <c r="I1453" s="2" t="s">
        <v>2996</v>
      </c>
      <c r="J1453" s="3" t="str">
        <f>HYPERLINK("https://www.boe.es/gazeta/dias/1822/06/08/pdfs/GMD-1822-165.pdf#page=3","Abrir facsímil")</f>
        <v>Abrir facsímil</v>
      </c>
      <c r="K1453" s="3" t="s">
        <v>22</v>
      </c>
    </row>
    <row r="1454" spans="1:11" ht="42" customHeight="1">
      <c r="A1454" s="2" t="s">
        <v>2997</v>
      </c>
      <c r="B1454" s="2" t="s">
        <v>2998</v>
      </c>
      <c r="C1454" s="2" t="s">
        <v>50</v>
      </c>
      <c r="D1454" s="2" t="s">
        <v>51</v>
      </c>
      <c r="E1454" s="5">
        <v>-28265</v>
      </c>
      <c r="F1454" s="3" t="s">
        <v>1263</v>
      </c>
      <c r="G1454" s="3" t="s">
        <v>57</v>
      </c>
      <c r="H1454" s="2" t="s">
        <v>20</v>
      </c>
      <c r="I1454" s="2" t="s">
        <v>2999</v>
      </c>
      <c r="J1454" s="3" t="str">
        <f>HYPERLINK("https://www.boe.es/gazeta/dias/1822/08/11/pdfs/GMD-1822-235.pdf#page=4","Abrir facsímil")</f>
        <v>Abrir facsímil</v>
      </c>
      <c r="K1454" s="3" t="s">
        <v>22</v>
      </c>
    </row>
    <row r="1455" spans="1:11" ht="42" customHeight="1">
      <c r="A1455" s="2" t="s">
        <v>3000</v>
      </c>
      <c r="B1455" s="2" t="s">
        <v>3000</v>
      </c>
      <c r="C1455" s="2" t="s">
        <v>42</v>
      </c>
      <c r="D1455" s="2" t="s">
        <v>17</v>
      </c>
      <c r="E1455" s="5">
        <v>-28403</v>
      </c>
      <c r="F1455" s="3" t="s">
        <v>471</v>
      </c>
      <c r="G1455" s="3" t="s">
        <v>31</v>
      </c>
      <c r="H1455" s="2" t="s">
        <v>20</v>
      </c>
      <c r="I1455" s="2" t="s">
        <v>3001</v>
      </c>
      <c r="J1455" s="3" t="str">
        <f>HYPERLINK("https://www.boe.es/gazeta/dias/1822/03/26/pdfs/GMD-1822-87.pdf#page=3","Abrir facsímil")</f>
        <v>Abrir facsímil</v>
      </c>
      <c r="K1455" s="3" t="s">
        <v>22</v>
      </c>
    </row>
    <row r="1456" spans="1:11" ht="42" customHeight="1">
      <c r="A1456" s="2" t="s">
        <v>3002</v>
      </c>
      <c r="B1456" s="2" t="s">
        <v>3002</v>
      </c>
      <c r="C1456" s="2" t="s">
        <v>28</v>
      </c>
      <c r="D1456" s="2" t="s">
        <v>29</v>
      </c>
      <c r="E1456" s="5">
        <v>-28317</v>
      </c>
      <c r="F1456" s="3" t="s">
        <v>546</v>
      </c>
      <c r="G1456" s="3" t="s">
        <v>19</v>
      </c>
      <c r="H1456" s="2" t="s">
        <v>20</v>
      </c>
      <c r="I1456" s="2" t="s">
        <v>3003</v>
      </c>
      <c r="J1456" s="3" t="str">
        <f>HYPERLINK("https://www.boe.es/gazeta/dias/1822/06/20/pdfs/GMD-1822-177.pdf#page=5","Abrir facsímil")</f>
        <v>Abrir facsímil</v>
      </c>
      <c r="K1456" s="3" t="s">
        <v>22</v>
      </c>
    </row>
    <row r="1457" spans="1:11" ht="42" customHeight="1">
      <c r="A1457" s="2" t="s">
        <v>3004</v>
      </c>
      <c r="B1457" s="2" t="s">
        <v>3005</v>
      </c>
      <c r="C1457" s="2" t="s">
        <v>71</v>
      </c>
      <c r="D1457" s="2" t="s">
        <v>17</v>
      </c>
      <c r="E1457" s="5">
        <v>-28173</v>
      </c>
      <c r="F1457" s="3" t="s">
        <v>2959</v>
      </c>
      <c r="G1457" s="3" t="s">
        <v>44</v>
      </c>
      <c r="H1457" s="2" t="s">
        <v>20</v>
      </c>
      <c r="I1457" s="2" t="s">
        <v>3006</v>
      </c>
      <c r="J1457" s="3" t="str">
        <f>HYPERLINK("https://www.boe.es/gazeta/dias/1822/11/11/pdfs/GMD-1822-331.pdf#page=1","Abrir facsímil")</f>
        <v>Abrir facsímil</v>
      </c>
      <c r="K1457" s="3" t="s">
        <v>22</v>
      </c>
    </row>
    <row r="1458" spans="1:11" ht="42" customHeight="1">
      <c r="A1458" s="2" t="s">
        <v>3007</v>
      </c>
      <c r="B1458" s="2" t="s">
        <v>3008</v>
      </c>
      <c r="C1458" s="2" t="s">
        <v>50</v>
      </c>
      <c r="D1458" s="2" t="s">
        <v>51</v>
      </c>
      <c r="E1458" s="5">
        <v>-28229</v>
      </c>
      <c r="F1458" s="3" t="s">
        <v>2310</v>
      </c>
      <c r="G1458" s="3" t="s">
        <v>35</v>
      </c>
      <c r="H1458" s="2" t="s">
        <v>20</v>
      </c>
      <c r="I1458" s="2" t="s">
        <v>3009</v>
      </c>
      <c r="J1458" s="3" t="str">
        <f>HYPERLINK("https://www.boe.es/gazeta/dias/1822/09/16/pdfs/GMD-1822-272.pdf#page=2","Abrir facsímil")</f>
        <v>Abrir facsímil</v>
      </c>
      <c r="K1458" s="3" t="s">
        <v>22</v>
      </c>
    </row>
    <row r="1459" spans="1:11" ht="42" customHeight="1">
      <c r="A1459" s="2" t="s">
        <v>3010</v>
      </c>
      <c r="B1459" s="2" t="s">
        <v>3010</v>
      </c>
      <c r="C1459" s="2" t="s">
        <v>50</v>
      </c>
      <c r="D1459" s="2" t="s">
        <v>51</v>
      </c>
      <c r="E1459" s="5">
        <v>-28192</v>
      </c>
      <c r="F1459" s="3" t="s">
        <v>43</v>
      </c>
      <c r="G1459" s="3" t="s">
        <v>19</v>
      </c>
      <c r="H1459" s="2" t="s">
        <v>20</v>
      </c>
      <c r="I1459" s="2" t="s">
        <v>3011</v>
      </c>
      <c r="J1459" s="3" t="str">
        <f>HYPERLINK("https://www.boe.es/gazeta/dias/1822/10/23/pdfs/GMD-1822-310.pdf#page=5","Abrir facsímil")</f>
        <v>Abrir facsímil</v>
      </c>
      <c r="K1459" s="3" t="s">
        <v>22</v>
      </c>
    </row>
    <row r="1460" spans="1:11" ht="42" customHeight="1">
      <c r="A1460" s="2" t="s">
        <v>3012</v>
      </c>
      <c r="B1460" s="2" t="s">
        <v>3013</v>
      </c>
      <c r="C1460" s="2" t="s">
        <v>28</v>
      </c>
      <c r="D1460" s="2" t="s">
        <v>29</v>
      </c>
      <c r="E1460" s="5">
        <v>-28415</v>
      </c>
      <c r="F1460" s="3" t="s">
        <v>77</v>
      </c>
      <c r="G1460" s="3" t="s">
        <v>19</v>
      </c>
      <c r="H1460" s="2" t="s">
        <v>20</v>
      </c>
      <c r="I1460" s="2" t="s">
        <v>3014</v>
      </c>
      <c r="J1460" s="3" t="str">
        <f>HYPERLINK("https://www.boe.es/gazeta/dias/1822/03/14/pdfs/GMD-1822-75.pdf#page=5","Abrir facsímil")</f>
        <v>Abrir facsímil</v>
      </c>
      <c r="K1460" s="3" t="s">
        <v>22</v>
      </c>
    </row>
    <row r="1461" spans="1:11" ht="42" customHeight="1">
      <c r="A1461" s="2" t="s">
        <v>3015</v>
      </c>
      <c r="B1461" s="2" t="s">
        <v>3015</v>
      </c>
      <c r="C1461" s="2" t="s">
        <v>61</v>
      </c>
      <c r="D1461" s="2" t="s">
        <v>17</v>
      </c>
      <c r="E1461" s="5">
        <v>-28426</v>
      </c>
      <c r="F1461" s="3" t="s">
        <v>1178</v>
      </c>
      <c r="G1461" s="3" t="s">
        <v>57</v>
      </c>
      <c r="H1461" s="2" t="s">
        <v>20</v>
      </c>
      <c r="I1461" s="2" t="s">
        <v>3016</v>
      </c>
      <c r="J1461" s="3" t="str">
        <f>HYPERLINK("https://www.boe.es/gazeta/dias/1822/03/03/pdfs/GMD-1822-64.pdf#page=4","Abrir facsímil")</f>
        <v>Abrir facsímil</v>
      </c>
      <c r="K1461" s="3" t="s">
        <v>22</v>
      </c>
    </row>
    <row r="1462" spans="1:11" ht="42" customHeight="1">
      <c r="A1462" s="2" t="s">
        <v>3017</v>
      </c>
      <c r="B1462" s="2" t="s">
        <v>3017</v>
      </c>
      <c r="C1462" s="2" t="s">
        <v>16</v>
      </c>
      <c r="D1462" s="2" t="s">
        <v>17</v>
      </c>
      <c r="E1462" s="5">
        <v>-28311</v>
      </c>
      <c r="F1462" s="3" t="s">
        <v>736</v>
      </c>
      <c r="G1462" s="3" t="s">
        <v>44</v>
      </c>
      <c r="H1462" s="2" t="s">
        <v>20</v>
      </c>
      <c r="I1462" s="2" t="s">
        <v>3018</v>
      </c>
      <c r="J1462" s="3" t="str">
        <f>HYPERLINK("https://www.boe.es/gazeta/dias/1822/06/26/pdfs/GMD-1822-184.pdf#page=1","Abrir facsímil")</f>
        <v>Abrir facsímil</v>
      </c>
      <c r="K1462" s="3" t="s">
        <v>22</v>
      </c>
    </row>
    <row r="1463" spans="1:11" ht="42" customHeight="1">
      <c r="A1463" s="2" t="s">
        <v>3019</v>
      </c>
      <c r="B1463" s="2" t="s">
        <v>3019</v>
      </c>
      <c r="C1463" s="2" t="s">
        <v>42</v>
      </c>
      <c r="D1463" s="2" t="s">
        <v>17</v>
      </c>
      <c r="E1463" s="5">
        <v>-28197</v>
      </c>
      <c r="F1463" s="3" t="s">
        <v>568</v>
      </c>
      <c r="G1463" s="3" t="s">
        <v>57</v>
      </c>
      <c r="H1463" s="2" t="s">
        <v>20</v>
      </c>
      <c r="I1463" s="2" t="s">
        <v>3020</v>
      </c>
      <c r="J1463" s="3" t="str">
        <f>HYPERLINK("https://www.boe.es/gazeta/dias/1822/10/18/pdfs/GMD-1822-305.pdf#page=4","Abrir facsímil")</f>
        <v>Abrir facsímil</v>
      </c>
      <c r="K1463" s="3" t="s">
        <v>22</v>
      </c>
    </row>
    <row r="1464" spans="1:11" ht="42" customHeight="1">
      <c r="A1464" s="2" t="s">
        <v>3021</v>
      </c>
      <c r="B1464" s="2" t="s">
        <v>3021</v>
      </c>
      <c r="C1464" s="2" t="s">
        <v>28</v>
      </c>
      <c r="D1464" s="2" t="s">
        <v>29</v>
      </c>
      <c r="E1464" s="5">
        <v>-28286</v>
      </c>
      <c r="F1464" s="3" t="s">
        <v>1853</v>
      </c>
      <c r="G1464" s="3" t="s">
        <v>57</v>
      </c>
      <c r="H1464" s="2" t="s">
        <v>20</v>
      </c>
      <c r="I1464" s="2" t="s">
        <v>3022</v>
      </c>
      <c r="J1464" s="3" t="str">
        <f>HYPERLINK("https://www.boe.es/gazeta/dias/1822/07/21/pdfs/GMD-1822-213.pdf#page=4","Abrir facsímil")</f>
        <v>Abrir facsímil</v>
      </c>
      <c r="K1464" s="3" t="s">
        <v>22</v>
      </c>
    </row>
    <row r="1465" spans="1:11" ht="42" customHeight="1">
      <c r="A1465" s="2" t="s">
        <v>3023</v>
      </c>
      <c r="B1465" s="2" t="s">
        <v>3024</v>
      </c>
      <c r="C1465" s="2" t="s">
        <v>28</v>
      </c>
      <c r="D1465" s="2" t="s">
        <v>29</v>
      </c>
      <c r="E1465" s="5">
        <v>-28394</v>
      </c>
      <c r="F1465" s="3" t="s">
        <v>268</v>
      </c>
      <c r="G1465" s="3" t="s">
        <v>57</v>
      </c>
      <c r="H1465" s="2" t="s">
        <v>20</v>
      </c>
      <c r="I1465" s="2" t="s">
        <v>3025</v>
      </c>
      <c r="J1465" s="3" t="str">
        <f>HYPERLINK("https://www.boe.es/gazeta/dias/1822/04/04/pdfs/GMD-1822-96.pdf#page=4","Abrir facsímil")</f>
        <v>Abrir facsímil</v>
      </c>
      <c r="K1465" s="3" t="s">
        <v>22</v>
      </c>
    </row>
    <row r="1466" spans="1:11" ht="42" customHeight="1">
      <c r="A1466" s="2" t="s">
        <v>3026</v>
      </c>
      <c r="B1466" s="2" t="s">
        <v>3026</v>
      </c>
      <c r="C1466" s="2" t="s">
        <v>50</v>
      </c>
      <c r="D1466" s="2" t="s">
        <v>51</v>
      </c>
      <c r="E1466" s="5">
        <v>-28447</v>
      </c>
      <c r="F1466" s="3" t="s">
        <v>997</v>
      </c>
      <c r="G1466" s="3" t="s">
        <v>44</v>
      </c>
      <c r="H1466" s="2" t="s">
        <v>20</v>
      </c>
      <c r="I1466" s="2" t="s">
        <v>3027</v>
      </c>
      <c r="J1466" s="3" t="str">
        <f>HYPERLINK("https://www.boe.es/gazeta/dias/1822/02/10/pdfs/GMD-1822-41.pdf#page=1","Abrir facsímil")</f>
        <v>Abrir facsímil</v>
      </c>
      <c r="K1466" s="3" t="s">
        <v>22</v>
      </c>
    </row>
    <row r="1467" spans="1:11" ht="42" customHeight="1">
      <c r="A1467" s="2" t="s">
        <v>3026</v>
      </c>
      <c r="B1467" s="2" t="s">
        <v>3026</v>
      </c>
      <c r="C1467" s="2" t="s">
        <v>24</v>
      </c>
      <c r="D1467" s="2" t="s">
        <v>17</v>
      </c>
      <c r="E1467" s="5">
        <v>-28359</v>
      </c>
      <c r="F1467" s="3" t="s">
        <v>209</v>
      </c>
      <c r="G1467" s="3" t="s">
        <v>31</v>
      </c>
      <c r="H1467" s="2" t="s">
        <v>20</v>
      </c>
      <c r="I1467" s="2" t="s">
        <v>3028</v>
      </c>
      <c r="J1467" s="3" t="str">
        <f>HYPERLINK("https://www.boe.es/gazeta/dias/1822/05/09/pdfs/GMD-1822-131.pdf#page=3","Abrir facsímil")</f>
        <v>Abrir facsímil</v>
      </c>
      <c r="K1467" s="3" t="s">
        <v>22</v>
      </c>
    </row>
    <row r="1468" spans="1:11" ht="42" customHeight="1">
      <c r="A1468" s="2" t="s">
        <v>3026</v>
      </c>
      <c r="B1468" s="2" t="s">
        <v>3026</v>
      </c>
      <c r="C1468" s="2" t="s">
        <v>28</v>
      </c>
      <c r="D1468" s="2" t="s">
        <v>29</v>
      </c>
      <c r="E1468" s="5">
        <v>-28342</v>
      </c>
      <c r="F1468" s="3" t="s">
        <v>2281</v>
      </c>
      <c r="G1468" s="3" t="s">
        <v>44</v>
      </c>
      <c r="H1468" s="2" t="s">
        <v>20</v>
      </c>
      <c r="I1468" s="2" t="s">
        <v>3029</v>
      </c>
      <c r="J1468" s="3" t="str">
        <f>HYPERLINK("https://www.boe.es/gazeta/dias/1822/05/26/pdfs/GMD-1822-151.pdf#page=1","Abrir facsímil")</f>
        <v>Abrir facsímil</v>
      </c>
      <c r="K1468" s="3" t="s">
        <v>22</v>
      </c>
    </row>
    <row r="1469" spans="1:11" ht="42" customHeight="1">
      <c r="A1469" s="2" t="s">
        <v>3026</v>
      </c>
      <c r="B1469" s="2" t="s">
        <v>3026</v>
      </c>
      <c r="C1469" s="2" t="s">
        <v>28</v>
      </c>
      <c r="D1469" s="2" t="s">
        <v>29</v>
      </c>
      <c r="E1469" s="5">
        <v>-28323</v>
      </c>
      <c r="F1469" s="3" t="s">
        <v>116</v>
      </c>
      <c r="G1469" s="3" t="s">
        <v>19</v>
      </c>
      <c r="H1469" s="2" t="s">
        <v>20</v>
      </c>
      <c r="I1469" s="2" t="s">
        <v>3030</v>
      </c>
      <c r="J1469" s="3" t="str">
        <f>HYPERLINK("https://www.boe.es/gazeta/dias/1822/06/14/pdfs/GMD-1822-171.pdf#page=5","Abrir facsímil")</f>
        <v>Abrir facsímil</v>
      </c>
      <c r="K1469" s="3" t="s">
        <v>22</v>
      </c>
    </row>
    <row r="1470" spans="1:11" ht="42" customHeight="1">
      <c r="A1470" s="2" t="s">
        <v>3026</v>
      </c>
      <c r="B1470" s="2" t="s">
        <v>3026</v>
      </c>
      <c r="C1470" s="2" t="s">
        <v>50</v>
      </c>
      <c r="D1470" s="2" t="s">
        <v>51</v>
      </c>
      <c r="E1470" s="5">
        <v>-28322</v>
      </c>
      <c r="F1470" s="3" t="s">
        <v>2205</v>
      </c>
      <c r="G1470" s="3" t="s">
        <v>3031</v>
      </c>
      <c r="H1470" s="2" t="s">
        <v>20</v>
      </c>
      <c r="I1470" s="2" t="s">
        <v>3032</v>
      </c>
      <c r="J1470" s="3" t="str">
        <f>HYPERLINK("https://www.boe.es/gazeta/dias/1822/06/15/pdfs/GMD-1822-172.pdf#page=2","Abrir facsímil")</f>
        <v>Abrir facsímil</v>
      </c>
      <c r="K1470" s="3" t="s">
        <v>22</v>
      </c>
    </row>
    <row r="1471" spans="1:11" ht="42" customHeight="1">
      <c r="A1471" s="2" t="s">
        <v>3026</v>
      </c>
      <c r="B1471" s="2" t="s">
        <v>3026</v>
      </c>
      <c r="C1471" s="2" t="s">
        <v>50</v>
      </c>
      <c r="D1471" s="2" t="s">
        <v>51</v>
      </c>
      <c r="E1471" s="5">
        <v>-28317</v>
      </c>
      <c r="F1471" s="3" t="s">
        <v>546</v>
      </c>
      <c r="G1471" s="3" t="s">
        <v>63</v>
      </c>
      <c r="H1471" s="2" t="s">
        <v>20</v>
      </c>
      <c r="I1471" s="2" t="s">
        <v>3033</v>
      </c>
      <c r="J1471" s="3" t="str">
        <f>HYPERLINK("https://www.boe.es/gazeta/dias/1822/06/20/pdfs/GMD-1822-177.pdf#page=6","Abrir facsímil")</f>
        <v>Abrir facsímil</v>
      </c>
      <c r="K1471" s="3" t="s">
        <v>22</v>
      </c>
    </row>
    <row r="1472" spans="1:11" ht="42" customHeight="1">
      <c r="A1472" s="2" t="s">
        <v>3026</v>
      </c>
      <c r="B1472" s="2" t="s">
        <v>3026</v>
      </c>
      <c r="C1472" s="2" t="s">
        <v>28</v>
      </c>
      <c r="D1472" s="2" t="s">
        <v>29</v>
      </c>
      <c r="E1472" s="5">
        <v>-28165</v>
      </c>
      <c r="F1472" s="3" t="s">
        <v>846</v>
      </c>
      <c r="G1472" s="3" t="s">
        <v>57</v>
      </c>
      <c r="H1472" s="2" t="s">
        <v>20</v>
      </c>
      <c r="I1472" s="2" t="s">
        <v>3034</v>
      </c>
      <c r="J1472" s="3" t="str">
        <f>HYPERLINK("https://www.boe.es/gazeta/dias/1822/11/19/pdfs/GMD-1822-339.pdf#page=4","Abrir facsímil")</f>
        <v>Abrir facsímil</v>
      </c>
      <c r="K1472" s="3" t="s">
        <v>22</v>
      </c>
    </row>
    <row r="1473" spans="1:11" ht="42" customHeight="1">
      <c r="A1473" s="2" t="s">
        <v>3035</v>
      </c>
      <c r="B1473" s="2" t="s">
        <v>3036</v>
      </c>
      <c r="C1473" s="2" t="s">
        <v>362</v>
      </c>
      <c r="D1473" s="2" t="s">
        <v>17</v>
      </c>
      <c r="E1473" s="5">
        <v>-28243</v>
      </c>
      <c r="F1473" s="3" t="s">
        <v>1829</v>
      </c>
      <c r="G1473" s="3" t="s">
        <v>57</v>
      </c>
      <c r="H1473" s="2" t="s">
        <v>20</v>
      </c>
      <c r="I1473" s="2" t="s">
        <v>3037</v>
      </c>
      <c r="J1473" s="3" t="str">
        <f>HYPERLINK("https://www.boe.es/gazeta/dias/1822/09/02/pdfs/GMD-1822-257.pdf#page=4","Abrir facsímil")</f>
        <v>Abrir facsímil</v>
      </c>
      <c r="K1473" s="3" t="s">
        <v>22</v>
      </c>
    </row>
    <row r="1474" spans="1:11" ht="42" customHeight="1">
      <c r="A1474" s="2" t="s">
        <v>3035</v>
      </c>
      <c r="B1474" s="2" t="s">
        <v>3036</v>
      </c>
      <c r="C1474" s="2" t="s">
        <v>50</v>
      </c>
      <c r="D1474" s="2" t="s">
        <v>51</v>
      </c>
      <c r="E1474" s="5">
        <v>-28240</v>
      </c>
      <c r="F1474" s="3" t="s">
        <v>678</v>
      </c>
      <c r="G1474" s="3" t="s">
        <v>57</v>
      </c>
      <c r="H1474" s="2" t="s">
        <v>20</v>
      </c>
      <c r="I1474" s="2" t="s">
        <v>3038</v>
      </c>
      <c r="J1474" s="3" t="str">
        <f>HYPERLINK("https://www.boe.es/gazeta/dias/1822/09/05/pdfs/GMD-1822-260.pdf#page=4","Abrir facsímil")</f>
        <v>Abrir facsímil</v>
      </c>
      <c r="K1474" s="3" t="s">
        <v>22</v>
      </c>
    </row>
    <row r="1475" spans="1:11" ht="42" customHeight="1">
      <c r="A1475" s="2" t="s">
        <v>3035</v>
      </c>
      <c r="B1475" s="2" t="s">
        <v>3036</v>
      </c>
      <c r="C1475" s="2" t="s">
        <v>71</v>
      </c>
      <c r="D1475" s="2" t="s">
        <v>17</v>
      </c>
      <c r="E1475" s="5">
        <v>-28180</v>
      </c>
      <c r="F1475" s="3" t="s">
        <v>839</v>
      </c>
      <c r="G1475" s="3" t="s">
        <v>57</v>
      </c>
      <c r="H1475" s="2" t="s">
        <v>20</v>
      </c>
      <c r="I1475" s="2" t="s">
        <v>3039</v>
      </c>
      <c r="J1475" s="3" t="str">
        <f>HYPERLINK("https://www.boe.es/gazeta/dias/1822/11/04/pdfs/GMD-1822-323.pdf#page=4","Abrir facsímil")</f>
        <v>Abrir facsímil</v>
      </c>
      <c r="K1475" s="3" t="s">
        <v>22</v>
      </c>
    </row>
    <row r="1476" spans="1:11" ht="42" customHeight="1">
      <c r="A1476" s="2" t="s">
        <v>3040</v>
      </c>
      <c r="B1476" s="2" t="s">
        <v>3041</v>
      </c>
      <c r="C1476" s="2" t="s">
        <v>50</v>
      </c>
      <c r="D1476" s="2" t="s">
        <v>51</v>
      </c>
      <c r="E1476" s="5">
        <v>-28126</v>
      </c>
      <c r="F1476" s="3" t="s">
        <v>952</v>
      </c>
      <c r="G1476" s="3" t="s">
        <v>57</v>
      </c>
      <c r="H1476" s="2" t="s">
        <v>20</v>
      </c>
      <c r="I1476" s="2" t="s">
        <v>3042</v>
      </c>
      <c r="J1476" s="3" t="str">
        <f>HYPERLINK("https://www.boe.es/gazeta/dias/1822/12/28/pdfs/GMD-1822-378.pdf#page=4","Abrir facsímil")</f>
        <v>Abrir facsímil</v>
      </c>
      <c r="K1476" s="3" t="s">
        <v>22</v>
      </c>
    </row>
    <row r="1477" spans="1:11" ht="42" customHeight="1">
      <c r="A1477" s="2" t="s">
        <v>3043</v>
      </c>
      <c r="B1477" s="2" t="s">
        <v>3044</v>
      </c>
      <c r="C1477" s="2" t="s">
        <v>50</v>
      </c>
      <c r="D1477" s="2" t="s">
        <v>51</v>
      </c>
      <c r="E1477" s="5">
        <v>-28209</v>
      </c>
      <c r="F1477" s="3" t="s">
        <v>748</v>
      </c>
      <c r="G1477" s="3" t="s">
        <v>57</v>
      </c>
      <c r="H1477" s="2" t="s">
        <v>20</v>
      </c>
      <c r="I1477" s="2" t="s">
        <v>3045</v>
      </c>
      <c r="J1477" s="3" t="str">
        <f>HYPERLINK("https://www.boe.es/gazeta/dias/1822/10/06/pdfs/GMD-1822-292.pdf#page=4","Abrir facsímil")</f>
        <v>Abrir facsímil</v>
      </c>
      <c r="K1477" s="3" t="s">
        <v>22</v>
      </c>
    </row>
    <row r="1478" spans="1:11" ht="42" customHeight="1">
      <c r="A1478" s="2" t="s">
        <v>3046</v>
      </c>
      <c r="B1478" s="2" t="s">
        <v>3047</v>
      </c>
      <c r="C1478" s="2" t="s">
        <v>16</v>
      </c>
      <c r="D1478" s="2" t="s">
        <v>17</v>
      </c>
      <c r="E1478" s="5">
        <v>-28164</v>
      </c>
      <c r="F1478" s="3" t="s">
        <v>2172</v>
      </c>
      <c r="G1478" s="3" t="s">
        <v>63</v>
      </c>
      <c r="H1478" s="2" t="s">
        <v>20</v>
      </c>
      <c r="I1478" s="2" t="s">
        <v>3048</v>
      </c>
      <c r="J1478" s="3" t="str">
        <f>HYPERLINK("https://www.boe.es/gazeta/dias/1822/11/20/pdfs/GMD-1822-340.pdf#page=6","Abrir facsímil")</f>
        <v>Abrir facsímil</v>
      </c>
      <c r="K1478" s="3" t="s">
        <v>22</v>
      </c>
    </row>
    <row r="1479" spans="1:11" ht="42" customHeight="1">
      <c r="A1479" s="2" t="s">
        <v>3049</v>
      </c>
      <c r="B1479" s="2" t="s">
        <v>3050</v>
      </c>
      <c r="C1479" s="2" t="s">
        <v>28</v>
      </c>
      <c r="D1479" s="2" t="s">
        <v>29</v>
      </c>
      <c r="E1479" s="5">
        <v>-28165</v>
      </c>
      <c r="F1479" s="3" t="s">
        <v>846</v>
      </c>
      <c r="G1479" s="3" t="s">
        <v>57</v>
      </c>
      <c r="H1479" s="2" t="s">
        <v>20</v>
      </c>
      <c r="I1479" s="2" t="s">
        <v>3051</v>
      </c>
      <c r="J1479" s="3" t="str">
        <f>HYPERLINK("https://www.boe.es/gazeta/dias/1822/11/19/pdfs/GMD-1822-339.pdf#page=4","Abrir facsímil")</f>
        <v>Abrir facsímil</v>
      </c>
      <c r="K1479" s="3" t="s">
        <v>22</v>
      </c>
    </row>
    <row r="1480" spans="1:11" ht="42" customHeight="1">
      <c r="A1480" s="2" t="s">
        <v>3052</v>
      </c>
      <c r="B1480" s="2" t="s">
        <v>3053</v>
      </c>
      <c r="C1480" s="2" t="s">
        <v>50</v>
      </c>
      <c r="D1480" s="2" t="s">
        <v>51</v>
      </c>
      <c r="E1480" s="5">
        <v>-28228</v>
      </c>
      <c r="F1480" s="3" t="s">
        <v>718</v>
      </c>
      <c r="G1480" s="3" t="s">
        <v>719</v>
      </c>
      <c r="H1480" s="2" t="s">
        <v>20</v>
      </c>
      <c r="I1480" s="2" t="s">
        <v>3054</v>
      </c>
      <c r="J1480" s="3" t="str">
        <f>HYPERLINK("https://www.boe.es/gazeta/dias/1822/09/17/pdfs/GMD-1822-273.pdf#page=3","Abrir facsímil")</f>
        <v>Abrir facsímil</v>
      </c>
      <c r="K1480" s="3" t="s">
        <v>22</v>
      </c>
    </row>
    <row r="1481" spans="1:11" ht="42" customHeight="1">
      <c r="A1481" s="2" t="s">
        <v>3055</v>
      </c>
      <c r="B1481" s="2" t="s">
        <v>3056</v>
      </c>
      <c r="C1481" s="2" t="s">
        <v>50</v>
      </c>
      <c r="D1481" s="2" t="s">
        <v>51</v>
      </c>
      <c r="E1481" s="5">
        <v>-28264</v>
      </c>
      <c r="F1481" s="3" t="s">
        <v>1329</v>
      </c>
      <c r="G1481" s="3" t="s">
        <v>57</v>
      </c>
      <c r="H1481" s="2" t="s">
        <v>20</v>
      </c>
      <c r="I1481" s="2" t="s">
        <v>3057</v>
      </c>
      <c r="J1481" s="3" t="str">
        <f>HYPERLINK("https://www.boe.es/gazeta/dias/1822/08/12/pdfs/GMD-1822-236.pdf#page=4","Abrir facsímil")</f>
        <v>Abrir facsímil</v>
      </c>
      <c r="K1481" s="3" t="s">
        <v>22</v>
      </c>
    </row>
    <row r="1482" spans="1:11" ht="42" customHeight="1">
      <c r="A1482" s="2" t="s">
        <v>3058</v>
      </c>
      <c r="B1482" s="2" t="s">
        <v>3059</v>
      </c>
      <c r="C1482" s="2" t="s">
        <v>24</v>
      </c>
      <c r="D1482" s="2" t="s">
        <v>17</v>
      </c>
      <c r="E1482" s="5">
        <v>-28486</v>
      </c>
      <c r="F1482" s="3" t="s">
        <v>1046</v>
      </c>
      <c r="G1482" s="3" t="s">
        <v>57</v>
      </c>
      <c r="H1482" s="2" t="s">
        <v>20</v>
      </c>
      <c r="I1482" s="2" t="s">
        <v>3060</v>
      </c>
      <c r="J1482" s="3" t="str">
        <f>HYPERLINK("https://www.boe.es/gazeta/dias/1822/01/02/pdfs/GMD-1822-2.pdf#page=4","Abrir facsímil")</f>
        <v>Abrir facsímil</v>
      </c>
      <c r="K1482" s="3" t="s">
        <v>22</v>
      </c>
    </row>
    <row r="1483" spans="1:11" ht="42" customHeight="1">
      <c r="A1483" s="2" t="s">
        <v>3061</v>
      </c>
      <c r="B1483" s="2" t="s">
        <v>3061</v>
      </c>
      <c r="C1483" s="2" t="s">
        <v>28</v>
      </c>
      <c r="D1483" s="2" t="s">
        <v>29</v>
      </c>
      <c r="E1483" s="5">
        <v>-28381</v>
      </c>
      <c r="F1483" s="3" t="s">
        <v>358</v>
      </c>
      <c r="G1483" s="3" t="s">
        <v>2269</v>
      </c>
      <c r="H1483" s="2" t="s">
        <v>20</v>
      </c>
      <c r="I1483" s="2" t="s">
        <v>3062</v>
      </c>
      <c r="J1483" s="3" t="str">
        <f>HYPERLINK("https://www.boe.es/gazeta/dias/1822/04/17/pdfs/GMD-1822-109.pdf#page=3","Abrir facsímil")</f>
        <v>Abrir facsímil</v>
      </c>
      <c r="K1483" s="3" t="s">
        <v>22</v>
      </c>
    </row>
    <row r="1484" spans="1:11" ht="42" customHeight="1">
      <c r="A1484" s="2" t="s">
        <v>3063</v>
      </c>
      <c r="B1484" s="2" t="s">
        <v>3064</v>
      </c>
      <c r="C1484" s="2" t="s">
        <v>50</v>
      </c>
      <c r="D1484" s="2" t="s">
        <v>51</v>
      </c>
      <c r="E1484" s="5">
        <v>-28190</v>
      </c>
      <c r="F1484" s="3" t="s">
        <v>576</v>
      </c>
      <c r="G1484" s="3" t="s">
        <v>63</v>
      </c>
      <c r="H1484" s="2" t="s">
        <v>20</v>
      </c>
      <c r="I1484" s="2" t="s">
        <v>3065</v>
      </c>
      <c r="J1484" s="3" t="str">
        <f>HYPERLINK("https://www.boe.es/gazeta/dias/1822/10/25/pdfs/GMD-1822-312.pdf#page=6","Abrir facsímil")</f>
        <v>Abrir facsímil</v>
      </c>
      <c r="K1484" s="3" t="s">
        <v>22</v>
      </c>
    </row>
    <row r="1485" spans="1:11" ht="42" customHeight="1">
      <c r="A1485" s="2" t="s">
        <v>3066</v>
      </c>
      <c r="B1485" s="2" t="s">
        <v>3067</v>
      </c>
      <c r="C1485" s="2" t="s">
        <v>16</v>
      </c>
      <c r="D1485" s="2" t="s">
        <v>17</v>
      </c>
      <c r="E1485" s="5">
        <v>-28241</v>
      </c>
      <c r="F1485" s="3" t="s">
        <v>3068</v>
      </c>
      <c r="G1485" s="3" t="s">
        <v>57</v>
      </c>
      <c r="H1485" s="2" t="s">
        <v>20</v>
      </c>
      <c r="I1485" s="2" t="s">
        <v>3069</v>
      </c>
      <c r="J1485" s="3" t="str">
        <f>HYPERLINK("https://www.boe.es/gazeta/dias/1822/09/04/pdfs/GMD-1822-259.pdf#page=4","Abrir facsímil")</f>
        <v>Abrir facsímil</v>
      </c>
      <c r="K1485" s="3" t="s">
        <v>22</v>
      </c>
    </row>
    <row r="1486" spans="1:11" ht="42" customHeight="1">
      <c r="A1486" s="2" t="s">
        <v>3070</v>
      </c>
      <c r="B1486" s="2" t="s">
        <v>3071</v>
      </c>
      <c r="C1486" s="2" t="s">
        <v>16</v>
      </c>
      <c r="D1486" s="2" t="s">
        <v>17</v>
      </c>
      <c r="E1486" s="5">
        <v>-28229</v>
      </c>
      <c r="F1486" s="3" t="s">
        <v>2310</v>
      </c>
      <c r="G1486" s="3" t="s">
        <v>57</v>
      </c>
      <c r="H1486" s="2" t="s">
        <v>20</v>
      </c>
      <c r="I1486" s="2" t="s">
        <v>3072</v>
      </c>
      <c r="J1486" s="3" t="str">
        <f>HYPERLINK("https://www.boe.es/gazeta/dias/1822/09/16/pdfs/GMD-1822-272.pdf#page=4","Abrir facsímil")</f>
        <v>Abrir facsímil</v>
      </c>
      <c r="K1486" s="3" t="s">
        <v>22</v>
      </c>
    </row>
    <row r="1487" spans="1:11" ht="42" customHeight="1">
      <c r="A1487" s="2" t="s">
        <v>3073</v>
      </c>
      <c r="B1487" s="2" t="s">
        <v>3073</v>
      </c>
      <c r="C1487" s="2" t="s">
        <v>50</v>
      </c>
      <c r="D1487" s="2" t="s">
        <v>51</v>
      </c>
      <c r="E1487" s="5">
        <v>-28185</v>
      </c>
      <c r="F1487" s="3" t="s">
        <v>933</v>
      </c>
      <c r="G1487" s="3" t="s">
        <v>44</v>
      </c>
      <c r="H1487" s="2" t="s">
        <v>20</v>
      </c>
      <c r="I1487" s="2" t="s">
        <v>3074</v>
      </c>
      <c r="J1487" s="3" t="str">
        <f>HYPERLINK("https://www.boe.es/gazeta/dias/1822/10/30/pdfs/GMD-1822-317.pdf#page=1","Abrir facsímil")</f>
        <v>Abrir facsímil</v>
      </c>
      <c r="K1487" s="3" t="s">
        <v>22</v>
      </c>
    </row>
    <row r="1488" spans="1:11" ht="42" customHeight="1">
      <c r="A1488" s="2" t="s">
        <v>3075</v>
      </c>
      <c r="B1488" s="2" t="s">
        <v>3076</v>
      </c>
      <c r="C1488" s="2" t="s">
        <v>50</v>
      </c>
      <c r="D1488" s="2" t="s">
        <v>51</v>
      </c>
      <c r="E1488" s="5">
        <v>-28238</v>
      </c>
      <c r="F1488" s="3" t="s">
        <v>2077</v>
      </c>
      <c r="G1488" s="3" t="s">
        <v>35</v>
      </c>
      <c r="H1488" s="2" t="s">
        <v>20</v>
      </c>
      <c r="I1488" s="2" t="s">
        <v>3077</v>
      </c>
      <c r="J1488" s="3" t="str">
        <f>HYPERLINK("https://www.boe.es/gazeta/dias/1822/09/07/pdfs/GMD-1822-262.pdf#page=2","Abrir facsímil")</f>
        <v>Abrir facsímil</v>
      </c>
      <c r="K1488" s="3" t="s">
        <v>22</v>
      </c>
    </row>
    <row r="1489" spans="1:11" ht="42" customHeight="1">
      <c r="A1489" s="2" t="s">
        <v>3078</v>
      </c>
      <c r="B1489" s="2" t="s">
        <v>3079</v>
      </c>
      <c r="C1489" s="2" t="s">
        <v>24</v>
      </c>
      <c r="D1489" s="2" t="s">
        <v>17</v>
      </c>
      <c r="E1489" s="5">
        <v>-28450</v>
      </c>
      <c r="F1489" s="3" t="s">
        <v>1450</v>
      </c>
      <c r="G1489" s="3" t="s">
        <v>2247</v>
      </c>
      <c r="H1489" s="2" t="s">
        <v>20</v>
      </c>
      <c r="I1489" s="2" t="s">
        <v>3080</v>
      </c>
      <c r="J1489" s="3" t="str">
        <f>HYPERLINK("https://www.boe.es/gazeta/dias/1822/02/07/pdfs/GMD-1822-38.pdf#page=6","Abrir facsímil")</f>
        <v>Abrir facsímil</v>
      </c>
      <c r="K1489" s="3" t="s">
        <v>22</v>
      </c>
    </row>
    <row r="1490" spans="1:11" ht="42" customHeight="1">
      <c r="A1490" s="2" t="s">
        <v>3081</v>
      </c>
      <c r="B1490" s="2" t="s">
        <v>3082</v>
      </c>
      <c r="C1490" s="2" t="s">
        <v>42</v>
      </c>
      <c r="D1490" s="2" t="s">
        <v>17</v>
      </c>
      <c r="E1490" s="5">
        <v>-28481</v>
      </c>
      <c r="F1490" s="3" t="s">
        <v>1089</v>
      </c>
      <c r="G1490" s="3" t="s">
        <v>57</v>
      </c>
      <c r="H1490" s="2" t="s">
        <v>45</v>
      </c>
      <c r="I1490" s="2" t="s">
        <v>3083</v>
      </c>
      <c r="J1490" s="3" t="str">
        <f>HYPERLINK("https://www.boe.es/gazeta/dias/1822/01/07/pdfs/GMD-1822-7.pdf#page=4","Abrir facsímil")</f>
        <v>Abrir facsímil</v>
      </c>
      <c r="K1490" s="3" t="s">
        <v>47</v>
      </c>
    </row>
    <row r="1491" spans="1:11" ht="42" customHeight="1">
      <c r="A1491" s="2" t="s">
        <v>3084</v>
      </c>
      <c r="B1491" s="2" t="s">
        <v>3085</v>
      </c>
      <c r="C1491" s="2" t="s">
        <v>28</v>
      </c>
      <c r="D1491" s="2" t="s">
        <v>29</v>
      </c>
      <c r="E1491" s="5">
        <v>-28456</v>
      </c>
      <c r="F1491" s="3" t="s">
        <v>1104</v>
      </c>
      <c r="G1491" s="3" t="s">
        <v>35</v>
      </c>
      <c r="H1491" s="2" t="s">
        <v>20</v>
      </c>
      <c r="I1491" s="2" t="s">
        <v>3086</v>
      </c>
      <c r="J1491" s="3" t="str">
        <f>HYPERLINK("https://www.boe.es/gazeta/dias/1822/02/01/pdfs/GMD-1822-32.pdf#page=2","Abrir facsímil")</f>
        <v>Abrir facsímil</v>
      </c>
      <c r="K1491" s="3" t="s">
        <v>22</v>
      </c>
    </row>
    <row r="1492" spans="1:11" ht="42" customHeight="1">
      <c r="A1492" s="2" t="s">
        <v>3087</v>
      </c>
      <c r="B1492" s="2" t="s">
        <v>3088</v>
      </c>
      <c r="C1492" s="2" t="s">
        <v>28</v>
      </c>
      <c r="D1492" s="2" t="s">
        <v>29</v>
      </c>
      <c r="E1492" s="5">
        <v>-28384</v>
      </c>
      <c r="F1492" s="3" t="s">
        <v>258</v>
      </c>
      <c r="G1492" s="3" t="s">
        <v>63</v>
      </c>
      <c r="H1492" s="2" t="s">
        <v>20</v>
      </c>
      <c r="I1492" s="2" t="s">
        <v>3089</v>
      </c>
      <c r="J1492" s="3" t="str">
        <f>HYPERLINK("https://www.boe.es/gazeta/dias/1822/04/14/pdfs/GMD-1822-106.pdf#page=6","Abrir facsímil")</f>
        <v>Abrir facsímil</v>
      </c>
      <c r="K1492" s="3" t="s">
        <v>22</v>
      </c>
    </row>
    <row r="1493" spans="1:11" ht="42" customHeight="1">
      <c r="A1493" s="2" t="s">
        <v>3090</v>
      </c>
      <c r="B1493" s="2" t="s">
        <v>3091</v>
      </c>
      <c r="C1493" s="2" t="s">
        <v>50</v>
      </c>
      <c r="D1493" s="2" t="s">
        <v>51</v>
      </c>
      <c r="E1493" s="5">
        <v>-28256</v>
      </c>
      <c r="F1493" s="3" t="s">
        <v>1949</v>
      </c>
      <c r="G1493" s="3" t="s">
        <v>35</v>
      </c>
      <c r="H1493" s="2" t="s">
        <v>20</v>
      </c>
      <c r="I1493" s="2" t="s">
        <v>3092</v>
      </c>
      <c r="J1493" s="3" t="str">
        <f>HYPERLINK("https://www.boe.es/gazeta/dias/1822/08/20/pdfs/GMD-1822-244.pdf#page=2","Abrir facsímil")</f>
        <v>Abrir facsímil</v>
      </c>
      <c r="K1493" s="3" t="s">
        <v>22</v>
      </c>
    </row>
    <row r="1494" spans="1:11" ht="42" customHeight="1">
      <c r="A1494" s="2" t="s">
        <v>3093</v>
      </c>
      <c r="B1494" s="2" t="s">
        <v>3093</v>
      </c>
      <c r="C1494" s="2" t="s">
        <v>50</v>
      </c>
      <c r="D1494" s="2" t="s">
        <v>51</v>
      </c>
      <c r="E1494" s="5">
        <v>-28426</v>
      </c>
      <c r="F1494" s="3" t="s">
        <v>1178</v>
      </c>
      <c r="G1494" s="3" t="s">
        <v>44</v>
      </c>
      <c r="H1494" s="2" t="s">
        <v>20</v>
      </c>
      <c r="I1494" s="2" t="s">
        <v>3094</v>
      </c>
      <c r="J1494" s="3" t="str">
        <f>HYPERLINK("https://www.boe.es/gazeta/dias/1822/03/03/pdfs/GMD-1822-64.pdf#page=1","Abrir facsímil")</f>
        <v>Abrir facsímil</v>
      </c>
      <c r="K1494" s="3" t="s">
        <v>22</v>
      </c>
    </row>
    <row r="1495" spans="1:11" ht="42" customHeight="1">
      <c r="A1495" s="2" t="s">
        <v>3095</v>
      </c>
      <c r="B1495" s="2" t="s">
        <v>3096</v>
      </c>
      <c r="C1495" s="2" t="s">
        <v>28</v>
      </c>
      <c r="D1495" s="2" t="s">
        <v>29</v>
      </c>
      <c r="E1495" s="5">
        <v>-28437</v>
      </c>
      <c r="F1495" s="3" t="s">
        <v>2192</v>
      </c>
      <c r="G1495" s="3" t="s">
        <v>35</v>
      </c>
      <c r="H1495" s="2" t="s">
        <v>20</v>
      </c>
      <c r="I1495" s="2" t="s">
        <v>3097</v>
      </c>
      <c r="J1495" s="3" t="str">
        <f>HYPERLINK("https://www.boe.es/gazeta/dias/1822/02/20/pdfs/GMD-1822-52.pdf#page=2","Abrir facsímil")</f>
        <v>Abrir facsímil</v>
      </c>
      <c r="K1495" s="3" t="s">
        <v>22</v>
      </c>
    </row>
    <row r="1496" spans="1:11" ht="42" customHeight="1">
      <c r="A1496" s="2" t="s">
        <v>3098</v>
      </c>
      <c r="B1496" s="2" t="s">
        <v>3099</v>
      </c>
      <c r="C1496" s="2" t="s">
        <v>50</v>
      </c>
      <c r="D1496" s="2" t="s">
        <v>51</v>
      </c>
      <c r="E1496" s="5">
        <v>-28240</v>
      </c>
      <c r="F1496" s="3" t="s">
        <v>678</v>
      </c>
      <c r="G1496" s="3" t="s">
        <v>57</v>
      </c>
      <c r="H1496" s="2" t="s">
        <v>20</v>
      </c>
      <c r="I1496" s="2" t="s">
        <v>3100</v>
      </c>
      <c r="J1496" s="3" t="str">
        <f>HYPERLINK("https://www.boe.es/gazeta/dias/1822/09/05/pdfs/GMD-1822-260.pdf#page=4","Abrir facsímil")</f>
        <v>Abrir facsímil</v>
      </c>
      <c r="K1496" s="3" t="s">
        <v>22</v>
      </c>
    </row>
    <row r="1497" spans="1:11" ht="42" customHeight="1">
      <c r="A1497" s="2" t="s">
        <v>3101</v>
      </c>
      <c r="B1497" s="2" t="s">
        <v>3101</v>
      </c>
      <c r="C1497" s="2" t="s">
        <v>24</v>
      </c>
      <c r="D1497" s="2" t="s">
        <v>17</v>
      </c>
      <c r="E1497" s="5">
        <v>-28476</v>
      </c>
      <c r="F1497" s="3" t="s">
        <v>160</v>
      </c>
      <c r="G1497" s="3" t="s">
        <v>31</v>
      </c>
      <c r="H1497" s="2" t="s">
        <v>20</v>
      </c>
      <c r="I1497" s="2" t="s">
        <v>3102</v>
      </c>
      <c r="J1497" s="3" t="str">
        <f>HYPERLINK("https://www.boe.es/gazeta/dias/1822/01/12/pdfs/GMD-1822-12.pdf#page=3","Abrir facsímil")</f>
        <v>Abrir facsímil</v>
      </c>
      <c r="K1497" s="3" t="s">
        <v>22</v>
      </c>
    </row>
    <row r="1498" spans="1:11" ht="42" customHeight="1">
      <c r="A1498" s="2" t="s">
        <v>3101</v>
      </c>
      <c r="B1498" s="2" t="s">
        <v>3101</v>
      </c>
      <c r="C1498" s="2" t="s">
        <v>28</v>
      </c>
      <c r="D1498" s="2" t="s">
        <v>29</v>
      </c>
      <c r="E1498" s="5">
        <v>-28475</v>
      </c>
      <c r="F1498" s="3" t="s">
        <v>1205</v>
      </c>
      <c r="G1498" s="3" t="s">
        <v>1685</v>
      </c>
      <c r="H1498" s="2" t="s">
        <v>20</v>
      </c>
      <c r="I1498" s="2" t="s">
        <v>3103</v>
      </c>
      <c r="J1498" s="3" t="str">
        <f>HYPERLINK("https://www.boe.es/gazeta/dias/1822/01/13/pdfs/GMD-1822-13.pdf#page=4","Abrir facsímil")</f>
        <v>Abrir facsímil</v>
      </c>
      <c r="K1498" s="3" t="s">
        <v>22</v>
      </c>
    </row>
    <row r="1499" spans="1:11" ht="42" customHeight="1">
      <c r="A1499" s="2" t="s">
        <v>3104</v>
      </c>
      <c r="B1499" s="2" t="s">
        <v>3105</v>
      </c>
      <c r="C1499" s="2" t="s">
        <v>61</v>
      </c>
      <c r="D1499" s="2" t="s">
        <v>17</v>
      </c>
      <c r="E1499" s="5">
        <v>-28311</v>
      </c>
      <c r="F1499" s="3" t="s">
        <v>736</v>
      </c>
      <c r="G1499" s="3" t="s">
        <v>157</v>
      </c>
      <c r="H1499" s="2" t="s">
        <v>20</v>
      </c>
      <c r="I1499" s="2" t="s">
        <v>3106</v>
      </c>
      <c r="J1499" s="3" t="str">
        <f>HYPERLINK("https://www.boe.es/gazeta/dias/1822/06/26/pdfs/GMD-1822-184.pdf#page=8","Abrir facsímil")</f>
        <v>Abrir facsímil</v>
      </c>
      <c r="K1499" s="3" t="s">
        <v>22</v>
      </c>
    </row>
    <row r="1500" spans="1:11" ht="42" customHeight="1">
      <c r="A1500" s="2" t="s">
        <v>3107</v>
      </c>
      <c r="B1500" s="2" t="s">
        <v>3108</v>
      </c>
      <c r="C1500" s="2" t="s">
        <v>50</v>
      </c>
      <c r="D1500" s="2" t="s">
        <v>51</v>
      </c>
      <c r="E1500" s="5">
        <v>-28265</v>
      </c>
      <c r="F1500" s="3" t="s">
        <v>1263</v>
      </c>
      <c r="G1500" s="3" t="s">
        <v>57</v>
      </c>
      <c r="H1500" s="2" t="s">
        <v>20</v>
      </c>
      <c r="I1500" s="2" t="s">
        <v>3109</v>
      </c>
      <c r="J1500" s="3" t="str">
        <f>HYPERLINK("https://www.boe.es/gazeta/dias/1822/08/11/pdfs/GMD-1822-235.pdf#page=4","Abrir facsímil")</f>
        <v>Abrir facsímil</v>
      </c>
      <c r="K1500" s="3" t="s">
        <v>22</v>
      </c>
    </row>
    <row r="1501" spans="1:11" ht="42" customHeight="1">
      <c r="A1501" s="2" t="s">
        <v>3110</v>
      </c>
      <c r="B1501" s="2" t="s">
        <v>3111</v>
      </c>
      <c r="C1501" s="2" t="s">
        <v>42</v>
      </c>
      <c r="D1501" s="2" t="s">
        <v>17</v>
      </c>
      <c r="E1501" s="5">
        <v>-28461</v>
      </c>
      <c r="F1501" s="3" t="s">
        <v>1801</v>
      </c>
      <c r="G1501" s="3" t="s">
        <v>35</v>
      </c>
      <c r="H1501" s="2" t="s">
        <v>20</v>
      </c>
      <c r="I1501" s="2" t="s">
        <v>3112</v>
      </c>
      <c r="J1501" s="3" t="str">
        <f>HYPERLINK("https://www.boe.es/gazeta/dias/1822/01/27/pdfs/GMD-1822-27.pdf#page=2","Abrir facsímil")</f>
        <v>Abrir facsímil</v>
      </c>
      <c r="K1501" s="3" t="s">
        <v>22</v>
      </c>
    </row>
    <row r="1502" spans="1:11" ht="42" customHeight="1">
      <c r="A1502" s="2" t="s">
        <v>3113</v>
      </c>
      <c r="B1502" s="2" t="s">
        <v>3113</v>
      </c>
      <c r="C1502" s="2" t="s">
        <v>50</v>
      </c>
      <c r="D1502" s="2" t="s">
        <v>51</v>
      </c>
      <c r="E1502" s="5">
        <v>-28410</v>
      </c>
      <c r="F1502" s="3" t="s">
        <v>966</v>
      </c>
      <c r="G1502" s="3" t="s">
        <v>44</v>
      </c>
      <c r="H1502" s="2" t="s">
        <v>20</v>
      </c>
      <c r="I1502" s="2" t="s">
        <v>3114</v>
      </c>
      <c r="J1502" s="3" t="str">
        <f>HYPERLINK("https://www.boe.es/gazeta/dias/1822/03/19/pdfs/GMD-1822-80.pdf#page=1","Abrir facsímil")</f>
        <v>Abrir facsímil</v>
      </c>
      <c r="K1502" s="3" t="s">
        <v>22</v>
      </c>
    </row>
    <row r="1503" spans="1:11" ht="42" customHeight="1">
      <c r="A1503" s="2" t="s">
        <v>3115</v>
      </c>
      <c r="B1503" s="2" t="s">
        <v>3116</v>
      </c>
      <c r="C1503" s="2" t="s">
        <v>50</v>
      </c>
      <c r="D1503" s="2" t="s">
        <v>51</v>
      </c>
      <c r="E1503" s="5">
        <v>-28308</v>
      </c>
      <c r="F1503" s="3" t="s">
        <v>1050</v>
      </c>
      <c r="G1503" s="3" t="s">
        <v>35</v>
      </c>
      <c r="H1503" s="2" t="s">
        <v>20</v>
      </c>
      <c r="I1503" s="2" t="s">
        <v>3117</v>
      </c>
      <c r="J1503" s="3" t="str">
        <f>HYPERLINK("https://www.boe.es/gazeta/dias/1822/06/29/pdfs/GMD-1822-187.pdf#page=2","Abrir facsímil")</f>
        <v>Abrir facsímil</v>
      </c>
      <c r="K1503" s="3" t="s">
        <v>22</v>
      </c>
    </row>
    <row r="1504" spans="1:11" ht="42" customHeight="1">
      <c r="A1504" s="2" t="s">
        <v>3118</v>
      </c>
      <c r="B1504" s="2" t="s">
        <v>3119</v>
      </c>
      <c r="C1504" s="2" t="s">
        <v>28</v>
      </c>
      <c r="D1504" s="2" t="s">
        <v>29</v>
      </c>
      <c r="E1504" s="5">
        <v>-28402</v>
      </c>
      <c r="F1504" s="3" t="s">
        <v>473</v>
      </c>
      <c r="G1504" s="3" t="s">
        <v>63</v>
      </c>
      <c r="H1504" s="2" t="s">
        <v>20</v>
      </c>
      <c r="I1504" s="2" t="s">
        <v>3120</v>
      </c>
      <c r="J1504" s="3" t="str">
        <f>HYPERLINK("https://www.boe.es/gazeta/dias/1822/03/27/pdfs/GMD-1822-88.pdf#page=6","Abrir facsímil")</f>
        <v>Abrir facsímil</v>
      </c>
      <c r="K1504" s="3" t="s">
        <v>22</v>
      </c>
    </row>
    <row r="1505" spans="1:11" ht="42" customHeight="1">
      <c r="A1505" s="2" t="s">
        <v>3121</v>
      </c>
      <c r="B1505" s="2" t="s">
        <v>3121</v>
      </c>
      <c r="C1505" s="2" t="s">
        <v>50</v>
      </c>
      <c r="D1505" s="2" t="s">
        <v>51</v>
      </c>
      <c r="E1505" s="5">
        <v>-28324</v>
      </c>
      <c r="F1505" s="3" t="s">
        <v>305</v>
      </c>
      <c r="G1505" s="3" t="s">
        <v>31</v>
      </c>
      <c r="H1505" s="2" t="s">
        <v>20</v>
      </c>
      <c r="I1505" s="2" t="s">
        <v>3122</v>
      </c>
      <c r="J1505" s="3" t="str">
        <f>HYPERLINK("https://www.boe.es/gazeta/dias/1822/06/13/pdfs/GMD-1822-170.pdf#page=3","Abrir facsímil")</f>
        <v>Abrir facsímil</v>
      </c>
      <c r="K1505" s="3" t="s">
        <v>22</v>
      </c>
    </row>
    <row r="1506" spans="1:11" ht="42" customHeight="1">
      <c r="A1506" s="2" t="s">
        <v>3123</v>
      </c>
      <c r="B1506" s="2" t="s">
        <v>3124</v>
      </c>
      <c r="C1506" s="2" t="s">
        <v>71</v>
      </c>
      <c r="D1506" s="2" t="s">
        <v>17</v>
      </c>
      <c r="E1506" s="5">
        <v>-28306</v>
      </c>
      <c r="F1506" s="3" t="s">
        <v>348</v>
      </c>
      <c r="G1506" s="3" t="s">
        <v>35</v>
      </c>
      <c r="H1506" s="2" t="s">
        <v>20</v>
      </c>
      <c r="I1506" s="2" t="s">
        <v>3125</v>
      </c>
      <c r="J1506" s="3" t="str">
        <f>HYPERLINK("https://www.boe.es/gazeta/dias/1822/07/01/pdfs/GMD-1822-190.pdf#page=2","Abrir facsímil")</f>
        <v>Abrir facsímil</v>
      </c>
      <c r="K1506" s="3" t="s">
        <v>22</v>
      </c>
    </row>
    <row r="1507" spans="1:11" ht="42" customHeight="1">
      <c r="A1507" s="2" t="s">
        <v>3126</v>
      </c>
      <c r="B1507" s="2" t="s">
        <v>3127</v>
      </c>
      <c r="C1507" s="2" t="s">
        <v>61</v>
      </c>
      <c r="D1507" s="2" t="s">
        <v>17</v>
      </c>
      <c r="E1507" s="5">
        <v>-28161</v>
      </c>
      <c r="F1507" s="3" t="s">
        <v>166</v>
      </c>
      <c r="G1507" s="3" t="s">
        <v>157</v>
      </c>
      <c r="H1507" s="2" t="s">
        <v>20</v>
      </c>
      <c r="I1507" s="2" t="s">
        <v>3128</v>
      </c>
      <c r="J1507" s="3" t="str">
        <f>HYPERLINK("https://www.boe.es/gazeta/dias/1822/11/23/pdfs/GMD-1822-343.pdf#page=8","Abrir facsímil")</f>
        <v>Abrir facsímil</v>
      </c>
      <c r="K1507" s="3" t="s">
        <v>22</v>
      </c>
    </row>
    <row r="1508" spans="1:11" ht="42" customHeight="1">
      <c r="A1508" s="2" t="s">
        <v>3129</v>
      </c>
      <c r="B1508" s="2" t="s">
        <v>3130</v>
      </c>
      <c r="C1508" s="2" t="s">
        <v>42</v>
      </c>
      <c r="D1508" s="2" t="s">
        <v>17</v>
      </c>
      <c r="E1508" s="5">
        <v>-28222</v>
      </c>
      <c r="F1508" s="3" t="s">
        <v>2027</v>
      </c>
      <c r="G1508" s="3" t="s">
        <v>57</v>
      </c>
      <c r="H1508" s="2" t="s">
        <v>20</v>
      </c>
      <c r="I1508" s="2" t="s">
        <v>3131</v>
      </c>
      <c r="J1508" s="3" t="str">
        <f>HYPERLINK("https://www.boe.es/gazeta/dias/1822/09/23/pdfs/GMD-1822-279.pdf#page=4","Abrir facsímil")</f>
        <v>Abrir facsímil</v>
      </c>
      <c r="K1508" s="3" t="s">
        <v>22</v>
      </c>
    </row>
    <row r="1509" spans="1:11" ht="42" customHeight="1">
      <c r="A1509" s="2" t="s">
        <v>3132</v>
      </c>
      <c r="B1509" s="2" t="s">
        <v>3132</v>
      </c>
      <c r="C1509" s="2" t="s">
        <v>42</v>
      </c>
      <c r="D1509" s="2" t="s">
        <v>17</v>
      </c>
      <c r="E1509" s="5">
        <v>-28476</v>
      </c>
      <c r="F1509" s="3" t="s">
        <v>160</v>
      </c>
      <c r="G1509" s="3" t="s">
        <v>31</v>
      </c>
      <c r="H1509" s="2" t="s">
        <v>20</v>
      </c>
      <c r="I1509" s="2" t="s">
        <v>3133</v>
      </c>
      <c r="J1509" s="3" t="str">
        <f>HYPERLINK("https://www.boe.es/gazeta/dias/1822/01/12/pdfs/GMD-1822-12.pdf#page=3","Abrir facsímil")</f>
        <v>Abrir facsímil</v>
      </c>
      <c r="K1509" s="3" t="s">
        <v>22</v>
      </c>
    </row>
    <row r="1510" spans="1:11" ht="42" customHeight="1">
      <c r="A1510" s="2" t="s">
        <v>3134</v>
      </c>
      <c r="B1510" s="2" t="s">
        <v>3135</v>
      </c>
      <c r="C1510" s="2" t="s">
        <v>61</v>
      </c>
      <c r="D1510" s="2" t="s">
        <v>17</v>
      </c>
      <c r="E1510" s="5">
        <v>-28311</v>
      </c>
      <c r="F1510" s="3" t="s">
        <v>736</v>
      </c>
      <c r="G1510" s="3" t="s">
        <v>157</v>
      </c>
      <c r="H1510" s="2" t="s">
        <v>20</v>
      </c>
      <c r="I1510" s="2" t="s">
        <v>3136</v>
      </c>
      <c r="J1510" s="3" t="str">
        <f>HYPERLINK("https://www.boe.es/gazeta/dias/1822/06/26/pdfs/GMD-1822-184.pdf#page=8","Abrir facsímil")</f>
        <v>Abrir facsímil</v>
      </c>
      <c r="K1510" s="3" t="s">
        <v>22</v>
      </c>
    </row>
    <row r="1511" spans="1:11" ht="42" customHeight="1">
      <c r="A1511" s="2" t="s">
        <v>3137</v>
      </c>
      <c r="B1511" s="2" t="s">
        <v>3138</v>
      </c>
      <c r="C1511" s="2" t="s">
        <v>24</v>
      </c>
      <c r="D1511" s="2" t="s">
        <v>17</v>
      </c>
      <c r="E1511" s="5">
        <v>-28379</v>
      </c>
      <c r="F1511" s="3" t="s">
        <v>494</v>
      </c>
      <c r="G1511" s="3" t="s">
        <v>19</v>
      </c>
      <c r="H1511" s="2" t="s">
        <v>20</v>
      </c>
      <c r="I1511" s="2" t="s">
        <v>3139</v>
      </c>
      <c r="J1511" s="3" t="str">
        <f>HYPERLINK("https://www.boe.es/gazeta/dias/1822/04/19/pdfs/GMD-1822-111.pdf#page=5","Abrir facsímil")</f>
        <v>Abrir facsímil</v>
      </c>
      <c r="K1511" s="3" t="s">
        <v>22</v>
      </c>
    </row>
    <row r="1512" spans="1:11" ht="42" customHeight="1">
      <c r="A1512" s="2" t="s">
        <v>3140</v>
      </c>
      <c r="B1512" s="2" t="s">
        <v>3140</v>
      </c>
      <c r="C1512" s="2" t="s">
        <v>50</v>
      </c>
      <c r="D1512" s="2" t="s">
        <v>51</v>
      </c>
      <c r="E1512" s="5">
        <v>-28474</v>
      </c>
      <c r="F1512" s="3" t="s">
        <v>30</v>
      </c>
      <c r="G1512" s="3" t="s">
        <v>31</v>
      </c>
      <c r="H1512" s="2" t="s">
        <v>20</v>
      </c>
      <c r="I1512" s="2" t="s">
        <v>3141</v>
      </c>
      <c r="J1512" s="3" t="str">
        <f>HYPERLINK("https://www.boe.es/gazeta/dias/1822/01/14/pdfs/GMD-1822-14.pdf#page=3","Abrir facsímil")</f>
        <v>Abrir facsímil</v>
      </c>
      <c r="K1512" s="3" t="s">
        <v>22</v>
      </c>
    </row>
    <row r="1513" spans="1:11" ht="42" customHeight="1">
      <c r="A1513" s="2" t="s">
        <v>3142</v>
      </c>
      <c r="B1513" s="2" t="s">
        <v>3142</v>
      </c>
      <c r="C1513" s="2" t="s">
        <v>24</v>
      </c>
      <c r="D1513" s="2" t="s">
        <v>17</v>
      </c>
      <c r="E1513" s="5">
        <v>-28469</v>
      </c>
      <c r="F1513" s="3" t="s">
        <v>1164</v>
      </c>
      <c r="G1513" s="3" t="s">
        <v>31</v>
      </c>
      <c r="H1513" s="2" t="s">
        <v>20</v>
      </c>
      <c r="I1513" s="2" t="s">
        <v>3143</v>
      </c>
      <c r="J1513" s="3" t="str">
        <f>HYPERLINK("https://www.boe.es/gazeta/dias/1822/01/19/pdfs/GMD-1822-19.pdf#page=3","Abrir facsímil")</f>
        <v>Abrir facsímil</v>
      </c>
      <c r="K1513" s="3" t="s">
        <v>22</v>
      </c>
    </row>
    <row r="1514" spans="1:11" ht="42" customHeight="1">
      <c r="A1514" s="2" t="s">
        <v>3144</v>
      </c>
      <c r="B1514" s="2" t="s">
        <v>3144</v>
      </c>
      <c r="C1514" s="2" t="s">
        <v>42</v>
      </c>
      <c r="D1514" s="2" t="s">
        <v>17</v>
      </c>
      <c r="E1514" s="5">
        <v>-28476</v>
      </c>
      <c r="F1514" s="3" t="s">
        <v>160</v>
      </c>
      <c r="G1514" s="3" t="s">
        <v>31</v>
      </c>
      <c r="H1514" s="2" t="s">
        <v>20</v>
      </c>
      <c r="I1514" s="2" t="s">
        <v>3145</v>
      </c>
      <c r="J1514" s="3" t="str">
        <f>HYPERLINK("https://www.boe.es/gazeta/dias/1822/01/12/pdfs/GMD-1822-12.pdf#page=3","Abrir facsímil")</f>
        <v>Abrir facsímil</v>
      </c>
      <c r="K1514" s="3" t="s">
        <v>22</v>
      </c>
    </row>
    <row r="1515" spans="1:11" ht="42" customHeight="1">
      <c r="A1515" s="2" t="s">
        <v>3144</v>
      </c>
      <c r="B1515" s="2" t="s">
        <v>3144</v>
      </c>
      <c r="C1515" s="2" t="s">
        <v>16</v>
      </c>
      <c r="D1515" s="2" t="s">
        <v>17</v>
      </c>
      <c r="E1515" s="5">
        <v>-28456</v>
      </c>
      <c r="F1515" s="3" t="s">
        <v>1104</v>
      </c>
      <c r="G1515" s="3" t="s">
        <v>31</v>
      </c>
      <c r="H1515" s="2" t="s">
        <v>20</v>
      </c>
      <c r="I1515" s="2" t="s">
        <v>3146</v>
      </c>
      <c r="J1515" s="3" t="str">
        <f>HYPERLINK("https://www.boe.es/gazeta/dias/1822/02/01/pdfs/GMD-1822-32.pdf#page=3","Abrir facsímil")</f>
        <v>Abrir facsímil</v>
      </c>
      <c r="K1515" s="3" t="s">
        <v>22</v>
      </c>
    </row>
    <row r="1516" spans="1:11" ht="42" customHeight="1">
      <c r="A1516" s="2" t="s">
        <v>3147</v>
      </c>
      <c r="B1516" s="2" t="s">
        <v>3147</v>
      </c>
      <c r="C1516" s="2" t="s">
        <v>24</v>
      </c>
      <c r="D1516" s="2" t="s">
        <v>17</v>
      </c>
      <c r="E1516" s="5">
        <v>-28474</v>
      </c>
      <c r="F1516" s="3" t="s">
        <v>30</v>
      </c>
      <c r="G1516" s="3" t="s">
        <v>57</v>
      </c>
      <c r="H1516" s="2" t="s">
        <v>20</v>
      </c>
      <c r="I1516" s="2" t="s">
        <v>3148</v>
      </c>
      <c r="J1516" s="3" t="str">
        <f>HYPERLINK("https://www.boe.es/gazeta/dias/1822/01/14/pdfs/GMD-1822-14.pdf#page=4","Abrir facsímil")</f>
        <v>Abrir facsímil</v>
      </c>
      <c r="K1516" s="3" t="s">
        <v>22</v>
      </c>
    </row>
    <row r="1517" spans="1:11" ht="42" customHeight="1">
      <c r="A1517" s="2" t="s">
        <v>3149</v>
      </c>
      <c r="B1517" s="2" t="s">
        <v>3149</v>
      </c>
      <c r="C1517" s="2" t="s">
        <v>28</v>
      </c>
      <c r="D1517" s="2" t="s">
        <v>29</v>
      </c>
      <c r="E1517" s="5">
        <v>-28191</v>
      </c>
      <c r="F1517" s="3" t="s">
        <v>710</v>
      </c>
      <c r="G1517" s="3" t="s">
        <v>57</v>
      </c>
      <c r="H1517" s="2" t="s">
        <v>20</v>
      </c>
      <c r="I1517" s="2" t="s">
        <v>3150</v>
      </c>
      <c r="J1517" s="3" t="str">
        <f>HYPERLINK("https://www.boe.es/gazeta/dias/1822/10/24/pdfs/GMD-1822-311.pdf#page=4","Abrir facsímil")</f>
        <v>Abrir facsímil</v>
      </c>
      <c r="K1517" s="3" t="s">
        <v>22</v>
      </c>
    </row>
    <row r="1518" spans="1:11" ht="42" customHeight="1">
      <c r="A1518" s="2" t="s">
        <v>3151</v>
      </c>
      <c r="B1518" s="2" t="s">
        <v>3151</v>
      </c>
      <c r="C1518" s="2" t="s">
        <v>28</v>
      </c>
      <c r="D1518" s="2" t="s">
        <v>29</v>
      </c>
      <c r="E1518" s="5">
        <v>-28405</v>
      </c>
      <c r="F1518" s="3" t="s">
        <v>466</v>
      </c>
      <c r="G1518" s="3" t="s">
        <v>57</v>
      </c>
      <c r="H1518" s="2" t="s">
        <v>20</v>
      </c>
      <c r="I1518" s="2" t="s">
        <v>3152</v>
      </c>
      <c r="J1518" s="3" t="str">
        <f>HYPERLINK("https://www.boe.es/gazeta/dias/1822/03/24/pdfs/GMD-1822-85.pdf#page=4","Abrir facsímil")</f>
        <v>Abrir facsímil</v>
      </c>
      <c r="K1518" s="3" t="s">
        <v>22</v>
      </c>
    </row>
    <row r="1519" spans="1:11" ht="42" customHeight="1">
      <c r="A1519" s="2" t="s">
        <v>3153</v>
      </c>
      <c r="B1519" s="2" t="s">
        <v>3153</v>
      </c>
      <c r="C1519" s="2" t="s">
        <v>28</v>
      </c>
      <c r="D1519" s="2" t="s">
        <v>29</v>
      </c>
      <c r="E1519" s="5">
        <v>-28239</v>
      </c>
      <c r="F1519" s="3" t="s">
        <v>3154</v>
      </c>
      <c r="G1519" s="3" t="s">
        <v>35</v>
      </c>
      <c r="H1519" s="2" t="s">
        <v>20</v>
      </c>
      <c r="I1519" s="2" t="s">
        <v>3155</v>
      </c>
      <c r="J1519" s="3" t="str">
        <f>HYPERLINK("https://www.boe.es/gazeta/dias/1822/09/06/pdfs/GMD-1822-261.pdf#page=2","Abrir facsímil")</f>
        <v>Abrir facsímil</v>
      </c>
      <c r="K1519" s="3" t="s">
        <v>22</v>
      </c>
    </row>
    <row r="1520" spans="1:11" ht="42" customHeight="1">
      <c r="A1520" s="2" t="s">
        <v>3156</v>
      </c>
      <c r="B1520" s="2" t="s">
        <v>3157</v>
      </c>
      <c r="C1520" s="2" t="s">
        <v>362</v>
      </c>
      <c r="D1520" s="2" t="s">
        <v>17</v>
      </c>
      <c r="E1520" s="5">
        <v>-28401</v>
      </c>
      <c r="F1520" s="3" t="s">
        <v>108</v>
      </c>
      <c r="G1520" s="3" t="s">
        <v>31</v>
      </c>
      <c r="H1520" s="2" t="s">
        <v>20</v>
      </c>
      <c r="I1520" s="2" t="s">
        <v>3158</v>
      </c>
      <c r="J1520" s="3" t="str">
        <f>HYPERLINK("https://www.boe.es/gazeta/dias/1822/03/28/pdfs/GMD-1822-89.pdf#page=3","Abrir facsímil")</f>
        <v>Abrir facsímil</v>
      </c>
      <c r="K1520" s="3" t="s">
        <v>22</v>
      </c>
    </row>
    <row r="1521" spans="1:11" ht="42" customHeight="1">
      <c r="A1521" s="2" t="s">
        <v>3159</v>
      </c>
      <c r="B1521" s="2" t="s">
        <v>3159</v>
      </c>
      <c r="C1521" s="2" t="s">
        <v>28</v>
      </c>
      <c r="D1521" s="2" t="s">
        <v>29</v>
      </c>
      <c r="E1521" s="5">
        <v>-28418</v>
      </c>
      <c r="F1521" s="3" t="s">
        <v>205</v>
      </c>
      <c r="G1521" s="3" t="s">
        <v>57</v>
      </c>
      <c r="H1521" s="2" t="s">
        <v>20</v>
      </c>
      <c r="I1521" s="2" t="s">
        <v>3160</v>
      </c>
      <c r="J1521" s="3" t="str">
        <f>HYPERLINK("https://www.boe.es/gazeta/dias/1822/03/11/pdfs/GMD-1822-72.pdf#page=4","Abrir facsímil")</f>
        <v>Abrir facsímil</v>
      </c>
      <c r="K1521" s="3" t="s">
        <v>22</v>
      </c>
    </row>
    <row r="1522" spans="1:11" ht="42" customHeight="1">
      <c r="A1522" s="2" t="s">
        <v>3161</v>
      </c>
      <c r="B1522" s="2" t="s">
        <v>3162</v>
      </c>
      <c r="C1522" s="2" t="s">
        <v>28</v>
      </c>
      <c r="D1522" s="2" t="s">
        <v>29</v>
      </c>
      <c r="E1522" s="5">
        <v>-28357</v>
      </c>
      <c r="F1522" s="3" t="s">
        <v>690</v>
      </c>
      <c r="G1522" s="3" t="s">
        <v>63</v>
      </c>
      <c r="H1522" s="2" t="s">
        <v>20</v>
      </c>
      <c r="I1522" s="2" t="s">
        <v>3163</v>
      </c>
      <c r="J1522" s="3" t="str">
        <f>HYPERLINK("https://www.boe.es/gazeta/dias/1822/05/11/pdfs/GMD-1822-133.pdf#page=6","Abrir facsímil")</f>
        <v>Abrir facsímil</v>
      </c>
      <c r="K1522" s="3" t="s">
        <v>22</v>
      </c>
    </row>
    <row r="1523" spans="1:11" ht="42" customHeight="1">
      <c r="A1523" s="2" t="s">
        <v>3161</v>
      </c>
      <c r="B1523" s="2" t="s">
        <v>3162</v>
      </c>
      <c r="C1523" s="2" t="s">
        <v>28</v>
      </c>
      <c r="D1523" s="2" t="s">
        <v>29</v>
      </c>
      <c r="E1523" s="5">
        <v>-28312</v>
      </c>
      <c r="F1523" s="3" t="s">
        <v>92</v>
      </c>
      <c r="G1523" s="3" t="s">
        <v>35</v>
      </c>
      <c r="H1523" s="2" t="s">
        <v>20</v>
      </c>
      <c r="I1523" s="2" t="s">
        <v>3164</v>
      </c>
      <c r="J1523" s="3" t="str">
        <f>HYPERLINK("https://www.boe.es/gazeta/dias/1822/06/25/pdfs/GMD-1822-183.pdf#page=2","Abrir facsímil")</f>
        <v>Abrir facsímil</v>
      </c>
      <c r="K1523" s="3" t="s">
        <v>22</v>
      </c>
    </row>
    <row r="1524" spans="1:11" ht="42" customHeight="1">
      <c r="A1524" s="2" t="s">
        <v>3165</v>
      </c>
      <c r="B1524" s="2" t="s">
        <v>3166</v>
      </c>
      <c r="C1524" s="2" t="s">
        <v>42</v>
      </c>
      <c r="D1524" s="2" t="s">
        <v>17</v>
      </c>
      <c r="E1524" s="5">
        <v>-28231</v>
      </c>
      <c r="F1524" s="3" t="s">
        <v>2049</v>
      </c>
      <c r="G1524" s="3" t="s">
        <v>57</v>
      </c>
      <c r="H1524" s="2" t="s">
        <v>20</v>
      </c>
      <c r="I1524" s="2" t="s">
        <v>3167</v>
      </c>
      <c r="J1524" s="3" t="str">
        <f>HYPERLINK("https://www.boe.es/gazeta/dias/1822/09/14/pdfs/GMD-1822-270.pdf#page=4","Abrir facsímil")</f>
        <v>Abrir facsímil</v>
      </c>
      <c r="K1524" s="3" t="s">
        <v>22</v>
      </c>
    </row>
    <row r="1525" spans="1:11" ht="42" customHeight="1">
      <c r="A1525" s="2" t="s">
        <v>3168</v>
      </c>
      <c r="B1525" s="2" t="s">
        <v>3169</v>
      </c>
      <c r="C1525" s="2" t="s">
        <v>71</v>
      </c>
      <c r="D1525" s="2" t="s">
        <v>17</v>
      </c>
      <c r="E1525" s="5">
        <v>-28386</v>
      </c>
      <c r="F1525" s="3" t="s">
        <v>2993</v>
      </c>
      <c r="G1525" s="3" t="s">
        <v>35</v>
      </c>
      <c r="H1525" s="2" t="s">
        <v>20</v>
      </c>
      <c r="I1525" s="2" t="s">
        <v>3170</v>
      </c>
      <c r="J1525" s="3" t="str">
        <f>HYPERLINK("https://www.boe.es/gazeta/dias/1822/04/12/pdfs/GMD-1822-104.pdf#page=2","Abrir facsímil")</f>
        <v>Abrir facsímil</v>
      </c>
      <c r="K1525" s="3" t="s">
        <v>22</v>
      </c>
    </row>
    <row r="1526" spans="1:11" ht="42" customHeight="1">
      <c r="A1526" s="2" t="s">
        <v>3171</v>
      </c>
      <c r="B1526" s="2" t="s">
        <v>3172</v>
      </c>
      <c r="C1526" s="2" t="s">
        <v>50</v>
      </c>
      <c r="D1526" s="2" t="s">
        <v>51</v>
      </c>
      <c r="E1526" s="5">
        <v>-28480</v>
      </c>
      <c r="F1526" s="3" t="s">
        <v>995</v>
      </c>
      <c r="G1526" s="3" t="s">
        <v>31</v>
      </c>
      <c r="H1526" s="2" t="s">
        <v>20</v>
      </c>
      <c r="I1526" s="2" t="s">
        <v>3173</v>
      </c>
      <c r="J1526" s="3" t="str">
        <f>HYPERLINK("https://www.boe.es/gazeta/dias/1822/01/08/pdfs/GMD-1822-8.pdf#page=3","Abrir facsímil")</f>
        <v>Abrir facsímil</v>
      </c>
      <c r="K1526" s="3" t="s">
        <v>22</v>
      </c>
    </row>
    <row r="1527" spans="1:11" ht="42" customHeight="1">
      <c r="A1527" s="2" t="s">
        <v>3171</v>
      </c>
      <c r="B1527" s="2" t="s">
        <v>3172</v>
      </c>
      <c r="C1527" s="2" t="s">
        <v>50</v>
      </c>
      <c r="D1527" s="2" t="s">
        <v>51</v>
      </c>
      <c r="E1527" s="5">
        <v>-28477</v>
      </c>
      <c r="F1527" s="3" t="s">
        <v>1668</v>
      </c>
      <c r="G1527" s="3" t="s">
        <v>31</v>
      </c>
      <c r="H1527" s="2" t="s">
        <v>20</v>
      </c>
      <c r="I1527" s="2" t="s">
        <v>3174</v>
      </c>
      <c r="J1527" s="3" t="str">
        <f>HYPERLINK("https://www.boe.es/gazeta/dias/1822/01/11/pdfs/GMD-1822-11.pdf#page=3","Abrir facsímil")</f>
        <v>Abrir facsímil</v>
      </c>
      <c r="K1527" s="3" t="s">
        <v>22</v>
      </c>
    </row>
    <row r="1528" spans="1:11" ht="42" customHeight="1">
      <c r="A1528" s="2" t="s">
        <v>3175</v>
      </c>
      <c r="B1528" s="2" t="s">
        <v>3176</v>
      </c>
      <c r="C1528" s="2" t="s">
        <v>24</v>
      </c>
      <c r="D1528" s="2" t="s">
        <v>17</v>
      </c>
      <c r="E1528" s="5">
        <v>-28412</v>
      </c>
      <c r="F1528" s="3" t="s">
        <v>825</v>
      </c>
      <c r="G1528" s="3" t="s">
        <v>35</v>
      </c>
      <c r="H1528" s="2" t="s">
        <v>20</v>
      </c>
      <c r="I1528" s="2" t="s">
        <v>3177</v>
      </c>
      <c r="J1528" s="3" t="str">
        <f>HYPERLINK("https://www.boe.es/gazeta/dias/1822/03/17/pdfs/GMD-1822-78.pdf#page=2","Abrir facsímil")</f>
        <v>Abrir facsímil</v>
      </c>
      <c r="K1528" s="3" t="s">
        <v>22</v>
      </c>
    </row>
    <row r="1529" spans="1:11" ht="42" customHeight="1">
      <c r="A1529" s="2" t="s">
        <v>3178</v>
      </c>
      <c r="B1529" s="2" t="s">
        <v>3179</v>
      </c>
      <c r="C1529" s="2" t="s">
        <v>16</v>
      </c>
      <c r="D1529" s="2" t="s">
        <v>17</v>
      </c>
      <c r="E1529" s="5">
        <v>-28241</v>
      </c>
      <c r="F1529" s="3" t="s">
        <v>3068</v>
      </c>
      <c r="G1529" s="3" t="s">
        <v>57</v>
      </c>
      <c r="H1529" s="2" t="s">
        <v>20</v>
      </c>
      <c r="I1529" s="2" t="s">
        <v>3180</v>
      </c>
      <c r="J1529" s="3" t="str">
        <f>HYPERLINK("https://www.boe.es/gazeta/dias/1822/09/04/pdfs/GMD-1822-259.pdf#page=4","Abrir facsímil")</f>
        <v>Abrir facsímil</v>
      </c>
      <c r="K1529" s="3" t="s">
        <v>22</v>
      </c>
    </row>
    <row r="1530" spans="1:11" ht="42" customHeight="1">
      <c r="A1530" s="2" t="s">
        <v>3181</v>
      </c>
      <c r="B1530" s="2" t="s">
        <v>3181</v>
      </c>
      <c r="C1530" s="2" t="s">
        <v>28</v>
      </c>
      <c r="D1530" s="2" t="s">
        <v>29</v>
      </c>
      <c r="E1530" s="5">
        <v>-28180</v>
      </c>
      <c r="F1530" s="3" t="s">
        <v>839</v>
      </c>
      <c r="G1530" s="3" t="s">
        <v>35</v>
      </c>
      <c r="H1530" s="2" t="s">
        <v>20</v>
      </c>
      <c r="I1530" s="2" t="s">
        <v>3182</v>
      </c>
      <c r="J1530" s="3" t="str">
        <f>HYPERLINK("https://www.boe.es/gazeta/dias/1822/11/04/pdfs/GMD-1822-323.pdf#page=2","Abrir facsímil")</f>
        <v>Abrir facsímil</v>
      </c>
      <c r="K1530" s="3" t="s">
        <v>22</v>
      </c>
    </row>
    <row r="1531" spans="1:11" ht="42" customHeight="1">
      <c r="A1531" s="2" t="s">
        <v>3183</v>
      </c>
      <c r="B1531" s="2" t="s">
        <v>3183</v>
      </c>
      <c r="C1531" s="2" t="s">
        <v>28</v>
      </c>
      <c r="D1531" s="2" t="s">
        <v>29</v>
      </c>
      <c r="E1531" s="5">
        <v>-28473</v>
      </c>
      <c r="F1531" s="3" t="s">
        <v>2337</v>
      </c>
      <c r="G1531" s="3" t="s">
        <v>19</v>
      </c>
      <c r="H1531" s="2" t="s">
        <v>20</v>
      </c>
      <c r="I1531" s="2" t="s">
        <v>3184</v>
      </c>
      <c r="J1531" s="3" t="str">
        <f>HYPERLINK("https://www.boe.es/gazeta/dias/1822/01/15/pdfs/GMD-1822-15.pdf#page=5","Abrir facsímil")</f>
        <v>Abrir facsímil</v>
      </c>
      <c r="K1531" s="3" t="s">
        <v>22</v>
      </c>
    </row>
    <row r="1532" spans="1:11" ht="42" customHeight="1">
      <c r="A1532" s="2" t="s">
        <v>3183</v>
      </c>
      <c r="B1532" s="2" t="s">
        <v>3183</v>
      </c>
      <c r="C1532" s="2" t="s">
        <v>71</v>
      </c>
      <c r="D1532" s="2" t="s">
        <v>17</v>
      </c>
      <c r="E1532" s="5">
        <v>-28468</v>
      </c>
      <c r="F1532" s="3" t="s">
        <v>1012</v>
      </c>
      <c r="G1532" s="3" t="s">
        <v>63</v>
      </c>
      <c r="H1532" s="2" t="s">
        <v>20</v>
      </c>
      <c r="I1532" s="2" t="s">
        <v>3185</v>
      </c>
      <c r="J1532" s="3" t="str">
        <f>HYPERLINK("https://www.boe.es/gazeta/dias/1822/01/20/pdfs/GMD-1822-20.pdf#page=6","Abrir facsímil")</f>
        <v>Abrir facsímil</v>
      </c>
      <c r="K1532" s="3" t="s">
        <v>22</v>
      </c>
    </row>
    <row r="1533" spans="1:11" ht="42" customHeight="1">
      <c r="A1533" s="2" t="s">
        <v>3183</v>
      </c>
      <c r="B1533" s="2" t="s">
        <v>3183</v>
      </c>
      <c r="C1533" s="2" t="s">
        <v>24</v>
      </c>
      <c r="D1533" s="2" t="s">
        <v>17</v>
      </c>
      <c r="E1533" s="5">
        <v>-28465</v>
      </c>
      <c r="F1533" s="3" t="s">
        <v>1114</v>
      </c>
      <c r="G1533" s="3" t="s">
        <v>63</v>
      </c>
      <c r="H1533" s="2" t="s">
        <v>20</v>
      </c>
      <c r="I1533" s="2" t="s">
        <v>3186</v>
      </c>
      <c r="J1533" s="3" t="str">
        <f>HYPERLINK("https://www.boe.es/gazeta/dias/1822/01/23/pdfs/GMD-1822-23.pdf#page=6","Abrir facsímil")</f>
        <v>Abrir facsímil</v>
      </c>
      <c r="K1533" s="3" t="s">
        <v>22</v>
      </c>
    </row>
    <row r="1534" spans="1:11" ht="42" customHeight="1">
      <c r="A1534" s="2" t="s">
        <v>3183</v>
      </c>
      <c r="B1534" s="2" t="s">
        <v>3183</v>
      </c>
      <c r="C1534" s="2" t="s">
        <v>16</v>
      </c>
      <c r="D1534" s="2" t="s">
        <v>17</v>
      </c>
      <c r="E1534" s="5">
        <v>-28464</v>
      </c>
      <c r="F1534" s="3" t="s">
        <v>1447</v>
      </c>
      <c r="G1534" s="3" t="s">
        <v>35</v>
      </c>
      <c r="H1534" s="2" t="s">
        <v>20</v>
      </c>
      <c r="I1534" s="2" t="s">
        <v>3187</v>
      </c>
      <c r="J1534" s="3" t="str">
        <f>HYPERLINK("https://www.boe.es/gazeta/dias/1822/01/24/pdfs/GMD-1822-24.pdf#page=2","Abrir facsímil")</f>
        <v>Abrir facsímil</v>
      </c>
      <c r="K1534" s="3" t="s">
        <v>22</v>
      </c>
    </row>
    <row r="1535" spans="1:11" ht="42" customHeight="1">
      <c r="A1535" s="2" t="s">
        <v>3183</v>
      </c>
      <c r="B1535" s="2" t="s">
        <v>3183</v>
      </c>
      <c r="C1535" s="2" t="s">
        <v>50</v>
      </c>
      <c r="D1535" s="2" t="s">
        <v>51</v>
      </c>
      <c r="E1535" s="5">
        <v>-28454</v>
      </c>
      <c r="F1535" s="3" t="s">
        <v>2033</v>
      </c>
      <c r="G1535" s="3" t="s">
        <v>35</v>
      </c>
      <c r="H1535" s="2" t="s">
        <v>20</v>
      </c>
      <c r="I1535" s="2" t="s">
        <v>3188</v>
      </c>
      <c r="J1535" s="3" t="str">
        <f>HYPERLINK("https://www.boe.es/gazeta/dias/1822/02/03/pdfs/GMD-1822-34.pdf#page=2","Abrir facsímil")</f>
        <v>Abrir facsímil</v>
      </c>
      <c r="K1535" s="3" t="s">
        <v>22</v>
      </c>
    </row>
    <row r="1536" spans="1:11" ht="42" customHeight="1">
      <c r="A1536" s="2" t="s">
        <v>3183</v>
      </c>
      <c r="B1536" s="2" t="s">
        <v>3183</v>
      </c>
      <c r="C1536" s="2" t="s">
        <v>50</v>
      </c>
      <c r="D1536" s="2" t="s">
        <v>51</v>
      </c>
      <c r="E1536" s="5">
        <v>-28205</v>
      </c>
      <c r="F1536" s="3" t="s">
        <v>806</v>
      </c>
      <c r="G1536" s="3" t="s">
        <v>35</v>
      </c>
      <c r="H1536" s="2" t="s">
        <v>20</v>
      </c>
      <c r="I1536" s="2" t="s">
        <v>3189</v>
      </c>
      <c r="J1536" s="3" t="str">
        <f>HYPERLINK("https://www.boe.es/gazeta/dias/1822/10/10/pdfs/GMD-1822-297.pdf#page=2","Abrir facsímil")</f>
        <v>Abrir facsímil</v>
      </c>
      <c r="K1536" s="3" t="s">
        <v>22</v>
      </c>
    </row>
    <row r="1537" spans="1:11" ht="42" customHeight="1">
      <c r="A1537" s="2" t="s">
        <v>3183</v>
      </c>
      <c r="B1537" s="2" t="s">
        <v>3183</v>
      </c>
      <c r="C1537" s="2" t="s">
        <v>50</v>
      </c>
      <c r="D1537" s="2" t="s">
        <v>51</v>
      </c>
      <c r="E1537" s="5">
        <v>-28204</v>
      </c>
      <c r="F1537" s="3" t="s">
        <v>3190</v>
      </c>
      <c r="G1537" s="3" t="s">
        <v>19</v>
      </c>
      <c r="H1537" s="2" t="s">
        <v>20</v>
      </c>
      <c r="I1537" s="2" t="s">
        <v>3191</v>
      </c>
      <c r="J1537" s="3" t="str">
        <f>HYPERLINK("https://www.boe.es/gazeta/dias/1822/10/11/pdfs/GMD-1822-298.pdf#page=5","Abrir facsímil")</f>
        <v>Abrir facsímil</v>
      </c>
      <c r="K1537" s="3" t="s">
        <v>22</v>
      </c>
    </row>
    <row r="1538" spans="1:11" ht="42" customHeight="1">
      <c r="A1538" s="2" t="s">
        <v>3183</v>
      </c>
      <c r="B1538" s="2" t="s">
        <v>3183</v>
      </c>
      <c r="C1538" s="2" t="s">
        <v>50</v>
      </c>
      <c r="D1538" s="2" t="s">
        <v>51</v>
      </c>
      <c r="E1538" s="5">
        <v>-28170</v>
      </c>
      <c r="F1538" s="3" t="s">
        <v>1457</v>
      </c>
      <c r="G1538" s="3" t="s">
        <v>57</v>
      </c>
      <c r="H1538" s="2" t="s">
        <v>20</v>
      </c>
      <c r="I1538" s="2" t="s">
        <v>3192</v>
      </c>
      <c r="J1538" s="3" t="str">
        <f>HYPERLINK("https://www.boe.es/gazeta/dias/1822/11/14/pdfs/GMD-1822-334.pdf#page=4","Abrir facsímil")</f>
        <v>Abrir facsímil</v>
      </c>
      <c r="K1538" s="3" t="s">
        <v>22</v>
      </c>
    </row>
    <row r="1539" spans="1:11" ht="42" customHeight="1">
      <c r="A1539" s="2" t="s">
        <v>3183</v>
      </c>
      <c r="B1539" s="2" t="s">
        <v>3183</v>
      </c>
      <c r="C1539" s="2" t="s">
        <v>50</v>
      </c>
      <c r="D1539" s="2" t="s">
        <v>51</v>
      </c>
      <c r="E1539" s="5">
        <v>-28160</v>
      </c>
      <c r="F1539" s="3" t="s">
        <v>148</v>
      </c>
      <c r="G1539" s="3" t="s">
        <v>57</v>
      </c>
      <c r="H1539" s="2" t="s">
        <v>20</v>
      </c>
      <c r="I1539" s="2" t="s">
        <v>3193</v>
      </c>
      <c r="J1539" s="3" t="str">
        <f>HYPERLINK("https://www.boe.es/gazeta/dias/1822/11/24/pdfs/GMD-1822-344.pdf#page=4","Abrir facsímil")</f>
        <v>Abrir facsímil</v>
      </c>
      <c r="K1539" s="3" t="s">
        <v>22</v>
      </c>
    </row>
    <row r="1540" spans="1:11" ht="42" customHeight="1">
      <c r="A1540" s="2" t="s">
        <v>3183</v>
      </c>
      <c r="B1540" s="2" t="s">
        <v>3183</v>
      </c>
      <c r="C1540" s="2" t="s">
        <v>50</v>
      </c>
      <c r="D1540" s="2" t="s">
        <v>51</v>
      </c>
      <c r="E1540" s="5">
        <v>-28136</v>
      </c>
      <c r="F1540" s="3" t="s">
        <v>948</v>
      </c>
      <c r="G1540" s="3" t="s">
        <v>57</v>
      </c>
      <c r="H1540" s="2" t="s">
        <v>20</v>
      </c>
      <c r="I1540" s="2" t="s">
        <v>3194</v>
      </c>
      <c r="J1540" s="3" t="str">
        <f>HYPERLINK("https://www.boe.es/gazeta/dias/1822/12/18/pdfs/GMD-1822-368.pdf#page=4","Abrir facsímil")</f>
        <v>Abrir facsímil</v>
      </c>
      <c r="K1540" s="3" t="s">
        <v>22</v>
      </c>
    </row>
    <row r="1541" spans="1:11" ht="42" customHeight="1">
      <c r="A1541" s="2" t="s">
        <v>3195</v>
      </c>
      <c r="B1541" s="2" t="s">
        <v>3196</v>
      </c>
      <c r="C1541" s="2" t="s">
        <v>71</v>
      </c>
      <c r="D1541" s="2" t="s">
        <v>17</v>
      </c>
      <c r="E1541" s="5">
        <v>-28208</v>
      </c>
      <c r="F1541" s="3" t="s">
        <v>230</v>
      </c>
      <c r="G1541" s="3" t="s">
        <v>57</v>
      </c>
      <c r="H1541" s="2" t="s">
        <v>20</v>
      </c>
      <c r="I1541" s="2" t="s">
        <v>3197</v>
      </c>
      <c r="J1541" s="3" t="str">
        <f>HYPERLINK("https://www.boe.es/gazeta/dias/1822/10/07/pdfs/GMD-1822-293.pdf#page=4","Abrir facsímil")</f>
        <v>Abrir facsímil</v>
      </c>
      <c r="K1541" s="3" t="s">
        <v>22</v>
      </c>
    </row>
    <row r="1542" spans="1:11" ht="42" customHeight="1">
      <c r="A1542" s="2" t="s">
        <v>3198</v>
      </c>
      <c r="B1542" s="2" t="s">
        <v>3199</v>
      </c>
      <c r="C1542" s="2" t="s">
        <v>50</v>
      </c>
      <c r="D1542" s="2" t="s">
        <v>51</v>
      </c>
      <c r="E1542" s="5">
        <v>-28484</v>
      </c>
      <c r="F1542" s="3" t="s">
        <v>743</v>
      </c>
      <c r="G1542" s="3" t="s">
        <v>31</v>
      </c>
      <c r="H1542" s="2" t="s">
        <v>20</v>
      </c>
      <c r="I1542" s="2" t="s">
        <v>3200</v>
      </c>
      <c r="J1542" s="3" t="str">
        <f>HYPERLINK("https://www.boe.es/gazeta/dias/1822/01/04/pdfs/GMD-1822-4.pdf#page=3","Abrir facsímil")</f>
        <v>Abrir facsímil</v>
      </c>
      <c r="K1542" s="3" t="s">
        <v>22</v>
      </c>
    </row>
    <row r="1543" spans="1:11" ht="42" customHeight="1">
      <c r="A1543" s="2" t="s">
        <v>3201</v>
      </c>
      <c r="B1543" s="2" t="s">
        <v>3202</v>
      </c>
      <c r="C1543" s="2" t="s">
        <v>50</v>
      </c>
      <c r="D1543" s="2" t="s">
        <v>51</v>
      </c>
      <c r="E1543" s="5">
        <v>-28360</v>
      </c>
      <c r="F1543" s="3" t="s">
        <v>514</v>
      </c>
      <c r="G1543" s="3" t="s">
        <v>35</v>
      </c>
      <c r="H1543" s="2" t="s">
        <v>20</v>
      </c>
      <c r="I1543" s="2" t="s">
        <v>3203</v>
      </c>
      <c r="J1543" s="3" t="str">
        <f>HYPERLINK("https://www.boe.es/gazeta/dias/1822/05/08/pdfs/GMD-1822-130.pdf#page=2","Abrir facsímil")</f>
        <v>Abrir facsímil</v>
      </c>
      <c r="K1543" s="3" t="s">
        <v>22</v>
      </c>
    </row>
    <row r="1544" spans="1:11" ht="42" customHeight="1">
      <c r="A1544" s="2" t="s">
        <v>3204</v>
      </c>
      <c r="B1544" s="2" t="s">
        <v>3205</v>
      </c>
      <c r="C1544" s="2" t="s">
        <v>50</v>
      </c>
      <c r="D1544" s="2" t="s">
        <v>51</v>
      </c>
      <c r="E1544" s="5">
        <v>-28315</v>
      </c>
      <c r="F1544" s="3" t="s">
        <v>1220</v>
      </c>
      <c r="G1544" s="3" t="s">
        <v>57</v>
      </c>
      <c r="H1544" s="2" t="s">
        <v>20</v>
      </c>
      <c r="I1544" s="2" t="s">
        <v>3206</v>
      </c>
      <c r="J1544" s="3" t="str">
        <f>HYPERLINK("https://www.boe.es/gazeta/dias/1822/06/22/pdfs/GMD-1822-180.pdf#page=4","Abrir facsímil")</f>
        <v>Abrir facsímil</v>
      </c>
      <c r="K1544" s="3" t="s">
        <v>22</v>
      </c>
    </row>
    <row r="1545" spans="1:11" ht="42" customHeight="1">
      <c r="A1545" s="2" t="s">
        <v>3207</v>
      </c>
      <c r="B1545" s="2" t="s">
        <v>3208</v>
      </c>
      <c r="C1545" s="2" t="s">
        <v>16</v>
      </c>
      <c r="D1545" s="2" t="s">
        <v>17</v>
      </c>
      <c r="E1545" s="5">
        <v>-28456</v>
      </c>
      <c r="F1545" s="3" t="s">
        <v>1104</v>
      </c>
      <c r="G1545" s="3" t="s">
        <v>31</v>
      </c>
      <c r="H1545" s="2" t="s">
        <v>20</v>
      </c>
      <c r="I1545" s="2" t="s">
        <v>3209</v>
      </c>
      <c r="J1545" s="3" t="str">
        <f>HYPERLINK("https://www.boe.es/gazeta/dias/1822/02/01/pdfs/GMD-1822-32.pdf#page=3","Abrir facsímil")</f>
        <v>Abrir facsímil</v>
      </c>
      <c r="K1545" s="3" t="s">
        <v>22</v>
      </c>
    </row>
    <row r="1546" spans="1:11" ht="42" customHeight="1">
      <c r="A1546" s="2" t="s">
        <v>3210</v>
      </c>
      <c r="B1546" s="2" t="s">
        <v>3211</v>
      </c>
      <c r="C1546" s="2" t="s">
        <v>42</v>
      </c>
      <c r="D1546" s="2" t="s">
        <v>17</v>
      </c>
      <c r="E1546" s="5">
        <v>-28409</v>
      </c>
      <c r="F1546" s="3" t="s">
        <v>394</v>
      </c>
      <c r="G1546" s="3" t="s">
        <v>57</v>
      </c>
      <c r="H1546" s="2" t="s">
        <v>20</v>
      </c>
      <c r="I1546" s="2" t="s">
        <v>3212</v>
      </c>
      <c r="J1546" s="3" t="str">
        <f>HYPERLINK("https://www.boe.es/gazeta/dias/1822/03/20/pdfs/GMD-1822-81.pdf#page=4","Abrir facsímil")</f>
        <v>Abrir facsímil</v>
      </c>
      <c r="K1546" s="3" t="s">
        <v>22</v>
      </c>
    </row>
    <row r="1547" spans="1:11" ht="42" customHeight="1">
      <c r="A1547" s="2" t="s">
        <v>3213</v>
      </c>
      <c r="B1547" s="2" t="s">
        <v>3214</v>
      </c>
      <c r="C1547" s="2" t="s">
        <v>71</v>
      </c>
      <c r="D1547" s="2" t="s">
        <v>17</v>
      </c>
      <c r="E1547" s="5">
        <v>-28409</v>
      </c>
      <c r="F1547" s="3" t="s">
        <v>394</v>
      </c>
      <c r="G1547" s="3" t="s">
        <v>57</v>
      </c>
      <c r="H1547" s="2" t="s">
        <v>20</v>
      </c>
      <c r="I1547" s="2" t="s">
        <v>3215</v>
      </c>
      <c r="J1547" s="3" t="str">
        <f>HYPERLINK("https://www.boe.es/gazeta/dias/1822/03/20/pdfs/GMD-1822-81.pdf#page=4","Abrir facsímil")</f>
        <v>Abrir facsímil</v>
      </c>
      <c r="K1547" s="3" t="s">
        <v>22</v>
      </c>
    </row>
    <row r="1548" spans="1:11" ht="42" customHeight="1">
      <c r="A1548" s="2" t="s">
        <v>3216</v>
      </c>
      <c r="B1548" s="2" t="s">
        <v>3217</v>
      </c>
      <c r="C1548" s="2" t="s">
        <v>42</v>
      </c>
      <c r="D1548" s="2" t="s">
        <v>17</v>
      </c>
      <c r="E1548" s="5">
        <v>-28193</v>
      </c>
      <c r="F1548" s="3" t="s">
        <v>574</v>
      </c>
      <c r="G1548" s="3" t="s">
        <v>44</v>
      </c>
      <c r="H1548" s="2" t="s">
        <v>20</v>
      </c>
      <c r="I1548" s="2" t="s">
        <v>3218</v>
      </c>
      <c r="J1548" s="3" t="str">
        <f>HYPERLINK("https://www.boe.es/gazeta/dias/1822/10/22/pdfs/GMD-1822-309.pdf#page=1","Abrir facsímil")</f>
        <v>Abrir facsímil</v>
      </c>
      <c r="K1548" s="3" t="s">
        <v>22</v>
      </c>
    </row>
    <row r="1549" spans="1:11" ht="42" customHeight="1">
      <c r="A1549" s="2" t="s">
        <v>3219</v>
      </c>
      <c r="B1549" s="2" t="s">
        <v>3220</v>
      </c>
      <c r="C1549" s="2" t="s">
        <v>50</v>
      </c>
      <c r="D1549" s="2" t="s">
        <v>51</v>
      </c>
      <c r="E1549" s="5">
        <v>-28204</v>
      </c>
      <c r="F1549" s="3" t="s">
        <v>3190</v>
      </c>
      <c r="G1549" s="3" t="s">
        <v>167</v>
      </c>
      <c r="H1549" s="2" t="s">
        <v>45</v>
      </c>
      <c r="I1549" s="2" t="s">
        <v>3221</v>
      </c>
      <c r="J1549" s="3" t="str">
        <f>HYPERLINK("https://www.boe.es/gazeta/dias/1822/10/11/pdfs/GMD-1822-298.pdf#page=7","Abrir facsímil")</f>
        <v>Abrir facsímil</v>
      </c>
      <c r="K1549" s="3" t="s">
        <v>47</v>
      </c>
    </row>
    <row r="1550" spans="1:11" ht="42" customHeight="1">
      <c r="A1550" s="2" t="s">
        <v>3222</v>
      </c>
      <c r="B1550" s="2" t="s">
        <v>3223</v>
      </c>
      <c r="C1550" s="2" t="s">
        <v>42</v>
      </c>
      <c r="D1550" s="2" t="s">
        <v>17</v>
      </c>
      <c r="E1550" s="5">
        <v>-28258</v>
      </c>
      <c r="F1550" s="3" t="s">
        <v>88</v>
      </c>
      <c r="G1550" s="3" t="s">
        <v>31</v>
      </c>
      <c r="H1550" s="2" t="s">
        <v>20</v>
      </c>
      <c r="I1550" s="2" t="s">
        <v>3224</v>
      </c>
      <c r="J1550" s="3" t="str">
        <f>HYPERLINK("https://www.boe.es/gazeta/dias/1822/08/18/pdfs/GMD-1822-242.pdf#page=3","Abrir facsímil")</f>
        <v>Abrir facsímil</v>
      </c>
      <c r="K1550" s="3" t="s">
        <v>22</v>
      </c>
    </row>
    <row r="1551" spans="1:11" ht="42" customHeight="1">
      <c r="A1551" s="2" t="s">
        <v>3225</v>
      </c>
      <c r="B1551" s="2" t="s">
        <v>3226</v>
      </c>
      <c r="C1551" s="2" t="s">
        <v>42</v>
      </c>
      <c r="D1551" s="2" t="s">
        <v>17</v>
      </c>
      <c r="E1551" s="5">
        <v>-28148</v>
      </c>
      <c r="F1551" s="3" t="s">
        <v>1909</v>
      </c>
      <c r="G1551" s="3" t="s">
        <v>63</v>
      </c>
      <c r="H1551" s="2" t="s">
        <v>20</v>
      </c>
      <c r="I1551" s="2" t="s">
        <v>3227</v>
      </c>
      <c r="J1551" s="3" t="str">
        <f>HYPERLINK("https://www.boe.es/gazeta/dias/1822/12/06/pdfs/GMD-1822-356.pdf#page=6","Abrir facsímil")</f>
        <v>Abrir facsímil</v>
      </c>
      <c r="K1551" s="3" t="s">
        <v>22</v>
      </c>
    </row>
    <row r="1552" spans="1:11" ht="42" customHeight="1">
      <c r="A1552" s="2" t="s">
        <v>3228</v>
      </c>
      <c r="B1552" s="2" t="s">
        <v>3229</v>
      </c>
      <c r="C1552" s="2" t="s">
        <v>42</v>
      </c>
      <c r="D1552" s="2" t="s">
        <v>17</v>
      </c>
      <c r="E1552" s="5">
        <v>-28152</v>
      </c>
      <c r="F1552" s="3" t="s">
        <v>122</v>
      </c>
      <c r="G1552" s="3" t="s">
        <v>19</v>
      </c>
      <c r="H1552" s="2" t="s">
        <v>20</v>
      </c>
      <c r="I1552" s="2" t="s">
        <v>3230</v>
      </c>
      <c r="J1552" s="3" t="str">
        <f>HYPERLINK("https://www.boe.es/gazeta/dias/1822/12/02/pdfs/GMD-1822-352.pdf#page=5","Abrir facsímil")</f>
        <v>Abrir facsímil</v>
      </c>
      <c r="K1552" s="3" t="s">
        <v>22</v>
      </c>
    </row>
    <row r="1553" spans="1:11" ht="42" customHeight="1">
      <c r="A1553" s="2" t="s">
        <v>3231</v>
      </c>
      <c r="B1553" s="2" t="s">
        <v>3232</v>
      </c>
      <c r="C1553" s="2" t="s">
        <v>50</v>
      </c>
      <c r="D1553" s="2" t="s">
        <v>51</v>
      </c>
      <c r="E1553" s="5">
        <v>-28458</v>
      </c>
      <c r="F1553" s="3" t="s">
        <v>1151</v>
      </c>
      <c r="G1553" s="3" t="s">
        <v>44</v>
      </c>
      <c r="H1553" s="2" t="s">
        <v>20</v>
      </c>
      <c r="I1553" s="2" t="s">
        <v>3233</v>
      </c>
      <c r="J1553" s="3" t="str">
        <f>HYPERLINK("https://www.boe.es/gazeta/dias/1822/01/30/pdfs/GMD-1822-30.pdf#page=1","Abrir facsímil")</f>
        <v>Abrir facsímil</v>
      </c>
      <c r="K1553" s="3" t="s">
        <v>22</v>
      </c>
    </row>
    <row r="1554" spans="1:11" ht="42" customHeight="1">
      <c r="A1554" s="2" t="s">
        <v>3234</v>
      </c>
      <c r="B1554" s="2" t="s">
        <v>3235</v>
      </c>
      <c r="C1554" s="2" t="s">
        <v>50</v>
      </c>
      <c r="D1554" s="2" t="s">
        <v>51</v>
      </c>
      <c r="E1554" s="5">
        <v>-28414</v>
      </c>
      <c r="F1554" s="3" t="s">
        <v>187</v>
      </c>
      <c r="G1554" s="3" t="s">
        <v>63</v>
      </c>
      <c r="H1554" s="2" t="s">
        <v>20</v>
      </c>
      <c r="I1554" s="2" t="s">
        <v>3236</v>
      </c>
      <c r="J1554" s="3" t="str">
        <f>HYPERLINK("https://www.boe.es/gazeta/dias/1822/03/15/pdfs/GMD-1822-76.pdf#page=6","Abrir facsímil")</f>
        <v>Abrir facsímil</v>
      </c>
      <c r="K1554" s="3" t="s">
        <v>22</v>
      </c>
    </row>
    <row r="1555" spans="1:11" ht="42" customHeight="1">
      <c r="A1555" s="2" t="s">
        <v>3237</v>
      </c>
      <c r="B1555" s="2" t="s">
        <v>3237</v>
      </c>
      <c r="C1555" s="2" t="s">
        <v>71</v>
      </c>
      <c r="D1555" s="2" t="s">
        <v>17</v>
      </c>
      <c r="E1555" s="5">
        <v>-28193</v>
      </c>
      <c r="F1555" s="3" t="s">
        <v>574</v>
      </c>
      <c r="G1555" s="3" t="s">
        <v>35</v>
      </c>
      <c r="H1555" s="2" t="s">
        <v>20</v>
      </c>
      <c r="I1555" s="2" t="s">
        <v>3238</v>
      </c>
      <c r="J1555" s="3" t="str">
        <f>HYPERLINK("https://www.boe.es/gazeta/dias/1822/10/22/pdfs/GMD-1822-309.pdf#page=2","Abrir facsímil")</f>
        <v>Abrir facsímil</v>
      </c>
      <c r="K1555" s="3" t="s">
        <v>22</v>
      </c>
    </row>
    <row r="1556" spans="1:11" ht="42" customHeight="1">
      <c r="A1556" s="2" t="s">
        <v>3239</v>
      </c>
      <c r="B1556" s="2" t="s">
        <v>3240</v>
      </c>
      <c r="C1556" s="2" t="s">
        <v>24</v>
      </c>
      <c r="D1556" s="2" t="s">
        <v>17</v>
      </c>
      <c r="E1556" s="5">
        <v>-28159</v>
      </c>
      <c r="F1556" s="3" t="s">
        <v>67</v>
      </c>
      <c r="G1556" s="3" t="s">
        <v>57</v>
      </c>
      <c r="H1556" s="2" t="s">
        <v>20</v>
      </c>
      <c r="I1556" s="2" t="s">
        <v>3241</v>
      </c>
      <c r="J1556" s="3" t="str">
        <f>HYPERLINK("https://www.boe.es/gazeta/dias/1822/11/25/pdfs/GMD-1822-345.pdf#page=4","Abrir facsímil")</f>
        <v>Abrir facsímil</v>
      </c>
      <c r="K1556" s="3" t="s">
        <v>22</v>
      </c>
    </row>
    <row r="1557" spans="1:11" ht="42" customHeight="1">
      <c r="A1557" s="2" t="s">
        <v>3242</v>
      </c>
      <c r="B1557" s="2" t="s">
        <v>3243</v>
      </c>
      <c r="C1557" s="2" t="s">
        <v>50</v>
      </c>
      <c r="D1557" s="2" t="s">
        <v>51</v>
      </c>
      <c r="E1557" s="5">
        <v>-28408</v>
      </c>
      <c r="F1557" s="3" t="s">
        <v>2561</v>
      </c>
      <c r="G1557" s="3" t="s">
        <v>63</v>
      </c>
      <c r="H1557" s="2" t="s">
        <v>20</v>
      </c>
      <c r="I1557" s="2" t="s">
        <v>3244</v>
      </c>
      <c r="J1557" s="3" t="str">
        <f>HYPERLINK("https://www.boe.es/gazeta/dias/1822/03/21/pdfs/GMD-1822-82.pdf#page=6","Abrir facsímil")</f>
        <v>Abrir facsímil</v>
      </c>
      <c r="K1557" s="3" t="s">
        <v>22</v>
      </c>
    </row>
    <row r="1558" spans="1:11" ht="42" customHeight="1">
      <c r="A1558" s="2" t="s">
        <v>3245</v>
      </c>
      <c r="B1558" s="2" t="s">
        <v>3245</v>
      </c>
      <c r="C1558" s="2" t="s">
        <v>50</v>
      </c>
      <c r="D1558" s="2" t="s">
        <v>51</v>
      </c>
      <c r="E1558" s="5">
        <v>-28246</v>
      </c>
      <c r="F1558" s="3" t="s">
        <v>3246</v>
      </c>
      <c r="G1558" s="3" t="s">
        <v>1085</v>
      </c>
      <c r="H1558" s="2" t="s">
        <v>20</v>
      </c>
      <c r="I1558" s="2" t="s">
        <v>3247</v>
      </c>
      <c r="J1558" s="3" t="str">
        <f>HYPERLINK("https://www.boe.es/gazeta/dias/1822/08/30/pdfs/GMD-1822-254.pdf#page=5","Abrir facsímil")</f>
        <v>Abrir facsímil</v>
      </c>
      <c r="K1558" s="3" t="s">
        <v>22</v>
      </c>
    </row>
    <row r="1559" spans="1:11" ht="42" customHeight="1">
      <c r="A1559" s="2" t="s">
        <v>3248</v>
      </c>
      <c r="B1559" s="2" t="s">
        <v>3248</v>
      </c>
      <c r="C1559" s="2" t="s">
        <v>71</v>
      </c>
      <c r="D1559" s="2" t="s">
        <v>17</v>
      </c>
      <c r="E1559" s="5">
        <v>-28318</v>
      </c>
      <c r="F1559" s="3" t="s">
        <v>397</v>
      </c>
      <c r="G1559" s="3" t="s">
        <v>63</v>
      </c>
      <c r="H1559" s="2" t="s">
        <v>20</v>
      </c>
      <c r="I1559" s="2" t="s">
        <v>3249</v>
      </c>
      <c r="J1559" s="3" t="str">
        <f>HYPERLINK("https://www.boe.es/gazeta/dias/1822/06/19/pdfs/GMD-1822-176.pdf#page=6","Abrir facsímil")</f>
        <v>Abrir facsímil</v>
      </c>
      <c r="K1559" s="3" t="s">
        <v>22</v>
      </c>
    </row>
    <row r="1560" spans="1:11" ht="42" customHeight="1">
      <c r="A1560" s="2" t="s">
        <v>3250</v>
      </c>
      <c r="B1560" s="2" t="s">
        <v>3250</v>
      </c>
      <c r="C1560" s="2" t="s">
        <v>50</v>
      </c>
      <c r="D1560" s="2" t="s">
        <v>51</v>
      </c>
      <c r="E1560" s="5">
        <v>-28309</v>
      </c>
      <c r="F1560" s="3" t="s">
        <v>553</v>
      </c>
      <c r="G1560" s="3" t="s">
        <v>63</v>
      </c>
      <c r="H1560" s="2" t="s">
        <v>20</v>
      </c>
      <c r="I1560" s="2" t="s">
        <v>3251</v>
      </c>
      <c r="J1560" s="3" t="str">
        <f>HYPERLINK("https://www.boe.es/gazeta/dias/1822/06/28/pdfs/GMD-1822-186.pdf#page=6","Abrir facsímil")</f>
        <v>Abrir facsímil</v>
      </c>
      <c r="K1560" s="3" t="s">
        <v>22</v>
      </c>
    </row>
    <row r="1561" spans="1:11" ht="42" customHeight="1">
      <c r="A1561" s="2" t="s">
        <v>3252</v>
      </c>
      <c r="B1561" s="2" t="s">
        <v>3253</v>
      </c>
      <c r="C1561" s="2" t="s">
        <v>28</v>
      </c>
      <c r="D1561" s="2" t="s">
        <v>29</v>
      </c>
      <c r="E1561" s="5">
        <v>-28446</v>
      </c>
      <c r="F1561" s="3" t="s">
        <v>773</v>
      </c>
      <c r="G1561" s="3" t="s">
        <v>19</v>
      </c>
      <c r="H1561" s="2" t="s">
        <v>20</v>
      </c>
      <c r="I1561" s="2" t="s">
        <v>3254</v>
      </c>
      <c r="J1561" s="3" t="str">
        <f>HYPERLINK("https://www.boe.es/gazeta/dias/1822/02/11/pdfs/GMD-1822-42.pdf#page=5","Abrir facsímil")</f>
        <v>Abrir facsímil</v>
      </c>
      <c r="K1561" s="3" t="s">
        <v>22</v>
      </c>
    </row>
    <row r="1562" spans="1:11" ht="42" customHeight="1">
      <c r="A1562" s="2" t="s">
        <v>3255</v>
      </c>
      <c r="B1562" s="2" t="s">
        <v>3256</v>
      </c>
      <c r="C1562" s="2" t="s">
        <v>71</v>
      </c>
      <c r="D1562" s="2" t="s">
        <v>17</v>
      </c>
      <c r="E1562" s="5">
        <v>-28327</v>
      </c>
      <c r="F1562" s="3" t="s">
        <v>38</v>
      </c>
      <c r="G1562" s="3" t="s">
        <v>31</v>
      </c>
      <c r="H1562" s="2" t="s">
        <v>20</v>
      </c>
      <c r="I1562" s="2" t="s">
        <v>3257</v>
      </c>
      <c r="J1562" s="3" t="str">
        <f>HYPERLINK("https://www.boe.es/gazeta/dias/1822/06/10/pdfs/GMD-1822-167.pdf#page=3","Abrir facsímil")</f>
        <v>Abrir facsímil</v>
      </c>
      <c r="K1562" s="3" t="s">
        <v>22</v>
      </c>
    </row>
    <row r="1563" spans="1:11" ht="42" customHeight="1">
      <c r="A1563" s="2" t="s">
        <v>3258</v>
      </c>
      <c r="B1563" s="2" t="s">
        <v>3259</v>
      </c>
      <c r="C1563" s="2" t="s">
        <v>50</v>
      </c>
      <c r="D1563" s="2" t="s">
        <v>51</v>
      </c>
      <c r="E1563" s="5">
        <v>-28258</v>
      </c>
      <c r="F1563" s="3" t="s">
        <v>88</v>
      </c>
      <c r="G1563" s="3" t="s">
        <v>57</v>
      </c>
      <c r="H1563" s="2" t="s">
        <v>20</v>
      </c>
      <c r="I1563" s="2" t="s">
        <v>3260</v>
      </c>
      <c r="J1563" s="3" t="str">
        <f>HYPERLINK("https://www.boe.es/gazeta/dias/1822/08/18/pdfs/GMD-1822-242.pdf#page=4","Abrir facsímil")</f>
        <v>Abrir facsímil</v>
      </c>
      <c r="K1563" s="3" t="s">
        <v>22</v>
      </c>
    </row>
    <row r="1564" spans="1:11" ht="42" customHeight="1">
      <c r="A1564" s="2" t="s">
        <v>3261</v>
      </c>
      <c r="B1564" s="2" t="s">
        <v>3262</v>
      </c>
      <c r="C1564" s="2" t="s">
        <v>24</v>
      </c>
      <c r="D1564" s="2" t="s">
        <v>17</v>
      </c>
      <c r="E1564" s="5">
        <v>-28306</v>
      </c>
      <c r="F1564" s="3" t="s">
        <v>348</v>
      </c>
      <c r="G1564" s="3" t="s">
        <v>57</v>
      </c>
      <c r="H1564" s="2" t="s">
        <v>20</v>
      </c>
      <c r="I1564" s="2" t="s">
        <v>3263</v>
      </c>
      <c r="J1564" s="3" t="str">
        <f>HYPERLINK("https://www.boe.es/gazeta/dias/1822/07/01/pdfs/GMD-1822-190.pdf#page=4","Abrir facsímil")</f>
        <v>Abrir facsímil</v>
      </c>
      <c r="K1564" s="3" t="s">
        <v>22</v>
      </c>
    </row>
    <row r="1565" spans="1:11" ht="42" customHeight="1">
      <c r="A1565" s="2" t="s">
        <v>3264</v>
      </c>
      <c r="B1565" s="2" t="s">
        <v>3265</v>
      </c>
      <c r="C1565" s="2" t="s">
        <v>50</v>
      </c>
      <c r="D1565" s="2" t="s">
        <v>51</v>
      </c>
      <c r="E1565" s="5">
        <v>-28349</v>
      </c>
      <c r="F1565" s="3" t="s">
        <v>518</v>
      </c>
      <c r="G1565" s="3" t="s">
        <v>57</v>
      </c>
      <c r="H1565" s="2" t="s">
        <v>20</v>
      </c>
      <c r="I1565" s="2" t="s">
        <v>3266</v>
      </c>
      <c r="J1565" s="3" t="str">
        <f>HYPERLINK("https://www.boe.es/gazeta/dias/1822/05/19/pdfs/GMD-1822-141.pdf#page=4","Abrir facsímil")</f>
        <v>Abrir facsímil</v>
      </c>
      <c r="K1565" s="3" t="s">
        <v>22</v>
      </c>
    </row>
    <row r="1566" spans="1:11" ht="42" customHeight="1">
      <c r="A1566" s="2" t="s">
        <v>3267</v>
      </c>
      <c r="B1566" s="2" t="s">
        <v>3268</v>
      </c>
      <c r="C1566" s="2" t="s">
        <v>61</v>
      </c>
      <c r="D1566" s="2" t="s">
        <v>17</v>
      </c>
      <c r="E1566" s="5">
        <v>-28148</v>
      </c>
      <c r="F1566" s="3" t="s">
        <v>1909</v>
      </c>
      <c r="G1566" s="3" t="s">
        <v>63</v>
      </c>
      <c r="H1566" s="2" t="s">
        <v>20</v>
      </c>
      <c r="I1566" s="2" t="s">
        <v>3269</v>
      </c>
      <c r="J1566" s="3" t="str">
        <f>HYPERLINK("https://www.boe.es/gazeta/dias/1822/12/06/pdfs/GMD-1822-356.pdf#page=6","Abrir facsímil")</f>
        <v>Abrir facsímil</v>
      </c>
      <c r="K1566" s="3" t="s">
        <v>22</v>
      </c>
    </row>
    <row r="1567" spans="1:11" ht="42" customHeight="1">
      <c r="A1567" s="2" t="s">
        <v>3270</v>
      </c>
      <c r="B1567" s="2" t="s">
        <v>3271</v>
      </c>
      <c r="C1567" s="2" t="s">
        <v>24</v>
      </c>
      <c r="D1567" s="2" t="s">
        <v>17</v>
      </c>
      <c r="E1567" s="5">
        <v>-28311</v>
      </c>
      <c r="F1567" s="3" t="s">
        <v>736</v>
      </c>
      <c r="G1567" s="3" t="s">
        <v>157</v>
      </c>
      <c r="H1567" s="2" t="s">
        <v>20</v>
      </c>
      <c r="I1567" s="2" t="s">
        <v>3272</v>
      </c>
      <c r="J1567" s="3" t="str">
        <f>HYPERLINK("https://www.boe.es/gazeta/dias/1822/06/26/pdfs/GMD-1822-184.pdf#page=8","Abrir facsímil")</f>
        <v>Abrir facsímil</v>
      </c>
      <c r="K1567" s="3" t="s">
        <v>22</v>
      </c>
    </row>
    <row r="1568" spans="1:11" ht="42" customHeight="1">
      <c r="A1568" s="2" t="s">
        <v>3270</v>
      </c>
      <c r="B1568" s="2" t="s">
        <v>3271</v>
      </c>
      <c r="C1568" s="2" t="s">
        <v>362</v>
      </c>
      <c r="D1568" s="2" t="s">
        <v>17</v>
      </c>
      <c r="E1568" s="5">
        <v>-28225</v>
      </c>
      <c r="F1568" s="3" t="s">
        <v>177</v>
      </c>
      <c r="G1568" s="3" t="s">
        <v>3273</v>
      </c>
      <c r="H1568" s="2" t="s">
        <v>20</v>
      </c>
      <c r="I1568" s="2" t="s">
        <v>3274</v>
      </c>
      <c r="J1568" s="3" t="str">
        <f>HYPERLINK("https://www.boe.es/gazeta/dias/1822/09/20/pdfs/GMD-1822-276.pdf#page=4","Abrir facsímil")</f>
        <v>Abrir facsímil</v>
      </c>
      <c r="K1568" s="3" t="s">
        <v>22</v>
      </c>
    </row>
    <row r="1569" spans="1:11" ht="42" customHeight="1">
      <c r="A1569" s="2" t="s">
        <v>3270</v>
      </c>
      <c r="B1569" s="2" t="s">
        <v>3271</v>
      </c>
      <c r="C1569" s="2" t="s">
        <v>24</v>
      </c>
      <c r="D1569" s="2" t="s">
        <v>17</v>
      </c>
      <c r="E1569" s="5">
        <v>-28213</v>
      </c>
      <c r="F1569" s="3" t="s">
        <v>558</v>
      </c>
      <c r="G1569" s="3" t="s">
        <v>57</v>
      </c>
      <c r="H1569" s="2" t="s">
        <v>20</v>
      </c>
      <c r="I1569" s="2" t="s">
        <v>3275</v>
      </c>
      <c r="J1569" s="3" t="str">
        <f>HYPERLINK("https://www.boe.es/gazeta/dias/1822/10/02/pdfs/GMD-1822-288.pdf#page=4","Abrir facsímil")</f>
        <v>Abrir facsímil</v>
      </c>
      <c r="K1569" s="3" t="s">
        <v>22</v>
      </c>
    </row>
    <row r="1570" spans="1:11" ht="42" customHeight="1">
      <c r="A1570" s="2" t="s">
        <v>3276</v>
      </c>
      <c r="B1570" s="2" t="s">
        <v>3276</v>
      </c>
      <c r="C1570" s="2" t="s">
        <v>71</v>
      </c>
      <c r="D1570" s="2" t="s">
        <v>17</v>
      </c>
      <c r="E1570" s="5">
        <v>-28396</v>
      </c>
      <c r="F1570" s="3" t="s">
        <v>1138</v>
      </c>
      <c r="G1570" s="3" t="s">
        <v>35</v>
      </c>
      <c r="H1570" s="2" t="s">
        <v>20</v>
      </c>
      <c r="I1570" s="2" t="s">
        <v>3277</v>
      </c>
      <c r="J1570" s="3" t="str">
        <f>HYPERLINK("https://www.boe.es/gazeta/dias/1822/04/02/pdfs/GMD-1822-94.pdf#page=2","Abrir facsímil")</f>
        <v>Abrir facsímil</v>
      </c>
      <c r="K1570" s="3" t="s">
        <v>22</v>
      </c>
    </row>
    <row r="1571" spans="1:11" ht="42" customHeight="1">
      <c r="A1571" s="2" t="s">
        <v>3278</v>
      </c>
      <c r="B1571" s="2" t="s">
        <v>3279</v>
      </c>
      <c r="C1571" s="2" t="s">
        <v>24</v>
      </c>
      <c r="D1571" s="2" t="s">
        <v>17</v>
      </c>
      <c r="E1571" s="5">
        <v>-28450</v>
      </c>
      <c r="F1571" s="3" t="s">
        <v>1450</v>
      </c>
      <c r="G1571" s="3" t="s">
        <v>35</v>
      </c>
      <c r="H1571" s="2" t="s">
        <v>20</v>
      </c>
      <c r="I1571" s="2" t="s">
        <v>3280</v>
      </c>
      <c r="J1571" s="3" t="str">
        <f>HYPERLINK("https://www.boe.es/gazeta/dias/1822/02/07/pdfs/GMD-1822-38.pdf#page=2","Abrir facsímil")</f>
        <v>Abrir facsímil</v>
      </c>
      <c r="K1571" s="3" t="s">
        <v>22</v>
      </c>
    </row>
    <row r="1572" spans="1:11" ht="42" customHeight="1">
      <c r="A1572" s="2" t="s">
        <v>3281</v>
      </c>
      <c r="B1572" s="2" t="s">
        <v>3282</v>
      </c>
      <c r="C1572" s="2" t="s">
        <v>42</v>
      </c>
      <c r="D1572" s="2" t="s">
        <v>17</v>
      </c>
      <c r="E1572" s="5">
        <v>-28397</v>
      </c>
      <c r="F1572" s="3" t="s">
        <v>1401</v>
      </c>
      <c r="G1572" s="3" t="s">
        <v>3283</v>
      </c>
      <c r="H1572" s="2" t="s">
        <v>20</v>
      </c>
      <c r="I1572" s="2" t="s">
        <v>3284</v>
      </c>
      <c r="J1572" s="3" t="str">
        <f>HYPERLINK("https://www.boe.es/gazeta/dias/1822/04/01/pdfs/GMD-1822-93.pdf#page=3","Abrir facsímil")</f>
        <v>Abrir facsímil</v>
      </c>
      <c r="K1572" s="3" t="s">
        <v>22</v>
      </c>
    </row>
    <row r="1573" spans="1:11" ht="42" customHeight="1">
      <c r="A1573" s="2" t="s">
        <v>3285</v>
      </c>
      <c r="B1573" s="2" t="s">
        <v>3285</v>
      </c>
      <c r="C1573" s="2" t="s">
        <v>42</v>
      </c>
      <c r="D1573" s="2" t="s">
        <v>17</v>
      </c>
      <c r="E1573" s="5">
        <v>-28225</v>
      </c>
      <c r="F1573" s="3" t="s">
        <v>177</v>
      </c>
      <c r="G1573" s="3" t="s">
        <v>178</v>
      </c>
      <c r="H1573" s="2" t="s">
        <v>20</v>
      </c>
      <c r="I1573" s="2" t="s">
        <v>3286</v>
      </c>
      <c r="J1573" s="3" t="str">
        <f>HYPERLINK("https://www.boe.es/gazeta/dias/1822/09/20/pdfs/GMD-1822-276.pdf#page=3","Abrir facsímil")</f>
        <v>Abrir facsímil</v>
      </c>
      <c r="K1573" s="3" t="s">
        <v>22</v>
      </c>
    </row>
    <row r="1574" spans="1:11" ht="42" customHeight="1">
      <c r="A1574" s="2" t="s">
        <v>3287</v>
      </c>
      <c r="B1574" s="2" t="s">
        <v>3288</v>
      </c>
      <c r="C1574" s="2" t="s">
        <v>50</v>
      </c>
      <c r="D1574" s="2" t="s">
        <v>51</v>
      </c>
      <c r="E1574" s="5">
        <v>-28323</v>
      </c>
      <c r="F1574" s="3" t="s">
        <v>116</v>
      </c>
      <c r="G1574" s="3" t="s">
        <v>63</v>
      </c>
      <c r="H1574" s="2" t="s">
        <v>20</v>
      </c>
      <c r="I1574" s="2" t="s">
        <v>3289</v>
      </c>
      <c r="J1574" s="3" t="str">
        <f>HYPERLINK("https://www.boe.es/gazeta/dias/1822/06/14/pdfs/GMD-1822-171.pdf#page=6","Abrir facsímil")</f>
        <v>Abrir facsímil</v>
      </c>
      <c r="K1574" s="3" t="s">
        <v>22</v>
      </c>
    </row>
    <row r="1575" spans="1:11" ht="42" customHeight="1">
      <c r="A1575" s="2" t="s">
        <v>3287</v>
      </c>
      <c r="B1575" s="2" t="s">
        <v>3288</v>
      </c>
      <c r="C1575" s="2" t="s">
        <v>50</v>
      </c>
      <c r="D1575" s="2" t="s">
        <v>51</v>
      </c>
      <c r="E1575" s="5">
        <v>-28262</v>
      </c>
      <c r="F1575" s="3" t="s">
        <v>1771</v>
      </c>
      <c r="G1575" s="3" t="s">
        <v>35</v>
      </c>
      <c r="H1575" s="2" t="s">
        <v>20</v>
      </c>
      <c r="I1575" s="2" t="s">
        <v>3290</v>
      </c>
      <c r="J1575" s="3" t="str">
        <f>HYPERLINK("https://www.boe.es/gazeta/dias/1822/08/14/pdfs/GMD-1822-238.pdf#page=2","Abrir facsímil")</f>
        <v>Abrir facsímil</v>
      </c>
      <c r="K1575" s="3" t="s">
        <v>22</v>
      </c>
    </row>
    <row r="1576" spans="1:11" ht="42" customHeight="1">
      <c r="A1576" s="2" t="s">
        <v>3287</v>
      </c>
      <c r="B1576" s="2" t="s">
        <v>3288</v>
      </c>
      <c r="C1576" s="2" t="s">
        <v>28</v>
      </c>
      <c r="D1576" s="2" t="s">
        <v>29</v>
      </c>
      <c r="E1576" s="5">
        <v>-28207</v>
      </c>
      <c r="F1576" s="3" t="s">
        <v>1325</v>
      </c>
      <c r="G1576" s="3" t="s">
        <v>31</v>
      </c>
      <c r="H1576" s="2" t="s">
        <v>20</v>
      </c>
      <c r="I1576" s="2" t="s">
        <v>3291</v>
      </c>
      <c r="J1576" s="3" t="str">
        <f>HYPERLINK("https://www.boe.es/gazeta/dias/1822/10/08/pdfs/GMD-1822-295.pdf#page=3","Abrir facsímil")</f>
        <v>Abrir facsímil</v>
      </c>
      <c r="K1576" s="3" t="s">
        <v>22</v>
      </c>
    </row>
    <row r="1577" spans="1:11" ht="42" customHeight="1">
      <c r="A1577" s="2" t="s">
        <v>3292</v>
      </c>
      <c r="B1577" s="2" t="s">
        <v>3293</v>
      </c>
      <c r="C1577" s="2" t="s">
        <v>28</v>
      </c>
      <c r="D1577" s="2" t="s">
        <v>29</v>
      </c>
      <c r="E1577" s="5">
        <v>-28316</v>
      </c>
      <c r="F1577" s="3" t="s">
        <v>1144</v>
      </c>
      <c r="G1577" s="3" t="s">
        <v>63</v>
      </c>
      <c r="H1577" s="2" t="s">
        <v>20</v>
      </c>
      <c r="I1577" s="2" t="s">
        <v>3294</v>
      </c>
      <c r="J1577" s="3" t="str">
        <f>HYPERLINK("https://www.boe.es/gazeta/dias/1822/06/21/pdfs/GMD-1822-179.pdf#page=6","Abrir facsímil")</f>
        <v>Abrir facsímil</v>
      </c>
      <c r="K1577" s="3" t="s">
        <v>22</v>
      </c>
    </row>
    <row r="1578" spans="1:11" ht="42" customHeight="1">
      <c r="A1578" s="2" t="s">
        <v>3295</v>
      </c>
      <c r="B1578" s="2" t="s">
        <v>3296</v>
      </c>
      <c r="C1578" s="2" t="s">
        <v>16</v>
      </c>
      <c r="D1578" s="2" t="s">
        <v>17</v>
      </c>
      <c r="E1578" s="5">
        <v>-28241</v>
      </c>
      <c r="F1578" s="3" t="s">
        <v>3068</v>
      </c>
      <c r="G1578" s="3" t="s">
        <v>57</v>
      </c>
      <c r="H1578" s="2" t="s">
        <v>20</v>
      </c>
      <c r="I1578" s="2" t="s">
        <v>3297</v>
      </c>
      <c r="J1578" s="3" t="str">
        <f>HYPERLINK("https://www.boe.es/gazeta/dias/1822/09/04/pdfs/GMD-1822-259.pdf#page=4","Abrir facsímil")</f>
        <v>Abrir facsímil</v>
      </c>
      <c r="K1578" s="3" t="s">
        <v>22</v>
      </c>
    </row>
    <row r="1579" spans="1:11" ht="42" customHeight="1">
      <c r="A1579" s="2" t="s">
        <v>3298</v>
      </c>
      <c r="B1579" s="2" t="s">
        <v>3299</v>
      </c>
      <c r="C1579" s="2" t="s">
        <v>28</v>
      </c>
      <c r="D1579" s="2" t="s">
        <v>29</v>
      </c>
      <c r="E1579" s="5">
        <v>-28344</v>
      </c>
      <c r="F1579" s="3" t="s">
        <v>524</v>
      </c>
      <c r="G1579" s="3" t="s">
        <v>31</v>
      </c>
      <c r="H1579" s="2" t="s">
        <v>20</v>
      </c>
      <c r="I1579" s="2" t="s">
        <v>3300</v>
      </c>
      <c r="J1579" s="3" t="str">
        <f>HYPERLINK("https://www.boe.es/gazeta/dias/1822/05/24/pdfs/GMD-1822-148.pdf#page=3","Abrir facsímil")</f>
        <v>Abrir facsímil</v>
      </c>
      <c r="K1579" s="3" t="s">
        <v>22</v>
      </c>
    </row>
    <row r="1580" spans="1:11" ht="42" customHeight="1">
      <c r="A1580" s="2" t="s">
        <v>3301</v>
      </c>
      <c r="B1580" s="2" t="s">
        <v>3302</v>
      </c>
      <c r="C1580" s="2" t="s">
        <v>28</v>
      </c>
      <c r="D1580" s="2" t="s">
        <v>29</v>
      </c>
      <c r="E1580" s="5">
        <v>-28436</v>
      </c>
      <c r="F1580" s="3" t="s">
        <v>431</v>
      </c>
      <c r="G1580" s="3" t="s">
        <v>1428</v>
      </c>
      <c r="H1580" s="2" t="s">
        <v>20</v>
      </c>
      <c r="I1580" s="2" t="s">
        <v>3303</v>
      </c>
      <c r="J1580" s="3" t="str">
        <f>HYPERLINK("https://www.boe.es/gazeta/dias/1822/02/21/pdfs/GMD-1822-53.pdf#page=3","Abrir facsímil")</f>
        <v>Abrir facsímil</v>
      </c>
      <c r="K1580" s="3" t="s">
        <v>22</v>
      </c>
    </row>
    <row r="1581" spans="1:11" ht="42" customHeight="1">
      <c r="A1581" s="2" t="s">
        <v>3304</v>
      </c>
      <c r="B1581" s="2" t="s">
        <v>3305</v>
      </c>
      <c r="C1581" s="2" t="s">
        <v>28</v>
      </c>
      <c r="D1581" s="2" t="s">
        <v>29</v>
      </c>
      <c r="E1581" s="5">
        <v>-28366</v>
      </c>
      <c r="F1581" s="3" t="s">
        <v>120</v>
      </c>
      <c r="G1581" s="3" t="s">
        <v>19</v>
      </c>
      <c r="H1581" s="2" t="s">
        <v>20</v>
      </c>
      <c r="I1581" s="2" t="s">
        <v>3306</v>
      </c>
      <c r="J1581" s="3" t="str">
        <f>HYPERLINK("https://www.boe.es/gazeta/dias/1822/05/02/pdfs/GMD-1822-124.pdf#page=5","Abrir facsímil")</f>
        <v>Abrir facsímil</v>
      </c>
      <c r="K1581" s="3" t="s">
        <v>22</v>
      </c>
    </row>
    <row r="1582" spans="1:11" ht="42" customHeight="1">
      <c r="A1582" s="2" t="s">
        <v>3307</v>
      </c>
      <c r="B1582" s="2" t="s">
        <v>3307</v>
      </c>
      <c r="C1582" s="2" t="s">
        <v>50</v>
      </c>
      <c r="D1582" s="2" t="s">
        <v>51</v>
      </c>
      <c r="E1582" s="5">
        <v>-28295</v>
      </c>
      <c r="F1582" s="3" t="s">
        <v>81</v>
      </c>
      <c r="G1582" s="3" t="s">
        <v>82</v>
      </c>
      <c r="H1582" s="2" t="s">
        <v>20</v>
      </c>
      <c r="I1582" s="2" t="s">
        <v>3308</v>
      </c>
      <c r="J1582" s="3" t="str">
        <f>HYPERLINK("https://www.boe.es/gazeta/dias/1822/07/12/pdfs/GMD-1822-202.pdf#page=3","Abrir facsímil")</f>
        <v>Abrir facsímil</v>
      </c>
      <c r="K1582" s="3" t="s">
        <v>22</v>
      </c>
    </row>
    <row r="1583" spans="1:11" ht="42" customHeight="1">
      <c r="A1583" s="2" t="s">
        <v>3307</v>
      </c>
      <c r="B1583" s="2" t="s">
        <v>3307</v>
      </c>
      <c r="C1583" s="2" t="s">
        <v>50</v>
      </c>
      <c r="D1583" s="2" t="s">
        <v>51</v>
      </c>
      <c r="E1583" s="5">
        <v>-28291</v>
      </c>
      <c r="F1583" s="3" t="s">
        <v>363</v>
      </c>
      <c r="G1583" s="3" t="s">
        <v>44</v>
      </c>
      <c r="H1583" s="2" t="s">
        <v>20</v>
      </c>
      <c r="I1583" s="2" t="s">
        <v>3309</v>
      </c>
      <c r="J1583" s="3" t="str">
        <f>HYPERLINK("https://www.boe.es/gazeta/dias/1822/07/16/pdfs/GMD-1822-206.pdf#page=1","Abrir facsímil")</f>
        <v>Abrir facsímil</v>
      </c>
      <c r="K1583" s="3" t="s">
        <v>22</v>
      </c>
    </row>
    <row r="1584" spans="1:11" ht="42" customHeight="1">
      <c r="A1584" s="2" t="s">
        <v>3307</v>
      </c>
      <c r="B1584" s="2" t="s">
        <v>3307</v>
      </c>
      <c r="C1584" s="2" t="s">
        <v>50</v>
      </c>
      <c r="D1584" s="2" t="s">
        <v>51</v>
      </c>
      <c r="E1584" s="5">
        <v>-28281</v>
      </c>
      <c r="F1584" s="3" t="s">
        <v>3310</v>
      </c>
      <c r="G1584" s="3" t="s">
        <v>44</v>
      </c>
      <c r="H1584" s="2" t="s">
        <v>20</v>
      </c>
      <c r="I1584" s="2" t="s">
        <v>3311</v>
      </c>
      <c r="J1584" s="3" t="str">
        <f>HYPERLINK("https://www.boe.es/gazeta/dias/1822/07/26/pdfs/GMD-1822-219.pdf#page=1","Abrir facsímil")</f>
        <v>Abrir facsímil</v>
      </c>
      <c r="K1584" s="3" t="s">
        <v>22</v>
      </c>
    </row>
    <row r="1585" spans="1:11" ht="42" customHeight="1">
      <c r="A1585" s="2" t="s">
        <v>3307</v>
      </c>
      <c r="B1585" s="2" t="s">
        <v>3307</v>
      </c>
      <c r="C1585" s="2" t="s">
        <v>50</v>
      </c>
      <c r="D1585" s="2" t="s">
        <v>51</v>
      </c>
      <c r="E1585" s="5">
        <v>-28217</v>
      </c>
      <c r="F1585" s="3" t="s">
        <v>1892</v>
      </c>
      <c r="G1585" s="3" t="s">
        <v>31</v>
      </c>
      <c r="H1585" s="2" t="s">
        <v>20</v>
      </c>
      <c r="I1585" s="2" t="s">
        <v>3312</v>
      </c>
      <c r="J1585" s="3" t="str">
        <f>HYPERLINK("https://www.boe.es/gazeta/dias/1822/09/28/pdfs/GMD-1822-284.pdf#page=3","Abrir facsímil")</f>
        <v>Abrir facsímil</v>
      </c>
      <c r="K1585" s="3" t="s">
        <v>22</v>
      </c>
    </row>
    <row r="1586" spans="1:11" ht="42" customHeight="1">
      <c r="A1586" s="2" t="s">
        <v>3307</v>
      </c>
      <c r="B1586" s="2" t="s">
        <v>3307</v>
      </c>
      <c r="C1586" s="2" t="s">
        <v>50</v>
      </c>
      <c r="D1586" s="2" t="s">
        <v>51</v>
      </c>
      <c r="E1586" s="5">
        <v>-28213</v>
      </c>
      <c r="F1586" s="3" t="s">
        <v>558</v>
      </c>
      <c r="G1586" s="3" t="s">
        <v>44</v>
      </c>
      <c r="H1586" s="2" t="s">
        <v>20</v>
      </c>
      <c r="I1586" s="2" t="s">
        <v>3313</v>
      </c>
      <c r="J1586" s="3" t="str">
        <f>HYPERLINK("https://www.boe.es/gazeta/dias/1822/10/02/pdfs/GMD-1822-288.pdf#page=1","Abrir facsímil")</f>
        <v>Abrir facsímil</v>
      </c>
      <c r="K1586" s="3" t="s">
        <v>22</v>
      </c>
    </row>
    <row r="1587" spans="1:11" ht="42" customHeight="1">
      <c r="A1587" s="2" t="s">
        <v>3307</v>
      </c>
      <c r="B1587" s="2" t="s">
        <v>3307</v>
      </c>
      <c r="C1587" s="2" t="s">
        <v>50</v>
      </c>
      <c r="D1587" s="2" t="s">
        <v>51</v>
      </c>
      <c r="E1587" s="5">
        <v>-28210</v>
      </c>
      <c r="F1587" s="3" t="s">
        <v>218</v>
      </c>
      <c r="G1587" s="3" t="s">
        <v>63</v>
      </c>
      <c r="H1587" s="2" t="s">
        <v>20</v>
      </c>
      <c r="I1587" s="2" t="s">
        <v>3314</v>
      </c>
      <c r="J1587" s="3" t="str">
        <f>HYPERLINK("https://www.boe.es/gazeta/dias/1822/10/05/pdfs/GMD-1822-291.pdf#page=6","Abrir facsímil")</f>
        <v>Abrir facsímil</v>
      </c>
      <c r="K1587" s="3" t="s">
        <v>22</v>
      </c>
    </row>
    <row r="1588" spans="1:11" ht="42" customHeight="1">
      <c r="A1588" s="2" t="s">
        <v>3315</v>
      </c>
      <c r="B1588" s="2" t="s">
        <v>3316</v>
      </c>
      <c r="C1588" s="2" t="s">
        <v>50</v>
      </c>
      <c r="D1588" s="2" t="s">
        <v>51</v>
      </c>
      <c r="E1588" s="5">
        <v>-28291</v>
      </c>
      <c r="F1588" s="3" t="s">
        <v>363</v>
      </c>
      <c r="G1588" s="3" t="s">
        <v>44</v>
      </c>
      <c r="H1588" s="2" t="s">
        <v>45</v>
      </c>
      <c r="I1588" s="2" t="s">
        <v>3317</v>
      </c>
      <c r="J1588" s="3" t="str">
        <f>HYPERLINK("https://www.boe.es/gazeta/dias/1822/07/16/pdfs/GMD-1822-206.pdf#page=1","Abrir facsímil")</f>
        <v>Abrir facsímil</v>
      </c>
      <c r="K1588" s="3" t="s">
        <v>47</v>
      </c>
    </row>
    <row r="1589" spans="1:11" ht="42" customHeight="1">
      <c r="A1589" s="2" t="s">
        <v>3318</v>
      </c>
      <c r="B1589" s="2" t="s">
        <v>3319</v>
      </c>
      <c r="C1589" s="2" t="s">
        <v>50</v>
      </c>
      <c r="D1589" s="2" t="s">
        <v>51</v>
      </c>
      <c r="E1589" s="5">
        <v>-28228</v>
      </c>
      <c r="F1589" s="3" t="s">
        <v>718</v>
      </c>
      <c r="G1589" s="3" t="s">
        <v>719</v>
      </c>
      <c r="H1589" s="2" t="s">
        <v>20</v>
      </c>
      <c r="I1589" s="2" t="s">
        <v>3320</v>
      </c>
      <c r="J1589" s="3" t="str">
        <f>HYPERLINK("https://www.boe.es/gazeta/dias/1822/09/17/pdfs/GMD-1822-273.pdf#page=3","Abrir facsímil")</f>
        <v>Abrir facsímil</v>
      </c>
      <c r="K1589" s="3" t="s">
        <v>22</v>
      </c>
    </row>
    <row r="1590" spans="1:11" ht="42" customHeight="1">
      <c r="A1590" s="2" t="s">
        <v>3321</v>
      </c>
      <c r="B1590" s="2" t="s">
        <v>3321</v>
      </c>
      <c r="C1590" s="2" t="s">
        <v>28</v>
      </c>
      <c r="D1590" s="2" t="s">
        <v>29</v>
      </c>
      <c r="E1590" s="5">
        <v>-28132</v>
      </c>
      <c r="F1590" s="3" t="s">
        <v>820</v>
      </c>
      <c r="G1590" s="3" t="s">
        <v>31</v>
      </c>
      <c r="H1590" s="2" t="s">
        <v>20</v>
      </c>
      <c r="I1590" s="2" t="s">
        <v>3322</v>
      </c>
      <c r="J1590" s="3" t="str">
        <f>HYPERLINK("https://www.boe.es/gazeta/dias/1822/12/22/pdfs/GMD-1822-372.pdf#page=3","Abrir facsímil")</f>
        <v>Abrir facsímil</v>
      </c>
      <c r="K1590" s="3" t="s">
        <v>22</v>
      </c>
    </row>
    <row r="1591" spans="1:11" ht="42" customHeight="1">
      <c r="A1591" s="2" t="s">
        <v>3323</v>
      </c>
      <c r="B1591" s="2" t="s">
        <v>3324</v>
      </c>
      <c r="C1591" s="2" t="s">
        <v>50</v>
      </c>
      <c r="D1591" s="2" t="s">
        <v>51</v>
      </c>
      <c r="E1591" s="5">
        <v>-28391</v>
      </c>
      <c r="F1591" s="3" t="s">
        <v>378</v>
      </c>
      <c r="G1591" s="3" t="s">
        <v>63</v>
      </c>
      <c r="H1591" s="2" t="s">
        <v>20</v>
      </c>
      <c r="I1591" s="2" t="s">
        <v>3325</v>
      </c>
      <c r="J1591" s="3" t="str">
        <f>HYPERLINK("https://www.boe.es/gazeta/dias/1822/04/07/pdfs/GMD-1822-99.pdf#page=6","Abrir facsímil")</f>
        <v>Abrir facsímil</v>
      </c>
      <c r="K1591" s="3" t="s">
        <v>22</v>
      </c>
    </row>
    <row r="1592" spans="1:11" ht="42" customHeight="1">
      <c r="A1592" s="2" t="s">
        <v>3326</v>
      </c>
      <c r="B1592" s="2" t="s">
        <v>3327</v>
      </c>
      <c r="C1592" s="2" t="s">
        <v>28</v>
      </c>
      <c r="D1592" s="2" t="s">
        <v>29</v>
      </c>
      <c r="E1592" s="5">
        <v>-28323</v>
      </c>
      <c r="F1592" s="3" t="s">
        <v>116</v>
      </c>
      <c r="G1592" s="3" t="s">
        <v>31</v>
      </c>
      <c r="H1592" s="2" t="s">
        <v>20</v>
      </c>
      <c r="I1592" s="2" t="s">
        <v>3328</v>
      </c>
      <c r="J1592" s="3" t="str">
        <f>HYPERLINK("https://www.boe.es/gazeta/dias/1822/06/14/pdfs/GMD-1822-171.pdf#page=3","Abrir facsímil")</f>
        <v>Abrir facsímil</v>
      </c>
      <c r="K1592" s="3" t="s">
        <v>22</v>
      </c>
    </row>
    <row r="1593" spans="1:11" ht="42" customHeight="1">
      <c r="A1593" s="2" t="s">
        <v>3329</v>
      </c>
      <c r="B1593" s="2" t="s">
        <v>3330</v>
      </c>
      <c r="C1593" s="2" t="s">
        <v>42</v>
      </c>
      <c r="D1593" s="2" t="s">
        <v>17</v>
      </c>
      <c r="E1593" s="5">
        <v>-28222</v>
      </c>
      <c r="F1593" s="3" t="s">
        <v>2027</v>
      </c>
      <c r="G1593" s="3" t="s">
        <v>31</v>
      </c>
      <c r="H1593" s="2" t="s">
        <v>20</v>
      </c>
      <c r="I1593" s="2" t="s">
        <v>3331</v>
      </c>
      <c r="J1593" s="3" t="str">
        <f>HYPERLINK("https://www.boe.es/gazeta/dias/1822/09/23/pdfs/GMD-1822-279.pdf#page=3","Abrir facsímil")</f>
        <v>Abrir facsímil</v>
      </c>
      <c r="K1593" s="3" t="s">
        <v>22</v>
      </c>
    </row>
    <row r="1594" spans="1:11" ht="42" customHeight="1">
      <c r="A1594" s="2" t="s">
        <v>3332</v>
      </c>
      <c r="B1594" s="2" t="s">
        <v>3333</v>
      </c>
      <c r="C1594" s="2" t="s">
        <v>28</v>
      </c>
      <c r="D1594" s="2" t="s">
        <v>29</v>
      </c>
      <c r="E1594" s="5">
        <v>-28297</v>
      </c>
      <c r="F1594" s="3" t="s">
        <v>1972</v>
      </c>
      <c r="G1594" s="3" t="s">
        <v>31</v>
      </c>
      <c r="H1594" s="2" t="s">
        <v>20</v>
      </c>
      <c r="I1594" s="2" t="s">
        <v>3334</v>
      </c>
      <c r="J1594" s="3" t="str">
        <f>HYPERLINK("https://www.boe.es/gazeta/dias/1822/07/10/pdfs/GMD-1822-200.pdf#page=3","Abrir facsímil")</f>
        <v>Abrir facsímil</v>
      </c>
      <c r="K1594" s="3" t="s">
        <v>22</v>
      </c>
    </row>
    <row r="1595" spans="1:11" ht="42" customHeight="1">
      <c r="A1595" s="2" t="s">
        <v>3335</v>
      </c>
      <c r="B1595" s="2" t="s">
        <v>3335</v>
      </c>
      <c r="C1595" s="2" t="s">
        <v>1141</v>
      </c>
      <c r="D1595" s="2" t="s">
        <v>29</v>
      </c>
      <c r="E1595" s="5">
        <v>-28455</v>
      </c>
      <c r="F1595" s="3" t="s">
        <v>1107</v>
      </c>
      <c r="G1595" s="3" t="s">
        <v>35</v>
      </c>
      <c r="H1595" s="2" t="s">
        <v>20</v>
      </c>
      <c r="I1595" s="2" t="s">
        <v>3336</v>
      </c>
      <c r="J1595" s="3" t="str">
        <f>HYPERLINK("https://www.boe.es/gazeta/dias/1822/02/02/pdfs/GMD-1822-33.pdf#page=2","Abrir facsímil")</f>
        <v>Abrir facsímil</v>
      </c>
      <c r="K1595" s="3" t="s">
        <v>22</v>
      </c>
    </row>
    <row r="1596" spans="1:11" ht="42" customHeight="1">
      <c r="A1596" s="2" t="s">
        <v>3337</v>
      </c>
      <c r="B1596" s="2" t="s">
        <v>3338</v>
      </c>
      <c r="C1596" s="2" t="s">
        <v>28</v>
      </c>
      <c r="D1596" s="2" t="s">
        <v>29</v>
      </c>
      <c r="E1596" s="5">
        <v>-28374</v>
      </c>
      <c r="F1596" s="3" t="s">
        <v>171</v>
      </c>
      <c r="G1596" s="3" t="s">
        <v>57</v>
      </c>
      <c r="H1596" s="2" t="s">
        <v>20</v>
      </c>
      <c r="I1596" s="2" t="s">
        <v>3339</v>
      </c>
      <c r="J1596" s="3" t="str">
        <f>HYPERLINK("https://www.boe.es/gazeta/dias/1822/04/24/pdfs/GMD-1822-116.pdf#page=4","Abrir facsímil")</f>
        <v>Abrir facsímil</v>
      </c>
      <c r="K1596" s="3" t="s">
        <v>22</v>
      </c>
    </row>
    <row r="1597" spans="1:11" ht="42" customHeight="1">
      <c r="A1597" s="2" t="s">
        <v>3340</v>
      </c>
      <c r="B1597" s="2" t="s">
        <v>3341</v>
      </c>
      <c r="C1597" s="2" t="s">
        <v>28</v>
      </c>
      <c r="D1597" s="2" t="s">
        <v>29</v>
      </c>
      <c r="E1597" s="5">
        <v>-28424</v>
      </c>
      <c r="F1597" s="3" t="s">
        <v>439</v>
      </c>
      <c r="G1597" s="3" t="s">
        <v>31</v>
      </c>
      <c r="H1597" s="2" t="s">
        <v>20</v>
      </c>
      <c r="I1597" s="2" t="s">
        <v>3342</v>
      </c>
      <c r="J1597" s="3" t="str">
        <f>HYPERLINK("https://www.boe.es/gazeta/dias/1822/03/05/pdfs/GMD-1822-66.pdf#page=3","Abrir facsímil")</f>
        <v>Abrir facsímil</v>
      </c>
      <c r="K1597" s="3" t="s">
        <v>22</v>
      </c>
    </row>
    <row r="1598" spans="1:11" ht="42" customHeight="1">
      <c r="A1598" s="2" t="s">
        <v>3343</v>
      </c>
      <c r="B1598" s="2" t="s">
        <v>3343</v>
      </c>
      <c r="C1598" s="2" t="s">
        <v>42</v>
      </c>
      <c r="D1598" s="2" t="s">
        <v>17</v>
      </c>
      <c r="E1598" s="5">
        <v>-28180</v>
      </c>
      <c r="F1598" s="3" t="s">
        <v>839</v>
      </c>
      <c r="G1598" s="3" t="s">
        <v>35</v>
      </c>
      <c r="H1598" s="2" t="s">
        <v>20</v>
      </c>
      <c r="I1598" s="2" t="s">
        <v>3344</v>
      </c>
      <c r="J1598" s="3" t="str">
        <f>HYPERLINK("https://www.boe.es/gazeta/dias/1822/11/04/pdfs/GMD-1822-323.pdf#page=2","Abrir facsímil")</f>
        <v>Abrir facsímil</v>
      </c>
      <c r="K1598" s="3" t="s">
        <v>22</v>
      </c>
    </row>
    <row r="1599" spans="1:11" ht="42" customHeight="1">
      <c r="A1599" s="2" t="s">
        <v>3345</v>
      </c>
      <c r="B1599" s="2" t="s">
        <v>3345</v>
      </c>
      <c r="C1599" s="2" t="s">
        <v>61</v>
      </c>
      <c r="D1599" s="2" t="s">
        <v>17</v>
      </c>
      <c r="E1599" s="5">
        <v>-28335</v>
      </c>
      <c r="F1599" s="3" t="s">
        <v>3346</v>
      </c>
      <c r="G1599" s="3" t="s">
        <v>31</v>
      </c>
      <c r="H1599" s="2" t="s">
        <v>20</v>
      </c>
      <c r="I1599" s="2" t="s">
        <v>3347</v>
      </c>
      <c r="J1599" s="3" t="str">
        <f>HYPERLINK("https://www.boe.es/gazeta/dias/1822/06/02/pdfs/GMD-1822-158.pdf#page=3","Abrir facsímil")</f>
        <v>Abrir facsímil</v>
      </c>
      <c r="K1599" s="3" t="s">
        <v>22</v>
      </c>
    </row>
    <row r="1600" spans="1:11" ht="42" customHeight="1">
      <c r="A1600" s="2" t="s">
        <v>3348</v>
      </c>
      <c r="B1600" s="2" t="s">
        <v>3349</v>
      </c>
      <c r="C1600" s="2" t="s">
        <v>50</v>
      </c>
      <c r="D1600" s="2" t="s">
        <v>51</v>
      </c>
      <c r="E1600" s="5">
        <v>-28303</v>
      </c>
      <c r="F1600" s="3" t="s">
        <v>201</v>
      </c>
      <c r="G1600" s="3" t="s">
        <v>31</v>
      </c>
      <c r="H1600" s="2" t="s">
        <v>20</v>
      </c>
      <c r="I1600" s="2" t="s">
        <v>3350</v>
      </c>
      <c r="J1600" s="3" t="str">
        <f>HYPERLINK("https://www.boe.es/gazeta/dias/1822/07/04/pdfs/GMD-1822-193.pdf#page=3","Abrir facsímil")</f>
        <v>Abrir facsímil</v>
      </c>
      <c r="K1600" s="3" t="s">
        <v>22</v>
      </c>
    </row>
    <row r="1601" spans="1:11" ht="42" customHeight="1">
      <c r="A1601" s="2" t="s">
        <v>3351</v>
      </c>
      <c r="B1601" s="2" t="s">
        <v>3352</v>
      </c>
      <c r="C1601" s="2" t="s">
        <v>16</v>
      </c>
      <c r="D1601" s="2" t="s">
        <v>17</v>
      </c>
      <c r="E1601" s="5">
        <v>-28321</v>
      </c>
      <c r="F1601" s="3" t="s">
        <v>1142</v>
      </c>
      <c r="G1601" s="3" t="s">
        <v>63</v>
      </c>
      <c r="H1601" s="2" t="s">
        <v>20</v>
      </c>
      <c r="I1601" s="2" t="s">
        <v>3353</v>
      </c>
      <c r="J1601" s="3" t="str">
        <f>HYPERLINK("https://www.boe.es/gazeta/dias/1822/06/16/pdfs/GMD-1822-173.pdf#page=6","Abrir facsímil")</f>
        <v>Abrir facsímil</v>
      </c>
      <c r="K1601" s="3" t="s">
        <v>22</v>
      </c>
    </row>
    <row r="1602" spans="1:11" ht="42" customHeight="1">
      <c r="A1602" s="2" t="s">
        <v>3354</v>
      </c>
      <c r="B1602" s="2" t="s">
        <v>3355</v>
      </c>
      <c r="C1602" s="2" t="s">
        <v>28</v>
      </c>
      <c r="D1602" s="2" t="s">
        <v>29</v>
      </c>
      <c r="E1602" s="5">
        <v>-28378</v>
      </c>
      <c r="F1602" s="3" t="s">
        <v>496</v>
      </c>
      <c r="G1602" s="3" t="s">
        <v>57</v>
      </c>
      <c r="H1602" s="2" t="s">
        <v>20</v>
      </c>
      <c r="I1602" s="2" t="s">
        <v>3356</v>
      </c>
      <c r="J1602" s="3" t="str">
        <f>HYPERLINK("https://www.boe.es/gazeta/dias/1822/04/20/pdfs/GMD-1822-112.pdf#page=4","Abrir facsímil")</f>
        <v>Abrir facsímil</v>
      </c>
      <c r="K1602" s="3" t="s">
        <v>22</v>
      </c>
    </row>
    <row r="1603" spans="1:11" ht="42" customHeight="1">
      <c r="A1603" s="2" t="s">
        <v>3357</v>
      </c>
      <c r="B1603" s="2" t="s">
        <v>3358</v>
      </c>
      <c r="C1603" s="2" t="s">
        <v>71</v>
      </c>
      <c r="D1603" s="2" t="s">
        <v>17</v>
      </c>
      <c r="E1603" s="5">
        <v>-28379</v>
      </c>
      <c r="F1603" s="3" t="s">
        <v>494</v>
      </c>
      <c r="G1603" s="3" t="s">
        <v>57</v>
      </c>
      <c r="H1603" s="2" t="s">
        <v>20</v>
      </c>
      <c r="I1603" s="2" t="s">
        <v>3359</v>
      </c>
      <c r="J1603" s="3" t="str">
        <f>HYPERLINK("https://www.boe.es/gazeta/dias/1822/04/19/pdfs/GMD-1822-111.pdf#page=4","Abrir facsímil")</f>
        <v>Abrir facsímil</v>
      </c>
      <c r="K1603" s="3" t="s">
        <v>22</v>
      </c>
    </row>
    <row r="1604" spans="1:11" ht="42" customHeight="1">
      <c r="A1604" s="2" t="s">
        <v>3357</v>
      </c>
      <c r="B1604" s="2" t="s">
        <v>3358</v>
      </c>
      <c r="C1604" s="2" t="s">
        <v>28</v>
      </c>
      <c r="D1604" s="2" t="s">
        <v>29</v>
      </c>
      <c r="E1604" s="5">
        <v>-28346</v>
      </c>
      <c r="F1604" s="3" t="s">
        <v>191</v>
      </c>
      <c r="G1604" s="3" t="s">
        <v>31</v>
      </c>
      <c r="H1604" s="2" t="s">
        <v>20</v>
      </c>
      <c r="I1604" s="2" t="s">
        <v>3360</v>
      </c>
      <c r="J1604" s="3" t="str">
        <f>HYPERLINK("https://www.boe.es/gazeta/dias/1822/05/22/pdfs/GMD-1822-145.pdf#page=3","Abrir facsímil")</f>
        <v>Abrir facsímil</v>
      </c>
      <c r="K1604" s="3" t="s">
        <v>22</v>
      </c>
    </row>
    <row r="1605" spans="1:11" ht="42" customHeight="1">
      <c r="A1605" s="2" t="s">
        <v>3361</v>
      </c>
      <c r="B1605" s="2" t="s">
        <v>3361</v>
      </c>
      <c r="C1605" s="2" t="s">
        <v>28</v>
      </c>
      <c r="D1605" s="2" t="s">
        <v>29</v>
      </c>
      <c r="E1605" s="5">
        <v>-28402</v>
      </c>
      <c r="F1605" s="3" t="s">
        <v>473</v>
      </c>
      <c r="G1605" s="3" t="s">
        <v>35</v>
      </c>
      <c r="H1605" s="2" t="s">
        <v>20</v>
      </c>
      <c r="I1605" s="2" t="s">
        <v>3362</v>
      </c>
      <c r="J1605" s="3" t="str">
        <f>HYPERLINK("https://www.boe.es/gazeta/dias/1822/03/27/pdfs/GMD-1822-88.pdf#page=2","Abrir facsímil")</f>
        <v>Abrir facsímil</v>
      </c>
      <c r="K1605" s="3" t="s">
        <v>22</v>
      </c>
    </row>
    <row r="1606" spans="1:11" ht="42" customHeight="1">
      <c r="A1606" s="2" t="s">
        <v>3363</v>
      </c>
      <c r="B1606" s="2" t="s">
        <v>3364</v>
      </c>
      <c r="C1606" s="2" t="s">
        <v>50</v>
      </c>
      <c r="D1606" s="2" t="s">
        <v>51</v>
      </c>
      <c r="E1606" s="5">
        <v>-28123</v>
      </c>
      <c r="F1606" s="3" t="s">
        <v>603</v>
      </c>
      <c r="G1606" s="3" t="s">
        <v>2642</v>
      </c>
      <c r="H1606" s="2" t="s">
        <v>20</v>
      </c>
      <c r="I1606" s="2" t="s">
        <v>3365</v>
      </c>
      <c r="J1606" s="3" t="str">
        <f>HYPERLINK("https://www.boe.es/gazeta/dias/1822/12/31/pdfs/GMD-1822-381.pdf#page=6","Abrir facsímil")</f>
        <v>Abrir facsímil</v>
      </c>
      <c r="K1606" s="3" t="s">
        <v>22</v>
      </c>
    </row>
    <row r="1607" spans="1:11" ht="42" customHeight="1">
      <c r="A1607" s="2" t="s">
        <v>3366</v>
      </c>
      <c r="B1607" s="2" t="s">
        <v>3367</v>
      </c>
      <c r="C1607" s="2" t="s">
        <v>71</v>
      </c>
      <c r="D1607" s="2" t="s">
        <v>17</v>
      </c>
      <c r="E1607" s="5">
        <v>-28123</v>
      </c>
      <c r="F1607" s="3" t="s">
        <v>603</v>
      </c>
      <c r="G1607" s="3" t="s">
        <v>2642</v>
      </c>
      <c r="H1607" s="2" t="s">
        <v>20</v>
      </c>
      <c r="I1607" s="2" t="s">
        <v>3368</v>
      </c>
      <c r="J1607" s="3" t="str">
        <f>HYPERLINK("https://www.boe.es/gazeta/dias/1822/12/31/pdfs/GMD-1822-381.pdf#page=6","Abrir facsímil")</f>
        <v>Abrir facsímil</v>
      </c>
      <c r="K1607" s="3" t="s">
        <v>22</v>
      </c>
    </row>
    <row r="1608" spans="1:11" ht="42" customHeight="1">
      <c r="A1608" s="2" t="s">
        <v>3369</v>
      </c>
      <c r="B1608" s="2" t="s">
        <v>3370</v>
      </c>
      <c r="C1608" s="2" t="s">
        <v>50</v>
      </c>
      <c r="D1608" s="2" t="s">
        <v>51</v>
      </c>
      <c r="E1608" s="5">
        <v>-28274</v>
      </c>
      <c r="F1608" s="3" t="s">
        <v>3371</v>
      </c>
      <c r="G1608" s="3" t="s">
        <v>57</v>
      </c>
      <c r="H1608" s="2" t="s">
        <v>20</v>
      </c>
      <c r="I1608" s="2" t="s">
        <v>3372</v>
      </c>
      <c r="J1608" s="3" t="str">
        <f>HYPERLINK("https://www.boe.es/gazeta/dias/1822/08/02/pdfs/GMD-1822-226.pdf#page=4","Abrir facsímil")</f>
        <v>Abrir facsímil</v>
      </c>
      <c r="K1608" s="3" t="s">
        <v>22</v>
      </c>
    </row>
    <row r="1609" spans="1:11" ht="42" customHeight="1">
      <c r="A1609" s="2" t="s">
        <v>3373</v>
      </c>
      <c r="B1609" s="2" t="s">
        <v>3374</v>
      </c>
      <c r="C1609" s="2" t="s">
        <v>42</v>
      </c>
      <c r="D1609" s="2" t="s">
        <v>17</v>
      </c>
      <c r="E1609" s="5">
        <v>-28223</v>
      </c>
      <c r="F1609" s="3" t="s">
        <v>2374</v>
      </c>
      <c r="G1609" s="3" t="s">
        <v>35</v>
      </c>
      <c r="H1609" s="2" t="s">
        <v>20</v>
      </c>
      <c r="I1609" s="2" t="s">
        <v>3375</v>
      </c>
      <c r="J1609" s="3" t="str">
        <f>HYPERLINK("https://www.boe.es/gazeta/dias/1822/09/22/pdfs/GMD-1822-278.pdf#page=2","Abrir facsímil")</f>
        <v>Abrir facsímil</v>
      </c>
      <c r="K1609" s="3" t="s">
        <v>22</v>
      </c>
    </row>
    <row r="1610" spans="1:11" ht="42" customHeight="1">
      <c r="A1610" s="2" t="s">
        <v>3376</v>
      </c>
      <c r="B1610" s="2" t="s">
        <v>3377</v>
      </c>
      <c r="C1610" s="2" t="s">
        <v>50</v>
      </c>
      <c r="D1610" s="2" t="s">
        <v>51</v>
      </c>
      <c r="E1610" s="5">
        <v>-28423</v>
      </c>
      <c r="F1610" s="3" t="s">
        <v>441</v>
      </c>
      <c r="G1610" s="3" t="s">
        <v>31</v>
      </c>
      <c r="H1610" s="2" t="s">
        <v>20</v>
      </c>
      <c r="I1610" s="2" t="s">
        <v>3378</v>
      </c>
      <c r="J1610" s="3" t="str">
        <f>HYPERLINK("https://www.boe.es/gazeta/dias/1822/03/06/pdfs/GMD-1822-67.pdf#page=3","Abrir facsímil")</f>
        <v>Abrir facsímil</v>
      </c>
      <c r="K1610" s="3" t="s">
        <v>22</v>
      </c>
    </row>
    <row r="1611" spans="1:11" ht="42" customHeight="1">
      <c r="A1611" s="2" t="s">
        <v>3379</v>
      </c>
      <c r="B1611" s="2" t="s">
        <v>3379</v>
      </c>
      <c r="C1611" s="2" t="s">
        <v>42</v>
      </c>
      <c r="D1611" s="2" t="s">
        <v>17</v>
      </c>
      <c r="E1611" s="5">
        <v>-28330</v>
      </c>
      <c r="F1611" s="3" t="s">
        <v>896</v>
      </c>
      <c r="G1611" s="3" t="s">
        <v>35</v>
      </c>
      <c r="H1611" s="2" t="s">
        <v>20</v>
      </c>
      <c r="I1611" s="2" t="s">
        <v>3380</v>
      </c>
      <c r="J1611" s="3" t="str">
        <f>HYPERLINK("https://www.boe.es/gazeta/dias/1822/06/07/pdfs/GMD-1822-164.pdf#page=2","Abrir facsímil")</f>
        <v>Abrir facsímil</v>
      </c>
      <c r="K1611" s="3" t="s">
        <v>22</v>
      </c>
    </row>
    <row r="1612" spans="1:11" ht="42" customHeight="1">
      <c r="A1612" s="2" t="s">
        <v>3381</v>
      </c>
      <c r="B1612" s="2" t="s">
        <v>3381</v>
      </c>
      <c r="C1612" s="2" t="s">
        <v>42</v>
      </c>
      <c r="D1612" s="2" t="s">
        <v>17</v>
      </c>
      <c r="E1612" s="5">
        <v>-28482</v>
      </c>
      <c r="F1612" s="3" t="s">
        <v>850</v>
      </c>
      <c r="G1612" s="3" t="s">
        <v>31</v>
      </c>
      <c r="H1612" s="2" t="s">
        <v>20</v>
      </c>
      <c r="I1612" s="2" t="s">
        <v>3382</v>
      </c>
      <c r="J1612" s="3" t="str">
        <f>HYPERLINK("https://www.boe.es/gazeta/dias/1822/01/06/pdfs/GMD-1822-6.pdf#page=3","Abrir facsímil")</f>
        <v>Abrir facsímil</v>
      </c>
      <c r="K1612" s="3" t="s">
        <v>22</v>
      </c>
    </row>
    <row r="1613" spans="1:11" ht="42" customHeight="1">
      <c r="A1613" s="2" t="s">
        <v>3383</v>
      </c>
      <c r="B1613" s="2" t="s">
        <v>3383</v>
      </c>
      <c r="C1613" s="2" t="s">
        <v>71</v>
      </c>
      <c r="D1613" s="2" t="s">
        <v>17</v>
      </c>
      <c r="E1613" s="5">
        <v>-28133</v>
      </c>
      <c r="F1613" s="3" t="s">
        <v>595</v>
      </c>
      <c r="G1613" s="3" t="s">
        <v>31</v>
      </c>
      <c r="H1613" s="2" t="s">
        <v>20</v>
      </c>
      <c r="I1613" s="2" t="s">
        <v>3384</v>
      </c>
      <c r="J1613" s="3" t="str">
        <f>HYPERLINK("https://www.boe.es/gazeta/dias/1822/12/21/pdfs/GMD-1822-371.pdf#page=3","Abrir facsímil")</f>
        <v>Abrir facsímil</v>
      </c>
      <c r="K1613" s="3" t="s">
        <v>22</v>
      </c>
    </row>
    <row r="1614" spans="1:11" ht="42" customHeight="1">
      <c r="A1614" s="2" t="s">
        <v>3385</v>
      </c>
      <c r="B1614" s="2" t="s">
        <v>3386</v>
      </c>
      <c r="C1614" s="2" t="s">
        <v>16</v>
      </c>
      <c r="D1614" s="2" t="s">
        <v>17</v>
      </c>
      <c r="E1614" s="5">
        <v>-28473</v>
      </c>
      <c r="F1614" s="3" t="s">
        <v>2337</v>
      </c>
      <c r="G1614" s="3" t="s">
        <v>167</v>
      </c>
      <c r="H1614" s="2" t="s">
        <v>20</v>
      </c>
      <c r="I1614" s="2" t="s">
        <v>3387</v>
      </c>
      <c r="J1614" s="3" t="str">
        <f>HYPERLINK("https://www.boe.es/gazeta/dias/1822/01/15/pdfs/GMD-1822-15.pdf#page=7","Abrir facsímil")</f>
        <v>Abrir facsímil</v>
      </c>
      <c r="K1614" s="3" t="s">
        <v>22</v>
      </c>
    </row>
    <row r="1615" spans="1:11" ht="42" customHeight="1">
      <c r="A1615" s="2" t="s">
        <v>3388</v>
      </c>
      <c r="B1615" s="2" t="s">
        <v>3389</v>
      </c>
      <c r="C1615" s="2" t="s">
        <v>50</v>
      </c>
      <c r="D1615" s="2" t="s">
        <v>51</v>
      </c>
      <c r="E1615" s="5">
        <v>-28424</v>
      </c>
      <c r="F1615" s="3" t="s">
        <v>439</v>
      </c>
      <c r="G1615" s="3" t="s">
        <v>57</v>
      </c>
      <c r="H1615" s="2" t="s">
        <v>20</v>
      </c>
      <c r="I1615" s="2" t="s">
        <v>3390</v>
      </c>
      <c r="J1615" s="3" t="str">
        <f>HYPERLINK("https://www.boe.es/gazeta/dias/1822/03/05/pdfs/GMD-1822-66.pdf#page=4","Abrir facsímil")</f>
        <v>Abrir facsímil</v>
      </c>
      <c r="K1615" s="3" t="s">
        <v>22</v>
      </c>
    </row>
    <row r="1616" spans="1:11" ht="42" customHeight="1">
      <c r="A1616" s="2" t="s">
        <v>3391</v>
      </c>
      <c r="B1616" s="2" t="s">
        <v>3392</v>
      </c>
      <c r="C1616" s="2" t="s">
        <v>42</v>
      </c>
      <c r="D1616" s="2" t="s">
        <v>17</v>
      </c>
      <c r="E1616" s="5">
        <v>-28246</v>
      </c>
      <c r="F1616" s="3" t="s">
        <v>3246</v>
      </c>
      <c r="G1616" s="3" t="s">
        <v>3393</v>
      </c>
      <c r="H1616" s="2" t="s">
        <v>20</v>
      </c>
      <c r="I1616" s="2" t="s">
        <v>3394</v>
      </c>
      <c r="J1616" s="3" t="str">
        <f>HYPERLINK("https://www.boe.es/gazeta/dias/1822/08/30/pdfs/GMD-1822-254.pdf#page=3","Abrir facsímil")</f>
        <v>Abrir facsímil</v>
      </c>
      <c r="K1616" s="3" t="s">
        <v>22</v>
      </c>
    </row>
    <row r="1617" spans="1:11" ht="42" customHeight="1">
      <c r="A1617" s="2" t="s">
        <v>3395</v>
      </c>
      <c r="B1617" s="2" t="s">
        <v>3396</v>
      </c>
      <c r="C1617" s="2" t="s">
        <v>42</v>
      </c>
      <c r="D1617" s="2" t="s">
        <v>17</v>
      </c>
      <c r="E1617" s="5">
        <v>-28250</v>
      </c>
      <c r="F1617" s="3" t="s">
        <v>1174</v>
      </c>
      <c r="G1617" s="3" t="s">
        <v>57</v>
      </c>
      <c r="H1617" s="2" t="s">
        <v>20</v>
      </c>
      <c r="I1617" s="2" t="s">
        <v>3397</v>
      </c>
      <c r="J1617" s="3" t="str">
        <f>HYPERLINK("https://www.boe.es/gazeta/dias/1822/08/26/pdfs/GMD-1822-250.pdf#page=4","Abrir facsímil")</f>
        <v>Abrir facsímil</v>
      </c>
      <c r="K1617" s="3" t="s">
        <v>22</v>
      </c>
    </row>
    <row r="1618" spans="1:11" ht="42" customHeight="1">
      <c r="A1618" s="2" t="s">
        <v>3398</v>
      </c>
      <c r="B1618" s="2" t="s">
        <v>3399</v>
      </c>
      <c r="C1618" s="2" t="s">
        <v>28</v>
      </c>
      <c r="D1618" s="2" t="s">
        <v>29</v>
      </c>
      <c r="E1618" s="5">
        <v>-28440</v>
      </c>
      <c r="F1618" s="3" t="s">
        <v>1307</v>
      </c>
      <c r="G1618" s="3" t="s">
        <v>57</v>
      </c>
      <c r="H1618" s="2" t="s">
        <v>20</v>
      </c>
      <c r="I1618" s="2" t="s">
        <v>3400</v>
      </c>
      <c r="J1618" s="3" t="str">
        <f>HYPERLINK("https://www.boe.es/gazeta/dias/1822/02/17/pdfs/GMD-1822-49.pdf#page=4","Abrir facsímil")</f>
        <v>Abrir facsímil</v>
      </c>
      <c r="K1618" s="3" t="s">
        <v>22</v>
      </c>
    </row>
    <row r="1619" spans="1:11" ht="42" customHeight="1">
      <c r="A1619" s="2" t="s">
        <v>3401</v>
      </c>
      <c r="B1619" s="2" t="s">
        <v>3402</v>
      </c>
      <c r="C1619" s="2" t="s">
        <v>50</v>
      </c>
      <c r="D1619" s="2" t="s">
        <v>51</v>
      </c>
      <c r="E1619" s="5">
        <v>-28189</v>
      </c>
      <c r="F1619" s="3" t="s">
        <v>645</v>
      </c>
      <c r="G1619" s="3" t="s">
        <v>63</v>
      </c>
      <c r="H1619" s="2" t="s">
        <v>20</v>
      </c>
      <c r="I1619" s="2" t="s">
        <v>3403</v>
      </c>
      <c r="J1619" s="3" t="str">
        <f>HYPERLINK("https://www.boe.es/gazeta/dias/1822/10/26/pdfs/GMD-1822-313.pdf#page=6","Abrir facsímil")</f>
        <v>Abrir facsímil</v>
      </c>
      <c r="K1619" s="3" t="s">
        <v>22</v>
      </c>
    </row>
    <row r="1620" spans="1:11" ht="42" customHeight="1">
      <c r="A1620" s="2" t="s">
        <v>3404</v>
      </c>
      <c r="B1620" s="2" t="s">
        <v>3405</v>
      </c>
      <c r="C1620" s="2" t="s">
        <v>50</v>
      </c>
      <c r="D1620" s="2" t="s">
        <v>51</v>
      </c>
      <c r="E1620" s="5">
        <v>-28424</v>
      </c>
      <c r="F1620" s="3" t="s">
        <v>439</v>
      </c>
      <c r="G1620" s="3" t="s">
        <v>57</v>
      </c>
      <c r="H1620" s="2" t="s">
        <v>20</v>
      </c>
      <c r="I1620" s="2" t="s">
        <v>3406</v>
      </c>
      <c r="J1620" s="3" t="str">
        <f>HYPERLINK("https://www.boe.es/gazeta/dias/1822/03/05/pdfs/GMD-1822-66.pdf#page=4","Abrir facsímil")</f>
        <v>Abrir facsímil</v>
      </c>
      <c r="K1620" s="3" t="s">
        <v>22</v>
      </c>
    </row>
    <row r="1621" spans="1:11" ht="42" customHeight="1">
      <c r="A1621" s="2" t="s">
        <v>3407</v>
      </c>
      <c r="B1621" s="2" t="s">
        <v>3407</v>
      </c>
      <c r="C1621" s="2" t="s">
        <v>28</v>
      </c>
      <c r="D1621" s="2" t="s">
        <v>29</v>
      </c>
      <c r="E1621" s="5">
        <v>-28432</v>
      </c>
      <c r="F1621" s="3" t="s">
        <v>195</v>
      </c>
      <c r="G1621" s="3" t="s">
        <v>31</v>
      </c>
      <c r="H1621" s="2" t="s">
        <v>20</v>
      </c>
      <c r="I1621" s="2" t="s">
        <v>3408</v>
      </c>
      <c r="J1621" s="3" t="str">
        <f>HYPERLINK("https://www.boe.es/gazeta/dias/1822/02/25/pdfs/GMD-1822-57.pdf#page=3","Abrir facsímil")</f>
        <v>Abrir facsímil</v>
      </c>
      <c r="K1621" s="3" t="s">
        <v>22</v>
      </c>
    </row>
    <row r="1622" spans="1:11" ht="42" customHeight="1">
      <c r="A1622" s="2" t="s">
        <v>3407</v>
      </c>
      <c r="B1622" s="2" t="s">
        <v>3407</v>
      </c>
      <c r="C1622" s="2" t="s">
        <v>28</v>
      </c>
      <c r="D1622" s="2" t="s">
        <v>29</v>
      </c>
      <c r="E1622" s="5">
        <v>-28365</v>
      </c>
      <c r="F1622" s="3" t="s">
        <v>506</v>
      </c>
      <c r="G1622" s="3" t="s">
        <v>31</v>
      </c>
      <c r="H1622" s="2" t="s">
        <v>20</v>
      </c>
      <c r="I1622" s="2" t="s">
        <v>3409</v>
      </c>
      <c r="J1622" s="3" t="str">
        <f>HYPERLINK("https://www.boe.es/gazeta/dias/1822/05/03/pdfs/GMD-1822-125.pdf#page=3","Abrir facsímil")</f>
        <v>Abrir facsímil</v>
      </c>
      <c r="K1622" s="3" t="s">
        <v>22</v>
      </c>
    </row>
    <row r="1623" spans="1:11" ht="42" customHeight="1">
      <c r="A1623" s="2" t="s">
        <v>3407</v>
      </c>
      <c r="B1623" s="2" t="s">
        <v>3407</v>
      </c>
      <c r="C1623" s="2" t="s">
        <v>50</v>
      </c>
      <c r="D1623" s="2" t="s">
        <v>51</v>
      </c>
      <c r="E1623" s="5">
        <v>-28335</v>
      </c>
      <c r="F1623" s="3" t="s">
        <v>3346</v>
      </c>
      <c r="G1623" s="3" t="s">
        <v>31</v>
      </c>
      <c r="H1623" s="2" t="s">
        <v>20</v>
      </c>
      <c r="I1623" s="2" t="s">
        <v>3410</v>
      </c>
      <c r="J1623" s="3" t="str">
        <f>HYPERLINK("https://www.boe.es/gazeta/dias/1822/06/02/pdfs/GMD-1822-158.pdf#page=3","Abrir facsímil")</f>
        <v>Abrir facsímil</v>
      </c>
      <c r="K1623" s="3" t="s">
        <v>22</v>
      </c>
    </row>
    <row r="1624" spans="1:11" ht="42" customHeight="1">
      <c r="A1624" s="2" t="s">
        <v>3411</v>
      </c>
      <c r="B1624" s="2" t="s">
        <v>3411</v>
      </c>
      <c r="C1624" s="2" t="s">
        <v>28</v>
      </c>
      <c r="D1624" s="2" t="s">
        <v>29</v>
      </c>
      <c r="E1624" s="5">
        <v>-28186</v>
      </c>
      <c r="F1624" s="3" t="s">
        <v>581</v>
      </c>
      <c r="G1624" s="3" t="s">
        <v>35</v>
      </c>
      <c r="H1624" s="2" t="s">
        <v>20</v>
      </c>
      <c r="I1624" s="2" t="s">
        <v>3412</v>
      </c>
      <c r="J1624" s="3" t="str">
        <f>HYPERLINK("https://www.boe.es/gazeta/dias/1822/10/29/pdfs/GMD-1822-316.pdf#page=2","Abrir facsímil")</f>
        <v>Abrir facsímil</v>
      </c>
      <c r="K1624" s="3" t="s">
        <v>22</v>
      </c>
    </row>
    <row r="1625" spans="1:11" ht="42" customHeight="1">
      <c r="A1625" s="2" t="s">
        <v>3413</v>
      </c>
      <c r="B1625" s="2" t="s">
        <v>3413</v>
      </c>
      <c r="C1625" s="2" t="s">
        <v>50</v>
      </c>
      <c r="D1625" s="2" t="s">
        <v>51</v>
      </c>
      <c r="E1625" s="5">
        <v>-28278</v>
      </c>
      <c r="F1625" s="3" t="s">
        <v>368</v>
      </c>
      <c r="G1625" s="3" t="s">
        <v>31</v>
      </c>
      <c r="H1625" s="2" t="s">
        <v>20</v>
      </c>
      <c r="I1625" s="2" t="s">
        <v>3414</v>
      </c>
      <c r="J1625" s="3" t="str">
        <f>HYPERLINK("https://www.boe.es/gazeta/dias/1822/07/29/pdfs/GMD-1822-222.pdf#page=3","Abrir facsímil")</f>
        <v>Abrir facsímil</v>
      </c>
      <c r="K1625" s="3" t="s">
        <v>22</v>
      </c>
    </row>
    <row r="1626" spans="1:11" ht="42" customHeight="1">
      <c r="A1626" s="2" t="s">
        <v>3415</v>
      </c>
      <c r="B1626" s="2" t="s">
        <v>3416</v>
      </c>
      <c r="C1626" s="2" t="s">
        <v>50</v>
      </c>
      <c r="D1626" s="2" t="s">
        <v>51</v>
      </c>
      <c r="E1626" s="5">
        <v>-28287</v>
      </c>
      <c r="F1626" s="3" t="s">
        <v>1295</v>
      </c>
      <c r="G1626" s="3" t="s">
        <v>57</v>
      </c>
      <c r="H1626" s="2" t="s">
        <v>20</v>
      </c>
      <c r="I1626" s="2" t="s">
        <v>3417</v>
      </c>
      <c r="J1626" s="3" t="str">
        <f>HYPERLINK("https://www.boe.es/gazeta/dias/1822/07/20/pdfs/GMD-1822-212.pdf#page=4","Abrir facsímil")</f>
        <v>Abrir facsímil</v>
      </c>
      <c r="K1626" s="3" t="s">
        <v>22</v>
      </c>
    </row>
    <row r="1627" spans="1:11" ht="42" customHeight="1">
      <c r="A1627" s="2" t="s">
        <v>3418</v>
      </c>
      <c r="B1627" s="2" t="s">
        <v>3419</v>
      </c>
      <c r="C1627" s="2" t="s">
        <v>50</v>
      </c>
      <c r="D1627" s="2" t="s">
        <v>51</v>
      </c>
      <c r="E1627" s="5">
        <v>-28349</v>
      </c>
      <c r="F1627" s="3" t="s">
        <v>518</v>
      </c>
      <c r="G1627" s="3" t="s">
        <v>57</v>
      </c>
      <c r="H1627" s="2" t="s">
        <v>20</v>
      </c>
      <c r="I1627" s="2" t="s">
        <v>3420</v>
      </c>
      <c r="J1627" s="3" t="str">
        <f>HYPERLINK("https://www.boe.es/gazeta/dias/1822/05/19/pdfs/GMD-1822-141.pdf#page=4","Abrir facsímil")</f>
        <v>Abrir facsímil</v>
      </c>
      <c r="K1627" s="3" t="s">
        <v>22</v>
      </c>
    </row>
    <row r="1628" spans="1:11" ht="42" customHeight="1">
      <c r="A1628" s="2" t="s">
        <v>3421</v>
      </c>
      <c r="B1628" s="2" t="s">
        <v>3422</v>
      </c>
      <c r="C1628" s="2" t="s">
        <v>42</v>
      </c>
      <c r="D1628" s="2" t="s">
        <v>17</v>
      </c>
      <c r="E1628" s="5">
        <v>-28289</v>
      </c>
      <c r="F1628" s="3" t="s">
        <v>390</v>
      </c>
      <c r="G1628" s="3" t="s">
        <v>35</v>
      </c>
      <c r="H1628" s="2" t="s">
        <v>20</v>
      </c>
      <c r="I1628" s="2" t="s">
        <v>3423</v>
      </c>
      <c r="J1628" s="3" t="str">
        <f>HYPERLINK("https://www.boe.es/gazeta/dias/1822/07/18/pdfs/GMD-1822-209.pdf#page=2","Abrir facsímil")</f>
        <v>Abrir facsímil</v>
      </c>
      <c r="K1628" s="3" t="s">
        <v>22</v>
      </c>
    </row>
    <row r="1629" spans="1:11" ht="42" customHeight="1">
      <c r="A1629" s="2" t="s">
        <v>3424</v>
      </c>
      <c r="B1629" s="2" t="s">
        <v>3424</v>
      </c>
      <c r="C1629" s="2" t="s">
        <v>50</v>
      </c>
      <c r="D1629" s="2" t="s">
        <v>51</v>
      </c>
      <c r="E1629" s="5">
        <v>-28163</v>
      </c>
      <c r="F1629" s="3" t="s">
        <v>891</v>
      </c>
      <c r="G1629" s="3" t="s">
        <v>44</v>
      </c>
      <c r="H1629" s="2" t="s">
        <v>20</v>
      </c>
      <c r="I1629" s="2" t="s">
        <v>3425</v>
      </c>
      <c r="J1629" s="3" t="str">
        <f>HYPERLINK("https://www.boe.es/gazeta/dias/1822/11/21/pdfs/GMD-1822-341.pdf#page=1","Abrir facsímil")</f>
        <v>Abrir facsímil</v>
      </c>
      <c r="K1629" s="3" t="s">
        <v>22</v>
      </c>
    </row>
    <row r="1630" spans="1:11" ht="42" customHeight="1">
      <c r="A1630" s="2" t="s">
        <v>3426</v>
      </c>
      <c r="B1630" s="2" t="s">
        <v>3427</v>
      </c>
      <c r="C1630" s="2" t="s">
        <v>50</v>
      </c>
      <c r="D1630" s="2" t="s">
        <v>51</v>
      </c>
      <c r="E1630" s="5">
        <v>-28182</v>
      </c>
      <c r="F1630" s="3" t="s">
        <v>585</v>
      </c>
      <c r="G1630" s="3" t="s">
        <v>63</v>
      </c>
      <c r="H1630" s="2" t="s">
        <v>20</v>
      </c>
      <c r="I1630" s="2" t="s">
        <v>3428</v>
      </c>
      <c r="J1630" s="3" t="str">
        <f>HYPERLINK("https://www.boe.es/gazeta/dias/1822/11/02/pdfs/GMD-1822-320.pdf#page=6","Abrir facsímil")</f>
        <v>Abrir facsímil</v>
      </c>
      <c r="K1630" s="3" t="s">
        <v>22</v>
      </c>
    </row>
    <row r="1631" spans="1:11" ht="42" customHeight="1">
      <c r="A1631" s="2" t="s">
        <v>3429</v>
      </c>
      <c r="B1631" s="2" t="s">
        <v>3429</v>
      </c>
      <c r="C1631" s="2" t="s">
        <v>28</v>
      </c>
      <c r="D1631" s="2" t="s">
        <v>29</v>
      </c>
      <c r="E1631" s="5">
        <v>-28266</v>
      </c>
      <c r="F1631" s="3" t="s">
        <v>1169</v>
      </c>
      <c r="G1631" s="3" t="s">
        <v>57</v>
      </c>
      <c r="H1631" s="2" t="s">
        <v>20</v>
      </c>
      <c r="I1631" s="2" t="s">
        <v>3430</v>
      </c>
      <c r="J1631" s="3" t="str">
        <f>HYPERLINK("https://www.boe.es/gazeta/dias/1822/08/10/pdfs/GMD-1822-234.pdf#page=4","Abrir facsímil")</f>
        <v>Abrir facsímil</v>
      </c>
      <c r="K1631" s="3" t="s">
        <v>22</v>
      </c>
    </row>
    <row r="1632" spans="1:11" ht="42" customHeight="1">
      <c r="A1632" s="2" t="s">
        <v>3431</v>
      </c>
      <c r="B1632" s="2" t="s">
        <v>3432</v>
      </c>
      <c r="C1632" s="2" t="s">
        <v>50</v>
      </c>
      <c r="D1632" s="2" t="s">
        <v>51</v>
      </c>
      <c r="E1632" s="5">
        <v>-28292</v>
      </c>
      <c r="F1632" s="3" t="s">
        <v>222</v>
      </c>
      <c r="G1632" s="3" t="s">
        <v>31</v>
      </c>
      <c r="H1632" s="2" t="s">
        <v>20</v>
      </c>
      <c r="I1632" s="2" t="s">
        <v>3433</v>
      </c>
      <c r="J1632" s="3" t="str">
        <f>HYPERLINK("https://www.boe.es/gazeta/dias/1822/07/15/pdfs/GMD-1822-205.pdf#page=3","Abrir facsímil")</f>
        <v>Abrir facsímil</v>
      </c>
      <c r="K1632" s="3" t="s">
        <v>22</v>
      </c>
    </row>
    <row r="1633" spans="1:11" ht="42" customHeight="1">
      <c r="A1633" s="2" t="s">
        <v>3434</v>
      </c>
      <c r="B1633" s="2" t="s">
        <v>3434</v>
      </c>
      <c r="C1633" s="2" t="s">
        <v>50</v>
      </c>
      <c r="D1633" s="2" t="s">
        <v>51</v>
      </c>
      <c r="E1633" s="5">
        <v>-28302</v>
      </c>
      <c r="F1633" s="3" t="s">
        <v>791</v>
      </c>
      <c r="G1633" s="3" t="s">
        <v>35</v>
      </c>
      <c r="H1633" s="2" t="s">
        <v>20</v>
      </c>
      <c r="I1633" s="2" t="s">
        <v>3435</v>
      </c>
      <c r="J1633" s="3" t="str">
        <f>HYPERLINK("https://www.boe.es/gazeta/dias/1822/07/05/pdfs/GMD-1822-194.pdf#page=2","Abrir facsímil")</f>
        <v>Abrir facsímil</v>
      </c>
      <c r="K1633" s="3" t="s">
        <v>22</v>
      </c>
    </row>
    <row r="1634" spans="1:11" ht="42" customHeight="1">
      <c r="A1634" s="2" t="s">
        <v>3436</v>
      </c>
      <c r="B1634" s="2" t="s">
        <v>3436</v>
      </c>
      <c r="C1634" s="2" t="s">
        <v>28</v>
      </c>
      <c r="D1634" s="2" t="s">
        <v>29</v>
      </c>
      <c r="E1634" s="5">
        <v>-28430</v>
      </c>
      <c r="F1634" s="3" t="s">
        <v>3437</v>
      </c>
      <c r="G1634" s="3" t="s">
        <v>57</v>
      </c>
      <c r="H1634" s="2" t="s">
        <v>20</v>
      </c>
      <c r="I1634" s="2" t="s">
        <v>3438</v>
      </c>
      <c r="J1634" s="3" t="str">
        <f>HYPERLINK("https://www.boe.es/gazeta/dias/1822/02/27/pdfs/GMD-1822-59.pdf#page=4","Abrir facsímil")</f>
        <v>Abrir facsímil</v>
      </c>
      <c r="K1634" s="3" t="s">
        <v>22</v>
      </c>
    </row>
    <row r="1635" spans="1:11" ht="42" customHeight="1">
      <c r="A1635" s="2" t="s">
        <v>3439</v>
      </c>
      <c r="B1635" s="2" t="s">
        <v>3439</v>
      </c>
      <c r="C1635" s="2" t="s">
        <v>16</v>
      </c>
      <c r="D1635" s="2" t="s">
        <v>17</v>
      </c>
      <c r="E1635" s="5">
        <v>-28457</v>
      </c>
      <c r="F1635" s="3" t="s">
        <v>1655</v>
      </c>
      <c r="G1635" s="3" t="s">
        <v>31</v>
      </c>
      <c r="H1635" s="2" t="s">
        <v>20</v>
      </c>
      <c r="I1635" s="2" t="s">
        <v>3440</v>
      </c>
      <c r="J1635" s="3" t="str">
        <f>HYPERLINK("https://www.boe.es/gazeta/dias/1822/01/31/pdfs/GMD-1822-31.pdf#page=3","Abrir facsímil")</f>
        <v>Abrir facsímil</v>
      </c>
      <c r="K1635" s="3" t="s">
        <v>22</v>
      </c>
    </row>
    <row r="1636" spans="1:11" ht="42" customHeight="1">
      <c r="A1636" s="2" t="s">
        <v>3441</v>
      </c>
      <c r="B1636" s="2" t="s">
        <v>3441</v>
      </c>
      <c r="C1636" s="2" t="s">
        <v>50</v>
      </c>
      <c r="D1636" s="2" t="s">
        <v>51</v>
      </c>
      <c r="E1636" s="5">
        <v>-28486</v>
      </c>
      <c r="F1636" s="3" t="s">
        <v>1046</v>
      </c>
      <c r="G1636" s="3" t="s">
        <v>35</v>
      </c>
      <c r="H1636" s="2" t="s">
        <v>20</v>
      </c>
      <c r="I1636" s="2" t="s">
        <v>3442</v>
      </c>
      <c r="J1636" s="3" t="str">
        <f>HYPERLINK("https://www.boe.es/gazeta/dias/1822/01/02/pdfs/GMD-1822-2.pdf#page=2","Abrir facsímil")</f>
        <v>Abrir facsímil</v>
      </c>
      <c r="K1636" s="3" t="s">
        <v>22</v>
      </c>
    </row>
    <row r="1637" spans="1:11" ht="42" customHeight="1">
      <c r="A1637" s="2" t="s">
        <v>3441</v>
      </c>
      <c r="B1637" s="2" t="s">
        <v>3441</v>
      </c>
      <c r="C1637" s="2" t="s">
        <v>42</v>
      </c>
      <c r="D1637" s="2" t="s">
        <v>17</v>
      </c>
      <c r="E1637" s="5">
        <v>-28465</v>
      </c>
      <c r="F1637" s="3" t="s">
        <v>1114</v>
      </c>
      <c r="G1637" s="3" t="s">
        <v>63</v>
      </c>
      <c r="H1637" s="2" t="s">
        <v>20</v>
      </c>
      <c r="I1637" s="2" t="s">
        <v>3443</v>
      </c>
      <c r="J1637" s="3" t="str">
        <f>HYPERLINK("https://www.boe.es/gazeta/dias/1822/01/23/pdfs/GMD-1822-23.pdf#page=6","Abrir facsímil")</f>
        <v>Abrir facsímil</v>
      </c>
      <c r="K1637" s="3" t="s">
        <v>22</v>
      </c>
    </row>
    <row r="1638" spans="1:11" ht="42" customHeight="1">
      <c r="A1638" s="2" t="s">
        <v>3441</v>
      </c>
      <c r="B1638" s="2" t="s">
        <v>3441</v>
      </c>
      <c r="C1638" s="2" t="s">
        <v>50</v>
      </c>
      <c r="D1638" s="2" t="s">
        <v>51</v>
      </c>
      <c r="E1638" s="5">
        <v>-28444</v>
      </c>
      <c r="F1638" s="3" t="s">
        <v>681</v>
      </c>
      <c r="G1638" s="3" t="s">
        <v>35</v>
      </c>
      <c r="H1638" s="2" t="s">
        <v>20</v>
      </c>
      <c r="I1638" s="2" t="s">
        <v>3444</v>
      </c>
      <c r="J1638" s="3" t="str">
        <f>HYPERLINK("https://www.boe.es/gazeta/dias/1822/02/13/pdfs/GMD-1822-44.pdf#page=2","Abrir facsímil")</f>
        <v>Abrir facsímil</v>
      </c>
      <c r="K1638" s="3" t="s">
        <v>22</v>
      </c>
    </row>
    <row r="1639" spans="1:11" ht="42" customHeight="1">
      <c r="A1639" s="2" t="s">
        <v>3445</v>
      </c>
      <c r="B1639" s="2" t="s">
        <v>3446</v>
      </c>
      <c r="C1639" s="2" t="s">
        <v>16</v>
      </c>
      <c r="D1639" s="2" t="s">
        <v>17</v>
      </c>
      <c r="E1639" s="5">
        <v>-28318</v>
      </c>
      <c r="F1639" s="3" t="s">
        <v>397</v>
      </c>
      <c r="G1639" s="3" t="s">
        <v>157</v>
      </c>
      <c r="H1639" s="2" t="s">
        <v>20</v>
      </c>
      <c r="I1639" s="2" t="s">
        <v>3447</v>
      </c>
      <c r="J1639" s="3" t="str">
        <f>HYPERLINK("https://www.boe.es/gazeta/dias/1822/06/19/pdfs/GMD-1822-176.pdf#page=8","Abrir facsímil")</f>
        <v>Abrir facsímil</v>
      </c>
      <c r="K1639" s="3" t="s">
        <v>22</v>
      </c>
    </row>
    <row r="1640" spans="1:11" ht="42" customHeight="1">
      <c r="A1640" s="2" t="s">
        <v>3448</v>
      </c>
      <c r="B1640" s="2" t="s">
        <v>3449</v>
      </c>
      <c r="C1640" s="2" t="s">
        <v>50</v>
      </c>
      <c r="D1640" s="2" t="s">
        <v>51</v>
      </c>
      <c r="E1640" s="5">
        <v>-28192</v>
      </c>
      <c r="F1640" s="3" t="s">
        <v>43</v>
      </c>
      <c r="G1640" s="3" t="s">
        <v>44</v>
      </c>
      <c r="H1640" s="2" t="s">
        <v>20</v>
      </c>
      <c r="I1640" s="2" t="s">
        <v>3450</v>
      </c>
      <c r="J1640" s="3" t="str">
        <f>HYPERLINK("https://www.boe.es/gazeta/dias/1822/10/23/pdfs/GMD-1822-310.pdf#page=1","Abrir facsímil")</f>
        <v>Abrir facsímil</v>
      </c>
      <c r="K1640" s="3" t="s">
        <v>22</v>
      </c>
    </row>
    <row r="1641" spans="1:11" ht="42" customHeight="1">
      <c r="A1641" s="2" t="s">
        <v>3451</v>
      </c>
      <c r="B1641" s="2" t="s">
        <v>3452</v>
      </c>
      <c r="C1641" s="2" t="s">
        <v>50</v>
      </c>
      <c r="D1641" s="2" t="s">
        <v>51</v>
      </c>
      <c r="E1641" s="5">
        <v>-28210</v>
      </c>
      <c r="F1641" s="3" t="s">
        <v>218</v>
      </c>
      <c r="G1641" s="3" t="s">
        <v>19</v>
      </c>
      <c r="H1641" s="2" t="s">
        <v>20</v>
      </c>
      <c r="I1641" s="2" t="s">
        <v>3453</v>
      </c>
      <c r="J1641" s="3" t="str">
        <f>HYPERLINK("https://www.boe.es/gazeta/dias/1822/10/05/pdfs/GMD-1822-291.pdf#page=5","Abrir facsímil")</f>
        <v>Abrir facsímil</v>
      </c>
      <c r="K1641" s="3" t="s">
        <v>22</v>
      </c>
    </row>
    <row r="1642" spans="1:11" ht="42" customHeight="1">
      <c r="A1642" s="2" t="s">
        <v>3454</v>
      </c>
      <c r="B1642" s="2" t="s">
        <v>3454</v>
      </c>
      <c r="C1642" s="2" t="s">
        <v>50</v>
      </c>
      <c r="D1642" s="2" t="s">
        <v>51</v>
      </c>
      <c r="E1642" s="5">
        <v>-28245</v>
      </c>
      <c r="F1642" s="3" t="s">
        <v>2307</v>
      </c>
      <c r="G1642" s="3" t="s">
        <v>35</v>
      </c>
      <c r="H1642" s="2" t="s">
        <v>20</v>
      </c>
      <c r="I1642" s="2" t="s">
        <v>3455</v>
      </c>
      <c r="J1642" s="3" t="str">
        <f>HYPERLINK("https://www.boe.es/gazeta/dias/1822/08/31/pdfs/GMD-1822-255.pdf#page=2","Abrir facsímil")</f>
        <v>Abrir facsímil</v>
      </c>
      <c r="K1642" s="3" t="s">
        <v>22</v>
      </c>
    </row>
    <row r="1643" spans="1:11" ht="42" customHeight="1">
      <c r="A1643" s="2" t="s">
        <v>3456</v>
      </c>
      <c r="B1643" s="2" t="s">
        <v>3457</v>
      </c>
      <c r="C1643" s="2" t="s">
        <v>42</v>
      </c>
      <c r="D1643" s="2" t="s">
        <v>17</v>
      </c>
      <c r="E1643" s="5">
        <v>-28245</v>
      </c>
      <c r="F1643" s="3" t="s">
        <v>2307</v>
      </c>
      <c r="G1643" s="3" t="s">
        <v>35</v>
      </c>
      <c r="H1643" s="2" t="s">
        <v>20</v>
      </c>
      <c r="I1643" s="2" t="s">
        <v>3458</v>
      </c>
      <c r="J1643" s="3" t="str">
        <f>HYPERLINK("https://www.boe.es/gazeta/dias/1822/08/31/pdfs/GMD-1822-255.pdf#page=2","Abrir facsímil")</f>
        <v>Abrir facsímil</v>
      </c>
      <c r="K1643" s="3" t="s">
        <v>22</v>
      </c>
    </row>
    <row r="1644" spans="1:11" ht="42" customHeight="1">
      <c r="A1644" s="2" t="s">
        <v>3459</v>
      </c>
      <c r="B1644" s="2" t="s">
        <v>3460</v>
      </c>
      <c r="C1644" s="2" t="s">
        <v>42</v>
      </c>
      <c r="D1644" s="2" t="s">
        <v>17</v>
      </c>
      <c r="E1644" s="5">
        <v>-28238</v>
      </c>
      <c r="F1644" s="3" t="s">
        <v>2077</v>
      </c>
      <c r="G1644" s="3" t="s">
        <v>44</v>
      </c>
      <c r="H1644" s="2" t="s">
        <v>20</v>
      </c>
      <c r="I1644" s="2" t="s">
        <v>3461</v>
      </c>
      <c r="J1644" s="3" t="str">
        <f>HYPERLINK("https://www.boe.es/gazeta/dias/1822/09/07/pdfs/GMD-1822-262.pdf#page=1","Abrir facsímil")</f>
        <v>Abrir facsímil</v>
      </c>
      <c r="K1644" s="3" t="s">
        <v>22</v>
      </c>
    </row>
    <row r="1645" spans="1:11" ht="42" customHeight="1">
      <c r="A1645" s="2" t="s">
        <v>3462</v>
      </c>
      <c r="B1645" s="2" t="s">
        <v>3462</v>
      </c>
      <c r="C1645" s="2" t="s">
        <v>50</v>
      </c>
      <c r="D1645" s="2" t="s">
        <v>51</v>
      </c>
      <c r="E1645" s="5">
        <v>-28487</v>
      </c>
      <c r="F1645" s="3" t="s">
        <v>426</v>
      </c>
      <c r="G1645" s="3" t="s">
        <v>31</v>
      </c>
      <c r="H1645" s="2" t="s">
        <v>20</v>
      </c>
      <c r="I1645" s="2" t="s">
        <v>3463</v>
      </c>
      <c r="J1645" s="3" t="str">
        <f>HYPERLINK("https://www.boe.es/gazeta/dias/1822/01/01/pdfs/GMD-1822-1.pdf#page=3","Abrir facsímil")</f>
        <v>Abrir facsímil</v>
      </c>
      <c r="K1645" s="3" t="s">
        <v>22</v>
      </c>
    </row>
    <row r="1646" spans="1:11" ht="42" customHeight="1">
      <c r="A1646" s="2" t="s">
        <v>3464</v>
      </c>
      <c r="B1646" s="2" t="s">
        <v>3464</v>
      </c>
      <c r="C1646" s="2" t="s">
        <v>50</v>
      </c>
      <c r="D1646" s="2" t="s">
        <v>51</v>
      </c>
      <c r="E1646" s="5">
        <v>-28192</v>
      </c>
      <c r="F1646" s="3" t="s">
        <v>43</v>
      </c>
      <c r="G1646" s="3" t="s">
        <v>44</v>
      </c>
      <c r="H1646" s="2" t="s">
        <v>20</v>
      </c>
      <c r="I1646" s="2" t="s">
        <v>3465</v>
      </c>
      <c r="J1646" s="3" t="str">
        <f>HYPERLINK("https://www.boe.es/gazeta/dias/1822/10/23/pdfs/GMD-1822-310.pdf#page=1","Abrir facsímil")</f>
        <v>Abrir facsímil</v>
      </c>
      <c r="K1646" s="3" t="s">
        <v>22</v>
      </c>
    </row>
    <row r="1647" spans="1:11" ht="42" customHeight="1">
      <c r="A1647" s="2" t="s">
        <v>3466</v>
      </c>
      <c r="B1647" s="2" t="s">
        <v>3467</v>
      </c>
      <c r="C1647" s="2" t="s">
        <v>1141</v>
      </c>
      <c r="D1647" s="2" t="s">
        <v>29</v>
      </c>
      <c r="E1647" s="5">
        <v>-28340</v>
      </c>
      <c r="F1647" s="3" t="s">
        <v>139</v>
      </c>
      <c r="G1647" s="3" t="s">
        <v>63</v>
      </c>
      <c r="H1647" s="2" t="s">
        <v>20</v>
      </c>
      <c r="I1647" s="2" t="s">
        <v>3468</v>
      </c>
      <c r="J1647" s="3" t="str">
        <f>HYPERLINK("https://www.boe.es/gazeta/dias/1822/05/28/pdfs/GMD-1822-153.pdf#page=6","Abrir facsímil")</f>
        <v>Abrir facsímil</v>
      </c>
      <c r="K1647" s="3" t="s">
        <v>22</v>
      </c>
    </row>
    <row r="1648" spans="1:11" ht="42" customHeight="1">
      <c r="A1648" s="2" t="s">
        <v>3469</v>
      </c>
      <c r="B1648" s="2" t="s">
        <v>3470</v>
      </c>
      <c r="C1648" s="2" t="s">
        <v>71</v>
      </c>
      <c r="D1648" s="2" t="s">
        <v>17</v>
      </c>
      <c r="E1648" s="5">
        <v>-28423</v>
      </c>
      <c r="F1648" s="3" t="s">
        <v>441</v>
      </c>
      <c r="G1648" s="3" t="s">
        <v>63</v>
      </c>
      <c r="H1648" s="2" t="s">
        <v>20</v>
      </c>
      <c r="I1648" s="2" t="s">
        <v>3471</v>
      </c>
      <c r="J1648" s="3" t="str">
        <f>HYPERLINK("https://www.boe.es/gazeta/dias/1822/03/06/pdfs/GMD-1822-67.pdf#page=6","Abrir facsímil")</f>
        <v>Abrir facsímil</v>
      </c>
      <c r="K1648" s="3" t="s">
        <v>22</v>
      </c>
    </row>
    <row r="1649" spans="1:11" ht="42" customHeight="1">
      <c r="A1649" s="2" t="s">
        <v>3472</v>
      </c>
      <c r="B1649" s="2" t="s">
        <v>3473</v>
      </c>
      <c r="C1649" s="2" t="s">
        <v>50</v>
      </c>
      <c r="D1649" s="2" t="s">
        <v>51</v>
      </c>
      <c r="E1649" s="5">
        <v>-28208</v>
      </c>
      <c r="F1649" s="3" t="s">
        <v>230</v>
      </c>
      <c r="G1649" s="3" t="s">
        <v>57</v>
      </c>
      <c r="H1649" s="2" t="s">
        <v>20</v>
      </c>
      <c r="I1649" s="2" t="s">
        <v>3474</v>
      </c>
      <c r="J1649" s="3" t="str">
        <f>HYPERLINK("https://www.boe.es/gazeta/dias/1822/10/07/pdfs/GMD-1822-293.pdf#page=4","Abrir facsímil")</f>
        <v>Abrir facsímil</v>
      </c>
      <c r="K1649" s="3" t="s">
        <v>22</v>
      </c>
    </row>
    <row r="1650" spans="1:11" ht="42" customHeight="1">
      <c r="A1650" s="2" t="s">
        <v>3475</v>
      </c>
      <c r="B1650" s="2" t="s">
        <v>3476</v>
      </c>
      <c r="C1650" s="2" t="s">
        <v>42</v>
      </c>
      <c r="D1650" s="2" t="s">
        <v>17</v>
      </c>
      <c r="E1650" s="5">
        <v>-28247</v>
      </c>
      <c r="F1650" s="3" t="s">
        <v>2023</v>
      </c>
      <c r="G1650" s="3" t="s">
        <v>35</v>
      </c>
      <c r="H1650" s="2" t="s">
        <v>20</v>
      </c>
      <c r="I1650" s="2" t="s">
        <v>3477</v>
      </c>
      <c r="J1650" s="3" t="str">
        <f>HYPERLINK("https://www.boe.es/gazeta/dias/1822/08/29/pdfs/GMD-1822-253.pdf#page=2","Abrir facsímil")</f>
        <v>Abrir facsímil</v>
      </c>
      <c r="K1650" s="3" t="s">
        <v>22</v>
      </c>
    </row>
    <row r="1651" spans="1:11" ht="42" customHeight="1">
      <c r="A1651" s="2" t="s">
        <v>3478</v>
      </c>
      <c r="B1651" s="2" t="s">
        <v>3479</v>
      </c>
      <c r="C1651" s="2" t="s">
        <v>61</v>
      </c>
      <c r="D1651" s="2" t="s">
        <v>17</v>
      </c>
      <c r="E1651" s="5">
        <v>-28367</v>
      </c>
      <c r="F1651" s="3" t="s">
        <v>280</v>
      </c>
      <c r="G1651" s="3" t="s">
        <v>63</v>
      </c>
      <c r="H1651" s="2" t="s">
        <v>20</v>
      </c>
      <c r="I1651" s="2" t="s">
        <v>3480</v>
      </c>
      <c r="J1651" s="3" t="str">
        <f>HYPERLINK("https://www.boe.es/gazeta/dias/1822/05/01/pdfs/GMD-1822-123.pdf#page=6","Abrir facsímil")</f>
        <v>Abrir facsímil</v>
      </c>
      <c r="K1651" s="3" t="s">
        <v>22</v>
      </c>
    </row>
    <row r="1652" spans="1:11" ht="42" customHeight="1">
      <c r="A1652" s="2" t="s">
        <v>3481</v>
      </c>
      <c r="B1652" s="2" t="s">
        <v>3481</v>
      </c>
      <c r="C1652" s="2" t="s">
        <v>71</v>
      </c>
      <c r="D1652" s="2" t="s">
        <v>17</v>
      </c>
      <c r="E1652" s="5">
        <v>-28217</v>
      </c>
      <c r="F1652" s="3" t="s">
        <v>1892</v>
      </c>
      <c r="G1652" s="3" t="s">
        <v>1952</v>
      </c>
      <c r="H1652" s="2" t="s">
        <v>20</v>
      </c>
      <c r="I1652" s="2" t="s">
        <v>3482</v>
      </c>
      <c r="J1652" s="3" t="str">
        <f>HYPERLINK("https://www.boe.es/gazeta/dias/1822/09/28/pdfs/GMD-1822-284.pdf#page=2","Abrir facsímil")</f>
        <v>Abrir facsímil</v>
      </c>
      <c r="K1652" s="3" t="s">
        <v>22</v>
      </c>
    </row>
    <row r="1653" spans="1:11" ht="42" customHeight="1">
      <c r="A1653" s="2" t="s">
        <v>3483</v>
      </c>
      <c r="B1653" s="2" t="s">
        <v>3484</v>
      </c>
      <c r="C1653" s="2" t="s">
        <v>71</v>
      </c>
      <c r="D1653" s="2" t="s">
        <v>17</v>
      </c>
      <c r="E1653" s="5">
        <v>-28198</v>
      </c>
      <c r="F1653" s="3" t="s">
        <v>981</v>
      </c>
      <c r="G1653" s="3" t="s">
        <v>31</v>
      </c>
      <c r="H1653" s="2" t="s">
        <v>20</v>
      </c>
      <c r="I1653" s="2" t="s">
        <v>3485</v>
      </c>
      <c r="J1653" s="3" t="str">
        <f>HYPERLINK("https://www.boe.es/gazeta/dias/1822/10/17/pdfs/GMD-1822-304.pdf#page=3","Abrir facsímil")</f>
        <v>Abrir facsímil</v>
      </c>
      <c r="K1653" s="3" t="s">
        <v>22</v>
      </c>
    </row>
    <row r="1654" spans="1:11" ht="42" customHeight="1">
      <c r="A1654" s="2" t="s">
        <v>3486</v>
      </c>
      <c r="B1654" s="2" t="s">
        <v>3487</v>
      </c>
      <c r="C1654" s="2" t="s">
        <v>42</v>
      </c>
      <c r="D1654" s="2" t="s">
        <v>17</v>
      </c>
      <c r="E1654" s="5">
        <v>-28275</v>
      </c>
      <c r="F1654" s="3" t="s">
        <v>1297</v>
      </c>
      <c r="G1654" s="3" t="s">
        <v>31</v>
      </c>
      <c r="H1654" s="2" t="s">
        <v>20</v>
      </c>
      <c r="I1654" s="2" t="s">
        <v>3488</v>
      </c>
      <c r="J1654" s="3" t="str">
        <f>HYPERLINK("https://www.boe.es/gazeta/dias/1822/08/01/pdfs/GMD-1822-225.pdf#page=3","Abrir facsímil")</f>
        <v>Abrir facsímil</v>
      </c>
      <c r="K1654" s="3" t="s">
        <v>22</v>
      </c>
    </row>
    <row r="1655" spans="1:11" ht="42" customHeight="1">
      <c r="A1655" s="2" t="s">
        <v>3489</v>
      </c>
      <c r="B1655" s="2" t="s">
        <v>3489</v>
      </c>
      <c r="C1655" s="2" t="s">
        <v>71</v>
      </c>
      <c r="D1655" s="2" t="s">
        <v>17</v>
      </c>
      <c r="E1655" s="5">
        <v>-28346</v>
      </c>
      <c r="F1655" s="3" t="s">
        <v>191</v>
      </c>
      <c r="G1655" s="3" t="s">
        <v>35</v>
      </c>
      <c r="H1655" s="2" t="s">
        <v>20</v>
      </c>
      <c r="I1655" s="2" t="s">
        <v>3490</v>
      </c>
      <c r="J1655" s="3" t="str">
        <f>HYPERLINK("https://www.boe.es/gazeta/dias/1822/05/22/pdfs/GMD-1822-145.pdf#page=2","Abrir facsímil")</f>
        <v>Abrir facsímil</v>
      </c>
      <c r="K1655" s="3" t="s">
        <v>22</v>
      </c>
    </row>
    <row r="1656" spans="1:11" ht="42" customHeight="1">
      <c r="A1656" s="2" t="s">
        <v>3491</v>
      </c>
      <c r="B1656" s="2" t="s">
        <v>3491</v>
      </c>
      <c r="C1656" s="2" t="s">
        <v>71</v>
      </c>
      <c r="D1656" s="2" t="s">
        <v>17</v>
      </c>
      <c r="E1656" s="5">
        <v>-28344</v>
      </c>
      <c r="F1656" s="3" t="s">
        <v>524</v>
      </c>
      <c r="G1656" s="3" t="s">
        <v>44</v>
      </c>
      <c r="H1656" s="2" t="s">
        <v>20</v>
      </c>
      <c r="I1656" s="2" t="s">
        <v>3492</v>
      </c>
      <c r="J1656" s="3" t="str">
        <f>HYPERLINK("https://www.boe.es/gazeta/dias/1822/05/24/pdfs/GMD-1822-148.pdf#page=1","Abrir facsímil")</f>
        <v>Abrir facsímil</v>
      </c>
      <c r="K1656" s="3" t="s">
        <v>22</v>
      </c>
    </row>
    <row r="1657" spans="1:11" ht="42" customHeight="1">
      <c r="A1657" s="2" t="s">
        <v>3493</v>
      </c>
      <c r="B1657" s="2" t="s">
        <v>3493</v>
      </c>
      <c r="C1657" s="2" t="s">
        <v>71</v>
      </c>
      <c r="D1657" s="2" t="s">
        <v>17</v>
      </c>
      <c r="E1657" s="5">
        <v>-28165</v>
      </c>
      <c r="F1657" s="3" t="s">
        <v>846</v>
      </c>
      <c r="G1657" s="3" t="s">
        <v>35</v>
      </c>
      <c r="H1657" s="2" t="s">
        <v>20</v>
      </c>
      <c r="I1657" s="2" t="s">
        <v>3494</v>
      </c>
      <c r="J1657" s="3" t="str">
        <f>HYPERLINK("https://www.boe.es/gazeta/dias/1822/11/19/pdfs/GMD-1822-339.pdf#page=2","Abrir facsímil")</f>
        <v>Abrir facsímil</v>
      </c>
      <c r="K1657" s="3" t="s">
        <v>22</v>
      </c>
    </row>
    <row r="1658" spans="1:11" ht="42" customHeight="1">
      <c r="A1658" s="2" t="s">
        <v>3495</v>
      </c>
      <c r="B1658" s="2" t="s">
        <v>3496</v>
      </c>
      <c r="C1658" s="2" t="s">
        <v>28</v>
      </c>
      <c r="D1658" s="2" t="s">
        <v>29</v>
      </c>
      <c r="E1658" s="5">
        <v>-28293</v>
      </c>
      <c r="F1658" s="3" t="s">
        <v>152</v>
      </c>
      <c r="G1658" s="3" t="s">
        <v>35</v>
      </c>
      <c r="H1658" s="2" t="s">
        <v>45</v>
      </c>
      <c r="I1658" s="2" t="s">
        <v>3497</v>
      </c>
      <c r="J1658" s="3" t="str">
        <f>HYPERLINK("https://www.boe.es/gazeta/dias/1822/07/14/pdfs/GMD-1822-204.pdf#page=2","Abrir facsímil")</f>
        <v>Abrir facsímil</v>
      </c>
      <c r="K1658" s="3" t="s">
        <v>47</v>
      </c>
    </row>
    <row r="1659" spans="1:11" ht="42" customHeight="1">
      <c r="A1659" s="2" t="s">
        <v>3498</v>
      </c>
      <c r="B1659" s="2" t="s">
        <v>3499</v>
      </c>
      <c r="C1659" s="2" t="s">
        <v>50</v>
      </c>
      <c r="D1659" s="2" t="s">
        <v>51</v>
      </c>
      <c r="E1659" s="5">
        <v>-28325</v>
      </c>
      <c r="F1659" s="3" t="s">
        <v>104</v>
      </c>
      <c r="G1659" s="3" t="s">
        <v>31</v>
      </c>
      <c r="H1659" s="2" t="s">
        <v>45</v>
      </c>
      <c r="I1659" s="2" t="s">
        <v>3500</v>
      </c>
      <c r="J1659" s="3" t="str">
        <f>HYPERLINK("https://www.boe.es/gazeta/dias/1822/06/12/pdfs/GMD-1822-169.pdf#page=3","Abrir facsímil")</f>
        <v>Abrir facsímil</v>
      </c>
      <c r="K1659" s="3" t="s">
        <v>47</v>
      </c>
    </row>
    <row r="1660" spans="1:11" ht="42" customHeight="1">
      <c r="A1660" s="2" t="s">
        <v>3501</v>
      </c>
      <c r="B1660" s="2" t="s">
        <v>3502</v>
      </c>
      <c r="C1660" s="2" t="s">
        <v>61</v>
      </c>
      <c r="D1660" s="2" t="s">
        <v>17</v>
      </c>
      <c r="E1660" s="5">
        <v>-28150</v>
      </c>
      <c r="F1660" s="3" t="s">
        <v>62</v>
      </c>
      <c r="G1660" s="3" t="s">
        <v>63</v>
      </c>
      <c r="H1660" s="2" t="s">
        <v>45</v>
      </c>
      <c r="I1660" s="2" t="s">
        <v>3503</v>
      </c>
      <c r="J1660" s="3" t="str">
        <f>HYPERLINK("https://www.boe.es/gazeta/dias/1822/12/04/pdfs/GMD-1822-354.pdf#page=6","Abrir facsímil")</f>
        <v>Abrir facsímil</v>
      </c>
      <c r="K1660" s="3" t="s">
        <v>47</v>
      </c>
    </row>
    <row r="1661" spans="1:11" ht="42" customHeight="1">
      <c r="A1661" s="2" t="s">
        <v>3504</v>
      </c>
      <c r="B1661" s="2" t="s">
        <v>3505</v>
      </c>
      <c r="C1661" s="2" t="s">
        <v>71</v>
      </c>
      <c r="D1661" s="2" t="s">
        <v>17</v>
      </c>
      <c r="E1661" s="5">
        <v>-28415</v>
      </c>
      <c r="F1661" s="3" t="s">
        <v>77</v>
      </c>
      <c r="G1661" s="3" t="s">
        <v>19</v>
      </c>
      <c r="H1661" s="2" t="s">
        <v>45</v>
      </c>
      <c r="I1661" s="2" t="s">
        <v>3506</v>
      </c>
      <c r="J1661" s="3" t="str">
        <f>HYPERLINK("https://www.boe.es/gazeta/dias/1822/03/14/pdfs/GMD-1822-75.pdf#page=5","Abrir facsímil")</f>
        <v>Abrir facsímil</v>
      </c>
      <c r="K1661" s="3" t="s">
        <v>47</v>
      </c>
    </row>
    <row r="1662" spans="1:11" ht="42" customHeight="1">
      <c r="A1662" s="2" t="s">
        <v>3507</v>
      </c>
      <c r="B1662" s="2" t="s">
        <v>3508</v>
      </c>
      <c r="C1662" s="2" t="s">
        <v>42</v>
      </c>
      <c r="D1662" s="2" t="s">
        <v>17</v>
      </c>
      <c r="E1662" s="5">
        <v>-28436</v>
      </c>
      <c r="F1662" s="3" t="s">
        <v>431</v>
      </c>
      <c r="G1662" s="3" t="s">
        <v>1428</v>
      </c>
      <c r="H1662" s="2" t="s">
        <v>45</v>
      </c>
      <c r="I1662" s="2" t="s">
        <v>3509</v>
      </c>
      <c r="J1662" s="3" t="str">
        <f>HYPERLINK("https://www.boe.es/gazeta/dias/1822/02/21/pdfs/GMD-1822-53.pdf#page=3","Abrir facsímil")</f>
        <v>Abrir facsímil</v>
      </c>
      <c r="K1662" s="3" t="s">
        <v>47</v>
      </c>
    </row>
    <row r="1663" spans="1:11" ht="42" customHeight="1">
      <c r="A1663" s="2" t="s">
        <v>3510</v>
      </c>
      <c r="B1663" s="2" t="s">
        <v>3511</v>
      </c>
      <c r="C1663" s="2" t="s">
        <v>61</v>
      </c>
      <c r="D1663" s="2" t="s">
        <v>17</v>
      </c>
      <c r="E1663" s="5">
        <v>-28240</v>
      </c>
      <c r="F1663" s="3" t="s">
        <v>678</v>
      </c>
      <c r="G1663" s="3" t="s">
        <v>31</v>
      </c>
      <c r="H1663" s="2" t="s">
        <v>45</v>
      </c>
      <c r="I1663" s="2" t="s">
        <v>3512</v>
      </c>
      <c r="J1663" s="3" t="str">
        <f>HYPERLINK("https://www.boe.es/gazeta/dias/1822/09/05/pdfs/GMD-1822-260.pdf#page=3","Abrir facsímil")</f>
        <v>Abrir facsímil</v>
      </c>
      <c r="K1663" s="3" t="s">
        <v>47</v>
      </c>
    </row>
    <row r="1664" spans="1:11" ht="42" customHeight="1">
      <c r="A1664" s="2" t="s">
        <v>3513</v>
      </c>
      <c r="B1664" s="2" t="s">
        <v>3514</v>
      </c>
      <c r="C1664" s="2" t="s">
        <v>28</v>
      </c>
      <c r="D1664" s="2" t="s">
        <v>29</v>
      </c>
      <c r="E1664" s="5">
        <v>-28155</v>
      </c>
      <c r="F1664" s="3" t="s">
        <v>833</v>
      </c>
      <c r="G1664" s="3" t="s">
        <v>35</v>
      </c>
      <c r="H1664" s="2" t="s">
        <v>45</v>
      </c>
      <c r="I1664" s="2" t="s">
        <v>3515</v>
      </c>
      <c r="J1664" s="3" t="str">
        <f>HYPERLINK("https://www.boe.es/gazeta/dias/1822/11/29/pdfs/GMD-1822-349.pdf#page=2","Abrir facsímil")</f>
        <v>Abrir facsímil</v>
      </c>
      <c r="K1664" s="3" t="s">
        <v>47</v>
      </c>
    </row>
    <row r="1665" spans="1:11" ht="42" customHeight="1">
      <c r="A1665" s="2" t="s">
        <v>3513</v>
      </c>
      <c r="B1665" s="2" t="s">
        <v>3514</v>
      </c>
      <c r="C1665" s="2" t="s">
        <v>71</v>
      </c>
      <c r="D1665" s="2" t="s">
        <v>17</v>
      </c>
      <c r="E1665" s="5">
        <v>-28150</v>
      </c>
      <c r="F1665" s="3" t="s">
        <v>62</v>
      </c>
      <c r="G1665" s="3" t="s">
        <v>57</v>
      </c>
      <c r="H1665" s="2" t="s">
        <v>45</v>
      </c>
      <c r="I1665" s="2" t="s">
        <v>3516</v>
      </c>
      <c r="J1665" s="3" t="str">
        <f>HYPERLINK("https://www.boe.es/gazeta/dias/1822/12/04/pdfs/GMD-1822-354.pdf#page=4","Abrir facsímil")</f>
        <v>Abrir facsímil</v>
      </c>
      <c r="K1665" s="3" t="s">
        <v>47</v>
      </c>
    </row>
    <row r="1666" spans="1:11" ht="42" customHeight="1">
      <c r="A1666" s="2" t="s">
        <v>3517</v>
      </c>
      <c r="B1666" s="2" t="s">
        <v>3518</v>
      </c>
      <c r="C1666" s="2" t="s">
        <v>42</v>
      </c>
      <c r="D1666" s="2" t="s">
        <v>17</v>
      </c>
      <c r="E1666" s="5">
        <v>-28163</v>
      </c>
      <c r="F1666" s="3" t="s">
        <v>891</v>
      </c>
      <c r="G1666" s="3" t="s">
        <v>31</v>
      </c>
      <c r="H1666" s="2" t="s">
        <v>45</v>
      </c>
      <c r="I1666" s="2" t="s">
        <v>3519</v>
      </c>
      <c r="J1666" s="3" t="str">
        <f>HYPERLINK("https://www.boe.es/gazeta/dias/1822/11/21/pdfs/GMD-1822-341.pdf#page=3","Abrir facsímil")</f>
        <v>Abrir facsímil</v>
      </c>
      <c r="K1666" s="3" t="s">
        <v>47</v>
      </c>
    </row>
    <row r="1667" spans="1:11" ht="42" customHeight="1">
      <c r="A1667" s="2" t="s">
        <v>3520</v>
      </c>
      <c r="B1667" s="2" t="s">
        <v>3521</v>
      </c>
      <c r="C1667" s="2" t="s">
        <v>28</v>
      </c>
      <c r="D1667" s="2" t="s">
        <v>29</v>
      </c>
      <c r="E1667" s="5">
        <v>-28369</v>
      </c>
      <c r="F1667" s="3" t="s">
        <v>1590</v>
      </c>
      <c r="G1667" s="3" t="s">
        <v>63</v>
      </c>
      <c r="H1667" s="2" t="s">
        <v>45</v>
      </c>
      <c r="I1667" s="2" t="s">
        <v>3522</v>
      </c>
      <c r="J1667" s="3" t="str">
        <f>HYPERLINK("https://www.boe.es/gazeta/dias/1822/04/29/pdfs/GMD-1822-121.pdf#page=6","Abrir facsímil")</f>
        <v>Abrir facsímil</v>
      </c>
      <c r="K1667" s="3" t="s">
        <v>47</v>
      </c>
    </row>
    <row r="1668" spans="1:11" ht="42" customHeight="1">
      <c r="A1668" s="2" t="s">
        <v>3523</v>
      </c>
      <c r="B1668" s="2" t="s">
        <v>3524</v>
      </c>
      <c r="C1668" s="2" t="s">
        <v>28</v>
      </c>
      <c r="D1668" s="2" t="s">
        <v>29</v>
      </c>
      <c r="E1668" s="5">
        <v>-28199</v>
      </c>
      <c r="F1668" s="3" t="s">
        <v>656</v>
      </c>
      <c r="G1668" s="3" t="s">
        <v>19</v>
      </c>
      <c r="H1668" s="2" t="s">
        <v>45</v>
      </c>
      <c r="I1668" s="2" t="s">
        <v>3525</v>
      </c>
      <c r="J1668" s="3" t="str">
        <f>HYPERLINK("https://www.boe.es/gazeta/dias/1822/10/16/pdfs/GMD-1822-303.pdf#page=5","Abrir facsímil")</f>
        <v>Abrir facsímil</v>
      </c>
      <c r="K1668" s="3" t="s">
        <v>47</v>
      </c>
    </row>
    <row r="1669" spans="1:11" ht="42" customHeight="1">
      <c r="A1669" s="2" t="s">
        <v>3526</v>
      </c>
      <c r="B1669" s="2" t="s">
        <v>3527</v>
      </c>
      <c r="C1669" s="2" t="s">
        <v>50</v>
      </c>
      <c r="D1669" s="2" t="s">
        <v>51</v>
      </c>
      <c r="E1669" s="5">
        <v>-28366</v>
      </c>
      <c r="F1669" s="3" t="s">
        <v>120</v>
      </c>
      <c r="G1669" s="3" t="s">
        <v>63</v>
      </c>
      <c r="H1669" s="2" t="s">
        <v>45</v>
      </c>
      <c r="I1669" s="2" t="s">
        <v>3528</v>
      </c>
      <c r="J1669" s="3" t="str">
        <f>HYPERLINK("https://www.boe.es/gazeta/dias/1822/05/02/pdfs/GMD-1822-124.pdf#page=6","Abrir facsímil")</f>
        <v>Abrir facsímil</v>
      </c>
      <c r="K1669" s="3" t="s">
        <v>47</v>
      </c>
    </row>
    <row r="1670" spans="1:11" ht="42" customHeight="1">
      <c r="A1670" s="2" t="s">
        <v>3529</v>
      </c>
      <c r="B1670" s="2" t="s">
        <v>3530</v>
      </c>
      <c r="C1670" s="2" t="s">
        <v>16</v>
      </c>
      <c r="D1670" s="2" t="s">
        <v>17</v>
      </c>
      <c r="E1670" s="5">
        <v>-28149</v>
      </c>
      <c r="F1670" s="3" t="s">
        <v>1322</v>
      </c>
      <c r="G1670" s="3" t="s">
        <v>57</v>
      </c>
      <c r="H1670" s="2" t="s">
        <v>45</v>
      </c>
      <c r="I1670" s="2" t="s">
        <v>3531</v>
      </c>
      <c r="J1670" s="3" t="str">
        <f>HYPERLINK("https://www.boe.es/gazeta/dias/1822/12/05/pdfs/GMD-1822-355.pdf#page=4","Abrir facsímil")</f>
        <v>Abrir facsímil</v>
      </c>
      <c r="K1670" s="3" t="s">
        <v>47</v>
      </c>
    </row>
    <row r="1671" spans="1:11" ht="42" customHeight="1">
      <c r="A1671" s="2" t="s">
        <v>3532</v>
      </c>
      <c r="B1671" s="2" t="s">
        <v>3533</v>
      </c>
      <c r="C1671" s="2" t="s">
        <v>28</v>
      </c>
      <c r="D1671" s="2" t="s">
        <v>29</v>
      </c>
      <c r="E1671" s="5">
        <v>-28270</v>
      </c>
      <c r="F1671" s="3" t="s">
        <v>130</v>
      </c>
      <c r="G1671" s="3" t="s">
        <v>131</v>
      </c>
      <c r="H1671" s="2" t="s">
        <v>45</v>
      </c>
      <c r="I1671" s="2" t="s">
        <v>3534</v>
      </c>
      <c r="J1671" s="3" t="str">
        <f>HYPERLINK("https://www.boe.es/gazeta/dias/1822/08/06/pdfs/GMD-1822-230.pdf#page=6","Abrir facsímil")</f>
        <v>Abrir facsímil</v>
      </c>
      <c r="K1671" s="3" t="s">
        <v>47</v>
      </c>
    </row>
    <row r="1672" spans="1:11" ht="42" customHeight="1">
      <c r="A1672" s="2" t="s">
        <v>3535</v>
      </c>
      <c r="B1672" s="2" t="s">
        <v>3535</v>
      </c>
      <c r="C1672" s="2" t="s">
        <v>50</v>
      </c>
      <c r="D1672" s="2" t="s">
        <v>51</v>
      </c>
      <c r="E1672" s="5">
        <v>-28389</v>
      </c>
      <c r="F1672" s="3" t="s">
        <v>481</v>
      </c>
      <c r="G1672" s="3" t="s">
        <v>44</v>
      </c>
      <c r="H1672" s="2" t="s">
        <v>20</v>
      </c>
      <c r="I1672" s="2" t="s">
        <v>3536</v>
      </c>
      <c r="J1672" s="3" t="str">
        <f>HYPERLINK("https://www.boe.es/gazeta/dias/1822/04/09/pdfs/GMD-1822-101.pdf#page=1","Abrir facsímil")</f>
        <v>Abrir facsímil</v>
      </c>
      <c r="K1672" s="3" t="s">
        <v>22</v>
      </c>
    </row>
    <row r="1673" spans="1:11" ht="42" customHeight="1">
      <c r="A1673" s="2" t="s">
        <v>3537</v>
      </c>
      <c r="B1673" s="2" t="s">
        <v>3537</v>
      </c>
      <c r="C1673" s="2" t="s">
        <v>42</v>
      </c>
      <c r="D1673" s="2" t="s">
        <v>17</v>
      </c>
      <c r="E1673" s="5">
        <v>-28130</v>
      </c>
      <c r="F1673" s="3" t="s">
        <v>34</v>
      </c>
      <c r="G1673" s="3" t="s">
        <v>31</v>
      </c>
      <c r="H1673" s="2" t="s">
        <v>20</v>
      </c>
      <c r="I1673" s="2" t="s">
        <v>3538</v>
      </c>
      <c r="J1673" s="3" t="str">
        <f>HYPERLINK("https://www.boe.es/gazeta/dias/1822/12/24/pdfs/GMD-1822-374.pdf#page=3","Abrir facsímil")</f>
        <v>Abrir facsímil</v>
      </c>
      <c r="K1673" s="3" t="s">
        <v>22</v>
      </c>
    </row>
    <row r="1674" spans="1:11" ht="42" customHeight="1">
      <c r="A1674" s="2" t="s">
        <v>3539</v>
      </c>
      <c r="B1674" s="2" t="s">
        <v>3539</v>
      </c>
      <c r="C1674" s="2" t="s">
        <v>71</v>
      </c>
      <c r="D1674" s="2" t="s">
        <v>17</v>
      </c>
      <c r="E1674" s="5">
        <v>-28126</v>
      </c>
      <c r="F1674" s="3" t="s">
        <v>952</v>
      </c>
      <c r="G1674" s="3" t="s">
        <v>35</v>
      </c>
      <c r="H1674" s="2" t="s">
        <v>20</v>
      </c>
      <c r="I1674" s="2" t="s">
        <v>3540</v>
      </c>
      <c r="J1674" s="3" t="str">
        <f>HYPERLINK("https://www.boe.es/gazeta/dias/1822/12/28/pdfs/GMD-1822-378.pdf#page=2","Abrir facsímil")</f>
        <v>Abrir facsímil</v>
      </c>
      <c r="K1674" s="3" t="s">
        <v>22</v>
      </c>
    </row>
    <row r="1675" spans="1:11" ht="42" customHeight="1">
      <c r="A1675" s="2" t="s">
        <v>3541</v>
      </c>
      <c r="B1675" s="2" t="s">
        <v>3541</v>
      </c>
      <c r="C1675" s="2" t="s">
        <v>42</v>
      </c>
      <c r="D1675" s="2" t="s">
        <v>17</v>
      </c>
      <c r="E1675" s="5">
        <v>-28138</v>
      </c>
      <c r="F1675" s="3" t="s">
        <v>3542</v>
      </c>
      <c r="G1675" s="3" t="s">
        <v>31</v>
      </c>
      <c r="H1675" s="2" t="s">
        <v>20</v>
      </c>
      <c r="I1675" s="2" t="s">
        <v>3543</v>
      </c>
      <c r="J1675" s="3" t="str">
        <f>HYPERLINK("https://www.boe.es/gazeta/dias/1822/12/16/pdfs/GMD-1822-366.pdf#page=3","Abrir facsímil")</f>
        <v>Abrir facsímil</v>
      </c>
      <c r="K1675" s="3" t="s">
        <v>22</v>
      </c>
    </row>
    <row r="1676" spans="1:11" ht="42" customHeight="1">
      <c r="A1676" s="2" t="s">
        <v>3544</v>
      </c>
      <c r="B1676" s="2" t="s">
        <v>3544</v>
      </c>
      <c r="C1676" s="2" t="s">
        <v>42</v>
      </c>
      <c r="D1676" s="2" t="s">
        <v>17</v>
      </c>
      <c r="E1676" s="5">
        <v>-28377</v>
      </c>
      <c r="F1676" s="3" t="s">
        <v>498</v>
      </c>
      <c r="G1676" s="3" t="s">
        <v>44</v>
      </c>
      <c r="H1676" s="2" t="s">
        <v>20</v>
      </c>
      <c r="I1676" s="2" t="s">
        <v>3545</v>
      </c>
      <c r="J1676" s="3" t="str">
        <f>HYPERLINK("https://www.boe.es/gazeta/dias/1822/04/21/pdfs/GMD-1822-113.pdf#page=1","Abrir facsímil")</f>
        <v>Abrir facsímil</v>
      </c>
      <c r="K1676" s="3" t="s">
        <v>22</v>
      </c>
    </row>
    <row r="1677" spans="1:11" ht="42" customHeight="1">
      <c r="A1677" s="2" t="s">
        <v>3546</v>
      </c>
      <c r="B1677" s="2" t="s">
        <v>3547</v>
      </c>
      <c r="C1677" s="2" t="s">
        <v>61</v>
      </c>
      <c r="D1677" s="2" t="s">
        <v>17</v>
      </c>
      <c r="E1677" s="5">
        <v>-28467</v>
      </c>
      <c r="F1677" s="3" t="s">
        <v>1096</v>
      </c>
      <c r="G1677" s="3" t="s">
        <v>57</v>
      </c>
      <c r="H1677" s="2" t="s">
        <v>20</v>
      </c>
      <c r="I1677" s="2" t="s">
        <v>3548</v>
      </c>
      <c r="J1677" s="3" t="str">
        <f>HYPERLINK("https://www.boe.es/gazeta/dias/1822/01/21/pdfs/GMD-1822-21.pdf#page=4","Abrir facsímil")</f>
        <v>Abrir facsímil</v>
      </c>
      <c r="K1677" s="3" t="s">
        <v>22</v>
      </c>
    </row>
    <row r="1678" spans="1:11" ht="42" customHeight="1">
      <c r="A1678" s="2" t="s">
        <v>3549</v>
      </c>
      <c r="B1678" s="2" t="s">
        <v>3549</v>
      </c>
      <c r="C1678" s="2" t="s">
        <v>16</v>
      </c>
      <c r="D1678" s="2" t="s">
        <v>17</v>
      </c>
      <c r="E1678" s="5">
        <v>-28327</v>
      </c>
      <c r="F1678" s="3" t="s">
        <v>38</v>
      </c>
      <c r="G1678" s="3" t="s">
        <v>31</v>
      </c>
      <c r="H1678" s="2" t="s">
        <v>20</v>
      </c>
      <c r="I1678" s="2" t="s">
        <v>3550</v>
      </c>
      <c r="J1678" s="3" t="str">
        <f>HYPERLINK("https://www.boe.es/gazeta/dias/1822/06/10/pdfs/GMD-1822-167.pdf#page=3","Abrir facsímil")</f>
        <v>Abrir facsímil</v>
      </c>
      <c r="K1678" s="3" t="s">
        <v>22</v>
      </c>
    </row>
    <row r="1679" spans="1:11" ht="42" customHeight="1">
      <c r="A1679" s="2" t="s">
        <v>3551</v>
      </c>
      <c r="B1679" s="2" t="s">
        <v>3551</v>
      </c>
      <c r="C1679" s="2" t="s">
        <v>71</v>
      </c>
      <c r="D1679" s="2" t="s">
        <v>17</v>
      </c>
      <c r="E1679" s="5">
        <v>-28328</v>
      </c>
      <c r="F1679" s="3" t="s">
        <v>540</v>
      </c>
      <c r="G1679" s="3" t="s">
        <v>541</v>
      </c>
      <c r="H1679" s="2" t="s">
        <v>20</v>
      </c>
      <c r="I1679" s="2" t="s">
        <v>3552</v>
      </c>
      <c r="J1679" s="3" t="str">
        <f>HYPERLINK("https://www.boe.es/gazeta/dias/1822/06/09/pdfs/GMD-1822-166.pdf#page=4","Abrir facsímil")</f>
        <v>Abrir facsímil</v>
      </c>
      <c r="K1679" s="3" t="s">
        <v>22</v>
      </c>
    </row>
    <row r="1680" spans="1:11" ht="42" customHeight="1">
      <c r="A1680" s="2" t="s">
        <v>3553</v>
      </c>
      <c r="B1680" s="2" t="s">
        <v>3553</v>
      </c>
      <c r="C1680" s="2" t="s">
        <v>50</v>
      </c>
      <c r="D1680" s="2" t="s">
        <v>51</v>
      </c>
      <c r="E1680" s="5">
        <v>-28163</v>
      </c>
      <c r="F1680" s="3" t="s">
        <v>891</v>
      </c>
      <c r="G1680" s="3" t="s">
        <v>19</v>
      </c>
      <c r="H1680" s="2" t="s">
        <v>20</v>
      </c>
      <c r="I1680" s="2" t="s">
        <v>3554</v>
      </c>
      <c r="J1680" s="3" t="str">
        <f>HYPERLINK("https://www.boe.es/gazeta/dias/1822/11/21/pdfs/GMD-1822-341.pdf#page=5","Abrir facsímil")</f>
        <v>Abrir facsímil</v>
      </c>
      <c r="K1680" s="3" t="s">
        <v>22</v>
      </c>
    </row>
    <row r="1681" spans="1:11" ht="42" customHeight="1">
      <c r="A1681" s="2" t="s">
        <v>3555</v>
      </c>
      <c r="B1681" s="2" t="s">
        <v>3555</v>
      </c>
      <c r="C1681" s="2" t="s">
        <v>50</v>
      </c>
      <c r="D1681" s="2" t="s">
        <v>51</v>
      </c>
      <c r="E1681" s="5">
        <v>-28397</v>
      </c>
      <c r="F1681" s="3" t="s">
        <v>1401</v>
      </c>
      <c r="G1681" s="3" t="s">
        <v>63</v>
      </c>
      <c r="H1681" s="2" t="s">
        <v>20</v>
      </c>
      <c r="I1681" s="2" t="s">
        <v>3556</v>
      </c>
      <c r="J1681" s="3" t="str">
        <f>HYPERLINK("https://www.boe.es/gazeta/dias/1822/04/01/pdfs/GMD-1822-93.pdf#page=6","Abrir facsímil")</f>
        <v>Abrir facsímil</v>
      </c>
      <c r="K1681" s="3" t="s">
        <v>22</v>
      </c>
    </row>
    <row r="1682" spans="1:11" ht="42" customHeight="1">
      <c r="A1682" s="2" t="s">
        <v>3555</v>
      </c>
      <c r="B1682" s="2" t="s">
        <v>3555</v>
      </c>
      <c r="C1682" s="2" t="s">
        <v>16</v>
      </c>
      <c r="D1682" s="2" t="s">
        <v>17</v>
      </c>
      <c r="E1682" s="5">
        <v>-28254</v>
      </c>
      <c r="F1682" s="3" t="s">
        <v>3557</v>
      </c>
      <c r="G1682" s="3" t="s">
        <v>57</v>
      </c>
      <c r="H1682" s="2" t="s">
        <v>20</v>
      </c>
      <c r="I1682" s="2" t="s">
        <v>3558</v>
      </c>
      <c r="J1682" s="3" t="str">
        <f>HYPERLINK("https://www.boe.es/gazeta/dias/1822/08/22/pdfs/GMD-1822-246.pdf#page=4","Abrir facsímil")</f>
        <v>Abrir facsímil</v>
      </c>
      <c r="K1682" s="3" t="s">
        <v>22</v>
      </c>
    </row>
    <row r="1683" spans="1:11" ht="42" customHeight="1">
      <c r="A1683" s="2" t="s">
        <v>3559</v>
      </c>
      <c r="B1683" s="2" t="s">
        <v>3560</v>
      </c>
      <c r="C1683" s="2" t="s">
        <v>16</v>
      </c>
      <c r="D1683" s="2" t="s">
        <v>17</v>
      </c>
      <c r="E1683" s="5">
        <v>-28365</v>
      </c>
      <c r="F1683" s="3" t="s">
        <v>506</v>
      </c>
      <c r="G1683" s="3" t="s">
        <v>31</v>
      </c>
      <c r="H1683" s="2" t="s">
        <v>20</v>
      </c>
      <c r="I1683" s="2" t="s">
        <v>3561</v>
      </c>
      <c r="J1683" s="3" t="str">
        <f>HYPERLINK("https://www.boe.es/gazeta/dias/1822/05/03/pdfs/GMD-1822-125.pdf#page=3","Abrir facsímil")</f>
        <v>Abrir facsímil</v>
      </c>
      <c r="K1683" s="3" t="s">
        <v>22</v>
      </c>
    </row>
    <row r="1684" spans="1:11" ht="42" customHeight="1">
      <c r="A1684" s="2" t="s">
        <v>3562</v>
      </c>
      <c r="B1684" s="2" t="s">
        <v>3563</v>
      </c>
      <c r="C1684" s="2" t="s">
        <v>71</v>
      </c>
      <c r="D1684" s="2" t="s">
        <v>17</v>
      </c>
      <c r="E1684" s="5">
        <v>-28241</v>
      </c>
      <c r="F1684" s="3" t="s">
        <v>3068</v>
      </c>
      <c r="G1684" s="3" t="s">
        <v>57</v>
      </c>
      <c r="H1684" s="2" t="s">
        <v>20</v>
      </c>
      <c r="I1684" s="2" t="s">
        <v>3564</v>
      </c>
      <c r="J1684" s="3" t="str">
        <f>HYPERLINK("https://www.boe.es/gazeta/dias/1822/09/04/pdfs/GMD-1822-259.pdf#page=4","Abrir facsímil")</f>
        <v>Abrir facsímil</v>
      </c>
      <c r="K1684" s="3" t="s">
        <v>22</v>
      </c>
    </row>
    <row r="1685" spans="1:11" ht="42" customHeight="1">
      <c r="A1685" s="2" t="s">
        <v>3565</v>
      </c>
      <c r="B1685" s="2" t="s">
        <v>3566</v>
      </c>
      <c r="C1685" s="2" t="s">
        <v>50</v>
      </c>
      <c r="D1685" s="2" t="s">
        <v>51</v>
      </c>
      <c r="E1685" s="5">
        <v>-28274</v>
      </c>
      <c r="F1685" s="3" t="s">
        <v>3371</v>
      </c>
      <c r="G1685" s="3" t="s">
        <v>57</v>
      </c>
      <c r="H1685" s="2" t="s">
        <v>20</v>
      </c>
      <c r="I1685" s="2" t="s">
        <v>3567</v>
      </c>
      <c r="J1685" s="3" t="str">
        <f>HYPERLINK("https://www.boe.es/gazeta/dias/1822/08/02/pdfs/GMD-1822-226.pdf#page=4","Abrir facsímil")</f>
        <v>Abrir facsímil</v>
      </c>
      <c r="K1685" s="3" t="s">
        <v>22</v>
      </c>
    </row>
    <row r="1686" spans="1:11" ht="42" customHeight="1">
      <c r="A1686" s="2" t="s">
        <v>3568</v>
      </c>
      <c r="B1686" s="2" t="s">
        <v>3569</v>
      </c>
      <c r="C1686" s="2" t="s">
        <v>50</v>
      </c>
      <c r="D1686" s="2" t="s">
        <v>51</v>
      </c>
      <c r="E1686" s="5">
        <v>-28461</v>
      </c>
      <c r="F1686" s="3" t="s">
        <v>1801</v>
      </c>
      <c r="G1686" s="3" t="s">
        <v>35</v>
      </c>
      <c r="H1686" s="2" t="s">
        <v>20</v>
      </c>
      <c r="I1686" s="2" t="s">
        <v>3570</v>
      </c>
      <c r="J1686" s="3" t="str">
        <f>HYPERLINK("https://www.boe.es/gazeta/dias/1822/01/27/pdfs/GMD-1822-27.pdf#page=2","Abrir facsímil")</f>
        <v>Abrir facsímil</v>
      </c>
      <c r="K1686" s="3" t="s">
        <v>22</v>
      </c>
    </row>
    <row r="1687" spans="1:11" ht="42" customHeight="1">
      <c r="A1687" s="2" t="s">
        <v>3571</v>
      </c>
      <c r="B1687" s="2" t="s">
        <v>3571</v>
      </c>
      <c r="C1687" s="2" t="s">
        <v>71</v>
      </c>
      <c r="D1687" s="2" t="s">
        <v>17</v>
      </c>
      <c r="E1687" s="5">
        <v>-28445</v>
      </c>
      <c r="F1687" s="3" t="s">
        <v>1622</v>
      </c>
      <c r="G1687" s="3" t="s">
        <v>31</v>
      </c>
      <c r="H1687" s="2" t="s">
        <v>20</v>
      </c>
      <c r="I1687" s="2" t="s">
        <v>3572</v>
      </c>
      <c r="J1687" s="3" t="str">
        <f>HYPERLINK("https://www.boe.es/gazeta/dias/1822/02/12/pdfs/GMD-1822-43.pdf#page=3","Abrir facsímil")</f>
        <v>Abrir facsímil</v>
      </c>
      <c r="K1687" s="3" t="s">
        <v>22</v>
      </c>
    </row>
    <row r="1688" spans="1:11" ht="42" customHeight="1">
      <c r="A1688" s="2" t="s">
        <v>3573</v>
      </c>
      <c r="B1688" s="2" t="s">
        <v>3574</v>
      </c>
      <c r="C1688" s="2" t="s">
        <v>50</v>
      </c>
      <c r="D1688" s="2" t="s">
        <v>51</v>
      </c>
      <c r="E1688" s="5">
        <v>-28392</v>
      </c>
      <c r="F1688" s="3" t="s">
        <v>2003</v>
      </c>
      <c r="G1688" s="3" t="s">
        <v>31</v>
      </c>
      <c r="H1688" s="2" t="s">
        <v>20</v>
      </c>
      <c r="I1688" s="2" t="s">
        <v>3575</v>
      </c>
      <c r="J1688" s="3" t="str">
        <f>HYPERLINK("https://www.boe.es/gazeta/dias/1822/04/06/pdfs/GMD-1822-98.pdf#page=3","Abrir facsímil")</f>
        <v>Abrir facsímil</v>
      </c>
      <c r="K1688" s="3" t="s">
        <v>22</v>
      </c>
    </row>
    <row r="1689" spans="1:11" ht="42" customHeight="1">
      <c r="A1689" s="2" t="s">
        <v>3576</v>
      </c>
      <c r="B1689" s="2" t="s">
        <v>3577</v>
      </c>
      <c r="C1689" s="2" t="s">
        <v>50</v>
      </c>
      <c r="D1689" s="2" t="s">
        <v>51</v>
      </c>
      <c r="E1689" s="5">
        <v>-28237</v>
      </c>
      <c r="F1689" s="3" t="s">
        <v>878</v>
      </c>
      <c r="G1689" s="3" t="s">
        <v>31</v>
      </c>
      <c r="H1689" s="2" t="s">
        <v>45</v>
      </c>
      <c r="I1689" s="2" t="s">
        <v>3578</v>
      </c>
      <c r="J1689" s="3" t="str">
        <f>HYPERLINK("https://www.boe.es/gazeta/dias/1822/09/08/pdfs/GMD-1822-264.pdf#page=3","Abrir facsímil")</f>
        <v>Abrir facsímil</v>
      </c>
      <c r="K1689" s="3" t="s">
        <v>47</v>
      </c>
    </row>
    <row r="1690" spans="1:11" ht="42" customHeight="1">
      <c r="A1690" s="2" t="s">
        <v>3579</v>
      </c>
      <c r="B1690" s="2" t="s">
        <v>3580</v>
      </c>
      <c r="C1690" s="2" t="s">
        <v>50</v>
      </c>
      <c r="D1690" s="2" t="s">
        <v>51</v>
      </c>
      <c r="E1690" s="5">
        <v>-28223</v>
      </c>
      <c r="F1690" s="3" t="s">
        <v>2374</v>
      </c>
      <c r="G1690" s="3" t="s">
        <v>31</v>
      </c>
      <c r="H1690" s="2" t="s">
        <v>20</v>
      </c>
      <c r="I1690" s="2" t="s">
        <v>3581</v>
      </c>
      <c r="J1690" s="3" t="str">
        <f>HYPERLINK("https://www.boe.es/gazeta/dias/1822/09/22/pdfs/GMD-1822-278.pdf#page=3","Abrir facsímil")</f>
        <v>Abrir facsímil</v>
      </c>
      <c r="K1690" s="3" t="s">
        <v>22</v>
      </c>
    </row>
    <row r="1691" spans="1:11" ht="42" customHeight="1">
      <c r="A1691" s="2" t="s">
        <v>3582</v>
      </c>
      <c r="B1691" s="2" t="s">
        <v>3583</v>
      </c>
      <c r="C1691" s="2" t="s">
        <v>50</v>
      </c>
      <c r="D1691" s="2" t="s">
        <v>723</v>
      </c>
      <c r="E1691" s="5">
        <v>-28238</v>
      </c>
      <c r="F1691" s="3" t="s">
        <v>3584</v>
      </c>
      <c r="G1691" s="3" t="s">
        <v>44</v>
      </c>
      <c r="H1691" s="2" t="s">
        <v>20</v>
      </c>
      <c r="I1691" s="2" t="s">
        <v>3585</v>
      </c>
      <c r="J1691" s="3" t="str">
        <f>HYPERLINK("https://www.boe.es/gazeta/dias/1822/09/07/pdfs/GMD-1822-263E.pdf#page=1","Abrir facsímil")</f>
        <v>Abrir facsímil</v>
      </c>
      <c r="K1691" s="3" t="s">
        <v>22</v>
      </c>
    </row>
    <row r="1692" spans="1:11" ht="42" customHeight="1">
      <c r="A1692" s="2" t="s">
        <v>3582</v>
      </c>
      <c r="B1692" s="2" t="s">
        <v>3583</v>
      </c>
      <c r="C1692" s="2" t="s">
        <v>50</v>
      </c>
      <c r="D1692" s="2" t="s">
        <v>51</v>
      </c>
      <c r="E1692" s="5">
        <v>-28234</v>
      </c>
      <c r="F1692" s="3" t="s">
        <v>1331</v>
      </c>
      <c r="G1692" s="3" t="s">
        <v>35</v>
      </c>
      <c r="H1692" s="2" t="s">
        <v>20</v>
      </c>
      <c r="I1692" s="2" t="s">
        <v>3586</v>
      </c>
      <c r="J1692" s="3" t="str">
        <f>HYPERLINK("https://www.boe.es/gazeta/dias/1822/09/11/pdfs/GMD-1822-267.pdf#page=2","Abrir facsímil")</f>
        <v>Abrir facsímil</v>
      </c>
      <c r="K1692" s="3" t="s">
        <v>22</v>
      </c>
    </row>
    <row r="1693" spans="1:11" ht="42" customHeight="1">
      <c r="A1693" s="2" t="s">
        <v>3587</v>
      </c>
      <c r="B1693" s="2" t="s">
        <v>3588</v>
      </c>
      <c r="C1693" s="2" t="s">
        <v>28</v>
      </c>
      <c r="D1693" s="2" t="s">
        <v>723</v>
      </c>
      <c r="E1693" s="5">
        <v>-28238</v>
      </c>
      <c r="F1693" s="3" t="s">
        <v>3584</v>
      </c>
      <c r="G1693" s="3" t="s">
        <v>44</v>
      </c>
      <c r="H1693" s="2" t="s">
        <v>20</v>
      </c>
      <c r="I1693" s="2" t="s">
        <v>3589</v>
      </c>
      <c r="J1693" s="3" t="str">
        <f>HYPERLINK("https://www.boe.es/gazeta/dias/1822/09/07/pdfs/GMD-1822-263E.pdf#page=1","Abrir facsímil")</f>
        <v>Abrir facsímil</v>
      </c>
      <c r="K1693" s="3" t="s">
        <v>22</v>
      </c>
    </row>
    <row r="1694" spans="1:11" ht="42" customHeight="1">
      <c r="A1694" s="2" t="s">
        <v>3590</v>
      </c>
      <c r="B1694" s="2" t="s">
        <v>3591</v>
      </c>
      <c r="C1694" s="2" t="s">
        <v>50</v>
      </c>
      <c r="D1694" s="2" t="s">
        <v>51</v>
      </c>
      <c r="E1694" s="5">
        <v>-28228</v>
      </c>
      <c r="F1694" s="3" t="s">
        <v>718</v>
      </c>
      <c r="G1694" s="3" t="s">
        <v>719</v>
      </c>
      <c r="H1694" s="2" t="s">
        <v>20</v>
      </c>
      <c r="I1694" s="2" t="s">
        <v>3592</v>
      </c>
      <c r="J1694" s="3" t="str">
        <f>HYPERLINK("https://www.boe.es/gazeta/dias/1822/09/17/pdfs/GMD-1822-273.pdf#page=3","Abrir facsímil")</f>
        <v>Abrir facsímil</v>
      </c>
      <c r="K1694" s="3" t="s">
        <v>22</v>
      </c>
    </row>
    <row r="1695" spans="1:11" ht="42" customHeight="1">
      <c r="A1695" s="2" t="s">
        <v>3593</v>
      </c>
      <c r="B1695" s="2" t="s">
        <v>3593</v>
      </c>
      <c r="C1695" s="2" t="s">
        <v>61</v>
      </c>
      <c r="D1695" s="2" t="s">
        <v>17</v>
      </c>
      <c r="E1695" s="5">
        <v>-28176</v>
      </c>
      <c r="F1695" s="3" t="s">
        <v>780</v>
      </c>
      <c r="G1695" s="3" t="s">
        <v>44</v>
      </c>
      <c r="H1695" s="2" t="s">
        <v>20</v>
      </c>
      <c r="I1695" s="2" t="s">
        <v>3594</v>
      </c>
      <c r="J1695" s="3" t="str">
        <f>HYPERLINK("https://www.boe.es/gazeta/dias/1822/11/08/pdfs/GMD-1822-328.pdf#page=1","Abrir facsímil")</f>
        <v>Abrir facsímil</v>
      </c>
      <c r="K1695" s="3" t="s">
        <v>22</v>
      </c>
    </row>
    <row r="1696" spans="1:11" ht="42" customHeight="1">
      <c r="A1696" s="2" t="s">
        <v>3595</v>
      </c>
      <c r="B1696" s="2" t="s">
        <v>3596</v>
      </c>
      <c r="C1696" s="2" t="s">
        <v>28</v>
      </c>
      <c r="D1696" s="2" t="s">
        <v>29</v>
      </c>
      <c r="E1696" s="5">
        <v>-28394</v>
      </c>
      <c r="F1696" s="3" t="s">
        <v>268</v>
      </c>
      <c r="G1696" s="3" t="s">
        <v>57</v>
      </c>
      <c r="H1696" s="2" t="s">
        <v>20</v>
      </c>
      <c r="I1696" s="2" t="s">
        <v>3597</v>
      </c>
      <c r="J1696" s="3" t="str">
        <f>HYPERLINK("https://www.boe.es/gazeta/dias/1822/04/04/pdfs/GMD-1822-96.pdf#page=4","Abrir facsímil")</f>
        <v>Abrir facsímil</v>
      </c>
      <c r="K1696" s="3" t="s">
        <v>22</v>
      </c>
    </row>
    <row r="1697" spans="1:11" ht="42" customHeight="1">
      <c r="A1697" s="2" t="s">
        <v>3598</v>
      </c>
      <c r="B1697" s="2" t="s">
        <v>3599</v>
      </c>
      <c r="C1697" s="2" t="s">
        <v>50</v>
      </c>
      <c r="D1697" s="2" t="s">
        <v>51</v>
      </c>
      <c r="E1697" s="5">
        <v>-28234</v>
      </c>
      <c r="F1697" s="3" t="s">
        <v>1331</v>
      </c>
      <c r="G1697" s="3" t="s">
        <v>35</v>
      </c>
      <c r="H1697" s="2" t="s">
        <v>20</v>
      </c>
      <c r="I1697" s="2" t="s">
        <v>3600</v>
      </c>
      <c r="J1697" s="3" t="str">
        <f>HYPERLINK("https://www.boe.es/gazeta/dias/1822/09/11/pdfs/GMD-1822-267.pdf#page=2","Abrir facsímil")</f>
        <v>Abrir facsímil</v>
      </c>
      <c r="K1697" s="3" t="s">
        <v>22</v>
      </c>
    </row>
    <row r="1698" spans="1:11" ht="42" customHeight="1">
      <c r="A1698" s="2" t="s">
        <v>3601</v>
      </c>
      <c r="B1698" s="2" t="s">
        <v>3602</v>
      </c>
      <c r="C1698" s="2" t="s">
        <v>42</v>
      </c>
      <c r="D1698" s="2" t="s">
        <v>17</v>
      </c>
      <c r="E1698" s="5">
        <v>-28258</v>
      </c>
      <c r="F1698" s="3" t="s">
        <v>88</v>
      </c>
      <c r="G1698" s="3" t="s">
        <v>31</v>
      </c>
      <c r="H1698" s="2" t="s">
        <v>20</v>
      </c>
      <c r="I1698" s="2" t="s">
        <v>3603</v>
      </c>
      <c r="J1698" s="3" t="str">
        <f>HYPERLINK("https://www.boe.es/gazeta/dias/1822/08/18/pdfs/GMD-1822-242.pdf#page=3","Abrir facsímil")</f>
        <v>Abrir facsímil</v>
      </c>
      <c r="K1698" s="3" t="s">
        <v>22</v>
      </c>
    </row>
    <row r="1699" spans="1:11" ht="42" customHeight="1">
      <c r="A1699" s="2" t="s">
        <v>3604</v>
      </c>
      <c r="B1699" s="2" t="s">
        <v>3605</v>
      </c>
      <c r="C1699" s="2" t="s">
        <v>50</v>
      </c>
      <c r="D1699" s="2" t="s">
        <v>51</v>
      </c>
      <c r="E1699" s="5">
        <v>-28279</v>
      </c>
      <c r="F1699" s="3" t="s">
        <v>662</v>
      </c>
      <c r="G1699" s="3" t="s">
        <v>57</v>
      </c>
      <c r="H1699" s="2" t="s">
        <v>20</v>
      </c>
      <c r="I1699" s="2" t="s">
        <v>3606</v>
      </c>
      <c r="J1699" s="3" t="str">
        <f>HYPERLINK("https://www.boe.es/gazeta/dias/1822/07/28/pdfs/GMD-1822-221.pdf#page=4","Abrir facsímil")</f>
        <v>Abrir facsímil</v>
      </c>
      <c r="K1699" s="3" t="s">
        <v>22</v>
      </c>
    </row>
    <row r="1700" spans="1:11" ht="42" customHeight="1">
      <c r="A1700" s="2" t="s">
        <v>3607</v>
      </c>
      <c r="B1700" s="2" t="s">
        <v>3608</v>
      </c>
      <c r="C1700" s="2" t="s">
        <v>28</v>
      </c>
      <c r="D1700" s="2" t="s">
        <v>29</v>
      </c>
      <c r="E1700" s="5">
        <v>-28380</v>
      </c>
      <c r="F1700" s="3" t="s">
        <v>492</v>
      </c>
      <c r="G1700" s="3" t="s">
        <v>63</v>
      </c>
      <c r="H1700" s="2" t="s">
        <v>20</v>
      </c>
      <c r="I1700" s="2" t="s">
        <v>3609</v>
      </c>
      <c r="J1700" s="3" t="str">
        <f>HYPERLINK("https://www.boe.es/gazeta/dias/1822/04/18/pdfs/GMD-1822-110.pdf#page=6","Abrir facsímil")</f>
        <v>Abrir facsímil</v>
      </c>
      <c r="K1700" s="3" t="s">
        <v>22</v>
      </c>
    </row>
    <row r="1701" spans="1:11" ht="42" customHeight="1">
      <c r="A1701" s="2" t="s">
        <v>3610</v>
      </c>
      <c r="B1701" s="2" t="s">
        <v>3611</v>
      </c>
      <c r="C1701" s="2" t="s">
        <v>16</v>
      </c>
      <c r="D1701" s="2" t="s">
        <v>17</v>
      </c>
      <c r="E1701" s="5">
        <v>-28163</v>
      </c>
      <c r="F1701" s="3" t="s">
        <v>891</v>
      </c>
      <c r="G1701" s="3" t="s">
        <v>57</v>
      </c>
      <c r="H1701" s="2" t="s">
        <v>20</v>
      </c>
      <c r="I1701" s="2" t="s">
        <v>3612</v>
      </c>
      <c r="J1701" s="3" t="str">
        <f>HYPERLINK("https://www.boe.es/gazeta/dias/1822/11/21/pdfs/GMD-1822-341.pdf#page=4","Abrir facsímil")</f>
        <v>Abrir facsímil</v>
      </c>
      <c r="K1701" s="3" t="s">
        <v>22</v>
      </c>
    </row>
    <row r="1702" spans="1:11" ht="42" customHeight="1">
      <c r="A1702" s="2" t="s">
        <v>3610</v>
      </c>
      <c r="B1702" s="2" t="s">
        <v>3611</v>
      </c>
      <c r="C1702" s="2" t="s">
        <v>42</v>
      </c>
      <c r="D1702" s="2" t="s">
        <v>17</v>
      </c>
      <c r="E1702" s="5">
        <v>-28139</v>
      </c>
      <c r="F1702" s="3" t="s">
        <v>143</v>
      </c>
      <c r="G1702" s="3" t="s">
        <v>31</v>
      </c>
      <c r="H1702" s="2" t="s">
        <v>20</v>
      </c>
      <c r="I1702" s="2" t="s">
        <v>3613</v>
      </c>
      <c r="J1702" s="3" t="str">
        <f>HYPERLINK("https://www.boe.es/gazeta/dias/1822/12/15/pdfs/GMD-1822-365.pdf#page=3","Abrir facsímil")</f>
        <v>Abrir facsímil</v>
      </c>
      <c r="K1702" s="3" t="s">
        <v>22</v>
      </c>
    </row>
    <row r="1703" spans="1:11" ht="42" customHeight="1">
      <c r="A1703" s="2" t="s">
        <v>3614</v>
      </c>
      <c r="B1703" s="2" t="s">
        <v>3615</v>
      </c>
      <c r="C1703" s="2" t="s">
        <v>50</v>
      </c>
      <c r="D1703" s="2" t="s">
        <v>51</v>
      </c>
      <c r="E1703" s="5">
        <v>-28291</v>
      </c>
      <c r="F1703" s="3" t="s">
        <v>363</v>
      </c>
      <c r="G1703" s="3" t="s">
        <v>44</v>
      </c>
      <c r="H1703" s="2" t="s">
        <v>20</v>
      </c>
      <c r="I1703" s="2" t="s">
        <v>3616</v>
      </c>
      <c r="J1703" s="3" t="str">
        <f>HYPERLINK("https://www.boe.es/gazeta/dias/1822/07/16/pdfs/GMD-1822-206.pdf#page=1","Abrir facsímil")</f>
        <v>Abrir facsímil</v>
      </c>
      <c r="K1703" s="3" t="s">
        <v>22</v>
      </c>
    </row>
    <row r="1704" spans="1:11" ht="42" customHeight="1">
      <c r="A1704" s="2" t="s">
        <v>3617</v>
      </c>
      <c r="B1704" s="2" t="s">
        <v>3618</v>
      </c>
      <c r="C1704" s="2" t="s">
        <v>42</v>
      </c>
      <c r="D1704" s="2" t="s">
        <v>17</v>
      </c>
      <c r="E1704" s="5">
        <v>-28266</v>
      </c>
      <c r="F1704" s="3" t="s">
        <v>1169</v>
      </c>
      <c r="G1704" s="3" t="s">
        <v>31</v>
      </c>
      <c r="H1704" s="2" t="s">
        <v>20</v>
      </c>
      <c r="I1704" s="2" t="s">
        <v>3619</v>
      </c>
      <c r="J1704" s="3" t="str">
        <f>HYPERLINK("https://www.boe.es/gazeta/dias/1822/08/10/pdfs/GMD-1822-234.pdf#page=3","Abrir facsímil")</f>
        <v>Abrir facsímil</v>
      </c>
      <c r="K1704" s="3" t="s">
        <v>22</v>
      </c>
    </row>
    <row r="1705" spans="1:11" ht="42" customHeight="1">
      <c r="A1705" s="2" t="s">
        <v>3620</v>
      </c>
      <c r="B1705" s="2" t="s">
        <v>3621</v>
      </c>
      <c r="C1705" s="2" t="s">
        <v>50</v>
      </c>
      <c r="D1705" s="2" t="s">
        <v>51</v>
      </c>
      <c r="E1705" s="5">
        <v>-28305</v>
      </c>
      <c r="F1705" s="3" t="s">
        <v>1337</v>
      </c>
      <c r="G1705" s="3" t="s">
        <v>31</v>
      </c>
      <c r="H1705" s="2" t="s">
        <v>20</v>
      </c>
      <c r="I1705" s="2" t="s">
        <v>3622</v>
      </c>
      <c r="J1705" s="3" t="str">
        <f>HYPERLINK("https://www.boe.es/gazeta/dias/1822/07/02/pdfs/GMD-1822-191.pdf#page=3","Abrir facsímil")</f>
        <v>Abrir facsímil</v>
      </c>
      <c r="K1705" s="3" t="s">
        <v>22</v>
      </c>
    </row>
    <row r="1706" spans="1:11" ht="42" customHeight="1">
      <c r="A1706" s="2" t="s">
        <v>3623</v>
      </c>
      <c r="B1706" s="2" t="s">
        <v>3624</v>
      </c>
      <c r="C1706" s="2" t="s">
        <v>42</v>
      </c>
      <c r="D1706" s="2" t="s">
        <v>17</v>
      </c>
      <c r="E1706" s="5">
        <v>-28189</v>
      </c>
      <c r="F1706" s="3" t="s">
        <v>645</v>
      </c>
      <c r="G1706" s="3" t="s">
        <v>44</v>
      </c>
      <c r="H1706" s="2" t="s">
        <v>20</v>
      </c>
      <c r="I1706" s="2" t="s">
        <v>3625</v>
      </c>
      <c r="J1706" s="3" t="str">
        <f>HYPERLINK("https://www.boe.es/gazeta/dias/1822/10/26/pdfs/GMD-1822-313.pdf#page=1","Abrir facsímil")</f>
        <v>Abrir facsímil</v>
      </c>
      <c r="K1706" s="3" t="s">
        <v>22</v>
      </c>
    </row>
    <row r="1707" spans="1:11" ht="42" customHeight="1">
      <c r="A1707" s="2" t="s">
        <v>3626</v>
      </c>
      <c r="B1707" s="2" t="s">
        <v>3626</v>
      </c>
      <c r="C1707" s="2" t="s">
        <v>50</v>
      </c>
      <c r="D1707" s="2" t="s">
        <v>51</v>
      </c>
      <c r="E1707" s="5">
        <v>-28283</v>
      </c>
      <c r="F1707" s="3" t="s">
        <v>1477</v>
      </c>
      <c r="G1707" s="3" t="s">
        <v>44</v>
      </c>
      <c r="H1707" s="2" t="s">
        <v>20</v>
      </c>
      <c r="I1707" s="2" t="s">
        <v>3627</v>
      </c>
      <c r="J1707" s="3" t="str">
        <f>HYPERLINK("https://www.boe.es/gazeta/dias/1822/07/24/pdfs/GMD-1822-217.pdf#page=1","Abrir facsímil")</f>
        <v>Abrir facsímil</v>
      </c>
      <c r="K1707" s="3" t="s">
        <v>22</v>
      </c>
    </row>
    <row r="1708" spans="1:11" ht="42" customHeight="1">
      <c r="A1708" s="2" t="s">
        <v>3628</v>
      </c>
      <c r="B1708" s="2" t="s">
        <v>3629</v>
      </c>
      <c r="C1708" s="2" t="s">
        <v>42</v>
      </c>
      <c r="D1708" s="2" t="s">
        <v>17</v>
      </c>
      <c r="E1708" s="5">
        <v>-28436</v>
      </c>
      <c r="F1708" s="3" t="s">
        <v>431</v>
      </c>
      <c r="G1708" s="3" t="s">
        <v>1428</v>
      </c>
      <c r="H1708" s="2" t="s">
        <v>20</v>
      </c>
      <c r="I1708" s="2" t="s">
        <v>3630</v>
      </c>
      <c r="J1708" s="3" t="str">
        <f>HYPERLINK("https://www.boe.es/gazeta/dias/1822/02/21/pdfs/GMD-1822-53.pdf#page=3","Abrir facsímil")</f>
        <v>Abrir facsímil</v>
      </c>
      <c r="K1708" s="3" t="s">
        <v>22</v>
      </c>
    </row>
    <row r="1709" spans="1:11" ht="42" customHeight="1">
      <c r="A1709" s="2" t="s">
        <v>3631</v>
      </c>
      <c r="B1709" s="2" t="s">
        <v>3632</v>
      </c>
      <c r="C1709" s="2" t="s">
        <v>50</v>
      </c>
      <c r="D1709" s="2" t="s">
        <v>51</v>
      </c>
      <c r="E1709" s="5">
        <v>-28427</v>
      </c>
      <c r="F1709" s="3" t="s">
        <v>755</v>
      </c>
      <c r="G1709" s="3" t="s">
        <v>31</v>
      </c>
      <c r="H1709" s="2" t="s">
        <v>20</v>
      </c>
      <c r="I1709" s="2" t="s">
        <v>3633</v>
      </c>
      <c r="J1709" s="3" t="str">
        <f>HYPERLINK("https://www.boe.es/gazeta/dias/1822/03/02/pdfs/GMD-1822-63.pdf#page=3","Abrir facsímil")</f>
        <v>Abrir facsímil</v>
      </c>
      <c r="K1709" s="3" t="s">
        <v>22</v>
      </c>
    </row>
    <row r="1710" spans="1:11" ht="42" customHeight="1">
      <c r="A1710" s="2" t="s">
        <v>3634</v>
      </c>
      <c r="B1710" s="2" t="s">
        <v>3635</v>
      </c>
      <c r="C1710" s="2" t="s">
        <v>16</v>
      </c>
      <c r="D1710" s="2" t="s">
        <v>17</v>
      </c>
      <c r="E1710" s="5">
        <v>-28283</v>
      </c>
      <c r="F1710" s="3" t="s">
        <v>1477</v>
      </c>
      <c r="G1710" s="3" t="s">
        <v>57</v>
      </c>
      <c r="H1710" s="2" t="s">
        <v>20</v>
      </c>
      <c r="I1710" s="2" t="s">
        <v>3636</v>
      </c>
      <c r="J1710" s="3" t="str">
        <f>HYPERLINK("https://www.boe.es/gazeta/dias/1822/07/24/pdfs/GMD-1822-217.pdf#page=4","Abrir facsímil")</f>
        <v>Abrir facsímil</v>
      </c>
      <c r="K1710" s="3" t="s">
        <v>22</v>
      </c>
    </row>
    <row r="1711" spans="1:11" ht="42" customHeight="1">
      <c r="A1711" s="2" t="s">
        <v>3637</v>
      </c>
      <c r="B1711" s="2" t="s">
        <v>3638</v>
      </c>
      <c r="C1711" s="2" t="s">
        <v>28</v>
      </c>
      <c r="D1711" s="2" t="s">
        <v>29</v>
      </c>
      <c r="E1711" s="5">
        <v>-28315</v>
      </c>
      <c r="F1711" s="3" t="s">
        <v>1220</v>
      </c>
      <c r="G1711" s="3" t="s">
        <v>63</v>
      </c>
      <c r="H1711" s="2" t="s">
        <v>20</v>
      </c>
      <c r="I1711" s="2" t="s">
        <v>3639</v>
      </c>
      <c r="J1711" s="3" t="str">
        <f>HYPERLINK("https://www.boe.es/gazeta/dias/1822/06/22/pdfs/GMD-1822-180.pdf#page=6","Abrir facsímil")</f>
        <v>Abrir facsímil</v>
      </c>
      <c r="K1711" s="3" t="s">
        <v>22</v>
      </c>
    </row>
    <row r="1712" spans="1:11" ht="42" customHeight="1">
      <c r="A1712" s="2" t="s">
        <v>3640</v>
      </c>
      <c r="B1712" s="2" t="s">
        <v>3640</v>
      </c>
      <c r="C1712" s="2" t="s">
        <v>71</v>
      </c>
      <c r="D1712" s="2" t="s">
        <v>17</v>
      </c>
      <c r="E1712" s="5">
        <v>-28335</v>
      </c>
      <c r="F1712" s="3" t="s">
        <v>3346</v>
      </c>
      <c r="G1712" s="3" t="s">
        <v>31</v>
      </c>
      <c r="H1712" s="2" t="s">
        <v>20</v>
      </c>
      <c r="I1712" s="2" t="s">
        <v>3641</v>
      </c>
      <c r="J1712" s="3" t="str">
        <f>HYPERLINK("https://www.boe.es/gazeta/dias/1822/06/02/pdfs/GMD-1822-158.pdf#page=3","Abrir facsímil")</f>
        <v>Abrir facsímil</v>
      </c>
      <c r="K1712" s="3" t="s">
        <v>22</v>
      </c>
    </row>
    <row r="1713" spans="1:11" ht="42" customHeight="1">
      <c r="A1713" s="2" t="s">
        <v>3640</v>
      </c>
      <c r="B1713" s="2" t="s">
        <v>3640</v>
      </c>
      <c r="C1713" s="2" t="s">
        <v>71</v>
      </c>
      <c r="D1713" s="2" t="s">
        <v>17</v>
      </c>
      <c r="E1713" s="5">
        <v>-28177</v>
      </c>
      <c r="F1713" s="3" t="s">
        <v>587</v>
      </c>
      <c r="G1713" s="3" t="s">
        <v>44</v>
      </c>
      <c r="H1713" s="2" t="s">
        <v>20</v>
      </c>
      <c r="I1713" s="2" t="s">
        <v>3642</v>
      </c>
      <c r="J1713" s="3" t="str">
        <f>HYPERLINK("https://www.boe.es/gazeta/dias/1822/11/07/pdfs/GMD-1822-327.pdf#page=1","Abrir facsímil")</f>
        <v>Abrir facsímil</v>
      </c>
      <c r="K1713" s="3" t="s">
        <v>22</v>
      </c>
    </row>
    <row r="1714" spans="1:11" ht="42" customHeight="1">
      <c r="A1714" s="2" t="s">
        <v>3643</v>
      </c>
      <c r="B1714" s="2" t="s">
        <v>3644</v>
      </c>
      <c r="C1714" s="2" t="s">
        <v>50</v>
      </c>
      <c r="D1714" s="2" t="s">
        <v>51</v>
      </c>
      <c r="E1714" s="5">
        <v>-28288</v>
      </c>
      <c r="F1714" s="3" t="s">
        <v>970</v>
      </c>
      <c r="G1714" s="3" t="s">
        <v>35</v>
      </c>
      <c r="H1714" s="2" t="s">
        <v>20</v>
      </c>
      <c r="I1714" s="2" t="s">
        <v>3645</v>
      </c>
      <c r="J1714" s="3" t="str">
        <f>HYPERLINK("https://www.boe.es/gazeta/dias/1822/07/19/pdfs/GMD-1822-211.pdf#page=2","Abrir facsímil")</f>
        <v>Abrir facsímil</v>
      </c>
      <c r="K1714" s="3" t="s">
        <v>22</v>
      </c>
    </row>
    <row r="1715" spans="1:11" ht="42" customHeight="1">
      <c r="A1715" s="2" t="s">
        <v>3643</v>
      </c>
      <c r="B1715" s="2" t="s">
        <v>3644</v>
      </c>
      <c r="C1715" s="2" t="s">
        <v>50</v>
      </c>
      <c r="D1715" s="2" t="s">
        <v>51</v>
      </c>
      <c r="E1715" s="5">
        <v>-28190</v>
      </c>
      <c r="F1715" s="3" t="s">
        <v>576</v>
      </c>
      <c r="G1715" s="3" t="s">
        <v>63</v>
      </c>
      <c r="H1715" s="2" t="s">
        <v>20</v>
      </c>
      <c r="I1715" s="2" t="s">
        <v>3646</v>
      </c>
      <c r="J1715" s="3" t="str">
        <f>HYPERLINK("https://www.boe.es/gazeta/dias/1822/10/25/pdfs/GMD-1822-312.pdf#page=6","Abrir facsímil")</f>
        <v>Abrir facsímil</v>
      </c>
      <c r="K1715" s="3" t="s">
        <v>22</v>
      </c>
    </row>
    <row r="1716" spans="1:11" ht="42" customHeight="1">
      <c r="A1716" s="2" t="s">
        <v>3647</v>
      </c>
      <c r="B1716" s="2" t="s">
        <v>3648</v>
      </c>
      <c r="C1716" s="2" t="s">
        <v>16</v>
      </c>
      <c r="D1716" s="2" t="s">
        <v>17</v>
      </c>
      <c r="E1716" s="5">
        <v>-28402</v>
      </c>
      <c r="F1716" s="3" t="s">
        <v>473</v>
      </c>
      <c r="G1716" s="3" t="s">
        <v>63</v>
      </c>
      <c r="H1716" s="2" t="s">
        <v>20</v>
      </c>
      <c r="I1716" s="2" t="s">
        <v>3649</v>
      </c>
      <c r="J1716" s="3" t="str">
        <f>HYPERLINK("https://www.boe.es/gazeta/dias/1822/03/27/pdfs/GMD-1822-88.pdf#page=6","Abrir facsímil")</f>
        <v>Abrir facsímil</v>
      </c>
      <c r="K1716" s="3" t="s">
        <v>22</v>
      </c>
    </row>
    <row r="1717" spans="1:11" ht="42" customHeight="1">
      <c r="A1717" s="2" t="s">
        <v>3650</v>
      </c>
      <c r="B1717" s="2" t="s">
        <v>3651</v>
      </c>
      <c r="C1717" s="2" t="s">
        <v>42</v>
      </c>
      <c r="D1717" s="2" t="s">
        <v>17</v>
      </c>
      <c r="E1717" s="5">
        <v>-28198</v>
      </c>
      <c r="F1717" s="3" t="s">
        <v>981</v>
      </c>
      <c r="G1717" s="3" t="s">
        <v>35</v>
      </c>
      <c r="H1717" s="2" t="s">
        <v>20</v>
      </c>
      <c r="I1717" s="2" t="s">
        <v>3652</v>
      </c>
      <c r="J1717" s="3" t="str">
        <f>HYPERLINK("https://www.boe.es/gazeta/dias/1822/10/17/pdfs/GMD-1822-304.pdf#page=2","Abrir facsímil")</f>
        <v>Abrir facsímil</v>
      </c>
      <c r="K1717" s="3" t="s">
        <v>22</v>
      </c>
    </row>
    <row r="1718" spans="1:11" ht="42" customHeight="1">
      <c r="A1718" s="2" t="s">
        <v>3653</v>
      </c>
      <c r="B1718" s="2" t="s">
        <v>3654</v>
      </c>
      <c r="C1718" s="2" t="s">
        <v>42</v>
      </c>
      <c r="D1718" s="2" t="s">
        <v>17</v>
      </c>
      <c r="E1718" s="5">
        <v>-28131</v>
      </c>
      <c r="F1718" s="3" t="s">
        <v>893</v>
      </c>
      <c r="G1718" s="3" t="s">
        <v>57</v>
      </c>
      <c r="H1718" s="2" t="s">
        <v>20</v>
      </c>
      <c r="I1718" s="2" t="s">
        <v>3655</v>
      </c>
      <c r="J1718" s="3" t="str">
        <f>HYPERLINK("https://www.boe.es/gazeta/dias/1822/12/23/pdfs/GMD-1822-373.pdf#page=4","Abrir facsímil")</f>
        <v>Abrir facsímil</v>
      </c>
      <c r="K1718" s="3" t="s">
        <v>22</v>
      </c>
    </row>
    <row r="1719" spans="1:11" ht="42" customHeight="1">
      <c r="A1719" s="2" t="s">
        <v>3656</v>
      </c>
      <c r="B1719" s="2" t="s">
        <v>3656</v>
      </c>
      <c r="C1719" s="2" t="s">
        <v>50</v>
      </c>
      <c r="D1719" s="2" t="s">
        <v>51</v>
      </c>
      <c r="E1719" s="5">
        <v>-28330</v>
      </c>
      <c r="F1719" s="3" t="s">
        <v>896</v>
      </c>
      <c r="G1719" s="3" t="s">
        <v>44</v>
      </c>
      <c r="H1719" s="2" t="s">
        <v>20</v>
      </c>
      <c r="I1719" s="2" t="s">
        <v>3657</v>
      </c>
      <c r="J1719" s="3" t="str">
        <f>HYPERLINK("https://www.boe.es/gazeta/dias/1822/06/07/pdfs/GMD-1822-164.pdf#page=1","Abrir facsímil")</f>
        <v>Abrir facsímil</v>
      </c>
      <c r="K1719" s="3" t="s">
        <v>22</v>
      </c>
    </row>
    <row r="1720" spans="1:11" ht="42" customHeight="1">
      <c r="A1720" s="2" t="s">
        <v>3658</v>
      </c>
      <c r="B1720" s="2" t="s">
        <v>3659</v>
      </c>
      <c r="C1720" s="2" t="s">
        <v>50</v>
      </c>
      <c r="D1720" s="2" t="s">
        <v>51</v>
      </c>
      <c r="E1720" s="5">
        <v>-28264</v>
      </c>
      <c r="F1720" s="3" t="s">
        <v>1329</v>
      </c>
      <c r="G1720" s="3" t="s">
        <v>31</v>
      </c>
      <c r="H1720" s="2" t="s">
        <v>20</v>
      </c>
      <c r="I1720" s="2" t="s">
        <v>3660</v>
      </c>
      <c r="J1720" s="3" t="str">
        <f>HYPERLINK("https://www.boe.es/gazeta/dias/1822/08/12/pdfs/GMD-1822-236.pdf#page=3","Abrir facsímil")</f>
        <v>Abrir facsímil</v>
      </c>
      <c r="K1720" s="3" t="s">
        <v>22</v>
      </c>
    </row>
    <row r="1721" spans="1:11" ht="42" customHeight="1">
      <c r="A1721" s="2" t="s">
        <v>3661</v>
      </c>
      <c r="B1721" s="2" t="s">
        <v>3662</v>
      </c>
      <c r="C1721" s="2" t="s">
        <v>16</v>
      </c>
      <c r="D1721" s="2" t="s">
        <v>17</v>
      </c>
      <c r="E1721" s="5">
        <v>-28433</v>
      </c>
      <c r="F1721" s="3" t="s">
        <v>3663</v>
      </c>
      <c r="G1721" s="3" t="s">
        <v>57</v>
      </c>
      <c r="H1721" s="2" t="s">
        <v>20</v>
      </c>
      <c r="I1721" s="2" t="s">
        <v>3664</v>
      </c>
      <c r="J1721" s="3" t="str">
        <f>HYPERLINK("https://www.boe.es/gazeta/dias/1822/02/24/pdfs/GMD-1822-56.pdf#page=4","Abrir facsímil")</f>
        <v>Abrir facsímil</v>
      </c>
      <c r="K1721" s="3" t="s">
        <v>22</v>
      </c>
    </row>
    <row r="1722" spans="1:11" ht="42" customHeight="1">
      <c r="A1722" s="2" t="s">
        <v>3665</v>
      </c>
      <c r="B1722" s="2" t="s">
        <v>3665</v>
      </c>
      <c r="C1722" s="2" t="s">
        <v>42</v>
      </c>
      <c r="D1722" s="2" t="s">
        <v>17</v>
      </c>
      <c r="E1722" s="5">
        <v>-28394</v>
      </c>
      <c r="F1722" s="3" t="s">
        <v>268</v>
      </c>
      <c r="G1722" s="3" t="s">
        <v>57</v>
      </c>
      <c r="H1722" s="2" t="s">
        <v>20</v>
      </c>
      <c r="I1722" s="2" t="s">
        <v>3666</v>
      </c>
      <c r="J1722" s="3" t="str">
        <f>HYPERLINK("https://www.boe.es/gazeta/dias/1822/04/04/pdfs/GMD-1822-96.pdf#page=4","Abrir facsímil")</f>
        <v>Abrir facsímil</v>
      </c>
      <c r="K1722" s="3" t="s">
        <v>22</v>
      </c>
    </row>
    <row r="1723" spans="1:11" ht="42" customHeight="1">
      <c r="A1723" s="2" t="s">
        <v>3667</v>
      </c>
      <c r="B1723" s="2" t="s">
        <v>3667</v>
      </c>
      <c r="C1723" s="2" t="s">
        <v>50</v>
      </c>
      <c r="D1723" s="2" t="s">
        <v>51</v>
      </c>
      <c r="E1723" s="5">
        <v>-28223</v>
      </c>
      <c r="F1723" s="3" t="s">
        <v>2374</v>
      </c>
      <c r="G1723" s="3" t="s">
        <v>35</v>
      </c>
      <c r="H1723" s="2" t="s">
        <v>20</v>
      </c>
      <c r="I1723" s="2" t="s">
        <v>3668</v>
      </c>
      <c r="J1723" s="3" t="str">
        <f>HYPERLINK("https://www.boe.es/gazeta/dias/1822/09/22/pdfs/GMD-1822-278.pdf#page=2","Abrir facsímil")</f>
        <v>Abrir facsímil</v>
      </c>
      <c r="K1723" s="3" t="s">
        <v>22</v>
      </c>
    </row>
    <row r="1724" spans="1:11" ht="42" customHeight="1">
      <c r="A1724" s="2" t="s">
        <v>3667</v>
      </c>
      <c r="B1724" s="2" t="s">
        <v>3667</v>
      </c>
      <c r="C1724" s="2" t="s">
        <v>71</v>
      </c>
      <c r="D1724" s="2" t="s">
        <v>17</v>
      </c>
      <c r="E1724" s="5">
        <v>-28146</v>
      </c>
      <c r="F1724" s="3" t="s">
        <v>180</v>
      </c>
      <c r="G1724" s="3" t="s">
        <v>57</v>
      </c>
      <c r="H1724" s="2" t="s">
        <v>20</v>
      </c>
      <c r="I1724" s="2" t="s">
        <v>3669</v>
      </c>
      <c r="J1724" s="3" t="str">
        <f>HYPERLINK("https://www.boe.es/gazeta/dias/1822/12/08/pdfs/GMD-1822-358.pdf#page=4","Abrir facsímil")</f>
        <v>Abrir facsímil</v>
      </c>
      <c r="K1724" s="3" t="s">
        <v>22</v>
      </c>
    </row>
    <row r="1725" spans="1:11" ht="42" customHeight="1">
      <c r="A1725" s="2" t="s">
        <v>3670</v>
      </c>
      <c r="B1725" s="2" t="s">
        <v>3671</v>
      </c>
      <c r="C1725" s="2" t="s">
        <v>42</v>
      </c>
      <c r="D1725" s="2" t="s">
        <v>17</v>
      </c>
      <c r="E1725" s="5">
        <v>-28168</v>
      </c>
      <c r="F1725" s="3" t="s">
        <v>3672</v>
      </c>
      <c r="G1725" s="3" t="s">
        <v>57</v>
      </c>
      <c r="H1725" s="2" t="s">
        <v>20</v>
      </c>
      <c r="I1725" s="2" t="s">
        <v>3673</v>
      </c>
      <c r="J1725" s="3" t="str">
        <f>HYPERLINK("https://www.boe.es/gazeta/dias/1822/11/16/pdfs/GMD-1822-336.pdf#page=4","Abrir facsímil")</f>
        <v>Abrir facsímil</v>
      </c>
      <c r="K1725" s="3" t="s">
        <v>22</v>
      </c>
    </row>
    <row r="1726" spans="1:11" ht="42" customHeight="1">
      <c r="A1726" s="2" t="s">
        <v>3674</v>
      </c>
      <c r="B1726" s="2" t="s">
        <v>3675</v>
      </c>
      <c r="C1726" s="2" t="s">
        <v>50</v>
      </c>
      <c r="D1726" s="2" t="s">
        <v>51</v>
      </c>
      <c r="E1726" s="5">
        <v>-28458</v>
      </c>
      <c r="F1726" s="3" t="s">
        <v>1151</v>
      </c>
      <c r="G1726" s="3" t="s">
        <v>57</v>
      </c>
      <c r="H1726" s="2" t="s">
        <v>20</v>
      </c>
      <c r="I1726" s="2" t="s">
        <v>3676</v>
      </c>
      <c r="J1726" s="3" t="str">
        <f>HYPERLINK("https://www.boe.es/gazeta/dias/1822/01/30/pdfs/GMD-1822-30.pdf#page=4","Abrir facsímil")</f>
        <v>Abrir facsímil</v>
      </c>
      <c r="K1726" s="3" t="s">
        <v>22</v>
      </c>
    </row>
    <row r="1727" spans="1:11" ht="42" customHeight="1">
      <c r="A1727" s="2" t="s">
        <v>3677</v>
      </c>
      <c r="B1727" s="2" t="s">
        <v>3678</v>
      </c>
      <c r="C1727" s="2" t="s">
        <v>28</v>
      </c>
      <c r="D1727" s="2" t="s">
        <v>29</v>
      </c>
      <c r="E1727" s="5">
        <v>-28329</v>
      </c>
      <c r="F1727" s="3" t="s">
        <v>354</v>
      </c>
      <c r="G1727" s="3" t="s">
        <v>19</v>
      </c>
      <c r="H1727" s="2" t="s">
        <v>20</v>
      </c>
      <c r="I1727" s="2" t="s">
        <v>3679</v>
      </c>
      <c r="J1727" s="3" t="str">
        <f>HYPERLINK("https://www.boe.es/gazeta/dias/1822/06/08/pdfs/GMD-1822-165.pdf#page=5","Abrir facsímil")</f>
        <v>Abrir facsímil</v>
      </c>
      <c r="K1727" s="3" t="s">
        <v>22</v>
      </c>
    </row>
    <row r="1728" spans="1:11" ht="42" customHeight="1">
      <c r="A1728" s="2" t="s">
        <v>3680</v>
      </c>
      <c r="B1728" s="2" t="s">
        <v>3681</v>
      </c>
      <c r="C1728" s="2" t="s">
        <v>50</v>
      </c>
      <c r="D1728" s="2" t="s">
        <v>51</v>
      </c>
      <c r="E1728" s="5">
        <v>-28262</v>
      </c>
      <c r="F1728" s="3" t="s">
        <v>1771</v>
      </c>
      <c r="G1728" s="3" t="s">
        <v>57</v>
      </c>
      <c r="H1728" s="2" t="s">
        <v>20</v>
      </c>
      <c r="I1728" s="2" t="s">
        <v>3682</v>
      </c>
      <c r="J1728" s="3" t="str">
        <f>HYPERLINK("https://www.boe.es/gazeta/dias/1822/08/14/pdfs/GMD-1822-238.pdf#page=4","Abrir facsímil")</f>
        <v>Abrir facsímil</v>
      </c>
      <c r="K1728" s="3" t="s">
        <v>22</v>
      </c>
    </row>
    <row r="1729" spans="1:11" ht="42" customHeight="1">
      <c r="A1729" s="2" t="s">
        <v>3683</v>
      </c>
      <c r="B1729" s="2" t="s">
        <v>3684</v>
      </c>
      <c r="C1729" s="2" t="s">
        <v>50</v>
      </c>
      <c r="D1729" s="2" t="s">
        <v>51</v>
      </c>
      <c r="E1729" s="5">
        <v>-28427</v>
      </c>
      <c r="F1729" s="3" t="s">
        <v>755</v>
      </c>
      <c r="G1729" s="3" t="s">
        <v>31</v>
      </c>
      <c r="H1729" s="2" t="s">
        <v>20</v>
      </c>
      <c r="I1729" s="2" t="s">
        <v>3685</v>
      </c>
      <c r="J1729" s="3" t="str">
        <f>HYPERLINK("https://www.boe.es/gazeta/dias/1822/03/02/pdfs/GMD-1822-63.pdf#page=3","Abrir facsímil")</f>
        <v>Abrir facsímil</v>
      </c>
      <c r="K1729" s="3" t="s">
        <v>22</v>
      </c>
    </row>
    <row r="1730" spans="1:11" ht="42" customHeight="1">
      <c r="A1730" s="2" t="s">
        <v>3686</v>
      </c>
      <c r="B1730" s="2" t="s">
        <v>3687</v>
      </c>
      <c r="C1730" s="2" t="s">
        <v>50</v>
      </c>
      <c r="D1730" s="2" t="s">
        <v>51</v>
      </c>
      <c r="E1730" s="5">
        <v>-28420</v>
      </c>
      <c r="F1730" s="3" t="s">
        <v>449</v>
      </c>
      <c r="G1730" s="3" t="s">
        <v>63</v>
      </c>
      <c r="H1730" s="2" t="s">
        <v>20</v>
      </c>
      <c r="I1730" s="2" t="s">
        <v>3688</v>
      </c>
      <c r="J1730" s="3" t="str">
        <f>HYPERLINK("https://www.boe.es/gazeta/dias/1822/03/09/pdfs/GMD-1822-70.pdf#page=6","Abrir facsímil")</f>
        <v>Abrir facsímil</v>
      </c>
      <c r="K1730" s="3" t="s">
        <v>22</v>
      </c>
    </row>
    <row r="1731" spans="1:11" ht="42" customHeight="1">
      <c r="A1731" s="2" t="s">
        <v>3686</v>
      </c>
      <c r="B1731" s="2" t="s">
        <v>3687</v>
      </c>
      <c r="C1731" s="2" t="s">
        <v>50</v>
      </c>
      <c r="D1731" s="2" t="s">
        <v>51</v>
      </c>
      <c r="E1731" s="5">
        <v>-28401</v>
      </c>
      <c r="F1731" s="3" t="s">
        <v>108</v>
      </c>
      <c r="G1731" s="3" t="s">
        <v>63</v>
      </c>
      <c r="H1731" s="2" t="s">
        <v>20</v>
      </c>
      <c r="I1731" s="2" t="s">
        <v>3689</v>
      </c>
      <c r="J1731" s="3" t="str">
        <f>HYPERLINK("https://www.boe.es/gazeta/dias/1822/03/28/pdfs/GMD-1822-89.pdf#page=6","Abrir facsímil")</f>
        <v>Abrir facsímil</v>
      </c>
      <c r="K1731" s="3" t="s">
        <v>22</v>
      </c>
    </row>
    <row r="1732" spans="1:11" ht="42" customHeight="1">
      <c r="A1732" s="2" t="s">
        <v>3686</v>
      </c>
      <c r="B1732" s="2" t="s">
        <v>3687</v>
      </c>
      <c r="C1732" s="2" t="s">
        <v>50</v>
      </c>
      <c r="D1732" s="2" t="s">
        <v>51</v>
      </c>
      <c r="E1732" s="5">
        <v>-28336</v>
      </c>
      <c r="F1732" s="3" t="s">
        <v>156</v>
      </c>
      <c r="G1732" s="3" t="s">
        <v>167</v>
      </c>
      <c r="H1732" s="2" t="s">
        <v>20</v>
      </c>
      <c r="I1732" s="2" t="s">
        <v>3690</v>
      </c>
      <c r="J1732" s="3" t="str">
        <f>HYPERLINK("https://www.boe.es/gazeta/dias/1822/06/01/pdfs/GMD-1822-157.pdf#page=7","Abrir facsímil")</f>
        <v>Abrir facsímil</v>
      </c>
      <c r="K1732" s="3" t="s">
        <v>22</v>
      </c>
    </row>
    <row r="1733" spans="1:11" ht="42" customHeight="1">
      <c r="A1733" s="2" t="s">
        <v>3686</v>
      </c>
      <c r="B1733" s="2" t="s">
        <v>3687</v>
      </c>
      <c r="C1733" s="2" t="s">
        <v>28</v>
      </c>
      <c r="D1733" s="2" t="s">
        <v>29</v>
      </c>
      <c r="E1733" s="5">
        <v>-28333</v>
      </c>
      <c r="F1733" s="3" t="s">
        <v>1928</v>
      </c>
      <c r="G1733" s="3" t="s">
        <v>63</v>
      </c>
      <c r="H1733" s="2" t="s">
        <v>20</v>
      </c>
      <c r="I1733" s="2" t="s">
        <v>3691</v>
      </c>
      <c r="J1733" s="3" t="str">
        <f>HYPERLINK("https://www.boe.es/gazeta/dias/1822/06/04/pdfs/GMD-1822-161.pdf#page=6","Abrir facsímil")</f>
        <v>Abrir facsímil</v>
      </c>
      <c r="K1733" s="3" t="s">
        <v>22</v>
      </c>
    </row>
    <row r="1734" spans="1:11" ht="42" customHeight="1">
      <c r="A1734" s="2" t="s">
        <v>3692</v>
      </c>
      <c r="B1734" s="2" t="s">
        <v>3693</v>
      </c>
      <c r="C1734" s="2" t="s">
        <v>50</v>
      </c>
      <c r="D1734" s="2" t="s">
        <v>51</v>
      </c>
      <c r="E1734" s="5">
        <v>-28384</v>
      </c>
      <c r="F1734" s="3" t="s">
        <v>258</v>
      </c>
      <c r="G1734" s="3" t="s">
        <v>63</v>
      </c>
      <c r="H1734" s="2" t="s">
        <v>20</v>
      </c>
      <c r="I1734" s="2" t="s">
        <v>3694</v>
      </c>
      <c r="J1734" s="3" t="str">
        <f>HYPERLINK("https://www.boe.es/gazeta/dias/1822/04/14/pdfs/GMD-1822-106.pdf#page=6","Abrir facsímil")</f>
        <v>Abrir facsímil</v>
      </c>
      <c r="K1734" s="3" t="s">
        <v>22</v>
      </c>
    </row>
    <row r="1735" spans="1:11" ht="42" customHeight="1">
      <c r="A1735" s="2" t="s">
        <v>3695</v>
      </c>
      <c r="B1735" s="2" t="s">
        <v>3696</v>
      </c>
      <c r="C1735" s="2" t="s">
        <v>28</v>
      </c>
      <c r="D1735" s="2" t="s">
        <v>29</v>
      </c>
      <c r="E1735" s="5">
        <v>-28342</v>
      </c>
      <c r="F1735" s="3" t="s">
        <v>2281</v>
      </c>
      <c r="G1735" s="3" t="s">
        <v>63</v>
      </c>
      <c r="H1735" s="2" t="s">
        <v>20</v>
      </c>
      <c r="I1735" s="2" t="s">
        <v>3697</v>
      </c>
      <c r="J1735" s="3" t="str">
        <f>HYPERLINK("https://www.boe.es/gazeta/dias/1822/05/26/pdfs/GMD-1822-151.pdf#page=6","Abrir facsímil")</f>
        <v>Abrir facsímil</v>
      </c>
      <c r="K1735" s="3" t="s">
        <v>22</v>
      </c>
    </row>
    <row r="1736" spans="1:11" ht="42" customHeight="1">
      <c r="A1736" s="2" t="s">
        <v>3695</v>
      </c>
      <c r="B1736" s="2" t="s">
        <v>3696</v>
      </c>
      <c r="C1736" s="2" t="s">
        <v>61</v>
      </c>
      <c r="D1736" s="2" t="s">
        <v>17</v>
      </c>
      <c r="E1736" s="5">
        <v>-28286</v>
      </c>
      <c r="F1736" s="3" t="s">
        <v>1853</v>
      </c>
      <c r="G1736" s="3" t="s">
        <v>57</v>
      </c>
      <c r="H1736" s="2" t="s">
        <v>20</v>
      </c>
      <c r="I1736" s="2" t="s">
        <v>3698</v>
      </c>
      <c r="J1736" s="3" t="str">
        <f>HYPERLINK("https://www.boe.es/gazeta/dias/1822/07/21/pdfs/GMD-1822-213.pdf#page=4","Abrir facsímil")</f>
        <v>Abrir facsímil</v>
      </c>
      <c r="K1736" s="3" t="s">
        <v>22</v>
      </c>
    </row>
    <row r="1737" spans="1:11" ht="42" customHeight="1">
      <c r="A1737" s="2" t="s">
        <v>3699</v>
      </c>
      <c r="B1737" s="2" t="s">
        <v>3699</v>
      </c>
      <c r="C1737" s="2" t="s">
        <v>50</v>
      </c>
      <c r="D1737" s="2" t="s">
        <v>51</v>
      </c>
      <c r="E1737" s="5">
        <v>-28386</v>
      </c>
      <c r="F1737" s="3" t="s">
        <v>2993</v>
      </c>
      <c r="G1737" s="3" t="s">
        <v>44</v>
      </c>
      <c r="H1737" s="2" t="s">
        <v>20</v>
      </c>
      <c r="I1737" s="2" t="s">
        <v>3700</v>
      </c>
      <c r="J1737" s="3" t="str">
        <f>HYPERLINK("https://www.boe.es/gazeta/dias/1822/04/12/pdfs/GMD-1822-104.pdf#page=1","Abrir facsímil")</f>
        <v>Abrir facsímil</v>
      </c>
      <c r="K1737" s="3" t="s">
        <v>22</v>
      </c>
    </row>
    <row r="1738" spans="1:11" ht="42" customHeight="1">
      <c r="A1738" s="2" t="s">
        <v>3699</v>
      </c>
      <c r="B1738" s="2" t="s">
        <v>3699</v>
      </c>
      <c r="C1738" s="2" t="s">
        <v>50</v>
      </c>
      <c r="D1738" s="2" t="s">
        <v>51</v>
      </c>
      <c r="E1738" s="5">
        <v>-28323</v>
      </c>
      <c r="F1738" s="3" t="s">
        <v>116</v>
      </c>
      <c r="G1738" s="3" t="s">
        <v>63</v>
      </c>
      <c r="H1738" s="2" t="s">
        <v>20</v>
      </c>
      <c r="I1738" s="2" t="s">
        <v>3701</v>
      </c>
      <c r="J1738" s="3" t="str">
        <f>HYPERLINK("https://www.boe.es/gazeta/dias/1822/06/14/pdfs/GMD-1822-171.pdf#page=6","Abrir facsímil")</f>
        <v>Abrir facsímil</v>
      </c>
      <c r="K1738" s="3" t="s">
        <v>22</v>
      </c>
    </row>
    <row r="1739" spans="1:11" ht="42" customHeight="1">
      <c r="A1739" s="2" t="s">
        <v>3699</v>
      </c>
      <c r="B1739" s="2" t="s">
        <v>3699</v>
      </c>
      <c r="C1739" s="2" t="s">
        <v>71</v>
      </c>
      <c r="D1739" s="2" t="s">
        <v>17</v>
      </c>
      <c r="E1739" s="5">
        <v>-28313</v>
      </c>
      <c r="F1739" s="3" t="s">
        <v>315</v>
      </c>
      <c r="G1739" s="3" t="s">
        <v>19</v>
      </c>
      <c r="H1739" s="2" t="s">
        <v>20</v>
      </c>
      <c r="I1739" s="2" t="s">
        <v>3702</v>
      </c>
      <c r="J1739" s="3" t="str">
        <f>HYPERLINK("https://www.boe.es/gazeta/dias/1822/06/24/pdfs/GMD-1822-182.pdf#page=5","Abrir facsímil")</f>
        <v>Abrir facsímil</v>
      </c>
      <c r="K1739" s="3" t="s">
        <v>22</v>
      </c>
    </row>
    <row r="1740" spans="1:11" ht="42" customHeight="1">
      <c r="A1740" s="2" t="s">
        <v>3703</v>
      </c>
      <c r="B1740" s="2" t="s">
        <v>3704</v>
      </c>
      <c r="C1740" s="2" t="s">
        <v>16</v>
      </c>
      <c r="D1740" s="2" t="s">
        <v>17</v>
      </c>
      <c r="E1740" s="5">
        <v>-28209</v>
      </c>
      <c r="F1740" s="3" t="s">
        <v>748</v>
      </c>
      <c r="G1740" s="3" t="s">
        <v>57</v>
      </c>
      <c r="H1740" s="2" t="s">
        <v>20</v>
      </c>
      <c r="I1740" s="2" t="s">
        <v>3705</v>
      </c>
      <c r="J1740" s="3" t="str">
        <f>HYPERLINK("https://www.boe.es/gazeta/dias/1822/10/06/pdfs/GMD-1822-292.pdf#page=4","Abrir facsímil")</f>
        <v>Abrir facsímil</v>
      </c>
      <c r="K1740" s="3" t="s">
        <v>22</v>
      </c>
    </row>
    <row r="1741" spans="1:11" ht="42" customHeight="1">
      <c r="A1741" s="2" t="s">
        <v>3706</v>
      </c>
      <c r="B1741" s="2" t="s">
        <v>3707</v>
      </c>
      <c r="C1741" s="2" t="s">
        <v>42</v>
      </c>
      <c r="D1741" s="2" t="s">
        <v>17</v>
      </c>
      <c r="E1741" s="5">
        <v>-28314</v>
      </c>
      <c r="F1741" s="3" t="s">
        <v>309</v>
      </c>
      <c r="G1741" s="3" t="s">
        <v>63</v>
      </c>
      <c r="H1741" s="2" t="s">
        <v>20</v>
      </c>
      <c r="I1741" s="2" t="s">
        <v>3708</v>
      </c>
      <c r="J1741" s="3" t="str">
        <f>HYPERLINK("https://www.boe.es/gazeta/dias/1822/06/23/pdfs/GMD-1822-181.pdf#page=6","Abrir facsímil")</f>
        <v>Abrir facsímil</v>
      </c>
      <c r="K1741" s="3" t="s">
        <v>22</v>
      </c>
    </row>
    <row r="1742" spans="1:11" ht="42" customHeight="1">
      <c r="A1742" s="2" t="s">
        <v>3709</v>
      </c>
      <c r="B1742" s="2" t="s">
        <v>3710</v>
      </c>
      <c r="C1742" s="2" t="s">
        <v>28</v>
      </c>
      <c r="D1742" s="2" t="s">
        <v>29</v>
      </c>
      <c r="E1742" s="5">
        <v>-28475</v>
      </c>
      <c r="F1742" s="3" t="s">
        <v>1205</v>
      </c>
      <c r="G1742" s="3" t="s">
        <v>63</v>
      </c>
      <c r="H1742" s="2" t="s">
        <v>20</v>
      </c>
      <c r="I1742" s="2" t="s">
        <v>3711</v>
      </c>
      <c r="J1742" s="3" t="str">
        <f>HYPERLINK("https://www.boe.es/gazeta/dias/1822/01/13/pdfs/GMD-1822-13.pdf#page=6","Abrir facsímil")</f>
        <v>Abrir facsímil</v>
      </c>
      <c r="K1742" s="3" t="s">
        <v>22</v>
      </c>
    </row>
    <row r="1743" spans="1:11" ht="42" customHeight="1">
      <c r="A1743" s="2" t="s">
        <v>3712</v>
      </c>
      <c r="B1743" s="2" t="s">
        <v>3713</v>
      </c>
      <c r="C1743" s="2" t="s">
        <v>16</v>
      </c>
      <c r="D1743" s="2" t="s">
        <v>17</v>
      </c>
      <c r="E1743" s="5">
        <v>-28439</v>
      </c>
      <c r="F1743" s="3" t="s">
        <v>2752</v>
      </c>
      <c r="G1743" s="3" t="s">
        <v>57</v>
      </c>
      <c r="H1743" s="2" t="s">
        <v>20</v>
      </c>
      <c r="I1743" s="2" t="s">
        <v>3714</v>
      </c>
      <c r="J1743" s="3" t="str">
        <f>HYPERLINK("https://www.boe.es/gazeta/dias/1822/02/18/pdfs/GMD-1822-50.pdf#page=4","Abrir facsímil")</f>
        <v>Abrir facsímil</v>
      </c>
      <c r="K1743" s="3" t="s">
        <v>22</v>
      </c>
    </row>
    <row r="1744" spans="1:11" ht="42" customHeight="1">
      <c r="A1744" s="2" t="s">
        <v>3715</v>
      </c>
      <c r="B1744" s="2" t="s">
        <v>3715</v>
      </c>
      <c r="C1744" s="2" t="s">
        <v>50</v>
      </c>
      <c r="D1744" s="2" t="s">
        <v>51</v>
      </c>
      <c r="E1744" s="5">
        <v>-28290</v>
      </c>
      <c r="F1744" s="3" t="s">
        <v>706</v>
      </c>
      <c r="G1744" s="3" t="s">
        <v>35</v>
      </c>
      <c r="H1744" s="2" t="s">
        <v>20</v>
      </c>
      <c r="I1744" s="2" t="s">
        <v>3716</v>
      </c>
      <c r="J1744" s="3" t="str">
        <f>HYPERLINK("https://www.boe.es/gazeta/dias/1822/07/17/pdfs/GMD-1822-207.pdf#page=2","Abrir facsímil")</f>
        <v>Abrir facsímil</v>
      </c>
      <c r="K1744" s="3" t="s">
        <v>22</v>
      </c>
    </row>
    <row r="1745" spans="1:11" ht="42" customHeight="1">
      <c r="A1745" s="2" t="s">
        <v>3717</v>
      </c>
      <c r="B1745" s="2" t="s">
        <v>3717</v>
      </c>
      <c r="C1745" s="2" t="s">
        <v>50</v>
      </c>
      <c r="D1745" s="2" t="s">
        <v>51</v>
      </c>
      <c r="E1745" s="5">
        <v>-28290</v>
      </c>
      <c r="F1745" s="3" t="s">
        <v>706</v>
      </c>
      <c r="G1745" s="3" t="s">
        <v>31</v>
      </c>
      <c r="H1745" s="2" t="s">
        <v>20</v>
      </c>
      <c r="I1745" s="2" t="s">
        <v>3718</v>
      </c>
      <c r="J1745" s="3" t="str">
        <f>HYPERLINK("https://www.boe.es/gazeta/dias/1822/07/17/pdfs/GMD-1822-207.pdf#page=3","Abrir facsímil")</f>
        <v>Abrir facsímil</v>
      </c>
      <c r="K1745" s="3" t="s">
        <v>22</v>
      </c>
    </row>
    <row r="1746" spans="1:11" ht="42" customHeight="1">
      <c r="A1746" s="2" t="s">
        <v>3719</v>
      </c>
      <c r="B1746" s="2" t="s">
        <v>3720</v>
      </c>
      <c r="C1746" s="2" t="s">
        <v>50</v>
      </c>
      <c r="D1746" s="2" t="s">
        <v>51</v>
      </c>
      <c r="E1746" s="5">
        <v>-28292</v>
      </c>
      <c r="F1746" s="3" t="s">
        <v>222</v>
      </c>
      <c r="G1746" s="3" t="s">
        <v>31</v>
      </c>
      <c r="H1746" s="2" t="s">
        <v>20</v>
      </c>
      <c r="I1746" s="2" t="s">
        <v>3721</v>
      </c>
      <c r="J1746" s="3" t="str">
        <f>HYPERLINK("https://www.boe.es/gazeta/dias/1822/07/15/pdfs/GMD-1822-205.pdf#page=3","Abrir facsímil")</f>
        <v>Abrir facsímil</v>
      </c>
      <c r="K1746" s="3" t="s">
        <v>22</v>
      </c>
    </row>
    <row r="1747" spans="1:11" ht="42" customHeight="1">
      <c r="A1747" s="2" t="s">
        <v>3719</v>
      </c>
      <c r="B1747" s="2" t="s">
        <v>3720</v>
      </c>
      <c r="C1747" s="2" t="s">
        <v>50</v>
      </c>
      <c r="D1747" s="2" t="s">
        <v>51</v>
      </c>
      <c r="E1747" s="5">
        <v>-28290</v>
      </c>
      <c r="F1747" s="3" t="s">
        <v>706</v>
      </c>
      <c r="G1747" s="3" t="s">
        <v>35</v>
      </c>
      <c r="H1747" s="2" t="s">
        <v>20</v>
      </c>
      <c r="I1747" s="2" t="s">
        <v>3722</v>
      </c>
      <c r="J1747" s="3" t="str">
        <f>HYPERLINK("https://www.boe.es/gazeta/dias/1822/07/17/pdfs/GMD-1822-207.pdf#page=2","Abrir facsímil")</f>
        <v>Abrir facsímil</v>
      </c>
      <c r="K1747" s="3" t="s">
        <v>22</v>
      </c>
    </row>
    <row r="1748" spans="1:11" ht="42" customHeight="1">
      <c r="A1748" s="2" t="s">
        <v>3719</v>
      </c>
      <c r="B1748" s="2" t="s">
        <v>3720</v>
      </c>
      <c r="C1748" s="2" t="s">
        <v>50</v>
      </c>
      <c r="D1748" s="2" t="s">
        <v>51</v>
      </c>
      <c r="E1748" s="5">
        <v>-28230</v>
      </c>
      <c r="F1748" s="3" t="s">
        <v>1735</v>
      </c>
      <c r="G1748" s="3" t="s">
        <v>57</v>
      </c>
      <c r="H1748" s="2" t="s">
        <v>20</v>
      </c>
      <c r="I1748" s="2" t="s">
        <v>3723</v>
      </c>
      <c r="J1748" s="3" t="str">
        <f>HYPERLINK("https://www.boe.es/gazeta/dias/1822/09/15/pdfs/GMD-1822-271.pdf#page=4","Abrir facsímil")</f>
        <v>Abrir facsímil</v>
      </c>
      <c r="K1748" s="3" t="s">
        <v>22</v>
      </c>
    </row>
    <row r="1749" spans="1:11" ht="42" customHeight="1">
      <c r="A1749" s="2" t="s">
        <v>3724</v>
      </c>
      <c r="B1749" s="2" t="s">
        <v>3725</v>
      </c>
      <c r="C1749" s="2" t="s">
        <v>28</v>
      </c>
      <c r="D1749" s="2" t="s">
        <v>29</v>
      </c>
      <c r="E1749" s="5">
        <v>-28457</v>
      </c>
      <c r="F1749" s="3" t="s">
        <v>1655</v>
      </c>
      <c r="G1749" s="3" t="s">
        <v>35</v>
      </c>
      <c r="H1749" s="2" t="s">
        <v>20</v>
      </c>
      <c r="I1749" s="2" t="s">
        <v>3726</v>
      </c>
      <c r="J1749" s="3" t="str">
        <f>HYPERLINK("https://www.boe.es/gazeta/dias/1822/01/31/pdfs/GMD-1822-31.pdf#page=2","Abrir facsímil")</f>
        <v>Abrir facsímil</v>
      </c>
      <c r="K1749" s="3" t="s">
        <v>22</v>
      </c>
    </row>
    <row r="1750" spans="1:11" ht="42" customHeight="1">
      <c r="A1750" s="2" t="s">
        <v>3724</v>
      </c>
      <c r="B1750" s="2" t="s">
        <v>3725</v>
      </c>
      <c r="C1750" s="2" t="s">
        <v>28</v>
      </c>
      <c r="D1750" s="2" t="s">
        <v>29</v>
      </c>
      <c r="E1750" s="5">
        <v>-28454</v>
      </c>
      <c r="F1750" s="3" t="s">
        <v>2033</v>
      </c>
      <c r="G1750" s="3" t="s">
        <v>157</v>
      </c>
      <c r="H1750" s="2" t="s">
        <v>20</v>
      </c>
      <c r="I1750" s="2" t="s">
        <v>3727</v>
      </c>
      <c r="J1750" s="3" t="str">
        <f>HYPERLINK("https://www.boe.es/gazeta/dias/1822/02/03/pdfs/GMD-1822-34.pdf#page=8","Abrir facsímil")</f>
        <v>Abrir facsímil</v>
      </c>
      <c r="K1750" s="3" t="s">
        <v>22</v>
      </c>
    </row>
    <row r="1751" spans="1:11" ht="42" customHeight="1">
      <c r="A1751" s="2" t="s">
        <v>3728</v>
      </c>
      <c r="B1751" s="2" t="s">
        <v>3729</v>
      </c>
      <c r="C1751" s="2" t="s">
        <v>50</v>
      </c>
      <c r="D1751" s="2" t="s">
        <v>51</v>
      </c>
      <c r="E1751" s="5">
        <v>-28290</v>
      </c>
      <c r="F1751" s="3" t="s">
        <v>706</v>
      </c>
      <c r="G1751" s="3" t="s">
        <v>57</v>
      </c>
      <c r="H1751" s="2" t="s">
        <v>20</v>
      </c>
      <c r="I1751" s="2" t="s">
        <v>3730</v>
      </c>
      <c r="J1751" s="3" t="str">
        <f>HYPERLINK("https://www.boe.es/gazeta/dias/1822/07/17/pdfs/GMD-1822-207.pdf#page=4","Abrir facsímil")</f>
        <v>Abrir facsímil</v>
      </c>
      <c r="K1751" s="3" t="s">
        <v>22</v>
      </c>
    </row>
    <row r="1752" spans="1:11" ht="42" customHeight="1">
      <c r="A1752" s="2" t="s">
        <v>3731</v>
      </c>
      <c r="B1752" s="2" t="s">
        <v>3732</v>
      </c>
      <c r="C1752" s="2" t="s">
        <v>50</v>
      </c>
      <c r="D1752" s="2" t="s">
        <v>51</v>
      </c>
      <c r="E1752" s="5">
        <v>-28426</v>
      </c>
      <c r="F1752" s="3" t="s">
        <v>1178</v>
      </c>
      <c r="G1752" s="3" t="s">
        <v>57</v>
      </c>
      <c r="H1752" s="2" t="s">
        <v>20</v>
      </c>
      <c r="I1752" s="2" t="s">
        <v>3733</v>
      </c>
      <c r="J1752" s="3" t="str">
        <f>HYPERLINK("https://www.boe.es/gazeta/dias/1822/03/03/pdfs/GMD-1822-64.pdf#page=4","Abrir facsímil")</f>
        <v>Abrir facsímil</v>
      </c>
      <c r="K1752" s="3" t="s">
        <v>22</v>
      </c>
    </row>
    <row r="1753" spans="1:11" ht="42" customHeight="1">
      <c r="A1753" s="2" t="s">
        <v>3734</v>
      </c>
      <c r="B1753" s="2" t="s">
        <v>3734</v>
      </c>
      <c r="C1753" s="2" t="s">
        <v>50</v>
      </c>
      <c r="D1753" s="2" t="s">
        <v>51</v>
      </c>
      <c r="E1753" s="5">
        <v>-28245</v>
      </c>
      <c r="F1753" s="3" t="s">
        <v>2307</v>
      </c>
      <c r="G1753" s="3" t="s">
        <v>35</v>
      </c>
      <c r="H1753" s="2" t="s">
        <v>20</v>
      </c>
      <c r="I1753" s="2" t="s">
        <v>3735</v>
      </c>
      <c r="J1753" s="3" t="str">
        <f>HYPERLINK("https://www.boe.es/gazeta/dias/1822/08/31/pdfs/GMD-1822-255.pdf#page=2","Abrir facsímil")</f>
        <v>Abrir facsímil</v>
      </c>
      <c r="K1753" s="3" t="s">
        <v>22</v>
      </c>
    </row>
    <row r="1754" spans="1:11" ht="42" customHeight="1">
      <c r="A1754" s="2" t="s">
        <v>3736</v>
      </c>
      <c r="B1754" s="2" t="s">
        <v>3737</v>
      </c>
      <c r="C1754" s="2" t="s">
        <v>50</v>
      </c>
      <c r="D1754" s="2" t="s">
        <v>51</v>
      </c>
      <c r="E1754" s="5">
        <v>-28190</v>
      </c>
      <c r="F1754" s="3" t="s">
        <v>576</v>
      </c>
      <c r="G1754" s="3" t="s">
        <v>63</v>
      </c>
      <c r="H1754" s="2" t="s">
        <v>20</v>
      </c>
      <c r="I1754" s="2" t="s">
        <v>3738</v>
      </c>
      <c r="J1754" s="3" t="str">
        <f>HYPERLINK("https://www.boe.es/gazeta/dias/1822/10/25/pdfs/GMD-1822-312.pdf#page=6","Abrir facsímil")</f>
        <v>Abrir facsímil</v>
      </c>
      <c r="K1754" s="3" t="s">
        <v>22</v>
      </c>
    </row>
    <row r="1755" spans="1:11" ht="42" customHeight="1">
      <c r="A1755" s="2" t="s">
        <v>3739</v>
      </c>
      <c r="B1755" s="2" t="s">
        <v>3740</v>
      </c>
      <c r="C1755" s="2" t="s">
        <v>50</v>
      </c>
      <c r="D1755" s="2" t="s">
        <v>51</v>
      </c>
      <c r="E1755" s="5">
        <v>-28230</v>
      </c>
      <c r="F1755" s="3" t="s">
        <v>1735</v>
      </c>
      <c r="G1755" s="3" t="s">
        <v>31</v>
      </c>
      <c r="H1755" s="2" t="s">
        <v>20</v>
      </c>
      <c r="I1755" s="2" t="s">
        <v>3741</v>
      </c>
      <c r="J1755" s="3" t="str">
        <f>HYPERLINK("https://www.boe.es/gazeta/dias/1822/09/15/pdfs/GMD-1822-271.pdf#page=3","Abrir facsímil")</f>
        <v>Abrir facsímil</v>
      </c>
      <c r="K1755" s="3" t="s">
        <v>22</v>
      </c>
    </row>
    <row r="1756" spans="1:11" ht="42" customHeight="1">
      <c r="A1756" s="2" t="s">
        <v>3742</v>
      </c>
      <c r="B1756" s="2" t="s">
        <v>3743</v>
      </c>
      <c r="C1756" s="2" t="s">
        <v>28</v>
      </c>
      <c r="D1756" s="2" t="s">
        <v>29</v>
      </c>
      <c r="E1756" s="5">
        <v>-28389</v>
      </c>
      <c r="F1756" s="3" t="s">
        <v>481</v>
      </c>
      <c r="G1756" s="3" t="s">
        <v>57</v>
      </c>
      <c r="H1756" s="2" t="s">
        <v>20</v>
      </c>
      <c r="I1756" s="2" t="s">
        <v>3744</v>
      </c>
      <c r="J1756" s="3" t="str">
        <f>HYPERLINK("https://www.boe.es/gazeta/dias/1822/04/09/pdfs/GMD-1822-101.pdf#page=4","Abrir facsímil")</f>
        <v>Abrir facsímil</v>
      </c>
      <c r="K1756" s="3" t="s">
        <v>22</v>
      </c>
    </row>
    <row r="1757" spans="1:11" ht="42" customHeight="1">
      <c r="A1757" s="2" t="s">
        <v>3745</v>
      </c>
      <c r="B1757" s="2" t="s">
        <v>3746</v>
      </c>
      <c r="C1757" s="2" t="s">
        <v>362</v>
      </c>
      <c r="D1757" s="2" t="s">
        <v>17</v>
      </c>
      <c r="E1757" s="5">
        <v>-28389</v>
      </c>
      <c r="F1757" s="3" t="s">
        <v>481</v>
      </c>
      <c r="G1757" s="3" t="s">
        <v>57</v>
      </c>
      <c r="H1757" s="2" t="s">
        <v>20</v>
      </c>
      <c r="I1757" s="2" t="s">
        <v>3747</v>
      </c>
      <c r="J1757" s="3" t="str">
        <f>HYPERLINK("https://www.boe.es/gazeta/dias/1822/04/09/pdfs/GMD-1822-101.pdf#page=4","Abrir facsímil")</f>
        <v>Abrir facsímil</v>
      </c>
      <c r="K1757" s="3" t="s">
        <v>22</v>
      </c>
    </row>
    <row r="1758" spans="1:11" ht="42" customHeight="1">
      <c r="A1758" s="2" t="s">
        <v>3748</v>
      </c>
      <c r="B1758" s="2" t="s">
        <v>3749</v>
      </c>
      <c r="C1758" s="2" t="s">
        <v>28</v>
      </c>
      <c r="D1758" s="2" t="s">
        <v>29</v>
      </c>
      <c r="E1758" s="5">
        <v>-28389</v>
      </c>
      <c r="F1758" s="3" t="s">
        <v>481</v>
      </c>
      <c r="G1758" s="3" t="s">
        <v>57</v>
      </c>
      <c r="H1758" s="2" t="s">
        <v>20</v>
      </c>
      <c r="I1758" s="2" t="s">
        <v>3750</v>
      </c>
      <c r="J1758" s="3" t="str">
        <f>HYPERLINK("https://www.boe.es/gazeta/dias/1822/04/09/pdfs/GMD-1822-101.pdf#page=4","Abrir facsímil")</f>
        <v>Abrir facsímil</v>
      </c>
      <c r="K1758" s="3" t="s">
        <v>22</v>
      </c>
    </row>
    <row r="1759" spans="1:11" ht="42" customHeight="1">
      <c r="A1759" s="2" t="s">
        <v>3751</v>
      </c>
      <c r="B1759" s="2" t="s">
        <v>3752</v>
      </c>
      <c r="C1759" s="2" t="s">
        <v>28</v>
      </c>
      <c r="D1759" s="2" t="s">
        <v>29</v>
      </c>
      <c r="E1759" s="5">
        <v>-28308</v>
      </c>
      <c r="F1759" s="3" t="s">
        <v>1050</v>
      </c>
      <c r="G1759" s="3" t="s">
        <v>35</v>
      </c>
      <c r="H1759" s="2" t="s">
        <v>20</v>
      </c>
      <c r="I1759" s="2" t="s">
        <v>3753</v>
      </c>
      <c r="J1759" s="3" t="str">
        <f>HYPERLINK("https://www.boe.es/gazeta/dias/1822/06/29/pdfs/GMD-1822-187.pdf#page=2","Abrir facsímil")</f>
        <v>Abrir facsímil</v>
      </c>
      <c r="K1759" s="3" t="s">
        <v>22</v>
      </c>
    </row>
    <row r="1760" spans="1:11" ht="42" customHeight="1">
      <c r="A1760" s="2" t="s">
        <v>3754</v>
      </c>
      <c r="B1760" s="2" t="s">
        <v>3755</v>
      </c>
      <c r="C1760" s="2" t="s">
        <v>71</v>
      </c>
      <c r="D1760" s="2" t="s">
        <v>17</v>
      </c>
      <c r="E1760" s="5">
        <v>-28196</v>
      </c>
      <c r="F1760" s="3" t="s">
        <v>570</v>
      </c>
      <c r="G1760" s="3" t="s">
        <v>44</v>
      </c>
      <c r="H1760" s="2" t="s">
        <v>20</v>
      </c>
      <c r="I1760" s="2" t="s">
        <v>3756</v>
      </c>
      <c r="J1760" s="3" t="str">
        <f>HYPERLINK("https://www.boe.es/gazeta/dias/1822/10/19/pdfs/GMD-1822-306.pdf#page=1","Abrir facsímil")</f>
        <v>Abrir facsímil</v>
      </c>
      <c r="K1760" s="3" t="s">
        <v>22</v>
      </c>
    </row>
    <row r="1761" spans="1:11" ht="42" customHeight="1">
      <c r="A1761" s="2" t="s">
        <v>3757</v>
      </c>
      <c r="B1761" s="2" t="s">
        <v>3757</v>
      </c>
      <c r="C1761" s="2" t="s">
        <v>42</v>
      </c>
      <c r="D1761" s="2" t="s">
        <v>17</v>
      </c>
      <c r="E1761" s="5">
        <v>-28147</v>
      </c>
      <c r="F1761" s="3" t="s">
        <v>1611</v>
      </c>
      <c r="G1761" s="3" t="s">
        <v>19</v>
      </c>
      <c r="H1761" s="2" t="s">
        <v>20</v>
      </c>
      <c r="I1761" s="2" t="s">
        <v>3758</v>
      </c>
      <c r="J1761" s="3" t="str">
        <f>HYPERLINK("https://www.boe.es/gazeta/dias/1822/12/07/pdfs/GMD-1822-357.pdf#page=5","Abrir facsímil")</f>
        <v>Abrir facsímil</v>
      </c>
      <c r="K1761" s="3" t="s">
        <v>22</v>
      </c>
    </row>
    <row r="1762" spans="1:11" ht="42" customHeight="1">
      <c r="A1762" s="2" t="s">
        <v>3759</v>
      </c>
      <c r="B1762" s="2" t="s">
        <v>3760</v>
      </c>
      <c r="C1762" s="2" t="s">
        <v>16</v>
      </c>
      <c r="D1762" s="2" t="s">
        <v>17</v>
      </c>
      <c r="E1762" s="5">
        <v>-28357</v>
      </c>
      <c r="F1762" s="3" t="s">
        <v>690</v>
      </c>
      <c r="G1762" s="3" t="s">
        <v>31</v>
      </c>
      <c r="H1762" s="2" t="s">
        <v>20</v>
      </c>
      <c r="I1762" s="2" t="s">
        <v>3761</v>
      </c>
      <c r="J1762" s="3" t="str">
        <f>HYPERLINK("https://www.boe.es/gazeta/dias/1822/05/11/pdfs/GMD-1822-133.pdf#page=3","Abrir facsímil")</f>
        <v>Abrir facsímil</v>
      </c>
      <c r="K1762" s="3" t="s">
        <v>22</v>
      </c>
    </row>
    <row r="1763" spans="1:11" ht="42" customHeight="1">
      <c r="A1763" s="2" t="s">
        <v>3762</v>
      </c>
      <c r="B1763" s="2" t="s">
        <v>3763</v>
      </c>
      <c r="C1763" s="2" t="s">
        <v>42</v>
      </c>
      <c r="D1763" s="2" t="s">
        <v>17</v>
      </c>
      <c r="E1763" s="5">
        <v>-28197</v>
      </c>
      <c r="F1763" s="3" t="s">
        <v>568</v>
      </c>
      <c r="G1763" s="3" t="s">
        <v>57</v>
      </c>
      <c r="H1763" s="2" t="s">
        <v>20</v>
      </c>
      <c r="I1763" s="2" t="s">
        <v>3764</v>
      </c>
      <c r="J1763" s="3" t="str">
        <f>HYPERLINK("https://www.boe.es/gazeta/dias/1822/10/18/pdfs/GMD-1822-305.pdf#page=4","Abrir facsímil")</f>
        <v>Abrir facsímil</v>
      </c>
      <c r="K1763" s="3" t="s">
        <v>22</v>
      </c>
    </row>
    <row r="1764" spans="1:11" ht="42" customHeight="1">
      <c r="A1764" s="2" t="s">
        <v>3765</v>
      </c>
      <c r="B1764" s="2" t="s">
        <v>3766</v>
      </c>
      <c r="C1764" s="2" t="s">
        <v>28</v>
      </c>
      <c r="D1764" s="2" t="s">
        <v>29</v>
      </c>
      <c r="E1764" s="5">
        <v>-28418</v>
      </c>
      <c r="F1764" s="3" t="s">
        <v>205</v>
      </c>
      <c r="G1764" s="3" t="s">
        <v>19</v>
      </c>
      <c r="H1764" s="2" t="s">
        <v>20</v>
      </c>
      <c r="I1764" s="2" t="s">
        <v>3767</v>
      </c>
      <c r="J1764" s="3" t="str">
        <f>HYPERLINK("https://www.boe.es/gazeta/dias/1822/03/11/pdfs/GMD-1822-72.pdf#page=5","Abrir facsímil")</f>
        <v>Abrir facsímil</v>
      </c>
      <c r="K1764" s="3" t="s">
        <v>22</v>
      </c>
    </row>
    <row r="1765" spans="1:11" ht="42" customHeight="1">
      <c r="A1765" s="2" t="s">
        <v>3768</v>
      </c>
      <c r="B1765" s="2" t="s">
        <v>3769</v>
      </c>
      <c r="C1765" s="2" t="s">
        <v>28</v>
      </c>
      <c r="D1765" s="2" t="s">
        <v>29</v>
      </c>
      <c r="E1765" s="5">
        <v>-28424</v>
      </c>
      <c r="F1765" s="3" t="s">
        <v>439</v>
      </c>
      <c r="G1765" s="3" t="s">
        <v>31</v>
      </c>
      <c r="H1765" s="2" t="s">
        <v>20</v>
      </c>
      <c r="I1765" s="2" t="s">
        <v>3770</v>
      </c>
      <c r="J1765" s="3" t="str">
        <f>HYPERLINK("https://www.boe.es/gazeta/dias/1822/03/05/pdfs/GMD-1822-66.pdf#page=3","Abrir facsímil")</f>
        <v>Abrir facsímil</v>
      </c>
      <c r="K1765" s="3" t="s">
        <v>22</v>
      </c>
    </row>
    <row r="1766" spans="1:11" ht="42" customHeight="1">
      <c r="A1766" s="2" t="s">
        <v>3768</v>
      </c>
      <c r="B1766" s="2" t="s">
        <v>3769</v>
      </c>
      <c r="C1766" s="2" t="s">
        <v>71</v>
      </c>
      <c r="D1766" s="2" t="s">
        <v>17</v>
      </c>
      <c r="E1766" s="5">
        <v>-28410</v>
      </c>
      <c r="F1766" s="3" t="s">
        <v>966</v>
      </c>
      <c r="G1766" s="3" t="s">
        <v>31</v>
      </c>
      <c r="H1766" s="2" t="s">
        <v>20</v>
      </c>
      <c r="I1766" s="2" t="s">
        <v>3771</v>
      </c>
      <c r="J1766" s="3" t="str">
        <f>HYPERLINK("https://www.boe.es/gazeta/dias/1822/03/19/pdfs/GMD-1822-80.pdf#page=3","Abrir facsímil")</f>
        <v>Abrir facsímil</v>
      </c>
      <c r="K1766" s="3" t="s">
        <v>22</v>
      </c>
    </row>
    <row r="1767" spans="1:11" ht="42" customHeight="1">
      <c r="A1767" s="2" t="s">
        <v>3768</v>
      </c>
      <c r="B1767" s="2" t="s">
        <v>3769</v>
      </c>
      <c r="C1767" s="2" t="s">
        <v>24</v>
      </c>
      <c r="D1767" s="2" t="s">
        <v>17</v>
      </c>
      <c r="E1767" s="5">
        <v>-28400</v>
      </c>
      <c r="F1767" s="3" t="s">
        <v>1937</v>
      </c>
      <c r="G1767" s="3" t="s">
        <v>2260</v>
      </c>
      <c r="H1767" s="2" t="s">
        <v>20</v>
      </c>
      <c r="I1767" s="2" t="s">
        <v>3772</v>
      </c>
      <c r="J1767" s="3" t="str">
        <f>HYPERLINK("https://www.boe.es/gazeta/dias/1822/03/29/pdfs/GMD-1822-90.pdf#page=4","Abrir facsímil")</f>
        <v>Abrir facsímil</v>
      </c>
      <c r="K1767" s="3" t="s">
        <v>22</v>
      </c>
    </row>
    <row r="1768" spans="1:11" ht="42" customHeight="1">
      <c r="A1768" s="2" t="s">
        <v>3768</v>
      </c>
      <c r="B1768" s="2" t="s">
        <v>3769</v>
      </c>
      <c r="C1768" s="2" t="s">
        <v>42</v>
      </c>
      <c r="D1768" s="2" t="s">
        <v>17</v>
      </c>
      <c r="E1768" s="5">
        <v>-28357</v>
      </c>
      <c r="F1768" s="3" t="s">
        <v>690</v>
      </c>
      <c r="G1768" s="3" t="s">
        <v>35</v>
      </c>
      <c r="H1768" s="2" t="s">
        <v>20</v>
      </c>
      <c r="I1768" s="2" t="s">
        <v>3773</v>
      </c>
      <c r="J1768" s="3" t="str">
        <f>HYPERLINK("https://www.boe.es/gazeta/dias/1822/05/11/pdfs/GMD-1822-133.pdf#page=2","Abrir facsímil")</f>
        <v>Abrir facsímil</v>
      </c>
      <c r="K1768" s="3" t="s">
        <v>22</v>
      </c>
    </row>
    <row r="1769" spans="1:11" ht="42" customHeight="1">
      <c r="A1769" s="2" t="s">
        <v>3768</v>
      </c>
      <c r="B1769" s="2" t="s">
        <v>3769</v>
      </c>
      <c r="C1769" s="2" t="s">
        <v>50</v>
      </c>
      <c r="D1769" s="2" t="s">
        <v>51</v>
      </c>
      <c r="E1769" s="5">
        <v>-28344</v>
      </c>
      <c r="F1769" s="3" t="s">
        <v>524</v>
      </c>
      <c r="G1769" s="3" t="s">
        <v>44</v>
      </c>
      <c r="H1769" s="2" t="s">
        <v>20</v>
      </c>
      <c r="I1769" s="2" t="s">
        <v>3774</v>
      </c>
      <c r="J1769" s="3" t="str">
        <f>HYPERLINK("https://www.boe.es/gazeta/dias/1822/05/24/pdfs/GMD-1822-148.pdf#page=1","Abrir facsímil")</f>
        <v>Abrir facsímil</v>
      </c>
      <c r="K1769" s="3" t="s">
        <v>22</v>
      </c>
    </row>
    <row r="1770" spans="1:11" ht="42" customHeight="1">
      <c r="A1770" s="2" t="s">
        <v>3768</v>
      </c>
      <c r="B1770" s="2" t="s">
        <v>3769</v>
      </c>
      <c r="C1770" s="2" t="s">
        <v>71</v>
      </c>
      <c r="D1770" s="2" t="s">
        <v>17</v>
      </c>
      <c r="E1770" s="5">
        <v>-28319</v>
      </c>
      <c r="F1770" s="3" t="s">
        <v>271</v>
      </c>
      <c r="G1770" s="3" t="s">
        <v>35</v>
      </c>
      <c r="H1770" s="2" t="s">
        <v>20</v>
      </c>
      <c r="I1770" s="2" t="s">
        <v>3775</v>
      </c>
      <c r="J1770" s="3" t="str">
        <f>HYPERLINK("https://www.boe.es/gazeta/dias/1822/06/18/pdfs/GMD-1822-175.pdf#page=2","Abrir facsímil")</f>
        <v>Abrir facsímil</v>
      </c>
      <c r="K1770" s="3" t="s">
        <v>22</v>
      </c>
    </row>
    <row r="1771" spans="1:11" ht="42" customHeight="1">
      <c r="A1771" s="2" t="s">
        <v>3768</v>
      </c>
      <c r="B1771" s="2" t="s">
        <v>3769</v>
      </c>
      <c r="C1771" s="2" t="s">
        <v>71</v>
      </c>
      <c r="D1771" s="2" t="s">
        <v>17</v>
      </c>
      <c r="E1771" s="5">
        <v>-28312</v>
      </c>
      <c r="F1771" s="3" t="s">
        <v>92</v>
      </c>
      <c r="G1771" s="3" t="s">
        <v>35</v>
      </c>
      <c r="H1771" s="2" t="s">
        <v>20</v>
      </c>
      <c r="I1771" s="2" t="s">
        <v>3776</v>
      </c>
      <c r="J1771" s="3" t="str">
        <f>HYPERLINK("https://www.boe.es/gazeta/dias/1822/06/25/pdfs/GMD-1822-183.pdf#page=2","Abrir facsímil")</f>
        <v>Abrir facsímil</v>
      </c>
      <c r="K1771" s="3" t="s">
        <v>22</v>
      </c>
    </row>
    <row r="1772" spans="1:11" ht="42" customHeight="1">
      <c r="A1772" s="2" t="s">
        <v>3768</v>
      </c>
      <c r="B1772" s="2" t="s">
        <v>3769</v>
      </c>
      <c r="C1772" s="2" t="s">
        <v>50</v>
      </c>
      <c r="D1772" s="2" t="s">
        <v>51</v>
      </c>
      <c r="E1772" s="5">
        <v>-28196</v>
      </c>
      <c r="F1772" s="3" t="s">
        <v>570</v>
      </c>
      <c r="G1772" s="3" t="s">
        <v>44</v>
      </c>
      <c r="H1772" s="2" t="s">
        <v>20</v>
      </c>
      <c r="I1772" s="2" t="s">
        <v>3777</v>
      </c>
      <c r="J1772" s="3" t="str">
        <f>HYPERLINK("https://www.boe.es/gazeta/dias/1822/10/19/pdfs/GMD-1822-306.pdf#page=1","Abrir facsímil")</f>
        <v>Abrir facsímil</v>
      </c>
      <c r="K1772" s="3" t="s">
        <v>22</v>
      </c>
    </row>
    <row r="1773" spans="1:11" ht="42" customHeight="1">
      <c r="A1773" s="2" t="s">
        <v>3768</v>
      </c>
      <c r="B1773" s="2" t="s">
        <v>3769</v>
      </c>
      <c r="C1773" s="2" t="s">
        <v>24</v>
      </c>
      <c r="D1773" s="2" t="s">
        <v>17</v>
      </c>
      <c r="E1773" s="5">
        <v>-28196</v>
      </c>
      <c r="F1773" s="3" t="s">
        <v>570</v>
      </c>
      <c r="G1773" s="3" t="s">
        <v>35</v>
      </c>
      <c r="H1773" s="2" t="s">
        <v>20</v>
      </c>
      <c r="I1773" s="2" t="s">
        <v>3778</v>
      </c>
      <c r="J1773" s="3" t="str">
        <f>HYPERLINK("https://www.boe.es/gazeta/dias/1822/10/19/pdfs/GMD-1822-306.pdf#page=2","Abrir facsímil")</f>
        <v>Abrir facsímil</v>
      </c>
      <c r="K1773" s="3" t="s">
        <v>22</v>
      </c>
    </row>
    <row r="1774" spans="1:11" ht="42" customHeight="1">
      <c r="A1774" s="2" t="s">
        <v>3768</v>
      </c>
      <c r="B1774" s="2" t="s">
        <v>3769</v>
      </c>
      <c r="C1774" s="2" t="s">
        <v>71</v>
      </c>
      <c r="D1774" s="2" t="s">
        <v>17</v>
      </c>
      <c r="E1774" s="5">
        <v>-28137</v>
      </c>
      <c r="F1774" s="3" t="s">
        <v>312</v>
      </c>
      <c r="G1774" s="3" t="s">
        <v>35</v>
      </c>
      <c r="H1774" s="2" t="s">
        <v>20</v>
      </c>
      <c r="I1774" s="2" t="s">
        <v>3779</v>
      </c>
      <c r="J1774" s="3" t="str">
        <f>HYPERLINK("https://www.boe.es/gazeta/dias/1822/12/17/pdfs/GMD-1822-367.pdf#page=2","Abrir facsímil")</f>
        <v>Abrir facsímil</v>
      </c>
      <c r="K1774" s="3" t="s">
        <v>22</v>
      </c>
    </row>
    <row r="1775" spans="1:11" ht="42" customHeight="1">
      <c r="A1775" s="2" t="s">
        <v>3768</v>
      </c>
      <c r="B1775" s="2" t="s">
        <v>3769</v>
      </c>
      <c r="C1775" s="2" t="s">
        <v>24</v>
      </c>
      <c r="D1775" s="2" t="s">
        <v>17</v>
      </c>
      <c r="E1775" s="5">
        <v>-28123</v>
      </c>
      <c r="F1775" s="3" t="s">
        <v>603</v>
      </c>
      <c r="G1775" s="3" t="s">
        <v>31</v>
      </c>
      <c r="H1775" s="2" t="s">
        <v>20</v>
      </c>
      <c r="I1775" s="2" t="s">
        <v>3780</v>
      </c>
      <c r="J1775" s="3" t="str">
        <f>HYPERLINK("https://www.boe.es/gazeta/dias/1822/12/31/pdfs/GMD-1822-381.pdf#page=3","Abrir facsímil")</f>
        <v>Abrir facsímil</v>
      </c>
      <c r="K1775" s="3" t="s">
        <v>22</v>
      </c>
    </row>
    <row r="1776" spans="1:11" ht="42" customHeight="1">
      <c r="A1776" s="2" t="s">
        <v>3781</v>
      </c>
      <c r="B1776" s="2" t="s">
        <v>3782</v>
      </c>
      <c r="C1776" s="2" t="s">
        <v>50</v>
      </c>
      <c r="D1776" s="2" t="s">
        <v>51</v>
      </c>
      <c r="E1776" s="5">
        <v>-28367</v>
      </c>
      <c r="F1776" s="3" t="s">
        <v>280</v>
      </c>
      <c r="G1776" s="3" t="s">
        <v>35</v>
      </c>
      <c r="H1776" s="2" t="s">
        <v>20</v>
      </c>
      <c r="I1776" s="2" t="s">
        <v>3783</v>
      </c>
      <c r="J1776" s="3" t="str">
        <f>HYPERLINK("https://www.boe.es/gazeta/dias/1822/05/01/pdfs/GMD-1822-123.pdf#page=2","Abrir facsímil")</f>
        <v>Abrir facsímil</v>
      </c>
      <c r="K1776" s="3" t="s">
        <v>22</v>
      </c>
    </row>
    <row r="1777" spans="1:11" ht="42" customHeight="1">
      <c r="A1777" s="2" t="s">
        <v>3784</v>
      </c>
      <c r="B1777" s="2" t="s">
        <v>3785</v>
      </c>
      <c r="C1777" s="2" t="s">
        <v>50</v>
      </c>
      <c r="D1777" s="2" t="s">
        <v>51</v>
      </c>
      <c r="E1777" s="5">
        <v>-28402</v>
      </c>
      <c r="F1777" s="3" t="s">
        <v>473</v>
      </c>
      <c r="G1777" s="3" t="s">
        <v>57</v>
      </c>
      <c r="H1777" s="2" t="s">
        <v>20</v>
      </c>
      <c r="I1777" s="2" t="s">
        <v>3786</v>
      </c>
      <c r="J1777" s="3" t="str">
        <f>HYPERLINK("https://www.boe.es/gazeta/dias/1822/03/27/pdfs/GMD-1822-88.pdf#page=4","Abrir facsímil")</f>
        <v>Abrir facsímil</v>
      </c>
      <c r="K1777" s="3" t="s">
        <v>22</v>
      </c>
    </row>
    <row r="1778" spans="1:11" ht="42" customHeight="1">
      <c r="A1778" s="2" t="s">
        <v>3784</v>
      </c>
      <c r="B1778" s="2" t="s">
        <v>3785</v>
      </c>
      <c r="C1778" s="2" t="s">
        <v>50</v>
      </c>
      <c r="D1778" s="2" t="s">
        <v>51</v>
      </c>
      <c r="E1778" s="5">
        <v>-28316</v>
      </c>
      <c r="F1778" s="3" t="s">
        <v>1144</v>
      </c>
      <c r="G1778" s="3" t="s">
        <v>44</v>
      </c>
      <c r="H1778" s="2" t="s">
        <v>20</v>
      </c>
      <c r="I1778" s="2" t="s">
        <v>3787</v>
      </c>
      <c r="J1778" s="3" t="str">
        <f>HYPERLINK("https://www.boe.es/gazeta/dias/1822/06/21/pdfs/GMD-1822-179.pdf#page=1","Abrir facsímil")</f>
        <v>Abrir facsímil</v>
      </c>
      <c r="K1778" s="3" t="s">
        <v>22</v>
      </c>
    </row>
    <row r="1779" spans="1:11" ht="42" customHeight="1">
      <c r="A1779" s="2" t="s">
        <v>3784</v>
      </c>
      <c r="B1779" s="2" t="s">
        <v>3785</v>
      </c>
      <c r="C1779" s="2" t="s">
        <v>50</v>
      </c>
      <c r="D1779" s="2" t="s">
        <v>51</v>
      </c>
      <c r="E1779" s="5">
        <v>-28309</v>
      </c>
      <c r="F1779" s="3" t="s">
        <v>553</v>
      </c>
      <c r="G1779" s="3" t="s">
        <v>44</v>
      </c>
      <c r="H1779" s="2" t="s">
        <v>20</v>
      </c>
      <c r="I1779" s="2" t="s">
        <v>3788</v>
      </c>
      <c r="J1779" s="3" t="str">
        <f>HYPERLINK("https://www.boe.es/gazeta/dias/1822/06/28/pdfs/GMD-1822-186.pdf#page=1","Abrir facsímil")</f>
        <v>Abrir facsímil</v>
      </c>
      <c r="K1779" s="3" t="s">
        <v>22</v>
      </c>
    </row>
    <row r="1780" spans="1:11" ht="42" customHeight="1">
      <c r="A1780" s="2" t="s">
        <v>3784</v>
      </c>
      <c r="B1780" s="2" t="s">
        <v>3785</v>
      </c>
      <c r="C1780" s="2" t="s">
        <v>50</v>
      </c>
      <c r="D1780" s="2" t="s">
        <v>51</v>
      </c>
      <c r="E1780" s="5">
        <v>-28291</v>
      </c>
      <c r="F1780" s="3" t="s">
        <v>363</v>
      </c>
      <c r="G1780" s="3" t="s">
        <v>44</v>
      </c>
      <c r="H1780" s="2" t="s">
        <v>20</v>
      </c>
      <c r="I1780" s="2" t="s">
        <v>3789</v>
      </c>
      <c r="J1780" s="3" t="str">
        <f>HYPERLINK("https://www.boe.es/gazeta/dias/1822/07/16/pdfs/GMD-1822-206.pdf#page=1","Abrir facsímil")</f>
        <v>Abrir facsímil</v>
      </c>
      <c r="K1780" s="3" t="s">
        <v>22</v>
      </c>
    </row>
    <row r="1781" spans="1:11" ht="42" customHeight="1">
      <c r="A1781" s="2" t="s">
        <v>3790</v>
      </c>
      <c r="B1781" s="2" t="s">
        <v>3791</v>
      </c>
      <c r="C1781" s="2" t="s">
        <v>50</v>
      </c>
      <c r="D1781" s="2" t="s">
        <v>723</v>
      </c>
      <c r="E1781" s="5">
        <v>-28299</v>
      </c>
      <c r="F1781" s="3" t="s">
        <v>3792</v>
      </c>
      <c r="G1781" s="3" t="s">
        <v>44</v>
      </c>
      <c r="H1781" s="2" t="s">
        <v>20</v>
      </c>
      <c r="I1781" s="2" t="s">
        <v>3793</v>
      </c>
      <c r="J1781" s="3" t="str">
        <f>HYPERLINK("https://www.boe.es/gazeta/dias/1822/07/08/pdfs/GMD-1822-198E.pdf#page=1","Abrir facsímil")</f>
        <v>Abrir facsímil</v>
      </c>
      <c r="K1781" s="3" t="s">
        <v>22</v>
      </c>
    </row>
    <row r="1782" spans="1:11" ht="42" customHeight="1">
      <c r="A1782" s="2" t="s">
        <v>3794</v>
      </c>
      <c r="B1782" s="2" t="s">
        <v>3795</v>
      </c>
      <c r="C1782" s="2" t="s">
        <v>50</v>
      </c>
      <c r="D1782" s="2" t="s">
        <v>51</v>
      </c>
      <c r="E1782" s="5">
        <v>-28483</v>
      </c>
      <c r="F1782" s="3" t="s">
        <v>254</v>
      </c>
      <c r="G1782" s="3" t="s">
        <v>44</v>
      </c>
      <c r="H1782" s="2" t="s">
        <v>20</v>
      </c>
      <c r="I1782" s="2" t="s">
        <v>3796</v>
      </c>
      <c r="J1782" s="3" t="str">
        <f>HYPERLINK("https://www.boe.es/gazeta/dias/1822/01/05/pdfs/GMD-1822-5.pdf#page=1","Abrir facsímil")</f>
        <v>Abrir facsímil</v>
      </c>
      <c r="K1782" s="3" t="s">
        <v>22</v>
      </c>
    </row>
    <row r="1783" spans="1:11" ht="42" customHeight="1">
      <c r="A1783" s="2" t="s">
        <v>3794</v>
      </c>
      <c r="B1783" s="2" t="s">
        <v>3795</v>
      </c>
      <c r="C1783" s="2" t="s">
        <v>50</v>
      </c>
      <c r="D1783" s="2" t="s">
        <v>51</v>
      </c>
      <c r="E1783" s="5">
        <v>-28416</v>
      </c>
      <c r="F1783" s="3" t="s">
        <v>97</v>
      </c>
      <c r="G1783" s="3" t="s">
        <v>63</v>
      </c>
      <c r="H1783" s="2" t="s">
        <v>20</v>
      </c>
      <c r="I1783" s="2" t="s">
        <v>3797</v>
      </c>
      <c r="J1783" s="3" t="str">
        <f>HYPERLINK("https://www.boe.es/gazeta/dias/1822/03/13/pdfs/GMD-1822-74.pdf#page=6","Abrir facsímil")</f>
        <v>Abrir facsímil</v>
      </c>
      <c r="K1783" s="3" t="s">
        <v>22</v>
      </c>
    </row>
    <row r="1784" spans="1:11" ht="42" customHeight="1">
      <c r="A1784" s="2" t="s">
        <v>3794</v>
      </c>
      <c r="B1784" s="2" t="s">
        <v>3795</v>
      </c>
      <c r="C1784" s="2" t="s">
        <v>50</v>
      </c>
      <c r="D1784" s="2" t="s">
        <v>51</v>
      </c>
      <c r="E1784" s="5">
        <v>-28415</v>
      </c>
      <c r="F1784" s="3" t="s">
        <v>77</v>
      </c>
      <c r="G1784" s="3" t="s">
        <v>63</v>
      </c>
      <c r="H1784" s="2" t="s">
        <v>20</v>
      </c>
      <c r="I1784" s="2" t="s">
        <v>3798</v>
      </c>
      <c r="J1784" s="3" t="str">
        <f>HYPERLINK("https://www.boe.es/gazeta/dias/1822/03/14/pdfs/GMD-1822-75.pdf#page=6","Abrir facsímil")</f>
        <v>Abrir facsímil</v>
      </c>
      <c r="K1784" s="3" t="s">
        <v>22</v>
      </c>
    </row>
    <row r="1785" spans="1:11" ht="42" customHeight="1">
      <c r="A1785" s="2" t="s">
        <v>3799</v>
      </c>
      <c r="B1785" s="2" t="s">
        <v>3800</v>
      </c>
      <c r="C1785" s="2" t="s">
        <v>50</v>
      </c>
      <c r="D1785" s="2" t="s">
        <v>51</v>
      </c>
      <c r="E1785" s="5">
        <v>-28422</v>
      </c>
      <c r="F1785" s="3" t="s">
        <v>416</v>
      </c>
      <c r="G1785" s="3" t="s">
        <v>44</v>
      </c>
      <c r="H1785" s="2" t="s">
        <v>20</v>
      </c>
      <c r="I1785" s="2" t="s">
        <v>3801</v>
      </c>
      <c r="J1785" s="3" t="str">
        <f>HYPERLINK("https://www.boe.es/gazeta/dias/1822/03/07/pdfs/GMD-1822-68.pdf#page=1","Abrir facsímil")</f>
        <v>Abrir facsímil</v>
      </c>
      <c r="K1785" s="3" t="s">
        <v>22</v>
      </c>
    </row>
    <row r="1786" spans="1:11" ht="42" customHeight="1">
      <c r="A1786" s="2" t="s">
        <v>3799</v>
      </c>
      <c r="B1786" s="2" t="s">
        <v>3800</v>
      </c>
      <c r="C1786" s="2" t="s">
        <v>50</v>
      </c>
      <c r="D1786" s="2" t="s">
        <v>723</v>
      </c>
      <c r="E1786" s="5">
        <v>-28299</v>
      </c>
      <c r="F1786" s="3" t="s">
        <v>3792</v>
      </c>
      <c r="G1786" s="3" t="s">
        <v>44</v>
      </c>
      <c r="H1786" s="2" t="s">
        <v>20</v>
      </c>
      <c r="I1786" s="2" t="s">
        <v>3802</v>
      </c>
      <c r="J1786" s="3" t="str">
        <f>HYPERLINK("https://www.boe.es/gazeta/dias/1822/07/08/pdfs/GMD-1822-198E.pdf#page=1","Abrir facsímil")</f>
        <v>Abrir facsímil</v>
      </c>
      <c r="K1786" s="3" t="s">
        <v>22</v>
      </c>
    </row>
    <row r="1787" spans="1:11" ht="42" customHeight="1">
      <c r="A1787" s="2" t="s">
        <v>3803</v>
      </c>
      <c r="B1787" s="2" t="s">
        <v>3804</v>
      </c>
      <c r="C1787" s="2" t="s">
        <v>50</v>
      </c>
      <c r="D1787" s="2" t="s">
        <v>51</v>
      </c>
      <c r="E1787" s="5">
        <v>-28350</v>
      </c>
      <c r="F1787" s="3" t="s">
        <v>352</v>
      </c>
      <c r="G1787" s="3" t="s">
        <v>35</v>
      </c>
      <c r="H1787" s="2" t="s">
        <v>20</v>
      </c>
      <c r="I1787" s="2" t="s">
        <v>3805</v>
      </c>
      <c r="J1787" s="3" t="str">
        <f>HYPERLINK("https://www.boe.es/gazeta/dias/1822/05/18/pdfs/GMD-1822-140.pdf#page=2","Abrir facsímil")</f>
        <v>Abrir facsímil</v>
      </c>
      <c r="K1787" s="3" t="s">
        <v>22</v>
      </c>
    </row>
    <row r="1788" spans="1:11" ht="42" customHeight="1">
      <c r="A1788" s="2" t="s">
        <v>3806</v>
      </c>
      <c r="B1788" s="2" t="s">
        <v>3806</v>
      </c>
      <c r="C1788" s="2" t="s">
        <v>50</v>
      </c>
      <c r="D1788" s="2" t="s">
        <v>51</v>
      </c>
      <c r="E1788" s="5">
        <v>-28486</v>
      </c>
      <c r="F1788" s="3" t="s">
        <v>1046</v>
      </c>
      <c r="G1788" s="3" t="s">
        <v>1085</v>
      </c>
      <c r="H1788" s="2" t="s">
        <v>20</v>
      </c>
      <c r="I1788" s="2" t="s">
        <v>3807</v>
      </c>
      <c r="J1788" s="3" t="str">
        <f>HYPERLINK("https://www.boe.es/gazeta/dias/1822/01/02/pdfs/GMD-1822-2.pdf#page=3","Abrir facsímil")</f>
        <v>Abrir facsímil</v>
      </c>
      <c r="K1788" s="3" t="s">
        <v>22</v>
      </c>
    </row>
    <row r="1789" spans="1:11" ht="42" customHeight="1">
      <c r="A1789" s="2" t="s">
        <v>3806</v>
      </c>
      <c r="B1789" s="2" t="s">
        <v>3806</v>
      </c>
      <c r="C1789" s="2" t="s">
        <v>42</v>
      </c>
      <c r="D1789" s="2" t="s">
        <v>17</v>
      </c>
      <c r="E1789" s="5">
        <v>-28477</v>
      </c>
      <c r="F1789" s="3" t="s">
        <v>1668</v>
      </c>
      <c r="G1789" s="3" t="s">
        <v>57</v>
      </c>
      <c r="H1789" s="2" t="s">
        <v>20</v>
      </c>
      <c r="I1789" s="2" t="s">
        <v>3808</v>
      </c>
      <c r="J1789" s="3" t="str">
        <f>HYPERLINK("https://www.boe.es/gazeta/dias/1822/01/11/pdfs/GMD-1822-11.pdf#page=4","Abrir facsímil")</f>
        <v>Abrir facsímil</v>
      </c>
      <c r="K1789" s="3" t="s">
        <v>22</v>
      </c>
    </row>
    <row r="1790" spans="1:11" ht="42" customHeight="1">
      <c r="A1790" s="2" t="s">
        <v>3809</v>
      </c>
      <c r="B1790" s="2" t="s">
        <v>3809</v>
      </c>
      <c r="C1790" s="2" t="s">
        <v>42</v>
      </c>
      <c r="D1790" s="2" t="s">
        <v>17</v>
      </c>
      <c r="E1790" s="5">
        <v>-28476</v>
      </c>
      <c r="F1790" s="3" t="s">
        <v>160</v>
      </c>
      <c r="G1790" s="3" t="s">
        <v>35</v>
      </c>
      <c r="H1790" s="2" t="s">
        <v>20</v>
      </c>
      <c r="I1790" s="2" t="s">
        <v>3810</v>
      </c>
      <c r="J1790" s="3" t="str">
        <f>HYPERLINK("https://www.boe.es/gazeta/dias/1822/01/12/pdfs/GMD-1822-12.pdf#page=2","Abrir facsímil")</f>
        <v>Abrir facsímil</v>
      </c>
      <c r="K1790" s="3" t="s">
        <v>22</v>
      </c>
    </row>
    <row r="1791" spans="1:11" ht="42" customHeight="1">
      <c r="A1791" s="2" t="s">
        <v>3806</v>
      </c>
      <c r="B1791" s="2" t="s">
        <v>3806</v>
      </c>
      <c r="C1791" s="2" t="s">
        <v>16</v>
      </c>
      <c r="D1791" s="2" t="s">
        <v>17</v>
      </c>
      <c r="E1791" s="5">
        <v>-28462</v>
      </c>
      <c r="F1791" s="3" t="s">
        <v>1099</v>
      </c>
      <c r="G1791" s="3" t="s">
        <v>31</v>
      </c>
      <c r="H1791" s="2" t="s">
        <v>20</v>
      </c>
      <c r="I1791" s="2" t="s">
        <v>3811</v>
      </c>
      <c r="J1791" s="3" t="str">
        <f>HYPERLINK("https://www.boe.es/gazeta/dias/1822/01/26/pdfs/GMD-1822-26.pdf#page=3","Abrir facsímil")</f>
        <v>Abrir facsímil</v>
      </c>
      <c r="K1791" s="3" t="s">
        <v>22</v>
      </c>
    </row>
    <row r="1792" spans="1:11" ht="42" customHeight="1">
      <c r="A1792" s="2" t="s">
        <v>3812</v>
      </c>
      <c r="B1792" s="2" t="s">
        <v>3813</v>
      </c>
      <c r="C1792" s="2" t="s">
        <v>28</v>
      </c>
      <c r="D1792" s="2" t="s">
        <v>29</v>
      </c>
      <c r="E1792" s="5">
        <v>-28199</v>
      </c>
      <c r="F1792" s="3" t="s">
        <v>656</v>
      </c>
      <c r="G1792" s="3" t="s">
        <v>63</v>
      </c>
      <c r="H1792" s="2" t="s">
        <v>20</v>
      </c>
      <c r="I1792" s="2" t="s">
        <v>3814</v>
      </c>
      <c r="J1792" s="3" t="str">
        <f>HYPERLINK("https://www.boe.es/gazeta/dias/1822/10/16/pdfs/GMD-1822-303.pdf#page=6","Abrir facsímil")</f>
        <v>Abrir facsímil</v>
      </c>
      <c r="K1792" s="3" t="s">
        <v>22</v>
      </c>
    </row>
    <row r="1793" spans="1:11" ht="42" customHeight="1">
      <c r="A1793" s="2" t="s">
        <v>3815</v>
      </c>
      <c r="B1793" s="2" t="s">
        <v>3816</v>
      </c>
      <c r="C1793" s="2" t="s">
        <v>28</v>
      </c>
      <c r="D1793" s="2" t="s">
        <v>29</v>
      </c>
      <c r="E1793" s="5">
        <v>-28436</v>
      </c>
      <c r="F1793" s="3" t="s">
        <v>431</v>
      </c>
      <c r="G1793" s="3" t="s">
        <v>1428</v>
      </c>
      <c r="H1793" s="2" t="s">
        <v>20</v>
      </c>
      <c r="I1793" s="2" t="s">
        <v>3817</v>
      </c>
      <c r="J1793" s="3" t="str">
        <f>HYPERLINK("https://www.boe.es/gazeta/dias/1822/02/21/pdfs/GMD-1822-53.pdf#page=3","Abrir facsímil")</f>
        <v>Abrir facsímil</v>
      </c>
      <c r="K1793" s="3" t="s">
        <v>22</v>
      </c>
    </row>
    <row r="1794" spans="1:11" ht="42" customHeight="1">
      <c r="A1794" s="2" t="s">
        <v>3818</v>
      </c>
      <c r="B1794" s="2" t="s">
        <v>3819</v>
      </c>
      <c r="C1794" s="2" t="s">
        <v>28</v>
      </c>
      <c r="D1794" s="2" t="s">
        <v>29</v>
      </c>
      <c r="E1794" s="5">
        <v>-28199</v>
      </c>
      <c r="F1794" s="3" t="s">
        <v>656</v>
      </c>
      <c r="G1794" s="3" t="s">
        <v>63</v>
      </c>
      <c r="H1794" s="2" t="s">
        <v>45</v>
      </c>
      <c r="I1794" s="2" t="s">
        <v>3820</v>
      </c>
      <c r="J1794" s="3" t="str">
        <f>HYPERLINK("https://www.boe.es/gazeta/dias/1822/10/16/pdfs/GMD-1822-303.pdf#page=6","Abrir facsímil")</f>
        <v>Abrir facsímil</v>
      </c>
      <c r="K1794" s="3" t="s">
        <v>47</v>
      </c>
    </row>
    <row r="1795" spans="1:11" ht="42" customHeight="1">
      <c r="A1795" s="2" t="s">
        <v>3821</v>
      </c>
      <c r="B1795" s="2" t="s">
        <v>3822</v>
      </c>
      <c r="C1795" s="2" t="s">
        <v>42</v>
      </c>
      <c r="D1795" s="2" t="s">
        <v>17</v>
      </c>
      <c r="E1795" s="5">
        <v>-28208</v>
      </c>
      <c r="F1795" s="3" t="s">
        <v>230</v>
      </c>
      <c r="G1795" s="3" t="s">
        <v>57</v>
      </c>
      <c r="H1795" s="2" t="s">
        <v>20</v>
      </c>
      <c r="I1795" s="2" t="s">
        <v>3823</v>
      </c>
      <c r="J1795" s="3" t="str">
        <f>HYPERLINK("https://www.boe.es/gazeta/dias/1822/10/07/pdfs/GMD-1822-293.pdf#page=4","Abrir facsímil")</f>
        <v>Abrir facsímil</v>
      </c>
      <c r="K1795" s="3" t="s">
        <v>22</v>
      </c>
    </row>
    <row r="1796" spans="1:11" ht="42" customHeight="1">
      <c r="A1796" s="2" t="s">
        <v>3824</v>
      </c>
      <c r="B1796" s="2" t="s">
        <v>3825</v>
      </c>
      <c r="C1796" s="2" t="s">
        <v>28</v>
      </c>
      <c r="D1796" s="2" t="s">
        <v>29</v>
      </c>
      <c r="E1796" s="5">
        <v>-28413</v>
      </c>
      <c r="F1796" s="3" t="s">
        <v>458</v>
      </c>
      <c r="G1796" s="3" t="s">
        <v>57</v>
      </c>
      <c r="H1796" s="2" t="s">
        <v>20</v>
      </c>
      <c r="I1796" s="2" t="s">
        <v>3826</v>
      </c>
      <c r="J1796" s="3" t="str">
        <f>HYPERLINK("https://www.boe.es/gazeta/dias/1822/03/16/pdfs/GMD-1822-77.pdf#page=4","Abrir facsímil")</f>
        <v>Abrir facsímil</v>
      </c>
      <c r="K1796" s="3" t="s">
        <v>22</v>
      </c>
    </row>
    <row r="1797" spans="1:11" ht="42" customHeight="1">
      <c r="A1797" s="2" t="s">
        <v>3827</v>
      </c>
      <c r="B1797" s="2" t="s">
        <v>3828</v>
      </c>
      <c r="C1797" s="2" t="s">
        <v>24</v>
      </c>
      <c r="D1797" s="2" t="s">
        <v>17</v>
      </c>
      <c r="E1797" s="5">
        <v>-28286</v>
      </c>
      <c r="F1797" s="3" t="s">
        <v>1853</v>
      </c>
      <c r="G1797" s="3" t="s">
        <v>57</v>
      </c>
      <c r="H1797" s="2" t="s">
        <v>20</v>
      </c>
      <c r="I1797" s="2" t="s">
        <v>3829</v>
      </c>
      <c r="J1797" s="3" t="str">
        <f>HYPERLINK("https://www.boe.es/gazeta/dias/1822/07/21/pdfs/GMD-1822-213.pdf#page=4","Abrir facsímil")</f>
        <v>Abrir facsímil</v>
      </c>
      <c r="K1797" s="3" t="s">
        <v>22</v>
      </c>
    </row>
    <row r="1798" spans="1:11" ht="42" customHeight="1">
      <c r="A1798" s="2" t="s">
        <v>3830</v>
      </c>
      <c r="B1798" s="2" t="s">
        <v>3831</v>
      </c>
      <c r="C1798" s="2" t="s">
        <v>24</v>
      </c>
      <c r="D1798" s="2" t="s">
        <v>17</v>
      </c>
      <c r="E1798" s="5">
        <v>-28371</v>
      </c>
      <c r="F1798" s="3" t="s">
        <v>401</v>
      </c>
      <c r="G1798" s="3" t="s">
        <v>63</v>
      </c>
      <c r="H1798" s="2" t="s">
        <v>20</v>
      </c>
      <c r="I1798" s="2" t="s">
        <v>3832</v>
      </c>
      <c r="J1798" s="3" t="str">
        <f>HYPERLINK("https://www.boe.es/gazeta/dias/1822/04/27/pdfs/GMD-1822-119.pdf#page=6","Abrir facsímil")</f>
        <v>Abrir facsímil</v>
      </c>
      <c r="K1798" s="3" t="s">
        <v>22</v>
      </c>
    </row>
    <row r="1799" spans="1:11" ht="42" customHeight="1">
      <c r="A1799" s="2" t="s">
        <v>3833</v>
      </c>
      <c r="B1799" s="2" t="s">
        <v>3834</v>
      </c>
      <c r="C1799" s="2" t="s">
        <v>28</v>
      </c>
      <c r="D1799" s="2" t="s">
        <v>29</v>
      </c>
      <c r="E1799" s="5">
        <v>-28384</v>
      </c>
      <c r="F1799" s="3" t="s">
        <v>258</v>
      </c>
      <c r="G1799" s="3" t="s">
        <v>63</v>
      </c>
      <c r="H1799" s="2" t="s">
        <v>20</v>
      </c>
      <c r="I1799" s="2" t="s">
        <v>3835</v>
      </c>
      <c r="J1799" s="3" t="str">
        <f>HYPERLINK("https://www.boe.es/gazeta/dias/1822/04/14/pdfs/GMD-1822-106.pdf#page=6","Abrir facsímil")</f>
        <v>Abrir facsímil</v>
      </c>
      <c r="K1799" s="3" t="s">
        <v>22</v>
      </c>
    </row>
    <row r="1800" spans="1:11" ht="42" customHeight="1">
      <c r="A1800" s="2" t="s">
        <v>3836</v>
      </c>
      <c r="B1800" s="2" t="s">
        <v>3837</v>
      </c>
      <c r="C1800" s="2" t="s">
        <v>42</v>
      </c>
      <c r="D1800" s="2" t="s">
        <v>17</v>
      </c>
      <c r="E1800" s="5">
        <v>-28224</v>
      </c>
      <c r="F1800" s="3" t="s">
        <v>1902</v>
      </c>
      <c r="G1800" s="3" t="s">
        <v>31</v>
      </c>
      <c r="H1800" s="2" t="s">
        <v>20</v>
      </c>
      <c r="I1800" s="2" t="s">
        <v>3838</v>
      </c>
      <c r="J1800" s="3" t="str">
        <f>HYPERLINK("https://www.boe.es/gazeta/dias/1822/09/21/pdfs/GMD-1822-277.pdf#page=3","Abrir facsímil")</f>
        <v>Abrir facsímil</v>
      </c>
      <c r="K1800" s="3" t="s">
        <v>22</v>
      </c>
    </row>
    <row r="1801" spans="1:11" ht="42" customHeight="1">
      <c r="A1801" s="2" t="s">
        <v>3839</v>
      </c>
      <c r="B1801" s="2" t="s">
        <v>3840</v>
      </c>
      <c r="C1801" s="2" t="s">
        <v>50</v>
      </c>
      <c r="D1801" s="2" t="s">
        <v>51</v>
      </c>
      <c r="E1801" s="5">
        <v>-28354</v>
      </c>
      <c r="F1801" s="3" t="s">
        <v>226</v>
      </c>
      <c r="G1801" s="3" t="s">
        <v>44</v>
      </c>
      <c r="H1801" s="2" t="s">
        <v>20</v>
      </c>
      <c r="I1801" s="2" t="s">
        <v>3841</v>
      </c>
      <c r="J1801" s="3" t="str">
        <f>HYPERLINK("https://www.boe.es/gazeta/dias/1822/05/14/pdfs/GMD-1822-136.pdf#page=1","Abrir facsímil")</f>
        <v>Abrir facsímil</v>
      </c>
      <c r="K1801" s="3" t="s">
        <v>22</v>
      </c>
    </row>
    <row r="1802" spans="1:11" ht="42" customHeight="1">
      <c r="A1802" s="2" t="s">
        <v>3842</v>
      </c>
      <c r="B1802" s="2" t="s">
        <v>3843</v>
      </c>
      <c r="C1802" s="2" t="s">
        <v>42</v>
      </c>
      <c r="D1802" s="2" t="s">
        <v>17</v>
      </c>
      <c r="E1802" s="5">
        <v>-28148</v>
      </c>
      <c r="F1802" s="3" t="s">
        <v>1909</v>
      </c>
      <c r="G1802" s="3" t="s">
        <v>63</v>
      </c>
      <c r="H1802" s="2" t="s">
        <v>20</v>
      </c>
      <c r="I1802" s="2" t="s">
        <v>3844</v>
      </c>
      <c r="J1802" s="3" t="str">
        <f>HYPERLINK("https://www.boe.es/gazeta/dias/1822/12/06/pdfs/GMD-1822-356.pdf#page=6","Abrir facsímil")</f>
        <v>Abrir facsímil</v>
      </c>
      <c r="K1802" s="3" t="s">
        <v>22</v>
      </c>
    </row>
    <row r="1803" spans="1:11" ht="42" customHeight="1">
      <c r="A1803" s="2" t="s">
        <v>3845</v>
      </c>
      <c r="B1803" s="2" t="s">
        <v>3845</v>
      </c>
      <c r="C1803" s="2" t="s">
        <v>71</v>
      </c>
      <c r="D1803" s="2" t="s">
        <v>17</v>
      </c>
      <c r="E1803" s="5">
        <v>-28335</v>
      </c>
      <c r="F1803" s="3" t="s">
        <v>3346</v>
      </c>
      <c r="G1803" s="3" t="s">
        <v>57</v>
      </c>
      <c r="H1803" s="2" t="s">
        <v>20</v>
      </c>
      <c r="I1803" s="2" t="s">
        <v>3846</v>
      </c>
      <c r="J1803" s="3" t="str">
        <f>HYPERLINK("https://www.boe.es/gazeta/dias/1822/06/02/pdfs/GMD-1822-158.pdf#page=4","Abrir facsímil")</f>
        <v>Abrir facsímil</v>
      </c>
      <c r="K1803" s="3" t="s">
        <v>22</v>
      </c>
    </row>
    <row r="1804" spans="1:11" ht="42" customHeight="1">
      <c r="A1804" s="2" t="s">
        <v>3845</v>
      </c>
      <c r="B1804" s="2" t="s">
        <v>3845</v>
      </c>
      <c r="C1804" s="2" t="s">
        <v>28</v>
      </c>
      <c r="D1804" s="2" t="s">
        <v>29</v>
      </c>
      <c r="E1804" s="5">
        <v>-28334</v>
      </c>
      <c r="F1804" s="3" t="s">
        <v>532</v>
      </c>
      <c r="G1804" s="3" t="s">
        <v>63</v>
      </c>
      <c r="H1804" s="2" t="s">
        <v>20</v>
      </c>
      <c r="I1804" s="2" t="s">
        <v>3847</v>
      </c>
      <c r="J1804" s="3" t="str">
        <f>HYPERLINK("https://www.boe.es/gazeta/dias/1822/06/03/pdfs/GMD-1822-159.pdf#page=6","Abrir facsímil")</f>
        <v>Abrir facsímil</v>
      </c>
      <c r="K1804" s="3" t="s">
        <v>22</v>
      </c>
    </row>
    <row r="1805" spans="1:11" ht="42" customHeight="1">
      <c r="A1805" s="2" t="s">
        <v>3845</v>
      </c>
      <c r="B1805" s="2" t="s">
        <v>3845</v>
      </c>
      <c r="C1805" s="2" t="s">
        <v>71</v>
      </c>
      <c r="D1805" s="2" t="s">
        <v>17</v>
      </c>
      <c r="E1805" s="5">
        <v>-28331</v>
      </c>
      <c r="F1805" s="3" t="s">
        <v>537</v>
      </c>
      <c r="G1805" s="3" t="s">
        <v>35</v>
      </c>
      <c r="H1805" s="2" t="s">
        <v>20</v>
      </c>
      <c r="I1805" s="2" t="s">
        <v>3848</v>
      </c>
      <c r="J1805" s="3" t="str">
        <f>HYPERLINK("https://www.boe.es/gazeta/dias/1822/06/06/pdfs/GMD-1822-163.pdf#page=2","Abrir facsímil")</f>
        <v>Abrir facsímil</v>
      </c>
      <c r="K1805" s="3" t="s">
        <v>22</v>
      </c>
    </row>
    <row r="1806" spans="1:11" ht="42" customHeight="1">
      <c r="A1806" s="2" t="s">
        <v>3845</v>
      </c>
      <c r="B1806" s="2" t="s">
        <v>3845</v>
      </c>
      <c r="C1806" s="2" t="s">
        <v>28</v>
      </c>
      <c r="D1806" s="2" t="s">
        <v>29</v>
      </c>
      <c r="E1806" s="5">
        <v>-28329</v>
      </c>
      <c r="F1806" s="3" t="s">
        <v>354</v>
      </c>
      <c r="G1806" s="3" t="s">
        <v>31</v>
      </c>
      <c r="H1806" s="2" t="s">
        <v>20</v>
      </c>
      <c r="I1806" s="2" t="s">
        <v>3849</v>
      </c>
      <c r="J1806" s="3" t="str">
        <f>HYPERLINK("https://www.boe.es/gazeta/dias/1822/06/08/pdfs/GMD-1822-165.pdf#page=3","Abrir facsímil")</f>
        <v>Abrir facsímil</v>
      </c>
      <c r="K1806" s="3" t="s">
        <v>22</v>
      </c>
    </row>
    <row r="1807" spans="1:11" ht="42" customHeight="1">
      <c r="A1807" s="2" t="s">
        <v>3850</v>
      </c>
      <c r="B1807" s="2" t="s">
        <v>3851</v>
      </c>
      <c r="C1807" s="2" t="s">
        <v>50</v>
      </c>
      <c r="D1807" s="2" t="s">
        <v>51</v>
      </c>
      <c r="E1807" s="5">
        <v>-28314</v>
      </c>
      <c r="F1807" s="3" t="s">
        <v>309</v>
      </c>
      <c r="G1807" s="3" t="s">
        <v>63</v>
      </c>
      <c r="H1807" s="2" t="s">
        <v>20</v>
      </c>
      <c r="I1807" s="2" t="s">
        <v>3852</v>
      </c>
      <c r="J1807" s="3" t="str">
        <f>HYPERLINK("https://www.boe.es/gazeta/dias/1822/06/23/pdfs/GMD-1822-181.pdf#page=6","Abrir facsímil")</f>
        <v>Abrir facsímil</v>
      </c>
      <c r="K1807" s="3" t="s">
        <v>22</v>
      </c>
    </row>
    <row r="1808" spans="1:11" ht="42" customHeight="1">
      <c r="A1808" s="2" t="s">
        <v>3853</v>
      </c>
      <c r="B1808" s="2" t="s">
        <v>3853</v>
      </c>
      <c r="C1808" s="2" t="s">
        <v>16</v>
      </c>
      <c r="D1808" s="2" t="s">
        <v>17</v>
      </c>
      <c r="E1808" s="5">
        <v>-28167</v>
      </c>
      <c r="F1808" s="3" t="s">
        <v>904</v>
      </c>
      <c r="G1808" s="3" t="s">
        <v>44</v>
      </c>
      <c r="H1808" s="2" t="s">
        <v>20</v>
      </c>
      <c r="I1808" s="2" t="s">
        <v>3854</v>
      </c>
      <c r="J1808" s="3" t="str">
        <f>HYPERLINK("https://www.boe.es/gazeta/dias/1822/11/17/pdfs/GMD-1822-337.pdf#page=1","Abrir facsímil")</f>
        <v>Abrir facsímil</v>
      </c>
      <c r="K1808" s="3" t="s">
        <v>22</v>
      </c>
    </row>
    <row r="1809" spans="1:11" ht="42" customHeight="1">
      <c r="A1809" s="2" t="s">
        <v>3855</v>
      </c>
      <c r="B1809" s="2" t="s">
        <v>3856</v>
      </c>
      <c r="C1809" s="2" t="s">
        <v>28</v>
      </c>
      <c r="D1809" s="2" t="s">
        <v>29</v>
      </c>
      <c r="E1809" s="5">
        <v>-28370</v>
      </c>
      <c r="F1809" s="3" t="s">
        <v>207</v>
      </c>
      <c r="G1809" s="3" t="s">
        <v>35</v>
      </c>
      <c r="H1809" s="2" t="s">
        <v>20</v>
      </c>
      <c r="I1809" s="2" t="s">
        <v>3857</v>
      </c>
      <c r="J1809" s="3" t="str">
        <f>HYPERLINK("https://www.boe.es/gazeta/dias/1822/04/28/pdfs/GMD-1822-120.pdf#page=2","Abrir facsímil")</f>
        <v>Abrir facsímil</v>
      </c>
      <c r="K1809" s="3" t="s">
        <v>22</v>
      </c>
    </row>
    <row r="1810" spans="1:11" ht="42" customHeight="1">
      <c r="A1810" s="2" t="s">
        <v>3858</v>
      </c>
      <c r="B1810" s="2" t="s">
        <v>3859</v>
      </c>
      <c r="C1810" s="2" t="s">
        <v>50</v>
      </c>
      <c r="D1810" s="2" t="s">
        <v>51</v>
      </c>
      <c r="E1810" s="5">
        <v>-28349</v>
      </c>
      <c r="F1810" s="3" t="s">
        <v>518</v>
      </c>
      <c r="G1810" s="3" t="s">
        <v>57</v>
      </c>
      <c r="H1810" s="2" t="s">
        <v>20</v>
      </c>
      <c r="I1810" s="2" t="s">
        <v>3860</v>
      </c>
      <c r="J1810" s="3" t="str">
        <f>HYPERLINK("https://www.boe.es/gazeta/dias/1822/05/19/pdfs/GMD-1822-141.pdf#page=4","Abrir facsímil")</f>
        <v>Abrir facsímil</v>
      </c>
      <c r="K1810" s="3" t="s">
        <v>22</v>
      </c>
    </row>
    <row r="1811" spans="1:11" ht="42" customHeight="1">
      <c r="A1811" s="2" t="s">
        <v>3861</v>
      </c>
      <c r="B1811" s="2" t="s">
        <v>3862</v>
      </c>
      <c r="C1811" s="2" t="s">
        <v>50</v>
      </c>
      <c r="D1811" s="2" t="s">
        <v>51</v>
      </c>
      <c r="E1811" s="5">
        <v>-28186</v>
      </c>
      <c r="F1811" s="3" t="s">
        <v>581</v>
      </c>
      <c r="G1811" s="3" t="s">
        <v>57</v>
      </c>
      <c r="H1811" s="2" t="s">
        <v>20</v>
      </c>
      <c r="I1811" s="2" t="s">
        <v>3863</v>
      </c>
      <c r="J1811" s="3" t="str">
        <f>HYPERLINK("https://www.boe.es/gazeta/dias/1822/10/29/pdfs/GMD-1822-316.pdf#page=4","Abrir facsímil")</f>
        <v>Abrir facsímil</v>
      </c>
      <c r="K1811" s="3" t="s">
        <v>22</v>
      </c>
    </row>
    <row r="1812" spans="1:11" ht="42" customHeight="1">
      <c r="A1812" s="2" t="s">
        <v>3864</v>
      </c>
      <c r="B1812" s="2" t="s">
        <v>3865</v>
      </c>
      <c r="C1812" s="2" t="s">
        <v>42</v>
      </c>
      <c r="D1812" s="2" t="s">
        <v>17</v>
      </c>
      <c r="E1812" s="5">
        <v>-28391</v>
      </c>
      <c r="F1812" s="3" t="s">
        <v>378</v>
      </c>
      <c r="G1812" s="3" t="s">
        <v>63</v>
      </c>
      <c r="H1812" s="2" t="s">
        <v>20</v>
      </c>
      <c r="I1812" s="2" t="s">
        <v>3866</v>
      </c>
      <c r="J1812" s="3" t="str">
        <f>HYPERLINK("https://www.boe.es/gazeta/dias/1822/04/07/pdfs/GMD-1822-99.pdf#page=6","Abrir facsímil")</f>
        <v>Abrir facsímil</v>
      </c>
      <c r="K1812" s="3" t="s">
        <v>22</v>
      </c>
    </row>
    <row r="1813" spans="1:11" ht="42" customHeight="1">
      <c r="A1813" s="2" t="s">
        <v>3864</v>
      </c>
      <c r="B1813" s="2" t="s">
        <v>3865</v>
      </c>
      <c r="C1813" s="2" t="s">
        <v>42</v>
      </c>
      <c r="D1813" s="2" t="s">
        <v>17</v>
      </c>
      <c r="E1813" s="5">
        <v>-28365</v>
      </c>
      <c r="F1813" s="3" t="s">
        <v>506</v>
      </c>
      <c r="G1813" s="3" t="s">
        <v>2093</v>
      </c>
      <c r="H1813" s="2" t="s">
        <v>20</v>
      </c>
      <c r="I1813" s="2" t="s">
        <v>3867</v>
      </c>
      <c r="J1813" s="3" t="str">
        <f>HYPERLINK("https://www.boe.es/gazeta/dias/1822/05/03/pdfs/GMD-1822-125.pdf#page=6","Abrir facsímil")</f>
        <v>Abrir facsímil</v>
      </c>
      <c r="K1813" s="3" t="s">
        <v>22</v>
      </c>
    </row>
    <row r="1814" spans="1:11" ht="42" customHeight="1">
      <c r="A1814" s="2" t="s">
        <v>3868</v>
      </c>
      <c r="B1814" s="2" t="s">
        <v>3869</v>
      </c>
      <c r="C1814" s="2" t="s">
        <v>16</v>
      </c>
      <c r="D1814" s="2" t="s">
        <v>17</v>
      </c>
      <c r="E1814" s="5">
        <v>-28461</v>
      </c>
      <c r="F1814" s="3" t="s">
        <v>1801</v>
      </c>
      <c r="G1814" s="3" t="s">
        <v>57</v>
      </c>
      <c r="H1814" s="2" t="s">
        <v>20</v>
      </c>
      <c r="I1814" s="2" t="s">
        <v>3870</v>
      </c>
      <c r="J1814" s="3" t="str">
        <f>HYPERLINK("https://www.boe.es/gazeta/dias/1822/01/27/pdfs/GMD-1822-27.pdf#page=4","Abrir facsímil")</f>
        <v>Abrir facsímil</v>
      </c>
      <c r="K1814" s="3" t="s">
        <v>22</v>
      </c>
    </row>
    <row r="1815" spans="1:11" ht="42" customHeight="1">
      <c r="A1815" s="2" t="s">
        <v>3871</v>
      </c>
      <c r="B1815" s="2" t="s">
        <v>3872</v>
      </c>
      <c r="C1815" s="2" t="s">
        <v>50</v>
      </c>
      <c r="D1815" s="2" t="s">
        <v>51</v>
      </c>
      <c r="E1815" s="5">
        <v>-28416</v>
      </c>
      <c r="F1815" s="3" t="s">
        <v>97</v>
      </c>
      <c r="G1815" s="3" t="s">
        <v>63</v>
      </c>
      <c r="H1815" s="2" t="s">
        <v>20</v>
      </c>
      <c r="I1815" s="2" t="s">
        <v>3873</v>
      </c>
      <c r="J1815" s="3" t="str">
        <f>HYPERLINK("https://www.boe.es/gazeta/dias/1822/03/13/pdfs/GMD-1822-74.pdf#page=6","Abrir facsímil")</f>
        <v>Abrir facsímil</v>
      </c>
      <c r="K1815" s="3" t="s">
        <v>22</v>
      </c>
    </row>
    <row r="1816" spans="1:11" ht="42" customHeight="1">
      <c r="A1816" s="2" t="s">
        <v>3874</v>
      </c>
      <c r="B1816" s="2" t="s">
        <v>3874</v>
      </c>
      <c r="C1816" s="2" t="s">
        <v>42</v>
      </c>
      <c r="D1816" s="2" t="s">
        <v>17</v>
      </c>
      <c r="E1816" s="5">
        <v>-28232</v>
      </c>
      <c r="F1816" s="3" t="s">
        <v>3875</v>
      </c>
      <c r="G1816" s="3" t="s">
        <v>44</v>
      </c>
      <c r="H1816" s="2" t="s">
        <v>20</v>
      </c>
      <c r="I1816" s="2" t="s">
        <v>3876</v>
      </c>
      <c r="J1816" s="3" t="str">
        <f>HYPERLINK("https://www.boe.es/gazeta/dias/1822/09/13/pdfs/GMD-1822-269.pdf#page=1","Abrir facsímil")</f>
        <v>Abrir facsímil</v>
      </c>
      <c r="K1816" s="3" t="s">
        <v>22</v>
      </c>
    </row>
    <row r="1817" spans="1:11" ht="42" customHeight="1">
      <c r="A1817" s="2" t="s">
        <v>3877</v>
      </c>
      <c r="B1817" s="2" t="s">
        <v>3878</v>
      </c>
      <c r="C1817" s="2" t="s">
        <v>50</v>
      </c>
      <c r="D1817" s="2" t="s">
        <v>51</v>
      </c>
      <c r="E1817" s="5">
        <v>-28264</v>
      </c>
      <c r="F1817" s="3" t="s">
        <v>1329</v>
      </c>
      <c r="G1817" s="3" t="s">
        <v>31</v>
      </c>
      <c r="H1817" s="2" t="s">
        <v>45</v>
      </c>
      <c r="I1817" s="2" t="s">
        <v>3879</v>
      </c>
      <c r="J1817" s="3" t="str">
        <f>HYPERLINK("https://www.boe.es/gazeta/dias/1822/08/12/pdfs/GMD-1822-236.pdf#page=3","Abrir facsímil")</f>
        <v>Abrir facsímil</v>
      </c>
      <c r="K1817" s="3" t="s">
        <v>47</v>
      </c>
    </row>
    <row r="1818" spans="1:11" ht="42" customHeight="1">
      <c r="A1818" s="2" t="s">
        <v>3880</v>
      </c>
      <c r="B1818" s="2" t="s">
        <v>3881</v>
      </c>
      <c r="C1818" s="2" t="s">
        <v>28</v>
      </c>
      <c r="D1818" s="2" t="s">
        <v>29</v>
      </c>
      <c r="E1818" s="5">
        <v>-28156</v>
      </c>
      <c r="F1818" s="3" t="s">
        <v>1568</v>
      </c>
      <c r="G1818" s="3" t="s">
        <v>63</v>
      </c>
      <c r="H1818" s="2" t="s">
        <v>20</v>
      </c>
      <c r="I1818" s="2" t="s">
        <v>3882</v>
      </c>
      <c r="J1818" s="3" t="str">
        <f>HYPERLINK("https://www.boe.es/gazeta/dias/1822/11/28/pdfs/GMD-1822-348.pdf#page=6","Abrir facsímil")</f>
        <v>Abrir facsímil</v>
      </c>
      <c r="K1818" s="3" t="s">
        <v>22</v>
      </c>
    </row>
    <row r="1819" spans="1:11" ht="42" customHeight="1">
      <c r="A1819" s="2" t="s">
        <v>3880</v>
      </c>
      <c r="B1819" s="2" t="s">
        <v>3881</v>
      </c>
      <c r="C1819" s="2" t="s">
        <v>50</v>
      </c>
      <c r="D1819" s="2" t="s">
        <v>51</v>
      </c>
      <c r="E1819" s="5">
        <v>-28147</v>
      </c>
      <c r="F1819" s="3" t="s">
        <v>1611</v>
      </c>
      <c r="G1819" s="3" t="s">
        <v>63</v>
      </c>
      <c r="H1819" s="2" t="s">
        <v>20</v>
      </c>
      <c r="I1819" s="2" t="s">
        <v>3883</v>
      </c>
      <c r="J1819" s="3" t="str">
        <f>HYPERLINK("https://www.boe.es/gazeta/dias/1822/12/07/pdfs/GMD-1822-357.pdf#page=6","Abrir facsímil")</f>
        <v>Abrir facsímil</v>
      </c>
      <c r="K1819" s="3" t="s">
        <v>22</v>
      </c>
    </row>
    <row r="1820" spans="1:11" ht="42" customHeight="1">
      <c r="A1820" s="2" t="s">
        <v>3884</v>
      </c>
      <c r="B1820" s="2" t="s">
        <v>3885</v>
      </c>
      <c r="C1820" s="2" t="s">
        <v>71</v>
      </c>
      <c r="D1820" s="2" t="s">
        <v>17</v>
      </c>
      <c r="E1820" s="5">
        <v>-28308</v>
      </c>
      <c r="F1820" s="3" t="s">
        <v>1050</v>
      </c>
      <c r="G1820" s="3" t="s">
        <v>35</v>
      </c>
      <c r="H1820" s="2" t="s">
        <v>20</v>
      </c>
      <c r="I1820" s="2" t="s">
        <v>3886</v>
      </c>
      <c r="J1820" s="3" t="str">
        <f>HYPERLINK("https://www.boe.es/gazeta/dias/1822/06/29/pdfs/GMD-1822-187.pdf#page=2","Abrir facsímil")</f>
        <v>Abrir facsímil</v>
      </c>
      <c r="K1820" s="3" t="s">
        <v>22</v>
      </c>
    </row>
    <row r="1821" spans="1:11" ht="42" customHeight="1">
      <c r="A1821" s="2" t="s">
        <v>3887</v>
      </c>
      <c r="B1821" s="2" t="s">
        <v>3888</v>
      </c>
      <c r="C1821" s="2" t="s">
        <v>61</v>
      </c>
      <c r="D1821" s="2" t="s">
        <v>17</v>
      </c>
      <c r="E1821" s="5">
        <v>-28330</v>
      </c>
      <c r="F1821" s="3" t="s">
        <v>896</v>
      </c>
      <c r="G1821" s="3" t="s">
        <v>57</v>
      </c>
      <c r="H1821" s="2" t="s">
        <v>45</v>
      </c>
      <c r="I1821" s="2" t="s">
        <v>3889</v>
      </c>
      <c r="J1821" s="3" t="str">
        <f>HYPERLINK("https://www.boe.es/gazeta/dias/1822/06/07/pdfs/GMD-1822-164.pdf#page=4","Abrir facsímil")</f>
        <v>Abrir facsímil</v>
      </c>
      <c r="K1821" s="3" t="s">
        <v>47</v>
      </c>
    </row>
    <row r="1822" spans="1:11" ht="42" customHeight="1">
      <c r="A1822" s="2" t="s">
        <v>3890</v>
      </c>
      <c r="B1822" s="2" t="s">
        <v>3891</v>
      </c>
      <c r="C1822" s="2" t="s">
        <v>16</v>
      </c>
      <c r="D1822" s="2" t="s">
        <v>17</v>
      </c>
      <c r="E1822" s="5">
        <v>-28131</v>
      </c>
      <c r="F1822" s="3" t="s">
        <v>893</v>
      </c>
      <c r="G1822" s="3" t="s">
        <v>991</v>
      </c>
      <c r="H1822" s="2" t="s">
        <v>20</v>
      </c>
      <c r="I1822" s="2" t="s">
        <v>3892</v>
      </c>
      <c r="J1822" s="3" t="str">
        <f>HYPERLINK("https://www.boe.es/gazeta/dias/1822/12/23/pdfs/GMD-1822-373.pdf#page=6","Abrir facsímil")</f>
        <v>Abrir facsímil</v>
      </c>
      <c r="K1822" s="3" t="s">
        <v>22</v>
      </c>
    </row>
    <row r="1823" spans="1:11" ht="42" customHeight="1">
      <c r="A1823" s="2" t="s">
        <v>3893</v>
      </c>
      <c r="B1823" s="2" t="s">
        <v>3894</v>
      </c>
      <c r="C1823" s="2" t="s">
        <v>50</v>
      </c>
      <c r="D1823" s="2" t="s">
        <v>51</v>
      </c>
      <c r="E1823" s="5">
        <v>-28395</v>
      </c>
      <c r="F1823" s="3" t="s">
        <v>237</v>
      </c>
      <c r="G1823" s="3" t="s">
        <v>57</v>
      </c>
      <c r="H1823" s="2" t="s">
        <v>20</v>
      </c>
      <c r="I1823" s="2" t="s">
        <v>3895</v>
      </c>
      <c r="J1823" s="3" t="str">
        <f>HYPERLINK("https://www.boe.es/gazeta/dias/1822/04/03/pdfs/GMD-1822-95.pdf#page=4","Abrir facsímil")</f>
        <v>Abrir facsímil</v>
      </c>
      <c r="K1823" s="3" t="s">
        <v>22</v>
      </c>
    </row>
    <row r="1824" spans="1:11" ht="42" customHeight="1">
      <c r="A1824" s="2" t="s">
        <v>3893</v>
      </c>
      <c r="B1824" s="2" t="s">
        <v>3894</v>
      </c>
      <c r="C1824" s="2" t="s">
        <v>42</v>
      </c>
      <c r="D1824" s="2" t="s">
        <v>17</v>
      </c>
      <c r="E1824" s="5">
        <v>-28364</v>
      </c>
      <c r="F1824" s="3" t="s">
        <v>509</v>
      </c>
      <c r="G1824" s="3" t="s">
        <v>63</v>
      </c>
      <c r="H1824" s="2" t="s">
        <v>20</v>
      </c>
      <c r="I1824" s="2" t="s">
        <v>3896</v>
      </c>
      <c r="J1824" s="3" t="str">
        <f>HYPERLINK("https://www.boe.es/gazeta/dias/1822/05/04/pdfs/GMD-1822-126.pdf#page=6","Abrir facsímil")</f>
        <v>Abrir facsímil</v>
      </c>
      <c r="K1824" s="3" t="s">
        <v>22</v>
      </c>
    </row>
    <row r="1825" spans="1:11" ht="42" customHeight="1">
      <c r="A1825" s="2" t="s">
        <v>3893</v>
      </c>
      <c r="B1825" s="2" t="s">
        <v>3894</v>
      </c>
      <c r="C1825" s="2" t="s">
        <v>50</v>
      </c>
      <c r="D1825" s="2" t="s">
        <v>51</v>
      </c>
      <c r="E1825" s="5">
        <v>-28286</v>
      </c>
      <c r="F1825" s="3" t="s">
        <v>1853</v>
      </c>
      <c r="G1825" s="3" t="s">
        <v>57</v>
      </c>
      <c r="H1825" s="2" t="s">
        <v>20</v>
      </c>
      <c r="I1825" s="2" t="s">
        <v>3897</v>
      </c>
      <c r="J1825" s="3" t="str">
        <f>HYPERLINK("https://www.boe.es/gazeta/dias/1822/07/21/pdfs/GMD-1822-213.pdf#page=4","Abrir facsímil")</f>
        <v>Abrir facsímil</v>
      </c>
      <c r="K1825" s="3" t="s">
        <v>22</v>
      </c>
    </row>
    <row r="1826" spans="1:11" ht="42" customHeight="1">
      <c r="A1826" s="2" t="s">
        <v>3893</v>
      </c>
      <c r="B1826" s="2" t="s">
        <v>3894</v>
      </c>
      <c r="C1826" s="2" t="s">
        <v>42</v>
      </c>
      <c r="D1826" s="2" t="s">
        <v>17</v>
      </c>
      <c r="E1826" s="5">
        <v>-28213</v>
      </c>
      <c r="F1826" s="3" t="s">
        <v>558</v>
      </c>
      <c r="G1826" s="3" t="s">
        <v>57</v>
      </c>
      <c r="H1826" s="2" t="s">
        <v>20</v>
      </c>
      <c r="I1826" s="2" t="s">
        <v>3898</v>
      </c>
      <c r="J1826" s="3" t="str">
        <f>HYPERLINK("https://www.boe.es/gazeta/dias/1822/10/02/pdfs/GMD-1822-288.pdf#page=4","Abrir facsímil")</f>
        <v>Abrir facsímil</v>
      </c>
      <c r="K1826" s="3" t="s">
        <v>22</v>
      </c>
    </row>
    <row r="1827" spans="1:11" ht="42" customHeight="1">
      <c r="A1827" s="2" t="s">
        <v>3899</v>
      </c>
      <c r="B1827" s="2" t="s">
        <v>3900</v>
      </c>
      <c r="C1827" s="2" t="s">
        <v>28</v>
      </c>
      <c r="D1827" s="2" t="s">
        <v>29</v>
      </c>
      <c r="E1827" s="5">
        <v>-28436</v>
      </c>
      <c r="F1827" s="3" t="s">
        <v>431</v>
      </c>
      <c r="G1827" s="3" t="s">
        <v>1428</v>
      </c>
      <c r="H1827" s="2" t="s">
        <v>20</v>
      </c>
      <c r="I1827" s="2" t="s">
        <v>3901</v>
      </c>
      <c r="J1827" s="3" t="str">
        <f>HYPERLINK("https://www.boe.es/gazeta/dias/1822/02/21/pdfs/GMD-1822-53.pdf#page=3","Abrir facsímil")</f>
        <v>Abrir facsímil</v>
      </c>
      <c r="K1827" s="3" t="s">
        <v>22</v>
      </c>
    </row>
    <row r="1828" spans="1:11" ht="42" customHeight="1">
      <c r="A1828" s="2" t="s">
        <v>3902</v>
      </c>
      <c r="B1828" s="2" t="s">
        <v>3903</v>
      </c>
      <c r="C1828" s="2" t="s">
        <v>28</v>
      </c>
      <c r="D1828" s="2" t="s">
        <v>29</v>
      </c>
      <c r="E1828" s="5">
        <v>-28365</v>
      </c>
      <c r="F1828" s="3" t="s">
        <v>506</v>
      </c>
      <c r="G1828" s="3" t="s">
        <v>31</v>
      </c>
      <c r="H1828" s="2" t="s">
        <v>20</v>
      </c>
      <c r="I1828" s="2" t="s">
        <v>3904</v>
      </c>
      <c r="J1828" s="3" t="str">
        <f>HYPERLINK("https://www.boe.es/gazeta/dias/1822/05/03/pdfs/GMD-1822-125.pdf#page=3","Abrir facsímil")</f>
        <v>Abrir facsímil</v>
      </c>
      <c r="K1828" s="3" t="s">
        <v>22</v>
      </c>
    </row>
    <row r="1829" spans="1:11" ht="42" customHeight="1">
      <c r="A1829" s="2" t="s">
        <v>3905</v>
      </c>
      <c r="B1829" s="2" t="s">
        <v>3906</v>
      </c>
      <c r="C1829" s="2" t="s">
        <v>50</v>
      </c>
      <c r="D1829" s="2" t="s">
        <v>51</v>
      </c>
      <c r="E1829" s="5">
        <v>-28345</v>
      </c>
      <c r="F1829" s="3" t="s">
        <v>294</v>
      </c>
      <c r="G1829" s="3" t="s">
        <v>44</v>
      </c>
      <c r="H1829" s="2" t="s">
        <v>20</v>
      </c>
      <c r="I1829" s="2" t="s">
        <v>3907</v>
      </c>
      <c r="J1829" s="3" t="str">
        <f>HYPERLINK("https://www.boe.es/gazeta/dias/1822/05/23/pdfs/GMD-1822-147.pdf#page=1","Abrir facsímil")</f>
        <v>Abrir facsímil</v>
      </c>
      <c r="K1829" s="3" t="s">
        <v>22</v>
      </c>
    </row>
    <row r="1830" spans="1:11" ht="42" customHeight="1">
      <c r="A1830" s="2" t="s">
        <v>3908</v>
      </c>
      <c r="B1830" s="2" t="s">
        <v>3909</v>
      </c>
      <c r="C1830" s="2" t="s">
        <v>50</v>
      </c>
      <c r="D1830" s="2" t="s">
        <v>51</v>
      </c>
      <c r="E1830" s="5">
        <v>-28415</v>
      </c>
      <c r="F1830" s="3" t="s">
        <v>77</v>
      </c>
      <c r="G1830" s="3" t="s">
        <v>19</v>
      </c>
      <c r="H1830" s="2" t="s">
        <v>20</v>
      </c>
      <c r="I1830" s="2" t="s">
        <v>3910</v>
      </c>
      <c r="J1830" s="3" t="str">
        <f>HYPERLINK("https://www.boe.es/gazeta/dias/1822/03/14/pdfs/GMD-1822-75.pdf#page=5","Abrir facsímil")</f>
        <v>Abrir facsímil</v>
      </c>
      <c r="K1830" s="3" t="s">
        <v>22</v>
      </c>
    </row>
    <row r="1831" spans="1:11" ht="42" customHeight="1">
      <c r="A1831" s="2" t="s">
        <v>3911</v>
      </c>
      <c r="B1831" s="2" t="s">
        <v>3912</v>
      </c>
      <c r="C1831" s="2" t="s">
        <v>50</v>
      </c>
      <c r="D1831" s="2" t="s">
        <v>51</v>
      </c>
      <c r="E1831" s="5">
        <v>-28154</v>
      </c>
      <c r="F1831" s="3" t="s">
        <v>2321</v>
      </c>
      <c r="G1831" s="3" t="s">
        <v>3913</v>
      </c>
      <c r="H1831" s="2" t="s">
        <v>20</v>
      </c>
      <c r="I1831" s="2" t="s">
        <v>3914</v>
      </c>
      <c r="J1831" s="3" t="str">
        <f>HYPERLINK("https://www.boe.es/gazeta/dias/1822/11/30/pdfs/GMD-1822-350.pdf#page=4","Abrir facsímil")</f>
        <v>Abrir facsímil</v>
      </c>
      <c r="K1831" s="3" t="s">
        <v>22</v>
      </c>
    </row>
    <row r="1832" spans="1:11" ht="42" customHeight="1">
      <c r="A1832" s="2" t="s">
        <v>3915</v>
      </c>
      <c r="B1832" s="2" t="s">
        <v>3915</v>
      </c>
      <c r="C1832" s="2" t="s">
        <v>50</v>
      </c>
      <c r="D1832" s="2" t="s">
        <v>51</v>
      </c>
      <c r="E1832" s="5">
        <v>-28231</v>
      </c>
      <c r="F1832" s="3" t="s">
        <v>2049</v>
      </c>
      <c r="G1832" s="3" t="s">
        <v>44</v>
      </c>
      <c r="H1832" s="2" t="s">
        <v>20</v>
      </c>
      <c r="I1832" s="2" t="s">
        <v>3916</v>
      </c>
      <c r="J1832" s="3" t="str">
        <f>HYPERLINK("https://www.boe.es/gazeta/dias/1822/09/14/pdfs/GMD-1822-270.pdf#page=1","Abrir facsímil")</f>
        <v>Abrir facsímil</v>
      </c>
      <c r="K1832" s="3" t="s">
        <v>22</v>
      </c>
    </row>
    <row r="1833" spans="1:11" ht="42" customHeight="1">
      <c r="A1833" s="2" t="s">
        <v>3917</v>
      </c>
      <c r="B1833" s="2" t="s">
        <v>3918</v>
      </c>
      <c r="C1833" s="2" t="s">
        <v>50</v>
      </c>
      <c r="D1833" s="2" t="s">
        <v>51</v>
      </c>
      <c r="E1833" s="5">
        <v>-28245</v>
      </c>
      <c r="F1833" s="3" t="s">
        <v>2307</v>
      </c>
      <c r="G1833" s="3" t="s">
        <v>35</v>
      </c>
      <c r="H1833" s="2" t="s">
        <v>20</v>
      </c>
      <c r="I1833" s="2" t="s">
        <v>3919</v>
      </c>
      <c r="J1833" s="3" t="str">
        <f>HYPERLINK("https://www.boe.es/gazeta/dias/1822/08/31/pdfs/GMD-1822-255.pdf#page=2","Abrir facsímil")</f>
        <v>Abrir facsímil</v>
      </c>
      <c r="K1833" s="3" t="s">
        <v>22</v>
      </c>
    </row>
    <row r="1834" spans="1:11" ht="42" customHeight="1">
      <c r="A1834" s="2" t="s">
        <v>3917</v>
      </c>
      <c r="B1834" s="2" t="s">
        <v>3918</v>
      </c>
      <c r="C1834" s="2" t="s">
        <v>50</v>
      </c>
      <c r="D1834" s="2" t="s">
        <v>51</v>
      </c>
      <c r="E1834" s="5">
        <v>-28192</v>
      </c>
      <c r="F1834" s="3" t="s">
        <v>43</v>
      </c>
      <c r="G1834" s="3" t="s">
        <v>35</v>
      </c>
      <c r="H1834" s="2" t="s">
        <v>20</v>
      </c>
      <c r="I1834" s="2" t="s">
        <v>3920</v>
      </c>
      <c r="J1834" s="3" t="str">
        <f>HYPERLINK("https://www.boe.es/gazeta/dias/1822/10/23/pdfs/GMD-1822-310.pdf#page=2","Abrir facsímil")</f>
        <v>Abrir facsímil</v>
      </c>
      <c r="K1834" s="3" t="s">
        <v>22</v>
      </c>
    </row>
    <row r="1835" spans="1:11" ht="42" customHeight="1">
      <c r="A1835" s="2" t="s">
        <v>3921</v>
      </c>
      <c r="B1835" s="2" t="s">
        <v>3922</v>
      </c>
      <c r="C1835" s="2" t="s">
        <v>71</v>
      </c>
      <c r="D1835" s="2" t="s">
        <v>17</v>
      </c>
      <c r="E1835" s="5">
        <v>-28349</v>
      </c>
      <c r="F1835" s="3" t="s">
        <v>518</v>
      </c>
      <c r="G1835" s="3" t="s">
        <v>44</v>
      </c>
      <c r="H1835" s="2" t="s">
        <v>20</v>
      </c>
      <c r="I1835" s="2" t="s">
        <v>3923</v>
      </c>
      <c r="J1835" s="3" t="str">
        <f>HYPERLINK("https://www.boe.es/gazeta/dias/1822/05/19/pdfs/GMD-1822-141.pdf#page=1","Abrir facsímil")</f>
        <v>Abrir facsímil</v>
      </c>
      <c r="K1835" s="3" t="s">
        <v>22</v>
      </c>
    </row>
    <row r="1836" spans="1:11" ht="42" customHeight="1">
      <c r="A1836" s="2" t="s">
        <v>3924</v>
      </c>
      <c r="B1836" s="2" t="s">
        <v>3925</v>
      </c>
      <c r="C1836" s="2" t="s">
        <v>50</v>
      </c>
      <c r="D1836" s="2" t="s">
        <v>51</v>
      </c>
      <c r="E1836" s="5">
        <v>-28125</v>
      </c>
      <c r="F1836" s="3" t="s">
        <v>322</v>
      </c>
      <c r="G1836" s="3" t="s">
        <v>19</v>
      </c>
      <c r="H1836" s="2" t="s">
        <v>20</v>
      </c>
      <c r="I1836" s="2" t="s">
        <v>3926</v>
      </c>
      <c r="J1836" s="3" t="str">
        <f>HYPERLINK("https://www.boe.es/gazeta/dias/1822/12/29/pdfs/GMD-1822-379.pdf#page=5","Abrir facsímil")</f>
        <v>Abrir facsímil</v>
      </c>
      <c r="K1836" s="3" t="s">
        <v>22</v>
      </c>
    </row>
    <row r="1837" spans="1:11" ht="42" customHeight="1">
      <c r="A1837" s="2" t="s">
        <v>3927</v>
      </c>
      <c r="B1837" s="2" t="s">
        <v>3928</v>
      </c>
      <c r="C1837" s="2" t="s">
        <v>50</v>
      </c>
      <c r="D1837" s="2" t="s">
        <v>51</v>
      </c>
      <c r="E1837" s="5">
        <v>-28264</v>
      </c>
      <c r="F1837" s="3" t="s">
        <v>1329</v>
      </c>
      <c r="G1837" s="3" t="s">
        <v>31</v>
      </c>
      <c r="H1837" s="2" t="s">
        <v>20</v>
      </c>
      <c r="I1837" s="2" t="s">
        <v>3929</v>
      </c>
      <c r="J1837" s="3" t="str">
        <f>HYPERLINK("https://www.boe.es/gazeta/dias/1822/08/12/pdfs/GMD-1822-236.pdf#page=3","Abrir facsímil")</f>
        <v>Abrir facsímil</v>
      </c>
      <c r="K1837" s="3" t="s">
        <v>22</v>
      </c>
    </row>
    <row r="1838" spans="1:11" ht="42" customHeight="1">
      <c r="A1838" s="2" t="s">
        <v>3930</v>
      </c>
      <c r="B1838" s="2" t="s">
        <v>3931</v>
      </c>
      <c r="C1838" s="2" t="s">
        <v>42</v>
      </c>
      <c r="D1838" s="2" t="s">
        <v>17</v>
      </c>
      <c r="E1838" s="5">
        <v>-28270</v>
      </c>
      <c r="F1838" s="3" t="s">
        <v>130</v>
      </c>
      <c r="G1838" s="3" t="s">
        <v>131</v>
      </c>
      <c r="H1838" s="2" t="s">
        <v>20</v>
      </c>
      <c r="I1838" s="2" t="s">
        <v>3932</v>
      </c>
      <c r="J1838" s="3" t="str">
        <f>HYPERLINK("https://www.boe.es/gazeta/dias/1822/08/06/pdfs/GMD-1822-230.pdf#page=6","Abrir facsímil")</f>
        <v>Abrir facsímil</v>
      </c>
      <c r="K1838" s="3" t="s">
        <v>22</v>
      </c>
    </row>
    <row r="1839" spans="1:11" ht="42" customHeight="1">
      <c r="A1839" s="2" t="s">
        <v>3933</v>
      </c>
      <c r="B1839" s="2" t="s">
        <v>3934</v>
      </c>
      <c r="C1839" s="2" t="s">
        <v>50</v>
      </c>
      <c r="D1839" s="2" t="s">
        <v>51</v>
      </c>
      <c r="E1839" s="5">
        <v>-28340</v>
      </c>
      <c r="F1839" s="3" t="s">
        <v>139</v>
      </c>
      <c r="G1839" s="3" t="s">
        <v>63</v>
      </c>
      <c r="H1839" s="2" t="s">
        <v>20</v>
      </c>
      <c r="I1839" s="2" t="s">
        <v>3935</v>
      </c>
      <c r="J1839" s="3" t="str">
        <f>HYPERLINK("https://www.boe.es/gazeta/dias/1822/05/28/pdfs/GMD-1822-153.pdf#page=6","Abrir facsímil")</f>
        <v>Abrir facsímil</v>
      </c>
      <c r="K1839" s="3" t="s">
        <v>22</v>
      </c>
    </row>
    <row r="1840" spans="1:11" ht="42" customHeight="1">
      <c r="A1840" s="2" t="s">
        <v>3936</v>
      </c>
      <c r="B1840" s="2" t="s">
        <v>3937</v>
      </c>
      <c r="C1840" s="2" t="s">
        <v>28</v>
      </c>
      <c r="D1840" s="2" t="s">
        <v>29</v>
      </c>
      <c r="E1840" s="5">
        <v>-28425</v>
      </c>
      <c r="F1840" s="3" t="s">
        <v>419</v>
      </c>
      <c r="G1840" s="3" t="s">
        <v>35</v>
      </c>
      <c r="H1840" s="2" t="s">
        <v>20</v>
      </c>
      <c r="I1840" s="2" t="s">
        <v>3938</v>
      </c>
      <c r="J1840" s="3" t="str">
        <f>HYPERLINK("https://www.boe.es/gazeta/dias/1822/03/04/pdfs/GMD-1822-65.pdf#page=2","Abrir facsímil")</f>
        <v>Abrir facsímil</v>
      </c>
      <c r="K1840" s="3" t="s">
        <v>22</v>
      </c>
    </row>
    <row r="1841" spans="1:11" ht="42" customHeight="1">
      <c r="A1841" s="2" t="s">
        <v>3939</v>
      </c>
      <c r="B1841" s="2" t="s">
        <v>3940</v>
      </c>
      <c r="C1841" s="2" t="s">
        <v>42</v>
      </c>
      <c r="D1841" s="2" t="s">
        <v>17</v>
      </c>
      <c r="E1841" s="5">
        <v>-28392</v>
      </c>
      <c r="F1841" s="3" t="s">
        <v>2003</v>
      </c>
      <c r="G1841" s="3" t="s">
        <v>35</v>
      </c>
      <c r="H1841" s="2" t="s">
        <v>20</v>
      </c>
      <c r="I1841" s="2" t="s">
        <v>3941</v>
      </c>
      <c r="J1841" s="3" t="str">
        <f>HYPERLINK("https://www.boe.es/gazeta/dias/1822/04/06/pdfs/GMD-1822-98.pdf#page=2","Abrir facsímil")</f>
        <v>Abrir facsímil</v>
      </c>
      <c r="K1841" s="3" t="s">
        <v>22</v>
      </c>
    </row>
    <row r="1842" spans="1:11" ht="42" customHeight="1">
      <c r="A1842" s="2" t="s">
        <v>3939</v>
      </c>
      <c r="B1842" s="2" t="s">
        <v>3940</v>
      </c>
      <c r="C1842" s="2" t="s">
        <v>28</v>
      </c>
      <c r="D1842" s="2" t="s">
        <v>29</v>
      </c>
      <c r="E1842" s="5">
        <v>-28353</v>
      </c>
      <c r="F1842" s="3" t="s">
        <v>843</v>
      </c>
      <c r="G1842" s="3" t="s">
        <v>44</v>
      </c>
      <c r="H1842" s="2" t="s">
        <v>20</v>
      </c>
      <c r="I1842" s="2" t="s">
        <v>3942</v>
      </c>
      <c r="J1842" s="3" t="str">
        <f>HYPERLINK("https://www.boe.es/gazeta/dias/1822/05/15/pdfs/GMD-1822-137.pdf#page=1","Abrir facsímil")</f>
        <v>Abrir facsímil</v>
      </c>
      <c r="K1842" s="3" t="s">
        <v>22</v>
      </c>
    </row>
    <row r="1843" spans="1:11" ht="42" customHeight="1">
      <c r="A1843" s="2" t="s">
        <v>3939</v>
      </c>
      <c r="B1843" s="2" t="s">
        <v>3940</v>
      </c>
      <c r="C1843" s="2" t="s">
        <v>28</v>
      </c>
      <c r="D1843" s="2" t="s">
        <v>29</v>
      </c>
      <c r="E1843" s="5">
        <v>-28201</v>
      </c>
      <c r="F1843" s="3" t="s">
        <v>163</v>
      </c>
      <c r="G1843" s="3" t="s">
        <v>44</v>
      </c>
      <c r="H1843" s="2" t="s">
        <v>20</v>
      </c>
      <c r="I1843" s="2" t="s">
        <v>3943</v>
      </c>
      <c r="J1843" s="3" t="str">
        <f>HYPERLINK("https://www.boe.es/gazeta/dias/1822/10/14/pdfs/GMD-1822-301.pdf#page=1","Abrir facsímil")</f>
        <v>Abrir facsímil</v>
      </c>
      <c r="K1843" s="3" t="s">
        <v>22</v>
      </c>
    </row>
    <row r="1844" spans="1:11" ht="42" customHeight="1">
      <c r="A1844" s="2" t="s">
        <v>3944</v>
      </c>
      <c r="B1844" s="2" t="s">
        <v>3945</v>
      </c>
      <c r="C1844" s="2" t="s">
        <v>42</v>
      </c>
      <c r="D1844" s="2" t="s">
        <v>17</v>
      </c>
      <c r="E1844" s="5">
        <v>-28380</v>
      </c>
      <c r="F1844" s="3" t="s">
        <v>492</v>
      </c>
      <c r="G1844" s="3" t="s">
        <v>63</v>
      </c>
      <c r="H1844" s="2" t="s">
        <v>20</v>
      </c>
      <c r="I1844" s="2" t="s">
        <v>3946</v>
      </c>
      <c r="J1844" s="3" t="str">
        <f>HYPERLINK("https://www.boe.es/gazeta/dias/1822/04/18/pdfs/GMD-1822-110.pdf#page=6","Abrir facsímil")</f>
        <v>Abrir facsímil</v>
      </c>
      <c r="K1844" s="3" t="s">
        <v>22</v>
      </c>
    </row>
    <row r="1845" spans="1:11" ht="42" customHeight="1">
      <c r="A1845" s="2" t="s">
        <v>3947</v>
      </c>
      <c r="B1845" s="2" t="s">
        <v>3948</v>
      </c>
      <c r="C1845" s="2" t="s">
        <v>50</v>
      </c>
      <c r="D1845" s="2" t="s">
        <v>51</v>
      </c>
      <c r="E1845" s="5">
        <v>-28162</v>
      </c>
      <c r="F1845" s="3" t="s">
        <v>3949</v>
      </c>
      <c r="G1845" s="3" t="s">
        <v>57</v>
      </c>
      <c r="H1845" s="2" t="s">
        <v>45</v>
      </c>
      <c r="I1845" s="2" t="s">
        <v>3950</v>
      </c>
      <c r="J1845" s="3" t="str">
        <f>HYPERLINK("https://www.boe.es/gazeta/dias/1822/11/22/pdfs/GMD-1822-342.pdf#page=4","Abrir facsímil")</f>
        <v>Abrir facsímil</v>
      </c>
      <c r="K1845" s="3" t="s">
        <v>47</v>
      </c>
    </row>
    <row r="1846" spans="1:11" ht="42" customHeight="1">
      <c r="A1846" s="2" t="s">
        <v>3951</v>
      </c>
      <c r="B1846" s="2" t="s">
        <v>3951</v>
      </c>
      <c r="C1846" s="2" t="s">
        <v>42</v>
      </c>
      <c r="D1846" s="2" t="s">
        <v>17</v>
      </c>
      <c r="E1846" s="5">
        <v>-28450</v>
      </c>
      <c r="F1846" s="3" t="s">
        <v>1450</v>
      </c>
      <c r="G1846" s="3" t="s">
        <v>44</v>
      </c>
      <c r="H1846" s="2" t="s">
        <v>20</v>
      </c>
      <c r="I1846" s="2" t="s">
        <v>3952</v>
      </c>
      <c r="J1846" s="3" t="str">
        <f>HYPERLINK("https://www.boe.es/gazeta/dias/1822/02/07/pdfs/GMD-1822-38.pdf#page=1","Abrir facsímil")</f>
        <v>Abrir facsímil</v>
      </c>
      <c r="K1846" s="3" t="s">
        <v>22</v>
      </c>
    </row>
    <row r="1847" spans="1:11" ht="42" customHeight="1">
      <c r="A1847" s="2" t="s">
        <v>3951</v>
      </c>
      <c r="B1847" s="2" t="s">
        <v>3951</v>
      </c>
      <c r="C1847" s="2" t="s">
        <v>28</v>
      </c>
      <c r="D1847" s="2" t="s">
        <v>29</v>
      </c>
      <c r="E1847" s="5">
        <v>-28359</v>
      </c>
      <c r="F1847" s="3" t="s">
        <v>209</v>
      </c>
      <c r="G1847" s="3" t="s">
        <v>35</v>
      </c>
      <c r="H1847" s="2" t="s">
        <v>20</v>
      </c>
      <c r="I1847" s="2" t="s">
        <v>3953</v>
      </c>
      <c r="J1847" s="3" t="str">
        <f>HYPERLINK("https://www.boe.es/gazeta/dias/1822/05/09/pdfs/GMD-1822-131.pdf#page=2","Abrir facsímil")</f>
        <v>Abrir facsímil</v>
      </c>
      <c r="K1847" s="3" t="s">
        <v>22</v>
      </c>
    </row>
    <row r="1848" spans="1:11" ht="42" customHeight="1">
      <c r="A1848" s="2" t="s">
        <v>3951</v>
      </c>
      <c r="B1848" s="2" t="s">
        <v>3951</v>
      </c>
      <c r="C1848" s="2" t="s">
        <v>28</v>
      </c>
      <c r="D1848" s="2" t="s">
        <v>29</v>
      </c>
      <c r="E1848" s="5">
        <v>-28358</v>
      </c>
      <c r="F1848" s="3" t="s">
        <v>211</v>
      </c>
      <c r="G1848" s="3" t="s">
        <v>157</v>
      </c>
      <c r="H1848" s="2" t="s">
        <v>20</v>
      </c>
      <c r="I1848" s="2" t="s">
        <v>3954</v>
      </c>
      <c r="J1848" s="3" t="str">
        <f>HYPERLINK("https://www.boe.es/gazeta/dias/1822/05/10/pdfs/GMD-1822-132.pdf#page=8","Abrir facsímil")</f>
        <v>Abrir facsímil</v>
      </c>
      <c r="K1848" s="3" t="s">
        <v>22</v>
      </c>
    </row>
    <row r="1849" spans="1:11" ht="42" customHeight="1">
      <c r="A1849" s="2" t="s">
        <v>3955</v>
      </c>
      <c r="B1849" s="2" t="s">
        <v>3955</v>
      </c>
      <c r="C1849" s="2" t="s">
        <v>42</v>
      </c>
      <c r="D1849" s="2" t="s">
        <v>17</v>
      </c>
      <c r="E1849" s="5">
        <v>-28434</v>
      </c>
      <c r="F1849" s="3" t="s">
        <v>433</v>
      </c>
      <c r="G1849" s="3" t="s">
        <v>35</v>
      </c>
      <c r="H1849" s="2" t="s">
        <v>20</v>
      </c>
      <c r="I1849" s="2" t="s">
        <v>3956</v>
      </c>
      <c r="J1849" s="3" t="str">
        <f>HYPERLINK("https://www.boe.es/gazeta/dias/1822/02/23/pdfs/GMD-1822-55.pdf#page=2","Abrir facsímil")</f>
        <v>Abrir facsímil</v>
      </c>
      <c r="K1849" s="3" t="s">
        <v>22</v>
      </c>
    </row>
    <row r="1850" spans="1:11" ht="42" customHeight="1">
      <c r="A1850" s="2" t="s">
        <v>3955</v>
      </c>
      <c r="B1850" s="2" t="s">
        <v>3955</v>
      </c>
      <c r="C1850" s="2" t="s">
        <v>42</v>
      </c>
      <c r="D1850" s="2" t="s">
        <v>17</v>
      </c>
      <c r="E1850" s="5">
        <v>-28434</v>
      </c>
      <c r="F1850" s="3" t="s">
        <v>433</v>
      </c>
      <c r="G1850" s="3" t="s">
        <v>31</v>
      </c>
      <c r="H1850" s="2" t="s">
        <v>20</v>
      </c>
      <c r="I1850" s="2" t="s">
        <v>3957</v>
      </c>
      <c r="J1850" s="3" t="str">
        <f>HYPERLINK("https://www.boe.es/gazeta/dias/1822/02/23/pdfs/GMD-1822-55.pdf#page=3","Abrir facsímil")</f>
        <v>Abrir facsímil</v>
      </c>
      <c r="K1850" s="3" t="s">
        <v>22</v>
      </c>
    </row>
    <row r="1851" spans="1:11" ht="42" customHeight="1">
      <c r="A1851" s="2" t="s">
        <v>3955</v>
      </c>
      <c r="B1851" s="2" t="s">
        <v>3955</v>
      </c>
      <c r="C1851" s="2" t="s">
        <v>42</v>
      </c>
      <c r="D1851" s="2" t="s">
        <v>17</v>
      </c>
      <c r="E1851" s="5">
        <v>-28423</v>
      </c>
      <c r="F1851" s="3" t="s">
        <v>441</v>
      </c>
      <c r="G1851" s="3" t="s">
        <v>35</v>
      </c>
      <c r="H1851" s="2" t="s">
        <v>20</v>
      </c>
      <c r="I1851" s="2" t="s">
        <v>3958</v>
      </c>
      <c r="J1851" s="3" t="str">
        <f>HYPERLINK("https://www.boe.es/gazeta/dias/1822/03/06/pdfs/GMD-1822-67.pdf#page=2","Abrir facsímil")</f>
        <v>Abrir facsímil</v>
      </c>
      <c r="K1851" s="3" t="s">
        <v>22</v>
      </c>
    </row>
    <row r="1852" spans="1:11" ht="42" customHeight="1">
      <c r="A1852" s="2" t="s">
        <v>3955</v>
      </c>
      <c r="B1852" s="2" t="s">
        <v>3955</v>
      </c>
      <c r="C1852" s="2" t="s">
        <v>28</v>
      </c>
      <c r="D1852" s="2" t="s">
        <v>29</v>
      </c>
      <c r="E1852" s="5">
        <v>-28421</v>
      </c>
      <c r="F1852" s="3" t="s">
        <v>446</v>
      </c>
      <c r="G1852" s="3" t="s">
        <v>31</v>
      </c>
      <c r="H1852" s="2" t="s">
        <v>20</v>
      </c>
      <c r="I1852" s="2" t="s">
        <v>3959</v>
      </c>
      <c r="J1852" s="3" t="str">
        <f>HYPERLINK("https://www.boe.es/gazeta/dias/1822/03/08/pdfs/GMD-1822-69.pdf#page=3","Abrir facsímil")</f>
        <v>Abrir facsímil</v>
      </c>
      <c r="K1852" s="3" t="s">
        <v>22</v>
      </c>
    </row>
    <row r="1853" spans="1:11" ht="42" customHeight="1">
      <c r="A1853" s="2" t="s">
        <v>3955</v>
      </c>
      <c r="B1853" s="2" t="s">
        <v>3955</v>
      </c>
      <c r="C1853" s="2" t="s">
        <v>50</v>
      </c>
      <c r="D1853" s="2" t="s">
        <v>51</v>
      </c>
      <c r="E1853" s="5">
        <v>-28420</v>
      </c>
      <c r="F1853" s="3" t="s">
        <v>449</v>
      </c>
      <c r="G1853" s="3" t="s">
        <v>19</v>
      </c>
      <c r="H1853" s="2" t="s">
        <v>20</v>
      </c>
      <c r="I1853" s="2" t="s">
        <v>3960</v>
      </c>
      <c r="J1853" s="3" t="str">
        <f>HYPERLINK("https://www.boe.es/gazeta/dias/1822/03/09/pdfs/GMD-1822-70.pdf#page=5","Abrir facsímil")</f>
        <v>Abrir facsímil</v>
      </c>
      <c r="K1853" s="3" t="s">
        <v>22</v>
      </c>
    </row>
    <row r="1854" spans="1:11" ht="42" customHeight="1">
      <c r="A1854" s="2" t="s">
        <v>3955</v>
      </c>
      <c r="B1854" s="2" t="s">
        <v>3955</v>
      </c>
      <c r="C1854" s="2" t="s">
        <v>71</v>
      </c>
      <c r="D1854" s="2" t="s">
        <v>17</v>
      </c>
      <c r="E1854" s="5">
        <v>-28414</v>
      </c>
      <c r="F1854" s="3" t="s">
        <v>187</v>
      </c>
      <c r="G1854" s="3" t="s">
        <v>57</v>
      </c>
      <c r="H1854" s="2" t="s">
        <v>20</v>
      </c>
      <c r="I1854" s="2" t="s">
        <v>3961</v>
      </c>
      <c r="J1854" s="3" t="str">
        <f>HYPERLINK("https://www.boe.es/gazeta/dias/1822/03/15/pdfs/GMD-1822-76.pdf#page=4","Abrir facsímil")</f>
        <v>Abrir facsímil</v>
      </c>
      <c r="K1854" s="3" t="s">
        <v>22</v>
      </c>
    </row>
    <row r="1855" spans="1:11" ht="42" customHeight="1">
      <c r="A1855" s="2" t="s">
        <v>3955</v>
      </c>
      <c r="B1855" s="2" t="s">
        <v>3955</v>
      </c>
      <c r="C1855" s="2" t="s">
        <v>42</v>
      </c>
      <c r="D1855" s="2" t="s">
        <v>17</v>
      </c>
      <c r="E1855" s="5">
        <v>-28410</v>
      </c>
      <c r="F1855" s="3" t="s">
        <v>966</v>
      </c>
      <c r="G1855" s="3" t="s">
        <v>31</v>
      </c>
      <c r="H1855" s="2" t="s">
        <v>20</v>
      </c>
      <c r="I1855" s="2" t="s">
        <v>3962</v>
      </c>
      <c r="J1855" s="3" t="str">
        <f>HYPERLINK("https://www.boe.es/gazeta/dias/1822/03/19/pdfs/GMD-1822-80.pdf#page=3","Abrir facsímil")</f>
        <v>Abrir facsímil</v>
      </c>
      <c r="K1855" s="3" t="s">
        <v>22</v>
      </c>
    </row>
    <row r="1856" spans="1:11" ht="42" customHeight="1">
      <c r="A1856" s="2" t="s">
        <v>3955</v>
      </c>
      <c r="B1856" s="2" t="s">
        <v>3955</v>
      </c>
      <c r="C1856" s="2" t="s">
        <v>71</v>
      </c>
      <c r="D1856" s="2" t="s">
        <v>17</v>
      </c>
      <c r="E1856" s="5">
        <v>-28404</v>
      </c>
      <c r="F1856" s="3" t="s">
        <v>421</v>
      </c>
      <c r="G1856" s="3" t="s">
        <v>44</v>
      </c>
      <c r="H1856" s="2" t="s">
        <v>20</v>
      </c>
      <c r="I1856" s="2" t="s">
        <v>3963</v>
      </c>
      <c r="J1856" s="3" t="str">
        <f>HYPERLINK("https://www.boe.es/gazeta/dias/1822/03/25/pdfs/GMD-1822-86.pdf#page=1","Abrir facsímil")</f>
        <v>Abrir facsímil</v>
      </c>
      <c r="K1856" s="3" t="s">
        <v>22</v>
      </c>
    </row>
    <row r="1857" spans="1:11" ht="42" customHeight="1">
      <c r="A1857" s="2" t="s">
        <v>3955</v>
      </c>
      <c r="B1857" s="2" t="s">
        <v>3955</v>
      </c>
      <c r="C1857" s="2" t="s">
        <v>28</v>
      </c>
      <c r="D1857" s="2" t="s">
        <v>29</v>
      </c>
      <c r="E1857" s="5">
        <v>-28402</v>
      </c>
      <c r="F1857" s="3" t="s">
        <v>473</v>
      </c>
      <c r="G1857" s="3" t="s">
        <v>57</v>
      </c>
      <c r="H1857" s="2" t="s">
        <v>20</v>
      </c>
      <c r="I1857" s="2" t="s">
        <v>3964</v>
      </c>
      <c r="J1857" s="3" t="str">
        <f>HYPERLINK("https://www.boe.es/gazeta/dias/1822/03/27/pdfs/GMD-1822-88.pdf#page=4","Abrir facsímil")</f>
        <v>Abrir facsímil</v>
      </c>
      <c r="K1857" s="3" t="s">
        <v>22</v>
      </c>
    </row>
    <row r="1858" spans="1:11" ht="42" customHeight="1">
      <c r="A1858" s="2" t="s">
        <v>3955</v>
      </c>
      <c r="B1858" s="2" t="s">
        <v>3955</v>
      </c>
      <c r="C1858" s="2" t="s">
        <v>16</v>
      </c>
      <c r="D1858" s="2" t="s">
        <v>17</v>
      </c>
      <c r="E1858" s="5">
        <v>-28399</v>
      </c>
      <c r="F1858" s="3" t="s">
        <v>476</v>
      </c>
      <c r="G1858" s="3" t="s">
        <v>31</v>
      </c>
      <c r="H1858" s="2" t="s">
        <v>20</v>
      </c>
      <c r="I1858" s="2" t="s">
        <v>3965</v>
      </c>
      <c r="J1858" s="3" t="str">
        <f>HYPERLINK("https://www.boe.es/gazeta/dias/1822/03/30/pdfs/GMD-1822-91.pdf#page=3","Abrir facsímil")</f>
        <v>Abrir facsímil</v>
      </c>
      <c r="K1858" s="3" t="s">
        <v>22</v>
      </c>
    </row>
    <row r="1859" spans="1:11" ht="42" customHeight="1">
      <c r="A1859" s="2" t="s">
        <v>3955</v>
      </c>
      <c r="B1859" s="2" t="s">
        <v>3955</v>
      </c>
      <c r="C1859" s="2" t="s">
        <v>16</v>
      </c>
      <c r="D1859" s="2" t="s">
        <v>17</v>
      </c>
      <c r="E1859" s="5">
        <v>-28397</v>
      </c>
      <c r="F1859" s="3" t="s">
        <v>1401</v>
      </c>
      <c r="G1859" s="3" t="s">
        <v>57</v>
      </c>
      <c r="H1859" s="2" t="s">
        <v>20</v>
      </c>
      <c r="I1859" s="2" t="s">
        <v>3966</v>
      </c>
      <c r="J1859" s="3" t="str">
        <f>HYPERLINK("https://www.boe.es/gazeta/dias/1822/04/01/pdfs/GMD-1822-93.pdf#page=4","Abrir facsímil")</f>
        <v>Abrir facsímil</v>
      </c>
      <c r="K1859" s="3" t="s">
        <v>22</v>
      </c>
    </row>
    <row r="1860" spans="1:11" ht="42" customHeight="1">
      <c r="A1860" s="2" t="s">
        <v>3955</v>
      </c>
      <c r="B1860" s="2" t="s">
        <v>3955</v>
      </c>
      <c r="C1860" s="2" t="s">
        <v>71</v>
      </c>
      <c r="D1860" s="2" t="s">
        <v>17</v>
      </c>
      <c r="E1860" s="5">
        <v>-28397</v>
      </c>
      <c r="F1860" s="3" t="s">
        <v>1401</v>
      </c>
      <c r="G1860" s="3" t="s">
        <v>63</v>
      </c>
      <c r="H1860" s="2" t="s">
        <v>20</v>
      </c>
      <c r="I1860" s="2" t="s">
        <v>3967</v>
      </c>
      <c r="J1860" s="3" t="str">
        <f>HYPERLINK("https://www.boe.es/gazeta/dias/1822/04/01/pdfs/GMD-1822-93.pdf#page=6","Abrir facsímil")</f>
        <v>Abrir facsímil</v>
      </c>
      <c r="K1860" s="3" t="s">
        <v>22</v>
      </c>
    </row>
    <row r="1861" spans="1:11" ht="42" customHeight="1">
      <c r="A1861" s="2" t="s">
        <v>3955</v>
      </c>
      <c r="B1861" s="2" t="s">
        <v>3955</v>
      </c>
      <c r="C1861" s="2" t="s">
        <v>28</v>
      </c>
      <c r="D1861" s="2" t="s">
        <v>29</v>
      </c>
      <c r="E1861" s="5">
        <v>-28396</v>
      </c>
      <c r="F1861" s="3" t="s">
        <v>1138</v>
      </c>
      <c r="G1861" s="3" t="s">
        <v>19</v>
      </c>
      <c r="H1861" s="2" t="s">
        <v>20</v>
      </c>
      <c r="I1861" s="2" t="s">
        <v>3968</v>
      </c>
      <c r="J1861" s="3" t="str">
        <f>HYPERLINK("https://www.boe.es/gazeta/dias/1822/04/02/pdfs/GMD-1822-94.pdf#page=5","Abrir facsímil")</f>
        <v>Abrir facsímil</v>
      </c>
      <c r="K1861" s="3" t="s">
        <v>22</v>
      </c>
    </row>
    <row r="1862" spans="1:11" ht="42" customHeight="1">
      <c r="A1862" s="2" t="s">
        <v>3969</v>
      </c>
      <c r="B1862" s="2" t="s">
        <v>3970</v>
      </c>
      <c r="C1862" s="2" t="s">
        <v>28</v>
      </c>
      <c r="D1862" s="2" t="s">
        <v>29</v>
      </c>
      <c r="E1862" s="5">
        <v>-28348</v>
      </c>
      <c r="F1862" s="3" t="s">
        <v>2903</v>
      </c>
      <c r="G1862" s="3" t="s">
        <v>31</v>
      </c>
      <c r="H1862" s="2" t="s">
        <v>20</v>
      </c>
      <c r="I1862" s="2" t="s">
        <v>3971</v>
      </c>
      <c r="J1862" s="3" t="str">
        <f>HYPERLINK("https://www.boe.es/gazeta/dias/1822/05/20/pdfs/GMD-1822-143.pdf#page=3","Abrir facsímil")</f>
        <v>Abrir facsímil</v>
      </c>
      <c r="K1862" s="3" t="s">
        <v>22</v>
      </c>
    </row>
    <row r="1863" spans="1:11" ht="42" customHeight="1">
      <c r="A1863" s="2" t="s">
        <v>3972</v>
      </c>
      <c r="B1863" s="2" t="s">
        <v>3973</v>
      </c>
      <c r="C1863" s="2" t="s">
        <v>42</v>
      </c>
      <c r="D1863" s="2" t="s">
        <v>17</v>
      </c>
      <c r="E1863" s="5">
        <v>-28434</v>
      </c>
      <c r="F1863" s="3" t="s">
        <v>433</v>
      </c>
      <c r="G1863" s="3" t="s">
        <v>35</v>
      </c>
      <c r="H1863" s="2" t="s">
        <v>20</v>
      </c>
      <c r="I1863" s="2" t="s">
        <v>3974</v>
      </c>
      <c r="J1863" s="3" t="str">
        <f>HYPERLINK("https://www.boe.es/gazeta/dias/1822/02/23/pdfs/GMD-1822-55.pdf#page=2","Abrir facsímil")</f>
        <v>Abrir facsímil</v>
      </c>
      <c r="K1863" s="3" t="s">
        <v>22</v>
      </c>
    </row>
    <row r="1864" spans="1:11" ht="42" customHeight="1">
      <c r="A1864" s="2" t="s">
        <v>3972</v>
      </c>
      <c r="B1864" s="2" t="s">
        <v>3973</v>
      </c>
      <c r="C1864" s="2" t="s">
        <v>42</v>
      </c>
      <c r="D1864" s="2" t="s">
        <v>17</v>
      </c>
      <c r="E1864" s="5">
        <v>-28432</v>
      </c>
      <c r="F1864" s="3" t="s">
        <v>195</v>
      </c>
      <c r="G1864" s="3" t="s">
        <v>31</v>
      </c>
      <c r="H1864" s="2" t="s">
        <v>20</v>
      </c>
      <c r="I1864" s="2" t="s">
        <v>3975</v>
      </c>
      <c r="J1864" s="3" t="str">
        <f>HYPERLINK("https://www.boe.es/gazeta/dias/1822/02/25/pdfs/GMD-1822-57.pdf#page=3","Abrir facsímil")</f>
        <v>Abrir facsímil</v>
      </c>
      <c r="K1864" s="3" t="s">
        <v>22</v>
      </c>
    </row>
    <row r="1865" spans="1:11" ht="42" customHeight="1">
      <c r="A1865" s="2" t="s">
        <v>3976</v>
      </c>
      <c r="B1865" s="2" t="s">
        <v>3977</v>
      </c>
      <c r="C1865" s="2" t="s">
        <v>50</v>
      </c>
      <c r="D1865" s="2" t="s">
        <v>51</v>
      </c>
      <c r="E1865" s="5">
        <v>-28256</v>
      </c>
      <c r="F1865" s="3" t="s">
        <v>1949</v>
      </c>
      <c r="G1865" s="3" t="s">
        <v>35</v>
      </c>
      <c r="H1865" s="2" t="s">
        <v>20</v>
      </c>
      <c r="I1865" s="2" t="s">
        <v>3978</v>
      </c>
      <c r="J1865" s="3" t="str">
        <f>HYPERLINK("https://www.boe.es/gazeta/dias/1822/08/20/pdfs/GMD-1822-244.pdf#page=2","Abrir facsímil")</f>
        <v>Abrir facsímil</v>
      </c>
      <c r="K1865" s="3" t="s">
        <v>22</v>
      </c>
    </row>
    <row r="1866" spans="1:11" ht="42" customHeight="1">
      <c r="A1866" s="2" t="s">
        <v>3979</v>
      </c>
      <c r="B1866" s="2" t="s">
        <v>3980</v>
      </c>
      <c r="C1866" s="2" t="s">
        <v>50</v>
      </c>
      <c r="D1866" s="2" t="s">
        <v>51</v>
      </c>
      <c r="E1866" s="5">
        <v>-28142</v>
      </c>
      <c r="F1866" s="3" t="s">
        <v>290</v>
      </c>
      <c r="G1866" s="3" t="s">
        <v>31</v>
      </c>
      <c r="H1866" s="2" t="s">
        <v>20</v>
      </c>
      <c r="I1866" s="2" t="s">
        <v>3981</v>
      </c>
      <c r="J1866" s="3" t="str">
        <f>HYPERLINK("https://www.boe.es/gazeta/dias/1822/12/12/pdfs/GMD-1822-362.pdf#page=3","Abrir facsímil")</f>
        <v>Abrir facsímil</v>
      </c>
      <c r="K1866" s="3" t="s">
        <v>22</v>
      </c>
    </row>
    <row r="1867" spans="1:11" ht="42" customHeight="1">
      <c r="A1867" s="2" t="s">
        <v>3982</v>
      </c>
      <c r="B1867" s="2" t="s">
        <v>3983</v>
      </c>
      <c r="C1867" s="2" t="s">
        <v>50</v>
      </c>
      <c r="D1867" s="2" t="s">
        <v>51</v>
      </c>
      <c r="E1867" s="5">
        <v>-28229</v>
      </c>
      <c r="F1867" s="3" t="s">
        <v>2310</v>
      </c>
      <c r="G1867" s="3" t="s">
        <v>35</v>
      </c>
      <c r="H1867" s="2" t="s">
        <v>20</v>
      </c>
      <c r="I1867" s="2" t="s">
        <v>3984</v>
      </c>
      <c r="J1867" s="3" t="str">
        <f>HYPERLINK("https://www.boe.es/gazeta/dias/1822/09/16/pdfs/GMD-1822-272.pdf#page=2","Abrir facsímil")</f>
        <v>Abrir facsímil</v>
      </c>
      <c r="K1867" s="3" t="s">
        <v>22</v>
      </c>
    </row>
    <row r="1868" spans="1:11" ht="42" customHeight="1">
      <c r="A1868" s="2" t="s">
        <v>3985</v>
      </c>
      <c r="B1868" s="2" t="s">
        <v>3985</v>
      </c>
      <c r="C1868" s="2" t="s">
        <v>50</v>
      </c>
      <c r="D1868" s="2" t="s">
        <v>51</v>
      </c>
      <c r="E1868" s="5">
        <v>-28249</v>
      </c>
      <c r="F1868" s="3" t="s">
        <v>3986</v>
      </c>
      <c r="G1868" s="3" t="s">
        <v>35</v>
      </c>
      <c r="H1868" s="2" t="s">
        <v>20</v>
      </c>
      <c r="I1868" s="2" t="s">
        <v>3987</v>
      </c>
      <c r="J1868" s="3" t="str">
        <f>HYPERLINK("https://www.boe.es/gazeta/dias/1822/08/27/pdfs/GMD-1822-251.pdf#page=2","Abrir facsímil")</f>
        <v>Abrir facsímil</v>
      </c>
      <c r="K1868" s="3" t="s">
        <v>22</v>
      </c>
    </row>
    <row r="1869" spans="1:11" ht="42" customHeight="1">
      <c r="A1869" s="2" t="s">
        <v>3988</v>
      </c>
      <c r="B1869" s="2" t="s">
        <v>3989</v>
      </c>
      <c r="C1869" s="2" t="s">
        <v>42</v>
      </c>
      <c r="D1869" s="2" t="s">
        <v>17</v>
      </c>
      <c r="E1869" s="5">
        <v>-28461</v>
      </c>
      <c r="F1869" s="3" t="s">
        <v>1801</v>
      </c>
      <c r="G1869" s="3" t="s">
        <v>35</v>
      </c>
      <c r="H1869" s="2" t="s">
        <v>20</v>
      </c>
      <c r="I1869" s="2" t="s">
        <v>3990</v>
      </c>
      <c r="J1869" s="3" t="str">
        <f>HYPERLINK("https://www.boe.es/gazeta/dias/1822/01/27/pdfs/GMD-1822-27.pdf#page=2","Abrir facsímil")</f>
        <v>Abrir facsímil</v>
      </c>
      <c r="K1869" s="3" t="s">
        <v>22</v>
      </c>
    </row>
    <row r="1870" spans="1:11" ht="42" customHeight="1">
      <c r="A1870" s="2" t="s">
        <v>3991</v>
      </c>
      <c r="B1870" s="2" t="s">
        <v>3992</v>
      </c>
      <c r="C1870" s="2" t="s">
        <v>42</v>
      </c>
      <c r="D1870" s="2" t="s">
        <v>17</v>
      </c>
      <c r="E1870" s="5">
        <v>-28172</v>
      </c>
      <c r="F1870" s="3" t="s">
        <v>674</v>
      </c>
      <c r="G1870" s="3" t="s">
        <v>57</v>
      </c>
      <c r="H1870" s="2" t="s">
        <v>20</v>
      </c>
      <c r="I1870" s="2" t="s">
        <v>3993</v>
      </c>
      <c r="J1870" s="3" t="str">
        <f>HYPERLINK("https://www.boe.es/gazeta/dias/1822/11/12/pdfs/GMD-1822-332.pdf#page=4","Abrir facsímil")</f>
        <v>Abrir facsímil</v>
      </c>
      <c r="K1870" s="3" t="s">
        <v>22</v>
      </c>
    </row>
    <row r="1871" spans="1:11" ht="42" customHeight="1">
      <c r="A1871" s="2" t="s">
        <v>3994</v>
      </c>
      <c r="B1871" s="2" t="s">
        <v>3995</v>
      </c>
      <c r="C1871" s="2" t="s">
        <v>42</v>
      </c>
      <c r="D1871" s="2" t="s">
        <v>17</v>
      </c>
      <c r="E1871" s="5">
        <v>-28176</v>
      </c>
      <c r="F1871" s="3" t="s">
        <v>780</v>
      </c>
      <c r="G1871" s="3" t="s">
        <v>63</v>
      </c>
      <c r="H1871" s="2" t="s">
        <v>20</v>
      </c>
      <c r="I1871" s="2" t="s">
        <v>3996</v>
      </c>
      <c r="J1871" s="3" t="str">
        <f>HYPERLINK("https://www.boe.es/gazeta/dias/1822/11/08/pdfs/GMD-1822-328.pdf#page=6","Abrir facsímil")</f>
        <v>Abrir facsímil</v>
      </c>
      <c r="K1871" s="3" t="s">
        <v>22</v>
      </c>
    </row>
    <row r="1872" spans="1:11" ht="42" customHeight="1">
      <c r="A1872" s="2" t="s">
        <v>3997</v>
      </c>
      <c r="B1872" s="2" t="s">
        <v>3998</v>
      </c>
      <c r="C1872" s="2" t="s">
        <v>42</v>
      </c>
      <c r="D1872" s="2" t="s">
        <v>17</v>
      </c>
      <c r="E1872" s="5">
        <v>-28163</v>
      </c>
      <c r="F1872" s="3" t="s">
        <v>891</v>
      </c>
      <c r="G1872" s="3" t="s">
        <v>63</v>
      </c>
      <c r="H1872" s="2" t="s">
        <v>20</v>
      </c>
      <c r="I1872" s="2" t="s">
        <v>3999</v>
      </c>
      <c r="J1872" s="3" t="str">
        <f>HYPERLINK("https://www.boe.es/gazeta/dias/1822/11/21/pdfs/GMD-1822-341.pdf#page=6","Abrir facsímil")</f>
        <v>Abrir facsímil</v>
      </c>
      <c r="K1872" s="3" t="s">
        <v>22</v>
      </c>
    </row>
    <row r="1873" spans="1:11" ht="42" customHeight="1">
      <c r="A1873" s="2" t="s">
        <v>4000</v>
      </c>
      <c r="B1873" s="2" t="s">
        <v>4001</v>
      </c>
      <c r="C1873" s="2" t="s">
        <v>50</v>
      </c>
      <c r="D1873" s="2" t="s">
        <v>51</v>
      </c>
      <c r="E1873" s="5">
        <v>-28303</v>
      </c>
      <c r="F1873" s="3" t="s">
        <v>201</v>
      </c>
      <c r="G1873" s="3" t="s">
        <v>31</v>
      </c>
      <c r="H1873" s="2" t="s">
        <v>20</v>
      </c>
      <c r="I1873" s="2" t="s">
        <v>4002</v>
      </c>
      <c r="J1873" s="3" t="str">
        <f>HYPERLINK("https://www.boe.es/gazeta/dias/1822/07/04/pdfs/GMD-1822-193.pdf#page=3","Abrir facsímil")</f>
        <v>Abrir facsímil</v>
      </c>
      <c r="K1873" s="3" t="s">
        <v>22</v>
      </c>
    </row>
    <row r="1874" spans="1:11" ht="42" customHeight="1">
      <c r="A1874" s="2" t="s">
        <v>4003</v>
      </c>
      <c r="B1874" s="2" t="s">
        <v>4003</v>
      </c>
      <c r="C1874" s="2" t="s">
        <v>42</v>
      </c>
      <c r="D1874" s="2" t="s">
        <v>17</v>
      </c>
      <c r="E1874" s="5">
        <v>-28483</v>
      </c>
      <c r="F1874" s="3" t="s">
        <v>254</v>
      </c>
      <c r="G1874" s="3" t="s">
        <v>35</v>
      </c>
      <c r="H1874" s="2" t="s">
        <v>20</v>
      </c>
      <c r="I1874" s="2" t="s">
        <v>4004</v>
      </c>
      <c r="J1874" s="3" t="str">
        <f>HYPERLINK("https://www.boe.es/gazeta/dias/1822/01/05/pdfs/GMD-1822-5.pdf#page=2","Abrir facsímil")</f>
        <v>Abrir facsímil</v>
      </c>
      <c r="K1874" s="3" t="s">
        <v>22</v>
      </c>
    </row>
    <row r="1875" spans="1:11" ht="42" customHeight="1">
      <c r="A1875" s="2" t="s">
        <v>4005</v>
      </c>
      <c r="B1875" s="2" t="s">
        <v>4006</v>
      </c>
      <c r="C1875" s="2" t="s">
        <v>50</v>
      </c>
      <c r="D1875" s="2" t="s">
        <v>51</v>
      </c>
      <c r="E1875" s="5">
        <v>-28454</v>
      </c>
      <c r="F1875" s="3" t="s">
        <v>2033</v>
      </c>
      <c r="G1875" s="3" t="s">
        <v>57</v>
      </c>
      <c r="H1875" s="2" t="s">
        <v>20</v>
      </c>
      <c r="I1875" s="2" t="s">
        <v>4007</v>
      </c>
      <c r="J1875" s="3" t="str">
        <f>HYPERLINK("https://www.boe.es/gazeta/dias/1822/02/03/pdfs/GMD-1822-34.pdf#page=4","Abrir facsímil")</f>
        <v>Abrir facsímil</v>
      </c>
      <c r="K1875" s="3" t="s">
        <v>22</v>
      </c>
    </row>
    <row r="1876" spans="1:11" ht="42" customHeight="1">
      <c r="A1876" s="2" t="s">
        <v>4008</v>
      </c>
      <c r="B1876" s="2" t="s">
        <v>4009</v>
      </c>
      <c r="C1876" s="2" t="s">
        <v>50</v>
      </c>
      <c r="D1876" s="2" t="s">
        <v>51</v>
      </c>
      <c r="E1876" s="5">
        <v>-28451</v>
      </c>
      <c r="F1876" s="3" t="s">
        <v>1674</v>
      </c>
      <c r="G1876" s="3" t="s">
        <v>63</v>
      </c>
      <c r="H1876" s="2" t="s">
        <v>20</v>
      </c>
      <c r="I1876" s="2" t="s">
        <v>4010</v>
      </c>
      <c r="J1876" s="3" t="str">
        <f>HYPERLINK("https://www.boe.es/gazeta/dias/1822/02/06/pdfs/GMD-1822-37.pdf#page=6","Abrir facsímil")</f>
        <v>Abrir facsímil</v>
      </c>
      <c r="K1876" s="3" t="s">
        <v>22</v>
      </c>
    </row>
    <row r="1877" spans="1:11" ht="42" customHeight="1">
      <c r="A1877" s="2" t="s">
        <v>4011</v>
      </c>
      <c r="B1877" s="2" t="s">
        <v>4012</v>
      </c>
      <c r="C1877" s="2" t="s">
        <v>50</v>
      </c>
      <c r="D1877" s="2" t="s">
        <v>51</v>
      </c>
      <c r="E1877" s="5">
        <v>-28447</v>
      </c>
      <c r="F1877" s="3" t="s">
        <v>997</v>
      </c>
      <c r="G1877" s="3" t="s">
        <v>35</v>
      </c>
      <c r="H1877" s="2" t="s">
        <v>20</v>
      </c>
      <c r="I1877" s="2" t="s">
        <v>4013</v>
      </c>
      <c r="J1877" s="3" t="str">
        <f>HYPERLINK("https://www.boe.es/gazeta/dias/1822/02/10/pdfs/GMD-1822-41.pdf#page=2","Abrir facsímil")</f>
        <v>Abrir facsímil</v>
      </c>
      <c r="K1877" s="3" t="s">
        <v>22</v>
      </c>
    </row>
    <row r="1878" spans="1:11" ht="42" customHeight="1">
      <c r="A1878" s="2" t="s">
        <v>4014</v>
      </c>
      <c r="B1878" s="2" t="s">
        <v>4015</v>
      </c>
      <c r="C1878" s="2" t="s">
        <v>50</v>
      </c>
      <c r="D1878" s="2" t="s">
        <v>51</v>
      </c>
      <c r="E1878" s="5">
        <v>-28220</v>
      </c>
      <c r="F1878" s="3" t="s">
        <v>1914</v>
      </c>
      <c r="G1878" s="3" t="s">
        <v>44</v>
      </c>
      <c r="H1878" s="2" t="s">
        <v>20</v>
      </c>
      <c r="I1878" s="2" t="s">
        <v>4016</v>
      </c>
      <c r="J1878" s="3" t="str">
        <f>HYPERLINK("https://www.boe.es/gazeta/dias/1822/09/25/pdfs/GMD-1822-281.pdf#page=1","Abrir facsímil")</f>
        <v>Abrir facsímil</v>
      </c>
      <c r="K1878" s="3" t="s">
        <v>22</v>
      </c>
    </row>
    <row r="1879" spans="1:11" ht="42" customHeight="1">
      <c r="A1879" s="2" t="s">
        <v>4017</v>
      </c>
      <c r="B1879" s="2" t="s">
        <v>4018</v>
      </c>
      <c r="C1879" s="2" t="s">
        <v>16</v>
      </c>
      <c r="D1879" s="2" t="s">
        <v>17</v>
      </c>
      <c r="E1879" s="5">
        <v>-28129</v>
      </c>
      <c r="F1879" s="3" t="s">
        <v>599</v>
      </c>
      <c r="G1879" s="3" t="s">
        <v>57</v>
      </c>
      <c r="H1879" s="2" t="s">
        <v>20</v>
      </c>
      <c r="I1879" s="2" t="s">
        <v>4019</v>
      </c>
      <c r="J1879" s="3" t="str">
        <f>HYPERLINK("https://www.boe.es/gazeta/dias/1822/12/25/pdfs/GMD-1822-375.pdf#page=4","Abrir facsímil")</f>
        <v>Abrir facsímil</v>
      </c>
      <c r="K1879" s="3" t="s">
        <v>22</v>
      </c>
    </row>
    <row r="1880" spans="1:11" ht="42" customHeight="1">
      <c r="A1880" s="2" t="s">
        <v>4020</v>
      </c>
      <c r="B1880" s="2" t="s">
        <v>4021</v>
      </c>
      <c r="C1880" s="2" t="s">
        <v>28</v>
      </c>
      <c r="D1880" s="2" t="s">
        <v>29</v>
      </c>
      <c r="E1880" s="5">
        <v>-28417</v>
      </c>
      <c r="F1880" s="3" t="s">
        <v>1394</v>
      </c>
      <c r="G1880" s="3" t="s">
        <v>35</v>
      </c>
      <c r="H1880" s="2" t="s">
        <v>20</v>
      </c>
      <c r="I1880" s="2" t="s">
        <v>4022</v>
      </c>
      <c r="J1880" s="3" t="str">
        <f>HYPERLINK("https://www.boe.es/gazeta/dias/1822/03/12/pdfs/GMD-1822-73.pdf#page=2","Abrir facsímil")</f>
        <v>Abrir facsímil</v>
      </c>
      <c r="K1880" s="3" t="s">
        <v>22</v>
      </c>
    </row>
    <row r="1881" spans="1:11" ht="42" customHeight="1">
      <c r="A1881" s="2" t="s">
        <v>4023</v>
      </c>
      <c r="B1881" s="2" t="s">
        <v>4024</v>
      </c>
      <c r="C1881" s="2" t="s">
        <v>50</v>
      </c>
      <c r="D1881" s="2" t="s">
        <v>51</v>
      </c>
      <c r="E1881" s="5">
        <v>-28303</v>
      </c>
      <c r="F1881" s="3" t="s">
        <v>201</v>
      </c>
      <c r="G1881" s="3" t="s">
        <v>31</v>
      </c>
      <c r="H1881" s="2" t="s">
        <v>20</v>
      </c>
      <c r="I1881" s="2" t="s">
        <v>4025</v>
      </c>
      <c r="J1881" s="3" t="str">
        <f>HYPERLINK("https://www.boe.es/gazeta/dias/1822/07/04/pdfs/GMD-1822-193.pdf#page=3","Abrir facsímil")</f>
        <v>Abrir facsímil</v>
      </c>
      <c r="K1881" s="3" t="s">
        <v>22</v>
      </c>
    </row>
    <row r="1882" spans="1:11" ht="42" customHeight="1">
      <c r="A1882" s="2" t="s">
        <v>4026</v>
      </c>
      <c r="B1882" s="2" t="s">
        <v>4026</v>
      </c>
      <c r="C1882" s="2" t="s">
        <v>42</v>
      </c>
      <c r="D1882" s="2" t="s">
        <v>17</v>
      </c>
      <c r="E1882" s="5">
        <v>-28241</v>
      </c>
      <c r="F1882" s="3" t="s">
        <v>3068</v>
      </c>
      <c r="G1882" s="3" t="s">
        <v>44</v>
      </c>
      <c r="H1882" s="2" t="s">
        <v>20</v>
      </c>
      <c r="I1882" s="2" t="s">
        <v>4027</v>
      </c>
      <c r="J1882" s="3" t="str">
        <f>HYPERLINK("https://www.boe.es/gazeta/dias/1822/09/04/pdfs/GMD-1822-259.pdf#page=1","Abrir facsímil")</f>
        <v>Abrir facsímil</v>
      </c>
      <c r="K1882" s="3" t="s">
        <v>22</v>
      </c>
    </row>
    <row r="1883" spans="1:11" ht="42" customHeight="1">
      <c r="A1883" s="2" t="s">
        <v>4028</v>
      </c>
      <c r="B1883" s="2" t="s">
        <v>4028</v>
      </c>
      <c r="C1883" s="2" t="s">
        <v>28</v>
      </c>
      <c r="D1883" s="2" t="s">
        <v>29</v>
      </c>
      <c r="E1883" s="5">
        <v>-28456</v>
      </c>
      <c r="F1883" s="3" t="s">
        <v>1104</v>
      </c>
      <c r="G1883" s="3" t="s">
        <v>44</v>
      </c>
      <c r="H1883" s="2" t="s">
        <v>20</v>
      </c>
      <c r="I1883" s="2" t="s">
        <v>4029</v>
      </c>
      <c r="J1883" s="3" t="str">
        <f>HYPERLINK("https://www.boe.es/gazeta/dias/1822/02/01/pdfs/GMD-1822-32.pdf#page=1","Abrir facsímil")</f>
        <v>Abrir facsímil</v>
      </c>
      <c r="K1883" s="3" t="s">
        <v>22</v>
      </c>
    </row>
    <row r="1884" spans="1:11" ht="42" customHeight="1">
      <c r="A1884" s="2" t="s">
        <v>4028</v>
      </c>
      <c r="B1884" s="2" t="s">
        <v>4028</v>
      </c>
      <c r="C1884" s="2" t="s">
        <v>28</v>
      </c>
      <c r="D1884" s="2" t="s">
        <v>29</v>
      </c>
      <c r="E1884" s="5">
        <v>-28441</v>
      </c>
      <c r="F1884" s="3" t="s">
        <v>429</v>
      </c>
      <c r="G1884" s="3" t="s">
        <v>35</v>
      </c>
      <c r="H1884" s="2" t="s">
        <v>20</v>
      </c>
      <c r="I1884" s="2" t="s">
        <v>4030</v>
      </c>
      <c r="J1884" s="3" t="str">
        <f>HYPERLINK("https://www.boe.es/gazeta/dias/1822/02/16/pdfs/GMD-1822-48.pdf#page=2","Abrir facsímil")</f>
        <v>Abrir facsímil</v>
      </c>
      <c r="K1884" s="3" t="s">
        <v>22</v>
      </c>
    </row>
    <row r="1885" spans="1:11" ht="42" customHeight="1">
      <c r="A1885" s="2" t="s">
        <v>4028</v>
      </c>
      <c r="B1885" s="2" t="s">
        <v>4028</v>
      </c>
      <c r="C1885" s="2" t="s">
        <v>24</v>
      </c>
      <c r="D1885" s="2" t="s">
        <v>17</v>
      </c>
      <c r="E1885" s="5">
        <v>-28439</v>
      </c>
      <c r="F1885" s="3" t="s">
        <v>2752</v>
      </c>
      <c r="G1885" s="3" t="s">
        <v>4031</v>
      </c>
      <c r="H1885" s="2" t="s">
        <v>20</v>
      </c>
      <c r="I1885" s="2" t="s">
        <v>4032</v>
      </c>
      <c r="J1885" s="3" t="str">
        <f>HYPERLINK("https://www.boe.es/gazeta/dias/1822/02/18/pdfs/GMD-1822-50.pdf#page=2","Abrir facsímil")</f>
        <v>Abrir facsímil</v>
      </c>
      <c r="K1885" s="3" t="s">
        <v>22</v>
      </c>
    </row>
    <row r="1886" spans="1:11" ht="42" customHeight="1">
      <c r="A1886" s="2" t="s">
        <v>4028</v>
      </c>
      <c r="B1886" s="2" t="s">
        <v>4028</v>
      </c>
      <c r="C1886" s="2" t="s">
        <v>71</v>
      </c>
      <c r="D1886" s="2" t="s">
        <v>17</v>
      </c>
      <c r="E1886" s="5">
        <v>-28433</v>
      </c>
      <c r="F1886" s="3" t="s">
        <v>3663</v>
      </c>
      <c r="G1886" s="3" t="s">
        <v>31</v>
      </c>
      <c r="H1886" s="2" t="s">
        <v>20</v>
      </c>
      <c r="I1886" s="2" t="s">
        <v>4033</v>
      </c>
      <c r="J1886" s="3" t="str">
        <f>HYPERLINK("https://www.boe.es/gazeta/dias/1822/02/24/pdfs/GMD-1822-56.pdf#page=3","Abrir facsímil")</f>
        <v>Abrir facsímil</v>
      </c>
      <c r="K1886" s="3" t="s">
        <v>22</v>
      </c>
    </row>
    <row r="1887" spans="1:11" ht="42" customHeight="1">
      <c r="A1887" s="2" t="s">
        <v>4028</v>
      </c>
      <c r="B1887" s="2" t="s">
        <v>4028</v>
      </c>
      <c r="C1887" s="2" t="s">
        <v>42</v>
      </c>
      <c r="D1887" s="2" t="s">
        <v>17</v>
      </c>
      <c r="E1887" s="5">
        <v>-28346</v>
      </c>
      <c r="F1887" s="3" t="s">
        <v>191</v>
      </c>
      <c r="G1887" s="3" t="s">
        <v>44</v>
      </c>
      <c r="H1887" s="2" t="s">
        <v>20</v>
      </c>
      <c r="I1887" s="2" t="s">
        <v>4034</v>
      </c>
      <c r="J1887" s="3" t="str">
        <f>HYPERLINK("https://www.boe.es/gazeta/dias/1822/05/22/pdfs/GMD-1822-145.pdf#page=1","Abrir facsímil")</f>
        <v>Abrir facsímil</v>
      </c>
      <c r="K1887" s="3" t="s">
        <v>22</v>
      </c>
    </row>
    <row r="1888" spans="1:11" ht="42" customHeight="1">
      <c r="A1888" s="2" t="s">
        <v>4028</v>
      </c>
      <c r="B1888" s="2" t="s">
        <v>4028</v>
      </c>
      <c r="C1888" s="2" t="s">
        <v>28</v>
      </c>
      <c r="D1888" s="2" t="s">
        <v>29</v>
      </c>
      <c r="E1888" s="5">
        <v>-28340</v>
      </c>
      <c r="F1888" s="3" t="s">
        <v>139</v>
      </c>
      <c r="G1888" s="3" t="s">
        <v>44</v>
      </c>
      <c r="H1888" s="2" t="s">
        <v>20</v>
      </c>
      <c r="I1888" s="2" t="s">
        <v>4035</v>
      </c>
      <c r="J1888" s="3" t="str">
        <f>HYPERLINK("https://www.boe.es/gazeta/dias/1822/05/28/pdfs/GMD-1822-153.pdf#page=1","Abrir facsímil")</f>
        <v>Abrir facsímil</v>
      </c>
      <c r="K1888" s="3" t="s">
        <v>22</v>
      </c>
    </row>
    <row r="1889" spans="1:11" ht="42" customHeight="1">
      <c r="A1889" s="2" t="s">
        <v>4028</v>
      </c>
      <c r="B1889" s="2" t="s">
        <v>4028</v>
      </c>
      <c r="C1889" s="2" t="s">
        <v>71</v>
      </c>
      <c r="D1889" s="2" t="s">
        <v>17</v>
      </c>
      <c r="E1889" s="5">
        <v>-28241</v>
      </c>
      <c r="F1889" s="3" t="s">
        <v>3068</v>
      </c>
      <c r="G1889" s="3" t="s">
        <v>44</v>
      </c>
      <c r="H1889" s="2" t="s">
        <v>20</v>
      </c>
      <c r="I1889" s="2" t="s">
        <v>4036</v>
      </c>
      <c r="J1889" s="3" t="str">
        <f>HYPERLINK("https://www.boe.es/gazeta/dias/1822/09/04/pdfs/GMD-1822-259.pdf#page=1","Abrir facsímil")</f>
        <v>Abrir facsímil</v>
      </c>
      <c r="K1889" s="3" t="s">
        <v>22</v>
      </c>
    </row>
    <row r="1890" spans="1:11" ht="42" customHeight="1">
      <c r="A1890" s="2" t="s">
        <v>4028</v>
      </c>
      <c r="B1890" s="2" t="s">
        <v>4028</v>
      </c>
      <c r="C1890" s="2" t="s">
        <v>42</v>
      </c>
      <c r="D1890" s="2" t="s">
        <v>17</v>
      </c>
      <c r="E1890" s="5">
        <v>-28231</v>
      </c>
      <c r="F1890" s="3" t="s">
        <v>2049</v>
      </c>
      <c r="G1890" s="3" t="s">
        <v>44</v>
      </c>
      <c r="H1890" s="2" t="s">
        <v>20</v>
      </c>
      <c r="I1890" s="2" t="s">
        <v>4037</v>
      </c>
      <c r="J1890" s="3" t="str">
        <f>HYPERLINK("https://www.boe.es/gazeta/dias/1822/09/14/pdfs/GMD-1822-270.pdf#page=1","Abrir facsímil")</f>
        <v>Abrir facsímil</v>
      </c>
      <c r="K1890" s="3" t="s">
        <v>22</v>
      </c>
    </row>
    <row r="1891" spans="1:11" ht="42" customHeight="1">
      <c r="A1891" s="2" t="s">
        <v>4038</v>
      </c>
      <c r="B1891" s="2" t="s">
        <v>4039</v>
      </c>
      <c r="C1891" s="2" t="s">
        <v>28</v>
      </c>
      <c r="D1891" s="2" t="s">
        <v>29</v>
      </c>
      <c r="E1891" s="5">
        <v>-28439</v>
      </c>
      <c r="F1891" s="3" t="s">
        <v>2752</v>
      </c>
      <c r="G1891" s="3" t="s">
        <v>4031</v>
      </c>
      <c r="H1891" s="2" t="s">
        <v>20</v>
      </c>
      <c r="I1891" s="2" t="s">
        <v>4040</v>
      </c>
      <c r="J1891" s="3" t="str">
        <f>HYPERLINK("https://www.boe.es/gazeta/dias/1822/02/18/pdfs/GMD-1822-50.pdf#page=2","Abrir facsímil")</f>
        <v>Abrir facsímil</v>
      </c>
      <c r="K1891" s="3" t="s">
        <v>22</v>
      </c>
    </row>
    <row r="1892" spans="1:11" ht="42" customHeight="1">
      <c r="A1892" s="2" t="s">
        <v>4041</v>
      </c>
      <c r="B1892" s="2" t="s">
        <v>4042</v>
      </c>
      <c r="C1892" s="2" t="s">
        <v>50</v>
      </c>
      <c r="D1892" s="2" t="s">
        <v>51</v>
      </c>
      <c r="E1892" s="5">
        <v>-28208</v>
      </c>
      <c r="F1892" s="3" t="s">
        <v>230</v>
      </c>
      <c r="G1892" s="3" t="s">
        <v>57</v>
      </c>
      <c r="H1892" s="2" t="s">
        <v>20</v>
      </c>
      <c r="I1892" s="2" t="s">
        <v>4043</v>
      </c>
      <c r="J1892" s="3" t="str">
        <f>HYPERLINK("https://www.boe.es/gazeta/dias/1822/10/07/pdfs/GMD-1822-293.pdf#page=4","Abrir facsímil")</f>
        <v>Abrir facsímil</v>
      </c>
      <c r="K1892" s="3" t="s">
        <v>22</v>
      </c>
    </row>
    <row r="1893" spans="1:11" ht="42" customHeight="1">
      <c r="A1893" s="2" t="s">
        <v>4044</v>
      </c>
      <c r="B1893" s="2" t="s">
        <v>4045</v>
      </c>
      <c r="C1893" s="2" t="s">
        <v>61</v>
      </c>
      <c r="D1893" s="2" t="s">
        <v>17</v>
      </c>
      <c r="E1893" s="5">
        <v>-28258</v>
      </c>
      <c r="F1893" s="3" t="s">
        <v>88</v>
      </c>
      <c r="G1893" s="3" t="s">
        <v>57</v>
      </c>
      <c r="H1893" s="2" t="s">
        <v>20</v>
      </c>
      <c r="I1893" s="2" t="s">
        <v>4046</v>
      </c>
      <c r="J1893" s="3" t="str">
        <f>HYPERLINK("https://www.boe.es/gazeta/dias/1822/08/18/pdfs/GMD-1822-242.pdf#page=4","Abrir facsímil")</f>
        <v>Abrir facsímil</v>
      </c>
      <c r="K1893" s="3" t="s">
        <v>22</v>
      </c>
    </row>
    <row r="1894" spans="1:11" ht="42" customHeight="1">
      <c r="A1894" s="2" t="s">
        <v>4047</v>
      </c>
      <c r="B1894" s="2" t="s">
        <v>4048</v>
      </c>
      <c r="C1894" s="2" t="s">
        <v>71</v>
      </c>
      <c r="D1894" s="2" t="s">
        <v>17</v>
      </c>
      <c r="E1894" s="5">
        <v>-28479</v>
      </c>
      <c r="F1894" s="3" t="s">
        <v>1091</v>
      </c>
      <c r="G1894" s="3" t="s">
        <v>63</v>
      </c>
      <c r="H1894" s="2" t="s">
        <v>20</v>
      </c>
      <c r="I1894" s="2" t="s">
        <v>4049</v>
      </c>
      <c r="J1894" s="3" t="str">
        <f>HYPERLINK("https://www.boe.es/gazeta/dias/1822/01/09/pdfs/GMD-1822-9.pdf#page=6","Abrir facsímil")</f>
        <v>Abrir facsímil</v>
      </c>
      <c r="K1894" s="3" t="s">
        <v>22</v>
      </c>
    </row>
    <row r="1895" spans="1:11" ht="42" customHeight="1">
      <c r="A1895" s="2" t="s">
        <v>4050</v>
      </c>
      <c r="B1895" s="2" t="s">
        <v>4050</v>
      </c>
      <c r="C1895" s="2" t="s">
        <v>42</v>
      </c>
      <c r="D1895" s="2" t="s">
        <v>17</v>
      </c>
      <c r="E1895" s="5">
        <v>-28251</v>
      </c>
      <c r="F1895" s="3" t="s">
        <v>1485</v>
      </c>
      <c r="G1895" s="3" t="s">
        <v>31</v>
      </c>
      <c r="H1895" s="2" t="s">
        <v>20</v>
      </c>
      <c r="I1895" s="2" t="s">
        <v>4051</v>
      </c>
      <c r="J1895" s="3" t="str">
        <f>HYPERLINK("https://www.boe.es/gazeta/dias/1822/08/25/pdfs/GMD-1822-249.pdf#page=3","Abrir facsímil")</f>
        <v>Abrir facsímil</v>
      </c>
      <c r="K1895" s="3" t="s">
        <v>22</v>
      </c>
    </row>
    <row r="1896" spans="1:11" ht="42" customHeight="1">
      <c r="A1896" s="2" t="s">
        <v>4052</v>
      </c>
      <c r="B1896" s="2" t="s">
        <v>4053</v>
      </c>
      <c r="C1896" s="2" t="s">
        <v>50</v>
      </c>
      <c r="D1896" s="2" t="s">
        <v>51</v>
      </c>
      <c r="E1896" s="5">
        <v>-28291</v>
      </c>
      <c r="F1896" s="3" t="s">
        <v>363</v>
      </c>
      <c r="G1896" s="3" t="s">
        <v>35</v>
      </c>
      <c r="H1896" s="2" t="s">
        <v>20</v>
      </c>
      <c r="I1896" s="2" t="s">
        <v>4054</v>
      </c>
      <c r="J1896" s="3" t="str">
        <f>HYPERLINK("https://www.boe.es/gazeta/dias/1822/07/16/pdfs/GMD-1822-206.pdf#page=2","Abrir facsímil")</f>
        <v>Abrir facsímil</v>
      </c>
      <c r="K1896" s="3" t="s">
        <v>22</v>
      </c>
    </row>
    <row r="1897" spans="1:11" ht="42" customHeight="1">
      <c r="A1897" s="2" t="s">
        <v>4055</v>
      </c>
      <c r="B1897" s="2" t="s">
        <v>4056</v>
      </c>
      <c r="C1897" s="2" t="s">
        <v>50</v>
      </c>
      <c r="D1897" s="2" t="s">
        <v>51</v>
      </c>
      <c r="E1897" s="5">
        <v>-28388</v>
      </c>
      <c r="F1897" s="3" t="s">
        <v>1268</v>
      </c>
      <c r="G1897" s="3" t="s">
        <v>44</v>
      </c>
      <c r="H1897" s="2" t="s">
        <v>20</v>
      </c>
      <c r="I1897" s="2" t="s">
        <v>4057</v>
      </c>
      <c r="J1897" s="3" t="str">
        <f>HYPERLINK("https://www.boe.es/gazeta/dias/1822/04/10/pdfs/GMD-1822-102.pdf#page=1","Abrir facsímil")</f>
        <v>Abrir facsímil</v>
      </c>
      <c r="K1897" s="3" t="s">
        <v>22</v>
      </c>
    </row>
    <row r="1898" spans="1:11" ht="42" customHeight="1">
      <c r="A1898" s="2" t="s">
        <v>4058</v>
      </c>
      <c r="B1898" s="2" t="s">
        <v>4059</v>
      </c>
      <c r="C1898" s="2" t="s">
        <v>50</v>
      </c>
      <c r="D1898" s="2" t="s">
        <v>51</v>
      </c>
      <c r="E1898" s="5">
        <v>-28486</v>
      </c>
      <c r="F1898" s="3" t="s">
        <v>1046</v>
      </c>
      <c r="G1898" s="3" t="s">
        <v>35</v>
      </c>
      <c r="H1898" s="2" t="s">
        <v>20</v>
      </c>
      <c r="I1898" s="2" t="s">
        <v>4060</v>
      </c>
      <c r="J1898" s="3" t="str">
        <f>HYPERLINK("https://www.boe.es/gazeta/dias/1822/01/02/pdfs/GMD-1822-2.pdf#page=2","Abrir facsímil")</f>
        <v>Abrir facsímil</v>
      </c>
      <c r="K1898" s="3" t="s">
        <v>22</v>
      </c>
    </row>
    <row r="1899" spans="1:11" ht="42" customHeight="1">
      <c r="A1899" s="2" t="s">
        <v>4058</v>
      </c>
      <c r="B1899" s="2" t="s">
        <v>4059</v>
      </c>
      <c r="C1899" s="2" t="s">
        <v>24</v>
      </c>
      <c r="D1899" s="2" t="s">
        <v>17</v>
      </c>
      <c r="E1899" s="5">
        <v>-28486</v>
      </c>
      <c r="F1899" s="3" t="s">
        <v>1046</v>
      </c>
      <c r="G1899" s="3" t="s">
        <v>57</v>
      </c>
      <c r="H1899" s="2" t="s">
        <v>20</v>
      </c>
      <c r="I1899" s="2" t="s">
        <v>4061</v>
      </c>
      <c r="J1899" s="3" t="str">
        <f>HYPERLINK("https://www.boe.es/gazeta/dias/1822/01/02/pdfs/GMD-1822-2.pdf#page=4","Abrir facsímil")</f>
        <v>Abrir facsímil</v>
      </c>
      <c r="K1899" s="3" t="s">
        <v>22</v>
      </c>
    </row>
    <row r="1900" spans="1:11" ht="42" customHeight="1">
      <c r="A1900" s="2" t="s">
        <v>4062</v>
      </c>
      <c r="B1900" s="2" t="s">
        <v>4063</v>
      </c>
      <c r="C1900" s="2" t="s">
        <v>28</v>
      </c>
      <c r="D1900" s="2" t="s">
        <v>29</v>
      </c>
      <c r="E1900" s="5">
        <v>-28436</v>
      </c>
      <c r="F1900" s="3" t="s">
        <v>431</v>
      </c>
      <c r="G1900" s="3" t="s">
        <v>1428</v>
      </c>
      <c r="H1900" s="2" t="s">
        <v>20</v>
      </c>
      <c r="I1900" s="2" t="s">
        <v>4064</v>
      </c>
      <c r="J1900" s="3" t="str">
        <f>HYPERLINK("https://www.boe.es/gazeta/dias/1822/02/21/pdfs/GMD-1822-53.pdf#page=3","Abrir facsímil")</f>
        <v>Abrir facsímil</v>
      </c>
      <c r="K1900" s="3" t="s">
        <v>22</v>
      </c>
    </row>
    <row r="1901" spans="1:11" ht="42" customHeight="1">
      <c r="A1901" s="2" t="s">
        <v>4065</v>
      </c>
      <c r="B1901" s="2" t="s">
        <v>4066</v>
      </c>
      <c r="C1901" s="2" t="s">
        <v>42</v>
      </c>
      <c r="D1901" s="2" t="s">
        <v>17</v>
      </c>
      <c r="E1901" s="5">
        <v>-28323</v>
      </c>
      <c r="F1901" s="3" t="s">
        <v>116</v>
      </c>
      <c r="G1901" s="3" t="s">
        <v>44</v>
      </c>
      <c r="H1901" s="2" t="s">
        <v>20</v>
      </c>
      <c r="I1901" s="2" t="s">
        <v>4067</v>
      </c>
      <c r="J1901" s="3" t="str">
        <f>HYPERLINK("https://www.boe.es/gazeta/dias/1822/06/14/pdfs/GMD-1822-171.pdf#page=1","Abrir facsímil")</f>
        <v>Abrir facsímil</v>
      </c>
      <c r="K1901" s="3" t="s">
        <v>22</v>
      </c>
    </row>
    <row r="1902" spans="1:11" ht="42" customHeight="1">
      <c r="A1902" s="2" t="s">
        <v>4068</v>
      </c>
      <c r="B1902" s="2" t="s">
        <v>4069</v>
      </c>
      <c r="C1902" s="2" t="s">
        <v>50</v>
      </c>
      <c r="D1902" s="2" t="s">
        <v>51</v>
      </c>
      <c r="E1902" s="5">
        <v>-28265</v>
      </c>
      <c r="F1902" s="3" t="s">
        <v>1263</v>
      </c>
      <c r="G1902" s="3" t="s">
        <v>57</v>
      </c>
      <c r="H1902" s="2" t="s">
        <v>20</v>
      </c>
      <c r="I1902" s="2" t="s">
        <v>4070</v>
      </c>
      <c r="J1902" s="3" t="str">
        <f>HYPERLINK("https://www.boe.es/gazeta/dias/1822/08/11/pdfs/GMD-1822-235.pdf#page=4","Abrir facsímil")</f>
        <v>Abrir facsímil</v>
      </c>
      <c r="K1902" s="3" t="s">
        <v>22</v>
      </c>
    </row>
    <row r="1903" spans="1:11" ht="42" customHeight="1">
      <c r="A1903" s="2" t="s">
        <v>4071</v>
      </c>
      <c r="B1903" s="2" t="s">
        <v>4072</v>
      </c>
      <c r="C1903" s="2" t="s">
        <v>50</v>
      </c>
      <c r="D1903" s="2" t="s">
        <v>51</v>
      </c>
      <c r="E1903" s="5">
        <v>-28207</v>
      </c>
      <c r="F1903" s="3" t="s">
        <v>1325</v>
      </c>
      <c r="G1903" s="3" t="s">
        <v>35</v>
      </c>
      <c r="H1903" s="2" t="s">
        <v>45</v>
      </c>
      <c r="I1903" s="2" t="s">
        <v>4073</v>
      </c>
      <c r="J1903" s="3" t="str">
        <f>HYPERLINK("https://www.boe.es/gazeta/dias/1822/10/08/pdfs/GMD-1822-295.pdf#page=2","Abrir facsímil")</f>
        <v>Abrir facsímil</v>
      </c>
      <c r="K1903" s="3" t="s">
        <v>47</v>
      </c>
    </row>
    <row r="1904" spans="1:11" ht="42" customHeight="1">
      <c r="A1904" s="2" t="s">
        <v>4074</v>
      </c>
      <c r="B1904" s="2" t="s">
        <v>4075</v>
      </c>
      <c r="C1904" s="2" t="s">
        <v>71</v>
      </c>
      <c r="D1904" s="2" t="s">
        <v>17</v>
      </c>
      <c r="E1904" s="5">
        <v>-28384</v>
      </c>
      <c r="F1904" s="3" t="s">
        <v>258</v>
      </c>
      <c r="G1904" s="3" t="s">
        <v>31</v>
      </c>
      <c r="H1904" s="2" t="s">
        <v>20</v>
      </c>
      <c r="I1904" s="2" t="s">
        <v>4076</v>
      </c>
      <c r="J1904" s="3" t="str">
        <f>HYPERLINK("https://www.boe.es/gazeta/dias/1822/04/14/pdfs/GMD-1822-106.pdf#page=3","Abrir facsímil")</f>
        <v>Abrir facsímil</v>
      </c>
      <c r="K1904" s="3" t="s">
        <v>22</v>
      </c>
    </row>
    <row r="1905" spans="1:11" ht="42" customHeight="1">
      <c r="A1905" s="2" t="s">
        <v>4077</v>
      </c>
      <c r="B1905" s="2" t="s">
        <v>4077</v>
      </c>
      <c r="C1905" s="2" t="s">
        <v>42</v>
      </c>
      <c r="D1905" s="2" t="s">
        <v>17</v>
      </c>
      <c r="E1905" s="5">
        <v>-28199</v>
      </c>
      <c r="F1905" s="3" t="s">
        <v>656</v>
      </c>
      <c r="G1905" s="3" t="s">
        <v>35</v>
      </c>
      <c r="H1905" s="2" t="s">
        <v>20</v>
      </c>
      <c r="I1905" s="2" t="s">
        <v>4078</v>
      </c>
      <c r="J1905" s="3" t="str">
        <f>HYPERLINK("https://www.boe.es/gazeta/dias/1822/10/16/pdfs/GMD-1822-303.pdf#page=2","Abrir facsímil")</f>
        <v>Abrir facsímil</v>
      </c>
      <c r="K1905" s="3" t="s">
        <v>22</v>
      </c>
    </row>
    <row r="1906" spans="1:11" ht="42" customHeight="1">
      <c r="A1906" s="2" t="s">
        <v>4079</v>
      </c>
      <c r="B1906" s="2" t="s">
        <v>4080</v>
      </c>
      <c r="C1906" s="2" t="s">
        <v>50</v>
      </c>
      <c r="D1906" s="2" t="s">
        <v>51</v>
      </c>
      <c r="E1906" s="5">
        <v>-28352</v>
      </c>
      <c r="F1906" s="3" t="s">
        <v>1575</v>
      </c>
      <c r="G1906" s="3" t="s">
        <v>31</v>
      </c>
      <c r="H1906" s="2" t="s">
        <v>20</v>
      </c>
      <c r="I1906" s="2" t="s">
        <v>4081</v>
      </c>
      <c r="J1906" s="3" t="str">
        <f>HYPERLINK("https://www.boe.es/gazeta/dias/1822/05/16/pdfs/GMD-1822-138.pdf#page=3","Abrir facsímil")</f>
        <v>Abrir facsímil</v>
      </c>
      <c r="K1906" s="3" t="s">
        <v>22</v>
      </c>
    </row>
    <row r="1907" spans="1:11" ht="42" customHeight="1">
      <c r="A1907" s="2" t="s">
        <v>4082</v>
      </c>
      <c r="B1907" s="2" t="s">
        <v>4083</v>
      </c>
      <c r="C1907" s="2" t="s">
        <v>42</v>
      </c>
      <c r="D1907" s="2" t="s">
        <v>17</v>
      </c>
      <c r="E1907" s="5">
        <v>-28249</v>
      </c>
      <c r="F1907" s="3" t="s">
        <v>3986</v>
      </c>
      <c r="G1907" s="3" t="s">
        <v>35</v>
      </c>
      <c r="H1907" s="2" t="s">
        <v>20</v>
      </c>
      <c r="I1907" s="2" t="s">
        <v>4084</v>
      </c>
      <c r="J1907" s="3" t="str">
        <f>HYPERLINK("https://www.boe.es/gazeta/dias/1822/08/27/pdfs/GMD-1822-251.pdf#page=2","Abrir facsímil")</f>
        <v>Abrir facsímil</v>
      </c>
      <c r="K1907" s="3" t="s">
        <v>22</v>
      </c>
    </row>
    <row r="1908" spans="1:11" ht="42" customHeight="1">
      <c r="A1908" s="2" t="s">
        <v>4085</v>
      </c>
      <c r="B1908" s="2" t="s">
        <v>4085</v>
      </c>
      <c r="C1908" s="2" t="s">
        <v>42</v>
      </c>
      <c r="D1908" s="2" t="s">
        <v>17</v>
      </c>
      <c r="E1908" s="5">
        <v>-28382</v>
      </c>
      <c r="F1908" s="3" t="s">
        <v>973</v>
      </c>
      <c r="G1908" s="3" t="s">
        <v>57</v>
      </c>
      <c r="H1908" s="2" t="s">
        <v>20</v>
      </c>
      <c r="I1908" s="2" t="s">
        <v>4086</v>
      </c>
      <c r="J1908" s="3" t="str">
        <f>HYPERLINK("https://www.boe.es/gazeta/dias/1822/04/16/pdfs/GMD-1822-108.pdf#page=4","Abrir facsímil")</f>
        <v>Abrir facsímil</v>
      </c>
      <c r="K1908" s="3" t="s">
        <v>22</v>
      </c>
    </row>
    <row r="1909" spans="1:11" ht="42" customHeight="1">
      <c r="A1909" s="2" t="s">
        <v>4085</v>
      </c>
      <c r="B1909" s="2" t="s">
        <v>4085</v>
      </c>
      <c r="C1909" s="2" t="s">
        <v>50</v>
      </c>
      <c r="D1909" s="2" t="s">
        <v>51</v>
      </c>
      <c r="E1909" s="5">
        <v>-28337</v>
      </c>
      <c r="F1909" s="3" t="s">
        <v>1836</v>
      </c>
      <c r="G1909" s="3" t="s">
        <v>57</v>
      </c>
      <c r="H1909" s="2" t="s">
        <v>20</v>
      </c>
      <c r="I1909" s="2" t="s">
        <v>4087</v>
      </c>
      <c r="J1909" s="3" t="str">
        <f>HYPERLINK("https://www.boe.es/gazeta/dias/1822/05/31/pdfs/GMD-1822-156.pdf#page=4","Abrir facsímil")</f>
        <v>Abrir facsímil</v>
      </c>
      <c r="K1909" s="3" t="s">
        <v>22</v>
      </c>
    </row>
    <row r="1910" spans="1:11" ht="42" customHeight="1">
      <c r="A1910" s="2" t="s">
        <v>4088</v>
      </c>
      <c r="B1910" s="2" t="s">
        <v>4088</v>
      </c>
      <c r="C1910" s="2" t="s">
        <v>50</v>
      </c>
      <c r="D1910" s="2" t="s">
        <v>51</v>
      </c>
      <c r="E1910" s="5">
        <v>-28312</v>
      </c>
      <c r="F1910" s="3" t="s">
        <v>92</v>
      </c>
      <c r="G1910" s="3" t="s">
        <v>93</v>
      </c>
      <c r="H1910" s="2" t="s">
        <v>20</v>
      </c>
      <c r="I1910" s="2" t="s">
        <v>4089</v>
      </c>
      <c r="J1910" s="3" t="str">
        <f>HYPERLINK("https://www.boe.es/gazeta/dias/1822/06/25/pdfs/GMD-1822-183.pdf#page=4","Abrir facsímil")</f>
        <v>Abrir facsímil</v>
      </c>
      <c r="K1910" s="3" t="s">
        <v>22</v>
      </c>
    </row>
    <row r="1911" spans="1:11" ht="42" customHeight="1">
      <c r="A1911" s="2" t="s">
        <v>4090</v>
      </c>
      <c r="B1911" s="2" t="s">
        <v>4091</v>
      </c>
      <c r="C1911" s="2" t="s">
        <v>50</v>
      </c>
      <c r="D1911" s="2" t="s">
        <v>51</v>
      </c>
      <c r="E1911" s="5">
        <v>-28302</v>
      </c>
      <c r="F1911" s="3" t="s">
        <v>791</v>
      </c>
      <c r="G1911" s="3" t="s">
        <v>35</v>
      </c>
      <c r="H1911" s="2" t="s">
        <v>20</v>
      </c>
      <c r="I1911" s="2" t="s">
        <v>4092</v>
      </c>
      <c r="J1911" s="3" t="str">
        <f>HYPERLINK("https://www.boe.es/gazeta/dias/1822/07/05/pdfs/GMD-1822-194.pdf#page=2","Abrir facsímil")</f>
        <v>Abrir facsímil</v>
      </c>
      <c r="K1911" s="3" t="s">
        <v>22</v>
      </c>
    </row>
    <row r="1912" spans="1:11" ht="42" customHeight="1">
      <c r="A1912" s="2" t="s">
        <v>4093</v>
      </c>
      <c r="B1912" s="2" t="s">
        <v>4093</v>
      </c>
      <c r="C1912" s="2" t="s">
        <v>42</v>
      </c>
      <c r="D1912" s="2" t="s">
        <v>17</v>
      </c>
      <c r="E1912" s="5">
        <v>-28456</v>
      </c>
      <c r="F1912" s="3" t="s">
        <v>1104</v>
      </c>
      <c r="G1912" s="3" t="s">
        <v>31</v>
      </c>
      <c r="H1912" s="2" t="s">
        <v>20</v>
      </c>
      <c r="I1912" s="2" t="s">
        <v>4094</v>
      </c>
      <c r="J1912" s="3" t="str">
        <f>HYPERLINK("https://www.boe.es/gazeta/dias/1822/02/01/pdfs/GMD-1822-32.pdf#page=3","Abrir facsímil")</f>
        <v>Abrir facsímil</v>
      </c>
      <c r="K1912" s="3" t="s">
        <v>22</v>
      </c>
    </row>
    <row r="1913" spans="1:11" ht="42" customHeight="1">
      <c r="A1913" s="2" t="s">
        <v>4095</v>
      </c>
      <c r="B1913" s="2" t="s">
        <v>4095</v>
      </c>
      <c r="C1913" s="2" t="s">
        <v>42</v>
      </c>
      <c r="D1913" s="2" t="s">
        <v>17</v>
      </c>
      <c r="E1913" s="5">
        <v>-28232</v>
      </c>
      <c r="F1913" s="3" t="s">
        <v>3875</v>
      </c>
      <c r="G1913" s="3" t="s">
        <v>44</v>
      </c>
      <c r="H1913" s="2" t="s">
        <v>20</v>
      </c>
      <c r="I1913" s="2" t="s">
        <v>4096</v>
      </c>
      <c r="J1913" s="3" t="str">
        <f>HYPERLINK("https://www.boe.es/gazeta/dias/1822/09/13/pdfs/GMD-1822-269.pdf#page=1","Abrir facsímil")</f>
        <v>Abrir facsímil</v>
      </c>
      <c r="K1913" s="3" t="s">
        <v>22</v>
      </c>
    </row>
    <row r="1914" spans="1:11" ht="42" customHeight="1">
      <c r="A1914" s="2" t="s">
        <v>4097</v>
      </c>
      <c r="B1914" s="2" t="s">
        <v>4097</v>
      </c>
      <c r="C1914" s="2" t="s">
        <v>50</v>
      </c>
      <c r="D1914" s="2" t="s">
        <v>51</v>
      </c>
      <c r="E1914" s="5">
        <v>-28396</v>
      </c>
      <c r="F1914" s="3" t="s">
        <v>1138</v>
      </c>
      <c r="G1914" s="3" t="s">
        <v>35</v>
      </c>
      <c r="H1914" s="2" t="s">
        <v>20</v>
      </c>
      <c r="I1914" s="2" t="s">
        <v>4098</v>
      </c>
      <c r="J1914" s="3" t="str">
        <f>HYPERLINK("https://www.boe.es/gazeta/dias/1822/04/02/pdfs/GMD-1822-94.pdf#page=2","Abrir facsímil")</f>
        <v>Abrir facsímil</v>
      </c>
      <c r="K1914" s="3" t="s">
        <v>22</v>
      </c>
    </row>
    <row r="1915" spans="1:11" ht="42" customHeight="1">
      <c r="A1915" s="2" t="s">
        <v>4099</v>
      </c>
      <c r="B1915" s="2" t="s">
        <v>4099</v>
      </c>
      <c r="C1915" s="2" t="s">
        <v>71</v>
      </c>
      <c r="D1915" s="2" t="s">
        <v>17</v>
      </c>
      <c r="E1915" s="5">
        <v>-28469</v>
      </c>
      <c r="F1915" s="3" t="s">
        <v>1164</v>
      </c>
      <c r="G1915" s="3" t="s">
        <v>31</v>
      </c>
      <c r="H1915" s="2" t="s">
        <v>20</v>
      </c>
      <c r="I1915" s="2" t="s">
        <v>4100</v>
      </c>
      <c r="J1915" s="3" t="str">
        <f>HYPERLINK("https://www.boe.es/gazeta/dias/1822/01/19/pdfs/GMD-1822-19.pdf#page=3","Abrir facsímil")</f>
        <v>Abrir facsímil</v>
      </c>
      <c r="K1915" s="3" t="s">
        <v>22</v>
      </c>
    </row>
    <row r="1916" spans="1:11" ht="42" customHeight="1">
      <c r="A1916" s="2" t="s">
        <v>4101</v>
      </c>
      <c r="B1916" s="2" t="s">
        <v>4102</v>
      </c>
      <c r="C1916" s="2" t="s">
        <v>71</v>
      </c>
      <c r="D1916" s="2" t="s">
        <v>17</v>
      </c>
      <c r="E1916" s="5">
        <v>-28427</v>
      </c>
      <c r="F1916" s="3" t="s">
        <v>755</v>
      </c>
      <c r="G1916" s="3" t="s">
        <v>57</v>
      </c>
      <c r="H1916" s="2" t="s">
        <v>20</v>
      </c>
      <c r="I1916" s="2" t="s">
        <v>4103</v>
      </c>
      <c r="J1916" s="3" t="str">
        <f>HYPERLINK("https://www.boe.es/gazeta/dias/1822/03/02/pdfs/GMD-1822-63.pdf#page=4","Abrir facsímil")</f>
        <v>Abrir facsímil</v>
      </c>
      <c r="K1916" s="3" t="s">
        <v>22</v>
      </c>
    </row>
    <row r="1917" spans="1:11" ht="42" customHeight="1">
      <c r="A1917" s="2" t="s">
        <v>4104</v>
      </c>
      <c r="B1917" s="2" t="s">
        <v>4105</v>
      </c>
      <c r="C1917" s="2" t="s">
        <v>50</v>
      </c>
      <c r="D1917" s="2" t="s">
        <v>51</v>
      </c>
      <c r="E1917" s="5">
        <v>-28265</v>
      </c>
      <c r="F1917" s="3" t="s">
        <v>1263</v>
      </c>
      <c r="G1917" s="3" t="s">
        <v>57</v>
      </c>
      <c r="H1917" s="2" t="s">
        <v>20</v>
      </c>
      <c r="I1917" s="2" t="s">
        <v>4106</v>
      </c>
      <c r="J1917" s="3" t="str">
        <f>HYPERLINK("https://www.boe.es/gazeta/dias/1822/08/11/pdfs/GMD-1822-235.pdf#page=4","Abrir facsímil")</f>
        <v>Abrir facsímil</v>
      </c>
      <c r="K1917" s="3" t="s">
        <v>22</v>
      </c>
    </row>
    <row r="1918" spans="1:11" ht="42" customHeight="1">
      <c r="A1918" s="2" t="s">
        <v>4107</v>
      </c>
      <c r="B1918" s="2" t="s">
        <v>4107</v>
      </c>
      <c r="C1918" s="2" t="s">
        <v>42</v>
      </c>
      <c r="D1918" s="2" t="s">
        <v>17</v>
      </c>
      <c r="E1918" s="5">
        <v>-28338</v>
      </c>
      <c r="F1918" s="3" t="s">
        <v>527</v>
      </c>
      <c r="G1918" s="3" t="s">
        <v>31</v>
      </c>
      <c r="H1918" s="2" t="s">
        <v>20</v>
      </c>
      <c r="I1918" s="2" t="s">
        <v>4108</v>
      </c>
      <c r="J1918" s="3" t="str">
        <f>HYPERLINK("https://www.boe.es/gazeta/dias/1822/05/30/pdfs/GMD-1822-155.pdf#page=3","Abrir facsímil")</f>
        <v>Abrir facsímil</v>
      </c>
      <c r="K1918" s="3" t="s">
        <v>22</v>
      </c>
    </row>
    <row r="1919" spans="1:11" ht="42" customHeight="1">
      <c r="A1919" s="2" t="s">
        <v>4109</v>
      </c>
      <c r="B1919" s="2" t="s">
        <v>4110</v>
      </c>
      <c r="C1919" s="2" t="s">
        <v>50</v>
      </c>
      <c r="D1919" s="2" t="s">
        <v>51</v>
      </c>
      <c r="E1919" s="5">
        <v>-28238</v>
      </c>
      <c r="F1919" s="3" t="s">
        <v>2077</v>
      </c>
      <c r="G1919" s="3" t="s">
        <v>44</v>
      </c>
      <c r="H1919" s="2" t="s">
        <v>20</v>
      </c>
      <c r="I1919" s="2" t="s">
        <v>4111</v>
      </c>
      <c r="J1919" s="3" t="str">
        <f>HYPERLINK("https://www.boe.es/gazeta/dias/1822/09/07/pdfs/GMD-1822-262.pdf#page=1","Abrir facsímil")</f>
        <v>Abrir facsímil</v>
      </c>
      <c r="K1919" s="3" t="s">
        <v>22</v>
      </c>
    </row>
    <row r="1920" spans="1:11" ht="42" customHeight="1">
      <c r="A1920" s="2" t="s">
        <v>4112</v>
      </c>
      <c r="B1920" s="2" t="s">
        <v>4113</v>
      </c>
      <c r="C1920" s="2" t="s">
        <v>50</v>
      </c>
      <c r="D1920" s="2" t="s">
        <v>51</v>
      </c>
      <c r="E1920" s="5">
        <v>-28236</v>
      </c>
      <c r="F1920" s="3" t="s">
        <v>714</v>
      </c>
      <c r="G1920" s="3" t="s">
        <v>35</v>
      </c>
      <c r="H1920" s="2" t="s">
        <v>20</v>
      </c>
      <c r="I1920" s="2" t="s">
        <v>4114</v>
      </c>
      <c r="J1920" s="3" t="str">
        <f>HYPERLINK("https://www.boe.es/gazeta/dias/1822/09/09/pdfs/GMD-1822-265.pdf#page=2","Abrir facsímil")</f>
        <v>Abrir facsímil</v>
      </c>
      <c r="K1920" s="3" t="s">
        <v>22</v>
      </c>
    </row>
    <row r="1921" spans="1:11" ht="42" customHeight="1">
      <c r="A1921" s="2" t="s">
        <v>4115</v>
      </c>
      <c r="B1921" s="2" t="s">
        <v>4116</v>
      </c>
      <c r="C1921" s="2" t="s">
        <v>50</v>
      </c>
      <c r="D1921" s="2" t="s">
        <v>51</v>
      </c>
      <c r="E1921" s="5">
        <v>-28142</v>
      </c>
      <c r="F1921" s="3" t="s">
        <v>290</v>
      </c>
      <c r="G1921" s="3" t="s">
        <v>57</v>
      </c>
      <c r="H1921" s="2" t="s">
        <v>20</v>
      </c>
      <c r="I1921" s="2" t="s">
        <v>4117</v>
      </c>
      <c r="J1921" s="3" t="str">
        <f>HYPERLINK("https://www.boe.es/gazeta/dias/1822/12/12/pdfs/GMD-1822-362.pdf#page=4","Abrir facsímil")</f>
        <v>Abrir facsímil</v>
      </c>
      <c r="K1921" s="3" t="s">
        <v>22</v>
      </c>
    </row>
    <row r="1922" spans="1:11" ht="42" customHeight="1">
      <c r="A1922" s="2" t="s">
        <v>4118</v>
      </c>
      <c r="B1922" s="2" t="s">
        <v>4118</v>
      </c>
      <c r="C1922" s="2" t="s">
        <v>28</v>
      </c>
      <c r="D1922" s="2" t="s">
        <v>29</v>
      </c>
      <c r="E1922" s="5">
        <v>-28466</v>
      </c>
      <c r="F1922" s="3" t="s">
        <v>4119</v>
      </c>
      <c r="G1922" s="3" t="s">
        <v>63</v>
      </c>
      <c r="H1922" s="2" t="s">
        <v>20</v>
      </c>
      <c r="I1922" s="2" t="s">
        <v>4120</v>
      </c>
      <c r="J1922" s="3" t="str">
        <f>HYPERLINK("https://www.boe.es/gazeta/dias/1822/01/22/pdfs/GMD-1822-22.pdf#page=6","Abrir facsímil")</f>
        <v>Abrir facsímil</v>
      </c>
      <c r="K1922" s="3" t="s">
        <v>22</v>
      </c>
    </row>
    <row r="1923" spans="1:11" ht="42" customHeight="1">
      <c r="A1923" s="2" t="s">
        <v>4118</v>
      </c>
      <c r="B1923" s="2" t="s">
        <v>4118</v>
      </c>
      <c r="C1923" s="2" t="s">
        <v>42</v>
      </c>
      <c r="D1923" s="2" t="s">
        <v>17</v>
      </c>
      <c r="E1923" s="5">
        <v>-28296</v>
      </c>
      <c r="F1923" s="3" t="s">
        <v>4121</v>
      </c>
      <c r="G1923" s="3" t="s">
        <v>57</v>
      </c>
      <c r="H1923" s="2" t="s">
        <v>20</v>
      </c>
      <c r="I1923" s="2" t="s">
        <v>4122</v>
      </c>
      <c r="J1923" s="3" t="str">
        <f>HYPERLINK("https://www.boe.es/gazeta/dias/1822/07/11/pdfs/GMD-1822-201.pdf#page=4","Abrir facsímil")</f>
        <v>Abrir facsímil</v>
      </c>
      <c r="K1923" s="3" t="s">
        <v>22</v>
      </c>
    </row>
    <row r="1924" spans="1:11" ht="42" customHeight="1">
      <c r="A1924" s="2" t="s">
        <v>4123</v>
      </c>
      <c r="B1924" s="2" t="s">
        <v>4124</v>
      </c>
      <c r="C1924" s="2" t="s">
        <v>28</v>
      </c>
      <c r="D1924" s="2" t="s">
        <v>29</v>
      </c>
      <c r="E1924" s="5">
        <v>-28384</v>
      </c>
      <c r="F1924" s="3" t="s">
        <v>258</v>
      </c>
      <c r="G1924" s="3" t="s">
        <v>63</v>
      </c>
      <c r="H1924" s="2" t="s">
        <v>20</v>
      </c>
      <c r="I1924" s="2" t="s">
        <v>4125</v>
      </c>
      <c r="J1924" s="3" t="str">
        <f>HYPERLINK("https://www.boe.es/gazeta/dias/1822/04/14/pdfs/GMD-1822-106.pdf#page=6","Abrir facsímil")</f>
        <v>Abrir facsímil</v>
      </c>
      <c r="K1924" s="3" t="s">
        <v>22</v>
      </c>
    </row>
    <row r="1925" spans="1:11" ht="42" customHeight="1">
      <c r="A1925" s="2" t="s">
        <v>4123</v>
      </c>
      <c r="B1925" s="2" t="s">
        <v>4124</v>
      </c>
      <c r="C1925" s="2" t="s">
        <v>71</v>
      </c>
      <c r="D1925" s="2" t="s">
        <v>17</v>
      </c>
      <c r="E1925" s="5">
        <v>-28326</v>
      </c>
      <c r="F1925" s="3" t="s">
        <v>543</v>
      </c>
      <c r="G1925" s="3" t="s">
        <v>63</v>
      </c>
      <c r="H1925" s="2" t="s">
        <v>20</v>
      </c>
      <c r="I1925" s="2" t="s">
        <v>4126</v>
      </c>
      <c r="J1925" s="3" t="str">
        <f>HYPERLINK("https://www.boe.es/gazeta/dias/1822/06/11/pdfs/GMD-1822-168.pdf#page=6","Abrir facsímil")</f>
        <v>Abrir facsímil</v>
      </c>
      <c r="K1925" s="3" t="s">
        <v>22</v>
      </c>
    </row>
    <row r="1926" spans="1:11" ht="42" customHeight="1">
      <c r="A1926" s="2" t="s">
        <v>4127</v>
      </c>
      <c r="B1926" s="2" t="s">
        <v>4128</v>
      </c>
      <c r="C1926" s="2" t="s">
        <v>28</v>
      </c>
      <c r="D1926" s="2" t="s">
        <v>29</v>
      </c>
      <c r="E1926" s="5">
        <v>-28258</v>
      </c>
      <c r="F1926" s="3" t="s">
        <v>88</v>
      </c>
      <c r="G1926" s="3" t="s">
        <v>35</v>
      </c>
      <c r="H1926" s="2" t="s">
        <v>20</v>
      </c>
      <c r="I1926" s="2" t="s">
        <v>4129</v>
      </c>
      <c r="J1926" s="3" t="str">
        <f>HYPERLINK("https://www.boe.es/gazeta/dias/1822/08/18/pdfs/GMD-1822-242.pdf#page=2","Abrir facsímil")</f>
        <v>Abrir facsímil</v>
      </c>
      <c r="K1926" s="3" t="s">
        <v>22</v>
      </c>
    </row>
    <row r="1927" spans="1:11" ht="42" customHeight="1">
      <c r="A1927" s="2" t="s">
        <v>4130</v>
      </c>
      <c r="B1927" s="2" t="s">
        <v>4131</v>
      </c>
      <c r="C1927" s="2" t="s">
        <v>28</v>
      </c>
      <c r="D1927" s="2" t="s">
        <v>29</v>
      </c>
      <c r="E1927" s="5">
        <v>-28321</v>
      </c>
      <c r="F1927" s="3" t="s">
        <v>1142</v>
      </c>
      <c r="G1927" s="3" t="s">
        <v>31</v>
      </c>
      <c r="H1927" s="2" t="s">
        <v>20</v>
      </c>
      <c r="I1927" s="2" t="s">
        <v>4132</v>
      </c>
      <c r="J1927" s="3" t="str">
        <f>HYPERLINK("https://www.boe.es/gazeta/dias/1822/06/16/pdfs/GMD-1822-173.pdf#page=3","Abrir facsímil")</f>
        <v>Abrir facsímil</v>
      </c>
      <c r="K1927" s="3" t="s">
        <v>22</v>
      </c>
    </row>
    <row r="1928" spans="1:11" ht="42" customHeight="1">
      <c r="A1928" s="2" t="s">
        <v>4133</v>
      </c>
      <c r="B1928" s="2" t="s">
        <v>4134</v>
      </c>
      <c r="C1928" s="2" t="s">
        <v>28</v>
      </c>
      <c r="D1928" s="2" t="s">
        <v>29</v>
      </c>
      <c r="E1928" s="5">
        <v>-28198</v>
      </c>
      <c r="F1928" s="3" t="s">
        <v>981</v>
      </c>
      <c r="G1928" s="3" t="s">
        <v>31</v>
      </c>
      <c r="H1928" s="2" t="s">
        <v>20</v>
      </c>
      <c r="I1928" s="2" t="s">
        <v>4135</v>
      </c>
      <c r="J1928" s="3" t="str">
        <f>HYPERLINK("https://www.boe.es/gazeta/dias/1822/10/17/pdfs/GMD-1822-304.pdf#page=3","Abrir facsímil")</f>
        <v>Abrir facsímil</v>
      </c>
      <c r="K1928" s="3" t="s">
        <v>22</v>
      </c>
    </row>
    <row r="1929" spans="1:11" ht="42" customHeight="1">
      <c r="A1929" s="2" t="s">
        <v>4136</v>
      </c>
      <c r="B1929" s="2" t="s">
        <v>4137</v>
      </c>
      <c r="C1929" s="2" t="s">
        <v>16</v>
      </c>
      <c r="D1929" s="2" t="s">
        <v>17</v>
      </c>
      <c r="E1929" s="5">
        <v>-28161</v>
      </c>
      <c r="F1929" s="3" t="s">
        <v>166</v>
      </c>
      <c r="G1929" s="3" t="s">
        <v>157</v>
      </c>
      <c r="H1929" s="2" t="s">
        <v>20</v>
      </c>
      <c r="I1929" s="2" t="s">
        <v>4138</v>
      </c>
      <c r="J1929" s="3" t="str">
        <f>HYPERLINK("https://www.boe.es/gazeta/dias/1822/11/23/pdfs/GMD-1822-343.pdf#page=8","Abrir facsímil")</f>
        <v>Abrir facsímil</v>
      </c>
      <c r="K1929" s="3" t="s">
        <v>22</v>
      </c>
    </row>
    <row r="1930" spans="1:11" ht="42" customHeight="1">
      <c r="A1930" s="2" t="s">
        <v>4139</v>
      </c>
      <c r="B1930" s="2" t="s">
        <v>4139</v>
      </c>
      <c r="C1930" s="2" t="s">
        <v>50</v>
      </c>
      <c r="D1930" s="2" t="s">
        <v>51</v>
      </c>
      <c r="E1930" s="5">
        <v>-28189</v>
      </c>
      <c r="F1930" s="3" t="s">
        <v>645</v>
      </c>
      <c r="G1930" s="3" t="s">
        <v>35</v>
      </c>
      <c r="H1930" s="2" t="s">
        <v>20</v>
      </c>
      <c r="I1930" s="2" t="s">
        <v>4140</v>
      </c>
      <c r="J1930" s="3" t="str">
        <f>HYPERLINK("https://www.boe.es/gazeta/dias/1822/10/26/pdfs/GMD-1822-313.pdf#page=2","Abrir facsímil")</f>
        <v>Abrir facsímil</v>
      </c>
      <c r="K1930" s="3" t="s">
        <v>22</v>
      </c>
    </row>
    <row r="1931" spans="1:11" ht="42" customHeight="1">
      <c r="A1931" s="2" t="s">
        <v>4141</v>
      </c>
      <c r="B1931" s="2" t="s">
        <v>4141</v>
      </c>
      <c r="C1931" s="2" t="s">
        <v>50</v>
      </c>
      <c r="D1931" s="2" t="s">
        <v>51</v>
      </c>
      <c r="E1931" s="5">
        <v>-28420</v>
      </c>
      <c r="F1931" s="3" t="s">
        <v>449</v>
      </c>
      <c r="G1931" s="3" t="s">
        <v>19</v>
      </c>
      <c r="H1931" s="2" t="s">
        <v>20</v>
      </c>
      <c r="I1931" s="2" t="s">
        <v>4142</v>
      </c>
      <c r="J1931" s="3" t="str">
        <f>HYPERLINK("https://www.boe.es/gazeta/dias/1822/03/09/pdfs/GMD-1822-70.pdf#page=5","Abrir facsímil")</f>
        <v>Abrir facsímil</v>
      </c>
      <c r="K1931" s="3" t="s">
        <v>22</v>
      </c>
    </row>
    <row r="1932" spans="1:11" ht="42" customHeight="1">
      <c r="A1932" s="2" t="s">
        <v>4141</v>
      </c>
      <c r="B1932" s="2" t="s">
        <v>4141</v>
      </c>
      <c r="C1932" s="2" t="s">
        <v>28</v>
      </c>
      <c r="D1932" s="2" t="s">
        <v>29</v>
      </c>
      <c r="E1932" s="5">
        <v>-28419</v>
      </c>
      <c r="F1932" s="3" t="s">
        <v>1392</v>
      </c>
      <c r="G1932" s="3" t="s">
        <v>63</v>
      </c>
      <c r="H1932" s="2" t="s">
        <v>20</v>
      </c>
      <c r="I1932" s="2" t="s">
        <v>4143</v>
      </c>
      <c r="J1932" s="3" t="str">
        <f>HYPERLINK("https://www.boe.es/gazeta/dias/1822/03/10/pdfs/GMD-1822-71.pdf#page=6","Abrir facsímil")</f>
        <v>Abrir facsímil</v>
      </c>
      <c r="K1932" s="3" t="s">
        <v>22</v>
      </c>
    </row>
    <row r="1933" spans="1:11" ht="42" customHeight="1">
      <c r="A1933" s="2" t="s">
        <v>4141</v>
      </c>
      <c r="B1933" s="2" t="s">
        <v>4141</v>
      </c>
      <c r="C1933" s="2" t="s">
        <v>50</v>
      </c>
      <c r="D1933" s="2" t="s">
        <v>51</v>
      </c>
      <c r="E1933" s="5">
        <v>-28418</v>
      </c>
      <c r="F1933" s="3" t="s">
        <v>205</v>
      </c>
      <c r="G1933" s="3" t="s">
        <v>157</v>
      </c>
      <c r="H1933" s="2" t="s">
        <v>20</v>
      </c>
      <c r="I1933" s="2" t="s">
        <v>4144</v>
      </c>
      <c r="J1933" s="3" t="str">
        <f>HYPERLINK("https://www.boe.es/gazeta/dias/1822/03/11/pdfs/GMD-1822-72.pdf#page=8","Abrir facsímil")</f>
        <v>Abrir facsímil</v>
      </c>
      <c r="K1933" s="3" t="s">
        <v>22</v>
      </c>
    </row>
    <row r="1934" spans="1:11" ht="42" customHeight="1">
      <c r="A1934" s="2" t="s">
        <v>4141</v>
      </c>
      <c r="B1934" s="2" t="s">
        <v>4141</v>
      </c>
      <c r="C1934" s="2" t="s">
        <v>50</v>
      </c>
      <c r="D1934" s="2" t="s">
        <v>51</v>
      </c>
      <c r="E1934" s="5">
        <v>-28415</v>
      </c>
      <c r="F1934" s="3" t="s">
        <v>77</v>
      </c>
      <c r="G1934" s="3" t="s">
        <v>31</v>
      </c>
      <c r="H1934" s="2" t="s">
        <v>20</v>
      </c>
      <c r="I1934" s="2" t="s">
        <v>4145</v>
      </c>
      <c r="J1934" s="3" t="str">
        <f>HYPERLINK("https://www.boe.es/gazeta/dias/1822/03/14/pdfs/GMD-1822-75.pdf#page=3","Abrir facsímil")</f>
        <v>Abrir facsímil</v>
      </c>
      <c r="K1934" s="3" t="s">
        <v>22</v>
      </c>
    </row>
    <row r="1935" spans="1:11" ht="42" customHeight="1">
      <c r="A1935" s="2" t="s">
        <v>4141</v>
      </c>
      <c r="B1935" s="2" t="s">
        <v>4141</v>
      </c>
      <c r="C1935" s="2" t="s">
        <v>42</v>
      </c>
      <c r="D1935" s="2" t="s">
        <v>17</v>
      </c>
      <c r="E1935" s="5">
        <v>-28410</v>
      </c>
      <c r="F1935" s="3" t="s">
        <v>966</v>
      </c>
      <c r="G1935" s="3" t="s">
        <v>31</v>
      </c>
      <c r="H1935" s="2" t="s">
        <v>20</v>
      </c>
      <c r="I1935" s="2" t="s">
        <v>4146</v>
      </c>
      <c r="J1935" s="3" t="str">
        <f>HYPERLINK("https://www.boe.es/gazeta/dias/1822/03/19/pdfs/GMD-1822-80.pdf#page=3","Abrir facsímil")</f>
        <v>Abrir facsímil</v>
      </c>
      <c r="K1935" s="3" t="s">
        <v>22</v>
      </c>
    </row>
    <row r="1936" spans="1:11" ht="42" customHeight="1">
      <c r="A1936" s="2" t="s">
        <v>4141</v>
      </c>
      <c r="B1936" s="2" t="s">
        <v>4141</v>
      </c>
      <c r="C1936" s="2" t="s">
        <v>71</v>
      </c>
      <c r="D1936" s="2" t="s">
        <v>17</v>
      </c>
      <c r="E1936" s="5">
        <v>-28404</v>
      </c>
      <c r="F1936" s="3" t="s">
        <v>421</v>
      </c>
      <c r="G1936" s="3" t="s">
        <v>35</v>
      </c>
      <c r="H1936" s="2" t="s">
        <v>20</v>
      </c>
      <c r="I1936" s="2" t="s">
        <v>4147</v>
      </c>
      <c r="J1936" s="3" t="str">
        <f>HYPERLINK("https://www.boe.es/gazeta/dias/1822/03/25/pdfs/GMD-1822-86.pdf#page=2","Abrir facsímil")</f>
        <v>Abrir facsímil</v>
      </c>
      <c r="K1936" s="3" t="s">
        <v>22</v>
      </c>
    </row>
    <row r="1937" spans="1:11" ht="42" customHeight="1">
      <c r="A1937" s="2" t="s">
        <v>4141</v>
      </c>
      <c r="B1937" s="2" t="s">
        <v>4141</v>
      </c>
      <c r="C1937" s="2" t="s">
        <v>42</v>
      </c>
      <c r="D1937" s="2" t="s">
        <v>17</v>
      </c>
      <c r="E1937" s="5">
        <v>-28403</v>
      </c>
      <c r="F1937" s="3" t="s">
        <v>471</v>
      </c>
      <c r="G1937" s="3" t="s">
        <v>31</v>
      </c>
      <c r="H1937" s="2" t="s">
        <v>20</v>
      </c>
      <c r="I1937" s="2" t="s">
        <v>4148</v>
      </c>
      <c r="J1937" s="3" t="str">
        <f>HYPERLINK("https://www.boe.es/gazeta/dias/1822/03/26/pdfs/GMD-1822-87.pdf#page=3","Abrir facsímil")</f>
        <v>Abrir facsímil</v>
      </c>
      <c r="K1937" s="3" t="s">
        <v>22</v>
      </c>
    </row>
    <row r="1938" spans="1:11" ht="42" customHeight="1">
      <c r="A1938" s="2" t="s">
        <v>4141</v>
      </c>
      <c r="B1938" s="2" t="s">
        <v>4141</v>
      </c>
      <c r="C1938" s="2" t="s">
        <v>28</v>
      </c>
      <c r="D1938" s="2" t="s">
        <v>29</v>
      </c>
      <c r="E1938" s="5">
        <v>-28397</v>
      </c>
      <c r="F1938" s="3" t="s">
        <v>1401</v>
      </c>
      <c r="G1938" s="3" t="s">
        <v>57</v>
      </c>
      <c r="H1938" s="2" t="s">
        <v>20</v>
      </c>
      <c r="I1938" s="2" t="s">
        <v>4149</v>
      </c>
      <c r="J1938" s="3" t="str">
        <f>HYPERLINK("https://www.boe.es/gazeta/dias/1822/04/01/pdfs/GMD-1822-93.pdf#page=4","Abrir facsímil")</f>
        <v>Abrir facsímil</v>
      </c>
      <c r="K1938" s="3" t="s">
        <v>22</v>
      </c>
    </row>
    <row r="1939" spans="1:11" ht="42" customHeight="1">
      <c r="A1939" s="2" t="s">
        <v>4141</v>
      </c>
      <c r="B1939" s="2" t="s">
        <v>4141</v>
      </c>
      <c r="C1939" s="2" t="s">
        <v>16</v>
      </c>
      <c r="D1939" s="2" t="s">
        <v>17</v>
      </c>
      <c r="E1939" s="5">
        <v>-28396</v>
      </c>
      <c r="F1939" s="3" t="s">
        <v>1138</v>
      </c>
      <c r="G1939" s="3" t="s">
        <v>57</v>
      </c>
      <c r="H1939" s="2" t="s">
        <v>20</v>
      </c>
      <c r="I1939" s="2" t="s">
        <v>4150</v>
      </c>
      <c r="J1939" s="3" t="str">
        <f>HYPERLINK("https://www.boe.es/gazeta/dias/1822/04/02/pdfs/GMD-1822-94.pdf#page=4","Abrir facsímil")</f>
        <v>Abrir facsímil</v>
      </c>
      <c r="K1939" s="3" t="s">
        <v>22</v>
      </c>
    </row>
    <row r="1940" spans="1:11" ht="42" customHeight="1">
      <c r="A1940" s="2" t="s">
        <v>4141</v>
      </c>
      <c r="B1940" s="2" t="s">
        <v>4141</v>
      </c>
      <c r="C1940" s="2" t="s">
        <v>24</v>
      </c>
      <c r="D1940" s="2" t="s">
        <v>17</v>
      </c>
      <c r="E1940" s="5">
        <v>-28394</v>
      </c>
      <c r="F1940" s="3" t="s">
        <v>268</v>
      </c>
      <c r="G1940" s="3" t="s">
        <v>35</v>
      </c>
      <c r="H1940" s="2" t="s">
        <v>20</v>
      </c>
      <c r="I1940" s="2" t="s">
        <v>4151</v>
      </c>
      <c r="J1940" s="3" t="str">
        <f>HYPERLINK("https://www.boe.es/gazeta/dias/1822/04/04/pdfs/GMD-1822-96.pdf#page=2","Abrir facsímil")</f>
        <v>Abrir facsímil</v>
      </c>
      <c r="K1940" s="3" t="s">
        <v>22</v>
      </c>
    </row>
    <row r="1941" spans="1:11" ht="42" customHeight="1">
      <c r="A1941" s="2" t="s">
        <v>4141</v>
      </c>
      <c r="B1941" s="2" t="s">
        <v>4141</v>
      </c>
      <c r="C1941" s="2" t="s">
        <v>42</v>
      </c>
      <c r="D1941" s="2" t="s">
        <v>17</v>
      </c>
      <c r="E1941" s="5">
        <v>-28390</v>
      </c>
      <c r="F1941" s="3" t="s">
        <v>665</v>
      </c>
      <c r="G1941" s="3" t="s">
        <v>31</v>
      </c>
      <c r="H1941" s="2" t="s">
        <v>20</v>
      </c>
      <c r="I1941" s="2" t="s">
        <v>4152</v>
      </c>
      <c r="J1941" s="3" t="str">
        <f>HYPERLINK("https://www.boe.es/gazeta/dias/1822/04/08/pdfs/GMD-1822-100.pdf#page=3","Abrir facsímil")</f>
        <v>Abrir facsímil</v>
      </c>
      <c r="K1941" s="3" t="s">
        <v>22</v>
      </c>
    </row>
    <row r="1942" spans="1:11" ht="42" customHeight="1">
      <c r="A1942" s="2" t="s">
        <v>4141</v>
      </c>
      <c r="B1942" s="2" t="s">
        <v>4141</v>
      </c>
      <c r="C1942" s="2" t="s">
        <v>71</v>
      </c>
      <c r="D1942" s="2" t="s">
        <v>17</v>
      </c>
      <c r="E1942" s="5">
        <v>-28390</v>
      </c>
      <c r="F1942" s="3" t="s">
        <v>665</v>
      </c>
      <c r="G1942" s="3" t="s">
        <v>57</v>
      </c>
      <c r="H1942" s="2" t="s">
        <v>20</v>
      </c>
      <c r="I1942" s="2" t="s">
        <v>4153</v>
      </c>
      <c r="J1942" s="3" t="str">
        <f>HYPERLINK("https://www.boe.es/gazeta/dias/1822/04/08/pdfs/GMD-1822-100.pdf#page=4","Abrir facsímil")</f>
        <v>Abrir facsímil</v>
      </c>
      <c r="K1942" s="3" t="s">
        <v>22</v>
      </c>
    </row>
    <row r="1943" spans="1:11" ht="42" customHeight="1">
      <c r="A1943" s="2" t="s">
        <v>4141</v>
      </c>
      <c r="B1943" s="2" t="s">
        <v>4141</v>
      </c>
      <c r="C1943" s="2" t="s">
        <v>50</v>
      </c>
      <c r="D1943" s="2" t="s">
        <v>51</v>
      </c>
      <c r="E1943" s="5">
        <v>-28388</v>
      </c>
      <c r="F1943" s="3" t="s">
        <v>1268</v>
      </c>
      <c r="G1943" s="3" t="s">
        <v>44</v>
      </c>
      <c r="H1943" s="2" t="s">
        <v>20</v>
      </c>
      <c r="I1943" s="2" t="s">
        <v>4154</v>
      </c>
      <c r="J1943" s="3" t="str">
        <f>HYPERLINK("https://www.boe.es/gazeta/dias/1822/04/10/pdfs/GMD-1822-102.pdf#page=1","Abrir facsímil")</f>
        <v>Abrir facsímil</v>
      </c>
      <c r="K1943" s="3" t="s">
        <v>22</v>
      </c>
    </row>
    <row r="1944" spans="1:11" ht="42" customHeight="1">
      <c r="A1944" s="2" t="s">
        <v>4141</v>
      </c>
      <c r="B1944" s="2" t="s">
        <v>4141</v>
      </c>
      <c r="C1944" s="2" t="s">
        <v>71</v>
      </c>
      <c r="D1944" s="2" t="s">
        <v>17</v>
      </c>
      <c r="E1944" s="5">
        <v>-28387</v>
      </c>
      <c r="F1944" s="3" t="s">
        <v>2874</v>
      </c>
      <c r="G1944" s="3" t="s">
        <v>31</v>
      </c>
      <c r="H1944" s="2" t="s">
        <v>20</v>
      </c>
      <c r="I1944" s="2" t="s">
        <v>4155</v>
      </c>
      <c r="J1944" s="3" t="str">
        <f>HYPERLINK("https://www.boe.es/gazeta/dias/1822/04/11/pdfs/GMD-1822-103.pdf#page=3","Abrir facsímil")</f>
        <v>Abrir facsímil</v>
      </c>
      <c r="K1944" s="3" t="s">
        <v>22</v>
      </c>
    </row>
    <row r="1945" spans="1:11" ht="42" customHeight="1">
      <c r="A1945" s="2" t="s">
        <v>4141</v>
      </c>
      <c r="B1945" s="2" t="s">
        <v>4141</v>
      </c>
      <c r="C1945" s="2" t="s">
        <v>71</v>
      </c>
      <c r="D1945" s="2" t="s">
        <v>17</v>
      </c>
      <c r="E1945" s="5">
        <v>-28385</v>
      </c>
      <c r="F1945" s="3" t="s">
        <v>484</v>
      </c>
      <c r="G1945" s="3" t="s">
        <v>35</v>
      </c>
      <c r="H1945" s="2" t="s">
        <v>20</v>
      </c>
      <c r="I1945" s="2" t="s">
        <v>4156</v>
      </c>
      <c r="J1945" s="3" t="str">
        <f>HYPERLINK("https://www.boe.es/gazeta/dias/1822/04/13/pdfs/GMD-1822-105.pdf#page=2","Abrir facsímil")</f>
        <v>Abrir facsímil</v>
      </c>
      <c r="K1945" s="3" t="s">
        <v>22</v>
      </c>
    </row>
    <row r="1946" spans="1:11" ht="42" customHeight="1">
      <c r="A1946" s="2" t="s">
        <v>4141</v>
      </c>
      <c r="B1946" s="2" t="s">
        <v>4141</v>
      </c>
      <c r="C1946" s="2" t="s">
        <v>16</v>
      </c>
      <c r="D1946" s="2" t="s">
        <v>17</v>
      </c>
      <c r="E1946" s="5">
        <v>-28382</v>
      </c>
      <c r="F1946" s="3" t="s">
        <v>973</v>
      </c>
      <c r="G1946" s="3" t="s">
        <v>57</v>
      </c>
      <c r="H1946" s="2" t="s">
        <v>20</v>
      </c>
      <c r="I1946" s="2" t="s">
        <v>4157</v>
      </c>
      <c r="J1946" s="3" t="str">
        <f>HYPERLINK("https://www.boe.es/gazeta/dias/1822/04/16/pdfs/GMD-1822-108.pdf#page=4","Abrir facsímil")</f>
        <v>Abrir facsímil</v>
      </c>
      <c r="K1946" s="3" t="s">
        <v>22</v>
      </c>
    </row>
    <row r="1947" spans="1:11" ht="42" customHeight="1">
      <c r="A1947" s="2" t="s">
        <v>4141</v>
      </c>
      <c r="B1947" s="2" t="s">
        <v>4141</v>
      </c>
      <c r="C1947" s="2" t="s">
        <v>42</v>
      </c>
      <c r="D1947" s="2" t="s">
        <v>17</v>
      </c>
      <c r="E1947" s="5">
        <v>-28381</v>
      </c>
      <c r="F1947" s="3" t="s">
        <v>358</v>
      </c>
      <c r="G1947" s="3" t="s">
        <v>35</v>
      </c>
      <c r="H1947" s="2" t="s">
        <v>20</v>
      </c>
      <c r="I1947" s="2" t="s">
        <v>4158</v>
      </c>
      <c r="J1947" s="3" t="str">
        <f>HYPERLINK("https://www.boe.es/gazeta/dias/1822/04/17/pdfs/GMD-1822-109.pdf#page=2","Abrir facsímil")</f>
        <v>Abrir facsímil</v>
      </c>
      <c r="K1947" s="3" t="s">
        <v>22</v>
      </c>
    </row>
    <row r="1948" spans="1:11" ht="42" customHeight="1">
      <c r="A1948" s="2" t="s">
        <v>4141</v>
      </c>
      <c r="B1948" s="2" t="s">
        <v>4141</v>
      </c>
      <c r="C1948" s="2" t="s">
        <v>28</v>
      </c>
      <c r="D1948" s="2" t="s">
        <v>29</v>
      </c>
      <c r="E1948" s="5">
        <v>-28378</v>
      </c>
      <c r="F1948" s="3" t="s">
        <v>496</v>
      </c>
      <c r="G1948" s="3" t="s">
        <v>31</v>
      </c>
      <c r="H1948" s="2" t="s">
        <v>20</v>
      </c>
      <c r="I1948" s="2" t="s">
        <v>4159</v>
      </c>
      <c r="J1948" s="3" t="str">
        <f>HYPERLINK("https://www.boe.es/gazeta/dias/1822/04/20/pdfs/GMD-1822-112.pdf#page=3","Abrir facsímil")</f>
        <v>Abrir facsímil</v>
      </c>
      <c r="K1948" s="3" t="s">
        <v>22</v>
      </c>
    </row>
    <row r="1949" spans="1:11" ht="42" customHeight="1">
      <c r="A1949" s="2" t="s">
        <v>4141</v>
      </c>
      <c r="B1949" s="2" t="s">
        <v>4141</v>
      </c>
      <c r="C1949" s="2" t="s">
        <v>42</v>
      </c>
      <c r="D1949" s="2" t="s">
        <v>17</v>
      </c>
      <c r="E1949" s="5">
        <v>-28378</v>
      </c>
      <c r="F1949" s="3" t="s">
        <v>496</v>
      </c>
      <c r="G1949" s="3" t="s">
        <v>57</v>
      </c>
      <c r="H1949" s="2" t="s">
        <v>20</v>
      </c>
      <c r="I1949" s="2" t="s">
        <v>4160</v>
      </c>
      <c r="J1949" s="3" t="str">
        <f>HYPERLINK("https://www.boe.es/gazeta/dias/1822/04/20/pdfs/GMD-1822-112.pdf#page=4","Abrir facsímil")</f>
        <v>Abrir facsímil</v>
      </c>
      <c r="K1949" s="3" t="s">
        <v>22</v>
      </c>
    </row>
    <row r="1950" spans="1:11" ht="42" customHeight="1">
      <c r="A1950" s="2" t="s">
        <v>4141</v>
      </c>
      <c r="B1950" s="2" t="s">
        <v>4141</v>
      </c>
      <c r="C1950" s="2" t="s">
        <v>42</v>
      </c>
      <c r="D1950" s="2" t="s">
        <v>17</v>
      </c>
      <c r="E1950" s="5">
        <v>-28377</v>
      </c>
      <c r="F1950" s="3" t="s">
        <v>498</v>
      </c>
      <c r="G1950" s="3" t="s">
        <v>35</v>
      </c>
      <c r="H1950" s="2" t="s">
        <v>20</v>
      </c>
      <c r="I1950" s="2" t="s">
        <v>4161</v>
      </c>
      <c r="J1950" s="3" t="str">
        <f>HYPERLINK("https://www.boe.es/gazeta/dias/1822/04/21/pdfs/GMD-1822-113.pdf#page=2","Abrir facsímil")</f>
        <v>Abrir facsímil</v>
      </c>
      <c r="K1950" s="3" t="s">
        <v>22</v>
      </c>
    </row>
    <row r="1951" spans="1:11" ht="42" customHeight="1">
      <c r="A1951" s="2" t="s">
        <v>4141</v>
      </c>
      <c r="B1951" s="2" t="s">
        <v>4141</v>
      </c>
      <c r="C1951" s="2" t="s">
        <v>16</v>
      </c>
      <c r="D1951" s="2" t="s">
        <v>17</v>
      </c>
      <c r="E1951" s="5">
        <v>-28377</v>
      </c>
      <c r="F1951" s="3" t="s">
        <v>498</v>
      </c>
      <c r="G1951" s="3" t="s">
        <v>31</v>
      </c>
      <c r="H1951" s="2" t="s">
        <v>20</v>
      </c>
      <c r="I1951" s="2" t="s">
        <v>4162</v>
      </c>
      <c r="J1951" s="3" t="str">
        <f>HYPERLINK("https://www.boe.es/gazeta/dias/1822/04/21/pdfs/GMD-1822-113.pdf#page=3","Abrir facsímil")</f>
        <v>Abrir facsímil</v>
      </c>
      <c r="K1951" s="3" t="s">
        <v>22</v>
      </c>
    </row>
    <row r="1952" spans="1:11" ht="42" customHeight="1">
      <c r="A1952" s="2" t="s">
        <v>4141</v>
      </c>
      <c r="B1952" s="2" t="s">
        <v>4141</v>
      </c>
      <c r="C1952" s="2" t="s">
        <v>16</v>
      </c>
      <c r="D1952" s="2" t="s">
        <v>17</v>
      </c>
      <c r="E1952" s="5">
        <v>-28373</v>
      </c>
      <c r="F1952" s="3" t="s">
        <v>614</v>
      </c>
      <c r="G1952" s="3" t="s">
        <v>35</v>
      </c>
      <c r="H1952" s="2" t="s">
        <v>20</v>
      </c>
      <c r="I1952" s="2" t="s">
        <v>4163</v>
      </c>
      <c r="J1952" s="3" t="str">
        <f>HYPERLINK("https://www.boe.es/gazeta/dias/1822/04/25/pdfs/GMD-1822-117.pdf#page=2","Abrir facsímil")</f>
        <v>Abrir facsímil</v>
      </c>
      <c r="K1952" s="3" t="s">
        <v>22</v>
      </c>
    </row>
    <row r="1953" spans="1:11" ht="42" customHeight="1">
      <c r="A1953" s="2" t="s">
        <v>4141</v>
      </c>
      <c r="B1953" s="2" t="s">
        <v>4141</v>
      </c>
      <c r="C1953" s="2" t="s">
        <v>42</v>
      </c>
      <c r="D1953" s="2" t="s">
        <v>17</v>
      </c>
      <c r="E1953" s="5">
        <v>-28366</v>
      </c>
      <c r="F1953" s="3" t="s">
        <v>120</v>
      </c>
      <c r="G1953" s="3" t="s">
        <v>31</v>
      </c>
      <c r="H1953" s="2" t="s">
        <v>20</v>
      </c>
      <c r="I1953" s="2" t="s">
        <v>4164</v>
      </c>
      <c r="J1953" s="3" t="str">
        <f>HYPERLINK("https://www.boe.es/gazeta/dias/1822/05/02/pdfs/GMD-1822-124.pdf#page=3","Abrir facsímil")</f>
        <v>Abrir facsímil</v>
      </c>
      <c r="K1953" s="3" t="s">
        <v>22</v>
      </c>
    </row>
    <row r="1954" spans="1:11" ht="42" customHeight="1">
      <c r="A1954" s="2" t="s">
        <v>4141</v>
      </c>
      <c r="B1954" s="2" t="s">
        <v>4141</v>
      </c>
      <c r="C1954" s="2" t="s">
        <v>50</v>
      </c>
      <c r="D1954" s="2" t="s">
        <v>51</v>
      </c>
      <c r="E1954" s="5">
        <v>-28363</v>
      </c>
      <c r="F1954" s="3" t="s">
        <v>72</v>
      </c>
      <c r="G1954" s="3" t="s">
        <v>44</v>
      </c>
      <c r="H1954" s="2" t="s">
        <v>20</v>
      </c>
      <c r="I1954" s="2" t="s">
        <v>4165</v>
      </c>
      <c r="J1954" s="3" t="str">
        <f>HYPERLINK("https://www.boe.es/gazeta/dias/1822/05/05/pdfs/GMD-1822-127.pdf#page=1","Abrir facsímil")</f>
        <v>Abrir facsímil</v>
      </c>
      <c r="K1954" s="3" t="s">
        <v>22</v>
      </c>
    </row>
    <row r="1955" spans="1:11" ht="42" customHeight="1">
      <c r="A1955" s="2" t="s">
        <v>4141</v>
      </c>
      <c r="B1955" s="2" t="s">
        <v>4141</v>
      </c>
      <c r="C1955" s="2" t="s">
        <v>50</v>
      </c>
      <c r="D1955" s="2" t="s">
        <v>51</v>
      </c>
      <c r="E1955" s="5">
        <v>-28363</v>
      </c>
      <c r="F1955" s="3" t="s">
        <v>72</v>
      </c>
      <c r="G1955" s="3" t="s">
        <v>31</v>
      </c>
      <c r="H1955" s="2" t="s">
        <v>20</v>
      </c>
      <c r="I1955" s="2" t="s">
        <v>4166</v>
      </c>
      <c r="J1955" s="3" t="str">
        <f>HYPERLINK("https://www.boe.es/gazeta/dias/1822/05/05/pdfs/GMD-1822-127.pdf#page=3","Abrir facsímil")</f>
        <v>Abrir facsímil</v>
      </c>
      <c r="K1955" s="3" t="s">
        <v>22</v>
      </c>
    </row>
    <row r="1956" spans="1:11" ht="42" customHeight="1">
      <c r="A1956" s="2" t="s">
        <v>4141</v>
      </c>
      <c r="B1956" s="2" t="s">
        <v>4141</v>
      </c>
      <c r="C1956" s="2" t="s">
        <v>24</v>
      </c>
      <c r="D1956" s="2" t="s">
        <v>17</v>
      </c>
      <c r="E1956" s="5">
        <v>-28362</v>
      </c>
      <c r="F1956" s="3" t="s">
        <v>511</v>
      </c>
      <c r="G1956" s="3" t="s">
        <v>35</v>
      </c>
      <c r="H1956" s="2" t="s">
        <v>20</v>
      </c>
      <c r="I1956" s="2" t="s">
        <v>4167</v>
      </c>
      <c r="J1956" s="3" t="str">
        <f>HYPERLINK("https://www.boe.es/gazeta/dias/1822/05/06/pdfs/GMD-1822-128.pdf#page=2","Abrir facsímil")</f>
        <v>Abrir facsímil</v>
      </c>
      <c r="K1956" s="3" t="s">
        <v>22</v>
      </c>
    </row>
    <row r="1957" spans="1:11" ht="42" customHeight="1">
      <c r="A1957" s="2" t="s">
        <v>4141</v>
      </c>
      <c r="B1957" s="2" t="s">
        <v>4141</v>
      </c>
      <c r="C1957" s="2" t="s">
        <v>16</v>
      </c>
      <c r="D1957" s="2" t="s">
        <v>17</v>
      </c>
      <c r="E1957" s="5">
        <v>-28361</v>
      </c>
      <c r="F1957" s="3" t="s">
        <v>374</v>
      </c>
      <c r="G1957" s="3" t="s">
        <v>57</v>
      </c>
      <c r="H1957" s="2" t="s">
        <v>20</v>
      </c>
      <c r="I1957" s="2" t="s">
        <v>4168</v>
      </c>
      <c r="J1957" s="3" t="str">
        <f>HYPERLINK("https://www.boe.es/gazeta/dias/1822/05/07/pdfs/GMD-1822-129.pdf#page=4","Abrir facsímil")</f>
        <v>Abrir facsímil</v>
      </c>
      <c r="K1957" s="3" t="s">
        <v>22</v>
      </c>
    </row>
    <row r="1958" spans="1:11" ht="42" customHeight="1">
      <c r="A1958" s="2" t="s">
        <v>4141</v>
      </c>
      <c r="B1958" s="2" t="s">
        <v>4141</v>
      </c>
      <c r="C1958" s="2" t="s">
        <v>42</v>
      </c>
      <c r="D1958" s="2" t="s">
        <v>17</v>
      </c>
      <c r="E1958" s="5">
        <v>-28357</v>
      </c>
      <c r="F1958" s="3" t="s">
        <v>690</v>
      </c>
      <c r="G1958" s="3" t="s">
        <v>35</v>
      </c>
      <c r="H1958" s="2" t="s">
        <v>20</v>
      </c>
      <c r="I1958" s="2" t="s">
        <v>4169</v>
      </c>
      <c r="J1958" s="3" t="str">
        <f>HYPERLINK("https://www.boe.es/gazeta/dias/1822/05/11/pdfs/GMD-1822-133.pdf#page=2","Abrir facsímil")</f>
        <v>Abrir facsímil</v>
      </c>
      <c r="K1958" s="3" t="s">
        <v>22</v>
      </c>
    </row>
    <row r="1959" spans="1:11" ht="42" customHeight="1">
      <c r="A1959" s="2" t="s">
        <v>4141</v>
      </c>
      <c r="B1959" s="2" t="s">
        <v>4141</v>
      </c>
      <c r="C1959" s="2" t="s">
        <v>50</v>
      </c>
      <c r="D1959" s="2" t="s">
        <v>51</v>
      </c>
      <c r="E1959" s="5">
        <v>-28356</v>
      </c>
      <c r="F1959" s="3" t="s">
        <v>4170</v>
      </c>
      <c r="G1959" s="3" t="s">
        <v>44</v>
      </c>
      <c r="H1959" s="2" t="s">
        <v>20</v>
      </c>
      <c r="I1959" s="2" t="s">
        <v>4171</v>
      </c>
      <c r="J1959" s="3" t="str">
        <f>HYPERLINK("https://www.boe.es/gazeta/dias/1822/05/12/pdfs/GMD-1822-134.pdf#page=1","Abrir facsímil")</f>
        <v>Abrir facsímil</v>
      </c>
      <c r="K1959" s="3" t="s">
        <v>22</v>
      </c>
    </row>
    <row r="1960" spans="1:11" ht="42" customHeight="1">
      <c r="A1960" s="2" t="s">
        <v>4141</v>
      </c>
      <c r="B1960" s="2" t="s">
        <v>4141</v>
      </c>
      <c r="C1960" s="2" t="s">
        <v>42</v>
      </c>
      <c r="D1960" s="2" t="s">
        <v>17</v>
      </c>
      <c r="E1960" s="5">
        <v>-28346</v>
      </c>
      <c r="F1960" s="3" t="s">
        <v>191</v>
      </c>
      <c r="G1960" s="3" t="s">
        <v>19</v>
      </c>
      <c r="H1960" s="2" t="s">
        <v>20</v>
      </c>
      <c r="I1960" s="2" t="s">
        <v>4172</v>
      </c>
      <c r="J1960" s="3" t="str">
        <f>HYPERLINK("https://www.boe.es/gazeta/dias/1822/05/22/pdfs/GMD-1822-145.pdf#page=5","Abrir facsímil")</f>
        <v>Abrir facsímil</v>
      </c>
      <c r="K1960" s="3" t="s">
        <v>22</v>
      </c>
    </row>
    <row r="1961" spans="1:11" ht="42" customHeight="1">
      <c r="A1961" s="2" t="s">
        <v>4141</v>
      </c>
      <c r="B1961" s="2" t="s">
        <v>4141</v>
      </c>
      <c r="C1961" s="2" t="s">
        <v>24</v>
      </c>
      <c r="D1961" s="2" t="s">
        <v>17</v>
      </c>
      <c r="E1961" s="5">
        <v>-28344</v>
      </c>
      <c r="F1961" s="3" t="s">
        <v>524</v>
      </c>
      <c r="G1961" s="3" t="s">
        <v>44</v>
      </c>
      <c r="H1961" s="2" t="s">
        <v>20</v>
      </c>
      <c r="I1961" s="2" t="s">
        <v>4173</v>
      </c>
      <c r="J1961" s="3" t="str">
        <f>HYPERLINK("https://www.boe.es/gazeta/dias/1822/05/24/pdfs/GMD-1822-148.pdf#page=1","Abrir facsímil")</f>
        <v>Abrir facsímil</v>
      </c>
      <c r="K1961" s="3" t="s">
        <v>22</v>
      </c>
    </row>
    <row r="1962" spans="1:11" ht="42" customHeight="1">
      <c r="A1962" s="2" t="s">
        <v>4141</v>
      </c>
      <c r="B1962" s="2" t="s">
        <v>4141</v>
      </c>
      <c r="C1962" s="2" t="s">
        <v>16</v>
      </c>
      <c r="D1962" s="2" t="s">
        <v>17</v>
      </c>
      <c r="E1962" s="5">
        <v>-28344</v>
      </c>
      <c r="F1962" s="3" t="s">
        <v>524</v>
      </c>
      <c r="G1962" s="3" t="s">
        <v>31</v>
      </c>
      <c r="H1962" s="2" t="s">
        <v>20</v>
      </c>
      <c r="I1962" s="2" t="s">
        <v>4174</v>
      </c>
      <c r="J1962" s="3" t="str">
        <f>HYPERLINK("https://www.boe.es/gazeta/dias/1822/05/24/pdfs/GMD-1822-148.pdf#page=3","Abrir facsímil")</f>
        <v>Abrir facsímil</v>
      </c>
      <c r="K1962" s="3" t="s">
        <v>22</v>
      </c>
    </row>
    <row r="1963" spans="1:11" ht="42" customHeight="1">
      <c r="A1963" s="2" t="s">
        <v>4141</v>
      </c>
      <c r="B1963" s="2" t="s">
        <v>4141</v>
      </c>
      <c r="C1963" s="2" t="s">
        <v>28</v>
      </c>
      <c r="D1963" s="2" t="s">
        <v>29</v>
      </c>
      <c r="E1963" s="5">
        <v>-28344</v>
      </c>
      <c r="F1963" s="3" t="s">
        <v>524</v>
      </c>
      <c r="G1963" s="3" t="s">
        <v>19</v>
      </c>
      <c r="H1963" s="2" t="s">
        <v>20</v>
      </c>
      <c r="I1963" s="2" t="s">
        <v>4175</v>
      </c>
      <c r="J1963" s="3" t="str">
        <f>HYPERLINK("https://www.boe.es/gazeta/dias/1822/05/24/pdfs/GMD-1822-148.pdf#page=5","Abrir facsímil")</f>
        <v>Abrir facsímil</v>
      </c>
      <c r="K1963" s="3" t="s">
        <v>22</v>
      </c>
    </row>
    <row r="1964" spans="1:11" ht="42" customHeight="1">
      <c r="A1964" s="2" t="s">
        <v>4141</v>
      </c>
      <c r="B1964" s="2" t="s">
        <v>4141</v>
      </c>
      <c r="C1964" s="2" t="s">
        <v>24</v>
      </c>
      <c r="D1964" s="2" t="s">
        <v>17</v>
      </c>
      <c r="E1964" s="5">
        <v>-28342</v>
      </c>
      <c r="F1964" s="3" t="s">
        <v>2281</v>
      </c>
      <c r="G1964" s="3" t="s">
        <v>44</v>
      </c>
      <c r="H1964" s="2" t="s">
        <v>20</v>
      </c>
      <c r="I1964" s="2" t="s">
        <v>4176</v>
      </c>
      <c r="J1964" s="3" t="str">
        <f>HYPERLINK("https://www.boe.es/gazeta/dias/1822/05/26/pdfs/GMD-1822-151.pdf#page=1","Abrir facsímil")</f>
        <v>Abrir facsímil</v>
      </c>
      <c r="K1964" s="3" t="s">
        <v>22</v>
      </c>
    </row>
    <row r="1965" spans="1:11" ht="42" customHeight="1">
      <c r="A1965" s="2" t="s">
        <v>4141</v>
      </c>
      <c r="B1965" s="2" t="s">
        <v>4141</v>
      </c>
      <c r="C1965" s="2" t="s">
        <v>42</v>
      </c>
      <c r="D1965" s="2" t="s">
        <v>17</v>
      </c>
      <c r="E1965" s="5">
        <v>-28342</v>
      </c>
      <c r="F1965" s="3" t="s">
        <v>2281</v>
      </c>
      <c r="G1965" s="3" t="s">
        <v>35</v>
      </c>
      <c r="H1965" s="2" t="s">
        <v>20</v>
      </c>
      <c r="I1965" s="2" t="s">
        <v>4177</v>
      </c>
      <c r="J1965" s="3" t="str">
        <f>HYPERLINK("https://www.boe.es/gazeta/dias/1822/05/26/pdfs/GMD-1822-151.pdf#page=2","Abrir facsímil")</f>
        <v>Abrir facsímil</v>
      </c>
      <c r="K1965" s="3" t="s">
        <v>22</v>
      </c>
    </row>
    <row r="1966" spans="1:11" ht="42" customHeight="1">
      <c r="A1966" s="2" t="s">
        <v>4141</v>
      </c>
      <c r="B1966" s="2" t="s">
        <v>4141</v>
      </c>
      <c r="C1966" s="2" t="s">
        <v>50</v>
      </c>
      <c r="D1966" s="2" t="s">
        <v>51</v>
      </c>
      <c r="E1966" s="5">
        <v>-28341</v>
      </c>
      <c r="F1966" s="3" t="s">
        <v>284</v>
      </c>
      <c r="G1966" s="3" t="s">
        <v>31</v>
      </c>
      <c r="H1966" s="2" t="s">
        <v>20</v>
      </c>
      <c r="I1966" s="2" t="s">
        <v>4178</v>
      </c>
      <c r="J1966" s="3" t="str">
        <f>HYPERLINK("https://www.boe.es/gazeta/dias/1822/05/27/pdfs/GMD-1822-152.pdf#page=3","Abrir facsímil")</f>
        <v>Abrir facsímil</v>
      </c>
      <c r="K1966" s="3" t="s">
        <v>22</v>
      </c>
    </row>
    <row r="1967" spans="1:11" ht="42" customHeight="1">
      <c r="A1967" s="2" t="s">
        <v>4141</v>
      </c>
      <c r="B1967" s="2" t="s">
        <v>4141</v>
      </c>
      <c r="C1967" s="2" t="s">
        <v>16</v>
      </c>
      <c r="D1967" s="2" t="s">
        <v>17</v>
      </c>
      <c r="E1967" s="5">
        <v>-28341</v>
      </c>
      <c r="F1967" s="3" t="s">
        <v>284</v>
      </c>
      <c r="G1967" s="3" t="s">
        <v>57</v>
      </c>
      <c r="H1967" s="2" t="s">
        <v>20</v>
      </c>
      <c r="I1967" s="2" t="s">
        <v>4179</v>
      </c>
      <c r="J1967" s="3" t="str">
        <f>HYPERLINK("https://www.boe.es/gazeta/dias/1822/05/27/pdfs/GMD-1822-152.pdf#page=4","Abrir facsímil")</f>
        <v>Abrir facsímil</v>
      </c>
      <c r="K1967" s="3" t="s">
        <v>22</v>
      </c>
    </row>
    <row r="1968" spans="1:11" ht="42" customHeight="1">
      <c r="A1968" s="2" t="s">
        <v>4141</v>
      </c>
      <c r="B1968" s="2" t="s">
        <v>4141</v>
      </c>
      <c r="C1968" s="2" t="s">
        <v>16</v>
      </c>
      <c r="D1968" s="2" t="s">
        <v>17</v>
      </c>
      <c r="E1968" s="5">
        <v>-28340</v>
      </c>
      <c r="F1968" s="3" t="s">
        <v>139</v>
      </c>
      <c r="G1968" s="3" t="s">
        <v>31</v>
      </c>
      <c r="H1968" s="2" t="s">
        <v>20</v>
      </c>
      <c r="I1968" s="2" t="s">
        <v>4180</v>
      </c>
      <c r="J1968" s="3" t="str">
        <f>HYPERLINK("https://www.boe.es/gazeta/dias/1822/05/28/pdfs/GMD-1822-153.pdf#page=3","Abrir facsímil")</f>
        <v>Abrir facsímil</v>
      </c>
      <c r="K1968" s="3" t="s">
        <v>22</v>
      </c>
    </row>
    <row r="1969" spans="1:11" ht="42" customHeight="1">
      <c r="A1969" s="2" t="s">
        <v>4141</v>
      </c>
      <c r="B1969" s="2" t="s">
        <v>4141</v>
      </c>
      <c r="C1969" s="2" t="s">
        <v>61</v>
      </c>
      <c r="D1969" s="2" t="s">
        <v>17</v>
      </c>
      <c r="E1969" s="5">
        <v>-28338</v>
      </c>
      <c r="F1969" s="3" t="s">
        <v>527</v>
      </c>
      <c r="G1969" s="3" t="s">
        <v>35</v>
      </c>
      <c r="H1969" s="2" t="s">
        <v>20</v>
      </c>
      <c r="I1969" s="2" t="s">
        <v>4181</v>
      </c>
      <c r="J1969" s="3" t="str">
        <f>HYPERLINK("https://www.boe.es/gazeta/dias/1822/05/30/pdfs/GMD-1822-155.pdf#page=2","Abrir facsímil")</f>
        <v>Abrir facsímil</v>
      </c>
      <c r="K1969" s="3" t="s">
        <v>22</v>
      </c>
    </row>
    <row r="1970" spans="1:11" ht="42" customHeight="1">
      <c r="A1970" s="2" t="s">
        <v>4141</v>
      </c>
      <c r="B1970" s="2" t="s">
        <v>4141</v>
      </c>
      <c r="C1970" s="2" t="s">
        <v>42</v>
      </c>
      <c r="D1970" s="2" t="s">
        <v>17</v>
      </c>
      <c r="E1970" s="5">
        <v>-28337</v>
      </c>
      <c r="F1970" s="3" t="s">
        <v>1836</v>
      </c>
      <c r="G1970" s="3" t="s">
        <v>35</v>
      </c>
      <c r="H1970" s="2" t="s">
        <v>20</v>
      </c>
      <c r="I1970" s="2" t="s">
        <v>4182</v>
      </c>
      <c r="J1970" s="3" t="str">
        <f>HYPERLINK("https://www.boe.es/gazeta/dias/1822/05/31/pdfs/GMD-1822-156.pdf#page=2","Abrir facsímil")</f>
        <v>Abrir facsímil</v>
      </c>
      <c r="K1970" s="3" t="s">
        <v>22</v>
      </c>
    </row>
    <row r="1971" spans="1:11" ht="42" customHeight="1">
      <c r="A1971" s="2" t="s">
        <v>4141</v>
      </c>
      <c r="B1971" s="2" t="s">
        <v>4141</v>
      </c>
      <c r="C1971" s="2" t="s">
        <v>42</v>
      </c>
      <c r="D1971" s="2" t="s">
        <v>17</v>
      </c>
      <c r="E1971" s="5">
        <v>-28321</v>
      </c>
      <c r="F1971" s="3" t="s">
        <v>1142</v>
      </c>
      <c r="G1971" s="3" t="s">
        <v>35</v>
      </c>
      <c r="H1971" s="2" t="s">
        <v>20</v>
      </c>
      <c r="I1971" s="2" t="s">
        <v>4183</v>
      </c>
      <c r="J1971" s="3" t="str">
        <f>HYPERLINK("https://www.boe.es/gazeta/dias/1822/06/16/pdfs/GMD-1822-173.pdf#page=2","Abrir facsímil")</f>
        <v>Abrir facsímil</v>
      </c>
      <c r="K1971" s="3" t="s">
        <v>22</v>
      </c>
    </row>
    <row r="1972" spans="1:11" ht="42" customHeight="1">
      <c r="A1972" s="2" t="s">
        <v>4141</v>
      </c>
      <c r="B1972" s="2" t="s">
        <v>4141</v>
      </c>
      <c r="C1972" s="2" t="s">
        <v>50</v>
      </c>
      <c r="D1972" s="2" t="s">
        <v>51</v>
      </c>
      <c r="E1972" s="5">
        <v>-28205</v>
      </c>
      <c r="F1972" s="3" t="s">
        <v>806</v>
      </c>
      <c r="G1972" s="3" t="s">
        <v>44</v>
      </c>
      <c r="H1972" s="2" t="s">
        <v>20</v>
      </c>
      <c r="I1972" s="2" t="s">
        <v>4184</v>
      </c>
      <c r="J1972" s="3" t="str">
        <f>HYPERLINK("https://www.boe.es/gazeta/dias/1822/10/10/pdfs/GMD-1822-297.pdf#page=1","Abrir facsímil")</f>
        <v>Abrir facsímil</v>
      </c>
      <c r="K1972" s="3" t="s">
        <v>22</v>
      </c>
    </row>
    <row r="1973" spans="1:11" ht="42" customHeight="1">
      <c r="A1973" s="2" t="s">
        <v>4141</v>
      </c>
      <c r="B1973" s="2" t="s">
        <v>4141</v>
      </c>
      <c r="C1973" s="2" t="s">
        <v>42</v>
      </c>
      <c r="D1973" s="2" t="s">
        <v>17</v>
      </c>
      <c r="E1973" s="5">
        <v>-28203</v>
      </c>
      <c r="F1973" s="3" t="s">
        <v>564</v>
      </c>
      <c r="G1973" s="3" t="s">
        <v>4185</v>
      </c>
      <c r="H1973" s="2" t="s">
        <v>20</v>
      </c>
      <c r="I1973" s="2" t="s">
        <v>4186</v>
      </c>
      <c r="J1973" s="3" t="str">
        <f>HYPERLINK("https://www.boe.es/gazeta/dias/1822/10/12/pdfs/GMD-1822-299.pdf#page=2","Abrir facsímil")</f>
        <v>Abrir facsímil</v>
      </c>
      <c r="K1973" s="3" t="s">
        <v>22</v>
      </c>
    </row>
    <row r="1974" spans="1:11" ht="42" customHeight="1">
      <c r="A1974" s="2" t="s">
        <v>4141</v>
      </c>
      <c r="B1974" s="2" t="s">
        <v>4141</v>
      </c>
      <c r="C1974" s="2" t="s">
        <v>42</v>
      </c>
      <c r="D1974" s="2" t="s">
        <v>17</v>
      </c>
      <c r="E1974" s="5">
        <v>-28202</v>
      </c>
      <c r="F1974" s="3" t="s">
        <v>922</v>
      </c>
      <c r="G1974" s="3" t="s">
        <v>44</v>
      </c>
      <c r="H1974" s="2" t="s">
        <v>20</v>
      </c>
      <c r="I1974" s="2" t="s">
        <v>4187</v>
      </c>
      <c r="J1974" s="3" t="str">
        <f>HYPERLINK("https://www.boe.es/gazeta/dias/1822/10/13/pdfs/GMD-1822-300.pdf#page=1","Abrir facsímil")</f>
        <v>Abrir facsímil</v>
      </c>
      <c r="K1974" s="3" t="s">
        <v>22</v>
      </c>
    </row>
    <row r="1975" spans="1:11" ht="42" customHeight="1">
      <c r="A1975" s="2" t="s">
        <v>4141</v>
      </c>
      <c r="B1975" s="2" t="s">
        <v>4141</v>
      </c>
      <c r="C1975" s="2" t="s">
        <v>28</v>
      </c>
      <c r="D1975" s="2" t="s">
        <v>29</v>
      </c>
      <c r="E1975" s="5">
        <v>-28200</v>
      </c>
      <c r="F1975" s="3" t="s">
        <v>1037</v>
      </c>
      <c r="G1975" s="3" t="s">
        <v>35</v>
      </c>
      <c r="H1975" s="2" t="s">
        <v>20</v>
      </c>
      <c r="I1975" s="2" t="s">
        <v>4188</v>
      </c>
      <c r="J1975" s="3" t="str">
        <f>HYPERLINK("https://www.boe.es/gazeta/dias/1822/10/15/pdfs/GMD-1822-302.pdf#page=2","Abrir facsímil")</f>
        <v>Abrir facsímil</v>
      </c>
      <c r="K1975" s="3" t="s">
        <v>22</v>
      </c>
    </row>
    <row r="1976" spans="1:11" ht="42" customHeight="1">
      <c r="A1976" s="2" t="s">
        <v>4141</v>
      </c>
      <c r="B1976" s="2" t="s">
        <v>4141</v>
      </c>
      <c r="C1976" s="2" t="s">
        <v>42</v>
      </c>
      <c r="D1976" s="2" t="s">
        <v>17</v>
      </c>
      <c r="E1976" s="5">
        <v>-28197</v>
      </c>
      <c r="F1976" s="3" t="s">
        <v>568</v>
      </c>
      <c r="G1976" s="3" t="s">
        <v>19</v>
      </c>
      <c r="H1976" s="2" t="s">
        <v>20</v>
      </c>
      <c r="I1976" s="2" t="s">
        <v>4189</v>
      </c>
      <c r="J1976" s="3" t="str">
        <f>HYPERLINK("https://www.boe.es/gazeta/dias/1822/10/18/pdfs/GMD-1822-305.pdf#page=5","Abrir facsímil")</f>
        <v>Abrir facsímil</v>
      </c>
      <c r="K1976" s="3" t="s">
        <v>22</v>
      </c>
    </row>
    <row r="1977" spans="1:11" ht="42" customHeight="1">
      <c r="A1977" s="2" t="s">
        <v>4141</v>
      </c>
      <c r="B1977" s="2" t="s">
        <v>4141</v>
      </c>
      <c r="C1977" s="2" t="s">
        <v>71</v>
      </c>
      <c r="D1977" s="2" t="s">
        <v>17</v>
      </c>
      <c r="E1977" s="5">
        <v>-28194</v>
      </c>
      <c r="F1977" s="3" t="s">
        <v>18</v>
      </c>
      <c r="G1977" s="3" t="s">
        <v>57</v>
      </c>
      <c r="H1977" s="2" t="s">
        <v>20</v>
      </c>
      <c r="I1977" s="2" t="s">
        <v>4190</v>
      </c>
      <c r="J1977" s="3" t="str">
        <f>HYPERLINK("https://www.boe.es/gazeta/dias/1822/10/21/pdfs/GMD-1822-308.pdf#page=4","Abrir facsímil")</f>
        <v>Abrir facsímil</v>
      </c>
      <c r="K1977" s="3" t="s">
        <v>22</v>
      </c>
    </row>
    <row r="1978" spans="1:11" ht="42" customHeight="1">
      <c r="A1978" s="2" t="s">
        <v>4141</v>
      </c>
      <c r="B1978" s="2" t="s">
        <v>4141</v>
      </c>
      <c r="C1978" s="2" t="s">
        <v>42</v>
      </c>
      <c r="D1978" s="2" t="s">
        <v>17</v>
      </c>
      <c r="E1978" s="5">
        <v>-28194</v>
      </c>
      <c r="F1978" s="3" t="s">
        <v>18</v>
      </c>
      <c r="G1978" s="3" t="s">
        <v>19</v>
      </c>
      <c r="H1978" s="2" t="s">
        <v>20</v>
      </c>
      <c r="I1978" s="2" t="s">
        <v>4191</v>
      </c>
      <c r="J1978" s="3" t="str">
        <f>HYPERLINK("https://www.boe.es/gazeta/dias/1822/10/21/pdfs/GMD-1822-308.pdf#page=5","Abrir facsímil")</f>
        <v>Abrir facsímil</v>
      </c>
      <c r="K1978" s="3" t="s">
        <v>22</v>
      </c>
    </row>
    <row r="1979" spans="1:11" ht="42" customHeight="1">
      <c r="A1979" s="2" t="s">
        <v>4141</v>
      </c>
      <c r="B1979" s="2" t="s">
        <v>4141</v>
      </c>
      <c r="C1979" s="2" t="s">
        <v>42</v>
      </c>
      <c r="D1979" s="2" t="s">
        <v>17</v>
      </c>
      <c r="E1979" s="5">
        <v>-28192</v>
      </c>
      <c r="F1979" s="3" t="s">
        <v>43</v>
      </c>
      <c r="G1979" s="3" t="s">
        <v>63</v>
      </c>
      <c r="H1979" s="2" t="s">
        <v>20</v>
      </c>
      <c r="I1979" s="2" t="s">
        <v>4192</v>
      </c>
      <c r="J1979" s="3" t="str">
        <f>HYPERLINK("https://www.boe.es/gazeta/dias/1822/10/23/pdfs/GMD-1822-310.pdf#page=6","Abrir facsímil")</f>
        <v>Abrir facsímil</v>
      </c>
      <c r="K1979" s="3" t="s">
        <v>22</v>
      </c>
    </row>
    <row r="1980" spans="1:11" ht="42" customHeight="1">
      <c r="A1980" s="2" t="s">
        <v>4141</v>
      </c>
      <c r="B1980" s="2" t="s">
        <v>4141</v>
      </c>
      <c r="C1980" s="2" t="s">
        <v>71</v>
      </c>
      <c r="D1980" s="2" t="s">
        <v>17</v>
      </c>
      <c r="E1980" s="5">
        <v>-28189</v>
      </c>
      <c r="F1980" s="3" t="s">
        <v>645</v>
      </c>
      <c r="G1980" s="3" t="s">
        <v>35</v>
      </c>
      <c r="H1980" s="2" t="s">
        <v>20</v>
      </c>
      <c r="I1980" s="2" t="s">
        <v>4193</v>
      </c>
      <c r="J1980" s="3" t="str">
        <f>HYPERLINK("https://www.boe.es/gazeta/dias/1822/10/26/pdfs/GMD-1822-313.pdf#page=2","Abrir facsímil")</f>
        <v>Abrir facsímil</v>
      </c>
      <c r="K1980" s="3" t="s">
        <v>22</v>
      </c>
    </row>
    <row r="1981" spans="1:11" ht="42" customHeight="1">
      <c r="A1981" s="2" t="s">
        <v>4141</v>
      </c>
      <c r="B1981" s="2" t="s">
        <v>4141</v>
      </c>
      <c r="C1981" s="2" t="s">
        <v>42</v>
      </c>
      <c r="D1981" s="2" t="s">
        <v>17</v>
      </c>
      <c r="E1981" s="5">
        <v>-28188</v>
      </c>
      <c r="F1981" s="3" t="s">
        <v>578</v>
      </c>
      <c r="G1981" s="3" t="s">
        <v>35</v>
      </c>
      <c r="H1981" s="2" t="s">
        <v>20</v>
      </c>
      <c r="I1981" s="2" t="s">
        <v>4194</v>
      </c>
      <c r="J1981" s="3" t="str">
        <f>HYPERLINK("https://www.boe.es/gazeta/dias/1822/10/27/pdfs/GMD-1822-314.pdf#page=2","Abrir facsímil")</f>
        <v>Abrir facsímil</v>
      </c>
      <c r="K1981" s="3" t="s">
        <v>22</v>
      </c>
    </row>
    <row r="1982" spans="1:11" ht="42" customHeight="1">
      <c r="A1982" s="2" t="s">
        <v>4141</v>
      </c>
      <c r="B1982" s="2" t="s">
        <v>4141</v>
      </c>
      <c r="C1982" s="2" t="s">
        <v>71</v>
      </c>
      <c r="D1982" s="2" t="s">
        <v>17</v>
      </c>
      <c r="E1982" s="5">
        <v>-28188</v>
      </c>
      <c r="F1982" s="3" t="s">
        <v>578</v>
      </c>
      <c r="G1982" s="3" t="s">
        <v>57</v>
      </c>
      <c r="H1982" s="2" t="s">
        <v>20</v>
      </c>
      <c r="I1982" s="2" t="s">
        <v>4195</v>
      </c>
      <c r="J1982" s="3" t="str">
        <f>HYPERLINK("https://www.boe.es/gazeta/dias/1822/10/27/pdfs/GMD-1822-314.pdf#page=4","Abrir facsímil")</f>
        <v>Abrir facsímil</v>
      </c>
      <c r="K1982" s="3" t="s">
        <v>22</v>
      </c>
    </row>
    <row r="1983" spans="1:11" ht="42" customHeight="1">
      <c r="A1983" s="2" t="s">
        <v>4141</v>
      </c>
      <c r="B1983" s="2" t="s">
        <v>4141</v>
      </c>
      <c r="C1983" s="2" t="s">
        <v>71</v>
      </c>
      <c r="D1983" s="2" t="s">
        <v>17</v>
      </c>
      <c r="E1983" s="5">
        <v>-28188</v>
      </c>
      <c r="F1983" s="3" t="s">
        <v>578</v>
      </c>
      <c r="G1983" s="3" t="s">
        <v>63</v>
      </c>
      <c r="H1983" s="2" t="s">
        <v>20</v>
      </c>
      <c r="I1983" s="2" t="s">
        <v>4196</v>
      </c>
      <c r="J1983" s="3" t="str">
        <f>HYPERLINK("https://www.boe.es/gazeta/dias/1822/10/27/pdfs/GMD-1822-314.pdf#page=6","Abrir facsímil")</f>
        <v>Abrir facsímil</v>
      </c>
      <c r="K1983" s="3" t="s">
        <v>22</v>
      </c>
    </row>
    <row r="1984" spans="1:11" ht="42" customHeight="1">
      <c r="A1984" s="2" t="s">
        <v>4141</v>
      </c>
      <c r="B1984" s="2" t="s">
        <v>4141</v>
      </c>
      <c r="C1984" s="2" t="s">
        <v>42</v>
      </c>
      <c r="D1984" s="2" t="s">
        <v>17</v>
      </c>
      <c r="E1984" s="5">
        <v>-28186</v>
      </c>
      <c r="F1984" s="3" t="s">
        <v>581</v>
      </c>
      <c r="G1984" s="3" t="s">
        <v>35</v>
      </c>
      <c r="H1984" s="2" t="s">
        <v>20</v>
      </c>
      <c r="I1984" s="2" t="s">
        <v>4197</v>
      </c>
      <c r="J1984" s="3" t="str">
        <f>HYPERLINK("https://www.boe.es/gazeta/dias/1822/10/29/pdfs/GMD-1822-316.pdf#page=2","Abrir facsímil")</f>
        <v>Abrir facsímil</v>
      </c>
      <c r="K1984" s="3" t="s">
        <v>22</v>
      </c>
    </row>
    <row r="1985" spans="1:11" ht="42" customHeight="1">
      <c r="A1985" s="2" t="s">
        <v>4141</v>
      </c>
      <c r="B1985" s="2" t="s">
        <v>4141</v>
      </c>
      <c r="C1985" s="2" t="s">
        <v>42</v>
      </c>
      <c r="D1985" s="2" t="s">
        <v>17</v>
      </c>
      <c r="E1985" s="5">
        <v>-28178</v>
      </c>
      <c r="F1985" s="3" t="s">
        <v>318</v>
      </c>
      <c r="G1985" s="3" t="s">
        <v>35</v>
      </c>
      <c r="H1985" s="2" t="s">
        <v>20</v>
      </c>
      <c r="I1985" s="2" t="s">
        <v>4198</v>
      </c>
      <c r="J1985" s="3" t="str">
        <f>HYPERLINK("https://www.boe.es/gazeta/dias/1822/11/06/pdfs/GMD-1822-326.pdf#page=2","Abrir facsímil")</f>
        <v>Abrir facsímil</v>
      </c>
      <c r="K1985" s="3" t="s">
        <v>22</v>
      </c>
    </row>
    <row r="1986" spans="1:11" ht="42" customHeight="1">
      <c r="A1986" s="2" t="s">
        <v>4141</v>
      </c>
      <c r="B1986" s="2" t="s">
        <v>4141</v>
      </c>
      <c r="C1986" s="2" t="s">
        <v>16</v>
      </c>
      <c r="D1986" s="2" t="s">
        <v>17</v>
      </c>
      <c r="E1986" s="5">
        <v>-28173</v>
      </c>
      <c r="F1986" s="3" t="s">
        <v>2959</v>
      </c>
      <c r="G1986" s="3" t="s">
        <v>35</v>
      </c>
      <c r="H1986" s="2" t="s">
        <v>20</v>
      </c>
      <c r="I1986" s="2" t="s">
        <v>4199</v>
      </c>
      <c r="J1986" s="3" t="str">
        <f>HYPERLINK("https://www.boe.es/gazeta/dias/1822/11/11/pdfs/GMD-1822-331.pdf#page=2","Abrir facsímil")</f>
        <v>Abrir facsímil</v>
      </c>
      <c r="K1986" s="3" t="s">
        <v>22</v>
      </c>
    </row>
    <row r="1987" spans="1:11" ht="42" customHeight="1">
      <c r="A1987" s="2" t="s">
        <v>4141</v>
      </c>
      <c r="B1987" s="2" t="s">
        <v>4141</v>
      </c>
      <c r="C1987" s="2" t="s">
        <v>50</v>
      </c>
      <c r="D1987" s="2" t="s">
        <v>51</v>
      </c>
      <c r="E1987" s="5">
        <v>-28172</v>
      </c>
      <c r="F1987" s="3" t="s">
        <v>674</v>
      </c>
      <c r="G1987" s="3" t="s">
        <v>35</v>
      </c>
      <c r="H1987" s="2" t="s">
        <v>20</v>
      </c>
      <c r="I1987" s="2" t="s">
        <v>4200</v>
      </c>
      <c r="J1987" s="3" t="str">
        <f>HYPERLINK("https://www.boe.es/gazeta/dias/1822/11/12/pdfs/GMD-1822-332.pdf#page=2","Abrir facsímil")</f>
        <v>Abrir facsímil</v>
      </c>
      <c r="K1987" s="3" t="s">
        <v>22</v>
      </c>
    </row>
    <row r="1988" spans="1:11" ht="42" customHeight="1">
      <c r="A1988" s="2" t="s">
        <v>4141</v>
      </c>
      <c r="B1988" s="2" t="s">
        <v>4141</v>
      </c>
      <c r="C1988" s="2" t="s">
        <v>50</v>
      </c>
      <c r="D1988" s="2" t="s">
        <v>51</v>
      </c>
      <c r="E1988" s="5">
        <v>-28171</v>
      </c>
      <c r="F1988" s="3" t="s">
        <v>1075</v>
      </c>
      <c r="G1988" s="3" t="s">
        <v>35</v>
      </c>
      <c r="H1988" s="2" t="s">
        <v>20</v>
      </c>
      <c r="I1988" s="2" t="s">
        <v>4201</v>
      </c>
      <c r="J1988" s="3" t="str">
        <f>HYPERLINK("https://www.boe.es/gazeta/dias/1822/11/13/pdfs/GMD-1822-333.pdf#page=2","Abrir facsímil")</f>
        <v>Abrir facsímil</v>
      </c>
      <c r="K1988" s="3" t="s">
        <v>22</v>
      </c>
    </row>
    <row r="1989" spans="1:11" ht="42" customHeight="1">
      <c r="A1989" s="2" t="s">
        <v>4141</v>
      </c>
      <c r="B1989" s="2" t="s">
        <v>4141</v>
      </c>
      <c r="C1989" s="2" t="s">
        <v>71</v>
      </c>
      <c r="D1989" s="2" t="s">
        <v>17</v>
      </c>
      <c r="E1989" s="5">
        <v>-28171</v>
      </c>
      <c r="F1989" s="3" t="s">
        <v>1075</v>
      </c>
      <c r="G1989" s="3" t="s">
        <v>31</v>
      </c>
      <c r="H1989" s="2" t="s">
        <v>20</v>
      </c>
      <c r="I1989" s="2" t="s">
        <v>4202</v>
      </c>
      <c r="J1989" s="3" t="str">
        <f>HYPERLINK("https://www.boe.es/gazeta/dias/1822/11/13/pdfs/GMD-1822-333.pdf#page=3","Abrir facsímil")</f>
        <v>Abrir facsímil</v>
      </c>
      <c r="K1989" s="3" t="s">
        <v>22</v>
      </c>
    </row>
    <row r="1990" spans="1:11" ht="42" customHeight="1">
      <c r="A1990" s="2" t="s">
        <v>4141</v>
      </c>
      <c r="B1990" s="2" t="s">
        <v>4141</v>
      </c>
      <c r="C1990" s="2" t="s">
        <v>71</v>
      </c>
      <c r="D1990" s="2" t="s">
        <v>17</v>
      </c>
      <c r="E1990" s="5">
        <v>-28163</v>
      </c>
      <c r="F1990" s="3" t="s">
        <v>891</v>
      </c>
      <c r="G1990" s="3" t="s">
        <v>31</v>
      </c>
      <c r="H1990" s="2" t="s">
        <v>20</v>
      </c>
      <c r="I1990" s="2" t="s">
        <v>4203</v>
      </c>
      <c r="J1990" s="3" t="str">
        <f>HYPERLINK("https://www.boe.es/gazeta/dias/1822/11/21/pdfs/GMD-1822-341.pdf#page=3","Abrir facsímil")</f>
        <v>Abrir facsímil</v>
      </c>
      <c r="K1990" s="3" t="s">
        <v>22</v>
      </c>
    </row>
    <row r="1991" spans="1:11" ht="42" customHeight="1">
      <c r="A1991" s="2" t="s">
        <v>4141</v>
      </c>
      <c r="B1991" s="2" t="s">
        <v>4141</v>
      </c>
      <c r="C1991" s="2" t="s">
        <v>71</v>
      </c>
      <c r="D1991" s="2" t="s">
        <v>17</v>
      </c>
      <c r="E1991" s="5">
        <v>-28161</v>
      </c>
      <c r="F1991" s="3" t="s">
        <v>166</v>
      </c>
      <c r="G1991" s="3" t="s">
        <v>44</v>
      </c>
      <c r="H1991" s="2" t="s">
        <v>20</v>
      </c>
      <c r="I1991" s="2" t="s">
        <v>4204</v>
      </c>
      <c r="J1991" s="3" t="str">
        <f>HYPERLINK("https://www.boe.es/gazeta/dias/1822/11/23/pdfs/GMD-1822-343.pdf#page=1","Abrir facsímil")</f>
        <v>Abrir facsímil</v>
      </c>
      <c r="K1991" s="3" t="s">
        <v>22</v>
      </c>
    </row>
    <row r="1992" spans="1:11" ht="42" customHeight="1">
      <c r="A1992" s="2" t="s">
        <v>4141</v>
      </c>
      <c r="B1992" s="2" t="s">
        <v>4141</v>
      </c>
      <c r="C1992" s="2" t="s">
        <v>28</v>
      </c>
      <c r="D1992" s="2" t="s">
        <v>29</v>
      </c>
      <c r="E1992" s="5">
        <v>-28153</v>
      </c>
      <c r="F1992" s="3" t="s">
        <v>946</v>
      </c>
      <c r="G1992" s="3" t="s">
        <v>44</v>
      </c>
      <c r="H1992" s="2" t="s">
        <v>20</v>
      </c>
      <c r="I1992" s="2" t="s">
        <v>4205</v>
      </c>
      <c r="J1992" s="3" t="str">
        <f>HYPERLINK("https://www.boe.es/gazeta/dias/1822/12/01/pdfs/GMD-1822-351.pdf#page=1","Abrir facsímil")</f>
        <v>Abrir facsímil</v>
      </c>
      <c r="K1992" s="3" t="s">
        <v>22</v>
      </c>
    </row>
    <row r="1993" spans="1:11" ht="42" customHeight="1">
      <c r="A1993" s="2" t="s">
        <v>4141</v>
      </c>
      <c r="B1993" s="2" t="s">
        <v>4141</v>
      </c>
      <c r="C1993" s="2" t="s">
        <v>50</v>
      </c>
      <c r="D1993" s="2" t="s">
        <v>51</v>
      </c>
      <c r="E1993" s="5">
        <v>-28153</v>
      </c>
      <c r="F1993" s="3" t="s">
        <v>946</v>
      </c>
      <c r="G1993" s="3" t="s">
        <v>57</v>
      </c>
      <c r="H1993" s="2" t="s">
        <v>20</v>
      </c>
      <c r="I1993" s="2" t="s">
        <v>4206</v>
      </c>
      <c r="J1993" s="3" t="str">
        <f>HYPERLINK("https://www.boe.es/gazeta/dias/1822/12/01/pdfs/GMD-1822-351.pdf#page=4","Abrir facsímil")</f>
        <v>Abrir facsímil</v>
      </c>
      <c r="K1993" s="3" t="s">
        <v>22</v>
      </c>
    </row>
    <row r="1994" spans="1:11" ht="42" customHeight="1">
      <c r="A1994" s="2" t="s">
        <v>4141</v>
      </c>
      <c r="B1994" s="2" t="s">
        <v>4141</v>
      </c>
      <c r="C1994" s="2" t="s">
        <v>16</v>
      </c>
      <c r="D1994" s="2" t="s">
        <v>17</v>
      </c>
      <c r="E1994" s="5">
        <v>-28147</v>
      </c>
      <c r="F1994" s="3" t="s">
        <v>1611</v>
      </c>
      <c r="G1994" s="3" t="s">
        <v>19</v>
      </c>
      <c r="H1994" s="2" t="s">
        <v>20</v>
      </c>
      <c r="I1994" s="2" t="s">
        <v>4207</v>
      </c>
      <c r="J1994" s="3" t="str">
        <f>HYPERLINK("https://www.boe.es/gazeta/dias/1822/12/07/pdfs/GMD-1822-357.pdf#page=5","Abrir facsímil")</f>
        <v>Abrir facsímil</v>
      </c>
      <c r="K1994" s="3" t="s">
        <v>22</v>
      </c>
    </row>
    <row r="1995" spans="1:11" ht="42" customHeight="1">
      <c r="A1995" s="2" t="s">
        <v>4141</v>
      </c>
      <c r="B1995" s="2" t="s">
        <v>4141</v>
      </c>
      <c r="C1995" s="2" t="s">
        <v>24</v>
      </c>
      <c r="D1995" s="2" t="s">
        <v>17</v>
      </c>
      <c r="E1995" s="5">
        <v>-28141</v>
      </c>
      <c r="F1995" s="3" t="s">
        <v>265</v>
      </c>
      <c r="G1995" s="3" t="s">
        <v>35</v>
      </c>
      <c r="H1995" s="2" t="s">
        <v>20</v>
      </c>
      <c r="I1995" s="2" t="s">
        <v>4208</v>
      </c>
      <c r="J1995" s="3" t="str">
        <f>HYPERLINK("https://www.boe.es/gazeta/dias/1822/12/13/pdfs/GMD-1822-363.pdf#page=2","Abrir facsímil")</f>
        <v>Abrir facsímil</v>
      </c>
      <c r="K1995" s="3" t="s">
        <v>22</v>
      </c>
    </row>
    <row r="1996" spans="1:11" ht="42" customHeight="1">
      <c r="A1996" s="2" t="s">
        <v>4141</v>
      </c>
      <c r="B1996" s="2" t="s">
        <v>4141</v>
      </c>
      <c r="C1996" s="2" t="s">
        <v>50</v>
      </c>
      <c r="D1996" s="2" t="s">
        <v>51</v>
      </c>
      <c r="E1996" s="5">
        <v>-28140</v>
      </c>
      <c r="F1996" s="3" t="s">
        <v>84</v>
      </c>
      <c r="G1996" s="3" t="s">
        <v>35</v>
      </c>
      <c r="H1996" s="2" t="s">
        <v>20</v>
      </c>
      <c r="I1996" s="2" t="s">
        <v>4209</v>
      </c>
      <c r="J1996" s="3" t="str">
        <f>HYPERLINK("https://www.boe.es/gazeta/dias/1822/12/14/pdfs/GMD-1822-364.pdf#page=2","Abrir facsímil")</f>
        <v>Abrir facsímil</v>
      </c>
      <c r="K1996" s="3" t="s">
        <v>22</v>
      </c>
    </row>
    <row r="1997" spans="1:11" ht="42" customHeight="1">
      <c r="A1997" s="2" t="s">
        <v>4141</v>
      </c>
      <c r="B1997" s="2" t="s">
        <v>4141</v>
      </c>
      <c r="C1997" s="2" t="s">
        <v>71</v>
      </c>
      <c r="D1997" s="2" t="s">
        <v>17</v>
      </c>
      <c r="E1997" s="5">
        <v>-28138</v>
      </c>
      <c r="F1997" s="3" t="s">
        <v>3542</v>
      </c>
      <c r="G1997" s="3" t="s">
        <v>35</v>
      </c>
      <c r="H1997" s="2" t="s">
        <v>20</v>
      </c>
      <c r="I1997" s="2" t="s">
        <v>4210</v>
      </c>
      <c r="J1997" s="3" t="str">
        <f>HYPERLINK("https://www.boe.es/gazeta/dias/1822/12/16/pdfs/GMD-1822-366.pdf#page=2","Abrir facsímil")</f>
        <v>Abrir facsímil</v>
      </c>
      <c r="K1997" s="3" t="s">
        <v>22</v>
      </c>
    </row>
    <row r="1998" spans="1:11" ht="42" customHeight="1">
      <c r="A1998" s="2" t="s">
        <v>4141</v>
      </c>
      <c r="B1998" s="2" t="s">
        <v>4141</v>
      </c>
      <c r="C1998" s="2" t="s">
        <v>71</v>
      </c>
      <c r="D1998" s="2" t="s">
        <v>17</v>
      </c>
      <c r="E1998" s="5">
        <v>-28137</v>
      </c>
      <c r="F1998" s="3" t="s">
        <v>312</v>
      </c>
      <c r="G1998" s="3" t="s">
        <v>35</v>
      </c>
      <c r="H1998" s="2" t="s">
        <v>20</v>
      </c>
      <c r="I1998" s="2" t="s">
        <v>4211</v>
      </c>
      <c r="J1998" s="3" t="str">
        <f>HYPERLINK("https://www.boe.es/gazeta/dias/1822/12/17/pdfs/GMD-1822-367.pdf#page=2","Abrir facsímil")</f>
        <v>Abrir facsímil</v>
      </c>
      <c r="K1998" s="3" t="s">
        <v>22</v>
      </c>
    </row>
    <row r="1999" spans="1:11" ht="42" customHeight="1">
      <c r="A1999" s="2" t="s">
        <v>4141</v>
      </c>
      <c r="B1999" s="2" t="s">
        <v>4141</v>
      </c>
      <c r="C1999" s="2" t="s">
        <v>42</v>
      </c>
      <c r="D1999" s="2" t="s">
        <v>17</v>
      </c>
      <c r="E1999" s="5">
        <v>-28137</v>
      </c>
      <c r="F1999" s="3" t="s">
        <v>312</v>
      </c>
      <c r="G1999" s="3" t="s">
        <v>31</v>
      </c>
      <c r="H1999" s="2" t="s">
        <v>20</v>
      </c>
      <c r="I1999" s="2" t="s">
        <v>4212</v>
      </c>
      <c r="J1999" s="3" t="str">
        <f>HYPERLINK("https://www.boe.es/gazeta/dias/1822/12/17/pdfs/GMD-1822-367.pdf#page=3","Abrir facsímil")</f>
        <v>Abrir facsímil</v>
      </c>
      <c r="K1999" s="3" t="s">
        <v>22</v>
      </c>
    </row>
    <row r="2000" spans="1:11" ht="42" customHeight="1">
      <c r="A2000" s="2" t="s">
        <v>4141</v>
      </c>
      <c r="B2000" s="2" t="s">
        <v>4141</v>
      </c>
      <c r="C2000" s="2" t="s">
        <v>28</v>
      </c>
      <c r="D2000" s="2" t="s">
        <v>29</v>
      </c>
      <c r="E2000" s="5">
        <v>-28137</v>
      </c>
      <c r="F2000" s="3" t="s">
        <v>312</v>
      </c>
      <c r="G2000" s="3" t="s">
        <v>57</v>
      </c>
      <c r="H2000" s="2" t="s">
        <v>20</v>
      </c>
      <c r="I2000" s="2" t="s">
        <v>4213</v>
      </c>
      <c r="J2000" s="3" t="str">
        <f>HYPERLINK("https://www.boe.es/gazeta/dias/1822/12/17/pdfs/GMD-1822-367.pdf#page=4","Abrir facsímil")</f>
        <v>Abrir facsímil</v>
      </c>
      <c r="K2000" s="3" t="s">
        <v>22</v>
      </c>
    </row>
    <row r="2001" spans="1:11" ht="42" customHeight="1">
      <c r="A2001" s="2" t="s">
        <v>4141</v>
      </c>
      <c r="B2001" s="2" t="s">
        <v>4141</v>
      </c>
      <c r="C2001" s="2" t="s">
        <v>16</v>
      </c>
      <c r="D2001" s="2" t="s">
        <v>17</v>
      </c>
      <c r="E2001" s="5">
        <v>-28133</v>
      </c>
      <c r="F2001" s="3" t="s">
        <v>595</v>
      </c>
      <c r="G2001" s="3" t="s">
        <v>596</v>
      </c>
      <c r="H2001" s="2" t="s">
        <v>20</v>
      </c>
      <c r="I2001" s="2" t="s">
        <v>4214</v>
      </c>
      <c r="J2001" s="3" t="str">
        <f>HYPERLINK("https://www.boe.es/gazeta/dias/1822/12/21/pdfs/GMD-1822-371.pdf#page=2","Abrir facsímil")</f>
        <v>Abrir facsímil</v>
      </c>
      <c r="K2001" s="3" t="s">
        <v>22</v>
      </c>
    </row>
    <row r="2002" spans="1:11" ht="42" customHeight="1">
      <c r="A2002" s="2" t="s">
        <v>4141</v>
      </c>
      <c r="B2002" s="2" t="s">
        <v>4141</v>
      </c>
      <c r="C2002" s="2" t="s">
        <v>71</v>
      </c>
      <c r="D2002" s="2" t="s">
        <v>17</v>
      </c>
      <c r="E2002" s="5">
        <v>-28133</v>
      </c>
      <c r="F2002" s="3" t="s">
        <v>595</v>
      </c>
      <c r="G2002" s="3" t="s">
        <v>31</v>
      </c>
      <c r="H2002" s="2" t="s">
        <v>20</v>
      </c>
      <c r="I2002" s="2" t="s">
        <v>4215</v>
      </c>
      <c r="J2002" s="3" t="str">
        <f>HYPERLINK("https://www.boe.es/gazeta/dias/1822/12/21/pdfs/GMD-1822-371.pdf#page=3","Abrir facsímil")</f>
        <v>Abrir facsímil</v>
      </c>
      <c r="K2002" s="3" t="s">
        <v>22</v>
      </c>
    </row>
    <row r="2003" spans="1:11" ht="42" customHeight="1">
      <c r="A2003" s="2" t="s">
        <v>4141</v>
      </c>
      <c r="B2003" s="2" t="s">
        <v>4141</v>
      </c>
      <c r="C2003" s="2" t="s">
        <v>50</v>
      </c>
      <c r="D2003" s="2" t="s">
        <v>51</v>
      </c>
      <c r="E2003" s="5">
        <v>-28132</v>
      </c>
      <c r="F2003" s="3" t="s">
        <v>820</v>
      </c>
      <c r="G2003" s="3" t="s">
        <v>821</v>
      </c>
      <c r="H2003" s="2" t="s">
        <v>20</v>
      </c>
      <c r="I2003" s="2" t="s">
        <v>4216</v>
      </c>
      <c r="J2003" s="3" t="str">
        <f>HYPERLINK("https://www.boe.es/gazeta/dias/1822/12/22/pdfs/GMD-1822-372.pdf#page=4","Abrir facsímil")</f>
        <v>Abrir facsímil</v>
      </c>
      <c r="K2003" s="3" t="s">
        <v>22</v>
      </c>
    </row>
    <row r="2004" spans="1:11" ht="42" customHeight="1">
      <c r="A2004" s="2" t="s">
        <v>4141</v>
      </c>
      <c r="B2004" s="2" t="s">
        <v>4141</v>
      </c>
      <c r="C2004" s="2" t="s">
        <v>42</v>
      </c>
      <c r="D2004" s="2" t="s">
        <v>17</v>
      </c>
      <c r="E2004" s="5">
        <v>-28131</v>
      </c>
      <c r="F2004" s="3" t="s">
        <v>893</v>
      </c>
      <c r="G2004" s="3" t="s">
        <v>19</v>
      </c>
      <c r="H2004" s="2" t="s">
        <v>20</v>
      </c>
      <c r="I2004" s="2" t="s">
        <v>4217</v>
      </c>
      <c r="J2004" s="3" t="str">
        <f>HYPERLINK("https://www.boe.es/gazeta/dias/1822/12/23/pdfs/GMD-1822-373.pdf#page=5","Abrir facsímil")</f>
        <v>Abrir facsímil</v>
      </c>
      <c r="K2004" s="3" t="s">
        <v>22</v>
      </c>
    </row>
    <row r="2005" spans="1:11" ht="42" customHeight="1">
      <c r="A2005" s="2" t="s">
        <v>4141</v>
      </c>
      <c r="B2005" s="2" t="s">
        <v>4141</v>
      </c>
      <c r="C2005" s="2" t="s">
        <v>42</v>
      </c>
      <c r="D2005" s="2" t="s">
        <v>17</v>
      </c>
      <c r="E2005" s="5">
        <v>-28130</v>
      </c>
      <c r="F2005" s="3" t="s">
        <v>34</v>
      </c>
      <c r="G2005" s="3" t="s">
        <v>35</v>
      </c>
      <c r="H2005" s="2" t="s">
        <v>20</v>
      </c>
      <c r="I2005" s="2" t="s">
        <v>4218</v>
      </c>
      <c r="J2005" s="3" t="str">
        <f>HYPERLINK("https://www.boe.es/gazeta/dias/1822/12/24/pdfs/GMD-1822-374.pdf#page=2","Abrir facsímil")</f>
        <v>Abrir facsímil</v>
      </c>
      <c r="K2005" s="3" t="s">
        <v>22</v>
      </c>
    </row>
    <row r="2006" spans="1:11" ht="42" customHeight="1">
      <c r="A2006" s="2" t="s">
        <v>4141</v>
      </c>
      <c r="B2006" s="2" t="s">
        <v>4141</v>
      </c>
      <c r="C2006" s="2" t="s">
        <v>42</v>
      </c>
      <c r="D2006" s="2" t="s">
        <v>17</v>
      </c>
      <c r="E2006" s="5">
        <v>-28130</v>
      </c>
      <c r="F2006" s="3" t="s">
        <v>34</v>
      </c>
      <c r="G2006" s="3" t="s">
        <v>31</v>
      </c>
      <c r="H2006" s="2" t="s">
        <v>20</v>
      </c>
      <c r="I2006" s="2" t="s">
        <v>4219</v>
      </c>
      <c r="J2006" s="3" t="str">
        <f>HYPERLINK("https://www.boe.es/gazeta/dias/1822/12/24/pdfs/GMD-1822-374.pdf#page=3","Abrir facsímil")</f>
        <v>Abrir facsímil</v>
      </c>
      <c r="K2006" s="3" t="s">
        <v>22</v>
      </c>
    </row>
    <row r="2007" spans="1:11" ht="42" customHeight="1">
      <c r="A2007" s="2" t="s">
        <v>4141</v>
      </c>
      <c r="B2007" s="2" t="s">
        <v>4141</v>
      </c>
      <c r="C2007" s="2" t="s">
        <v>42</v>
      </c>
      <c r="D2007" s="2" t="s">
        <v>17</v>
      </c>
      <c r="E2007" s="5">
        <v>-28126</v>
      </c>
      <c r="F2007" s="3" t="s">
        <v>952</v>
      </c>
      <c r="G2007" s="3" t="s">
        <v>35</v>
      </c>
      <c r="H2007" s="2" t="s">
        <v>20</v>
      </c>
      <c r="I2007" s="2" t="s">
        <v>4220</v>
      </c>
      <c r="J2007" s="3" t="str">
        <f>HYPERLINK("https://www.boe.es/gazeta/dias/1822/12/28/pdfs/GMD-1822-378.pdf#page=2","Abrir facsímil")</f>
        <v>Abrir facsímil</v>
      </c>
      <c r="K2007" s="3" t="s">
        <v>22</v>
      </c>
    </row>
    <row r="2008" spans="1:11" ht="42" customHeight="1">
      <c r="A2008" s="2" t="s">
        <v>4141</v>
      </c>
      <c r="B2008" s="2" t="s">
        <v>4141</v>
      </c>
      <c r="C2008" s="2" t="s">
        <v>28</v>
      </c>
      <c r="D2008" s="2" t="s">
        <v>29</v>
      </c>
      <c r="E2008" s="5">
        <v>-28126</v>
      </c>
      <c r="F2008" s="3" t="s">
        <v>952</v>
      </c>
      <c r="G2008" s="3" t="s">
        <v>31</v>
      </c>
      <c r="H2008" s="2" t="s">
        <v>20</v>
      </c>
      <c r="I2008" s="2" t="s">
        <v>4221</v>
      </c>
      <c r="J2008" s="3" t="str">
        <f>HYPERLINK("https://www.boe.es/gazeta/dias/1822/12/28/pdfs/GMD-1822-378.pdf#page=3","Abrir facsímil")</f>
        <v>Abrir facsímil</v>
      </c>
      <c r="K2008" s="3" t="s">
        <v>22</v>
      </c>
    </row>
    <row r="2009" spans="1:11" ht="42" customHeight="1">
      <c r="A2009" s="2" t="s">
        <v>4141</v>
      </c>
      <c r="B2009" s="2" t="s">
        <v>4141</v>
      </c>
      <c r="C2009" s="2" t="s">
        <v>50</v>
      </c>
      <c r="D2009" s="2" t="s">
        <v>51</v>
      </c>
      <c r="E2009" s="5">
        <v>-28124</v>
      </c>
      <c r="F2009" s="3" t="s">
        <v>301</v>
      </c>
      <c r="G2009" s="3" t="s">
        <v>601</v>
      </c>
      <c r="H2009" s="2" t="s">
        <v>20</v>
      </c>
      <c r="I2009" s="2" t="s">
        <v>4222</v>
      </c>
      <c r="J2009" s="3" t="str">
        <f>HYPERLINK("https://www.boe.es/gazeta/dias/1822/12/30/pdfs/GMD-1822-380.pdf#page=4","Abrir facsímil")</f>
        <v>Abrir facsímil</v>
      </c>
      <c r="K2009" s="3" t="s">
        <v>22</v>
      </c>
    </row>
    <row r="2010" spans="1:11" ht="42" customHeight="1">
      <c r="A2010" s="2" t="s">
        <v>4141</v>
      </c>
      <c r="B2010" s="2" t="s">
        <v>4141</v>
      </c>
      <c r="C2010" s="2" t="s">
        <v>61</v>
      </c>
      <c r="D2010" s="2" t="s">
        <v>17</v>
      </c>
      <c r="E2010" s="5">
        <v>-28124</v>
      </c>
      <c r="F2010" s="3" t="s">
        <v>301</v>
      </c>
      <c r="G2010" s="3" t="s">
        <v>19</v>
      </c>
      <c r="H2010" s="2" t="s">
        <v>20</v>
      </c>
      <c r="I2010" s="2" t="s">
        <v>4223</v>
      </c>
      <c r="J2010" s="3" t="str">
        <f>HYPERLINK("https://www.boe.es/gazeta/dias/1822/12/30/pdfs/GMD-1822-380.pdf#page=5","Abrir facsímil")</f>
        <v>Abrir facsímil</v>
      </c>
      <c r="K2010" s="3" t="s">
        <v>22</v>
      </c>
    </row>
    <row r="2011" spans="1:11" ht="42" customHeight="1">
      <c r="A2011" s="2" t="s">
        <v>4224</v>
      </c>
      <c r="B2011" s="2" t="s">
        <v>4225</v>
      </c>
      <c r="C2011" s="2" t="s">
        <v>50</v>
      </c>
      <c r="D2011" s="2" t="s">
        <v>51</v>
      </c>
      <c r="E2011" s="5">
        <v>-28432</v>
      </c>
      <c r="F2011" s="3" t="s">
        <v>195</v>
      </c>
      <c r="G2011" s="3" t="s">
        <v>57</v>
      </c>
      <c r="H2011" s="2" t="s">
        <v>20</v>
      </c>
      <c r="I2011" s="2" t="s">
        <v>4226</v>
      </c>
      <c r="J2011" s="3" t="str">
        <f>HYPERLINK("https://www.boe.es/gazeta/dias/1822/02/25/pdfs/GMD-1822-57.pdf#page=4","Abrir facsímil")</f>
        <v>Abrir facsímil</v>
      </c>
      <c r="K2011" s="3" t="s">
        <v>22</v>
      </c>
    </row>
    <row r="2012" spans="1:11" ht="42" customHeight="1">
      <c r="A2012" s="2" t="s">
        <v>4224</v>
      </c>
      <c r="B2012" s="2" t="s">
        <v>4225</v>
      </c>
      <c r="C2012" s="2" t="s">
        <v>42</v>
      </c>
      <c r="D2012" s="2" t="s">
        <v>17</v>
      </c>
      <c r="E2012" s="5">
        <v>-28166</v>
      </c>
      <c r="F2012" s="3" t="s">
        <v>942</v>
      </c>
      <c r="G2012" s="3" t="s">
        <v>1277</v>
      </c>
      <c r="H2012" s="2" t="s">
        <v>20</v>
      </c>
      <c r="I2012" s="2" t="s">
        <v>4227</v>
      </c>
      <c r="J2012" s="3" t="str">
        <f>HYPERLINK("https://www.boe.es/gazeta/dias/1822/11/18/pdfs/GMD-1822-338.pdf#page=6","Abrir facsímil")</f>
        <v>Abrir facsímil</v>
      </c>
      <c r="K2012" s="3" t="s">
        <v>22</v>
      </c>
    </row>
    <row r="2013" spans="1:11" ht="42" customHeight="1">
      <c r="A2013" s="2" t="s">
        <v>4228</v>
      </c>
      <c r="B2013" s="2" t="s">
        <v>4229</v>
      </c>
      <c r="C2013" s="2" t="s">
        <v>50</v>
      </c>
      <c r="D2013" s="2" t="s">
        <v>51</v>
      </c>
      <c r="E2013" s="5">
        <v>-28265</v>
      </c>
      <c r="F2013" s="3" t="s">
        <v>1263</v>
      </c>
      <c r="G2013" s="3" t="s">
        <v>57</v>
      </c>
      <c r="H2013" s="2" t="s">
        <v>20</v>
      </c>
      <c r="I2013" s="2" t="s">
        <v>4230</v>
      </c>
      <c r="J2013" s="3" t="str">
        <f>HYPERLINK("https://www.boe.es/gazeta/dias/1822/08/11/pdfs/GMD-1822-235.pdf#page=4","Abrir facsímil")</f>
        <v>Abrir facsímil</v>
      </c>
      <c r="K2013" s="3" t="s">
        <v>22</v>
      </c>
    </row>
    <row r="2014" spans="1:11" ht="42" customHeight="1">
      <c r="A2014" s="2" t="s">
        <v>4231</v>
      </c>
      <c r="B2014" s="2" t="s">
        <v>4232</v>
      </c>
      <c r="C2014" s="2" t="s">
        <v>71</v>
      </c>
      <c r="D2014" s="2" t="s">
        <v>17</v>
      </c>
      <c r="E2014" s="5">
        <v>-28150</v>
      </c>
      <c r="F2014" s="3" t="s">
        <v>62</v>
      </c>
      <c r="G2014" s="3" t="s">
        <v>31</v>
      </c>
      <c r="H2014" s="2" t="s">
        <v>20</v>
      </c>
      <c r="I2014" s="2" t="s">
        <v>4233</v>
      </c>
      <c r="J2014" s="3" t="str">
        <f>HYPERLINK("https://www.boe.es/gazeta/dias/1822/12/04/pdfs/GMD-1822-354.pdf#page=3","Abrir facsímil")</f>
        <v>Abrir facsímil</v>
      </c>
      <c r="K2014" s="3" t="s">
        <v>22</v>
      </c>
    </row>
    <row r="2015" spans="1:11" ht="42" customHeight="1">
      <c r="A2015" s="2" t="s">
        <v>4234</v>
      </c>
      <c r="B2015" s="2" t="s">
        <v>4235</v>
      </c>
      <c r="C2015" s="2" t="s">
        <v>50</v>
      </c>
      <c r="D2015" s="2" t="s">
        <v>51</v>
      </c>
      <c r="E2015" s="5">
        <v>-28346</v>
      </c>
      <c r="F2015" s="3" t="s">
        <v>191</v>
      </c>
      <c r="G2015" s="3" t="s">
        <v>2823</v>
      </c>
      <c r="H2015" s="2" t="s">
        <v>20</v>
      </c>
      <c r="I2015" s="2" t="s">
        <v>4236</v>
      </c>
      <c r="J2015" s="3" t="str">
        <f>HYPERLINK("https://www.boe.es/gazeta/dias/1822/05/22/pdfs/GMD-1822-145.pdf#page=4","Abrir facsímil")</f>
        <v>Abrir facsímil</v>
      </c>
      <c r="K2015" s="3" t="s">
        <v>22</v>
      </c>
    </row>
    <row r="2016" spans="1:11" ht="42" customHeight="1">
      <c r="A2016" s="2" t="s">
        <v>4237</v>
      </c>
      <c r="B2016" s="2" t="s">
        <v>4238</v>
      </c>
      <c r="C2016" s="2" t="s">
        <v>28</v>
      </c>
      <c r="D2016" s="2" t="s">
        <v>29</v>
      </c>
      <c r="E2016" s="5">
        <v>-28423</v>
      </c>
      <c r="F2016" s="3" t="s">
        <v>441</v>
      </c>
      <c r="G2016" s="3" t="s">
        <v>31</v>
      </c>
      <c r="H2016" s="2" t="s">
        <v>20</v>
      </c>
      <c r="I2016" s="2" t="s">
        <v>4239</v>
      </c>
      <c r="J2016" s="3" t="str">
        <f>HYPERLINK("https://www.boe.es/gazeta/dias/1822/03/06/pdfs/GMD-1822-67.pdf#page=3","Abrir facsímil")</f>
        <v>Abrir facsímil</v>
      </c>
      <c r="K2016" s="3" t="s">
        <v>22</v>
      </c>
    </row>
    <row r="2017" spans="1:11" ht="42" customHeight="1">
      <c r="A2017" s="2" t="s">
        <v>4237</v>
      </c>
      <c r="B2017" s="2" t="s">
        <v>4238</v>
      </c>
      <c r="C2017" s="2" t="s">
        <v>50</v>
      </c>
      <c r="D2017" s="2" t="s">
        <v>51</v>
      </c>
      <c r="E2017" s="5">
        <v>-28404</v>
      </c>
      <c r="F2017" s="3" t="s">
        <v>421</v>
      </c>
      <c r="G2017" s="3" t="s">
        <v>44</v>
      </c>
      <c r="H2017" s="2" t="s">
        <v>20</v>
      </c>
      <c r="I2017" s="2" t="s">
        <v>4240</v>
      </c>
      <c r="J2017" s="3" t="str">
        <f>HYPERLINK("https://www.boe.es/gazeta/dias/1822/03/25/pdfs/GMD-1822-86.pdf#page=1","Abrir facsímil")</f>
        <v>Abrir facsímil</v>
      </c>
      <c r="K2017" s="3" t="s">
        <v>22</v>
      </c>
    </row>
    <row r="2018" spans="1:11" ht="42" customHeight="1">
      <c r="A2018" s="2" t="s">
        <v>4237</v>
      </c>
      <c r="B2018" s="2" t="s">
        <v>4238</v>
      </c>
      <c r="C2018" s="2" t="s">
        <v>16</v>
      </c>
      <c r="D2018" s="2" t="s">
        <v>17</v>
      </c>
      <c r="E2018" s="5">
        <v>-28379</v>
      </c>
      <c r="F2018" s="3" t="s">
        <v>494</v>
      </c>
      <c r="G2018" s="3" t="s">
        <v>31</v>
      </c>
      <c r="H2018" s="2" t="s">
        <v>20</v>
      </c>
      <c r="I2018" s="2" t="s">
        <v>4241</v>
      </c>
      <c r="J2018" s="3" t="str">
        <f>HYPERLINK("https://www.boe.es/gazeta/dias/1822/04/19/pdfs/GMD-1822-111.pdf#page=3","Abrir facsímil")</f>
        <v>Abrir facsímil</v>
      </c>
      <c r="K2018" s="3" t="s">
        <v>22</v>
      </c>
    </row>
    <row r="2019" spans="1:11" ht="42" customHeight="1">
      <c r="A2019" s="2" t="s">
        <v>4237</v>
      </c>
      <c r="B2019" s="2" t="s">
        <v>4238</v>
      </c>
      <c r="C2019" s="2" t="s">
        <v>71</v>
      </c>
      <c r="D2019" s="2" t="s">
        <v>17</v>
      </c>
      <c r="E2019" s="5">
        <v>-28377</v>
      </c>
      <c r="F2019" s="3" t="s">
        <v>498</v>
      </c>
      <c r="G2019" s="3" t="s">
        <v>44</v>
      </c>
      <c r="H2019" s="2" t="s">
        <v>20</v>
      </c>
      <c r="I2019" s="2" t="s">
        <v>4242</v>
      </c>
      <c r="J2019" s="3" t="str">
        <f>HYPERLINK("https://www.boe.es/gazeta/dias/1822/04/21/pdfs/GMD-1822-113.pdf#page=1","Abrir facsímil")</f>
        <v>Abrir facsímil</v>
      </c>
      <c r="K2019" s="3" t="s">
        <v>22</v>
      </c>
    </row>
    <row r="2020" spans="1:11" ht="42" customHeight="1">
      <c r="A2020" s="2" t="s">
        <v>4237</v>
      </c>
      <c r="B2020" s="2" t="s">
        <v>4238</v>
      </c>
      <c r="C2020" s="2" t="s">
        <v>16</v>
      </c>
      <c r="D2020" s="2" t="s">
        <v>17</v>
      </c>
      <c r="E2020" s="5">
        <v>-28367</v>
      </c>
      <c r="F2020" s="3" t="s">
        <v>280</v>
      </c>
      <c r="G2020" s="3" t="s">
        <v>44</v>
      </c>
      <c r="H2020" s="2" t="s">
        <v>20</v>
      </c>
      <c r="I2020" s="2" t="s">
        <v>4243</v>
      </c>
      <c r="J2020" s="3" t="str">
        <f>HYPERLINK("https://www.boe.es/gazeta/dias/1822/05/01/pdfs/GMD-1822-123.pdf#page=1","Abrir facsímil")</f>
        <v>Abrir facsímil</v>
      </c>
      <c r="K2020" s="3" t="s">
        <v>22</v>
      </c>
    </row>
    <row r="2021" spans="1:11" ht="42" customHeight="1">
      <c r="A2021" s="2" t="s">
        <v>4237</v>
      </c>
      <c r="B2021" s="2" t="s">
        <v>4238</v>
      </c>
      <c r="C2021" s="2" t="s">
        <v>28</v>
      </c>
      <c r="D2021" s="2" t="s">
        <v>29</v>
      </c>
      <c r="E2021" s="5">
        <v>-28366</v>
      </c>
      <c r="F2021" s="3" t="s">
        <v>120</v>
      </c>
      <c r="G2021" s="3" t="s">
        <v>31</v>
      </c>
      <c r="H2021" s="2" t="s">
        <v>20</v>
      </c>
      <c r="I2021" s="2" t="s">
        <v>4244</v>
      </c>
      <c r="J2021" s="3" t="str">
        <f>HYPERLINK("https://www.boe.es/gazeta/dias/1822/05/02/pdfs/GMD-1822-124.pdf#page=3","Abrir facsímil")</f>
        <v>Abrir facsímil</v>
      </c>
      <c r="K2021" s="3" t="s">
        <v>22</v>
      </c>
    </row>
    <row r="2022" spans="1:11" ht="42" customHeight="1">
      <c r="A2022" s="2" t="s">
        <v>4237</v>
      </c>
      <c r="B2022" s="2" t="s">
        <v>4238</v>
      </c>
      <c r="C2022" s="2" t="s">
        <v>42</v>
      </c>
      <c r="D2022" s="2" t="s">
        <v>17</v>
      </c>
      <c r="E2022" s="5">
        <v>-28364</v>
      </c>
      <c r="F2022" s="3" t="s">
        <v>509</v>
      </c>
      <c r="G2022" s="3" t="s">
        <v>57</v>
      </c>
      <c r="H2022" s="2" t="s">
        <v>20</v>
      </c>
      <c r="I2022" s="2" t="s">
        <v>4245</v>
      </c>
      <c r="J2022" s="3" t="str">
        <f>HYPERLINK("https://www.boe.es/gazeta/dias/1822/05/04/pdfs/GMD-1822-126.pdf#page=4","Abrir facsímil")</f>
        <v>Abrir facsímil</v>
      </c>
      <c r="K2022" s="3" t="s">
        <v>22</v>
      </c>
    </row>
    <row r="2023" spans="1:11" ht="42" customHeight="1">
      <c r="A2023" s="2" t="s">
        <v>4237</v>
      </c>
      <c r="B2023" s="2" t="s">
        <v>4238</v>
      </c>
      <c r="C2023" s="2" t="s">
        <v>71</v>
      </c>
      <c r="D2023" s="2" t="s">
        <v>17</v>
      </c>
      <c r="E2023" s="5">
        <v>-28363</v>
      </c>
      <c r="F2023" s="3" t="s">
        <v>72</v>
      </c>
      <c r="G2023" s="3" t="s">
        <v>35</v>
      </c>
      <c r="H2023" s="2" t="s">
        <v>20</v>
      </c>
      <c r="I2023" s="2" t="s">
        <v>4246</v>
      </c>
      <c r="J2023" s="3" t="str">
        <f>HYPERLINK("https://www.boe.es/gazeta/dias/1822/05/05/pdfs/GMD-1822-127.pdf#page=2","Abrir facsímil")</f>
        <v>Abrir facsímil</v>
      </c>
      <c r="K2023" s="3" t="s">
        <v>22</v>
      </c>
    </row>
    <row r="2024" spans="1:11" ht="42" customHeight="1">
      <c r="A2024" s="2" t="s">
        <v>4237</v>
      </c>
      <c r="B2024" s="2" t="s">
        <v>4238</v>
      </c>
      <c r="C2024" s="2" t="s">
        <v>71</v>
      </c>
      <c r="D2024" s="2" t="s">
        <v>17</v>
      </c>
      <c r="E2024" s="5">
        <v>-28357</v>
      </c>
      <c r="F2024" s="3" t="s">
        <v>690</v>
      </c>
      <c r="G2024" s="3" t="s">
        <v>35</v>
      </c>
      <c r="H2024" s="2" t="s">
        <v>20</v>
      </c>
      <c r="I2024" s="2" t="s">
        <v>4247</v>
      </c>
      <c r="J2024" s="3" t="str">
        <f>HYPERLINK("https://www.boe.es/gazeta/dias/1822/05/11/pdfs/GMD-1822-133.pdf#page=2","Abrir facsímil")</f>
        <v>Abrir facsímil</v>
      </c>
      <c r="K2024" s="3" t="s">
        <v>22</v>
      </c>
    </row>
    <row r="2025" spans="1:11" ht="42" customHeight="1">
      <c r="A2025" s="2" t="s">
        <v>4237</v>
      </c>
      <c r="B2025" s="2" t="s">
        <v>4238</v>
      </c>
      <c r="C2025" s="2" t="s">
        <v>24</v>
      </c>
      <c r="D2025" s="2" t="s">
        <v>17</v>
      </c>
      <c r="E2025" s="5">
        <v>-28352</v>
      </c>
      <c r="F2025" s="3" t="s">
        <v>1575</v>
      </c>
      <c r="G2025" s="3" t="s">
        <v>44</v>
      </c>
      <c r="H2025" s="2" t="s">
        <v>20</v>
      </c>
      <c r="I2025" s="2" t="s">
        <v>4248</v>
      </c>
      <c r="J2025" s="3" t="str">
        <f>HYPERLINK("https://www.boe.es/gazeta/dias/1822/05/16/pdfs/GMD-1822-138.pdf#page=1","Abrir facsímil")</f>
        <v>Abrir facsímil</v>
      </c>
      <c r="K2025" s="3" t="s">
        <v>22</v>
      </c>
    </row>
    <row r="2026" spans="1:11" ht="42" customHeight="1">
      <c r="A2026" s="2" t="s">
        <v>4237</v>
      </c>
      <c r="B2026" s="2" t="s">
        <v>4238</v>
      </c>
      <c r="C2026" s="2" t="s">
        <v>42</v>
      </c>
      <c r="D2026" s="2" t="s">
        <v>17</v>
      </c>
      <c r="E2026" s="5">
        <v>-28351</v>
      </c>
      <c r="F2026" s="3" t="s">
        <v>282</v>
      </c>
      <c r="G2026" s="3" t="s">
        <v>31</v>
      </c>
      <c r="H2026" s="2" t="s">
        <v>20</v>
      </c>
      <c r="I2026" s="2" t="s">
        <v>4249</v>
      </c>
      <c r="J2026" s="3" t="str">
        <f>HYPERLINK("https://www.boe.es/gazeta/dias/1822/05/17/pdfs/GMD-1822-139.pdf#page=3","Abrir facsímil")</f>
        <v>Abrir facsímil</v>
      </c>
      <c r="K2026" s="3" t="s">
        <v>22</v>
      </c>
    </row>
    <row r="2027" spans="1:11" ht="42" customHeight="1">
      <c r="A2027" s="2" t="s">
        <v>4237</v>
      </c>
      <c r="B2027" s="2" t="s">
        <v>4238</v>
      </c>
      <c r="C2027" s="2" t="s">
        <v>71</v>
      </c>
      <c r="D2027" s="2" t="s">
        <v>17</v>
      </c>
      <c r="E2027" s="5">
        <v>-28346</v>
      </c>
      <c r="F2027" s="3" t="s">
        <v>191</v>
      </c>
      <c r="G2027" s="3" t="s">
        <v>2823</v>
      </c>
      <c r="H2027" s="2" t="s">
        <v>20</v>
      </c>
      <c r="I2027" s="2" t="s">
        <v>4250</v>
      </c>
      <c r="J2027" s="3" t="str">
        <f>HYPERLINK("https://www.boe.es/gazeta/dias/1822/05/22/pdfs/GMD-1822-145.pdf#page=4","Abrir facsímil")</f>
        <v>Abrir facsímil</v>
      </c>
      <c r="K2027" s="3" t="s">
        <v>22</v>
      </c>
    </row>
    <row r="2028" spans="1:11" ht="42" customHeight="1">
      <c r="A2028" s="2" t="s">
        <v>4237</v>
      </c>
      <c r="B2028" s="2" t="s">
        <v>4238</v>
      </c>
      <c r="C2028" s="2" t="s">
        <v>24</v>
      </c>
      <c r="D2028" s="2" t="s">
        <v>17</v>
      </c>
      <c r="E2028" s="5">
        <v>-28346</v>
      </c>
      <c r="F2028" s="3" t="s">
        <v>191</v>
      </c>
      <c r="G2028" s="3" t="s">
        <v>35</v>
      </c>
      <c r="H2028" s="2" t="s">
        <v>20</v>
      </c>
      <c r="I2028" s="2" t="s">
        <v>4251</v>
      </c>
      <c r="J2028" s="3" t="str">
        <f>HYPERLINK("https://www.boe.es/gazeta/dias/1822/05/22/pdfs/GMD-1822-145.pdf#page=2","Abrir facsímil")</f>
        <v>Abrir facsímil</v>
      </c>
      <c r="K2028" s="3" t="s">
        <v>22</v>
      </c>
    </row>
    <row r="2029" spans="1:11" ht="42" customHeight="1">
      <c r="A2029" s="2" t="s">
        <v>4237</v>
      </c>
      <c r="B2029" s="2" t="s">
        <v>4238</v>
      </c>
      <c r="C2029" s="2" t="s">
        <v>50</v>
      </c>
      <c r="D2029" s="2" t="s">
        <v>51</v>
      </c>
      <c r="E2029" s="5">
        <v>-28346</v>
      </c>
      <c r="F2029" s="3" t="s">
        <v>191</v>
      </c>
      <c r="G2029" s="3" t="s">
        <v>19</v>
      </c>
      <c r="H2029" s="2" t="s">
        <v>20</v>
      </c>
      <c r="I2029" s="2" t="s">
        <v>4252</v>
      </c>
      <c r="J2029" s="3" t="str">
        <f>HYPERLINK("https://www.boe.es/gazeta/dias/1822/05/22/pdfs/GMD-1822-145.pdf#page=5","Abrir facsímil")</f>
        <v>Abrir facsímil</v>
      </c>
      <c r="K2029" s="3" t="s">
        <v>22</v>
      </c>
    </row>
    <row r="2030" spans="1:11" ht="42" customHeight="1">
      <c r="A2030" s="2" t="s">
        <v>4237</v>
      </c>
      <c r="B2030" s="2" t="s">
        <v>4238</v>
      </c>
      <c r="C2030" s="2" t="s">
        <v>16</v>
      </c>
      <c r="D2030" s="2" t="s">
        <v>17</v>
      </c>
      <c r="E2030" s="5">
        <v>-28344</v>
      </c>
      <c r="F2030" s="3" t="s">
        <v>524</v>
      </c>
      <c r="G2030" s="3" t="s">
        <v>31</v>
      </c>
      <c r="H2030" s="2" t="s">
        <v>20</v>
      </c>
      <c r="I2030" s="2" t="s">
        <v>4253</v>
      </c>
      <c r="J2030" s="3" t="str">
        <f>HYPERLINK("https://www.boe.es/gazeta/dias/1822/05/24/pdfs/GMD-1822-148.pdf#page=3","Abrir facsímil")</f>
        <v>Abrir facsímil</v>
      </c>
      <c r="K2030" s="3" t="s">
        <v>22</v>
      </c>
    </row>
    <row r="2031" spans="1:11" ht="42" customHeight="1">
      <c r="A2031" s="2" t="s">
        <v>4237</v>
      </c>
      <c r="B2031" s="2" t="s">
        <v>4238</v>
      </c>
      <c r="C2031" s="2" t="s">
        <v>28</v>
      </c>
      <c r="D2031" s="2" t="s">
        <v>29</v>
      </c>
      <c r="E2031" s="5">
        <v>-28344</v>
      </c>
      <c r="F2031" s="3" t="s">
        <v>524</v>
      </c>
      <c r="G2031" s="3" t="s">
        <v>19</v>
      </c>
      <c r="H2031" s="2" t="s">
        <v>20</v>
      </c>
      <c r="I2031" s="2" t="s">
        <v>4254</v>
      </c>
      <c r="J2031" s="3" t="str">
        <f>HYPERLINK("https://www.boe.es/gazeta/dias/1822/05/24/pdfs/GMD-1822-148.pdf#page=5","Abrir facsímil")</f>
        <v>Abrir facsímil</v>
      </c>
      <c r="K2031" s="3" t="s">
        <v>22</v>
      </c>
    </row>
    <row r="2032" spans="1:11" ht="42" customHeight="1">
      <c r="A2032" s="2" t="s">
        <v>4237</v>
      </c>
      <c r="B2032" s="2" t="s">
        <v>4238</v>
      </c>
      <c r="C2032" s="2" t="s">
        <v>42</v>
      </c>
      <c r="D2032" s="2" t="s">
        <v>17</v>
      </c>
      <c r="E2032" s="5">
        <v>-28340</v>
      </c>
      <c r="F2032" s="3" t="s">
        <v>139</v>
      </c>
      <c r="G2032" s="3" t="s">
        <v>57</v>
      </c>
      <c r="H2032" s="2" t="s">
        <v>20</v>
      </c>
      <c r="I2032" s="2" t="s">
        <v>4255</v>
      </c>
      <c r="J2032" s="3" t="str">
        <f>HYPERLINK("https://www.boe.es/gazeta/dias/1822/05/28/pdfs/GMD-1822-153.pdf#page=4","Abrir facsímil")</f>
        <v>Abrir facsímil</v>
      </c>
      <c r="K2032" s="3" t="s">
        <v>22</v>
      </c>
    </row>
    <row r="2033" spans="1:11" ht="42" customHeight="1">
      <c r="A2033" s="2" t="s">
        <v>4237</v>
      </c>
      <c r="B2033" s="2" t="s">
        <v>4238</v>
      </c>
      <c r="C2033" s="2" t="s">
        <v>16</v>
      </c>
      <c r="D2033" s="2" t="s">
        <v>17</v>
      </c>
      <c r="E2033" s="5">
        <v>-28332</v>
      </c>
      <c r="F2033" s="3" t="s">
        <v>535</v>
      </c>
      <c r="G2033" s="3" t="s">
        <v>35</v>
      </c>
      <c r="H2033" s="2" t="s">
        <v>20</v>
      </c>
      <c r="I2033" s="2" t="s">
        <v>4256</v>
      </c>
      <c r="J2033" s="3" t="str">
        <f>HYPERLINK("https://www.boe.es/gazeta/dias/1822/06/05/pdfs/GMD-1822-162.pdf#page=2","Abrir facsímil")</f>
        <v>Abrir facsímil</v>
      </c>
      <c r="K2033" s="3" t="s">
        <v>22</v>
      </c>
    </row>
    <row r="2034" spans="1:11" ht="42" customHeight="1">
      <c r="A2034" s="2" t="s">
        <v>4237</v>
      </c>
      <c r="B2034" s="2" t="s">
        <v>4238</v>
      </c>
      <c r="C2034" s="2" t="s">
        <v>28</v>
      </c>
      <c r="D2034" s="2" t="s">
        <v>29</v>
      </c>
      <c r="E2034" s="5">
        <v>-28314</v>
      </c>
      <c r="F2034" s="3" t="s">
        <v>309</v>
      </c>
      <c r="G2034" s="3" t="s">
        <v>35</v>
      </c>
      <c r="H2034" s="2" t="s">
        <v>20</v>
      </c>
      <c r="I2034" s="2" t="s">
        <v>4257</v>
      </c>
      <c r="J2034" s="3" t="str">
        <f>HYPERLINK("https://www.boe.es/gazeta/dias/1822/06/23/pdfs/GMD-1822-181.pdf#page=2","Abrir facsímil")</f>
        <v>Abrir facsímil</v>
      </c>
      <c r="K2034" s="3" t="s">
        <v>22</v>
      </c>
    </row>
    <row r="2035" spans="1:11" ht="42" customHeight="1">
      <c r="A2035" s="2" t="s">
        <v>4237</v>
      </c>
      <c r="B2035" s="2" t="s">
        <v>4238</v>
      </c>
      <c r="C2035" s="2" t="s">
        <v>42</v>
      </c>
      <c r="D2035" s="2" t="s">
        <v>17</v>
      </c>
      <c r="E2035" s="5">
        <v>-28213</v>
      </c>
      <c r="F2035" s="3" t="s">
        <v>558</v>
      </c>
      <c r="G2035" s="3" t="s">
        <v>31</v>
      </c>
      <c r="H2035" s="2" t="s">
        <v>20</v>
      </c>
      <c r="I2035" s="2" t="s">
        <v>4258</v>
      </c>
      <c r="J2035" s="3" t="str">
        <f>HYPERLINK("https://www.boe.es/gazeta/dias/1822/10/02/pdfs/GMD-1822-288.pdf#page=3","Abrir facsímil")</f>
        <v>Abrir facsímil</v>
      </c>
      <c r="K2035" s="3" t="s">
        <v>22</v>
      </c>
    </row>
    <row r="2036" spans="1:11" ht="42" customHeight="1">
      <c r="A2036" s="2" t="s">
        <v>4237</v>
      </c>
      <c r="B2036" s="2" t="s">
        <v>4238</v>
      </c>
      <c r="C2036" s="2" t="s">
        <v>50</v>
      </c>
      <c r="D2036" s="2" t="s">
        <v>51</v>
      </c>
      <c r="E2036" s="5">
        <v>-28212</v>
      </c>
      <c r="F2036" s="3" t="s">
        <v>560</v>
      </c>
      <c r="G2036" s="3" t="s">
        <v>35</v>
      </c>
      <c r="H2036" s="2" t="s">
        <v>20</v>
      </c>
      <c r="I2036" s="2" t="s">
        <v>4259</v>
      </c>
      <c r="J2036" s="3" t="str">
        <f>HYPERLINK("https://www.boe.es/gazeta/dias/1822/10/03/pdfs/GMD-1822-289.pdf#page=2","Abrir facsímil")</f>
        <v>Abrir facsímil</v>
      </c>
      <c r="K2036" s="3" t="s">
        <v>22</v>
      </c>
    </row>
    <row r="2037" spans="1:11" ht="42" customHeight="1">
      <c r="A2037" s="2" t="s">
        <v>4237</v>
      </c>
      <c r="B2037" s="2" t="s">
        <v>4238</v>
      </c>
      <c r="C2037" s="2" t="s">
        <v>28</v>
      </c>
      <c r="D2037" s="2" t="s">
        <v>29</v>
      </c>
      <c r="E2037" s="5">
        <v>-28203</v>
      </c>
      <c r="F2037" s="3" t="s">
        <v>564</v>
      </c>
      <c r="G2037" s="3" t="s">
        <v>4185</v>
      </c>
      <c r="H2037" s="2" t="s">
        <v>20</v>
      </c>
      <c r="I2037" s="2" t="s">
        <v>4260</v>
      </c>
      <c r="J2037" s="3" t="str">
        <f>HYPERLINK("https://www.boe.es/gazeta/dias/1822/10/12/pdfs/GMD-1822-299.pdf#page=2","Abrir facsímil")</f>
        <v>Abrir facsímil</v>
      </c>
      <c r="K2037" s="3" t="s">
        <v>22</v>
      </c>
    </row>
    <row r="2038" spans="1:11" ht="42" customHeight="1">
      <c r="A2038" s="2" t="s">
        <v>4237</v>
      </c>
      <c r="B2038" s="2" t="s">
        <v>4238</v>
      </c>
      <c r="C2038" s="2" t="s">
        <v>28</v>
      </c>
      <c r="D2038" s="2" t="s">
        <v>29</v>
      </c>
      <c r="E2038" s="5">
        <v>-28201</v>
      </c>
      <c r="F2038" s="3" t="s">
        <v>163</v>
      </c>
      <c r="G2038" s="3" t="s">
        <v>31</v>
      </c>
      <c r="H2038" s="2" t="s">
        <v>20</v>
      </c>
      <c r="I2038" s="2" t="s">
        <v>4261</v>
      </c>
      <c r="J2038" s="3" t="str">
        <f>HYPERLINK("https://www.boe.es/gazeta/dias/1822/10/14/pdfs/GMD-1822-301.pdf#page=3","Abrir facsímil")</f>
        <v>Abrir facsímil</v>
      </c>
      <c r="K2038" s="3" t="s">
        <v>22</v>
      </c>
    </row>
    <row r="2039" spans="1:11" ht="42" customHeight="1">
      <c r="A2039" s="2" t="s">
        <v>4237</v>
      </c>
      <c r="B2039" s="2" t="s">
        <v>4238</v>
      </c>
      <c r="C2039" s="2" t="s">
        <v>50</v>
      </c>
      <c r="D2039" s="2" t="s">
        <v>51</v>
      </c>
      <c r="E2039" s="5">
        <v>-28197</v>
      </c>
      <c r="F2039" s="3" t="s">
        <v>568</v>
      </c>
      <c r="G2039" s="3" t="s">
        <v>19</v>
      </c>
      <c r="H2039" s="2" t="s">
        <v>20</v>
      </c>
      <c r="I2039" s="2" t="s">
        <v>4262</v>
      </c>
      <c r="J2039" s="3" t="str">
        <f>HYPERLINK("https://www.boe.es/gazeta/dias/1822/10/18/pdfs/GMD-1822-305.pdf#page=5","Abrir facsímil")</f>
        <v>Abrir facsímil</v>
      </c>
      <c r="K2039" s="3" t="s">
        <v>22</v>
      </c>
    </row>
    <row r="2040" spans="1:11" ht="42" customHeight="1">
      <c r="A2040" s="2" t="s">
        <v>4237</v>
      </c>
      <c r="B2040" s="2" t="s">
        <v>4238</v>
      </c>
      <c r="C2040" s="2" t="s">
        <v>28</v>
      </c>
      <c r="D2040" s="2" t="s">
        <v>29</v>
      </c>
      <c r="E2040" s="5">
        <v>-28186</v>
      </c>
      <c r="F2040" s="3" t="s">
        <v>581</v>
      </c>
      <c r="G2040" s="3" t="s">
        <v>31</v>
      </c>
      <c r="H2040" s="2" t="s">
        <v>20</v>
      </c>
      <c r="I2040" s="2" t="s">
        <v>4263</v>
      </c>
      <c r="J2040" s="3" t="str">
        <f>HYPERLINK("https://www.boe.es/gazeta/dias/1822/10/29/pdfs/GMD-1822-316.pdf#page=3","Abrir facsímil")</f>
        <v>Abrir facsímil</v>
      </c>
      <c r="K2040" s="3" t="s">
        <v>22</v>
      </c>
    </row>
    <row r="2041" spans="1:11" ht="42" customHeight="1">
      <c r="A2041" s="2" t="s">
        <v>4237</v>
      </c>
      <c r="B2041" s="2" t="s">
        <v>4238</v>
      </c>
      <c r="C2041" s="2" t="s">
        <v>50</v>
      </c>
      <c r="D2041" s="2" t="s">
        <v>51</v>
      </c>
      <c r="E2041" s="5">
        <v>-28184</v>
      </c>
      <c r="F2041" s="3" t="s">
        <v>1423</v>
      </c>
      <c r="G2041" s="3" t="s">
        <v>31</v>
      </c>
      <c r="H2041" s="2" t="s">
        <v>20</v>
      </c>
      <c r="I2041" s="2" t="s">
        <v>4264</v>
      </c>
      <c r="J2041" s="3" t="str">
        <f>HYPERLINK("https://www.boe.es/gazeta/dias/1822/10/31/pdfs/GMD-1822-318.pdf#page=3","Abrir facsímil")</f>
        <v>Abrir facsímil</v>
      </c>
      <c r="K2041" s="3" t="s">
        <v>22</v>
      </c>
    </row>
    <row r="2042" spans="1:11" ht="42" customHeight="1">
      <c r="A2042" s="2" t="s">
        <v>4237</v>
      </c>
      <c r="B2042" s="2" t="s">
        <v>4238</v>
      </c>
      <c r="C2042" s="2" t="s">
        <v>71</v>
      </c>
      <c r="D2042" s="2" t="s">
        <v>17</v>
      </c>
      <c r="E2042" s="5">
        <v>-28177</v>
      </c>
      <c r="F2042" s="3" t="s">
        <v>587</v>
      </c>
      <c r="G2042" s="3" t="s">
        <v>888</v>
      </c>
      <c r="H2042" s="2" t="s">
        <v>20</v>
      </c>
      <c r="I2042" s="2" t="s">
        <v>4265</v>
      </c>
      <c r="J2042" s="3" t="str">
        <f>HYPERLINK("https://www.boe.es/gazeta/dias/1822/11/07/pdfs/GMD-1822-327.pdf#page=4","Abrir facsímil")</f>
        <v>Abrir facsímil</v>
      </c>
      <c r="K2042" s="3" t="s">
        <v>22</v>
      </c>
    </row>
    <row r="2043" spans="1:11" ht="42" customHeight="1">
      <c r="A2043" s="2" t="s">
        <v>4237</v>
      </c>
      <c r="B2043" s="2" t="s">
        <v>4238</v>
      </c>
      <c r="C2043" s="2" t="s">
        <v>28</v>
      </c>
      <c r="D2043" s="2" t="s">
        <v>29</v>
      </c>
      <c r="E2043" s="5">
        <v>-28173</v>
      </c>
      <c r="F2043" s="3" t="s">
        <v>2959</v>
      </c>
      <c r="G2043" s="3" t="s">
        <v>35</v>
      </c>
      <c r="H2043" s="2" t="s">
        <v>20</v>
      </c>
      <c r="I2043" s="2" t="s">
        <v>4266</v>
      </c>
      <c r="J2043" s="3" t="str">
        <f>HYPERLINK("https://www.boe.es/gazeta/dias/1822/11/11/pdfs/GMD-1822-331.pdf#page=2","Abrir facsímil")</f>
        <v>Abrir facsímil</v>
      </c>
      <c r="K2043" s="3" t="s">
        <v>22</v>
      </c>
    </row>
    <row r="2044" spans="1:11" ht="42" customHeight="1">
      <c r="A2044" s="2" t="s">
        <v>4237</v>
      </c>
      <c r="B2044" s="2" t="s">
        <v>4238</v>
      </c>
      <c r="C2044" s="2" t="s">
        <v>61</v>
      </c>
      <c r="D2044" s="2" t="s">
        <v>17</v>
      </c>
      <c r="E2044" s="5">
        <v>-28160</v>
      </c>
      <c r="F2044" s="3" t="s">
        <v>148</v>
      </c>
      <c r="G2044" s="3" t="s">
        <v>57</v>
      </c>
      <c r="H2044" s="2" t="s">
        <v>20</v>
      </c>
      <c r="I2044" s="2" t="s">
        <v>4267</v>
      </c>
      <c r="J2044" s="3" t="str">
        <f>HYPERLINK("https://www.boe.es/gazeta/dias/1822/11/24/pdfs/GMD-1822-344.pdf#page=4","Abrir facsímil")</f>
        <v>Abrir facsímil</v>
      </c>
      <c r="K2044" s="3" t="s">
        <v>22</v>
      </c>
    </row>
    <row r="2045" spans="1:11" ht="42" customHeight="1">
      <c r="A2045" s="2" t="s">
        <v>4237</v>
      </c>
      <c r="B2045" s="2" t="s">
        <v>4238</v>
      </c>
      <c r="C2045" s="2" t="s">
        <v>50</v>
      </c>
      <c r="D2045" s="2" t="s">
        <v>51</v>
      </c>
      <c r="E2045" s="5">
        <v>-28155</v>
      </c>
      <c r="F2045" s="3" t="s">
        <v>833</v>
      </c>
      <c r="G2045" s="3" t="s">
        <v>31</v>
      </c>
      <c r="H2045" s="2" t="s">
        <v>20</v>
      </c>
      <c r="I2045" s="2" t="s">
        <v>4268</v>
      </c>
      <c r="J2045" s="3" t="str">
        <f>HYPERLINK("https://www.boe.es/gazeta/dias/1822/11/29/pdfs/GMD-1822-349.pdf#page=3","Abrir facsímil")</f>
        <v>Abrir facsímil</v>
      </c>
      <c r="K2045" s="3" t="s">
        <v>22</v>
      </c>
    </row>
    <row r="2046" spans="1:11" ht="42" customHeight="1">
      <c r="A2046" s="2" t="s">
        <v>4237</v>
      </c>
      <c r="B2046" s="2" t="s">
        <v>4238</v>
      </c>
      <c r="C2046" s="2" t="s">
        <v>71</v>
      </c>
      <c r="D2046" s="2" t="s">
        <v>17</v>
      </c>
      <c r="E2046" s="5">
        <v>-28152</v>
      </c>
      <c r="F2046" s="3" t="s">
        <v>122</v>
      </c>
      <c r="G2046" s="3" t="s">
        <v>31</v>
      </c>
      <c r="H2046" s="2" t="s">
        <v>20</v>
      </c>
      <c r="I2046" s="2" t="s">
        <v>4269</v>
      </c>
      <c r="J2046" s="3" t="str">
        <f>HYPERLINK("https://www.boe.es/gazeta/dias/1822/12/02/pdfs/GMD-1822-352.pdf#page=3","Abrir facsímil")</f>
        <v>Abrir facsímil</v>
      </c>
      <c r="K2046" s="3" t="s">
        <v>22</v>
      </c>
    </row>
    <row r="2047" spans="1:11" ht="42" customHeight="1">
      <c r="A2047" s="2" t="s">
        <v>4237</v>
      </c>
      <c r="B2047" s="2" t="s">
        <v>4238</v>
      </c>
      <c r="C2047" s="2" t="s">
        <v>71</v>
      </c>
      <c r="D2047" s="2" t="s">
        <v>17</v>
      </c>
      <c r="E2047" s="5">
        <v>-28138</v>
      </c>
      <c r="F2047" s="3" t="s">
        <v>3542</v>
      </c>
      <c r="G2047" s="3" t="s">
        <v>35</v>
      </c>
      <c r="H2047" s="2" t="s">
        <v>20</v>
      </c>
      <c r="I2047" s="2" t="s">
        <v>4270</v>
      </c>
      <c r="J2047" s="3" t="str">
        <f>HYPERLINK("https://www.boe.es/gazeta/dias/1822/12/16/pdfs/GMD-1822-366.pdf#page=2","Abrir facsímil")</f>
        <v>Abrir facsímil</v>
      </c>
      <c r="K2047" s="3" t="s">
        <v>22</v>
      </c>
    </row>
    <row r="2048" spans="1:11" ht="42" customHeight="1">
      <c r="A2048" s="2" t="s">
        <v>4237</v>
      </c>
      <c r="B2048" s="2" t="s">
        <v>4238</v>
      </c>
      <c r="C2048" s="2" t="s">
        <v>16</v>
      </c>
      <c r="D2048" s="2" t="s">
        <v>17</v>
      </c>
      <c r="E2048" s="5">
        <v>-28137</v>
      </c>
      <c r="F2048" s="3" t="s">
        <v>312</v>
      </c>
      <c r="G2048" s="3" t="s">
        <v>35</v>
      </c>
      <c r="H2048" s="2" t="s">
        <v>20</v>
      </c>
      <c r="I2048" s="2" t="s">
        <v>4271</v>
      </c>
      <c r="J2048" s="3" t="str">
        <f>HYPERLINK("https://www.boe.es/gazeta/dias/1822/12/17/pdfs/GMD-1822-367.pdf#page=2","Abrir facsímil")</f>
        <v>Abrir facsímil</v>
      </c>
      <c r="K2048" s="3" t="s">
        <v>22</v>
      </c>
    </row>
    <row r="2049" spans="1:11" ht="42" customHeight="1">
      <c r="A2049" s="2" t="s">
        <v>4237</v>
      </c>
      <c r="B2049" s="2" t="s">
        <v>4238</v>
      </c>
      <c r="C2049" s="2" t="s">
        <v>28</v>
      </c>
      <c r="D2049" s="2" t="s">
        <v>29</v>
      </c>
      <c r="E2049" s="5">
        <v>-28137</v>
      </c>
      <c r="F2049" s="3" t="s">
        <v>312</v>
      </c>
      <c r="G2049" s="3" t="s">
        <v>57</v>
      </c>
      <c r="H2049" s="2" t="s">
        <v>20</v>
      </c>
      <c r="I2049" s="2" t="s">
        <v>4272</v>
      </c>
      <c r="J2049" s="3" t="str">
        <f>HYPERLINK("https://www.boe.es/gazeta/dias/1822/12/17/pdfs/GMD-1822-367.pdf#page=4","Abrir facsímil")</f>
        <v>Abrir facsímil</v>
      </c>
      <c r="K2049" s="3" t="s">
        <v>22</v>
      </c>
    </row>
    <row r="2050" spans="1:11" ht="42" customHeight="1">
      <c r="A2050" s="2" t="s">
        <v>4237</v>
      </c>
      <c r="B2050" s="2" t="s">
        <v>4238</v>
      </c>
      <c r="C2050" s="2" t="s">
        <v>50</v>
      </c>
      <c r="D2050" s="2" t="s">
        <v>51</v>
      </c>
      <c r="E2050" s="5">
        <v>-28136</v>
      </c>
      <c r="F2050" s="3" t="s">
        <v>948</v>
      </c>
      <c r="G2050" s="3" t="s">
        <v>57</v>
      </c>
      <c r="H2050" s="2" t="s">
        <v>20</v>
      </c>
      <c r="I2050" s="2" t="s">
        <v>4273</v>
      </c>
      <c r="J2050" s="3" t="str">
        <f>HYPERLINK("https://www.boe.es/gazeta/dias/1822/12/18/pdfs/GMD-1822-368.pdf#page=4","Abrir facsímil")</f>
        <v>Abrir facsímil</v>
      </c>
      <c r="K2050" s="3" t="s">
        <v>22</v>
      </c>
    </row>
    <row r="2051" spans="1:11" ht="42" customHeight="1">
      <c r="A2051" s="2" t="s">
        <v>4237</v>
      </c>
      <c r="B2051" s="2" t="s">
        <v>4238</v>
      </c>
      <c r="C2051" s="2" t="s">
        <v>28</v>
      </c>
      <c r="D2051" s="2" t="s">
        <v>29</v>
      </c>
      <c r="E2051" s="5">
        <v>-28130</v>
      </c>
      <c r="F2051" s="3" t="s">
        <v>34</v>
      </c>
      <c r="G2051" s="3" t="s">
        <v>31</v>
      </c>
      <c r="H2051" s="2" t="s">
        <v>20</v>
      </c>
      <c r="I2051" s="2" t="s">
        <v>4274</v>
      </c>
      <c r="J2051" s="3" t="str">
        <f>HYPERLINK("https://www.boe.es/gazeta/dias/1822/12/24/pdfs/GMD-1822-374.pdf#page=3","Abrir facsímil")</f>
        <v>Abrir facsímil</v>
      </c>
      <c r="K2051" s="3" t="s">
        <v>22</v>
      </c>
    </row>
    <row r="2052" spans="1:11" ht="42" customHeight="1">
      <c r="A2052" s="2" t="s">
        <v>4275</v>
      </c>
      <c r="B2052" s="2" t="s">
        <v>4276</v>
      </c>
      <c r="C2052" s="2" t="s">
        <v>42</v>
      </c>
      <c r="D2052" s="2" t="s">
        <v>17</v>
      </c>
      <c r="E2052" s="5">
        <v>-28346</v>
      </c>
      <c r="F2052" s="3" t="s">
        <v>191</v>
      </c>
      <c r="G2052" s="3" t="s">
        <v>19</v>
      </c>
      <c r="H2052" s="2" t="s">
        <v>20</v>
      </c>
      <c r="I2052" s="2" t="s">
        <v>4277</v>
      </c>
      <c r="J2052" s="3" t="str">
        <f>HYPERLINK("https://www.boe.es/gazeta/dias/1822/05/22/pdfs/GMD-1822-145.pdf#page=5","Abrir facsímil")</f>
        <v>Abrir facsímil</v>
      </c>
      <c r="K2052" s="3" t="s">
        <v>22</v>
      </c>
    </row>
    <row r="2053" spans="1:11" ht="42" customHeight="1">
      <c r="A2053" s="2" t="s">
        <v>4278</v>
      </c>
      <c r="B2053" s="2" t="s">
        <v>4279</v>
      </c>
      <c r="C2053" s="2" t="s">
        <v>42</v>
      </c>
      <c r="D2053" s="2" t="s">
        <v>17</v>
      </c>
      <c r="E2053" s="5">
        <v>-28137</v>
      </c>
      <c r="F2053" s="3" t="s">
        <v>312</v>
      </c>
      <c r="G2053" s="3" t="s">
        <v>57</v>
      </c>
      <c r="H2053" s="2" t="s">
        <v>20</v>
      </c>
      <c r="I2053" s="2" t="s">
        <v>4280</v>
      </c>
      <c r="J2053" s="3" t="str">
        <f>HYPERLINK("https://www.boe.es/gazeta/dias/1822/12/17/pdfs/GMD-1822-367.pdf#page=4","Abrir facsímil")</f>
        <v>Abrir facsímil</v>
      </c>
      <c r="K2053" s="3" t="s">
        <v>22</v>
      </c>
    </row>
    <row r="2054" spans="1:11" ht="42" customHeight="1">
      <c r="A2054" s="2" t="s">
        <v>4281</v>
      </c>
      <c r="B2054" s="2" t="s">
        <v>4281</v>
      </c>
      <c r="C2054" s="2" t="s">
        <v>50</v>
      </c>
      <c r="D2054" s="2" t="s">
        <v>51</v>
      </c>
      <c r="E2054" s="5">
        <v>-28187</v>
      </c>
      <c r="F2054" s="3" t="s">
        <v>929</v>
      </c>
      <c r="G2054" s="3" t="s">
        <v>19</v>
      </c>
      <c r="H2054" s="2" t="s">
        <v>20</v>
      </c>
      <c r="I2054" s="2" t="s">
        <v>4282</v>
      </c>
      <c r="J2054" s="3" t="str">
        <f>HYPERLINK("https://www.boe.es/gazeta/dias/1822/10/28/pdfs/GMD-1822-315.pdf#page=5","Abrir facsímil")</f>
        <v>Abrir facsímil</v>
      </c>
      <c r="K2054" s="3" t="s">
        <v>22</v>
      </c>
    </row>
    <row r="2055" spans="1:11" ht="42" customHeight="1">
      <c r="A2055" s="2" t="s">
        <v>4283</v>
      </c>
      <c r="B2055" s="2" t="s">
        <v>4284</v>
      </c>
      <c r="C2055" s="2" t="s">
        <v>50</v>
      </c>
      <c r="D2055" s="2" t="s">
        <v>51</v>
      </c>
      <c r="E2055" s="5">
        <v>-28303</v>
      </c>
      <c r="F2055" s="3" t="s">
        <v>201</v>
      </c>
      <c r="G2055" s="3" t="s">
        <v>31</v>
      </c>
      <c r="H2055" s="2" t="s">
        <v>20</v>
      </c>
      <c r="I2055" s="2" t="s">
        <v>4285</v>
      </c>
      <c r="J2055" s="3" t="str">
        <f>HYPERLINK("https://www.boe.es/gazeta/dias/1822/07/04/pdfs/GMD-1822-193.pdf#page=3","Abrir facsímil")</f>
        <v>Abrir facsímil</v>
      </c>
      <c r="K2055" s="3" t="s">
        <v>22</v>
      </c>
    </row>
    <row r="2056" spans="1:11" ht="42" customHeight="1">
      <c r="A2056" s="2" t="s">
        <v>4286</v>
      </c>
      <c r="B2056" s="2" t="s">
        <v>4286</v>
      </c>
      <c r="C2056" s="2" t="s">
        <v>71</v>
      </c>
      <c r="D2056" s="2" t="s">
        <v>17</v>
      </c>
      <c r="E2056" s="5">
        <v>-28205</v>
      </c>
      <c r="F2056" s="3" t="s">
        <v>806</v>
      </c>
      <c r="G2056" s="3" t="s">
        <v>44</v>
      </c>
      <c r="H2056" s="2" t="s">
        <v>20</v>
      </c>
      <c r="I2056" s="2" t="s">
        <v>4287</v>
      </c>
      <c r="J2056" s="3" t="str">
        <f>HYPERLINK("https://www.boe.es/gazeta/dias/1822/10/10/pdfs/GMD-1822-297.pdf#page=1","Abrir facsímil")</f>
        <v>Abrir facsímil</v>
      </c>
      <c r="K2056" s="3" t="s">
        <v>22</v>
      </c>
    </row>
    <row r="2057" spans="1:11" ht="42" customHeight="1">
      <c r="A2057" s="2" t="s">
        <v>4288</v>
      </c>
      <c r="B2057" s="2" t="s">
        <v>4288</v>
      </c>
      <c r="C2057" s="2" t="s">
        <v>42</v>
      </c>
      <c r="D2057" s="2" t="s">
        <v>17</v>
      </c>
      <c r="E2057" s="5">
        <v>-28172</v>
      </c>
      <c r="F2057" s="3" t="s">
        <v>674</v>
      </c>
      <c r="G2057" s="3" t="s">
        <v>31</v>
      </c>
      <c r="H2057" s="2" t="s">
        <v>20</v>
      </c>
      <c r="I2057" s="2" t="s">
        <v>4289</v>
      </c>
      <c r="J2057" s="3" t="str">
        <f>HYPERLINK("https://www.boe.es/gazeta/dias/1822/11/12/pdfs/GMD-1822-332.pdf#page=3","Abrir facsímil")</f>
        <v>Abrir facsímil</v>
      </c>
      <c r="K2057" s="3" t="s">
        <v>22</v>
      </c>
    </row>
    <row r="2058" spans="1:11" ht="42" customHeight="1">
      <c r="A2058" s="2" t="s">
        <v>4290</v>
      </c>
      <c r="B2058" s="2" t="s">
        <v>4291</v>
      </c>
      <c r="C2058" s="2" t="s">
        <v>50</v>
      </c>
      <c r="D2058" s="2" t="s">
        <v>51</v>
      </c>
      <c r="E2058" s="5">
        <v>-28433</v>
      </c>
      <c r="F2058" s="3" t="s">
        <v>3663</v>
      </c>
      <c r="G2058" s="3" t="s">
        <v>57</v>
      </c>
      <c r="H2058" s="2" t="s">
        <v>20</v>
      </c>
      <c r="I2058" s="2" t="s">
        <v>4292</v>
      </c>
      <c r="J2058" s="3" t="str">
        <f>HYPERLINK("https://www.boe.es/gazeta/dias/1822/02/24/pdfs/GMD-1822-56.pdf#page=4","Abrir facsímil")</f>
        <v>Abrir facsímil</v>
      </c>
      <c r="K2058" s="3" t="s">
        <v>22</v>
      </c>
    </row>
    <row r="2059" spans="1:11" ht="42" customHeight="1">
      <c r="A2059" s="2" t="s">
        <v>4293</v>
      </c>
      <c r="B2059" s="2" t="s">
        <v>4294</v>
      </c>
      <c r="C2059" s="2" t="s">
        <v>42</v>
      </c>
      <c r="D2059" s="2" t="s">
        <v>17</v>
      </c>
      <c r="E2059" s="5">
        <v>-28283</v>
      </c>
      <c r="F2059" s="3" t="s">
        <v>1477</v>
      </c>
      <c r="G2059" s="3" t="s">
        <v>57</v>
      </c>
      <c r="H2059" s="2" t="s">
        <v>20</v>
      </c>
      <c r="I2059" s="2" t="s">
        <v>4295</v>
      </c>
      <c r="J2059" s="3" t="str">
        <f>HYPERLINK("https://www.boe.es/gazeta/dias/1822/07/24/pdfs/GMD-1822-217.pdf#page=4","Abrir facsímil")</f>
        <v>Abrir facsímil</v>
      </c>
      <c r="K2059" s="3" t="s">
        <v>22</v>
      </c>
    </row>
    <row r="2060" spans="1:11" ht="42" customHeight="1">
      <c r="A2060" s="2" t="s">
        <v>4296</v>
      </c>
      <c r="B2060" s="2" t="s">
        <v>4297</v>
      </c>
      <c r="C2060" s="2" t="s">
        <v>28</v>
      </c>
      <c r="D2060" s="2" t="s">
        <v>29</v>
      </c>
      <c r="E2060" s="5">
        <v>-28392</v>
      </c>
      <c r="F2060" s="3" t="s">
        <v>2003</v>
      </c>
      <c r="G2060" s="3" t="s">
        <v>35</v>
      </c>
      <c r="H2060" s="2" t="s">
        <v>20</v>
      </c>
      <c r="I2060" s="2" t="s">
        <v>4298</v>
      </c>
      <c r="J2060" s="3" t="str">
        <f>HYPERLINK("https://www.boe.es/gazeta/dias/1822/04/06/pdfs/GMD-1822-98.pdf#page=2","Abrir facsímil")</f>
        <v>Abrir facsímil</v>
      </c>
      <c r="K2060" s="3" t="s">
        <v>22</v>
      </c>
    </row>
    <row r="2061" spans="1:11" ht="42" customHeight="1">
      <c r="A2061" s="2" t="s">
        <v>4299</v>
      </c>
      <c r="B2061" s="2" t="s">
        <v>4300</v>
      </c>
      <c r="C2061" s="2" t="s">
        <v>42</v>
      </c>
      <c r="D2061" s="2" t="s">
        <v>17</v>
      </c>
      <c r="E2061" s="5">
        <v>-28477</v>
      </c>
      <c r="F2061" s="3" t="s">
        <v>1668</v>
      </c>
      <c r="G2061" s="3" t="s">
        <v>19</v>
      </c>
      <c r="H2061" s="2" t="s">
        <v>20</v>
      </c>
      <c r="I2061" s="2" t="s">
        <v>4301</v>
      </c>
      <c r="J2061" s="3" t="str">
        <f>HYPERLINK("https://www.boe.es/gazeta/dias/1822/01/11/pdfs/GMD-1822-11.pdf#page=5","Abrir facsímil")</f>
        <v>Abrir facsímil</v>
      </c>
      <c r="K2061" s="3" t="s">
        <v>22</v>
      </c>
    </row>
    <row r="2062" spans="1:11" ht="42" customHeight="1">
      <c r="A2062" s="2" t="s">
        <v>4302</v>
      </c>
      <c r="B2062" s="2" t="s">
        <v>4302</v>
      </c>
      <c r="C2062" s="2" t="s">
        <v>50</v>
      </c>
      <c r="D2062" s="2" t="s">
        <v>51</v>
      </c>
      <c r="E2062" s="5">
        <v>-28423</v>
      </c>
      <c r="F2062" s="3" t="s">
        <v>441</v>
      </c>
      <c r="G2062" s="3" t="s">
        <v>44</v>
      </c>
      <c r="H2062" s="2" t="s">
        <v>20</v>
      </c>
      <c r="I2062" s="2" t="s">
        <v>4303</v>
      </c>
      <c r="J2062" s="3" t="str">
        <f>HYPERLINK("https://www.boe.es/gazeta/dias/1822/03/06/pdfs/GMD-1822-67.pdf#page=1","Abrir facsímil")</f>
        <v>Abrir facsímil</v>
      </c>
      <c r="K2062" s="3" t="s">
        <v>22</v>
      </c>
    </row>
    <row r="2063" spans="1:11" ht="42" customHeight="1">
      <c r="A2063" s="2" t="s">
        <v>4304</v>
      </c>
      <c r="B2063" s="2" t="s">
        <v>4304</v>
      </c>
      <c r="C2063" s="2" t="s">
        <v>50</v>
      </c>
      <c r="D2063" s="2" t="s">
        <v>51</v>
      </c>
      <c r="E2063" s="5">
        <v>-28299</v>
      </c>
      <c r="F2063" s="3" t="s">
        <v>423</v>
      </c>
      <c r="G2063" s="3" t="s">
        <v>35</v>
      </c>
      <c r="H2063" s="2" t="s">
        <v>20</v>
      </c>
      <c r="I2063" s="2" t="s">
        <v>4305</v>
      </c>
      <c r="J2063" s="3" t="str">
        <f>HYPERLINK("https://www.boe.es/gazeta/dias/1822/07/08/pdfs/GMD-1822-197.pdf#page=2","Abrir facsímil")</f>
        <v>Abrir facsímil</v>
      </c>
      <c r="K2063" s="3" t="s">
        <v>22</v>
      </c>
    </row>
    <row r="2064" spans="1:11" ht="42" customHeight="1">
      <c r="A2064" s="2" t="s">
        <v>4306</v>
      </c>
      <c r="B2064" s="2" t="s">
        <v>4307</v>
      </c>
      <c r="C2064" s="2" t="s">
        <v>50</v>
      </c>
      <c r="D2064" s="2" t="s">
        <v>51</v>
      </c>
      <c r="E2064" s="5">
        <v>-28125</v>
      </c>
      <c r="F2064" s="3" t="s">
        <v>322</v>
      </c>
      <c r="G2064" s="3" t="s">
        <v>19</v>
      </c>
      <c r="H2064" s="2" t="s">
        <v>20</v>
      </c>
      <c r="I2064" s="2" t="s">
        <v>4308</v>
      </c>
      <c r="J2064" s="3" t="str">
        <f>HYPERLINK("https://www.boe.es/gazeta/dias/1822/12/29/pdfs/GMD-1822-379.pdf#page=5","Abrir facsímil")</f>
        <v>Abrir facsímil</v>
      </c>
      <c r="K2064" s="3" t="s">
        <v>22</v>
      </c>
    </row>
    <row r="2065" spans="1:11" ht="42" customHeight="1">
      <c r="A2065" s="2" t="s">
        <v>4309</v>
      </c>
      <c r="B2065" s="2" t="s">
        <v>4310</v>
      </c>
      <c r="C2065" s="2" t="s">
        <v>50</v>
      </c>
      <c r="D2065" s="2" t="s">
        <v>51</v>
      </c>
      <c r="E2065" s="5">
        <v>-28193</v>
      </c>
      <c r="F2065" s="3" t="s">
        <v>574</v>
      </c>
      <c r="G2065" s="3" t="s">
        <v>19</v>
      </c>
      <c r="H2065" s="2" t="s">
        <v>20</v>
      </c>
      <c r="I2065" s="2" t="s">
        <v>4311</v>
      </c>
      <c r="J2065" s="3" t="str">
        <f>HYPERLINK("https://www.boe.es/gazeta/dias/1822/10/22/pdfs/GMD-1822-309.pdf#page=5","Abrir facsímil")</f>
        <v>Abrir facsímil</v>
      </c>
      <c r="K2065" s="3" t="s">
        <v>22</v>
      </c>
    </row>
    <row r="2066" spans="1:11" ht="42" customHeight="1">
      <c r="A2066" s="2" t="s">
        <v>4312</v>
      </c>
      <c r="B2066" s="2" t="s">
        <v>4312</v>
      </c>
      <c r="C2066" s="2" t="s">
        <v>16</v>
      </c>
      <c r="D2066" s="2" t="s">
        <v>17</v>
      </c>
      <c r="E2066" s="5">
        <v>-28421</v>
      </c>
      <c r="F2066" s="3" t="s">
        <v>446</v>
      </c>
      <c r="G2066" s="3" t="s">
        <v>19</v>
      </c>
      <c r="H2066" s="2" t="s">
        <v>20</v>
      </c>
      <c r="I2066" s="2" t="s">
        <v>4313</v>
      </c>
      <c r="J2066" s="3" t="str">
        <f>HYPERLINK("https://www.boe.es/gazeta/dias/1822/03/08/pdfs/GMD-1822-69.pdf#page=5","Abrir facsímil")</f>
        <v>Abrir facsímil</v>
      </c>
      <c r="K2066" s="3" t="s">
        <v>22</v>
      </c>
    </row>
    <row r="2067" spans="1:11" ht="42" customHeight="1">
      <c r="A2067" s="2" t="s">
        <v>4312</v>
      </c>
      <c r="B2067" s="2" t="s">
        <v>4312</v>
      </c>
      <c r="C2067" s="2" t="s">
        <v>28</v>
      </c>
      <c r="D2067" s="2" t="s">
        <v>29</v>
      </c>
      <c r="E2067" s="5">
        <v>-28420</v>
      </c>
      <c r="F2067" s="3" t="s">
        <v>449</v>
      </c>
      <c r="G2067" s="3" t="s">
        <v>31</v>
      </c>
      <c r="H2067" s="2" t="s">
        <v>20</v>
      </c>
      <c r="I2067" s="2" t="s">
        <v>4314</v>
      </c>
      <c r="J2067" s="3" t="str">
        <f>HYPERLINK("https://www.boe.es/gazeta/dias/1822/03/09/pdfs/GMD-1822-70.pdf#page=3","Abrir facsímil")</f>
        <v>Abrir facsímil</v>
      </c>
      <c r="K2067" s="3" t="s">
        <v>22</v>
      </c>
    </row>
    <row r="2068" spans="1:11" ht="42" customHeight="1">
      <c r="A2068" s="2" t="s">
        <v>4312</v>
      </c>
      <c r="B2068" s="2" t="s">
        <v>4312</v>
      </c>
      <c r="C2068" s="2" t="s">
        <v>71</v>
      </c>
      <c r="D2068" s="2" t="s">
        <v>17</v>
      </c>
      <c r="E2068" s="5">
        <v>-28419</v>
      </c>
      <c r="F2068" s="3" t="s">
        <v>1392</v>
      </c>
      <c r="G2068" s="3" t="s">
        <v>19</v>
      </c>
      <c r="H2068" s="2" t="s">
        <v>20</v>
      </c>
      <c r="I2068" s="2" t="s">
        <v>4315</v>
      </c>
      <c r="J2068" s="3" t="str">
        <f>HYPERLINK("https://www.boe.es/gazeta/dias/1822/03/10/pdfs/GMD-1822-71.pdf#page=5","Abrir facsímil")</f>
        <v>Abrir facsímil</v>
      </c>
      <c r="K2068" s="3" t="s">
        <v>22</v>
      </c>
    </row>
    <row r="2069" spans="1:11" ht="42" customHeight="1">
      <c r="A2069" s="2" t="s">
        <v>4312</v>
      </c>
      <c r="B2069" s="2" t="s">
        <v>4312</v>
      </c>
      <c r="C2069" s="2" t="s">
        <v>50</v>
      </c>
      <c r="D2069" s="2" t="s">
        <v>51</v>
      </c>
      <c r="E2069" s="5">
        <v>-28418</v>
      </c>
      <c r="F2069" s="3" t="s">
        <v>205</v>
      </c>
      <c r="G2069" s="3" t="s">
        <v>157</v>
      </c>
      <c r="H2069" s="2" t="s">
        <v>20</v>
      </c>
      <c r="I2069" s="2" t="s">
        <v>4316</v>
      </c>
      <c r="J2069" s="3" t="str">
        <f>HYPERLINK("https://www.boe.es/gazeta/dias/1822/03/11/pdfs/GMD-1822-72.pdf#page=8","Abrir facsímil")</f>
        <v>Abrir facsímil</v>
      </c>
      <c r="K2069" s="3" t="s">
        <v>22</v>
      </c>
    </row>
    <row r="2070" spans="1:11" ht="42" customHeight="1">
      <c r="A2070" s="2" t="s">
        <v>4312</v>
      </c>
      <c r="B2070" s="2" t="s">
        <v>4312</v>
      </c>
      <c r="C2070" s="2" t="s">
        <v>61</v>
      </c>
      <c r="D2070" s="2" t="s">
        <v>17</v>
      </c>
      <c r="E2070" s="5">
        <v>-28396</v>
      </c>
      <c r="F2070" s="3" t="s">
        <v>1138</v>
      </c>
      <c r="G2070" s="3" t="s">
        <v>167</v>
      </c>
      <c r="H2070" s="2" t="s">
        <v>20</v>
      </c>
      <c r="I2070" s="2" t="s">
        <v>4317</v>
      </c>
      <c r="J2070" s="3" t="str">
        <f>HYPERLINK("https://www.boe.es/gazeta/dias/1822/04/02/pdfs/GMD-1822-94.pdf#page=7","Abrir facsímil")</f>
        <v>Abrir facsímil</v>
      </c>
      <c r="K2070" s="3" t="s">
        <v>22</v>
      </c>
    </row>
    <row r="2071" spans="1:11" ht="42" customHeight="1">
      <c r="A2071" s="2" t="s">
        <v>4312</v>
      </c>
      <c r="B2071" s="2" t="s">
        <v>4312</v>
      </c>
      <c r="C2071" s="2" t="s">
        <v>71</v>
      </c>
      <c r="D2071" s="2" t="s">
        <v>17</v>
      </c>
      <c r="E2071" s="5">
        <v>-28386</v>
      </c>
      <c r="F2071" s="3" t="s">
        <v>2993</v>
      </c>
      <c r="G2071" s="3" t="s">
        <v>44</v>
      </c>
      <c r="H2071" s="2" t="s">
        <v>20</v>
      </c>
      <c r="I2071" s="2" t="s">
        <v>4318</v>
      </c>
      <c r="J2071" s="3" t="str">
        <f>HYPERLINK("https://www.boe.es/gazeta/dias/1822/04/12/pdfs/GMD-1822-104.pdf#page=1","Abrir facsímil")</f>
        <v>Abrir facsímil</v>
      </c>
      <c r="K2071" s="3" t="s">
        <v>22</v>
      </c>
    </row>
    <row r="2072" spans="1:11" ht="42" customHeight="1">
      <c r="A2072" s="2" t="s">
        <v>4312</v>
      </c>
      <c r="B2072" s="2" t="s">
        <v>4312</v>
      </c>
      <c r="C2072" s="2" t="s">
        <v>28</v>
      </c>
      <c r="D2072" s="2" t="s">
        <v>29</v>
      </c>
      <c r="E2072" s="5">
        <v>-28378</v>
      </c>
      <c r="F2072" s="3" t="s">
        <v>496</v>
      </c>
      <c r="G2072" s="3" t="s">
        <v>57</v>
      </c>
      <c r="H2072" s="2" t="s">
        <v>20</v>
      </c>
      <c r="I2072" s="2" t="s">
        <v>4319</v>
      </c>
      <c r="J2072" s="3" t="str">
        <f>HYPERLINK("https://www.boe.es/gazeta/dias/1822/04/20/pdfs/GMD-1822-112.pdf#page=4","Abrir facsímil")</f>
        <v>Abrir facsímil</v>
      </c>
      <c r="K2072" s="3" t="s">
        <v>22</v>
      </c>
    </row>
    <row r="2073" spans="1:11" ht="42" customHeight="1">
      <c r="A2073" s="2" t="s">
        <v>4312</v>
      </c>
      <c r="B2073" s="2" t="s">
        <v>4312</v>
      </c>
      <c r="C2073" s="2" t="s">
        <v>71</v>
      </c>
      <c r="D2073" s="2" t="s">
        <v>17</v>
      </c>
      <c r="E2073" s="5">
        <v>-28362</v>
      </c>
      <c r="F2073" s="3" t="s">
        <v>511</v>
      </c>
      <c r="G2073" s="3" t="s">
        <v>35</v>
      </c>
      <c r="H2073" s="2" t="s">
        <v>20</v>
      </c>
      <c r="I2073" s="2" t="s">
        <v>4320</v>
      </c>
      <c r="J2073" s="3" t="str">
        <f>HYPERLINK("https://www.boe.es/gazeta/dias/1822/05/06/pdfs/GMD-1822-128.pdf#page=2","Abrir facsímil")</f>
        <v>Abrir facsímil</v>
      </c>
      <c r="K2073" s="3" t="s">
        <v>22</v>
      </c>
    </row>
    <row r="2074" spans="1:11" ht="42" customHeight="1">
      <c r="A2074" s="2" t="s">
        <v>4312</v>
      </c>
      <c r="B2074" s="2" t="s">
        <v>4312</v>
      </c>
      <c r="C2074" s="2" t="s">
        <v>71</v>
      </c>
      <c r="D2074" s="2" t="s">
        <v>17</v>
      </c>
      <c r="E2074" s="5">
        <v>-28356</v>
      </c>
      <c r="F2074" s="3" t="s">
        <v>4170</v>
      </c>
      <c r="G2074" s="3" t="s">
        <v>35</v>
      </c>
      <c r="H2074" s="2" t="s">
        <v>20</v>
      </c>
      <c r="I2074" s="2" t="s">
        <v>4321</v>
      </c>
      <c r="J2074" s="3" t="str">
        <f>HYPERLINK("https://www.boe.es/gazeta/dias/1822/05/12/pdfs/GMD-1822-134.pdf#page=2","Abrir facsímil")</f>
        <v>Abrir facsímil</v>
      </c>
      <c r="K2074" s="3" t="s">
        <v>22</v>
      </c>
    </row>
    <row r="2075" spans="1:11" ht="42" customHeight="1">
      <c r="A2075" s="2" t="s">
        <v>4312</v>
      </c>
      <c r="B2075" s="2" t="s">
        <v>4312</v>
      </c>
      <c r="C2075" s="2" t="s">
        <v>50</v>
      </c>
      <c r="D2075" s="2" t="s">
        <v>51</v>
      </c>
      <c r="E2075" s="5">
        <v>-28344</v>
      </c>
      <c r="F2075" s="3" t="s">
        <v>524</v>
      </c>
      <c r="G2075" s="3" t="s">
        <v>31</v>
      </c>
      <c r="H2075" s="2" t="s">
        <v>20</v>
      </c>
      <c r="I2075" s="2" t="s">
        <v>4322</v>
      </c>
      <c r="J2075" s="3" t="str">
        <f>HYPERLINK("https://www.boe.es/gazeta/dias/1822/05/24/pdfs/GMD-1822-148.pdf#page=3","Abrir facsímil")</f>
        <v>Abrir facsímil</v>
      </c>
      <c r="K2075" s="3" t="s">
        <v>22</v>
      </c>
    </row>
    <row r="2076" spans="1:11" ht="42" customHeight="1">
      <c r="A2076" s="2" t="s">
        <v>4312</v>
      </c>
      <c r="B2076" s="2" t="s">
        <v>4312</v>
      </c>
      <c r="C2076" s="2" t="s">
        <v>42</v>
      </c>
      <c r="D2076" s="2" t="s">
        <v>17</v>
      </c>
      <c r="E2076" s="5">
        <v>-28324</v>
      </c>
      <c r="F2076" s="3" t="s">
        <v>305</v>
      </c>
      <c r="G2076" s="3" t="s">
        <v>57</v>
      </c>
      <c r="H2076" s="2" t="s">
        <v>20</v>
      </c>
      <c r="I2076" s="2" t="s">
        <v>4323</v>
      </c>
      <c r="J2076" s="3" t="str">
        <f>HYPERLINK("https://www.boe.es/gazeta/dias/1822/06/13/pdfs/GMD-1822-170.pdf#page=4","Abrir facsímil")</f>
        <v>Abrir facsímil</v>
      </c>
      <c r="K2076" s="3" t="s">
        <v>22</v>
      </c>
    </row>
    <row r="2077" spans="1:11" ht="42" customHeight="1">
      <c r="A2077" s="2" t="s">
        <v>4312</v>
      </c>
      <c r="B2077" s="2" t="s">
        <v>4312</v>
      </c>
      <c r="C2077" s="2" t="s">
        <v>50</v>
      </c>
      <c r="D2077" s="2" t="s">
        <v>51</v>
      </c>
      <c r="E2077" s="5">
        <v>-28319</v>
      </c>
      <c r="F2077" s="3" t="s">
        <v>271</v>
      </c>
      <c r="G2077" s="3" t="s">
        <v>57</v>
      </c>
      <c r="H2077" s="2" t="s">
        <v>20</v>
      </c>
      <c r="I2077" s="2" t="s">
        <v>4324</v>
      </c>
      <c r="J2077" s="3" t="str">
        <f>HYPERLINK("https://www.boe.es/gazeta/dias/1822/06/18/pdfs/GMD-1822-175.pdf#page=4","Abrir facsímil")</f>
        <v>Abrir facsímil</v>
      </c>
      <c r="K2077" s="3" t="s">
        <v>22</v>
      </c>
    </row>
    <row r="2078" spans="1:11" ht="42" customHeight="1">
      <c r="A2078" s="2" t="s">
        <v>4312</v>
      </c>
      <c r="B2078" s="2" t="s">
        <v>4312</v>
      </c>
      <c r="C2078" s="2" t="s">
        <v>50</v>
      </c>
      <c r="D2078" s="2" t="s">
        <v>51</v>
      </c>
      <c r="E2078" s="5">
        <v>-28318</v>
      </c>
      <c r="F2078" s="3" t="s">
        <v>397</v>
      </c>
      <c r="G2078" s="3" t="s">
        <v>35</v>
      </c>
      <c r="H2078" s="2" t="s">
        <v>20</v>
      </c>
      <c r="I2078" s="2" t="s">
        <v>4325</v>
      </c>
      <c r="J2078" s="3" t="str">
        <f>HYPERLINK("https://www.boe.es/gazeta/dias/1822/06/19/pdfs/GMD-1822-176.pdf#page=2","Abrir facsímil")</f>
        <v>Abrir facsímil</v>
      </c>
      <c r="K2078" s="3" t="s">
        <v>22</v>
      </c>
    </row>
    <row r="2079" spans="1:11" ht="42" customHeight="1">
      <c r="A2079" s="2" t="s">
        <v>4312</v>
      </c>
      <c r="B2079" s="2" t="s">
        <v>4312</v>
      </c>
      <c r="C2079" s="2" t="s">
        <v>50</v>
      </c>
      <c r="D2079" s="2" t="s">
        <v>51</v>
      </c>
      <c r="E2079" s="5">
        <v>-28211</v>
      </c>
      <c r="F2079" s="3" t="s">
        <v>273</v>
      </c>
      <c r="G2079" s="3" t="s">
        <v>57</v>
      </c>
      <c r="H2079" s="2" t="s">
        <v>20</v>
      </c>
      <c r="I2079" s="2" t="s">
        <v>4326</v>
      </c>
      <c r="J2079" s="3" t="str">
        <f>HYPERLINK("https://www.boe.es/gazeta/dias/1822/10/04/pdfs/GMD-1822-290.pdf#page=4","Abrir facsímil")</f>
        <v>Abrir facsímil</v>
      </c>
      <c r="K2079" s="3" t="s">
        <v>22</v>
      </c>
    </row>
    <row r="2080" spans="1:11" ht="42" customHeight="1">
      <c r="A2080" s="2" t="s">
        <v>4312</v>
      </c>
      <c r="B2080" s="2" t="s">
        <v>4312</v>
      </c>
      <c r="C2080" s="2" t="s">
        <v>71</v>
      </c>
      <c r="D2080" s="2" t="s">
        <v>17</v>
      </c>
      <c r="E2080" s="5">
        <v>-28150</v>
      </c>
      <c r="F2080" s="3" t="s">
        <v>62</v>
      </c>
      <c r="G2080" s="3" t="s">
        <v>57</v>
      </c>
      <c r="H2080" s="2" t="s">
        <v>20</v>
      </c>
      <c r="I2080" s="2" t="s">
        <v>4327</v>
      </c>
      <c r="J2080" s="3" t="str">
        <f>HYPERLINK("https://www.boe.es/gazeta/dias/1822/12/04/pdfs/GMD-1822-354.pdf#page=4","Abrir facsímil")</f>
        <v>Abrir facsímil</v>
      </c>
      <c r="K2080" s="3" t="s">
        <v>22</v>
      </c>
    </row>
    <row r="2081" spans="1:11" ht="42" customHeight="1">
      <c r="A2081" s="2" t="s">
        <v>4312</v>
      </c>
      <c r="B2081" s="2" t="s">
        <v>4312</v>
      </c>
      <c r="C2081" s="2" t="s">
        <v>71</v>
      </c>
      <c r="D2081" s="2" t="s">
        <v>17</v>
      </c>
      <c r="E2081" s="5">
        <v>-28149</v>
      </c>
      <c r="F2081" s="3" t="s">
        <v>1322</v>
      </c>
      <c r="G2081" s="3" t="s">
        <v>44</v>
      </c>
      <c r="H2081" s="2" t="s">
        <v>20</v>
      </c>
      <c r="I2081" s="2" t="s">
        <v>4328</v>
      </c>
      <c r="J2081" s="3" t="str">
        <f>HYPERLINK("https://www.boe.es/gazeta/dias/1822/12/05/pdfs/GMD-1822-355.pdf#page=1","Abrir facsímil")</f>
        <v>Abrir facsímil</v>
      </c>
      <c r="K2081" s="3" t="s">
        <v>22</v>
      </c>
    </row>
    <row r="2082" spans="1:11" ht="42" customHeight="1">
      <c r="A2082" s="2" t="s">
        <v>4329</v>
      </c>
      <c r="B2082" s="2" t="s">
        <v>4329</v>
      </c>
      <c r="C2082" s="2" t="s">
        <v>42</v>
      </c>
      <c r="D2082" s="2" t="s">
        <v>17</v>
      </c>
      <c r="E2082" s="5">
        <v>-28327</v>
      </c>
      <c r="F2082" s="3" t="s">
        <v>38</v>
      </c>
      <c r="G2082" s="3" t="s">
        <v>31</v>
      </c>
      <c r="H2082" s="2" t="s">
        <v>20</v>
      </c>
      <c r="I2082" s="2" t="s">
        <v>4330</v>
      </c>
      <c r="J2082" s="3" t="str">
        <f>HYPERLINK("https://www.boe.es/gazeta/dias/1822/06/10/pdfs/GMD-1822-167.pdf#page=3","Abrir facsímil")</f>
        <v>Abrir facsímil</v>
      </c>
      <c r="K2082" s="3" t="s">
        <v>22</v>
      </c>
    </row>
    <row r="2083" spans="1:11" ht="42" customHeight="1">
      <c r="A2083" s="2" t="s">
        <v>4331</v>
      </c>
      <c r="B2083" s="2" t="s">
        <v>4331</v>
      </c>
      <c r="C2083" s="2" t="s">
        <v>50</v>
      </c>
      <c r="D2083" s="2" t="s">
        <v>51</v>
      </c>
      <c r="E2083" s="5">
        <v>-28283</v>
      </c>
      <c r="F2083" s="3" t="s">
        <v>1477</v>
      </c>
      <c r="G2083" s="3" t="s">
        <v>31</v>
      </c>
      <c r="H2083" s="2" t="s">
        <v>20</v>
      </c>
      <c r="I2083" s="2" t="s">
        <v>4332</v>
      </c>
      <c r="J2083" s="3" t="str">
        <f>HYPERLINK("https://www.boe.es/gazeta/dias/1822/07/24/pdfs/GMD-1822-217.pdf#page=3","Abrir facsímil")</f>
        <v>Abrir facsímil</v>
      </c>
      <c r="K2083" s="3" t="s">
        <v>22</v>
      </c>
    </row>
    <row r="2084" spans="1:11" ht="42" customHeight="1">
      <c r="A2084" s="2" t="s">
        <v>4331</v>
      </c>
      <c r="B2084" s="2" t="s">
        <v>4331</v>
      </c>
      <c r="C2084" s="2" t="s">
        <v>42</v>
      </c>
      <c r="D2084" s="2" t="s">
        <v>17</v>
      </c>
      <c r="E2084" s="5">
        <v>-28252</v>
      </c>
      <c r="F2084" s="3" t="s">
        <v>4333</v>
      </c>
      <c r="G2084" s="3" t="s">
        <v>57</v>
      </c>
      <c r="H2084" s="2" t="s">
        <v>20</v>
      </c>
      <c r="I2084" s="2" t="s">
        <v>4334</v>
      </c>
      <c r="J2084" s="3" t="str">
        <f>HYPERLINK("https://www.boe.es/gazeta/dias/1822/08/24/pdfs/GMD-1822-248.pdf#page=4","Abrir facsímil")</f>
        <v>Abrir facsímil</v>
      </c>
      <c r="K2084" s="3" t="s">
        <v>22</v>
      </c>
    </row>
    <row r="2085" spans="1:11" ht="42" customHeight="1">
      <c r="A2085" s="2" t="s">
        <v>4335</v>
      </c>
      <c r="B2085" s="2" t="s">
        <v>4336</v>
      </c>
      <c r="C2085" s="2" t="s">
        <v>50</v>
      </c>
      <c r="D2085" s="2" t="s">
        <v>51</v>
      </c>
      <c r="E2085" s="5">
        <v>-28337</v>
      </c>
      <c r="F2085" s="3" t="s">
        <v>1836</v>
      </c>
      <c r="G2085" s="3" t="s">
        <v>4337</v>
      </c>
      <c r="H2085" s="2" t="s">
        <v>20</v>
      </c>
      <c r="I2085" s="2" t="s">
        <v>4338</v>
      </c>
      <c r="J2085" s="3" t="str">
        <f>HYPERLINK("https://www.boe.es/gazeta/dias/1822/05/31/pdfs/GMD-1822-156.pdf#page=6","Abrir facsímil")</f>
        <v>Abrir facsímil</v>
      </c>
      <c r="K2085" s="3" t="s">
        <v>22</v>
      </c>
    </row>
    <row r="2086" spans="1:11" ht="42" customHeight="1">
      <c r="A2086" s="2" t="s">
        <v>4335</v>
      </c>
      <c r="B2086" s="2" t="s">
        <v>4336</v>
      </c>
      <c r="C2086" s="2" t="s">
        <v>50</v>
      </c>
      <c r="D2086" s="2" t="s">
        <v>51</v>
      </c>
      <c r="E2086" s="5">
        <v>-28283</v>
      </c>
      <c r="F2086" s="3" t="s">
        <v>1477</v>
      </c>
      <c r="G2086" s="3" t="s">
        <v>31</v>
      </c>
      <c r="H2086" s="2" t="s">
        <v>20</v>
      </c>
      <c r="I2086" s="2" t="s">
        <v>4339</v>
      </c>
      <c r="J2086" s="3" t="str">
        <f>HYPERLINK("https://www.boe.es/gazeta/dias/1822/07/24/pdfs/GMD-1822-217.pdf#page=3","Abrir facsímil")</f>
        <v>Abrir facsímil</v>
      </c>
      <c r="K2086" s="3" t="s">
        <v>22</v>
      </c>
    </row>
    <row r="2087" spans="1:11" ht="42" customHeight="1">
      <c r="A2087" s="2" t="s">
        <v>4340</v>
      </c>
      <c r="B2087" s="2" t="s">
        <v>4341</v>
      </c>
      <c r="C2087" s="2" t="s">
        <v>42</v>
      </c>
      <c r="D2087" s="2" t="s">
        <v>17</v>
      </c>
      <c r="E2087" s="5">
        <v>-28318</v>
      </c>
      <c r="F2087" s="3" t="s">
        <v>397</v>
      </c>
      <c r="G2087" s="3" t="s">
        <v>57</v>
      </c>
      <c r="H2087" s="2" t="s">
        <v>20</v>
      </c>
      <c r="I2087" s="2" t="s">
        <v>4342</v>
      </c>
      <c r="J2087" s="3" t="str">
        <f>HYPERLINK("https://www.boe.es/gazeta/dias/1822/06/19/pdfs/GMD-1822-176.pdf#page=4","Abrir facsímil")</f>
        <v>Abrir facsímil</v>
      </c>
      <c r="K2087" s="3" t="s">
        <v>22</v>
      </c>
    </row>
    <row r="2088" spans="1:11" ht="42" customHeight="1">
      <c r="A2088" s="2" t="s">
        <v>4343</v>
      </c>
      <c r="B2088" s="2" t="s">
        <v>4343</v>
      </c>
      <c r="C2088" s="2" t="s">
        <v>28</v>
      </c>
      <c r="D2088" s="2" t="s">
        <v>29</v>
      </c>
      <c r="E2088" s="5">
        <v>-28359</v>
      </c>
      <c r="F2088" s="3" t="s">
        <v>209</v>
      </c>
      <c r="G2088" s="3" t="s">
        <v>31</v>
      </c>
      <c r="H2088" s="2" t="s">
        <v>20</v>
      </c>
      <c r="I2088" s="2" t="s">
        <v>4344</v>
      </c>
      <c r="J2088" s="3" t="str">
        <f>HYPERLINK("https://www.boe.es/gazeta/dias/1822/05/09/pdfs/GMD-1822-131.pdf#page=3","Abrir facsímil")</f>
        <v>Abrir facsímil</v>
      </c>
      <c r="K2088" s="3" t="s">
        <v>22</v>
      </c>
    </row>
    <row r="2089" spans="1:11" ht="42" customHeight="1">
      <c r="A2089" s="2" t="s">
        <v>4345</v>
      </c>
      <c r="B2089" s="2" t="s">
        <v>4345</v>
      </c>
      <c r="C2089" s="2" t="s">
        <v>50</v>
      </c>
      <c r="D2089" s="2" t="s">
        <v>51</v>
      </c>
      <c r="E2089" s="5">
        <v>-28177</v>
      </c>
      <c r="F2089" s="3" t="s">
        <v>587</v>
      </c>
      <c r="G2089" s="3" t="s">
        <v>19</v>
      </c>
      <c r="H2089" s="2" t="s">
        <v>20</v>
      </c>
      <c r="I2089" s="2" t="s">
        <v>4346</v>
      </c>
      <c r="J2089" s="3" t="str">
        <f>HYPERLINK("https://www.boe.es/gazeta/dias/1822/11/07/pdfs/GMD-1822-327.pdf#page=5","Abrir facsímil")</f>
        <v>Abrir facsímil</v>
      </c>
      <c r="K2089" s="3" t="s">
        <v>22</v>
      </c>
    </row>
    <row r="2090" spans="1:11" ht="42" customHeight="1">
      <c r="A2090" s="2" t="s">
        <v>4347</v>
      </c>
      <c r="B2090" s="2" t="s">
        <v>4347</v>
      </c>
      <c r="C2090" s="2" t="s">
        <v>42</v>
      </c>
      <c r="D2090" s="2" t="s">
        <v>17</v>
      </c>
      <c r="E2090" s="5">
        <v>-28406</v>
      </c>
      <c r="F2090" s="3" t="s">
        <v>462</v>
      </c>
      <c r="G2090" s="3" t="s">
        <v>167</v>
      </c>
      <c r="H2090" s="2" t="s">
        <v>20</v>
      </c>
      <c r="I2090" s="2" t="s">
        <v>4348</v>
      </c>
      <c r="J2090" s="3" t="str">
        <f>HYPERLINK("https://www.boe.es/gazeta/dias/1822/03/23/pdfs/GMD-1822-84.pdf#page=7","Abrir facsímil")</f>
        <v>Abrir facsímil</v>
      </c>
      <c r="K2090" s="3" t="s">
        <v>22</v>
      </c>
    </row>
    <row r="2091" spans="1:11" ht="42" customHeight="1">
      <c r="A2091" s="2" t="s">
        <v>4347</v>
      </c>
      <c r="B2091" s="2" t="s">
        <v>4347</v>
      </c>
      <c r="C2091" s="2" t="s">
        <v>71</v>
      </c>
      <c r="D2091" s="2" t="s">
        <v>17</v>
      </c>
      <c r="E2091" s="5">
        <v>-28311</v>
      </c>
      <c r="F2091" s="3" t="s">
        <v>736</v>
      </c>
      <c r="G2091" s="3" t="s">
        <v>57</v>
      </c>
      <c r="H2091" s="2" t="s">
        <v>20</v>
      </c>
      <c r="I2091" s="2" t="s">
        <v>4349</v>
      </c>
      <c r="J2091" s="3" t="str">
        <f>HYPERLINK("https://www.boe.es/gazeta/dias/1822/06/26/pdfs/GMD-1822-184.pdf#page=4","Abrir facsímil")</f>
        <v>Abrir facsímil</v>
      </c>
      <c r="K2091" s="3" t="s">
        <v>22</v>
      </c>
    </row>
    <row r="2092" spans="1:11" ht="42" customHeight="1">
      <c r="A2092" s="2" t="s">
        <v>4350</v>
      </c>
      <c r="B2092" s="2" t="s">
        <v>4351</v>
      </c>
      <c r="C2092" s="2" t="s">
        <v>42</v>
      </c>
      <c r="D2092" s="2" t="s">
        <v>17</v>
      </c>
      <c r="E2092" s="5">
        <v>-28436</v>
      </c>
      <c r="F2092" s="3" t="s">
        <v>431</v>
      </c>
      <c r="G2092" s="3" t="s">
        <v>57</v>
      </c>
      <c r="H2092" s="2" t="s">
        <v>20</v>
      </c>
      <c r="I2092" s="2" t="s">
        <v>4352</v>
      </c>
      <c r="J2092" s="3" t="str">
        <f>HYPERLINK("https://www.boe.es/gazeta/dias/1822/02/21/pdfs/GMD-1822-53.pdf#page=4","Abrir facsímil")</f>
        <v>Abrir facsímil</v>
      </c>
      <c r="K2092" s="3" t="s">
        <v>22</v>
      </c>
    </row>
    <row r="2093" spans="1:11" ht="42" customHeight="1">
      <c r="A2093" s="2" t="s">
        <v>4353</v>
      </c>
      <c r="B2093" s="2" t="s">
        <v>4354</v>
      </c>
      <c r="C2093" s="2" t="s">
        <v>50</v>
      </c>
      <c r="D2093" s="2" t="s">
        <v>51</v>
      </c>
      <c r="E2093" s="5">
        <v>-28349</v>
      </c>
      <c r="F2093" s="3" t="s">
        <v>518</v>
      </c>
      <c r="G2093" s="3" t="s">
        <v>44</v>
      </c>
      <c r="H2093" s="2" t="s">
        <v>20</v>
      </c>
      <c r="I2093" s="2" t="s">
        <v>4355</v>
      </c>
      <c r="J2093" s="3" t="str">
        <f>HYPERLINK("https://www.boe.es/gazeta/dias/1822/05/19/pdfs/GMD-1822-141.pdf#page=1","Abrir facsímil")</f>
        <v>Abrir facsímil</v>
      </c>
      <c r="K2093" s="3" t="s">
        <v>22</v>
      </c>
    </row>
    <row r="2094" spans="1:11" ht="42" customHeight="1">
      <c r="A2094" s="2" t="s">
        <v>4356</v>
      </c>
      <c r="B2094" s="2" t="s">
        <v>4356</v>
      </c>
      <c r="C2094" s="2" t="s">
        <v>362</v>
      </c>
      <c r="D2094" s="2" t="s">
        <v>17</v>
      </c>
      <c r="E2094" s="5">
        <v>-28459</v>
      </c>
      <c r="F2094" s="3" t="s">
        <v>1102</v>
      </c>
      <c r="G2094" s="3" t="s">
        <v>57</v>
      </c>
      <c r="H2094" s="2" t="s">
        <v>20</v>
      </c>
      <c r="I2094" s="2" t="s">
        <v>4357</v>
      </c>
      <c r="J2094" s="3" t="str">
        <f>HYPERLINK("https://www.boe.es/gazeta/dias/1822/01/29/pdfs/GMD-1822-29.pdf#page=4","Abrir facsímil")</f>
        <v>Abrir facsímil</v>
      </c>
      <c r="K2094" s="3" t="s">
        <v>22</v>
      </c>
    </row>
    <row r="2095" spans="1:11" ht="42" customHeight="1">
      <c r="A2095" s="2" t="s">
        <v>4358</v>
      </c>
      <c r="B2095" s="2" t="s">
        <v>4359</v>
      </c>
      <c r="C2095" s="2" t="s">
        <v>71</v>
      </c>
      <c r="D2095" s="2" t="s">
        <v>17</v>
      </c>
      <c r="E2095" s="5">
        <v>-28345</v>
      </c>
      <c r="F2095" s="3" t="s">
        <v>294</v>
      </c>
      <c r="G2095" s="3" t="s">
        <v>63</v>
      </c>
      <c r="H2095" s="2" t="s">
        <v>45</v>
      </c>
      <c r="I2095" s="2" t="s">
        <v>4360</v>
      </c>
      <c r="J2095" s="3" t="str">
        <f>HYPERLINK("https://www.boe.es/gazeta/dias/1822/05/23/pdfs/GMD-1822-147.pdf#page=6","Abrir facsímil")</f>
        <v>Abrir facsímil</v>
      </c>
      <c r="K2095" s="3" t="s">
        <v>47</v>
      </c>
    </row>
    <row r="2096" spans="1:11" ht="42" customHeight="1">
      <c r="A2096" s="2" t="s">
        <v>4361</v>
      </c>
      <c r="B2096" s="2" t="s">
        <v>4362</v>
      </c>
      <c r="C2096" s="2" t="s">
        <v>42</v>
      </c>
      <c r="D2096" s="2" t="s">
        <v>17</v>
      </c>
      <c r="E2096" s="5">
        <v>-28345</v>
      </c>
      <c r="F2096" s="3" t="s">
        <v>294</v>
      </c>
      <c r="G2096" s="3" t="s">
        <v>63</v>
      </c>
      <c r="H2096" s="2" t="s">
        <v>45</v>
      </c>
      <c r="I2096" s="2" t="s">
        <v>4363</v>
      </c>
      <c r="J2096" s="3" t="str">
        <f>HYPERLINK("https://www.boe.es/gazeta/dias/1822/05/23/pdfs/GMD-1822-147.pdf#page=6","Abrir facsímil")</f>
        <v>Abrir facsímil</v>
      </c>
      <c r="K2096" s="3" t="s">
        <v>47</v>
      </c>
    </row>
    <row r="2097" spans="1:11" ht="42" customHeight="1">
      <c r="A2097" s="2" t="s">
        <v>4364</v>
      </c>
      <c r="B2097" s="2" t="s">
        <v>4365</v>
      </c>
      <c r="C2097" s="2" t="s">
        <v>50</v>
      </c>
      <c r="D2097" s="2" t="s">
        <v>51</v>
      </c>
      <c r="E2097" s="5">
        <v>-28418</v>
      </c>
      <c r="F2097" s="3" t="s">
        <v>205</v>
      </c>
      <c r="G2097" s="3" t="s">
        <v>167</v>
      </c>
      <c r="H2097" s="2" t="s">
        <v>20</v>
      </c>
      <c r="I2097" s="2" t="s">
        <v>4366</v>
      </c>
      <c r="J2097" s="3" t="str">
        <f>HYPERLINK("https://www.boe.es/gazeta/dias/1822/03/11/pdfs/GMD-1822-72.pdf#page=7","Abrir facsímil")</f>
        <v>Abrir facsímil</v>
      </c>
      <c r="K2097" s="3" t="s">
        <v>22</v>
      </c>
    </row>
    <row r="2098" spans="1:11" ht="42" customHeight="1">
      <c r="A2098" s="2" t="s">
        <v>4367</v>
      </c>
      <c r="B2098" s="2" t="s">
        <v>4368</v>
      </c>
      <c r="C2098" s="2" t="s">
        <v>50</v>
      </c>
      <c r="D2098" s="2" t="s">
        <v>51</v>
      </c>
      <c r="E2098" s="5">
        <v>-28234</v>
      </c>
      <c r="F2098" s="3" t="s">
        <v>1331</v>
      </c>
      <c r="G2098" s="3" t="s">
        <v>35</v>
      </c>
      <c r="H2098" s="2" t="s">
        <v>45</v>
      </c>
      <c r="I2098" s="2" t="s">
        <v>4369</v>
      </c>
      <c r="J2098" s="3" t="str">
        <f>HYPERLINK("https://www.boe.es/gazeta/dias/1822/09/11/pdfs/GMD-1822-267.pdf#page=2","Abrir facsímil")</f>
        <v>Abrir facsímil</v>
      </c>
      <c r="K2098" s="3" t="s">
        <v>47</v>
      </c>
    </row>
    <row r="2099" spans="1:11" ht="42" customHeight="1">
      <c r="A2099" s="2" t="s">
        <v>4370</v>
      </c>
      <c r="B2099" s="2" t="s">
        <v>4371</v>
      </c>
      <c r="C2099" s="2" t="s">
        <v>28</v>
      </c>
      <c r="D2099" s="2" t="s">
        <v>29</v>
      </c>
      <c r="E2099" s="5">
        <v>-28399</v>
      </c>
      <c r="F2099" s="3" t="s">
        <v>476</v>
      </c>
      <c r="G2099" s="3" t="s">
        <v>44</v>
      </c>
      <c r="H2099" s="2" t="s">
        <v>20</v>
      </c>
      <c r="I2099" s="2" t="s">
        <v>4372</v>
      </c>
      <c r="J2099" s="3" t="str">
        <f>HYPERLINK("https://www.boe.es/gazeta/dias/1822/03/30/pdfs/GMD-1822-91.pdf#page=1","Abrir facsímil")</f>
        <v>Abrir facsímil</v>
      </c>
      <c r="K2099" s="3" t="s">
        <v>22</v>
      </c>
    </row>
    <row r="2100" spans="1:11" ht="42" customHeight="1">
      <c r="A2100" s="2" t="s">
        <v>4373</v>
      </c>
      <c r="B2100" s="2" t="s">
        <v>4374</v>
      </c>
      <c r="C2100" s="2" t="s">
        <v>50</v>
      </c>
      <c r="D2100" s="2" t="s">
        <v>51</v>
      </c>
      <c r="E2100" s="5">
        <v>-28345</v>
      </c>
      <c r="F2100" s="3" t="s">
        <v>294</v>
      </c>
      <c r="G2100" s="3" t="s">
        <v>63</v>
      </c>
      <c r="H2100" s="2" t="s">
        <v>45</v>
      </c>
      <c r="I2100" s="2" t="s">
        <v>4375</v>
      </c>
      <c r="J2100" s="3" t="str">
        <f>HYPERLINK("https://www.boe.es/gazeta/dias/1822/05/23/pdfs/GMD-1822-147.pdf#page=6","Abrir facsímil")</f>
        <v>Abrir facsímil</v>
      </c>
      <c r="K2100" s="3" t="s">
        <v>47</v>
      </c>
    </row>
    <row r="2101" spans="1:11" ht="42" customHeight="1">
      <c r="A2101" s="2" t="s">
        <v>4376</v>
      </c>
      <c r="B2101" s="2" t="s">
        <v>4376</v>
      </c>
      <c r="C2101" s="2" t="s">
        <v>42</v>
      </c>
      <c r="D2101" s="2" t="s">
        <v>17</v>
      </c>
      <c r="E2101" s="5">
        <v>-28441</v>
      </c>
      <c r="F2101" s="3" t="s">
        <v>429</v>
      </c>
      <c r="G2101" s="3" t="s">
        <v>31</v>
      </c>
      <c r="H2101" s="2" t="s">
        <v>20</v>
      </c>
      <c r="I2101" s="2" t="s">
        <v>4377</v>
      </c>
      <c r="J2101" s="3" t="str">
        <f>HYPERLINK("https://www.boe.es/gazeta/dias/1822/02/16/pdfs/GMD-1822-48.pdf#page=3","Abrir facsímil")</f>
        <v>Abrir facsímil</v>
      </c>
      <c r="K2101" s="3" t="s">
        <v>22</v>
      </c>
    </row>
    <row r="2102" spans="1:11" ht="42" customHeight="1">
      <c r="A2102" s="2" t="s">
        <v>4376</v>
      </c>
      <c r="B2102" s="2" t="s">
        <v>4376</v>
      </c>
      <c r="C2102" s="2" t="s">
        <v>28</v>
      </c>
      <c r="D2102" s="2" t="s">
        <v>29</v>
      </c>
      <c r="E2102" s="5">
        <v>-28434</v>
      </c>
      <c r="F2102" s="3" t="s">
        <v>433</v>
      </c>
      <c r="G2102" s="3" t="s">
        <v>35</v>
      </c>
      <c r="H2102" s="2" t="s">
        <v>20</v>
      </c>
      <c r="I2102" s="2" t="s">
        <v>4378</v>
      </c>
      <c r="J2102" s="3" t="str">
        <f>HYPERLINK("https://www.boe.es/gazeta/dias/1822/02/23/pdfs/GMD-1822-55.pdf#page=2","Abrir facsímil")</f>
        <v>Abrir facsímil</v>
      </c>
      <c r="K2102" s="3" t="s">
        <v>22</v>
      </c>
    </row>
    <row r="2103" spans="1:11" ht="42" customHeight="1">
      <c r="A2103" s="2" t="s">
        <v>4376</v>
      </c>
      <c r="B2103" s="2" t="s">
        <v>4376</v>
      </c>
      <c r="C2103" s="2" t="s">
        <v>28</v>
      </c>
      <c r="D2103" s="2" t="s">
        <v>29</v>
      </c>
      <c r="E2103" s="5">
        <v>-28424</v>
      </c>
      <c r="F2103" s="3" t="s">
        <v>439</v>
      </c>
      <c r="G2103" s="3" t="s">
        <v>31</v>
      </c>
      <c r="H2103" s="2" t="s">
        <v>20</v>
      </c>
      <c r="I2103" s="2" t="s">
        <v>4379</v>
      </c>
      <c r="J2103" s="3" t="str">
        <f>HYPERLINK("https://www.boe.es/gazeta/dias/1822/03/05/pdfs/GMD-1822-66.pdf#page=3","Abrir facsímil")</f>
        <v>Abrir facsímil</v>
      </c>
      <c r="K2103" s="3" t="s">
        <v>22</v>
      </c>
    </row>
    <row r="2104" spans="1:11" ht="42" customHeight="1">
      <c r="A2104" s="2" t="s">
        <v>4376</v>
      </c>
      <c r="B2104" s="2" t="s">
        <v>4376</v>
      </c>
      <c r="C2104" s="2" t="s">
        <v>42</v>
      </c>
      <c r="D2104" s="2" t="s">
        <v>17</v>
      </c>
      <c r="E2104" s="5">
        <v>-28421</v>
      </c>
      <c r="F2104" s="3" t="s">
        <v>446</v>
      </c>
      <c r="G2104" s="3" t="s">
        <v>31</v>
      </c>
      <c r="H2104" s="2" t="s">
        <v>20</v>
      </c>
      <c r="I2104" s="2" t="s">
        <v>4380</v>
      </c>
      <c r="J2104" s="3" t="str">
        <f>HYPERLINK("https://www.boe.es/gazeta/dias/1822/03/08/pdfs/GMD-1822-69.pdf#page=3","Abrir facsímil")</f>
        <v>Abrir facsímil</v>
      </c>
      <c r="K2104" s="3" t="s">
        <v>22</v>
      </c>
    </row>
    <row r="2105" spans="1:11" ht="42" customHeight="1">
      <c r="A2105" s="2" t="s">
        <v>4376</v>
      </c>
      <c r="B2105" s="2" t="s">
        <v>4376</v>
      </c>
      <c r="C2105" s="2" t="s">
        <v>71</v>
      </c>
      <c r="D2105" s="2" t="s">
        <v>17</v>
      </c>
      <c r="E2105" s="5">
        <v>-28419</v>
      </c>
      <c r="F2105" s="3" t="s">
        <v>1392</v>
      </c>
      <c r="G2105" s="3" t="s">
        <v>19</v>
      </c>
      <c r="H2105" s="2" t="s">
        <v>20</v>
      </c>
      <c r="I2105" s="2" t="s">
        <v>4381</v>
      </c>
      <c r="J2105" s="3" t="str">
        <f>HYPERLINK("https://www.boe.es/gazeta/dias/1822/03/10/pdfs/GMD-1822-71.pdf#page=5","Abrir facsímil")</f>
        <v>Abrir facsímil</v>
      </c>
      <c r="K2105" s="3" t="s">
        <v>22</v>
      </c>
    </row>
    <row r="2106" spans="1:11" ht="42" customHeight="1">
      <c r="A2106" s="2" t="s">
        <v>4376</v>
      </c>
      <c r="B2106" s="2" t="s">
        <v>4376</v>
      </c>
      <c r="C2106" s="2" t="s">
        <v>28</v>
      </c>
      <c r="D2106" s="2" t="s">
        <v>29</v>
      </c>
      <c r="E2106" s="5">
        <v>-28418</v>
      </c>
      <c r="F2106" s="3" t="s">
        <v>205</v>
      </c>
      <c r="G2106" s="3" t="s">
        <v>157</v>
      </c>
      <c r="H2106" s="2" t="s">
        <v>20</v>
      </c>
      <c r="I2106" s="2" t="s">
        <v>4382</v>
      </c>
      <c r="J2106" s="3" t="str">
        <f>HYPERLINK("https://www.boe.es/gazeta/dias/1822/03/11/pdfs/GMD-1822-72.pdf#page=8","Abrir facsímil")</f>
        <v>Abrir facsímil</v>
      </c>
      <c r="K2106" s="3" t="s">
        <v>22</v>
      </c>
    </row>
    <row r="2107" spans="1:11" ht="42" customHeight="1">
      <c r="A2107" s="2" t="s">
        <v>4376</v>
      </c>
      <c r="B2107" s="2" t="s">
        <v>4376</v>
      </c>
      <c r="C2107" s="2" t="s">
        <v>28</v>
      </c>
      <c r="D2107" s="2" t="s">
        <v>29</v>
      </c>
      <c r="E2107" s="5">
        <v>-28396</v>
      </c>
      <c r="F2107" s="3" t="s">
        <v>1138</v>
      </c>
      <c r="G2107" s="3" t="s">
        <v>167</v>
      </c>
      <c r="H2107" s="2" t="s">
        <v>20</v>
      </c>
      <c r="I2107" s="2" t="s">
        <v>4383</v>
      </c>
      <c r="J2107" s="3" t="str">
        <f>HYPERLINK("https://www.boe.es/gazeta/dias/1822/04/02/pdfs/GMD-1822-94.pdf#page=7","Abrir facsímil")</f>
        <v>Abrir facsímil</v>
      </c>
      <c r="K2107" s="3" t="s">
        <v>22</v>
      </c>
    </row>
    <row r="2108" spans="1:11" ht="42" customHeight="1">
      <c r="A2108" s="2" t="s">
        <v>4376</v>
      </c>
      <c r="B2108" s="2" t="s">
        <v>4376</v>
      </c>
      <c r="C2108" s="2" t="s">
        <v>71</v>
      </c>
      <c r="D2108" s="2" t="s">
        <v>17</v>
      </c>
      <c r="E2108" s="5">
        <v>-28388</v>
      </c>
      <c r="F2108" s="3" t="s">
        <v>1268</v>
      </c>
      <c r="G2108" s="3" t="s">
        <v>57</v>
      </c>
      <c r="H2108" s="2" t="s">
        <v>20</v>
      </c>
      <c r="I2108" s="2" t="s">
        <v>4384</v>
      </c>
      <c r="J2108" s="3" t="str">
        <f>HYPERLINK("https://www.boe.es/gazeta/dias/1822/04/10/pdfs/GMD-1822-102.pdf#page=4","Abrir facsímil")</f>
        <v>Abrir facsímil</v>
      </c>
      <c r="K2108" s="3" t="s">
        <v>22</v>
      </c>
    </row>
    <row r="2109" spans="1:11" ht="42" customHeight="1">
      <c r="A2109" s="2" t="s">
        <v>4376</v>
      </c>
      <c r="B2109" s="2" t="s">
        <v>4376</v>
      </c>
      <c r="C2109" s="2" t="s">
        <v>28</v>
      </c>
      <c r="D2109" s="2" t="s">
        <v>29</v>
      </c>
      <c r="E2109" s="5">
        <v>-28381</v>
      </c>
      <c r="F2109" s="3" t="s">
        <v>358</v>
      </c>
      <c r="G2109" s="3" t="s">
        <v>2269</v>
      </c>
      <c r="H2109" s="2" t="s">
        <v>20</v>
      </c>
      <c r="I2109" s="2" t="s">
        <v>4385</v>
      </c>
      <c r="J2109" s="3" t="str">
        <f>HYPERLINK("https://www.boe.es/gazeta/dias/1822/04/17/pdfs/GMD-1822-109.pdf#page=3","Abrir facsímil")</f>
        <v>Abrir facsímil</v>
      </c>
      <c r="K2109" s="3" t="s">
        <v>22</v>
      </c>
    </row>
    <row r="2110" spans="1:11" ht="42" customHeight="1">
      <c r="A2110" s="2" t="s">
        <v>4376</v>
      </c>
      <c r="B2110" s="2" t="s">
        <v>4376</v>
      </c>
      <c r="C2110" s="2" t="s">
        <v>42</v>
      </c>
      <c r="D2110" s="2" t="s">
        <v>17</v>
      </c>
      <c r="E2110" s="5">
        <v>-28378</v>
      </c>
      <c r="F2110" s="3" t="s">
        <v>496</v>
      </c>
      <c r="G2110" s="3" t="s">
        <v>31</v>
      </c>
      <c r="H2110" s="2" t="s">
        <v>20</v>
      </c>
      <c r="I2110" s="2" t="s">
        <v>4386</v>
      </c>
      <c r="J2110" s="3" t="str">
        <f>HYPERLINK("https://www.boe.es/gazeta/dias/1822/04/20/pdfs/GMD-1822-112.pdf#page=3","Abrir facsímil")</f>
        <v>Abrir facsímil</v>
      </c>
      <c r="K2110" s="3" t="s">
        <v>22</v>
      </c>
    </row>
    <row r="2111" spans="1:11" ht="42" customHeight="1">
      <c r="A2111" s="2" t="s">
        <v>4376</v>
      </c>
      <c r="B2111" s="2" t="s">
        <v>4376</v>
      </c>
      <c r="C2111" s="2" t="s">
        <v>50</v>
      </c>
      <c r="D2111" s="2" t="s">
        <v>51</v>
      </c>
      <c r="E2111" s="5">
        <v>-28377</v>
      </c>
      <c r="F2111" s="3" t="s">
        <v>498</v>
      </c>
      <c r="G2111" s="3" t="s">
        <v>31</v>
      </c>
      <c r="H2111" s="2" t="s">
        <v>20</v>
      </c>
      <c r="I2111" s="2" t="s">
        <v>4387</v>
      </c>
      <c r="J2111" s="3" t="str">
        <f>HYPERLINK("https://www.boe.es/gazeta/dias/1822/04/21/pdfs/GMD-1822-113.pdf#page=3","Abrir facsímil")</f>
        <v>Abrir facsímil</v>
      </c>
      <c r="K2111" s="3" t="s">
        <v>22</v>
      </c>
    </row>
    <row r="2112" spans="1:11" ht="42" customHeight="1">
      <c r="A2112" s="2" t="s">
        <v>4376</v>
      </c>
      <c r="B2112" s="2" t="s">
        <v>4376</v>
      </c>
      <c r="C2112" s="2" t="s">
        <v>50</v>
      </c>
      <c r="D2112" s="2" t="s">
        <v>51</v>
      </c>
      <c r="E2112" s="5">
        <v>-28369</v>
      </c>
      <c r="F2112" s="3" t="s">
        <v>1590</v>
      </c>
      <c r="G2112" s="3" t="s">
        <v>63</v>
      </c>
      <c r="H2112" s="2" t="s">
        <v>20</v>
      </c>
      <c r="I2112" s="2" t="s">
        <v>4388</v>
      </c>
      <c r="J2112" s="3" t="str">
        <f>HYPERLINK("https://www.boe.es/gazeta/dias/1822/04/29/pdfs/GMD-1822-121.pdf#page=6","Abrir facsímil")</f>
        <v>Abrir facsímil</v>
      </c>
      <c r="K2112" s="3" t="s">
        <v>22</v>
      </c>
    </row>
    <row r="2113" spans="1:11" ht="42" customHeight="1">
      <c r="A2113" s="2" t="s">
        <v>4376</v>
      </c>
      <c r="B2113" s="2" t="s">
        <v>4376</v>
      </c>
      <c r="C2113" s="2" t="s">
        <v>42</v>
      </c>
      <c r="D2113" s="2" t="s">
        <v>17</v>
      </c>
      <c r="E2113" s="5">
        <v>-28368</v>
      </c>
      <c r="F2113" s="3" t="s">
        <v>126</v>
      </c>
      <c r="G2113" s="3" t="s">
        <v>35</v>
      </c>
      <c r="H2113" s="2" t="s">
        <v>20</v>
      </c>
      <c r="I2113" s="2" t="s">
        <v>4389</v>
      </c>
      <c r="J2113" s="3" t="str">
        <f>HYPERLINK("https://www.boe.es/gazeta/dias/1822/04/30/pdfs/GMD-1822-122.pdf#page=2","Abrir facsímil")</f>
        <v>Abrir facsímil</v>
      </c>
      <c r="K2113" s="3" t="s">
        <v>22</v>
      </c>
    </row>
    <row r="2114" spans="1:11" ht="42" customHeight="1">
      <c r="A2114" s="2" t="s">
        <v>4376</v>
      </c>
      <c r="B2114" s="2" t="s">
        <v>4376</v>
      </c>
      <c r="C2114" s="2" t="s">
        <v>28</v>
      </c>
      <c r="D2114" s="2" t="s">
        <v>29</v>
      </c>
      <c r="E2114" s="5">
        <v>-28366</v>
      </c>
      <c r="F2114" s="3" t="s">
        <v>120</v>
      </c>
      <c r="G2114" s="3" t="s">
        <v>35</v>
      </c>
      <c r="H2114" s="2" t="s">
        <v>20</v>
      </c>
      <c r="I2114" s="2" t="s">
        <v>4390</v>
      </c>
      <c r="J2114" s="3" t="str">
        <f>HYPERLINK("https://www.boe.es/gazeta/dias/1822/05/02/pdfs/GMD-1822-124.pdf#page=2","Abrir facsímil")</f>
        <v>Abrir facsímil</v>
      </c>
      <c r="K2114" s="3" t="s">
        <v>22</v>
      </c>
    </row>
    <row r="2115" spans="1:11" ht="42" customHeight="1">
      <c r="A2115" s="2" t="s">
        <v>4376</v>
      </c>
      <c r="B2115" s="2" t="s">
        <v>4376</v>
      </c>
      <c r="C2115" s="2" t="s">
        <v>71</v>
      </c>
      <c r="D2115" s="2" t="s">
        <v>17</v>
      </c>
      <c r="E2115" s="5">
        <v>-28362</v>
      </c>
      <c r="F2115" s="3" t="s">
        <v>511</v>
      </c>
      <c r="G2115" s="3" t="s">
        <v>44</v>
      </c>
      <c r="H2115" s="2" t="s">
        <v>20</v>
      </c>
      <c r="I2115" s="2" t="s">
        <v>4391</v>
      </c>
      <c r="J2115" s="3" t="str">
        <f>HYPERLINK("https://www.boe.es/gazeta/dias/1822/05/06/pdfs/GMD-1822-128.pdf#page=1","Abrir facsímil")</f>
        <v>Abrir facsímil</v>
      </c>
      <c r="K2115" s="3" t="s">
        <v>22</v>
      </c>
    </row>
    <row r="2116" spans="1:11" ht="42" customHeight="1">
      <c r="A2116" s="2" t="s">
        <v>4376</v>
      </c>
      <c r="B2116" s="2" t="s">
        <v>4376</v>
      </c>
      <c r="C2116" s="2" t="s">
        <v>50</v>
      </c>
      <c r="D2116" s="2" t="s">
        <v>51</v>
      </c>
      <c r="E2116" s="5">
        <v>-28362</v>
      </c>
      <c r="F2116" s="3" t="s">
        <v>511</v>
      </c>
      <c r="G2116" s="3" t="s">
        <v>35</v>
      </c>
      <c r="H2116" s="2" t="s">
        <v>20</v>
      </c>
      <c r="I2116" s="2" t="s">
        <v>4392</v>
      </c>
      <c r="J2116" s="3" t="str">
        <f>HYPERLINK("https://www.boe.es/gazeta/dias/1822/05/06/pdfs/GMD-1822-128.pdf#page=2","Abrir facsímil")</f>
        <v>Abrir facsímil</v>
      </c>
      <c r="K2116" s="3" t="s">
        <v>22</v>
      </c>
    </row>
    <row r="2117" spans="1:11" ht="42" customHeight="1">
      <c r="A2117" s="2" t="s">
        <v>4376</v>
      </c>
      <c r="B2117" s="2" t="s">
        <v>4376</v>
      </c>
      <c r="C2117" s="2" t="s">
        <v>28</v>
      </c>
      <c r="D2117" s="2" t="s">
        <v>29</v>
      </c>
      <c r="E2117" s="5">
        <v>-28360</v>
      </c>
      <c r="F2117" s="3" t="s">
        <v>514</v>
      </c>
      <c r="G2117" s="3" t="s">
        <v>57</v>
      </c>
      <c r="H2117" s="2" t="s">
        <v>20</v>
      </c>
      <c r="I2117" s="2" t="s">
        <v>4393</v>
      </c>
      <c r="J2117" s="3" t="str">
        <f>HYPERLINK("https://www.boe.es/gazeta/dias/1822/05/08/pdfs/GMD-1822-130.pdf#page=4","Abrir facsímil")</f>
        <v>Abrir facsímil</v>
      </c>
      <c r="K2117" s="3" t="s">
        <v>22</v>
      </c>
    </row>
    <row r="2118" spans="1:11" ht="42" customHeight="1">
      <c r="A2118" s="2" t="s">
        <v>4376</v>
      </c>
      <c r="B2118" s="2" t="s">
        <v>4376</v>
      </c>
      <c r="C2118" s="2" t="s">
        <v>362</v>
      </c>
      <c r="D2118" s="2" t="s">
        <v>17</v>
      </c>
      <c r="E2118" s="5">
        <v>-28355</v>
      </c>
      <c r="F2118" s="3" t="s">
        <v>692</v>
      </c>
      <c r="G2118" s="3" t="s">
        <v>57</v>
      </c>
      <c r="H2118" s="2" t="s">
        <v>20</v>
      </c>
      <c r="I2118" s="2" t="s">
        <v>4394</v>
      </c>
      <c r="J2118" s="3" t="str">
        <f>HYPERLINK("https://www.boe.es/gazeta/dias/1822/05/13/pdfs/GMD-1822-135.pdf#page=4","Abrir facsímil")</f>
        <v>Abrir facsímil</v>
      </c>
      <c r="K2118" s="3" t="s">
        <v>22</v>
      </c>
    </row>
    <row r="2119" spans="1:11" ht="42" customHeight="1">
      <c r="A2119" s="2" t="s">
        <v>4376</v>
      </c>
      <c r="B2119" s="2" t="s">
        <v>4376</v>
      </c>
      <c r="C2119" s="2" t="s">
        <v>71</v>
      </c>
      <c r="D2119" s="2" t="s">
        <v>17</v>
      </c>
      <c r="E2119" s="5">
        <v>-28323</v>
      </c>
      <c r="F2119" s="3" t="s">
        <v>116</v>
      </c>
      <c r="G2119" s="3" t="s">
        <v>57</v>
      </c>
      <c r="H2119" s="2" t="s">
        <v>20</v>
      </c>
      <c r="I2119" s="2" t="s">
        <v>4395</v>
      </c>
      <c r="J2119" s="3" t="str">
        <f>HYPERLINK("https://www.boe.es/gazeta/dias/1822/06/14/pdfs/GMD-1822-171.pdf#page=4","Abrir facsímil")</f>
        <v>Abrir facsímil</v>
      </c>
      <c r="K2119" s="3" t="s">
        <v>22</v>
      </c>
    </row>
    <row r="2120" spans="1:11" ht="42" customHeight="1">
      <c r="A2120" s="2" t="s">
        <v>4376</v>
      </c>
      <c r="B2120" s="2" t="s">
        <v>4376</v>
      </c>
      <c r="C2120" s="2" t="s">
        <v>28</v>
      </c>
      <c r="D2120" s="2" t="s">
        <v>29</v>
      </c>
      <c r="E2120" s="5">
        <v>-28322</v>
      </c>
      <c r="F2120" s="3" t="s">
        <v>2205</v>
      </c>
      <c r="G2120" s="3" t="s">
        <v>3031</v>
      </c>
      <c r="H2120" s="2" t="s">
        <v>20</v>
      </c>
      <c r="I2120" s="2" t="s">
        <v>4396</v>
      </c>
      <c r="J2120" s="3" t="str">
        <f>HYPERLINK("https://www.boe.es/gazeta/dias/1822/06/15/pdfs/GMD-1822-172.pdf#page=2","Abrir facsímil")</f>
        <v>Abrir facsímil</v>
      </c>
      <c r="K2120" s="3" t="s">
        <v>22</v>
      </c>
    </row>
    <row r="2121" spans="1:11" ht="42" customHeight="1">
      <c r="A2121" s="2" t="s">
        <v>4376</v>
      </c>
      <c r="B2121" s="2" t="s">
        <v>4376</v>
      </c>
      <c r="C2121" s="2" t="s">
        <v>71</v>
      </c>
      <c r="D2121" s="2" t="s">
        <v>17</v>
      </c>
      <c r="E2121" s="5">
        <v>-28314</v>
      </c>
      <c r="F2121" s="3" t="s">
        <v>309</v>
      </c>
      <c r="G2121" s="3" t="s">
        <v>35</v>
      </c>
      <c r="H2121" s="2" t="s">
        <v>20</v>
      </c>
      <c r="I2121" s="2" t="s">
        <v>4397</v>
      </c>
      <c r="J2121" s="3" t="str">
        <f>HYPERLINK("https://www.boe.es/gazeta/dias/1822/06/23/pdfs/GMD-1822-181.pdf#page=2","Abrir facsímil")</f>
        <v>Abrir facsímil</v>
      </c>
      <c r="K2121" s="3" t="s">
        <v>22</v>
      </c>
    </row>
    <row r="2122" spans="1:11" ht="42" customHeight="1">
      <c r="A2122" s="2" t="s">
        <v>4376</v>
      </c>
      <c r="B2122" s="2" t="s">
        <v>4376</v>
      </c>
      <c r="C2122" s="2" t="s">
        <v>71</v>
      </c>
      <c r="D2122" s="2" t="s">
        <v>17</v>
      </c>
      <c r="E2122" s="5">
        <v>-28259</v>
      </c>
      <c r="F2122" s="3" t="s">
        <v>1912</v>
      </c>
      <c r="G2122" s="3" t="s">
        <v>35</v>
      </c>
      <c r="H2122" s="2" t="s">
        <v>20</v>
      </c>
      <c r="I2122" s="2" t="s">
        <v>4398</v>
      </c>
      <c r="J2122" s="3" t="str">
        <f>HYPERLINK("https://www.boe.es/gazeta/dias/1822/08/17/pdfs/GMD-1822-241.pdf#page=2","Abrir facsímil")</f>
        <v>Abrir facsímil</v>
      </c>
      <c r="K2122" s="3" t="s">
        <v>22</v>
      </c>
    </row>
    <row r="2123" spans="1:11" ht="42" customHeight="1">
      <c r="A2123" s="2" t="s">
        <v>4376</v>
      </c>
      <c r="B2123" s="2" t="s">
        <v>4376</v>
      </c>
      <c r="C2123" s="2" t="s">
        <v>50</v>
      </c>
      <c r="D2123" s="2" t="s">
        <v>51</v>
      </c>
      <c r="E2123" s="5">
        <v>-28257</v>
      </c>
      <c r="F2123" s="3" t="s">
        <v>1171</v>
      </c>
      <c r="G2123" s="3" t="s">
        <v>1172</v>
      </c>
      <c r="H2123" s="2" t="s">
        <v>20</v>
      </c>
      <c r="I2123" s="2" t="s">
        <v>4399</v>
      </c>
      <c r="J2123" s="3" t="str">
        <f>HYPERLINK("https://www.boe.es/gazeta/dias/1822/08/19/pdfs/GMD-1822-243.pdf#page=4","Abrir facsímil")</f>
        <v>Abrir facsímil</v>
      </c>
      <c r="K2123" s="3" t="s">
        <v>22</v>
      </c>
    </row>
    <row r="2124" spans="1:11" ht="42" customHeight="1">
      <c r="A2124" s="2" t="s">
        <v>4376</v>
      </c>
      <c r="B2124" s="2" t="s">
        <v>4376</v>
      </c>
      <c r="C2124" s="2" t="s">
        <v>50</v>
      </c>
      <c r="D2124" s="2" t="s">
        <v>51</v>
      </c>
      <c r="E2124" s="5">
        <v>-28236</v>
      </c>
      <c r="F2124" s="3" t="s">
        <v>714</v>
      </c>
      <c r="G2124" s="3" t="s">
        <v>57</v>
      </c>
      <c r="H2124" s="2" t="s">
        <v>20</v>
      </c>
      <c r="I2124" s="2" t="s">
        <v>4400</v>
      </c>
      <c r="J2124" s="3" t="str">
        <f>HYPERLINK("https://www.boe.es/gazeta/dias/1822/09/09/pdfs/GMD-1822-265.pdf#page=4","Abrir facsímil")</f>
        <v>Abrir facsímil</v>
      </c>
      <c r="K2124" s="3" t="s">
        <v>22</v>
      </c>
    </row>
    <row r="2125" spans="1:11" ht="42" customHeight="1">
      <c r="A2125" s="2" t="s">
        <v>4376</v>
      </c>
      <c r="B2125" s="2" t="s">
        <v>4376</v>
      </c>
      <c r="C2125" s="2" t="s">
        <v>28</v>
      </c>
      <c r="D2125" s="2" t="s">
        <v>29</v>
      </c>
      <c r="E2125" s="5">
        <v>-28213</v>
      </c>
      <c r="F2125" s="3" t="s">
        <v>558</v>
      </c>
      <c r="G2125" s="3" t="s">
        <v>31</v>
      </c>
      <c r="H2125" s="2" t="s">
        <v>20</v>
      </c>
      <c r="I2125" s="2" t="s">
        <v>4401</v>
      </c>
      <c r="J2125" s="3" t="str">
        <f>HYPERLINK("https://www.boe.es/gazeta/dias/1822/10/02/pdfs/GMD-1822-288.pdf#page=3","Abrir facsímil")</f>
        <v>Abrir facsímil</v>
      </c>
      <c r="K2125" s="3" t="s">
        <v>22</v>
      </c>
    </row>
    <row r="2126" spans="1:11" ht="42" customHeight="1">
      <c r="A2126" s="2" t="s">
        <v>4376</v>
      </c>
      <c r="B2126" s="2" t="s">
        <v>4376</v>
      </c>
      <c r="C2126" s="2" t="s">
        <v>50</v>
      </c>
      <c r="D2126" s="2" t="s">
        <v>51</v>
      </c>
      <c r="E2126" s="5">
        <v>-28211</v>
      </c>
      <c r="F2126" s="3" t="s">
        <v>273</v>
      </c>
      <c r="G2126" s="3" t="s">
        <v>57</v>
      </c>
      <c r="H2126" s="2" t="s">
        <v>20</v>
      </c>
      <c r="I2126" s="2" t="s">
        <v>4402</v>
      </c>
      <c r="J2126" s="3" t="str">
        <f>HYPERLINK("https://www.boe.es/gazeta/dias/1822/10/04/pdfs/GMD-1822-290.pdf#page=4","Abrir facsímil")</f>
        <v>Abrir facsímil</v>
      </c>
      <c r="K2126" s="3" t="s">
        <v>22</v>
      </c>
    </row>
    <row r="2127" spans="1:11" ht="42" customHeight="1">
      <c r="A2127" s="2" t="s">
        <v>4376</v>
      </c>
      <c r="B2127" s="2" t="s">
        <v>4376</v>
      </c>
      <c r="C2127" s="2" t="s">
        <v>28</v>
      </c>
      <c r="D2127" s="2" t="s">
        <v>29</v>
      </c>
      <c r="E2127" s="5">
        <v>-28189</v>
      </c>
      <c r="F2127" s="3" t="s">
        <v>645</v>
      </c>
      <c r="G2127" s="3" t="s">
        <v>31</v>
      </c>
      <c r="H2127" s="2" t="s">
        <v>20</v>
      </c>
      <c r="I2127" s="2" t="s">
        <v>4403</v>
      </c>
      <c r="J2127" s="3" t="str">
        <f>HYPERLINK("https://www.boe.es/gazeta/dias/1822/10/26/pdfs/GMD-1822-313.pdf#page=3","Abrir facsímil")</f>
        <v>Abrir facsímil</v>
      </c>
      <c r="K2127" s="3" t="s">
        <v>22</v>
      </c>
    </row>
    <row r="2128" spans="1:11" ht="42" customHeight="1">
      <c r="A2128" s="2" t="s">
        <v>4376</v>
      </c>
      <c r="B2128" s="2" t="s">
        <v>4376</v>
      </c>
      <c r="C2128" s="2" t="s">
        <v>50</v>
      </c>
      <c r="D2128" s="2" t="s">
        <v>51</v>
      </c>
      <c r="E2128" s="5">
        <v>-28177</v>
      </c>
      <c r="F2128" s="3" t="s">
        <v>587</v>
      </c>
      <c r="G2128" s="3" t="s">
        <v>19</v>
      </c>
      <c r="H2128" s="2" t="s">
        <v>20</v>
      </c>
      <c r="I2128" s="2" t="s">
        <v>4404</v>
      </c>
      <c r="J2128" s="3" t="str">
        <f>HYPERLINK("https://www.boe.es/gazeta/dias/1822/11/07/pdfs/GMD-1822-327.pdf#page=5","Abrir facsímil")</f>
        <v>Abrir facsímil</v>
      </c>
      <c r="K2128" s="3" t="s">
        <v>22</v>
      </c>
    </row>
    <row r="2129" spans="1:11" ht="42" customHeight="1">
      <c r="A2129" s="2" t="s">
        <v>4376</v>
      </c>
      <c r="B2129" s="2" t="s">
        <v>4376</v>
      </c>
      <c r="C2129" s="2" t="s">
        <v>50</v>
      </c>
      <c r="D2129" s="2" t="s">
        <v>51</v>
      </c>
      <c r="E2129" s="5">
        <v>-28154</v>
      </c>
      <c r="F2129" s="3" t="s">
        <v>2321</v>
      </c>
      <c r="G2129" s="3" t="s">
        <v>35</v>
      </c>
      <c r="H2129" s="2" t="s">
        <v>20</v>
      </c>
      <c r="I2129" s="2" t="s">
        <v>4405</v>
      </c>
      <c r="J2129" s="3" t="str">
        <f>HYPERLINK("https://www.boe.es/gazeta/dias/1822/11/30/pdfs/GMD-1822-350.pdf#page=2","Abrir facsímil")</f>
        <v>Abrir facsímil</v>
      </c>
      <c r="K2129" s="3" t="s">
        <v>22</v>
      </c>
    </row>
    <row r="2130" spans="1:11" ht="42" customHeight="1">
      <c r="A2130" s="2" t="s">
        <v>4406</v>
      </c>
      <c r="B2130" s="2" t="s">
        <v>4407</v>
      </c>
      <c r="C2130" s="2" t="s">
        <v>28</v>
      </c>
      <c r="D2130" s="2" t="s">
        <v>29</v>
      </c>
      <c r="E2130" s="5">
        <v>-28366</v>
      </c>
      <c r="F2130" s="3" t="s">
        <v>120</v>
      </c>
      <c r="G2130" s="3" t="s">
        <v>19</v>
      </c>
      <c r="H2130" s="2" t="s">
        <v>20</v>
      </c>
      <c r="I2130" s="2" t="s">
        <v>4408</v>
      </c>
      <c r="J2130" s="3" t="str">
        <f>HYPERLINK("https://www.boe.es/gazeta/dias/1822/05/02/pdfs/GMD-1822-124.pdf#page=5","Abrir facsímil")</f>
        <v>Abrir facsímil</v>
      </c>
      <c r="K2130" s="3" t="s">
        <v>22</v>
      </c>
    </row>
    <row r="2131" spans="1:11" ht="42" customHeight="1">
      <c r="A2131" s="2" t="s">
        <v>4406</v>
      </c>
      <c r="B2131" s="2" t="s">
        <v>4407</v>
      </c>
      <c r="C2131" s="2" t="s">
        <v>24</v>
      </c>
      <c r="D2131" s="2" t="s">
        <v>17</v>
      </c>
      <c r="E2131" s="5">
        <v>-28312</v>
      </c>
      <c r="F2131" s="3" t="s">
        <v>92</v>
      </c>
      <c r="G2131" s="3" t="s">
        <v>93</v>
      </c>
      <c r="H2131" s="2" t="s">
        <v>20</v>
      </c>
      <c r="I2131" s="2" t="s">
        <v>4409</v>
      </c>
      <c r="J2131" s="3" t="str">
        <f>HYPERLINK("https://www.boe.es/gazeta/dias/1822/06/25/pdfs/GMD-1822-183.pdf#page=4","Abrir facsímil")</f>
        <v>Abrir facsímil</v>
      </c>
      <c r="K2131" s="3" t="s">
        <v>22</v>
      </c>
    </row>
    <row r="2132" spans="1:11" ht="42" customHeight="1">
      <c r="A2132" s="2" t="s">
        <v>4410</v>
      </c>
      <c r="B2132" s="2" t="s">
        <v>4411</v>
      </c>
      <c r="C2132" s="2" t="s">
        <v>28</v>
      </c>
      <c r="D2132" s="2" t="s">
        <v>29</v>
      </c>
      <c r="E2132" s="5">
        <v>-28436</v>
      </c>
      <c r="F2132" s="3" t="s">
        <v>431</v>
      </c>
      <c r="G2132" s="3" t="s">
        <v>1428</v>
      </c>
      <c r="H2132" s="2" t="s">
        <v>20</v>
      </c>
      <c r="I2132" s="2" t="s">
        <v>4412</v>
      </c>
      <c r="J2132" s="3" t="str">
        <f>HYPERLINK("https://www.boe.es/gazeta/dias/1822/02/21/pdfs/GMD-1822-53.pdf#page=3","Abrir facsímil")</f>
        <v>Abrir facsímil</v>
      </c>
      <c r="K2132" s="3" t="s">
        <v>22</v>
      </c>
    </row>
    <row r="2133" spans="1:11" ht="42" customHeight="1">
      <c r="A2133" s="2" t="s">
        <v>4413</v>
      </c>
      <c r="B2133" s="2" t="s">
        <v>4414</v>
      </c>
      <c r="C2133" s="2" t="s">
        <v>50</v>
      </c>
      <c r="D2133" s="2" t="s">
        <v>51</v>
      </c>
      <c r="E2133" s="5">
        <v>-28194</v>
      </c>
      <c r="F2133" s="3" t="s">
        <v>18</v>
      </c>
      <c r="G2133" s="3" t="s">
        <v>63</v>
      </c>
      <c r="H2133" s="2" t="s">
        <v>20</v>
      </c>
      <c r="I2133" s="2" t="s">
        <v>4415</v>
      </c>
      <c r="J2133" s="3" t="str">
        <f>HYPERLINK("https://www.boe.es/gazeta/dias/1822/10/21/pdfs/GMD-1822-308.pdf#page=6","Abrir facsímil")</f>
        <v>Abrir facsímil</v>
      </c>
      <c r="K2133" s="3" t="s">
        <v>22</v>
      </c>
    </row>
    <row r="2134" spans="1:11" ht="42" customHeight="1">
      <c r="A2134" s="2" t="s">
        <v>4416</v>
      </c>
      <c r="B2134" s="2" t="s">
        <v>4417</v>
      </c>
      <c r="C2134" s="2" t="s">
        <v>71</v>
      </c>
      <c r="D2134" s="2" t="s">
        <v>17</v>
      </c>
      <c r="E2134" s="5">
        <v>-28258</v>
      </c>
      <c r="F2134" s="3" t="s">
        <v>88</v>
      </c>
      <c r="G2134" s="3" t="s">
        <v>57</v>
      </c>
      <c r="H2134" s="2" t="s">
        <v>20</v>
      </c>
      <c r="I2134" s="2" t="s">
        <v>4418</v>
      </c>
      <c r="J2134" s="3" t="str">
        <f>HYPERLINK("https://www.boe.es/gazeta/dias/1822/08/18/pdfs/GMD-1822-242.pdf#page=4","Abrir facsímil")</f>
        <v>Abrir facsímil</v>
      </c>
      <c r="K2134" s="3" t="s">
        <v>22</v>
      </c>
    </row>
    <row r="2135" spans="1:11" ht="42" customHeight="1">
      <c r="A2135" s="2" t="s">
        <v>4419</v>
      </c>
      <c r="B2135" s="2" t="s">
        <v>4420</v>
      </c>
      <c r="C2135" s="2" t="s">
        <v>42</v>
      </c>
      <c r="D2135" s="2" t="s">
        <v>17</v>
      </c>
      <c r="E2135" s="5">
        <v>-28339</v>
      </c>
      <c r="F2135" s="3" t="s">
        <v>197</v>
      </c>
      <c r="G2135" s="3" t="s">
        <v>63</v>
      </c>
      <c r="H2135" s="2" t="s">
        <v>20</v>
      </c>
      <c r="I2135" s="2" t="s">
        <v>4421</v>
      </c>
      <c r="J2135" s="3" t="str">
        <f>HYPERLINK("https://www.boe.es/gazeta/dias/1822/05/29/pdfs/GMD-1822-154.pdf#page=6","Abrir facsímil")</f>
        <v>Abrir facsímil</v>
      </c>
      <c r="K2135" s="3" t="s">
        <v>22</v>
      </c>
    </row>
    <row r="2136" spans="1:11" ht="42" customHeight="1">
      <c r="A2136" s="2" t="s">
        <v>4422</v>
      </c>
      <c r="B2136" s="2" t="s">
        <v>4422</v>
      </c>
      <c r="C2136" s="2" t="s">
        <v>28</v>
      </c>
      <c r="D2136" s="2" t="s">
        <v>29</v>
      </c>
      <c r="E2136" s="5">
        <v>-28476</v>
      </c>
      <c r="F2136" s="3" t="s">
        <v>160</v>
      </c>
      <c r="G2136" s="3" t="s">
        <v>35</v>
      </c>
      <c r="H2136" s="2" t="s">
        <v>20</v>
      </c>
      <c r="I2136" s="2" t="s">
        <v>4423</v>
      </c>
      <c r="J2136" s="3" t="str">
        <f>HYPERLINK("https://www.boe.es/gazeta/dias/1822/01/12/pdfs/GMD-1822-12.pdf#page=2","Abrir facsímil")</f>
        <v>Abrir facsímil</v>
      </c>
      <c r="K2136" s="3" t="s">
        <v>22</v>
      </c>
    </row>
    <row r="2137" spans="1:11" ht="42" customHeight="1">
      <c r="A2137" s="2" t="s">
        <v>4424</v>
      </c>
      <c r="B2137" s="2" t="s">
        <v>4425</v>
      </c>
      <c r="C2137" s="2" t="s">
        <v>71</v>
      </c>
      <c r="D2137" s="2" t="s">
        <v>17</v>
      </c>
      <c r="E2137" s="5">
        <v>-28357</v>
      </c>
      <c r="F2137" s="3" t="s">
        <v>690</v>
      </c>
      <c r="G2137" s="3" t="s">
        <v>63</v>
      </c>
      <c r="H2137" s="2" t="s">
        <v>20</v>
      </c>
      <c r="I2137" s="2" t="s">
        <v>4426</v>
      </c>
      <c r="J2137" s="3" t="str">
        <f>HYPERLINK("https://www.boe.es/gazeta/dias/1822/05/11/pdfs/GMD-1822-133.pdf#page=6","Abrir facsímil")</f>
        <v>Abrir facsímil</v>
      </c>
      <c r="K2137" s="3" t="s">
        <v>22</v>
      </c>
    </row>
    <row r="2138" spans="1:11" ht="42" customHeight="1">
      <c r="A2138" s="2" t="s">
        <v>4427</v>
      </c>
      <c r="B2138" s="2" t="s">
        <v>4427</v>
      </c>
      <c r="C2138" s="2" t="s">
        <v>24</v>
      </c>
      <c r="D2138" s="2" t="s">
        <v>17</v>
      </c>
      <c r="E2138" s="5">
        <v>-28486</v>
      </c>
      <c r="F2138" s="3" t="s">
        <v>1046</v>
      </c>
      <c r="G2138" s="3" t="s">
        <v>57</v>
      </c>
      <c r="H2138" s="2" t="s">
        <v>20</v>
      </c>
      <c r="I2138" s="2" t="s">
        <v>4428</v>
      </c>
      <c r="J2138" s="3" t="str">
        <f>HYPERLINK("https://www.boe.es/gazeta/dias/1822/01/02/pdfs/GMD-1822-2.pdf#page=4","Abrir facsímil")</f>
        <v>Abrir facsímil</v>
      </c>
      <c r="K2138" s="3" t="s">
        <v>22</v>
      </c>
    </row>
    <row r="2139" spans="1:11" ht="42" customHeight="1">
      <c r="A2139" s="2" t="s">
        <v>4429</v>
      </c>
      <c r="B2139" s="2" t="s">
        <v>4429</v>
      </c>
      <c r="C2139" s="2" t="s">
        <v>16</v>
      </c>
      <c r="D2139" s="2" t="s">
        <v>17</v>
      </c>
      <c r="E2139" s="5">
        <v>-28345</v>
      </c>
      <c r="F2139" s="3" t="s">
        <v>294</v>
      </c>
      <c r="G2139" s="3" t="s">
        <v>63</v>
      </c>
      <c r="H2139" s="2" t="s">
        <v>20</v>
      </c>
      <c r="I2139" s="2" t="s">
        <v>4430</v>
      </c>
      <c r="J2139" s="3" t="str">
        <f>HYPERLINK("https://www.boe.es/gazeta/dias/1822/05/23/pdfs/GMD-1822-147.pdf#page=6","Abrir facsímil")</f>
        <v>Abrir facsímil</v>
      </c>
      <c r="K2139" s="3" t="s">
        <v>22</v>
      </c>
    </row>
    <row r="2140" spans="1:11" ht="42" customHeight="1">
      <c r="A2140" s="2" t="s">
        <v>4431</v>
      </c>
      <c r="B2140" s="2" t="s">
        <v>4431</v>
      </c>
      <c r="C2140" s="2" t="s">
        <v>50</v>
      </c>
      <c r="D2140" s="2" t="s">
        <v>51</v>
      </c>
      <c r="E2140" s="5">
        <v>-28421</v>
      </c>
      <c r="F2140" s="3" t="s">
        <v>446</v>
      </c>
      <c r="G2140" s="3" t="s">
        <v>35</v>
      </c>
      <c r="H2140" s="2" t="s">
        <v>20</v>
      </c>
      <c r="I2140" s="2" t="s">
        <v>4432</v>
      </c>
      <c r="J2140" s="3" t="str">
        <f>HYPERLINK("https://www.boe.es/gazeta/dias/1822/03/08/pdfs/GMD-1822-69.pdf#page=2","Abrir facsímil")</f>
        <v>Abrir facsímil</v>
      </c>
      <c r="K2140" s="3" t="s">
        <v>22</v>
      </c>
    </row>
    <row r="2141" spans="1:11" ht="42" customHeight="1">
      <c r="A2141" s="2" t="s">
        <v>4433</v>
      </c>
      <c r="B2141" s="2" t="s">
        <v>4434</v>
      </c>
      <c r="C2141" s="2" t="s">
        <v>28</v>
      </c>
      <c r="D2141" s="2" t="s">
        <v>723</v>
      </c>
      <c r="E2141" s="5">
        <v>-28181</v>
      </c>
      <c r="F2141" s="3" t="s">
        <v>724</v>
      </c>
      <c r="G2141" s="3" t="s">
        <v>44</v>
      </c>
      <c r="H2141" s="2" t="s">
        <v>20</v>
      </c>
      <c r="I2141" s="2" t="s">
        <v>4435</v>
      </c>
      <c r="J2141" s="3" t="str">
        <f>HYPERLINK("https://www.boe.es/gazeta/dias/1822/11/03/pdfs/GMD-1822-322E.pdf#page=1","Abrir facsímil")</f>
        <v>Abrir facsímil</v>
      </c>
      <c r="K2141" s="3" t="s">
        <v>22</v>
      </c>
    </row>
    <row r="2142" spans="1:11" ht="42" customHeight="1">
      <c r="A2142" s="2" t="s">
        <v>4436</v>
      </c>
      <c r="B2142" s="2" t="s">
        <v>4437</v>
      </c>
      <c r="C2142" s="2" t="s">
        <v>42</v>
      </c>
      <c r="D2142" s="2" t="s">
        <v>17</v>
      </c>
      <c r="E2142" s="5">
        <v>-28346</v>
      </c>
      <c r="F2142" s="3" t="s">
        <v>191</v>
      </c>
      <c r="G2142" s="3" t="s">
        <v>44</v>
      </c>
      <c r="H2142" s="2" t="s">
        <v>20</v>
      </c>
      <c r="I2142" s="2" t="s">
        <v>4438</v>
      </c>
      <c r="J2142" s="3" t="str">
        <f>HYPERLINK("https://www.boe.es/gazeta/dias/1822/05/22/pdfs/GMD-1822-145.pdf#page=1","Abrir facsímil")</f>
        <v>Abrir facsímil</v>
      </c>
      <c r="K2142" s="3" t="s">
        <v>22</v>
      </c>
    </row>
    <row r="2143" spans="1:11" ht="42" customHeight="1">
      <c r="A2143" s="2" t="s">
        <v>4439</v>
      </c>
      <c r="B2143" s="2" t="s">
        <v>4440</v>
      </c>
      <c r="C2143" s="2" t="s">
        <v>50</v>
      </c>
      <c r="D2143" s="2" t="s">
        <v>51</v>
      </c>
      <c r="E2143" s="5">
        <v>-28417</v>
      </c>
      <c r="F2143" s="3" t="s">
        <v>1394</v>
      </c>
      <c r="G2143" s="3" t="s">
        <v>35</v>
      </c>
      <c r="H2143" s="2" t="s">
        <v>20</v>
      </c>
      <c r="I2143" s="2" t="s">
        <v>4441</v>
      </c>
      <c r="J2143" s="3" t="str">
        <f>HYPERLINK("https://www.boe.es/gazeta/dias/1822/03/12/pdfs/GMD-1822-73.pdf#page=2","Abrir facsímil")</f>
        <v>Abrir facsímil</v>
      </c>
      <c r="K2143" s="3" t="s">
        <v>22</v>
      </c>
    </row>
    <row r="2144" spans="1:11" ht="42" customHeight="1">
      <c r="A2144" s="2" t="s">
        <v>4442</v>
      </c>
      <c r="B2144" s="2" t="s">
        <v>4442</v>
      </c>
      <c r="C2144" s="2" t="s">
        <v>50</v>
      </c>
      <c r="D2144" s="2" t="s">
        <v>51</v>
      </c>
      <c r="E2144" s="5">
        <v>-28361</v>
      </c>
      <c r="F2144" s="3" t="s">
        <v>374</v>
      </c>
      <c r="G2144" s="3" t="s">
        <v>19</v>
      </c>
      <c r="H2144" s="2" t="s">
        <v>20</v>
      </c>
      <c r="I2144" s="2" t="s">
        <v>4443</v>
      </c>
      <c r="J2144" s="3" t="str">
        <f>HYPERLINK("https://www.boe.es/gazeta/dias/1822/05/07/pdfs/GMD-1822-129.pdf#page=5","Abrir facsímil")</f>
        <v>Abrir facsímil</v>
      </c>
      <c r="K2144" s="3" t="s">
        <v>22</v>
      </c>
    </row>
    <row r="2145" spans="1:11" ht="42" customHeight="1">
      <c r="A2145" s="2" t="s">
        <v>4444</v>
      </c>
      <c r="B2145" s="2" t="s">
        <v>4444</v>
      </c>
      <c r="C2145" s="2" t="s">
        <v>71</v>
      </c>
      <c r="D2145" s="2" t="s">
        <v>17</v>
      </c>
      <c r="E2145" s="5">
        <v>-28367</v>
      </c>
      <c r="F2145" s="3" t="s">
        <v>280</v>
      </c>
      <c r="G2145" s="3" t="s">
        <v>19</v>
      </c>
      <c r="H2145" s="2" t="s">
        <v>20</v>
      </c>
      <c r="I2145" s="2" t="s">
        <v>4445</v>
      </c>
      <c r="J2145" s="3" t="str">
        <f>HYPERLINK("https://www.boe.es/gazeta/dias/1822/05/01/pdfs/GMD-1822-123.pdf#page=5","Abrir facsímil")</f>
        <v>Abrir facsímil</v>
      </c>
      <c r="K2145" s="3" t="s">
        <v>22</v>
      </c>
    </row>
    <row r="2146" spans="1:11" ht="42" customHeight="1">
      <c r="A2146" s="2" t="s">
        <v>4444</v>
      </c>
      <c r="B2146" s="2" t="s">
        <v>4444</v>
      </c>
      <c r="C2146" s="2" t="s">
        <v>50</v>
      </c>
      <c r="D2146" s="2" t="s">
        <v>51</v>
      </c>
      <c r="E2146" s="5">
        <v>-28328</v>
      </c>
      <c r="F2146" s="3" t="s">
        <v>540</v>
      </c>
      <c r="G2146" s="3" t="s">
        <v>44</v>
      </c>
      <c r="H2146" s="2" t="s">
        <v>20</v>
      </c>
      <c r="I2146" s="2" t="s">
        <v>4446</v>
      </c>
      <c r="J2146" s="3" t="str">
        <f>HYPERLINK("https://www.boe.es/gazeta/dias/1822/06/09/pdfs/GMD-1822-166.pdf#page=1","Abrir facsímil")</f>
        <v>Abrir facsímil</v>
      </c>
      <c r="K2146" s="3" t="s">
        <v>22</v>
      </c>
    </row>
    <row r="2147" spans="1:11" ht="42" customHeight="1">
      <c r="A2147" s="2" t="s">
        <v>4447</v>
      </c>
      <c r="B2147" s="2" t="s">
        <v>4447</v>
      </c>
      <c r="C2147" s="2" t="s">
        <v>50</v>
      </c>
      <c r="D2147" s="2" t="s">
        <v>51</v>
      </c>
      <c r="E2147" s="5">
        <v>-28417</v>
      </c>
      <c r="F2147" s="3" t="s">
        <v>1394</v>
      </c>
      <c r="G2147" s="3" t="s">
        <v>44</v>
      </c>
      <c r="H2147" s="2" t="s">
        <v>20</v>
      </c>
      <c r="I2147" s="2" t="s">
        <v>4448</v>
      </c>
      <c r="J2147" s="3" t="str">
        <f>HYPERLINK("https://www.boe.es/gazeta/dias/1822/03/12/pdfs/GMD-1822-73.pdf#page=1","Abrir facsímil")</f>
        <v>Abrir facsímil</v>
      </c>
      <c r="K2147" s="3" t="s">
        <v>22</v>
      </c>
    </row>
    <row r="2148" spans="1:11" ht="42" customHeight="1">
      <c r="A2148" s="2" t="s">
        <v>4449</v>
      </c>
      <c r="B2148" s="2" t="s">
        <v>4450</v>
      </c>
      <c r="C2148" s="2" t="s">
        <v>50</v>
      </c>
      <c r="D2148" s="2" t="s">
        <v>51</v>
      </c>
      <c r="E2148" s="5">
        <v>-28246</v>
      </c>
      <c r="F2148" s="3" t="s">
        <v>3246</v>
      </c>
      <c r="G2148" s="3" t="s">
        <v>63</v>
      </c>
      <c r="H2148" s="2" t="s">
        <v>20</v>
      </c>
      <c r="I2148" s="2" t="s">
        <v>4451</v>
      </c>
      <c r="J2148" s="3" t="str">
        <f>HYPERLINK("https://www.boe.es/gazeta/dias/1822/08/30/pdfs/GMD-1822-254.pdf#page=6","Abrir facsímil")</f>
        <v>Abrir facsímil</v>
      </c>
      <c r="K2148" s="3" t="s">
        <v>22</v>
      </c>
    </row>
    <row r="2149" spans="1:11" ht="42" customHeight="1">
      <c r="A2149" s="2" t="s">
        <v>4452</v>
      </c>
      <c r="B2149" s="2" t="s">
        <v>4453</v>
      </c>
      <c r="C2149" s="2" t="s">
        <v>50</v>
      </c>
      <c r="D2149" s="2" t="s">
        <v>51</v>
      </c>
      <c r="E2149" s="5">
        <v>-28140</v>
      </c>
      <c r="F2149" s="3" t="s">
        <v>84</v>
      </c>
      <c r="G2149" s="3" t="s">
        <v>57</v>
      </c>
      <c r="H2149" s="2" t="s">
        <v>20</v>
      </c>
      <c r="I2149" s="2" t="s">
        <v>4454</v>
      </c>
      <c r="J2149" s="3" t="str">
        <f>HYPERLINK("https://www.boe.es/gazeta/dias/1822/12/14/pdfs/GMD-1822-364.pdf#page=4","Abrir facsímil")</f>
        <v>Abrir facsímil</v>
      </c>
      <c r="K2149" s="3" t="s">
        <v>22</v>
      </c>
    </row>
    <row r="2150" spans="1:11" ht="42" customHeight="1">
      <c r="A2150" s="2" t="s">
        <v>4455</v>
      </c>
      <c r="B2150" s="2" t="s">
        <v>4456</v>
      </c>
      <c r="C2150" s="2" t="s">
        <v>28</v>
      </c>
      <c r="D2150" s="2" t="s">
        <v>29</v>
      </c>
      <c r="E2150" s="5">
        <v>-28486</v>
      </c>
      <c r="F2150" s="3" t="s">
        <v>1046</v>
      </c>
      <c r="G2150" s="3" t="s">
        <v>57</v>
      </c>
      <c r="H2150" s="2" t="s">
        <v>20</v>
      </c>
      <c r="I2150" s="2" t="s">
        <v>4457</v>
      </c>
      <c r="J2150" s="3" t="str">
        <f>HYPERLINK("https://www.boe.es/gazeta/dias/1822/01/02/pdfs/GMD-1822-2.pdf#page=4","Abrir facsímil")</f>
        <v>Abrir facsímil</v>
      </c>
      <c r="K2150" s="3" t="s">
        <v>22</v>
      </c>
    </row>
    <row r="2151" spans="1:11" ht="42" customHeight="1">
      <c r="A2151" s="2" t="s">
        <v>4458</v>
      </c>
      <c r="B2151" s="2" t="s">
        <v>4459</v>
      </c>
      <c r="C2151" s="2" t="s">
        <v>50</v>
      </c>
      <c r="D2151" s="2" t="s">
        <v>51</v>
      </c>
      <c r="E2151" s="5">
        <v>-28314</v>
      </c>
      <c r="F2151" s="3" t="s">
        <v>309</v>
      </c>
      <c r="G2151" s="3" t="s">
        <v>63</v>
      </c>
      <c r="H2151" s="2" t="s">
        <v>20</v>
      </c>
      <c r="I2151" s="2" t="s">
        <v>4460</v>
      </c>
      <c r="J2151" s="3" t="str">
        <f>HYPERLINK("https://www.boe.es/gazeta/dias/1822/06/23/pdfs/GMD-1822-181.pdf#page=6","Abrir facsímil")</f>
        <v>Abrir facsímil</v>
      </c>
      <c r="K2151" s="3" t="s">
        <v>22</v>
      </c>
    </row>
    <row r="2152" spans="1:11" ht="42" customHeight="1">
      <c r="A2152" s="2" t="s">
        <v>4461</v>
      </c>
      <c r="B2152" s="2" t="s">
        <v>4461</v>
      </c>
      <c r="C2152" s="2" t="s">
        <v>362</v>
      </c>
      <c r="D2152" s="2" t="s">
        <v>17</v>
      </c>
      <c r="E2152" s="5">
        <v>-28303</v>
      </c>
      <c r="F2152" s="3" t="s">
        <v>201</v>
      </c>
      <c r="G2152" s="3" t="s">
        <v>57</v>
      </c>
      <c r="H2152" s="2" t="s">
        <v>20</v>
      </c>
      <c r="I2152" s="2" t="s">
        <v>4462</v>
      </c>
      <c r="J2152" s="3" t="str">
        <f>HYPERLINK("https://www.boe.es/gazeta/dias/1822/07/04/pdfs/GMD-1822-193.pdf#page=4","Abrir facsímil")</f>
        <v>Abrir facsímil</v>
      </c>
      <c r="K2152" s="3" t="s">
        <v>22</v>
      </c>
    </row>
    <row r="2153" spans="1:11" ht="42" customHeight="1">
      <c r="A2153" s="2" t="s">
        <v>4461</v>
      </c>
      <c r="B2153" s="2" t="s">
        <v>4461</v>
      </c>
      <c r="C2153" s="2" t="s">
        <v>71</v>
      </c>
      <c r="D2153" s="2" t="s">
        <v>17</v>
      </c>
      <c r="E2153" s="5">
        <v>-28228</v>
      </c>
      <c r="F2153" s="3" t="s">
        <v>718</v>
      </c>
      <c r="G2153" s="3" t="s">
        <v>719</v>
      </c>
      <c r="H2153" s="2" t="s">
        <v>20</v>
      </c>
      <c r="I2153" s="2" t="s">
        <v>4463</v>
      </c>
      <c r="J2153" s="3" t="str">
        <f>HYPERLINK("https://www.boe.es/gazeta/dias/1822/09/17/pdfs/GMD-1822-273.pdf#page=3","Abrir facsímil")</f>
        <v>Abrir facsímil</v>
      </c>
      <c r="K2153" s="3" t="s">
        <v>22</v>
      </c>
    </row>
    <row r="2154" spans="1:11" ht="42" customHeight="1">
      <c r="A2154" s="2" t="s">
        <v>4464</v>
      </c>
      <c r="B2154" s="2" t="s">
        <v>4464</v>
      </c>
      <c r="C2154" s="2" t="s">
        <v>50</v>
      </c>
      <c r="D2154" s="2" t="s">
        <v>51</v>
      </c>
      <c r="E2154" s="5">
        <v>-28461</v>
      </c>
      <c r="F2154" s="3" t="s">
        <v>1801</v>
      </c>
      <c r="G2154" s="3" t="s">
        <v>35</v>
      </c>
      <c r="H2154" s="2" t="s">
        <v>20</v>
      </c>
      <c r="I2154" s="2" t="s">
        <v>4465</v>
      </c>
      <c r="J2154" s="3" t="str">
        <f>HYPERLINK("https://www.boe.es/gazeta/dias/1822/01/27/pdfs/GMD-1822-27.pdf#page=2","Abrir facsímil")</f>
        <v>Abrir facsímil</v>
      </c>
      <c r="K2154" s="3" t="s">
        <v>22</v>
      </c>
    </row>
    <row r="2155" spans="1:11" ht="42" customHeight="1">
      <c r="A2155" s="2" t="s">
        <v>4466</v>
      </c>
      <c r="B2155" s="2" t="s">
        <v>4466</v>
      </c>
      <c r="C2155" s="2" t="s">
        <v>42</v>
      </c>
      <c r="D2155" s="2" t="s">
        <v>17</v>
      </c>
      <c r="E2155" s="5">
        <v>-28344</v>
      </c>
      <c r="F2155" s="3" t="s">
        <v>524</v>
      </c>
      <c r="G2155" s="3" t="s">
        <v>44</v>
      </c>
      <c r="H2155" s="2" t="s">
        <v>20</v>
      </c>
      <c r="I2155" s="2" t="s">
        <v>4467</v>
      </c>
      <c r="J2155" s="3" t="str">
        <f>HYPERLINK("https://www.boe.es/gazeta/dias/1822/05/24/pdfs/GMD-1822-148.pdf#page=1","Abrir facsímil")</f>
        <v>Abrir facsímil</v>
      </c>
      <c r="K2155" s="3" t="s">
        <v>22</v>
      </c>
    </row>
    <row r="2156" spans="1:11" ht="42" customHeight="1">
      <c r="A2156" s="2" t="s">
        <v>4468</v>
      </c>
      <c r="B2156" s="2" t="s">
        <v>4469</v>
      </c>
      <c r="C2156" s="2" t="s">
        <v>16</v>
      </c>
      <c r="D2156" s="2" t="s">
        <v>17</v>
      </c>
      <c r="E2156" s="5">
        <v>-28178</v>
      </c>
      <c r="F2156" s="3" t="s">
        <v>318</v>
      </c>
      <c r="G2156" s="3" t="s">
        <v>63</v>
      </c>
      <c r="H2156" s="2" t="s">
        <v>20</v>
      </c>
      <c r="I2156" s="2" t="s">
        <v>4470</v>
      </c>
      <c r="J2156" s="3" t="str">
        <f>HYPERLINK("https://www.boe.es/gazeta/dias/1822/11/06/pdfs/GMD-1822-326.pdf#page=6","Abrir facsímil")</f>
        <v>Abrir facsímil</v>
      </c>
      <c r="K2156" s="3" t="s">
        <v>22</v>
      </c>
    </row>
    <row r="2157" spans="1:11" ht="42" customHeight="1">
      <c r="A2157" s="2" t="s">
        <v>4471</v>
      </c>
      <c r="B2157" s="2" t="s">
        <v>4472</v>
      </c>
      <c r="C2157" s="2" t="s">
        <v>50</v>
      </c>
      <c r="D2157" s="2" t="s">
        <v>51</v>
      </c>
      <c r="E2157" s="5">
        <v>-28279</v>
      </c>
      <c r="F2157" s="3" t="s">
        <v>662</v>
      </c>
      <c r="G2157" s="3" t="s">
        <v>57</v>
      </c>
      <c r="H2157" s="2" t="s">
        <v>20</v>
      </c>
      <c r="I2157" s="2" t="s">
        <v>4473</v>
      </c>
      <c r="J2157" s="3" t="str">
        <f>HYPERLINK("https://www.boe.es/gazeta/dias/1822/07/28/pdfs/GMD-1822-221.pdf#page=4","Abrir facsímil")</f>
        <v>Abrir facsímil</v>
      </c>
      <c r="K2157" s="3" t="s">
        <v>22</v>
      </c>
    </row>
    <row r="2158" spans="1:11" ht="42" customHeight="1">
      <c r="A2158" s="2" t="s">
        <v>4474</v>
      </c>
      <c r="B2158" s="2" t="s">
        <v>4475</v>
      </c>
      <c r="C2158" s="2" t="s">
        <v>50</v>
      </c>
      <c r="D2158" s="2" t="s">
        <v>51</v>
      </c>
      <c r="E2158" s="5">
        <v>-28358</v>
      </c>
      <c r="F2158" s="3" t="s">
        <v>211</v>
      </c>
      <c r="G2158" s="3" t="s">
        <v>35</v>
      </c>
      <c r="H2158" s="2" t="s">
        <v>20</v>
      </c>
      <c r="I2158" s="2" t="s">
        <v>4476</v>
      </c>
      <c r="J2158" s="3" t="str">
        <f>HYPERLINK("https://www.boe.es/gazeta/dias/1822/05/10/pdfs/GMD-1822-132.pdf#page=2","Abrir facsímil")</f>
        <v>Abrir facsímil</v>
      </c>
      <c r="K2158" s="3" t="s">
        <v>22</v>
      </c>
    </row>
    <row r="2159" spans="1:11" ht="42" customHeight="1">
      <c r="A2159" s="2" t="s">
        <v>4477</v>
      </c>
      <c r="B2159" s="2" t="s">
        <v>4477</v>
      </c>
      <c r="C2159" s="2" t="s">
        <v>50</v>
      </c>
      <c r="D2159" s="2" t="s">
        <v>51</v>
      </c>
      <c r="E2159" s="5">
        <v>-28473</v>
      </c>
      <c r="F2159" s="3" t="s">
        <v>2337</v>
      </c>
      <c r="G2159" s="3" t="s">
        <v>157</v>
      </c>
      <c r="H2159" s="2" t="s">
        <v>20</v>
      </c>
      <c r="I2159" s="2" t="s">
        <v>4478</v>
      </c>
      <c r="J2159" s="3" t="str">
        <f>HYPERLINK("https://www.boe.es/gazeta/dias/1822/01/15/pdfs/GMD-1822-15.pdf#page=8","Abrir facsímil")</f>
        <v>Abrir facsímil</v>
      </c>
      <c r="K2159" s="3" t="s">
        <v>22</v>
      </c>
    </row>
    <row r="2160" spans="1:11" ht="42" customHeight="1">
      <c r="A2160" s="2" t="s">
        <v>4479</v>
      </c>
      <c r="B2160" s="2" t="s">
        <v>4479</v>
      </c>
      <c r="C2160" s="2" t="s">
        <v>42</v>
      </c>
      <c r="D2160" s="2" t="s">
        <v>17</v>
      </c>
      <c r="E2160" s="5">
        <v>-28393</v>
      </c>
      <c r="F2160" s="3" t="s">
        <v>326</v>
      </c>
      <c r="G2160" s="3" t="s">
        <v>57</v>
      </c>
      <c r="H2160" s="2" t="s">
        <v>20</v>
      </c>
      <c r="I2160" s="2" t="s">
        <v>4480</v>
      </c>
      <c r="J2160" s="3" t="str">
        <f>HYPERLINK("https://www.boe.es/gazeta/dias/1822/04/05/pdfs/GMD-1822-97.pdf#page=4","Abrir facsímil")</f>
        <v>Abrir facsímil</v>
      </c>
      <c r="K2160" s="3" t="s">
        <v>22</v>
      </c>
    </row>
    <row r="2161" spans="1:11" ht="42" customHeight="1">
      <c r="A2161" s="2" t="s">
        <v>4479</v>
      </c>
      <c r="B2161" s="2" t="s">
        <v>4479</v>
      </c>
      <c r="C2161" s="2" t="s">
        <v>50</v>
      </c>
      <c r="D2161" s="2" t="s">
        <v>51</v>
      </c>
      <c r="E2161" s="5">
        <v>-28371</v>
      </c>
      <c r="F2161" s="3" t="s">
        <v>401</v>
      </c>
      <c r="G2161" s="3" t="s">
        <v>19</v>
      </c>
      <c r="H2161" s="2" t="s">
        <v>20</v>
      </c>
      <c r="I2161" s="2" t="s">
        <v>4481</v>
      </c>
      <c r="J2161" s="3" t="str">
        <f>HYPERLINK("https://www.boe.es/gazeta/dias/1822/04/27/pdfs/GMD-1822-119.pdf#page=5","Abrir facsímil")</f>
        <v>Abrir facsímil</v>
      </c>
      <c r="K2161" s="3" t="s">
        <v>22</v>
      </c>
    </row>
    <row r="2162" spans="1:11" ht="42" customHeight="1">
      <c r="A2162" s="2" t="s">
        <v>4479</v>
      </c>
      <c r="B2162" s="2" t="s">
        <v>4479</v>
      </c>
      <c r="C2162" s="2" t="s">
        <v>28</v>
      </c>
      <c r="D2162" s="2" t="s">
        <v>29</v>
      </c>
      <c r="E2162" s="5">
        <v>-28345</v>
      </c>
      <c r="F2162" s="3" t="s">
        <v>294</v>
      </c>
      <c r="G2162" s="3" t="s">
        <v>63</v>
      </c>
      <c r="H2162" s="2" t="s">
        <v>20</v>
      </c>
      <c r="I2162" s="2" t="s">
        <v>4482</v>
      </c>
      <c r="J2162" s="3" t="str">
        <f>HYPERLINK("https://www.boe.es/gazeta/dias/1822/05/23/pdfs/GMD-1822-147.pdf#page=6","Abrir facsímil")</f>
        <v>Abrir facsímil</v>
      </c>
      <c r="K2162" s="3" t="s">
        <v>22</v>
      </c>
    </row>
    <row r="2163" spans="1:11" ht="42" customHeight="1">
      <c r="A2163" s="2" t="s">
        <v>4479</v>
      </c>
      <c r="B2163" s="2" t="s">
        <v>4479</v>
      </c>
      <c r="C2163" s="2" t="s">
        <v>28</v>
      </c>
      <c r="D2163" s="2" t="s">
        <v>29</v>
      </c>
      <c r="E2163" s="5">
        <v>-28342</v>
      </c>
      <c r="F2163" s="3" t="s">
        <v>2281</v>
      </c>
      <c r="G2163" s="3" t="s">
        <v>63</v>
      </c>
      <c r="H2163" s="2" t="s">
        <v>20</v>
      </c>
      <c r="I2163" s="2" t="s">
        <v>4483</v>
      </c>
      <c r="J2163" s="3" t="str">
        <f>HYPERLINK("https://www.boe.es/gazeta/dias/1822/05/26/pdfs/GMD-1822-151.pdf#page=6","Abrir facsímil")</f>
        <v>Abrir facsímil</v>
      </c>
      <c r="K2163" s="3" t="s">
        <v>22</v>
      </c>
    </row>
    <row r="2164" spans="1:11" ht="42" customHeight="1">
      <c r="A2164" s="2" t="s">
        <v>4479</v>
      </c>
      <c r="B2164" s="2" t="s">
        <v>4479</v>
      </c>
      <c r="C2164" s="2" t="s">
        <v>50</v>
      </c>
      <c r="D2164" s="2" t="s">
        <v>51</v>
      </c>
      <c r="E2164" s="5">
        <v>-28243</v>
      </c>
      <c r="F2164" s="3" t="s">
        <v>1829</v>
      </c>
      <c r="G2164" s="3" t="s">
        <v>57</v>
      </c>
      <c r="H2164" s="2" t="s">
        <v>20</v>
      </c>
      <c r="I2164" s="2" t="s">
        <v>4484</v>
      </c>
      <c r="J2164" s="3" t="str">
        <f>HYPERLINK("https://www.boe.es/gazeta/dias/1822/09/02/pdfs/GMD-1822-257.pdf#page=4","Abrir facsímil")</f>
        <v>Abrir facsímil</v>
      </c>
      <c r="K2164" s="3" t="s">
        <v>22</v>
      </c>
    </row>
    <row r="2165" spans="1:11" ht="42" customHeight="1">
      <c r="A2165" s="2" t="s">
        <v>4479</v>
      </c>
      <c r="B2165" s="2" t="s">
        <v>4479</v>
      </c>
      <c r="C2165" s="2" t="s">
        <v>42</v>
      </c>
      <c r="D2165" s="2" t="s">
        <v>17</v>
      </c>
      <c r="E2165" s="5">
        <v>-28235</v>
      </c>
      <c r="F2165" s="3" t="s">
        <v>1470</v>
      </c>
      <c r="G2165" s="3" t="s">
        <v>57</v>
      </c>
      <c r="H2165" s="2" t="s">
        <v>20</v>
      </c>
      <c r="I2165" s="2" t="s">
        <v>4485</v>
      </c>
      <c r="J2165" s="3" t="str">
        <f>HYPERLINK("https://www.boe.es/gazeta/dias/1822/09/10/pdfs/GMD-1822-266.pdf#page=4","Abrir facsímil")</f>
        <v>Abrir facsímil</v>
      </c>
      <c r="K2165" s="3" t="s">
        <v>22</v>
      </c>
    </row>
    <row r="2166" spans="1:11" ht="42" customHeight="1">
      <c r="A2166" s="2" t="s">
        <v>4479</v>
      </c>
      <c r="B2166" s="2" t="s">
        <v>4479</v>
      </c>
      <c r="C2166" s="2" t="s">
        <v>50</v>
      </c>
      <c r="D2166" s="2" t="s">
        <v>51</v>
      </c>
      <c r="E2166" s="5">
        <v>-28208</v>
      </c>
      <c r="F2166" s="3" t="s">
        <v>230</v>
      </c>
      <c r="G2166" s="3" t="s">
        <v>57</v>
      </c>
      <c r="H2166" s="2" t="s">
        <v>20</v>
      </c>
      <c r="I2166" s="2" t="s">
        <v>4486</v>
      </c>
      <c r="J2166" s="3" t="str">
        <f>HYPERLINK("https://www.boe.es/gazeta/dias/1822/10/07/pdfs/GMD-1822-293.pdf#page=4","Abrir facsímil")</f>
        <v>Abrir facsímil</v>
      </c>
      <c r="K2166" s="3" t="s">
        <v>22</v>
      </c>
    </row>
    <row r="2167" spans="1:11" ht="42" customHeight="1">
      <c r="A2167" s="2" t="s">
        <v>4479</v>
      </c>
      <c r="B2167" s="2" t="s">
        <v>4479</v>
      </c>
      <c r="C2167" s="2" t="s">
        <v>61</v>
      </c>
      <c r="D2167" s="2" t="s">
        <v>17</v>
      </c>
      <c r="E2167" s="5">
        <v>-28142</v>
      </c>
      <c r="F2167" s="3" t="s">
        <v>290</v>
      </c>
      <c r="G2167" s="3" t="s">
        <v>57</v>
      </c>
      <c r="H2167" s="2" t="s">
        <v>20</v>
      </c>
      <c r="I2167" s="2" t="s">
        <v>4487</v>
      </c>
      <c r="J2167" s="3" t="str">
        <f>HYPERLINK("https://www.boe.es/gazeta/dias/1822/12/12/pdfs/GMD-1822-362.pdf#page=4","Abrir facsímil")</f>
        <v>Abrir facsímil</v>
      </c>
      <c r="K2167" s="3" t="s">
        <v>22</v>
      </c>
    </row>
    <row r="2168" spans="1:11" ht="42" customHeight="1">
      <c r="A2168" s="2" t="s">
        <v>4488</v>
      </c>
      <c r="B2168" s="2" t="s">
        <v>4488</v>
      </c>
      <c r="C2168" s="2" t="s">
        <v>50</v>
      </c>
      <c r="D2168" s="2" t="s">
        <v>51</v>
      </c>
      <c r="E2168" s="5">
        <v>-28185</v>
      </c>
      <c r="F2168" s="3" t="s">
        <v>933</v>
      </c>
      <c r="G2168" s="3" t="s">
        <v>31</v>
      </c>
      <c r="H2168" s="2" t="s">
        <v>20</v>
      </c>
      <c r="I2168" s="2" t="s">
        <v>4489</v>
      </c>
      <c r="J2168" s="3" t="str">
        <f>HYPERLINK("https://www.boe.es/gazeta/dias/1822/10/30/pdfs/GMD-1822-317.pdf#page=3","Abrir facsímil")</f>
        <v>Abrir facsímil</v>
      </c>
      <c r="K2168" s="3" t="s">
        <v>22</v>
      </c>
    </row>
    <row r="2169" spans="1:11" ht="42" customHeight="1">
      <c r="A2169" s="2" t="s">
        <v>4490</v>
      </c>
      <c r="B2169" s="2" t="s">
        <v>4491</v>
      </c>
      <c r="C2169" s="2" t="s">
        <v>28</v>
      </c>
      <c r="D2169" s="2" t="s">
        <v>29</v>
      </c>
      <c r="E2169" s="5">
        <v>-28339</v>
      </c>
      <c r="F2169" s="3" t="s">
        <v>197</v>
      </c>
      <c r="G2169" s="3" t="s">
        <v>44</v>
      </c>
      <c r="H2169" s="2" t="s">
        <v>20</v>
      </c>
      <c r="I2169" s="2" t="s">
        <v>4492</v>
      </c>
      <c r="J2169" s="3" t="str">
        <f>HYPERLINK("https://www.boe.es/gazeta/dias/1822/05/29/pdfs/GMD-1822-154.pdf#page=1","Abrir facsímil")</f>
        <v>Abrir facsímil</v>
      </c>
      <c r="K2169" s="3" t="s">
        <v>22</v>
      </c>
    </row>
    <row r="2170" spans="1:11" ht="42" customHeight="1">
      <c r="A2170" s="2" t="s">
        <v>4493</v>
      </c>
      <c r="B2170" s="2" t="s">
        <v>4494</v>
      </c>
      <c r="C2170" s="2" t="s">
        <v>61</v>
      </c>
      <c r="D2170" s="2" t="s">
        <v>17</v>
      </c>
      <c r="E2170" s="5">
        <v>-28424</v>
      </c>
      <c r="F2170" s="3" t="s">
        <v>439</v>
      </c>
      <c r="G2170" s="3" t="s">
        <v>57</v>
      </c>
      <c r="H2170" s="2" t="s">
        <v>45</v>
      </c>
      <c r="I2170" s="2" t="s">
        <v>4495</v>
      </c>
      <c r="J2170" s="3" t="str">
        <f>HYPERLINK("https://www.boe.es/gazeta/dias/1822/03/05/pdfs/GMD-1822-66.pdf#page=4","Abrir facsímil")</f>
        <v>Abrir facsímil</v>
      </c>
      <c r="K2170" s="3" t="s">
        <v>47</v>
      </c>
    </row>
    <row r="2171" spans="1:11" ht="42" customHeight="1">
      <c r="A2171" s="2" t="s">
        <v>4496</v>
      </c>
      <c r="B2171" s="2" t="s">
        <v>4496</v>
      </c>
      <c r="C2171" s="2" t="s">
        <v>50</v>
      </c>
      <c r="D2171" s="2" t="s">
        <v>51</v>
      </c>
      <c r="E2171" s="5">
        <v>-28410</v>
      </c>
      <c r="F2171" s="3" t="s">
        <v>966</v>
      </c>
      <c r="G2171" s="3" t="s">
        <v>44</v>
      </c>
      <c r="H2171" s="2" t="s">
        <v>20</v>
      </c>
      <c r="I2171" s="2" t="s">
        <v>4497</v>
      </c>
      <c r="J2171" s="3" t="str">
        <f>HYPERLINK("https://www.boe.es/gazeta/dias/1822/03/19/pdfs/GMD-1822-80.pdf#page=1","Abrir facsímil")</f>
        <v>Abrir facsímil</v>
      </c>
      <c r="K2171" s="3" t="s">
        <v>22</v>
      </c>
    </row>
    <row r="2172" spans="1:11" ht="42" customHeight="1">
      <c r="A2172" s="2" t="s">
        <v>4496</v>
      </c>
      <c r="B2172" s="2" t="s">
        <v>4496</v>
      </c>
      <c r="C2172" s="2" t="s">
        <v>50</v>
      </c>
      <c r="D2172" s="2" t="s">
        <v>51</v>
      </c>
      <c r="E2172" s="5">
        <v>-28410</v>
      </c>
      <c r="F2172" s="3" t="s">
        <v>966</v>
      </c>
      <c r="G2172" s="3" t="s">
        <v>35</v>
      </c>
      <c r="H2172" s="2" t="s">
        <v>20</v>
      </c>
      <c r="I2172" s="2" t="s">
        <v>4498</v>
      </c>
      <c r="J2172" s="3" t="str">
        <f>HYPERLINK("https://www.boe.es/gazeta/dias/1822/03/19/pdfs/GMD-1822-80.pdf#page=2","Abrir facsímil")</f>
        <v>Abrir facsímil</v>
      </c>
      <c r="K2172" s="3" t="s">
        <v>22</v>
      </c>
    </row>
    <row r="2173" spans="1:11" ht="42" customHeight="1">
      <c r="A2173" s="2" t="s">
        <v>4496</v>
      </c>
      <c r="B2173" s="2" t="s">
        <v>4496</v>
      </c>
      <c r="C2173" s="2" t="s">
        <v>50</v>
      </c>
      <c r="D2173" s="2" t="s">
        <v>51</v>
      </c>
      <c r="E2173" s="5">
        <v>-28406</v>
      </c>
      <c r="F2173" s="3" t="s">
        <v>462</v>
      </c>
      <c r="G2173" s="3" t="s">
        <v>44</v>
      </c>
      <c r="H2173" s="2" t="s">
        <v>20</v>
      </c>
      <c r="I2173" s="2" t="s">
        <v>4499</v>
      </c>
      <c r="J2173" s="3" t="str">
        <f>HYPERLINK("https://www.boe.es/gazeta/dias/1822/03/23/pdfs/GMD-1822-84.pdf#page=1","Abrir facsímil")</f>
        <v>Abrir facsímil</v>
      </c>
      <c r="K2173" s="3" t="s">
        <v>22</v>
      </c>
    </row>
    <row r="2174" spans="1:11" ht="42" customHeight="1">
      <c r="A2174" s="2" t="s">
        <v>4496</v>
      </c>
      <c r="B2174" s="2" t="s">
        <v>4496</v>
      </c>
      <c r="C2174" s="2" t="s">
        <v>50</v>
      </c>
      <c r="D2174" s="2" t="s">
        <v>51</v>
      </c>
      <c r="E2174" s="5">
        <v>-28397</v>
      </c>
      <c r="F2174" s="3" t="s">
        <v>1401</v>
      </c>
      <c r="G2174" s="3" t="s">
        <v>44</v>
      </c>
      <c r="H2174" s="2" t="s">
        <v>20</v>
      </c>
      <c r="I2174" s="2" t="s">
        <v>4500</v>
      </c>
      <c r="J2174" s="3" t="str">
        <f>HYPERLINK("https://www.boe.es/gazeta/dias/1822/04/01/pdfs/GMD-1822-93.pdf#page=1","Abrir facsímil")</f>
        <v>Abrir facsímil</v>
      </c>
      <c r="K2174" s="3" t="s">
        <v>22</v>
      </c>
    </row>
    <row r="2175" spans="1:11" ht="42" customHeight="1">
      <c r="A2175" s="2" t="s">
        <v>4496</v>
      </c>
      <c r="B2175" s="2" t="s">
        <v>4496</v>
      </c>
      <c r="C2175" s="2" t="s">
        <v>50</v>
      </c>
      <c r="D2175" s="2" t="s">
        <v>51</v>
      </c>
      <c r="E2175" s="5">
        <v>-28389</v>
      </c>
      <c r="F2175" s="3" t="s">
        <v>481</v>
      </c>
      <c r="G2175" s="3" t="s">
        <v>44</v>
      </c>
      <c r="H2175" s="2" t="s">
        <v>20</v>
      </c>
      <c r="I2175" s="2" t="s">
        <v>4501</v>
      </c>
      <c r="J2175" s="3" t="str">
        <f>HYPERLINK("https://www.boe.es/gazeta/dias/1822/04/09/pdfs/GMD-1822-101.pdf#page=1","Abrir facsímil")</f>
        <v>Abrir facsímil</v>
      </c>
      <c r="K2175" s="3" t="s">
        <v>22</v>
      </c>
    </row>
    <row r="2176" spans="1:11" ht="42" customHeight="1">
      <c r="A2176" s="2" t="s">
        <v>4496</v>
      </c>
      <c r="B2176" s="2" t="s">
        <v>4496</v>
      </c>
      <c r="C2176" s="2" t="s">
        <v>50</v>
      </c>
      <c r="D2176" s="2" t="s">
        <v>51</v>
      </c>
      <c r="E2176" s="5">
        <v>-28304</v>
      </c>
      <c r="F2176" s="3" t="s">
        <v>4502</v>
      </c>
      <c r="G2176" s="3" t="s">
        <v>35</v>
      </c>
      <c r="H2176" s="2" t="s">
        <v>20</v>
      </c>
      <c r="I2176" s="2" t="s">
        <v>4503</v>
      </c>
      <c r="J2176" s="3" t="str">
        <f>HYPERLINK("https://www.boe.es/gazeta/dias/1822/07/03/pdfs/GMD-1822-192.pdf#page=2","Abrir facsímil")</f>
        <v>Abrir facsímil</v>
      </c>
      <c r="K2176" s="3" t="s">
        <v>22</v>
      </c>
    </row>
    <row r="2177" spans="1:11" ht="42" customHeight="1">
      <c r="A2177" s="2" t="s">
        <v>4496</v>
      </c>
      <c r="B2177" s="2" t="s">
        <v>4496</v>
      </c>
      <c r="C2177" s="2" t="s">
        <v>50</v>
      </c>
      <c r="D2177" s="2" t="s">
        <v>51</v>
      </c>
      <c r="E2177" s="5">
        <v>-28302</v>
      </c>
      <c r="F2177" s="3" t="s">
        <v>791</v>
      </c>
      <c r="G2177" s="3" t="s">
        <v>57</v>
      </c>
      <c r="H2177" s="2" t="s">
        <v>20</v>
      </c>
      <c r="I2177" s="2" t="s">
        <v>4504</v>
      </c>
      <c r="J2177" s="3" t="str">
        <f>HYPERLINK("https://www.boe.es/gazeta/dias/1822/07/05/pdfs/GMD-1822-194.pdf#page=4","Abrir facsímil")</f>
        <v>Abrir facsímil</v>
      </c>
      <c r="K2177" s="3" t="s">
        <v>22</v>
      </c>
    </row>
    <row r="2178" spans="1:11" ht="42" customHeight="1">
      <c r="A2178" s="2" t="s">
        <v>4505</v>
      </c>
      <c r="B2178" s="2" t="s">
        <v>4506</v>
      </c>
      <c r="C2178" s="2" t="s">
        <v>16</v>
      </c>
      <c r="D2178" s="2" t="s">
        <v>17</v>
      </c>
      <c r="E2178" s="5">
        <v>-28213</v>
      </c>
      <c r="F2178" s="3" t="s">
        <v>558</v>
      </c>
      <c r="G2178" s="3" t="s">
        <v>57</v>
      </c>
      <c r="H2178" s="2" t="s">
        <v>20</v>
      </c>
      <c r="I2178" s="2" t="s">
        <v>4507</v>
      </c>
      <c r="J2178" s="3" t="str">
        <f>HYPERLINK("https://www.boe.es/gazeta/dias/1822/10/02/pdfs/GMD-1822-288.pdf#page=4","Abrir facsímil")</f>
        <v>Abrir facsímil</v>
      </c>
      <c r="K2178" s="3" t="s">
        <v>22</v>
      </c>
    </row>
    <row r="2179" spans="1:11" ht="42" customHeight="1">
      <c r="A2179" s="2" t="s">
        <v>4508</v>
      </c>
      <c r="B2179" s="2" t="s">
        <v>4509</v>
      </c>
      <c r="C2179" s="2" t="s">
        <v>50</v>
      </c>
      <c r="D2179" s="2" t="s">
        <v>51</v>
      </c>
      <c r="E2179" s="5">
        <v>-28168</v>
      </c>
      <c r="F2179" s="3" t="s">
        <v>3672</v>
      </c>
      <c r="G2179" s="3" t="s">
        <v>57</v>
      </c>
      <c r="H2179" s="2" t="s">
        <v>20</v>
      </c>
      <c r="I2179" s="2" t="s">
        <v>4510</v>
      </c>
      <c r="J2179" s="3" t="str">
        <f>HYPERLINK("https://www.boe.es/gazeta/dias/1822/11/16/pdfs/GMD-1822-336.pdf#page=4","Abrir facsímil")</f>
        <v>Abrir facsímil</v>
      </c>
      <c r="K2179" s="3" t="s">
        <v>22</v>
      </c>
    </row>
    <row r="2180" spans="1:11" ht="42" customHeight="1">
      <c r="A2180" s="2" t="s">
        <v>4511</v>
      </c>
      <c r="B2180" s="2" t="s">
        <v>4512</v>
      </c>
      <c r="C2180" s="2" t="s">
        <v>42</v>
      </c>
      <c r="D2180" s="2" t="s">
        <v>17</v>
      </c>
      <c r="E2180" s="5">
        <v>-28419</v>
      </c>
      <c r="F2180" s="3" t="s">
        <v>1392</v>
      </c>
      <c r="G2180" s="3" t="s">
        <v>63</v>
      </c>
      <c r="H2180" s="2" t="s">
        <v>20</v>
      </c>
      <c r="I2180" s="2" t="s">
        <v>4513</v>
      </c>
      <c r="J2180" s="3" t="str">
        <f>HYPERLINK("https://www.boe.es/gazeta/dias/1822/03/10/pdfs/GMD-1822-71.pdf#page=6","Abrir facsímil")</f>
        <v>Abrir facsímil</v>
      </c>
      <c r="K2180" s="3" t="s">
        <v>22</v>
      </c>
    </row>
    <row r="2181" spans="1:11" ht="42" customHeight="1">
      <c r="A2181" s="2" t="s">
        <v>4514</v>
      </c>
      <c r="B2181" s="2" t="s">
        <v>4515</v>
      </c>
      <c r="C2181" s="2" t="s">
        <v>50</v>
      </c>
      <c r="D2181" s="2" t="s">
        <v>51</v>
      </c>
      <c r="E2181" s="5">
        <v>-28347</v>
      </c>
      <c r="F2181" s="3" t="s">
        <v>520</v>
      </c>
      <c r="G2181" s="3" t="s">
        <v>44</v>
      </c>
      <c r="H2181" s="2" t="s">
        <v>20</v>
      </c>
      <c r="I2181" s="2" t="s">
        <v>4516</v>
      </c>
      <c r="J2181" s="3" t="str">
        <f>HYPERLINK("https://www.boe.es/gazeta/dias/1822/05/21/pdfs/GMD-1822-144.pdf#page=1","Abrir facsímil")</f>
        <v>Abrir facsímil</v>
      </c>
      <c r="K2181" s="3" t="s">
        <v>22</v>
      </c>
    </row>
    <row r="2182" spans="1:11" ht="42" customHeight="1">
      <c r="A2182" s="2" t="s">
        <v>4517</v>
      </c>
      <c r="B2182" s="2" t="s">
        <v>4517</v>
      </c>
      <c r="C2182" s="2" t="s">
        <v>50</v>
      </c>
      <c r="D2182" s="2" t="s">
        <v>51</v>
      </c>
      <c r="E2182" s="5">
        <v>-28220</v>
      </c>
      <c r="F2182" s="3" t="s">
        <v>1914</v>
      </c>
      <c r="G2182" s="3" t="s">
        <v>35</v>
      </c>
      <c r="H2182" s="2" t="s">
        <v>20</v>
      </c>
      <c r="I2182" s="2" t="s">
        <v>4518</v>
      </c>
      <c r="J2182" s="3" t="str">
        <f>HYPERLINK("https://www.boe.es/gazeta/dias/1822/09/25/pdfs/GMD-1822-281.pdf#page=2","Abrir facsímil")</f>
        <v>Abrir facsímil</v>
      </c>
      <c r="K2182" s="3" t="s">
        <v>22</v>
      </c>
    </row>
    <row r="2183" spans="1:11" ht="42" customHeight="1">
      <c r="A2183" s="2" t="s">
        <v>4519</v>
      </c>
      <c r="B2183" s="2" t="s">
        <v>4520</v>
      </c>
      <c r="C2183" s="2" t="s">
        <v>61</v>
      </c>
      <c r="D2183" s="2" t="s">
        <v>17</v>
      </c>
      <c r="E2183" s="5">
        <v>-28389</v>
      </c>
      <c r="F2183" s="3" t="s">
        <v>481</v>
      </c>
      <c r="G2183" s="3" t="s">
        <v>57</v>
      </c>
      <c r="H2183" s="2" t="s">
        <v>20</v>
      </c>
      <c r="I2183" s="2" t="s">
        <v>4521</v>
      </c>
      <c r="J2183" s="3" t="str">
        <f>HYPERLINK("https://www.boe.es/gazeta/dias/1822/04/09/pdfs/GMD-1822-101.pdf#page=4","Abrir facsímil")</f>
        <v>Abrir facsímil</v>
      </c>
      <c r="K2183" s="3" t="s">
        <v>22</v>
      </c>
    </row>
    <row r="2184" spans="1:11" ht="42" customHeight="1">
      <c r="A2184" s="2" t="s">
        <v>4522</v>
      </c>
      <c r="B2184" s="2" t="s">
        <v>4523</v>
      </c>
      <c r="C2184" s="2" t="s">
        <v>28</v>
      </c>
      <c r="D2184" s="2" t="s">
        <v>29</v>
      </c>
      <c r="E2184" s="5">
        <v>-28469</v>
      </c>
      <c r="F2184" s="3" t="s">
        <v>1164</v>
      </c>
      <c r="G2184" s="3" t="s">
        <v>57</v>
      </c>
      <c r="H2184" s="2" t="s">
        <v>20</v>
      </c>
      <c r="I2184" s="2" t="s">
        <v>4524</v>
      </c>
      <c r="J2184" s="3" t="str">
        <f>HYPERLINK("https://www.boe.es/gazeta/dias/1822/01/19/pdfs/GMD-1822-19.pdf#page=4","Abrir facsímil")</f>
        <v>Abrir facsímil</v>
      </c>
      <c r="K2184" s="3" t="s">
        <v>22</v>
      </c>
    </row>
    <row r="2185" spans="1:11" ht="42" customHeight="1">
      <c r="A2185" s="2" t="s">
        <v>4525</v>
      </c>
      <c r="B2185" s="2" t="s">
        <v>4526</v>
      </c>
      <c r="C2185" s="2" t="s">
        <v>42</v>
      </c>
      <c r="D2185" s="2" t="s">
        <v>17</v>
      </c>
      <c r="E2185" s="5">
        <v>-28201</v>
      </c>
      <c r="F2185" s="3" t="s">
        <v>163</v>
      </c>
      <c r="G2185" s="3" t="s">
        <v>57</v>
      </c>
      <c r="H2185" s="2" t="s">
        <v>20</v>
      </c>
      <c r="I2185" s="2" t="s">
        <v>4527</v>
      </c>
      <c r="J2185" s="3" t="str">
        <f>HYPERLINK("https://www.boe.es/gazeta/dias/1822/10/14/pdfs/GMD-1822-301.pdf#page=4","Abrir facsímil")</f>
        <v>Abrir facsímil</v>
      </c>
      <c r="K2185" s="3" t="s">
        <v>22</v>
      </c>
    </row>
    <row r="2186" spans="1:11" ht="42" customHeight="1">
      <c r="A2186" s="2" t="s">
        <v>4528</v>
      </c>
      <c r="B2186" s="2" t="s">
        <v>4528</v>
      </c>
      <c r="C2186" s="2" t="s">
        <v>50</v>
      </c>
      <c r="D2186" s="2" t="s">
        <v>51</v>
      </c>
      <c r="E2186" s="5">
        <v>-28393</v>
      </c>
      <c r="F2186" s="3" t="s">
        <v>326</v>
      </c>
      <c r="G2186" s="3" t="s">
        <v>35</v>
      </c>
      <c r="H2186" s="2" t="s">
        <v>20</v>
      </c>
      <c r="I2186" s="2" t="s">
        <v>4529</v>
      </c>
      <c r="J2186" s="3" t="str">
        <f>HYPERLINK("https://www.boe.es/gazeta/dias/1822/04/05/pdfs/GMD-1822-97.pdf#page=2","Abrir facsímil")</f>
        <v>Abrir facsímil</v>
      </c>
      <c r="K2186" s="3" t="s">
        <v>22</v>
      </c>
    </row>
    <row r="2187" spans="1:11" ht="42" customHeight="1">
      <c r="A2187" s="2" t="s">
        <v>4530</v>
      </c>
      <c r="B2187" s="2" t="s">
        <v>4531</v>
      </c>
      <c r="C2187" s="2" t="s">
        <v>61</v>
      </c>
      <c r="D2187" s="2" t="s">
        <v>17</v>
      </c>
      <c r="E2187" s="5">
        <v>-28415</v>
      </c>
      <c r="F2187" s="3" t="s">
        <v>77</v>
      </c>
      <c r="G2187" s="3" t="s">
        <v>19</v>
      </c>
      <c r="H2187" s="2" t="s">
        <v>20</v>
      </c>
      <c r="I2187" s="2" t="s">
        <v>4532</v>
      </c>
      <c r="J2187" s="3" t="str">
        <f>HYPERLINK("https://www.boe.es/gazeta/dias/1822/03/14/pdfs/GMD-1822-75.pdf#page=5","Abrir facsímil")</f>
        <v>Abrir facsímil</v>
      </c>
      <c r="K2187" s="3" t="s">
        <v>22</v>
      </c>
    </row>
    <row r="2188" spans="1:11" ht="42" customHeight="1">
      <c r="A2188" s="2" t="s">
        <v>4533</v>
      </c>
      <c r="B2188" s="2" t="s">
        <v>4533</v>
      </c>
      <c r="C2188" s="2" t="s">
        <v>16</v>
      </c>
      <c r="D2188" s="2" t="s">
        <v>17</v>
      </c>
      <c r="E2188" s="5">
        <v>-28423</v>
      </c>
      <c r="F2188" s="3" t="s">
        <v>441</v>
      </c>
      <c r="G2188" s="3" t="s">
        <v>44</v>
      </c>
      <c r="H2188" s="2" t="s">
        <v>20</v>
      </c>
      <c r="I2188" s="2" t="s">
        <v>4534</v>
      </c>
      <c r="J2188" s="3" t="str">
        <f>HYPERLINK("https://www.boe.es/gazeta/dias/1822/03/06/pdfs/GMD-1822-67.pdf#page=1","Abrir facsímil")</f>
        <v>Abrir facsímil</v>
      </c>
      <c r="K2188" s="3" t="s">
        <v>22</v>
      </c>
    </row>
    <row r="2189" spans="1:11" ht="42" customHeight="1">
      <c r="A2189" s="2" t="s">
        <v>4535</v>
      </c>
      <c r="B2189" s="2" t="s">
        <v>4536</v>
      </c>
      <c r="C2189" s="2" t="s">
        <v>71</v>
      </c>
      <c r="D2189" s="2" t="s">
        <v>17</v>
      </c>
      <c r="E2189" s="5">
        <v>-28142</v>
      </c>
      <c r="F2189" s="3" t="s">
        <v>290</v>
      </c>
      <c r="G2189" s="3" t="s">
        <v>35</v>
      </c>
      <c r="H2189" s="2" t="s">
        <v>20</v>
      </c>
      <c r="I2189" s="2" t="s">
        <v>4537</v>
      </c>
      <c r="J2189" s="3" t="str">
        <f>HYPERLINK("https://www.boe.es/gazeta/dias/1822/12/12/pdfs/GMD-1822-362.pdf#page=2","Abrir facsímil")</f>
        <v>Abrir facsímil</v>
      </c>
      <c r="K2189" s="3" t="s">
        <v>22</v>
      </c>
    </row>
    <row r="2190" spans="1:11" ht="42" customHeight="1">
      <c r="A2190" s="2" t="s">
        <v>4538</v>
      </c>
      <c r="B2190" s="2" t="s">
        <v>4538</v>
      </c>
      <c r="C2190" s="2" t="s">
        <v>50</v>
      </c>
      <c r="D2190" s="2" t="s">
        <v>51</v>
      </c>
      <c r="E2190" s="5">
        <v>-28285</v>
      </c>
      <c r="F2190" s="3" t="s">
        <v>4539</v>
      </c>
      <c r="G2190" s="3" t="s">
        <v>35</v>
      </c>
      <c r="H2190" s="2" t="s">
        <v>20</v>
      </c>
      <c r="I2190" s="2" t="s">
        <v>4540</v>
      </c>
      <c r="J2190" s="3" t="str">
        <f>HYPERLINK("https://www.boe.es/gazeta/dias/1822/07/22/pdfs/GMD-1822-215.pdf#page=2","Abrir facsímil")</f>
        <v>Abrir facsímil</v>
      </c>
      <c r="K2190" s="3" t="s">
        <v>22</v>
      </c>
    </row>
    <row r="2191" spans="1:11" ht="42" customHeight="1">
      <c r="A2191" s="2" t="s">
        <v>4541</v>
      </c>
      <c r="B2191" s="2" t="s">
        <v>4542</v>
      </c>
      <c r="C2191" s="2" t="s">
        <v>28</v>
      </c>
      <c r="D2191" s="2" t="s">
        <v>29</v>
      </c>
      <c r="E2191" s="5">
        <v>-28415</v>
      </c>
      <c r="F2191" s="3" t="s">
        <v>77</v>
      </c>
      <c r="G2191" s="3" t="s">
        <v>19</v>
      </c>
      <c r="H2191" s="2" t="s">
        <v>20</v>
      </c>
      <c r="I2191" s="2" t="s">
        <v>4543</v>
      </c>
      <c r="J2191" s="3" t="str">
        <f>HYPERLINK("https://www.boe.es/gazeta/dias/1822/03/14/pdfs/GMD-1822-75.pdf#page=5","Abrir facsímil")</f>
        <v>Abrir facsímil</v>
      </c>
      <c r="K2191" s="3" t="s">
        <v>22</v>
      </c>
    </row>
    <row r="2192" spans="1:11" ht="42" customHeight="1">
      <c r="A2192" s="2" t="s">
        <v>4544</v>
      </c>
      <c r="B2192" s="2" t="s">
        <v>4544</v>
      </c>
      <c r="C2192" s="2" t="s">
        <v>42</v>
      </c>
      <c r="D2192" s="2" t="s">
        <v>17</v>
      </c>
      <c r="E2192" s="5">
        <v>-28344</v>
      </c>
      <c r="F2192" s="3" t="s">
        <v>524</v>
      </c>
      <c r="G2192" s="3" t="s">
        <v>44</v>
      </c>
      <c r="H2192" s="2" t="s">
        <v>20</v>
      </c>
      <c r="I2192" s="2" t="s">
        <v>4545</v>
      </c>
      <c r="J2192" s="3" t="str">
        <f>HYPERLINK("https://www.boe.es/gazeta/dias/1822/05/24/pdfs/GMD-1822-148.pdf#page=1","Abrir facsímil")</f>
        <v>Abrir facsímil</v>
      </c>
      <c r="K2192" s="3" t="s">
        <v>22</v>
      </c>
    </row>
    <row r="2193" spans="1:11" ht="42" customHeight="1">
      <c r="A2193" s="2" t="s">
        <v>4546</v>
      </c>
      <c r="B2193" s="2" t="s">
        <v>4546</v>
      </c>
      <c r="C2193" s="2" t="s">
        <v>71</v>
      </c>
      <c r="D2193" s="2" t="s">
        <v>17</v>
      </c>
      <c r="E2193" s="5">
        <v>-28133</v>
      </c>
      <c r="F2193" s="3" t="s">
        <v>595</v>
      </c>
      <c r="G2193" s="3" t="s">
        <v>31</v>
      </c>
      <c r="H2193" s="2" t="s">
        <v>20</v>
      </c>
      <c r="I2193" s="2" t="s">
        <v>4547</v>
      </c>
      <c r="J2193" s="3" t="str">
        <f>HYPERLINK("https://www.boe.es/gazeta/dias/1822/12/21/pdfs/GMD-1822-371.pdf#page=3","Abrir facsímil")</f>
        <v>Abrir facsímil</v>
      </c>
      <c r="K2193" s="3" t="s">
        <v>22</v>
      </c>
    </row>
    <row r="2194" spans="1:11" ht="42" customHeight="1">
      <c r="A2194" s="2" t="s">
        <v>4548</v>
      </c>
      <c r="B2194" s="2" t="s">
        <v>4549</v>
      </c>
      <c r="C2194" s="2" t="s">
        <v>71</v>
      </c>
      <c r="D2194" s="2" t="s">
        <v>17</v>
      </c>
      <c r="E2194" s="5">
        <v>-28339</v>
      </c>
      <c r="F2194" s="3" t="s">
        <v>197</v>
      </c>
      <c r="G2194" s="3" t="s">
        <v>31</v>
      </c>
      <c r="H2194" s="2" t="s">
        <v>20</v>
      </c>
      <c r="I2194" s="2" t="s">
        <v>4550</v>
      </c>
      <c r="J2194" s="3" t="str">
        <f>HYPERLINK("https://www.boe.es/gazeta/dias/1822/05/29/pdfs/GMD-1822-154.pdf#page=3","Abrir facsímil")</f>
        <v>Abrir facsímil</v>
      </c>
      <c r="K2194" s="3" t="s">
        <v>22</v>
      </c>
    </row>
    <row r="2195" spans="1:11" ht="42" customHeight="1">
      <c r="A2195" s="2" t="s">
        <v>4548</v>
      </c>
      <c r="B2195" s="2" t="s">
        <v>4549</v>
      </c>
      <c r="C2195" s="2" t="s">
        <v>71</v>
      </c>
      <c r="D2195" s="2" t="s">
        <v>17</v>
      </c>
      <c r="E2195" s="5">
        <v>-28213</v>
      </c>
      <c r="F2195" s="3" t="s">
        <v>558</v>
      </c>
      <c r="G2195" s="3" t="s">
        <v>31</v>
      </c>
      <c r="H2195" s="2" t="s">
        <v>20</v>
      </c>
      <c r="I2195" s="2" t="s">
        <v>4551</v>
      </c>
      <c r="J2195" s="3" t="str">
        <f>HYPERLINK("https://www.boe.es/gazeta/dias/1822/10/02/pdfs/GMD-1822-288.pdf#page=3","Abrir facsímil")</f>
        <v>Abrir facsímil</v>
      </c>
      <c r="K2195" s="3" t="s">
        <v>22</v>
      </c>
    </row>
    <row r="2196" spans="1:11" ht="42" customHeight="1">
      <c r="A2196" s="2" t="s">
        <v>4548</v>
      </c>
      <c r="B2196" s="2" t="s">
        <v>4549</v>
      </c>
      <c r="C2196" s="2" t="s">
        <v>16</v>
      </c>
      <c r="D2196" s="2" t="s">
        <v>17</v>
      </c>
      <c r="E2196" s="5">
        <v>-28140</v>
      </c>
      <c r="F2196" s="3" t="s">
        <v>84</v>
      </c>
      <c r="G2196" s="3" t="s">
        <v>35</v>
      </c>
      <c r="H2196" s="2" t="s">
        <v>20</v>
      </c>
      <c r="I2196" s="2" t="s">
        <v>4552</v>
      </c>
      <c r="J2196" s="3" t="str">
        <f>HYPERLINK("https://www.boe.es/gazeta/dias/1822/12/14/pdfs/GMD-1822-364.pdf#page=2","Abrir facsímil")</f>
        <v>Abrir facsímil</v>
      </c>
      <c r="K2196" s="3" t="s">
        <v>22</v>
      </c>
    </row>
    <row r="2197" spans="1:11" ht="42" customHeight="1">
      <c r="A2197" s="2" t="s">
        <v>4548</v>
      </c>
      <c r="B2197" s="2" t="s">
        <v>4549</v>
      </c>
      <c r="C2197" s="2" t="s">
        <v>42</v>
      </c>
      <c r="D2197" s="2" t="s">
        <v>17</v>
      </c>
      <c r="E2197" s="5">
        <v>-28131</v>
      </c>
      <c r="F2197" s="3" t="s">
        <v>893</v>
      </c>
      <c r="G2197" s="3" t="s">
        <v>19</v>
      </c>
      <c r="H2197" s="2" t="s">
        <v>20</v>
      </c>
      <c r="I2197" s="2" t="s">
        <v>4553</v>
      </c>
      <c r="J2197" s="3" t="str">
        <f>HYPERLINK("https://www.boe.es/gazeta/dias/1822/12/23/pdfs/GMD-1822-373.pdf#page=5","Abrir facsímil")</f>
        <v>Abrir facsímil</v>
      </c>
      <c r="K2197" s="3" t="s">
        <v>22</v>
      </c>
    </row>
    <row r="2198" spans="1:11" ht="42" customHeight="1">
      <c r="A2198" s="2" t="s">
        <v>4554</v>
      </c>
      <c r="B2198" s="2" t="s">
        <v>4555</v>
      </c>
      <c r="C2198" s="2" t="s">
        <v>42</v>
      </c>
      <c r="D2198" s="2" t="s">
        <v>17</v>
      </c>
      <c r="E2198" s="5">
        <v>-28213</v>
      </c>
      <c r="F2198" s="3" t="s">
        <v>558</v>
      </c>
      <c r="G2198" s="3" t="s">
        <v>31</v>
      </c>
      <c r="H2198" s="2" t="s">
        <v>20</v>
      </c>
      <c r="I2198" s="2" t="s">
        <v>4556</v>
      </c>
      <c r="J2198" s="3" t="str">
        <f>HYPERLINK("https://www.boe.es/gazeta/dias/1822/10/02/pdfs/GMD-1822-288.pdf#page=3","Abrir facsímil")</f>
        <v>Abrir facsímil</v>
      </c>
      <c r="K2198" s="3" t="s">
        <v>22</v>
      </c>
    </row>
    <row r="2199" spans="1:11" ht="42" customHeight="1">
      <c r="A2199" s="2" t="s">
        <v>4557</v>
      </c>
      <c r="B2199" s="2" t="s">
        <v>4558</v>
      </c>
      <c r="C2199" s="2" t="s">
        <v>50</v>
      </c>
      <c r="D2199" s="2" t="s">
        <v>51</v>
      </c>
      <c r="E2199" s="5">
        <v>-28264</v>
      </c>
      <c r="F2199" s="3" t="s">
        <v>1329</v>
      </c>
      <c r="G2199" s="3" t="s">
        <v>57</v>
      </c>
      <c r="H2199" s="2" t="s">
        <v>20</v>
      </c>
      <c r="I2199" s="2" t="s">
        <v>4559</v>
      </c>
      <c r="J2199" s="3" t="str">
        <f>HYPERLINK("https://www.boe.es/gazeta/dias/1822/08/12/pdfs/GMD-1822-236.pdf#page=4","Abrir facsímil")</f>
        <v>Abrir facsímil</v>
      </c>
      <c r="K2199" s="3" t="s">
        <v>22</v>
      </c>
    </row>
    <row r="2200" spans="1:11" ht="42" customHeight="1">
      <c r="A2200" s="2" t="s">
        <v>4560</v>
      </c>
      <c r="B2200" s="2" t="s">
        <v>4561</v>
      </c>
      <c r="C2200" s="2" t="s">
        <v>42</v>
      </c>
      <c r="D2200" s="2" t="s">
        <v>17</v>
      </c>
      <c r="E2200" s="5">
        <v>-28195</v>
      </c>
      <c r="F2200" s="3" t="s">
        <v>770</v>
      </c>
      <c r="G2200" s="3" t="s">
        <v>57</v>
      </c>
      <c r="H2200" s="2" t="s">
        <v>20</v>
      </c>
      <c r="I2200" s="2" t="s">
        <v>4562</v>
      </c>
      <c r="J2200" s="3" t="str">
        <f>HYPERLINK("https://www.boe.es/gazeta/dias/1822/10/20/pdfs/GMD-1822-307.pdf#page=4","Abrir facsímil")</f>
        <v>Abrir facsímil</v>
      </c>
      <c r="K2200" s="3" t="s">
        <v>22</v>
      </c>
    </row>
    <row r="2201" spans="1:11" ht="42" customHeight="1">
      <c r="A2201" s="2" t="s">
        <v>4563</v>
      </c>
      <c r="B2201" s="2" t="s">
        <v>4564</v>
      </c>
      <c r="C2201" s="2" t="s">
        <v>71</v>
      </c>
      <c r="D2201" s="2" t="s">
        <v>17</v>
      </c>
      <c r="E2201" s="5">
        <v>-28458</v>
      </c>
      <c r="F2201" s="3" t="s">
        <v>1151</v>
      </c>
      <c r="G2201" s="3" t="s">
        <v>44</v>
      </c>
      <c r="H2201" s="2" t="s">
        <v>20</v>
      </c>
      <c r="I2201" s="2" t="s">
        <v>4565</v>
      </c>
      <c r="J2201" s="3" t="str">
        <f>HYPERLINK("https://www.boe.es/gazeta/dias/1822/01/30/pdfs/GMD-1822-30.pdf#page=1","Abrir facsímil")</f>
        <v>Abrir facsímil</v>
      </c>
      <c r="K2201" s="3" t="s">
        <v>22</v>
      </c>
    </row>
    <row r="2202" spans="1:11" ht="42" customHeight="1">
      <c r="A2202" s="2" t="s">
        <v>4566</v>
      </c>
      <c r="B2202" s="2" t="s">
        <v>4567</v>
      </c>
      <c r="C2202" s="2" t="s">
        <v>16</v>
      </c>
      <c r="D2202" s="2" t="s">
        <v>17</v>
      </c>
      <c r="E2202" s="5">
        <v>-28464</v>
      </c>
      <c r="F2202" s="3" t="s">
        <v>1447</v>
      </c>
      <c r="G2202" s="3" t="s">
        <v>57</v>
      </c>
      <c r="H2202" s="2" t="s">
        <v>20</v>
      </c>
      <c r="I2202" s="2" t="s">
        <v>4568</v>
      </c>
      <c r="J2202" s="3" t="str">
        <f>HYPERLINK("https://www.boe.es/gazeta/dias/1822/01/24/pdfs/GMD-1822-24.pdf#page=4","Abrir facsímil")</f>
        <v>Abrir facsímil</v>
      </c>
      <c r="K2202" s="3" t="s">
        <v>22</v>
      </c>
    </row>
    <row r="2203" spans="1:11" ht="42" customHeight="1">
      <c r="A2203" s="2" t="s">
        <v>4566</v>
      </c>
      <c r="B2203" s="2" t="s">
        <v>4567</v>
      </c>
      <c r="C2203" s="2" t="s">
        <v>16</v>
      </c>
      <c r="D2203" s="2" t="s">
        <v>17</v>
      </c>
      <c r="E2203" s="5">
        <v>-28382</v>
      </c>
      <c r="F2203" s="3" t="s">
        <v>973</v>
      </c>
      <c r="G2203" s="3" t="s">
        <v>63</v>
      </c>
      <c r="H2203" s="2" t="s">
        <v>20</v>
      </c>
      <c r="I2203" s="2" t="s">
        <v>4569</v>
      </c>
      <c r="J2203" s="3" t="str">
        <f>HYPERLINK("https://www.boe.es/gazeta/dias/1822/04/16/pdfs/GMD-1822-108.pdf#page=6","Abrir facsímil")</f>
        <v>Abrir facsímil</v>
      </c>
      <c r="K2203" s="3" t="s">
        <v>22</v>
      </c>
    </row>
    <row r="2204" spans="1:11" ht="42" customHeight="1">
      <c r="A2204" s="2" t="s">
        <v>4570</v>
      </c>
      <c r="B2204" s="2" t="s">
        <v>4570</v>
      </c>
      <c r="C2204" s="2" t="s">
        <v>28</v>
      </c>
      <c r="D2204" s="2" t="s">
        <v>29</v>
      </c>
      <c r="E2204" s="5">
        <v>-28359</v>
      </c>
      <c r="F2204" s="3" t="s">
        <v>209</v>
      </c>
      <c r="G2204" s="3" t="s">
        <v>19</v>
      </c>
      <c r="H2204" s="2" t="s">
        <v>20</v>
      </c>
      <c r="I2204" s="2" t="s">
        <v>4571</v>
      </c>
      <c r="J2204" s="3" t="str">
        <f>HYPERLINK("https://www.boe.es/gazeta/dias/1822/05/09/pdfs/GMD-1822-131.pdf#page=5","Abrir facsímil")</f>
        <v>Abrir facsímil</v>
      </c>
      <c r="K2204" s="3" t="s">
        <v>22</v>
      </c>
    </row>
    <row r="2205" spans="1:11" ht="42" customHeight="1">
      <c r="A2205" s="2" t="s">
        <v>4572</v>
      </c>
      <c r="B2205" s="2" t="s">
        <v>4573</v>
      </c>
      <c r="C2205" s="2" t="s">
        <v>50</v>
      </c>
      <c r="D2205" s="2" t="s">
        <v>51</v>
      </c>
      <c r="E2205" s="5">
        <v>-28265</v>
      </c>
      <c r="F2205" s="3" t="s">
        <v>1263</v>
      </c>
      <c r="G2205" s="3" t="s">
        <v>57</v>
      </c>
      <c r="H2205" s="2" t="s">
        <v>20</v>
      </c>
      <c r="I2205" s="2" t="s">
        <v>4574</v>
      </c>
      <c r="J2205" s="3" t="str">
        <f>HYPERLINK("https://www.boe.es/gazeta/dias/1822/08/11/pdfs/GMD-1822-235.pdf#page=4","Abrir facsímil")</f>
        <v>Abrir facsímil</v>
      </c>
      <c r="K2205" s="3" t="s">
        <v>22</v>
      </c>
    </row>
    <row r="2206" spans="1:11" ht="42" customHeight="1">
      <c r="A2206" s="2" t="s">
        <v>4575</v>
      </c>
      <c r="B2206" s="2" t="s">
        <v>4575</v>
      </c>
      <c r="C2206" s="2" t="s">
        <v>42</v>
      </c>
      <c r="D2206" s="2" t="s">
        <v>723</v>
      </c>
      <c r="E2206" s="5">
        <v>-28181</v>
      </c>
      <c r="F2206" s="3" t="s">
        <v>724</v>
      </c>
      <c r="G2206" s="3" t="s">
        <v>44</v>
      </c>
      <c r="H2206" s="2" t="s">
        <v>20</v>
      </c>
      <c r="I2206" s="2" t="s">
        <v>4576</v>
      </c>
      <c r="J2206" s="3" t="str">
        <f>HYPERLINK("https://www.boe.es/gazeta/dias/1822/11/03/pdfs/GMD-1822-322E.pdf#page=1","Abrir facsímil")</f>
        <v>Abrir facsímil</v>
      </c>
      <c r="K2206" s="3" t="s">
        <v>22</v>
      </c>
    </row>
    <row r="2207" spans="1:11" ht="42" customHeight="1">
      <c r="A2207" s="2" t="s">
        <v>4577</v>
      </c>
      <c r="B2207" s="2" t="s">
        <v>4577</v>
      </c>
      <c r="C2207" s="2" t="s">
        <v>42</v>
      </c>
      <c r="D2207" s="2" t="s">
        <v>17</v>
      </c>
      <c r="E2207" s="5">
        <v>-28441</v>
      </c>
      <c r="F2207" s="3" t="s">
        <v>429</v>
      </c>
      <c r="G2207" s="3" t="s">
        <v>31</v>
      </c>
      <c r="H2207" s="2" t="s">
        <v>20</v>
      </c>
      <c r="I2207" s="2" t="s">
        <v>4578</v>
      </c>
      <c r="J2207" s="3" t="str">
        <f>HYPERLINK("https://www.boe.es/gazeta/dias/1822/02/16/pdfs/GMD-1822-48.pdf#page=3","Abrir facsímil")</f>
        <v>Abrir facsímil</v>
      </c>
      <c r="K2207" s="3" t="s">
        <v>22</v>
      </c>
    </row>
    <row r="2208" spans="1:11" ht="42" customHeight="1">
      <c r="A2208" s="2" t="s">
        <v>4579</v>
      </c>
      <c r="B2208" s="2" t="s">
        <v>4580</v>
      </c>
      <c r="C2208" s="2" t="s">
        <v>16</v>
      </c>
      <c r="D2208" s="2" t="s">
        <v>17</v>
      </c>
      <c r="E2208" s="5">
        <v>-28363</v>
      </c>
      <c r="F2208" s="3" t="s">
        <v>72</v>
      </c>
      <c r="G2208" s="3" t="s">
        <v>63</v>
      </c>
      <c r="H2208" s="2" t="s">
        <v>20</v>
      </c>
      <c r="I2208" s="2" t="s">
        <v>4581</v>
      </c>
      <c r="J2208" s="3" t="str">
        <f>HYPERLINK("https://www.boe.es/gazeta/dias/1822/05/05/pdfs/GMD-1822-127.pdf#page=6","Abrir facsímil")</f>
        <v>Abrir facsímil</v>
      </c>
      <c r="K2208" s="3" t="s">
        <v>22</v>
      </c>
    </row>
    <row r="2209" spans="1:11" ht="42" customHeight="1">
      <c r="A2209" s="2" t="s">
        <v>4582</v>
      </c>
      <c r="B2209" s="2" t="s">
        <v>4582</v>
      </c>
      <c r="C2209" s="2" t="s">
        <v>42</v>
      </c>
      <c r="D2209" s="2" t="s">
        <v>17</v>
      </c>
      <c r="E2209" s="5">
        <v>-28327</v>
      </c>
      <c r="F2209" s="3" t="s">
        <v>38</v>
      </c>
      <c r="G2209" s="3" t="s">
        <v>44</v>
      </c>
      <c r="H2209" s="2" t="s">
        <v>20</v>
      </c>
      <c r="I2209" s="2" t="s">
        <v>4583</v>
      </c>
      <c r="J2209" s="3" t="str">
        <f>HYPERLINK("https://www.boe.es/gazeta/dias/1822/06/10/pdfs/GMD-1822-167.pdf#page=1","Abrir facsímil")</f>
        <v>Abrir facsímil</v>
      </c>
      <c r="K2209" s="3" t="s">
        <v>22</v>
      </c>
    </row>
    <row r="2210" spans="1:11" ht="42" customHeight="1">
      <c r="A2210" s="2" t="s">
        <v>4584</v>
      </c>
      <c r="B2210" s="2" t="s">
        <v>4584</v>
      </c>
      <c r="C2210" s="2" t="s">
        <v>71</v>
      </c>
      <c r="D2210" s="2" t="s">
        <v>17</v>
      </c>
      <c r="E2210" s="5">
        <v>-28287</v>
      </c>
      <c r="F2210" s="3" t="s">
        <v>1295</v>
      </c>
      <c r="G2210" s="3" t="s">
        <v>35</v>
      </c>
      <c r="H2210" s="2" t="s">
        <v>20</v>
      </c>
      <c r="I2210" s="2" t="s">
        <v>4585</v>
      </c>
      <c r="J2210" s="3" t="str">
        <f>HYPERLINK("https://www.boe.es/gazeta/dias/1822/07/20/pdfs/GMD-1822-212.pdf#page=2","Abrir facsímil")</f>
        <v>Abrir facsímil</v>
      </c>
      <c r="K2210" s="3" t="s">
        <v>22</v>
      </c>
    </row>
    <row r="2211" spans="1:11" ht="42" customHeight="1">
      <c r="A2211" s="2" t="s">
        <v>4586</v>
      </c>
      <c r="B2211" s="2" t="s">
        <v>4587</v>
      </c>
      <c r="C2211" s="2" t="s">
        <v>42</v>
      </c>
      <c r="D2211" s="2" t="s">
        <v>17</v>
      </c>
      <c r="E2211" s="5">
        <v>-28129</v>
      </c>
      <c r="F2211" s="3" t="s">
        <v>599</v>
      </c>
      <c r="G2211" s="3" t="s">
        <v>57</v>
      </c>
      <c r="H2211" s="2" t="s">
        <v>20</v>
      </c>
      <c r="I2211" s="2" t="s">
        <v>4588</v>
      </c>
      <c r="J2211" s="3" t="str">
        <f>HYPERLINK("https://www.boe.es/gazeta/dias/1822/12/25/pdfs/GMD-1822-375.pdf#page=4","Abrir facsímil")</f>
        <v>Abrir facsímil</v>
      </c>
      <c r="K2211" s="3" t="s">
        <v>22</v>
      </c>
    </row>
    <row r="2212" spans="1:11" ht="42" customHeight="1">
      <c r="A2212" s="2" t="s">
        <v>4589</v>
      </c>
      <c r="B2212" s="2" t="s">
        <v>4589</v>
      </c>
      <c r="C2212" s="2" t="s">
        <v>50</v>
      </c>
      <c r="D2212" s="2" t="s">
        <v>51</v>
      </c>
      <c r="E2212" s="5">
        <v>-28447</v>
      </c>
      <c r="F2212" s="3" t="s">
        <v>997</v>
      </c>
      <c r="G2212" s="3" t="s">
        <v>44</v>
      </c>
      <c r="H2212" s="2" t="s">
        <v>20</v>
      </c>
      <c r="I2212" s="2" t="s">
        <v>4590</v>
      </c>
      <c r="J2212" s="3" t="str">
        <f>HYPERLINK("https://www.boe.es/gazeta/dias/1822/02/10/pdfs/GMD-1822-41.pdf#page=1","Abrir facsímil")</f>
        <v>Abrir facsímil</v>
      </c>
      <c r="K2212" s="3" t="s">
        <v>22</v>
      </c>
    </row>
    <row r="2213" spans="1:11" ht="42" customHeight="1">
      <c r="A2213" s="2" t="s">
        <v>4591</v>
      </c>
      <c r="B2213" s="2" t="s">
        <v>4591</v>
      </c>
      <c r="C2213" s="2" t="s">
        <v>50</v>
      </c>
      <c r="D2213" s="2" t="s">
        <v>51</v>
      </c>
      <c r="E2213" s="5">
        <v>-28311</v>
      </c>
      <c r="F2213" s="3" t="s">
        <v>736</v>
      </c>
      <c r="G2213" s="3" t="s">
        <v>157</v>
      </c>
      <c r="H2213" s="2" t="s">
        <v>20</v>
      </c>
      <c r="I2213" s="2" t="s">
        <v>4592</v>
      </c>
      <c r="J2213" s="3" t="str">
        <f>HYPERLINK("https://www.boe.es/gazeta/dias/1822/06/26/pdfs/GMD-1822-184.pdf#page=8","Abrir facsímil")</f>
        <v>Abrir facsímil</v>
      </c>
      <c r="K2213" s="3" t="s">
        <v>22</v>
      </c>
    </row>
    <row r="2214" spans="1:11" ht="42" customHeight="1">
      <c r="A2214" s="2" t="s">
        <v>4593</v>
      </c>
      <c r="B2214" s="2" t="s">
        <v>4593</v>
      </c>
      <c r="C2214" s="2" t="s">
        <v>50</v>
      </c>
      <c r="D2214" s="2" t="s">
        <v>51</v>
      </c>
      <c r="E2214" s="5">
        <v>-28403</v>
      </c>
      <c r="F2214" s="3" t="s">
        <v>471</v>
      </c>
      <c r="G2214" s="3" t="s">
        <v>35</v>
      </c>
      <c r="H2214" s="2" t="s">
        <v>20</v>
      </c>
      <c r="I2214" s="2" t="s">
        <v>4594</v>
      </c>
      <c r="J2214" s="3" t="str">
        <f>HYPERLINK("https://www.boe.es/gazeta/dias/1822/03/26/pdfs/GMD-1822-87.pdf#page=2","Abrir facsímil")</f>
        <v>Abrir facsímil</v>
      </c>
      <c r="K2214" s="3" t="s">
        <v>22</v>
      </c>
    </row>
    <row r="2215" spans="1:11" ht="42" customHeight="1">
      <c r="A2215" s="2" t="s">
        <v>4595</v>
      </c>
      <c r="B2215" s="2" t="s">
        <v>4596</v>
      </c>
      <c r="C2215" s="2" t="s">
        <v>42</v>
      </c>
      <c r="D2215" s="2" t="s">
        <v>17</v>
      </c>
      <c r="E2215" s="5">
        <v>-28436</v>
      </c>
      <c r="F2215" s="3" t="s">
        <v>431</v>
      </c>
      <c r="G2215" s="3" t="s">
        <v>1428</v>
      </c>
      <c r="H2215" s="2" t="s">
        <v>20</v>
      </c>
      <c r="I2215" s="2" t="s">
        <v>4597</v>
      </c>
      <c r="J2215" s="3" t="str">
        <f>HYPERLINK("https://www.boe.es/gazeta/dias/1822/02/21/pdfs/GMD-1822-53.pdf#page=3","Abrir facsímil")</f>
        <v>Abrir facsímil</v>
      </c>
      <c r="K2215" s="3" t="s">
        <v>22</v>
      </c>
    </row>
    <row r="2216" spans="1:11" ht="42" customHeight="1">
      <c r="A2216" s="2" t="s">
        <v>4598</v>
      </c>
      <c r="B2216" s="2" t="s">
        <v>4599</v>
      </c>
      <c r="C2216" s="2" t="s">
        <v>50</v>
      </c>
      <c r="D2216" s="2" t="s">
        <v>51</v>
      </c>
      <c r="E2216" s="5">
        <v>-28213</v>
      </c>
      <c r="F2216" s="3" t="s">
        <v>558</v>
      </c>
      <c r="G2216" s="3" t="s">
        <v>57</v>
      </c>
      <c r="H2216" s="2" t="s">
        <v>45</v>
      </c>
      <c r="I2216" s="2" t="s">
        <v>4600</v>
      </c>
      <c r="J2216" s="3" t="str">
        <f>HYPERLINK("https://www.boe.es/gazeta/dias/1822/10/02/pdfs/GMD-1822-288.pdf#page=4","Abrir facsímil")</f>
        <v>Abrir facsímil</v>
      </c>
      <c r="K2216" s="3" t="s">
        <v>47</v>
      </c>
    </row>
    <row r="2217" spans="1:11" ht="42" customHeight="1">
      <c r="A2217" s="2" t="s">
        <v>4601</v>
      </c>
      <c r="B2217" s="2" t="s">
        <v>4602</v>
      </c>
      <c r="C2217" s="2" t="s">
        <v>50</v>
      </c>
      <c r="D2217" s="2" t="s">
        <v>51</v>
      </c>
      <c r="E2217" s="5">
        <v>-28390</v>
      </c>
      <c r="F2217" s="3" t="s">
        <v>665</v>
      </c>
      <c r="G2217" s="3" t="s">
        <v>35</v>
      </c>
      <c r="H2217" s="2" t="s">
        <v>20</v>
      </c>
      <c r="I2217" s="2" t="s">
        <v>4603</v>
      </c>
      <c r="J2217" s="3" t="str">
        <f>HYPERLINK("https://www.boe.es/gazeta/dias/1822/04/08/pdfs/GMD-1822-100.pdf#page=2","Abrir facsímil")</f>
        <v>Abrir facsímil</v>
      </c>
      <c r="K2217" s="3" t="s">
        <v>22</v>
      </c>
    </row>
    <row r="2218" spans="1:11" ht="42" customHeight="1">
      <c r="A2218" s="2" t="s">
        <v>4604</v>
      </c>
      <c r="B2218" s="2" t="s">
        <v>4604</v>
      </c>
      <c r="C2218" s="2" t="s">
        <v>50</v>
      </c>
      <c r="D2218" s="2" t="s">
        <v>51</v>
      </c>
      <c r="E2218" s="5">
        <v>-28283</v>
      </c>
      <c r="F2218" s="3" t="s">
        <v>1477</v>
      </c>
      <c r="G2218" s="3" t="s">
        <v>31</v>
      </c>
      <c r="H2218" s="2" t="s">
        <v>20</v>
      </c>
      <c r="I2218" s="2" t="s">
        <v>4605</v>
      </c>
      <c r="J2218" s="3" t="str">
        <f>HYPERLINK("https://www.boe.es/gazeta/dias/1822/07/24/pdfs/GMD-1822-217.pdf#page=3","Abrir facsímil")</f>
        <v>Abrir facsímil</v>
      </c>
      <c r="K2218" s="3" t="s">
        <v>22</v>
      </c>
    </row>
    <row r="2219" spans="1:11" ht="42" customHeight="1">
      <c r="A2219" s="2" t="s">
        <v>4604</v>
      </c>
      <c r="B2219" s="2" t="s">
        <v>4604</v>
      </c>
      <c r="C2219" s="2" t="s">
        <v>50</v>
      </c>
      <c r="D2219" s="2" t="s">
        <v>51</v>
      </c>
      <c r="E2219" s="5">
        <v>-28279</v>
      </c>
      <c r="F2219" s="3" t="s">
        <v>662</v>
      </c>
      <c r="G2219" s="3" t="s">
        <v>35</v>
      </c>
      <c r="H2219" s="2" t="s">
        <v>20</v>
      </c>
      <c r="I2219" s="2" t="s">
        <v>4606</v>
      </c>
      <c r="J2219" s="3" t="str">
        <f>HYPERLINK("https://www.boe.es/gazeta/dias/1822/07/28/pdfs/GMD-1822-221.pdf#page=2","Abrir facsímil")</f>
        <v>Abrir facsímil</v>
      </c>
      <c r="K2219" s="3" t="s">
        <v>22</v>
      </c>
    </row>
    <row r="2220" spans="1:11" ht="42" customHeight="1">
      <c r="A2220" s="2" t="s">
        <v>4604</v>
      </c>
      <c r="B2220" s="2" t="s">
        <v>4604</v>
      </c>
      <c r="C2220" s="2" t="s">
        <v>50</v>
      </c>
      <c r="D2220" s="2" t="s">
        <v>51</v>
      </c>
      <c r="E2220" s="5">
        <v>-28254</v>
      </c>
      <c r="F2220" s="3" t="s">
        <v>3557</v>
      </c>
      <c r="G2220" s="3" t="s">
        <v>35</v>
      </c>
      <c r="H2220" s="2" t="s">
        <v>20</v>
      </c>
      <c r="I2220" s="2" t="s">
        <v>4607</v>
      </c>
      <c r="J2220" s="3" t="str">
        <f>HYPERLINK("https://www.boe.es/gazeta/dias/1822/08/22/pdfs/GMD-1822-246.pdf#page=2","Abrir facsímil")</f>
        <v>Abrir facsímil</v>
      </c>
      <c r="K2220" s="3" t="s">
        <v>22</v>
      </c>
    </row>
    <row r="2221" spans="1:11" ht="42" customHeight="1">
      <c r="A2221" s="2" t="s">
        <v>4608</v>
      </c>
      <c r="B2221" s="2" t="s">
        <v>4609</v>
      </c>
      <c r="C2221" s="2" t="s">
        <v>50</v>
      </c>
      <c r="D2221" s="2" t="s">
        <v>51</v>
      </c>
      <c r="E2221" s="5">
        <v>-28208</v>
      </c>
      <c r="F2221" s="3" t="s">
        <v>230</v>
      </c>
      <c r="G2221" s="3" t="s">
        <v>57</v>
      </c>
      <c r="H2221" s="2" t="s">
        <v>20</v>
      </c>
      <c r="I2221" s="2" t="s">
        <v>4610</v>
      </c>
      <c r="J2221" s="3" t="str">
        <f>HYPERLINK("https://www.boe.es/gazeta/dias/1822/10/07/pdfs/GMD-1822-293.pdf#page=4","Abrir facsímil")</f>
        <v>Abrir facsímil</v>
      </c>
      <c r="K2221" s="3" t="s">
        <v>22</v>
      </c>
    </row>
    <row r="2222" spans="1:11" ht="42" customHeight="1">
      <c r="A2222" s="2" t="s">
        <v>4611</v>
      </c>
      <c r="B2222" s="2" t="s">
        <v>4612</v>
      </c>
      <c r="C2222" s="2" t="s">
        <v>50</v>
      </c>
      <c r="D2222" s="2" t="s">
        <v>51</v>
      </c>
      <c r="E2222" s="5">
        <v>-28349</v>
      </c>
      <c r="F2222" s="3" t="s">
        <v>518</v>
      </c>
      <c r="G2222" s="3" t="s">
        <v>57</v>
      </c>
      <c r="H2222" s="2" t="s">
        <v>20</v>
      </c>
      <c r="I2222" s="2" t="s">
        <v>4613</v>
      </c>
      <c r="J2222" s="3" t="str">
        <f>HYPERLINK("https://www.boe.es/gazeta/dias/1822/05/19/pdfs/GMD-1822-141.pdf#page=4","Abrir facsímil")</f>
        <v>Abrir facsímil</v>
      </c>
      <c r="K2222" s="3" t="s">
        <v>22</v>
      </c>
    </row>
    <row r="2223" spans="1:11" ht="42" customHeight="1">
      <c r="A2223" s="2" t="s">
        <v>4614</v>
      </c>
      <c r="B2223" s="2" t="s">
        <v>4615</v>
      </c>
      <c r="C2223" s="2" t="s">
        <v>28</v>
      </c>
      <c r="D2223" s="2" t="s">
        <v>29</v>
      </c>
      <c r="E2223" s="5">
        <v>-28429</v>
      </c>
      <c r="F2223" s="3" t="s">
        <v>2397</v>
      </c>
      <c r="G2223" s="3" t="s">
        <v>57</v>
      </c>
      <c r="H2223" s="2" t="s">
        <v>45</v>
      </c>
      <c r="I2223" s="2" t="s">
        <v>4616</v>
      </c>
      <c r="J2223" s="3" t="str">
        <f>HYPERLINK("https://www.boe.es/gazeta/dias/1822/02/28/pdfs/GMD-1822-60.pdf#page=4","Abrir facsímil")</f>
        <v>Abrir facsímil</v>
      </c>
      <c r="K2223" s="3" t="s">
        <v>47</v>
      </c>
    </row>
    <row r="2224" spans="1:11" ht="42" customHeight="1">
      <c r="A2224" s="2" t="s">
        <v>4617</v>
      </c>
      <c r="B2224" s="2" t="s">
        <v>4618</v>
      </c>
      <c r="C2224" s="2" t="s">
        <v>24</v>
      </c>
      <c r="D2224" s="2" t="s">
        <v>17</v>
      </c>
      <c r="E2224" s="5">
        <v>-28258</v>
      </c>
      <c r="F2224" s="3" t="s">
        <v>88</v>
      </c>
      <c r="G2224" s="3" t="s">
        <v>31</v>
      </c>
      <c r="H2224" s="2" t="s">
        <v>20</v>
      </c>
      <c r="I2224" s="2" t="s">
        <v>4619</v>
      </c>
      <c r="J2224" s="3" t="str">
        <f>HYPERLINK("https://www.boe.es/gazeta/dias/1822/08/18/pdfs/GMD-1822-242.pdf#page=3","Abrir facsímil")</f>
        <v>Abrir facsímil</v>
      </c>
      <c r="K2224" s="3" t="s">
        <v>22</v>
      </c>
    </row>
    <row r="2225" spans="1:11" ht="42" customHeight="1">
      <c r="A2225" s="2" t="s">
        <v>4620</v>
      </c>
      <c r="B2225" s="2" t="s">
        <v>4621</v>
      </c>
      <c r="C2225" s="2" t="s">
        <v>50</v>
      </c>
      <c r="D2225" s="2" t="s">
        <v>51</v>
      </c>
      <c r="E2225" s="5">
        <v>-28447</v>
      </c>
      <c r="F2225" s="3" t="s">
        <v>997</v>
      </c>
      <c r="G2225" s="3" t="s">
        <v>57</v>
      </c>
      <c r="H2225" s="2" t="s">
        <v>20</v>
      </c>
      <c r="I2225" s="2" t="s">
        <v>4622</v>
      </c>
      <c r="J2225" s="3" t="str">
        <f>HYPERLINK("https://www.boe.es/gazeta/dias/1822/02/10/pdfs/GMD-1822-41.pdf#page=4","Abrir facsímil")</f>
        <v>Abrir facsímil</v>
      </c>
      <c r="K2225" s="3" t="s">
        <v>22</v>
      </c>
    </row>
    <row r="2226" spans="1:11" ht="42" customHeight="1">
      <c r="A2226" s="2" t="s">
        <v>4620</v>
      </c>
      <c r="B2226" s="2" t="s">
        <v>4621</v>
      </c>
      <c r="C2226" s="2" t="s">
        <v>42</v>
      </c>
      <c r="D2226" s="2" t="s">
        <v>17</v>
      </c>
      <c r="E2226" s="5">
        <v>-28358</v>
      </c>
      <c r="F2226" s="3" t="s">
        <v>211</v>
      </c>
      <c r="G2226" s="3" t="s">
        <v>157</v>
      </c>
      <c r="H2226" s="2" t="s">
        <v>20</v>
      </c>
      <c r="I2226" s="2" t="s">
        <v>4623</v>
      </c>
      <c r="J2226" s="3" t="str">
        <f>HYPERLINK("https://www.boe.es/gazeta/dias/1822/05/10/pdfs/GMD-1822-132.pdf#page=8","Abrir facsímil")</f>
        <v>Abrir facsímil</v>
      </c>
      <c r="K2226" s="3" t="s">
        <v>22</v>
      </c>
    </row>
    <row r="2227" spans="1:11" ht="42" customHeight="1">
      <c r="A2227" s="2" t="s">
        <v>4624</v>
      </c>
      <c r="B2227" s="2" t="s">
        <v>4625</v>
      </c>
      <c r="C2227" s="2" t="s">
        <v>42</v>
      </c>
      <c r="D2227" s="2" t="s">
        <v>17</v>
      </c>
      <c r="E2227" s="5">
        <v>-28309</v>
      </c>
      <c r="F2227" s="3" t="s">
        <v>553</v>
      </c>
      <c r="G2227" s="3" t="s">
        <v>157</v>
      </c>
      <c r="H2227" s="2" t="s">
        <v>45</v>
      </c>
      <c r="I2227" s="2" t="s">
        <v>4626</v>
      </c>
      <c r="J2227" s="3" t="str">
        <f>HYPERLINK("https://www.boe.es/gazeta/dias/1822/06/28/pdfs/GMD-1822-186.pdf#page=8","Abrir facsímil")</f>
        <v>Abrir facsímil</v>
      </c>
      <c r="K2227" s="3" t="s">
        <v>47</v>
      </c>
    </row>
    <row r="2228" spans="1:11" ht="42" customHeight="1">
      <c r="A2228" s="2" t="s">
        <v>4627</v>
      </c>
      <c r="B2228" s="2" t="s">
        <v>4628</v>
      </c>
      <c r="C2228" s="2" t="s">
        <v>50</v>
      </c>
      <c r="D2228" s="2" t="s">
        <v>51</v>
      </c>
      <c r="E2228" s="5">
        <v>-28230</v>
      </c>
      <c r="F2228" s="3" t="s">
        <v>1735</v>
      </c>
      <c r="G2228" s="3" t="s">
        <v>31</v>
      </c>
      <c r="H2228" s="2" t="s">
        <v>20</v>
      </c>
      <c r="I2228" s="2" t="s">
        <v>4629</v>
      </c>
      <c r="J2228" s="3" t="str">
        <f>HYPERLINK("https://www.boe.es/gazeta/dias/1822/09/15/pdfs/GMD-1822-271.pdf#page=3","Abrir facsímil")</f>
        <v>Abrir facsímil</v>
      </c>
      <c r="K2228" s="3" t="s">
        <v>22</v>
      </c>
    </row>
    <row r="2229" spans="1:11" ht="42" customHeight="1">
      <c r="A2229" s="2" t="s">
        <v>4630</v>
      </c>
      <c r="B2229" s="2" t="s">
        <v>4631</v>
      </c>
      <c r="C2229" s="2" t="s">
        <v>71</v>
      </c>
      <c r="D2229" s="2" t="s">
        <v>17</v>
      </c>
      <c r="E2229" s="5">
        <v>-28339</v>
      </c>
      <c r="F2229" s="3" t="s">
        <v>197</v>
      </c>
      <c r="G2229" s="3" t="s">
        <v>63</v>
      </c>
      <c r="H2229" s="2" t="s">
        <v>45</v>
      </c>
      <c r="I2229" s="2" t="s">
        <v>4632</v>
      </c>
      <c r="J2229" s="3" t="str">
        <f>HYPERLINK("https://www.boe.es/gazeta/dias/1822/05/29/pdfs/GMD-1822-154.pdf#page=6","Abrir facsímil")</f>
        <v>Abrir facsímil</v>
      </c>
      <c r="K2229" s="3" t="s">
        <v>47</v>
      </c>
    </row>
    <row r="2230" spans="1:11" ht="42" customHeight="1">
      <c r="A2230" s="2" t="s">
        <v>4633</v>
      </c>
      <c r="B2230" s="2" t="s">
        <v>4634</v>
      </c>
      <c r="C2230" s="2" t="s">
        <v>42</v>
      </c>
      <c r="D2230" s="2" t="s">
        <v>17</v>
      </c>
      <c r="E2230" s="5">
        <v>-28230</v>
      </c>
      <c r="F2230" s="3" t="s">
        <v>1735</v>
      </c>
      <c r="G2230" s="3" t="s">
        <v>31</v>
      </c>
      <c r="H2230" s="2" t="s">
        <v>20</v>
      </c>
      <c r="I2230" s="2" t="s">
        <v>4635</v>
      </c>
      <c r="J2230" s="3" t="str">
        <f>HYPERLINK("https://www.boe.es/gazeta/dias/1822/09/15/pdfs/GMD-1822-271.pdf#page=3","Abrir facsímil")</f>
        <v>Abrir facsímil</v>
      </c>
      <c r="K2230" s="3" t="s">
        <v>22</v>
      </c>
    </row>
    <row r="2231" spans="1:11" ht="42" customHeight="1">
      <c r="A2231" s="2" t="s">
        <v>4636</v>
      </c>
      <c r="B2231" s="2" t="s">
        <v>4636</v>
      </c>
      <c r="C2231" s="2" t="s">
        <v>50</v>
      </c>
      <c r="D2231" s="2" t="s">
        <v>51</v>
      </c>
      <c r="E2231" s="5">
        <v>-28211</v>
      </c>
      <c r="F2231" s="3" t="s">
        <v>273</v>
      </c>
      <c r="G2231" s="3" t="s">
        <v>57</v>
      </c>
      <c r="H2231" s="2" t="s">
        <v>20</v>
      </c>
      <c r="I2231" s="2" t="s">
        <v>4637</v>
      </c>
      <c r="J2231" s="3" t="str">
        <f>HYPERLINK("https://www.boe.es/gazeta/dias/1822/10/04/pdfs/GMD-1822-290.pdf#page=4","Abrir facsímil")</f>
        <v>Abrir facsímil</v>
      </c>
      <c r="K2231" s="3" t="s">
        <v>22</v>
      </c>
    </row>
    <row r="2232" spans="1:11" ht="42" customHeight="1">
      <c r="A2232" s="2" t="s">
        <v>4638</v>
      </c>
      <c r="B2232" s="2" t="s">
        <v>4638</v>
      </c>
      <c r="C2232" s="2" t="s">
        <v>50</v>
      </c>
      <c r="D2232" s="2" t="s">
        <v>51</v>
      </c>
      <c r="E2232" s="5">
        <v>-28206</v>
      </c>
      <c r="F2232" s="3" t="s">
        <v>562</v>
      </c>
      <c r="G2232" s="3" t="s">
        <v>31</v>
      </c>
      <c r="H2232" s="2" t="s">
        <v>20</v>
      </c>
      <c r="I2232" s="2" t="s">
        <v>4639</v>
      </c>
      <c r="J2232" s="3" t="str">
        <f>HYPERLINK("https://www.boe.es/gazeta/dias/1822/10/09/pdfs/GMD-1822-296.pdf#page=3","Abrir facsímil")</f>
        <v>Abrir facsímil</v>
      </c>
      <c r="K2232" s="3" t="s">
        <v>22</v>
      </c>
    </row>
    <row r="2233" spans="1:11" ht="42" customHeight="1">
      <c r="A2233" s="2" t="s">
        <v>4640</v>
      </c>
      <c r="B2233" s="2" t="s">
        <v>4641</v>
      </c>
      <c r="C2233" s="2" t="s">
        <v>50</v>
      </c>
      <c r="D2233" s="2" t="s">
        <v>51</v>
      </c>
      <c r="E2233" s="5">
        <v>-28211</v>
      </c>
      <c r="F2233" s="3" t="s">
        <v>273</v>
      </c>
      <c r="G2233" s="3" t="s">
        <v>57</v>
      </c>
      <c r="H2233" s="2" t="s">
        <v>20</v>
      </c>
      <c r="I2233" s="2" t="s">
        <v>4642</v>
      </c>
      <c r="J2233" s="3" t="str">
        <f>HYPERLINK("https://www.boe.es/gazeta/dias/1822/10/04/pdfs/GMD-1822-290.pdf#page=4","Abrir facsímil")</f>
        <v>Abrir facsímil</v>
      </c>
      <c r="K2233" s="3" t="s">
        <v>22</v>
      </c>
    </row>
    <row r="2234" spans="1:11" ht="42" customHeight="1">
      <c r="A2234" s="2" t="s">
        <v>4643</v>
      </c>
      <c r="B2234" s="2" t="s">
        <v>4644</v>
      </c>
      <c r="C2234" s="2" t="s">
        <v>61</v>
      </c>
      <c r="D2234" s="2" t="s">
        <v>17</v>
      </c>
      <c r="E2234" s="5">
        <v>-28311</v>
      </c>
      <c r="F2234" s="3" t="s">
        <v>736</v>
      </c>
      <c r="G2234" s="3" t="s">
        <v>157</v>
      </c>
      <c r="H2234" s="2" t="s">
        <v>20</v>
      </c>
      <c r="I2234" s="2" t="s">
        <v>4645</v>
      </c>
      <c r="J2234" s="3" t="str">
        <f>HYPERLINK("https://www.boe.es/gazeta/dias/1822/06/26/pdfs/GMD-1822-184.pdf#page=8","Abrir facsímil")</f>
        <v>Abrir facsímil</v>
      </c>
      <c r="K2234" s="3" t="s">
        <v>22</v>
      </c>
    </row>
    <row r="2235" spans="1:11" ht="42" customHeight="1">
      <c r="A2235" s="2" t="s">
        <v>4646</v>
      </c>
      <c r="B2235" s="2" t="s">
        <v>4646</v>
      </c>
      <c r="C2235" s="2" t="s">
        <v>16</v>
      </c>
      <c r="D2235" s="2" t="s">
        <v>17</v>
      </c>
      <c r="E2235" s="5">
        <v>-28257</v>
      </c>
      <c r="F2235" s="3" t="s">
        <v>1171</v>
      </c>
      <c r="G2235" s="3" t="s">
        <v>1172</v>
      </c>
      <c r="H2235" s="2" t="s">
        <v>20</v>
      </c>
      <c r="I2235" s="2" t="s">
        <v>4647</v>
      </c>
      <c r="J2235" s="3" t="str">
        <f>HYPERLINK("https://www.boe.es/gazeta/dias/1822/08/19/pdfs/GMD-1822-243.pdf#page=4","Abrir facsímil")</f>
        <v>Abrir facsímil</v>
      </c>
      <c r="K2235" s="3" t="s">
        <v>22</v>
      </c>
    </row>
    <row r="2236" spans="1:11" ht="42" customHeight="1">
      <c r="A2236" s="2" t="s">
        <v>4648</v>
      </c>
      <c r="B2236" s="2" t="s">
        <v>4648</v>
      </c>
      <c r="C2236" s="2" t="s">
        <v>50</v>
      </c>
      <c r="D2236" s="2" t="s">
        <v>51</v>
      </c>
      <c r="E2236" s="5">
        <v>-28201</v>
      </c>
      <c r="F2236" s="3" t="s">
        <v>163</v>
      </c>
      <c r="G2236" s="3" t="s">
        <v>57</v>
      </c>
      <c r="H2236" s="2" t="s">
        <v>20</v>
      </c>
      <c r="I2236" s="2" t="s">
        <v>4649</v>
      </c>
      <c r="J2236" s="3" t="str">
        <f>HYPERLINK("https://www.boe.es/gazeta/dias/1822/10/14/pdfs/GMD-1822-301.pdf#page=4","Abrir facsímil")</f>
        <v>Abrir facsímil</v>
      </c>
      <c r="K2236" s="3" t="s">
        <v>22</v>
      </c>
    </row>
    <row r="2237" spans="1:11" ht="42" customHeight="1">
      <c r="A2237" s="2" t="s">
        <v>4650</v>
      </c>
      <c r="B2237" s="2" t="s">
        <v>4650</v>
      </c>
      <c r="C2237" s="2" t="s">
        <v>50</v>
      </c>
      <c r="D2237" s="2" t="s">
        <v>51</v>
      </c>
      <c r="E2237" s="5">
        <v>-28394</v>
      </c>
      <c r="F2237" s="3" t="s">
        <v>268</v>
      </c>
      <c r="G2237" s="3" t="s">
        <v>57</v>
      </c>
      <c r="H2237" s="2" t="s">
        <v>20</v>
      </c>
      <c r="I2237" s="2" t="s">
        <v>4651</v>
      </c>
      <c r="J2237" s="3" t="str">
        <f>HYPERLINK("https://www.boe.es/gazeta/dias/1822/04/04/pdfs/GMD-1822-96.pdf#page=4","Abrir facsímil")</f>
        <v>Abrir facsímil</v>
      </c>
      <c r="K2237" s="3" t="s">
        <v>22</v>
      </c>
    </row>
    <row r="2238" spans="1:11" ht="42" customHeight="1">
      <c r="A2238" s="2" t="s">
        <v>4652</v>
      </c>
      <c r="B2238" s="2" t="s">
        <v>4653</v>
      </c>
      <c r="C2238" s="2" t="s">
        <v>50</v>
      </c>
      <c r="D2238" s="2" t="s">
        <v>51</v>
      </c>
      <c r="E2238" s="5">
        <v>-28235</v>
      </c>
      <c r="F2238" s="3" t="s">
        <v>1470</v>
      </c>
      <c r="G2238" s="3" t="s">
        <v>57</v>
      </c>
      <c r="H2238" s="2" t="s">
        <v>20</v>
      </c>
      <c r="I2238" s="2" t="s">
        <v>4654</v>
      </c>
      <c r="J2238" s="3" t="str">
        <f>HYPERLINK("https://www.boe.es/gazeta/dias/1822/09/10/pdfs/GMD-1822-266.pdf#page=4","Abrir facsímil")</f>
        <v>Abrir facsímil</v>
      </c>
      <c r="K2238" s="3" t="s">
        <v>22</v>
      </c>
    </row>
    <row r="2239" spans="1:11" ht="42" customHeight="1">
      <c r="A2239" s="2" t="s">
        <v>4652</v>
      </c>
      <c r="B2239" s="2" t="s">
        <v>4653</v>
      </c>
      <c r="C2239" s="2" t="s">
        <v>50</v>
      </c>
      <c r="D2239" s="2" t="s">
        <v>51</v>
      </c>
      <c r="E2239" s="5">
        <v>-28225</v>
      </c>
      <c r="F2239" s="3" t="s">
        <v>177</v>
      </c>
      <c r="G2239" s="3" t="s">
        <v>3273</v>
      </c>
      <c r="H2239" s="2" t="s">
        <v>20</v>
      </c>
      <c r="I2239" s="2" t="s">
        <v>4655</v>
      </c>
      <c r="J2239" s="3" t="str">
        <f>HYPERLINK("https://www.boe.es/gazeta/dias/1822/09/20/pdfs/GMD-1822-276.pdf#page=4","Abrir facsímil")</f>
        <v>Abrir facsímil</v>
      </c>
      <c r="K2239" s="3" t="s">
        <v>22</v>
      </c>
    </row>
    <row r="2240" spans="1:11" ht="42" customHeight="1">
      <c r="A2240" s="2" t="s">
        <v>4656</v>
      </c>
      <c r="B2240" s="2" t="s">
        <v>4657</v>
      </c>
      <c r="C2240" s="2" t="s">
        <v>50</v>
      </c>
      <c r="D2240" s="2" t="s">
        <v>51</v>
      </c>
      <c r="E2240" s="5">
        <v>-28349</v>
      </c>
      <c r="F2240" s="3" t="s">
        <v>518</v>
      </c>
      <c r="G2240" s="3" t="s">
        <v>44</v>
      </c>
      <c r="H2240" s="2" t="s">
        <v>20</v>
      </c>
      <c r="I2240" s="2" t="s">
        <v>4658</v>
      </c>
      <c r="J2240" s="3" t="str">
        <f>HYPERLINK("https://www.boe.es/gazeta/dias/1822/05/19/pdfs/GMD-1822-141.pdf#page=1","Abrir facsímil")</f>
        <v>Abrir facsímil</v>
      </c>
      <c r="K2240" s="3" t="s">
        <v>22</v>
      </c>
    </row>
    <row r="2241" spans="1:11" ht="42" customHeight="1">
      <c r="A2241" s="2" t="s">
        <v>4659</v>
      </c>
      <c r="B2241" s="2" t="s">
        <v>4660</v>
      </c>
      <c r="C2241" s="2" t="s">
        <v>50</v>
      </c>
      <c r="D2241" s="2" t="s">
        <v>51</v>
      </c>
      <c r="E2241" s="5">
        <v>-28216</v>
      </c>
      <c r="F2241" s="3" t="s">
        <v>4661</v>
      </c>
      <c r="G2241" s="3" t="s">
        <v>57</v>
      </c>
      <c r="H2241" s="2" t="s">
        <v>20</v>
      </c>
      <c r="I2241" s="2" t="s">
        <v>4662</v>
      </c>
      <c r="J2241" s="3" t="str">
        <f>HYPERLINK("https://www.boe.es/gazeta/dias/1822/09/29/pdfs/GMD-1822-285.pdf#page=4","Abrir facsímil")</f>
        <v>Abrir facsímil</v>
      </c>
      <c r="K2241" s="3" t="s">
        <v>22</v>
      </c>
    </row>
    <row r="2242" spans="1:11" ht="42" customHeight="1">
      <c r="A2242" s="2" t="s">
        <v>4663</v>
      </c>
      <c r="B2242" s="2" t="s">
        <v>4664</v>
      </c>
      <c r="C2242" s="2" t="s">
        <v>61</v>
      </c>
      <c r="D2242" s="2" t="s">
        <v>17</v>
      </c>
      <c r="E2242" s="5">
        <v>-28257</v>
      </c>
      <c r="F2242" s="3" t="s">
        <v>1171</v>
      </c>
      <c r="G2242" s="3" t="s">
        <v>1172</v>
      </c>
      <c r="H2242" s="2" t="s">
        <v>20</v>
      </c>
      <c r="I2242" s="2" t="s">
        <v>4665</v>
      </c>
      <c r="J2242" s="3" t="str">
        <f>HYPERLINK("https://www.boe.es/gazeta/dias/1822/08/19/pdfs/GMD-1822-243.pdf#page=4","Abrir facsímil")</f>
        <v>Abrir facsímil</v>
      </c>
      <c r="K2242" s="3" t="s">
        <v>22</v>
      </c>
    </row>
    <row r="2243" spans="1:11" ht="42" customHeight="1">
      <c r="A2243" s="2" t="s">
        <v>4663</v>
      </c>
      <c r="B2243" s="2" t="s">
        <v>4664</v>
      </c>
      <c r="C2243" s="2" t="s">
        <v>61</v>
      </c>
      <c r="D2243" s="2" t="s">
        <v>17</v>
      </c>
      <c r="E2243" s="5">
        <v>-28148</v>
      </c>
      <c r="F2243" s="3" t="s">
        <v>1909</v>
      </c>
      <c r="G2243" s="3" t="s">
        <v>63</v>
      </c>
      <c r="H2243" s="2" t="s">
        <v>20</v>
      </c>
      <c r="I2243" s="2" t="s">
        <v>4666</v>
      </c>
      <c r="J2243" s="3" t="str">
        <f>HYPERLINK("https://www.boe.es/gazeta/dias/1822/12/06/pdfs/GMD-1822-356.pdf#page=6","Abrir facsímil")</f>
        <v>Abrir facsímil</v>
      </c>
      <c r="K2243" s="3" t="s">
        <v>22</v>
      </c>
    </row>
    <row r="2244" spans="1:11" ht="42" customHeight="1">
      <c r="A2244" s="2" t="s">
        <v>4667</v>
      </c>
      <c r="B2244" s="2" t="s">
        <v>4668</v>
      </c>
      <c r="C2244" s="2" t="s">
        <v>24</v>
      </c>
      <c r="D2244" s="2" t="s">
        <v>17</v>
      </c>
      <c r="E2244" s="5">
        <v>-28213</v>
      </c>
      <c r="F2244" s="3" t="s">
        <v>558</v>
      </c>
      <c r="G2244" s="3" t="s">
        <v>57</v>
      </c>
      <c r="H2244" s="2" t="s">
        <v>20</v>
      </c>
      <c r="I2244" s="2" t="s">
        <v>4669</v>
      </c>
      <c r="J2244" s="3" t="str">
        <f>HYPERLINK("https://www.boe.es/gazeta/dias/1822/10/02/pdfs/GMD-1822-288.pdf#page=4","Abrir facsímil")</f>
        <v>Abrir facsímil</v>
      </c>
      <c r="K2244" s="3" t="s">
        <v>22</v>
      </c>
    </row>
    <row r="2245" spans="1:11" ht="42" customHeight="1">
      <c r="A2245" s="2" t="s">
        <v>4670</v>
      </c>
      <c r="B2245" s="2" t="s">
        <v>4671</v>
      </c>
      <c r="C2245" s="2" t="s">
        <v>42</v>
      </c>
      <c r="D2245" s="2" t="s">
        <v>17</v>
      </c>
      <c r="E2245" s="5">
        <v>-28148</v>
      </c>
      <c r="F2245" s="3" t="s">
        <v>1909</v>
      </c>
      <c r="G2245" s="3" t="s">
        <v>63</v>
      </c>
      <c r="H2245" s="2" t="s">
        <v>20</v>
      </c>
      <c r="I2245" s="2" t="s">
        <v>4672</v>
      </c>
      <c r="J2245" s="3" t="str">
        <f>HYPERLINK("https://www.boe.es/gazeta/dias/1822/12/06/pdfs/GMD-1822-356.pdf#page=6","Abrir facsímil")</f>
        <v>Abrir facsímil</v>
      </c>
      <c r="K2245" s="3" t="s">
        <v>22</v>
      </c>
    </row>
    <row r="2246" spans="1:11" ht="42" customHeight="1">
      <c r="A2246" s="2" t="s">
        <v>4673</v>
      </c>
      <c r="B2246" s="2" t="s">
        <v>4674</v>
      </c>
      <c r="C2246" s="2" t="s">
        <v>42</v>
      </c>
      <c r="D2246" s="2" t="s">
        <v>17</v>
      </c>
      <c r="E2246" s="5">
        <v>-28364</v>
      </c>
      <c r="F2246" s="3" t="s">
        <v>509</v>
      </c>
      <c r="G2246" s="3" t="s">
        <v>63</v>
      </c>
      <c r="H2246" s="2" t="s">
        <v>20</v>
      </c>
      <c r="I2246" s="2" t="s">
        <v>4675</v>
      </c>
      <c r="J2246" s="3" t="str">
        <f>HYPERLINK("https://www.boe.es/gazeta/dias/1822/05/04/pdfs/GMD-1822-126.pdf#page=6","Abrir facsímil")</f>
        <v>Abrir facsímil</v>
      </c>
      <c r="K2246" s="3" t="s">
        <v>22</v>
      </c>
    </row>
    <row r="2247" spans="1:11" ht="42" customHeight="1">
      <c r="A2247" s="2" t="s">
        <v>4673</v>
      </c>
      <c r="B2247" s="2" t="s">
        <v>4674</v>
      </c>
      <c r="C2247" s="2" t="s">
        <v>71</v>
      </c>
      <c r="D2247" s="2" t="s">
        <v>17</v>
      </c>
      <c r="E2247" s="5">
        <v>-28275</v>
      </c>
      <c r="F2247" s="3" t="s">
        <v>1297</v>
      </c>
      <c r="G2247" s="3" t="s">
        <v>57</v>
      </c>
      <c r="H2247" s="2" t="s">
        <v>20</v>
      </c>
      <c r="I2247" s="2" t="s">
        <v>4676</v>
      </c>
      <c r="J2247" s="3" t="str">
        <f>HYPERLINK("https://www.boe.es/gazeta/dias/1822/08/01/pdfs/GMD-1822-225.pdf#page=4","Abrir facsímil")</f>
        <v>Abrir facsímil</v>
      </c>
      <c r="K2247" s="3" t="s">
        <v>22</v>
      </c>
    </row>
    <row r="2248" spans="1:11" ht="42" customHeight="1">
      <c r="A2248" s="2" t="s">
        <v>4677</v>
      </c>
      <c r="B2248" s="2" t="s">
        <v>4678</v>
      </c>
      <c r="C2248" s="2" t="s">
        <v>50</v>
      </c>
      <c r="D2248" s="2" t="s">
        <v>51</v>
      </c>
      <c r="E2248" s="5">
        <v>-28175</v>
      </c>
      <c r="F2248" s="3" t="s">
        <v>341</v>
      </c>
      <c r="G2248" s="3" t="s">
        <v>63</v>
      </c>
      <c r="H2248" s="2" t="s">
        <v>20</v>
      </c>
      <c r="I2248" s="2" t="s">
        <v>4679</v>
      </c>
      <c r="J2248" s="3" t="str">
        <f>HYPERLINK("https://www.boe.es/gazeta/dias/1822/11/09/pdfs/GMD-1822-329.pdf#page=6","Abrir facsímil")</f>
        <v>Abrir facsímil</v>
      </c>
      <c r="K2248" s="3" t="s">
        <v>22</v>
      </c>
    </row>
    <row r="2249" spans="1:11" ht="42" customHeight="1">
      <c r="A2249" s="2" t="s">
        <v>4680</v>
      </c>
      <c r="B2249" s="2" t="s">
        <v>4680</v>
      </c>
      <c r="C2249" s="2" t="s">
        <v>50</v>
      </c>
      <c r="D2249" s="2" t="s">
        <v>51</v>
      </c>
      <c r="E2249" s="5">
        <v>-28230</v>
      </c>
      <c r="F2249" s="3" t="s">
        <v>1735</v>
      </c>
      <c r="G2249" s="3" t="s">
        <v>31</v>
      </c>
      <c r="H2249" s="2" t="s">
        <v>20</v>
      </c>
      <c r="I2249" s="2" t="s">
        <v>4681</v>
      </c>
      <c r="J2249" s="3" t="str">
        <f>HYPERLINK("https://www.boe.es/gazeta/dias/1822/09/15/pdfs/GMD-1822-271.pdf#page=3","Abrir facsímil")</f>
        <v>Abrir facsímil</v>
      </c>
      <c r="K2249" s="3" t="s">
        <v>22</v>
      </c>
    </row>
    <row r="2250" spans="1:11" ht="42" customHeight="1">
      <c r="A2250" s="2" t="s">
        <v>4682</v>
      </c>
      <c r="B2250" s="2" t="s">
        <v>4683</v>
      </c>
      <c r="C2250" s="2" t="s">
        <v>50</v>
      </c>
      <c r="D2250" s="2" t="s">
        <v>51</v>
      </c>
      <c r="E2250" s="5">
        <v>-28303</v>
      </c>
      <c r="F2250" s="3" t="s">
        <v>201</v>
      </c>
      <c r="G2250" s="3" t="s">
        <v>31</v>
      </c>
      <c r="H2250" s="2" t="s">
        <v>20</v>
      </c>
      <c r="I2250" s="2" t="s">
        <v>4684</v>
      </c>
      <c r="J2250" s="3" t="str">
        <f>HYPERLINK("https://www.boe.es/gazeta/dias/1822/07/04/pdfs/GMD-1822-193.pdf#page=3","Abrir facsímil")</f>
        <v>Abrir facsímil</v>
      </c>
      <c r="K2250" s="3" t="s">
        <v>22</v>
      </c>
    </row>
    <row r="2251" spans="1:11" ht="42" customHeight="1">
      <c r="A2251" s="2" t="s">
        <v>4685</v>
      </c>
      <c r="B2251" s="2" t="s">
        <v>4686</v>
      </c>
      <c r="C2251" s="2" t="s">
        <v>50</v>
      </c>
      <c r="D2251" s="2" t="s">
        <v>51</v>
      </c>
      <c r="E2251" s="5">
        <v>-28224</v>
      </c>
      <c r="F2251" s="3" t="s">
        <v>1902</v>
      </c>
      <c r="G2251" s="3" t="s">
        <v>35</v>
      </c>
      <c r="H2251" s="2" t="s">
        <v>45</v>
      </c>
      <c r="I2251" s="2" t="s">
        <v>4687</v>
      </c>
      <c r="J2251" s="3" t="str">
        <f>HYPERLINK("https://www.boe.es/gazeta/dias/1822/09/21/pdfs/GMD-1822-277.pdf#page=2","Abrir facsímil")</f>
        <v>Abrir facsímil</v>
      </c>
      <c r="K2251" s="3" t="s">
        <v>47</v>
      </c>
    </row>
    <row r="2252" spans="1:11" ht="42" customHeight="1">
      <c r="A2252" s="2" t="s">
        <v>4688</v>
      </c>
      <c r="B2252" s="2" t="s">
        <v>4689</v>
      </c>
      <c r="C2252" s="2" t="s">
        <v>61</v>
      </c>
      <c r="D2252" s="2" t="s">
        <v>17</v>
      </c>
      <c r="E2252" s="5">
        <v>-28159</v>
      </c>
      <c r="F2252" s="3" t="s">
        <v>67</v>
      </c>
      <c r="G2252" s="3" t="s">
        <v>31</v>
      </c>
      <c r="H2252" s="2" t="s">
        <v>20</v>
      </c>
      <c r="I2252" s="2" t="s">
        <v>4690</v>
      </c>
      <c r="J2252" s="3" t="str">
        <f>HYPERLINK("https://www.boe.es/gazeta/dias/1822/11/25/pdfs/GMD-1822-345.pdf#page=3","Abrir facsímil")</f>
        <v>Abrir facsímil</v>
      </c>
      <c r="K2252" s="3" t="s">
        <v>22</v>
      </c>
    </row>
    <row r="2253" spans="1:11" ht="42" customHeight="1">
      <c r="A2253" s="2" t="s">
        <v>4691</v>
      </c>
      <c r="B2253" s="2" t="s">
        <v>4692</v>
      </c>
      <c r="C2253" s="2" t="s">
        <v>50</v>
      </c>
      <c r="D2253" s="2" t="s">
        <v>51</v>
      </c>
      <c r="E2253" s="5">
        <v>-28303</v>
      </c>
      <c r="F2253" s="3" t="s">
        <v>201</v>
      </c>
      <c r="G2253" s="3" t="s">
        <v>31</v>
      </c>
      <c r="H2253" s="2" t="s">
        <v>20</v>
      </c>
      <c r="I2253" s="2" t="s">
        <v>4693</v>
      </c>
      <c r="J2253" s="3" t="str">
        <f>HYPERLINK("https://www.boe.es/gazeta/dias/1822/07/04/pdfs/GMD-1822-193.pdf#page=3","Abrir facsímil")</f>
        <v>Abrir facsímil</v>
      </c>
      <c r="K2253" s="3" t="s">
        <v>22</v>
      </c>
    </row>
    <row r="2254" spans="1:11" ht="42" customHeight="1">
      <c r="A2254" s="2" t="s">
        <v>4694</v>
      </c>
      <c r="B2254" s="2" t="s">
        <v>4695</v>
      </c>
      <c r="C2254" s="2" t="s">
        <v>28</v>
      </c>
      <c r="D2254" s="2" t="s">
        <v>29</v>
      </c>
      <c r="E2254" s="5">
        <v>-28258</v>
      </c>
      <c r="F2254" s="3" t="s">
        <v>88</v>
      </c>
      <c r="G2254" s="3" t="s">
        <v>31</v>
      </c>
      <c r="H2254" s="2" t="s">
        <v>20</v>
      </c>
      <c r="I2254" s="2" t="s">
        <v>4696</v>
      </c>
      <c r="J2254" s="3" t="str">
        <f>HYPERLINK("https://www.boe.es/gazeta/dias/1822/08/18/pdfs/GMD-1822-242.pdf#page=3","Abrir facsímil")</f>
        <v>Abrir facsímil</v>
      </c>
      <c r="K2254" s="3" t="s">
        <v>22</v>
      </c>
    </row>
    <row r="2255" spans="1:11" ht="42" customHeight="1">
      <c r="A2255" s="2" t="s">
        <v>4697</v>
      </c>
      <c r="B2255" s="2" t="s">
        <v>4698</v>
      </c>
      <c r="C2255" s="2" t="s">
        <v>61</v>
      </c>
      <c r="D2255" s="2" t="s">
        <v>17</v>
      </c>
      <c r="E2255" s="5">
        <v>-28216</v>
      </c>
      <c r="F2255" s="3" t="s">
        <v>4661</v>
      </c>
      <c r="G2255" s="3" t="s">
        <v>57</v>
      </c>
      <c r="H2255" s="2" t="s">
        <v>20</v>
      </c>
      <c r="I2255" s="2" t="s">
        <v>4699</v>
      </c>
      <c r="J2255" s="3" t="str">
        <f>HYPERLINK("https://www.boe.es/gazeta/dias/1822/09/29/pdfs/GMD-1822-285.pdf#page=4","Abrir facsímil")</f>
        <v>Abrir facsímil</v>
      </c>
      <c r="K2255" s="3" t="s">
        <v>22</v>
      </c>
    </row>
    <row r="2256" spans="1:11" ht="42" customHeight="1">
      <c r="A2256" s="2" t="s">
        <v>4700</v>
      </c>
      <c r="B2256" s="2" t="s">
        <v>4701</v>
      </c>
      <c r="C2256" s="2" t="s">
        <v>50</v>
      </c>
      <c r="D2256" s="2" t="s">
        <v>51</v>
      </c>
      <c r="E2256" s="5">
        <v>-28265</v>
      </c>
      <c r="F2256" s="3" t="s">
        <v>1263</v>
      </c>
      <c r="G2256" s="3" t="s">
        <v>57</v>
      </c>
      <c r="H2256" s="2" t="s">
        <v>20</v>
      </c>
      <c r="I2256" s="2" t="s">
        <v>4702</v>
      </c>
      <c r="J2256" s="3" t="str">
        <f>HYPERLINK("https://www.boe.es/gazeta/dias/1822/08/11/pdfs/GMD-1822-235.pdf#page=4","Abrir facsímil")</f>
        <v>Abrir facsímil</v>
      </c>
      <c r="K2256" s="3" t="s">
        <v>22</v>
      </c>
    </row>
    <row r="2257" spans="1:11" ht="42" customHeight="1">
      <c r="A2257" s="2" t="s">
        <v>4703</v>
      </c>
      <c r="B2257" s="2" t="s">
        <v>4704</v>
      </c>
      <c r="C2257" s="2" t="s">
        <v>50</v>
      </c>
      <c r="D2257" s="2" t="s">
        <v>51</v>
      </c>
      <c r="E2257" s="5">
        <v>-28167</v>
      </c>
      <c r="F2257" s="3" t="s">
        <v>904</v>
      </c>
      <c r="G2257" s="3" t="s">
        <v>57</v>
      </c>
      <c r="H2257" s="2" t="s">
        <v>20</v>
      </c>
      <c r="I2257" s="2" t="s">
        <v>4705</v>
      </c>
      <c r="J2257" s="3" t="str">
        <f>HYPERLINK("https://www.boe.es/gazeta/dias/1822/11/17/pdfs/GMD-1822-337.pdf#page=4","Abrir facsímil")</f>
        <v>Abrir facsímil</v>
      </c>
      <c r="K2257" s="3" t="s">
        <v>22</v>
      </c>
    </row>
    <row r="2258" spans="1:11" ht="42" customHeight="1">
      <c r="A2258" s="2" t="s">
        <v>4706</v>
      </c>
      <c r="B2258" s="2" t="s">
        <v>4707</v>
      </c>
      <c r="C2258" s="2" t="s">
        <v>50</v>
      </c>
      <c r="D2258" s="2" t="s">
        <v>51</v>
      </c>
      <c r="E2258" s="5">
        <v>-28288</v>
      </c>
      <c r="F2258" s="3" t="s">
        <v>970</v>
      </c>
      <c r="G2258" s="3" t="s">
        <v>57</v>
      </c>
      <c r="H2258" s="2" t="s">
        <v>20</v>
      </c>
      <c r="I2258" s="2" t="s">
        <v>4708</v>
      </c>
      <c r="J2258" s="3" t="str">
        <f>HYPERLINK("https://www.boe.es/gazeta/dias/1822/07/19/pdfs/GMD-1822-211.pdf#page=4","Abrir facsímil")</f>
        <v>Abrir facsímil</v>
      </c>
      <c r="K2258" s="3" t="s">
        <v>22</v>
      </c>
    </row>
    <row r="2259" spans="1:11" ht="42" customHeight="1">
      <c r="A2259" s="2" t="s">
        <v>4709</v>
      </c>
      <c r="B2259" s="2" t="s">
        <v>4709</v>
      </c>
      <c r="C2259" s="2" t="s">
        <v>28</v>
      </c>
      <c r="D2259" s="2" t="s">
        <v>29</v>
      </c>
      <c r="E2259" s="5">
        <v>-28401</v>
      </c>
      <c r="F2259" s="3" t="s">
        <v>108</v>
      </c>
      <c r="G2259" s="3" t="s">
        <v>44</v>
      </c>
      <c r="H2259" s="2" t="s">
        <v>20</v>
      </c>
      <c r="I2259" s="2" t="s">
        <v>4710</v>
      </c>
      <c r="J2259" s="3" t="str">
        <f>HYPERLINK("https://www.boe.es/gazeta/dias/1822/03/28/pdfs/GMD-1822-89.pdf#page=1","Abrir facsímil")</f>
        <v>Abrir facsímil</v>
      </c>
      <c r="K2259" s="3" t="s">
        <v>22</v>
      </c>
    </row>
    <row r="2260" spans="1:11" ht="42" customHeight="1">
      <c r="A2260" s="2" t="s">
        <v>4711</v>
      </c>
      <c r="B2260" s="2" t="s">
        <v>4711</v>
      </c>
      <c r="C2260" s="2" t="s">
        <v>42</v>
      </c>
      <c r="D2260" s="2" t="s">
        <v>17</v>
      </c>
      <c r="E2260" s="5">
        <v>-28423</v>
      </c>
      <c r="F2260" s="3" t="s">
        <v>441</v>
      </c>
      <c r="G2260" s="3" t="s">
        <v>35</v>
      </c>
      <c r="H2260" s="2" t="s">
        <v>20</v>
      </c>
      <c r="I2260" s="2" t="s">
        <v>4712</v>
      </c>
      <c r="J2260" s="3" t="str">
        <f>HYPERLINK("https://www.boe.es/gazeta/dias/1822/03/06/pdfs/GMD-1822-67.pdf#page=2","Abrir facsímil")</f>
        <v>Abrir facsímil</v>
      </c>
      <c r="K2260" s="3" t="s">
        <v>22</v>
      </c>
    </row>
    <row r="2261" spans="1:11" ht="42" customHeight="1">
      <c r="A2261" s="2" t="s">
        <v>4713</v>
      </c>
      <c r="B2261" s="2" t="s">
        <v>4714</v>
      </c>
      <c r="C2261" s="2" t="s">
        <v>42</v>
      </c>
      <c r="D2261" s="2" t="s">
        <v>17</v>
      </c>
      <c r="E2261" s="5">
        <v>-28358</v>
      </c>
      <c r="F2261" s="3" t="s">
        <v>211</v>
      </c>
      <c r="G2261" s="3" t="s">
        <v>44</v>
      </c>
      <c r="H2261" s="2" t="s">
        <v>20</v>
      </c>
      <c r="I2261" s="2" t="s">
        <v>4715</v>
      </c>
      <c r="J2261" s="3" t="str">
        <f>HYPERLINK("https://www.boe.es/gazeta/dias/1822/05/10/pdfs/GMD-1822-132.pdf#page=1","Abrir facsímil")</f>
        <v>Abrir facsímil</v>
      </c>
      <c r="K2261" s="3" t="s">
        <v>22</v>
      </c>
    </row>
    <row r="2262" spans="1:11" ht="42" customHeight="1">
      <c r="A2262" s="2" t="s">
        <v>4713</v>
      </c>
      <c r="B2262" s="2" t="s">
        <v>4714</v>
      </c>
      <c r="C2262" s="2" t="s">
        <v>16</v>
      </c>
      <c r="D2262" s="2" t="s">
        <v>17</v>
      </c>
      <c r="E2262" s="5">
        <v>-28257</v>
      </c>
      <c r="F2262" s="3" t="s">
        <v>1171</v>
      </c>
      <c r="G2262" s="3" t="s">
        <v>35</v>
      </c>
      <c r="H2262" s="2" t="s">
        <v>20</v>
      </c>
      <c r="I2262" s="2" t="s">
        <v>4716</v>
      </c>
      <c r="J2262" s="3" t="str">
        <f>HYPERLINK("https://www.boe.es/gazeta/dias/1822/08/19/pdfs/GMD-1822-243.pdf#page=2","Abrir facsímil")</f>
        <v>Abrir facsímil</v>
      </c>
      <c r="K2262" s="3" t="s">
        <v>22</v>
      </c>
    </row>
    <row r="2263" spans="1:11" ht="42" customHeight="1">
      <c r="A2263" s="2" t="s">
        <v>4713</v>
      </c>
      <c r="B2263" s="2" t="s">
        <v>4714</v>
      </c>
      <c r="C2263" s="2" t="s">
        <v>28</v>
      </c>
      <c r="D2263" s="2" t="s">
        <v>29</v>
      </c>
      <c r="E2263" s="5">
        <v>-28175</v>
      </c>
      <c r="F2263" s="3" t="s">
        <v>341</v>
      </c>
      <c r="G2263" s="3" t="s">
        <v>44</v>
      </c>
      <c r="H2263" s="2" t="s">
        <v>20</v>
      </c>
      <c r="I2263" s="2" t="s">
        <v>4717</v>
      </c>
      <c r="J2263" s="3" t="str">
        <f>HYPERLINK("https://www.boe.es/gazeta/dias/1822/11/09/pdfs/GMD-1822-329.pdf#page=1","Abrir facsímil")</f>
        <v>Abrir facsímil</v>
      </c>
      <c r="K2263" s="3" t="s">
        <v>22</v>
      </c>
    </row>
    <row r="2264" spans="1:11" ht="42" customHeight="1">
      <c r="A2264" s="2" t="s">
        <v>4718</v>
      </c>
      <c r="B2264" s="2" t="s">
        <v>4718</v>
      </c>
      <c r="C2264" s="2" t="s">
        <v>42</v>
      </c>
      <c r="D2264" s="2" t="s">
        <v>17</v>
      </c>
      <c r="E2264" s="5">
        <v>-28277</v>
      </c>
      <c r="F2264" s="3" t="s">
        <v>296</v>
      </c>
      <c r="G2264" s="3" t="s">
        <v>44</v>
      </c>
      <c r="H2264" s="2" t="s">
        <v>20</v>
      </c>
      <c r="I2264" s="2" t="s">
        <v>4719</v>
      </c>
      <c r="J2264" s="3" t="str">
        <f>HYPERLINK("https://www.boe.es/gazeta/dias/1822/07/30/pdfs/GMD-1822-223.pdf#page=1","Abrir facsímil")</f>
        <v>Abrir facsímil</v>
      </c>
      <c r="K2264" s="3" t="s">
        <v>22</v>
      </c>
    </row>
    <row r="2265" spans="1:11" ht="42" customHeight="1">
      <c r="A2265" s="2" t="s">
        <v>4720</v>
      </c>
      <c r="B2265" s="2" t="s">
        <v>4721</v>
      </c>
      <c r="C2265" s="2" t="s">
        <v>50</v>
      </c>
      <c r="D2265" s="2" t="s">
        <v>51</v>
      </c>
      <c r="E2265" s="5">
        <v>-28163</v>
      </c>
      <c r="F2265" s="3" t="s">
        <v>891</v>
      </c>
      <c r="G2265" s="3" t="s">
        <v>35</v>
      </c>
      <c r="H2265" s="2" t="s">
        <v>20</v>
      </c>
      <c r="I2265" s="2" t="s">
        <v>4722</v>
      </c>
      <c r="J2265" s="3" t="str">
        <f>HYPERLINK("https://www.boe.es/gazeta/dias/1822/11/21/pdfs/GMD-1822-341.pdf#page=2","Abrir facsímil")</f>
        <v>Abrir facsímil</v>
      </c>
      <c r="K2265" s="3" t="s">
        <v>22</v>
      </c>
    </row>
    <row r="2266" spans="1:11" ht="42" customHeight="1">
      <c r="A2266" s="2" t="s">
        <v>4723</v>
      </c>
      <c r="B2266" s="2" t="s">
        <v>4724</v>
      </c>
      <c r="C2266" s="2" t="s">
        <v>42</v>
      </c>
      <c r="D2266" s="2" t="s">
        <v>17</v>
      </c>
      <c r="E2266" s="5">
        <v>-28175</v>
      </c>
      <c r="F2266" s="3" t="s">
        <v>341</v>
      </c>
      <c r="G2266" s="3" t="s">
        <v>44</v>
      </c>
      <c r="H2266" s="2" t="s">
        <v>20</v>
      </c>
      <c r="I2266" s="2" t="s">
        <v>4725</v>
      </c>
      <c r="J2266" s="3" t="str">
        <f>HYPERLINK("https://www.boe.es/gazeta/dias/1822/11/09/pdfs/GMD-1822-329.pdf#page=1","Abrir facsímil")</f>
        <v>Abrir facsímil</v>
      </c>
      <c r="K2266" s="3" t="s">
        <v>22</v>
      </c>
    </row>
    <row r="2267" spans="1:11" ht="42" customHeight="1">
      <c r="A2267" s="2" t="s">
        <v>4726</v>
      </c>
      <c r="B2267" s="2" t="s">
        <v>4727</v>
      </c>
      <c r="C2267" s="2" t="s">
        <v>50</v>
      </c>
      <c r="D2267" s="2" t="s">
        <v>51</v>
      </c>
      <c r="E2267" s="5">
        <v>-28199</v>
      </c>
      <c r="F2267" s="3" t="s">
        <v>656</v>
      </c>
      <c r="G2267" s="3" t="s">
        <v>19</v>
      </c>
      <c r="H2267" s="2" t="s">
        <v>20</v>
      </c>
      <c r="I2267" s="2" t="s">
        <v>4728</v>
      </c>
      <c r="J2267" s="3" t="str">
        <f>HYPERLINK("https://www.boe.es/gazeta/dias/1822/10/16/pdfs/GMD-1822-303.pdf#page=5","Abrir facsímil")</f>
        <v>Abrir facsímil</v>
      </c>
      <c r="K2267" s="3" t="s">
        <v>22</v>
      </c>
    </row>
    <row r="2268" spans="1:11" ht="42" customHeight="1">
      <c r="A2268" s="2" t="s">
        <v>4729</v>
      </c>
      <c r="B2268" s="2" t="s">
        <v>4730</v>
      </c>
      <c r="C2268" s="2" t="s">
        <v>50</v>
      </c>
      <c r="D2268" s="2" t="s">
        <v>51</v>
      </c>
      <c r="E2268" s="5">
        <v>-28128</v>
      </c>
      <c r="F2268" s="3" t="s">
        <v>4731</v>
      </c>
      <c r="G2268" s="3" t="s">
        <v>44</v>
      </c>
      <c r="H2268" s="2" t="s">
        <v>20</v>
      </c>
      <c r="I2268" s="2" t="s">
        <v>4732</v>
      </c>
      <c r="J2268" s="3" t="str">
        <f>HYPERLINK("https://www.boe.es/gazeta/dias/1822/12/26/pdfs/GMD-1822-376.pdf#page=1","Abrir facsímil")</f>
        <v>Abrir facsímil</v>
      </c>
      <c r="K2268" s="3" t="s">
        <v>22</v>
      </c>
    </row>
    <row r="2269" spans="1:11" ht="42" customHeight="1">
      <c r="A2269" s="2" t="s">
        <v>4733</v>
      </c>
      <c r="B2269" s="2" t="s">
        <v>4734</v>
      </c>
      <c r="C2269" s="2" t="s">
        <v>50</v>
      </c>
      <c r="D2269" s="2" t="s">
        <v>51</v>
      </c>
      <c r="E2269" s="5">
        <v>-28147</v>
      </c>
      <c r="F2269" s="3" t="s">
        <v>1611</v>
      </c>
      <c r="G2269" s="3" t="s">
        <v>63</v>
      </c>
      <c r="H2269" s="2" t="s">
        <v>20</v>
      </c>
      <c r="I2269" s="2" t="s">
        <v>4735</v>
      </c>
      <c r="J2269" s="3" t="str">
        <f>HYPERLINK("https://www.boe.es/gazeta/dias/1822/12/07/pdfs/GMD-1822-357.pdf#page=6","Abrir facsímil")</f>
        <v>Abrir facsímil</v>
      </c>
      <c r="K2269" s="3" t="s">
        <v>22</v>
      </c>
    </row>
    <row r="2270" spans="1:11" ht="42" customHeight="1">
      <c r="A2270" s="2" t="s">
        <v>4736</v>
      </c>
      <c r="B2270" s="2" t="s">
        <v>4737</v>
      </c>
      <c r="C2270" s="2" t="s">
        <v>28</v>
      </c>
      <c r="D2270" s="2" t="s">
        <v>29</v>
      </c>
      <c r="E2270" s="5">
        <v>-28142</v>
      </c>
      <c r="F2270" s="3" t="s">
        <v>290</v>
      </c>
      <c r="G2270" s="3" t="s">
        <v>57</v>
      </c>
      <c r="H2270" s="2" t="s">
        <v>20</v>
      </c>
      <c r="I2270" s="2" t="s">
        <v>4738</v>
      </c>
      <c r="J2270" s="3" t="str">
        <f>HYPERLINK("https://www.boe.es/gazeta/dias/1822/12/12/pdfs/GMD-1822-362.pdf#page=4","Abrir facsímil")</f>
        <v>Abrir facsímil</v>
      </c>
      <c r="K2270" s="3" t="s">
        <v>22</v>
      </c>
    </row>
    <row r="2271" spans="1:11" ht="42" customHeight="1">
      <c r="A2271" s="2" t="s">
        <v>4739</v>
      </c>
      <c r="B2271" s="2" t="s">
        <v>4740</v>
      </c>
      <c r="C2271" s="2" t="s">
        <v>42</v>
      </c>
      <c r="D2271" s="2" t="s">
        <v>17</v>
      </c>
      <c r="E2271" s="5">
        <v>-28222</v>
      </c>
      <c r="F2271" s="3" t="s">
        <v>2027</v>
      </c>
      <c r="G2271" s="3" t="s">
        <v>35</v>
      </c>
      <c r="H2271" s="2" t="s">
        <v>20</v>
      </c>
      <c r="I2271" s="2" t="s">
        <v>4741</v>
      </c>
      <c r="J2271" s="3" t="str">
        <f>HYPERLINK("https://www.boe.es/gazeta/dias/1822/09/23/pdfs/GMD-1822-279.pdf#page=2","Abrir facsímil")</f>
        <v>Abrir facsímil</v>
      </c>
      <c r="K2271" s="3" t="s">
        <v>22</v>
      </c>
    </row>
    <row r="2272" spans="1:11" ht="42" customHeight="1">
      <c r="A2272" s="2" t="s">
        <v>4742</v>
      </c>
      <c r="B2272" s="2" t="s">
        <v>4743</v>
      </c>
      <c r="C2272" s="2" t="s">
        <v>42</v>
      </c>
      <c r="D2272" s="2" t="s">
        <v>17</v>
      </c>
      <c r="E2272" s="5">
        <v>-28280</v>
      </c>
      <c r="F2272" s="3" t="s">
        <v>56</v>
      </c>
      <c r="G2272" s="3" t="s">
        <v>57</v>
      </c>
      <c r="H2272" s="2" t="s">
        <v>20</v>
      </c>
      <c r="I2272" s="2" t="s">
        <v>4744</v>
      </c>
      <c r="J2272" s="3" t="str">
        <f>HYPERLINK("https://www.boe.es/gazeta/dias/1822/07/27/pdfs/GMD-1822-220.pdf#page=4","Abrir facsímil")</f>
        <v>Abrir facsímil</v>
      </c>
      <c r="K2272" s="3" t="s">
        <v>22</v>
      </c>
    </row>
    <row r="2273" spans="1:11" ht="42" customHeight="1">
      <c r="A2273" s="2" t="s">
        <v>4745</v>
      </c>
      <c r="B2273" s="2" t="s">
        <v>4745</v>
      </c>
      <c r="C2273" s="2" t="s">
        <v>50</v>
      </c>
      <c r="D2273" s="2" t="s">
        <v>51</v>
      </c>
      <c r="E2273" s="5">
        <v>-28276</v>
      </c>
      <c r="F2273" s="3" t="s">
        <v>4746</v>
      </c>
      <c r="G2273" s="3" t="s">
        <v>35</v>
      </c>
      <c r="H2273" s="2" t="s">
        <v>20</v>
      </c>
      <c r="I2273" s="2" t="s">
        <v>4747</v>
      </c>
      <c r="J2273" s="3" t="str">
        <f>HYPERLINK("https://www.boe.es/gazeta/dias/1822/07/31/pdfs/GMD-1822-224.pdf#page=2","Abrir facsímil")</f>
        <v>Abrir facsímil</v>
      </c>
      <c r="K2273" s="3" t="s">
        <v>22</v>
      </c>
    </row>
    <row r="2274" spans="1:11" ht="42" customHeight="1">
      <c r="A2274" s="2" t="s">
        <v>4748</v>
      </c>
      <c r="B2274" s="2" t="s">
        <v>4749</v>
      </c>
      <c r="C2274" s="2" t="s">
        <v>61</v>
      </c>
      <c r="D2274" s="2" t="s">
        <v>17</v>
      </c>
      <c r="E2274" s="5">
        <v>-28351</v>
      </c>
      <c r="F2274" s="3" t="s">
        <v>282</v>
      </c>
      <c r="G2274" s="3" t="s">
        <v>31</v>
      </c>
      <c r="H2274" s="2" t="s">
        <v>20</v>
      </c>
      <c r="I2274" s="2" t="s">
        <v>4750</v>
      </c>
      <c r="J2274" s="3" t="str">
        <f>HYPERLINK("https://www.boe.es/gazeta/dias/1822/05/17/pdfs/GMD-1822-139.pdf#page=3","Abrir facsímil")</f>
        <v>Abrir facsímil</v>
      </c>
      <c r="K2274" s="3" t="s">
        <v>22</v>
      </c>
    </row>
    <row r="2275" spans="1:11" ht="42" customHeight="1">
      <c r="A2275" s="2" t="s">
        <v>4751</v>
      </c>
      <c r="B2275" s="2" t="s">
        <v>4752</v>
      </c>
      <c r="C2275" s="2" t="s">
        <v>50</v>
      </c>
      <c r="D2275" s="2" t="s">
        <v>51</v>
      </c>
      <c r="E2275" s="5">
        <v>-28228</v>
      </c>
      <c r="F2275" s="3" t="s">
        <v>718</v>
      </c>
      <c r="G2275" s="3" t="s">
        <v>35</v>
      </c>
      <c r="H2275" s="2" t="s">
        <v>20</v>
      </c>
      <c r="I2275" s="2" t="s">
        <v>4753</v>
      </c>
      <c r="J2275" s="3" t="str">
        <f>HYPERLINK("https://www.boe.es/gazeta/dias/1822/09/17/pdfs/GMD-1822-273.pdf#page=2","Abrir facsímil")</f>
        <v>Abrir facsímil</v>
      </c>
      <c r="K2275" s="3" t="s">
        <v>22</v>
      </c>
    </row>
    <row r="2276" spans="1:11" ht="42" customHeight="1">
      <c r="A2276" s="2" t="s">
        <v>4754</v>
      </c>
      <c r="B2276" s="2" t="s">
        <v>4755</v>
      </c>
      <c r="C2276" s="2" t="s">
        <v>28</v>
      </c>
      <c r="D2276" s="2" t="s">
        <v>29</v>
      </c>
      <c r="E2276" s="5">
        <v>-28321</v>
      </c>
      <c r="F2276" s="3" t="s">
        <v>1142</v>
      </c>
      <c r="G2276" s="3" t="s">
        <v>63</v>
      </c>
      <c r="H2276" s="2" t="s">
        <v>20</v>
      </c>
      <c r="I2276" s="2" t="s">
        <v>4756</v>
      </c>
      <c r="J2276" s="3" t="str">
        <f>HYPERLINK("https://www.boe.es/gazeta/dias/1822/06/16/pdfs/GMD-1822-173.pdf#page=6","Abrir facsímil")</f>
        <v>Abrir facsímil</v>
      </c>
      <c r="K2276" s="3" t="s">
        <v>22</v>
      </c>
    </row>
    <row r="2277" spans="1:11" ht="42" customHeight="1">
      <c r="A2277" s="2" t="s">
        <v>4757</v>
      </c>
      <c r="B2277" s="2" t="s">
        <v>4758</v>
      </c>
      <c r="C2277" s="2" t="s">
        <v>61</v>
      </c>
      <c r="D2277" s="2" t="s">
        <v>17</v>
      </c>
      <c r="E2277" s="5">
        <v>-28125</v>
      </c>
      <c r="F2277" s="3" t="s">
        <v>322</v>
      </c>
      <c r="G2277" s="3" t="s">
        <v>19</v>
      </c>
      <c r="H2277" s="2" t="s">
        <v>20</v>
      </c>
      <c r="I2277" s="2" t="s">
        <v>4759</v>
      </c>
      <c r="J2277" s="3" t="str">
        <f>HYPERLINK("https://www.boe.es/gazeta/dias/1822/12/29/pdfs/GMD-1822-379.pdf#page=5","Abrir facsímil")</f>
        <v>Abrir facsímil</v>
      </c>
      <c r="K2277" s="3" t="s">
        <v>22</v>
      </c>
    </row>
    <row r="2278" spans="1:11" ht="42" customHeight="1">
      <c r="A2278" s="2" t="s">
        <v>4760</v>
      </c>
      <c r="B2278" s="2" t="s">
        <v>4761</v>
      </c>
      <c r="C2278" s="2" t="s">
        <v>28</v>
      </c>
      <c r="D2278" s="2" t="s">
        <v>29</v>
      </c>
      <c r="E2278" s="5">
        <v>-28344</v>
      </c>
      <c r="F2278" s="3" t="s">
        <v>524</v>
      </c>
      <c r="G2278" s="3" t="s">
        <v>31</v>
      </c>
      <c r="H2278" s="2" t="s">
        <v>20</v>
      </c>
      <c r="I2278" s="2" t="s">
        <v>4762</v>
      </c>
      <c r="J2278" s="3" t="str">
        <f>HYPERLINK("https://www.boe.es/gazeta/dias/1822/05/24/pdfs/GMD-1822-148.pdf#page=3","Abrir facsímil")</f>
        <v>Abrir facsímil</v>
      </c>
      <c r="K2278" s="3" t="s">
        <v>22</v>
      </c>
    </row>
    <row r="2279" spans="1:11" ht="42" customHeight="1">
      <c r="A2279" s="2" t="s">
        <v>4763</v>
      </c>
      <c r="B2279" s="2" t="s">
        <v>4763</v>
      </c>
      <c r="C2279" s="2" t="s">
        <v>50</v>
      </c>
      <c r="D2279" s="2" t="s">
        <v>51</v>
      </c>
      <c r="E2279" s="5">
        <v>-28357</v>
      </c>
      <c r="F2279" s="3" t="s">
        <v>690</v>
      </c>
      <c r="G2279" s="3" t="s">
        <v>44</v>
      </c>
      <c r="H2279" s="2" t="s">
        <v>20</v>
      </c>
      <c r="I2279" s="2" t="s">
        <v>4764</v>
      </c>
      <c r="J2279" s="3" t="str">
        <f>HYPERLINK("https://www.boe.es/gazeta/dias/1822/05/11/pdfs/GMD-1822-133.pdf#page=1","Abrir facsímil")</f>
        <v>Abrir facsímil</v>
      </c>
      <c r="K2279" s="3" t="s">
        <v>22</v>
      </c>
    </row>
    <row r="2280" spans="1:11" ht="42" customHeight="1">
      <c r="A2280" s="2" t="s">
        <v>4765</v>
      </c>
      <c r="B2280" s="2" t="s">
        <v>4766</v>
      </c>
      <c r="C2280" s="2" t="s">
        <v>24</v>
      </c>
      <c r="D2280" s="2" t="s">
        <v>17</v>
      </c>
      <c r="E2280" s="5">
        <v>-28328</v>
      </c>
      <c r="F2280" s="3" t="s">
        <v>540</v>
      </c>
      <c r="G2280" s="3" t="s">
        <v>35</v>
      </c>
      <c r="H2280" s="2" t="s">
        <v>20</v>
      </c>
      <c r="I2280" s="2" t="s">
        <v>4767</v>
      </c>
      <c r="J2280" s="3" t="str">
        <f>HYPERLINK("https://www.boe.es/gazeta/dias/1822/06/09/pdfs/GMD-1822-166.pdf#page=2","Abrir facsímil")</f>
        <v>Abrir facsímil</v>
      </c>
      <c r="K2280" s="3" t="s">
        <v>22</v>
      </c>
    </row>
    <row r="2281" spans="1:11" ht="42" customHeight="1">
      <c r="A2281" s="2" t="s">
        <v>4768</v>
      </c>
      <c r="B2281" s="2" t="s">
        <v>4769</v>
      </c>
      <c r="C2281" s="2" t="s">
        <v>42</v>
      </c>
      <c r="D2281" s="2" t="s">
        <v>17</v>
      </c>
      <c r="E2281" s="5">
        <v>-28221</v>
      </c>
      <c r="F2281" s="3" t="s">
        <v>2591</v>
      </c>
      <c r="G2281" s="3" t="s">
        <v>35</v>
      </c>
      <c r="H2281" s="2" t="s">
        <v>20</v>
      </c>
      <c r="I2281" s="2" t="s">
        <v>4770</v>
      </c>
      <c r="J2281" s="3" t="str">
        <f>HYPERLINK("https://www.boe.es/gazeta/dias/1822/09/24/pdfs/GMD-1822-280.pdf#page=2","Abrir facsímil")</f>
        <v>Abrir facsímil</v>
      </c>
      <c r="K2281" s="3" t="s">
        <v>22</v>
      </c>
    </row>
    <row r="2282" spans="1:11" ht="42" customHeight="1">
      <c r="A2282" s="2" t="s">
        <v>4771</v>
      </c>
      <c r="B2282" s="2" t="s">
        <v>4772</v>
      </c>
      <c r="C2282" s="2" t="s">
        <v>42</v>
      </c>
      <c r="D2282" s="2" t="s">
        <v>17</v>
      </c>
      <c r="E2282" s="5">
        <v>-28258</v>
      </c>
      <c r="F2282" s="3" t="s">
        <v>88</v>
      </c>
      <c r="G2282" s="3" t="s">
        <v>31</v>
      </c>
      <c r="H2282" s="2" t="s">
        <v>20</v>
      </c>
      <c r="I2282" s="2" t="s">
        <v>4773</v>
      </c>
      <c r="J2282" s="3" t="str">
        <f>HYPERLINK("https://www.boe.es/gazeta/dias/1822/08/18/pdfs/GMD-1822-242.pdf#page=3","Abrir facsímil")</f>
        <v>Abrir facsímil</v>
      </c>
      <c r="K2282" s="3" t="s">
        <v>22</v>
      </c>
    </row>
    <row r="2283" spans="1:11" ht="42" customHeight="1">
      <c r="A2283" s="2" t="s">
        <v>4774</v>
      </c>
      <c r="B2283" s="2" t="s">
        <v>4775</v>
      </c>
      <c r="C2283" s="2" t="s">
        <v>42</v>
      </c>
      <c r="D2283" s="2" t="s">
        <v>17</v>
      </c>
      <c r="E2283" s="5">
        <v>-28442</v>
      </c>
      <c r="F2283" s="3" t="s">
        <v>2250</v>
      </c>
      <c r="G2283" s="3" t="s">
        <v>2251</v>
      </c>
      <c r="H2283" s="2" t="s">
        <v>20</v>
      </c>
      <c r="I2283" s="2" t="s">
        <v>4776</v>
      </c>
      <c r="J2283" s="3" t="str">
        <f>HYPERLINK("https://www.boe.es/gazeta/dias/1822/02/15/pdfs/GMD-1822-47.pdf#page=4","Abrir facsímil")</f>
        <v>Abrir facsímil</v>
      </c>
      <c r="K2283" s="3" t="s">
        <v>22</v>
      </c>
    </row>
    <row r="2284" spans="1:11" ht="42" customHeight="1">
      <c r="A2284" s="2" t="s">
        <v>4777</v>
      </c>
      <c r="B2284" s="2" t="s">
        <v>4778</v>
      </c>
      <c r="C2284" s="2" t="s">
        <v>42</v>
      </c>
      <c r="D2284" s="2" t="s">
        <v>17</v>
      </c>
      <c r="E2284" s="5">
        <v>-28328</v>
      </c>
      <c r="F2284" s="3" t="s">
        <v>540</v>
      </c>
      <c r="G2284" s="3" t="s">
        <v>63</v>
      </c>
      <c r="H2284" s="2" t="s">
        <v>20</v>
      </c>
      <c r="I2284" s="2" t="s">
        <v>4779</v>
      </c>
      <c r="J2284" s="3" t="str">
        <f>HYPERLINK("https://www.boe.es/gazeta/dias/1822/06/09/pdfs/GMD-1822-166.pdf#page=6","Abrir facsímil")</f>
        <v>Abrir facsímil</v>
      </c>
      <c r="K2284" s="3" t="s">
        <v>22</v>
      </c>
    </row>
    <row r="2285" spans="1:11" ht="42" customHeight="1">
      <c r="A2285" s="2" t="s">
        <v>4780</v>
      </c>
      <c r="B2285" s="2" t="s">
        <v>4781</v>
      </c>
      <c r="C2285" s="2" t="s">
        <v>42</v>
      </c>
      <c r="D2285" s="2" t="s">
        <v>17</v>
      </c>
      <c r="E2285" s="5">
        <v>-28391</v>
      </c>
      <c r="F2285" s="3" t="s">
        <v>378</v>
      </c>
      <c r="G2285" s="3" t="s">
        <v>63</v>
      </c>
      <c r="H2285" s="2" t="s">
        <v>20</v>
      </c>
      <c r="I2285" s="2" t="s">
        <v>4782</v>
      </c>
      <c r="J2285" s="3" t="str">
        <f>HYPERLINK("https://www.boe.es/gazeta/dias/1822/04/07/pdfs/GMD-1822-99.pdf#page=6","Abrir facsímil")</f>
        <v>Abrir facsímil</v>
      </c>
      <c r="K2285" s="3" t="s">
        <v>22</v>
      </c>
    </row>
    <row r="2286" spans="1:11" ht="42" customHeight="1">
      <c r="A2286" s="2" t="s">
        <v>4780</v>
      </c>
      <c r="B2286" s="2" t="s">
        <v>4781</v>
      </c>
      <c r="C2286" s="2" t="s">
        <v>28</v>
      </c>
      <c r="D2286" s="2" t="s">
        <v>29</v>
      </c>
      <c r="E2286" s="5">
        <v>-28326</v>
      </c>
      <c r="F2286" s="3" t="s">
        <v>543</v>
      </c>
      <c r="G2286" s="3" t="s">
        <v>63</v>
      </c>
      <c r="H2286" s="2" t="s">
        <v>20</v>
      </c>
      <c r="I2286" s="2" t="s">
        <v>4783</v>
      </c>
      <c r="J2286" s="3" t="str">
        <f>HYPERLINK("https://www.boe.es/gazeta/dias/1822/06/11/pdfs/GMD-1822-168.pdf#page=6","Abrir facsímil")</f>
        <v>Abrir facsímil</v>
      </c>
      <c r="K2286" s="3" t="s">
        <v>22</v>
      </c>
    </row>
    <row r="2287" spans="1:11" ht="42" customHeight="1">
      <c r="A2287" s="2" t="s">
        <v>4784</v>
      </c>
      <c r="B2287" s="2" t="s">
        <v>4784</v>
      </c>
      <c r="C2287" s="2" t="s">
        <v>61</v>
      </c>
      <c r="D2287" s="2" t="s">
        <v>17</v>
      </c>
      <c r="E2287" s="5">
        <v>-28179</v>
      </c>
      <c r="F2287" s="3" t="s">
        <v>935</v>
      </c>
      <c r="G2287" s="3" t="s">
        <v>35</v>
      </c>
      <c r="H2287" s="2" t="s">
        <v>20</v>
      </c>
      <c r="I2287" s="2" t="s">
        <v>4785</v>
      </c>
      <c r="J2287" s="3" t="str">
        <f>HYPERLINK("https://www.boe.es/gazeta/dias/1822/11/05/pdfs/GMD-1822-325.pdf#page=2","Abrir facsímil")</f>
        <v>Abrir facsímil</v>
      </c>
      <c r="K2287" s="3" t="s">
        <v>22</v>
      </c>
    </row>
    <row r="2288" spans="1:11" ht="42" customHeight="1">
      <c r="A2288" s="2" t="s">
        <v>4786</v>
      </c>
      <c r="B2288" s="2" t="s">
        <v>4787</v>
      </c>
      <c r="C2288" s="2" t="s">
        <v>50</v>
      </c>
      <c r="D2288" s="2" t="s">
        <v>51</v>
      </c>
      <c r="E2288" s="5">
        <v>-28231</v>
      </c>
      <c r="F2288" s="3" t="s">
        <v>2049</v>
      </c>
      <c r="G2288" s="3" t="s">
        <v>57</v>
      </c>
      <c r="H2288" s="2" t="s">
        <v>20</v>
      </c>
      <c r="I2288" s="2" t="s">
        <v>4788</v>
      </c>
      <c r="J2288" s="3" t="str">
        <f>HYPERLINK("https://www.boe.es/gazeta/dias/1822/09/14/pdfs/GMD-1822-270.pdf#page=4","Abrir facsímil")</f>
        <v>Abrir facsímil</v>
      </c>
      <c r="K2288" s="3" t="s">
        <v>22</v>
      </c>
    </row>
    <row r="2289" spans="1:11" ht="42" customHeight="1">
      <c r="A2289" s="2" t="s">
        <v>4789</v>
      </c>
      <c r="B2289" s="2" t="s">
        <v>4790</v>
      </c>
      <c r="C2289" s="2" t="s">
        <v>28</v>
      </c>
      <c r="D2289" s="2" t="s">
        <v>29</v>
      </c>
      <c r="E2289" s="5">
        <v>-28257</v>
      </c>
      <c r="F2289" s="3" t="s">
        <v>1171</v>
      </c>
      <c r="G2289" s="3" t="s">
        <v>35</v>
      </c>
      <c r="H2289" s="2" t="s">
        <v>20</v>
      </c>
      <c r="I2289" s="2" t="s">
        <v>4791</v>
      </c>
      <c r="J2289" s="3" t="str">
        <f>HYPERLINK("https://www.boe.es/gazeta/dias/1822/08/19/pdfs/GMD-1822-243.pdf#page=2","Abrir facsímil")</f>
        <v>Abrir facsímil</v>
      </c>
      <c r="K2289" s="3" t="s">
        <v>22</v>
      </c>
    </row>
    <row r="2290" spans="1:11" ht="42" customHeight="1">
      <c r="A2290" s="2" t="s">
        <v>4792</v>
      </c>
      <c r="B2290" s="2" t="s">
        <v>4793</v>
      </c>
      <c r="C2290" s="2" t="s">
        <v>28</v>
      </c>
      <c r="D2290" s="2" t="s">
        <v>29</v>
      </c>
      <c r="E2290" s="5">
        <v>-28433</v>
      </c>
      <c r="F2290" s="3" t="s">
        <v>3663</v>
      </c>
      <c r="G2290" s="3" t="s">
        <v>31</v>
      </c>
      <c r="H2290" s="2" t="s">
        <v>20</v>
      </c>
      <c r="I2290" s="2" t="s">
        <v>4794</v>
      </c>
      <c r="J2290" s="3" t="str">
        <f>HYPERLINK("https://www.boe.es/gazeta/dias/1822/02/24/pdfs/GMD-1822-56.pdf#page=3","Abrir facsímil")</f>
        <v>Abrir facsímil</v>
      </c>
      <c r="K2290" s="3" t="s">
        <v>22</v>
      </c>
    </row>
    <row r="2291" spans="1:11" ht="42" customHeight="1">
      <c r="A2291" s="2" t="s">
        <v>4795</v>
      </c>
      <c r="B2291" s="2" t="s">
        <v>4795</v>
      </c>
      <c r="C2291" s="2" t="s">
        <v>50</v>
      </c>
      <c r="D2291" s="2" t="s">
        <v>51</v>
      </c>
      <c r="E2291" s="5">
        <v>-28349</v>
      </c>
      <c r="F2291" s="3" t="s">
        <v>518</v>
      </c>
      <c r="G2291" s="3" t="s">
        <v>57</v>
      </c>
      <c r="H2291" s="2" t="s">
        <v>20</v>
      </c>
      <c r="I2291" s="2" t="s">
        <v>4796</v>
      </c>
      <c r="J2291" s="3" t="str">
        <f>HYPERLINK("https://www.boe.es/gazeta/dias/1822/05/19/pdfs/GMD-1822-141.pdf#page=4","Abrir facsímil")</f>
        <v>Abrir facsímil</v>
      </c>
      <c r="K2291" s="3" t="s">
        <v>22</v>
      </c>
    </row>
    <row r="2292" spans="1:11" ht="42" customHeight="1">
      <c r="A2292" s="2" t="s">
        <v>4797</v>
      </c>
      <c r="B2292" s="2" t="s">
        <v>4798</v>
      </c>
      <c r="C2292" s="2" t="s">
        <v>42</v>
      </c>
      <c r="D2292" s="2" t="s">
        <v>17</v>
      </c>
      <c r="E2292" s="5">
        <v>-28178</v>
      </c>
      <c r="F2292" s="3" t="s">
        <v>318</v>
      </c>
      <c r="G2292" s="3" t="s">
        <v>44</v>
      </c>
      <c r="H2292" s="2" t="s">
        <v>20</v>
      </c>
      <c r="I2292" s="2" t="s">
        <v>4799</v>
      </c>
      <c r="J2292" s="3" t="str">
        <f>HYPERLINK("https://www.boe.es/gazeta/dias/1822/11/06/pdfs/GMD-1822-326.pdf#page=1","Abrir facsímil")</f>
        <v>Abrir facsímil</v>
      </c>
      <c r="K2292" s="3" t="s">
        <v>22</v>
      </c>
    </row>
    <row r="2293" spans="1:11" ht="42" customHeight="1">
      <c r="A2293" s="2" t="s">
        <v>4800</v>
      </c>
      <c r="B2293" s="2" t="s">
        <v>4801</v>
      </c>
      <c r="C2293" s="2" t="s">
        <v>50</v>
      </c>
      <c r="D2293" s="2" t="s">
        <v>51</v>
      </c>
      <c r="E2293" s="5">
        <v>-28179</v>
      </c>
      <c r="F2293" s="3" t="s">
        <v>935</v>
      </c>
      <c r="G2293" s="3" t="s">
        <v>19</v>
      </c>
      <c r="H2293" s="2" t="s">
        <v>20</v>
      </c>
      <c r="I2293" s="2" t="s">
        <v>4802</v>
      </c>
      <c r="J2293" s="3" t="str">
        <f>HYPERLINK("https://www.boe.es/gazeta/dias/1822/11/05/pdfs/GMD-1822-325.pdf#page=5","Abrir facsímil")</f>
        <v>Abrir facsímil</v>
      </c>
      <c r="K2293" s="3" t="s">
        <v>22</v>
      </c>
    </row>
    <row r="2294" spans="1:11" ht="42" customHeight="1">
      <c r="A2294" s="2" t="s">
        <v>4803</v>
      </c>
      <c r="B2294" s="2" t="s">
        <v>4804</v>
      </c>
      <c r="C2294" s="2" t="s">
        <v>42</v>
      </c>
      <c r="D2294" s="2" t="s">
        <v>17</v>
      </c>
      <c r="E2294" s="5">
        <v>-28375</v>
      </c>
      <c r="F2294" s="3" t="s">
        <v>2035</v>
      </c>
      <c r="G2294" s="3" t="s">
        <v>31</v>
      </c>
      <c r="H2294" s="2" t="s">
        <v>20</v>
      </c>
      <c r="I2294" s="2" t="s">
        <v>4805</v>
      </c>
      <c r="J2294" s="3" t="str">
        <f>HYPERLINK("https://www.boe.es/gazeta/dias/1822/04/23/pdfs/GMD-1822-115.pdf#page=3","Abrir facsímil")</f>
        <v>Abrir facsímil</v>
      </c>
      <c r="K2294" s="3" t="s">
        <v>22</v>
      </c>
    </row>
    <row r="2295" spans="1:11" ht="42" customHeight="1">
      <c r="A2295" s="2" t="s">
        <v>4806</v>
      </c>
      <c r="B2295" s="2" t="s">
        <v>4806</v>
      </c>
      <c r="C2295" s="2" t="s">
        <v>42</v>
      </c>
      <c r="D2295" s="2" t="s">
        <v>17</v>
      </c>
      <c r="E2295" s="5">
        <v>-28248</v>
      </c>
      <c r="F2295" s="3" t="s">
        <v>4807</v>
      </c>
      <c r="G2295" s="3" t="s">
        <v>44</v>
      </c>
      <c r="H2295" s="2" t="s">
        <v>20</v>
      </c>
      <c r="I2295" s="2" t="s">
        <v>4808</v>
      </c>
      <c r="J2295" s="3" t="str">
        <f>HYPERLINK("https://www.boe.es/gazeta/dias/1822/08/28/pdfs/GMD-1822-252.pdf#page=1","Abrir facsímil")</f>
        <v>Abrir facsímil</v>
      </c>
      <c r="K2295" s="3" t="s">
        <v>22</v>
      </c>
    </row>
    <row r="2296" spans="1:11" ht="42" customHeight="1">
      <c r="A2296" s="2" t="s">
        <v>4809</v>
      </c>
      <c r="B2296" s="2" t="s">
        <v>4809</v>
      </c>
      <c r="C2296" s="2" t="s">
        <v>24</v>
      </c>
      <c r="D2296" s="2" t="s">
        <v>17</v>
      </c>
      <c r="E2296" s="5">
        <v>-28214</v>
      </c>
      <c r="F2296" s="3" t="s">
        <v>814</v>
      </c>
      <c r="G2296" s="3" t="s">
        <v>31</v>
      </c>
      <c r="H2296" s="2" t="s">
        <v>20</v>
      </c>
      <c r="I2296" s="2" t="s">
        <v>4810</v>
      </c>
      <c r="J2296" s="3" t="str">
        <f>HYPERLINK("https://www.boe.es/gazeta/dias/1822/10/01/pdfs/GMD-1822-287.pdf#page=3","Abrir facsímil")</f>
        <v>Abrir facsímil</v>
      </c>
      <c r="K2296" s="3" t="s">
        <v>22</v>
      </c>
    </row>
    <row r="2297" spans="1:11" ht="42" customHeight="1">
      <c r="A2297" s="2" t="s">
        <v>4811</v>
      </c>
      <c r="B2297" s="2" t="s">
        <v>4812</v>
      </c>
      <c r="C2297" s="2" t="s">
        <v>50</v>
      </c>
      <c r="D2297" s="2" t="s">
        <v>51</v>
      </c>
      <c r="E2297" s="5">
        <v>-28208</v>
      </c>
      <c r="F2297" s="3" t="s">
        <v>230</v>
      </c>
      <c r="G2297" s="3" t="s">
        <v>57</v>
      </c>
      <c r="H2297" s="2" t="s">
        <v>20</v>
      </c>
      <c r="I2297" s="2" t="s">
        <v>4813</v>
      </c>
      <c r="J2297" s="3" t="str">
        <f>HYPERLINK("https://www.boe.es/gazeta/dias/1822/10/07/pdfs/GMD-1822-293.pdf#page=4","Abrir facsímil")</f>
        <v>Abrir facsímil</v>
      </c>
      <c r="K2297" s="3" t="s">
        <v>22</v>
      </c>
    </row>
    <row r="2298" spans="1:11" ht="42" customHeight="1">
      <c r="A2298" s="2" t="s">
        <v>4814</v>
      </c>
      <c r="B2298" s="2" t="s">
        <v>4815</v>
      </c>
      <c r="C2298" s="2" t="s">
        <v>16</v>
      </c>
      <c r="D2298" s="2" t="s">
        <v>17</v>
      </c>
      <c r="E2298" s="5">
        <v>-28257</v>
      </c>
      <c r="F2298" s="3" t="s">
        <v>1171</v>
      </c>
      <c r="G2298" s="3" t="s">
        <v>1172</v>
      </c>
      <c r="H2298" s="2" t="s">
        <v>20</v>
      </c>
      <c r="I2298" s="2" t="s">
        <v>4816</v>
      </c>
      <c r="J2298" s="3" t="str">
        <f>HYPERLINK("https://www.boe.es/gazeta/dias/1822/08/19/pdfs/GMD-1822-243.pdf#page=4","Abrir facsímil")</f>
        <v>Abrir facsímil</v>
      </c>
      <c r="K2298" s="3" t="s">
        <v>22</v>
      </c>
    </row>
    <row r="2299" spans="1:11" ht="42" customHeight="1">
      <c r="A2299" s="2" t="s">
        <v>4817</v>
      </c>
      <c r="B2299" s="2" t="s">
        <v>4818</v>
      </c>
      <c r="C2299" s="2" t="s">
        <v>28</v>
      </c>
      <c r="D2299" s="2" t="s">
        <v>29</v>
      </c>
      <c r="E2299" s="5">
        <v>-28378</v>
      </c>
      <c r="F2299" s="3" t="s">
        <v>496</v>
      </c>
      <c r="G2299" s="3" t="s">
        <v>57</v>
      </c>
      <c r="H2299" s="2" t="s">
        <v>20</v>
      </c>
      <c r="I2299" s="2" t="s">
        <v>4819</v>
      </c>
      <c r="J2299" s="3" t="str">
        <f>HYPERLINK("https://www.boe.es/gazeta/dias/1822/04/20/pdfs/GMD-1822-112.pdf#page=4","Abrir facsímil")</f>
        <v>Abrir facsímil</v>
      </c>
      <c r="K2299" s="3" t="s">
        <v>22</v>
      </c>
    </row>
    <row r="2300" spans="1:11" ht="42" customHeight="1">
      <c r="A2300" s="2" t="s">
        <v>4820</v>
      </c>
      <c r="B2300" s="2" t="s">
        <v>4821</v>
      </c>
      <c r="C2300" s="2" t="s">
        <v>42</v>
      </c>
      <c r="D2300" s="2" t="s">
        <v>17</v>
      </c>
      <c r="E2300" s="5">
        <v>-28235</v>
      </c>
      <c r="F2300" s="3" t="s">
        <v>1470</v>
      </c>
      <c r="G2300" s="3" t="s">
        <v>35</v>
      </c>
      <c r="H2300" s="2" t="s">
        <v>20</v>
      </c>
      <c r="I2300" s="2" t="s">
        <v>4822</v>
      </c>
      <c r="J2300" s="3" t="str">
        <f>HYPERLINK("https://www.boe.es/gazeta/dias/1822/09/10/pdfs/GMD-1822-266.pdf#page=2","Abrir facsímil")</f>
        <v>Abrir facsímil</v>
      </c>
      <c r="K2300" s="3" t="s">
        <v>22</v>
      </c>
    </row>
    <row r="2301" spans="1:11" ht="42" customHeight="1">
      <c r="A2301" s="2" t="s">
        <v>4823</v>
      </c>
      <c r="B2301" s="2" t="s">
        <v>4823</v>
      </c>
      <c r="C2301" s="2" t="s">
        <v>50</v>
      </c>
      <c r="D2301" s="2" t="s">
        <v>51</v>
      </c>
      <c r="E2301" s="5">
        <v>-28266</v>
      </c>
      <c r="F2301" s="3" t="s">
        <v>1169</v>
      </c>
      <c r="G2301" s="3" t="s">
        <v>35</v>
      </c>
      <c r="H2301" s="2" t="s">
        <v>20</v>
      </c>
      <c r="I2301" s="2" t="s">
        <v>4824</v>
      </c>
      <c r="J2301" s="3" t="str">
        <f>HYPERLINK("https://www.boe.es/gazeta/dias/1822/08/10/pdfs/GMD-1822-234.pdf#page=2","Abrir facsímil")</f>
        <v>Abrir facsímil</v>
      </c>
      <c r="K2301" s="3" t="s">
        <v>22</v>
      </c>
    </row>
    <row r="2302" spans="1:11" ht="42" customHeight="1">
      <c r="A2302" s="2" t="s">
        <v>4823</v>
      </c>
      <c r="B2302" s="2" t="s">
        <v>4823</v>
      </c>
      <c r="C2302" s="2" t="s">
        <v>50</v>
      </c>
      <c r="D2302" s="2" t="s">
        <v>51</v>
      </c>
      <c r="E2302" s="5">
        <v>-28265</v>
      </c>
      <c r="F2302" s="3" t="s">
        <v>1263</v>
      </c>
      <c r="G2302" s="3" t="s">
        <v>35</v>
      </c>
      <c r="H2302" s="2" t="s">
        <v>20</v>
      </c>
      <c r="I2302" s="2" t="s">
        <v>4825</v>
      </c>
      <c r="J2302" s="3" t="str">
        <f>HYPERLINK("https://www.boe.es/gazeta/dias/1822/08/11/pdfs/GMD-1822-235.pdf#page=2","Abrir facsímil")</f>
        <v>Abrir facsímil</v>
      </c>
      <c r="K2302" s="3" t="s">
        <v>22</v>
      </c>
    </row>
    <row r="2303" spans="1:11" ht="42" customHeight="1">
      <c r="A2303" s="2" t="s">
        <v>4823</v>
      </c>
      <c r="B2303" s="2" t="s">
        <v>4823</v>
      </c>
      <c r="C2303" s="2" t="s">
        <v>50</v>
      </c>
      <c r="D2303" s="2" t="s">
        <v>51</v>
      </c>
      <c r="E2303" s="5">
        <v>-28255</v>
      </c>
      <c r="F2303" s="3" t="s">
        <v>4826</v>
      </c>
      <c r="G2303" s="3" t="s">
        <v>31</v>
      </c>
      <c r="H2303" s="2" t="s">
        <v>20</v>
      </c>
      <c r="I2303" s="2" t="s">
        <v>4827</v>
      </c>
      <c r="J2303" s="3" t="str">
        <f>HYPERLINK("https://www.boe.es/gazeta/dias/1822/08/21/pdfs/GMD-1822-245.pdf#page=3","Abrir facsímil")</f>
        <v>Abrir facsímil</v>
      </c>
      <c r="K2303" s="3" t="s">
        <v>22</v>
      </c>
    </row>
    <row r="2304" spans="1:11" ht="42" customHeight="1">
      <c r="A2304" s="2" t="s">
        <v>4823</v>
      </c>
      <c r="B2304" s="2" t="s">
        <v>4823</v>
      </c>
      <c r="C2304" s="2" t="s">
        <v>50</v>
      </c>
      <c r="D2304" s="2" t="s">
        <v>51</v>
      </c>
      <c r="E2304" s="5">
        <v>-28125</v>
      </c>
      <c r="F2304" s="3" t="s">
        <v>322</v>
      </c>
      <c r="G2304" s="3" t="s">
        <v>35</v>
      </c>
      <c r="H2304" s="2" t="s">
        <v>20</v>
      </c>
      <c r="I2304" s="2" t="s">
        <v>4828</v>
      </c>
      <c r="J2304" s="3" t="str">
        <f>HYPERLINK("https://www.boe.es/gazeta/dias/1822/12/29/pdfs/GMD-1822-379.pdf#page=2","Abrir facsímil")</f>
        <v>Abrir facsímil</v>
      </c>
      <c r="K2304" s="3" t="s">
        <v>22</v>
      </c>
    </row>
    <row r="2305" spans="1:11" ht="42" customHeight="1">
      <c r="A2305" s="2" t="s">
        <v>4829</v>
      </c>
      <c r="B2305" s="2" t="s">
        <v>4830</v>
      </c>
      <c r="C2305" s="2" t="s">
        <v>50</v>
      </c>
      <c r="D2305" s="2" t="s">
        <v>51</v>
      </c>
      <c r="E2305" s="5">
        <v>-28125</v>
      </c>
      <c r="F2305" s="3" t="s">
        <v>322</v>
      </c>
      <c r="G2305" s="3" t="s">
        <v>35</v>
      </c>
      <c r="H2305" s="2" t="s">
        <v>20</v>
      </c>
      <c r="I2305" s="2" t="s">
        <v>4831</v>
      </c>
      <c r="J2305" s="3" t="str">
        <f>HYPERLINK("https://www.boe.es/gazeta/dias/1822/12/29/pdfs/GMD-1822-379.pdf#page=2","Abrir facsímil")</f>
        <v>Abrir facsímil</v>
      </c>
      <c r="K2305" s="3" t="s">
        <v>22</v>
      </c>
    </row>
    <row r="2306" spans="1:11" ht="42" customHeight="1">
      <c r="A2306" s="2" t="s">
        <v>4832</v>
      </c>
      <c r="B2306" s="2" t="s">
        <v>4832</v>
      </c>
      <c r="C2306" s="2" t="s">
        <v>50</v>
      </c>
      <c r="D2306" s="2" t="s">
        <v>51</v>
      </c>
      <c r="E2306" s="5">
        <v>-28152</v>
      </c>
      <c r="F2306" s="3" t="s">
        <v>122</v>
      </c>
      <c r="G2306" s="3" t="s">
        <v>19</v>
      </c>
      <c r="H2306" s="2" t="s">
        <v>20</v>
      </c>
      <c r="I2306" s="2" t="s">
        <v>4833</v>
      </c>
      <c r="J2306" s="3" t="str">
        <f>HYPERLINK("https://www.boe.es/gazeta/dias/1822/12/02/pdfs/GMD-1822-352.pdf#page=5","Abrir facsímil")</f>
        <v>Abrir facsímil</v>
      </c>
      <c r="K2306" s="3" t="s">
        <v>22</v>
      </c>
    </row>
    <row r="2307" spans="1:11" ht="42" customHeight="1">
      <c r="A2307" s="2" t="s">
        <v>4834</v>
      </c>
      <c r="B2307" s="2" t="s">
        <v>4834</v>
      </c>
      <c r="C2307" s="2" t="s">
        <v>50</v>
      </c>
      <c r="D2307" s="2" t="s">
        <v>51</v>
      </c>
      <c r="E2307" s="5">
        <v>-28132</v>
      </c>
      <c r="F2307" s="3" t="s">
        <v>820</v>
      </c>
      <c r="G2307" s="3" t="s">
        <v>44</v>
      </c>
      <c r="H2307" s="2" t="s">
        <v>20</v>
      </c>
      <c r="I2307" s="2" t="s">
        <v>4835</v>
      </c>
      <c r="J2307" s="3" t="str">
        <f>HYPERLINK("https://www.boe.es/gazeta/dias/1822/12/22/pdfs/GMD-1822-372.pdf#page=1","Abrir facsímil")</f>
        <v>Abrir facsímil</v>
      </c>
      <c r="K2307" s="3" t="s">
        <v>22</v>
      </c>
    </row>
    <row r="2308" spans="1:11" ht="42" customHeight="1">
      <c r="A2308" s="2" t="s">
        <v>4836</v>
      </c>
      <c r="B2308" s="2" t="s">
        <v>4836</v>
      </c>
      <c r="C2308" s="2" t="s">
        <v>42</v>
      </c>
      <c r="D2308" s="2" t="s">
        <v>17</v>
      </c>
      <c r="E2308" s="5">
        <v>-28178</v>
      </c>
      <c r="F2308" s="3" t="s">
        <v>318</v>
      </c>
      <c r="G2308" s="3" t="s">
        <v>35</v>
      </c>
      <c r="H2308" s="2" t="s">
        <v>20</v>
      </c>
      <c r="I2308" s="2" t="s">
        <v>4837</v>
      </c>
      <c r="J2308" s="3" t="str">
        <f>HYPERLINK("https://www.boe.es/gazeta/dias/1822/11/06/pdfs/GMD-1822-326.pdf#page=2","Abrir facsímil")</f>
        <v>Abrir facsímil</v>
      </c>
      <c r="K2308" s="3" t="s">
        <v>22</v>
      </c>
    </row>
    <row r="2309" spans="1:11" ht="42" customHeight="1">
      <c r="A2309" s="2" t="s">
        <v>4838</v>
      </c>
      <c r="B2309" s="2" t="s">
        <v>4838</v>
      </c>
      <c r="C2309" s="2" t="s">
        <v>28</v>
      </c>
      <c r="D2309" s="2" t="s">
        <v>29</v>
      </c>
      <c r="E2309" s="5">
        <v>-28357</v>
      </c>
      <c r="F2309" s="3" t="s">
        <v>690</v>
      </c>
      <c r="G2309" s="3" t="s">
        <v>19</v>
      </c>
      <c r="H2309" s="2" t="s">
        <v>20</v>
      </c>
      <c r="I2309" s="2" t="s">
        <v>4839</v>
      </c>
      <c r="J2309" s="3" t="str">
        <f>HYPERLINK("https://www.boe.es/gazeta/dias/1822/05/11/pdfs/GMD-1822-133.pdf#page=5","Abrir facsímil")</f>
        <v>Abrir facsímil</v>
      </c>
      <c r="K2309" s="3" t="s">
        <v>22</v>
      </c>
    </row>
    <row r="2310" spans="1:11" ht="42" customHeight="1">
      <c r="A2310" s="2" t="s">
        <v>4838</v>
      </c>
      <c r="B2310" s="2" t="s">
        <v>4838</v>
      </c>
      <c r="C2310" s="2" t="s">
        <v>42</v>
      </c>
      <c r="D2310" s="2" t="s">
        <v>17</v>
      </c>
      <c r="E2310" s="5">
        <v>-28344</v>
      </c>
      <c r="F2310" s="3" t="s">
        <v>524</v>
      </c>
      <c r="G2310" s="3" t="s">
        <v>31</v>
      </c>
      <c r="H2310" s="2" t="s">
        <v>20</v>
      </c>
      <c r="I2310" s="2" t="s">
        <v>4840</v>
      </c>
      <c r="J2310" s="3" t="str">
        <f>HYPERLINK("https://www.boe.es/gazeta/dias/1822/05/24/pdfs/GMD-1822-148.pdf#page=3","Abrir facsímil")</f>
        <v>Abrir facsímil</v>
      </c>
      <c r="K2310" s="3" t="s">
        <v>22</v>
      </c>
    </row>
    <row r="2311" spans="1:11" ht="42" customHeight="1">
      <c r="A2311" s="2" t="s">
        <v>4838</v>
      </c>
      <c r="B2311" s="2" t="s">
        <v>4838</v>
      </c>
      <c r="C2311" s="2" t="s">
        <v>16</v>
      </c>
      <c r="D2311" s="2" t="s">
        <v>17</v>
      </c>
      <c r="E2311" s="5">
        <v>-28327</v>
      </c>
      <c r="F2311" s="3" t="s">
        <v>38</v>
      </c>
      <c r="G2311" s="3" t="s">
        <v>31</v>
      </c>
      <c r="H2311" s="2" t="s">
        <v>20</v>
      </c>
      <c r="I2311" s="2" t="s">
        <v>4841</v>
      </c>
      <c r="J2311" s="3" t="str">
        <f>HYPERLINK("https://www.boe.es/gazeta/dias/1822/06/10/pdfs/GMD-1822-167.pdf#page=3","Abrir facsímil")</f>
        <v>Abrir facsímil</v>
      </c>
      <c r="K2311" s="3" t="s">
        <v>22</v>
      </c>
    </row>
    <row r="2312" spans="1:11" ht="42" customHeight="1">
      <c r="A2312" s="2" t="s">
        <v>4838</v>
      </c>
      <c r="B2312" s="2" t="s">
        <v>4838</v>
      </c>
      <c r="C2312" s="2" t="s">
        <v>50</v>
      </c>
      <c r="D2312" s="2" t="s">
        <v>51</v>
      </c>
      <c r="E2312" s="5">
        <v>-28148</v>
      </c>
      <c r="F2312" s="3" t="s">
        <v>1909</v>
      </c>
      <c r="G2312" s="3" t="s">
        <v>19</v>
      </c>
      <c r="H2312" s="2" t="s">
        <v>20</v>
      </c>
      <c r="I2312" s="2" t="s">
        <v>4842</v>
      </c>
      <c r="J2312" s="3" t="str">
        <f>HYPERLINK("https://www.boe.es/gazeta/dias/1822/12/06/pdfs/GMD-1822-356.pdf#page=5","Abrir facsímil")</f>
        <v>Abrir facsímil</v>
      </c>
      <c r="K2312" s="3" t="s">
        <v>22</v>
      </c>
    </row>
    <row r="2313" spans="1:11" ht="42" customHeight="1">
      <c r="A2313" s="2" t="s">
        <v>4843</v>
      </c>
      <c r="B2313" s="2" t="s">
        <v>4844</v>
      </c>
      <c r="C2313" s="2" t="s">
        <v>50</v>
      </c>
      <c r="D2313" s="2" t="s">
        <v>51</v>
      </c>
      <c r="E2313" s="5">
        <v>-28208</v>
      </c>
      <c r="F2313" s="3" t="s">
        <v>230</v>
      </c>
      <c r="G2313" s="3" t="s">
        <v>57</v>
      </c>
      <c r="H2313" s="2" t="s">
        <v>20</v>
      </c>
      <c r="I2313" s="2" t="s">
        <v>4845</v>
      </c>
      <c r="J2313" s="3" t="str">
        <f>HYPERLINK("https://www.boe.es/gazeta/dias/1822/10/07/pdfs/GMD-1822-293.pdf#page=4","Abrir facsímil")</f>
        <v>Abrir facsímil</v>
      </c>
      <c r="K2313" s="3" t="s">
        <v>22</v>
      </c>
    </row>
    <row r="2314" spans="1:11" ht="42" customHeight="1">
      <c r="A2314" s="2" t="s">
        <v>4846</v>
      </c>
      <c r="B2314" s="2" t="s">
        <v>4846</v>
      </c>
      <c r="C2314" s="2" t="s">
        <v>50</v>
      </c>
      <c r="D2314" s="2" t="s">
        <v>51</v>
      </c>
      <c r="E2314" s="5">
        <v>-28289</v>
      </c>
      <c r="F2314" s="3" t="s">
        <v>390</v>
      </c>
      <c r="G2314" s="3" t="s">
        <v>44</v>
      </c>
      <c r="H2314" s="2" t="s">
        <v>20</v>
      </c>
      <c r="I2314" s="2" t="s">
        <v>4847</v>
      </c>
      <c r="J2314" s="3" t="str">
        <f>HYPERLINK("https://www.boe.es/gazeta/dias/1822/07/18/pdfs/GMD-1822-209.pdf#page=1","Abrir facsímil")</f>
        <v>Abrir facsímil</v>
      </c>
      <c r="K2314" s="3" t="s">
        <v>22</v>
      </c>
    </row>
    <row r="2315" spans="1:11" ht="42" customHeight="1">
      <c r="A2315" s="2" t="s">
        <v>4848</v>
      </c>
      <c r="B2315" s="2" t="s">
        <v>4848</v>
      </c>
      <c r="C2315" s="2" t="s">
        <v>61</v>
      </c>
      <c r="D2315" s="2" t="s">
        <v>17</v>
      </c>
      <c r="E2315" s="5">
        <v>-28179</v>
      </c>
      <c r="F2315" s="3" t="s">
        <v>935</v>
      </c>
      <c r="G2315" s="3" t="s">
        <v>35</v>
      </c>
      <c r="H2315" s="2" t="s">
        <v>20</v>
      </c>
      <c r="I2315" s="2" t="s">
        <v>4849</v>
      </c>
      <c r="J2315" s="3" t="str">
        <f>HYPERLINK("https://www.boe.es/gazeta/dias/1822/11/05/pdfs/GMD-1822-325.pdf#page=2","Abrir facsímil")</f>
        <v>Abrir facsímil</v>
      </c>
      <c r="K2315" s="3" t="s">
        <v>22</v>
      </c>
    </row>
    <row r="2316" spans="1:11" ht="42" customHeight="1">
      <c r="A2316" s="2" t="s">
        <v>4848</v>
      </c>
      <c r="B2316" s="2" t="s">
        <v>4848</v>
      </c>
      <c r="C2316" s="2" t="s">
        <v>24</v>
      </c>
      <c r="D2316" s="2" t="s">
        <v>17</v>
      </c>
      <c r="E2316" s="5">
        <v>-28178</v>
      </c>
      <c r="F2316" s="3" t="s">
        <v>318</v>
      </c>
      <c r="G2316" s="3" t="s">
        <v>35</v>
      </c>
      <c r="H2316" s="2" t="s">
        <v>20</v>
      </c>
      <c r="I2316" s="2" t="s">
        <v>4850</v>
      </c>
      <c r="J2316" s="3" t="str">
        <f>HYPERLINK("https://www.boe.es/gazeta/dias/1822/11/06/pdfs/GMD-1822-326.pdf#page=2","Abrir facsímil")</f>
        <v>Abrir facsímil</v>
      </c>
      <c r="K2316" s="3" t="s">
        <v>22</v>
      </c>
    </row>
    <row r="2317" spans="1:11" ht="42" customHeight="1">
      <c r="A2317" s="2" t="s">
        <v>4848</v>
      </c>
      <c r="B2317" s="2" t="s">
        <v>4848</v>
      </c>
      <c r="C2317" s="2" t="s">
        <v>42</v>
      </c>
      <c r="D2317" s="2" t="s">
        <v>17</v>
      </c>
      <c r="E2317" s="5">
        <v>-28171</v>
      </c>
      <c r="F2317" s="3" t="s">
        <v>1075</v>
      </c>
      <c r="G2317" s="3" t="s">
        <v>31</v>
      </c>
      <c r="H2317" s="2" t="s">
        <v>20</v>
      </c>
      <c r="I2317" s="2" t="s">
        <v>4851</v>
      </c>
      <c r="J2317" s="3" t="str">
        <f>HYPERLINK("https://www.boe.es/gazeta/dias/1822/11/13/pdfs/GMD-1822-333.pdf#page=3","Abrir facsímil")</f>
        <v>Abrir facsímil</v>
      </c>
      <c r="K2317" s="3" t="s">
        <v>22</v>
      </c>
    </row>
    <row r="2318" spans="1:11" ht="42" customHeight="1">
      <c r="A2318" s="2" t="s">
        <v>4852</v>
      </c>
      <c r="B2318" s="2" t="s">
        <v>4853</v>
      </c>
      <c r="C2318" s="2" t="s">
        <v>28</v>
      </c>
      <c r="D2318" s="2" t="s">
        <v>29</v>
      </c>
      <c r="E2318" s="5">
        <v>-28345</v>
      </c>
      <c r="F2318" s="3" t="s">
        <v>294</v>
      </c>
      <c r="G2318" s="3" t="s">
        <v>19</v>
      </c>
      <c r="H2318" s="2" t="s">
        <v>20</v>
      </c>
      <c r="I2318" s="2" t="s">
        <v>4854</v>
      </c>
      <c r="J2318" s="3" t="str">
        <f>HYPERLINK("https://www.boe.es/gazeta/dias/1822/05/23/pdfs/GMD-1822-147.pdf#page=5","Abrir facsímil")</f>
        <v>Abrir facsímil</v>
      </c>
      <c r="K2318" s="3" t="s">
        <v>22</v>
      </c>
    </row>
    <row r="2319" spans="1:11" ht="42" customHeight="1">
      <c r="A2319" s="2" t="s">
        <v>4855</v>
      </c>
      <c r="B2319" s="2" t="s">
        <v>4856</v>
      </c>
      <c r="C2319" s="2" t="s">
        <v>28</v>
      </c>
      <c r="D2319" s="2" t="s">
        <v>29</v>
      </c>
      <c r="E2319" s="5">
        <v>-28212</v>
      </c>
      <c r="F2319" s="3" t="s">
        <v>560</v>
      </c>
      <c r="G2319" s="3" t="s">
        <v>31</v>
      </c>
      <c r="H2319" s="2" t="s">
        <v>20</v>
      </c>
      <c r="I2319" s="2" t="s">
        <v>4857</v>
      </c>
      <c r="J2319" s="3" t="str">
        <f>HYPERLINK("https://www.boe.es/gazeta/dias/1822/10/03/pdfs/GMD-1822-289.pdf#page=3","Abrir facsímil")</f>
        <v>Abrir facsímil</v>
      </c>
      <c r="K2319" s="3" t="s">
        <v>22</v>
      </c>
    </row>
    <row r="2320" spans="1:11" ht="42" customHeight="1">
      <c r="A2320" s="2" t="s">
        <v>4858</v>
      </c>
      <c r="B2320" s="2" t="s">
        <v>4858</v>
      </c>
      <c r="C2320" s="2" t="s">
        <v>71</v>
      </c>
      <c r="D2320" s="2" t="s">
        <v>17</v>
      </c>
      <c r="E2320" s="5">
        <v>-28171</v>
      </c>
      <c r="F2320" s="3" t="s">
        <v>1075</v>
      </c>
      <c r="G2320" s="3" t="s">
        <v>31</v>
      </c>
      <c r="H2320" s="2" t="s">
        <v>20</v>
      </c>
      <c r="I2320" s="2" t="s">
        <v>4859</v>
      </c>
      <c r="J2320" s="3" t="str">
        <f>HYPERLINK("https://www.boe.es/gazeta/dias/1822/11/13/pdfs/GMD-1822-333.pdf#page=3","Abrir facsímil")</f>
        <v>Abrir facsímil</v>
      </c>
      <c r="K2320" s="3" t="s">
        <v>22</v>
      </c>
    </row>
    <row r="2321" spans="1:11" ht="42" customHeight="1">
      <c r="A2321" s="2" t="s">
        <v>4860</v>
      </c>
      <c r="B2321" s="2" t="s">
        <v>4861</v>
      </c>
      <c r="C2321" s="2" t="s">
        <v>28</v>
      </c>
      <c r="D2321" s="2" t="s">
        <v>29</v>
      </c>
      <c r="E2321" s="5">
        <v>-28432</v>
      </c>
      <c r="F2321" s="3" t="s">
        <v>195</v>
      </c>
      <c r="G2321" s="3" t="s">
        <v>57</v>
      </c>
      <c r="H2321" s="2" t="s">
        <v>20</v>
      </c>
      <c r="I2321" s="2" t="s">
        <v>4862</v>
      </c>
      <c r="J2321" s="3" t="str">
        <f>HYPERLINK("https://www.boe.es/gazeta/dias/1822/02/25/pdfs/GMD-1822-57.pdf#page=4","Abrir facsímil")</f>
        <v>Abrir facsímil</v>
      </c>
      <c r="K2321" s="3" t="s">
        <v>22</v>
      </c>
    </row>
    <row r="2322" spans="1:11" ht="42" customHeight="1">
      <c r="A2322" s="2" t="s">
        <v>4863</v>
      </c>
      <c r="B2322" s="2" t="s">
        <v>4864</v>
      </c>
      <c r="C2322" s="2" t="s">
        <v>50</v>
      </c>
      <c r="D2322" s="2" t="s">
        <v>51</v>
      </c>
      <c r="E2322" s="5">
        <v>-28361</v>
      </c>
      <c r="F2322" s="3" t="s">
        <v>374</v>
      </c>
      <c r="G2322" s="3" t="s">
        <v>63</v>
      </c>
      <c r="H2322" s="2" t="s">
        <v>45</v>
      </c>
      <c r="I2322" s="2" t="s">
        <v>4865</v>
      </c>
      <c r="J2322" s="3" t="str">
        <f>HYPERLINK("https://www.boe.es/gazeta/dias/1822/05/07/pdfs/GMD-1822-129.pdf#page=6","Abrir facsímil")</f>
        <v>Abrir facsímil</v>
      </c>
      <c r="K2322" s="3" t="s">
        <v>47</v>
      </c>
    </row>
    <row r="2323" spans="1:11" ht="42" customHeight="1">
      <c r="A2323" s="2" t="s">
        <v>4866</v>
      </c>
      <c r="B2323" s="2" t="s">
        <v>4867</v>
      </c>
      <c r="C2323" s="2" t="s">
        <v>42</v>
      </c>
      <c r="D2323" s="2" t="s">
        <v>17</v>
      </c>
      <c r="E2323" s="5">
        <v>-28251</v>
      </c>
      <c r="F2323" s="3" t="s">
        <v>1485</v>
      </c>
      <c r="G2323" s="3" t="s">
        <v>31</v>
      </c>
      <c r="H2323" s="2" t="s">
        <v>20</v>
      </c>
      <c r="I2323" s="2" t="s">
        <v>4868</v>
      </c>
      <c r="J2323" s="3" t="str">
        <f>HYPERLINK("https://www.boe.es/gazeta/dias/1822/08/25/pdfs/GMD-1822-249.pdf#page=3","Abrir facsímil")</f>
        <v>Abrir facsímil</v>
      </c>
      <c r="K2323" s="3" t="s">
        <v>22</v>
      </c>
    </row>
    <row r="2324" spans="1:11" ht="42" customHeight="1">
      <c r="A2324" s="2" t="s">
        <v>4869</v>
      </c>
      <c r="B2324" s="2" t="s">
        <v>4869</v>
      </c>
      <c r="C2324" s="2" t="s">
        <v>28</v>
      </c>
      <c r="D2324" s="2" t="s">
        <v>29</v>
      </c>
      <c r="E2324" s="5">
        <v>-28424</v>
      </c>
      <c r="F2324" s="3" t="s">
        <v>439</v>
      </c>
      <c r="G2324" s="3" t="s">
        <v>44</v>
      </c>
      <c r="H2324" s="2" t="s">
        <v>20</v>
      </c>
      <c r="I2324" s="2" t="s">
        <v>4870</v>
      </c>
      <c r="J2324" s="3" t="str">
        <f>HYPERLINK("https://www.boe.es/gazeta/dias/1822/03/05/pdfs/GMD-1822-66.pdf#page=1","Abrir facsímil")</f>
        <v>Abrir facsímil</v>
      </c>
      <c r="K2324" s="3" t="s">
        <v>22</v>
      </c>
    </row>
    <row r="2325" spans="1:11" ht="42" customHeight="1">
      <c r="A2325" s="2" t="s">
        <v>4869</v>
      </c>
      <c r="B2325" s="2" t="s">
        <v>4869</v>
      </c>
      <c r="C2325" s="2" t="s">
        <v>42</v>
      </c>
      <c r="D2325" s="2" t="s">
        <v>17</v>
      </c>
      <c r="E2325" s="5">
        <v>-28421</v>
      </c>
      <c r="F2325" s="3" t="s">
        <v>446</v>
      </c>
      <c r="G2325" s="3" t="s">
        <v>44</v>
      </c>
      <c r="H2325" s="2" t="s">
        <v>20</v>
      </c>
      <c r="I2325" s="2" t="s">
        <v>4871</v>
      </c>
      <c r="J2325" s="3" t="str">
        <f>HYPERLINK("https://www.boe.es/gazeta/dias/1822/03/08/pdfs/GMD-1822-69.pdf#page=1","Abrir facsímil")</f>
        <v>Abrir facsímil</v>
      </c>
      <c r="K2325" s="3" t="s">
        <v>22</v>
      </c>
    </row>
    <row r="2326" spans="1:11" ht="42" customHeight="1">
      <c r="A2326" s="2" t="s">
        <v>4872</v>
      </c>
      <c r="B2326" s="2" t="s">
        <v>4873</v>
      </c>
      <c r="C2326" s="2" t="s">
        <v>50</v>
      </c>
      <c r="D2326" s="2" t="s">
        <v>51</v>
      </c>
      <c r="E2326" s="5">
        <v>-28423</v>
      </c>
      <c r="F2326" s="3" t="s">
        <v>441</v>
      </c>
      <c r="G2326" s="3" t="s">
        <v>31</v>
      </c>
      <c r="H2326" s="2" t="s">
        <v>20</v>
      </c>
      <c r="I2326" s="2" t="s">
        <v>4874</v>
      </c>
      <c r="J2326" s="3" t="str">
        <f>HYPERLINK("https://www.boe.es/gazeta/dias/1822/03/06/pdfs/GMD-1822-67.pdf#page=3","Abrir facsímil")</f>
        <v>Abrir facsímil</v>
      </c>
      <c r="K2326" s="3" t="s">
        <v>22</v>
      </c>
    </row>
    <row r="2327" spans="1:11" ht="42" customHeight="1">
      <c r="A2327" s="2" t="s">
        <v>4875</v>
      </c>
      <c r="B2327" s="2" t="s">
        <v>4876</v>
      </c>
      <c r="C2327" s="2" t="s">
        <v>50</v>
      </c>
      <c r="D2327" s="2" t="s">
        <v>51</v>
      </c>
      <c r="E2327" s="5">
        <v>-28292</v>
      </c>
      <c r="F2327" s="3" t="s">
        <v>222</v>
      </c>
      <c r="G2327" s="3" t="s">
        <v>31</v>
      </c>
      <c r="H2327" s="2" t="s">
        <v>20</v>
      </c>
      <c r="I2327" s="2" t="s">
        <v>4877</v>
      </c>
      <c r="J2327" s="3" t="str">
        <f>HYPERLINK("https://www.boe.es/gazeta/dias/1822/07/15/pdfs/GMD-1822-205.pdf#page=3","Abrir facsímil")</f>
        <v>Abrir facsímil</v>
      </c>
      <c r="K2327" s="3" t="s">
        <v>22</v>
      </c>
    </row>
    <row r="2328" spans="1:11" ht="42" customHeight="1">
      <c r="A2328" s="2" t="s">
        <v>4878</v>
      </c>
      <c r="B2328" s="2" t="s">
        <v>4879</v>
      </c>
      <c r="C2328" s="2" t="s">
        <v>50</v>
      </c>
      <c r="D2328" s="2" t="s">
        <v>51</v>
      </c>
      <c r="E2328" s="5">
        <v>-28208</v>
      </c>
      <c r="F2328" s="3" t="s">
        <v>230</v>
      </c>
      <c r="G2328" s="3" t="s">
        <v>57</v>
      </c>
      <c r="H2328" s="2" t="s">
        <v>20</v>
      </c>
      <c r="I2328" s="2" t="s">
        <v>4880</v>
      </c>
      <c r="J2328" s="3" t="str">
        <f>HYPERLINK("https://www.boe.es/gazeta/dias/1822/10/07/pdfs/GMD-1822-293.pdf#page=4","Abrir facsímil")</f>
        <v>Abrir facsímil</v>
      </c>
      <c r="K2328" s="3" t="s">
        <v>22</v>
      </c>
    </row>
    <row r="2329" spans="1:11" ht="42" customHeight="1">
      <c r="A2329" s="2" t="s">
        <v>4881</v>
      </c>
      <c r="B2329" s="2" t="s">
        <v>4882</v>
      </c>
      <c r="C2329" s="2" t="s">
        <v>16</v>
      </c>
      <c r="D2329" s="2" t="s">
        <v>17</v>
      </c>
      <c r="E2329" s="5">
        <v>-28346</v>
      </c>
      <c r="F2329" s="3" t="s">
        <v>191</v>
      </c>
      <c r="G2329" s="3" t="s">
        <v>63</v>
      </c>
      <c r="H2329" s="2" t="s">
        <v>20</v>
      </c>
      <c r="I2329" s="2" t="s">
        <v>4883</v>
      </c>
      <c r="J2329" s="3" t="str">
        <f>HYPERLINK("https://www.boe.es/gazeta/dias/1822/05/22/pdfs/GMD-1822-145.pdf#page=6","Abrir facsímil")</f>
        <v>Abrir facsímil</v>
      </c>
      <c r="K2329" s="3" t="s">
        <v>22</v>
      </c>
    </row>
    <row r="2330" spans="1:11" ht="42" customHeight="1">
      <c r="A2330" s="2" t="s">
        <v>4884</v>
      </c>
      <c r="B2330" s="2" t="s">
        <v>4885</v>
      </c>
      <c r="C2330" s="2" t="s">
        <v>50</v>
      </c>
      <c r="D2330" s="2" t="s">
        <v>51</v>
      </c>
      <c r="E2330" s="5">
        <v>-28264</v>
      </c>
      <c r="F2330" s="3" t="s">
        <v>1329</v>
      </c>
      <c r="G2330" s="3" t="s">
        <v>57</v>
      </c>
      <c r="H2330" s="2" t="s">
        <v>20</v>
      </c>
      <c r="I2330" s="2" t="s">
        <v>4886</v>
      </c>
      <c r="J2330" s="3" t="str">
        <f>HYPERLINK("https://www.boe.es/gazeta/dias/1822/08/12/pdfs/GMD-1822-236.pdf#page=4","Abrir facsímil")</f>
        <v>Abrir facsímil</v>
      </c>
      <c r="K2330" s="3" t="s">
        <v>22</v>
      </c>
    </row>
    <row r="2331" spans="1:11" ht="42" customHeight="1">
      <c r="A2331" s="2" t="s">
        <v>4887</v>
      </c>
      <c r="B2331" s="2" t="s">
        <v>4887</v>
      </c>
      <c r="C2331" s="2" t="s">
        <v>50</v>
      </c>
      <c r="D2331" s="2" t="s">
        <v>51</v>
      </c>
      <c r="E2331" s="5">
        <v>-28238</v>
      </c>
      <c r="F2331" s="3" t="s">
        <v>2077</v>
      </c>
      <c r="G2331" s="3" t="s">
        <v>57</v>
      </c>
      <c r="H2331" s="2" t="s">
        <v>20</v>
      </c>
      <c r="I2331" s="2" t="s">
        <v>4888</v>
      </c>
      <c r="J2331" s="3" t="str">
        <f>HYPERLINK("https://www.boe.es/gazeta/dias/1822/09/07/pdfs/GMD-1822-262.pdf#page=4","Abrir facsímil")</f>
        <v>Abrir facsímil</v>
      </c>
      <c r="K2331" s="3" t="s">
        <v>22</v>
      </c>
    </row>
    <row r="2332" spans="1:11" ht="42" customHeight="1">
      <c r="A2332" s="2" t="s">
        <v>4889</v>
      </c>
      <c r="B2332" s="2" t="s">
        <v>4889</v>
      </c>
      <c r="C2332" s="2" t="s">
        <v>50</v>
      </c>
      <c r="D2332" s="2" t="s">
        <v>51</v>
      </c>
      <c r="E2332" s="5">
        <v>-28305</v>
      </c>
      <c r="F2332" s="3" t="s">
        <v>1337</v>
      </c>
      <c r="G2332" s="3" t="s">
        <v>31</v>
      </c>
      <c r="H2332" s="2" t="s">
        <v>20</v>
      </c>
      <c r="I2332" s="2" t="s">
        <v>4890</v>
      </c>
      <c r="J2332" s="3" t="str">
        <f>HYPERLINK("https://www.boe.es/gazeta/dias/1822/07/02/pdfs/GMD-1822-191.pdf#page=3","Abrir facsímil")</f>
        <v>Abrir facsímil</v>
      </c>
      <c r="K2332" s="3" t="s">
        <v>22</v>
      </c>
    </row>
    <row r="2333" spans="1:11" ht="42" customHeight="1">
      <c r="A2333" s="2" t="s">
        <v>4891</v>
      </c>
      <c r="B2333" s="2" t="s">
        <v>4892</v>
      </c>
      <c r="C2333" s="2" t="s">
        <v>50</v>
      </c>
      <c r="D2333" s="2" t="s">
        <v>51</v>
      </c>
      <c r="E2333" s="5">
        <v>-28341</v>
      </c>
      <c r="F2333" s="3" t="s">
        <v>284</v>
      </c>
      <c r="G2333" s="3" t="s">
        <v>31</v>
      </c>
      <c r="H2333" s="2" t="s">
        <v>20</v>
      </c>
      <c r="I2333" s="2" t="s">
        <v>4893</v>
      </c>
      <c r="J2333" s="3" t="str">
        <f>HYPERLINK("https://www.boe.es/gazeta/dias/1822/05/27/pdfs/GMD-1822-152.pdf#page=3","Abrir facsímil")</f>
        <v>Abrir facsímil</v>
      </c>
      <c r="K2333" s="3" t="s">
        <v>22</v>
      </c>
    </row>
    <row r="2334" spans="1:11" ht="42" customHeight="1">
      <c r="A2334" s="2" t="s">
        <v>4894</v>
      </c>
      <c r="B2334" s="2" t="s">
        <v>4895</v>
      </c>
      <c r="C2334" s="2" t="s">
        <v>16</v>
      </c>
      <c r="D2334" s="2" t="s">
        <v>17</v>
      </c>
      <c r="E2334" s="5">
        <v>-28377</v>
      </c>
      <c r="F2334" s="3" t="s">
        <v>498</v>
      </c>
      <c r="G2334" s="3" t="s">
        <v>57</v>
      </c>
      <c r="H2334" s="2" t="s">
        <v>20</v>
      </c>
      <c r="I2334" s="2" t="s">
        <v>4896</v>
      </c>
      <c r="J2334" s="3" t="str">
        <f>HYPERLINK("https://www.boe.es/gazeta/dias/1822/04/21/pdfs/GMD-1822-113.pdf#page=4","Abrir facsímil")</f>
        <v>Abrir facsímil</v>
      </c>
      <c r="K2334" s="3" t="s">
        <v>22</v>
      </c>
    </row>
    <row r="2335" spans="1:11" ht="42" customHeight="1">
      <c r="A2335" s="2" t="s">
        <v>4897</v>
      </c>
      <c r="B2335" s="2" t="s">
        <v>4898</v>
      </c>
      <c r="C2335" s="2" t="s">
        <v>42</v>
      </c>
      <c r="D2335" s="2" t="s">
        <v>17</v>
      </c>
      <c r="E2335" s="5">
        <v>-28450</v>
      </c>
      <c r="F2335" s="3" t="s">
        <v>1450</v>
      </c>
      <c r="G2335" s="3" t="s">
        <v>2247</v>
      </c>
      <c r="H2335" s="2" t="s">
        <v>20</v>
      </c>
      <c r="I2335" s="2" t="s">
        <v>4899</v>
      </c>
      <c r="J2335" s="3" t="str">
        <f>HYPERLINK("https://www.boe.es/gazeta/dias/1822/02/07/pdfs/GMD-1822-38.pdf#page=6","Abrir facsímil")</f>
        <v>Abrir facsímil</v>
      </c>
      <c r="K2335" s="3" t="s">
        <v>22</v>
      </c>
    </row>
    <row r="2336" spans="1:11" ht="42" customHeight="1">
      <c r="A2336" s="2" t="s">
        <v>4900</v>
      </c>
      <c r="B2336" s="2" t="s">
        <v>4901</v>
      </c>
      <c r="C2336" s="2" t="s">
        <v>362</v>
      </c>
      <c r="D2336" s="2" t="s">
        <v>17</v>
      </c>
      <c r="E2336" s="5">
        <v>-28373</v>
      </c>
      <c r="F2336" s="3" t="s">
        <v>614</v>
      </c>
      <c r="G2336" s="3" t="s">
        <v>35</v>
      </c>
      <c r="H2336" s="2" t="s">
        <v>20</v>
      </c>
      <c r="I2336" s="2" t="s">
        <v>4902</v>
      </c>
      <c r="J2336" s="3" t="str">
        <f>HYPERLINK("https://www.boe.es/gazeta/dias/1822/04/25/pdfs/GMD-1822-117.pdf#page=2","Abrir facsímil")</f>
        <v>Abrir facsímil</v>
      </c>
      <c r="K2336" s="3" t="s">
        <v>22</v>
      </c>
    </row>
    <row r="2337" spans="1:11" ht="42" customHeight="1">
      <c r="A2337" s="2" t="s">
        <v>4903</v>
      </c>
      <c r="B2337" s="2" t="s">
        <v>4904</v>
      </c>
      <c r="C2337" s="2" t="s">
        <v>28</v>
      </c>
      <c r="D2337" s="2" t="s">
        <v>29</v>
      </c>
      <c r="E2337" s="5">
        <v>-28468</v>
      </c>
      <c r="F2337" s="3" t="s">
        <v>1012</v>
      </c>
      <c r="G2337" s="3" t="s">
        <v>44</v>
      </c>
      <c r="H2337" s="2" t="s">
        <v>20</v>
      </c>
      <c r="I2337" s="2" t="s">
        <v>4905</v>
      </c>
      <c r="J2337" s="3" t="str">
        <f>HYPERLINK("https://www.boe.es/gazeta/dias/1822/01/20/pdfs/GMD-1822-20.pdf#page=1","Abrir facsímil")</f>
        <v>Abrir facsímil</v>
      </c>
      <c r="K2337" s="3" t="s">
        <v>22</v>
      </c>
    </row>
    <row r="2338" spans="1:11" ht="42" customHeight="1">
      <c r="A2338" s="2" t="s">
        <v>4906</v>
      </c>
      <c r="B2338" s="2" t="s">
        <v>4907</v>
      </c>
      <c r="C2338" s="2" t="s">
        <v>50</v>
      </c>
      <c r="D2338" s="2" t="s">
        <v>51</v>
      </c>
      <c r="E2338" s="5">
        <v>-28258</v>
      </c>
      <c r="F2338" s="3" t="s">
        <v>88</v>
      </c>
      <c r="G2338" s="3" t="s">
        <v>31</v>
      </c>
      <c r="H2338" s="2" t="s">
        <v>20</v>
      </c>
      <c r="I2338" s="2" t="s">
        <v>4908</v>
      </c>
      <c r="J2338" s="3" t="str">
        <f>HYPERLINK("https://www.boe.es/gazeta/dias/1822/08/18/pdfs/GMD-1822-242.pdf#page=3","Abrir facsímil")</f>
        <v>Abrir facsímil</v>
      </c>
      <c r="K2338" s="3" t="s">
        <v>22</v>
      </c>
    </row>
    <row r="2339" spans="1:11" ht="42" customHeight="1">
      <c r="A2339" s="2" t="s">
        <v>4909</v>
      </c>
      <c r="B2339" s="2" t="s">
        <v>4910</v>
      </c>
      <c r="C2339" s="2" t="s">
        <v>50</v>
      </c>
      <c r="D2339" s="2" t="s">
        <v>51</v>
      </c>
      <c r="E2339" s="5">
        <v>-28228</v>
      </c>
      <c r="F2339" s="3" t="s">
        <v>718</v>
      </c>
      <c r="G2339" s="3" t="s">
        <v>719</v>
      </c>
      <c r="H2339" s="2" t="s">
        <v>20</v>
      </c>
      <c r="I2339" s="2" t="s">
        <v>4911</v>
      </c>
      <c r="J2339" s="3" t="str">
        <f>HYPERLINK("https://www.boe.es/gazeta/dias/1822/09/17/pdfs/GMD-1822-273.pdf#page=3","Abrir facsímil")</f>
        <v>Abrir facsímil</v>
      </c>
      <c r="K2339" s="3" t="s">
        <v>22</v>
      </c>
    </row>
    <row r="2340" spans="1:11" ht="42" customHeight="1">
      <c r="A2340" s="2" t="s">
        <v>4912</v>
      </c>
      <c r="B2340" s="2" t="s">
        <v>4913</v>
      </c>
      <c r="C2340" s="2" t="s">
        <v>50</v>
      </c>
      <c r="D2340" s="2" t="s">
        <v>51</v>
      </c>
      <c r="E2340" s="5">
        <v>-28290</v>
      </c>
      <c r="F2340" s="3" t="s">
        <v>706</v>
      </c>
      <c r="G2340" s="3" t="s">
        <v>57</v>
      </c>
      <c r="H2340" s="2" t="s">
        <v>20</v>
      </c>
      <c r="I2340" s="2" t="s">
        <v>4914</v>
      </c>
      <c r="J2340" s="3" t="str">
        <f>HYPERLINK("https://www.boe.es/gazeta/dias/1822/07/17/pdfs/GMD-1822-207.pdf#page=4","Abrir facsímil")</f>
        <v>Abrir facsímil</v>
      </c>
      <c r="K2340" s="3" t="s">
        <v>22</v>
      </c>
    </row>
    <row r="2341" spans="1:11" ht="42" customHeight="1">
      <c r="A2341" s="2" t="s">
        <v>4915</v>
      </c>
      <c r="B2341" s="2" t="s">
        <v>4916</v>
      </c>
      <c r="C2341" s="2" t="s">
        <v>28</v>
      </c>
      <c r="D2341" s="2" t="s">
        <v>29</v>
      </c>
      <c r="E2341" s="5">
        <v>-28345</v>
      </c>
      <c r="F2341" s="3" t="s">
        <v>294</v>
      </c>
      <c r="G2341" s="3" t="s">
        <v>63</v>
      </c>
      <c r="H2341" s="2" t="s">
        <v>20</v>
      </c>
      <c r="I2341" s="2" t="s">
        <v>4917</v>
      </c>
      <c r="J2341" s="3" t="str">
        <f>HYPERLINK("https://www.boe.es/gazeta/dias/1822/05/23/pdfs/GMD-1822-147.pdf#page=6","Abrir facsímil")</f>
        <v>Abrir facsímil</v>
      </c>
      <c r="K2341" s="3" t="s">
        <v>22</v>
      </c>
    </row>
    <row r="2342" spans="1:11" ht="42" customHeight="1">
      <c r="A2342" s="2" t="s">
        <v>4918</v>
      </c>
      <c r="B2342" s="2" t="s">
        <v>4919</v>
      </c>
      <c r="C2342" s="2" t="s">
        <v>42</v>
      </c>
      <c r="D2342" s="2" t="s">
        <v>17</v>
      </c>
      <c r="E2342" s="5">
        <v>-28258</v>
      </c>
      <c r="F2342" s="3" t="s">
        <v>88</v>
      </c>
      <c r="G2342" s="3" t="s">
        <v>35</v>
      </c>
      <c r="H2342" s="2" t="s">
        <v>20</v>
      </c>
      <c r="I2342" s="2" t="s">
        <v>4920</v>
      </c>
      <c r="J2342" s="3" t="str">
        <f>HYPERLINK("https://www.boe.es/gazeta/dias/1822/08/18/pdfs/GMD-1822-242.pdf#page=2","Abrir facsímil")</f>
        <v>Abrir facsímil</v>
      </c>
      <c r="K2342" s="3" t="s">
        <v>22</v>
      </c>
    </row>
    <row r="2343" spans="1:11" ht="42" customHeight="1">
      <c r="A2343" s="2" t="s">
        <v>4921</v>
      </c>
      <c r="B2343" s="2" t="s">
        <v>4922</v>
      </c>
      <c r="C2343" s="2" t="s">
        <v>28</v>
      </c>
      <c r="D2343" s="2" t="s">
        <v>29</v>
      </c>
      <c r="E2343" s="5">
        <v>-28140</v>
      </c>
      <c r="F2343" s="3" t="s">
        <v>84</v>
      </c>
      <c r="G2343" s="3" t="s">
        <v>35</v>
      </c>
      <c r="H2343" s="2" t="s">
        <v>20</v>
      </c>
      <c r="I2343" s="2" t="s">
        <v>4923</v>
      </c>
      <c r="J2343" s="3" t="str">
        <f>HYPERLINK("https://www.boe.es/gazeta/dias/1822/12/14/pdfs/GMD-1822-364.pdf#page=2","Abrir facsímil")</f>
        <v>Abrir facsímil</v>
      </c>
      <c r="K2343" s="3" t="s">
        <v>22</v>
      </c>
    </row>
    <row r="2344" spans="1:11" ht="42" customHeight="1">
      <c r="A2344" s="2" t="s">
        <v>4924</v>
      </c>
      <c r="B2344" s="2" t="s">
        <v>4925</v>
      </c>
      <c r="C2344" s="2" t="s">
        <v>28</v>
      </c>
      <c r="D2344" s="2" t="s">
        <v>29</v>
      </c>
      <c r="E2344" s="5">
        <v>-28409</v>
      </c>
      <c r="F2344" s="3" t="s">
        <v>394</v>
      </c>
      <c r="G2344" s="3" t="s">
        <v>31</v>
      </c>
      <c r="H2344" s="2" t="s">
        <v>20</v>
      </c>
      <c r="I2344" s="2" t="s">
        <v>4926</v>
      </c>
      <c r="J2344" s="3" t="str">
        <f>HYPERLINK("https://www.boe.es/gazeta/dias/1822/03/20/pdfs/GMD-1822-81.pdf#page=3","Abrir facsímil")</f>
        <v>Abrir facsímil</v>
      </c>
      <c r="K2344" s="3" t="s">
        <v>22</v>
      </c>
    </row>
    <row r="2345" spans="1:11" ht="42" customHeight="1">
      <c r="A2345" s="2" t="s">
        <v>4927</v>
      </c>
      <c r="B2345" s="2" t="s">
        <v>4927</v>
      </c>
      <c r="C2345" s="2" t="s">
        <v>50</v>
      </c>
      <c r="D2345" s="2" t="s">
        <v>51</v>
      </c>
      <c r="E2345" s="5">
        <v>-28396</v>
      </c>
      <c r="F2345" s="3" t="s">
        <v>1138</v>
      </c>
      <c r="G2345" s="3" t="s">
        <v>167</v>
      </c>
      <c r="H2345" s="2" t="s">
        <v>20</v>
      </c>
      <c r="I2345" s="2" t="s">
        <v>4928</v>
      </c>
      <c r="J2345" s="3" t="str">
        <f>HYPERLINK("https://www.boe.es/gazeta/dias/1822/04/02/pdfs/GMD-1822-94.pdf#page=7","Abrir facsímil")</f>
        <v>Abrir facsímil</v>
      </c>
      <c r="K2345" s="3" t="s">
        <v>22</v>
      </c>
    </row>
    <row r="2346" spans="1:11" ht="42" customHeight="1">
      <c r="A2346" s="2" t="s">
        <v>4927</v>
      </c>
      <c r="B2346" s="2" t="s">
        <v>4927</v>
      </c>
      <c r="C2346" s="2" t="s">
        <v>28</v>
      </c>
      <c r="D2346" s="2" t="s">
        <v>29</v>
      </c>
      <c r="E2346" s="5">
        <v>-28203</v>
      </c>
      <c r="F2346" s="3" t="s">
        <v>564</v>
      </c>
      <c r="G2346" s="3" t="s">
        <v>44</v>
      </c>
      <c r="H2346" s="2" t="s">
        <v>20</v>
      </c>
      <c r="I2346" s="2" t="s">
        <v>4929</v>
      </c>
      <c r="J2346" s="3" t="str">
        <f>HYPERLINK("https://www.boe.es/gazeta/dias/1822/10/12/pdfs/GMD-1822-299.pdf#page=1","Abrir facsímil")</f>
        <v>Abrir facsímil</v>
      </c>
      <c r="K2346" s="3" t="s">
        <v>22</v>
      </c>
    </row>
    <row r="2347" spans="1:11" ht="42" customHeight="1">
      <c r="A2347" s="2" t="s">
        <v>4927</v>
      </c>
      <c r="B2347" s="2" t="s">
        <v>4927</v>
      </c>
      <c r="C2347" s="2" t="s">
        <v>50</v>
      </c>
      <c r="D2347" s="2" t="s">
        <v>51</v>
      </c>
      <c r="E2347" s="5">
        <v>-28200</v>
      </c>
      <c r="F2347" s="3" t="s">
        <v>1037</v>
      </c>
      <c r="G2347" s="3" t="s">
        <v>57</v>
      </c>
      <c r="H2347" s="2" t="s">
        <v>20</v>
      </c>
      <c r="I2347" s="2" t="s">
        <v>4930</v>
      </c>
      <c r="J2347" s="3" t="str">
        <f>HYPERLINK("https://www.boe.es/gazeta/dias/1822/10/15/pdfs/GMD-1822-302.pdf#page=4","Abrir facsímil")</f>
        <v>Abrir facsímil</v>
      </c>
      <c r="K2347" s="3" t="s">
        <v>22</v>
      </c>
    </row>
    <row r="2348" spans="1:11" ht="42" customHeight="1">
      <c r="A2348" s="2" t="s">
        <v>4927</v>
      </c>
      <c r="B2348" s="2" t="s">
        <v>4927</v>
      </c>
      <c r="C2348" s="2" t="s">
        <v>24</v>
      </c>
      <c r="D2348" s="2" t="s">
        <v>17</v>
      </c>
      <c r="E2348" s="5">
        <v>-28153</v>
      </c>
      <c r="F2348" s="3" t="s">
        <v>946</v>
      </c>
      <c r="G2348" s="3" t="s">
        <v>31</v>
      </c>
      <c r="H2348" s="2" t="s">
        <v>20</v>
      </c>
      <c r="I2348" s="2" t="s">
        <v>4931</v>
      </c>
      <c r="J2348" s="3" t="str">
        <f>HYPERLINK("https://www.boe.es/gazeta/dias/1822/12/01/pdfs/GMD-1822-351.pdf#page=3","Abrir facsímil")</f>
        <v>Abrir facsímil</v>
      </c>
      <c r="K2348" s="3" t="s">
        <v>22</v>
      </c>
    </row>
    <row r="2349" spans="1:11" ht="42" customHeight="1">
      <c r="A2349" s="2" t="s">
        <v>4932</v>
      </c>
      <c r="B2349" s="2" t="s">
        <v>4933</v>
      </c>
      <c r="C2349" s="2" t="s">
        <v>42</v>
      </c>
      <c r="D2349" s="2" t="s">
        <v>17</v>
      </c>
      <c r="E2349" s="5">
        <v>-28189</v>
      </c>
      <c r="F2349" s="3" t="s">
        <v>645</v>
      </c>
      <c r="G2349" s="3" t="s">
        <v>19</v>
      </c>
      <c r="H2349" s="2" t="s">
        <v>20</v>
      </c>
      <c r="I2349" s="2" t="s">
        <v>4934</v>
      </c>
      <c r="J2349" s="3" t="str">
        <f>HYPERLINK("https://www.boe.es/gazeta/dias/1822/10/26/pdfs/GMD-1822-313.pdf#page=5","Abrir facsímil")</f>
        <v>Abrir facsímil</v>
      </c>
      <c r="K2349" s="3" t="s">
        <v>22</v>
      </c>
    </row>
    <row r="2350" spans="1:11" ht="42" customHeight="1">
      <c r="A2350" s="2" t="s">
        <v>4935</v>
      </c>
      <c r="B2350" s="2" t="s">
        <v>4935</v>
      </c>
      <c r="C2350" s="2" t="s">
        <v>28</v>
      </c>
      <c r="D2350" s="2" t="s">
        <v>29</v>
      </c>
      <c r="E2350" s="5">
        <v>-28200</v>
      </c>
      <c r="F2350" s="3" t="s">
        <v>1037</v>
      </c>
      <c r="G2350" s="3" t="s">
        <v>57</v>
      </c>
      <c r="H2350" s="2" t="s">
        <v>20</v>
      </c>
      <c r="I2350" s="2" t="s">
        <v>4936</v>
      </c>
      <c r="J2350" s="3" t="str">
        <f>HYPERLINK("https://www.boe.es/gazeta/dias/1822/10/15/pdfs/GMD-1822-302.pdf#page=4","Abrir facsímil")</f>
        <v>Abrir facsímil</v>
      </c>
      <c r="K2350" s="3" t="s">
        <v>22</v>
      </c>
    </row>
    <row r="2351" spans="1:11" ht="42" customHeight="1">
      <c r="A2351" s="2" t="s">
        <v>4937</v>
      </c>
      <c r="B2351" s="2" t="s">
        <v>4937</v>
      </c>
      <c r="C2351" s="2" t="s">
        <v>50</v>
      </c>
      <c r="D2351" s="2" t="s">
        <v>51</v>
      </c>
      <c r="E2351" s="5">
        <v>-28320</v>
      </c>
      <c r="F2351" s="3" t="s">
        <v>700</v>
      </c>
      <c r="G2351" s="3" t="s">
        <v>31</v>
      </c>
      <c r="H2351" s="2" t="s">
        <v>20</v>
      </c>
      <c r="I2351" s="2" t="s">
        <v>4938</v>
      </c>
      <c r="J2351" s="3" t="str">
        <f>HYPERLINK("https://www.boe.es/gazeta/dias/1822/06/17/pdfs/GMD-1822-174.pdf#page=3","Abrir facsímil")</f>
        <v>Abrir facsímil</v>
      </c>
      <c r="K2351" s="3" t="s">
        <v>22</v>
      </c>
    </row>
    <row r="2352" spans="1:11" ht="42" customHeight="1">
      <c r="A2352" s="2" t="s">
        <v>4937</v>
      </c>
      <c r="B2352" s="2" t="s">
        <v>4937</v>
      </c>
      <c r="C2352" s="2" t="s">
        <v>16</v>
      </c>
      <c r="D2352" s="2" t="s">
        <v>17</v>
      </c>
      <c r="E2352" s="5">
        <v>-28188</v>
      </c>
      <c r="F2352" s="3" t="s">
        <v>578</v>
      </c>
      <c r="G2352" s="3" t="s">
        <v>19</v>
      </c>
      <c r="H2352" s="2" t="s">
        <v>20</v>
      </c>
      <c r="I2352" s="2" t="s">
        <v>4939</v>
      </c>
      <c r="J2352" s="3" t="str">
        <f>HYPERLINK("https://www.boe.es/gazeta/dias/1822/10/27/pdfs/GMD-1822-314.pdf#page=5","Abrir facsímil")</f>
        <v>Abrir facsímil</v>
      </c>
      <c r="K2352" s="3" t="s">
        <v>22</v>
      </c>
    </row>
    <row r="2353" spans="1:11" ht="42" customHeight="1">
      <c r="A2353" s="2" t="s">
        <v>4940</v>
      </c>
      <c r="B2353" s="2" t="s">
        <v>4941</v>
      </c>
      <c r="C2353" s="2" t="s">
        <v>24</v>
      </c>
      <c r="D2353" s="2" t="s">
        <v>17</v>
      </c>
      <c r="E2353" s="5">
        <v>-28271</v>
      </c>
      <c r="F2353" s="3" t="s">
        <v>4942</v>
      </c>
      <c r="G2353" s="3" t="s">
        <v>57</v>
      </c>
      <c r="H2353" s="2" t="s">
        <v>20</v>
      </c>
      <c r="I2353" s="2" t="s">
        <v>4943</v>
      </c>
      <c r="J2353" s="3" t="str">
        <f>HYPERLINK("https://www.boe.es/gazeta/dias/1822/08/05/pdfs/GMD-1822-229.pdf#page=4","Abrir facsímil")</f>
        <v>Abrir facsímil</v>
      </c>
      <c r="K2353" s="3" t="s">
        <v>22</v>
      </c>
    </row>
    <row r="2354" spans="1:11" ht="42" customHeight="1">
      <c r="A2354" s="2" t="s">
        <v>4944</v>
      </c>
      <c r="B2354" s="2" t="s">
        <v>4945</v>
      </c>
      <c r="C2354" s="2" t="s">
        <v>28</v>
      </c>
      <c r="D2354" s="2" t="s">
        <v>29</v>
      </c>
      <c r="E2354" s="5">
        <v>-28365</v>
      </c>
      <c r="F2354" s="3" t="s">
        <v>506</v>
      </c>
      <c r="G2354" s="3" t="s">
        <v>31</v>
      </c>
      <c r="H2354" s="2" t="s">
        <v>20</v>
      </c>
      <c r="I2354" s="2" t="s">
        <v>4946</v>
      </c>
      <c r="J2354" s="3" t="str">
        <f>HYPERLINK("https://www.boe.es/gazeta/dias/1822/05/03/pdfs/GMD-1822-125.pdf#page=3","Abrir facsímil")</f>
        <v>Abrir facsímil</v>
      </c>
      <c r="K2354" s="3" t="s">
        <v>22</v>
      </c>
    </row>
    <row r="2355" spans="1:11" ht="42" customHeight="1">
      <c r="A2355" s="2" t="s">
        <v>4947</v>
      </c>
      <c r="B2355" s="2" t="s">
        <v>4947</v>
      </c>
      <c r="C2355" s="2" t="s">
        <v>16</v>
      </c>
      <c r="D2355" s="2" t="s">
        <v>17</v>
      </c>
      <c r="E2355" s="5">
        <v>-28395</v>
      </c>
      <c r="F2355" s="3" t="s">
        <v>237</v>
      </c>
      <c r="G2355" s="3" t="s">
        <v>57</v>
      </c>
      <c r="H2355" s="2" t="s">
        <v>20</v>
      </c>
      <c r="I2355" s="2" t="s">
        <v>4948</v>
      </c>
      <c r="J2355" s="3" t="str">
        <f>HYPERLINK("https://www.boe.es/gazeta/dias/1822/04/03/pdfs/GMD-1822-95.pdf#page=4","Abrir facsímil")</f>
        <v>Abrir facsímil</v>
      </c>
      <c r="K2355" s="3" t="s">
        <v>22</v>
      </c>
    </row>
    <row r="2356" spans="1:11" ht="42" customHeight="1">
      <c r="A2356" s="2" t="s">
        <v>4947</v>
      </c>
      <c r="B2356" s="2" t="s">
        <v>4947</v>
      </c>
      <c r="C2356" s="2" t="s">
        <v>71</v>
      </c>
      <c r="D2356" s="2" t="s">
        <v>17</v>
      </c>
      <c r="E2356" s="5">
        <v>-28339</v>
      </c>
      <c r="F2356" s="3" t="s">
        <v>197</v>
      </c>
      <c r="G2356" s="3" t="s">
        <v>35</v>
      </c>
      <c r="H2356" s="2" t="s">
        <v>20</v>
      </c>
      <c r="I2356" s="2" t="s">
        <v>4949</v>
      </c>
      <c r="J2356" s="3" t="str">
        <f>HYPERLINK("https://www.boe.es/gazeta/dias/1822/05/29/pdfs/GMD-1822-154.pdf#page=2","Abrir facsímil")</f>
        <v>Abrir facsímil</v>
      </c>
      <c r="K2356" s="3" t="s">
        <v>22</v>
      </c>
    </row>
    <row r="2357" spans="1:11" ht="42" customHeight="1">
      <c r="A2357" s="2" t="s">
        <v>4950</v>
      </c>
      <c r="B2357" s="2" t="s">
        <v>4950</v>
      </c>
      <c r="C2357" s="2" t="s">
        <v>42</v>
      </c>
      <c r="D2357" s="2" t="s">
        <v>17</v>
      </c>
      <c r="E2357" s="5">
        <v>-28258</v>
      </c>
      <c r="F2357" s="3" t="s">
        <v>88</v>
      </c>
      <c r="G2357" s="3" t="s">
        <v>35</v>
      </c>
      <c r="H2357" s="2" t="s">
        <v>20</v>
      </c>
      <c r="I2357" s="2" t="s">
        <v>4951</v>
      </c>
      <c r="J2357" s="3" t="str">
        <f>HYPERLINK("https://www.boe.es/gazeta/dias/1822/08/18/pdfs/GMD-1822-242.pdf#page=2","Abrir facsímil")</f>
        <v>Abrir facsímil</v>
      </c>
      <c r="K2357" s="3" t="s">
        <v>22</v>
      </c>
    </row>
    <row r="2358" spans="1:11" ht="42" customHeight="1">
      <c r="A2358" s="2" t="s">
        <v>4952</v>
      </c>
      <c r="B2358" s="2" t="s">
        <v>4952</v>
      </c>
      <c r="C2358" s="2" t="s">
        <v>71</v>
      </c>
      <c r="D2358" s="2" t="s">
        <v>17</v>
      </c>
      <c r="E2358" s="5">
        <v>-28189</v>
      </c>
      <c r="F2358" s="3" t="s">
        <v>645</v>
      </c>
      <c r="G2358" s="3" t="s">
        <v>35</v>
      </c>
      <c r="H2358" s="2" t="s">
        <v>20</v>
      </c>
      <c r="I2358" s="2" t="s">
        <v>4953</v>
      </c>
      <c r="J2358" s="3" t="str">
        <f>HYPERLINK("https://www.boe.es/gazeta/dias/1822/10/26/pdfs/GMD-1822-313.pdf#page=2","Abrir facsímil")</f>
        <v>Abrir facsímil</v>
      </c>
      <c r="K2358" s="3" t="s">
        <v>22</v>
      </c>
    </row>
    <row r="2359" spans="1:11" ht="42" customHeight="1">
      <c r="A2359" s="2" t="s">
        <v>4954</v>
      </c>
      <c r="B2359" s="2" t="s">
        <v>4955</v>
      </c>
      <c r="C2359" s="2" t="s">
        <v>50</v>
      </c>
      <c r="D2359" s="2" t="s">
        <v>51</v>
      </c>
      <c r="E2359" s="5">
        <v>-28265</v>
      </c>
      <c r="F2359" s="3" t="s">
        <v>1263</v>
      </c>
      <c r="G2359" s="3" t="s">
        <v>57</v>
      </c>
      <c r="H2359" s="2" t="s">
        <v>20</v>
      </c>
      <c r="I2359" s="2" t="s">
        <v>4956</v>
      </c>
      <c r="J2359" s="3" t="str">
        <f>HYPERLINK("https://www.boe.es/gazeta/dias/1822/08/11/pdfs/GMD-1822-235.pdf#page=4","Abrir facsímil")</f>
        <v>Abrir facsímil</v>
      </c>
      <c r="K2359" s="3" t="s">
        <v>22</v>
      </c>
    </row>
    <row r="2360" spans="1:11" ht="42" customHeight="1">
      <c r="A2360" s="2" t="s">
        <v>4957</v>
      </c>
      <c r="B2360" s="2" t="s">
        <v>4958</v>
      </c>
      <c r="C2360" s="2" t="s">
        <v>50</v>
      </c>
      <c r="D2360" s="2" t="s">
        <v>51</v>
      </c>
      <c r="E2360" s="5">
        <v>-28427</v>
      </c>
      <c r="F2360" s="3" t="s">
        <v>755</v>
      </c>
      <c r="G2360" s="3" t="s">
        <v>57</v>
      </c>
      <c r="H2360" s="2" t="s">
        <v>20</v>
      </c>
      <c r="I2360" s="2" t="s">
        <v>4959</v>
      </c>
      <c r="J2360" s="3" t="str">
        <f>HYPERLINK("https://www.boe.es/gazeta/dias/1822/03/02/pdfs/GMD-1822-63.pdf#page=4","Abrir facsímil")</f>
        <v>Abrir facsímil</v>
      </c>
      <c r="K2360" s="3" t="s">
        <v>22</v>
      </c>
    </row>
    <row r="2361" spans="1:11" ht="42" customHeight="1">
      <c r="A2361" s="2" t="s">
        <v>4960</v>
      </c>
      <c r="B2361" s="2" t="s">
        <v>4960</v>
      </c>
      <c r="C2361" s="2" t="s">
        <v>42</v>
      </c>
      <c r="D2361" s="2" t="s">
        <v>17</v>
      </c>
      <c r="E2361" s="5">
        <v>-28434</v>
      </c>
      <c r="F2361" s="3" t="s">
        <v>433</v>
      </c>
      <c r="G2361" s="3" t="s">
        <v>31</v>
      </c>
      <c r="H2361" s="2" t="s">
        <v>20</v>
      </c>
      <c r="I2361" s="2" t="s">
        <v>4961</v>
      </c>
      <c r="J2361" s="3" t="str">
        <f>HYPERLINK("https://www.boe.es/gazeta/dias/1822/02/23/pdfs/GMD-1822-55.pdf#page=3","Abrir facsímil")</f>
        <v>Abrir facsímil</v>
      </c>
      <c r="K2361" s="3" t="s">
        <v>22</v>
      </c>
    </row>
    <row r="2362" spans="1:11" ht="42" customHeight="1">
      <c r="A2362" s="2" t="s">
        <v>4960</v>
      </c>
      <c r="B2362" s="2" t="s">
        <v>4960</v>
      </c>
      <c r="C2362" s="2" t="s">
        <v>16</v>
      </c>
      <c r="D2362" s="2" t="s">
        <v>17</v>
      </c>
      <c r="E2362" s="5">
        <v>-28434</v>
      </c>
      <c r="F2362" s="3" t="s">
        <v>433</v>
      </c>
      <c r="G2362" s="3" t="s">
        <v>57</v>
      </c>
      <c r="H2362" s="2" t="s">
        <v>20</v>
      </c>
      <c r="I2362" s="2" t="s">
        <v>4962</v>
      </c>
      <c r="J2362" s="3" t="str">
        <f>HYPERLINK("https://www.boe.es/gazeta/dias/1822/02/23/pdfs/GMD-1822-55.pdf#page=4","Abrir facsímil")</f>
        <v>Abrir facsímil</v>
      </c>
      <c r="K2362" s="3" t="s">
        <v>22</v>
      </c>
    </row>
    <row r="2363" spans="1:11" ht="42" customHeight="1">
      <c r="A2363" s="2" t="s">
        <v>4960</v>
      </c>
      <c r="B2363" s="2" t="s">
        <v>4960</v>
      </c>
      <c r="C2363" s="2" t="s">
        <v>28</v>
      </c>
      <c r="D2363" s="2" t="s">
        <v>29</v>
      </c>
      <c r="E2363" s="5">
        <v>-28432</v>
      </c>
      <c r="F2363" s="3" t="s">
        <v>195</v>
      </c>
      <c r="G2363" s="3" t="s">
        <v>31</v>
      </c>
      <c r="H2363" s="2" t="s">
        <v>20</v>
      </c>
      <c r="I2363" s="2" t="s">
        <v>4963</v>
      </c>
      <c r="J2363" s="3" t="str">
        <f>HYPERLINK("https://www.boe.es/gazeta/dias/1822/02/25/pdfs/GMD-1822-57.pdf#page=3","Abrir facsímil")</f>
        <v>Abrir facsímil</v>
      </c>
      <c r="K2363" s="3" t="s">
        <v>22</v>
      </c>
    </row>
    <row r="2364" spans="1:11" ht="42" customHeight="1">
      <c r="A2364" s="2" t="s">
        <v>4960</v>
      </c>
      <c r="B2364" s="2" t="s">
        <v>4960</v>
      </c>
      <c r="C2364" s="2" t="s">
        <v>28</v>
      </c>
      <c r="D2364" s="2" t="s">
        <v>29</v>
      </c>
      <c r="E2364" s="5">
        <v>-28424</v>
      </c>
      <c r="F2364" s="3" t="s">
        <v>439</v>
      </c>
      <c r="G2364" s="3" t="s">
        <v>35</v>
      </c>
      <c r="H2364" s="2" t="s">
        <v>20</v>
      </c>
      <c r="I2364" s="2" t="s">
        <v>4964</v>
      </c>
      <c r="J2364" s="3" t="str">
        <f>HYPERLINK("https://www.boe.es/gazeta/dias/1822/03/05/pdfs/GMD-1822-66.pdf#page=2","Abrir facsímil")</f>
        <v>Abrir facsímil</v>
      </c>
      <c r="K2364" s="3" t="s">
        <v>22</v>
      </c>
    </row>
    <row r="2365" spans="1:11" ht="42" customHeight="1">
      <c r="A2365" s="2" t="s">
        <v>4960</v>
      </c>
      <c r="B2365" s="2" t="s">
        <v>4960</v>
      </c>
      <c r="C2365" s="2" t="s">
        <v>28</v>
      </c>
      <c r="D2365" s="2" t="s">
        <v>29</v>
      </c>
      <c r="E2365" s="5">
        <v>-28423</v>
      </c>
      <c r="F2365" s="3" t="s">
        <v>441</v>
      </c>
      <c r="G2365" s="3" t="s">
        <v>63</v>
      </c>
      <c r="H2365" s="2" t="s">
        <v>20</v>
      </c>
      <c r="I2365" s="2" t="s">
        <v>4965</v>
      </c>
      <c r="J2365" s="3" t="str">
        <f>HYPERLINK("https://www.boe.es/gazeta/dias/1822/03/06/pdfs/GMD-1822-67.pdf#page=6","Abrir facsímil")</f>
        <v>Abrir facsímil</v>
      </c>
      <c r="K2365" s="3" t="s">
        <v>22</v>
      </c>
    </row>
    <row r="2366" spans="1:11" ht="42" customHeight="1">
      <c r="A2366" s="2" t="s">
        <v>4960</v>
      </c>
      <c r="B2366" s="2" t="s">
        <v>4960</v>
      </c>
      <c r="C2366" s="2" t="s">
        <v>42</v>
      </c>
      <c r="D2366" s="2" t="s">
        <v>17</v>
      </c>
      <c r="E2366" s="5">
        <v>-28421</v>
      </c>
      <c r="F2366" s="3" t="s">
        <v>446</v>
      </c>
      <c r="G2366" s="3" t="s">
        <v>31</v>
      </c>
      <c r="H2366" s="2" t="s">
        <v>20</v>
      </c>
      <c r="I2366" s="2" t="s">
        <v>4966</v>
      </c>
      <c r="J2366" s="3" t="str">
        <f>HYPERLINK("https://www.boe.es/gazeta/dias/1822/03/08/pdfs/GMD-1822-69.pdf#page=3","Abrir facsímil")</f>
        <v>Abrir facsímil</v>
      </c>
      <c r="K2366" s="3" t="s">
        <v>22</v>
      </c>
    </row>
    <row r="2367" spans="1:11" ht="42" customHeight="1">
      <c r="A2367" s="2" t="s">
        <v>4960</v>
      </c>
      <c r="B2367" s="2" t="s">
        <v>4960</v>
      </c>
      <c r="C2367" s="2" t="s">
        <v>71</v>
      </c>
      <c r="D2367" s="2" t="s">
        <v>17</v>
      </c>
      <c r="E2367" s="5">
        <v>-28421</v>
      </c>
      <c r="F2367" s="3" t="s">
        <v>446</v>
      </c>
      <c r="G2367" s="3" t="s">
        <v>19</v>
      </c>
      <c r="H2367" s="2" t="s">
        <v>20</v>
      </c>
      <c r="I2367" s="2" t="s">
        <v>4967</v>
      </c>
      <c r="J2367" s="3" t="str">
        <f>HYPERLINK("https://www.boe.es/gazeta/dias/1822/03/08/pdfs/GMD-1822-69.pdf#page=5","Abrir facsímil")</f>
        <v>Abrir facsímil</v>
      </c>
      <c r="K2367" s="3" t="s">
        <v>22</v>
      </c>
    </row>
    <row r="2368" spans="1:11" ht="42" customHeight="1">
      <c r="A2368" s="2" t="s">
        <v>4960</v>
      </c>
      <c r="B2368" s="2" t="s">
        <v>4960</v>
      </c>
      <c r="C2368" s="2" t="s">
        <v>71</v>
      </c>
      <c r="D2368" s="2" t="s">
        <v>17</v>
      </c>
      <c r="E2368" s="5">
        <v>-28419</v>
      </c>
      <c r="F2368" s="3" t="s">
        <v>1392</v>
      </c>
      <c r="G2368" s="3" t="s">
        <v>19</v>
      </c>
      <c r="H2368" s="2" t="s">
        <v>20</v>
      </c>
      <c r="I2368" s="2" t="s">
        <v>4968</v>
      </c>
      <c r="J2368" s="3" t="str">
        <f>HYPERLINK("https://www.boe.es/gazeta/dias/1822/03/10/pdfs/GMD-1822-71.pdf#page=5","Abrir facsímil")</f>
        <v>Abrir facsímil</v>
      </c>
      <c r="K2368" s="3" t="s">
        <v>22</v>
      </c>
    </row>
    <row r="2369" spans="1:11" ht="42" customHeight="1">
      <c r="A2369" s="2" t="s">
        <v>4960</v>
      </c>
      <c r="B2369" s="2" t="s">
        <v>4960</v>
      </c>
      <c r="C2369" s="2" t="s">
        <v>28</v>
      </c>
      <c r="D2369" s="2" t="s">
        <v>29</v>
      </c>
      <c r="E2369" s="5">
        <v>-28417</v>
      </c>
      <c r="F2369" s="3" t="s">
        <v>1394</v>
      </c>
      <c r="G2369" s="3" t="s">
        <v>57</v>
      </c>
      <c r="H2369" s="2" t="s">
        <v>20</v>
      </c>
      <c r="I2369" s="2" t="s">
        <v>4969</v>
      </c>
      <c r="J2369" s="3" t="str">
        <f>HYPERLINK("https://www.boe.es/gazeta/dias/1822/03/12/pdfs/GMD-1822-73.pdf#page=4","Abrir facsímil")</f>
        <v>Abrir facsímil</v>
      </c>
      <c r="K2369" s="3" t="s">
        <v>22</v>
      </c>
    </row>
    <row r="2370" spans="1:11" ht="42" customHeight="1">
      <c r="A2370" s="2" t="s">
        <v>4960</v>
      </c>
      <c r="B2370" s="2" t="s">
        <v>4960</v>
      </c>
      <c r="C2370" s="2" t="s">
        <v>50</v>
      </c>
      <c r="D2370" s="2" t="s">
        <v>51</v>
      </c>
      <c r="E2370" s="5">
        <v>-28412</v>
      </c>
      <c r="F2370" s="3" t="s">
        <v>825</v>
      </c>
      <c r="G2370" s="3" t="s">
        <v>35</v>
      </c>
      <c r="H2370" s="2" t="s">
        <v>20</v>
      </c>
      <c r="I2370" s="2" t="s">
        <v>4970</v>
      </c>
      <c r="J2370" s="3" t="str">
        <f>HYPERLINK("https://www.boe.es/gazeta/dias/1822/03/17/pdfs/GMD-1822-78.pdf#page=2","Abrir facsímil")</f>
        <v>Abrir facsímil</v>
      </c>
      <c r="K2370" s="3" t="s">
        <v>22</v>
      </c>
    </row>
    <row r="2371" spans="1:11" ht="42" customHeight="1">
      <c r="A2371" s="2" t="s">
        <v>4960</v>
      </c>
      <c r="B2371" s="2" t="s">
        <v>4960</v>
      </c>
      <c r="C2371" s="2" t="s">
        <v>28</v>
      </c>
      <c r="D2371" s="2" t="s">
        <v>29</v>
      </c>
      <c r="E2371" s="5">
        <v>-28411</v>
      </c>
      <c r="F2371" s="3" t="s">
        <v>1509</v>
      </c>
      <c r="G2371" s="3" t="s">
        <v>31</v>
      </c>
      <c r="H2371" s="2" t="s">
        <v>20</v>
      </c>
      <c r="I2371" s="2" t="s">
        <v>4971</v>
      </c>
      <c r="J2371" s="3" t="str">
        <f>HYPERLINK("https://www.boe.es/gazeta/dias/1822/03/18/pdfs/GMD-1822-79.pdf#page=3","Abrir facsímil")</f>
        <v>Abrir facsímil</v>
      </c>
      <c r="K2371" s="3" t="s">
        <v>22</v>
      </c>
    </row>
    <row r="2372" spans="1:11" ht="42" customHeight="1">
      <c r="A2372" s="2" t="s">
        <v>4960</v>
      </c>
      <c r="B2372" s="2" t="s">
        <v>4960</v>
      </c>
      <c r="C2372" s="2" t="s">
        <v>28</v>
      </c>
      <c r="D2372" s="2" t="s">
        <v>29</v>
      </c>
      <c r="E2372" s="5">
        <v>-28404</v>
      </c>
      <c r="F2372" s="3" t="s">
        <v>421</v>
      </c>
      <c r="G2372" s="3" t="s">
        <v>31</v>
      </c>
      <c r="H2372" s="2" t="s">
        <v>20</v>
      </c>
      <c r="I2372" s="2" t="s">
        <v>4972</v>
      </c>
      <c r="J2372" s="3" t="str">
        <f>HYPERLINK("https://www.boe.es/gazeta/dias/1822/03/25/pdfs/GMD-1822-86.pdf#page=3","Abrir facsímil")</f>
        <v>Abrir facsímil</v>
      </c>
      <c r="K2372" s="3" t="s">
        <v>22</v>
      </c>
    </row>
    <row r="2373" spans="1:11" ht="42" customHeight="1">
      <c r="A2373" s="2" t="s">
        <v>4960</v>
      </c>
      <c r="B2373" s="2" t="s">
        <v>4960</v>
      </c>
      <c r="C2373" s="2" t="s">
        <v>42</v>
      </c>
      <c r="D2373" s="2" t="s">
        <v>17</v>
      </c>
      <c r="E2373" s="5">
        <v>-28402</v>
      </c>
      <c r="F2373" s="3" t="s">
        <v>473</v>
      </c>
      <c r="G2373" s="3" t="s">
        <v>35</v>
      </c>
      <c r="H2373" s="2" t="s">
        <v>20</v>
      </c>
      <c r="I2373" s="2" t="s">
        <v>4973</v>
      </c>
      <c r="J2373" s="3" t="str">
        <f>HYPERLINK("https://www.boe.es/gazeta/dias/1822/03/27/pdfs/GMD-1822-88.pdf#page=2","Abrir facsímil")</f>
        <v>Abrir facsímil</v>
      </c>
      <c r="K2373" s="3" t="s">
        <v>22</v>
      </c>
    </row>
    <row r="2374" spans="1:11" ht="42" customHeight="1">
      <c r="A2374" s="2" t="s">
        <v>4960</v>
      </c>
      <c r="B2374" s="2" t="s">
        <v>4960</v>
      </c>
      <c r="C2374" s="2" t="s">
        <v>50</v>
      </c>
      <c r="D2374" s="2" t="s">
        <v>51</v>
      </c>
      <c r="E2374" s="5">
        <v>-28402</v>
      </c>
      <c r="F2374" s="3" t="s">
        <v>473</v>
      </c>
      <c r="G2374" s="3" t="s">
        <v>31</v>
      </c>
      <c r="H2374" s="2" t="s">
        <v>20</v>
      </c>
      <c r="I2374" s="2" t="s">
        <v>4974</v>
      </c>
      <c r="J2374" s="3" t="str">
        <f>HYPERLINK("https://www.boe.es/gazeta/dias/1822/03/27/pdfs/GMD-1822-88.pdf#page=3","Abrir facsímil")</f>
        <v>Abrir facsímil</v>
      </c>
      <c r="K2374" s="3" t="s">
        <v>22</v>
      </c>
    </row>
    <row r="2375" spans="1:11" ht="42" customHeight="1">
      <c r="A2375" s="2" t="s">
        <v>4960</v>
      </c>
      <c r="B2375" s="2" t="s">
        <v>4960</v>
      </c>
      <c r="C2375" s="2" t="s">
        <v>50</v>
      </c>
      <c r="D2375" s="2" t="s">
        <v>51</v>
      </c>
      <c r="E2375" s="5">
        <v>-28401</v>
      </c>
      <c r="F2375" s="3" t="s">
        <v>108</v>
      </c>
      <c r="G2375" s="3" t="s">
        <v>63</v>
      </c>
      <c r="H2375" s="2" t="s">
        <v>20</v>
      </c>
      <c r="I2375" s="2" t="s">
        <v>4975</v>
      </c>
      <c r="J2375" s="3" t="str">
        <f>HYPERLINK("https://www.boe.es/gazeta/dias/1822/03/28/pdfs/GMD-1822-89.pdf#page=6","Abrir facsímil")</f>
        <v>Abrir facsímil</v>
      </c>
      <c r="K2375" s="3" t="s">
        <v>22</v>
      </c>
    </row>
    <row r="2376" spans="1:11" ht="42" customHeight="1">
      <c r="A2376" s="2" t="s">
        <v>4960</v>
      </c>
      <c r="B2376" s="2" t="s">
        <v>4960</v>
      </c>
      <c r="C2376" s="2" t="s">
        <v>24</v>
      </c>
      <c r="D2376" s="2" t="s">
        <v>17</v>
      </c>
      <c r="E2376" s="5">
        <v>-28400</v>
      </c>
      <c r="F2376" s="3" t="s">
        <v>1937</v>
      </c>
      <c r="G2376" s="3" t="s">
        <v>2260</v>
      </c>
      <c r="H2376" s="2" t="s">
        <v>20</v>
      </c>
      <c r="I2376" s="2" t="s">
        <v>4976</v>
      </c>
      <c r="J2376" s="3" t="str">
        <f>HYPERLINK("https://www.boe.es/gazeta/dias/1822/03/29/pdfs/GMD-1822-90.pdf#page=4","Abrir facsímil")</f>
        <v>Abrir facsímil</v>
      </c>
      <c r="K2376" s="3" t="s">
        <v>22</v>
      </c>
    </row>
    <row r="2377" spans="1:11" ht="42" customHeight="1">
      <c r="A2377" s="2" t="s">
        <v>4960</v>
      </c>
      <c r="B2377" s="2" t="s">
        <v>4960</v>
      </c>
      <c r="C2377" s="2" t="s">
        <v>61</v>
      </c>
      <c r="D2377" s="2" t="s">
        <v>17</v>
      </c>
      <c r="E2377" s="5">
        <v>-28396</v>
      </c>
      <c r="F2377" s="3" t="s">
        <v>1138</v>
      </c>
      <c r="G2377" s="3" t="s">
        <v>167</v>
      </c>
      <c r="H2377" s="2" t="s">
        <v>20</v>
      </c>
      <c r="I2377" s="2" t="s">
        <v>4977</v>
      </c>
      <c r="J2377" s="3" t="str">
        <f>HYPERLINK("https://www.boe.es/gazeta/dias/1822/04/02/pdfs/GMD-1822-94.pdf#page=7","Abrir facsímil")</f>
        <v>Abrir facsímil</v>
      </c>
      <c r="K2377" s="3" t="s">
        <v>22</v>
      </c>
    </row>
    <row r="2378" spans="1:11" ht="42" customHeight="1">
      <c r="A2378" s="2" t="s">
        <v>4960</v>
      </c>
      <c r="B2378" s="2" t="s">
        <v>4960</v>
      </c>
      <c r="C2378" s="2" t="s">
        <v>16</v>
      </c>
      <c r="D2378" s="2" t="s">
        <v>17</v>
      </c>
      <c r="E2378" s="5">
        <v>-28395</v>
      </c>
      <c r="F2378" s="3" t="s">
        <v>237</v>
      </c>
      <c r="G2378" s="3" t="s">
        <v>57</v>
      </c>
      <c r="H2378" s="2" t="s">
        <v>20</v>
      </c>
      <c r="I2378" s="2" t="s">
        <v>4978</v>
      </c>
      <c r="J2378" s="3" t="str">
        <f>HYPERLINK("https://www.boe.es/gazeta/dias/1822/04/03/pdfs/GMD-1822-95.pdf#page=4","Abrir facsímil")</f>
        <v>Abrir facsímil</v>
      </c>
      <c r="K2378" s="3" t="s">
        <v>22</v>
      </c>
    </row>
    <row r="2379" spans="1:11" ht="42" customHeight="1">
      <c r="A2379" s="2" t="s">
        <v>4960</v>
      </c>
      <c r="B2379" s="2" t="s">
        <v>4960</v>
      </c>
      <c r="C2379" s="2" t="s">
        <v>50</v>
      </c>
      <c r="D2379" s="2" t="s">
        <v>51</v>
      </c>
      <c r="E2379" s="5">
        <v>-28390</v>
      </c>
      <c r="F2379" s="3" t="s">
        <v>665</v>
      </c>
      <c r="G2379" s="3" t="s">
        <v>57</v>
      </c>
      <c r="H2379" s="2" t="s">
        <v>20</v>
      </c>
      <c r="I2379" s="2" t="s">
        <v>4979</v>
      </c>
      <c r="J2379" s="3" t="str">
        <f>HYPERLINK("https://www.boe.es/gazeta/dias/1822/04/08/pdfs/GMD-1822-100.pdf#page=4","Abrir facsímil")</f>
        <v>Abrir facsímil</v>
      </c>
      <c r="K2379" s="3" t="s">
        <v>22</v>
      </c>
    </row>
    <row r="2380" spans="1:11" ht="42" customHeight="1">
      <c r="A2380" s="2" t="s">
        <v>4960</v>
      </c>
      <c r="B2380" s="2" t="s">
        <v>4960</v>
      </c>
      <c r="C2380" s="2" t="s">
        <v>42</v>
      </c>
      <c r="D2380" s="2" t="s">
        <v>17</v>
      </c>
      <c r="E2380" s="5">
        <v>-28389</v>
      </c>
      <c r="F2380" s="3" t="s">
        <v>481</v>
      </c>
      <c r="G2380" s="3" t="s">
        <v>31</v>
      </c>
      <c r="H2380" s="2" t="s">
        <v>20</v>
      </c>
      <c r="I2380" s="2" t="s">
        <v>4980</v>
      </c>
      <c r="J2380" s="3" t="str">
        <f>HYPERLINK("https://www.boe.es/gazeta/dias/1822/04/09/pdfs/GMD-1822-101.pdf#page=3","Abrir facsímil")</f>
        <v>Abrir facsímil</v>
      </c>
      <c r="K2380" s="3" t="s">
        <v>22</v>
      </c>
    </row>
    <row r="2381" spans="1:11" ht="42" customHeight="1">
      <c r="A2381" s="2" t="s">
        <v>4960</v>
      </c>
      <c r="B2381" s="2" t="s">
        <v>4960</v>
      </c>
      <c r="C2381" s="2" t="s">
        <v>28</v>
      </c>
      <c r="D2381" s="2" t="s">
        <v>29</v>
      </c>
      <c r="E2381" s="5">
        <v>-28387</v>
      </c>
      <c r="F2381" s="3" t="s">
        <v>2874</v>
      </c>
      <c r="G2381" s="3" t="s">
        <v>19</v>
      </c>
      <c r="H2381" s="2" t="s">
        <v>20</v>
      </c>
      <c r="I2381" s="2" t="s">
        <v>4981</v>
      </c>
      <c r="J2381" s="3" t="str">
        <f>HYPERLINK("https://www.boe.es/gazeta/dias/1822/04/11/pdfs/GMD-1822-103.pdf#page=5","Abrir facsímil")</f>
        <v>Abrir facsímil</v>
      </c>
      <c r="K2381" s="3" t="s">
        <v>22</v>
      </c>
    </row>
    <row r="2382" spans="1:11" ht="42" customHeight="1">
      <c r="A2382" s="2" t="s">
        <v>4960</v>
      </c>
      <c r="B2382" s="2" t="s">
        <v>4960</v>
      </c>
      <c r="C2382" s="2" t="s">
        <v>71</v>
      </c>
      <c r="D2382" s="2" t="s">
        <v>17</v>
      </c>
      <c r="E2382" s="5">
        <v>-28381</v>
      </c>
      <c r="F2382" s="3" t="s">
        <v>358</v>
      </c>
      <c r="G2382" s="3" t="s">
        <v>19</v>
      </c>
      <c r="H2382" s="2" t="s">
        <v>20</v>
      </c>
      <c r="I2382" s="2" t="s">
        <v>4982</v>
      </c>
      <c r="J2382" s="3" t="str">
        <f>HYPERLINK("https://www.boe.es/gazeta/dias/1822/04/17/pdfs/GMD-1822-109.pdf#page=5","Abrir facsímil")</f>
        <v>Abrir facsímil</v>
      </c>
      <c r="K2382" s="3" t="s">
        <v>22</v>
      </c>
    </row>
    <row r="2383" spans="1:11" ht="42" customHeight="1">
      <c r="A2383" s="2" t="s">
        <v>4960</v>
      </c>
      <c r="B2383" s="2" t="s">
        <v>4960</v>
      </c>
      <c r="C2383" s="2" t="s">
        <v>28</v>
      </c>
      <c r="D2383" s="2" t="s">
        <v>29</v>
      </c>
      <c r="E2383" s="5">
        <v>-28380</v>
      </c>
      <c r="F2383" s="3" t="s">
        <v>492</v>
      </c>
      <c r="G2383" s="3" t="s">
        <v>57</v>
      </c>
      <c r="H2383" s="2" t="s">
        <v>20</v>
      </c>
      <c r="I2383" s="2" t="s">
        <v>4983</v>
      </c>
      <c r="J2383" s="3" t="str">
        <f>HYPERLINK("https://www.boe.es/gazeta/dias/1822/04/18/pdfs/GMD-1822-110.pdf#page=4","Abrir facsímil")</f>
        <v>Abrir facsímil</v>
      </c>
      <c r="K2383" s="3" t="s">
        <v>22</v>
      </c>
    </row>
    <row r="2384" spans="1:11" ht="42" customHeight="1">
      <c r="A2384" s="2" t="s">
        <v>4960</v>
      </c>
      <c r="B2384" s="2" t="s">
        <v>4960</v>
      </c>
      <c r="C2384" s="2" t="s">
        <v>42</v>
      </c>
      <c r="D2384" s="2" t="s">
        <v>17</v>
      </c>
      <c r="E2384" s="5">
        <v>-28380</v>
      </c>
      <c r="F2384" s="3" t="s">
        <v>492</v>
      </c>
      <c r="G2384" s="3" t="s">
        <v>19</v>
      </c>
      <c r="H2384" s="2" t="s">
        <v>20</v>
      </c>
      <c r="I2384" s="2" t="s">
        <v>4984</v>
      </c>
      <c r="J2384" s="3" t="str">
        <f>HYPERLINK("https://www.boe.es/gazeta/dias/1822/04/18/pdfs/GMD-1822-110.pdf#page=5","Abrir facsímil")</f>
        <v>Abrir facsímil</v>
      </c>
      <c r="K2384" s="3" t="s">
        <v>22</v>
      </c>
    </row>
    <row r="2385" spans="1:11" ht="42" customHeight="1">
      <c r="A2385" s="2" t="s">
        <v>4960</v>
      </c>
      <c r="B2385" s="2" t="s">
        <v>4960</v>
      </c>
      <c r="C2385" s="2" t="s">
        <v>28</v>
      </c>
      <c r="D2385" s="2" t="s">
        <v>29</v>
      </c>
      <c r="E2385" s="5">
        <v>-28376</v>
      </c>
      <c r="F2385" s="3" t="s">
        <v>500</v>
      </c>
      <c r="G2385" s="3" t="s">
        <v>501</v>
      </c>
      <c r="H2385" s="2" t="s">
        <v>20</v>
      </c>
      <c r="I2385" s="2" t="s">
        <v>4985</v>
      </c>
      <c r="J2385" s="3" t="str">
        <f>HYPERLINK("https://www.boe.es/gazeta/dias/1822/04/22/pdfs/GMD-1822-114.pdf#page=3","Abrir facsímil")</f>
        <v>Abrir facsímil</v>
      </c>
      <c r="K2385" s="3" t="s">
        <v>22</v>
      </c>
    </row>
    <row r="2386" spans="1:11" ht="42" customHeight="1">
      <c r="A2386" s="2" t="s">
        <v>4960</v>
      </c>
      <c r="B2386" s="2" t="s">
        <v>4960</v>
      </c>
      <c r="C2386" s="2" t="s">
        <v>28</v>
      </c>
      <c r="D2386" s="2" t="s">
        <v>29</v>
      </c>
      <c r="E2386" s="5">
        <v>-28373</v>
      </c>
      <c r="F2386" s="3" t="s">
        <v>614</v>
      </c>
      <c r="G2386" s="3" t="s">
        <v>57</v>
      </c>
      <c r="H2386" s="2" t="s">
        <v>20</v>
      </c>
      <c r="I2386" s="2" t="s">
        <v>4986</v>
      </c>
      <c r="J2386" s="3" t="str">
        <f>HYPERLINK("https://www.boe.es/gazeta/dias/1822/04/25/pdfs/GMD-1822-117.pdf#page=4","Abrir facsímil")</f>
        <v>Abrir facsímil</v>
      </c>
      <c r="K2386" s="3" t="s">
        <v>22</v>
      </c>
    </row>
    <row r="2387" spans="1:11" ht="42" customHeight="1">
      <c r="A2387" s="2" t="s">
        <v>4960</v>
      </c>
      <c r="B2387" s="2" t="s">
        <v>4960</v>
      </c>
      <c r="C2387" s="2" t="s">
        <v>42</v>
      </c>
      <c r="D2387" s="2" t="s">
        <v>17</v>
      </c>
      <c r="E2387" s="5">
        <v>-28363</v>
      </c>
      <c r="F2387" s="3" t="s">
        <v>72</v>
      </c>
      <c r="G2387" s="3" t="s">
        <v>44</v>
      </c>
      <c r="H2387" s="2" t="s">
        <v>20</v>
      </c>
      <c r="I2387" s="2" t="s">
        <v>4987</v>
      </c>
      <c r="J2387" s="3" t="str">
        <f>HYPERLINK("https://www.boe.es/gazeta/dias/1822/05/05/pdfs/GMD-1822-127.pdf#page=1","Abrir facsímil")</f>
        <v>Abrir facsímil</v>
      </c>
      <c r="K2387" s="3" t="s">
        <v>22</v>
      </c>
    </row>
    <row r="2388" spans="1:11" ht="42" customHeight="1">
      <c r="A2388" s="2" t="s">
        <v>4960</v>
      </c>
      <c r="B2388" s="2" t="s">
        <v>4960</v>
      </c>
      <c r="C2388" s="2" t="s">
        <v>71</v>
      </c>
      <c r="D2388" s="2" t="s">
        <v>17</v>
      </c>
      <c r="E2388" s="5">
        <v>-28362</v>
      </c>
      <c r="F2388" s="3" t="s">
        <v>511</v>
      </c>
      <c r="G2388" s="3" t="s">
        <v>57</v>
      </c>
      <c r="H2388" s="2" t="s">
        <v>20</v>
      </c>
      <c r="I2388" s="2" t="s">
        <v>4988</v>
      </c>
      <c r="J2388" s="3" t="str">
        <f>HYPERLINK("https://www.boe.es/gazeta/dias/1822/05/06/pdfs/GMD-1822-128.pdf#page=4","Abrir facsímil")</f>
        <v>Abrir facsímil</v>
      </c>
      <c r="K2388" s="3" t="s">
        <v>22</v>
      </c>
    </row>
    <row r="2389" spans="1:11" ht="42" customHeight="1">
      <c r="A2389" s="2" t="s">
        <v>4960</v>
      </c>
      <c r="B2389" s="2" t="s">
        <v>4960</v>
      </c>
      <c r="C2389" s="2" t="s">
        <v>71</v>
      </c>
      <c r="D2389" s="2" t="s">
        <v>17</v>
      </c>
      <c r="E2389" s="5">
        <v>-28359</v>
      </c>
      <c r="F2389" s="3" t="s">
        <v>209</v>
      </c>
      <c r="G2389" s="3" t="s">
        <v>35</v>
      </c>
      <c r="H2389" s="2" t="s">
        <v>20</v>
      </c>
      <c r="I2389" s="2" t="s">
        <v>4989</v>
      </c>
      <c r="J2389" s="3" t="str">
        <f>HYPERLINK("https://www.boe.es/gazeta/dias/1822/05/09/pdfs/GMD-1822-131.pdf#page=2","Abrir facsímil")</f>
        <v>Abrir facsímil</v>
      </c>
      <c r="K2389" s="3" t="s">
        <v>22</v>
      </c>
    </row>
    <row r="2390" spans="1:11" ht="42" customHeight="1">
      <c r="A2390" s="2" t="s">
        <v>4960</v>
      </c>
      <c r="B2390" s="2" t="s">
        <v>4960</v>
      </c>
      <c r="C2390" s="2" t="s">
        <v>50</v>
      </c>
      <c r="D2390" s="2" t="s">
        <v>51</v>
      </c>
      <c r="E2390" s="5">
        <v>-28355</v>
      </c>
      <c r="F2390" s="3" t="s">
        <v>692</v>
      </c>
      <c r="G2390" s="3" t="s">
        <v>44</v>
      </c>
      <c r="H2390" s="2" t="s">
        <v>20</v>
      </c>
      <c r="I2390" s="2" t="s">
        <v>4990</v>
      </c>
      <c r="J2390" s="3" t="str">
        <f>HYPERLINK("https://www.boe.es/gazeta/dias/1822/05/13/pdfs/GMD-1822-135.pdf#page=1","Abrir facsímil")</f>
        <v>Abrir facsímil</v>
      </c>
      <c r="K2390" s="3" t="s">
        <v>22</v>
      </c>
    </row>
    <row r="2391" spans="1:11" ht="42" customHeight="1">
      <c r="A2391" s="2" t="s">
        <v>4960</v>
      </c>
      <c r="B2391" s="2" t="s">
        <v>4960</v>
      </c>
      <c r="C2391" s="2" t="s">
        <v>71</v>
      </c>
      <c r="D2391" s="2" t="s">
        <v>17</v>
      </c>
      <c r="E2391" s="5">
        <v>-28352</v>
      </c>
      <c r="F2391" s="3" t="s">
        <v>1575</v>
      </c>
      <c r="G2391" s="3" t="s">
        <v>19</v>
      </c>
      <c r="H2391" s="2" t="s">
        <v>20</v>
      </c>
      <c r="I2391" s="2" t="s">
        <v>4991</v>
      </c>
      <c r="J2391" s="3" t="str">
        <f>HYPERLINK("https://www.boe.es/gazeta/dias/1822/05/16/pdfs/GMD-1822-138.pdf#page=5","Abrir facsímil")</f>
        <v>Abrir facsímil</v>
      </c>
      <c r="K2391" s="3" t="s">
        <v>22</v>
      </c>
    </row>
    <row r="2392" spans="1:11" ht="42" customHeight="1">
      <c r="A2392" s="2" t="s">
        <v>4960</v>
      </c>
      <c r="B2392" s="2" t="s">
        <v>4960</v>
      </c>
      <c r="C2392" s="2" t="s">
        <v>42</v>
      </c>
      <c r="D2392" s="2" t="s">
        <v>17</v>
      </c>
      <c r="E2392" s="5">
        <v>-28346</v>
      </c>
      <c r="F2392" s="3" t="s">
        <v>191</v>
      </c>
      <c r="G2392" s="3" t="s">
        <v>2823</v>
      </c>
      <c r="H2392" s="2" t="s">
        <v>20</v>
      </c>
      <c r="I2392" s="2" t="s">
        <v>4992</v>
      </c>
      <c r="J2392" s="3" t="str">
        <f>HYPERLINK("https://www.boe.es/gazeta/dias/1822/05/22/pdfs/GMD-1822-145.pdf#page=4","Abrir facsímil")</f>
        <v>Abrir facsímil</v>
      </c>
      <c r="K2392" s="3" t="s">
        <v>22</v>
      </c>
    </row>
    <row r="2393" spans="1:11" ht="42" customHeight="1">
      <c r="A2393" s="2" t="s">
        <v>4960</v>
      </c>
      <c r="B2393" s="2" t="s">
        <v>4960</v>
      </c>
      <c r="C2393" s="2" t="s">
        <v>28</v>
      </c>
      <c r="D2393" s="2" t="s">
        <v>29</v>
      </c>
      <c r="E2393" s="5">
        <v>-28329</v>
      </c>
      <c r="F2393" s="3" t="s">
        <v>354</v>
      </c>
      <c r="G2393" s="3" t="s">
        <v>35</v>
      </c>
      <c r="H2393" s="2" t="s">
        <v>20</v>
      </c>
      <c r="I2393" s="2" t="s">
        <v>4993</v>
      </c>
      <c r="J2393" s="3" t="str">
        <f>HYPERLINK("https://www.boe.es/gazeta/dias/1822/06/08/pdfs/GMD-1822-165.pdf#page=2","Abrir facsímil")</f>
        <v>Abrir facsímil</v>
      </c>
      <c r="K2393" s="3" t="s">
        <v>22</v>
      </c>
    </row>
    <row r="2394" spans="1:11" ht="42" customHeight="1">
      <c r="A2394" s="2" t="s">
        <v>4960</v>
      </c>
      <c r="B2394" s="2" t="s">
        <v>4960</v>
      </c>
      <c r="C2394" s="2" t="s">
        <v>16</v>
      </c>
      <c r="D2394" s="2" t="s">
        <v>17</v>
      </c>
      <c r="E2394" s="5">
        <v>-28328</v>
      </c>
      <c r="F2394" s="3" t="s">
        <v>540</v>
      </c>
      <c r="G2394" s="3" t="s">
        <v>31</v>
      </c>
      <c r="H2394" s="2" t="s">
        <v>20</v>
      </c>
      <c r="I2394" s="2" t="s">
        <v>4994</v>
      </c>
      <c r="J2394" s="3" t="str">
        <f>HYPERLINK("https://www.boe.es/gazeta/dias/1822/06/09/pdfs/GMD-1822-166.pdf#page=3","Abrir facsímil")</f>
        <v>Abrir facsímil</v>
      </c>
      <c r="K2394" s="3" t="s">
        <v>22</v>
      </c>
    </row>
    <row r="2395" spans="1:11" ht="42" customHeight="1">
      <c r="A2395" s="2" t="s">
        <v>4960</v>
      </c>
      <c r="B2395" s="2" t="s">
        <v>4960</v>
      </c>
      <c r="C2395" s="2" t="s">
        <v>71</v>
      </c>
      <c r="D2395" s="2" t="s">
        <v>17</v>
      </c>
      <c r="E2395" s="5">
        <v>-28323</v>
      </c>
      <c r="F2395" s="3" t="s">
        <v>116</v>
      </c>
      <c r="G2395" s="3" t="s">
        <v>35</v>
      </c>
      <c r="H2395" s="2" t="s">
        <v>20</v>
      </c>
      <c r="I2395" s="2" t="s">
        <v>4995</v>
      </c>
      <c r="J2395" s="3" t="str">
        <f>HYPERLINK("https://www.boe.es/gazeta/dias/1822/06/14/pdfs/GMD-1822-171.pdf#page=2","Abrir facsímil")</f>
        <v>Abrir facsímil</v>
      </c>
      <c r="K2395" s="3" t="s">
        <v>22</v>
      </c>
    </row>
    <row r="2396" spans="1:11" ht="42" customHeight="1">
      <c r="A2396" s="2" t="s">
        <v>4960</v>
      </c>
      <c r="B2396" s="2" t="s">
        <v>4960</v>
      </c>
      <c r="C2396" s="2" t="s">
        <v>28</v>
      </c>
      <c r="D2396" s="2" t="s">
        <v>29</v>
      </c>
      <c r="E2396" s="5">
        <v>-28313</v>
      </c>
      <c r="F2396" s="3" t="s">
        <v>315</v>
      </c>
      <c r="G2396" s="3" t="s">
        <v>57</v>
      </c>
      <c r="H2396" s="2" t="s">
        <v>20</v>
      </c>
      <c r="I2396" s="2" t="s">
        <v>4996</v>
      </c>
      <c r="J2396" s="3" t="str">
        <f>HYPERLINK("https://www.boe.es/gazeta/dias/1822/06/24/pdfs/GMD-1822-182.pdf#page=4","Abrir facsímil")</f>
        <v>Abrir facsímil</v>
      </c>
      <c r="K2396" s="3" t="s">
        <v>22</v>
      </c>
    </row>
    <row r="2397" spans="1:11" ht="42" customHeight="1">
      <c r="A2397" s="2" t="s">
        <v>4960</v>
      </c>
      <c r="B2397" s="2" t="s">
        <v>4960</v>
      </c>
      <c r="C2397" s="2" t="s">
        <v>28</v>
      </c>
      <c r="D2397" s="2" t="s">
        <v>29</v>
      </c>
      <c r="E2397" s="5">
        <v>-28212</v>
      </c>
      <c r="F2397" s="3" t="s">
        <v>560</v>
      </c>
      <c r="G2397" s="3" t="s">
        <v>35</v>
      </c>
      <c r="H2397" s="2" t="s">
        <v>20</v>
      </c>
      <c r="I2397" s="2" t="s">
        <v>4997</v>
      </c>
      <c r="J2397" s="3" t="str">
        <f>HYPERLINK("https://www.boe.es/gazeta/dias/1822/10/03/pdfs/GMD-1822-289.pdf#page=2","Abrir facsímil")</f>
        <v>Abrir facsímil</v>
      </c>
      <c r="K2397" s="3" t="s">
        <v>22</v>
      </c>
    </row>
    <row r="2398" spans="1:11" ht="42" customHeight="1">
      <c r="A2398" s="2" t="s">
        <v>4960</v>
      </c>
      <c r="B2398" s="2" t="s">
        <v>4960</v>
      </c>
      <c r="C2398" s="2" t="s">
        <v>42</v>
      </c>
      <c r="D2398" s="2" t="s">
        <v>17</v>
      </c>
      <c r="E2398" s="5">
        <v>-28203</v>
      </c>
      <c r="F2398" s="3" t="s">
        <v>564</v>
      </c>
      <c r="G2398" s="3" t="s">
        <v>4185</v>
      </c>
      <c r="H2398" s="2" t="s">
        <v>20</v>
      </c>
      <c r="I2398" s="2" t="s">
        <v>4998</v>
      </c>
      <c r="J2398" s="3" t="str">
        <f>HYPERLINK("https://www.boe.es/gazeta/dias/1822/10/12/pdfs/GMD-1822-299.pdf#page=2","Abrir facsímil")</f>
        <v>Abrir facsímil</v>
      </c>
      <c r="K2398" s="3" t="s">
        <v>22</v>
      </c>
    </row>
    <row r="2399" spans="1:11" ht="42" customHeight="1">
      <c r="A2399" s="2" t="s">
        <v>4960</v>
      </c>
      <c r="B2399" s="2" t="s">
        <v>4960</v>
      </c>
      <c r="C2399" s="2" t="s">
        <v>28</v>
      </c>
      <c r="D2399" s="2" t="s">
        <v>29</v>
      </c>
      <c r="E2399" s="5">
        <v>-28203</v>
      </c>
      <c r="F2399" s="3" t="s">
        <v>564</v>
      </c>
      <c r="G2399" s="3" t="s">
        <v>44</v>
      </c>
      <c r="H2399" s="2" t="s">
        <v>20</v>
      </c>
      <c r="I2399" s="2" t="s">
        <v>4999</v>
      </c>
      <c r="J2399" s="3" t="str">
        <f>HYPERLINK("https://www.boe.es/gazeta/dias/1822/10/12/pdfs/GMD-1822-299.pdf#page=1","Abrir facsímil")</f>
        <v>Abrir facsímil</v>
      </c>
      <c r="K2399" s="3" t="s">
        <v>22</v>
      </c>
    </row>
    <row r="2400" spans="1:11" ht="42" customHeight="1">
      <c r="A2400" s="2" t="s">
        <v>4960</v>
      </c>
      <c r="B2400" s="2" t="s">
        <v>4960</v>
      </c>
      <c r="C2400" s="2" t="s">
        <v>28</v>
      </c>
      <c r="D2400" s="2" t="s">
        <v>29</v>
      </c>
      <c r="E2400" s="5">
        <v>-28200</v>
      </c>
      <c r="F2400" s="3" t="s">
        <v>1037</v>
      </c>
      <c r="G2400" s="3" t="s">
        <v>57</v>
      </c>
      <c r="H2400" s="2" t="s">
        <v>20</v>
      </c>
      <c r="I2400" s="2" t="s">
        <v>5000</v>
      </c>
      <c r="J2400" s="3" t="str">
        <f>HYPERLINK("https://www.boe.es/gazeta/dias/1822/10/15/pdfs/GMD-1822-302.pdf#page=4","Abrir facsímil")</f>
        <v>Abrir facsímil</v>
      </c>
      <c r="K2400" s="3" t="s">
        <v>22</v>
      </c>
    </row>
    <row r="2401" spans="1:11" ht="42" customHeight="1">
      <c r="A2401" s="2" t="s">
        <v>4960</v>
      </c>
      <c r="B2401" s="2" t="s">
        <v>4960</v>
      </c>
      <c r="C2401" s="2" t="s">
        <v>50</v>
      </c>
      <c r="D2401" s="2" t="s">
        <v>51</v>
      </c>
      <c r="E2401" s="5">
        <v>-28199</v>
      </c>
      <c r="F2401" s="3" t="s">
        <v>656</v>
      </c>
      <c r="G2401" s="3" t="s">
        <v>31</v>
      </c>
      <c r="H2401" s="2" t="s">
        <v>20</v>
      </c>
      <c r="I2401" s="2" t="s">
        <v>5001</v>
      </c>
      <c r="J2401" s="3" t="str">
        <f>HYPERLINK("https://www.boe.es/gazeta/dias/1822/10/16/pdfs/GMD-1822-303.pdf#page=3","Abrir facsímil")</f>
        <v>Abrir facsímil</v>
      </c>
      <c r="K2401" s="3" t="s">
        <v>22</v>
      </c>
    </row>
    <row r="2402" spans="1:11" ht="42" customHeight="1">
      <c r="A2402" s="2" t="s">
        <v>4960</v>
      </c>
      <c r="B2402" s="2" t="s">
        <v>4960</v>
      </c>
      <c r="C2402" s="2" t="s">
        <v>71</v>
      </c>
      <c r="D2402" s="2" t="s">
        <v>17</v>
      </c>
      <c r="E2402" s="5">
        <v>-28199</v>
      </c>
      <c r="F2402" s="3" t="s">
        <v>656</v>
      </c>
      <c r="G2402" s="3" t="s">
        <v>57</v>
      </c>
      <c r="H2402" s="2" t="s">
        <v>20</v>
      </c>
      <c r="I2402" s="2" t="s">
        <v>5002</v>
      </c>
      <c r="J2402" s="3" t="str">
        <f>HYPERLINK("https://www.boe.es/gazeta/dias/1822/10/16/pdfs/GMD-1822-303.pdf#page=4","Abrir facsímil")</f>
        <v>Abrir facsímil</v>
      </c>
      <c r="K2402" s="3" t="s">
        <v>22</v>
      </c>
    </row>
    <row r="2403" spans="1:11" ht="42" customHeight="1">
      <c r="A2403" s="2" t="s">
        <v>4960</v>
      </c>
      <c r="B2403" s="2" t="s">
        <v>4960</v>
      </c>
      <c r="C2403" s="2" t="s">
        <v>71</v>
      </c>
      <c r="D2403" s="2" t="s">
        <v>17</v>
      </c>
      <c r="E2403" s="5">
        <v>-28198</v>
      </c>
      <c r="F2403" s="3" t="s">
        <v>981</v>
      </c>
      <c r="G2403" s="3" t="s">
        <v>31</v>
      </c>
      <c r="H2403" s="2" t="s">
        <v>20</v>
      </c>
      <c r="I2403" s="2" t="s">
        <v>5003</v>
      </c>
      <c r="J2403" s="3" t="str">
        <f>HYPERLINK("https://www.boe.es/gazeta/dias/1822/10/17/pdfs/GMD-1822-304.pdf#page=3","Abrir facsímil")</f>
        <v>Abrir facsímil</v>
      </c>
      <c r="K2403" s="3" t="s">
        <v>22</v>
      </c>
    </row>
    <row r="2404" spans="1:11" ht="42" customHeight="1">
      <c r="A2404" s="2" t="s">
        <v>4960</v>
      </c>
      <c r="B2404" s="2" t="s">
        <v>4960</v>
      </c>
      <c r="C2404" s="2" t="s">
        <v>42</v>
      </c>
      <c r="D2404" s="2" t="s">
        <v>17</v>
      </c>
      <c r="E2404" s="5">
        <v>-28197</v>
      </c>
      <c r="F2404" s="3" t="s">
        <v>568</v>
      </c>
      <c r="G2404" s="3" t="s">
        <v>35</v>
      </c>
      <c r="H2404" s="2" t="s">
        <v>20</v>
      </c>
      <c r="I2404" s="2" t="s">
        <v>5004</v>
      </c>
      <c r="J2404" s="3" t="str">
        <f>HYPERLINK("https://www.boe.es/gazeta/dias/1822/10/18/pdfs/GMD-1822-305.pdf#page=2","Abrir facsímil")</f>
        <v>Abrir facsímil</v>
      </c>
      <c r="K2404" s="3" t="s">
        <v>22</v>
      </c>
    </row>
    <row r="2405" spans="1:11" ht="42" customHeight="1">
      <c r="A2405" s="2" t="s">
        <v>4960</v>
      </c>
      <c r="B2405" s="2" t="s">
        <v>4960</v>
      </c>
      <c r="C2405" s="2" t="s">
        <v>50</v>
      </c>
      <c r="D2405" s="2" t="s">
        <v>51</v>
      </c>
      <c r="E2405" s="5">
        <v>-28197</v>
      </c>
      <c r="F2405" s="3" t="s">
        <v>568</v>
      </c>
      <c r="G2405" s="3" t="s">
        <v>19</v>
      </c>
      <c r="H2405" s="2" t="s">
        <v>20</v>
      </c>
      <c r="I2405" s="2" t="s">
        <v>5005</v>
      </c>
      <c r="J2405" s="3" t="str">
        <f>HYPERLINK("https://www.boe.es/gazeta/dias/1822/10/18/pdfs/GMD-1822-305.pdf#page=5","Abrir facsímil")</f>
        <v>Abrir facsímil</v>
      </c>
      <c r="K2405" s="3" t="s">
        <v>22</v>
      </c>
    </row>
    <row r="2406" spans="1:11" ht="42" customHeight="1">
      <c r="A2406" s="2" t="s">
        <v>4960</v>
      </c>
      <c r="B2406" s="2" t="s">
        <v>4960</v>
      </c>
      <c r="C2406" s="2" t="s">
        <v>71</v>
      </c>
      <c r="D2406" s="2" t="s">
        <v>17</v>
      </c>
      <c r="E2406" s="5">
        <v>-28193</v>
      </c>
      <c r="F2406" s="3" t="s">
        <v>574</v>
      </c>
      <c r="G2406" s="3" t="s">
        <v>35</v>
      </c>
      <c r="H2406" s="2" t="s">
        <v>20</v>
      </c>
      <c r="I2406" s="2" t="s">
        <v>5006</v>
      </c>
      <c r="J2406" s="3" t="str">
        <f>HYPERLINK("https://www.boe.es/gazeta/dias/1822/10/22/pdfs/GMD-1822-309.pdf#page=2","Abrir facsímil")</f>
        <v>Abrir facsímil</v>
      </c>
      <c r="K2406" s="3" t="s">
        <v>22</v>
      </c>
    </row>
    <row r="2407" spans="1:11" ht="42" customHeight="1">
      <c r="A2407" s="2" t="s">
        <v>4960</v>
      </c>
      <c r="B2407" s="2" t="s">
        <v>4960</v>
      </c>
      <c r="C2407" s="2" t="s">
        <v>28</v>
      </c>
      <c r="D2407" s="2" t="s">
        <v>29</v>
      </c>
      <c r="E2407" s="5">
        <v>-28192</v>
      </c>
      <c r="F2407" s="3" t="s">
        <v>43</v>
      </c>
      <c r="G2407" s="3" t="s">
        <v>63</v>
      </c>
      <c r="H2407" s="2" t="s">
        <v>20</v>
      </c>
      <c r="I2407" s="2" t="s">
        <v>5007</v>
      </c>
      <c r="J2407" s="3" t="str">
        <f>HYPERLINK("https://www.boe.es/gazeta/dias/1822/10/23/pdfs/GMD-1822-310.pdf#page=6","Abrir facsímil")</f>
        <v>Abrir facsímil</v>
      </c>
      <c r="K2407" s="3" t="s">
        <v>22</v>
      </c>
    </row>
    <row r="2408" spans="1:11" ht="42" customHeight="1">
      <c r="A2408" s="2" t="s">
        <v>4960</v>
      </c>
      <c r="B2408" s="2" t="s">
        <v>4960</v>
      </c>
      <c r="C2408" s="2" t="s">
        <v>71</v>
      </c>
      <c r="D2408" s="2" t="s">
        <v>17</v>
      </c>
      <c r="E2408" s="5">
        <v>-28191</v>
      </c>
      <c r="F2408" s="3" t="s">
        <v>710</v>
      </c>
      <c r="G2408" s="3" t="s">
        <v>44</v>
      </c>
      <c r="H2408" s="2" t="s">
        <v>20</v>
      </c>
      <c r="I2408" s="2" t="s">
        <v>5008</v>
      </c>
      <c r="J2408" s="3" t="str">
        <f>HYPERLINK("https://www.boe.es/gazeta/dias/1822/10/24/pdfs/GMD-1822-311.pdf#page=1","Abrir facsímil")</f>
        <v>Abrir facsímil</v>
      </c>
      <c r="K2408" s="3" t="s">
        <v>22</v>
      </c>
    </row>
    <row r="2409" spans="1:11" ht="42" customHeight="1">
      <c r="A2409" s="2" t="s">
        <v>4960</v>
      </c>
      <c r="B2409" s="2" t="s">
        <v>4960</v>
      </c>
      <c r="C2409" s="2" t="s">
        <v>42</v>
      </c>
      <c r="D2409" s="2" t="s">
        <v>17</v>
      </c>
      <c r="E2409" s="5">
        <v>-28191</v>
      </c>
      <c r="F2409" s="3" t="s">
        <v>710</v>
      </c>
      <c r="G2409" s="3" t="s">
        <v>57</v>
      </c>
      <c r="H2409" s="2" t="s">
        <v>20</v>
      </c>
      <c r="I2409" s="2" t="s">
        <v>5009</v>
      </c>
      <c r="J2409" s="3" t="str">
        <f>HYPERLINK("https://www.boe.es/gazeta/dias/1822/10/24/pdfs/GMD-1822-311.pdf#page=4","Abrir facsímil")</f>
        <v>Abrir facsímil</v>
      </c>
      <c r="K2409" s="3" t="s">
        <v>22</v>
      </c>
    </row>
    <row r="2410" spans="1:11" ht="42" customHeight="1">
      <c r="A2410" s="2" t="s">
        <v>4960</v>
      </c>
      <c r="B2410" s="2" t="s">
        <v>4960</v>
      </c>
      <c r="C2410" s="2" t="s">
        <v>16</v>
      </c>
      <c r="D2410" s="2" t="s">
        <v>17</v>
      </c>
      <c r="E2410" s="5">
        <v>-28188</v>
      </c>
      <c r="F2410" s="3" t="s">
        <v>578</v>
      </c>
      <c r="G2410" s="3" t="s">
        <v>907</v>
      </c>
      <c r="H2410" s="2" t="s">
        <v>20</v>
      </c>
      <c r="I2410" s="2" t="s">
        <v>5010</v>
      </c>
      <c r="J2410" s="3" t="str">
        <f>HYPERLINK("https://www.boe.es/gazeta/dias/1822/10/27/pdfs/GMD-1822-314.pdf#page=7","Abrir facsímil")</f>
        <v>Abrir facsímil</v>
      </c>
      <c r="K2410" s="3" t="s">
        <v>22</v>
      </c>
    </row>
    <row r="2411" spans="1:11" ht="42" customHeight="1">
      <c r="A2411" s="2" t="s">
        <v>4960</v>
      </c>
      <c r="B2411" s="2" t="s">
        <v>4960</v>
      </c>
      <c r="C2411" s="2" t="s">
        <v>42</v>
      </c>
      <c r="D2411" s="2" t="s">
        <v>17</v>
      </c>
      <c r="E2411" s="5">
        <v>-28187</v>
      </c>
      <c r="F2411" s="3" t="s">
        <v>929</v>
      </c>
      <c r="G2411" s="3" t="s">
        <v>35</v>
      </c>
      <c r="H2411" s="2" t="s">
        <v>20</v>
      </c>
      <c r="I2411" s="2" t="s">
        <v>5011</v>
      </c>
      <c r="J2411" s="3" t="str">
        <f>HYPERLINK("https://www.boe.es/gazeta/dias/1822/10/28/pdfs/GMD-1822-315.pdf#page=2","Abrir facsímil")</f>
        <v>Abrir facsímil</v>
      </c>
      <c r="K2411" s="3" t="s">
        <v>22</v>
      </c>
    </row>
    <row r="2412" spans="1:11" ht="42" customHeight="1">
      <c r="A2412" s="2" t="s">
        <v>4960</v>
      </c>
      <c r="B2412" s="2" t="s">
        <v>4960</v>
      </c>
      <c r="C2412" s="2" t="s">
        <v>61</v>
      </c>
      <c r="D2412" s="2" t="s">
        <v>17</v>
      </c>
      <c r="E2412" s="5">
        <v>-28186</v>
      </c>
      <c r="F2412" s="3" t="s">
        <v>581</v>
      </c>
      <c r="G2412" s="3" t="s">
        <v>35</v>
      </c>
      <c r="H2412" s="2" t="s">
        <v>20</v>
      </c>
      <c r="I2412" s="2" t="s">
        <v>5012</v>
      </c>
      <c r="J2412" s="3" t="str">
        <f>HYPERLINK("https://www.boe.es/gazeta/dias/1822/10/29/pdfs/GMD-1822-316.pdf#page=2","Abrir facsímil")</f>
        <v>Abrir facsímil</v>
      </c>
      <c r="K2412" s="3" t="s">
        <v>22</v>
      </c>
    </row>
    <row r="2413" spans="1:11" ht="42" customHeight="1">
      <c r="A2413" s="2" t="s">
        <v>4960</v>
      </c>
      <c r="B2413" s="2" t="s">
        <v>4960</v>
      </c>
      <c r="C2413" s="2" t="s">
        <v>50</v>
      </c>
      <c r="D2413" s="2" t="s">
        <v>51</v>
      </c>
      <c r="E2413" s="5">
        <v>-28185</v>
      </c>
      <c r="F2413" s="3" t="s">
        <v>933</v>
      </c>
      <c r="G2413" s="3" t="s">
        <v>31</v>
      </c>
      <c r="H2413" s="2" t="s">
        <v>20</v>
      </c>
      <c r="I2413" s="2" t="s">
        <v>5013</v>
      </c>
      <c r="J2413" s="3" t="str">
        <f>HYPERLINK("https://www.boe.es/gazeta/dias/1822/10/30/pdfs/GMD-1822-317.pdf#page=3","Abrir facsímil")</f>
        <v>Abrir facsímil</v>
      </c>
      <c r="K2413" s="3" t="s">
        <v>22</v>
      </c>
    </row>
    <row r="2414" spans="1:11" ht="42" customHeight="1">
      <c r="A2414" s="2" t="s">
        <v>4960</v>
      </c>
      <c r="B2414" s="2" t="s">
        <v>4960</v>
      </c>
      <c r="C2414" s="2" t="s">
        <v>28</v>
      </c>
      <c r="D2414" s="2" t="s">
        <v>29</v>
      </c>
      <c r="E2414" s="5">
        <v>-28176</v>
      </c>
      <c r="F2414" s="3" t="s">
        <v>780</v>
      </c>
      <c r="G2414" s="3" t="s">
        <v>5014</v>
      </c>
      <c r="H2414" s="2" t="s">
        <v>20</v>
      </c>
      <c r="I2414" s="2" t="s">
        <v>5015</v>
      </c>
      <c r="J2414" s="3" t="str">
        <f>HYPERLINK("https://www.boe.es/gazeta/dias/1822/11/08/pdfs/GMD-1822-328.pdf#page=4","Abrir facsímil")</f>
        <v>Abrir facsímil</v>
      </c>
      <c r="K2414" s="3" t="s">
        <v>22</v>
      </c>
    </row>
    <row r="2415" spans="1:11" ht="42" customHeight="1">
      <c r="A2415" s="2" t="s">
        <v>4960</v>
      </c>
      <c r="B2415" s="2" t="s">
        <v>4960</v>
      </c>
      <c r="C2415" s="2" t="s">
        <v>71</v>
      </c>
      <c r="D2415" s="2" t="s">
        <v>17</v>
      </c>
      <c r="E2415" s="5">
        <v>-28169</v>
      </c>
      <c r="F2415" s="3" t="s">
        <v>2571</v>
      </c>
      <c r="G2415" s="3" t="s">
        <v>35</v>
      </c>
      <c r="H2415" s="2" t="s">
        <v>20</v>
      </c>
      <c r="I2415" s="2" t="s">
        <v>5016</v>
      </c>
      <c r="J2415" s="3" t="str">
        <f>HYPERLINK("https://www.boe.es/gazeta/dias/1822/11/15/pdfs/GMD-1822-335.pdf#page=2","Abrir facsímil")</f>
        <v>Abrir facsímil</v>
      </c>
      <c r="K2415" s="3" t="s">
        <v>22</v>
      </c>
    </row>
    <row r="2416" spans="1:11" ht="42" customHeight="1">
      <c r="A2416" s="2" t="s">
        <v>4960</v>
      </c>
      <c r="B2416" s="2" t="s">
        <v>4960</v>
      </c>
      <c r="C2416" s="2" t="s">
        <v>24</v>
      </c>
      <c r="D2416" s="2" t="s">
        <v>17</v>
      </c>
      <c r="E2416" s="5">
        <v>-28163</v>
      </c>
      <c r="F2416" s="3" t="s">
        <v>891</v>
      </c>
      <c r="G2416" s="3" t="s">
        <v>31</v>
      </c>
      <c r="H2416" s="2" t="s">
        <v>20</v>
      </c>
      <c r="I2416" s="2" t="s">
        <v>5017</v>
      </c>
      <c r="J2416" s="3" t="str">
        <f>HYPERLINK("https://www.boe.es/gazeta/dias/1822/11/21/pdfs/GMD-1822-341.pdf#page=3","Abrir facsímil")</f>
        <v>Abrir facsímil</v>
      </c>
      <c r="K2416" s="3" t="s">
        <v>22</v>
      </c>
    </row>
    <row r="2417" spans="1:11" ht="42" customHeight="1">
      <c r="A2417" s="2" t="s">
        <v>4960</v>
      </c>
      <c r="B2417" s="2" t="s">
        <v>4960</v>
      </c>
      <c r="C2417" s="2" t="s">
        <v>24</v>
      </c>
      <c r="D2417" s="2" t="s">
        <v>17</v>
      </c>
      <c r="E2417" s="5">
        <v>-28153</v>
      </c>
      <c r="F2417" s="3" t="s">
        <v>946</v>
      </c>
      <c r="G2417" s="3" t="s">
        <v>31</v>
      </c>
      <c r="H2417" s="2" t="s">
        <v>20</v>
      </c>
      <c r="I2417" s="2" t="s">
        <v>5018</v>
      </c>
      <c r="J2417" s="3" t="str">
        <f>HYPERLINK("https://www.boe.es/gazeta/dias/1822/12/01/pdfs/GMD-1822-351.pdf#page=3","Abrir facsímil")</f>
        <v>Abrir facsímil</v>
      </c>
      <c r="K2417" s="3" t="s">
        <v>22</v>
      </c>
    </row>
    <row r="2418" spans="1:11" ht="42" customHeight="1">
      <c r="A2418" s="2" t="s">
        <v>4960</v>
      </c>
      <c r="B2418" s="2" t="s">
        <v>4960</v>
      </c>
      <c r="C2418" s="2" t="s">
        <v>50</v>
      </c>
      <c r="D2418" s="2" t="s">
        <v>51</v>
      </c>
      <c r="E2418" s="5">
        <v>-28148</v>
      </c>
      <c r="F2418" s="3" t="s">
        <v>1909</v>
      </c>
      <c r="G2418" s="3" t="s">
        <v>35</v>
      </c>
      <c r="H2418" s="2" t="s">
        <v>20</v>
      </c>
      <c r="I2418" s="2" t="s">
        <v>5019</v>
      </c>
      <c r="J2418" s="3" t="str">
        <f>HYPERLINK("https://www.boe.es/gazeta/dias/1822/12/06/pdfs/GMD-1822-356.pdf#page=2","Abrir facsímil")</f>
        <v>Abrir facsímil</v>
      </c>
      <c r="K2418" s="3" t="s">
        <v>22</v>
      </c>
    </row>
    <row r="2419" spans="1:11" ht="42" customHeight="1">
      <c r="A2419" s="2" t="s">
        <v>4960</v>
      </c>
      <c r="B2419" s="2" t="s">
        <v>4960</v>
      </c>
      <c r="C2419" s="2" t="s">
        <v>16</v>
      </c>
      <c r="D2419" s="2" t="s">
        <v>17</v>
      </c>
      <c r="E2419" s="5">
        <v>-28140</v>
      </c>
      <c r="F2419" s="3" t="s">
        <v>84</v>
      </c>
      <c r="G2419" s="3" t="s">
        <v>35</v>
      </c>
      <c r="H2419" s="2" t="s">
        <v>20</v>
      </c>
      <c r="I2419" s="2" t="s">
        <v>5020</v>
      </c>
      <c r="J2419" s="3" t="str">
        <f>HYPERLINK("https://www.boe.es/gazeta/dias/1822/12/14/pdfs/GMD-1822-364.pdf#page=2","Abrir facsímil")</f>
        <v>Abrir facsímil</v>
      </c>
      <c r="K2419" s="3" t="s">
        <v>22</v>
      </c>
    </row>
    <row r="2420" spans="1:11" ht="42" customHeight="1">
      <c r="A2420" s="2" t="s">
        <v>4960</v>
      </c>
      <c r="B2420" s="2" t="s">
        <v>4960</v>
      </c>
      <c r="C2420" s="2" t="s">
        <v>42</v>
      </c>
      <c r="D2420" s="2" t="s">
        <v>17</v>
      </c>
      <c r="E2420" s="5">
        <v>-28138</v>
      </c>
      <c r="F2420" s="3" t="s">
        <v>3542</v>
      </c>
      <c r="G2420" s="3" t="s">
        <v>35</v>
      </c>
      <c r="H2420" s="2" t="s">
        <v>20</v>
      </c>
      <c r="I2420" s="2" t="s">
        <v>5021</v>
      </c>
      <c r="J2420" s="3" t="str">
        <f>HYPERLINK("https://www.boe.es/gazeta/dias/1822/12/16/pdfs/GMD-1822-366.pdf#page=2","Abrir facsímil")</f>
        <v>Abrir facsímil</v>
      </c>
      <c r="K2420" s="3" t="s">
        <v>22</v>
      </c>
    </row>
    <row r="2421" spans="1:11" ht="42" customHeight="1">
      <c r="A2421" s="2" t="s">
        <v>4960</v>
      </c>
      <c r="B2421" s="2" t="s">
        <v>4960</v>
      </c>
      <c r="C2421" s="2" t="s">
        <v>28</v>
      </c>
      <c r="D2421" s="2" t="s">
        <v>29</v>
      </c>
      <c r="E2421" s="5">
        <v>-28138</v>
      </c>
      <c r="F2421" s="3" t="s">
        <v>3542</v>
      </c>
      <c r="G2421" s="3" t="s">
        <v>31</v>
      </c>
      <c r="H2421" s="2" t="s">
        <v>20</v>
      </c>
      <c r="I2421" s="2" t="s">
        <v>5022</v>
      </c>
      <c r="J2421" s="3" t="str">
        <f>HYPERLINK("https://www.boe.es/gazeta/dias/1822/12/16/pdfs/GMD-1822-366.pdf#page=3","Abrir facsímil")</f>
        <v>Abrir facsímil</v>
      </c>
      <c r="K2421" s="3" t="s">
        <v>22</v>
      </c>
    </row>
    <row r="2422" spans="1:11" ht="42" customHeight="1">
      <c r="A2422" s="2" t="s">
        <v>4960</v>
      </c>
      <c r="B2422" s="2" t="s">
        <v>4960</v>
      </c>
      <c r="C2422" s="2" t="s">
        <v>28</v>
      </c>
      <c r="D2422" s="2" t="s">
        <v>29</v>
      </c>
      <c r="E2422" s="5">
        <v>-28132</v>
      </c>
      <c r="F2422" s="3" t="s">
        <v>820</v>
      </c>
      <c r="G2422" s="3" t="s">
        <v>821</v>
      </c>
      <c r="H2422" s="2" t="s">
        <v>20</v>
      </c>
      <c r="I2422" s="2" t="s">
        <v>5023</v>
      </c>
      <c r="J2422" s="3" t="str">
        <f>HYPERLINK("https://www.boe.es/gazeta/dias/1822/12/22/pdfs/GMD-1822-372.pdf#page=4","Abrir facsímil")</f>
        <v>Abrir facsímil</v>
      </c>
      <c r="K2422" s="3" t="s">
        <v>22</v>
      </c>
    </row>
    <row r="2423" spans="1:11" ht="42" customHeight="1">
      <c r="A2423" s="2" t="s">
        <v>4960</v>
      </c>
      <c r="B2423" s="2" t="s">
        <v>4960</v>
      </c>
      <c r="C2423" s="2" t="s">
        <v>28</v>
      </c>
      <c r="D2423" s="2" t="s">
        <v>29</v>
      </c>
      <c r="E2423" s="5">
        <v>-28123</v>
      </c>
      <c r="F2423" s="3" t="s">
        <v>603</v>
      </c>
      <c r="G2423" s="3" t="s">
        <v>31</v>
      </c>
      <c r="H2423" s="2" t="s">
        <v>20</v>
      </c>
      <c r="I2423" s="2" t="s">
        <v>5024</v>
      </c>
      <c r="J2423" s="3" t="str">
        <f>HYPERLINK("https://www.boe.es/gazeta/dias/1822/12/31/pdfs/GMD-1822-381.pdf#page=3","Abrir facsímil")</f>
        <v>Abrir facsímil</v>
      </c>
      <c r="K2423" s="3" t="s">
        <v>22</v>
      </c>
    </row>
    <row r="2424" spans="1:11" ht="42" customHeight="1">
      <c r="A2424" s="2" t="s">
        <v>5025</v>
      </c>
      <c r="B2424" s="2" t="s">
        <v>5026</v>
      </c>
      <c r="C2424" s="2" t="s">
        <v>42</v>
      </c>
      <c r="D2424" s="2" t="s">
        <v>17</v>
      </c>
      <c r="E2424" s="5">
        <v>-28123</v>
      </c>
      <c r="F2424" s="3" t="s">
        <v>603</v>
      </c>
      <c r="G2424" s="3" t="s">
        <v>2642</v>
      </c>
      <c r="H2424" s="2" t="s">
        <v>20</v>
      </c>
      <c r="I2424" s="2" t="s">
        <v>5027</v>
      </c>
      <c r="J2424" s="3" t="str">
        <f>HYPERLINK("https://www.boe.es/gazeta/dias/1822/12/31/pdfs/GMD-1822-381.pdf#page=6","Abrir facsímil")</f>
        <v>Abrir facsímil</v>
      </c>
      <c r="K2424" s="3" t="s">
        <v>22</v>
      </c>
    </row>
    <row r="2425" spans="1:11" ht="42" customHeight="1">
      <c r="A2425" s="2" t="s">
        <v>5028</v>
      </c>
      <c r="B2425" s="2" t="s">
        <v>5029</v>
      </c>
      <c r="C2425" s="2" t="s">
        <v>71</v>
      </c>
      <c r="D2425" s="2" t="s">
        <v>17</v>
      </c>
      <c r="E2425" s="5">
        <v>-28203</v>
      </c>
      <c r="F2425" s="3" t="s">
        <v>564</v>
      </c>
      <c r="G2425" s="3" t="s">
        <v>4185</v>
      </c>
      <c r="H2425" s="2" t="s">
        <v>20</v>
      </c>
      <c r="I2425" s="2" t="s">
        <v>5030</v>
      </c>
      <c r="J2425" s="3" t="str">
        <f>HYPERLINK("https://www.boe.es/gazeta/dias/1822/10/12/pdfs/GMD-1822-299.pdf#page=2","Abrir facsímil")</f>
        <v>Abrir facsímil</v>
      </c>
      <c r="K2425" s="3" t="s">
        <v>22</v>
      </c>
    </row>
    <row r="2426" spans="1:11" ht="42" customHeight="1">
      <c r="A2426" s="2" t="s">
        <v>5031</v>
      </c>
      <c r="B2426" s="2" t="s">
        <v>5031</v>
      </c>
      <c r="C2426" s="2" t="s">
        <v>71</v>
      </c>
      <c r="D2426" s="2" t="s">
        <v>17</v>
      </c>
      <c r="E2426" s="5">
        <v>-28403</v>
      </c>
      <c r="F2426" s="3" t="s">
        <v>471</v>
      </c>
      <c r="G2426" s="3" t="s">
        <v>35</v>
      </c>
      <c r="H2426" s="2" t="s">
        <v>20</v>
      </c>
      <c r="I2426" s="2" t="s">
        <v>5032</v>
      </c>
      <c r="J2426" s="3" t="str">
        <f>HYPERLINK("https://www.boe.es/gazeta/dias/1822/03/26/pdfs/GMD-1822-87.pdf#page=2","Abrir facsímil")</f>
        <v>Abrir facsímil</v>
      </c>
      <c r="K2426" s="3" t="s">
        <v>22</v>
      </c>
    </row>
    <row r="2427" spans="1:11" ht="42" customHeight="1">
      <c r="A2427" s="2" t="s">
        <v>5033</v>
      </c>
      <c r="B2427" s="2" t="s">
        <v>5034</v>
      </c>
      <c r="C2427" s="2" t="s">
        <v>71</v>
      </c>
      <c r="D2427" s="2" t="s">
        <v>17</v>
      </c>
      <c r="E2427" s="5">
        <v>-28401</v>
      </c>
      <c r="F2427" s="3" t="s">
        <v>108</v>
      </c>
      <c r="G2427" s="3" t="s">
        <v>63</v>
      </c>
      <c r="H2427" s="2" t="s">
        <v>20</v>
      </c>
      <c r="I2427" s="2" t="s">
        <v>5035</v>
      </c>
      <c r="J2427" s="3" t="str">
        <f>HYPERLINK("https://www.boe.es/gazeta/dias/1822/03/28/pdfs/GMD-1822-89.pdf#page=6","Abrir facsímil")</f>
        <v>Abrir facsímil</v>
      </c>
      <c r="K2427" s="3" t="s">
        <v>22</v>
      </c>
    </row>
    <row r="2428" spans="1:11" ht="42" customHeight="1">
      <c r="A2428" s="2" t="s">
        <v>5036</v>
      </c>
      <c r="B2428" s="2" t="s">
        <v>5037</v>
      </c>
      <c r="C2428" s="2" t="s">
        <v>28</v>
      </c>
      <c r="D2428" s="2" t="s">
        <v>29</v>
      </c>
      <c r="E2428" s="5">
        <v>-28191</v>
      </c>
      <c r="F2428" s="3" t="s">
        <v>710</v>
      </c>
      <c r="G2428" s="3" t="s">
        <v>5038</v>
      </c>
      <c r="H2428" s="2" t="s">
        <v>20</v>
      </c>
      <c r="I2428" s="2" t="s">
        <v>5039</v>
      </c>
      <c r="J2428" s="3" t="str">
        <f>HYPERLINK("https://www.boe.es/gazeta/dias/1822/10/24/pdfs/GMD-1822-311.pdf#page=8","Abrir facsímil")</f>
        <v>Abrir facsímil</v>
      </c>
      <c r="K2428" s="3" t="s">
        <v>22</v>
      </c>
    </row>
    <row r="2429" spans="1:11" ht="42" customHeight="1">
      <c r="A2429" s="2" t="s">
        <v>5040</v>
      </c>
      <c r="B2429" s="2" t="s">
        <v>5041</v>
      </c>
      <c r="C2429" s="2" t="s">
        <v>50</v>
      </c>
      <c r="D2429" s="2" t="s">
        <v>51</v>
      </c>
      <c r="E2429" s="5">
        <v>-28334</v>
      </c>
      <c r="F2429" s="3" t="s">
        <v>532</v>
      </c>
      <c r="G2429" s="3" t="s">
        <v>31</v>
      </c>
      <c r="H2429" s="2" t="s">
        <v>20</v>
      </c>
      <c r="I2429" s="2" t="s">
        <v>5042</v>
      </c>
      <c r="J2429" s="3" t="str">
        <f>HYPERLINK("https://www.boe.es/gazeta/dias/1822/06/03/pdfs/GMD-1822-159.pdf#page=3","Abrir facsímil")</f>
        <v>Abrir facsímil</v>
      </c>
      <c r="K2429" s="3" t="s">
        <v>22</v>
      </c>
    </row>
    <row r="2430" spans="1:11" ht="42" customHeight="1">
      <c r="A2430" s="2" t="s">
        <v>5043</v>
      </c>
      <c r="B2430" s="2" t="s">
        <v>5044</v>
      </c>
      <c r="C2430" s="2" t="s">
        <v>71</v>
      </c>
      <c r="D2430" s="2" t="s">
        <v>17</v>
      </c>
      <c r="E2430" s="5">
        <v>-28297</v>
      </c>
      <c r="F2430" s="3" t="s">
        <v>1972</v>
      </c>
      <c r="G2430" s="3" t="s">
        <v>57</v>
      </c>
      <c r="H2430" s="2" t="s">
        <v>20</v>
      </c>
      <c r="I2430" s="2" t="s">
        <v>5045</v>
      </c>
      <c r="J2430" s="3" t="str">
        <f>HYPERLINK("https://www.boe.es/gazeta/dias/1822/07/10/pdfs/GMD-1822-200.pdf#page=4","Abrir facsímil")</f>
        <v>Abrir facsímil</v>
      </c>
      <c r="K2430" s="3" t="s">
        <v>22</v>
      </c>
    </row>
    <row r="2431" spans="1:11" ht="42" customHeight="1">
      <c r="A2431" s="2" t="s">
        <v>5046</v>
      </c>
      <c r="B2431" s="2" t="s">
        <v>5047</v>
      </c>
      <c r="C2431" s="2" t="s">
        <v>24</v>
      </c>
      <c r="D2431" s="2" t="s">
        <v>17</v>
      </c>
      <c r="E2431" s="5">
        <v>-28311</v>
      </c>
      <c r="F2431" s="3" t="s">
        <v>736</v>
      </c>
      <c r="G2431" s="3" t="s">
        <v>157</v>
      </c>
      <c r="H2431" s="2" t="s">
        <v>20</v>
      </c>
      <c r="I2431" s="2" t="s">
        <v>5048</v>
      </c>
      <c r="J2431" s="3" t="str">
        <f>HYPERLINK("https://www.boe.es/gazeta/dias/1822/06/26/pdfs/GMD-1822-184.pdf#page=8","Abrir facsímil")</f>
        <v>Abrir facsímil</v>
      </c>
      <c r="K2431" s="3" t="s">
        <v>22</v>
      </c>
    </row>
    <row r="2432" spans="1:11" ht="42" customHeight="1">
      <c r="A2432" s="2" t="s">
        <v>5049</v>
      </c>
      <c r="B2432" s="2" t="s">
        <v>5049</v>
      </c>
      <c r="C2432" s="2" t="s">
        <v>42</v>
      </c>
      <c r="D2432" s="2" t="s">
        <v>17</v>
      </c>
      <c r="E2432" s="5">
        <v>-28409</v>
      </c>
      <c r="F2432" s="3" t="s">
        <v>394</v>
      </c>
      <c r="G2432" s="3" t="s">
        <v>63</v>
      </c>
      <c r="H2432" s="2" t="s">
        <v>20</v>
      </c>
      <c r="I2432" s="2" t="s">
        <v>5050</v>
      </c>
      <c r="J2432" s="3" t="str">
        <f>HYPERLINK("https://www.boe.es/gazeta/dias/1822/03/20/pdfs/GMD-1822-81.pdf#page=6","Abrir facsímil")</f>
        <v>Abrir facsímil</v>
      </c>
      <c r="K2432" s="3" t="s">
        <v>22</v>
      </c>
    </row>
    <row r="2433" spans="1:11" ht="42" customHeight="1">
      <c r="A2433" s="2" t="s">
        <v>5051</v>
      </c>
      <c r="B2433" s="2" t="s">
        <v>5052</v>
      </c>
      <c r="C2433" s="2" t="s">
        <v>42</v>
      </c>
      <c r="D2433" s="2" t="s">
        <v>17</v>
      </c>
      <c r="E2433" s="5">
        <v>-28276</v>
      </c>
      <c r="F2433" s="3" t="s">
        <v>4746</v>
      </c>
      <c r="G2433" s="3" t="s">
        <v>57</v>
      </c>
      <c r="H2433" s="2" t="s">
        <v>20</v>
      </c>
      <c r="I2433" s="2" t="s">
        <v>5053</v>
      </c>
      <c r="J2433" s="3" t="str">
        <f>HYPERLINK("https://www.boe.es/gazeta/dias/1822/07/31/pdfs/GMD-1822-224.pdf#page=4","Abrir facsímil")</f>
        <v>Abrir facsímil</v>
      </c>
      <c r="K2433" s="3" t="s">
        <v>22</v>
      </c>
    </row>
    <row r="2434" spans="1:11" ht="42" customHeight="1">
      <c r="A2434" s="2" t="s">
        <v>5054</v>
      </c>
      <c r="B2434" s="2" t="s">
        <v>5055</v>
      </c>
      <c r="C2434" s="2" t="s">
        <v>42</v>
      </c>
      <c r="D2434" s="2" t="s">
        <v>17</v>
      </c>
      <c r="E2434" s="5">
        <v>-28143</v>
      </c>
      <c r="F2434" s="3" t="s">
        <v>2967</v>
      </c>
      <c r="G2434" s="3" t="s">
        <v>57</v>
      </c>
      <c r="H2434" s="2" t="s">
        <v>20</v>
      </c>
      <c r="I2434" s="2" t="s">
        <v>5056</v>
      </c>
      <c r="J2434" s="3" t="str">
        <f>HYPERLINK("https://www.boe.es/gazeta/dias/1822/12/11/pdfs/GMD-1822-361.pdf#page=4","Abrir facsímil")</f>
        <v>Abrir facsímil</v>
      </c>
      <c r="K2434" s="3" t="s">
        <v>22</v>
      </c>
    </row>
    <row r="2435" spans="1:11" ht="42" customHeight="1">
      <c r="A2435" s="2" t="s">
        <v>5057</v>
      </c>
      <c r="B2435" s="2" t="s">
        <v>5057</v>
      </c>
      <c r="C2435" s="2" t="s">
        <v>50</v>
      </c>
      <c r="D2435" s="2" t="s">
        <v>51</v>
      </c>
      <c r="E2435" s="5">
        <v>-28411</v>
      </c>
      <c r="F2435" s="3" t="s">
        <v>1509</v>
      </c>
      <c r="G2435" s="3" t="s">
        <v>31</v>
      </c>
      <c r="H2435" s="2" t="s">
        <v>20</v>
      </c>
      <c r="I2435" s="2" t="s">
        <v>5058</v>
      </c>
      <c r="J2435" s="3" t="str">
        <f>HYPERLINK("https://www.boe.es/gazeta/dias/1822/03/18/pdfs/GMD-1822-79.pdf#page=3","Abrir facsímil")</f>
        <v>Abrir facsímil</v>
      </c>
      <c r="K2435" s="3" t="s">
        <v>22</v>
      </c>
    </row>
    <row r="2436" spans="1:11" ht="42" customHeight="1">
      <c r="A2436" s="2" t="s">
        <v>5057</v>
      </c>
      <c r="B2436" s="2" t="s">
        <v>5057</v>
      </c>
      <c r="C2436" s="2" t="s">
        <v>42</v>
      </c>
      <c r="D2436" s="2" t="s">
        <v>17</v>
      </c>
      <c r="E2436" s="5">
        <v>-28199</v>
      </c>
      <c r="F2436" s="3" t="s">
        <v>656</v>
      </c>
      <c r="G2436" s="3" t="s">
        <v>57</v>
      </c>
      <c r="H2436" s="2" t="s">
        <v>20</v>
      </c>
      <c r="I2436" s="2" t="s">
        <v>5059</v>
      </c>
      <c r="J2436" s="3" t="str">
        <f>HYPERLINK("https://www.boe.es/gazeta/dias/1822/10/16/pdfs/GMD-1822-303.pdf#page=4","Abrir facsímil")</f>
        <v>Abrir facsímil</v>
      </c>
      <c r="K2436" s="3" t="s">
        <v>22</v>
      </c>
    </row>
    <row r="2437" spans="1:11" ht="42" customHeight="1">
      <c r="A2437" s="2" t="s">
        <v>5060</v>
      </c>
      <c r="B2437" s="2" t="s">
        <v>5060</v>
      </c>
      <c r="C2437" s="2" t="s">
        <v>50</v>
      </c>
      <c r="D2437" s="2" t="s">
        <v>51</v>
      </c>
      <c r="E2437" s="5">
        <v>-28329</v>
      </c>
      <c r="F2437" s="3" t="s">
        <v>354</v>
      </c>
      <c r="G2437" s="3" t="s">
        <v>44</v>
      </c>
      <c r="H2437" s="2" t="s">
        <v>20</v>
      </c>
      <c r="I2437" s="2" t="s">
        <v>5061</v>
      </c>
      <c r="J2437" s="3" t="str">
        <f>HYPERLINK("https://www.boe.es/gazeta/dias/1822/06/08/pdfs/GMD-1822-165.pdf#page=1","Abrir facsímil")</f>
        <v>Abrir facsímil</v>
      </c>
      <c r="K2437" s="3" t="s">
        <v>22</v>
      </c>
    </row>
    <row r="2438" spans="1:11" ht="42" customHeight="1">
      <c r="A2438" s="2" t="s">
        <v>5062</v>
      </c>
      <c r="B2438" s="2" t="s">
        <v>5062</v>
      </c>
      <c r="C2438" s="2" t="s">
        <v>28</v>
      </c>
      <c r="D2438" s="2" t="s">
        <v>29</v>
      </c>
      <c r="E2438" s="5">
        <v>-28412</v>
      </c>
      <c r="F2438" s="3" t="s">
        <v>825</v>
      </c>
      <c r="G2438" s="3" t="s">
        <v>57</v>
      </c>
      <c r="H2438" s="2" t="s">
        <v>20</v>
      </c>
      <c r="I2438" s="2" t="s">
        <v>5063</v>
      </c>
      <c r="J2438" s="3" t="str">
        <f>HYPERLINK("https://www.boe.es/gazeta/dias/1822/03/17/pdfs/GMD-1822-78.pdf#page=4","Abrir facsímil")</f>
        <v>Abrir facsímil</v>
      </c>
      <c r="K2438" s="3" t="s">
        <v>22</v>
      </c>
    </row>
    <row r="2439" spans="1:11" ht="42" customHeight="1">
      <c r="A2439" s="2" t="s">
        <v>5062</v>
      </c>
      <c r="B2439" s="2" t="s">
        <v>5062</v>
      </c>
      <c r="C2439" s="2" t="s">
        <v>16</v>
      </c>
      <c r="D2439" s="2" t="s">
        <v>17</v>
      </c>
      <c r="E2439" s="5">
        <v>-28411</v>
      </c>
      <c r="F2439" s="3" t="s">
        <v>1509</v>
      </c>
      <c r="G2439" s="3" t="s">
        <v>35</v>
      </c>
      <c r="H2439" s="2" t="s">
        <v>20</v>
      </c>
      <c r="I2439" s="2" t="s">
        <v>5064</v>
      </c>
      <c r="J2439" s="3" t="str">
        <f>HYPERLINK("https://www.boe.es/gazeta/dias/1822/03/18/pdfs/GMD-1822-79.pdf#page=2","Abrir facsímil")</f>
        <v>Abrir facsímil</v>
      </c>
      <c r="K2439" s="3" t="s">
        <v>22</v>
      </c>
    </row>
    <row r="2440" spans="1:11" ht="42" customHeight="1">
      <c r="A2440" s="2" t="s">
        <v>5062</v>
      </c>
      <c r="B2440" s="2" t="s">
        <v>5062</v>
      </c>
      <c r="C2440" s="2" t="s">
        <v>42</v>
      </c>
      <c r="D2440" s="2" t="s">
        <v>17</v>
      </c>
      <c r="E2440" s="5">
        <v>-28383</v>
      </c>
      <c r="F2440" s="3" t="s">
        <v>488</v>
      </c>
      <c r="G2440" s="3" t="s">
        <v>63</v>
      </c>
      <c r="H2440" s="2" t="s">
        <v>20</v>
      </c>
      <c r="I2440" s="2" t="s">
        <v>5065</v>
      </c>
      <c r="J2440" s="3" t="str">
        <f>HYPERLINK("https://www.boe.es/gazeta/dias/1822/04/15/pdfs/GMD-1822-107.pdf#page=6","Abrir facsímil")</f>
        <v>Abrir facsímil</v>
      </c>
      <c r="K2440" s="3" t="s">
        <v>22</v>
      </c>
    </row>
    <row r="2441" spans="1:11" ht="42" customHeight="1">
      <c r="A2441" s="2" t="s">
        <v>5062</v>
      </c>
      <c r="B2441" s="2" t="s">
        <v>5062</v>
      </c>
      <c r="C2441" s="2" t="s">
        <v>71</v>
      </c>
      <c r="D2441" s="2" t="s">
        <v>17</v>
      </c>
      <c r="E2441" s="5">
        <v>-28378</v>
      </c>
      <c r="F2441" s="3" t="s">
        <v>496</v>
      </c>
      <c r="G2441" s="3" t="s">
        <v>31</v>
      </c>
      <c r="H2441" s="2" t="s">
        <v>20</v>
      </c>
      <c r="I2441" s="2" t="s">
        <v>5066</v>
      </c>
      <c r="J2441" s="3" t="str">
        <f>HYPERLINK("https://www.boe.es/gazeta/dias/1822/04/20/pdfs/GMD-1822-112.pdf#page=3","Abrir facsímil")</f>
        <v>Abrir facsímil</v>
      </c>
      <c r="K2441" s="3" t="s">
        <v>22</v>
      </c>
    </row>
    <row r="2442" spans="1:11" ht="42" customHeight="1">
      <c r="A2442" s="2" t="s">
        <v>5062</v>
      </c>
      <c r="B2442" s="2" t="s">
        <v>5062</v>
      </c>
      <c r="C2442" s="2" t="s">
        <v>28</v>
      </c>
      <c r="D2442" s="2" t="s">
        <v>29</v>
      </c>
      <c r="E2442" s="5">
        <v>-28376</v>
      </c>
      <c r="F2442" s="3" t="s">
        <v>500</v>
      </c>
      <c r="G2442" s="3" t="s">
        <v>501</v>
      </c>
      <c r="H2442" s="2" t="s">
        <v>20</v>
      </c>
      <c r="I2442" s="2" t="s">
        <v>5067</v>
      </c>
      <c r="J2442" s="3" t="str">
        <f>HYPERLINK("https://www.boe.es/gazeta/dias/1822/04/22/pdfs/GMD-1822-114.pdf#page=3","Abrir facsímil")</f>
        <v>Abrir facsímil</v>
      </c>
      <c r="K2442" s="3" t="s">
        <v>22</v>
      </c>
    </row>
    <row r="2443" spans="1:11" ht="42" customHeight="1">
      <c r="A2443" s="2" t="s">
        <v>5062</v>
      </c>
      <c r="B2443" s="2" t="s">
        <v>5062</v>
      </c>
      <c r="C2443" s="2" t="s">
        <v>50</v>
      </c>
      <c r="D2443" s="2" t="s">
        <v>51</v>
      </c>
      <c r="E2443" s="5">
        <v>-28371</v>
      </c>
      <c r="F2443" s="3" t="s">
        <v>401</v>
      </c>
      <c r="G2443" s="3" t="s">
        <v>35</v>
      </c>
      <c r="H2443" s="2" t="s">
        <v>20</v>
      </c>
      <c r="I2443" s="2" t="s">
        <v>5068</v>
      </c>
      <c r="J2443" s="3" t="str">
        <f>HYPERLINK("https://www.boe.es/gazeta/dias/1822/04/27/pdfs/GMD-1822-119.pdf#page=2","Abrir facsímil")</f>
        <v>Abrir facsímil</v>
      </c>
      <c r="K2443" s="3" t="s">
        <v>22</v>
      </c>
    </row>
    <row r="2444" spans="1:11" ht="42" customHeight="1">
      <c r="A2444" s="2" t="s">
        <v>5062</v>
      </c>
      <c r="B2444" s="2" t="s">
        <v>5062</v>
      </c>
      <c r="C2444" s="2" t="s">
        <v>28</v>
      </c>
      <c r="D2444" s="2" t="s">
        <v>29</v>
      </c>
      <c r="E2444" s="5">
        <v>-28365</v>
      </c>
      <c r="F2444" s="3" t="s">
        <v>506</v>
      </c>
      <c r="G2444" s="3" t="s">
        <v>57</v>
      </c>
      <c r="H2444" s="2" t="s">
        <v>20</v>
      </c>
      <c r="I2444" s="2" t="s">
        <v>5069</v>
      </c>
      <c r="J2444" s="3" t="str">
        <f>HYPERLINK("https://www.boe.es/gazeta/dias/1822/05/03/pdfs/GMD-1822-125.pdf#page=4","Abrir facsímil")</f>
        <v>Abrir facsímil</v>
      </c>
      <c r="K2444" s="3" t="s">
        <v>22</v>
      </c>
    </row>
    <row r="2445" spans="1:11" ht="42" customHeight="1">
      <c r="A2445" s="2" t="s">
        <v>5062</v>
      </c>
      <c r="B2445" s="2" t="s">
        <v>5062</v>
      </c>
      <c r="C2445" s="2" t="s">
        <v>42</v>
      </c>
      <c r="D2445" s="2" t="s">
        <v>17</v>
      </c>
      <c r="E2445" s="5">
        <v>-28363</v>
      </c>
      <c r="F2445" s="3" t="s">
        <v>72</v>
      </c>
      <c r="G2445" s="3" t="s">
        <v>44</v>
      </c>
      <c r="H2445" s="2" t="s">
        <v>20</v>
      </c>
      <c r="I2445" s="2" t="s">
        <v>5070</v>
      </c>
      <c r="J2445" s="3" t="str">
        <f>HYPERLINK("https://www.boe.es/gazeta/dias/1822/05/05/pdfs/GMD-1822-127.pdf#page=1","Abrir facsímil")</f>
        <v>Abrir facsímil</v>
      </c>
      <c r="K2445" s="3" t="s">
        <v>22</v>
      </c>
    </row>
    <row r="2446" spans="1:11" ht="42" customHeight="1">
      <c r="A2446" s="2" t="s">
        <v>5062</v>
      </c>
      <c r="B2446" s="2" t="s">
        <v>5062</v>
      </c>
      <c r="C2446" s="2" t="s">
        <v>42</v>
      </c>
      <c r="D2446" s="2" t="s">
        <v>17</v>
      </c>
      <c r="E2446" s="5">
        <v>-28362</v>
      </c>
      <c r="F2446" s="3" t="s">
        <v>511</v>
      </c>
      <c r="G2446" s="3" t="s">
        <v>35</v>
      </c>
      <c r="H2446" s="2" t="s">
        <v>20</v>
      </c>
      <c r="I2446" s="2" t="s">
        <v>5071</v>
      </c>
      <c r="J2446" s="3" t="str">
        <f>HYPERLINK("https://www.boe.es/gazeta/dias/1822/05/06/pdfs/GMD-1822-128.pdf#page=2","Abrir facsímil")</f>
        <v>Abrir facsímil</v>
      </c>
      <c r="K2446" s="3" t="s">
        <v>22</v>
      </c>
    </row>
    <row r="2447" spans="1:11" ht="42" customHeight="1">
      <c r="A2447" s="2" t="s">
        <v>5062</v>
      </c>
      <c r="B2447" s="2" t="s">
        <v>5062</v>
      </c>
      <c r="C2447" s="2" t="s">
        <v>28</v>
      </c>
      <c r="D2447" s="2" t="s">
        <v>29</v>
      </c>
      <c r="E2447" s="5">
        <v>-28350</v>
      </c>
      <c r="F2447" s="3" t="s">
        <v>352</v>
      </c>
      <c r="G2447" s="3" t="s">
        <v>19</v>
      </c>
      <c r="H2447" s="2" t="s">
        <v>20</v>
      </c>
      <c r="I2447" s="2" t="s">
        <v>5072</v>
      </c>
      <c r="J2447" s="3" t="str">
        <f>HYPERLINK("https://www.boe.es/gazeta/dias/1822/05/18/pdfs/GMD-1822-140.pdf#page=5","Abrir facsímil")</f>
        <v>Abrir facsímil</v>
      </c>
      <c r="K2447" s="3" t="s">
        <v>22</v>
      </c>
    </row>
    <row r="2448" spans="1:11" ht="42" customHeight="1">
      <c r="A2448" s="2" t="s">
        <v>5062</v>
      </c>
      <c r="B2448" s="2" t="s">
        <v>5062</v>
      </c>
      <c r="C2448" s="2" t="s">
        <v>28</v>
      </c>
      <c r="D2448" s="2" t="s">
        <v>29</v>
      </c>
      <c r="E2448" s="5">
        <v>-28346</v>
      </c>
      <c r="F2448" s="3" t="s">
        <v>191</v>
      </c>
      <c r="G2448" s="3" t="s">
        <v>2823</v>
      </c>
      <c r="H2448" s="2" t="s">
        <v>20</v>
      </c>
      <c r="I2448" s="2" t="s">
        <v>5073</v>
      </c>
      <c r="J2448" s="3" t="str">
        <f>HYPERLINK("https://www.boe.es/gazeta/dias/1822/05/22/pdfs/GMD-1822-145.pdf#page=4","Abrir facsímil")</f>
        <v>Abrir facsímil</v>
      </c>
      <c r="K2448" s="3" t="s">
        <v>22</v>
      </c>
    </row>
    <row r="2449" spans="1:11" ht="42" customHeight="1">
      <c r="A2449" s="2" t="s">
        <v>5062</v>
      </c>
      <c r="B2449" s="2" t="s">
        <v>5062</v>
      </c>
      <c r="C2449" s="2" t="s">
        <v>28</v>
      </c>
      <c r="D2449" s="2" t="s">
        <v>29</v>
      </c>
      <c r="E2449" s="5">
        <v>-28346</v>
      </c>
      <c r="F2449" s="3" t="s">
        <v>191</v>
      </c>
      <c r="G2449" s="3" t="s">
        <v>31</v>
      </c>
      <c r="H2449" s="2" t="s">
        <v>20</v>
      </c>
      <c r="I2449" s="2" t="s">
        <v>5074</v>
      </c>
      <c r="J2449" s="3" t="str">
        <f>HYPERLINK("https://www.boe.es/gazeta/dias/1822/05/22/pdfs/GMD-1822-145.pdf#page=3","Abrir facsímil")</f>
        <v>Abrir facsímil</v>
      </c>
      <c r="K2449" s="3" t="s">
        <v>22</v>
      </c>
    </row>
    <row r="2450" spans="1:11" ht="42" customHeight="1">
      <c r="A2450" s="2" t="s">
        <v>5062</v>
      </c>
      <c r="B2450" s="2" t="s">
        <v>5062</v>
      </c>
      <c r="C2450" s="2" t="s">
        <v>28</v>
      </c>
      <c r="D2450" s="2" t="s">
        <v>29</v>
      </c>
      <c r="E2450" s="5">
        <v>-28341</v>
      </c>
      <c r="F2450" s="3" t="s">
        <v>284</v>
      </c>
      <c r="G2450" s="3" t="s">
        <v>57</v>
      </c>
      <c r="H2450" s="2" t="s">
        <v>20</v>
      </c>
      <c r="I2450" s="2" t="s">
        <v>5075</v>
      </c>
      <c r="J2450" s="3" t="str">
        <f>HYPERLINK("https://www.boe.es/gazeta/dias/1822/05/27/pdfs/GMD-1822-152.pdf#page=4","Abrir facsímil")</f>
        <v>Abrir facsímil</v>
      </c>
      <c r="K2450" s="3" t="s">
        <v>22</v>
      </c>
    </row>
    <row r="2451" spans="1:11" ht="42" customHeight="1">
      <c r="A2451" s="2" t="s">
        <v>5062</v>
      </c>
      <c r="B2451" s="2" t="s">
        <v>5062</v>
      </c>
      <c r="C2451" s="2" t="s">
        <v>42</v>
      </c>
      <c r="D2451" s="2" t="s">
        <v>17</v>
      </c>
      <c r="E2451" s="5">
        <v>-28340</v>
      </c>
      <c r="F2451" s="3" t="s">
        <v>139</v>
      </c>
      <c r="G2451" s="3" t="s">
        <v>31</v>
      </c>
      <c r="H2451" s="2" t="s">
        <v>20</v>
      </c>
      <c r="I2451" s="2" t="s">
        <v>5076</v>
      </c>
      <c r="J2451" s="3" t="str">
        <f>HYPERLINK("https://www.boe.es/gazeta/dias/1822/05/28/pdfs/GMD-1822-153.pdf#page=3","Abrir facsímil")</f>
        <v>Abrir facsímil</v>
      </c>
      <c r="K2451" s="3" t="s">
        <v>22</v>
      </c>
    </row>
    <row r="2452" spans="1:11" ht="42" customHeight="1">
      <c r="A2452" s="2" t="s">
        <v>5062</v>
      </c>
      <c r="B2452" s="2" t="s">
        <v>5062</v>
      </c>
      <c r="C2452" s="2" t="s">
        <v>61</v>
      </c>
      <c r="D2452" s="2" t="s">
        <v>17</v>
      </c>
      <c r="E2452" s="5">
        <v>-28324</v>
      </c>
      <c r="F2452" s="3" t="s">
        <v>305</v>
      </c>
      <c r="G2452" s="3" t="s">
        <v>57</v>
      </c>
      <c r="H2452" s="2" t="s">
        <v>20</v>
      </c>
      <c r="I2452" s="2" t="s">
        <v>5077</v>
      </c>
      <c r="J2452" s="3" t="str">
        <f>HYPERLINK("https://www.boe.es/gazeta/dias/1822/06/13/pdfs/GMD-1822-170.pdf#page=4","Abrir facsímil")</f>
        <v>Abrir facsímil</v>
      </c>
      <c r="K2452" s="3" t="s">
        <v>22</v>
      </c>
    </row>
    <row r="2453" spans="1:11" ht="42" customHeight="1">
      <c r="A2453" s="2" t="s">
        <v>5062</v>
      </c>
      <c r="B2453" s="2" t="s">
        <v>5062</v>
      </c>
      <c r="C2453" s="2" t="s">
        <v>71</v>
      </c>
      <c r="D2453" s="2" t="s">
        <v>17</v>
      </c>
      <c r="E2453" s="5">
        <v>-28318</v>
      </c>
      <c r="F2453" s="3" t="s">
        <v>397</v>
      </c>
      <c r="G2453" s="3" t="s">
        <v>57</v>
      </c>
      <c r="H2453" s="2" t="s">
        <v>20</v>
      </c>
      <c r="I2453" s="2" t="s">
        <v>5078</v>
      </c>
      <c r="J2453" s="3" t="str">
        <f>HYPERLINK("https://www.boe.es/gazeta/dias/1822/06/19/pdfs/GMD-1822-176.pdf#page=4","Abrir facsímil")</f>
        <v>Abrir facsímil</v>
      </c>
      <c r="K2453" s="3" t="s">
        <v>22</v>
      </c>
    </row>
    <row r="2454" spans="1:11" ht="42" customHeight="1">
      <c r="A2454" s="2" t="s">
        <v>5062</v>
      </c>
      <c r="B2454" s="2" t="s">
        <v>5062</v>
      </c>
      <c r="C2454" s="2" t="s">
        <v>71</v>
      </c>
      <c r="D2454" s="2" t="s">
        <v>17</v>
      </c>
      <c r="E2454" s="5">
        <v>-28310</v>
      </c>
      <c r="F2454" s="3" t="s">
        <v>241</v>
      </c>
      <c r="G2454" s="3" t="s">
        <v>35</v>
      </c>
      <c r="H2454" s="2" t="s">
        <v>20</v>
      </c>
      <c r="I2454" s="2" t="s">
        <v>5079</v>
      </c>
      <c r="J2454" s="3" t="str">
        <f>HYPERLINK("https://www.boe.es/gazeta/dias/1822/06/27/pdfs/GMD-1822-185.pdf#page=2","Abrir facsímil")</f>
        <v>Abrir facsímil</v>
      </c>
      <c r="K2454" s="3" t="s">
        <v>22</v>
      </c>
    </row>
    <row r="2455" spans="1:11" ht="42" customHeight="1">
      <c r="A2455" s="2" t="s">
        <v>5062</v>
      </c>
      <c r="B2455" s="2" t="s">
        <v>5062</v>
      </c>
      <c r="C2455" s="2" t="s">
        <v>50</v>
      </c>
      <c r="D2455" s="2" t="s">
        <v>51</v>
      </c>
      <c r="E2455" s="5">
        <v>-28211</v>
      </c>
      <c r="F2455" s="3" t="s">
        <v>273</v>
      </c>
      <c r="G2455" s="3" t="s">
        <v>57</v>
      </c>
      <c r="H2455" s="2" t="s">
        <v>20</v>
      </c>
      <c r="I2455" s="2" t="s">
        <v>5080</v>
      </c>
      <c r="J2455" s="3" t="str">
        <f>HYPERLINK("https://www.boe.es/gazeta/dias/1822/10/04/pdfs/GMD-1822-290.pdf#page=4","Abrir facsímil")</f>
        <v>Abrir facsímil</v>
      </c>
      <c r="K2455" s="3" t="s">
        <v>22</v>
      </c>
    </row>
    <row r="2456" spans="1:11" ht="42" customHeight="1">
      <c r="A2456" s="2" t="s">
        <v>5062</v>
      </c>
      <c r="B2456" s="2" t="s">
        <v>5062</v>
      </c>
      <c r="C2456" s="2" t="s">
        <v>28</v>
      </c>
      <c r="D2456" s="2" t="s">
        <v>29</v>
      </c>
      <c r="E2456" s="5">
        <v>-28206</v>
      </c>
      <c r="F2456" s="3" t="s">
        <v>562</v>
      </c>
      <c r="G2456" s="3" t="s">
        <v>35</v>
      </c>
      <c r="H2456" s="2" t="s">
        <v>20</v>
      </c>
      <c r="I2456" s="2" t="s">
        <v>5081</v>
      </c>
      <c r="J2456" s="3" t="str">
        <f>HYPERLINK("https://www.boe.es/gazeta/dias/1822/10/09/pdfs/GMD-1822-296.pdf#page=2","Abrir facsímil")</f>
        <v>Abrir facsímil</v>
      </c>
      <c r="K2456" s="3" t="s">
        <v>22</v>
      </c>
    </row>
    <row r="2457" spans="1:11" ht="42" customHeight="1">
      <c r="A2457" s="2" t="s">
        <v>5062</v>
      </c>
      <c r="B2457" s="2" t="s">
        <v>5062</v>
      </c>
      <c r="C2457" s="2" t="s">
        <v>42</v>
      </c>
      <c r="D2457" s="2" t="s">
        <v>17</v>
      </c>
      <c r="E2457" s="5">
        <v>-28197</v>
      </c>
      <c r="F2457" s="3" t="s">
        <v>568</v>
      </c>
      <c r="G2457" s="3" t="s">
        <v>19</v>
      </c>
      <c r="H2457" s="2" t="s">
        <v>20</v>
      </c>
      <c r="I2457" s="2" t="s">
        <v>5082</v>
      </c>
      <c r="J2457" s="3" t="str">
        <f>HYPERLINK("https://www.boe.es/gazeta/dias/1822/10/18/pdfs/GMD-1822-305.pdf#page=5","Abrir facsímil")</f>
        <v>Abrir facsímil</v>
      </c>
      <c r="K2457" s="3" t="s">
        <v>22</v>
      </c>
    </row>
    <row r="2458" spans="1:11" ht="42" customHeight="1">
      <c r="A2458" s="2" t="s">
        <v>5062</v>
      </c>
      <c r="B2458" s="2" t="s">
        <v>5062</v>
      </c>
      <c r="C2458" s="2" t="s">
        <v>71</v>
      </c>
      <c r="D2458" s="2" t="s">
        <v>17</v>
      </c>
      <c r="E2458" s="5">
        <v>-28189</v>
      </c>
      <c r="F2458" s="3" t="s">
        <v>645</v>
      </c>
      <c r="G2458" s="3" t="s">
        <v>35</v>
      </c>
      <c r="H2458" s="2" t="s">
        <v>20</v>
      </c>
      <c r="I2458" s="2" t="s">
        <v>5083</v>
      </c>
      <c r="J2458" s="3" t="str">
        <f>HYPERLINK("https://www.boe.es/gazeta/dias/1822/10/26/pdfs/GMD-1822-313.pdf#page=2","Abrir facsímil")</f>
        <v>Abrir facsímil</v>
      </c>
      <c r="K2458" s="3" t="s">
        <v>22</v>
      </c>
    </row>
    <row r="2459" spans="1:11" ht="42" customHeight="1">
      <c r="A2459" s="2" t="s">
        <v>5062</v>
      </c>
      <c r="B2459" s="2" t="s">
        <v>5062</v>
      </c>
      <c r="C2459" s="2" t="s">
        <v>28</v>
      </c>
      <c r="D2459" s="2" t="s">
        <v>29</v>
      </c>
      <c r="E2459" s="5">
        <v>-28174</v>
      </c>
      <c r="F2459" s="3" t="s">
        <v>881</v>
      </c>
      <c r="G2459" s="3" t="s">
        <v>31</v>
      </c>
      <c r="H2459" s="2" t="s">
        <v>20</v>
      </c>
      <c r="I2459" s="2" t="s">
        <v>5084</v>
      </c>
      <c r="J2459" s="3" t="str">
        <f>HYPERLINK("https://www.boe.es/gazeta/dias/1822/11/10/pdfs/GMD-1822-330.pdf#page=3","Abrir facsímil")</f>
        <v>Abrir facsímil</v>
      </c>
      <c r="K2459" s="3" t="s">
        <v>22</v>
      </c>
    </row>
    <row r="2460" spans="1:11" ht="42" customHeight="1">
      <c r="A2460" s="2" t="s">
        <v>5062</v>
      </c>
      <c r="B2460" s="2" t="s">
        <v>5062</v>
      </c>
      <c r="C2460" s="2" t="s">
        <v>42</v>
      </c>
      <c r="D2460" s="2" t="s">
        <v>17</v>
      </c>
      <c r="E2460" s="5">
        <v>-28155</v>
      </c>
      <c r="F2460" s="3" t="s">
        <v>833</v>
      </c>
      <c r="G2460" s="3" t="s">
        <v>31</v>
      </c>
      <c r="H2460" s="2" t="s">
        <v>20</v>
      </c>
      <c r="I2460" s="2" t="s">
        <v>5085</v>
      </c>
      <c r="J2460" s="3" t="str">
        <f>HYPERLINK("https://www.boe.es/gazeta/dias/1822/11/29/pdfs/GMD-1822-349.pdf#page=3","Abrir facsímil")</f>
        <v>Abrir facsímil</v>
      </c>
      <c r="K2460" s="3" t="s">
        <v>22</v>
      </c>
    </row>
    <row r="2461" spans="1:11" ht="42" customHeight="1">
      <c r="A2461" s="2" t="s">
        <v>5062</v>
      </c>
      <c r="B2461" s="2" t="s">
        <v>5062</v>
      </c>
      <c r="C2461" s="2" t="s">
        <v>50</v>
      </c>
      <c r="D2461" s="2" t="s">
        <v>51</v>
      </c>
      <c r="E2461" s="5">
        <v>-28147</v>
      </c>
      <c r="F2461" s="3" t="s">
        <v>1611</v>
      </c>
      <c r="G2461" s="3" t="s">
        <v>57</v>
      </c>
      <c r="H2461" s="2" t="s">
        <v>20</v>
      </c>
      <c r="I2461" s="2" t="s">
        <v>5086</v>
      </c>
      <c r="J2461" s="3" t="str">
        <f>HYPERLINK("https://www.boe.es/gazeta/dias/1822/12/07/pdfs/GMD-1822-357.pdf#page=4","Abrir facsímil")</f>
        <v>Abrir facsímil</v>
      </c>
      <c r="K2461" s="3" t="s">
        <v>22</v>
      </c>
    </row>
    <row r="2462" spans="1:11" ht="42" customHeight="1">
      <c r="A2462" s="2" t="s">
        <v>5062</v>
      </c>
      <c r="B2462" s="2" t="s">
        <v>5062</v>
      </c>
      <c r="C2462" s="2" t="s">
        <v>50</v>
      </c>
      <c r="D2462" s="2" t="s">
        <v>51</v>
      </c>
      <c r="E2462" s="5">
        <v>-28129</v>
      </c>
      <c r="F2462" s="3" t="s">
        <v>599</v>
      </c>
      <c r="G2462" s="3" t="s">
        <v>35</v>
      </c>
      <c r="H2462" s="2" t="s">
        <v>20</v>
      </c>
      <c r="I2462" s="2" t="s">
        <v>5087</v>
      </c>
      <c r="J2462" s="3" t="str">
        <f>HYPERLINK("https://www.boe.es/gazeta/dias/1822/12/25/pdfs/GMD-1822-375.pdf#page=2","Abrir facsímil")</f>
        <v>Abrir facsímil</v>
      </c>
      <c r="K2462" s="3" t="s">
        <v>22</v>
      </c>
    </row>
    <row r="2463" spans="1:11" ht="42" customHeight="1">
      <c r="A2463" s="2" t="s">
        <v>5062</v>
      </c>
      <c r="B2463" s="2" t="s">
        <v>5062</v>
      </c>
      <c r="C2463" s="2" t="s">
        <v>16</v>
      </c>
      <c r="D2463" s="2" t="s">
        <v>17</v>
      </c>
      <c r="E2463" s="5">
        <v>-28129</v>
      </c>
      <c r="F2463" s="3" t="s">
        <v>599</v>
      </c>
      <c r="G2463" s="3" t="s">
        <v>57</v>
      </c>
      <c r="H2463" s="2" t="s">
        <v>20</v>
      </c>
      <c r="I2463" s="2" t="s">
        <v>5088</v>
      </c>
      <c r="J2463" s="3" t="str">
        <f>HYPERLINK("https://www.boe.es/gazeta/dias/1822/12/25/pdfs/GMD-1822-375.pdf#page=4","Abrir facsímil")</f>
        <v>Abrir facsímil</v>
      </c>
      <c r="K2463" s="3" t="s">
        <v>22</v>
      </c>
    </row>
    <row r="2464" spans="1:11" ht="42" customHeight="1">
      <c r="A2464" s="2" t="s">
        <v>5089</v>
      </c>
      <c r="B2464" s="2" t="s">
        <v>5090</v>
      </c>
      <c r="C2464" s="2" t="s">
        <v>24</v>
      </c>
      <c r="D2464" s="2" t="s">
        <v>17</v>
      </c>
      <c r="E2464" s="5">
        <v>-28357</v>
      </c>
      <c r="F2464" s="3" t="s">
        <v>690</v>
      </c>
      <c r="G2464" s="3" t="s">
        <v>19</v>
      </c>
      <c r="H2464" s="2" t="s">
        <v>20</v>
      </c>
      <c r="I2464" s="2" t="s">
        <v>5091</v>
      </c>
      <c r="J2464" s="3" t="str">
        <f>HYPERLINK("https://www.boe.es/gazeta/dias/1822/05/11/pdfs/GMD-1822-133.pdf#page=5","Abrir facsímil")</f>
        <v>Abrir facsímil</v>
      </c>
      <c r="K2464" s="3" t="s">
        <v>22</v>
      </c>
    </row>
    <row r="2465" spans="1:11" ht="42" customHeight="1">
      <c r="A2465" s="2" t="s">
        <v>5092</v>
      </c>
      <c r="B2465" s="2" t="s">
        <v>5093</v>
      </c>
      <c r="C2465" s="2" t="s">
        <v>28</v>
      </c>
      <c r="D2465" s="2" t="s">
        <v>29</v>
      </c>
      <c r="E2465" s="5">
        <v>-28434</v>
      </c>
      <c r="F2465" s="3" t="s">
        <v>433</v>
      </c>
      <c r="G2465" s="3" t="s">
        <v>35</v>
      </c>
      <c r="H2465" s="2" t="s">
        <v>20</v>
      </c>
      <c r="I2465" s="2" t="s">
        <v>5094</v>
      </c>
      <c r="J2465" s="3" t="str">
        <f>HYPERLINK("https://www.boe.es/gazeta/dias/1822/02/23/pdfs/GMD-1822-55.pdf#page=2","Abrir facsímil")</f>
        <v>Abrir facsímil</v>
      </c>
      <c r="K2465" s="3" t="s">
        <v>22</v>
      </c>
    </row>
    <row r="2466" spans="1:11" ht="42" customHeight="1">
      <c r="A2466" s="2" t="s">
        <v>5095</v>
      </c>
      <c r="B2466" s="2" t="s">
        <v>5096</v>
      </c>
      <c r="C2466" s="2" t="s">
        <v>42</v>
      </c>
      <c r="D2466" s="2" t="s">
        <v>17</v>
      </c>
      <c r="E2466" s="5">
        <v>-28421</v>
      </c>
      <c r="F2466" s="3" t="s">
        <v>446</v>
      </c>
      <c r="G2466" s="3" t="s">
        <v>31</v>
      </c>
      <c r="H2466" s="2" t="s">
        <v>20</v>
      </c>
      <c r="I2466" s="2" t="s">
        <v>5097</v>
      </c>
      <c r="J2466" s="3" t="str">
        <f>HYPERLINK("https://www.boe.es/gazeta/dias/1822/03/08/pdfs/GMD-1822-69.pdf#page=3","Abrir facsímil")</f>
        <v>Abrir facsímil</v>
      </c>
      <c r="K2466" s="3" t="s">
        <v>22</v>
      </c>
    </row>
    <row r="2467" spans="1:11" ht="42" customHeight="1">
      <c r="A2467" s="2" t="s">
        <v>5098</v>
      </c>
      <c r="B2467" s="2" t="s">
        <v>5099</v>
      </c>
      <c r="C2467" s="2" t="s">
        <v>28</v>
      </c>
      <c r="D2467" s="2" t="s">
        <v>29</v>
      </c>
      <c r="E2467" s="5">
        <v>-28426</v>
      </c>
      <c r="F2467" s="3" t="s">
        <v>1178</v>
      </c>
      <c r="G2467" s="3" t="s">
        <v>57</v>
      </c>
      <c r="H2467" s="2" t="s">
        <v>20</v>
      </c>
      <c r="I2467" s="2" t="s">
        <v>5100</v>
      </c>
      <c r="J2467" s="3" t="str">
        <f>HYPERLINK("https://www.boe.es/gazeta/dias/1822/03/03/pdfs/GMD-1822-64.pdf#page=4","Abrir facsímil")</f>
        <v>Abrir facsímil</v>
      </c>
      <c r="K2467" s="3" t="s">
        <v>22</v>
      </c>
    </row>
    <row r="2468" spans="1:11" ht="42" customHeight="1">
      <c r="A2468" s="2" t="s">
        <v>5101</v>
      </c>
      <c r="B2468" s="2" t="s">
        <v>5102</v>
      </c>
      <c r="C2468" s="2" t="s">
        <v>71</v>
      </c>
      <c r="D2468" s="2" t="s">
        <v>17</v>
      </c>
      <c r="E2468" s="5">
        <v>-28426</v>
      </c>
      <c r="F2468" s="3" t="s">
        <v>1178</v>
      </c>
      <c r="G2468" s="3" t="s">
        <v>57</v>
      </c>
      <c r="H2468" s="2" t="s">
        <v>20</v>
      </c>
      <c r="I2468" s="2" t="s">
        <v>5103</v>
      </c>
      <c r="J2468" s="3" t="str">
        <f>HYPERLINK("https://www.boe.es/gazeta/dias/1822/03/03/pdfs/GMD-1822-64.pdf#page=4","Abrir facsímil")</f>
        <v>Abrir facsímil</v>
      </c>
      <c r="K2468" s="3" t="s">
        <v>22</v>
      </c>
    </row>
    <row r="2469" spans="1:11" ht="42" customHeight="1">
      <c r="A2469" s="2" t="s">
        <v>5101</v>
      </c>
      <c r="B2469" s="2" t="s">
        <v>5102</v>
      </c>
      <c r="C2469" s="2" t="s">
        <v>28</v>
      </c>
      <c r="D2469" s="2" t="s">
        <v>29</v>
      </c>
      <c r="E2469" s="5">
        <v>-28423</v>
      </c>
      <c r="F2469" s="3" t="s">
        <v>441</v>
      </c>
      <c r="G2469" s="3" t="s">
        <v>31</v>
      </c>
      <c r="H2469" s="2" t="s">
        <v>20</v>
      </c>
      <c r="I2469" s="2" t="s">
        <v>5104</v>
      </c>
      <c r="J2469" s="3" t="str">
        <f>HYPERLINK("https://www.boe.es/gazeta/dias/1822/03/06/pdfs/GMD-1822-67.pdf#page=3","Abrir facsímil")</f>
        <v>Abrir facsímil</v>
      </c>
      <c r="K2469" s="3" t="s">
        <v>22</v>
      </c>
    </row>
    <row r="2470" spans="1:11" ht="42" customHeight="1">
      <c r="A2470" s="2" t="s">
        <v>5101</v>
      </c>
      <c r="B2470" s="2" t="s">
        <v>5102</v>
      </c>
      <c r="C2470" s="2" t="s">
        <v>42</v>
      </c>
      <c r="D2470" s="2" t="s">
        <v>17</v>
      </c>
      <c r="E2470" s="5">
        <v>-28416</v>
      </c>
      <c r="F2470" s="3" t="s">
        <v>97</v>
      </c>
      <c r="G2470" s="3" t="s">
        <v>35</v>
      </c>
      <c r="H2470" s="2" t="s">
        <v>20</v>
      </c>
      <c r="I2470" s="2" t="s">
        <v>5105</v>
      </c>
      <c r="J2470" s="3" t="str">
        <f>HYPERLINK("https://www.boe.es/gazeta/dias/1822/03/13/pdfs/GMD-1822-74.pdf#page=2","Abrir facsímil")</f>
        <v>Abrir facsímil</v>
      </c>
      <c r="K2470" s="3" t="s">
        <v>22</v>
      </c>
    </row>
    <row r="2471" spans="1:11" ht="42" customHeight="1">
      <c r="A2471" s="2" t="s">
        <v>5101</v>
      </c>
      <c r="B2471" s="2" t="s">
        <v>5102</v>
      </c>
      <c r="C2471" s="2" t="s">
        <v>42</v>
      </c>
      <c r="D2471" s="2" t="s">
        <v>17</v>
      </c>
      <c r="E2471" s="5">
        <v>-28412</v>
      </c>
      <c r="F2471" s="3" t="s">
        <v>825</v>
      </c>
      <c r="G2471" s="3" t="s">
        <v>31</v>
      </c>
      <c r="H2471" s="2" t="s">
        <v>20</v>
      </c>
      <c r="I2471" s="2" t="s">
        <v>5106</v>
      </c>
      <c r="J2471" s="3" t="str">
        <f>HYPERLINK("https://www.boe.es/gazeta/dias/1822/03/17/pdfs/GMD-1822-78.pdf#page=3","Abrir facsímil")</f>
        <v>Abrir facsímil</v>
      </c>
      <c r="K2471" s="3" t="s">
        <v>22</v>
      </c>
    </row>
    <row r="2472" spans="1:11" ht="42" customHeight="1">
      <c r="A2472" s="2" t="s">
        <v>5101</v>
      </c>
      <c r="B2472" s="2" t="s">
        <v>5102</v>
      </c>
      <c r="C2472" s="2" t="s">
        <v>71</v>
      </c>
      <c r="D2472" s="2" t="s">
        <v>17</v>
      </c>
      <c r="E2472" s="5">
        <v>-28410</v>
      </c>
      <c r="F2472" s="3" t="s">
        <v>966</v>
      </c>
      <c r="G2472" s="3" t="s">
        <v>57</v>
      </c>
      <c r="H2472" s="2" t="s">
        <v>20</v>
      </c>
      <c r="I2472" s="2" t="s">
        <v>5107</v>
      </c>
      <c r="J2472" s="3" t="str">
        <f>HYPERLINK("https://www.boe.es/gazeta/dias/1822/03/19/pdfs/GMD-1822-80.pdf#page=4","Abrir facsímil")</f>
        <v>Abrir facsímil</v>
      </c>
      <c r="K2472" s="3" t="s">
        <v>22</v>
      </c>
    </row>
    <row r="2473" spans="1:11" ht="42" customHeight="1">
      <c r="A2473" s="2" t="s">
        <v>5101</v>
      </c>
      <c r="B2473" s="2" t="s">
        <v>5102</v>
      </c>
      <c r="C2473" s="2" t="s">
        <v>28</v>
      </c>
      <c r="D2473" s="2" t="s">
        <v>29</v>
      </c>
      <c r="E2473" s="5">
        <v>-28338</v>
      </c>
      <c r="F2473" s="3" t="s">
        <v>527</v>
      </c>
      <c r="G2473" s="3" t="s">
        <v>57</v>
      </c>
      <c r="H2473" s="2" t="s">
        <v>20</v>
      </c>
      <c r="I2473" s="2" t="s">
        <v>5108</v>
      </c>
      <c r="J2473" s="3" t="str">
        <f>HYPERLINK("https://www.boe.es/gazeta/dias/1822/05/30/pdfs/GMD-1822-155.pdf#page=4","Abrir facsímil")</f>
        <v>Abrir facsímil</v>
      </c>
      <c r="K2473" s="3" t="s">
        <v>22</v>
      </c>
    </row>
    <row r="2474" spans="1:11" ht="42" customHeight="1">
      <c r="A2474" s="2" t="s">
        <v>5101</v>
      </c>
      <c r="B2474" s="2" t="s">
        <v>5102</v>
      </c>
      <c r="C2474" s="2" t="s">
        <v>50</v>
      </c>
      <c r="D2474" s="2" t="s">
        <v>51</v>
      </c>
      <c r="E2474" s="5">
        <v>-28203</v>
      </c>
      <c r="F2474" s="3" t="s">
        <v>564</v>
      </c>
      <c r="G2474" s="3" t="s">
        <v>4185</v>
      </c>
      <c r="H2474" s="2" t="s">
        <v>20</v>
      </c>
      <c r="I2474" s="2" t="s">
        <v>5109</v>
      </c>
      <c r="J2474" s="3" t="str">
        <f>HYPERLINK("https://www.boe.es/gazeta/dias/1822/10/12/pdfs/GMD-1822-299.pdf#page=2","Abrir facsímil")</f>
        <v>Abrir facsímil</v>
      </c>
      <c r="K2474" s="3" t="s">
        <v>22</v>
      </c>
    </row>
    <row r="2475" spans="1:11" ht="42" customHeight="1">
      <c r="A2475" s="2" t="s">
        <v>5110</v>
      </c>
      <c r="B2475" s="2" t="s">
        <v>5111</v>
      </c>
      <c r="C2475" s="2" t="s">
        <v>50</v>
      </c>
      <c r="D2475" s="2" t="s">
        <v>51</v>
      </c>
      <c r="E2475" s="5">
        <v>-28388</v>
      </c>
      <c r="F2475" s="3" t="s">
        <v>1268</v>
      </c>
      <c r="G2475" s="3" t="s">
        <v>31</v>
      </c>
      <c r="H2475" s="2" t="s">
        <v>20</v>
      </c>
      <c r="I2475" s="2" t="s">
        <v>5112</v>
      </c>
      <c r="J2475" s="3" t="str">
        <f>HYPERLINK("https://www.boe.es/gazeta/dias/1822/04/10/pdfs/GMD-1822-102.pdf#page=3","Abrir facsímil")</f>
        <v>Abrir facsímil</v>
      </c>
      <c r="K2475" s="3" t="s">
        <v>22</v>
      </c>
    </row>
    <row r="2476" spans="1:11" ht="42" customHeight="1">
      <c r="A2476" s="2" t="s">
        <v>5113</v>
      </c>
      <c r="B2476" s="2" t="s">
        <v>5114</v>
      </c>
      <c r="C2476" s="2" t="s">
        <v>16</v>
      </c>
      <c r="D2476" s="2" t="s">
        <v>17</v>
      </c>
      <c r="E2476" s="5">
        <v>-28326</v>
      </c>
      <c r="F2476" s="3" t="s">
        <v>543</v>
      </c>
      <c r="G2476" s="3" t="s">
        <v>19</v>
      </c>
      <c r="H2476" s="2" t="s">
        <v>20</v>
      </c>
      <c r="I2476" s="2" t="s">
        <v>5115</v>
      </c>
      <c r="J2476" s="3" t="str">
        <f>HYPERLINK("https://www.boe.es/gazeta/dias/1822/06/11/pdfs/GMD-1822-168.pdf#page=5","Abrir facsímil")</f>
        <v>Abrir facsímil</v>
      </c>
      <c r="K2476" s="3" t="s">
        <v>22</v>
      </c>
    </row>
    <row r="2477" spans="1:11" ht="42" customHeight="1">
      <c r="A2477" s="2" t="s">
        <v>5116</v>
      </c>
      <c r="B2477" s="2" t="s">
        <v>5116</v>
      </c>
      <c r="C2477" s="2" t="s">
        <v>28</v>
      </c>
      <c r="D2477" s="2" t="s">
        <v>29</v>
      </c>
      <c r="E2477" s="5">
        <v>-28365</v>
      </c>
      <c r="F2477" s="3" t="s">
        <v>506</v>
      </c>
      <c r="G2477" s="3" t="s">
        <v>31</v>
      </c>
      <c r="H2477" s="2" t="s">
        <v>20</v>
      </c>
      <c r="I2477" s="2" t="s">
        <v>5117</v>
      </c>
      <c r="J2477" s="3" t="str">
        <f>HYPERLINK("https://www.boe.es/gazeta/dias/1822/05/03/pdfs/GMD-1822-125.pdf#page=3","Abrir facsímil")</f>
        <v>Abrir facsímil</v>
      </c>
      <c r="K2477" s="3" t="s">
        <v>22</v>
      </c>
    </row>
    <row r="2478" spans="1:11" ht="42" customHeight="1">
      <c r="A2478" s="2" t="s">
        <v>5118</v>
      </c>
      <c r="B2478" s="2" t="s">
        <v>5118</v>
      </c>
      <c r="C2478" s="2" t="s">
        <v>61</v>
      </c>
      <c r="D2478" s="2" t="s">
        <v>17</v>
      </c>
      <c r="E2478" s="5">
        <v>-28334</v>
      </c>
      <c r="F2478" s="3" t="s">
        <v>532</v>
      </c>
      <c r="G2478" s="3" t="s">
        <v>57</v>
      </c>
      <c r="H2478" s="2" t="s">
        <v>20</v>
      </c>
      <c r="I2478" s="2" t="s">
        <v>5119</v>
      </c>
      <c r="J2478" s="3" t="str">
        <f>HYPERLINK("https://www.boe.es/gazeta/dias/1822/06/03/pdfs/GMD-1822-159.pdf#page=4","Abrir facsímil")</f>
        <v>Abrir facsímil</v>
      </c>
      <c r="K2478" s="3" t="s">
        <v>22</v>
      </c>
    </row>
    <row r="2479" spans="1:11" ht="42" customHeight="1">
      <c r="A2479" s="2" t="s">
        <v>5120</v>
      </c>
      <c r="B2479" s="2" t="s">
        <v>5121</v>
      </c>
      <c r="C2479" s="2" t="s">
        <v>50</v>
      </c>
      <c r="D2479" s="2" t="s">
        <v>51</v>
      </c>
      <c r="E2479" s="5">
        <v>-28406</v>
      </c>
      <c r="F2479" s="3" t="s">
        <v>462</v>
      </c>
      <c r="G2479" s="3" t="s">
        <v>19</v>
      </c>
      <c r="H2479" s="2" t="s">
        <v>20</v>
      </c>
      <c r="I2479" s="2" t="s">
        <v>5122</v>
      </c>
      <c r="J2479" s="3" t="str">
        <f>HYPERLINK("https://www.boe.es/gazeta/dias/1822/03/23/pdfs/GMD-1822-84.pdf#page=5","Abrir facsímil")</f>
        <v>Abrir facsímil</v>
      </c>
      <c r="K2479" s="3" t="s">
        <v>22</v>
      </c>
    </row>
    <row r="2480" spans="1:11" ht="42" customHeight="1">
      <c r="A2480" s="2" t="s">
        <v>5123</v>
      </c>
      <c r="B2480" s="2" t="s">
        <v>5123</v>
      </c>
      <c r="C2480" s="2" t="s">
        <v>42</v>
      </c>
      <c r="D2480" s="2" t="s">
        <v>17</v>
      </c>
      <c r="E2480" s="5">
        <v>-28323</v>
      </c>
      <c r="F2480" s="3" t="s">
        <v>116</v>
      </c>
      <c r="G2480" s="3" t="s">
        <v>31</v>
      </c>
      <c r="H2480" s="2" t="s">
        <v>20</v>
      </c>
      <c r="I2480" s="2" t="s">
        <v>5124</v>
      </c>
      <c r="J2480" s="3" t="str">
        <f>HYPERLINK("https://www.boe.es/gazeta/dias/1822/06/14/pdfs/GMD-1822-171.pdf#page=3","Abrir facsímil")</f>
        <v>Abrir facsímil</v>
      </c>
      <c r="K2480" s="3" t="s">
        <v>22</v>
      </c>
    </row>
    <row r="2481" spans="1:11" ht="42" customHeight="1">
      <c r="A2481" s="2" t="s">
        <v>5125</v>
      </c>
      <c r="B2481" s="2" t="s">
        <v>5125</v>
      </c>
      <c r="C2481" s="2" t="s">
        <v>16</v>
      </c>
      <c r="D2481" s="2" t="s">
        <v>17</v>
      </c>
      <c r="E2481" s="5">
        <v>-28179</v>
      </c>
      <c r="F2481" s="3" t="s">
        <v>935</v>
      </c>
      <c r="G2481" s="3" t="s">
        <v>44</v>
      </c>
      <c r="H2481" s="2" t="s">
        <v>20</v>
      </c>
      <c r="I2481" s="2" t="s">
        <v>5126</v>
      </c>
      <c r="J2481" s="3" t="str">
        <f>HYPERLINK("https://www.boe.es/gazeta/dias/1822/11/05/pdfs/GMD-1822-325.pdf#page=1","Abrir facsímil")</f>
        <v>Abrir facsímil</v>
      </c>
      <c r="K2481" s="3" t="s">
        <v>22</v>
      </c>
    </row>
    <row r="2482" spans="1:11" ht="42" customHeight="1">
      <c r="A2482" s="2" t="s">
        <v>5125</v>
      </c>
      <c r="B2482" s="2" t="s">
        <v>5125</v>
      </c>
      <c r="C2482" s="2" t="s">
        <v>71</v>
      </c>
      <c r="D2482" s="2" t="s">
        <v>17</v>
      </c>
      <c r="E2482" s="5">
        <v>-28154</v>
      </c>
      <c r="F2482" s="3" t="s">
        <v>2321</v>
      </c>
      <c r="G2482" s="3" t="s">
        <v>44</v>
      </c>
      <c r="H2482" s="2" t="s">
        <v>20</v>
      </c>
      <c r="I2482" s="2" t="s">
        <v>5127</v>
      </c>
      <c r="J2482" s="3" t="str">
        <f>HYPERLINK("https://www.boe.es/gazeta/dias/1822/11/30/pdfs/GMD-1822-350.pdf#page=1","Abrir facsímil")</f>
        <v>Abrir facsímil</v>
      </c>
      <c r="K2482" s="3" t="s">
        <v>22</v>
      </c>
    </row>
    <row r="2483" spans="1:11" ht="42" customHeight="1">
      <c r="A2483" s="2" t="s">
        <v>5128</v>
      </c>
      <c r="B2483" s="2" t="s">
        <v>5129</v>
      </c>
      <c r="C2483" s="2" t="s">
        <v>28</v>
      </c>
      <c r="D2483" s="2" t="s">
        <v>29</v>
      </c>
      <c r="E2483" s="5">
        <v>-28397</v>
      </c>
      <c r="F2483" s="3" t="s">
        <v>1401</v>
      </c>
      <c r="G2483" s="3" t="s">
        <v>57</v>
      </c>
      <c r="H2483" s="2" t="s">
        <v>20</v>
      </c>
      <c r="I2483" s="2" t="s">
        <v>5130</v>
      </c>
      <c r="J2483" s="3" t="str">
        <f>HYPERLINK("https://www.boe.es/gazeta/dias/1822/04/01/pdfs/GMD-1822-93.pdf#page=4","Abrir facsímil")</f>
        <v>Abrir facsímil</v>
      </c>
      <c r="K2483" s="3" t="s">
        <v>22</v>
      </c>
    </row>
    <row r="2484" spans="1:11" ht="42" customHeight="1">
      <c r="A2484" s="2" t="s">
        <v>5131</v>
      </c>
      <c r="B2484" s="2" t="s">
        <v>5132</v>
      </c>
      <c r="C2484" s="2" t="s">
        <v>42</v>
      </c>
      <c r="D2484" s="2" t="s">
        <v>17</v>
      </c>
      <c r="E2484" s="5">
        <v>-28364</v>
      </c>
      <c r="F2484" s="3" t="s">
        <v>509</v>
      </c>
      <c r="G2484" s="3" t="s">
        <v>63</v>
      </c>
      <c r="H2484" s="2" t="s">
        <v>20</v>
      </c>
      <c r="I2484" s="2" t="s">
        <v>5133</v>
      </c>
      <c r="J2484" s="3" t="str">
        <f>HYPERLINK("https://www.boe.es/gazeta/dias/1822/05/04/pdfs/GMD-1822-126.pdf#page=6","Abrir facsímil")</f>
        <v>Abrir facsímil</v>
      </c>
      <c r="K2484" s="3" t="s">
        <v>22</v>
      </c>
    </row>
    <row r="2485" spans="1:11" ht="42" customHeight="1">
      <c r="A2485" s="2" t="s">
        <v>5134</v>
      </c>
      <c r="B2485" s="2" t="s">
        <v>5134</v>
      </c>
      <c r="C2485" s="2" t="s">
        <v>50</v>
      </c>
      <c r="D2485" s="2" t="s">
        <v>51</v>
      </c>
      <c r="E2485" s="5">
        <v>-28337</v>
      </c>
      <c r="F2485" s="3" t="s">
        <v>1836</v>
      </c>
      <c r="G2485" s="3" t="s">
        <v>57</v>
      </c>
      <c r="H2485" s="2" t="s">
        <v>20</v>
      </c>
      <c r="I2485" s="2" t="s">
        <v>5135</v>
      </c>
      <c r="J2485" s="3" t="str">
        <f>HYPERLINK("https://www.boe.es/gazeta/dias/1822/05/31/pdfs/GMD-1822-156.pdf#page=4","Abrir facsímil")</f>
        <v>Abrir facsímil</v>
      </c>
      <c r="K2485" s="3" t="s">
        <v>22</v>
      </c>
    </row>
    <row r="2486" spans="1:11" ht="42" customHeight="1">
      <c r="A2486" s="2" t="s">
        <v>5136</v>
      </c>
      <c r="B2486" s="2" t="s">
        <v>5136</v>
      </c>
      <c r="C2486" s="2" t="s">
        <v>42</v>
      </c>
      <c r="D2486" s="2" t="s">
        <v>17</v>
      </c>
      <c r="E2486" s="5">
        <v>-28156</v>
      </c>
      <c r="F2486" s="3" t="s">
        <v>1568</v>
      </c>
      <c r="G2486" s="3" t="s">
        <v>63</v>
      </c>
      <c r="H2486" s="2" t="s">
        <v>20</v>
      </c>
      <c r="I2486" s="2" t="s">
        <v>5137</v>
      </c>
      <c r="J2486" s="3" t="str">
        <f>HYPERLINK("https://www.boe.es/gazeta/dias/1822/11/28/pdfs/GMD-1822-348.pdf#page=6","Abrir facsímil")</f>
        <v>Abrir facsímil</v>
      </c>
      <c r="K2486" s="3" t="s">
        <v>22</v>
      </c>
    </row>
    <row r="2487" spans="1:11" ht="42" customHeight="1">
      <c r="A2487" s="2" t="s">
        <v>5136</v>
      </c>
      <c r="B2487" s="2" t="s">
        <v>5136</v>
      </c>
      <c r="C2487" s="2" t="s">
        <v>24</v>
      </c>
      <c r="D2487" s="2" t="s">
        <v>17</v>
      </c>
      <c r="E2487" s="5">
        <v>-28153</v>
      </c>
      <c r="F2487" s="3" t="s">
        <v>946</v>
      </c>
      <c r="G2487" s="3" t="s">
        <v>19</v>
      </c>
      <c r="H2487" s="2" t="s">
        <v>20</v>
      </c>
      <c r="I2487" s="2" t="s">
        <v>5138</v>
      </c>
      <c r="J2487" s="3" t="str">
        <f>HYPERLINK("https://www.boe.es/gazeta/dias/1822/12/01/pdfs/GMD-1822-351.pdf#page=5","Abrir facsímil")</f>
        <v>Abrir facsímil</v>
      </c>
      <c r="K2487" s="3" t="s">
        <v>22</v>
      </c>
    </row>
    <row r="2488" spans="1:11" ht="42" customHeight="1">
      <c r="A2488" s="2" t="s">
        <v>5139</v>
      </c>
      <c r="B2488" s="2" t="s">
        <v>5140</v>
      </c>
      <c r="C2488" s="2" t="s">
        <v>71</v>
      </c>
      <c r="D2488" s="2" t="s">
        <v>17</v>
      </c>
      <c r="E2488" s="5">
        <v>-28325</v>
      </c>
      <c r="F2488" s="3" t="s">
        <v>104</v>
      </c>
      <c r="G2488" s="3" t="s">
        <v>31</v>
      </c>
      <c r="H2488" s="2" t="s">
        <v>20</v>
      </c>
      <c r="I2488" s="2" t="s">
        <v>5141</v>
      </c>
      <c r="J2488" s="3" t="str">
        <f>HYPERLINK("https://www.boe.es/gazeta/dias/1822/06/12/pdfs/GMD-1822-169.pdf#page=3","Abrir facsímil")</f>
        <v>Abrir facsímil</v>
      </c>
      <c r="K2488" s="3" t="s">
        <v>22</v>
      </c>
    </row>
    <row r="2489" spans="1:11" ht="42" customHeight="1">
      <c r="A2489" s="2" t="s">
        <v>5142</v>
      </c>
      <c r="B2489" s="2" t="s">
        <v>5143</v>
      </c>
      <c r="C2489" s="2" t="s">
        <v>50</v>
      </c>
      <c r="D2489" s="2" t="s">
        <v>51</v>
      </c>
      <c r="E2489" s="5">
        <v>-28395</v>
      </c>
      <c r="F2489" s="3" t="s">
        <v>237</v>
      </c>
      <c r="G2489" s="3" t="s">
        <v>57</v>
      </c>
      <c r="H2489" s="2" t="s">
        <v>20</v>
      </c>
      <c r="I2489" s="2" t="s">
        <v>5144</v>
      </c>
      <c r="J2489" s="3" t="str">
        <f>HYPERLINK("https://www.boe.es/gazeta/dias/1822/04/03/pdfs/GMD-1822-95.pdf#page=4","Abrir facsímil")</f>
        <v>Abrir facsímil</v>
      </c>
      <c r="K2489" s="3" t="s">
        <v>22</v>
      </c>
    </row>
    <row r="2490" spans="1:11" ht="42" customHeight="1">
      <c r="A2490" s="2" t="s">
        <v>5145</v>
      </c>
      <c r="B2490" s="2" t="s">
        <v>5146</v>
      </c>
      <c r="C2490" s="2" t="s">
        <v>42</v>
      </c>
      <c r="D2490" s="2" t="s">
        <v>17</v>
      </c>
      <c r="E2490" s="5">
        <v>-28210</v>
      </c>
      <c r="F2490" s="3" t="s">
        <v>218</v>
      </c>
      <c r="G2490" s="3" t="s">
        <v>19</v>
      </c>
      <c r="H2490" s="2" t="s">
        <v>20</v>
      </c>
      <c r="I2490" s="2" t="s">
        <v>5147</v>
      </c>
      <c r="J2490" s="3" t="str">
        <f>HYPERLINK("https://www.boe.es/gazeta/dias/1822/10/05/pdfs/GMD-1822-291.pdf#page=5","Abrir facsímil")</f>
        <v>Abrir facsímil</v>
      </c>
      <c r="K2490" s="3" t="s">
        <v>22</v>
      </c>
    </row>
    <row r="2491" spans="1:11" ht="42" customHeight="1">
      <c r="A2491" s="2" t="s">
        <v>5148</v>
      </c>
      <c r="B2491" s="2" t="s">
        <v>5149</v>
      </c>
      <c r="C2491" s="2" t="s">
        <v>50</v>
      </c>
      <c r="D2491" s="2" t="s">
        <v>51</v>
      </c>
      <c r="E2491" s="5">
        <v>-28158</v>
      </c>
      <c r="F2491" s="3" t="s">
        <v>590</v>
      </c>
      <c r="G2491" s="3" t="s">
        <v>63</v>
      </c>
      <c r="H2491" s="2" t="s">
        <v>20</v>
      </c>
      <c r="I2491" s="2" t="s">
        <v>5150</v>
      </c>
      <c r="J2491" s="3" t="str">
        <f>HYPERLINK("https://www.boe.es/gazeta/dias/1822/11/26/pdfs/GMD-1822-346.pdf#page=6","Abrir facsímil")</f>
        <v>Abrir facsímil</v>
      </c>
      <c r="K2491" s="3" t="s">
        <v>22</v>
      </c>
    </row>
    <row r="2492" spans="1:11" ht="42" customHeight="1">
      <c r="A2492" s="2" t="s">
        <v>5151</v>
      </c>
      <c r="B2492" s="2" t="s">
        <v>5152</v>
      </c>
      <c r="C2492" s="2" t="s">
        <v>50</v>
      </c>
      <c r="D2492" s="2" t="s">
        <v>51</v>
      </c>
      <c r="E2492" s="5">
        <v>-28394</v>
      </c>
      <c r="F2492" s="3" t="s">
        <v>268</v>
      </c>
      <c r="G2492" s="3" t="s">
        <v>57</v>
      </c>
      <c r="H2492" s="2" t="s">
        <v>20</v>
      </c>
      <c r="I2492" s="2" t="s">
        <v>5153</v>
      </c>
      <c r="J2492" s="3" t="str">
        <f>HYPERLINK("https://www.boe.es/gazeta/dias/1822/04/04/pdfs/GMD-1822-96.pdf#page=4","Abrir facsímil")</f>
        <v>Abrir facsímil</v>
      </c>
      <c r="K2492" s="3" t="s">
        <v>22</v>
      </c>
    </row>
    <row r="2493" spans="1:11" ht="42" customHeight="1">
      <c r="A2493" s="2" t="s">
        <v>5154</v>
      </c>
      <c r="B2493" s="2" t="s">
        <v>5155</v>
      </c>
      <c r="C2493" s="2" t="s">
        <v>50</v>
      </c>
      <c r="D2493" s="2" t="s">
        <v>51</v>
      </c>
      <c r="E2493" s="5">
        <v>-28402</v>
      </c>
      <c r="F2493" s="3" t="s">
        <v>473</v>
      </c>
      <c r="G2493" s="3" t="s">
        <v>31</v>
      </c>
      <c r="H2493" s="2" t="s">
        <v>20</v>
      </c>
      <c r="I2493" s="2" t="s">
        <v>5156</v>
      </c>
      <c r="J2493" s="3" t="str">
        <f>HYPERLINK("https://www.boe.es/gazeta/dias/1822/03/27/pdfs/GMD-1822-88.pdf#page=3","Abrir facsímil")</f>
        <v>Abrir facsímil</v>
      </c>
      <c r="K2493" s="3" t="s">
        <v>22</v>
      </c>
    </row>
    <row r="2494" spans="1:11" ht="42" customHeight="1">
      <c r="A2494" s="2" t="s">
        <v>5157</v>
      </c>
      <c r="B2494" s="2" t="s">
        <v>5158</v>
      </c>
      <c r="C2494" s="2" t="s">
        <v>71</v>
      </c>
      <c r="D2494" s="2" t="s">
        <v>17</v>
      </c>
      <c r="E2494" s="5">
        <v>-28407</v>
      </c>
      <c r="F2494" s="3" t="s">
        <v>460</v>
      </c>
      <c r="G2494" s="3" t="s">
        <v>35</v>
      </c>
      <c r="H2494" s="2" t="s">
        <v>20</v>
      </c>
      <c r="I2494" s="2" t="s">
        <v>5159</v>
      </c>
      <c r="J2494" s="3" t="str">
        <f>HYPERLINK("https://www.boe.es/gazeta/dias/1822/03/22/pdfs/GMD-1822-83.pdf#page=2","Abrir facsímil")</f>
        <v>Abrir facsímil</v>
      </c>
      <c r="K2494" s="3" t="s">
        <v>22</v>
      </c>
    </row>
    <row r="2495" spans="1:11" ht="42" customHeight="1">
      <c r="A2495" s="2" t="s">
        <v>5160</v>
      </c>
      <c r="B2495" s="2" t="s">
        <v>5160</v>
      </c>
      <c r="C2495" s="2" t="s">
        <v>42</v>
      </c>
      <c r="D2495" s="2" t="s">
        <v>17</v>
      </c>
      <c r="E2495" s="5">
        <v>-28374</v>
      </c>
      <c r="F2495" s="3" t="s">
        <v>171</v>
      </c>
      <c r="G2495" s="3" t="s">
        <v>31</v>
      </c>
      <c r="H2495" s="2" t="s">
        <v>20</v>
      </c>
      <c r="I2495" s="2" t="s">
        <v>5161</v>
      </c>
      <c r="J2495" s="3" t="str">
        <f>HYPERLINK("https://www.boe.es/gazeta/dias/1822/04/24/pdfs/GMD-1822-116.pdf#page=3","Abrir facsímil")</f>
        <v>Abrir facsímil</v>
      </c>
      <c r="K2495" s="3" t="s">
        <v>22</v>
      </c>
    </row>
    <row r="2496" spans="1:11" ht="42" customHeight="1">
      <c r="A2496" s="2" t="s">
        <v>5162</v>
      </c>
      <c r="B2496" s="2" t="s">
        <v>5163</v>
      </c>
      <c r="C2496" s="2" t="s">
        <v>28</v>
      </c>
      <c r="D2496" s="2" t="s">
        <v>29</v>
      </c>
      <c r="E2496" s="5">
        <v>-28436</v>
      </c>
      <c r="F2496" s="3" t="s">
        <v>431</v>
      </c>
      <c r="G2496" s="3" t="s">
        <v>1428</v>
      </c>
      <c r="H2496" s="2" t="s">
        <v>20</v>
      </c>
      <c r="I2496" s="2" t="s">
        <v>5164</v>
      </c>
      <c r="J2496" s="3" t="str">
        <f>HYPERLINK("https://www.boe.es/gazeta/dias/1822/02/21/pdfs/GMD-1822-53.pdf#page=3","Abrir facsímil")</f>
        <v>Abrir facsímil</v>
      </c>
      <c r="K2496" s="3" t="s">
        <v>22</v>
      </c>
    </row>
    <row r="2497" spans="1:11" ht="42" customHeight="1">
      <c r="A2497" s="2" t="s">
        <v>5165</v>
      </c>
      <c r="B2497" s="2" t="s">
        <v>5166</v>
      </c>
      <c r="C2497" s="2" t="s">
        <v>28</v>
      </c>
      <c r="D2497" s="2" t="s">
        <v>29</v>
      </c>
      <c r="E2497" s="5">
        <v>-28397</v>
      </c>
      <c r="F2497" s="3" t="s">
        <v>1401</v>
      </c>
      <c r="G2497" s="3" t="s">
        <v>57</v>
      </c>
      <c r="H2497" s="2" t="s">
        <v>20</v>
      </c>
      <c r="I2497" s="2" t="s">
        <v>5167</v>
      </c>
      <c r="J2497" s="3" t="str">
        <f>HYPERLINK("https://www.boe.es/gazeta/dias/1822/04/01/pdfs/GMD-1822-93.pdf#page=4","Abrir facsímil")</f>
        <v>Abrir facsímil</v>
      </c>
      <c r="K2497" s="3" t="s">
        <v>22</v>
      </c>
    </row>
    <row r="2498" spans="1:11" ht="42" customHeight="1">
      <c r="A2498" s="2" t="s">
        <v>5165</v>
      </c>
      <c r="B2498" s="2" t="s">
        <v>5166</v>
      </c>
      <c r="C2498" s="2" t="s">
        <v>24</v>
      </c>
      <c r="D2498" s="2" t="s">
        <v>17</v>
      </c>
      <c r="E2498" s="5">
        <v>-28364</v>
      </c>
      <c r="F2498" s="3" t="s">
        <v>509</v>
      </c>
      <c r="G2498" s="3" t="s">
        <v>63</v>
      </c>
      <c r="H2498" s="2" t="s">
        <v>20</v>
      </c>
      <c r="I2498" s="2" t="s">
        <v>5168</v>
      </c>
      <c r="J2498" s="3" t="str">
        <f>HYPERLINK("https://www.boe.es/gazeta/dias/1822/05/04/pdfs/GMD-1822-126.pdf#page=6","Abrir facsímil")</f>
        <v>Abrir facsímil</v>
      </c>
      <c r="K2498" s="3" t="s">
        <v>22</v>
      </c>
    </row>
    <row r="2499" spans="1:11" ht="42" customHeight="1">
      <c r="A2499" s="2" t="s">
        <v>5169</v>
      </c>
      <c r="B2499" s="2" t="s">
        <v>5169</v>
      </c>
      <c r="C2499" s="2" t="s">
        <v>50</v>
      </c>
      <c r="D2499" s="2" t="s">
        <v>51</v>
      </c>
      <c r="E2499" s="5">
        <v>-28211</v>
      </c>
      <c r="F2499" s="3" t="s">
        <v>273</v>
      </c>
      <c r="G2499" s="3" t="s">
        <v>57</v>
      </c>
      <c r="H2499" s="2" t="s">
        <v>20</v>
      </c>
      <c r="I2499" s="2" t="s">
        <v>5170</v>
      </c>
      <c r="J2499" s="3" t="str">
        <f>HYPERLINK("https://www.boe.es/gazeta/dias/1822/10/04/pdfs/GMD-1822-290.pdf#page=4","Abrir facsímil")</f>
        <v>Abrir facsímil</v>
      </c>
      <c r="K2499" s="3" t="s">
        <v>22</v>
      </c>
    </row>
    <row r="2500" spans="1:11" ht="42" customHeight="1">
      <c r="A2500" s="2" t="s">
        <v>5171</v>
      </c>
      <c r="B2500" s="2" t="s">
        <v>5172</v>
      </c>
      <c r="C2500" s="2" t="s">
        <v>50</v>
      </c>
      <c r="D2500" s="2" t="s">
        <v>51</v>
      </c>
      <c r="E2500" s="5">
        <v>-28264</v>
      </c>
      <c r="F2500" s="3" t="s">
        <v>1329</v>
      </c>
      <c r="G2500" s="3" t="s">
        <v>31</v>
      </c>
      <c r="H2500" s="2" t="s">
        <v>20</v>
      </c>
      <c r="I2500" s="2" t="s">
        <v>5173</v>
      </c>
      <c r="J2500" s="3" t="str">
        <f>HYPERLINK("https://www.boe.es/gazeta/dias/1822/08/12/pdfs/GMD-1822-236.pdf#page=3","Abrir facsímil")</f>
        <v>Abrir facsímil</v>
      </c>
      <c r="K2500" s="3" t="s">
        <v>22</v>
      </c>
    </row>
    <row r="2501" spans="1:11" ht="42" customHeight="1">
      <c r="A2501" s="2" t="s">
        <v>5174</v>
      </c>
      <c r="B2501" s="2" t="s">
        <v>5174</v>
      </c>
      <c r="C2501" s="2" t="s">
        <v>50</v>
      </c>
      <c r="D2501" s="2" t="s">
        <v>51</v>
      </c>
      <c r="E2501" s="5">
        <v>-28253</v>
      </c>
      <c r="F2501" s="3" t="s">
        <v>413</v>
      </c>
      <c r="G2501" s="3" t="s">
        <v>35</v>
      </c>
      <c r="H2501" s="2" t="s">
        <v>20</v>
      </c>
      <c r="I2501" s="2" t="s">
        <v>5175</v>
      </c>
      <c r="J2501" s="3" t="str">
        <f>HYPERLINK("https://www.boe.es/gazeta/dias/1822/08/23/pdfs/GMD-1822-247.pdf#page=2","Abrir facsímil")</f>
        <v>Abrir facsímil</v>
      </c>
      <c r="K2501" s="3" t="s">
        <v>22</v>
      </c>
    </row>
    <row r="2502" spans="1:11" ht="42" customHeight="1">
      <c r="A2502" s="2" t="s">
        <v>5174</v>
      </c>
      <c r="B2502" s="2" t="s">
        <v>5174</v>
      </c>
      <c r="C2502" s="2" t="s">
        <v>50</v>
      </c>
      <c r="D2502" s="2" t="s">
        <v>51</v>
      </c>
      <c r="E2502" s="5">
        <v>-28198</v>
      </c>
      <c r="F2502" s="3" t="s">
        <v>981</v>
      </c>
      <c r="G2502" s="3" t="s">
        <v>57</v>
      </c>
      <c r="H2502" s="2" t="s">
        <v>20</v>
      </c>
      <c r="I2502" s="2" t="s">
        <v>5176</v>
      </c>
      <c r="J2502" s="3" t="str">
        <f>HYPERLINK("https://www.boe.es/gazeta/dias/1822/10/17/pdfs/GMD-1822-304.pdf#page=4","Abrir facsímil")</f>
        <v>Abrir facsímil</v>
      </c>
      <c r="K2502" s="3" t="s">
        <v>22</v>
      </c>
    </row>
    <row r="2503" spans="1:11" ht="42" customHeight="1">
      <c r="A2503" s="2" t="s">
        <v>5174</v>
      </c>
      <c r="B2503" s="2" t="s">
        <v>5174</v>
      </c>
      <c r="C2503" s="2" t="s">
        <v>50</v>
      </c>
      <c r="D2503" s="2" t="s">
        <v>51</v>
      </c>
      <c r="E2503" s="5">
        <v>-28157</v>
      </c>
      <c r="F2503" s="3" t="s">
        <v>1492</v>
      </c>
      <c r="G2503" s="3" t="s">
        <v>63</v>
      </c>
      <c r="H2503" s="2" t="s">
        <v>20</v>
      </c>
      <c r="I2503" s="2" t="s">
        <v>5177</v>
      </c>
      <c r="J2503" s="3" t="str">
        <f>HYPERLINK("https://www.boe.es/gazeta/dias/1822/11/27/pdfs/GMD-1822-347.pdf#page=6","Abrir facsímil")</f>
        <v>Abrir facsímil</v>
      </c>
      <c r="K2503" s="3" t="s">
        <v>22</v>
      </c>
    </row>
    <row r="2504" spans="1:11" ht="42" customHeight="1">
      <c r="A2504" s="2" t="s">
        <v>5178</v>
      </c>
      <c r="B2504" s="2" t="s">
        <v>5179</v>
      </c>
      <c r="C2504" s="2" t="s">
        <v>50</v>
      </c>
      <c r="D2504" s="2" t="s">
        <v>51</v>
      </c>
      <c r="E2504" s="5">
        <v>-28260</v>
      </c>
      <c r="F2504" s="3" t="s">
        <v>135</v>
      </c>
      <c r="G2504" s="3" t="s">
        <v>35</v>
      </c>
      <c r="H2504" s="2" t="s">
        <v>20</v>
      </c>
      <c r="I2504" s="2" t="s">
        <v>5180</v>
      </c>
      <c r="J2504" s="3" t="str">
        <f>HYPERLINK("https://www.boe.es/gazeta/dias/1822/08/16/pdfs/GMD-1822-240.pdf#page=2","Abrir facsímil")</f>
        <v>Abrir facsímil</v>
      </c>
      <c r="K2504" s="3" t="s">
        <v>22</v>
      </c>
    </row>
    <row r="2505" spans="1:11" ht="42" customHeight="1">
      <c r="A2505" s="2" t="s">
        <v>5181</v>
      </c>
      <c r="B2505" s="2" t="s">
        <v>5182</v>
      </c>
      <c r="C2505" s="2" t="s">
        <v>50</v>
      </c>
      <c r="D2505" s="2" t="s">
        <v>51</v>
      </c>
      <c r="E2505" s="5">
        <v>-28417</v>
      </c>
      <c r="F2505" s="3" t="s">
        <v>1394</v>
      </c>
      <c r="G2505" s="3" t="s">
        <v>35</v>
      </c>
      <c r="H2505" s="2" t="s">
        <v>20</v>
      </c>
      <c r="I2505" s="2" t="s">
        <v>5183</v>
      </c>
      <c r="J2505" s="3" t="str">
        <f>HYPERLINK("https://www.boe.es/gazeta/dias/1822/03/12/pdfs/GMD-1822-73.pdf#page=2","Abrir facsímil")</f>
        <v>Abrir facsímil</v>
      </c>
      <c r="K2505" s="3" t="s">
        <v>22</v>
      </c>
    </row>
    <row r="2506" spans="1:11" ht="42" customHeight="1">
      <c r="A2506" s="2" t="s">
        <v>5184</v>
      </c>
      <c r="B2506" s="2" t="s">
        <v>5185</v>
      </c>
      <c r="C2506" s="2" t="s">
        <v>28</v>
      </c>
      <c r="D2506" s="2" t="s">
        <v>29</v>
      </c>
      <c r="E2506" s="5">
        <v>-28141</v>
      </c>
      <c r="F2506" s="3" t="s">
        <v>265</v>
      </c>
      <c r="G2506" s="3" t="s">
        <v>31</v>
      </c>
      <c r="H2506" s="2" t="s">
        <v>20</v>
      </c>
      <c r="I2506" s="2" t="s">
        <v>5186</v>
      </c>
      <c r="J2506" s="3" t="str">
        <f>HYPERLINK("https://www.boe.es/gazeta/dias/1822/12/13/pdfs/GMD-1822-363.pdf#page=3","Abrir facsímil")</f>
        <v>Abrir facsímil</v>
      </c>
      <c r="K2506" s="3" t="s">
        <v>22</v>
      </c>
    </row>
    <row r="2507" spans="1:11" ht="42" customHeight="1">
      <c r="A2507" s="2" t="s">
        <v>5187</v>
      </c>
      <c r="B2507" s="2" t="s">
        <v>5188</v>
      </c>
      <c r="C2507" s="2" t="s">
        <v>42</v>
      </c>
      <c r="D2507" s="2" t="s">
        <v>17</v>
      </c>
      <c r="E2507" s="5">
        <v>-28402</v>
      </c>
      <c r="F2507" s="3" t="s">
        <v>473</v>
      </c>
      <c r="G2507" s="3" t="s">
        <v>35</v>
      </c>
      <c r="H2507" s="2" t="s">
        <v>20</v>
      </c>
      <c r="I2507" s="2" t="s">
        <v>5189</v>
      </c>
      <c r="J2507" s="3" t="str">
        <f>HYPERLINK("https://www.boe.es/gazeta/dias/1822/03/27/pdfs/GMD-1822-88.pdf#page=2","Abrir facsímil")</f>
        <v>Abrir facsímil</v>
      </c>
      <c r="K2507" s="3" t="s">
        <v>22</v>
      </c>
    </row>
    <row r="2508" spans="1:11" ht="42" customHeight="1">
      <c r="A2508" s="2" t="s">
        <v>5190</v>
      </c>
      <c r="B2508" s="2" t="s">
        <v>5191</v>
      </c>
      <c r="C2508" s="2" t="s">
        <v>50</v>
      </c>
      <c r="D2508" s="2" t="s">
        <v>51</v>
      </c>
      <c r="E2508" s="5">
        <v>-28415</v>
      </c>
      <c r="F2508" s="3" t="s">
        <v>77</v>
      </c>
      <c r="G2508" s="3" t="s">
        <v>19</v>
      </c>
      <c r="H2508" s="2" t="s">
        <v>45</v>
      </c>
      <c r="I2508" s="2" t="s">
        <v>5192</v>
      </c>
      <c r="J2508" s="3" t="str">
        <f>HYPERLINK("https://www.boe.es/gazeta/dias/1822/03/14/pdfs/GMD-1822-75.pdf#page=5","Abrir facsímil")</f>
        <v>Abrir facsímil</v>
      </c>
      <c r="K2508" s="3" t="s">
        <v>47</v>
      </c>
    </row>
    <row r="2509" spans="1:11" ht="42" customHeight="1">
      <c r="A2509" s="2" t="s">
        <v>5193</v>
      </c>
      <c r="B2509" s="2" t="s">
        <v>5194</v>
      </c>
      <c r="C2509" s="2" t="s">
        <v>50</v>
      </c>
      <c r="D2509" s="2" t="s">
        <v>51</v>
      </c>
      <c r="E2509" s="5">
        <v>-28357</v>
      </c>
      <c r="F2509" s="3" t="s">
        <v>690</v>
      </c>
      <c r="G2509" s="3" t="s">
        <v>63</v>
      </c>
      <c r="H2509" s="2" t="s">
        <v>20</v>
      </c>
      <c r="I2509" s="2" t="s">
        <v>5195</v>
      </c>
      <c r="J2509" s="3" t="str">
        <f>HYPERLINK("https://www.boe.es/gazeta/dias/1822/05/11/pdfs/GMD-1822-133.pdf#page=6","Abrir facsímil")</f>
        <v>Abrir facsímil</v>
      </c>
      <c r="K2509" s="3" t="s">
        <v>22</v>
      </c>
    </row>
    <row r="2510" spans="1:11" ht="42" customHeight="1">
      <c r="A2510" s="2" t="s">
        <v>5196</v>
      </c>
      <c r="B2510" s="2" t="s">
        <v>5197</v>
      </c>
      <c r="C2510" s="2" t="s">
        <v>50</v>
      </c>
      <c r="D2510" s="2" t="s">
        <v>51</v>
      </c>
      <c r="E2510" s="5">
        <v>-28382</v>
      </c>
      <c r="F2510" s="3" t="s">
        <v>973</v>
      </c>
      <c r="G2510" s="3" t="s">
        <v>44</v>
      </c>
      <c r="H2510" s="2" t="s">
        <v>45</v>
      </c>
      <c r="I2510" s="2" t="s">
        <v>5198</v>
      </c>
      <c r="J2510" s="3" t="str">
        <f>HYPERLINK("https://www.boe.es/gazeta/dias/1822/04/16/pdfs/GMD-1822-108.pdf#page=1","Abrir facsímil")</f>
        <v>Abrir facsímil</v>
      </c>
      <c r="K2510" s="3" t="s">
        <v>47</v>
      </c>
    </row>
    <row r="2511" spans="1:11" ht="42" customHeight="1">
      <c r="A2511" s="2" t="s">
        <v>5199</v>
      </c>
      <c r="B2511" s="2" t="s">
        <v>5200</v>
      </c>
      <c r="C2511" s="2" t="s">
        <v>42</v>
      </c>
      <c r="D2511" s="2" t="s">
        <v>17</v>
      </c>
      <c r="E2511" s="5">
        <v>-28293</v>
      </c>
      <c r="F2511" s="3" t="s">
        <v>152</v>
      </c>
      <c r="G2511" s="3" t="s">
        <v>31</v>
      </c>
      <c r="H2511" s="2" t="s">
        <v>45</v>
      </c>
      <c r="I2511" s="2" t="s">
        <v>5201</v>
      </c>
      <c r="J2511" s="3" t="str">
        <f>HYPERLINK("https://www.boe.es/gazeta/dias/1822/07/14/pdfs/GMD-1822-204.pdf#page=3","Abrir facsímil")</f>
        <v>Abrir facsímil</v>
      </c>
      <c r="K2511" s="3" t="s">
        <v>47</v>
      </c>
    </row>
    <row r="2512" spans="1:11" ht="42" customHeight="1">
      <c r="A2512" s="2" t="s">
        <v>5202</v>
      </c>
      <c r="B2512" s="2" t="s">
        <v>5203</v>
      </c>
      <c r="C2512" s="2" t="s">
        <v>28</v>
      </c>
      <c r="D2512" s="2" t="s">
        <v>29</v>
      </c>
      <c r="E2512" s="5">
        <v>-28396</v>
      </c>
      <c r="F2512" s="3" t="s">
        <v>1138</v>
      </c>
      <c r="G2512" s="3" t="s">
        <v>35</v>
      </c>
      <c r="H2512" s="2" t="s">
        <v>45</v>
      </c>
      <c r="I2512" s="2" t="s">
        <v>5204</v>
      </c>
      <c r="J2512" s="3" t="str">
        <f>HYPERLINK("https://www.boe.es/gazeta/dias/1822/04/02/pdfs/GMD-1822-94.pdf#page=2","Abrir facsímil")</f>
        <v>Abrir facsímil</v>
      </c>
      <c r="K2512" s="3" t="s">
        <v>47</v>
      </c>
    </row>
    <row r="2513" spans="1:11" ht="42" customHeight="1">
      <c r="A2513" s="2" t="s">
        <v>5205</v>
      </c>
      <c r="B2513" s="2" t="s">
        <v>5206</v>
      </c>
      <c r="C2513" s="2" t="s">
        <v>50</v>
      </c>
      <c r="D2513" s="2" t="s">
        <v>51</v>
      </c>
      <c r="E2513" s="5">
        <v>-28287</v>
      </c>
      <c r="F2513" s="3" t="s">
        <v>1295</v>
      </c>
      <c r="G2513" s="3" t="s">
        <v>63</v>
      </c>
      <c r="H2513" s="2" t="s">
        <v>45</v>
      </c>
      <c r="I2513" s="2" t="s">
        <v>5207</v>
      </c>
      <c r="J2513" s="3" t="str">
        <f>HYPERLINK("https://www.boe.es/gazeta/dias/1822/07/20/pdfs/GMD-1822-212.pdf#page=6","Abrir facsímil")</f>
        <v>Abrir facsímil</v>
      </c>
      <c r="K2513" s="3" t="s">
        <v>47</v>
      </c>
    </row>
    <row r="2514" spans="1:11" ht="42" customHeight="1">
      <c r="A2514" s="2" t="s">
        <v>5208</v>
      </c>
      <c r="B2514" s="2" t="s">
        <v>5209</v>
      </c>
      <c r="C2514" s="2" t="s">
        <v>28</v>
      </c>
      <c r="D2514" s="2" t="s">
        <v>29</v>
      </c>
      <c r="E2514" s="5">
        <v>-28477</v>
      </c>
      <c r="F2514" s="3" t="s">
        <v>1668</v>
      </c>
      <c r="G2514" s="3" t="s">
        <v>63</v>
      </c>
      <c r="H2514" s="2" t="s">
        <v>45</v>
      </c>
      <c r="I2514" s="2" t="s">
        <v>5210</v>
      </c>
      <c r="J2514" s="3" t="str">
        <f>HYPERLINK("https://www.boe.es/gazeta/dias/1822/01/11/pdfs/GMD-1822-11.pdf#page=6","Abrir facsímil")</f>
        <v>Abrir facsímil</v>
      </c>
      <c r="K2514" s="3" t="s">
        <v>47</v>
      </c>
    </row>
    <row r="2515" spans="1:11" ht="42" customHeight="1">
      <c r="A2515" s="2" t="s">
        <v>5211</v>
      </c>
      <c r="B2515" s="2" t="s">
        <v>5212</v>
      </c>
      <c r="C2515" s="2" t="s">
        <v>50</v>
      </c>
      <c r="D2515" s="2" t="s">
        <v>51</v>
      </c>
      <c r="E2515" s="5">
        <v>-28329</v>
      </c>
      <c r="F2515" s="3" t="s">
        <v>354</v>
      </c>
      <c r="G2515" s="3" t="s">
        <v>19</v>
      </c>
      <c r="H2515" s="2" t="s">
        <v>45</v>
      </c>
      <c r="I2515" s="2" t="s">
        <v>5213</v>
      </c>
      <c r="J2515" s="3" t="str">
        <f>HYPERLINK("https://www.boe.es/gazeta/dias/1822/06/08/pdfs/GMD-1822-165.pdf#page=5","Abrir facsímil")</f>
        <v>Abrir facsímil</v>
      </c>
      <c r="K2515" s="3" t="s">
        <v>47</v>
      </c>
    </row>
    <row r="2516" spans="1:11" ht="42" customHeight="1">
      <c r="A2516" s="2" t="s">
        <v>5214</v>
      </c>
      <c r="B2516" s="2" t="s">
        <v>5215</v>
      </c>
      <c r="C2516" s="2" t="s">
        <v>24</v>
      </c>
      <c r="D2516" s="2" t="s">
        <v>17</v>
      </c>
      <c r="E2516" s="5">
        <v>-28382</v>
      </c>
      <c r="F2516" s="3" t="s">
        <v>973</v>
      </c>
      <c r="G2516" s="3" t="s">
        <v>63</v>
      </c>
      <c r="H2516" s="2" t="s">
        <v>45</v>
      </c>
      <c r="I2516" s="2" t="s">
        <v>5216</v>
      </c>
      <c r="J2516" s="3" t="str">
        <f>HYPERLINK("https://www.boe.es/gazeta/dias/1822/04/16/pdfs/GMD-1822-108.pdf#page=6","Abrir facsímil")</f>
        <v>Abrir facsímil</v>
      </c>
      <c r="K2516" s="3" t="s">
        <v>47</v>
      </c>
    </row>
    <row r="2517" spans="1:11" ht="42" customHeight="1">
      <c r="A2517" s="2" t="s">
        <v>5214</v>
      </c>
      <c r="B2517" s="2" t="s">
        <v>5215</v>
      </c>
      <c r="C2517" s="2" t="s">
        <v>71</v>
      </c>
      <c r="D2517" s="2" t="s">
        <v>17</v>
      </c>
      <c r="E2517" s="5">
        <v>-28304</v>
      </c>
      <c r="F2517" s="3" t="s">
        <v>4502</v>
      </c>
      <c r="G2517" s="3" t="s">
        <v>57</v>
      </c>
      <c r="H2517" s="2" t="s">
        <v>45</v>
      </c>
      <c r="I2517" s="2" t="s">
        <v>5217</v>
      </c>
      <c r="J2517" s="3" t="str">
        <f>HYPERLINK("https://www.boe.es/gazeta/dias/1822/07/03/pdfs/GMD-1822-192.pdf#page=4","Abrir facsímil")</f>
        <v>Abrir facsímil</v>
      </c>
      <c r="K2517" s="3" t="s">
        <v>47</v>
      </c>
    </row>
    <row r="2518" spans="1:11" ht="42" customHeight="1">
      <c r="A2518" s="2" t="s">
        <v>5218</v>
      </c>
      <c r="B2518" s="2" t="s">
        <v>5219</v>
      </c>
      <c r="C2518" s="2" t="s">
        <v>16</v>
      </c>
      <c r="D2518" s="2" t="s">
        <v>17</v>
      </c>
      <c r="E2518" s="5">
        <v>-28326</v>
      </c>
      <c r="F2518" s="3" t="s">
        <v>543</v>
      </c>
      <c r="G2518" s="3" t="s">
        <v>63</v>
      </c>
      <c r="H2518" s="2" t="s">
        <v>45</v>
      </c>
      <c r="I2518" s="2" t="s">
        <v>5220</v>
      </c>
      <c r="J2518" s="3" t="str">
        <f>HYPERLINK("https://www.boe.es/gazeta/dias/1822/06/11/pdfs/GMD-1822-168.pdf#page=6","Abrir facsímil")</f>
        <v>Abrir facsímil</v>
      </c>
      <c r="K2518" s="3" t="s">
        <v>47</v>
      </c>
    </row>
    <row r="2519" spans="1:11" ht="42" customHeight="1">
      <c r="A2519" s="2" t="s">
        <v>5221</v>
      </c>
      <c r="B2519" s="2" t="s">
        <v>5222</v>
      </c>
      <c r="C2519" s="2" t="s">
        <v>42</v>
      </c>
      <c r="D2519" s="2" t="s">
        <v>17</v>
      </c>
      <c r="E2519" s="5">
        <v>-28160</v>
      </c>
      <c r="F2519" s="3" t="s">
        <v>148</v>
      </c>
      <c r="G2519" s="3" t="s">
        <v>19</v>
      </c>
      <c r="H2519" s="2" t="s">
        <v>45</v>
      </c>
      <c r="I2519" s="2" t="s">
        <v>5223</v>
      </c>
      <c r="J2519" s="3" t="str">
        <f>HYPERLINK("https://www.boe.es/gazeta/dias/1822/11/24/pdfs/GMD-1822-344.pdf#page=5","Abrir facsímil")</f>
        <v>Abrir facsímil</v>
      </c>
      <c r="K2519" s="3" t="s">
        <v>47</v>
      </c>
    </row>
    <row r="2520" spans="1:11" ht="42" customHeight="1">
      <c r="A2520" s="2" t="s">
        <v>5224</v>
      </c>
      <c r="B2520" s="2" t="s">
        <v>5225</v>
      </c>
      <c r="C2520" s="2" t="s">
        <v>42</v>
      </c>
      <c r="D2520" s="2" t="s">
        <v>17</v>
      </c>
      <c r="E2520" s="5">
        <v>-28202</v>
      </c>
      <c r="F2520" s="3" t="s">
        <v>922</v>
      </c>
      <c r="G2520" s="3" t="s">
        <v>44</v>
      </c>
      <c r="H2520" s="2" t="s">
        <v>45</v>
      </c>
      <c r="I2520" s="2" t="s">
        <v>5226</v>
      </c>
      <c r="J2520" s="3" t="str">
        <f>HYPERLINK("https://www.boe.es/gazeta/dias/1822/10/13/pdfs/GMD-1822-300.pdf#page=1","Abrir facsímil")</f>
        <v>Abrir facsímil</v>
      </c>
      <c r="K2520" s="3" t="s">
        <v>47</v>
      </c>
    </row>
    <row r="2521" spans="1:11" ht="42" customHeight="1">
      <c r="A2521" s="2" t="s">
        <v>5227</v>
      </c>
      <c r="B2521" s="2" t="s">
        <v>5228</v>
      </c>
      <c r="C2521" s="2" t="s">
        <v>42</v>
      </c>
      <c r="D2521" s="2" t="s">
        <v>17</v>
      </c>
      <c r="E2521" s="5">
        <v>-28132</v>
      </c>
      <c r="F2521" s="3" t="s">
        <v>820</v>
      </c>
      <c r="G2521" s="3" t="s">
        <v>31</v>
      </c>
      <c r="H2521" s="2" t="s">
        <v>45</v>
      </c>
      <c r="I2521" s="2" t="s">
        <v>5229</v>
      </c>
      <c r="J2521" s="3" t="str">
        <f>HYPERLINK("https://www.boe.es/gazeta/dias/1822/12/22/pdfs/GMD-1822-372.pdf#page=3","Abrir facsímil")</f>
        <v>Abrir facsímil</v>
      </c>
      <c r="K2521" s="3" t="s">
        <v>47</v>
      </c>
    </row>
    <row r="2522" spans="1:11" ht="42" customHeight="1">
      <c r="A2522" s="2" t="s">
        <v>5230</v>
      </c>
      <c r="B2522" s="2" t="s">
        <v>5231</v>
      </c>
      <c r="C2522" s="2" t="s">
        <v>50</v>
      </c>
      <c r="D2522" s="2" t="s">
        <v>51</v>
      </c>
      <c r="E2522" s="5">
        <v>-28264</v>
      </c>
      <c r="F2522" s="3" t="s">
        <v>1329</v>
      </c>
      <c r="G2522" s="3" t="s">
        <v>57</v>
      </c>
      <c r="H2522" s="2" t="s">
        <v>20</v>
      </c>
      <c r="I2522" s="2" t="s">
        <v>5232</v>
      </c>
      <c r="J2522" s="3" t="str">
        <f>HYPERLINK("https://www.boe.es/gazeta/dias/1822/08/12/pdfs/GMD-1822-236.pdf#page=4","Abrir facsímil")</f>
        <v>Abrir facsímil</v>
      </c>
      <c r="K2522" s="3" t="s">
        <v>22</v>
      </c>
    </row>
    <row r="2523" spans="1:11" ht="42" customHeight="1">
      <c r="A2523" s="2" t="s">
        <v>5233</v>
      </c>
      <c r="B2523" s="2" t="s">
        <v>5233</v>
      </c>
      <c r="C2523" s="2" t="s">
        <v>28</v>
      </c>
      <c r="D2523" s="2" t="s">
        <v>29</v>
      </c>
      <c r="E2523" s="5">
        <v>-28365</v>
      </c>
      <c r="F2523" s="3" t="s">
        <v>506</v>
      </c>
      <c r="G2523" s="3" t="s">
        <v>19</v>
      </c>
      <c r="H2523" s="2" t="s">
        <v>20</v>
      </c>
      <c r="I2523" s="2" t="s">
        <v>5234</v>
      </c>
      <c r="J2523" s="3" t="str">
        <f>HYPERLINK("https://www.boe.es/gazeta/dias/1822/05/03/pdfs/GMD-1822-125.pdf#page=5","Abrir facsímil")</f>
        <v>Abrir facsímil</v>
      </c>
      <c r="K2523" s="3" t="s">
        <v>22</v>
      </c>
    </row>
    <row r="2524" spans="1:11" ht="42" customHeight="1">
      <c r="A2524" s="2" t="s">
        <v>5235</v>
      </c>
      <c r="B2524" s="2" t="s">
        <v>5235</v>
      </c>
      <c r="C2524" s="2" t="s">
        <v>71</v>
      </c>
      <c r="D2524" s="2" t="s">
        <v>17</v>
      </c>
      <c r="E2524" s="5">
        <v>-28468</v>
      </c>
      <c r="F2524" s="3" t="s">
        <v>1012</v>
      </c>
      <c r="G2524" s="3" t="s">
        <v>19</v>
      </c>
      <c r="H2524" s="2" t="s">
        <v>20</v>
      </c>
      <c r="I2524" s="2" t="s">
        <v>5236</v>
      </c>
      <c r="J2524" s="3" t="str">
        <f>HYPERLINK("https://www.boe.es/gazeta/dias/1822/01/20/pdfs/GMD-1822-20.pdf#page=5","Abrir facsímil")</f>
        <v>Abrir facsímil</v>
      </c>
      <c r="K2524" s="3" t="s">
        <v>22</v>
      </c>
    </row>
    <row r="2525" spans="1:11" ht="42" customHeight="1">
      <c r="A2525" s="2" t="s">
        <v>5235</v>
      </c>
      <c r="B2525" s="2" t="s">
        <v>5235</v>
      </c>
      <c r="C2525" s="2" t="s">
        <v>42</v>
      </c>
      <c r="D2525" s="2" t="s">
        <v>17</v>
      </c>
      <c r="E2525" s="5">
        <v>-28307</v>
      </c>
      <c r="F2525" s="3" t="s">
        <v>555</v>
      </c>
      <c r="G2525" s="3" t="s">
        <v>31</v>
      </c>
      <c r="H2525" s="2" t="s">
        <v>20</v>
      </c>
      <c r="I2525" s="2" t="s">
        <v>5237</v>
      </c>
      <c r="J2525" s="3" t="str">
        <f>HYPERLINK("https://www.boe.es/gazeta/dias/1822/06/30/pdfs/GMD-1822-188.pdf#page=3","Abrir facsímil")</f>
        <v>Abrir facsímil</v>
      </c>
      <c r="K2525" s="3" t="s">
        <v>22</v>
      </c>
    </row>
    <row r="2526" spans="1:11" ht="42" customHeight="1">
      <c r="A2526" s="2" t="s">
        <v>5235</v>
      </c>
      <c r="B2526" s="2" t="s">
        <v>5235</v>
      </c>
      <c r="C2526" s="2" t="s">
        <v>42</v>
      </c>
      <c r="D2526" s="2" t="s">
        <v>17</v>
      </c>
      <c r="E2526" s="5">
        <v>-28202</v>
      </c>
      <c r="F2526" s="3" t="s">
        <v>922</v>
      </c>
      <c r="G2526" s="3" t="s">
        <v>923</v>
      </c>
      <c r="H2526" s="2" t="s">
        <v>20</v>
      </c>
      <c r="I2526" s="2" t="s">
        <v>5238</v>
      </c>
      <c r="J2526" s="3" t="str">
        <f>HYPERLINK("https://www.boe.es/gazeta/dias/1822/10/13/pdfs/GMD-1822-300.pdf#page=2","Abrir facsímil")</f>
        <v>Abrir facsímil</v>
      </c>
      <c r="K2526" s="3" t="s">
        <v>22</v>
      </c>
    </row>
    <row r="2527" spans="1:11" ht="42" customHeight="1">
      <c r="A2527" s="2" t="s">
        <v>5235</v>
      </c>
      <c r="B2527" s="2" t="s">
        <v>5235</v>
      </c>
      <c r="C2527" s="2" t="s">
        <v>42</v>
      </c>
      <c r="D2527" s="2" t="s">
        <v>17</v>
      </c>
      <c r="E2527" s="5">
        <v>-28188</v>
      </c>
      <c r="F2527" s="3" t="s">
        <v>578</v>
      </c>
      <c r="G2527" s="3" t="s">
        <v>31</v>
      </c>
      <c r="H2527" s="2" t="s">
        <v>20</v>
      </c>
      <c r="I2527" s="2" t="s">
        <v>5239</v>
      </c>
      <c r="J2527" s="3" t="str">
        <f>HYPERLINK("https://www.boe.es/gazeta/dias/1822/10/27/pdfs/GMD-1822-314.pdf#page=3","Abrir facsímil")</f>
        <v>Abrir facsímil</v>
      </c>
      <c r="K2527" s="3" t="s">
        <v>22</v>
      </c>
    </row>
    <row r="2528" spans="1:11" ht="42" customHeight="1">
      <c r="A2528" s="2" t="s">
        <v>5235</v>
      </c>
      <c r="B2528" s="2" t="s">
        <v>5235</v>
      </c>
      <c r="C2528" s="2" t="s">
        <v>50</v>
      </c>
      <c r="D2528" s="2" t="s">
        <v>51</v>
      </c>
      <c r="E2528" s="5">
        <v>-28157</v>
      </c>
      <c r="F2528" s="3" t="s">
        <v>1492</v>
      </c>
      <c r="G2528" s="3" t="s">
        <v>63</v>
      </c>
      <c r="H2528" s="2" t="s">
        <v>20</v>
      </c>
      <c r="I2528" s="2" t="s">
        <v>5240</v>
      </c>
      <c r="J2528" s="3" t="str">
        <f>HYPERLINK("https://www.boe.es/gazeta/dias/1822/11/27/pdfs/GMD-1822-347.pdf#page=6","Abrir facsímil")</f>
        <v>Abrir facsímil</v>
      </c>
      <c r="K2528" s="3" t="s">
        <v>22</v>
      </c>
    </row>
    <row r="2529" spans="1:11" ht="42" customHeight="1">
      <c r="A2529" s="2" t="s">
        <v>5241</v>
      </c>
      <c r="B2529" s="2" t="s">
        <v>5241</v>
      </c>
      <c r="C2529" s="2" t="s">
        <v>42</v>
      </c>
      <c r="D2529" s="2" t="s">
        <v>17</v>
      </c>
      <c r="E2529" s="5">
        <v>-28468</v>
      </c>
      <c r="F2529" s="3" t="s">
        <v>1012</v>
      </c>
      <c r="G2529" s="3" t="s">
        <v>19</v>
      </c>
      <c r="H2529" s="2" t="s">
        <v>20</v>
      </c>
      <c r="I2529" s="2" t="s">
        <v>5242</v>
      </c>
      <c r="J2529" s="3" t="str">
        <f>HYPERLINK("https://www.boe.es/gazeta/dias/1822/01/20/pdfs/GMD-1822-20.pdf#page=5","Abrir facsímil")</f>
        <v>Abrir facsímil</v>
      </c>
      <c r="K2529" s="3" t="s">
        <v>22</v>
      </c>
    </row>
    <row r="2530" spans="1:11" ht="42" customHeight="1">
      <c r="A2530" s="2" t="s">
        <v>5243</v>
      </c>
      <c r="B2530" s="2" t="s">
        <v>5244</v>
      </c>
      <c r="C2530" s="2" t="s">
        <v>50</v>
      </c>
      <c r="D2530" s="2" t="s">
        <v>51</v>
      </c>
      <c r="E2530" s="5">
        <v>-28163</v>
      </c>
      <c r="F2530" s="3" t="s">
        <v>891</v>
      </c>
      <c r="G2530" s="3" t="s">
        <v>57</v>
      </c>
      <c r="H2530" s="2" t="s">
        <v>20</v>
      </c>
      <c r="I2530" s="2" t="s">
        <v>5245</v>
      </c>
      <c r="J2530" s="3" t="str">
        <f>HYPERLINK("https://www.boe.es/gazeta/dias/1822/11/21/pdfs/GMD-1822-341.pdf#page=4","Abrir facsímil")</f>
        <v>Abrir facsímil</v>
      </c>
      <c r="K2530" s="3" t="s">
        <v>22</v>
      </c>
    </row>
    <row r="2531" spans="1:11" ht="42" customHeight="1">
      <c r="A2531" s="2" t="s">
        <v>5246</v>
      </c>
      <c r="B2531" s="2" t="s">
        <v>5247</v>
      </c>
      <c r="C2531" s="2" t="s">
        <v>50</v>
      </c>
      <c r="D2531" s="2" t="s">
        <v>51</v>
      </c>
      <c r="E2531" s="5">
        <v>-28172</v>
      </c>
      <c r="F2531" s="3" t="s">
        <v>674</v>
      </c>
      <c r="G2531" s="3" t="s">
        <v>57</v>
      </c>
      <c r="H2531" s="2" t="s">
        <v>20</v>
      </c>
      <c r="I2531" s="2" t="s">
        <v>5248</v>
      </c>
      <c r="J2531" s="3" t="str">
        <f>HYPERLINK("https://www.boe.es/gazeta/dias/1822/11/12/pdfs/GMD-1822-332.pdf#page=4","Abrir facsímil")</f>
        <v>Abrir facsímil</v>
      </c>
      <c r="K2531" s="3" t="s">
        <v>22</v>
      </c>
    </row>
    <row r="2532" spans="1:11" ht="42" customHeight="1">
      <c r="A2532" s="2" t="s">
        <v>5249</v>
      </c>
      <c r="B2532" s="2" t="s">
        <v>5250</v>
      </c>
      <c r="C2532" s="2" t="s">
        <v>50</v>
      </c>
      <c r="D2532" s="2" t="s">
        <v>51</v>
      </c>
      <c r="E2532" s="5">
        <v>-28222</v>
      </c>
      <c r="F2532" s="3" t="s">
        <v>2027</v>
      </c>
      <c r="G2532" s="3" t="s">
        <v>57</v>
      </c>
      <c r="H2532" s="2" t="s">
        <v>20</v>
      </c>
      <c r="I2532" s="2" t="s">
        <v>5251</v>
      </c>
      <c r="J2532" s="3" t="str">
        <f>HYPERLINK("https://www.boe.es/gazeta/dias/1822/09/23/pdfs/GMD-1822-279.pdf#page=4","Abrir facsímil")</f>
        <v>Abrir facsímil</v>
      </c>
      <c r="K2532" s="3" t="s">
        <v>22</v>
      </c>
    </row>
    <row r="2533" spans="1:11" ht="42" customHeight="1">
      <c r="A2533" s="2" t="s">
        <v>5252</v>
      </c>
      <c r="B2533" s="2" t="s">
        <v>5253</v>
      </c>
      <c r="C2533" s="2" t="s">
        <v>42</v>
      </c>
      <c r="D2533" s="2" t="s">
        <v>17</v>
      </c>
      <c r="E2533" s="5">
        <v>-28210</v>
      </c>
      <c r="F2533" s="3" t="s">
        <v>218</v>
      </c>
      <c r="G2533" s="3" t="s">
        <v>19</v>
      </c>
      <c r="H2533" s="2" t="s">
        <v>20</v>
      </c>
      <c r="I2533" s="2" t="s">
        <v>5254</v>
      </c>
      <c r="J2533" s="3" t="str">
        <f>HYPERLINK("https://www.boe.es/gazeta/dias/1822/10/05/pdfs/GMD-1822-291.pdf#page=5","Abrir facsímil")</f>
        <v>Abrir facsímil</v>
      </c>
      <c r="K2533" s="3" t="s">
        <v>22</v>
      </c>
    </row>
    <row r="2534" spans="1:11" ht="42" customHeight="1">
      <c r="A2534" s="2" t="s">
        <v>5255</v>
      </c>
      <c r="B2534" s="2" t="s">
        <v>5256</v>
      </c>
      <c r="C2534" s="2" t="s">
        <v>42</v>
      </c>
      <c r="D2534" s="2" t="s">
        <v>17</v>
      </c>
      <c r="E2534" s="5">
        <v>-28419</v>
      </c>
      <c r="F2534" s="3" t="s">
        <v>1392</v>
      </c>
      <c r="G2534" s="3" t="s">
        <v>63</v>
      </c>
      <c r="H2534" s="2" t="s">
        <v>20</v>
      </c>
      <c r="I2534" s="2" t="s">
        <v>5257</v>
      </c>
      <c r="J2534" s="3" t="str">
        <f>HYPERLINK("https://www.boe.es/gazeta/dias/1822/03/10/pdfs/GMD-1822-71.pdf#page=6","Abrir facsímil")</f>
        <v>Abrir facsímil</v>
      </c>
      <c r="K2534" s="3" t="s">
        <v>22</v>
      </c>
    </row>
    <row r="2535" spans="1:11" ht="42" customHeight="1">
      <c r="A2535" s="2" t="s">
        <v>5258</v>
      </c>
      <c r="B2535" s="2" t="s">
        <v>5259</v>
      </c>
      <c r="C2535" s="2" t="s">
        <v>362</v>
      </c>
      <c r="D2535" s="2" t="s">
        <v>17</v>
      </c>
      <c r="E2535" s="5">
        <v>-28254</v>
      </c>
      <c r="F2535" s="3" t="s">
        <v>3557</v>
      </c>
      <c r="G2535" s="3" t="s">
        <v>57</v>
      </c>
      <c r="H2535" s="2" t="s">
        <v>20</v>
      </c>
      <c r="I2535" s="2" t="s">
        <v>5260</v>
      </c>
      <c r="J2535" s="3" t="str">
        <f>HYPERLINK("https://www.boe.es/gazeta/dias/1822/08/22/pdfs/GMD-1822-246.pdf#page=4","Abrir facsímil")</f>
        <v>Abrir facsímil</v>
      </c>
      <c r="K2535" s="3" t="s">
        <v>22</v>
      </c>
    </row>
    <row r="2536" spans="1:11" ht="42" customHeight="1">
      <c r="A2536" s="2" t="s">
        <v>5261</v>
      </c>
      <c r="B2536" s="2" t="s">
        <v>5261</v>
      </c>
      <c r="C2536" s="2" t="s">
        <v>50</v>
      </c>
      <c r="D2536" s="2" t="s">
        <v>51</v>
      </c>
      <c r="E2536" s="5">
        <v>-28475</v>
      </c>
      <c r="F2536" s="3" t="s">
        <v>1205</v>
      </c>
      <c r="G2536" s="3" t="s">
        <v>1685</v>
      </c>
      <c r="H2536" s="2" t="s">
        <v>20</v>
      </c>
      <c r="I2536" s="2" t="s">
        <v>5262</v>
      </c>
      <c r="J2536" s="3" t="str">
        <f>HYPERLINK("https://www.boe.es/gazeta/dias/1822/01/13/pdfs/GMD-1822-13.pdf#page=4","Abrir facsímil")</f>
        <v>Abrir facsímil</v>
      </c>
      <c r="K2536" s="3" t="s">
        <v>22</v>
      </c>
    </row>
    <row r="2537" spans="1:11" ht="42" customHeight="1">
      <c r="A2537" s="2" t="s">
        <v>5263</v>
      </c>
      <c r="B2537" s="2" t="s">
        <v>5264</v>
      </c>
      <c r="C2537" s="2" t="s">
        <v>71</v>
      </c>
      <c r="D2537" s="2" t="s">
        <v>17</v>
      </c>
      <c r="E2537" s="5">
        <v>-28414</v>
      </c>
      <c r="F2537" s="3" t="s">
        <v>187</v>
      </c>
      <c r="G2537" s="3" t="s">
        <v>19</v>
      </c>
      <c r="H2537" s="2" t="s">
        <v>20</v>
      </c>
      <c r="I2537" s="2" t="s">
        <v>5265</v>
      </c>
      <c r="J2537" s="3" t="str">
        <f>HYPERLINK("https://www.boe.es/gazeta/dias/1822/03/15/pdfs/GMD-1822-76.pdf#page=5","Abrir facsímil")</f>
        <v>Abrir facsímil</v>
      </c>
      <c r="K2537" s="3" t="s">
        <v>22</v>
      </c>
    </row>
    <row r="2538" spans="1:11" ht="42" customHeight="1">
      <c r="A2538" s="2" t="s">
        <v>5266</v>
      </c>
      <c r="B2538" s="2" t="s">
        <v>5267</v>
      </c>
      <c r="C2538" s="2" t="s">
        <v>50</v>
      </c>
      <c r="D2538" s="2" t="s">
        <v>51</v>
      </c>
      <c r="E2538" s="5">
        <v>-28413</v>
      </c>
      <c r="F2538" s="3" t="s">
        <v>458</v>
      </c>
      <c r="G2538" s="3" t="s">
        <v>19</v>
      </c>
      <c r="H2538" s="2" t="s">
        <v>20</v>
      </c>
      <c r="I2538" s="2" t="s">
        <v>5268</v>
      </c>
      <c r="J2538" s="3" t="str">
        <f>HYPERLINK("https://www.boe.es/gazeta/dias/1822/03/16/pdfs/GMD-1822-77.pdf#page=5","Abrir facsímil")</f>
        <v>Abrir facsímil</v>
      </c>
      <c r="K2538" s="3" t="s">
        <v>22</v>
      </c>
    </row>
    <row r="2539" spans="1:11" ht="42" customHeight="1">
      <c r="A2539" s="2" t="s">
        <v>5269</v>
      </c>
      <c r="B2539" s="2" t="s">
        <v>5269</v>
      </c>
      <c r="C2539" s="2" t="s">
        <v>28</v>
      </c>
      <c r="D2539" s="2" t="s">
        <v>29</v>
      </c>
      <c r="E2539" s="5">
        <v>-28130</v>
      </c>
      <c r="F2539" s="3" t="s">
        <v>34</v>
      </c>
      <c r="G2539" s="3" t="s">
        <v>31</v>
      </c>
      <c r="H2539" s="2" t="s">
        <v>20</v>
      </c>
      <c r="I2539" s="2" t="s">
        <v>5270</v>
      </c>
      <c r="J2539" s="3" t="str">
        <f>HYPERLINK("https://www.boe.es/gazeta/dias/1822/12/24/pdfs/GMD-1822-374.pdf#page=3","Abrir facsímil")</f>
        <v>Abrir facsímil</v>
      </c>
      <c r="K2539" s="3" t="s">
        <v>22</v>
      </c>
    </row>
    <row r="2540" spans="1:11" ht="42" customHeight="1">
      <c r="A2540" s="2" t="s">
        <v>5271</v>
      </c>
      <c r="B2540" s="2" t="s">
        <v>5271</v>
      </c>
      <c r="C2540" s="2" t="s">
        <v>362</v>
      </c>
      <c r="D2540" s="2" t="s">
        <v>17</v>
      </c>
      <c r="E2540" s="5">
        <v>-28426</v>
      </c>
      <c r="F2540" s="3" t="s">
        <v>1178</v>
      </c>
      <c r="G2540" s="3" t="s">
        <v>31</v>
      </c>
      <c r="H2540" s="2" t="s">
        <v>20</v>
      </c>
      <c r="I2540" s="2" t="s">
        <v>5272</v>
      </c>
      <c r="J2540" s="3" t="str">
        <f>HYPERLINK("https://www.boe.es/gazeta/dias/1822/03/03/pdfs/GMD-1822-64.pdf#page=3","Abrir facsímil")</f>
        <v>Abrir facsímil</v>
      </c>
      <c r="K2540" s="3" t="s">
        <v>22</v>
      </c>
    </row>
    <row r="2541" spans="1:11" ht="42" customHeight="1">
      <c r="A2541" s="2" t="s">
        <v>5273</v>
      </c>
      <c r="B2541" s="2" t="s">
        <v>5274</v>
      </c>
      <c r="C2541" s="2" t="s">
        <v>50</v>
      </c>
      <c r="D2541" s="2" t="s">
        <v>51</v>
      </c>
      <c r="E2541" s="5">
        <v>-28142</v>
      </c>
      <c r="F2541" s="3" t="s">
        <v>290</v>
      </c>
      <c r="G2541" s="3" t="s">
        <v>57</v>
      </c>
      <c r="H2541" s="2" t="s">
        <v>20</v>
      </c>
      <c r="I2541" s="2" t="s">
        <v>5275</v>
      </c>
      <c r="J2541" s="3" t="str">
        <f>HYPERLINK("https://www.boe.es/gazeta/dias/1822/12/12/pdfs/GMD-1822-362.pdf#page=4","Abrir facsímil")</f>
        <v>Abrir facsímil</v>
      </c>
      <c r="K2541" s="3" t="s">
        <v>22</v>
      </c>
    </row>
    <row r="2542" spans="1:11" ht="42" customHeight="1">
      <c r="A2542" s="2" t="s">
        <v>5276</v>
      </c>
      <c r="B2542" s="2" t="s">
        <v>5277</v>
      </c>
      <c r="C2542" s="2" t="s">
        <v>50</v>
      </c>
      <c r="D2542" s="2" t="s">
        <v>51</v>
      </c>
      <c r="E2542" s="5">
        <v>-28329</v>
      </c>
      <c r="F2542" s="3" t="s">
        <v>354</v>
      </c>
      <c r="G2542" s="3" t="s">
        <v>63</v>
      </c>
      <c r="H2542" s="2" t="s">
        <v>20</v>
      </c>
      <c r="I2542" s="2" t="s">
        <v>5278</v>
      </c>
      <c r="J2542" s="3" t="str">
        <f>HYPERLINK("https://www.boe.es/gazeta/dias/1822/06/08/pdfs/GMD-1822-165.pdf#page=6","Abrir facsímil")</f>
        <v>Abrir facsímil</v>
      </c>
      <c r="K2542" s="3" t="s">
        <v>22</v>
      </c>
    </row>
    <row r="2543" spans="1:11" ht="42" customHeight="1">
      <c r="A2543" s="2" t="s">
        <v>5279</v>
      </c>
      <c r="B2543" s="2" t="s">
        <v>5279</v>
      </c>
      <c r="C2543" s="2" t="s">
        <v>28</v>
      </c>
      <c r="D2543" s="2" t="s">
        <v>29</v>
      </c>
      <c r="E2543" s="5">
        <v>-28318</v>
      </c>
      <c r="F2543" s="3" t="s">
        <v>397</v>
      </c>
      <c r="G2543" s="3" t="s">
        <v>31</v>
      </c>
      <c r="H2543" s="2" t="s">
        <v>20</v>
      </c>
      <c r="I2543" s="2" t="s">
        <v>5280</v>
      </c>
      <c r="J2543" s="3" t="str">
        <f>HYPERLINK("https://www.boe.es/gazeta/dias/1822/06/19/pdfs/GMD-1822-176.pdf#page=3","Abrir facsímil")</f>
        <v>Abrir facsímil</v>
      </c>
      <c r="K2543" s="3" t="s">
        <v>22</v>
      </c>
    </row>
    <row r="2544" spans="1:11" ht="42" customHeight="1">
      <c r="A2544" s="2" t="s">
        <v>5281</v>
      </c>
      <c r="B2544" s="2" t="s">
        <v>5281</v>
      </c>
      <c r="C2544" s="2" t="s">
        <v>28</v>
      </c>
      <c r="D2544" s="2" t="s">
        <v>29</v>
      </c>
      <c r="E2544" s="5">
        <v>-28425</v>
      </c>
      <c r="F2544" s="3" t="s">
        <v>419</v>
      </c>
      <c r="G2544" s="3" t="s">
        <v>35</v>
      </c>
      <c r="H2544" s="2" t="s">
        <v>20</v>
      </c>
      <c r="I2544" s="2" t="s">
        <v>5282</v>
      </c>
      <c r="J2544" s="3" t="str">
        <f>HYPERLINK("https://www.boe.es/gazeta/dias/1822/03/04/pdfs/GMD-1822-65.pdf#page=2","Abrir facsímil")</f>
        <v>Abrir facsímil</v>
      </c>
      <c r="K2544" s="3" t="s">
        <v>22</v>
      </c>
    </row>
    <row r="2545" spans="1:11" ht="42" customHeight="1">
      <c r="A2545" s="2" t="s">
        <v>5283</v>
      </c>
      <c r="B2545" s="2" t="s">
        <v>5284</v>
      </c>
      <c r="C2545" s="2" t="s">
        <v>50</v>
      </c>
      <c r="D2545" s="2" t="s">
        <v>51</v>
      </c>
      <c r="E2545" s="5">
        <v>-28462</v>
      </c>
      <c r="F2545" s="3" t="s">
        <v>1099</v>
      </c>
      <c r="G2545" s="3" t="s">
        <v>57</v>
      </c>
      <c r="H2545" s="2" t="s">
        <v>20</v>
      </c>
      <c r="I2545" s="2" t="s">
        <v>5285</v>
      </c>
      <c r="J2545" s="3" t="str">
        <f>HYPERLINK("https://www.boe.es/gazeta/dias/1822/01/26/pdfs/GMD-1822-26.pdf#page=4","Abrir facsímil")</f>
        <v>Abrir facsímil</v>
      </c>
      <c r="K2545" s="3" t="s">
        <v>22</v>
      </c>
    </row>
    <row r="2546" spans="1:11" ht="42" customHeight="1">
      <c r="A2546" s="2" t="s">
        <v>5286</v>
      </c>
      <c r="B2546" s="2" t="s">
        <v>5286</v>
      </c>
      <c r="C2546" s="2" t="s">
        <v>28</v>
      </c>
      <c r="D2546" s="2" t="s">
        <v>29</v>
      </c>
      <c r="E2546" s="5">
        <v>-28426</v>
      </c>
      <c r="F2546" s="3" t="s">
        <v>1178</v>
      </c>
      <c r="G2546" s="3" t="s">
        <v>31</v>
      </c>
      <c r="H2546" s="2" t="s">
        <v>20</v>
      </c>
      <c r="I2546" s="2" t="s">
        <v>5287</v>
      </c>
      <c r="J2546" s="3" t="str">
        <f>HYPERLINK("https://www.boe.es/gazeta/dias/1822/03/03/pdfs/GMD-1822-64.pdf#page=3","Abrir facsímil")</f>
        <v>Abrir facsímil</v>
      </c>
      <c r="K2546" s="3" t="s">
        <v>22</v>
      </c>
    </row>
    <row r="2547" spans="1:11" ht="42" customHeight="1">
      <c r="A2547" s="2" t="s">
        <v>5286</v>
      </c>
      <c r="B2547" s="2" t="s">
        <v>5286</v>
      </c>
      <c r="C2547" s="2" t="s">
        <v>28</v>
      </c>
      <c r="D2547" s="2" t="s">
        <v>29</v>
      </c>
      <c r="E2547" s="5">
        <v>-28353</v>
      </c>
      <c r="F2547" s="3" t="s">
        <v>843</v>
      </c>
      <c r="G2547" s="3" t="s">
        <v>63</v>
      </c>
      <c r="H2547" s="2" t="s">
        <v>20</v>
      </c>
      <c r="I2547" s="2" t="s">
        <v>5288</v>
      </c>
      <c r="J2547" s="3" t="str">
        <f>HYPERLINK("https://www.boe.es/gazeta/dias/1822/05/15/pdfs/GMD-1822-137.pdf#page=6","Abrir facsímil")</f>
        <v>Abrir facsímil</v>
      </c>
      <c r="K2547" s="3" t="s">
        <v>22</v>
      </c>
    </row>
    <row r="2548" spans="1:11" ht="42" customHeight="1">
      <c r="A2548" s="2" t="s">
        <v>5289</v>
      </c>
      <c r="B2548" s="2" t="s">
        <v>5289</v>
      </c>
      <c r="C2548" s="2" t="s">
        <v>71</v>
      </c>
      <c r="D2548" s="2" t="s">
        <v>17</v>
      </c>
      <c r="E2548" s="5">
        <v>-28414</v>
      </c>
      <c r="F2548" s="3" t="s">
        <v>187</v>
      </c>
      <c r="G2548" s="3" t="s">
        <v>19</v>
      </c>
      <c r="H2548" s="2" t="s">
        <v>20</v>
      </c>
      <c r="I2548" s="2" t="s">
        <v>5290</v>
      </c>
      <c r="J2548" s="3" t="str">
        <f>HYPERLINK("https://www.boe.es/gazeta/dias/1822/03/15/pdfs/GMD-1822-76.pdf#page=5","Abrir facsímil")</f>
        <v>Abrir facsímil</v>
      </c>
      <c r="K2548" s="3" t="s">
        <v>22</v>
      </c>
    </row>
    <row r="2549" spans="1:11" ht="42" customHeight="1">
      <c r="A2549" s="2" t="s">
        <v>5291</v>
      </c>
      <c r="B2549" s="2" t="s">
        <v>5292</v>
      </c>
      <c r="C2549" s="2" t="s">
        <v>28</v>
      </c>
      <c r="D2549" s="2" t="s">
        <v>29</v>
      </c>
      <c r="E2549" s="5">
        <v>-28426</v>
      </c>
      <c r="F2549" s="3" t="s">
        <v>1178</v>
      </c>
      <c r="G2549" s="3" t="s">
        <v>31</v>
      </c>
      <c r="H2549" s="2" t="s">
        <v>20</v>
      </c>
      <c r="I2549" s="2" t="s">
        <v>5293</v>
      </c>
      <c r="J2549" s="3" t="str">
        <f>HYPERLINK("https://www.boe.es/gazeta/dias/1822/03/03/pdfs/GMD-1822-64.pdf#page=3","Abrir facsímil")</f>
        <v>Abrir facsímil</v>
      </c>
      <c r="K2549" s="3" t="s">
        <v>22</v>
      </c>
    </row>
    <row r="2550" spans="1:11" ht="42" customHeight="1">
      <c r="A2550" s="2" t="s">
        <v>5294</v>
      </c>
      <c r="B2550" s="2" t="s">
        <v>5295</v>
      </c>
      <c r="C2550" s="2" t="s">
        <v>50</v>
      </c>
      <c r="D2550" s="2" t="s">
        <v>51</v>
      </c>
      <c r="E2550" s="5">
        <v>-28364</v>
      </c>
      <c r="F2550" s="3" t="s">
        <v>509</v>
      </c>
      <c r="G2550" s="3" t="s">
        <v>63</v>
      </c>
      <c r="H2550" s="2" t="s">
        <v>20</v>
      </c>
      <c r="I2550" s="2" t="s">
        <v>5296</v>
      </c>
      <c r="J2550" s="3" t="str">
        <f>HYPERLINK("https://www.boe.es/gazeta/dias/1822/05/04/pdfs/GMD-1822-126.pdf#page=6","Abrir facsímil")</f>
        <v>Abrir facsímil</v>
      </c>
      <c r="K2550" s="3" t="s">
        <v>22</v>
      </c>
    </row>
    <row r="2551" spans="1:11" ht="42" customHeight="1">
      <c r="A2551" s="2" t="s">
        <v>5297</v>
      </c>
      <c r="B2551" s="2" t="s">
        <v>5297</v>
      </c>
      <c r="C2551" s="2" t="s">
        <v>28</v>
      </c>
      <c r="D2551" s="2" t="s">
        <v>29</v>
      </c>
      <c r="E2551" s="5">
        <v>-28468</v>
      </c>
      <c r="F2551" s="3" t="s">
        <v>1012</v>
      </c>
      <c r="G2551" s="3" t="s">
        <v>35</v>
      </c>
      <c r="H2551" s="2" t="s">
        <v>20</v>
      </c>
      <c r="I2551" s="2" t="s">
        <v>5298</v>
      </c>
      <c r="J2551" s="3" t="str">
        <f>HYPERLINK("https://www.boe.es/gazeta/dias/1822/01/20/pdfs/GMD-1822-20.pdf#page=2","Abrir facsímil")</f>
        <v>Abrir facsímil</v>
      </c>
      <c r="K2551" s="3" t="s">
        <v>22</v>
      </c>
    </row>
    <row r="2552" spans="1:11" ht="42" customHeight="1">
      <c r="A2552" s="2" t="s">
        <v>5299</v>
      </c>
      <c r="B2552" s="2" t="s">
        <v>5300</v>
      </c>
      <c r="C2552" s="2" t="s">
        <v>42</v>
      </c>
      <c r="D2552" s="2" t="s">
        <v>17</v>
      </c>
      <c r="E2552" s="5">
        <v>-28210</v>
      </c>
      <c r="F2552" s="3" t="s">
        <v>218</v>
      </c>
      <c r="G2552" s="3" t="s">
        <v>19</v>
      </c>
      <c r="H2552" s="2" t="s">
        <v>20</v>
      </c>
      <c r="I2552" s="2" t="s">
        <v>5301</v>
      </c>
      <c r="J2552" s="3" t="str">
        <f>HYPERLINK("https://www.boe.es/gazeta/dias/1822/10/05/pdfs/GMD-1822-291.pdf#page=5","Abrir facsímil")</f>
        <v>Abrir facsímil</v>
      </c>
      <c r="K2552" s="3" t="s">
        <v>22</v>
      </c>
    </row>
    <row r="2553" spans="1:11" ht="42" customHeight="1">
      <c r="A2553" s="2" t="s">
        <v>5302</v>
      </c>
      <c r="B2553" s="2" t="s">
        <v>5303</v>
      </c>
      <c r="C2553" s="2" t="s">
        <v>61</v>
      </c>
      <c r="D2553" s="2" t="s">
        <v>17</v>
      </c>
      <c r="E2553" s="5">
        <v>-28258</v>
      </c>
      <c r="F2553" s="3" t="s">
        <v>88</v>
      </c>
      <c r="G2553" s="3" t="s">
        <v>57</v>
      </c>
      <c r="H2553" s="2" t="s">
        <v>20</v>
      </c>
      <c r="I2553" s="2" t="s">
        <v>5304</v>
      </c>
      <c r="J2553" s="3" t="str">
        <f>HYPERLINK("https://www.boe.es/gazeta/dias/1822/08/18/pdfs/GMD-1822-242.pdf#page=4","Abrir facsímil")</f>
        <v>Abrir facsímil</v>
      </c>
      <c r="K2553" s="3" t="s">
        <v>22</v>
      </c>
    </row>
    <row r="2554" spans="1:11" ht="42" customHeight="1">
      <c r="A2554" s="2" t="s">
        <v>5305</v>
      </c>
      <c r="B2554" s="2" t="s">
        <v>5306</v>
      </c>
      <c r="C2554" s="2" t="s">
        <v>50</v>
      </c>
      <c r="D2554" s="2" t="s">
        <v>51</v>
      </c>
      <c r="E2554" s="5">
        <v>-28172</v>
      </c>
      <c r="F2554" s="3" t="s">
        <v>674</v>
      </c>
      <c r="G2554" s="3" t="s">
        <v>57</v>
      </c>
      <c r="H2554" s="2" t="s">
        <v>20</v>
      </c>
      <c r="I2554" s="2" t="s">
        <v>5307</v>
      </c>
      <c r="J2554" s="3" t="str">
        <f>HYPERLINK("https://www.boe.es/gazeta/dias/1822/11/12/pdfs/GMD-1822-332.pdf#page=4","Abrir facsímil")</f>
        <v>Abrir facsímil</v>
      </c>
      <c r="K2554" s="3" t="s">
        <v>22</v>
      </c>
    </row>
    <row r="2555" spans="1:11" ht="42" customHeight="1">
      <c r="A2555" s="2" t="s">
        <v>5308</v>
      </c>
      <c r="B2555" s="2" t="s">
        <v>5309</v>
      </c>
      <c r="C2555" s="2" t="s">
        <v>28</v>
      </c>
      <c r="D2555" s="2" t="s">
        <v>29</v>
      </c>
      <c r="E2555" s="5">
        <v>-28125</v>
      </c>
      <c r="F2555" s="3" t="s">
        <v>322</v>
      </c>
      <c r="G2555" s="3" t="s">
        <v>19</v>
      </c>
      <c r="H2555" s="2" t="s">
        <v>20</v>
      </c>
      <c r="I2555" s="2" t="s">
        <v>5310</v>
      </c>
      <c r="J2555" s="3" t="str">
        <f>HYPERLINK("https://www.boe.es/gazeta/dias/1822/12/29/pdfs/GMD-1822-379.pdf#page=5","Abrir facsímil")</f>
        <v>Abrir facsímil</v>
      </c>
      <c r="K2555" s="3" t="s">
        <v>22</v>
      </c>
    </row>
    <row r="2556" spans="1:11" ht="42" customHeight="1">
      <c r="A2556" s="2" t="s">
        <v>5311</v>
      </c>
      <c r="B2556" s="2" t="s">
        <v>5312</v>
      </c>
      <c r="C2556" s="2" t="s">
        <v>42</v>
      </c>
      <c r="D2556" s="2" t="s">
        <v>17</v>
      </c>
      <c r="E2556" s="5">
        <v>-28361</v>
      </c>
      <c r="F2556" s="3" t="s">
        <v>374</v>
      </c>
      <c r="G2556" s="3" t="s">
        <v>63</v>
      </c>
      <c r="H2556" s="2" t="s">
        <v>20</v>
      </c>
      <c r="I2556" s="2" t="s">
        <v>5313</v>
      </c>
      <c r="J2556" s="3" t="str">
        <f>HYPERLINK("https://www.boe.es/gazeta/dias/1822/05/07/pdfs/GMD-1822-129.pdf#page=6","Abrir facsímil")</f>
        <v>Abrir facsímil</v>
      </c>
      <c r="K2556" s="3" t="s">
        <v>22</v>
      </c>
    </row>
    <row r="2557" spans="1:11" ht="42" customHeight="1">
      <c r="A2557" s="2" t="s">
        <v>5314</v>
      </c>
      <c r="B2557" s="2" t="s">
        <v>5315</v>
      </c>
      <c r="C2557" s="2" t="s">
        <v>42</v>
      </c>
      <c r="D2557" s="2" t="s">
        <v>17</v>
      </c>
      <c r="E2557" s="5">
        <v>-28259</v>
      </c>
      <c r="F2557" s="3" t="s">
        <v>1912</v>
      </c>
      <c r="G2557" s="3" t="s">
        <v>57</v>
      </c>
      <c r="H2557" s="2" t="s">
        <v>20</v>
      </c>
      <c r="I2557" s="2" t="s">
        <v>5316</v>
      </c>
      <c r="J2557" s="3" t="str">
        <f>HYPERLINK("https://www.boe.es/gazeta/dias/1822/08/17/pdfs/GMD-1822-241.pdf#page=4","Abrir facsímil")</f>
        <v>Abrir facsímil</v>
      </c>
      <c r="K2557" s="3" t="s">
        <v>22</v>
      </c>
    </row>
    <row r="2558" spans="1:11" ht="42" customHeight="1">
      <c r="A2558" s="2" t="s">
        <v>5317</v>
      </c>
      <c r="B2558" s="2" t="s">
        <v>5318</v>
      </c>
      <c r="C2558" s="2" t="s">
        <v>16</v>
      </c>
      <c r="D2558" s="2" t="s">
        <v>17</v>
      </c>
      <c r="E2558" s="5">
        <v>-28487</v>
      </c>
      <c r="F2558" s="3" t="s">
        <v>426</v>
      </c>
      <c r="G2558" s="3" t="s">
        <v>63</v>
      </c>
      <c r="H2558" s="2" t="s">
        <v>20</v>
      </c>
      <c r="I2558" s="2" t="s">
        <v>5319</v>
      </c>
      <c r="J2558" s="3" t="str">
        <f>HYPERLINK("https://www.boe.es/gazeta/dias/1822/01/01/pdfs/GMD-1822-1.pdf#page=6","Abrir facsímil")</f>
        <v>Abrir facsímil</v>
      </c>
      <c r="K2558" s="3" t="s">
        <v>22</v>
      </c>
    </row>
    <row r="2559" spans="1:11" ht="42" customHeight="1">
      <c r="A2559" s="2" t="s">
        <v>5320</v>
      </c>
      <c r="B2559" s="2" t="s">
        <v>5321</v>
      </c>
      <c r="C2559" s="2" t="s">
        <v>71</v>
      </c>
      <c r="D2559" s="2" t="s">
        <v>17</v>
      </c>
      <c r="E2559" s="5">
        <v>-28241</v>
      </c>
      <c r="F2559" s="3" t="s">
        <v>3068</v>
      </c>
      <c r="G2559" s="3" t="s">
        <v>57</v>
      </c>
      <c r="H2559" s="2" t="s">
        <v>20</v>
      </c>
      <c r="I2559" s="2" t="s">
        <v>5322</v>
      </c>
      <c r="J2559" s="3" t="str">
        <f>HYPERLINK("https://www.boe.es/gazeta/dias/1822/09/04/pdfs/GMD-1822-259.pdf#page=4","Abrir facsímil")</f>
        <v>Abrir facsímil</v>
      </c>
      <c r="K2559" s="3" t="s">
        <v>22</v>
      </c>
    </row>
    <row r="2560" spans="1:11" ht="42" customHeight="1">
      <c r="A2560" s="2" t="s">
        <v>5323</v>
      </c>
      <c r="B2560" s="2" t="s">
        <v>5324</v>
      </c>
      <c r="C2560" s="2" t="s">
        <v>61</v>
      </c>
      <c r="D2560" s="2" t="s">
        <v>17</v>
      </c>
      <c r="E2560" s="5">
        <v>-28254</v>
      </c>
      <c r="F2560" s="3" t="s">
        <v>3557</v>
      </c>
      <c r="G2560" s="3" t="s">
        <v>57</v>
      </c>
      <c r="H2560" s="2" t="s">
        <v>20</v>
      </c>
      <c r="I2560" s="2" t="s">
        <v>5325</v>
      </c>
      <c r="J2560" s="3" t="str">
        <f>HYPERLINK("https://www.boe.es/gazeta/dias/1822/08/22/pdfs/GMD-1822-246.pdf#page=4","Abrir facsímil")</f>
        <v>Abrir facsímil</v>
      </c>
      <c r="K2560" s="3" t="s">
        <v>22</v>
      </c>
    </row>
    <row r="2561" spans="1:11" ht="42" customHeight="1">
      <c r="A2561" s="2" t="s">
        <v>5326</v>
      </c>
      <c r="B2561" s="2" t="s">
        <v>5327</v>
      </c>
      <c r="C2561" s="2" t="s">
        <v>50</v>
      </c>
      <c r="D2561" s="2" t="s">
        <v>51</v>
      </c>
      <c r="E2561" s="5">
        <v>-28366</v>
      </c>
      <c r="F2561" s="3" t="s">
        <v>120</v>
      </c>
      <c r="G2561" s="3" t="s">
        <v>63</v>
      </c>
      <c r="H2561" s="2" t="s">
        <v>20</v>
      </c>
      <c r="I2561" s="2" t="s">
        <v>5328</v>
      </c>
      <c r="J2561" s="3" t="str">
        <f>HYPERLINK("https://www.boe.es/gazeta/dias/1822/05/02/pdfs/GMD-1822-124.pdf#page=6","Abrir facsímil")</f>
        <v>Abrir facsímil</v>
      </c>
      <c r="K2561" s="3" t="s">
        <v>22</v>
      </c>
    </row>
    <row r="2562" spans="1:11" ht="42" customHeight="1">
      <c r="A2562" s="2" t="s">
        <v>5329</v>
      </c>
      <c r="B2562" s="2" t="s">
        <v>5329</v>
      </c>
      <c r="C2562" s="2" t="s">
        <v>42</v>
      </c>
      <c r="D2562" s="2" t="s">
        <v>17</v>
      </c>
      <c r="E2562" s="5">
        <v>-28465</v>
      </c>
      <c r="F2562" s="3" t="s">
        <v>1114</v>
      </c>
      <c r="G2562" s="3" t="s">
        <v>63</v>
      </c>
      <c r="H2562" s="2" t="s">
        <v>20</v>
      </c>
      <c r="I2562" s="2" t="s">
        <v>5330</v>
      </c>
      <c r="J2562" s="3" t="str">
        <f>HYPERLINK("https://www.boe.es/gazeta/dias/1822/01/23/pdfs/GMD-1822-23.pdf#page=6","Abrir facsímil")</f>
        <v>Abrir facsímil</v>
      </c>
      <c r="K2562" s="3" t="s">
        <v>22</v>
      </c>
    </row>
    <row r="2563" spans="1:11" ht="42" customHeight="1">
      <c r="A2563" s="2" t="s">
        <v>5329</v>
      </c>
      <c r="B2563" s="2" t="s">
        <v>5329</v>
      </c>
      <c r="C2563" s="2" t="s">
        <v>42</v>
      </c>
      <c r="D2563" s="2" t="s">
        <v>17</v>
      </c>
      <c r="E2563" s="5">
        <v>-28456</v>
      </c>
      <c r="F2563" s="3" t="s">
        <v>1104</v>
      </c>
      <c r="G2563" s="3" t="s">
        <v>1105</v>
      </c>
      <c r="H2563" s="2" t="s">
        <v>20</v>
      </c>
      <c r="I2563" s="2" t="s">
        <v>5331</v>
      </c>
      <c r="J2563" s="3" t="str">
        <f>HYPERLINK("https://www.boe.es/gazeta/dias/1822/02/01/pdfs/GMD-1822-32.pdf#page=4","Abrir facsímil")</f>
        <v>Abrir facsímil</v>
      </c>
      <c r="K2563" s="3" t="s">
        <v>22</v>
      </c>
    </row>
    <row r="2564" spans="1:11" ht="42" customHeight="1">
      <c r="A2564" s="2" t="s">
        <v>5332</v>
      </c>
      <c r="B2564" s="2" t="s">
        <v>5333</v>
      </c>
      <c r="C2564" s="2" t="s">
        <v>42</v>
      </c>
      <c r="D2564" s="2" t="s">
        <v>17</v>
      </c>
      <c r="E2564" s="5">
        <v>-28415</v>
      </c>
      <c r="F2564" s="3" t="s">
        <v>77</v>
      </c>
      <c r="G2564" s="3" t="s">
        <v>19</v>
      </c>
      <c r="H2564" s="2" t="s">
        <v>45</v>
      </c>
      <c r="I2564" s="2" t="s">
        <v>5334</v>
      </c>
      <c r="J2564" s="3" t="str">
        <f>HYPERLINK("https://www.boe.es/gazeta/dias/1822/03/14/pdfs/GMD-1822-75.pdf#page=5","Abrir facsímil")</f>
        <v>Abrir facsímil</v>
      </c>
      <c r="K2564" s="3" t="s">
        <v>47</v>
      </c>
    </row>
    <row r="2565" spans="1:11" ht="42" customHeight="1">
      <c r="A2565" s="2" t="s">
        <v>5335</v>
      </c>
      <c r="B2565" s="2" t="s">
        <v>5335</v>
      </c>
      <c r="C2565" s="2" t="s">
        <v>28</v>
      </c>
      <c r="D2565" s="2" t="s">
        <v>29</v>
      </c>
      <c r="E2565" s="5">
        <v>-28474</v>
      </c>
      <c r="F2565" s="3" t="s">
        <v>30</v>
      </c>
      <c r="G2565" s="3" t="s">
        <v>31</v>
      </c>
      <c r="H2565" s="2" t="s">
        <v>20</v>
      </c>
      <c r="I2565" s="2" t="s">
        <v>5336</v>
      </c>
      <c r="J2565" s="3" t="str">
        <f>HYPERLINK("https://www.boe.es/gazeta/dias/1822/01/14/pdfs/GMD-1822-14.pdf#page=3","Abrir facsímil")</f>
        <v>Abrir facsímil</v>
      </c>
      <c r="K2565" s="3" t="s">
        <v>22</v>
      </c>
    </row>
    <row r="2566" spans="1:11" ht="42" customHeight="1">
      <c r="A2566" s="2" t="s">
        <v>5337</v>
      </c>
      <c r="B2566" s="2" t="s">
        <v>5338</v>
      </c>
      <c r="C2566" s="2" t="s">
        <v>50</v>
      </c>
      <c r="D2566" s="2" t="s">
        <v>51</v>
      </c>
      <c r="E2566" s="5">
        <v>-28314</v>
      </c>
      <c r="F2566" s="3" t="s">
        <v>309</v>
      </c>
      <c r="G2566" s="3" t="s">
        <v>63</v>
      </c>
      <c r="H2566" s="2" t="s">
        <v>20</v>
      </c>
      <c r="I2566" s="2" t="s">
        <v>5339</v>
      </c>
      <c r="J2566" s="3" t="str">
        <f>HYPERLINK("https://www.boe.es/gazeta/dias/1822/06/23/pdfs/GMD-1822-181.pdf#page=6","Abrir facsímil")</f>
        <v>Abrir facsímil</v>
      </c>
      <c r="K2566" s="3" t="s">
        <v>22</v>
      </c>
    </row>
    <row r="2567" spans="1:11" ht="42" customHeight="1">
      <c r="A2567" s="2" t="s">
        <v>5340</v>
      </c>
      <c r="B2567" s="2" t="s">
        <v>5341</v>
      </c>
      <c r="C2567" s="2" t="s">
        <v>50</v>
      </c>
      <c r="D2567" s="2" t="s">
        <v>51</v>
      </c>
      <c r="E2567" s="5">
        <v>-28391</v>
      </c>
      <c r="F2567" s="3" t="s">
        <v>378</v>
      </c>
      <c r="G2567" s="3" t="s">
        <v>63</v>
      </c>
      <c r="H2567" s="2" t="s">
        <v>20</v>
      </c>
      <c r="I2567" s="2" t="s">
        <v>5342</v>
      </c>
      <c r="J2567" s="3" t="str">
        <f>HYPERLINK("https://www.boe.es/gazeta/dias/1822/04/07/pdfs/GMD-1822-99.pdf#page=6","Abrir facsímil")</f>
        <v>Abrir facsímil</v>
      </c>
      <c r="K2567" s="3" t="s">
        <v>22</v>
      </c>
    </row>
    <row r="2568" spans="1:11" ht="42" customHeight="1">
      <c r="A2568" s="2" t="s">
        <v>5343</v>
      </c>
      <c r="B2568" s="2" t="s">
        <v>5344</v>
      </c>
      <c r="C2568" s="2" t="s">
        <v>50</v>
      </c>
      <c r="D2568" s="2" t="s">
        <v>51</v>
      </c>
      <c r="E2568" s="5">
        <v>-28349</v>
      </c>
      <c r="F2568" s="3" t="s">
        <v>518</v>
      </c>
      <c r="G2568" s="3" t="s">
        <v>57</v>
      </c>
      <c r="H2568" s="2" t="s">
        <v>20</v>
      </c>
      <c r="I2568" s="2" t="s">
        <v>5345</v>
      </c>
      <c r="J2568" s="3" t="str">
        <f>HYPERLINK("https://www.boe.es/gazeta/dias/1822/05/19/pdfs/GMD-1822-141.pdf#page=4","Abrir facsímil")</f>
        <v>Abrir facsímil</v>
      </c>
      <c r="K2568" s="3" t="s">
        <v>22</v>
      </c>
    </row>
    <row r="2569" spans="1:11" ht="42" customHeight="1">
      <c r="A2569" s="2" t="s">
        <v>5346</v>
      </c>
      <c r="B2569" s="2" t="s">
        <v>5347</v>
      </c>
      <c r="C2569" s="2" t="s">
        <v>16</v>
      </c>
      <c r="D2569" s="2" t="s">
        <v>17</v>
      </c>
      <c r="E2569" s="5">
        <v>-28233</v>
      </c>
      <c r="F2569" s="3" t="s">
        <v>810</v>
      </c>
      <c r="G2569" s="3" t="s">
        <v>57</v>
      </c>
      <c r="H2569" s="2" t="s">
        <v>20</v>
      </c>
      <c r="I2569" s="2" t="s">
        <v>5348</v>
      </c>
      <c r="J2569" s="3" t="str">
        <f>HYPERLINK("https://www.boe.es/gazeta/dias/1822/09/12/pdfs/GMD-1822-268.pdf#page=4","Abrir facsímil")</f>
        <v>Abrir facsímil</v>
      </c>
      <c r="K2569" s="3" t="s">
        <v>22</v>
      </c>
    </row>
    <row r="2570" spans="1:11" ht="42" customHeight="1">
      <c r="A2570" s="2" t="s">
        <v>5349</v>
      </c>
      <c r="B2570" s="2" t="s">
        <v>5350</v>
      </c>
      <c r="C2570" s="2" t="s">
        <v>28</v>
      </c>
      <c r="D2570" s="2" t="s">
        <v>29</v>
      </c>
      <c r="E2570" s="5">
        <v>-28361</v>
      </c>
      <c r="F2570" s="3" t="s">
        <v>374</v>
      </c>
      <c r="G2570" s="3" t="s">
        <v>63</v>
      </c>
      <c r="H2570" s="2" t="s">
        <v>20</v>
      </c>
      <c r="I2570" s="2" t="s">
        <v>5351</v>
      </c>
      <c r="J2570" s="3" t="str">
        <f>HYPERLINK("https://www.boe.es/gazeta/dias/1822/05/07/pdfs/GMD-1822-129.pdf#page=6","Abrir facsímil")</f>
        <v>Abrir facsímil</v>
      </c>
      <c r="K2570" s="3" t="s">
        <v>22</v>
      </c>
    </row>
    <row r="2571" spans="1:11" ht="42" customHeight="1">
      <c r="A2571" s="2" t="s">
        <v>5352</v>
      </c>
      <c r="B2571" s="2" t="s">
        <v>5353</v>
      </c>
      <c r="C2571" s="2" t="s">
        <v>50</v>
      </c>
      <c r="D2571" s="2" t="s">
        <v>51</v>
      </c>
      <c r="E2571" s="5">
        <v>-28411</v>
      </c>
      <c r="F2571" s="3" t="s">
        <v>1509</v>
      </c>
      <c r="G2571" s="3" t="s">
        <v>44</v>
      </c>
      <c r="H2571" s="2" t="s">
        <v>20</v>
      </c>
      <c r="I2571" s="2" t="s">
        <v>5354</v>
      </c>
      <c r="J2571" s="3" t="str">
        <f>HYPERLINK("https://www.boe.es/gazeta/dias/1822/03/18/pdfs/GMD-1822-79.pdf#page=1","Abrir facsímil")</f>
        <v>Abrir facsímil</v>
      </c>
      <c r="K2571" s="3" t="s">
        <v>22</v>
      </c>
    </row>
    <row r="2572" spans="1:11" ht="42" customHeight="1">
      <c r="A2572" s="2" t="s">
        <v>5355</v>
      </c>
      <c r="B2572" s="2" t="s">
        <v>5356</v>
      </c>
      <c r="C2572" s="2" t="s">
        <v>50</v>
      </c>
      <c r="D2572" s="2" t="s">
        <v>51</v>
      </c>
      <c r="E2572" s="5">
        <v>-28349</v>
      </c>
      <c r="F2572" s="3" t="s">
        <v>518</v>
      </c>
      <c r="G2572" s="3" t="s">
        <v>57</v>
      </c>
      <c r="H2572" s="2" t="s">
        <v>20</v>
      </c>
      <c r="I2572" s="2" t="s">
        <v>5357</v>
      </c>
      <c r="J2572" s="3" t="str">
        <f>HYPERLINK("https://www.boe.es/gazeta/dias/1822/05/19/pdfs/GMD-1822-141.pdf#page=4","Abrir facsímil")</f>
        <v>Abrir facsímil</v>
      </c>
      <c r="K2572" s="3" t="s">
        <v>22</v>
      </c>
    </row>
    <row r="2573" spans="1:11" ht="42" customHeight="1">
      <c r="A2573" s="2" t="s">
        <v>5358</v>
      </c>
      <c r="B2573" s="2" t="s">
        <v>5359</v>
      </c>
      <c r="C2573" s="2" t="s">
        <v>24</v>
      </c>
      <c r="D2573" s="2" t="s">
        <v>17</v>
      </c>
      <c r="E2573" s="5">
        <v>-28486</v>
      </c>
      <c r="F2573" s="3" t="s">
        <v>1046</v>
      </c>
      <c r="G2573" s="3" t="s">
        <v>57</v>
      </c>
      <c r="H2573" s="2" t="s">
        <v>20</v>
      </c>
      <c r="I2573" s="2" t="s">
        <v>5360</v>
      </c>
      <c r="J2573" s="3" t="str">
        <f>HYPERLINK("https://www.boe.es/gazeta/dias/1822/01/02/pdfs/GMD-1822-2.pdf#page=4","Abrir facsímil")</f>
        <v>Abrir facsímil</v>
      </c>
      <c r="K2573" s="3" t="s">
        <v>22</v>
      </c>
    </row>
    <row r="2574" spans="1:11" ht="42" customHeight="1">
      <c r="A2574" s="2" t="s">
        <v>5361</v>
      </c>
      <c r="B2574" s="2" t="s">
        <v>5361</v>
      </c>
      <c r="C2574" s="2" t="s">
        <v>28</v>
      </c>
      <c r="D2574" s="2" t="s">
        <v>29</v>
      </c>
      <c r="E2574" s="5">
        <v>-28487</v>
      </c>
      <c r="F2574" s="3" t="s">
        <v>426</v>
      </c>
      <c r="G2574" s="3" t="s">
        <v>57</v>
      </c>
      <c r="H2574" s="2" t="s">
        <v>20</v>
      </c>
      <c r="I2574" s="2" t="s">
        <v>5362</v>
      </c>
      <c r="J2574" s="3" t="str">
        <f>HYPERLINK("https://www.boe.es/gazeta/dias/1822/01/01/pdfs/GMD-1822-1.pdf#page=4","Abrir facsímil")</f>
        <v>Abrir facsímil</v>
      </c>
      <c r="K2574" s="3" t="s">
        <v>22</v>
      </c>
    </row>
    <row r="2575" spans="1:11" ht="42" customHeight="1">
      <c r="A2575" s="2" t="s">
        <v>5363</v>
      </c>
      <c r="B2575" s="2" t="s">
        <v>5363</v>
      </c>
      <c r="C2575" s="2" t="s">
        <v>28</v>
      </c>
      <c r="D2575" s="2" t="s">
        <v>29</v>
      </c>
      <c r="E2575" s="5">
        <v>-28367</v>
      </c>
      <c r="F2575" s="3" t="s">
        <v>280</v>
      </c>
      <c r="G2575" s="3" t="s">
        <v>35</v>
      </c>
      <c r="H2575" s="2" t="s">
        <v>20</v>
      </c>
      <c r="I2575" s="2" t="s">
        <v>5364</v>
      </c>
      <c r="J2575" s="3" t="str">
        <f>HYPERLINK("https://www.boe.es/gazeta/dias/1822/05/01/pdfs/GMD-1822-123.pdf#page=2","Abrir facsímil")</f>
        <v>Abrir facsímil</v>
      </c>
      <c r="K2575" s="3" t="s">
        <v>22</v>
      </c>
    </row>
    <row r="2576" spans="1:11" ht="42" customHeight="1">
      <c r="A2576" s="2" t="s">
        <v>5365</v>
      </c>
      <c r="B2576" s="2" t="s">
        <v>5366</v>
      </c>
      <c r="C2576" s="2" t="s">
        <v>50</v>
      </c>
      <c r="D2576" s="2" t="s">
        <v>51</v>
      </c>
      <c r="E2576" s="5">
        <v>-28210</v>
      </c>
      <c r="F2576" s="3" t="s">
        <v>218</v>
      </c>
      <c r="G2576" s="3" t="s">
        <v>19</v>
      </c>
      <c r="H2576" s="2" t="s">
        <v>20</v>
      </c>
      <c r="I2576" s="2" t="s">
        <v>5367</v>
      </c>
      <c r="J2576" s="3" t="str">
        <f>HYPERLINK("https://www.boe.es/gazeta/dias/1822/10/05/pdfs/GMD-1822-291.pdf#page=5","Abrir facsímil")</f>
        <v>Abrir facsímil</v>
      </c>
      <c r="K2576" s="3" t="s">
        <v>22</v>
      </c>
    </row>
    <row r="2577" spans="1:11" ht="42" customHeight="1">
      <c r="A2577" s="2" t="s">
        <v>5368</v>
      </c>
      <c r="B2577" s="2" t="s">
        <v>5369</v>
      </c>
      <c r="C2577" s="2" t="s">
        <v>50</v>
      </c>
      <c r="D2577" s="2" t="s">
        <v>51</v>
      </c>
      <c r="E2577" s="5">
        <v>-28208</v>
      </c>
      <c r="F2577" s="3" t="s">
        <v>230</v>
      </c>
      <c r="G2577" s="3" t="s">
        <v>57</v>
      </c>
      <c r="H2577" s="2" t="s">
        <v>20</v>
      </c>
      <c r="I2577" s="2" t="s">
        <v>5370</v>
      </c>
      <c r="J2577" s="3" t="str">
        <f>HYPERLINK("https://www.boe.es/gazeta/dias/1822/10/07/pdfs/GMD-1822-293.pdf#page=4","Abrir facsímil")</f>
        <v>Abrir facsímil</v>
      </c>
      <c r="K2577" s="3" t="s">
        <v>22</v>
      </c>
    </row>
    <row r="2578" spans="1:11" ht="42" customHeight="1">
      <c r="A2578" s="2" t="s">
        <v>5371</v>
      </c>
      <c r="B2578" s="2" t="s">
        <v>5372</v>
      </c>
      <c r="C2578" s="2" t="s">
        <v>28</v>
      </c>
      <c r="D2578" s="2" t="s">
        <v>29</v>
      </c>
      <c r="E2578" s="5">
        <v>-28390</v>
      </c>
      <c r="F2578" s="3" t="s">
        <v>665</v>
      </c>
      <c r="G2578" s="3" t="s">
        <v>57</v>
      </c>
      <c r="H2578" s="2" t="s">
        <v>20</v>
      </c>
      <c r="I2578" s="2" t="s">
        <v>5373</v>
      </c>
      <c r="J2578" s="3" t="str">
        <f>HYPERLINK("https://www.boe.es/gazeta/dias/1822/04/08/pdfs/GMD-1822-100.pdf#page=4","Abrir facsímil")</f>
        <v>Abrir facsímil</v>
      </c>
      <c r="K2578" s="3" t="s">
        <v>22</v>
      </c>
    </row>
    <row r="2579" spans="1:11" ht="42" customHeight="1">
      <c r="A2579" s="2" t="s">
        <v>5374</v>
      </c>
      <c r="B2579" s="2" t="s">
        <v>5374</v>
      </c>
      <c r="C2579" s="2" t="s">
        <v>16</v>
      </c>
      <c r="D2579" s="2" t="s">
        <v>17</v>
      </c>
      <c r="E2579" s="5">
        <v>-28484</v>
      </c>
      <c r="F2579" s="3" t="s">
        <v>743</v>
      </c>
      <c r="G2579" s="3" t="s">
        <v>19</v>
      </c>
      <c r="H2579" s="2" t="s">
        <v>20</v>
      </c>
      <c r="I2579" s="2" t="s">
        <v>5375</v>
      </c>
      <c r="J2579" s="3" t="str">
        <f>HYPERLINK("https://www.boe.es/gazeta/dias/1822/01/04/pdfs/GMD-1822-4.pdf#page=5","Abrir facsímil")</f>
        <v>Abrir facsímil</v>
      </c>
      <c r="K2579" s="3" t="s">
        <v>22</v>
      </c>
    </row>
    <row r="2580" spans="1:11" ht="42" customHeight="1">
      <c r="A2580" s="2" t="s">
        <v>5376</v>
      </c>
      <c r="B2580" s="2" t="s">
        <v>5376</v>
      </c>
      <c r="C2580" s="2" t="s">
        <v>50</v>
      </c>
      <c r="D2580" s="2" t="s">
        <v>51</v>
      </c>
      <c r="E2580" s="5">
        <v>-28303</v>
      </c>
      <c r="F2580" s="3" t="s">
        <v>201</v>
      </c>
      <c r="G2580" s="3" t="s">
        <v>31</v>
      </c>
      <c r="H2580" s="2" t="s">
        <v>20</v>
      </c>
      <c r="I2580" s="2" t="s">
        <v>5377</v>
      </c>
      <c r="J2580" s="3" t="str">
        <f>HYPERLINK("https://www.boe.es/gazeta/dias/1822/07/04/pdfs/GMD-1822-193.pdf#page=3","Abrir facsímil")</f>
        <v>Abrir facsímil</v>
      </c>
      <c r="K2580" s="3" t="s">
        <v>22</v>
      </c>
    </row>
    <row r="2581" spans="1:11" ht="42" customHeight="1">
      <c r="A2581" s="2" t="s">
        <v>5378</v>
      </c>
      <c r="B2581" s="2" t="s">
        <v>5379</v>
      </c>
      <c r="C2581" s="2" t="s">
        <v>28</v>
      </c>
      <c r="D2581" s="2" t="s">
        <v>29</v>
      </c>
      <c r="E2581" s="5">
        <v>-28280</v>
      </c>
      <c r="F2581" s="3" t="s">
        <v>56</v>
      </c>
      <c r="G2581" s="3" t="s">
        <v>57</v>
      </c>
      <c r="H2581" s="2" t="s">
        <v>20</v>
      </c>
      <c r="I2581" s="2" t="s">
        <v>5380</v>
      </c>
      <c r="J2581" s="3" t="str">
        <f>HYPERLINK("https://www.boe.es/gazeta/dias/1822/07/27/pdfs/GMD-1822-220.pdf#page=4","Abrir facsímil")</f>
        <v>Abrir facsímil</v>
      </c>
      <c r="K2581" s="3" t="s">
        <v>22</v>
      </c>
    </row>
    <row r="2582" spans="1:11" ht="42" customHeight="1">
      <c r="A2582" s="2" t="s">
        <v>5381</v>
      </c>
      <c r="B2582" s="2" t="s">
        <v>5382</v>
      </c>
      <c r="C2582" s="2" t="s">
        <v>71</v>
      </c>
      <c r="D2582" s="2" t="s">
        <v>17</v>
      </c>
      <c r="E2582" s="5">
        <v>-28351</v>
      </c>
      <c r="F2582" s="3" t="s">
        <v>282</v>
      </c>
      <c r="G2582" s="3" t="s">
        <v>44</v>
      </c>
      <c r="H2582" s="2" t="s">
        <v>45</v>
      </c>
      <c r="I2582" s="2" t="s">
        <v>5383</v>
      </c>
      <c r="J2582" s="3" t="str">
        <f>HYPERLINK("https://www.boe.es/gazeta/dias/1822/05/17/pdfs/GMD-1822-139.pdf#page=1","Abrir facsímil")</f>
        <v>Abrir facsímil</v>
      </c>
      <c r="K2582" s="3" t="s">
        <v>47</v>
      </c>
    </row>
    <row r="2583" spans="1:11" ht="42" customHeight="1">
      <c r="A2583" s="2" t="s">
        <v>5384</v>
      </c>
      <c r="B2583" s="2" t="s">
        <v>5385</v>
      </c>
      <c r="C2583" s="2" t="s">
        <v>50</v>
      </c>
      <c r="D2583" s="2" t="s">
        <v>51</v>
      </c>
      <c r="E2583" s="5">
        <v>-28396</v>
      </c>
      <c r="F2583" s="3" t="s">
        <v>1138</v>
      </c>
      <c r="G2583" s="3" t="s">
        <v>167</v>
      </c>
      <c r="H2583" s="2" t="s">
        <v>20</v>
      </c>
      <c r="I2583" s="2" t="s">
        <v>5386</v>
      </c>
      <c r="J2583" s="3" t="str">
        <f>HYPERLINK("https://www.boe.es/gazeta/dias/1822/04/02/pdfs/GMD-1822-94.pdf#page=7","Abrir facsímil")</f>
        <v>Abrir facsímil</v>
      </c>
      <c r="K2583" s="3" t="s">
        <v>22</v>
      </c>
    </row>
    <row r="2584" spans="1:11" ht="42" customHeight="1">
      <c r="A2584" s="2" t="s">
        <v>5387</v>
      </c>
      <c r="B2584" s="2" t="s">
        <v>5388</v>
      </c>
      <c r="C2584" s="2" t="s">
        <v>42</v>
      </c>
      <c r="D2584" s="2" t="s">
        <v>17</v>
      </c>
      <c r="E2584" s="5">
        <v>-28279</v>
      </c>
      <c r="F2584" s="3" t="s">
        <v>662</v>
      </c>
      <c r="G2584" s="3" t="s">
        <v>31</v>
      </c>
      <c r="H2584" s="2" t="s">
        <v>20</v>
      </c>
      <c r="I2584" s="2" t="s">
        <v>5389</v>
      </c>
      <c r="J2584" s="3" t="str">
        <f>HYPERLINK("https://www.boe.es/gazeta/dias/1822/07/28/pdfs/GMD-1822-221.pdf#page=3","Abrir facsímil")</f>
        <v>Abrir facsímil</v>
      </c>
      <c r="K2584" s="3" t="s">
        <v>22</v>
      </c>
    </row>
    <row r="2585" spans="1:11" ht="42" customHeight="1">
      <c r="A2585" s="2" t="s">
        <v>5390</v>
      </c>
      <c r="B2585" s="2" t="s">
        <v>5390</v>
      </c>
      <c r="C2585" s="2" t="s">
        <v>50</v>
      </c>
      <c r="D2585" s="2" t="s">
        <v>51</v>
      </c>
      <c r="E2585" s="5">
        <v>-28313</v>
      </c>
      <c r="F2585" s="3" t="s">
        <v>315</v>
      </c>
      <c r="G2585" s="3" t="s">
        <v>31</v>
      </c>
      <c r="H2585" s="2" t="s">
        <v>20</v>
      </c>
      <c r="I2585" s="2" t="s">
        <v>5391</v>
      </c>
      <c r="J2585" s="3" t="str">
        <f>HYPERLINK("https://www.boe.es/gazeta/dias/1822/06/24/pdfs/GMD-1822-182.pdf#page=3","Abrir facsímil")</f>
        <v>Abrir facsímil</v>
      </c>
      <c r="K2585" s="3" t="s">
        <v>22</v>
      </c>
    </row>
    <row r="2586" spans="1:11" ht="42" customHeight="1">
      <c r="A2586" s="2" t="s">
        <v>5392</v>
      </c>
      <c r="B2586" s="2" t="s">
        <v>5392</v>
      </c>
      <c r="C2586" s="2" t="s">
        <v>28</v>
      </c>
      <c r="D2586" s="2" t="s">
        <v>29</v>
      </c>
      <c r="E2586" s="5">
        <v>-28451</v>
      </c>
      <c r="F2586" s="3" t="s">
        <v>1674</v>
      </c>
      <c r="G2586" s="3" t="s">
        <v>57</v>
      </c>
      <c r="H2586" s="2" t="s">
        <v>20</v>
      </c>
      <c r="I2586" s="2" t="s">
        <v>5393</v>
      </c>
      <c r="J2586" s="3" t="str">
        <f>HYPERLINK("https://www.boe.es/gazeta/dias/1822/02/06/pdfs/GMD-1822-37.pdf#page=4","Abrir facsímil")</f>
        <v>Abrir facsímil</v>
      </c>
      <c r="K2586" s="3" t="s">
        <v>22</v>
      </c>
    </row>
    <row r="2587" spans="1:11" ht="42" customHeight="1">
      <c r="A2587" s="2" t="s">
        <v>5394</v>
      </c>
      <c r="B2587" s="2" t="s">
        <v>5395</v>
      </c>
      <c r="C2587" s="2" t="s">
        <v>50</v>
      </c>
      <c r="D2587" s="2" t="s">
        <v>51</v>
      </c>
      <c r="E2587" s="5">
        <v>-28260</v>
      </c>
      <c r="F2587" s="3" t="s">
        <v>135</v>
      </c>
      <c r="G2587" s="3" t="s">
        <v>63</v>
      </c>
      <c r="H2587" s="2" t="s">
        <v>20</v>
      </c>
      <c r="I2587" s="2" t="s">
        <v>5396</v>
      </c>
      <c r="J2587" s="3" t="str">
        <f>HYPERLINK("https://www.boe.es/gazeta/dias/1822/08/16/pdfs/GMD-1822-240.pdf#page=6","Abrir facsímil")</f>
        <v>Abrir facsímil</v>
      </c>
      <c r="K2587" s="3" t="s">
        <v>22</v>
      </c>
    </row>
    <row r="2588" spans="1:11" ht="42" customHeight="1">
      <c r="A2588" s="2" t="s">
        <v>5397</v>
      </c>
      <c r="B2588" s="2" t="s">
        <v>5398</v>
      </c>
      <c r="C2588" s="2" t="s">
        <v>28</v>
      </c>
      <c r="D2588" s="2" t="s">
        <v>29</v>
      </c>
      <c r="E2588" s="5">
        <v>-28380</v>
      </c>
      <c r="F2588" s="3" t="s">
        <v>492</v>
      </c>
      <c r="G2588" s="3" t="s">
        <v>63</v>
      </c>
      <c r="H2588" s="2" t="s">
        <v>20</v>
      </c>
      <c r="I2588" s="2" t="s">
        <v>5399</v>
      </c>
      <c r="J2588" s="3" t="str">
        <f>HYPERLINK("https://www.boe.es/gazeta/dias/1822/04/18/pdfs/GMD-1822-110.pdf#page=6","Abrir facsímil")</f>
        <v>Abrir facsímil</v>
      </c>
      <c r="K2588" s="3" t="s">
        <v>22</v>
      </c>
    </row>
    <row r="2589" spans="1:11" ht="42" customHeight="1">
      <c r="A2589" s="2" t="s">
        <v>5400</v>
      </c>
      <c r="B2589" s="2" t="s">
        <v>5401</v>
      </c>
      <c r="C2589" s="2" t="s">
        <v>50</v>
      </c>
      <c r="D2589" s="2" t="s">
        <v>51</v>
      </c>
      <c r="E2589" s="5">
        <v>-28400</v>
      </c>
      <c r="F2589" s="3" t="s">
        <v>1937</v>
      </c>
      <c r="G2589" s="3" t="s">
        <v>2260</v>
      </c>
      <c r="H2589" s="2" t="s">
        <v>20</v>
      </c>
      <c r="I2589" s="2" t="s">
        <v>5402</v>
      </c>
      <c r="J2589" s="3" t="str">
        <f>HYPERLINK("https://www.boe.es/gazeta/dias/1822/03/29/pdfs/GMD-1822-90.pdf#page=4","Abrir facsímil")</f>
        <v>Abrir facsímil</v>
      </c>
      <c r="K2589" s="3" t="s">
        <v>22</v>
      </c>
    </row>
    <row r="2590" spans="1:11" ht="42" customHeight="1">
      <c r="A2590" s="2" t="s">
        <v>5403</v>
      </c>
      <c r="B2590" s="2" t="s">
        <v>5403</v>
      </c>
      <c r="C2590" s="2" t="s">
        <v>28</v>
      </c>
      <c r="D2590" s="2" t="s">
        <v>29</v>
      </c>
      <c r="E2590" s="5">
        <v>-28321</v>
      </c>
      <c r="F2590" s="3" t="s">
        <v>1142</v>
      </c>
      <c r="G2590" s="3" t="s">
        <v>35</v>
      </c>
      <c r="H2590" s="2" t="s">
        <v>20</v>
      </c>
      <c r="I2590" s="2" t="s">
        <v>5404</v>
      </c>
      <c r="J2590" s="3" t="str">
        <f>HYPERLINK("https://www.boe.es/gazeta/dias/1822/06/16/pdfs/GMD-1822-173.pdf#page=2","Abrir facsímil")</f>
        <v>Abrir facsímil</v>
      </c>
      <c r="K2590" s="3" t="s">
        <v>22</v>
      </c>
    </row>
    <row r="2591" spans="1:11" ht="42" customHeight="1">
      <c r="A2591" s="2" t="s">
        <v>5405</v>
      </c>
      <c r="B2591" s="2" t="s">
        <v>5405</v>
      </c>
      <c r="C2591" s="2" t="s">
        <v>42</v>
      </c>
      <c r="D2591" s="2" t="s">
        <v>17</v>
      </c>
      <c r="E2591" s="5">
        <v>-28487</v>
      </c>
      <c r="F2591" s="3" t="s">
        <v>426</v>
      </c>
      <c r="G2591" s="3" t="s">
        <v>19</v>
      </c>
      <c r="H2591" s="2" t="s">
        <v>20</v>
      </c>
      <c r="I2591" s="2" t="s">
        <v>5406</v>
      </c>
      <c r="J2591" s="3" t="str">
        <f>HYPERLINK("https://www.boe.es/gazeta/dias/1822/01/01/pdfs/GMD-1822-1.pdf#page=5","Abrir facsímil")</f>
        <v>Abrir facsímil</v>
      </c>
      <c r="K2591" s="3" t="s">
        <v>22</v>
      </c>
    </row>
    <row r="2592" spans="1:11" ht="42" customHeight="1">
      <c r="A2592" s="2" t="s">
        <v>5407</v>
      </c>
      <c r="B2592" s="2" t="s">
        <v>5407</v>
      </c>
      <c r="C2592" s="2" t="s">
        <v>362</v>
      </c>
      <c r="D2592" s="2" t="s">
        <v>17</v>
      </c>
      <c r="E2592" s="5">
        <v>-28487</v>
      </c>
      <c r="F2592" s="3" t="s">
        <v>426</v>
      </c>
      <c r="G2592" s="3" t="s">
        <v>57</v>
      </c>
      <c r="H2592" s="2" t="s">
        <v>20</v>
      </c>
      <c r="I2592" s="2" t="s">
        <v>5408</v>
      </c>
      <c r="J2592" s="3" t="str">
        <f>HYPERLINK("https://www.boe.es/gazeta/dias/1822/01/01/pdfs/GMD-1822-1.pdf#page=4","Abrir facsímil")</f>
        <v>Abrir facsímil</v>
      </c>
      <c r="K2592" s="3" t="s">
        <v>22</v>
      </c>
    </row>
    <row r="2593" spans="1:11" ht="42" customHeight="1">
      <c r="A2593" s="2" t="s">
        <v>5409</v>
      </c>
      <c r="B2593" s="2" t="s">
        <v>5409</v>
      </c>
      <c r="C2593" s="2" t="s">
        <v>42</v>
      </c>
      <c r="D2593" s="2" t="s">
        <v>17</v>
      </c>
      <c r="E2593" s="5">
        <v>-28483</v>
      </c>
      <c r="F2593" s="3" t="s">
        <v>254</v>
      </c>
      <c r="G2593" s="3" t="s">
        <v>35</v>
      </c>
      <c r="H2593" s="2" t="s">
        <v>20</v>
      </c>
      <c r="I2593" s="2" t="s">
        <v>5410</v>
      </c>
      <c r="J2593" s="3" t="str">
        <f>HYPERLINK("https://www.boe.es/gazeta/dias/1822/01/05/pdfs/GMD-1822-5.pdf#page=2","Abrir facsímil")</f>
        <v>Abrir facsímil</v>
      </c>
      <c r="K2593" s="3" t="s">
        <v>22</v>
      </c>
    </row>
    <row r="2594" spans="1:11" ht="42" customHeight="1">
      <c r="A2594" s="2" t="s">
        <v>5411</v>
      </c>
      <c r="B2594" s="2" t="s">
        <v>5412</v>
      </c>
      <c r="C2594" s="2" t="s">
        <v>71</v>
      </c>
      <c r="D2594" s="2" t="s">
        <v>17</v>
      </c>
      <c r="E2594" s="5">
        <v>-28318</v>
      </c>
      <c r="F2594" s="3" t="s">
        <v>397</v>
      </c>
      <c r="G2594" s="3" t="s">
        <v>157</v>
      </c>
      <c r="H2594" s="2" t="s">
        <v>20</v>
      </c>
      <c r="I2594" s="2" t="s">
        <v>5413</v>
      </c>
      <c r="J2594" s="3" t="str">
        <f>HYPERLINK("https://www.boe.es/gazeta/dias/1822/06/19/pdfs/GMD-1822-176.pdf#page=8","Abrir facsímil")</f>
        <v>Abrir facsímil</v>
      </c>
      <c r="K2594" s="3" t="s">
        <v>22</v>
      </c>
    </row>
    <row r="2595" spans="1:11" ht="42" customHeight="1">
      <c r="A2595" s="2" t="s">
        <v>5414</v>
      </c>
      <c r="B2595" s="2" t="s">
        <v>5415</v>
      </c>
      <c r="C2595" s="2" t="s">
        <v>71</v>
      </c>
      <c r="D2595" s="2" t="s">
        <v>17</v>
      </c>
      <c r="E2595" s="5">
        <v>-28327</v>
      </c>
      <c r="F2595" s="3" t="s">
        <v>38</v>
      </c>
      <c r="G2595" s="3" t="s">
        <v>31</v>
      </c>
      <c r="H2595" s="2" t="s">
        <v>20</v>
      </c>
      <c r="I2595" s="2" t="s">
        <v>5416</v>
      </c>
      <c r="J2595" s="3" t="str">
        <f>HYPERLINK("https://www.boe.es/gazeta/dias/1822/06/10/pdfs/GMD-1822-167.pdf#page=3","Abrir facsímil")</f>
        <v>Abrir facsímil</v>
      </c>
      <c r="K2595" s="3" t="s">
        <v>22</v>
      </c>
    </row>
    <row r="2596" spans="1:11" ht="42" customHeight="1">
      <c r="A2596" s="2" t="s">
        <v>5417</v>
      </c>
      <c r="B2596" s="2" t="s">
        <v>5417</v>
      </c>
      <c r="C2596" s="2" t="s">
        <v>71</v>
      </c>
      <c r="D2596" s="2" t="s">
        <v>17</v>
      </c>
      <c r="E2596" s="5">
        <v>-28404</v>
      </c>
      <c r="F2596" s="3" t="s">
        <v>421</v>
      </c>
      <c r="G2596" s="3" t="s">
        <v>35</v>
      </c>
      <c r="H2596" s="2" t="s">
        <v>20</v>
      </c>
      <c r="I2596" s="2" t="s">
        <v>5418</v>
      </c>
      <c r="J2596" s="3" t="str">
        <f>HYPERLINK("https://www.boe.es/gazeta/dias/1822/03/25/pdfs/GMD-1822-86.pdf#page=2","Abrir facsímil")</f>
        <v>Abrir facsímil</v>
      </c>
      <c r="K2596" s="3" t="s">
        <v>22</v>
      </c>
    </row>
    <row r="2597" spans="1:11" ht="42" customHeight="1">
      <c r="A2597" s="2" t="s">
        <v>5419</v>
      </c>
      <c r="B2597" s="2" t="s">
        <v>5420</v>
      </c>
      <c r="C2597" s="2" t="s">
        <v>50</v>
      </c>
      <c r="D2597" s="2" t="s">
        <v>51</v>
      </c>
      <c r="E2597" s="5">
        <v>-28132</v>
      </c>
      <c r="F2597" s="3" t="s">
        <v>820</v>
      </c>
      <c r="G2597" s="3" t="s">
        <v>44</v>
      </c>
      <c r="H2597" s="2" t="s">
        <v>20</v>
      </c>
      <c r="I2597" s="2" t="s">
        <v>5421</v>
      </c>
      <c r="J2597" s="3" t="str">
        <f>HYPERLINK("https://www.boe.es/gazeta/dias/1822/12/22/pdfs/GMD-1822-372.pdf#page=1","Abrir facsímil")</f>
        <v>Abrir facsímil</v>
      </c>
      <c r="K2597" s="3" t="s">
        <v>22</v>
      </c>
    </row>
    <row r="2598" spans="1:11" ht="42" customHeight="1">
      <c r="A2598" s="2" t="s">
        <v>5422</v>
      </c>
      <c r="B2598" s="2" t="s">
        <v>5422</v>
      </c>
      <c r="C2598" s="2" t="s">
        <v>42</v>
      </c>
      <c r="D2598" s="2" t="s">
        <v>17</v>
      </c>
      <c r="E2598" s="5">
        <v>-28462</v>
      </c>
      <c r="F2598" s="3" t="s">
        <v>1099</v>
      </c>
      <c r="G2598" s="3" t="s">
        <v>57</v>
      </c>
      <c r="H2598" s="2" t="s">
        <v>20</v>
      </c>
      <c r="I2598" s="2" t="s">
        <v>5423</v>
      </c>
      <c r="J2598" s="3" t="str">
        <f>HYPERLINK("https://www.boe.es/gazeta/dias/1822/01/26/pdfs/GMD-1822-26.pdf#page=4","Abrir facsímil")</f>
        <v>Abrir facsímil</v>
      </c>
      <c r="K2598" s="3" t="s">
        <v>22</v>
      </c>
    </row>
    <row r="2599" spans="1:11" ht="42" customHeight="1">
      <c r="A2599" s="2" t="s">
        <v>5424</v>
      </c>
      <c r="B2599" s="2" t="s">
        <v>5425</v>
      </c>
      <c r="C2599" s="2" t="s">
        <v>61</v>
      </c>
      <c r="D2599" s="2" t="s">
        <v>17</v>
      </c>
      <c r="E2599" s="5">
        <v>-28391</v>
      </c>
      <c r="F2599" s="3" t="s">
        <v>378</v>
      </c>
      <c r="G2599" s="3" t="s">
        <v>63</v>
      </c>
      <c r="H2599" s="2" t="s">
        <v>20</v>
      </c>
      <c r="I2599" s="2" t="s">
        <v>5426</v>
      </c>
      <c r="J2599" s="3" t="str">
        <f>HYPERLINK("https://www.boe.es/gazeta/dias/1822/04/07/pdfs/GMD-1822-99.pdf#page=6","Abrir facsímil")</f>
        <v>Abrir facsímil</v>
      </c>
      <c r="K2599" s="3" t="s">
        <v>22</v>
      </c>
    </row>
    <row r="2600" spans="1:11" ht="42" customHeight="1">
      <c r="A2600" s="2" t="s">
        <v>5427</v>
      </c>
      <c r="B2600" s="2" t="s">
        <v>5427</v>
      </c>
      <c r="C2600" s="2" t="s">
        <v>42</v>
      </c>
      <c r="D2600" s="2" t="s">
        <v>17</v>
      </c>
      <c r="E2600" s="5">
        <v>-28199</v>
      </c>
      <c r="F2600" s="3" t="s">
        <v>656</v>
      </c>
      <c r="G2600" s="3" t="s">
        <v>35</v>
      </c>
      <c r="H2600" s="2" t="s">
        <v>20</v>
      </c>
      <c r="I2600" s="2" t="s">
        <v>5428</v>
      </c>
      <c r="J2600" s="3" t="str">
        <f>HYPERLINK("https://www.boe.es/gazeta/dias/1822/10/16/pdfs/GMD-1822-303.pdf#page=2","Abrir facsímil")</f>
        <v>Abrir facsímil</v>
      </c>
      <c r="K2600" s="3" t="s">
        <v>22</v>
      </c>
    </row>
    <row r="2601" spans="1:11" ht="42" customHeight="1">
      <c r="A2601" s="2" t="s">
        <v>5429</v>
      </c>
      <c r="B2601" s="2" t="s">
        <v>5430</v>
      </c>
      <c r="C2601" s="2" t="s">
        <v>50</v>
      </c>
      <c r="D2601" s="2" t="s">
        <v>51</v>
      </c>
      <c r="E2601" s="5">
        <v>-28345</v>
      </c>
      <c r="F2601" s="3" t="s">
        <v>294</v>
      </c>
      <c r="G2601" s="3" t="s">
        <v>19</v>
      </c>
      <c r="H2601" s="2" t="s">
        <v>20</v>
      </c>
      <c r="I2601" s="2" t="s">
        <v>5431</v>
      </c>
      <c r="J2601" s="3" t="str">
        <f>HYPERLINK("https://www.boe.es/gazeta/dias/1822/05/23/pdfs/GMD-1822-147.pdf#page=5","Abrir facsímil")</f>
        <v>Abrir facsímil</v>
      </c>
      <c r="K2601" s="3" t="s">
        <v>22</v>
      </c>
    </row>
    <row r="2602" spans="1:11" ht="42" customHeight="1">
      <c r="A2602" s="2" t="s">
        <v>5432</v>
      </c>
      <c r="B2602" s="2" t="s">
        <v>5433</v>
      </c>
      <c r="C2602" s="2" t="s">
        <v>28</v>
      </c>
      <c r="D2602" s="2" t="s">
        <v>29</v>
      </c>
      <c r="E2602" s="5">
        <v>-28436</v>
      </c>
      <c r="F2602" s="3" t="s">
        <v>431</v>
      </c>
      <c r="G2602" s="3" t="s">
        <v>1428</v>
      </c>
      <c r="H2602" s="2" t="s">
        <v>20</v>
      </c>
      <c r="I2602" s="2" t="s">
        <v>5434</v>
      </c>
      <c r="J2602" s="3" t="str">
        <f>HYPERLINK("https://www.boe.es/gazeta/dias/1822/02/21/pdfs/GMD-1822-53.pdf#page=3","Abrir facsímil")</f>
        <v>Abrir facsímil</v>
      </c>
      <c r="K2602" s="3" t="s">
        <v>22</v>
      </c>
    </row>
    <row r="2603" spans="1:11" ht="42" customHeight="1">
      <c r="A2603" s="2" t="s">
        <v>5435</v>
      </c>
      <c r="B2603" s="2" t="s">
        <v>5436</v>
      </c>
      <c r="C2603" s="2" t="s">
        <v>28</v>
      </c>
      <c r="D2603" s="2" t="s">
        <v>29</v>
      </c>
      <c r="E2603" s="5">
        <v>-28293</v>
      </c>
      <c r="F2603" s="3" t="s">
        <v>152</v>
      </c>
      <c r="G2603" s="3" t="s">
        <v>31</v>
      </c>
      <c r="H2603" s="2" t="s">
        <v>20</v>
      </c>
      <c r="I2603" s="2" t="s">
        <v>5437</v>
      </c>
      <c r="J2603" s="3" t="str">
        <f>HYPERLINK("https://www.boe.es/gazeta/dias/1822/07/14/pdfs/GMD-1822-204.pdf#page=3","Abrir facsímil")</f>
        <v>Abrir facsímil</v>
      </c>
      <c r="K2603" s="3" t="s">
        <v>22</v>
      </c>
    </row>
    <row r="2604" spans="1:11" ht="42" customHeight="1">
      <c r="A2604" s="2" t="s">
        <v>5438</v>
      </c>
      <c r="B2604" s="2" t="s">
        <v>5438</v>
      </c>
      <c r="C2604" s="2" t="s">
        <v>42</v>
      </c>
      <c r="D2604" s="2" t="s">
        <v>17</v>
      </c>
      <c r="E2604" s="5">
        <v>-28462</v>
      </c>
      <c r="F2604" s="3" t="s">
        <v>1099</v>
      </c>
      <c r="G2604" s="3" t="s">
        <v>57</v>
      </c>
      <c r="H2604" s="2" t="s">
        <v>20</v>
      </c>
      <c r="I2604" s="2" t="s">
        <v>5439</v>
      </c>
      <c r="J2604" s="3" t="str">
        <f>HYPERLINK("https://www.boe.es/gazeta/dias/1822/01/26/pdfs/GMD-1822-26.pdf#page=4","Abrir facsímil")</f>
        <v>Abrir facsímil</v>
      </c>
      <c r="K2604" s="3" t="s">
        <v>22</v>
      </c>
    </row>
    <row r="2605" spans="1:11" ht="42" customHeight="1">
      <c r="A2605" s="2" t="s">
        <v>5438</v>
      </c>
      <c r="B2605" s="2" t="s">
        <v>5438</v>
      </c>
      <c r="C2605" s="2" t="s">
        <v>50</v>
      </c>
      <c r="D2605" s="2" t="s">
        <v>51</v>
      </c>
      <c r="E2605" s="5">
        <v>-28450</v>
      </c>
      <c r="F2605" s="3" t="s">
        <v>1450</v>
      </c>
      <c r="G2605" s="3" t="s">
        <v>44</v>
      </c>
      <c r="H2605" s="2" t="s">
        <v>20</v>
      </c>
      <c r="I2605" s="2" t="s">
        <v>5440</v>
      </c>
      <c r="J2605" s="3" t="str">
        <f>HYPERLINK("https://www.boe.es/gazeta/dias/1822/02/07/pdfs/GMD-1822-38.pdf#page=1","Abrir facsímil")</f>
        <v>Abrir facsímil</v>
      </c>
      <c r="K2605" s="3" t="s">
        <v>22</v>
      </c>
    </row>
    <row r="2606" spans="1:11" ht="42" customHeight="1">
      <c r="A2606" s="2" t="s">
        <v>5441</v>
      </c>
      <c r="B2606" s="2" t="s">
        <v>5441</v>
      </c>
      <c r="C2606" s="2" t="s">
        <v>42</v>
      </c>
      <c r="D2606" s="2" t="s">
        <v>17</v>
      </c>
      <c r="E2606" s="5">
        <v>-28479</v>
      </c>
      <c r="F2606" s="3" t="s">
        <v>1091</v>
      </c>
      <c r="G2606" s="3" t="s">
        <v>31</v>
      </c>
      <c r="H2606" s="2" t="s">
        <v>20</v>
      </c>
      <c r="I2606" s="2" t="s">
        <v>5442</v>
      </c>
      <c r="J2606" s="3" t="str">
        <f>HYPERLINK("https://www.boe.es/gazeta/dias/1822/01/09/pdfs/GMD-1822-9.pdf#page=3","Abrir facsímil")</f>
        <v>Abrir facsímil</v>
      </c>
      <c r="K2606" s="3" t="s">
        <v>22</v>
      </c>
    </row>
    <row r="2607" spans="1:11" ht="42" customHeight="1">
      <c r="A2607" s="2" t="s">
        <v>5443</v>
      </c>
      <c r="B2607" s="2" t="s">
        <v>5443</v>
      </c>
      <c r="C2607" s="2" t="s">
        <v>42</v>
      </c>
      <c r="D2607" s="2" t="s">
        <v>17</v>
      </c>
      <c r="E2607" s="5">
        <v>-28479</v>
      </c>
      <c r="F2607" s="3" t="s">
        <v>1091</v>
      </c>
      <c r="G2607" s="3" t="s">
        <v>57</v>
      </c>
      <c r="H2607" s="2" t="s">
        <v>20</v>
      </c>
      <c r="I2607" s="2" t="s">
        <v>5444</v>
      </c>
      <c r="J2607" s="3" t="str">
        <f>HYPERLINK("https://www.boe.es/gazeta/dias/1822/01/09/pdfs/GMD-1822-9.pdf#page=4","Abrir facsímil")</f>
        <v>Abrir facsímil</v>
      </c>
      <c r="K2607" s="3" t="s">
        <v>22</v>
      </c>
    </row>
    <row r="2608" spans="1:11" ht="42" customHeight="1">
      <c r="A2608" s="2" t="s">
        <v>5445</v>
      </c>
      <c r="B2608" s="2" t="s">
        <v>5446</v>
      </c>
      <c r="C2608" s="2" t="s">
        <v>61</v>
      </c>
      <c r="D2608" s="2" t="s">
        <v>17</v>
      </c>
      <c r="E2608" s="5">
        <v>-28319</v>
      </c>
      <c r="F2608" s="3" t="s">
        <v>271</v>
      </c>
      <c r="G2608" s="3" t="s">
        <v>63</v>
      </c>
      <c r="H2608" s="2" t="s">
        <v>20</v>
      </c>
      <c r="I2608" s="2" t="s">
        <v>5447</v>
      </c>
      <c r="J2608" s="3" t="str">
        <f>HYPERLINK("https://www.boe.es/gazeta/dias/1822/06/18/pdfs/GMD-1822-175.pdf#page=6","Abrir facsímil")</f>
        <v>Abrir facsímil</v>
      </c>
      <c r="K2608" s="3" t="s">
        <v>22</v>
      </c>
    </row>
    <row r="2609" spans="1:11" ht="42" customHeight="1">
      <c r="A2609" s="2" t="s">
        <v>5448</v>
      </c>
      <c r="B2609" s="2" t="s">
        <v>5448</v>
      </c>
      <c r="C2609" s="2" t="s">
        <v>16</v>
      </c>
      <c r="D2609" s="2" t="s">
        <v>17</v>
      </c>
      <c r="E2609" s="5">
        <v>-28476</v>
      </c>
      <c r="F2609" s="3" t="s">
        <v>160</v>
      </c>
      <c r="G2609" s="3" t="s">
        <v>31</v>
      </c>
      <c r="H2609" s="2" t="s">
        <v>20</v>
      </c>
      <c r="I2609" s="2" t="s">
        <v>5449</v>
      </c>
      <c r="J2609" s="3" t="str">
        <f>HYPERLINK("https://www.boe.es/gazeta/dias/1822/01/12/pdfs/GMD-1822-12.pdf#page=3","Abrir facsímil")</f>
        <v>Abrir facsímil</v>
      </c>
      <c r="K2609" s="3" t="s">
        <v>22</v>
      </c>
    </row>
    <row r="2610" spans="1:11" ht="42" customHeight="1">
      <c r="A2610" s="2" t="s">
        <v>5448</v>
      </c>
      <c r="B2610" s="2" t="s">
        <v>5448</v>
      </c>
      <c r="C2610" s="2" t="s">
        <v>71</v>
      </c>
      <c r="D2610" s="2" t="s">
        <v>17</v>
      </c>
      <c r="E2610" s="5">
        <v>-28453</v>
      </c>
      <c r="F2610" s="3" t="s">
        <v>2039</v>
      </c>
      <c r="G2610" s="3" t="s">
        <v>35</v>
      </c>
      <c r="H2610" s="2" t="s">
        <v>20</v>
      </c>
      <c r="I2610" s="2" t="s">
        <v>5450</v>
      </c>
      <c r="J2610" s="3" t="str">
        <f>HYPERLINK("https://www.boe.es/gazeta/dias/1822/02/04/pdfs/GMD-1822-35.pdf#page=2","Abrir facsímil")</f>
        <v>Abrir facsímil</v>
      </c>
      <c r="K2610" s="3" t="s">
        <v>22</v>
      </c>
    </row>
    <row r="2611" spans="1:11" ht="42" customHeight="1">
      <c r="A2611" s="2" t="s">
        <v>5451</v>
      </c>
      <c r="B2611" s="2" t="s">
        <v>5451</v>
      </c>
      <c r="C2611" s="2" t="s">
        <v>71</v>
      </c>
      <c r="D2611" s="2" t="s">
        <v>17</v>
      </c>
      <c r="E2611" s="5">
        <v>-28485</v>
      </c>
      <c r="F2611" s="3" t="s">
        <v>1117</v>
      </c>
      <c r="G2611" s="3" t="s">
        <v>1118</v>
      </c>
      <c r="H2611" s="2" t="s">
        <v>20</v>
      </c>
      <c r="I2611" s="2" t="s">
        <v>5452</v>
      </c>
      <c r="J2611" s="3" t="str">
        <f>HYPERLINK("https://www.boe.es/gazeta/dias/1822/01/03/pdfs/GMD-1822-3.pdf#page=2","Abrir facsímil")</f>
        <v>Abrir facsímil</v>
      </c>
      <c r="K2611" s="3" t="s">
        <v>22</v>
      </c>
    </row>
    <row r="2612" spans="1:11" ht="42" customHeight="1">
      <c r="A2612" s="2" t="s">
        <v>5451</v>
      </c>
      <c r="B2612" s="2" t="s">
        <v>5451</v>
      </c>
      <c r="C2612" s="2" t="s">
        <v>42</v>
      </c>
      <c r="D2612" s="2" t="s">
        <v>17</v>
      </c>
      <c r="E2612" s="5">
        <v>-28453</v>
      </c>
      <c r="F2612" s="3" t="s">
        <v>2039</v>
      </c>
      <c r="G2612" s="3" t="s">
        <v>35</v>
      </c>
      <c r="H2612" s="2" t="s">
        <v>20</v>
      </c>
      <c r="I2612" s="2" t="s">
        <v>5453</v>
      </c>
      <c r="J2612" s="3" t="str">
        <f>HYPERLINK("https://www.boe.es/gazeta/dias/1822/02/04/pdfs/GMD-1822-35.pdf#page=2","Abrir facsímil")</f>
        <v>Abrir facsímil</v>
      </c>
      <c r="K2612" s="3" t="s">
        <v>22</v>
      </c>
    </row>
    <row r="2613" spans="1:11" ht="42" customHeight="1">
      <c r="A2613" s="2" t="s">
        <v>5454</v>
      </c>
      <c r="B2613" s="2" t="s">
        <v>5454</v>
      </c>
      <c r="C2613" s="2" t="s">
        <v>28</v>
      </c>
      <c r="D2613" s="2" t="s">
        <v>29</v>
      </c>
      <c r="E2613" s="5">
        <v>-28464</v>
      </c>
      <c r="F2613" s="3" t="s">
        <v>1447</v>
      </c>
      <c r="G2613" s="3" t="s">
        <v>31</v>
      </c>
      <c r="H2613" s="2" t="s">
        <v>20</v>
      </c>
      <c r="I2613" s="2" t="s">
        <v>5455</v>
      </c>
      <c r="J2613" s="3" t="str">
        <f>HYPERLINK("https://www.boe.es/gazeta/dias/1822/01/24/pdfs/GMD-1822-24.pdf#page=3","Abrir facsímil")</f>
        <v>Abrir facsímil</v>
      </c>
      <c r="K2613" s="3" t="s">
        <v>22</v>
      </c>
    </row>
    <row r="2614" spans="1:11" ht="42" customHeight="1">
      <c r="A2614" s="2" t="s">
        <v>5456</v>
      </c>
      <c r="B2614" s="2" t="s">
        <v>5456</v>
      </c>
      <c r="C2614" s="2" t="s">
        <v>28</v>
      </c>
      <c r="D2614" s="2" t="s">
        <v>29</v>
      </c>
      <c r="E2614" s="5">
        <v>-28370</v>
      </c>
      <c r="F2614" s="3" t="s">
        <v>207</v>
      </c>
      <c r="G2614" s="3" t="s">
        <v>19</v>
      </c>
      <c r="H2614" s="2" t="s">
        <v>20</v>
      </c>
      <c r="I2614" s="2" t="s">
        <v>5457</v>
      </c>
      <c r="J2614" s="3" t="str">
        <f>HYPERLINK("https://www.boe.es/gazeta/dias/1822/04/28/pdfs/GMD-1822-120.pdf#page=5","Abrir facsímil")</f>
        <v>Abrir facsímil</v>
      </c>
      <c r="K2614" s="3" t="s">
        <v>22</v>
      </c>
    </row>
    <row r="2615" spans="1:11" ht="42" customHeight="1">
      <c r="A2615" s="2" t="s">
        <v>5458</v>
      </c>
      <c r="B2615" s="2" t="s">
        <v>5458</v>
      </c>
      <c r="C2615" s="2" t="s">
        <v>42</v>
      </c>
      <c r="D2615" s="2" t="s">
        <v>17</v>
      </c>
      <c r="E2615" s="5">
        <v>-28461</v>
      </c>
      <c r="F2615" s="3" t="s">
        <v>1801</v>
      </c>
      <c r="G2615" s="3" t="s">
        <v>5459</v>
      </c>
      <c r="H2615" s="2" t="s">
        <v>20</v>
      </c>
      <c r="I2615" s="2" t="s">
        <v>5460</v>
      </c>
      <c r="J2615" s="3" t="str">
        <f>HYPERLINK("https://www.boe.es/gazeta/dias/1822/01/27/pdfs/GMD-1822-27.pdf#page=3","Abrir facsímil")</f>
        <v>Abrir facsímil</v>
      </c>
      <c r="K2615" s="3" t="s">
        <v>22</v>
      </c>
    </row>
    <row r="2616" spans="1:11" ht="42" customHeight="1">
      <c r="A2616" s="2" t="s">
        <v>5461</v>
      </c>
      <c r="B2616" s="2" t="s">
        <v>5461</v>
      </c>
      <c r="C2616" s="2" t="s">
        <v>16</v>
      </c>
      <c r="D2616" s="2" t="s">
        <v>17</v>
      </c>
      <c r="E2616" s="5">
        <v>-28483</v>
      </c>
      <c r="F2616" s="3" t="s">
        <v>254</v>
      </c>
      <c r="G2616" s="3" t="s">
        <v>35</v>
      </c>
      <c r="H2616" s="2" t="s">
        <v>20</v>
      </c>
      <c r="I2616" s="2" t="s">
        <v>5462</v>
      </c>
      <c r="J2616" s="3" t="str">
        <f>HYPERLINK("https://www.boe.es/gazeta/dias/1822/01/05/pdfs/GMD-1822-5.pdf#page=2","Abrir facsímil")</f>
        <v>Abrir facsímil</v>
      </c>
      <c r="K2616" s="3" t="s">
        <v>22</v>
      </c>
    </row>
    <row r="2617" spans="1:11" ht="42" customHeight="1">
      <c r="A2617" s="2" t="s">
        <v>5461</v>
      </c>
      <c r="B2617" s="2" t="s">
        <v>5461</v>
      </c>
      <c r="C2617" s="2" t="s">
        <v>71</v>
      </c>
      <c r="D2617" s="2" t="s">
        <v>17</v>
      </c>
      <c r="E2617" s="5">
        <v>-28476</v>
      </c>
      <c r="F2617" s="3" t="s">
        <v>160</v>
      </c>
      <c r="G2617" s="3" t="s">
        <v>31</v>
      </c>
      <c r="H2617" s="2" t="s">
        <v>20</v>
      </c>
      <c r="I2617" s="2" t="s">
        <v>5463</v>
      </c>
      <c r="J2617" s="3" t="str">
        <f>HYPERLINK("https://www.boe.es/gazeta/dias/1822/01/12/pdfs/GMD-1822-12.pdf#page=3","Abrir facsímil")</f>
        <v>Abrir facsímil</v>
      </c>
      <c r="K2617" s="3" t="s">
        <v>22</v>
      </c>
    </row>
    <row r="2618" spans="1:11" ht="42" customHeight="1">
      <c r="A2618" s="2" t="s">
        <v>5464</v>
      </c>
      <c r="B2618" s="2" t="s">
        <v>5464</v>
      </c>
      <c r="C2618" s="2" t="s">
        <v>28</v>
      </c>
      <c r="D2618" s="2" t="s">
        <v>29</v>
      </c>
      <c r="E2618" s="5">
        <v>-28487</v>
      </c>
      <c r="F2618" s="3" t="s">
        <v>426</v>
      </c>
      <c r="G2618" s="3" t="s">
        <v>57</v>
      </c>
      <c r="H2618" s="2" t="s">
        <v>20</v>
      </c>
      <c r="I2618" s="2" t="s">
        <v>5465</v>
      </c>
      <c r="J2618" s="3" t="str">
        <f>HYPERLINK("https://www.boe.es/gazeta/dias/1822/01/01/pdfs/GMD-1822-1.pdf#page=4","Abrir facsímil")</f>
        <v>Abrir facsímil</v>
      </c>
      <c r="K2618" s="3" t="s">
        <v>22</v>
      </c>
    </row>
    <row r="2619" spans="1:11" ht="42" customHeight="1">
      <c r="A2619" s="2" t="s">
        <v>5464</v>
      </c>
      <c r="B2619" s="2" t="s">
        <v>5464</v>
      </c>
      <c r="C2619" s="2" t="s">
        <v>16</v>
      </c>
      <c r="D2619" s="2" t="s">
        <v>17</v>
      </c>
      <c r="E2619" s="5">
        <v>-28487</v>
      </c>
      <c r="F2619" s="3" t="s">
        <v>426</v>
      </c>
      <c r="G2619" s="3" t="s">
        <v>19</v>
      </c>
      <c r="H2619" s="2" t="s">
        <v>20</v>
      </c>
      <c r="I2619" s="2" t="s">
        <v>5466</v>
      </c>
      <c r="J2619" s="3" t="str">
        <f>HYPERLINK("https://www.boe.es/gazeta/dias/1822/01/01/pdfs/GMD-1822-1.pdf#page=5","Abrir facsímil")</f>
        <v>Abrir facsímil</v>
      </c>
      <c r="K2619" s="3" t="s">
        <v>22</v>
      </c>
    </row>
    <row r="2620" spans="1:11" ht="42" customHeight="1">
      <c r="A2620" s="2" t="s">
        <v>5464</v>
      </c>
      <c r="B2620" s="2" t="s">
        <v>5464</v>
      </c>
      <c r="C2620" s="2" t="s">
        <v>24</v>
      </c>
      <c r="D2620" s="2" t="s">
        <v>17</v>
      </c>
      <c r="E2620" s="5">
        <v>-28485</v>
      </c>
      <c r="F2620" s="3" t="s">
        <v>1117</v>
      </c>
      <c r="G2620" s="3" t="s">
        <v>31</v>
      </c>
      <c r="H2620" s="2" t="s">
        <v>20</v>
      </c>
      <c r="I2620" s="2" t="s">
        <v>5467</v>
      </c>
      <c r="J2620" s="3" t="str">
        <f>HYPERLINK("https://www.boe.es/gazeta/dias/1822/01/03/pdfs/GMD-1822-3.pdf#page=3","Abrir facsímil")</f>
        <v>Abrir facsímil</v>
      </c>
      <c r="K2620" s="3" t="s">
        <v>22</v>
      </c>
    </row>
    <row r="2621" spans="1:11" ht="42" customHeight="1">
      <c r="A2621" s="2" t="s">
        <v>5464</v>
      </c>
      <c r="B2621" s="2" t="s">
        <v>5464</v>
      </c>
      <c r="C2621" s="2" t="s">
        <v>42</v>
      </c>
      <c r="D2621" s="2" t="s">
        <v>17</v>
      </c>
      <c r="E2621" s="5">
        <v>-28485</v>
      </c>
      <c r="F2621" s="3" t="s">
        <v>1117</v>
      </c>
      <c r="G2621" s="3" t="s">
        <v>57</v>
      </c>
      <c r="H2621" s="2" t="s">
        <v>20</v>
      </c>
      <c r="I2621" s="2" t="s">
        <v>5468</v>
      </c>
      <c r="J2621" s="3" t="str">
        <f>HYPERLINK("https://www.boe.es/gazeta/dias/1822/01/03/pdfs/GMD-1822-3.pdf#page=4","Abrir facsímil")</f>
        <v>Abrir facsímil</v>
      </c>
      <c r="K2621" s="3" t="s">
        <v>22</v>
      </c>
    </row>
    <row r="2622" spans="1:11" ht="42" customHeight="1">
      <c r="A2622" s="2" t="s">
        <v>5464</v>
      </c>
      <c r="B2622" s="2" t="s">
        <v>5464</v>
      </c>
      <c r="C2622" s="2" t="s">
        <v>24</v>
      </c>
      <c r="D2622" s="2" t="s">
        <v>17</v>
      </c>
      <c r="E2622" s="5">
        <v>-28484</v>
      </c>
      <c r="F2622" s="3" t="s">
        <v>743</v>
      </c>
      <c r="G2622" s="3" t="s">
        <v>57</v>
      </c>
      <c r="H2622" s="2" t="s">
        <v>20</v>
      </c>
      <c r="I2622" s="2" t="s">
        <v>5469</v>
      </c>
      <c r="J2622" s="3" t="str">
        <f>HYPERLINK("https://www.boe.es/gazeta/dias/1822/01/04/pdfs/GMD-1822-4.pdf#page=4","Abrir facsímil")</f>
        <v>Abrir facsímil</v>
      </c>
      <c r="K2622" s="3" t="s">
        <v>22</v>
      </c>
    </row>
    <row r="2623" spans="1:11" ht="42" customHeight="1">
      <c r="A2623" s="2" t="s">
        <v>5464</v>
      </c>
      <c r="B2623" s="2" t="s">
        <v>5464</v>
      </c>
      <c r="C2623" s="2" t="s">
        <v>42</v>
      </c>
      <c r="D2623" s="2" t="s">
        <v>17</v>
      </c>
      <c r="E2623" s="5">
        <v>-28484</v>
      </c>
      <c r="F2623" s="3" t="s">
        <v>743</v>
      </c>
      <c r="G2623" s="3" t="s">
        <v>19</v>
      </c>
      <c r="H2623" s="2" t="s">
        <v>20</v>
      </c>
      <c r="I2623" s="2" t="s">
        <v>5470</v>
      </c>
      <c r="J2623" s="3" t="str">
        <f>HYPERLINK("https://www.boe.es/gazeta/dias/1822/01/04/pdfs/GMD-1822-4.pdf#page=5","Abrir facsímil")</f>
        <v>Abrir facsímil</v>
      </c>
      <c r="K2623" s="3" t="s">
        <v>22</v>
      </c>
    </row>
    <row r="2624" spans="1:11" ht="42" customHeight="1">
      <c r="A2624" s="2" t="s">
        <v>5464</v>
      </c>
      <c r="B2624" s="2" t="s">
        <v>5464</v>
      </c>
      <c r="C2624" s="2" t="s">
        <v>42</v>
      </c>
      <c r="D2624" s="2" t="s">
        <v>17</v>
      </c>
      <c r="E2624" s="5">
        <v>-28483</v>
      </c>
      <c r="F2624" s="3" t="s">
        <v>254</v>
      </c>
      <c r="G2624" s="3" t="s">
        <v>35</v>
      </c>
      <c r="H2624" s="2" t="s">
        <v>20</v>
      </c>
      <c r="I2624" s="2" t="s">
        <v>5471</v>
      </c>
      <c r="J2624" s="3" t="str">
        <f>HYPERLINK("https://www.boe.es/gazeta/dias/1822/01/05/pdfs/GMD-1822-5.pdf#page=2","Abrir facsímil")</f>
        <v>Abrir facsímil</v>
      </c>
      <c r="K2624" s="3" t="s">
        <v>22</v>
      </c>
    </row>
    <row r="2625" spans="1:11" ht="42" customHeight="1">
      <c r="A2625" s="2" t="s">
        <v>5464</v>
      </c>
      <c r="B2625" s="2" t="s">
        <v>5464</v>
      </c>
      <c r="C2625" s="2" t="s">
        <v>28</v>
      </c>
      <c r="D2625" s="2" t="s">
        <v>29</v>
      </c>
      <c r="E2625" s="5">
        <v>-28483</v>
      </c>
      <c r="F2625" s="3" t="s">
        <v>254</v>
      </c>
      <c r="G2625" s="3" t="s">
        <v>31</v>
      </c>
      <c r="H2625" s="2" t="s">
        <v>20</v>
      </c>
      <c r="I2625" s="2" t="s">
        <v>5472</v>
      </c>
      <c r="J2625" s="3" t="str">
        <f>HYPERLINK("https://www.boe.es/gazeta/dias/1822/01/05/pdfs/GMD-1822-5.pdf#page=3","Abrir facsímil")</f>
        <v>Abrir facsímil</v>
      </c>
      <c r="K2625" s="3" t="s">
        <v>22</v>
      </c>
    </row>
    <row r="2626" spans="1:11" ht="42" customHeight="1">
      <c r="A2626" s="2" t="s">
        <v>5464</v>
      </c>
      <c r="B2626" s="2" t="s">
        <v>5464</v>
      </c>
      <c r="C2626" s="2" t="s">
        <v>42</v>
      </c>
      <c r="D2626" s="2" t="s">
        <v>17</v>
      </c>
      <c r="E2626" s="5">
        <v>-28483</v>
      </c>
      <c r="F2626" s="3" t="s">
        <v>254</v>
      </c>
      <c r="G2626" s="3" t="s">
        <v>57</v>
      </c>
      <c r="H2626" s="2" t="s">
        <v>20</v>
      </c>
      <c r="I2626" s="2" t="s">
        <v>5473</v>
      </c>
      <c r="J2626" s="3" t="str">
        <f>HYPERLINK("https://www.boe.es/gazeta/dias/1822/01/05/pdfs/GMD-1822-5.pdf#page=4","Abrir facsímil")</f>
        <v>Abrir facsímil</v>
      </c>
      <c r="K2626" s="3" t="s">
        <v>22</v>
      </c>
    </row>
    <row r="2627" spans="1:11" ht="42" customHeight="1">
      <c r="A2627" s="2" t="s">
        <v>5464</v>
      </c>
      <c r="B2627" s="2" t="s">
        <v>5464</v>
      </c>
      <c r="C2627" s="2" t="s">
        <v>71</v>
      </c>
      <c r="D2627" s="2" t="s">
        <v>17</v>
      </c>
      <c r="E2627" s="5">
        <v>-28481</v>
      </c>
      <c r="F2627" s="3" t="s">
        <v>1089</v>
      </c>
      <c r="G2627" s="3" t="s">
        <v>31</v>
      </c>
      <c r="H2627" s="2" t="s">
        <v>20</v>
      </c>
      <c r="I2627" s="2" t="s">
        <v>5474</v>
      </c>
      <c r="J2627" s="3" t="str">
        <f>HYPERLINK("https://www.boe.es/gazeta/dias/1822/01/07/pdfs/GMD-1822-7.pdf#page=3","Abrir facsímil")</f>
        <v>Abrir facsímil</v>
      </c>
      <c r="K2627" s="3" t="s">
        <v>22</v>
      </c>
    </row>
    <row r="2628" spans="1:11" ht="42" customHeight="1">
      <c r="A2628" s="2" t="s">
        <v>5464</v>
      </c>
      <c r="B2628" s="2" t="s">
        <v>5464</v>
      </c>
      <c r="C2628" s="2" t="s">
        <v>16</v>
      </c>
      <c r="D2628" s="2" t="s">
        <v>17</v>
      </c>
      <c r="E2628" s="5">
        <v>-28479</v>
      </c>
      <c r="F2628" s="3" t="s">
        <v>1091</v>
      </c>
      <c r="G2628" s="3" t="s">
        <v>31</v>
      </c>
      <c r="H2628" s="2" t="s">
        <v>20</v>
      </c>
      <c r="I2628" s="2" t="s">
        <v>5475</v>
      </c>
      <c r="J2628" s="3" t="str">
        <f>HYPERLINK("https://www.boe.es/gazeta/dias/1822/01/09/pdfs/GMD-1822-9.pdf#page=3","Abrir facsímil")</f>
        <v>Abrir facsímil</v>
      </c>
      <c r="K2628" s="3" t="s">
        <v>22</v>
      </c>
    </row>
    <row r="2629" spans="1:11" ht="42" customHeight="1">
      <c r="A2629" s="2" t="s">
        <v>5476</v>
      </c>
      <c r="B2629" s="2" t="s">
        <v>5476</v>
      </c>
      <c r="C2629" s="2" t="s">
        <v>16</v>
      </c>
      <c r="D2629" s="2" t="s">
        <v>17</v>
      </c>
      <c r="E2629" s="5">
        <v>-28479</v>
      </c>
      <c r="F2629" s="3" t="s">
        <v>1091</v>
      </c>
      <c r="G2629" s="3" t="s">
        <v>57</v>
      </c>
      <c r="H2629" s="2" t="s">
        <v>20</v>
      </c>
      <c r="I2629" s="2" t="s">
        <v>5477</v>
      </c>
      <c r="J2629" s="3" t="str">
        <f>HYPERLINK("https://www.boe.es/gazeta/dias/1822/01/09/pdfs/GMD-1822-9.pdf#page=4","Abrir facsímil")</f>
        <v>Abrir facsímil</v>
      </c>
      <c r="K2629" s="3" t="s">
        <v>22</v>
      </c>
    </row>
    <row r="2630" spans="1:11" ht="42" customHeight="1">
      <c r="A2630" s="2" t="s">
        <v>5464</v>
      </c>
      <c r="B2630" s="2" t="s">
        <v>5464</v>
      </c>
      <c r="C2630" s="2" t="s">
        <v>42</v>
      </c>
      <c r="D2630" s="2" t="s">
        <v>17</v>
      </c>
      <c r="E2630" s="5">
        <v>-28478</v>
      </c>
      <c r="F2630" s="3" t="s">
        <v>1093</v>
      </c>
      <c r="G2630" s="3" t="s">
        <v>31</v>
      </c>
      <c r="H2630" s="2" t="s">
        <v>20</v>
      </c>
      <c r="I2630" s="2" t="s">
        <v>5478</v>
      </c>
      <c r="J2630" s="3" t="str">
        <f>HYPERLINK("https://www.boe.es/gazeta/dias/1822/01/10/pdfs/GMD-1822-10.pdf#page=3","Abrir facsímil")</f>
        <v>Abrir facsímil</v>
      </c>
      <c r="K2630" s="3" t="s">
        <v>22</v>
      </c>
    </row>
    <row r="2631" spans="1:11" ht="42" customHeight="1">
      <c r="A2631" s="2" t="s">
        <v>5464</v>
      </c>
      <c r="B2631" s="2" t="s">
        <v>5464</v>
      </c>
      <c r="C2631" s="2" t="s">
        <v>42</v>
      </c>
      <c r="D2631" s="2" t="s">
        <v>17</v>
      </c>
      <c r="E2631" s="5">
        <v>-28476</v>
      </c>
      <c r="F2631" s="3" t="s">
        <v>160</v>
      </c>
      <c r="G2631" s="3" t="s">
        <v>31</v>
      </c>
      <c r="H2631" s="2" t="s">
        <v>20</v>
      </c>
      <c r="I2631" s="2" t="s">
        <v>5479</v>
      </c>
      <c r="J2631" s="3" t="str">
        <f>HYPERLINK("https://www.boe.es/gazeta/dias/1822/01/12/pdfs/GMD-1822-12.pdf#page=3","Abrir facsímil")</f>
        <v>Abrir facsímil</v>
      </c>
      <c r="K2631" s="3" t="s">
        <v>22</v>
      </c>
    </row>
    <row r="2632" spans="1:11" ht="42" customHeight="1">
      <c r="A2632" s="2" t="s">
        <v>5464</v>
      </c>
      <c r="B2632" s="2" t="s">
        <v>5464</v>
      </c>
      <c r="C2632" s="2" t="s">
        <v>71</v>
      </c>
      <c r="D2632" s="2" t="s">
        <v>17</v>
      </c>
      <c r="E2632" s="5">
        <v>-28475</v>
      </c>
      <c r="F2632" s="3" t="s">
        <v>1205</v>
      </c>
      <c r="G2632" s="3" t="s">
        <v>1685</v>
      </c>
      <c r="H2632" s="2" t="s">
        <v>20</v>
      </c>
      <c r="I2632" s="2" t="s">
        <v>5480</v>
      </c>
      <c r="J2632" s="3" t="str">
        <f>HYPERLINK("https://www.boe.es/gazeta/dias/1822/01/13/pdfs/GMD-1822-13.pdf#page=4","Abrir facsímil")</f>
        <v>Abrir facsímil</v>
      </c>
      <c r="K2632" s="3" t="s">
        <v>22</v>
      </c>
    </row>
    <row r="2633" spans="1:11" ht="42" customHeight="1">
      <c r="A2633" s="2" t="s">
        <v>5464</v>
      </c>
      <c r="B2633" s="2" t="s">
        <v>5464</v>
      </c>
      <c r="C2633" s="2" t="s">
        <v>24</v>
      </c>
      <c r="D2633" s="2" t="s">
        <v>17</v>
      </c>
      <c r="E2633" s="5">
        <v>-28475</v>
      </c>
      <c r="F2633" s="3" t="s">
        <v>1205</v>
      </c>
      <c r="G2633" s="3" t="s">
        <v>31</v>
      </c>
      <c r="H2633" s="2" t="s">
        <v>20</v>
      </c>
      <c r="I2633" s="2" t="s">
        <v>5481</v>
      </c>
      <c r="J2633" s="3" t="str">
        <f>HYPERLINK("https://www.boe.es/gazeta/dias/1822/01/13/pdfs/GMD-1822-13.pdf#page=3","Abrir facsímil")</f>
        <v>Abrir facsímil</v>
      </c>
      <c r="K2633" s="3" t="s">
        <v>22</v>
      </c>
    </row>
    <row r="2634" spans="1:11" ht="42" customHeight="1">
      <c r="A2634" s="2" t="s">
        <v>5464</v>
      </c>
      <c r="B2634" s="2" t="s">
        <v>5464</v>
      </c>
      <c r="C2634" s="2" t="s">
        <v>71</v>
      </c>
      <c r="D2634" s="2" t="s">
        <v>17</v>
      </c>
      <c r="E2634" s="5">
        <v>-28474</v>
      </c>
      <c r="F2634" s="3" t="s">
        <v>30</v>
      </c>
      <c r="G2634" s="3" t="s">
        <v>31</v>
      </c>
      <c r="H2634" s="2" t="s">
        <v>20</v>
      </c>
      <c r="I2634" s="2" t="s">
        <v>5482</v>
      </c>
      <c r="J2634" s="3" t="str">
        <f>HYPERLINK("https://www.boe.es/gazeta/dias/1822/01/14/pdfs/GMD-1822-14.pdf#page=3","Abrir facsímil")</f>
        <v>Abrir facsímil</v>
      </c>
      <c r="K2634" s="3" t="s">
        <v>22</v>
      </c>
    </row>
    <row r="2635" spans="1:11" ht="42" customHeight="1">
      <c r="A2635" s="2" t="s">
        <v>5464</v>
      </c>
      <c r="B2635" s="2" t="s">
        <v>5464</v>
      </c>
      <c r="C2635" s="2" t="s">
        <v>42</v>
      </c>
      <c r="D2635" s="2" t="s">
        <v>17</v>
      </c>
      <c r="E2635" s="5">
        <v>-28474</v>
      </c>
      <c r="F2635" s="3" t="s">
        <v>30</v>
      </c>
      <c r="G2635" s="3" t="s">
        <v>57</v>
      </c>
      <c r="H2635" s="2" t="s">
        <v>20</v>
      </c>
      <c r="I2635" s="2" t="s">
        <v>5483</v>
      </c>
      <c r="J2635" s="3" t="str">
        <f>HYPERLINK("https://www.boe.es/gazeta/dias/1822/01/14/pdfs/GMD-1822-14.pdf#page=4","Abrir facsímil")</f>
        <v>Abrir facsímil</v>
      </c>
      <c r="K2635" s="3" t="s">
        <v>22</v>
      </c>
    </row>
    <row r="2636" spans="1:11" ht="42" customHeight="1">
      <c r="A2636" s="2" t="s">
        <v>5464</v>
      </c>
      <c r="B2636" s="2" t="s">
        <v>5464</v>
      </c>
      <c r="C2636" s="2" t="s">
        <v>28</v>
      </c>
      <c r="D2636" s="2" t="s">
        <v>29</v>
      </c>
      <c r="E2636" s="5">
        <v>-28473</v>
      </c>
      <c r="F2636" s="3" t="s">
        <v>2337</v>
      </c>
      <c r="G2636" s="3" t="s">
        <v>57</v>
      </c>
      <c r="H2636" s="2" t="s">
        <v>20</v>
      </c>
      <c r="I2636" s="2" t="s">
        <v>5484</v>
      </c>
      <c r="J2636" s="3" t="str">
        <f>HYPERLINK("https://www.boe.es/gazeta/dias/1822/01/15/pdfs/GMD-1822-15.pdf#page=4","Abrir facsímil")</f>
        <v>Abrir facsímil</v>
      </c>
      <c r="K2636" s="3" t="s">
        <v>22</v>
      </c>
    </row>
    <row r="2637" spans="1:11" ht="42" customHeight="1">
      <c r="A2637" s="2" t="s">
        <v>5464</v>
      </c>
      <c r="B2637" s="2" t="s">
        <v>5464</v>
      </c>
      <c r="C2637" s="2" t="s">
        <v>42</v>
      </c>
      <c r="D2637" s="2" t="s">
        <v>17</v>
      </c>
      <c r="E2637" s="5">
        <v>-28472</v>
      </c>
      <c r="F2637" s="3" t="s">
        <v>5485</v>
      </c>
      <c r="G2637" s="3" t="s">
        <v>35</v>
      </c>
      <c r="H2637" s="2" t="s">
        <v>20</v>
      </c>
      <c r="I2637" s="2" t="s">
        <v>5486</v>
      </c>
      <c r="J2637" s="3" t="str">
        <f>HYPERLINK("https://www.boe.es/gazeta/dias/1822/01/16/pdfs/GMD-1822-16.pdf#page=2","Abrir facsímil")</f>
        <v>Abrir facsímil</v>
      </c>
      <c r="K2637" s="3" t="s">
        <v>22</v>
      </c>
    </row>
    <row r="2638" spans="1:11" ht="42" customHeight="1">
      <c r="A2638" s="2" t="s">
        <v>5464</v>
      </c>
      <c r="B2638" s="2" t="s">
        <v>5464</v>
      </c>
      <c r="C2638" s="2" t="s">
        <v>42</v>
      </c>
      <c r="D2638" s="2" t="s">
        <v>17</v>
      </c>
      <c r="E2638" s="5">
        <v>-28472</v>
      </c>
      <c r="F2638" s="3" t="s">
        <v>5485</v>
      </c>
      <c r="G2638" s="3" t="s">
        <v>31</v>
      </c>
      <c r="H2638" s="2" t="s">
        <v>20</v>
      </c>
      <c r="I2638" s="2" t="s">
        <v>5487</v>
      </c>
      <c r="J2638" s="3" t="str">
        <f>HYPERLINK("https://www.boe.es/gazeta/dias/1822/01/16/pdfs/GMD-1822-16.pdf#page=3","Abrir facsímil")</f>
        <v>Abrir facsímil</v>
      </c>
      <c r="K2638" s="3" t="s">
        <v>22</v>
      </c>
    </row>
    <row r="2639" spans="1:11" ht="42" customHeight="1">
      <c r="A2639" s="2" t="s">
        <v>5464</v>
      </c>
      <c r="B2639" s="2" t="s">
        <v>5464</v>
      </c>
      <c r="C2639" s="2" t="s">
        <v>24</v>
      </c>
      <c r="D2639" s="2" t="s">
        <v>17</v>
      </c>
      <c r="E2639" s="5">
        <v>-28471</v>
      </c>
      <c r="F2639" s="3" t="s">
        <v>1436</v>
      </c>
      <c r="G2639" s="3" t="s">
        <v>31</v>
      </c>
      <c r="H2639" s="2" t="s">
        <v>20</v>
      </c>
      <c r="I2639" s="2" t="s">
        <v>5488</v>
      </c>
      <c r="J2639" s="3" t="str">
        <f>HYPERLINK("https://www.boe.es/gazeta/dias/1822/01/17/pdfs/GMD-1822-17.pdf#page=3","Abrir facsímil")</f>
        <v>Abrir facsímil</v>
      </c>
      <c r="K2639" s="3" t="s">
        <v>22</v>
      </c>
    </row>
    <row r="2640" spans="1:11" ht="42" customHeight="1">
      <c r="A2640" s="2" t="s">
        <v>5464</v>
      </c>
      <c r="B2640" s="2" t="s">
        <v>5464</v>
      </c>
      <c r="C2640" s="2" t="s">
        <v>42</v>
      </c>
      <c r="D2640" s="2" t="s">
        <v>17</v>
      </c>
      <c r="E2640" s="5">
        <v>-28471</v>
      </c>
      <c r="F2640" s="3" t="s">
        <v>1436</v>
      </c>
      <c r="G2640" s="3" t="s">
        <v>57</v>
      </c>
      <c r="H2640" s="2" t="s">
        <v>20</v>
      </c>
      <c r="I2640" s="2" t="s">
        <v>5489</v>
      </c>
      <c r="J2640" s="3" t="str">
        <f>HYPERLINK("https://www.boe.es/gazeta/dias/1822/01/17/pdfs/GMD-1822-17.pdf#page=4","Abrir facsímil")</f>
        <v>Abrir facsímil</v>
      </c>
      <c r="K2640" s="3" t="s">
        <v>22</v>
      </c>
    </row>
    <row r="2641" spans="1:11" ht="42" customHeight="1">
      <c r="A2641" s="2" t="s">
        <v>5464</v>
      </c>
      <c r="B2641" s="2" t="s">
        <v>5464</v>
      </c>
      <c r="C2641" s="2" t="s">
        <v>42</v>
      </c>
      <c r="D2641" s="2" t="s">
        <v>17</v>
      </c>
      <c r="E2641" s="5">
        <v>-28471</v>
      </c>
      <c r="F2641" s="3" t="s">
        <v>1436</v>
      </c>
      <c r="G2641" s="3" t="s">
        <v>19</v>
      </c>
      <c r="H2641" s="2" t="s">
        <v>20</v>
      </c>
      <c r="I2641" s="2" t="s">
        <v>5490</v>
      </c>
      <c r="J2641" s="3" t="str">
        <f>HYPERLINK("https://www.boe.es/gazeta/dias/1822/01/17/pdfs/GMD-1822-17.pdf#page=5","Abrir facsímil")</f>
        <v>Abrir facsímil</v>
      </c>
      <c r="K2641" s="3" t="s">
        <v>22</v>
      </c>
    </row>
    <row r="2642" spans="1:11" ht="42" customHeight="1">
      <c r="A2642" s="2" t="s">
        <v>5464</v>
      </c>
      <c r="B2642" s="2" t="s">
        <v>5464</v>
      </c>
      <c r="C2642" s="2" t="s">
        <v>42</v>
      </c>
      <c r="D2642" s="2" t="s">
        <v>17</v>
      </c>
      <c r="E2642" s="5">
        <v>-28470</v>
      </c>
      <c r="F2642" s="3" t="s">
        <v>1444</v>
      </c>
      <c r="G2642" s="3" t="s">
        <v>35</v>
      </c>
      <c r="H2642" s="2" t="s">
        <v>20</v>
      </c>
      <c r="I2642" s="2" t="s">
        <v>5491</v>
      </c>
      <c r="J2642" s="3" t="str">
        <f>HYPERLINK("https://www.boe.es/gazeta/dias/1822/01/18/pdfs/GMD-1822-18.pdf#page=2","Abrir facsímil")</f>
        <v>Abrir facsímil</v>
      </c>
      <c r="K2642" s="3" t="s">
        <v>22</v>
      </c>
    </row>
    <row r="2643" spans="1:11" ht="42" customHeight="1">
      <c r="A2643" s="2" t="s">
        <v>5464</v>
      </c>
      <c r="B2643" s="2" t="s">
        <v>5464</v>
      </c>
      <c r="C2643" s="2" t="s">
        <v>71</v>
      </c>
      <c r="D2643" s="2" t="s">
        <v>17</v>
      </c>
      <c r="E2643" s="5">
        <v>-28468</v>
      </c>
      <c r="F2643" s="3" t="s">
        <v>1012</v>
      </c>
      <c r="G2643" s="3" t="s">
        <v>57</v>
      </c>
      <c r="H2643" s="2" t="s">
        <v>20</v>
      </c>
      <c r="I2643" s="2" t="s">
        <v>5492</v>
      </c>
      <c r="J2643" s="3" t="str">
        <f>HYPERLINK("https://www.boe.es/gazeta/dias/1822/01/20/pdfs/GMD-1822-20.pdf#page=4","Abrir facsímil")</f>
        <v>Abrir facsímil</v>
      </c>
      <c r="K2643" s="3" t="s">
        <v>22</v>
      </c>
    </row>
    <row r="2644" spans="1:11" ht="42" customHeight="1">
      <c r="A2644" s="2" t="s">
        <v>5464</v>
      </c>
      <c r="B2644" s="2" t="s">
        <v>5464</v>
      </c>
      <c r="C2644" s="2" t="s">
        <v>61</v>
      </c>
      <c r="D2644" s="2" t="s">
        <v>17</v>
      </c>
      <c r="E2644" s="5">
        <v>-28464</v>
      </c>
      <c r="F2644" s="3" t="s">
        <v>1447</v>
      </c>
      <c r="G2644" s="3" t="s">
        <v>31</v>
      </c>
      <c r="H2644" s="2" t="s">
        <v>20</v>
      </c>
      <c r="I2644" s="2" t="s">
        <v>5493</v>
      </c>
      <c r="J2644" s="3" t="str">
        <f>HYPERLINK("https://www.boe.es/gazeta/dias/1822/01/24/pdfs/GMD-1822-24.pdf#page=3","Abrir facsímil")</f>
        <v>Abrir facsímil</v>
      </c>
      <c r="K2644" s="3" t="s">
        <v>22</v>
      </c>
    </row>
    <row r="2645" spans="1:11" ht="42" customHeight="1">
      <c r="A2645" s="2" t="s">
        <v>5464</v>
      </c>
      <c r="B2645" s="2" t="s">
        <v>5464</v>
      </c>
      <c r="C2645" s="2" t="s">
        <v>16</v>
      </c>
      <c r="D2645" s="2" t="s">
        <v>17</v>
      </c>
      <c r="E2645" s="5">
        <v>-28463</v>
      </c>
      <c r="F2645" s="3" t="s">
        <v>25</v>
      </c>
      <c r="G2645" s="3" t="s">
        <v>19</v>
      </c>
      <c r="H2645" s="2" t="s">
        <v>20</v>
      </c>
      <c r="I2645" s="2" t="s">
        <v>5494</v>
      </c>
      <c r="J2645" s="3" t="str">
        <f>HYPERLINK("https://www.boe.es/gazeta/dias/1822/01/25/pdfs/GMD-1822-25.pdf#page=5","Abrir facsímil")</f>
        <v>Abrir facsímil</v>
      </c>
      <c r="K2645" s="3" t="s">
        <v>22</v>
      </c>
    </row>
    <row r="2646" spans="1:11" ht="42" customHeight="1">
      <c r="A2646" s="2" t="s">
        <v>5464</v>
      </c>
      <c r="B2646" s="2" t="s">
        <v>5464</v>
      </c>
      <c r="C2646" s="2" t="s">
        <v>28</v>
      </c>
      <c r="D2646" s="2" t="s">
        <v>29</v>
      </c>
      <c r="E2646" s="5">
        <v>-28463</v>
      </c>
      <c r="F2646" s="3" t="s">
        <v>25</v>
      </c>
      <c r="G2646" s="3" t="s">
        <v>63</v>
      </c>
      <c r="H2646" s="2" t="s">
        <v>20</v>
      </c>
      <c r="I2646" s="2" t="s">
        <v>5495</v>
      </c>
      <c r="J2646" s="3" t="str">
        <f>HYPERLINK("https://www.boe.es/gazeta/dias/1822/01/25/pdfs/GMD-1822-25.pdf#page=6","Abrir facsímil")</f>
        <v>Abrir facsímil</v>
      </c>
      <c r="K2646" s="3" t="s">
        <v>22</v>
      </c>
    </row>
    <row r="2647" spans="1:11" ht="42" customHeight="1">
      <c r="A2647" s="2" t="s">
        <v>5464</v>
      </c>
      <c r="B2647" s="2" t="s">
        <v>5464</v>
      </c>
      <c r="C2647" s="2" t="s">
        <v>50</v>
      </c>
      <c r="D2647" s="2" t="s">
        <v>51</v>
      </c>
      <c r="E2647" s="5">
        <v>-28461</v>
      </c>
      <c r="F2647" s="3" t="s">
        <v>1801</v>
      </c>
      <c r="G2647" s="3" t="s">
        <v>57</v>
      </c>
      <c r="H2647" s="2" t="s">
        <v>20</v>
      </c>
      <c r="I2647" s="2" t="s">
        <v>5496</v>
      </c>
      <c r="J2647" s="3" t="str">
        <f>HYPERLINK("https://www.boe.es/gazeta/dias/1822/01/27/pdfs/GMD-1822-27.pdf#page=4","Abrir facsímil")</f>
        <v>Abrir facsímil</v>
      </c>
      <c r="K2647" s="3" t="s">
        <v>22</v>
      </c>
    </row>
    <row r="2648" spans="1:11" ht="42" customHeight="1">
      <c r="A2648" s="2" t="s">
        <v>5464</v>
      </c>
      <c r="B2648" s="2" t="s">
        <v>5464</v>
      </c>
      <c r="C2648" s="2" t="s">
        <v>71</v>
      </c>
      <c r="D2648" s="2" t="s">
        <v>17</v>
      </c>
      <c r="E2648" s="5">
        <v>-28459</v>
      </c>
      <c r="F2648" s="3" t="s">
        <v>1102</v>
      </c>
      <c r="G2648" s="3" t="s">
        <v>31</v>
      </c>
      <c r="H2648" s="2" t="s">
        <v>20</v>
      </c>
      <c r="I2648" s="2" t="s">
        <v>5497</v>
      </c>
      <c r="J2648" s="3" t="str">
        <f>HYPERLINK("https://www.boe.es/gazeta/dias/1822/01/29/pdfs/GMD-1822-29.pdf#page=3","Abrir facsímil")</f>
        <v>Abrir facsímil</v>
      </c>
      <c r="K2648" s="3" t="s">
        <v>22</v>
      </c>
    </row>
    <row r="2649" spans="1:11" ht="42" customHeight="1">
      <c r="A2649" s="2" t="s">
        <v>5464</v>
      </c>
      <c r="B2649" s="2" t="s">
        <v>5464</v>
      </c>
      <c r="C2649" s="2" t="s">
        <v>362</v>
      </c>
      <c r="D2649" s="2" t="s">
        <v>17</v>
      </c>
      <c r="E2649" s="5">
        <v>-28458</v>
      </c>
      <c r="F2649" s="3" t="s">
        <v>1151</v>
      </c>
      <c r="G2649" s="3" t="s">
        <v>35</v>
      </c>
      <c r="H2649" s="2" t="s">
        <v>20</v>
      </c>
      <c r="I2649" s="2" t="s">
        <v>5498</v>
      </c>
      <c r="J2649" s="3" t="str">
        <f>HYPERLINK("https://www.boe.es/gazeta/dias/1822/01/30/pdfs/GMD-1822-30.pdf#page=2","Abrir facsímil")</f>
        <v>Abrir facsímil</v>
      </c>
      <c r="K2649" s="3" t="s">
        <v>22</v>
      </c>
    </row>
    <row r="2650" spans="1:11" ht="42" customHeight="1">
      <c r="A2650" s="2" t="s">
        <v>5464</v>
      </c>
      <c r="B2650" s="2" t="s">
        <v>5464</v>
      </c>
      <c r="C2650" s="2" t="s">
        <v>71</v>
      </c>
      <c r="D2650" s="2" t="s">
        <v>17</v>
      </c>
      <c r="E2650" s="5">
        <v>-28454</v>
      </c>
      <c r="F2650" s="3" t="s">
        <v>2033</v>
      </c>
      <c r="G2650" s="3" t="s">
        <v>57</v>
      </c>
      <c r="H2650" s="2" t="s">
        <v>20</v>
      </c>
      <c r="I2650" s="2" t="s">
        <v>5499</v>
      </c>
      <c r="J2650" s="3" t="str">
        <f>HYPERLINK("https://www.boe.es/gazeta/dias/1822/02/03/pdfs/GMD-1822-34.pdf#page=4","Abrir facsímil")</f>
        <v>Abrir facsímil</v>
      </c>
      <c r="K2650" s="3" t="s">
        <v>22</v>
      </c>
    </row>
    <row r="2651" spans="1:11" ht="42" customHeight="1">
      <c r="A2651" s="2" t="s">
        <v>5464</v>
      </c>
      <c r="B2651" s="2" t="s">
        <v>5464</v>
      </c>
      <c r="C2651" s="2" t="s">
        <v>71</v>
      </c>
      <c r="D2651" s="2" t="s">
        <v>17</v>
      </c>
      <c r="E2651" s="5">
        <v>-28454</v>
      </c>
      <c r="F2651" s="3" t="s">
        <v>2033</v>
      </c>
      <c r="G2651" s="3" t="s">
        <v>19</v>
      </c>
      <c r="H2651" s="2" t="s">
        <v>20</v>
      </c>
      <c r="I2651" s="2" t="s">
        <v>5500</v>
      </c>
      <c r="J2651" s="3" t="str">
        <f>HYPERLINK("https://www.boe.es/gazeta/dias/1822/02/03/pdfs/GMD-1822-34.pdf#page=5","Abrir facsímil")</f>
        <v>Abrir facsímil</v>
      </c>
      <c r="K2651" s="3" t="s">
        <v>22</v>
      </c>
    </row>
    <row r="2652" spans="1:11" ht="42" customHeight="1">
      <c r="A2652" s="2" t="s">
        <v>5464</v>
      </c>
      <c r="B2652" s="2" t="s">
        <v>5464</v>
      </c>
      <c r="C2652" s="2" t="s">
        <v>42</v>
      </c>
      <c r="D2652" s="2" t="s">
        <v>17</v>
      </c>
      <c r="E2652" s="5">
        <v>-28454</v>
      </c>
      <c r="F2652" s="3" t="s">
        <v>2033</v>
      </c>
      <c r="G2652" s="3" t="s">
        <v>63</v>
      </c>
      <c r="H2652" s="2" t="s">
        <v>20</v>
      </c>
      <c r="I2652" s="2" t="s">
        <v>5501</v>
      </c>
      <c r="J2652" s="3" t="str">
        <f>HYPERLINK("https://www.boe.es/gazeta/dias/1822/02/03/pdfs/GMD-1822-34.pdf#page=6","Abrir facsímil")</f>
        <v>Abrir facsímil</v>
      </c>
      <c r="K2652" s="3" t="s">
        <v>22</v>
      </c>
    </row>
    <row r="2653" spans="1:11" ht="42" customHeight="1">
      <c r="A2653" s="2" t="s">
        <v>5464</v>
      </c>
      <c r="B2653" s="2" t="s">
        <v>5464</v>
      </c>
      <c r="C2653" s="2" t="s">
        <v>71</v>
      </c>
      <c r="D2653" s="2" t="s">
        <v>17</v>
      </c>
      <c r="E2653" s="5">
        <v>-28453</v>
      </c>
      <c r="F2653" s="3" t="s">
        <v>2039</v>
      </c>
      <c r="G2653" s="3" t="s">
        <v>35</v>
      </c>
      <c r="H2653" s="2" t="s">
        <v>20</v>
      </c>
      <c r="I2653" s="2" t="s">
        <v>5502</v>
      </c>
      <c r="J2653" s="3" t="str">
        <f>HYPERLINK("https://www.boe.es/gazeta/dias/1822/02/04/pdfs/GMD-1822-35.pdf#page=2","Abrir facsímil")</f>
        <v>Abrir facsímil</v>
      </c>
      <c r="K2653" s="3" t="s">
        <v>22</v>
      </c>
    </row>
    <row r="2654" spans="1:11" ht="42" customHeight="1">
      <c r="A2654" s="2" t="s">
        <v>5464</v>
      </c>
      <c r="B2654" s="2" t="s">
        <v>5464</v>
      </c>
      <c r="C2654" s="2" t="s">
        <v>42</v>
      </c>
      <c r="D2654" s="2" t="s">
        <v>17</v>
      </c>
      <c r="E2654" s="5">
        <v>-28453</v>
      </c>
      <c r="F2654" s="3" t="s">
        <v>2039</v>
      </c>
      <c r="G2654" s="3" t="s">
        <v>31</v>
      </c>
      <c r="H2654" s="2" t="s">
        <v>20</v>
      </c>
      <c r="I2654" s="2" t="s">
        <v>5503</v>
      </c>
      <c r="J2654" s="3" t="str">
        <f>HYPERLINK("https://www.boe.es/gazeta/dias/1822/02/04/pdfs/GMD-1822-35.pdf#page=3","Abrir facsímil")</f>
        <v>Abrir facsímil</v>
      </c>
      <c r="K2654" s="3" t="s">
        <v>22</v>
      </c>
    </row>
    <row r="2655" spans="1:11" ht="42" customHeight="1">
      <c r="A2655" s="2" t="s">
        <v>5464</v>
      </c>
      <c r="B2655" s="2" t="s">
        <v>5464</v>
      </c>
      <c r="C2655" s="2" t="s">
        <v>42</v>
      </c>
      <c r="D2655" s="2" t="s">
        <v>17</v>
      </c>
      <c r="E2655" s="5">
        <v>-28453</v>
      </c>
      <c r="F2655" s="3" t="s">
        <v>2039</v>
      </c>
      <c r="G2655" s="3" t="s">
        <v>57</v>
      </c>
      <c r="H2655" s="2" t="s">
        <v>20</v>
      </c>
      <c r="I2655" s="2" t="s">
        <v>5504</v>
      </c>
      <c r="J2655" s="3" t="str">
        <f>HYPERLINK("https://www.boe.es/gazeta/dias/1822/02/04/pdfs/GMD-1822-35.pdf#page=4","Abrir facsímil")</f>
        <v>Abrir facsímil</v>
      </c>
      <c r="K2655" s="3" t="s">
        <v>22</v>
      </c>
    </row>
    <row r="2656" spans="1:11" ht="42" customHeight="1">
      <c r="A2656" s="2" t="s">
        <v>5464</v>
      </c>
      <c r="B2656" s="2" t="s">
        <v>5464</v>
      </c>
      <c r="C2656" s="2" t="s">
        <v>16</v>
      </c>
      <c r="D2656" s="2" t="s">
        <v>17</v>
      </c>
      <c r="E2656" s="5">
        <v>-28451</v>
      </c>
      <c r="F2656" s="3" t="s">
        <v>1674</v>
      </c>
      <c r="G2656" s="3" t="s">
        <v>57</v>
      </c>
      <c r="H2656" s="2" t="s">
        <v>20</v>
      </c>
      <c r="I2656" s="2" t="s">
        <v>5505</v>
      </c>
      <c r="J2656" s="3" t="str">
        <f>HYPERLINK("https://www.boe.es/gazeta/dias/1822/02/06/pdfs/GMD-1822-37.pdf#page=4","Abrir facsímil")</f>
        <v>Abrir facsímil</v>
      </c>
      <c r="K2656" s="3" t="s">
        <v>22</v>
      </c>
    </row>
    <row r="2657" spans="1:11" ht="42" customHeight="1">
      <c r="A2657" s="2" t="s">
        <v>5464</v>
      </c>
      <c r="B2657" s="2" t="s">
        <v>5464</v>
      </c>
      <c r="C2657" s="2" t="s">
        <v>28</v>
      </c>
      <c r="D2657" s="2" t="s">
        <v>29</v>
      </c>
      <c r="E2657" s="5">
        <v>-28441</v>
      </c>
      <c r="F2657" s="3" t="s">
        <v>429</v>
      </c>
      <c r="G2657" s="3" t="s">
        <v>35</v>
      </c>
      <c r="H2657" s="2" t="s">
        <v>20</v>
      </c>
      <c r="I2657" s="2" t="s">
        <v>5506</v>
      </c>
      <c r="J2657" s="3" t="str">
        <f>HYPERLINK("https://www.boe.es/gazeta/dias/1822/02/16/pdfs/GMD-1822-48.pdf#page=2","Abrir facsímil")</f>
        <v>Abrir facsímil</v>
      </c>
      <c r="K2657" s="3" t="s">
        <v>22</v>
      </c>
    </row>
    <row r="2658" spans="1:11" ht="42" customHeight="1">
      <c r="A2658" s="2" t="s">
        <v>5464</v>
      </c>
      <c r="B2658" s="2" t="s">
        <v>5464</v>
      </c>
      <c r="C2658" s="2" t="s">
        <v>16</v>
      </c>
      <c r="D2658" s="2" t="s">
        <v>17</v>
      </c>
      <c r="E2658" s="5">
        <v>-28419</v>
      </c>
      <c r="F2658" s="3" t="s">
        <v>1392</v>
      </c>
      <c r="G2658" s="3" t="s">
        <v>19</v>
      </c>
      <c r="H2658" s="2" t="s">
        <v>20</v>
      </c>
      <c r="I2658" s="2" t="s">
        <v>5507</v>
      </c>
      <c r="J2658" s="3" t="str">
        <f>HYPERLINK("https://www.boe.es/gazeta/dias/1822/03/10/pdfs/GMD-1822-71.pdf#page=5","Abrir facsímil")</f>
        <v>Abrir facsímil</v>
      </c>
      <c r="K2658" s="3" t="s">
        <v>22</v>
      </c>
    </row>
    <row r="2659" spans="1:11" ht="42" customHeight="1">
      <c r="A2659" s="2" t="s">
        <v>5464</v>
      </c>
      <c r="B2659" s="2" t="s">
        <v>5464</v>
      </c>
      <c r="C2659" s="2" t="s">
        <v>28</v>
      </c>
      <c r="D2659" s="2" t="s">
        <v>29</v>
      </c>
      <c r="E2659" s="5">
        <v>-28418</v>
      </c>
      <c r="F2659" s="3" t="s">
        <v>205</v>
      </c>
      <c r="G2659" s="3" t="s">
        <v>157</v>
      </c>
      <c r="H2659" s="2" t="s">
        <v>20</v>
      </c>
      <c r="I2659" s="2" t="s">
        <v>5508</v>
      </c>
      <c r="J2659" s="3" t="str">
        <f>HYPERLINK("https://www.boe.es/gazeta/dias/1822/03/11/pdfs/GMD-1822-72.pdf#page=8","Abrir facsímil")</f>
        <v>Abrir facsímil</v>
      </c>
      <c r="K2659" s="3" t="s">
        <v>22</v>
      </c>
    </row>
    <row r="2660" spans="1:11" ht="42" customHeight="1">
      <c r="A2660" s="2" t="s">
        <v>5509</v>
      </c>
      <c r="B2660" s="2" t="s">
        <v>5509</v>
      </c>
      <c r="C2660" s="2" t="s">
        <v>16</v>
      </c>
      <c r="D2660" s="2" t="s">
        <v>17</v>
      </c>
      <c r="E2660" s="5">
        <v>-28472</v>
      </c>
      <c r="F2660" s="3" t="s">
        <v>5485</v>
      </c>
      <c r="G2660" s="3" t="s">
        <v>35</v>
      </c>
      <c r="H2660" s="2" t="s">
        <v>20</v>
      </c>
      <c r="I2660" s="2" t="s">
        <v>5510</v>
      </c>
      <c r="J2660" s="3" t="str">
        <f>HYPERLINK("https://www.boe.es/gazeta/dias/1822/01/16/pdfs/GMD-1822-16.pdf#page=2","Abrir facsímil")</f>
        <v>Abrir facsímil</v>
      </c>
      <c r="K2660" s="3" t="s">
        <v>22</v>
      </c>
    </row>
    <row r="2661" spans="1:11" ht="42" customHeight="1">
      <c r="A2661" s="2" t="s">
        <v>5511</v>
      </c>
      <c r="B2661" s="2" t="s">
        <v>5512</v>
      </c>
      <c r="C2661" s="2" t="s">
        <v>71</v>
      </c>
      <c r="D2661" s="2" t="s">
        <v>17</v>
      </c>
      <c r="E2661" s="5">
        <v>-28420</v>
      </c>
      <c r="F2661" s="3" t="s">
        <v>449</v>
      </c>
      <c r="G2661" s="3" t="s">
        <v>63</v>
      </c>
      <c r="H2661" s="2" t="s">
        <v>20</v>
      </c>
      <c r="I2661" s="2" t="s">
        <v>5513</v>
      </c>
      <c r="J2661" s="3" t="str">
        <f>HYPERLINK("https://www.boe.es/gazeta/dias/1822/03/09/pdfs/GMD-1822-70.pdf#page=6","Abrir facsímil")</f>
        <v>Abrir facsímil</v>
      </c>
      <c r="K2661" s="3" t="s">
        <v>22</v>
      </c>
    </row>
    <row r="2662" spans="1:11" ht="42" customHeight="1">
      <c r="A2662" s="2" t="s">
        <v>5511</v>
      </c>
      <c r="B2662" s="2" t="s">
        <v>5512</v>
      </c>
      <c r="C2662" s="2" t="s">
        <v>28</v>
      </c>
      <c r="D2662" s="2" t="s">
        <v>29</v>
      </c>
      <c r="E2662" s="5">
        <v>-28275</v>
      </c>
      <c r="F2662" s="3" t="s">
        <v>1297</v>
      </c>
      <c r="G2662" s="3" t="s">
        <v>57</v>
      </c>
      <c r="H2662" s="2" t="s">
        <v>20</v>
      </c>
      <c r="I2662" s="2" t="s">
        <v>5514</v>
      </c>
      <c r="J2662" s="3" t="str">
        <f>HYPERLINK("https://www.boe.es/gazeta/dias/1822/08/01/pdfs/GMD-1822-225.pdf#page=4","Abrir facsímil")</f>
        <v>Abrir facsímil</v>
      </c>
      <c r="K2662" s="3" t="s">
        <v>22</v>
      </c>
    </row>
    <row r="2663" spans="1:11" ht="42" customHeight="1">
      <c r="A2663" s="2" t="s">
        <v>5515</v>
      </c>
      <c r="B2663" s="2" t="s">
        <v>5516</v>
      </c>
      <c r="C2663" s="2" t="s">
        <v>28</v>
      </c>
      <c r="D2663" s="2" t="s">
        <v>29</v>
      </c>
      <c r="E2663" s="5">
        <v>-28269</v>
      </c>
      <c r="F2663" s="3" t="s">
        <v>5517</v>
      </c>
      <c r="G2663" s="3" t="s">
        <v>57</v>
      </c>
      <c r="H2663" s="2" t="s">
        <v>20</v>
      </c>
      <c r="I2663" s="2" t="s">
        <v>5518</v>
      </c>
      <c r="J2663" s="3" t="str">
        <f>HYPERLINK("https://www.boe.es/gazeta/dias/1822/08/07/pdfs/GMD-1822-231.pdf#page=4","Abrir facsímil")</f>
        <v>Abrir facsímil</v>
      </c>
      <c r="K2663" s="3" t="s">
        <v>22</v>
      </c>
    </row>
    <row r="2664" spans="1:11" ht="42" customHeight="1">
      <c r="A2664" s="2" t="s">
        <v>5519</v>
      </c>
      <c r="B2664" s="2" t="s">
        <v>5519</v>
      </c>
      <c r="C2664" s="2" t="s">
        <v>16</v>
      </c>
      <c r="D2664" s="2" t="s">
        <v>17</v>
      </c>
      <c r="E2664" s="5">
        <v>-28475</v>
      </c>
      <c r="F2664" s="3" t="s">
        <v>1205</v>
      </c>
      <c r="G2664" s="3" t="s">
        <v>1685</v>
      </c>
      <c r="H2664" s="2" t="s">
        <v>20</v>
      </c>
      <c r="I2664" s="2" t="s">
        <v>5520</v>
      </c>
      <c r="J2664" s="3" t="str">
        <f>HYPERLINK("https://www.boe.es/gazeta/dias/1822/01/13/pdfs/GMD-1822-13.pdf#page=4","Abrir facsímil")</f>
        <v>Abrir facsímil</v>
      </c>
      <c r="K2664" s="3" t="s">
        <v>22</v>
      </c>
    </row>
    <row r="2665" spans="1:11" ht="42" customHeight="1">
      <c r="A2665" s="2" t="s">
        <v>5521</v>
      </c>
      <c r="B2665" s="2" t="s">
        <v>5521</v>
      </c>
      <c r="C2665" s="2" t="s">
        <v>50</v>
      </c>
      <c r="D2665" s="2" t="s">
        <v>51</v>
      </c>
      <c r="E2665" s="5">
        <v>-28439</v>
      </c>
      <c r="F2665" s="3" t="s">
        <v>2752</v>
      </c>
      <c r="G2665" s="3" t="s">
        <v>44</v>
      </c>
      <c r="H2665" s="2" t="s">
        <v>20</v>
      </c>
      <c r="I2665" s="2" t="s">
        <v>5522</v>
      </c>
      <c r="J2665" s="3" t="str">
        <f>HYPERLINK("https://www.boe.es/gazeta/dias/1822/02/18/pdfs/GMD-1822-50.pdf#page=1","Abrir facsímil")</f>
        <v>Abrir facsímil</v>
      </c>
      <c r="K2665" s="3" t="s">
        <v>22</v>
      </c>
    </row>
    <row r="2666" spans="1:11" ht="42" customHeight="1">
      <c r="A2666" s="2" t="s">
        <v>5523</v>
      </c>
      <c r="B2666" s="2" t="s">
        <v>5523</v>
      </c>
      <c r="C2666" s="2" t="s">
        <v>24</v>
      </c>
      <c r="D2666" s="2" t="s">
        <v>17</v>
      </c>
      <c r="E2666" s="5">
        <v>-28462</v>
      </c>
      <c r="F2666" s="3" t="s">
        <v>1099</v>
      </c>
      <c r="G2666" s="3" t="s">
        <v>57</v>
      </c>
      <c r="H2666" s="2" t="s">
        <v>20</v>
      </c>
      <c r="I2666" s="2" t="s">
        <v>5524</v>
      </c>
      <c r="J2666" s="3" t="str">
        <f>HYPERLINK("https://www.boe.es/gazeta/dias/1822/01/26/pdfs/GMD-1822-26.pdf#page=4","Abrir facsímil")</f>
        <v>Abrir facsímil</v>
      </c>
      <c r="K2666" s="3" t="s">
        <v>22</v>
      </c>
    </row>
    <row r="2667" spans="1:11" ht="42" customHeight="1">
      <c r="A2667" s="2" t="s">
        <v>5523</v>
      </c>
      <c r="B2667" s="2" t="s">
        <v>5523</v>
      </c>
      <c r="C2667" s="2" t="s">
        <v>71</v>
      </c>
      <c r="D2667" s="2" t="s">
        <v>17</v>
      </c>
      <c r="E2667" s="5">
        <v>-28458</v>
      </c>
      <c r="F2667" s="3" t="s">
        <v>1151</v>
      </c>
      <c r="G2667" s="3" t="s">
        <v>44</v>
      </c>
      <c r="H2667" s="2" t="s">
        <v>20</v>
      </c>
      <c r="I2667" s="2" t="s">
        <v>5525</v>
      </c>
      <c r="J2667" s="3" t="str">
        <f>HYPERLINK("https://www.boe.es/gazeta/dias/1822/01/30/pdfs/GMD-1822-30.pdf#page=1","Abrir facsímil")</f>
        <v>Abrir facsímil</v>
      </c>
      <c r="K2667" s="3" t="s">
        <v>22</v>
      </c>
    </row>
    <row r="2668" spans="1:11" ht="42" customHeight="1">
      <c r="A2668" s="2" t="s">
        <v>5523</v>
      </c>
      <c r="B2668" s="2" t="s">
        <v>5523</v>
      </c>
      <c r="C2668" s="2" t="s">
        <v>28</v>
      </c>
      <c r="D2668" s="2" t="s">
        <v>29</v>
      </c>
      <c r="E2668" s="5">
        <v>-28456</v>
      </c>
      <c r="F2668" s="3" t="s">
        <v>1104</v>
      </c>
      <c r="G2668" s="3" t="s">
        <v>31</v>
      </c>
      <c r="H2668" s="2" t="s">
        <v>20</v>
      </c>
      <c r="I2668" s="2" t="s">
        <v>5526</v>
      </c>
      <c r="J2668" s="3" t="str">
        <f>HYPERLINK("https://www.boe.es/gazeta/dias/1822/02/01/pdfs/GMD-1822-32.pdf#page=3","Abrir facsímil")</f>
        <v>Abrir facsímil</v>
      </c>
      <c r="K2668" s="3" t="s">
        <v>22</v>
      </c>
    </row>
    <row r="2669" spans="1:11" ht="42" customHeight="1">
      <c r="A2669" s="2" t="s">
        <v>5523</v>
      </c>
      <c r="B2669" s="2" t="s">
        <v>5523</v>
      </c>
      <c r="C2669" s="2" t="s">
        <v>50</v>
      </c>
      <c r="D2669" s="2" t="s">
        <v>51</v>
      </c>
      <c r="E2669" s="5">
        <v>-28455</v>
      </c>
      <c r="F2669" s="3" t="s">
        <v>1107</v>
      </c>
      <c r="G2669" s="3" t="s">
        <v>35</v>
      </c>
      <c r="H2669" s="2" t="s">
        <v>20</v>
      </c>
      <c r="I2669" s="2" t="s">
        <v>5527</v>
      </c>
      <c r="J2669" s="3" t="str">
        <f>HYPERLINK("https://www.boe.es/gazeta/dias/1822/02/02/pdfs/GMD-1822-33.pdf#page=2","Abrir facsímil")</f>
        <v>Abrir facsímil</v>
      </c>
      <c r="K2669" s="3" t="s">
        <v>22</v>
      </c>
    </row>
    <row r="2670" spans="1:11" ht="42" customHeight="1">
      <c r="A2670" s="2" t="s">
        <v>5523</v>
      </c>
      <c r="B2670" s="2" t="s">
        <v>5523</v>
      </c>
      <c r="C2670" s="2" t="s">
        <v>28</v>
      </c>
      <c r="D2670" s="2" t="s">
        <v>29</v>
      </c>
      <c r="E2670" s="5">
        <v>-28431</v>
      </c>
      <c r="F2670" s="3" t="s">
        <v>1258</v>
      </c>
      <c r="G2670" s="3" t="s">
        <v>31</v>
      </c>
      <c r="H2670" s="2" t="s">
        <v>20</v>
      </c>
      <c r="I2670" s="2" t="s">
        <v>5528</v>
      </c>
      <c r="J2670" s="3" t="str">
        <f>HYPERLINK("https://www.boe.es/gazeta/dias/1822/02/26/pdfs/GMD-1822-58.pdf#page=3","Abrir facsímil")</f>
        <v>Abrir facsímil</v>
      </c>
      <c r="K2670" s="3" t="s">
        <v>22</v>
      </c>
    </row>
    <row r="2671" spans="1:11" ht="42" customHeight="1">
      <c r="A2671" s="2" t="s">
        <v>5523</v>
      </c>
      <c r="B2671" s="2" t="s">
        <v>5523</v>
      </c>
      <c r="C2671" s="2" t="s">
        <v>50</v>
      </c>
      <c r="D2671" s="2" t="s">
        <v>51</v>
      </c>
      <c r="E2671" s="5">
        <v>-28418</v>
      </c>
      <c r="F2671" s="3" t="s">
        <v>205</v>
      </c>
      <c r="G2671" s="3" t="s">
        <v>63</v>
      </c>
      <c r="H2671" s="2" t="s">
        <v>20</v>
      </c>
      <c r="I2671" s="2" t="s">
        <v>5529</v>
      </c>
      <c r="J2671" s="3" t="str">
        <f>HYPERLINK("https://www.boe.es/gazeta/dias/1822/03/11/pdfs/GMD-1822-72.pdf#page=6","Abrir facsímil")</f>
        <v>Abrir facsímil</v>
      </c>
      <c r="K2671" s="3" t="s">
        <v>22</v>
      </c>
    </row>
    <row r="2672" spans="1:11" ht="42" customHeight="1">
      <c r="A2672" s="2" t="s">
        <v>5523</v>
      </c>
      <c r="B2672" s="2" t="s">
        <v>5523</v>
      </c>
      <c r="C2672" s="2" t="s">
        <v>50</v>
      </c>
      <c r="D2672" s="2" t="s">
        <v>51</v>
      </c>
      <c r="E2672" s="5">
        <v>-28396</v>
      </c>
      <c r="F2672" s="3" t="s">
        <v>1138</v>
      </c>
      <c r="G2672" s="3" t="s">
        <v>167</v>
      </c>
      <c r="H2672" s="2" t="s">
        <v>20</v>
      </c>
      <c r="I2672" s="2" t="s">
        <v>5530</v>
      </c>
      <c r="J2672" s="3" t="str">
        <f>HYPERLINK("https://www.boe.es/gazeta/dias/1822/04/02/pdfs/GMD-1822-94.pdf#page=7","Abrir facsímil")</f>
        <v>Abrir facsímil</v>
      </c>
      <c r="K2672" s="3" t="s">
        <v>22</v>
      </c>
    </row>
    <row r="2673" spans="1:11" ht="42" customHeight="1">
      <c r="A2673" s="2" t="s">
        <v>5523</v>
      </c>
      <c r="B2673" s="2" t="s">
        <v>5523</v>
      </c>
      <c r="C2673" s="2" t="s">
        <v>50</v>
      </c>
      <c r="D2673" s="2" t="s">
        <v>51</v>
      </c>
      <c r="E2673" s="5">
        <v>-28388</v>
      </c>
      <c r="F2673" s="3" t="s">
        <v>1268</v>
      </c>
      <c r="G2673" s="3" t="s">
        <v>57</v>
      </c>
      <c r="H2673" s="2" t="s">
        <v>20</v>
      </c>
      <c r="I2673" s="2" t="s">
        <v>5531</v>
      </c>
      <c r="J2673" s="3" t="str">
        <f>HYPERLINK("https://www.boe.es/gazeta/dias/1822/04/10/pdfs/GMD-1822-102.pdf#page=4","Abrir facsímil")</f>
        <v>Abrir facsímil</v>
      </c>
      <c r="K2673" s="3" t="s">
        <v>22</v>
      </c>
    </row>
    <row r="2674" spans="1:11" ht="42" customHeight="1">
      <c r="A2674" s="2" t="s">
        <v>5523</v>
      </c>
      <c r="B2674" s="2" t="s">
        <v>5523</v>
      </c>
      <c r="C2674" s="2" t="s">
        <v>42</v>
      </c>
      <c r="D2674" s="2" t="s">
        <v>17</v>
      </c>
      <c r="E2674" s="5">
        <v>-28384</v>
      </c>
      <c r="F2674" s="3" t="s">
        <v>258</v>
      </c>
      <c r="G2674" s="3" t="s">
        <v>57</v>
      </c>
      <c r="H2674" s="2" t="s">
        <v>20</v>
      </c>
      <c r="I2674" s="2" t="s">
        <v>5532</v>
      </c>
      <c r="J2674" s="3" t="str">
        <f>HYPERLINK("https://www.boe.es/gazeta/dias/1822/04/14/pdfs/GMD-1822-106.pdf#page=4","Abrir facsímil")</f>
        <v>Abrir facsímil</v>
      </c>
      <c r="K2674" s="3" t="s">
        <v>22</v>
      </c>
    </row>
    <row r="2675" spans="1:11" ht="42" customHeight="1">
      <c r="A2675" s="2" t="s">
        <v>5523</v>
      </c>
      <c r="B2675" s="2" t="s">
        <v>5523</v>
      </c>
      <c r="C2675" s="2" t="s">
        <v>71</v>
      </c>
      <c r="D2675" s="2" t="s">
        <v>17</v>
      </c>
      <c r="E2675" s="5">
        <v>-28378</v>
      </c>
      <c r="F2675" s="3" t="s">
        <v>496</v>
      </c>
      <c r="G2675" s="3" t="s">
        <v>35</v>
      </c>
      <c r="H2675" s="2" t="s">
        <v>20</v>
      </c>
      <c r="I2675" s="2" t="s">
        <v>5533</v>
      </c>
      <c r="J2675" s="3" t="str">
        <f>HYPERLINK("https://www.boe.es/gazeta/dias/1822/04/20/pdfs/GMD-1822-112.pdf#page=2","Abrir facsímil")</f>
        <v>Abrir facsímil</v>
      </c>
      <c r="K2675" s="3" t="s">
        <v>22</v>
      </c>
    </row>
    <row r="2676" spans="1:11" ht="42" customHeight="1">
      <c r="A2676" s="2" t="s">
        <v>5523</v>
      </c>
      <c r="B2676" s="2" t="s">
        <v>5523</v>
      </c>
      <c r="C2676" s="2" t="s">
        <v>16</v>
      </c>
      <c r="D2676" s="2" t="s">
        <v>17</v>
      </c>
      <c r="E2676" s="5">
        <v>-28362</v>
      </c>
      <c r="F2676" s="3" t="s">
        <v>511</v>
      </c>
      <c r="G2676" s="3" t="s">
        <v>57</v>
      </c>
      <c r="H2676" s="2" t="s">
        <v>20</v>
      </c>
      <c r="I2676" s="2" t="s">
        <v>5534</v>
      </c>
      <c r="J2676" s="3" t="str">
        <f>HYPERLINK("https://www.boe.es/gazeta/dias/1822/05/06/pdfs/GMD-1822-128.pdf#page=4","Abrir facsímil")</f>
        <v>Abrir facsímil</v>
      </c>
      <c r="K2676" s="3" t="s">
        <v>22</v>
      </c>
    </row>
    <row r="2677" spans="1:11" ht="42" customHeight="1">
      <c r="A2677" s="2" t="s">
        <v>5523</v>
      </c>
      <c r="B2677" s="2" t="s">
        <v>5523</v>
      </c>
      <c r="C2677" s="2" t="s">
        <v>42</v>
      </c>
      <c r="D2677" s="2" t="s">
        <v>17</v>
      </c>
      <c r="E2677" s="5">
        <v>-28357</v>
      </c>
      <c r="F2677" s="3" t="s">
        <v>690</v>
      </c>
      <c r="G2677" s="3" t="s">
        <v>35</v>
      </c>
      <c r="H2677" s="2" t="s">
        <v>20</v>
      </c>
      <c r="I2677" s="2" t="s">
        <v>5535</v>
      </c>
      <c r="J2677" s="3" t="str">
        <f>HYPERLINK("https://www.boe.es/gazeta/dias/1822/05/11/pdfs/GMD-1822-133.pdf#page=2","Abrir facsímil")</f>
        <v>Abrir facsímil</v>
      </c>
      <c r="K2677" s="3" t="s">
        <v>22</v>
      </c>
    </row>
    <row r="2678" spans="1:11" ht="42" customHeight="1">
      <c r="A2678" s="2" t="s">
        <v>5523</v>
      </c>
      <c r="B2678" s="2" t="s">
        <v>5523</v>
      </c>
      <c r="C2678" s="2" t="s">
        <v>16</v>
      </c>
      <c r="D2678" s="2" t="s">
        <v>17</v>
      </c>
      <c r="E2678" s="5">
        <v>-28333</v>
      </c>
      <c r="F2678" s="3" t="s">
        <v>1928</v>
      </c>
      <c r="G2678" s="3" t="s">
        <v>35</v>
      </c>
      <c r="H2678" s="2" t="s">
        <v>20</v>
      </c>
      <c r="I2678" s="2" t="s">
        <v>5536</v>
      </c>
      <c r="J2678" s="3" t="str">
        <f>HYPERLINK("https://www.boe.es/gazeta/dias/1822/06/04/pdfs/GMD-1822-161.pdf#page=2","Abrir facsímil")</f>
        <v>Abrir facsímil</v>
      </c>
      <c r="K2678" s="3" t="s">
        <v>22</v>
      </c>
    </row>
    <row r="2679" spans="1:11" ht="42" customHeight="1">
      <c r="A2679" s="2" t="s">
        <v>5523</v>
      </c>
      <c r="B2679" s="2" t="s">
        <v>5523</v>
      </c>
      <c r="C2679" s="2" t="s">
        <v>61</v>
      </c>
      <c r="D2679" s="2" t="s">
        <v>17</v>
      </c>
      <c r="E2679" s="5">
        <v>-28332</v>
      </c>
      <c r="F2679" s="3" t="s">
        <v>535</v>
      </c>
      <c r="G2679" s="3" t="s">
        <v>19</v>
      </c>
      <c r="H2679" s="2" t="s">
        <v>20</v>
      </c>
      <c r="I2679" s="2" t="s">
        <v>5537</v>
      </c>
      <c r="J2679" s="3" t="str">
        <f>HYPERLINK("https://www.boe.es/gazeta/dias/1822/06/05/pdfs/GMD-1822-162.pdf#page=5","Abrir facsímil")</f>
        <v>Abrir facsímil</v>
      </c>
      <c r="K2679" s="3" t="s">
        <v>22</v>
      </c>
    </row>
    <row r="2680" spans="1:11" ht="42" customHeight="1">
      <c r="A2680" s="2" t="s">
        <v>5523</v>
      </c>
      <c r="B2680" s="2" t="s">
        <v>5523</v>
      </c>
      <c r="C2680" s="2" t="s">
        <v>71</v>
      </c>
      <c r="D2680" s="2" t="s">
        <v>17</v>
      </c>
      <c r="E2680" s="5">
        <v>-28192</v>
      </c>
      <c r="F2680" s="3" t="s">
        <v>43</v>
      </c>
      <c r="G2680" s="3" t="s">
        <v>35</v>
      </c>
      <c r="H2680" s="2" t="s">
        <v>20</v>
      </c>
      <c r="I2680" s="2" t="s">
        <v>5538</v>
      </c>
      <c r="J2680" s="3" t="str">
        <f>HYPERLINK("https://www.boe.es/gazeta/dias/1822/10/23/pdfs/GMD-1822-310.pdf#page=2","Abrir facsímil")</f>
        <v>Abrir facsímil</v>
      </c>
      <c r="K2680" s="3" t="s">
        <v>22</v>
      </c>
    </row>
    <row r="2681" spans="1:11" ht="42" customHeight="1">
      <c r="A2681" s="2" t="s">
        <v>5523</v>
      </c>
      <c r="B2681" s="2" t="s">
        <v>5523</v>
      </c>
      <c r="C2681" s="2" t="s">
        <v>50</v>
      </c>
      <c r="D2681" s="2" t="s">
        <v>51</v>
      </c>
      <c r="E2681" s="5">
        <v>-28192</v>
      </c>
      <c r="F2681" s="3" t="s">
        <v>43</v>
      </c>
      <c r="G2681" s="3" t="s">
        <v>31</v>
      </c>
      <c r="H2681" s="2" t="s">
        <v>20</v>
      </c>
      <c r="I2681" s="2" t="s">
        <v>5539</v>
      </c>
      <c r="J2681" s="3" t="str">
        <f>HYPERLINK("https://www.boe.es/gazeta/dias/1822/10/23/pdfs/GMD-1822-310.pdf#page=3","Abrir facsímil")</f>
        <v>Abrir facsímil</v>
      </c>
      <c r="K2681" s="3" t="s">
        <v>22</v>
      </c>
    </row>
    <row r="2682" spans="1:11" ht="42" customHeight="1">
      <c r="A2682" s="2" t="s">
        <v>5523</v>
      </c>
      <c r="B2682" s="2" t="s">
        <v>5523</v>
      </c>
      <c r="C2682" s="2" t="s">
        <v>28</v>
      </c>
      <c r="D2682" s="2" t="s">
        <v>29</v>
      </c>
      <c r="E2682" s="5">
        <v>-28192</v>
      </c>
      <c r="F2682" s="3" t="s">
        <v>43</v>
      </c>
      <c r="G2682" s="3" t="s">
        <v>57</v>
      </c>
      <c r="H2682" s="2" t="s">
        <v>20</v>
      </c>
      <c r="I2682" s="2" t="s">
        <v>5540</v>
      </c>
      <c r="J2682" s="3" t="str">
        <f>HYPERLINK("https://www.boe.es/gazeta/dias/1822/10/23/pdfs/GMD-1822-310.pdf#page=4","Abrir facsímil")</f>
        <v>Abrir facsímil</v>
      </c>
      <c r="K2682" s="3" t="s">
        <v>22</v>
      </c>
    </row>
    <row r="2683" spans="1:11" ht="42" customHeight="1">
      <c r="A2683" s="2" t="s">
        <v>5523</v>
      </c>
      <c r="B2683" s="2" t="s">
        <v>5523</v>
      </c>
      <c r="C2683" s="2" t="s">
        <v>50</v>
      </c>
      <c r="D2683" s="2" t="s">
        <v>51</v>
      </c>
      <c r="E2683" s="5">
        <v>-28178</v>
      </c>
      <c r="F2683" s="3" t="s">
        <v>318</v>
      </c>
      <c r="G2683" s="3" t="s">
        <v>57</v>
      </c>
      <c r="H2683" s="2" t="s">
        <v>20</v>
      </c>
      <c r="I2683" s="2" t="s">
        <v>5541</v>
      </c>
      <c r="J2683" s="3" t="str">
        <f>HYPERLINK("https://www.boe.es/gazeta/dias/1822/11/06/pdfs/GMD-1822-326.pdf#page=4","Abrir facsímil")</f>
        <v>Abrir facsímil</v>
      </c>
      <c r="K2683" s="3" t="s">
        <v>22</v>
      </c>
    </row>
    <row r="2684" spans="1:11" ht="42" customHeight="1">
      <c r="A2684" s="2" t="s">
        <v>5542</v>
      </c>
      <c r="B2684" s="2" t="s">
        <v>5543</v>
      </c>
      <c r="C2684" s="2" t="s">
        <v>42</v>
      </c>
      <c r="D2684" s="2" t="s">
        <v>17</v>
      </c>
      <c r="E2684" s="5">
        <v>-28456</v>
      </c>
      <c r="F2684" s="3" t="s">
        <v>1104</v>
      </c>
      <c r="G2684" s="3" t="s">
        <v>35</v>
      </c>
      <c r="H2684" s="2" t="s">
        <v>20</v>
      </c>
      <c r="I2684" s="2" t="s">
        <v>5544</v>
      </c>
      <c r="J2684" s="3" t="str">
        <f>HYPERLINK("https://www.boe.es/gazeta/dias/1822/02/01/pdfs/GMD-1822-32.pdf#page=2","Abrir facsímil")</f>
        <v>Abrir facsímil</v>
      </c>
      <c r="K2684" s="3" t="s">
        <v>22</v>
      </c>
    </row>
    <row r="2685" spans="1:11" ht="42" customHeight="1">
      <c r="A2685" s="2" t="s">
        <v>5545</v>
      </c>
      <c r="B2685" s="2" t="s">
        <v>5546</v>
      </c>
      <c r="C2685" s="2" t="s">
        <v>50</v>
      </c>
      <c r="D2685" s="2" t="s">
        <v>51</v>
      </c>
      <c r="E2685" s="5">
        <v>-28339</v>
      </c>
      <c r="F2685" s="3" t="s">
        <v>197</v>
      </c>
      <c r="G2685" s="3" t="s">
        <v>63</v>
      </c>
      <c r="H2685" s="2" t="s">
        <v>20</v>
      </c>
      <c r="I2685" s="2" t="s">
        <v>5547</v>
      </c>
      <c r="J2685" s="3" t="str">
        <f>HYPERLINK("https://www.boe.es/gazeta/dias/1822/05/29/pdfs/GMD-1822-154.pdf#page=6","Abrir facsímil")</f>
        <v>Abrir facsímil</v>
      </c>
      <c r="K2685" s="3" t="s">
        <v>22</v>
      </c>
    </row>
    <row r="2686" spans="1:11" ht="42" customHeight="1">
      <c r="A2686" s="2" t="s">
        <v>5548</v>
      </c>
      <c r="B2686" s="2" t="s">
        <v>5549</v>
      </c>
      <c r="C2686" s="2" t="s">
        <v>61</v>
      </c>
      <c r="D2686" s="2" t="s">
        <v>17</v>
      </c>
      <c r="E2686" s="5">
        <v>-28407</v>
      </c>
      <c r="F2686" s="3" t="s">
        <v>460</v>
      </c>
      <c r="G2686" s="3" t="s">
        <v>19</v>
      </c>
      <c r="H2686" s="2" t="s">
        <v>20</v>
      </c>
      <c r="I2686" s="2" t="s">
        <v>5550</v>
      </c>
      <c r="J2686" s="3" t="str">
        <f>HYPERLINK("https://www.boe.es/gazeta/dias/1822/03/22/pdfs/GMD-1822-83.pdf#page=5","Abrir facsímil")</f>
        <v>Abrir facsímil</v>
      </c>
      <c r="K2686" s="3" t="s">
        <v>22</v>
      </c>
    </row>
    <row r="2687" spans="1:11" ht="42" customHeight="1">
      <c r="A2687" s="2" t="s">
        <v>5551</v>
      </c>
      <c r="B2687" s="2" t="s">
        <v>5552</v>
      </c>
      <c r="C2687" s="2" t="s">
        <v>28</v>
      </c>
      <c r="D2687" s="2" t="s">
        <v>29</v>
      </c>
      <c r="E2687" s="5">
        <v>-28340</v>
      </c>
      <c r="F2687" s="3" t="s">
        <v>139</v>
      </c>
      <c r="G2687" s="3" t="s">
        <v>31</v>
      </c>
      <c r="H2687" s="2" t="s">
        <v>20</v>
      </c>
      <c r="I2687" s="2" t="s">
        <v>5553</v>
      </c>
      <c r="J2687" s="3" t="str">
        <f>HYPERLINK("https://www.boe.es/gazeta/dias/1822/05/28/pdfs/GMD-1822-153.pdf#page=3","Abrir facsímil")</f>
        <v>Abrir facsímil</v>
      </c>
      <c r="K2687" s="3" t="s">
        <v>22</v>
      </c>
    </row>
    <row r="2688" spans="1:11" ht="42" customHeight="1">
      <c r="A2688" s="2" t="s">
        <v>5551</v>
      </c>
      <c r="B2688" s="2" t="s">
        <v>5552</v>
      </c>
      <c r="C2688" s="2" t="s">
        <v>42</v>
      </c>
      <c r="D2688" s="2" t="s">
        <v>17</v>
      </c>
      <c r="E2688" s="5">
        <v>-28211</v>
      </c>
      <c r="F2688" s="3" t="s">
        <v>273</v>
      </c>
      <c r="G2688" s="3" t="s">
        <v>57</v>
      </c>
      <c r="H2688" s="2" t="s">
        <v>20</v>
      </c>
      <c r="I2688" s="2" t="s">
        <v>5554</v>
      </c>
      <c r="J2688" s="3" t="str">
        <f>HYPERLINK("https://www.boe.es/gazeta/dias/1822/10/04/pdfs/GMD-1822-290.pdf#page=4","Abrir facsímil")</f>
        <v>Abrir facsímil</v>
      </c>
      <c r="K2688" s="3" t="s">
        <v>22</v>
      </c>
    </row>
    <row r="2689" spans="1:11" ht="42" customHeight="1">
      <c r="A2689" s="2" t="s">
        <v>5555</v>
      </c>
      <c r="B2689" s="2" t="s">
        <v>5556</v>
      </c>
      <c r="C2689" s="2" t="s">
        <v>50</v>
      </c>
      <c r="D2689" s="2" t="s">
        <v>51</v>
      </c>
      <c r="E2689" s="5">
        <v>-28186</v>
      </c>
      <c r="F2689" s="3" t="s">
        <v>581</v>
      </c>
      <c r="G2689" s="3" t="s">
        <v>31</v>
      </c>
      <c r="H2689" s="2" t="s">
        <v>20</v>
      </c>
      <c r="I2689" s="2" t="s">
        <v>5557</v>
      </c>
      <c r="J2689" s="3" t="str">
        <f>HYPERLINK("https://www.boe.es/gazeta/dias/1822/10/29/pdfs/GMD-1822-316.pdf#page=3","Abrir facsímil")</f>
        <v>Abrir facsímil</v>
      </c>
      <c r="K2689" s="3" t="s">
        <v>22</v>
      </c>
    </row>
    <row r="2690" spans="1:11" ht="42" customHeight="1">
      <c r="A2690" s="2" t="s">
        <v>5558</v>
      </c>
      <c r="B2690" s="2" t="s">
        <v>5559</v>
      </c>
      <c r="C2690" s="2" t="s">
        <v>28</v>
      </c>
      <c r="D2690" s="2" t="s">
        <v>29</v>
      </c>
      <c r="E2690" s="5">
        <v>-28423</v>
      </c>
      <c r="F2690" s="3" t="s">
        <v>441</v>
      </c>
      <c r="G2690" s="3" t="s">
        <v>31</v>
      </c>
      <c r="H2690" s="2" t="s">
        <v>20</v>
      </c>
      <c r="I2690" s="2" t="s">
        <v>5560</v>
      </c>
      <c r="J2690" s="3" t="str">
        <f>HYPERLINK("https://www.boe.es/gazeta/dias/1822/03/06/pdfs/GMD-1822-67.pdf#page=3","Abrir facsímil")</f>
        <v>Abrir facsímil</v>
      </c>
      <c r="K2690" s="3" t="s">
        <v>22</v>
      </c>
    </row>
    <row r="2691" spans="1:11" ht="42" customHeight="1">
      <c r="A2691" s="2" t="s">
        <v>5558</v>
      </c>
      <c r="B2691" s="2" t="s">
        <v>5559</v>
      </c>
      <c r="C2691" s="2" t="s">
        <v>42</v>
      </c>
      <c r="D2691" s="2" t="s">
        <v>17</v>
      </c>
      <c r="E2691" s="5">
        <v>-28390</v>
      </c>
      <c r="F2691" s="3" t="s">
        <v>665</v>
      </c>
      <c r="G2691" s="3" t="s">
        <v>57</v>
      </c>
      <c r="H2691" s="2" t="s">
        <v>20</v>
      </c>
      <c r="I2691" s="2" t="s">
        <v>5561</v>
      </c>
      <c r="J2691" s="3" t="str">
        <f>HYPERLINK("https://www.boe.es/gazeta/dias/1822/04/08/pdfs/GMD-1822-100.pdf#page=4","Abrir facsímil")</f>
        <v>Abrir facsímil</v>
      </c>
      <c r="K2691" s="3" t="s">
        <v>22</v>
      </c>
    </row>
    <row r="2692" spans="1:11" ht="42" customHeight="1">
      <c r="A2692" s="2" t="s">
        <v>5558</v>
      </c>
      <c r="B2692" s="2" t="s">
        <v>5559</v>
      </c>
      <c r="C2692" s="2" t="s">
        <v>16</v>
      </c>
      <c r="D2692" s="2" t="s">
        <v>17</v>
      </c>
      <c r="E2692" s="5">
        <v>-28385</v>
      </c>
      <c r="F2692" s="3" t="s">
        <v>484</v>
      </c>
      <c r="G2692" s="3" t="s">
        <v>31</v>
      </c>
      <c r="H2692" s="2" t="s">
        <v>20</v>
      </c>
      <c r="I2692" s="2" t="s">
        <v>5562</v>
      </c>
      <c r="J2692" s="3" t="str">
        <f>HYPERLINK("https://www.boe.es/gazeta/dias/1822/04/13/pdfs/GMD-1822-105.pdf#page=3","Abrir facsímil")</f>
        <v>Abrir facsímil</v>
      </c>
      <c r="K2692" s="3" t="s">
        <v>22</v>
      </c>
    </row>
    <row r="2693" spans="1:11" ht="42" customHeight="1">
      <c r="A2693" s="2" t="s">
        <v>5563</v>
      </c>
      <c r="B2693" s="2" t="s">
        <v>5564</v>
      </c>
      <c r="C2693" s="2" t="s">
        <v>42</v>
      </c>
      <c r="D2693" s="2" t="s">
        <v>17</v>
      </c>
      <c r="E2693" s="5">
        <v>-28385</v>
      </c>
      <c r="F2693" s="3" t="s">
        <v>484</v>
      </c>
      <c r="G2693" s="3" t="s">
        <v>19</v>
      </c>
      <c r="H2693" s="2" t="s">
        <v>20</v>
      </c>
      <c r="I2693" s="2" t="s">
        <v>5565</v>
      </c>
      <c r="J2693" s="3" t="str">
        <f>HYPERLINK("https://www.boe.es/gazeta/dias/1822/04/13/pdfs/GMD-1822-105.pdf#page=5","Abrir facsímil")</f>
        <v>Abrir facsímil</v>
      </c>
      <c r="K2693" s="3" t="s">
        <v>22</v>
      </c>
    </row>
    <row r="2694" spans="1:11" ht="42" customHeight="1">
      <c r="A2694" s="2" t="s">
        <v>5558</v>
      </c>
      <c r="B2694" s="2" t="s">
        <v>5559</v>
      </c>
      <c r="C2694" s="2" t="s">
        <v>71</v>
      </c>
      <c r="D2694" s="2" t="s">
        <v>17</v>
      </c>
      <c r="E2694" s="5">
        <v>-28377</v>
      </c>
      <c r="F2694" s="3" t="s">
        <v>498</v>
      </c>
      <c r="G2694" s="3" t="s">
        <v>44</v>
      </c>
      <c r="H2694" s="2" t="s">
        <v>20</v>
      </c>
      <c r="I2694" s="2" t="s">
        <v>5566</v>
      </c>
      <c r="J2694" s="3" t="str">
        <f>HYPERLINK("https://www.boe.es/gazeta/dias/1822/04/21/pdfs/GMD-1822-113.pdf#page=1","Abrir facsímil")</f>
        <v>Abrir facsímil</v>
      </c>
      <c r="K2694" s="3" t="s">
        <v>22</v>
      </c>
    </row>
    <row r="2695" spans="1:11" ht="42" customHeight="1">
      <c r="A2695" s="2" t="s">
        <v>5558</v>
      </c>
      <c r="B2695" s="2" t="s">
        <v>5559</v>
      </c>
      <c r="C2695" s="2" t="s">
        <v>42</v>
      </c>
      <c r="D2695" s="2" t="s">
        <v>17</v>
      </c>
      <c r="E2695" s="5">
        <v>-28342</v>
      </c>
      <c r="F2695" s="3" t="s">
        <v>2281</v>
      </c>
      <c r="G2695" s="3" t="s">
        <v>19</v>
      </c>
      <c r="H2695" s="2" t="s">
        <v>20</v>
      </c>
      <c r="I2695" s="2" t="s">
        <v>5567</v>
      </c>
      <c r="J2695" s="3" t="str">
        <f>HYPERLINK("https://www.boe.es/gazeta/dias/1822/05/26/pdfs/GMD-1822-151.pdf#page=5","Abrir facsímil")</f>
        <v>Abrir facsímil</v>
      </c>
      <c r="K2695" s="3" t="s">
        <v>22</v>
      </c>
    </row>
    <row r="2696" spans="1:11" ht="42" customHeight="1">
      <c r="A2696" s="2" t="s">
        <v>5558</v>
      </c>
      <c r="B2696" s="2" t="s">
        <v>5559</v>
      </c>
      <c r="C2696" s="2" t="s">
        <v>71</v>
      </c>
      <c r="D2696" s="2" t="s">
        <v>17</v>
      </c>
      <c r="E2696" s="5">
        <v>-28332</v>
      </c>
      <c r="F2696" s="3" t="s">
        <v>535</v>
      </c>
      <c r="G2696" s="3" t="s">
        <v>19</v>
      </c>
      <c r="H2696" s="2" t="s">
        <v>20</v>
      </c>
      <c r="I2696" s="2" t="s">
        <v>5568</v>
      </c>
      <c r="J2696" s="3" t="str">
        <f>HYPERLINK("https://www.boe.es/gazeta/dias/1822/06/05/pdfs/GMD-1822-162.pdf#page=5","Abrir facsímil")</f>
        <v>Abrir facsímil</v>
      </c>
      <c r="K2696" s="3" t="s">
        <v>22</v>
      </c>
    </row>
    <row r="2697" spans="1:11" ht="42" customHeight="1">
      <c r="A2697" s="2" t="s">
        <v>5558</v>
      </c>
      <c r="B2697" s="2" t="s">
        <v>5559</v>
      </c>
      <c r="C2697" s="2" t="s">
        <v>42</v>
      </c>
      <c r="D2697" s="2" t="s">
        <v>17</v>
      </c>
      <c r="E2697" s="5">
        <v>-28314</v>
      </c>
      <c r="F2697" s="3" t="s">
        <v>309</v>
      </c>
      <c r="G2697" s="3" t="s">
        <v>35</v>
      </c>
      <c r="H2697" s="2" t="s">
        <v>20</v>
      </c>
      <c r="I2697" s="2" t="s">
        <v>5569</v>
      </c>
      <c r="J2697" s="3" t="str">
        <f>HYPERLINK("https://www.boe.es/gazeta/dias/1822/06/23/pdfs/GMD-1822-181.pdf#page=2","Abrir facsímil")</f>
        <v>Abrir facsímil</v>
      </c>
      <c r="K2697" s="3" t="s">
        <v>22</v>
      </c>
    </row>
    <row r="2698" spans="1:11" ht="42" customHeight="1">
      <c r="A2698" s="2" t="s">
        <v>5558</v>
      </c>
      <c r="B2698" s="2" t="s">
        <v>5559</v>
      </c>
      <c r="C2698" s="2" t="s">
        <v>50</v>
      </c>
      <c r="D2698" s="2" t="s">
        <v>51</v>
      </c>
      <c r="E2698" s="5">
        <v>-28211</v>
      </c>
      <c r="F2698" s="3" t="s">
        <v>273</v>
      </c>
      <c r="G2698" s="3" t="s">
        <v>57</v>
      </c>
      <c r="H2698" s="2" t="s">
        <v>20</v>
      </c>
      <c r="I2698" s="2" t="s">
        <v>5570</v>
      </c>
      <c r="J2698" s="3" t="str">
        <f>HYPERLINK("https://www.boe.es/gazeta/dias/1822/10/04/pdfs/GMD-1822-290.pdf#page=4","Abrir facsímil")</f>
        <v>Abrir facsímil</v>
      </c>
      <c r="K2698" s="3" t="s">
        <v>22</v>
      </c>
    </row>
    <row r="2699" spans="1:11" ht="42" customHeight="1">
      <c r="A2699" s="2" t="s">
        <v>5558</v>
      </c>
      <c r="B2699" s="2" t="s">
        <v>5559</v>
      </c>
      <c r="C2699" s="2" t="s">
        <v>28</v>
      </c>
      <c r="D2699" s="2" t="s">
        <v>29</v>
      </c>
      <c r="E2699" s="5">
        <v>-28193</v>
      </c>
      <c r="F2699" s="3" t="s">
        <v>574</v>
      </c>
      <c r="G2699" s="3" t="s">
        <v>57</v>
      </c>
      <c r="H2699" s="2" t="s">
        <v>20</v>
      </c>
      <c r="I2699" s="2" t="s">
        <v>5571</v>
      </c>
      <c r="J2699" s="3" t="str">
        <f>HYPERLINK("https://www.boe.es/gazeta/dias/1822/10/22/pdfs/GMD-1822-309.pdf#page=4","Abrir facsímil")</f>
        <v>Abrir facsímil</v>
      </c>
      <c r="K2699" s="3" t="s">
        <v>22</v>
      </c>
    </row>
    <row r="2700" spans="1:11" ht="42" customHeight="1">
      <c r="A2700" s="2" t="s">
        <v>5558</v>
      </c>
      <c r="B2700" s="2" t="s">
        <v>5559</v>
      </c>
      <c r="C2700" s="2" t="s">
        <v>71</v>
      </c>
      <c r="D2700" s="2" t="s">
        <v>17</v>
      </c>
      <c r="E2700" s="5">
        <v>-28189</v>
      </c>
      <c r="F2700" s="3" t="s">
        <v>645</v>
      </c>
      <c r="G2700" s="3" t="s">
        <v>35</v>
      </c>
      <c r="H2700" s="2" t="s">
        <v>20</v>
      </c>
      <c r="I2700" s="2" t="s">
        <v>5572</v>
      </c>
      <c r="J2700" s="3" t="str">
        <f>HYPERLINK("https://www.boe.es/gazeta/dias/1822/10/26/pdfs/GMD-1822-313.pdf#page=2","Abrir facsímil")</f>
        <v>Abrir facsímil</v>
      </c>
      <c r="K2700" s="3" t="s">
        <v>22</v>
      </c>
    </row>
    <row r="2701" spans="1:11" ht="42" customHeight="1">
      <c r="A2701" s="2" t="s">
        <v>5558</v>
      </c>
      <c r="B2701" s="2" t="s">
        <v>5559</v>
      </c>
      <c r="C2701" s="2" t="s">
        <v>71</v>
      </c>
      <c r="D2701" s="2" t="s">
        <v>17</v>
      </c>
      <c r="E2701" s="5">
        <v>-28188</v>
      </c>
      <c r="F2701" s="3" t="s">
        <v>578</v>
      </c>
      <c r="G2701" s="3" t="s">
        <v>57</v>
      </c>
      <c r="H2701" s="2" t="s">
        <v>20</v>
      </c>
      <c r="I2701" s="2" t="s">
        <v>5573</v>
      </c>
      <c r="J2701" s="3" t="str">
        <f>HYPERLINK("https://www.boe.es/gazeta/dias/1822/10/27/pdfs/GMD-1822-314.pdf#page=4","Abrir facsímil")</f>
        <v>Abrir facsímil</v>
      </c>
      <c r="K2701" s="3" t="s">
        <v>22</v>
      </c>
    </row>
    <row r="2702" spans="1:11" ht="42" customHeight="1">
      <c r="A2702" s="2" t="s">
        <v>5558</v>
      </c>
      <c r="B2702" s="2" t="s">
        <v>5559</v>
      </c>
      <c r="C2702" s="2" t="s">
        <v>71</v>
      </c>
      <c r="D2702" s="2" t="s">
        <v>17</v>
      </c>
      <c r="E2702" s="5">
        <v>-28179</v>
      </c>
      <c r="F2702" s="3" t="s">
        <v>935</v>
      </c>
      <c r="G2702" s="3" t="s">
        <v>44</v>
      </c>
      <c r="H2702" s="2" t="s">
        <v>20</v>
      </c>
      <c r="I2702" s="2" t="s">
        <v>5574</v>
      </c>
      <c r="J2702" s="3" t="str">
        <f>HYPERLINK("https://www.boe.es/gazeta/dias/1822/11/05/pdfs/GMD-1822-325.pdf#page=1","Abrir facsímil")</f>
        <v>Abrir facsímil</v>
      </c>
      <c r="K2702" s="3" t="s">
        <v>22</v>
      </c>
    </row>
    <row r="2703" spans="1:11" ht="42" customHeight="1">
      <c r="A2703" s="2" t="s">
        <v>5558</v>
      </c>
      <c r="B2703" s="2" t="s">
        <v>5559</v>
      </c>
      <c r="C2703" s="2" t="s">
        <v>42</v>
      </c>
      <c r="D2703" s="2" t="s">
        <v>17</v>
      </c>
      <c r="E2703" s="5">
        <v>-28167</v>
      </c>
      <c r="F2703" s="3" t="s">
        <v>904</v>
      </c>
      <c r="G2703" s="3" t="s">
        <v>31</v>
      </c>
      <c r="H2703" s="2" t="s">
        <v>20</v>
      </c>
      <c r="I2703" s="2" t="s">
        <v>5575</v>
      </c>
      <c r="J2703" s="3" t="str">
        <f>HYPERLINK("https://www.boe.es/gazeta/dias/1822/11/17/pdfs/GMD-1822-337.pdf#page=3","Abrir facsímil")</f>
        <v>Abrir facsímil</v>
      </c>
      <c r="K2703" s="3" t="s">
        <v>22</v>
      </c>
    </row>
    <row r="2704" spans="1:11" ht="42" customHeight="1">
      <c r="A2704" s="2" t="s">
        <v>5558</v>
      </c>
      <c r="B2704" s="2" t="s">
        <v>5559</v>
      </c>
      <c r="C2704" s="2" t="s">
        <v>71</v>
      </c>
      <c r="D2704" s="2" t="s">
        <v>17</v>
      </c>
      <c r="E2704" s="5">
        <v>-28152</v>
      </c>
      <c r="F2704" s="3" t="s">
        <v>122</v>
      </c>
      <c r="G2704" s="3" t="s">
        <v>35</v>
      </c>
      <c r="H2704" s="2" t="s">
        <v>20</v>
      </c>
      <c r="I2704" s="2" t="s">
        <v>5576</v>
      </c>
      <c r="J2704" s="3" t="str">
        <f>HYPERLINK("https://www.boe.es/gazeta/dias/1822/12/02/pdfs/GMD-1822-352.pdf#page=2","Abrir facsímil")</f>
        <v>Abrir facsímil</v>
      </c>
      <c r="K2704" s="3" t="s">
        <v>22</v>
      </c>
    </row>
    <row r="2705" spans="1:11" ht="42" customHeight="1">
      <c r="A2705" s="2" t="s">
        <v>5577</v>
      </c>
      <c r="B2705" s="2" t="s">
        <v>5578</v>
      </c>
      <c r="C2705" s="2" t="s">
        <v>28</v>
      </c>
      <c r="D2705" s="2" t="s">
        <v>29</v>
      </c>
      <c r="E2705" s="5">
        <v>-28423</v>
      </c>
      <c r="F2705" s="3" t="s">
        <v>441</v>
      </c>
      <c r="G2705" s="3" t="s">
        <v>35</v>
      </c>
      <c r="H2705" s="2" t="s">
        <v>20</v>
      </c>
      <c r="I2705" s="2" t="s">
        <v>5579</v>
      </c>
      <c r="J2705" s="3" t="str">
        <f>HYPERLINK("https://www.boe.es/gazeta/dias/1822/03/06/pdfs/GMD-1822-67.pdf#page=2","Abrir facsímil")</f>
        <v>Abrir facsímil</v>
      </c>
      <c r="K2705" s="3" t="s">
        <v>22</v>
      </c>
    </row>
    <row r="2706" spans="1:11" ht="42" customHeight="1">
      <c r="A2706" s="2" t="s">
        <v>5577</v>
      </c>
      <c r="B2706" s="2" t="s">
        <v>5578</v>
      </c>
      <c r="C2706" s="2" t="s">
        <v>71</v>
      </c>
      <c r="D2706" s="2" t="s">
        <v>17</v>
      </c>
      <c r="E2706" s="5">
        <v>-28364</v>
      </c>
      <c r="F2706" s="3" t="s">
        <v>509</v>
      </c>
      <c r="G2706" s="3" t="s">
        <v>35</v>
      </c>
      <c r="H2706" s="2" t="s">
        <v>20</v>
      </c>
      <c r="I2706" s="2" t="s">
        <v>5580</v>
      </c>
      <c r="J2706" s="3" t="str">
        <f>HYPERLINK("https://www.boe.es/gazeta/dias/1822/05/04/pdfs/GMD-1822-126.pdf#page=2","Abrir facsímil")</f>
        <v>Abrir facsímil</v>
      </c>
      <c r="K2706" s="3" t="s">
        <v>22</v>
      </c>
    </row>
    <row r="2707" spans="1:11" ht="42" customHeight="1">
      <c r="A2707" s="2" t="s">
        <v>5577</v>
      </c>
      <c r="B2707" s="2" t="s">
        <v>5578</v>
      </c>
      <c r="C2707" s="2" t="s">
        <v>50</v>
      </c>
      <c r="D2707" s="2" t="s">
        <v>51</v>
      </c>
      <c r="E2707" s="5">
        <v>-28187</v>
      </c>
      <c r="F2707" s="3" t="s">
        <v>929</v>
      </c>
      <c r="G2707" s="3" t="s">
        <v>31</v>
      </c>
      <c r="H2707" s="2" t="s">
        <v>20</v>
      </c>
      <c r="I2707" s="2" t="s">
        <v>5581</v>
      </c>
      <c r="J2707" s="3" t="str">
        <f>HYPERLINK("https://www.boe.es/gazeta/dias/1822/10/28/pdfs/GMD-1822-315.pdf#page=3","Abrir facsímil")</f>
        <v>Abrir facsímil</v>
      </c>
      <c r="K2707" s="3" t="s">
        <v>22</v>
      </c>
    </row>
    <row r="2708" spans="1:11" ht="42" customHeight="1">
      <c r="A2708" s="2" t="s">
        <v>5577</v>
      </c>
      <c r="B2708" s="2" t="s">
        <v>5578</v>
      </c>
      <c r="C2708" s="2" t="s">
        <v>42</v>
      </c>
      <c r="D2708" s="2" t="s">
        <v>17</v>
      </c>
      <c r="E2708" s="5">
        <v>-28173</v>
      </c>
      <c r="F2708" s="3" t="s">
        <v>2959</v>
      </c>
      <c r="G2708" s="3" t="s">
        <v>44</v>
      </c>
      <c r="H2708" s="2" t="s">
        <v>20</v>
      </c>
      <c r="I2708" s="2" t="s">
        <v>5582</v>
      </c>
      <c r="J2708" s="3" t="str">
        <f>HYPERLINK("https://www.boe.es/gazeta/dias/1822/11/11/pdfs/GMD-1822-331.pdf#page=1","Abrir facsímil")</f>
        <v>Abrir facsímil</v>
      </c>
      <c r="K2708" s="3" t="s">
        <v>22</v>
      </c>
    </row>
    <row r="2709" spans="1:11" ht="42" customHeight="1">
      <c r="A2709" s="2" t="s">
        <v>5583</v>
      </c>
      <c r="B2709" s="2" t="s">
        <v>5584</v>
      </c>
      <c r="C2709" s="2" t="s">
        <v>42</v>
      </c>
      <c r="D2709" s="2" t="s">
        <v>17</v>
      </c>
      <c r="E2709" s="5">
        <v>-28251</v>
      </c>
      <c r="F2709" s="3" t="s">
        <v>1485</v>
      </c>
      <c r="G2709" s="3" t="s">
        <v>31</v>
      </c>
      <c r="H2709" s="2" t="s">
        <v>20</v>
      </c>
      <c r="I2709" s="2" t="s">
        <v>5585</v>
      </c>
      <c r="J2709" s="3" t="str">
        <f>HYPERLINK("https://www.boe.es/gazeta/dias/1822/08/25/pdfs/GMD-1822-249.pdf#page=3","Abrir facsímil")</f>
        <v>Abrir facsímil</v>
      </c>
      <c r="K2709" s="3" t="s">
        <v>22</v>
      </c>
    </row>
    <row r="2710" spans="1:11" ht="42" customHeight="1">
      <c r="A2710" s="2" t="s">
        <v>5586</v>
      </c>
      <c r="B2710" s="2" t="s">
        <v>5587</v>
      </c>
      <c r="C2710" s="2" t="s">
        <v>42</v>
      </c>
      <c r="D2710" s="2" t="s">
        <v>17</v>
      </c>
      <c r="E2710" s="5">
        <v>-28196</v>
      </c>
      <c r="F2710" s="3" t="s">
        <v>570</v>
      </c>
      <c r="G2710" s="3" t="s">
        <v>35</v>
      </c>
      <c r="H2710" s="2" t="s">
        <v>20</v>
      </c>
      <c r="I2710" s="2" t="s">
        <v>5588</v>
      </c>
      <c r="J2710" s="3" t="str">
        <f>HYPERLINK("https://www.boe.es/gazeta/dias/1822/10/19/pdfs/GMD-1822-306.pdf#page=2","Abrir facsímil")</f>
        <v>Abrir facsímil</v>
      </c>
      <c r="K2710" s="3" t="s">
        <v>22</v>
      </c>
    </row>
    <row r="2711" spans="1:11" ht="42" customHeight="1">
      <c r="A2711" s="2" t="s">
        <v>5589</v>
      </c>
      <c r="B2711" s="2" t="s">
        <v>5590</v>
      </c>
      <c r="C2711" s="2" t="s">
        <v>28</v>
      </c>
      <c r="D2711" s="2" t="s">
        <v>29</v>
      </c>
      <c r="E2711" s="5">
        <v>-28385</v>
      </c>
      <c r="F2711" s="3" t="s">
        <v>484</v>
      </c>
      <c r="G2711" s="3" t="s">
        <v>63</v>
      </c>
      <c r="H2711" s="2" t="s">
        <v>20</v>
      </c>
      <c r="I2711" s="2" t="s">
        <v>5591</v>
      </c>
      <c r="J2711" s="3" t="str">
        <f>HYPERLINK("https://www.boe.es/gazeta/dias/1822/04/13/pdfs/GMD-1822-105.pdf#page=6","Abrir facsímil")</f>
        <v>Abrir facsímil</v>
      </c>
      <c r="K2711" s="3" t="s">
        <v>22</v>
      </c>
    </row>
    <row r="2712" spans="1:11" ht="42" customHeight="1">
      <c r="A2712" s="2" t="s">
        <v>5592</v>
      </c>
      <c r="B2712" s="2" t="s">
        <v>5593</v>
      </c>
      <c r="C2712" s="2" t="s">
        <v>42</v>
      </c>
      <c r="D2712" s="2" t="s">
        <v>17</v>
      </c>
      <c r="E2712" s="5">
        <v>-28432</v>
      </c>
      <c r="F2712" s="3" t="s">
        <v>195</v>
      </c>
      <c r="G2712" s="3" t="s">
        <v>57</v>
      </c>
      <c r="H2712" s="2" t="s">
        <v>20</v>
      </c>
      <c r="I2712" s="2" t="s">
        <v>5594</v>
      </c>
      <c r="J2712" s="3" t="str">
        <f>HYPERLINK("https://www.boe.es/gazeta/dias/1822/02/25/pdfs/GMD-1822-57.pdf#page=4","Abrir facsímil")</f>
        <v>Abrir facsímil</v>
      </c>
      <c r="K2712" s="3" t="s">
        <v>22</v>
      </c>
    </row>
    <row r="2713" spans="1:11" ht="42" customHeight="1">
      <c r="A2713" s="2" t="s">
        <v>5595</v>
      </c>
      <c r="B2713" s="2" t="s">
        <v>5596</v>
      </c>
      <c r="C2713" s="2" t="s">
        <v>71</v>
      </c>
      <c r="D2713" s="2" t="s">
        <v>17</v>
      </c>
      <c r="E2713" s="5">
        <v>-28385</v>
      </c>
      <c r="F2713" s="3" t="s">
        <v>484</v>
      </c>
      <c r="G2713" s="3" t="s">
        <v>63</v>
      </c>
      <c r="H2713" s="2" t="s">
        <v>20</v>
      </c>
      <c r="I2713" s="2" t="s">
        <v>5597</v>
      </c>
      <c r="J2713" s="3" t="str">
        <f>HYPERLINK("https://www.boe.es/gazeta/dias/1822/04/13/pdfs/GMD-1822-105.pdf#page=6","Abrir facsímil")</f>
        <v>Abrir facsímil</v>
      </c>
      <c r="K2713" s="3" t="s">
        <v>22</v>
      </c>
    </row>
    <row r="2714" spans="1:11" ht="42" customHeight="1">
      <c r="A2714" s="2" t="s">
        <v>5598</v>
      </c>
      <c r="B2714" s="2" t="s">
        <v>5599</v>
      </c>
      <c r="C2714" s="2" t="s">
        <v>42</v>
      </c>
      <c r="D2714" s="2" t="s">
        <v>17</v>
      </c>
      <c r="E2714" s="5">
        <v>-28137</v>
      </c>
      <c r="F2714" s="3" t="s">
        <v>312</v>
      </c>
      <c r="G2714" s="3" t="s">
        <v>63</v>
      </c>
      <c r="H2714" s="2" t="s">
        <v>20</v>
      </c>
      <c r="I2714" s="2" t="s">
        <v>5600</v>
      </c>
      <c r="J2714" s="3" t="str">
        <f>HYPERLINK("https://www.boe.es/gazeta/dias/1822/12/17/pdfs/GMD-1822-367.pdf#page=6","Abrir facsímil")</f>
        <v>Abrir facsímil</v>
      </c>
      <c r="K2714" s="3" t="s">
        <v>22</v>
      </c>
    </row>
    <row r="2715" spans="1:11" ht="42" customHeight="1">
      <c r="A2715" s="2" t="s">
        <v>5601</v>
      </c>
      <c r="B2715" s="2" t="s">
        <v>5602</v>
      </c>
      <c r="C2715" s="2" t="s">
        <v>71</v>
      </c>
      <c r="D2715" s="2" t="s">
        <v>17</v>
      </c>
      <c r="E2715" s="5">
        <v>-28332</v>
      </c>
      <c r="F2715" s="3" t="s">
        <v>535</v>
      </c>
      <c r="G2715" s="3" t="s">
        <v>63</v>
      </c>
      <c r="H2715" s="2" t="s">
        <v>20</v>
      </c>
      <c r="I2715" s="2" t="s">
        <v>5603</v>
      </c>
      <c r="J2715" s="3" t="str">
        <f>HYPERLINK("https://www.boe.es/gazeta/dias/1822/06/05/pdfs/GMD-1822-162.pdf#page=6","Abrir facsímil")</f>
        <v>Abrir facsímil</v>
      </c>
      <c r="K2715" s="3" t="s">
        <v>22</v>
      </c>
    </row>
    <row r="2716" spans="1:11" ht="42" customHeight="1">
      <c r="A2716" s="2" t="s">
        <v>5604</v>
      </c>
      <c r="B2716" s="2" t="s">
        <v>5605</v>
      </c>
      <c r="C2716" s="2" t="s">
        <v>50</v>
      </c>
      <c r="D2716" s="2" t="s">
        <v>51</v>
      </c>
      <c r="E2716" s="5">
        <v>-28275</v>
      </c>
      <c r="F2716" s="3" t="s">
        <v>1297</v>
      </c>
      <c r="G2716" s="3" t="s">
        <v>57</v>
      </c>
      <c r="H2716" s="2" t="s">
        <v>20</v>
      </c>
      <c r="I2716" s="2" t="s">
        <v>5606</v>
      </c>
      <c r="J2716" s="3" t="str">
        <f>HYPERLINK("https://www.boe.es/gazeta/dias/1822/08/01/pdfs/GMD-1822-225.pdf#page=4","Abrir facsímil")</f>
        <v>Abrir facsímil</v>
      </c>
      <c r="K2716" s="3" t="s">
        <v>22</v>
      </c>
    </row>
    <row r="2717" spans="1:11" ht="42" customHeight="1">
      <c r="A2717" s="2" t="s">
        <v>5607</v>
      </c>
      <c r="B2717" s="2" t="s">
        <v>5608</v>
      </c>
      <c r="C2717" s="2" t="s">
        <v>50</v>
      </c>
      <c r="D2717" s="2" t="s">
        <v>51</v>
      </c>
      <c r="E2717" s="5">
        <v>-28265</v>
      </c>
      <c r="F2717" s="3" t="s">
        <v>1263</v>
      </c>
      <c r="G2717" s="3" t="s">
        <v>57</v>
      </c>
      <c r="H2717" s="2" t="s">
        <v>20</v>
      </c>
      <c r="I2717" s="2" t="s">
        <v>5609</v>
      </c>
      <c r="J2717" s="3" t="str">
        <f>HYPERLINK("https://www.boe.es/gazeta/dias/1822/08/11/pdfs/GMD-1822-235.pdf#page=4","Abrir facsímil")</f>
        <v>Abrir facsímil</v>
      </c>
      <c r="K2717" s="3" t="s">
        <v>22</v>
      </c>
    </row>
    <row r="2718" spans="1:11" ht="42" customHeight="1">
      <c r="A2718" s="2" t="s">
        <v>5610</v>
      </c>
      <c r="B2718" s="2" t="s">
        <v>5611</v>
      </c>
      <c r="C2718" s="2" t="s">
        <v>28</v>
      </c>
      <c r="D2718" s="2" t="s">
        <v>29</v>
      </c>
      <c r="E2718" s="5">
        <v>-28174</v>
      </c>
      <c r="F2718" s="3" t="s">
        <v>881</v>
      </c>
      <c r="G2718" s="3" t="s">
        <v>63</v>
      </c>
      <c r="H2718" s="2" t="s">
        <v>20</v>
      </c>
      <c r="I2718" s="2" t="s">
        <v>5612</v>
      </c>
      <c r="J2718" s="3" t="str">
        <f>HYPERLINK("https://www.boe.es/gazeta/dias/1822/11/10/pdfs/GMD-1822-330.pdf#page=6","Abrir facsímil")</f>
        <v>Abrir facsímil</v>
      </c>
      <c r="K2718" s="3" t="s">
        <v>22</v>
      </c>
    </row>
    <row r="2719" spans="1:11" ht="42" customHeight="1">
      <c r="A2719" s="2" t="s">
        <v>5613</v>
      </c>
      <c r="B2719" s="2" t="s">
        <v>5614</v>
      </c>
      <c r="C2719" s="2" t="s">
        <v>42</v>
      </c>
      <c r="D2719" s="2" t="s">
        <v>17</v>
      </c>
      <c r="E2719" s="5">
        <v>-28176</v>
      </c>
      <c r="F2719" s="3" t="s">
        <v>780</v>
      </c>
      <c r="G2719" s="3" t="s">
        <v>44</v>
      </c>
      <c r="H2719" s="2" t="s">
        <v>20</v>
      </c>
      <c r="I2719" s="2" t="s">
        <v>5615</v>
      </c>
      <c r="J2719" s="3" t="str">
        <f>HYPERLINK("https://www.boe.es/gazeta/dias/1822/11/08/pdfs/GMD-1822-328.pdf#page=1","Abrir facsímil")</f>
        <v>Abrir facsímil</v>
      </c>
      <c r="K2719" s="3" t="s">
        <v>22</v>
      </c>
    </row>
    <row r="2720" spans="1:11" ht="42" customHeight="1">
      <c r="A2720" s="2" t="s">
        <v>5616</v>
      </c>
      <c r="B2720" s="2" t="s">
        <v>5617</v>
      </c>
      <c r="C2720" s="2" t="s">
        <v>42</v>
      </c>
      <c r="D2720" s="2" t="s">
        <v>17</v>
      </c>
      <c r="E2720" s="5">
        <v>-28127</v>
      </c>
      <c r="F2720" s="3" t="s">
        <v>409</v>
      </c>
      <c r="G2720" s="3" t="s">
        <v>19</v>
      </c>
      <c r="H2720" s="2" t="s">
        <v>20</v>
      </c>
      <c r="I2720" s="2" t="s">
        <v>5618</v>
      </c>
      <c r="J2720" s="3" t="str">
        <f>HYPERLINK("https://www.boe.es/gazeta/dias/1822/12/27/pdfs/GMD-1822-377.pdf#page=5","Abrir facsímil")</f>
        <v>Abrir facsímil</v>
      </c>
      <c r="K2720" s="3" t="s">
        <v>22</v>
      </c>
    </row>
    <row r="2721" spans="1:11" ht="42" customHeight="1">
      <c r="A2721" s="2" t="s">
        <v>5619</v>
      </c>
      <c r="B2721" s="2" t="s">
        <v>5619</v>
      </c>
      <c r="C2721" s="2" t="s">
        <v>50</v>
      </c>
      <c r="D2721" s="2" t="s">
        <v>51</v>
      </c>
      <c r="E2721" s="5">
        <v>-28229</v>
      </c>
      <c r="F2721" s="3" t="s">
        <v>2310</v>
      </c>
      <c r="G2721" s="3" t="s">
        <v>44</v>
      </c>
      <c r="H2721" s="2" t="s">
        <v>20</v>
      </c>
      <c r="I2721" s="2" t="s">
        <v>5620</v>
      </c>
      <c r="J2721" s="3" t="str">
        <f>HYPERLINK("https://www.boe.es/gazeta/dias/1822/09/16/pdfs/GMD-1822-272.pdf#page=1","Abrir facsímil")</f>
        <v>Abrir facsímil</v>
      </c>
      <c r="K2721" s="3" t="s">
        <v>22</v>
      </c>
    </row>
    <row r="2722" spans="1:11" ht="42" customHeight="1">
      <c r="A2722" s="2" t="s">
        <v>5621</v>
      </c>
      <c r="B2722" s="2" t="s">
        <v>5621</v>
      </c>
      <c r="C2722" s="2" t="s">
        <v>42</v>
      </c>
      <c r="D2722" s="2" t="s">
        <v>17</v>
      </c>
      <c r="E2722" s="5">
        <v>-28325</v>
      </c>
      <c r="F2722" s="3" t="s">
        <v>104</v>
      </c>
      <c r="G2722" s="3" t="s">
        <v>57</v>
      </c>
      <c r="H2722" s="2" t="s">
        <v>20</v>
      </c>
      <c r="I2722" s="2" t="s">
        <v>5622</v>
      </c>
      <c r="J2722" s="3" t="str">
        <f>HYPERLINK("https://www.boe.es/gazeta/dias/1822/06/12/pdfs/GMD-1822-169.pdf#page=4","Abrir facsímil")</f>
        <v>Abrir facsímil</v>
      </c>
      <c r="K2722" s="3" t="s">
        <v>22</v>
      </c>
    </row>
    <row r="2723" spans="1:11" ht="42" customHeight="1">
      <c r="A2723" s="2" t="s">
        <v>5621</v>
      </c>
      <c r="B2723" s="2" t="s">
        <v>5621</v>
      </c>
      <c r="C2723" s="2" t="s">
        <v>28</v>
      </c>
      <c r="D2723" s="2" t="s">
        <v>29</v>
      </c>
      <c r="E2723" s="5">
        <v>-28317</v>
      </c>
      <c r="F2723" s="3" t="s">
        <v>546</v>
      </c>
      <c r="G2723" s="3" t="s">
        <v>57</v>
      </c>
      <c r="H2723" s="2" t="s">
        <v>20</v>
      </c>
      <c r="I2723" s="2" t="s">
        <v>5623</v>
      </c>
      <c r="J2723" s="3" t="str">
        <f>HYPERLINK("https://www.boe.es/gazeta/dias/1822/06/20/pdfs/GMD-1822-177.pdf#page=4","Abrir facsímil")</f>
        <v>Abrir facsímil</v>
      </c>
      <c r="K2723" s="3" t="s">
        <v>22</v>
      </c>
    </row>
    <row r="2724" spans="1:11" ht="42" customHeight="1">
      <c r="A2724" s="2" t="s">
        <v>5621</v>
      </c>
      <c r="B2724" s="2" t="s">
        <v>5621</v>
      </c>
      <c r="C2724" s="2" t="s">
        <v>28</v>
      </c>
      <c r="D2724" s="2" t="s">
        <v>29</v>
      </c>
      <c r="E2724" s="5">
        <v>-28316</v>
      </c>
      <c r="F2724" s="3" t="s">
        <v>1144</v>
      </c>
      <c r="G2724" s="3" t="s">
        <v>35</v>
      </c>
      <c r="H2724" s="2" t="s">
        <v>20</v>
      </c>
      <c r="I2724" s="2" t="s">
        <v>5624</v>
      </c>
      <c r="J2724" s="3" t="str">
        <f>HYPERLINK("https://www.boe.es/gazeta/dias/1822/06/21/pdfs/GMD-1822-179.pdf#page=2","Abrir facsímil")</f>
        <v>Abrir facsímil</v>
      </c>
      <c r="K2724" s="3" t="s">
        <v>22</v>
      </c>
    </row>
    <row r="2725" spans="1:11" ht="42" customHeight="1">
      <c r="A2725" s="2" t="s">
        <v>5625</v>
      </c>
      <c r="B2725" s="2" t="s">
        <v>5626</v>
      </c>
      <c r="C2725" s="2" t="s">
        <v>50</v>
      </c>
      <c r="D2725" s="2" t="s">
        <v>51</v>
      </c>
      <c r="E2725" s="5">
        <v>-28259</v>
      </c>
      <c r="F2725" s="3" t="s">
        <v>1912</v>
      </c>
      <c r="G2725" s="3" t="s">
        <v>44</v>
      </c>
      <c r="H2725" s="2" t="s">
        <v>20</v>
      </c>
      <c r="I2725" s="2" t="s">
        <v>5627</v>
      </c>
      <c r="J2725" s="3" t="str">
        <f>HYPERLINK("https://www.boe.es/gazeta/dias/1822/08/17/pdfs/GMD-1822-241.pdf#page=1","Abrir facsímil")</f>
        <v>Abrir facsímil</v>
      </c>
      <c r="K2725" s="3" t="s">
        <v>22</v>
      </c>
    </row>
    <row r="2726" spans="1:11" ht="42" customHeight="1">
      <c r="A2726" s="2" t="s">
        <v>5628</v>
      </c>
      <c r="B2726" s="2" t="s">
        <v>5628</v>
      </c>
      <c r="C2726" s="2" t="s">
        <v>16</v>
      </c>
      <c r="D2726" s="2" t="s">
        <v>17</v>
      </c>
      <c r="E2726" s="5">
        <v>-28467</v>
      </c>
      <c r="F2726" s="3" t="s">
        <v>1096</v>
      </c>
      <c r="G2726" s="3" t="s">
        <v>35</v>
      </c>
      <c r="H2726" s="2" t="s">
        <v>20</v>
      </c>
      <c r="I2726" s="2" t="s">
        <v>5629</v>
      </c>
      <c r="J2726" s="3" t="str">
        <f>HYPERLINK("https://www.boe.es/gazeta/dias/1822/01/21/pdfs/GMD-1822-21.pdf#page=2","Abrir facsímil")</f>
        <v>Abrir facsímil</v>
      </c>
      <c r="K2726" s="3" t="s">
        <v>22</v>
      </c>
    </row>
    <row r="2727" spans="1:11" ht="42" customHeight="1">
      <c r="A2727" s="2" t="s">
        <v>5630</v>
      </c>
      <c r="B2727" s="2" t="s">
        <v>5630</v>
      </c>
      <c r="C2727" s="2" t="s">
        <v>42</v>
      </c>
      <c r="D2727" s="2" t="s">
        <v>17</v>
      </c>
      <c r="E2727" s="5">
        <v>-28353</v>
      </c>
      <c r="F2727" s="3" t="s">
        <v>843</v>
      </c>
      <c r="G2727" s="3" t="s">
        <v>31</v>
      </c>
      <c r="H2727" s="2" t="s">
        <v>20</v>
      </c>
      <c r="I2727" s="2" t="s">
        <v>5631</v>
      </c>
      <c r="J2727" s="3" t="str">
        <f>HYPERLINK("https://www.boe.es/gazeta/dias/1822/05/15/pdfs/GMD-1822-137.pdf#page=3","Abrir facsímil")</f>
        <v>Abrir facsímil</v>
      </c>
      <c r="K2727" s="3" t="s">
        <v>22</v>
      </c>
    </row>
    <row r="2728" spans="1:11" ht="42" customHeight="1">
      <c r="A2728" s="2" t="s">
        <v>5632</v>
      </c>
      <c r="B2728" s="2" t="s">
        <v>5633</v>
      </c>
      <c r="C2728" s="2" t="s">
        <v>50</v>
      </c>
      <c r="D2728" s="2" t="s">
        <v>51</v>
      </c>
      <c r="E2728" s="5">
        <v>-28379</v>
      </c>
      <c r="F2728" s="3" t="s">
        <v>494</v>
      </c>
      <c r="G2728" s="3" t="s">
        <v>19</v>
      </c>
      <c r="H2728" s="2" t="s">
        <v>20</v>
      </c>
      <c r="I2728" s="2" t="s">
        <v>5634</v>
      </c>
      <c r="J2728" s="3" t="str">
        <f>HYPERLINK("https://www.boe.es/gazeta/dias/1822/04/19/pdfs/GMD-1822-111.pdf#page=5","Abrir facsímil")</f>
        <v>Abrir facsímil</v>
      </c>
      <c r="K2728" s="3" t="s">
        <v>22</v>
      </c>
    </row>
    <row r="2729" spans="1:11" ht="42" customHeight="1">
      <c r="A2729" s="2" t="s">
        <v>5635</v>
      </c>
      <c r="B2729" s="2" t="s">
        <v>5635</v>
      </c>
      <c r="C2729" s="2" t="s">
        <v>50</v>
      </c>
      <c r="D2729" s="2" t="s">
        <v>51</v>
      </c>
      <c r="E2729" s="5">
        <v>-28461</v>
      </c>
      <c r="F2729" s="3" t="s">
        <v>1801</v>
      </c>
      <c r="G2729" s="3" t="s">
        <v>57</v>
      </c>
      <c r="H2729" s="2" t="s">
        <v>20</v>
      </c>
      <c r="I2729" s="2" t="s">
        <v>5636</v>
      </c>
      <c r="J2729" s="3" t="str">
        <f>HYPERLINK("https://www.boe.es/gazeta/dias/1822/01/27/pdfs/GMD-1822-27.pdf#page=4","Abrir facsímil")</f>
        <v>Abrir facsímil</v>
      </c>
      <c r="K2729" s="3" t="s">
        <v>22</v>
      </c>
    </row>
    <row r="2730" spans="1:11" ht="42" customHeight="1">
      <c r="A2730" s="2" t="s">
        <v>5635</v>
      </c>
      <c r="B2730" s="2" t="s">
        <v>5635</v>
      </c>
      <c r="C2730" s="2" t="s">
        <v>42</v>
      </c>
      <c r="D2730" s="2" t="s">
        <v>17</v>
      </c>
      <c r="E2730" s="5">
        <v>-28454</v>
      </c>
      <c r="F2730" s="3" t="s">
        <v>2033</v>
      </c>
      <c r="G2730" s="3" t="s">
        <v>31</v>
      </c>
      <c r="H2730" s="2" t="s">
        <v>20</v>
      </c>
      <c r="I2730" s="2" t="s">
        <v>5637</v>
      </c>
      <c r="J2730" s="3" t="str">
        <f>HYPERLINK("https://www.boe.es/gazeta/dias/1822/02/03/pdfs/GMD-1822-34.pdf#page=3","Abrir facsímil")</f>
        <v>Abrir facsímil</v>
      </c>
      <c r="K2730" s="3" t="s">
        <v>22</v>
      </c>
    </row>
    <row r="2731" spans="1:11" ht="42" customHeight="1">
      <c r="A2731" s="2" t="s">
        <v>5635</v>
      </c>
      <c r="B2731" s="2" t="s">
        <v>5635</v>
      </c>
      <c r="C2731" s="2" t="s">
        <v>71</v>
      </c>
      <c r="D2731" s="2" t="s">
        <v>17</v>
      </c>
      <c r="E2731" s="5">
        <v>-28454</v>
      </c>
      <c r="F2731" s="3" t="s">
        <v>2033</v>
      </c>
      <c r="G2731" s="3" t="s">
        <v>57</v>
      </c>
      <c r="H2731" s="2" t="s">
        <v>20</v>
      </c>
      <c r="I2731" s="2" t="s">
        <v>5638</v>
      </c>
      <c r="J2731" s="3" t="str">
        <f>HYPERLINK("https://www.boe.es/gazeta/dias/1822/02/03/pdfs/GMD-1822-34.pdf#page=4","Abrir facsímil")</f>
        <v>Abrir facsímil</v>
      </c>
      <c r="K2731" s="3" t="s">
        <v>22</v>
      </c>
    </row>
    <row r="2732" spans="1:11" ht="42" customHeight="1">
      <c r="A2732" s="2" t="s">
        <v>5639</v>
      </c>
      <c r="B2732" s="2" t="s">
        <v>5640</v>
      </c>
      <c r="C2732" s="2" t="s">
        <v>71</v>
      </c>
      <c r="D2732" s="2" t="s">
        <v>17</v>
      </c>
      <c r="E2732" s="5">
        <v>-28415</v>
      </c>
      <c r="F2732" s="3" t="s">
        <v>77</v>
      </c>
      <c r="G2732" s="3" t="s">
        <v>35</v>
      </c>
      <c r="H2732" s="2" t="s">
        <v>20</v>
      </c>
      <c r="I2732" s="2" t="s">
        <v>5641</v>
      </c>
      <c r="J2732" s="3" t="str">
        <f>HYPERLINK("https://www.boe.es/gazeta/dias/1822/03/14/pdfs/GMD-1822-75.pdf#page=2","Abrir facsímil")</f>
        <v>Abrir facsímil</v>
      </c>
      <c r="K2732" s="3" t="s">
        <v>22</v>
      </c>
    </row>
    <row r="2733" spans="1:11" ht="42" customHeight="1">
      <c r="A2733" s="2" t="s">
        <v>5642</v>
      </c>
      <c r="B2733" s="2" t="s">
        <v>5643</v>
      </c>
      <c r="C2733" s="2" t="s">
        <v>24</v>
      </c>
      <c r="D2733" s="2" t="s">
        <v>17</v>
      </c>
      <c r="E2733" s="5">
        <v>-28191</v>
      </c>
      <c r="F2733" s="3" t="s">
        <v>710</v>
      </c>
      <c r="G2733" s="3" t="s">
        <v>5038</v>
      </c>
      <c r="H2733" s="2" t="s">
        <v>20</v>
      </c>
      <c r="I2733" s="2" t="s">
        <v>5644</v>
      </c>
      <c r="J2733" s="3" t="str">
        <f>HYPERLINK("https://www.boe.es/gazeta/dias/1822/10/24/pdfs/GMD-1822-311.pdf#page=8","Abrir facsímil")</f>
        <v>Abrir facsímil</v>
      </c>
      <c r="K2733" s="3" t="s">
        <v>22</v>
      </c>
    </row>
    <row r="2734" spans="1:11" ht="42" customHeight="1">
      <c r="A2734" s="2" t="s">
        <v>5642</v>
      </c>
      <c r="B2734" s="2" t="s">
        <v>5643</v>
      </c>
      <c r="C2734" s="2" t="s">
        <v>50</v>
      </c>
      <c r="D2734" s="2" t="s">
        <v>51</v>
      </c>
      <c r="E2734" s="5">
        <v>-28123</v>
      </c>
      <c r="F2734" s="3" t="s">
        <v>603</v>
      </c>
      <c r="G2734" s="3" t="s">
        <v>2642</v>
      </c>
      <c r="H2734" s="2" t="s">
        <v>20</v>
      </c>
      <c r="I2734" s="2" t="s">
        <v>5645</v>
      </c>
      <c r="J2734" s="3" t="str">
        <f>HYPERLINK("https://www.boe.es/gazeta/dias/1822/12/31/pdfs/GMD-1822-381.pdf#page=6","Abrir facsímil")</f>
        <v>Abrir facsímil</v>
      </c>
      <c r="K2734" s="3" t="s">
        <v>22</v>
      </c>
    </row>
    <row r="2735" spans="1:11" ht="42" customHeight="1">
      <c r="A2735" s="2" t="s">
        <v>5646</v>
      </c>
      <c r="B2735" s="2" t="s">
        <v>5647</v>
      </c>
      <c r="C2735" s="2" t="s">
        <v>50</v>
      </c>
      <c r="D2735" s="2" t="s">
        <v>51</v>
      </c>
      <c r="E2735" s="5">
        <v>-28161</v>
      </c>
      <c r="F2735" s="3" t="s">
        <v>166</v>
      </c>
      <c r="G2735" s="3" t="s">
        <v>157</v>
      </c>
      <c r="H2735" s="2" t="s">
        <v>20</v>
      </c>
      <c r="I2735" s="2" t="s">
        <v>5648</v>
      </c>
      <c r="J2735" s="3" t="str">
        <f>HYPERLINK("https://www.boe.es/gazeta/dias/1822/11/23/pdfs/GMD-1822-343.pdf#page=8","Abrir facsímil")</f>
        <v>Abrir facsímil</v>
      </c>
      <c r="K2735" s="3" t="s">
        <v>22</v>
      </c>
    </row>
    <row r="2736" spans="1:11" ht="42" customHeight="1">
      <c r="A2736" s="2" t="s">
        <v>5649</v>
      </c>
      <c r="B2736" s="2" t="s">
        <v>5650</v>
      </c>
      <c r="C2736" s="2" t="s">
        <v>50</v>
      </c>
      <c r="D2736" s="2" t="s">
        <v>51</v>
      </c>
      <c r="E2736" s="5">
        <v>-28339</v>
      </c>
      <c r="F2736" s="3" t="s">
        <v>197</v>
      </c>
      <c r="G2736" s="3" t="s">
        <v>57</v>
      </c>
      <c r="H2736" s="2" t="s">
        <v>20</v>
      </c>
      <c r="I2736" s="2" t="s">
        <v>5651</v>
      </c>
      <c r="J2736" s="3" t="str">
        <f>HYPERLINK("https://www.boe.es/gazeta/dias/1822/05/29/pdfs/GMD-1822-154.pdf#page=4","Abrir facsímil")</f>
        <v>Abrir facsímil</v>
      </c>
      <c r="K2736" s="3" t="s">
        <v>22</v>
      </c>
    </row>
    <row r="2737" spans="1:11" ht="42" customHeight="1">
      <c r="A2737" s="2" t="s">
        <v>5649</v>
      </c>
      <c r="B2737" s="2" t="s">
        <v>5650</v>
      </c>
      <c r="C2737" s="2" t="s">
        <v>28</v>
      </c>
      <c r="D2737" s="2" t="s">
        <v>29</v>
      </c>
      <c r="E2737" s="5">
        <v>-28338</v>
      </c>
      <c r="F2737" s="3" t="s">
        <v>527</v>
      </c>
      <c r="G2737" s="3" t="s">
        <v>57</v>
      </c>
      <c r="H2737" s="2" t="s">
        <v>20</v>
      </c>
      <c r="I2737" s="2" t="s">
        <v>5652</v>
      </c>
      <c r="J2737" s="3" t="str">
        <f>HYPERLINK("https://www.boe.es/gazeta/dias/1822/05/30/pdfs/GMD-1822-155.pdf#page=4","Abrir facsímil")</f>
        <v>Abrir facsímil</v>
      </c>
      <c r="K2737" s="3" t="s">
        <v>22</v>
      </c>
    </row>
    <row r="2738" spans="1:11" ht="42" customHeight="1">
      <c r="A2738" s="2" t="s">
        <v>5653</v>
      </c>
      <c r="B2738" s="2" t="s">
        <v>5654</v>
      </c>
      <c r="C2738" s="2" t="s">
        <v>61</v>
      </c>
      <c r="D2738" s="2" t="s">
        <v>17</v>
      </c>
      <c r="E2738" s="5">
        <v>-28408</v>
      </c>
      <c r="F2738" s="3" t="s">
        <v>2561</v>
      </c>
      <c r="G2738" s="3" t="s">
        <v>63</v>
      </c>
      <c r="H2738" s="2" t="s">
        <v>20</v>
      </c>
      <c r="I2738" s="2" t="s">
        <v>5655</v>
      </c>
      <c r="J2738" s="3" t="str">
        <f>HYPERLINK("https://www.boe.es/gazeta/dias/1822/03/21/pdfs/GMD-1822-82.pdf#page=6","Abrir facsímil")</f>
        <v>Abrir facsímil</v>
      </c>
      <c r="K2738" s="3" t="s">
        <v>22</v>
      </c>
    </row>
    <row r="2739" spans="1:11" ht="42" customHeight="1">
      <c r="A2739" s="2" t="s">
        <v>5653</v>
      </c>
      <c r="B2739" s="2" t="s">
        <v>5654</v>
      </c>
      <c r="C2739" s="2" t="s">
        <v>50</v>
      </c>
      <c r="D2739" s="2" t="s">
        <v>51</v>
      </c>
      <c r="E2739" s="5">
        <v>-28395</v>
      </c>
      <c r="F2739" s="3" t="s">
        <v>237</v>
      </c>
      <c r="G2739" s="3" t="s">
        <v>57</v>
      </c>
      <c r="H2739" s="2" t="s">
        <v>20</v>
      </c>
      <c r="I2739" s="2" t="s">
        <v>5656</v>
      </c>
      <c r="J2739" s="3" t="str">
        <f>HYPERLINK("https://www.boe.es/gazeta/dias/1822/04/03/pdfs/GMD-1822-95.pdf#page=4","Abrir facsímil")</f>
        <v>Abrir facsímil</v>
      </c>
      <c r="K2739" s="3" t="s">
        <v>22</v>
      </c>
    </row>
    <row r="2740" spans="1:11" ht="42" customHeight="1">
      <c r="A2740" s="2" t="s">
        <v>5653</v>
      </c>
      <c r="B2740" s="2" t="s">
        <v>5654</v>
      </c>
      <c r="C2740" s="2" t="s">
        <v>42</v>
      </c>
      <c r="D2740" s="2" t="s">
        <v>17</v>
      </c>
      <c r="E2740" s="5">
        <v>-28366</v>
      </c>
      <c r="F2740" s="3" t="s">
        <v>120</v>
      </c>
      <c r="G2740" s="3" t="s">
        <v>63</v>
      </c>
      <c r="H2740" s="2" t="s">
        <v>20</v>
      </c>
      <c r="I2740" s="2" t="s">
        <v>5657</v>
      </c>
      <c r="J2740" s="3" t="str">
        <f>HYPERLINK("https://www.boe.es/gazeta/dias/1822/05/02/pdfs/GMD-1822-124.pdf#page=6","Abrir facsímil")</f>
        <v>Abrir facsímil</v>
      </c>
      <c r="K2740" s="3" t="s">
        <v>22</v>
      </c>
    </row>
    <row r="2741" spans="1:11" ht="42" customHeight="1">
      <c r="A2741" s="2" t="s">
        <v>5658</v>
      </c>
      <c r="B2741" s="2" t="s">
        <v>5659</v>
      </c>
      <c r="C2741" s="2" t="s">
        <v>28</v>
      </c>
      <c r="D2741" s="2" t="s">
        <v>29</v>
      </c>
      <c r="E2741" s="5">
        <v>-28191</v>
      </c>
      <c r="F2741" s="3" t="s">
        <v>710</v>
      </c>
      <c r="G2741" s="3" t="s">
        <v>5038</v>
      </c>
      <c r="H2741" s="2" t="s">
        <v>20</v>
      </c>
      <c r="I2741" s="2" t="s">
        <v>5660</v>
      </c>
      <c r="J2741" s="3" t="str">
        <f>HYPERLINK("https://www.boe.es/gazeta/dias/1822/10/24/pdfs/GMD-1822-311.pdf#page=8","Abrir facsímil")</f>
        <v>Abrir facsímil</v>
      </c>
      <c r="K2741" s="3" t="s">
        <v>22</v>
      </c>
    </row>
    <row r="2742" spans="1:11" ht="42" customHeight="1">
      <c r="A2742" s="2" t="s">
        <v>5661</v>
      </c>
      <c r="B2742" s="2" t="s">
        <v>5662</v>
      </c>
      <c r="C2742" s="2" t="s">
        <v>50</v>
      </c>
      <c r="D2742" s="2" t="s">
        <v>51</v>
      </c>
      <c r="E2742" s="5">
        <v>-28130</v>
      </c>
      <c r="F2742" s="3" t="s">
        <v>34</v>
      </c>
      <c r="G2742" s="3" t="s">
        <v>63</v>
      </c>
      <c r="H2742" s="2" t="s">
        <v>20</v>
      </c>
      <c r="I2742" s="2" t="s">
        <v>5663</v>
      </c>
      <c r="J2742" s="3" t="str">
        <f>HYPERLINK("https://www.boe.es/gazeta/dias/1822/12/24/pdfs/GMD-1822-374.pdf#page=6","Abrir facsímil")</f>
        <v>Abrir facsímil</v>
      </c>
      <c r="K2742" s="3" t="s">
        <v>22</v>
      </c>
    </row>
    <row r="2743" spans="1:11" ht="42" customHeight="1">
      <c r="A2743" s="2" t="s">
        <v>5664</v>
      </c>
      <c r="B2743" s="2" t="s">
        <v>5665</v>
      </c>
      <c r="C2743" s="2" t="s">
        <v>28</v>
      </c>
      <c r="D2743" s="2" t="s">
        <v>29</v>
      </c>
      <c r="E2743" s="5">
        <v>-28146</v>
      </c>
      <c r="F2743" s="3" t="s">
        <v>180</v>
      </c>
      <c r="G2743" s="3" t="s">
        <v>57</v>
      </c>
      <c r="H2743" s="2" t="s">
        <v>20</v>
      </c>
      <c r="I2743" s="2" t="s">
        <v>5666</v>
      </c>
      <c r="J2743" s="3" t="str">
        <f>HYPERLINK("https://www.boe.es/gazeta/dias/1822/12/08/pdfs/GMD-1822-358.pdf#page=4","Abrir facsímil")</f>
        <v>Abrir facsímil</v>
      </c>
      <c r="K2743" s="3" t="s">
        <v>22</v>
      </c>
    </row>
    <row r="2744" spans="1:11" ht="42" customHeight="1">
      <c r="A2744" s="2" t="s">
        <v>5667</v>
      </c>
      <c r="B2744" s="2" t="s">
        <v>5668</v>
      </c>
      <c r="C2744" s="2" t="s">
        <v>42</v>
      </c>
      <c r="D2744" s="2" t="s">
        <v>17</v>
      </c>
      <c r="E2744" s="5">
        <v>-28182</v>
      </c>
      <c r="F2744" s="3" t="s">
        <v>585</v>
      </c>
      <c r="G2744" s="3" t="s">
        <v>63</v>
      </c>
      <c r="H2744" s="2" t="s">
        <v>20</v>
      </c>
      <c r="I2744" s="2" t="s">
        <v>5669</v>
      </c>
      <c r="J2744" s="3" t="str">
        <f>HYPERLINK("https://www.boe.es/gazeta/dias/1822/11/02/pdfs/GMD-1822-320.pdf#page=6","Abrir facsímil")</f>
        <v>Abrir facsímil</v>
      </c>
      <c r="K2744" s="3" t="s">
        <v>22</v>
      </c>
    </row>
    <row r="2745" spans="1:11" ht="42" customHeight="1">
      <c r="A2745" s="2" t="s">
        <v>5670</v>
      </c>
      <c r="B2745" s="2" t="s">
        <v>5670</v>
      </c>
      <c r="C2745" s="2" t="s">
        <v>28</v>
      </c>
      <c r="D2745" s="2" t="s">
        <v>29</v>
      </c>
      <c r="E2745" s="5">
        <v>-28475</v>
      </c>
      <c r="F2745" s="3" t="s">
        <v>1205</v>
      </c>
      <c r="G2745" s="3" t="s">
        <v>31</v>
      </c>
      <c r="H2745" s="2" t="s">
        <v>20</v>
      </c>
      <c r="I2745" s="2" t="s">
        <v>5671</v>
      </c>
      <c r="J2745" s="3" t="str">
        <f>HYPERLINK("https://www.boe.es/gazeta/dias/1822/01/13/pdfs/GMD-1822-13.pdf#page=3","Abrir facsímil")</f>
        <v>Abrir facsímil</v>
      </c>
      <c r="K2745" s="3" t="s">
        <v>22</v>
      </c>
    </row>
    <row r="2746" spans="1:11" ht="42" customHeight="1">
      <c r="A2746" s="2" t="s">
        <v>5672</v>
      </c>
      <c r="B2746" s="2" t="s">
        <v>5673</v>
      </c>
      <c r="C2746" s="2" t="s">
        <v>24</v>
      </c>
      <c r="D2746" s="2" t="s">
        <v>17</v>
      </c>
      <c r="E2746" s="5">
        <v>-28249</v>
      </c>
      <c r="F2746" s="3" t="s">
        <v>3986</v>
      </c>
      <c r="G2746" s="3" t="s">
        <v>57</v>
      </c>
      <c r="H2746" s="2" t="s">
        <v>20</v>
      </c>
      <c r="I2746" s="2" t="s">
        <v>5674</v>
      </c>
      <c r="J2746" s="3" t="str">
        <f>HYPERLINK("https://www.boe.es/gazeta/dias/1822/08/27/pdfs/GMD-1822-251.pdf#page=4","Abrir facsímil")</f>
        <v>Abrir facsímil</v>
      </c>
      <c r="K2746" s="3" t="s">
        <v>22</v>
      </c>
    </row>
    <row r="2747" spans="1:11" ht="42" customHeight="1">
      <c r="A2747" s="2" t="s">
        <v>5675</v>
      </c>
      <c r="B2747" s="2" t="s">
        <v>5676</v>
      </c>
      <c r="C2747" s="2" t="s">
        <v>50</v>
      </c>
      <c r="D2747" s="2" t="s">
        <v>51</v>
      </c>
      <c r="E2747" s="5">
        <v>-28442</v>
      </c>
      <c r="F2747" s="3" t="s">
        <v>2250</v>
      </c>
      <c r="G2747" s="3" t="s">
        <v>2251</v>
      </c>
      <c r="H2747" s="2" t="s">
        <v>20</v>
      </c>
      <c r="I2747" s="2" t="s">
        <v>5677</v>
      </c>
      <c r="J2747" s="3" t="str">
        <f>HYPERLINK("https://www.boe.es/gazeta/dias/1822/02/15/pdfs/GMD-1822-47.pdf#page=4","Abrir facsímil")</f>
        <v>Abrir facsímil</v>
      </c>
      <c r="K2747" s="3" t="s">
        <v>22</v>
      </c>
    </row>
    <row r="2748" spans="1:11" ht="42" customHeight="1">
      <c r="A2748" s="2" t="s">
        <v>5678</v>
      </c>
      <c r="B2748" s="2" t="s">
        <v>5679</v>
      </c>
      <c r="C2748" s="2" t="s">
        <v>61</v>
      </c>
      <c r="D2748" s="2" t="s">
        <v>17</v>
      </c>
      <c r="E2748" s="5">
        <v>-28423</v>
      </c>
      <c r="F2748" s="3" t="s">
        <v>441</v>
      </c>
      <c r="G2748" s="3" t="s">
        <v>31</v>
      </c>
      <c r="H2748" s="2" t="s">
        <v>20</v>
      </c>
      <c r="I2748" s="2" t="s">
        <v>5680</v>
      </c>
      <c r="J2748" s="3" t="str">
        <f>HYPERLINK("https://www.boe.es/gazeta/dias/1822/03/06/pdfs/GMD-1822-67.pdf#page=3","Abrir facsímil")</f>
        <v>Abrir facsímil</v>
      </c>
      <c r="K2748" s="3" t="s">
        <v>22</v>
      </c>
    </row>
    <row r="2749" spans="1:11" ht="42" customHeight="1">
      <c r="A2749" s="2" t="s">
        <v>5681</v>
      </c>
      <c r="B2749" s="2" t="s">
        <v>5681</v>
      </c>
      <c r="C2749" s="2" t="s">
        <v>50</v>
      </c>
      <c r="D2749" s="2" t="s">
        <v>51</v>
      </c>
      <c r="E2749" s="5">
        <v>-28247</v>
      </c>
      <c r="F2749" s="3" t="s">
        <v>2023</v>
      </c>
      <c r="G2749" s="3" t="s">
        <v>44</v>
      </c>
      <c r="H2749" s="2" t="s">
        <v>20</v>
      </c>
      <c r="I2749" s="2" t="s">
        <v>5682</v>
      </c>
      <c r="J2749" s="3" t="str">
        <f>HYPERLINK("https://www.boe.es/gazeta/dias/1822/08/29/pdfs/GMD-1822-253.pdf#page=1","Abrir facsímil")</f>
        <v>Abrir facsímil</v>
      </c>
      <c r="K2749" s="3" t="s">
        <v>22</v>
      </c>
    </row>
    <row r="2750" spans="1:11" ht="42" customHeight="1">
      <c r="A2750" s="2" t="s">
        <v>5683</v>
      </c>
      <c r="B2750" s="2" t="s">
        <v>5684</v>
      </c>
      <c r="C2750" s="2" t="s">
        <v>50</v>
      </c>
      <c r="D2750" s="2" t="s">
        <v>51</v>
      </c>
      <c r="E2750" s="5">
        <v>-28261</v>
      </c>
      <c r="F2750" s="3" t="s">
        <v>5685</v>
      </c>
      <c r="G2750" s="3" t="s">
        <v>35</v>
      </c>
      <c r="H2750" s="2" t="s">
        <v>20</v>
      </c>
      <c r="I2750" s="2" t="s">
        <v>5686</v>
      </c>
      <c r="J2750" s="3" t="str">
        <f>HYPERLINK("https://www.boe.es/gazeta/dias/1822/08/15/pdfs/GMD-1822-239.pdf#page=2","Abrir facsímil")</f>
        <v>Abrir facsímil</v>
      </c>
      <c r="K2750" s="3" t="s">
        <v>22</v>
      </c>
    </row>
    <row r="2751" spans="1:11" ht="42" customHeight="1">
      <c r="A2751" s="2" t="s">
        <v>5687</v>
      </c>
      <c r="B2751" s="2" t="s">
        <v>5687</v>
      </c>
      <c r="C2751" s="2" t="s">
        <v>50</v>
      </c>
      <c r="D2751" s="2" t="s">
        <v>51</v>
      </c>
      <c r="E2751" s="5">
        <v>-28274</v>
      </c>
      <c r="F2751" s="3" t="s">
        <v>3371</v>
      </c>
      <c r="G2751" s="3" t="s">
        <v>44</v>
      </c>
      <c r="H2751" s="2" t="s">
        <v>20</v>
      </c>
      <c r="I2751" s="2" t="s">
        <v>5688</v>
      </c>
      <c r="J2751" s="3" t="str">
        <f>HYPERLINK("https://www.boe.es/gazeta/dias/1822/08/02/pdfs/GMD-1822-226.pdf#page=1","Abrir facsímil")</f>
        <v>Abrir facsímil</v>
      </c>
      <c r="K2751" s="3" t="s">
        <v>22</v>
      </c>
    </row>
    <row r="2752" spans="1:11" ht="42" customHeight="1">
      <c r="A2752" s="2" t="s">
        <v>5689</v>
      </c>
      <c r="B2752" s="2" t="s">
        <v>5689</v>
      </c>
      <c r="C2752" s="2" t="s">
        <v>362</v>
      </c>
      <c r="D2752" s="2" t="s">
        <v>17</v>
      </c>
      <c r="E2752" s="5">
        <v>-28160</v>
      </c>
      <c r="F2752" s="3" t="s">
        <v>148</v>
      </c>
      <c r="G2752" s="3" t="s">
        <v>19</v>
      </c>
      <c r="H2752" s="2" t="s">
        <v>20</v>
      </c>
      <c r="I2752" s="2" t="s">
        <v>5690</v>
      </c>
      <c r="J2752" s="3" t="str">
        <f>HYPERLINK("https://www.boe.es/gazeta/dias/1822/11/24/pdfs/GMD-1822-344.pdf#page=5","Abrir facsímil")</f>
        <v>Abrir facsímil</v>
      </c>
      <c r="K2752" s="3" t="s">
        <v>22</v>
      </c>
    </row>
    <row r="2753" spans="1:11" ht="42" customHeight="1">
      <c r="A2753" s="2" t="s">
        <v>5691</v>
      </c>
      <c r="B2753" s="2" t="s">
        <v>5692</v>
      </c>
      <c r="C2753" s="2" t="s">
        <v>362</v>
      </c>
      <c r="D2753" s="2" t="s">
        <v>17</v>
      </c>
      <c r="E2753" s="5">
        <v>-28160</v>
      </c>
      <c r="F2753" s="3" t="s">
        <v>148</v>
      </c>
      <c r="G2753" s="3" t="s">
        <v>19</v>
      </c>
      <c r="H2753" s="2" t="s">
        <v>20</v>
      </c>
      <c r="I2753" s="2" t="s">
        <v>5693</v>
      </c>
      <c r="J2753" s="3" t="str">
        <f>HYPERLINK("https://www.boe.es/gazeta/dias/1822/11/24/pdfs/GMD-1822-344.pdf#page=5","Abrir facsímil")</f>
        <v>Abrir facsímil</v>
      </c>
      <c r="K2753" s="3" t="s">
        <v>22</v>
      </c>
    </row>
    <row r="2754" spans="1:11" ht="42" customHeight="1">
      <c r="A2754" s="2" t="s">
        <v>5694</v>
      </c>
      <c r="B2754" s="2" t="s">
        <v>5695</v>
      </c>
      <c r="C2754" s="2" t="s">
        <v>28</v>
      </c>
      <c r="D2754" s="2" t="s">
        <v>29</v>
      </c>
      <c r="E2754" s="5">
        <v>-28212</v>
      </c>
      <c r="F2754" s="3" t="s">
        <v>560</v>
      </c>
      <c r="G2754" s="3" t="s">
        <v>57</v>
      </c>
      <c r="H2754" s="2" t="s">
        <v>20</v>
      </c>
      <c r="I2754" s="2" t="s">
        <v>5696</v>
      </c>
      <c r="J2754" s="3" t="str">
        <f>HYPERLINK("https://www.boe.es/gazeta/dias/1822/10/03/pdfs/GMD-1822-289.pdf#page=4","Abrir facsímil")</f>
        <v>Abrir facsímil</v>
      </c>
      <c r="K2754" s="3" t="s">
        <v>22</v>
      </c>
    </row>
    <row r="2755" spans="1:11" ht="42" customHeight="1">
      <c r="A2755" s="2" t="s">
        <v>5697</v>
      </c>
      <c r="B2755" s="2" t="s">
        <v>5698</v>
      </c>
      <c r="C2755" s="2" t="s">
        <v>50</v>
      </c>
      <c r="D2755" s="2" t="s">
        <v>51</v>
      </c>
      <c r="E2755" s="5">
        <v>-28178</v>
      </c>
      <c r="F2755" s="3" t="s">
        <v>318</v>
      </c>
      <c r="G2755" s="3" t="s">
        <v>63</v>
      </c>
      <c r="H2755" s="2" t="s">
        <v>20</v>
      </c>
      <c r="I2755" s="2" t="s">
        <v>5699</v>
      </c>
      <c r="J2755" s="3" t="str">
        <f>HYPERLINK("https://www.boe.es/gazeta/dias/1822/11/06/pdfs/GMD-1822-326.pdf#page=6","Abrir facsímil")</f>
        <v>Abrir facsímil</v>
      </c>
      <c r="K2755" s="3" t="s">
        <v>22</v>
      </c>
    </row>
    <row r="2756" spans="1:11" ht="42" customHeight="1">
      <c r="A2756" s="2" t="s">
        <v>5700</v>
      </c>
      <c r="B2756" s="2" t="s">
        <v>5701</v>
      </c>
      <c r="C2756" s="2" t="s">
        <v>28</v>
      </c>
      <c r="D2756" s="2" t="s">
        <v>29</v>
      </c>
      <c r="E2756" s="5">
        <v>-28474</v>
      </c>
      <c r="F2756" s="3" t="s">
        <v>30</v>
      </c>
      <c r="G2756" s="3" t="s">
        <v>31</v>
      </c>
      <c r="H2756" s="2" t="s">
        <v>20</v>
      </c>
      <c r="I2756" s="2" t="s">
        <v>5702</v>
      </c>
      <c r="J2756" s="3" t="str">
        <f>HYPERLINK("https://www.boe.es/gazeta/dias/1822/01/14/pdfs/GMD-1822-14.pdf#page=3","Abrir facsímil")</f>
        <v>Abrir facsímil</v>
      </c>
      <c r="K2756" s="3" t="s">
        <v>22</v>
      </c>
    </row>
    <row r="2757" spans="1:11" ht="42" customHeight="1">
      <c r="A2757" s="2" t="s">
        <v>5703</v>
      </c>
      <c r="B2757" s="2" t="s">
        <v>5703</v>
      </c>
      <c r="C2757" s="2" t="s">
        <v>50</v>
      </c>
      <c r="D2757" s="2" t="s">
        <v>51</v>
      </c>
      <c r="E2757" s="5">
        <v>-28307</v>
      </c>
      <c r="F2757" s="3" t="s">
        <v>555</v>
      </c>
      <c r="G2757" s="3" t="s">
        <v>167</v>
      </c>
      <c r="H2757" s="2" t="s">
        <v>20</v>
      </c>
      <c r="I2757" s="2" t="s">
        <v>5704</v>
      </c>
      <c r="J2757" s="3" t="str">
        <f>HYPERLINK("https://www.boe.es/gazeta/dias/1822/06/30/pdfs/GMD-1822-188.pdf#page=7","Abrir facsímil")</f>
        <v>Abrir facsímil</v>
      </c>
      <c r="K2757" s="3" t="s">
        <v>22</v>
      </c>
    </row>
    <row r="2758" spans="1:11" ht="42" customHeight="1">
      <c r="A2758" s="2" t="s">
        <v>5705</v>
      </c>
      <c r="B2758" s="2" t="s">
        <v>5706</v>
      </c>
      <c r="C2758" s="2" t="s">
        <v>28</v>
      </c>
      <c r="D2758" s="2" t="s">
        <v>723</v>
      </c>
      <c r="E2758" s="5">
        <v>-28181</v>
      </c>
      <c r="F2758" s="3" t="s">
        <v>724</v>
      </c>
      <c r="G2758" s="3" t="s">
        <v>44</v>
      </c>
      <c r="H2758" s="2" t="s">
        <v>20</v>
      </c>
      <c r="I2758" s="2" t="s">
        <v>5707</v>
      </c>
      <c r="J2758" s="3" t="str">
        <f>HYPERLINK("https://www.boe.es/gazeta/dias/1822/11/03/pdfs/GMD-1822-322E.pdf#page=1","Abrir facsímil")</f>
        <v>Abrir facsímil</v>
      </c>
      <c r="K2758" s="3" t="s">
        <v>22</v>
      </c>
    </row>
    <row r="2759" spans="1:11" ht="42" customHeight="1">
      <c r="A2759" s="2" t="s">
        <v>5708</v>
      </c>
      <c r="B2759" s="2" t="s">
        <v>5709</v>
      </c>
      <c r="C2759" s="2" t="s">
        <v>16</v>
      </c>
      <c r="D2759" s="2" t="s">
        <v>17</v>
      </c>
      <c r="E2759" s="5">
        <v>-28432</v>
      </c>
      <c r="F2759" s="3" t="s">
        <v>195</v>
      </c>
      <c r="G2759" s="3" t="s">
        <v>57</v>
      </c>
      <c r="H2759" s="2" t="s">
        <v>20</v>
      </c>
      <c r="I2759" s="2" t="s">
        <v>5710</v>
      </c>
      <c r="J2759" s="3" t="str">
        <f>HYPERLINK("https://www.boe.es/gazeta/dias/1822/02/25/pdfs/GMD-1822-57.pdf#page=4","Abrir facsímil")</f>
        <v>Abrir facsímil</v>
      </c>
      <c r="K2759" s="3" t="s">
        <v>22</v>
      </c>
    </row>
    <row r="2760" spans="1:11" ht="42" customHeight="1">
      <c r="A2760" s="2" t="s">
        <v>5711</v>
      </c>
      <c r="B2760" s="2" t="s">
        <v>5712</v>
      </c>
      <c r="C2760" s="2" t="s">
        <v>61</v>
      </c>
      <c r="D2760" s="2" t="s">
        <v>17</v>
      </c>
      <c r="E2760" s="5">
        <v>-28450</v>
      </c>
      <c r="F2760" s="3" t="s">
        <v>1450</v>
      </c>
      <c r="G2760" s="3" t="s">
        <v>2247</v>
      </c>
      <c r="H2760" s="2" t="s">
        <v>20</v>
      </c>
      <c r="I2760" s="2" t="s">
        <v>5713</v>
      </c>
      <c r="J2760" s="3" t="str">
        <f>HYPERLINK("https://www.boe.es/gazeta/dias/1822/02/07/pdfs/GMD-1822-38.pdf#page=6","Abrir facsímil")</f>
        <v>Abrir facsímil</v>
      </c>
      <c r="K2760" s="3" t="s">
        <v>22</v>
      </c>
    </row>
    <row r="2761" spans="1:11" ht="42" customHeight="1">
      <c r="A2761" s="2" t="s">
        <v>5714</v>
      </c>
      <c r="B2761" s="2" t="s">
        <v>5715</v>
      </c>
      <c r="C2761" s="2" t="s">
        <v>42</v>
      </c>
      <c r="D2761" s="2" t="s">
        <v>17</v>
      </c>
      <c r="E2761" s="5">
        <v>-28277</v>
      </c>
      <c r="F2761" s="3" t="s">
        <v>296</v>
      </c>
      <c r="G2761" s="3" t="s">
        <v>35</v>
      </c>
      <c r="H2761" s="2" t="s">
        <v>20</v>
      </c>
      <c r="I2761" s="2" t="s">
        <v>5716</v>
      </c>
      <c r="J2761" s="3" t="str">
        <f>HYPERLINK("https://www.boe.es/gazeta/dias/1822/07/30/pdfs/GMD-1822-223.pdf#page=2","Abrir facsímil")</f>
        <v>Abrir facsímil</v>
      </c>
      <c r="K2761" s="3" t="s">
        <v>22</v>
      </c>
    </row>
    <row r="2762" spans="1:11" ht="42" customHeight="1">
      <c r="A2762" s="2" t="s">
        <v>5717</v>
      </c>
      <c r="B2762" s="2" t="s">
        <v>5717</v>
      </c>
      <c r="C2762" s="2" t="s">
        <v>50</v>
      </c>
      <c r="D2762" s="2" t="s">
        <v>51</v>
      </c>
      <c r="E2762" s="5">
        <v>-28166</v>
      </c>
      <c r="F2762" s="3" t="s">
        <v>942</v>
      </c>
      <c r="G2762" s="3" t="s">
        <v>57</v>
      </c>
      <c r="H2762" s="2" t="s">
        <v>20</v>
      </c>
      <c r="I2762" s="2" t="s">
        <v>5718</v>
      </c>
      <c r="J2762" s="3" t="str">
        <f>HYPERLINK("https://www.boe.es/gazeta/dias/1822/11/18/pdfs/GMD-1822-338.pdf#page=4","Abrir facsímil")</f>
        <v>Abrir facsímil</v>
      </c>
      <c r="K2762" s="3" t="s">
        <v>22</v>
      </c>
    </row>
    <row r="2763" spans="1:11" ht="42" customHeight="1">
      <c r="A2763" s="2" t="s">
        <v>5719</v>
      </c>
      <c r="B2763" s="2" t="s">
        <v>5720</v>
      </c>
      <c r="C2763" s="2" t="s">
        <v>50</v>
      </c>
      <c r="D2763" s="2" t="s">
        <v>51</v>
      </c>
      <c r="E2763" s="5">
        <v>-28281</v>
      </c>
      <c r="F2763" s="3" t="s">
        <v>3310</v>
      </c>
      <c r="G2763" s="3" t="s">
        <v>35</v>
      </c>
      <c r="H2763" s="2" t="s">
        <v>20</v>
      </c>
      <c r="I2763" s="2" t="s">
        <v>5721</v>
      </c>
      <c r="J2763" s="3" t="str">
        <f>HYPERLINK("https://www.boe.es/gazeta/dias/1822/07/26/pdfs/GMD-1822-219.pdf#page=2","Abrir facsímil")</f>
        <v>Abrir facsímil</v>
      </c>
      <c r="K2763" s="3" t="s">
        <v>22</v>
      </c>
    </row>
    <row r="2764" spans="1:11" ht="42" customHeight="1">
      <c r="A2764" s="2" t="s">
        <v>5722</v>
      </c>
      <c r="B2764" s="2" t="s">
        <v>5723</v>
      </c>
      <c r="C2764" s="2" t="s">
        <v>42</v>
      </c>
      <c r="D2764" s="2" t="s">
        <v>17</v>
      </c>
      <c r="E2764" s="5">
        <v>-28459</v>
      </c>
      <c r="F2764" s="3" t="s">
        <v>1102</v>
      </c>
      <c r="G2764" s="3" t="s">
        <v>35</v>
      </c>
      <c r="H2764" s="2" t="s">
        <v>20</v>
      </c>
      <c r="I2764" s="2" t="s">
        <v>5724</v>
      </c>
      <c r="J2764" s="3" t="str">
        <f>HYPERLINK("https://www.boe.es/gazeta/dias/1822/01/29/pdfs/GMD-1822-29.pdf#page=2","Abrir facsímil")</f>
        <v>Abrir facsímil</v>
      </c>
      <c r="K2764" s="3" t="s">
        <v>22</v>
      </c>
    </row>
    <row r="2765" spans="1:11" ht="42" customHeight="1">
      <c r="A2765" s="2" t="s">
        <v>5722</v>
      </c>
      <c r="B2765" s="2" t="s">
        <v>5723</v>
      </c>
      <c r="C2765" s="2" t="s">
        <v>50</v>
      </c>
      <c r="D2765" s="2" t="s">
        <v>51</v>
      </c>
      <c r="E2765" s="5">
        <v>-28258</v>
      </c>
      <c r="F2765" s="3" t="s">
        <v>88</v>
      </c>
      <c r="G2765" s="3" t="s">
        <v>57</v>
      </c>
      <c r="H2765" s="2" t="s">
        <v>20</v>
      </c>
      <c r="I2765" s="2" t="s">
        <v>5725</v>
      </c>
      <c r="J2765" s="3" t="str">
        <f>HYPERLINK("https://www.boe.es/gazeta/dias/1822/08/18/pdfs/GMD-1822-242.pdf#page=4","Abrir facsímil")</f>
        <v>Abrir facsímil</v>
      </c>
      <c r="K2765" s="3" t="s">
        <v>22</v>
      </c>
    </row>
    <row r="2766" spans="1:11" ht="42" customHeight="1">
      <c r="A2766" s="2" t="s">
        <v>5726</v>
      </c>
      <c r="B2766" s="2" t="s">
        <v>5727</v>
      </c>
      <c r="C2766" s="2" t="s">
        <v>71</v>
      </c>
      <c r="D2766" s="2" t="s">
        <v>17</v>
      </c>
      <c r="E2766" s="5">
        <v>-28341</v>
      </c>
      <c r="F2766" s="3" t="s">
        <v>284</v>
      </c>
      <c r="G2766" s="3" t="s">
        <v>44</v>
      </c>
      <c r="H2766" s="2" t="s">
        <v>20</v>
      </c>
      <c r="I2766" s="2" t="s">
        <v>5728</v>
      </c>
      <c r="J2766" s="3" t="str">
        <f>HYPERLINK("https://www.boe.es/gazeta/dias/1822/05/27/pdfs/GMD-1822-152.pdf#page=1","Abrir facsímil")</f>
        <v>Abrir facsímil</v>
      </c>
      <c r="K2766" s="3" t="s">
        <v>22</v>
      </c>
    </row>
    <row r="2767" spans="1:11" ht="42" customHeight="1">
      <c r="A2767" s="2" t="s">
        <v>5729</v>
      </c>
      <c r="B2767" s="2" t="s">
        <v>5730</v>
      </c>
      <c r="C2767" s="2" t="s">
        <v>42</v>
      </c>
      <c r="D2767" s="2" t="s">
        <v>17</v>
      </c>
      <c r="E2767" s="5">
        <v>-28221</v>
      </c>
      <c r="F2767" s="3" t="s">
        <v>2591</v>
      </c>
      <c r="G2767" s="3" t="s">
        <v>57</v>
      </c>
      <c r="H2767" s="2" t="s">
        <v>20</v>
      </c>
      <c r="I2767" s="2" t="s">
        <v>5731</v>
      </c>
      <c r="J2767" s="3" t="str">
        <f>HYPERLINK("https://www.boe.es/gazeta/dias/1822/09/24/pdfs/GMD-1822-280.pdf#page=4","Abrir facsímil")</f>
        <v>Abrir facsímil</v>
      </c>
      <c r="K2767" s="3" t="s">
        <v>22</v>
      </c>
    </row>
    <row r="2768" spans="1:11" ht="42" customHeight="1">
      <c r="A2768" s="2" t="s">
        <v>5732</v>
      </c>
      <c r="B2768" s="2" t="s">
        <v>5733</v>
      </c>
      <c r="C2768" s="2" t="s">
        <v>28</v>
      </c>
      <c r="D2768" s="2" t="s">
        <v>29</v>
      </c>
      <c r="E2768" s="5">
        <v>-28260</v>
      </c>
      <c r="F2768" s="3" t="s">
        <v>135</v>
      </c>
      <c r="G2768" s="3" t="s">
        <v>63</v>
      </c>
      <c r="H2768" s="2" t="s">
        <v>20</v>
      </c>
      <c r="I2768" s="2" t="s">
        <v>5734</v>
      </c>
      <c r="J2768" s="3" t="str">
        <f>HYPERLINK("https://www.boe.es/gazeta/dias/1822/08/16/pdfs/GMD-1822-240.pdf#page=6","Abrir facsímil")</f>
        <v>Abrir facsímil</v>
      </c>
      <c r="K2768" s="3" t="s">
        <v>22</v>
      </c>
    </row>
    <row r="2769" spans="1:11" ht="42" customHeight="1">
      <c r="A2769" s="2" t="s">
        <v>5735</v>
      </c>
      <c r="B2769" s="2" t="s">
        <v>5736</v>
      </c>
      <c r="C2769" s="2" t="s">
        <v>42</v>
      </c>
      <c r="D2769" s="2" t="s">
        <v>17</v>
      </c>
      <c r="E2769" s="5">
        <v>-28166</v>
      </c>
      <c r="F2769" s="3" t="s">
        <v>942</v>
      </c>
      <c r="G2769" s="3" t="s">
        <v>1277</v>
      </c>
      <c r="H2769" s="2" t="s">
        <v>20</v>
      </c>
      <c r="I2769" s="2" t="s">
        <v>5737</v>
      </c>
      <c r="J2769" s="3" t="str">
        <f>HYPERLINK("https://www.boe.es/gazeta/dias/1822/11/18/pdfs/GMD-1822-338.pdf#page=6","Abrir facsímil")</f>
        <v>Abrir facsímil</v>
      </c>
      <c r="K2769" s="3" t="s">
        <v>22</v>
      </c>
    </row>
    <row r="2770" spans="1:11" ht="42" customHeight="1">
      <c r="A2770" s="2" t="s">
        <v>5738</v>
      </c>
      <c r="B2770" s="2" t="s">
        <v>5739</v>
      </c>
      <c r="C2770" s="2" t="s">
        <v>362</v>
      </c>
      <c r="D2770" s="2" t="s">
        <v>17</v>
      </c>
      <c r="E2770" s="5">
        <v>-28450</v>
      </c>
      <c r="F2770" s="3" t="s">
        <v>1450</v>
      </c>
      <c r="G2770" s="3" t="s">
        <v>2247</v>
      </c>
      <c r="H2770" s="2" t="s">
        <v>20</v>
      </c>
      <c r="I2770" s="2" t="s">
        <v>5740</v>
      </c>
      <c r="J2770" s="3" t="str">
        <f>HYPERLINK("https://www.boe.es/gazeta/dias/1822/02/07/pdfs/GMD-1822-38.pdf#page=6","Abrir facsímil")</f>
        <v>Abrir facsímil</v>
      </c>
      <c r="K2770" s="3" t="s">
        <v>22</v>
      </c>
    </row>
    <row r="2771" spans="1:11" ht="42" customHeight="1">
      <c r="A2771" s="2" t="s">
        <v>5741</v>
      </c>
      <c r="B2771" s="2" t="s">
        <v>5742</v>
      </c>
      <c r="C2771" s="2" t="s">
        <v>42</v>
      </c>
      <c r="D2771" s="2" t="s">
        <v>17</v>
      </c>
      <c r="E2771" s="5">
        <v>-28258</v>
      </c>
      <c r="F2771" s="3" t="s">
        <v>88</v>
      </c>
      <c r="G2771" s="3" t="s">
        <v>31</v>
      </c>
      <c r="H2771" s="2" t="s">
        <v>20</v>
      </c>
      <c r="I2771" s="2" t="s">
        <v>5743</v>
      </c>
      <c r="J2771" s="3" t="str">
        <f>HYPERLINK("https://www.boe.es/gazeta/dias/1822/08/18/pdfs/GMD-1822-242.pdf#page=3","Abrir facsímil")</f>
        <v>Abrir facsímil</v>
      </c>
      <c r="K2771" s="3" t="s">
        <v>22</v>
      </c>
    </row>
    <row r="2772" spans="1:11" ht="42" customHeight="1">
      <c r="A2772" s="2" t="s">
        <v>5744</v>
      </c>
      <c r="B2772" s="2" t="s">
        <v>5745</v>
      </c>
      <c r="C2772" s="2" t="s">
        <v>50</v>
      </c>
      <c r="D2772" s="2" t="s">
        <v>51</v>
      </c>
      <c r="E2772" s="5">
        <v>-28275</v>
      </c>
      <c r="F2772" s="3" t="s">
        <v>1297</v>
      </c>
      <c r="G2772" s="3" t="s">
        <v>35</v>
      </c>
      <c r="H2772" s="2" t="s">
        <v>20</v>
      </c>
      <c r="I2772" s="2" t="s">
        <v>5746</v>
      </c>
      <c r="J2772" s="3" t="str">
        <f>HYPERLINK("https://www.boe.es/gazeta/dias/1822/08/01/pdfs/GMD-1822-225.pdf#page=2","Abrir facsímil")</f>
        <v>Abrir facsímil</v>
      </c>
      <c r="K2772" s="3" t="s">
        <v>22</v>
      </c>
    </row>
    <row r="2773" spans="1:11" ht="42" customHeight="1">
      <c r="A2773" s="2" t="s">
        <v>5747</v>
      </c>
      <c r="B2773" s="2" t="s">
        <v>5748</v>
      </c>
      <c r="C2773" s="2" t="s">
        <v>362</v>
      </c>
      <c r="D2773" s="2" t="s">
        <v>17</v>
      </c>
      <c r="E2773" s="5">
        <v>-28194</v>
      </c>
      <c r="F2773" s="3" t="s">
        <v>18</v>
      </c>
      <c r="G2773" s="3" t="s">
        <v>63</v>
      </c>
      <c r="H2773" s="2" t="s">
        <v>20</v>
      </c>
      <c r="I2773" s="2" t="s">
        <v>5749</v>
      </c>
      <c r="J2773" s="3" t="str">
        <f>HYPERLINK("https://www.boe.es/gazeta/dias/1822/10/21/pdfs/GMD-1822-308.pdf#page=6","Abrir facsímil")</f>
        <v>Abrir facsímil</v>
      </c>
      <c r="K2773" s="3" t="s">
        <v>22</v>
      </c>
    </row>
    <row r="2774" spans="1:11" ht="42" customHeight="1">
      <c r="A2774" s="2" t="s">
        <v>5750</v>
      </c>
      <c r="B2774" s="2" t="s">
        <v>5751</v>
      </c>
      <c r="C2774" s="2" t="s">
        <v>50</v>
      </c>
      <c r="D2774" s="2" t="s">
        <v>51</v>
      </c>
      <c r="E2774" s="5">
        <v>-28261</v>
      </c>
      <c r="F2774" s="3" t="s">
        <v>5685</v>
      </c>
      <c r="G2774" s="3" t="s">
        <v>35</v>
      </c>
      <c r="H2774" s="2" t="s">
        <v>20</v>
      </c>
      <c r="I2774" s="2" t="s">
        <v>5752</v>
      </c>
      <c r="J2774" s="3" t="str">
        <f>HYPERLINK("https://www.boe.es/gazeta/dias/1822/08/15/pdfs/GMD-1822-239.pdf#page=2","Abrir facsímil")</f>
        <v>Abrir facsímil</v>
      </c>
      <c r="K2774" s="3" t="s">
        <v>22</v>
      </c>
    </row>
    <row r="2775" spans="1:11" ht="42" customHeight="1">
      <c r="A2775" s="2" t="s">
        <v>5753</v>
      </c>
      <c r="B2775" s="2" t="s">
        <v>5754</v>
      </c>
      <c r="C2775" s="2" t="s">
        <v>24</v>
      </c>
      <c r="D2775" s="2" t="s">
        <v>17</v>
      </c>
      <c r="E2775" s="5">
        <v>-28307</v>
      </c>
      <c r="F2775" s="3" t="s">
        <v>555</v>
      </c>
      <c r="G2775" s="3" t="s">
        <v>157</v>
      </c>
      <c r="H2775" s="2" t="s">
        <v>20</v>
      </c>
      <c r="I2775" s="2" t="s">
        <v>5755</v>
      </c>
      <c r="J2775" s="3" t="str">
        <f>HYPERLINK("https://www.boe.es/gazeta/dias/1822/06/30/pdfs/GMD-1822-188.pdf#page=8","Abrir facsímil")</f>
        <v>Abrir facsímil</v>
      </c>
      <c r="K2775" s="3" t="s">
        <v>22</v>
      </c>
    </row>
    <row r="2776" spans="1:11" ht="42" customHeight="1">
      <c r="A2776" s="2" t="s">
        <v>5756</v>
      </c>
      <c r="B2776" s="2" t="s">
        <v>5757</v>
      </c>
      <c r="C2776" s="2" t="s">
        <v>24</v>
      </c>
      <c r="D2776" s="2" t="s">
        <v>17</v>
      </c>
      <c r="E2776" s="5">
        <v>-28379</v>
      </c>
      <c r="F2776" s="3" t="s">
        <v>494</v>
      </c>
      <c r="G2776" s="3" t="s">
        <v>63</v>
      </c>
      <c r="H2776" s="2" t="s">
        <v>20</v>
      </c>
      <c r="I2776" s="2" t="s">
        <v>5758</v>
      </c>
      <c r="J2776" s="3" t="str">
        <f>HYPERLINK("https://www.boe.es/gazeta/dias/1822/04/19/pdfs/GMD-1822-111.pdf#page=6","Abrir facsímil")</f>
        <v>Abrir facsímil</v>
      </c>
      <c r="K2776" s="3" t="s">
        <v>22</v>
      </c>
    </row>
    <row r="2777" spans="1:11" ht="42" customHeight="1">
      <c r="A2777" s="2" t="s">
        <v>5756</v>
      </c>
      <c r="B2777" s="2" t="s">
        <v>5757</v>
      </c>
      <c r="C2777" s="2" t="s">
        <v>50</v>
      </c>
      <c r="D2777" s="2" t="s">
        <v>51</v>
      </c>
      <c r="E2777" s="5">
        <v>-28370</v>
      </c>
      <c r="F2777" s="3" t="s">
        <v>207</v>
      </c>
      <c r="G2777" s="3" t="s">
        <v>63</v>
      </c>
      <c r="H2777" s="2" t="s">
        <v>20</v>
      </c>
      <c r="I2777" s="2" t="s">
        <v>5759</v>
      </c>
      <c r="J2777" s="3" t="str">
        <f>HYPERLINK("https://www.boe.es/gazeta/dias/1822/04/28/pdfs/GMD-1822-120.pdf#page=6","Abrir facsímil")</f>
        <v>Abrir facsímil</v>
      </c>
      <c r="K2777" s="3" t="s">
        <v>22</v>
      </c>
    </row>
    <row r="2778" spans="1:11" ht="42" customHeight="1">
      <c r="A2778" s="2" t="s">
        <v>5756</v>
      </c>
      <c r="B2778" s="2" t="s">
        <v>5757</v>
      </c>
      <c r="C2778" s="2" t="s">
        <v>16</v>
      </c>
      <c r="D2778" s="2" t="s">
        <v>17</v>
      </c>
      <c r="E2778" s="5">
        <v>-28366</v>
      </c>
      <c r="F2778" s="3" t="s">
        <v>120</v>
      </c>
      <c r="G2778" s="3" t="s">
        <v>63</v>
      </c>
      <c r="H2778" s="2" t="s">
        <v>20</v>
      </c>
      <c r="I2778" s="2" t="s">
        <v>5760</v>
      </c>
      <c r="J2778" s="3" t="str">
        <f>HYPERLINK("https://www.boe.es/gazeta/dias/1822/05/02/pdfs/GMD-1822-124.pdf#page=6","Abrir facsímil")</f>
        <v>Abrir facsímil</v>
      </c>
      <c r="K2778" s="3" t="s">
        <v>22</v>
      </c>
    </row>
    <row r="2779" spans="1:11" ht="42" customHeight="1">
      <c r="A2779" s="2" t="s">
        <v>5761</v>
      </c>
      <c r="B2779" s="2" t="s">
        <v>5761</v>
      </c>
      <c r="C2779" s="2" t="s">
        <v>50</v>
      </c>
      <c r="D2779" s="2" t="s">
        <v>51</v>
      </c>
      <c r="E2779" s="5">
        <v>-28418</v>
      </c>
      <c r="F2779" s="3" t="s">
        <v>205</v>
      </c>
      <c r="G2779" s="3" t="s">
        <v>57</v>
      </c>
      <c r="H2779" s="2" t="s">
        <v>20</v>
      </c>
      <c r="I2779" s="2" t="s">
        <v>5762</v>
      </c>
      <c r="J2779" s="3" t="str">
        <f>HYPERLINK("https://www.boe.es/gazeta/dias/1822/03/11/pdfs/GMD-1822-72.pdf#page=4","Abrir facsímil")</f>
        <v>Abrir facsímil</v>
      </c>
      <c r="K2779" s="3" t="s">
        <v>22</v>
      </c>
    </row>
    <row r="2780" spans="1:11" ht="42" customHeight="1">
      <c r="A2780" s="2" t="s">
        <v>5763</v>
      </c>
      <c r="B2780" s="2" t="s">
        <v>5764</v>
      </c>
      <c r="C2780" s="2" t="s">
        <v>50</v>
      </c>
      <c r="D2780" s="2" t="s">
        <v>51</v>
      </c>
      <c r="E2780" s="5">
        <v>-28260</v>
      </c>
      <c r="F2780" s="3" t="s">
        <v>135</v>
      </c>
      <c r="G2780" s="3" t="s">
        <v>31</v>
      </c>
      <c r="H2780" s="2" t="s">
        <v>20</v>
      </c>
      <c r="I2780" s="2" t="s">
        <v>5765</v>
      </c>
      <c r="J2780" s="3" t="str">
        <f>HYPERLINK("https://www.boe.es/gazeta/dias/1822/08/16/pdfs/GMD-1822-240.pdf#page=3","Abrir facsímil")</f>
        <v>Abrir facsímil</v>
      </c>
      <c r="K2780" s="3" t="s">
        <v>22</v>
      </c>
    </row>
    <row r="2781" spans="1:11" ht="42" customHeight="1">
      <c r="A2781" s="2" t="s">
        <v>5766</v>
      </c>
      <c r="B2781" s="2" t="s">
        <v>5767</v>
      </c>
      <c r="C2781" s="2" t="s">
        <v>50</v>
      </c>
      <c r="D2781" s="2" t="s">
        <v>51</v>
      </c>
      <c r="E2781" s="5">
        <v>-28190</v>
      </c>
      <c r="F2781" s="3" t="s">
        <v>576</v>
      </c>
      <c r="G2781" s="3" t="s">
        <v>63</v>
      </c>
      <c r="H2781" s="2" t="s">
        <v>20</v>
      </c>
      <c r="I2781" s="2" t="s">
        <v>5768</v>
      </c>
      <c r="J2781" s="3" t="str">
        <f>HYPERLINK("https://www.boe.es/gazeta/dias/1822/10/25/pdfs/GMD-1822-312.pdf#page=6","Abrir facsímil")</f>
        <v>Abrir facsímil</v>
      </c>
      <c r="K2781" s="3" t="s">
        <v>22</v>
      </c>
    </row>
    <row r="2782" spans="1:11" ht="42" customHeight="1">
      <c r="A2782" s="2" t="s">
        <v>5769</v>
      </c>
      <c r="B2782" s="2" t="s">
        <v>5770</v>
      </c>
      <c r="C2782" s="2" t="s">
        <v>50</v>
      </c>
      <c r="D2782" s="2" t="s">
        <v>51</v>
      </c>
      <c r="E2782" s="5">
        <v>-28383</v>
      </c>
      <c r="F2782" s="3" t="s">
        <v>488</v>
      </c>
      <c r="G2782" s="3" t="s">
        <v>44</v>
      </c>
      <c r="H2782" s="2" t="s">
        <v>20</v>
      </c>
      <c r="I2782" s="2" t="s">
        <v>5771</v>
      </c>
      <c r="J2782" s="3" t="str">
        <f>HYPERLINK("https://www.boe.es/gazeta/dias/1822/04/15/pdfs/GMD-1822-107.pdf#page=1","Abrir facsímil")</f>
        <v>Abrir facsímil</v>
      </c>
      <c r="K2782" s="3" t="s">
        <v>22</v>
      </c>
    </row>
    <row r="2783" spans="1:11" ht="42" customHeight="1">
      <c r="A2783" s="2" t="s">
        <v>5772</v>
      </c>
      <c r="B2783" s="2" t="s">
        <v>5772</v>
      </c>
      <c r="C2783" s="2" t="s">
        <v>28</v>
      </c>
      <c r="D2783" s="2" t="s">
        <v>29</v>
      </c>
      <c r="E2783" s="5">
        <v>-28421</v>
      </c>
      <c r="F2783" s="3" t="s">
        <v>446</v>
      </c>
      <c r="G2783" s="3" t="s">
        <v>63</v>
      </c>
      <c r="H2783" s="2" t="s">
        <v>20</v>
      </c>
      <c r="I2783" s="2" t="s">
        <v>5773</v>
      </c>
      <c r="J2783" s="3" t="str">
        <f>HYPERLINK("https://www.boe.es/gazeta/dias/1822/03/08/pdfs/GMD-1822-69.pdf#page=6","Abrir facsímil")</f>
        <v>Abrir facsímil</v>
      </c>
      <c r="K2783" s="3" t="s">
        <v>22</v>
      </c>
    </row>
    <row r="2784" spans="1:11" ht="42" customHeight="1">
      <c r="A2784" s="2" t="s">
        <v>5772</v>
      </c>
      <c r="B2784" s="2" t="s">
        <v>5772</v>
      </c>
      <c r="C2784" s="2" t="s">
        <v>28</v>
      </c>
      <c r="D2784" s="2" t="s">
        <v>29</v>
      </c>
      <c r="E2784" s="5">
        <v>-28419</v>
      </c>
      <c r="F2784" s="3" t="s">
        <v>1392</v>
      </c>
      <c r="G2784" s="3" t="s">
        <v>63</v>
      </c>
      <c r="H2784" s="2" t="s">
        <v>20</v>
      </c>
      <c r="I2784" s="2" t="s">
        <v>5774</v>
      </c>
      <c r="J2784" s="3" t="str">
        <f>HYPERLINK("https://www.boe.es/gazeta/dias/1822/03/10/pdfs/GMD-1822-71.pdf#page=6","Abrir facsímil")</f>
        <v>Abrir facsímil</v>
      </c>
      <c r="K2784" s="3" t="s">
        <v>22</v>
      </c>
    </row>
    <row r="2785" spans="1:11" ht="42" customHeight="1">
      <c r="A2785" s="2" t="s">
        <v>5772</v>
      </c>
      <c r="B2785" s="2" t="s">
        <v>5772</v>
      </c>
      <c r="C2785" s="2" t="s">
        <v>71</v>
      </c>
      <c r="D2785" s="2" t="s">
        <v>17</v>
      </c>
      <c r="E2785" s="5">
        <v>-28369</v>
      </c>
      <c r="F2785" s="3" t="s">
        <v>1590</v>
      </c>
      <c r="G2785" s="3" t="s">
        <v>57</v>
      </c>
      <c r="H2785" s="2" t="s">
        <v>20</v>
      </c>
      <c r="I2785" s="2" t="s">
        <v>5775</v>
      </c>
      <c r="J2785" s="3" t="str">
        <f>HYPERLINK("https://www.boe.es/gazeta/dias/1822/04/29/pdfs/GMD-1822-121.pdf#page=4","Abrir facsímil")</f>
        <v>Abrir facsímil</v>
      </c>
      <c r="K2785" s="3" t="s">
        <v>22</v>
      </c>
    </row>
    <row r="2786" spans="1:11" ht="42" customHeight="1">
      <c r="A2786" s="2" t="s">
        <v>5772</v>
      </c>
      <c r="B2786" s="2" t="s">
        <v>5772</v>
      </c>
      <c r="C2786" s="2" t="s">
        <v>42</v>
      </c>
      <c r="D2786" s="2" t="s">
        <v>17</v>
      </c>
      <c r="E2786" s="5">
        <v>-28360</v>
      </c>
      <c r="F2786" s="3" t="s">
        <v>514</v>
      </c>
      <c r="G2786" s="3" t="s">
        <v>31</v>
      </c>
      <c r="H2786" s="2" t="s">
        <v>20</v>
      </c>
      <c r="I2786" s="2" t="s">
        <v>5776</v>
      </c>
      <c r="J2786" s="3" t="str">
        <f>HYPERLINK("https://www.boe.es/gazeta/dias/1822/05/08/pdfs/GMD-1822-130.pdf#page=3","Abrir facsímil")</f>
        <v>Abrir facsímil</v>
      </c>
      <c r="K2786" s="3" t="s">
        <v>22</v>
      </c>
    </row>
    <row r="2787" spans="1:11" ht="42" customHeight="1">
      <c r="A2787" s="2" t="s">
        <v>5772</v>
      </c>
      <c r="B2787" s="2" t="s">
        <v>5772</v>
      </c>
      <c r="C2787" s="2" t="s">
        <v>71</v>
      </c>
      <c r="D2787" s="2" t="s">
        <v>17</v>
      </c>
      <c r="E2787" s="5">
        <v>-28356</v>
      </c>
      <c r="F2787" s="3" t="s">
        <v>4170</v>
      </c>
      <c r="G2787" s="3" t="s">
        <v>44</v>
      </c>
      <c r="H2787" s="2" t="s">
        <v>20</v>
      </c>
      <c r="I2787" s="2" t="s">
        <v>5777</v>
      </c>
      <c r="J2787" s="3" t="str">
        <f>HYPERLINK("https://www.boe.es/gazeta/dias/1822/05/12/pdfs/GMD-1822-134.pdf#page=1","Abrir facsímil")</f>
        <v>Abrir facsímil</v>
      </c>
      <c r="K2787" s="3" t="s">
        <v>22</v>
      </c>
    </row>
    <row r="2788" spans="1:11" ht="42" customHeight="1">
      <c r="A2788" s="2" t="s">
        <v>5772</v>
      </c>
      <c r="B2788" s="2" t="s">
        <v>5772</v>
      </c>
      <c r="C2788" s="2" t="s">
        <v>50</v>
      </c>
      <c r="D2788" s="2" t="s">
        <v>51</v>
      </c>
      <c r="E2788" s="5">
        <v>-28344</v>
      </c>
      <c r="F2788" s="3" t="s">
        <v>524</v>
      </c>
      <c r="G2788" s="3" t="s">
        <v>57</v>
      </c>
      <c r="H2788" s="2" t="s">
        <v>20</v>
      </c>
      <c r="I2788" s="2" t="s">
        <v>5778</v>
      </c>
      <c r="J2788" s="3" t="str">
        <f>HYPERLINK("https://www.boe.es/gazeta/dias/1822/05/24/pdfs/GMD-1822-148.pdf#page=4","Abrir facsímil")</f>
        <v>Abrir facsímil</v>
      </c>
      <c r="K2788" s="3" t="s">
        <v>22</v>
      </c>
    </row>
    <row r="2789" spans="1:11" ht="42" customHeight="1">
      <c r="A2789" s="2" t="s">
        <v>5772</v>
      </c>
      <c r="B2789" s="2" t="s">
        <v>5772</v>
      </c>
      <c r="C2789" s="2" t="s">
        <v>50</v>
      </c>
      <c r="D2789" s="2" t="s">
        <v>51</v>
      </c>
      <c r="E2789" s="5">
        <v>-28323</v>
      </c>
      <c r="F2789" s="3" t="s">
        <v>116</v>
      </c>
      <c r="G2789" s="3" t="s">
        <v>57</v>
      </c>
      <c r="H2789" s="2" t="s">
        <v>20</v>
      </c>
      <c r="I2789" s="2" t="s">
        <v>5779</v>
      </c>
      <c r="J2789" s="3" t="str">
        <f>HYPERLINK("https://www.boe.es/gazeta/dias/1822/06/14/pdfs/GMD-1822-171.pdf#page=4","Abrir facsímil")</f>
        <v>Abrir facsímil</v>
      </c>
      <c r="K2789" s="3" t="s">
        <v>22</v>
      </c>
    </row>
    <row r="2790" spans="1:11" ht="42" customHeight="1">
      <c r="A2790" s="2" t="s">
        <v>5772</v>
      </c>
      <c r="B2790" s="2" t="s">
        <v>5772</v>
      </c>
      <c r="C2790" s="2" t="s">
        <v>28</v>
      </c>
      <c r="D2790" s="2" t="s">
        <v>29</v>
      </c>
      <c r="E2790" s="5">
        <v>-28190</v>
      </c>
      <c r="F2790" s="3" t="s">
        <v>576</v>
      </c>
      <c r="G2790" s="3" t="s">
        <v>57</v>
      </c>
      <c r="H2790" s="2" t="s">
        <v>20</v>
      </c>
      <c r="I2790" s="2" t="s">
        <v>5780</v>
      </c>
      <c r="J2790" s="3" t="str">
        <f>HYPERLINK("https://www.boe.es/gazeta/dias/1822/10/25/pdfs/GMD-1822-312.pdf#page=4","Abrir facsímil")</f>
        <v>Abrir facsímil</v>
      </c>
      <c r="K2790" s="3" t="s">
        <v>22</v>
      </c>
    </row>
    <row r="2791" spans="1:11" ht="42" customHeight="1">
      <c r="A2791" s="2" t="s">
        <v>5772</v>
      </c>
      <c r="B2791" s="2" t="s">
        <v>5772</v>
      </c>
      <c r="C2791" s="2" t="s">
        <v>42</v>
      </c>
      <c r="D2791" s="2" t="s">
        <v>17</v>
      </c>
      <c r="E2791" s="5">
        <v>-28129</v>
      </c>
      <c r="F2791" s="3" t="s">
        <v>599</v>
      </c>
      <c r="G2791" s="3" t="s">
        <v>57</v>
      </c>
      <c r="H2791" s="2" t="s">
        <v>20</v>
      </c>
      <c r="I2791" s="2" t="s">
        <v>5781</v>
      </c>
      <c r="J2791" s="3" t="str">
        <f>HYPERLINK("https://www.boe.es/gazeta/dias/1822/12/25/pdfs/GMD-1822-375.pdf#page=4","Abrir facsímil")</f>
        <v>Abrir facsímil</v>
      </c>
      <c r="K2791" s="3" t="s">
        <v>22</v>
      </c>
    </row>
    <row r="2792" spans="1:11" ht="42" customHeight="1">
      <c r="A2792" s="2" t="s">
        <v>5772</v>
      </c>
      <c r="B2792" s="2" t="s">
        <v>5772</v>
      </c>
      <c r="C2792" s="2" t="s">
        <v>28</v>
      </c>
      <c r="D2792" s="2" t="s">
        <v>29</v>
      </c>
      <c r="E2792" s="5">
        <v>-28126</v>
      </c>
      <c r="F2792" s="3" t="s">
        <v>952</v>
      </c>
      <c r="G2792" s="3" t="s">
        <v>31</v>
      </c>
      <c r="H2792" s="2" t="s">
        <v>20</v>
      </c>
      <c r="I2792" s="2" t="s">
        <v>5782</v>
      </c>
      <c r="J2792" s="3" t="str">
        <f>HYPERLINK("https://www.boe.es/gazeta/dias/1822/12/28/pdfs/GMD-1822-378.pdf#page=3","Abrir facsímil")</f>
        <v>Abrir facsímil</v>
      </c>
      <c r="K2792" s="3" t="s">
        <v>22</v>
      </c>
    </row>
    <row r="2793" spans="1:11" ht="42" customHeight="1">
      <c r="A2793" s="2" t="s">
        <v>5783</v>
      </c>
      <c r="B2793" s="2" t="s">
        <v>5783</v>
      </c>
      <c r="C2793" s="2" t="s">
        <v>42</v>
      </c>
      <c r="D2793" s="2" t="s">
        <v>17</v>
      </c>
      <c r="E2793" s="5">
        <v>-28323</v>
      </c>
      <c r="F2793" s="3" t="s">
        <v>116</v>
      </c>
      <c r="G2793" s="3" t="s">
        <v>31</v>
      </c>
      <c r="H2793" s="2" t="s">
        <v>20</v>
      </c>
      <c r="I2793" s="2" t="s">
        <v>5784</v>
      </c>
      <c r="J2793" s="3" t="str">
        <f>HYPERLINK("https://www.boe.es/gazeta/dias/1822/06/14/pdfs/GMD-1822-171.pdf#page=3","Abrir facsímil")</f>
        <v>Abrir facsímil</v>
      </c>
      <c r="K2793" s="3" t="s">
        <v>22</v>
      </c>
    </row>
    <row r="2794" spans="1:11" ht="42" customHeight="1">
      <c r="A2794" s="2" t="s">
        <v>5785</v>
      </c>
      <c r="B2794" s="2" t="s">
        <v>5786</v>
      </c>
      <c r="C2794" s="2" t="s">
        <v>42</v>
      </c>
      <c r="D2794" s="2" t="s">
        <v>17</v>
      </c>
      <c r="E2794" s="5">
        <v>-28225</v>
      </c>
      <c r="F2794" s="3" t="s">
        <v>177</v>
      </c>
      <c r="G2794" s="3" t="s">
        <v>178</v>
      </c>
      <c r="H2794" s="2" t="s">
        <v>20</v>
      </c>
      <c r="I2794" s="2" t="s">
        <v>5787</v>
      </c>
      <c r="J2794" s="3" t="str">
        <f>HYPERLINK("https://www.boe.es/gazeta/dias/1822/09/20/pdfs/GMD-1822-276.pdf#page=3","Abrir facsímil")</f>
        <v>Abrir facsímil</v>
      </c>
      <c r="K2794" s="3" t="s">
        <v>22</v>
      </c>
    </row>
    <row r="2795" spans="1:11" ht="42" customHeight="1">
      <c r="A2795" s="2" t="s">
        <v>5788</v>
      </c>
      <c r="B2795" s="2" t="s">
        <v>5789</v>
      </c>
      <c r="C2795" s="2" t="s">
        <v>42</v>
      </c>
      <c r="D2795" s="2" t="s">
        <v>17</v>
      </c>
      <c r="E2795" s="5">
        <v>-28127</v>
      </c>
      <c r="F2795" s="3" t="s">
        <v>409</v>
      </c>
      <c r="G2795" s="3" t="s">
        <v>5790</v>
      </c>
      <c r="H2795" s="2" t="s">
        <v>20</v>
      </c>
      <c r="I2795" s="2" t="s">
        <v>5791</v>
      </c>
      <c r="J2795" s="3" t="str">
        <f>HYPERLINK("https://www.boe.es/gazeta/dias/1822/12/27/pdfs/GMD-1822-377.pdf#page=6","Abrir facsímil")</f>
        <v>Abrir facsímil</v>
      </c>
      <c r="K2795" s="3" t="s">
        <v>22</v>
      </c>
    </row>
    <row r="2796" spans="1:11" ht="42" customHeight="1">
      <c r="A2796" s="2" t="s">
        <v>5792</v>
      </c>
      <c r="B2796" s="2" t="s">
        <v>5793</v>
      </c>
      <c r="C2796" s="2" t="s">
        <v>50</v>
      </c>
      <c r="D2796" s="2" t="s">
        <v>51</v>
      </c>
      <c r="E2796" s="5">
        <v>-28345</v>
      </c>
      <c r="F2796" s="3" t="s">
        <v>294</v>
      </c>
      <c r="G2796" s="3" t="s">
        <v>35</v>
      </c>
      <c r="H2796" s="2" t="s">
        <v>20</v>
      </c>
      <c r="I2796" s="2" t="s">
        <v>5794</v>
      </c>
      <c r="J2796" s="3" t="str">
        <f>HYPERLINK("https://www.boe.es/gazeta/dias/1822/05/23/pdfs/GMD-1822-147.pdf#page=2","Abrir facsímil")</f>
        <v>Abrir facsímil</v>
      </c>
      <c r="K2796" s="3" t="s">
        <v>22</v>
      </c>
    </row>
    <row r="2797" spans="1:11" ht="42" customHeight="1">
      <c r="A2797" s="2" t="s">
        <v>5795</v>
      </c>
      <c r="B2797" s="2" t="s">
        <v>5796</v>
      </c>
      <c r="C2797" s="2" t="s">
        <v>42</v>
      </c>
      <c r="D2797" s="2" t="s">
        <v>17</v>
      </c>
      <c r="E2797" s="5">
        <v>-28405</v>
      </c>
      <c r="F2797" s="3" t="s">
        <v>466</v>
      </c>
      <c r="G2797" s="3" t="s">
        <v>35</v>
      </c>
      <c r="H2797" s="2" t="s">
        <v>20</v>
      </c>
      <c r="I2797" s="2" t="s">
        <v>5797</v>
      </c>
      <c r="J2797" s="3" t="str">
        <f>HYPERLINK("https://www.boe.es/gazeta/dias/1822/03/24/pdfs/GMD-1822-85.pdf#page=2","Abrir facsímil")</f>
        <v>Abrir facsímil</v>
      </c>
      <c r="K2797" s="3" t="s">
        <v>22</v>
      </c>
    </row>
    <row r="2798" spans="1:11" ht="42" customHeight="1">
      <c r="A2798" s="2" t="s">
        <v>5798</v>
      </c>
      <c r="B2798" s="2" t="s">
        <v>5799</v>
      </c>
      <c r="C2798" s="2" t="s">
        <v>50</v>
      </c>
      <c r="D2798" s="2" t="s">
        <v>51</v>
      </c>
      <c r="E2798" s="5">
        <v>-28125</v>
      </c>
      <c r="F2798" s="3" t="s">
        <v>322</v>
      </c>
      <c r="G2798" s="3" t="s">
        <v>63</v>
      </c>
      <c r="H2798" s="2" t="s">
        <v>20</v>
      </c>
      <c r="I2798" s="2" t="s">
        <v>5800</v>
      </c>
      <c r="J2798" s="3" t="str">
        <f>HYPERLINK("https://www.boe.es/gazeta/dias/1822/12/29/pdfs/GMD-1822-379.pdf#page=6","Abrir facsímil")</f>
        <v>Abrir facsímil</v>
      </c>
      <c r="K2798" s="3" t="s">
        <v>22</v>
      </c>
    </row>
    <row r="2799" spans="1:11" ht="42" customHeight="1">
      <c r="A2799" s="2" t="s">
        <v>5801</v>
      </c>
      <c r="B2799" s="2" t="s">
        <v>5802</v>
      </c>
      <c r="C2799" s="2" t="s">
        <v>42</v>
      </c>
      <c r="D2799" s="2" t="s">
        <v>17</v>
      </c>
      <c r="E2799" s="5">
        <v>-28125</v>
      </c>
      <c r="F2799" s="3" t="s">
        <v>322</v>
      </c>
      <c r="G2799" s="3" t="s">
        <v>63</v>
      </c>
      <c r="H2799" s="2" t="s">
        <v>20</v>
      </c>
      <c r="I2799" s="2" t="s">
        <v>5803</v>
      </c>
      <c r="J2799" s="3" t="str">
        <f>HYPERLINK("https://www.boe.es/gazeta/dias/1822/12/29/pdfs/GMD-1822-379.pdf#page=6","Abrir facsímil")</f>
        <v>Abrir facsímil</v>
      </c>
      <c r="K2799" s="3" t="s">
        <v>22</v>
      </c>
    </row>
    <row r="2800" spans="1:11" ht="42" customHeight="1">
      <c r="A2800" s="2" t="s">
        <v>5804</v>
      </c>
      <c r="B2800" s="2" t="s">
        <v>5805</v>
      </c>
      <c r="C2800" s="2" t="s">
        <v>50</v>
      </c>
      <c r="D2800" s="2" t="s">
        <v>51</v>
      </c>
      <c r="E2800" s="5">
        <v>-28450</v>
      </c>
      <c r="F2800" s="3" t="s">
        <v>1450</v>
      </c>
      <c r="G2800" s="3" t="s">
        <v>2247</v>
      </c>
      <c r="H2800" s="2" t="s">
        <v>20</v>
      </c>
      <c r="I2800" s="2" t="s">
        <v>5806</v>
      </c>
      <c r="J2800" s="3" t="str">
        <f>HYPERLINK("https://www.boe.es/gazeta/dias/1822/02/07/pdfs/GMD-1822-38.pdf#page=6","Abrir facsímil")</f>
        <v>Abrir facsímil</v>
      </c>
      <c r="K2800" s="3" t="s">
        <v>22</v>
      </c>
    </row>
    <row r="2801" spans="1:11" ht="42" customHeight="1">
      <c r="A2801" s="2" t="s">
        <v>5807</v>
      </c>
      <c r="B2801" s="2" t="s">
        <v>5808</v>
      </c>
      <c r="C2801" s="2" t="s">
        <v>71</v>
      </c>
      <c r="D2801" s="2" t="s">
        <v>17</v>
      </c>
      <c r="E2801" s="5">
        <v>-28376</v>
      </c>
      <c r="F2801" s="3" t="s">
        <v>500</v>
      </c>
      <c r="G2801" s="3" t="s">
        <v>35</v>
      </c>
      <c r="H2801" s="2" t="s">
        <v>20</v>
      </c>
      <c r="I2801" s="2" t="s">
        <v>5809</v>
      </c>
      <c r="J2801" s="3" t="str">
        <f>HYPERLINK("https://www.boe.es/gazeta/dias/1822/04/22/pdfs/GMD-1822-114.pdf#page=2","Abrir facsímil")</f>
        <v>Abrir facsímil</v>
      </c>
      <c r="K2801" s="3" t="s">
        <v>22</v>
      </c>
    </row>
    <row r="2802" spans="1:11" ht="42" customHeight="1">
      <c r="A2802" s="2" t="s">
        <v>5810</v>
      </c>
      <c r="B2802" s="2" t="s">
        <v>5810</v>
      </c>
      <c r="C2802" s="2" t="s">
        <v>28</v>
      </c>
      <c r="D2802" s="2" t="s">
        <v>29</v>
      </c>
      <c r="E2802" s="5">
        <v>-28199</v>
      </c>
      <c r="F2802" s="3" t="s">
        <v>656</v>
      </c>
      <c r="G2802" s="3" t="s">
        <v>19</v>
      </c>
      <c r="H2802" s="2" t="s">
        <v>20</v>
      </c>
      <c r="I2802" s="2" t="s">
        <v>5811</v>
      </c>
      <c r="J2802" s="3" t="str">
        <f>HYPERLINK("https://www.boe.es/gazeta/dias/1822/10/16/pdfs/GMD-1822-303.pdf#page=5","Abrir facsímil")</f>
        <v>Abrir facsímil</v>
      </c>
      <c r="K2802" s="3" t="s">
        <v>22</v>
      </c>
    </row>
    <row r="2803" spans="1:11" ht="42" customHeight="1">
      <c r="A2803" s="2" t="s">
        <v>5812</v>
      </c>
      <c r="B2803" s="2" t="s">
        <v>5813</v>
      </c>
      <c r="C2803" s="2" t="s">
        <v>50</v>
      </c>
      <c r="D2803" s="2" t="s">
        <v>51</v>
      </c>
      <c r="E2803" s="5">
        <v>-28264</v>
      </c>
      <c r="F2803" s="3" t="s">
        <v>1329</v>
      </c>
      <c r="G2803" s="3" t="s">
        <v>57</v>
      </c>
      <c r="H2803" s="2" t="s">
        <v>20</v>
      </c>
      <c r="I2803" s="2" t="s">
        <v>5814</v>
      </c>
      <c r="J2803" s="3" t="str">
        <f>HYPERLINK("https://www.boe.es/gazeta/dias/1822/08/12/pdfs/GMD-1822-236.pdf#page=4","Abrir facsímil")</f>
        <v>Abrir facsímil</v>
      </c>
      <c r="K2803" s="3" t="s">
        <v>22</v>
      </c>
    </row>
    <row r="2804" spans="1:11" ht="42" customHeight="1">
      <c r="A2804" s="2" t="s">
        <v>5815</v>
      </c>
      <c r="B2804" s="2" t="s">
        <v>5815</v>
      </c>
      <c r="C2804" s="2" t="s">
        <v>71</v>
      </c>
      <c r="D2804" s="2" t="s">
        <v>17</v>
      </c>
      <c r="E2804" s="5">
        <v>-28388</v>
      </c>
      <c r="F2804" s="3" t="s">
        <v>1268</v>
      </c>
      <c r="G2804" s="3" t="s">
        <v>44</v>
      </c>
      <c r="H2804" s="2" t="s">
        <v>20</v>
      </c>
      <c r="I2804" s="2" t="s">
        <v>5816</v>
      </c>
      <c r="J2804" s="3" t="str">
        <f>HYPERLINK("https://www.boe.es/gazeta/dias/1822/04/10/pdfs/GMD-1822-102.pdf#page=1","Abrir facsímil")</f>
        <v>Abrir facsímil</v>
      </c>
      <c r="K2804" s="3" t="s">
        <v>22</v>
      </c>
    </row>
    <row r="2805" spans="1:11" ht="42" customHeight="1">
      <c r="A2805" s="2" t="s">
        <v>5815</v>
      </c>
      <c r="B2805" s="2" t="s">
        <v>5815</v>
      </c>
      <c r="C2805" s="2" t="s">
        <v>28</v>
      </c>
      <c r="D2805" s="2" t="s">
        <v>29</v>
      </c>
      <c r="E2805" s="5">
        <v>-28359</v>
      </c>
      <c r="F2805" s="3" t="s">
        <v>209</v>
      </c>
      <c r="G2805" s="3" t="s">
        <v>31</v>
      </c>
      <c r="H2805" s="2" t="s">
        <v>20</v>
      </c>
      <c r="I2805" s="2" t="s">
        <v>5817</v>
      </c>
      <c r="J2805" s="3" t="str">
        <f>HYPERLINK("https://www.boe.es/gazeta/dias/1822/05/09/pdfs/GMD-1822-131.pdf#page=3","Abrir facsímil")</f>
        <v>Abrir facsímil</v>
      </c>
      <c r="K2805" s="3" t="s">
        <v>22</v>
      </c>
    </row>
    <row r="2806" spans="1:11" ht="42" customHeight="1">
      <c r="A2806" s="2" t="s">
        <v>5815</v>
      </c>
      <c r="B2806" s="2" t="s">
        <v>5815</v>
      </c>
      <c r="C2806" s="2" t="s">
        <v>28</v>
      </c>
      <c r="D2806" s="2" t="s">
        <v>29</v>
      </c>
      <c r="E2806" s="5">
        <v>-28327</v>
      </c>
      <c r="F2806" s="3" t="s">
        <v>38</v>
      </c>
      <c r="G2806" s="3" t="s">
        <v>19</v>
      </c>
      <c r="H2806" s="2" t="s">
        <v>20</v>
      </c>
      <c r="I2806" s="2" t="s">
        <v>5818</v>
      </c>
      <c r="J2806" s="3" t="str">
        <f>HYPERLINK("https://www.boe.es/gazeta/dias/1822/06/10/pdfs/GMD-1822-167.pdf#page=5","Abrir facsímil")</f>
        <v>Abrir facsímil</v>
      </c>
      <c r="K2806" s="3" t="s">
        <v>22</v>
      </c>
    </row>
    <row r="2807" spans="1:11" ht="42" customHeight="1">
      <c r="A2807" s="2" t="s">
        <v>5815</v>
      </c>
      <c r="B2807" s="2" t="s">
        <v>5815</v>
      </c>
      <c r="C2807" s="2" t="s">
        <v>28</v>
      </c>
      <c r="D2807" s="2" t="s">
        <v>29</v>
      </c>
      <c r="E2807" s="5">
        <v>-28320</v>
      </c>
      <c r="F2807" s="3" t="s">
        <v>700</v>
      </c>
      <c r="G2807" s="3" t="s">
        <v>44</v>
      </c>
      <c r="H2807" s="2" t="s">
        <v>20</v>
      </c>
      <c r="I2807" s="2" t="s">
        <v>5819</v>
      </c>
      <c r="J2807" s="3" t="str">
        <f>HYPERLINK("https://www.boe.es/gazeta/dias/1822/06/17/pdfs/GMD-1822-174.pdf#page=1","Abrir facsímil")</f>
        <v>Abrir facsímil</v>
      </c>
      <c r="K2807" s="3" t="s">
        <v>22</v>
      </c>
    </row>
    <row r="2808" spans="1:11" ht="42" customHeight="1">
      <c r="A2808" s="2" t="s">
        <v>5815</v>
      </c>
      <c r="B2808" s="2" t="s">
        <v>5815</v>
      </c>
      <c r="C2808" s="2" t="s">
        <v>362</v>
      </c>
      <c r="D2808" s="2" t="s">
        <v>17</v>
      </c>
      <c r="E2808" s="5">
        <v>-28205</v>
      </c>
      <c r="F2808" s="3" t="s">
        <v>806</v>
      </c>
      <c r="G2808" s="3" t="s">
        <v>44</v>
      </c>
      <c r="H2808" s="2" t="s">
        <v>20</v>
      </c>
      <c r="I2808" s="2" t="s">
        <v>5820</v>
      </c>
      <c r="J2808" s="3" t="str">
        <f>HYPERLINK("https://www.boe.es/gazeta/dias/1822/10/10/pdfs/GMD-1822-297.pdf#page=1","Abrir facsímil")</f>
        <v>Abrir facsímil</v>
      </c>
      <c r="K2808" s="3" t="s">
        <v>22</v>
      </c>
    </row>
    <row r="2809" spans="1:11" ht="42" customHeight="1">
      <c r="A2809" s="2" t="s">
        <v>5815</v>
      </c>
      <c r="B2809" s="2" t="s">
        <v>5815</v>
      </c>
      <c r="C2809" s="2" t="s">
        <v>28</v>
      </c>
      <c r="D2809" s="2" t="s">
        <v>29</v>
      </c>
      <c r="E2809" s="5">
        <v>-28190</v>
      </c>
      <c r="F2809" s="3" t="s">
        <v>576</v>
      </c>
      <c r="G2809" s="3" t="s">
        <v>57</v>
      </c>
      <c r="H2809" s="2" t="s">
        <v>20</v>
      </c>
      <c r="I2809" s="2" t="s">
        <v>5821</v>
      </c>
      <c r="J2809" s="3" t="str">
        <f>HYPERLINK("https://www.boe.es/gazeta/dias/1822/10/25/pdfs/GMD-1822-312.pdf#page=4","Abrir facsímil")</f>
        <v>Abrir facsímil</v>
      </c>
      <c r="K2809" s="3" t="s">
        <v>22</v>
      </c>
    </row>
    <row r="2810" spans="1:11" ht="42" customHeight="1">
      <c r="A2810" s="2" t="s">
        <v>5815</v>
      </c>
      <c r="B2810" s="2" t="s">
        <v>5815</v>
      </c>
      <c r="C2810" s="2" t="s">
        <v>71</v>
      </c>
      <c r="D2810" s="2" t="s">
        <v>17</v>
      </c>
      <c r="E2810" s="5">
        <v>-28176</v>
      </c>
      <c r="F2810" s="3" t="s">
        <v>780</v>
      </c>
      <c r="G2810" s="3" t="s">
        <v>19</v>
      </c>
      <c r="H2810" s="2" t="s">
        <v>20</v>
      </c>
      <c r="I2810" s="2" t="s">
        <v>5822</v>
      </c>
      <c r="J2810" s="3" t="str">
        <f>HYPERLINK("https://www.boe.es/gazeta/dias/1822/11/08/pdfs/GMD-1822-328.pdf#page=5","Abrir facsímil")</f>
        <v>Abrir facsímil</v>
      </c>
      <c r="K2810" s="3" t="s">
        <v>22</v>
      </c>
    </row>
    <row r="2811" spans="1:11" ht="42" customHeight="1">
      <c r="A2811" s="2" t="s">
        <v>5823</v>
      </c>
      <c r="B2811" s="2" t="s">
        <v>5824</v>
      </c>
      <c r="C2811" s="2" t="s">
        <v>50</v>
      </c>
      <c r="D2811" s="2" t="s">
        <v>51</v>
      </c>
      <c r="E2811" s="5">
        <v>-28155</v>
      </c>
      <c r="F2811" s="3" t="s">
        <v>833</v>
      </c>
      <c r="G2811" s="3" t="s">
        <v>19</v>
      </c>
      <c r="H2811" s="2" t="s">
        <v>20</v>
      </c>
      <c r="I2811" s="2" t="s">
        <v>5825</v>
      </c>
      <c r="J2811" s="3" t="str">
        <f>HYPERLINK("https://www.boe.es/gazeta/dias/1822/11/29/pdfs/GMD-1822-349.pdf#page=5","Abrir facsímil")</f>
        <v>Abrir facsímil</v>
      </c>
      <c r="K2811" s="3" t="s">
        <v>22</v>
      </c>
    </row>
    <row r="2812" spans="1:11" ht="42" customHeight="1">
      <c r="A2812" s="2" t="s">
        <v>5826</v>
      </c>
      <c r="B2812" s="2" t="s">
        <v>5827</v>
      </c>
      <c r="C2812" s="2" t="s">
        <v>61</v>
      </c>
      <c r="D2812" s="2" t="s">
        <v>17</v>
      </c>
      <c r="E2812" s="5">
        <v>-28147</v>
      </c>
      <c r="F2812" s="3" t="s">
        <v>1611</v>
      </c>
      <c r="G2812" s="3" t="s">
        <v>63</v>
      </c>
      <c r="H2812" s="2" t="s">
        <v>20</v>
      </c>
      <c r="I2812" s="2" t="s">
        <v>5828</v>
      </c>
      <c r="J2812" s="3" t="str">
        <f>HYPERLINK("https://www.boe.es/gazeta/dias/1822/12/07/pdfs/GMD-1822-357.pdf#page=6","Abrir facsímil")</f>
        <v>Abrir facsímil</v>
      </c>
      <c r="K2812" s="3" t="s">
        <v>22</v>
      </c>
    </row>
    <row r="2813" spans="1:11" ht="42" customHeight="1">
      <c r="A2813" s="2" t="s">
        <v>5829</v>
      </c>
      <c r="B2813" s="2" t="s">
        <v>5830</v>
      </c>
      <c r="C2813" s="2" t="s">
        <v>24</v>
      </c>
      <c r="D2813" s="2" t="s">
        <v>17</v>
      </c>
      <c r="E2813" s="5">
        <v>-28127</v>
      </c>
      <c r="F2813" s="3" t="s">
        <v>409</v>
      </c>
      <c r="G2813" s="3" t="s">
        <v>31</v>
      </c>
      <c r="H2813" s="2" t="s">
        <v>20</v>
      </c>
      <c r="I2813" s="2" t="s">
        <v>5831</v>
      </c>
      <c r="J2813" s="3" t="str">
        <f>HYPERLINK("https://www.boe.es/gazeta/dias/1822/12/27/pdfs/GMD-1822-377.pdf#page=3","Abrir facsímil")</f>
        <v>Abrir facsímil</v>
      </c>
      <c r="K2813" s="3" t="s">
        <v>22</v>
      </c>
    </row>
    <row r="2814" spans="1:11" ht="42" customHeight="1">
      <c r="A2814" s="2" t="s">
        <v>5832</v>
      </c>
      <c r="B2814" s="2" t="s">
        <v>5833</v>
      </c>
      <c r="C2814" s="2" t="s">
        <v>71</v>
      </c>
      <c r="D2814" s="2" t="s">
        <v>17</v>
      </c>
      <c r="E2814" s="5">
        <v>-28409</v>
      </c>
      <c r="F2814" s="3" t="s">
        <v>394</v>
      </c>
      <c r="G2814" s="3" t="s">
        <v>35</v>
      </c>
      <c r="H2814" s="2" t="s">
        <v>20</v>
      </c>
      <c r="I2814" s="2" t="s">
        <v>5834</v>
      </c>
      <c r="J2814" s="3" t="str">
        <f>HYPERLINK("https://www.boe.es/gazeta/dias/1822/03/20/pdfs/GMD-1822-81.pdf#page=2","Abrir facsímil")</f>
        <v>Abrir facsímil</v>
      </c>
      <c r="K2814" s="3" t="s">
        <v>22</v>
      </c>
    </row>
    <row r="2815" spans="1:11" ht="42" customHeight="1">
      <c r="A2815" s="2" t="s">
        <v>5835</v>
      </c>
      <c r="B2815" s="2" t="s">
        <v>5836</v>
      </c>
      <c r="C2815" s="2" t="s">
        <v>50</v>
      </c>
      <c r="D2815" s="2" t="s">
        <v>51</v>
      </c>
      <c r="E2815" s="5">
        <v>-28388</v>
      </c>
      <c r="F2815" s="3" t="s">
        <v>1268</v>
      </c>
      <c r="G2815" s="3" t="s">
        <v>44</v>
      </c>
      <c r="H2815" s="2" t="s">
        <v>20</v>
      </c>
      <c r="I2815" s="2" t="s">
        <v>5837</v>
      </c>
      <c r="J2815" s="3" t="str">
        <f>HYPERLINK("https://www.boe.es/gazeta/dias/1822/04/10/pdfs/GMD-1822-102.pdf#page=1","Abrir facsímil")</f>
        <v>Abrir facsímil</v>
      </c>
      <c r="K2815" s="3" t="s">
        <v>22</v>
      </c>
    </row>
    <row r="2816" spans="1:11" ht="42" customHeight="1">
      <c r="A2816" s="2" t="s">
        <v>5838</v>
      </c>
      <c r="B2816" s="2" t="s">
        <v>5839</v>
      </c>
      <c r="C2816" s="2" t="s">
        <v>42</v>
      </c>
      <c r="D2816" s="2" t="s">
        <v>17</v>
      </c>
      <c r="E2816" s="5">
        <v>-28361</v>
      </c>
      <c r="F2816" s="3" t="s">
        <v>374</v>
      </c>
      <c r="G2816" s="3" t="s">
        <v>63</v>
      </c>
      <c r="H2816" s="2" t="s">
        <v>20</v>
      </c>
      <c r="I2816" s="2" t="s">
        <v>5840</v>
      </c>
      <c r="J2816" s="3" t="str">
        <f>HYPERLINK("https://www.boe.es/gazeta/dias/1822/05/07/pdfs/GMD-1822-129.pdf#page=6","Abrir facsímil")</f>
        <v>Abrir facsímil</v>
      </c>
      <c r="K2816" s="3" t="s">
        <v>22</v>
      </c>
    </row>
    <row r="2817" spans="1:11" ht="42" customHeight="1">
      <c r="A2817" s="2" t="s">
        <v>5841</v>
      </c>
      <c r="B2817" s="2" t="s">
        <v>5842</v>
      </c>
      <c r="C2817" s="2" t="s">
        <v>50</v>
      </c>
      <c r="D2817" s="2" t="s">
        <v>51</v>
      </c>
      <c r="E2817" s="5">
        <v>-28264</v>
      </c>
      <c r="F2817" s="3" t="s">
        <v>1329</v>
      </c>
      <c r="G2817" s="3" t="s">
        <v>57</v>
      </c>
      <c r="H2817" s="2" t="s">
        <v>20</v>
      </c>
      <c r="I2817" s="2" t="s">
        <v>5843</v>
      </c>
      <c r="J2817" s="3" t="str">
        <f>HYPERLINK("https://www.boe.es/gazeta/dias/1822/08/12/pdfs/GMD-1822-236.pdf#page=4","Abrir facsímil")</f>
        <v>Abrir facsímil</v>
      </c>
      <c r="K2817" s="3" t="s">
        <v>22</v>
      </c>
    </row>
    <row r="2818" spans="1:11" ht="42" customHeight="1">
      <c r="A2818" s="2" t="s">
        <v>5844</v>
      </c>
      <c r="B2818" s="2" t="s">
        <v>5845</v>
      </c>
      <c r="C2818" s="2" t="s">
        <v>50</v>
      </c>
      <c r="D2818" s="2" t="s">
        <v>51</v>
      </c>
      <c r="E2818" s="5">
        <v>-28258</v>
      </c>
      <c r="F2818" s="3" t="s">
        <v>88</v>
      </c>
      <c r="G2818" s="3" t="s">
        <v>57</v>
      </c>
      <c r="H2818" s="2" t="s">
        <v>20</v>
      </c>
      <c r="I2818" s="2" t="s">
        <v>5846</v>
      </c>
      <c r="J2818" s="3" t="str">
        <f>HYPERLINK("https://www.boe.es/gazeta/dias/1822/08/18/pdfs/GMD-1822-242.pdf#page=4","Abrir facsímil")</f>
        <v>Abrir facsímil</v>
      </c>
      <c r="K2818" s="3" t="s">
        <v>22</v>
      </c>
    </row>
    <row r="2819" spans="1:11" ht="42" customHeight="1">
      <c r="A2819" s="2" t="s">
        <v>5847</v>
      </c>
      <c r="B2819" s="2" t="s">
        <v>5847</v>
      </c>
      <c r="C2819" s="2" t="s">
        <v>50</v>
      </c>
      <c r="D2819" s="2" t="s">
        <v>51</v>
      </c>
      <c r="E2819" s="5">
        <v>-28222</v>
      </c>
      <c r="F2819" s="3" t="s">
        <v>2027</v>
      </c>
      <c r="G2819" s="3" t="s">
        <v>31</v>
      </c>
      <c r="H2819" s="2" t="s">
        <v>20</v>
      </c>
      <c r="I2819" s="2" t="s">
        <v>5848</v>
      </c>
      <c r="J2819" s="3" t="str">
        <f>HYPERLINK("https://www.boe.es/gazeta/dias/1822/09/23/pdfs/GMD-1822-279.pdf#page=3","Abrir facsímil")</f>
        <v>Abrir facsímil</v>
      </c>
      <c r="K2819" s="3" t="s">
        <v>22</v>
      </c>
    </row>
    <row r="2820" spans="1:11" ht="42" customHeight="1">
      <c r="A2820" s="2" t="s">
        <v>5849</v>
      </c>
      <c r="B2820" s="2" t="s">
        <v>5850</v>
      </c>
      <c r="C2820" s="2" t="s">
        <v>42</v>
      </c>
      <c r="D2820" s="2" t="s">
        <v>17</v>
      </c>
      <c r="E2820" s="5">
        <v>-28307</v>
      </c>
      <c r="F2820" s="3" t="s">
        <v>555</v>
      </c>
      <c r="G2820" s="3" t="s">
        <v>157</v>
      </c>
      <c r="H2820" s="2" t="s">
        <v>20</v>
      </c>
      <c r="I2820" s="2" t="s">
        <v>5851</v>
      </c>
      <c r="J2820" s="3" t="str">
        <f>HYPERLINK("https://www.boe.es/gazeta/dias/1822/06/30/pdfs/GMD-1822-188.pdf#page=8","Abrir facsímil")</f>
        <v>Abrir facsímil</v>
      </c>
      <c r="K2820" s="3" t="s">
        <v>22</v>
      </c>
    </row>
    <row r="2821" spans="1:11" ht="42" customHeight="1">
      <c r="A2821" s="2" t="s">
        <v>5852</v>
      </c>
      <c r="B2821" s="2" t="s">
        <v>5852</v>
      </c>
      <c r="C2821" s="2" t="s">
        <v>61</v>
      </c>
      <c r="D2821" s="2" t="s">
        <v>17</v>
      </c>
      <c r="E2821" s="5">
        <v>-28480</v>
      </c>
      <c r="F2821" s="3" t="s">
        <v>995</v>
      </c>
      <c r="G2821" s="3" t="s">
        <v>57</v>
      </c>
      <c r="H2821" s="2" t="s">
        <v>20</v>
      </c>
      <c r="I2821" s="2" t="s">
        <v>5853</v>
      </c>
      <c r="J2821" s="3" t="str">
        <f>HYPERLINK("https://www.boe.es/gazeta/dias/1822/01/08/pdfs/GMD-1822-8.pdf#page=4","Abrir facsímil")</f>
        <v>Abrir facsímil</v>
      </c>
      <c r="K2821" s="3" t="s">
        <v>22</v>
      </c>
    </row>
    <row r="2822" spans="1:11" ht="42" customHeight="1">
      <c r="A2822" s="2" t="s">
        <v>5852</v>
      </c>
      <c r="B2822" s="2" t="s">
        <v>5852</v>
      </c>
      <c r="C2822" s="2" t="s">
        <v>362</v>
      </c>
      <c r="D2822" s="2" t="s">
        <v>17</v>
      </c>
      <c r="E2822" s="5">
        <v>-28480</v>
      </c>
      <c r="F2822" s="3" t="s">
        <v>995</v>
      </c>
      <c r="G2822" s="3" t="s">
        <v>19</v>
      </c>
      <c r="H2822" s="2" t="s">
        <v>20</v>
      </c>
      <c r="I2822" s="2" t="s">
        <v>5854</v>
      </c>
      <c r="J2822" s="3" t="str">
        <f>HYPERLINK("https://www.boe.es/gazeta/dias/1822/01/08/pdfs/GMD-1822-8.pdf#page=5","Abrir facsímil")</f>
        <v>Abrir facsímil</v>
      </c>
      <c r="K2822" s="3" t="s">
        <v>22</v>
      </c>
    </row>
    <row r="2823" spans="1:11" ht="42" customHeight="1">
      <c r="A2823" s="2" t="s">
        <v>5852</v>
      </c>
      <c r="B2823" s="2" t="s">
        <v>5852</v>
      </c>
      <c r="C2823" s="2" t="s">
        <v>28</v>
      </c>
      <c r="D2823" s="2" t="s">
        <v>29</v>
      </c>
      <c r="E2823" s="5">
        <v>-28426</v>
      </c>
      <c r="F2823" s="3" t="s">
        <v>1178</v>
      </c>
      <c r="G2823" s="3" t="s">
        <v>31</v>
      </c>
      <c r="H2823" s="2" t="s">
        <v>20</v>
      </c>
      <c r="I2823" s="2" t="s">
        <v>5855</v>
      </c>
      <c r="J2823" s="3" t="str">
        <f>HYPERLINK("https://www.boe.es/gazeta/dias/1822/03/03/pdfs/GMD-1822-64.pdf#page=3","Abrir facsímil")</f>
        <v>Abrir facsímil</v>
      </c>
      <c r="K2823" s="3" t="s">
        <v>22</v>
      </c>
    </row>
    <row r="2824" spans="1:11" ht="42" customHeight="1">
      <c r="A2824" s="2" t="s">
        <v>5852</v>
      </c>
      <c r="B2824" s="2" t="s">
        <v>5852</v>
      </c>
      <c r="C2824" s="2" t="s">
        <v>28</v>
      </c>
      <c r="D2824" s="2" t="s">
        <v>29</v>
      </c>
      <c r="E2824" s="5">
        <v>-28426</v>
      </c>
      <c r="F2824" s="3" t="s">
        <v>1178</v>
      </c>
      <c r="G2824" s="3" t="s">
        <v>57</v>
      </c>
      <c r="H2824" s="2" t="s">
        <v>20</v>
      </c>
      <c r="I2824" s="2" t="s">
        <v>5856</v>
      </c>
      <c r="J2824" s="3" t="str">
        <f>HYPERLINK("https://www.boe.es/gazeta/dias/1822/03/03/pdfs/GMD-1822-64.pdf#page=4","Abrir facsímil")</f>
        <v>Abrir facsímil</v>
      </c>
      <c r="K2824" s="3" t="s">
        <v>22</v>
      </c>
    </row>
    <row r="2825" spans="1:11" ht="42" customHeight="1">
      <c r="A2825" s="2" t="s">
        <v>5852</v>
      </c>
      <c r="B2825" s="2" t="s">
        <v>5852</v>
      </c>
      <c r="C2825" s="2" t="s">
        <v>42</v>
      </c>
      <c r="D2825" s="2" t="s">
        <v>17</v>
      </c>
      <c r="E2825" s="5">
        <v>-28425</v>
      </c>
      <c r="F2825" s="3" t="s">
        <v>419</v>
      </c>
      <c r="G2825" s="3" t="s">
        <v>31</v>
      </c>
      <c r="H2825" s="2" t="s">
        <v>20</v>
      </c>
      <c r="I2825" s="2" t="s">
        <v>5857</v>
      </c>
      <c r="J2825" s="3" t="str">
        <f>HYPERLINK("https://www.boe.es/gazeta/dias/1822/03/04/pdfs/GMD-1822-65.pdf#page=3","Abrir facsímil")</f>
        <v>Abrir facsímil</v>
      </c>
      <c r="K2825" s="3" t="s">
        <v>22</v>
      </c>
    </row>
    <row r="2826" spans="1:11" ht="42" customHeight="1">
      <c r="A2826" s="2" t="s">
        <v>5852</v>
      </c>
      <c r="B2826" s="2" t="s">
        <v>5852</v>
      </c>
      <c r="C2826" s="2" t="s">
        <v>28</v>
      </c>
      <c r="D2826" s="2" t="s">
        <v>29</v>
      </c>
      <c r="E2826" s="5">
        <v>-28423</v>
      </c>
      <c r="F2826" s="3" t="s">
        <v>441</v>
      </c>
      <c r="G2826" s="3" t="s">
        <v>31</v>
      </c>
      <c r="H2826" s="2" t="s">
        <v>20</v>
      </c>
      <c r="I2826" s="2" t="s">
        <v>5858</v>
      </c>
      <c r="J2826" s="3" t="str">
        <f>HYPERLINK("https://www.boe.es/gazeta/dias/1822/03/06/pdfs/GMD-1822-67.pdf#page=3","Abrir facsímil")</f>
        <v>Abrir facsímil</v>
      </c>
      <c r="K2826" s="3" t="s">
        <v>22</v>
      </c>
    </row>
    <row r="2827" spans="1:11" ht="42" customHeight="1">
      <c r="A2827" s="2" t="s">
        <v>5852</v>
      </c>
      <c r="B2827" s="2" t="s">
        <v>5852</v>
      </c>
      <c r="C2827" s="2" t="s">
        <v>28</v>
      </c>
      <c r="D2827" s="2" t="s">
        <v>29</v>
      </c>
      <c r="E2827" s="5">
        <v>-28423</v>
      </c>
      <c r="F2827" s="3" t="s">
        <v>441</v>
      </c>
      <c r="G2827" s="3" t="s">
        <v>57</v>
      </c>
      <c r="H2827" s="2" t="s">
        <v>20</v>
      </c>
      <c r="I2827" s="2" t="s">
        <v>5859</v>
      </c>
      <c r="J2827" s="3" t="str">
        <f>HYPERLINK("https://www.boe.es/gazeta/dias/1822/03/06/pdfs/GMD-1822-67.pdf#page=4","Abrir facsímil")</f>
        <v>Abrir facsímil</v>
      </c>
      <c r="K2827" s="3" t="s">
        <v>22</v>
      </c>
    </row>
    <row r="2828" spans="1:11" ht="42" customHeight="1">
      <c r="A2828" s="2" t="s">
        <v>5852</v>
      </c>
      <c r="B2828" s="2" t="s">
        <v>5852</v>
      </c>
      <c r="C2828" s="2" t="s">
        <v>71</v>
      </c>
      <c r="D2828" s="2" t="s">
        <v>17</v>
      </c>
      <c r="E2828" s="5">
        <v>-28422</v>
      </c>
      <c r="F2828" s="3" t="s">
        <v>416</v>
      </c>
      <c r="G2828" s="3" t="s">
        <v>35</v>
      </c>
      <c r="H2828" s="2" t="s">
        <v>20</v>
      </c>
      <c r="I2828" s="2" t="s">
        <v>5860</v>
      </c>
      <c r="J2828" s="3" t="str">
        <f>HYPERLINK("https://www.boe.es/gazeta/dias/1822/03/07/pdfs/GMD-1822-68.pdf#page=2","Abrir facsímil")</f>
        <v>Abrir facsímil</v>
      </c>
      <c r="K2828" s="3" t="s">
        <v>22</v>
      </c>
    </row>
    <row r="2829" spans="1:11" ht="42" customHeight="1">
      <c r="A2829" s="2" t="s">
        <v>5852</v>
      </c>
      <c r="B2829" s="2" t="s">
        <v>5852</v>
      </c>
      <c r="C2829" s="2" t="s">
        <v>28</v>
      </c>
      <c r="D2829" s="2" t="s">
        <v>29</v>
      </c>
      <c r="E2829" s="5">
        <v>-28422</v>
      </c>
      <c r="F2829" s="3" t="s">
        <v>416</v>
      </c>
      <c r="G2829" s="3" t="s">
        <v>31</v>
      </c>
      <c r="H2829" s="2" t="s">
        <v>20</v>
      </c>
      <c r="I2829" s="2" t="s">
        <v>5861</v>
      </c>
      <c r="J2829" s="3" t="str">
        <f>HYPERLINK("https://www.boe.es/gazeta/dias/1822/03/07/pdfs/GMD-1822-68.pdf#page=3","Abrir facsímil")</f>
        <v>Abrir facsímil</v>
      </c>
      <c r="K2829" s="3" t="s">
        <v>22</v>
      </c>
    </row>
    <row r="2830" spans="1:11" ht="42" customHeight="1">
      <c r="A2830" s="2" t="s">
        <v>5852</v>
      </c>
      <c r="B2830" s="2" t="s">
        <v>5852</v>
      </c>
      <c r="C2830" s="2" t="s">
        <v>28</v>
      </c>
      <c r="D2830" s="2" t="s">
        <v>29</v>
      </c>
      <c r="E2830" s="5">
        <v>-28421</v>
      </c>
      <c r="F2830" s="3" t="s">
        <v>446</v>
      </c>
      <c r="G2830" s="3" t="s">
        <v>57</v>
      </c>
      <c r="H2830" s="2" t="s">
        <v>20</v>
      </c>
      <c r="I2830" s="2" t="s">
        <v>5862</v>
      </c>
      <c r="J2830" s="3" t="str">
        <f>HYPERLINK("https://www.boe.es/gazeta/dias/1822/03/08/pdfs/GMD-1822-69.pdf#page=4","Abrir facsímil")</f>
        <v>Abrir facsímil</v>
      </c>
      <c r="K2830" s="3" t="s">
        <v>22</v>
      </c>
    </row>
    <row r="2831" spans="1:11" ht="42" customHeight="1">
      <c r="A2831" s="2" t="s">
        <v>5852</v>
      </c>
      <c r="B2831" s="2" t="s">
        <v>5852</v>
      </c>
      <c r="C2831" s="2" t="s">
        <v>28</v>
      </c>
      <c r="D2831" s="2" t="s">
        <v>29</v>
      </c>
      <c r="E2831" s="5">
        <v>-28421</v>
      </c>
      <c r="F2831" s="3" t="s">
        <v>446</v>
      </c>
      <c r="G2831" s="3" t="s">
        <v>19</v>
      </c>
      <c r="H2831" s="2" t="s">
        <v>20</v>
      </c>
      <c r="I2831" s="2" t="s">
        <v>5863</v>
      </c>
      <c r="J2831" s="3" t="str">
        <f>HYPERLINK("https://www.boe.es/gazeta/dias/1822/03/08/pdfs/GMD-1822-69.pdf#page=5","Abrir facsímil")</f>
        <v>Abrir facsímil</v>
      </c>
      <c r="K2831" s="3" t="s">
        <v>22</v>
      </c>
    </row>
    <row r="2832" spans="1:11" ht="42" customHeight="1">
      <c r="A2832" s="2" t="s">
        <v>5852</v>
      </c>
      <c r="B2832" s="2" t="s">
        <v>5852</v>
      </c>
      <c r="C2832" s="2" t="s">
        <v>50</v>
      </c>
      <c r="D2832" s="2" t="s">
        <v>51</v>
      </c>
      <c r="E2832" s="5">
        <v>-28421</v>
      </c>
      <c r="F2832" s="3" t="s">
        <v>446</v>
      </c>
      <c r="G2832" s="3" t="s">
        <v>63</v>
      </c>
      <c r="H2832" s="2" t="s">
        <v>20</v>
      </c>
      <c r="I2832" s="2" t="s">
        <v>5864</v>
      </c>
      <c r="J2832" s="3" t="str">
        <f>HYPERLINK("https://www.boe.es/gazeta/dias/1822/03/08/pdfs/GMD-1822-69.pdf#page=6","Abrir facsímil")</f>
        <v>Abrir facsímil</v>
      </c>
      <c r="K2832" s="3" t="s">
        <v>22</v>
      </c>
    </row>
    <row r="2833" spans="1:11" ht="42" customHeight="1">
      <c r="A2833" s="2" t="s">
        <v>5852</v>
      </c>
      <c r="B2833" s="2" t="s">
        <v>5852</v>
      </c>
      <c r="C2833" s="2" t="s">
        <v>61</v>
      </c>
      <c r="D2833" s="2" t="s">
        <v>17</v>
      </c>
      <c r="E2833" s="5">
        <v>-28417</v>
      </c>
      <c r="F2833" s="3" t="s">
        <v>1394</v>
      </c>
      <c r="G2833" s="3" t="s">
        <v>35</v>
      </c>
      <c r="H2833" s="2" t="s">
        <v>20</v>
      </c>
      <c r="I2833" s="2" t="s">
        <v>5865</v>
      </c>
      <c r="J2833" s="3" t="str">
        <f>HYPERLINK("https://www.boe.es/gazeta/dias/1822/03/12/pdfs/GMD-1822-73.pdf#page=2","Abrir facsímil")</f>
        <v>Abrir facsímil</v>
      </c>
      <c r="K2833" s="3" t="s">
        <v>22</v>
      </c>
    </row>
    <row r="2834" spans="1:11" ht="42" customHeight="1">
      <c r="A2834" s="2" t="s">
        <v>5852</v>
      </c>
      <c r="B2834" s="2" t="s">
        <v>5852</v>
      </c>
      <c r="C2834" s="2" t="s">
        <v>28</v>
      </c>
      <c r="D2834" s="2" t="s">
        <v>29</v>
      </c>
      <c r="E2834" s="5">
        <v>-28417</v>
      </c>
      <c r="F2834" s="3" t="s">
        <v>1394</v>
      </c>
      <c r="G2834" s="3" t="s">
        <v>57</v>
      </c>
      <c r="H2834" s="2" t="s">
        <v>20</v>
      </c>
      <c r="I2834" s="2" t="s">
        <v>5866</v>
      </c>
      <c r="J2834" s="3" t="str">
        <f>HYPERLINK("https://www.boe.es/gazeta/dias/1822/03/12/pdfs/GMD-1822-73.pdf#page=4","Abrir facsímil")</f>
        <v>Abrir facsímil</v>
      </c>
      <c r="K2834" s="3" t="s">
        <v>22</v>
      </c>
    </row>
    <row r="2835" spans="1:11" ht="42" customHeight="1">
      <c r="A2835" s="2" t="s">
        <v>5852</v>
      </c>
      <c r="B2835" s="2" t="s">
        <v>5852</v>
      </c>
      <c r="C2835" s="2" t="s">
        <v>24</v>
      </c>
      <c r="D2835" s="2" t="s">
        <v>17</v>
      </c>
      <c r="E2835" s="5">
        <v>-28416</v>
      </c>
      <c r="F2835" s="3" t="s">
        <v>97</v>
      </c>
      <c r="G2835" s="3" t="s">
        <v>31</v>
      </c>
      <c r="H2835" s="2" t="s">
        <v>20</v>
      </c>
      <c r="I2835" s="2" t="s">
        <v>5867</v>
      </c>
      <c r="J2835" s="3" t="str">
        <f>HYPERLINK("https://www.boe.es/gazeta/dias/1822/03/13/pdfs/GMD-1822-74.pdf#page=3","Abrir facsímil")</f>
        <v>Abrir facsímil</v>
      </c>
      <c r="K2835" s="3" t="s">
        <v>22</v>
      </c>
    </row>
    <row r="2836" spans="1:11" ht="42" customHeight="1">
      <c r="A2836" s="2" t="s">
        <v>5852</v>
      </c>
      <c r="B2836" s="2" t="s">
        <v>5852</v>
      </c>
      <c r="C2836" s="2" t="s">
        <v>42</v>
      </c>
      <c r="D2836" s="2" t="s">
        <v>17</v>
      </c>
      <c r="E2836" s="5">
        <v>-28415</v>
      </c>
      <c r="F2836" s="3" t="s">
        <v>77</v>
      </c>
      <c r="G2836" s="3" t="s">
        <v>35</v>
      </c>
      <c r="H2836" s="2" t="s">
        <v>20</v>
      </c>
      <c r="I2836" s="2" t="s">
        <v>5868</v>
      </c>
      <c r="J2836" s="3" t="str">
        <f>HYPERLINK("https://www.boe.es/gazeta/dias/1822/03/14/pdfs/GMD-1822-75.pdf#page=2","Abrir facsímil")</f>
        <v>Abrir facsímil</v>
      </c>
      <c r="K2836" s="3" t="s">
        <v>22</v>
      </c>
    </row>
    <row r="2837" spans="1:11" ht="42" customHeight="1">
      <c r="A2837" s="2" t="s">
        <v>5852</v>
      </c>
      <c r="B2837" s="2" t="s">
        <v>5852</v>
      </c>
      <c r="C2837" s="2" t="s">
        <v>50</v>
      </c>
      <c r="D2837" s="2" t="s">
        <v>51</v>
      </c>
      <c r="E2837" s="5">
        <v>-28415</v>
      </c>
      <c r="F2837" s="3" t="s">
        <v>77</v>
      </c>
      <c r="G2837" s="3" t="s">
        <v>31</v>
      </c>
      <c r="H2837" s="2" t="s">
        <v>20</v>
      </c>
      <c r="I2837" s="2" t="s">
        <v>5869</v>
      </c>
      <c r="J2837" s="3" t="str">
        <f>HYPERLINK("https://www.boe.es/gazeta/dias/1822/03/14/pdfs/GMD-1822-75.pdf#page=3","Abrir facsímil")</f>
        <v>Abrir facsímil</v>
      </c>
      <c r="K2837" s="3" t="s">
        <v>22</v>
      </c>
    </row>
    <row r="2838" spans="1:11" ht="42" customHeight="1">
      <c r="A2838" s="2" t="s">
        <v>5852</v>
      </c>
      <c r="B2838" s="2" t="s">
        <v>5852</v>
      </c>
      <c r="C2838" s="2" t="s">
        <v>50</v>
      </c>
      <c r="D2838" s="2" t="s">
        <v>51</v>
      </c>
      <c r="E2838" s="5">
        <v>-28415</v>
      </c>
      <c r="F2838" s="3" t="s">
        <v>77</v>
      </c>
      <c r="G2838" s="3" t="s">
        <v>57</v>
      </c>
      <c r="H2838" s="2" t="s">
        <v>20</v>
      </c>
      <c r="I2838" s="2" t="s">
        <v>5870</v>
      </c>
      <c r="J2838" s="3" t="str">
        <f>HYPERLINK("https://www.boe.es/gazeta/dias/1822/03/14/pdfs/GMD-1822-75.pdf#page=4","Abrir facsímil")</f>
        <v>Abrir facsímil</v>
      </c>
      <c r="K2838" s="3" t="s">
        <v>22</v>
      </c>
    </row>
    <row r="2839" spans="1:11" ht="42" customHeight="1">
      <c r="A2839" s="2" t="s">
        <v>5852</v>
      </c>
      <c r="B2839" s="2" t="s">
        <v>5852</v>
      </c>
      <c r="C2839" s="2" t="s">
        <v>42</v>
      </c>
      <c r="D2839" s="2" t="s">
        <v>17</v>
      </c>
      <c r="E2839" s="5">
        <v>-28414</v>
      </c>
      <c r="F2839" s="3" t="s">
        <v>187</v>
      </c>
      <c r="G2839" s="3" t="s">
        <v>57</v>
      </c>
      <c r="H2839" s="2" t="s">
        <v>20</v>
      </c>
      <c r="I2839" s="2" t="s">
        <v>5871</v>
      </c>
      <c r="J2839" s="3" t="str">
        <f>HYPERLINK("https://www.boe.es/gazeta/dias/1822/03/15/pdfs/GMD-1822-76.pdf#page=4","Abrir facsímil")</f>
        <v>Abrir facsímil</v>
      </c>
      <c r="K2839" s="3" t="s">
        <v>22</v>
      </c>
    </row>
    <row r="2840" spans="1:11" ht="42" customHeight="1">
      <c r="A2840" s="2" t="s">
        <v>5852</v>
      </c>
      <c r="B2840" s="2" t="s">
        <v>5852</v>
      </c>
      <c r="C2840" s="2" t="s">
        <v>50</v>
      </c>
      <c r="D2840" s="2" t="s">
        <v>51</v>
      </c>
      <c r="E2840" s="5">
        <v>-28412</v>
      </c>
      <c r="F2840" s="3" t="s">
        <v>825</v>
      </c>
      <c r="G2840" s="3" t="s">
        <v>31</v>
      </c>
      <c r="H2840" s="2" t="s">
        <v>20</v>
      </c>
      <c r="I2840" s="2" t="s">
        <v>5872</v>
      </c>
      <c r="J2840" s="3" t="str">
        <f>HYPERLINK("https://www.boe.es/gazeta/dias/1822/03/17/pdfs/GMD-1822-78.pdf#page=3","Abrir facsímil")</f>
        <v>Abrir facsímil</v>
      </c>
      <c r="K2840" s="3" t="s">
        <v>22</v>
      </c>
    </row>
    <row r="2841" spans="1:11" ht="42" customHeight="1">
      <c r="A2841" s="2" t="s">
        <v>5852</v>
      </c>
      <c r="B2841" s="2" t="s">
        <v>5852</v>
      </c>
      <c r="C2841" s="2" t="s">
        <v>28</v>
      </c>
      <c r="D2841" s="2" t="s">
        <v>29</v>
      </c>
      <c r="E2841" s="5">
        <v>-28412</v>
      </c>
      <c r="F2841" s="3" t="s">
        <v>825</v>
      </c>
      <c r="G2841" s="3" t="s">
        <v>57</v>
      </c>
      <c r="H2841" s="2" t="s">
        <v>20</v>
      </c>
      <c r="I2841" s="2" t="s">
        <v>5873</v>
      </c>
      <c r="J2841" s="3" t="str">
        <f>HYPERLINK("https://www.boe.es/gazeta/dias/1822/03/17/pdfs/GMD-1822-78.pdf#page=4","Abrir facsímil")</f>
        <v>Abrir facsímil</v>
      </c>
      <c r="K2841" s="3" t="s">
        <v>22</v>
      </c>
    </row>
    <row r="2842" spans="1:11" ht="42" customHeight="1">
      <c r="A2842" s="2" t="s">
        <v>5852</v>
      </c>
      <c r="B2842" s="2" t="s">
        <v>5852</v>
      </c>
      <c r="C2842" s="2" t="s">
        <v>50</v>
      </c>
      <c r="D2842" s="2" t="s">
        <v>51</v>
      </c>
      <c r="E2842" s="5">
        <v>-28411</v>
      </c>
      <c r="F2842" s="3" t="s">
        <v>1509</v>
      </c>
      <c r="G2842" s="3" t="s">
        <v>44</v>
      </c>
      <c r="H2842" s="2" t="s">
        <v>20</v>
      </c>
      <c r="I2842" s="2" t="s">
        <v>5874</v>
      </c>
      <c r="J2842" s="3" t="str">
        <f>HYPERLINK("https://www.boe.es/gazeta/dias/1822/03/18/pdfs/GMD-1822-79.pdf#page=1","Abrir facsímil")</f>
        <v>Abrir facsímil</v>
      </c>
      <c r="K2842" s="3" t="s">
        <v>22</v>
      </c>
    </row>
    <row r="2843" spans="1:11" ht="42" customHeight="1">
      <c r="A2843" s="2" t="s">
        <v>5852</v>
      </c>
      <c r="B2843" s="2" t="s">
        <v>5852</v>
      </c>
      <c r="C2843" s="2" t="s">
        <v>50</v>
      </c>
      <c r="D2843" s="2" t="s">
        <v>51</v>
      </c>
      <c r="E2843" s="5">
        <v>-28411</v>
      </c>
      <c r="F2843" s="3" t="s">
        <v>1509</v>
      </c>
      <c r="G2843" s="3" t="s">
        <v>35</v>
      </c>
      <c r="H2843" s="2" t="s">
        <v>20</v>
      </c>
      <c r="I2843" s="2" t="s">
        <v>5875</v>
      </c>
      <c r="J2843" s="3" t="str">
        <f>HYPERLINK("https://www.boe.es/gazeta/dias/1822/03/18/pdfs/GMD-1822-79.pdf#page=2","Abrir facsímil")</f>
        <v>Abrir facsímil</v>
      </c>
      <c r="K2843" s="3" t="s">
        <v>22</v>
      </c>
    </row>
    <row r="2844" spans="1:11" ht="42" customHeight="1">
      <c r="A2844" s="2" t="s">
        <v>5852</v>
      </c>
      <c r="B2844" s="2" t="s">
        <v>5852</v>
      </c>
      <c r="C2844" s="2" t="s">
        <v>50</v>
      </c>
      <c r="D2844" s="2" t="s">
        <v>51</v>
      </c>
      <c r="E2844" s="5">
        <v>-28410</v>
      </c>
      <c r="F2844" s="3" t="s">
        <v>966</v>
      </c>
      <c r="G2844" s="3" t="s">
        <v>31</v>
      </c>
      <c r="H2844" s="2" t="s">
        <v>20</v>
      </c>
      <c r="I2844" s="2" t="s">
        <v>5876</v>
      </c>
      <c r="J2844" s="3" t="str">
        <f>HYPERLINK("https://www.boe.es/gazeta/dias/1822/03/19/pdfs/GMD-1822-80.pdf#page=3","Abrir facsímil")</f>
        <v>Abrir facsímil</v>
      </c>
      <c r="K2844" s="3" t="s">
        <v>22</v>
      </c>
    </row>
    <row r="2845" spans="1:11" ht="42" customHeight="1">
      <c r="A2845" s="2" t="s">
        <v>5852</v>
      </c>
      <c r="B2845" s="2" t="s">
        <v>5852</v>
      </c>
      <c r="C2845" s="2" t="s">
        <v>28</v>
      </c>
      <c r="D2845" s="2" t="s">
        <v>29</v>
      </c>
      <c r="E2845" s="5">
        <v>-28408</v>
      </c>
      <c r="F2845" s="3" t="s">
        <v>2561</v>
      </c>
      <c r="G2845" s="3" t="s">
        <v>57</v>
      </c>
      <c r="H2845" s="2" t="s">
        <v>20</v>
      </c>
      <c r="I2845" s="2" t="s">
        <v>5877</v>
      </c>
      <c r="J2845" s="3" t="str">
        <f>HYPERLINK("https://www.boe.es/gazeta/dias/1822/03/21/pdfs/GMD-1822-82.pdf#page=4","Abrir facsímil")</f>
        <v>Abrir facsímil</v>
      </c>
      <c r="K2845" s="3" t="s">
        <v>22</v>
      </c>
    </row>
    <row r="2846" spans="1:11" ht="42" customHeight="1">
      <c r="A2846" s="2" t="s">
        <v>5852</v>
      </c>
      <c r="B2846" s="2" t="s">
        <v>5852</v>
      </c>
      <c r="C2846" s="2" t="s">
        <v>28</v>
      </c>
      <c r="D2846" s="2" t="s">
        <v>29</v>
      </c>
      <c r="E2846" s="5">
        <v>-28408</v>
      </c>
      <c r="F2846" s="3" t="s">
        <v>2561</v>
      </c>
      <c r="G2846" s="3" t="s">
        <v>19</v>
      </c>
      <c r="H2846" s="2" t="s">
        <v>20</v>
      </c>
      <c r="I2846" s="2" t="s">
        <v>5878</v>
      </c>
      <c r="J2846" s="3" t="str">
        <f>HYPERLINK("https://www.boe.es/gazeta/dias/1822/03/21/pdfs/GMD-1822-82.pdf#page=5","Abrir facsímil")</f>
        <v>Abrir facsímil</v>
      </c>
      <c r="K2846" s="3" t="s">
        <v>22</v>
      </c>
    </row>
    <row r="2847" spans="1:11" ht="42" customHeight="1">
      <c r="A2847" s="2" t="s">
        <v>5852</v>
      </c>
      <c r="B2847" s="2" t="s">
        <v>5852</v>
      </c>
      <c r="C2847" s="2" t="s">
        <v>28</v>
      </c>
      <c r="D2847" s="2" t="s">
        <v>29</v>
      </c>
      <c r="E2847" s="5">
        <v>-28408</v>
      </c>
      <c r="F2847" s="3" t="s">
        <v>2561</v>
      </c>
      <c r="G2847" s="3" t="s">
        <v>63</v>
      </c>
      <c r="H2847" s="2" t="s">
        <v>20</v>
      </c>
      <c r="I2847" s="2" t="s">
        <v>5879</v>
      </c>
      <c r="J2847" s="3" t="str">
        <f>HYPERLINK("https://www.boe.es/gazeta/dias/1822/03/21/pdfs/GMD-1822-82.pdf#page=6","Abrir facsímil")</f>
        <v>Abrir facsímil</v>
      </c>
      <c r="K2847" s="3" t="s">
        <v>22</v>
      </c>
    </row>
    <row r="2848" spans="1:11" ht="42" customHeight="1">
      <c r="A2848" s="2" t="s">
        <v>5852</v>
      </c>
      <c r="B2848" s="2" t="s">
        <v>5852</v>
      </c>
      <c r="C2848" s="2" t="s">
        <v>71</v>
      </c>
      <c r="D2848" s="2" t="s">
        <v>17</v>
      </c>
      <c r="E2848" s="5">
        <v>-28407</v>
      </c>
      <c r="F2848" s="3" t="s">
        <v>460</v>
      </c>
      <c r="G2848" s="3" t="s">
        <v>57</v>
      </c>
      <c r="H2848" s="2" t="s">
        <v>20</v>
      </c>
      <c r="I2848" s="2" t="s">
        <v>5880</v>
      </c>
      <c r="J2848" s="3" t="str">
        <f>HYPERLINK("https://www.boe.es/gazeta/dias/1822/03/22/pdfs/GMD-1822-83.pdf#page=4","Abrir facsímil")</f>
        <v>Abrir facsímil</v>
      </c>
      <c r="K2848" s="3" t="s">
        <v>22</v>
      </c>
    </row>
    <row r="2849" spans="1:11" ht="42" customHeight="1">
      <c r="A2849" s="2" t="s">
        <v>5852</v>
      </c>
      <c r="B2849" s="2" t="s">
        <v>5852</v>
      </c>
      <c r="C2849" s="2" t="s">
        <v>71</v>
      </c>
      <c r="D2849" s="2" t="s">
        <v>17</v>
      </c>
      <c r="E2849" s="5">
        <v>-28406</v>
      </c>
      <c r="F2849" s="3" t="s">
        <v>462</v>
      </c>
      <c r="G2849" s="3" t="s">
        <v>57</v>
      </c>
      <c r="H2849" s="2" t="s">
        <v>20</v>
      </c>
      <c r="I2849" s="2" t="s">
        <v>5881</v>
      </c>
      <c r="J2849" s="3" t="str">
        <f>HYPERLINK("https://www.boe.es/gazeta/dias/1822/03/23/pdfs/GMD-1822-84.pdf#page=4","Abrir facsímil")</f>
        <v>Abrir facsímil</v>
      </c>
      <c r="K2849" s="3" t="s">
        <v>22</v>
      </c>
    </row>
    <row r="2850" spans="1:11" ht="42" customHeight="1">
      <c r="A2850" s="2" t="s">
        <v>5852</v>
      </c>
      <c r="B2850" s="2" t="s">
        <v>5852</v>
      </c>
      <c r="C2850" s="2" t="s">
        <v>42</v>
      </c>
      <c r="D2850" s="2" t="s">
        <v>17</v>
      </c>
      <c r="E2850" s="5">
        <v>-28406</v>
      </c>
      <c r="F2850" s="3" t="s">
        <v>462</v>
      </c>
      <c r="G2850" s="3" t="s">
        <v>157</v>
      </c>
      <c r="H2850" s="2" t="s">
        <v>20</v>
      </c>
      <c r="I2850" s="2" t="s">
        <v>5882</v>
      </c>
      <c r="J2850" s="3" t="str">
        <f>HYPERLINK("https://www.boe.es/gazeta/dias/1822/03/23/pdfs/GMD-1822-84.pdf#page=8","Abrir facsímil")</f>
        <v>Abrir facsímil</v>
      </c>
      <c r="K2850" s="3" t="s">
        <v>22</v>
      </c>
    </row>
    <row r="2851" spans="1:11" ht="42" customHeight="1">
      <c r="A2851" s="2" t="s">
        <v>5852</v>
      </c>
      <c r="B2851" s="2" t="s">
        <v>5852</v>
      </c>
      <c r="C2851" s="2" t="s">
        <v>28</v>
      </c>
      <c r="D2851" s="2" t="s">
        <v>29</v>
      </c>
      <c r="E2851" s="5">
        <v>-28405</v>
      </c>
      <c r="F2851" s="3" t="s">
        <v>466</v>
      </c>
      <c r="G2851" s="3" t="s">
        <v>35</v>
      </c>
      <c r="H2851" s="2" t="s">
        <v>20</v>
      </c>
      <c r="I2851" s="2" t="s">
        <v>5883</v>
      </c>
      <c r="J2851" s="3" t="str">
        <f>HYPERLINK("https://www.boe.es/gazeta/dias/1822/03/24/pdfs/GMD-1822-85.pdf#page=2","Abrir facsímil")</f>
        <v>Abrir facsímil</v>
      </c>
      <c r="K2851" s="3" t="s">
        <v>22</v>
      </c>
    </row>
    <row r="2852" spans="1:11" ht="42" customHeight="1">
      <c r="A2852" s="2" t="s">
        <v>5852</v>
      </c>
      <c r="B2852" s="2" t="s">
        <v>5852</v>
      </c>
      <c r="C2852" s="2" t="s">
        <v>50</v>
      </c>
      <c r="D2852" s="2" t="s">
        <v>51</v>
      </c>
      <c r="E2852" s="5">
        <v>-28404</v>
      </c>
      <c r="F2852" s="3" t="s">
        <v>421</v>
      </c>
      <c r="G2852" s="3" t="s">
        <v>31</v>
      </c>
      <c r="H2852" s="2" t="s">
        <v>20</v>
      </c>
      <c r="I2852" s="2" t="s">
        <v>5884</v>
      </c>
      <c r="J2852" s="3" t="str">
        <f>HYPERLINK("https://www.boe.es/gazeta/dias/1822/03/25/pdfs/GMD-1822-86.pdf#page=3","Abrir facsímil")</f>
        <v>Abrir facsímil</v>
      </c>
      <c r="K2852" s="3" t="s">
        <v>22</v>
      </c>
    </row>
    <row r="2853" spans="1:11" ht="42" customHeight="1">
      <c r="A2853" s="2" t="s">
        <v>5852</v>
      </c>
      <c r="B2853" s="2" t="s">
        <v>5852</v>
      </c>
      <c r="C2853" s="2" t="s">
        <v>50</v>
      </c>
      <c r="D2853" s="2" t="s">
        <v>51</v>
      </c>
      <c r="E2853" s="5">
        <v>-28403</v>
      </c>
      <c r="F2853" s="3" t="s">
        <v>471</v>
      </c>
      <c r="G2853" s="3" t="s">
        <v>19</v>
      </c>
      <c r="H2853" s="2" t="s">
        <v>20</v>
      </c>
      <c r="I2853" s="2" t="s">
        <v>5885</v>
      </c>
      <c r="J2853" s="3" t="str">
        <f>HYPERLINK("https://www.boe.es/gazeta/dias/1822/03/26/pdfs/GMD-1822-87.pdf#page=5","Abrir facsímil")</f>
        <v>Abrir facsímil</v>
      </c>
      <c r="K2853" s="3" t="s">
        <v>22</v>
      </c>
    </row>
    <row r="2854" spans="1:11" ht="42" customHeight="1">
      <c r="A2854" s="2" t="s">
        <v>5852</v>
      </c>
      <c r="B2854" s="2" t="s">
        <v>5852</v>
      </c>
      <c r="C2854" s="2" t="s">
        <v>71</v>
      </c>
      <c r="D2854" s="2" t="s">
        <v>17</v>
      </c>
      <c r="E2854" s="5">
        <v>-28402</v>
      </c>
      <c r="F2854" s="3" t="s">
        <v>473</v>
      </c>
      <c r="G2854" s="3" t="s">
        <v>19</v>
      </c>
      <c r="H2854" s="2" t="s">
        <v>20</v>
      </c>
      <c r="I2854" s="2" t="s">
        <v>5886</v>
      </c>
      <c r="J2854" s="3" t="str">
        <f>HYPERLINK("https://www.boe.es/gazeta/dias/1822/03/27/pdfs/GMD-1822-88.pdf#page=5","Abrir facsímil")</f>
        <v>Abrir facsímil</v>
      </c>
      <c r="K2854" s="3" t="s">
        <v>22</v>
      </c>
    </row>
    <row r="2855" spans="1:11" ht="42" customHeight="1">
      <c r="A2855" s="2" t="s">
        <v>5852</v>
      </c>
      <c r="B2855" s="2" t="s">
        <v>5852</v>
      </c>
      <c r="C2855" s="2" t="s">
        <v>71</v>
      </c>
      <c r="D2855" s="2" t="s">
        <v>17</v>
      </c>
      <c r="E2855" s="5">
        <v>-28401</v>
      </c>
      <c r="F2855" s="3" t="s">
        <v>108</v>
      </c>
      <c r="G2855" s="3" t="s">
        <v>63</v>
      </c>
      <c r="H2855" s="2" t="s">
        <v>20</v>
      </c>
      <c r="I2855" s="2" t="s">
        <v>5887</v>
      </c>
      <c r="J2855" s="3" t="str">
        <f>HYPERLINK("https://www.boe.es/gazeta/dias/1822/03/28/pdfs/GMD-1822-89.pdf#page=6","Abrir facsímil")</f>
        <v>Abrir facsímil</v>
      </c>
      <c r="K2855" s="3" t="s">
        <v>22</v>
      </c>
    </row>
    <row r="2856" spans="1:11" ht="42" customHeight="1">
      <c r="A2856" s="2" t="s">
        <v>5852</v>
      </c>
      <c r="B2856" s="2" t="s">
        <v>5852</v>
      </c>
      <c r="C2856" s="2" t="s">
        <v>71</v>
      </c>
      <c r="D2856" s="2" t="s">
        <v>17</v>
      </c>
      <c r="E2856" s="5">
        <v>-28398</v>
      </c>
      <c r="F2856" s="3" t="s">
        <v>1961</v>
      </c>
      <c r="G2856" s="3" t="s">
        <v>31</v>
      </c>
      <c r="H2856" s="2" t="s">
        <v>20</v>
      </c>
      <c r="I2856" s="2" t="s">
        <v>5888</v>
      </c>
      <c r="J2856" s="3" t="str">
        <f>HYPERLINK("https://www.boe.es/gazeta/dias/1822/03/31/pdfs/GMD-1822-92.pdf#page=3","Abrir facsímil")</f>
        <v>Abrir facsímil</v>
      </c>
      <c r="K2856" s="3" t="s">
        <v>22</v>
      </c>
    </row>
    <row r="2857" spans="1:11" ht="42" customHeight="1">
      <c r="A2857" s="2" t="s">
        <v>5852</v>
      </c>
      <c r="B2857" s="2" t="s">
        <v>5852</v>
      </c>
      <c r="C2857" s="2" t="s">
        <v>50</v>
      </c>
      <c r="D2857" s="2" t="s">
        <v>51</v>
      </c>
      <c r="E2857" s="5">
        <v>-28391</v>
      </c>
      <c r="F2857" s="3" t="s">
        <v>378</v>
      </c>
      <c r="G2857" s="3" t="s">
        <v>35</v>
      </c>
      <c r="H2857" s="2" t="s">
        <v>20</v>
      </c>
      <c r="I2857" s="2" t="s">
        <v>5889</v>
      </c>
      <c r="J2857" s="3" t="str">
        <f>HYPERLINK("https://www.boe.es/gazeta/dias/1822/04/07/pdfs/GMD-1822-99.pdf#page=2","Abrir facsímil")</f>
        <v>Abrir facsímil</v>
      </c>
      <c r="K2857" s="3" t="s">
        <v>22</v>
      </c>
    </row>
    <row r="2858" spans="1:11" ht="42" customHeight="1">
      <c r="A2858" s="2" t="s">
        <v>5852</v>
      </c>
      <c r="B2858" s="2" t="s">
        <v>5852</v>
      </c>
      <c r="C2858" s="2" t="s">
        <v>28</v>
      </c>
      <c r="D2858" s="2" t="s">
        <v>29</v>
      </c>
      <c r="E2858" s="5">
        <v>-28391</v>
      </c>
      <c r="F2858" s="3" t="s">
        <v>378</v>
      </c>
      <c r="G2858" s="3" t="s">
        <v>31</v>
      </c>
      <c r="H2858" s="2" t="s">
        <v>20</v>
      </c>
      <c r="I2858" s="2" t="s">
        <v>5890</v>
      </c>
      <c r="J2858" s="3" t="str">
        <f>HYPERLINK("https://www.boe.es/gazeta/dias/1822/04/07/pdfs/GMD-1822-99.pdf#page=3","Abrir facsímil")</f>
        <v>Abrir facsímil</v>
      </c>
      <c r="K2858" s="3" t="s">
        <v>22</v>
      </c>
    </row>
    <row r="2859" spans="1:11" ht="42" customHeight="1">
      <c r="A2859" s="2" t="s">
        <v>5852</v>
      </c>
      <c r="B2859" s="2" t="s">
        <v>5852</v>
      </c>
      <c r="C2859" s="2" t="s">
        <v>61</v>
      </c>
      <c r="D2859" s="2" t="s">
        <v>17</v>
      </c>
      <c r="E2859" s="5">
        <v>-28388</v>
      </c>
      <c r="F2859" s="3" t="s">
        <v>1268</v>
      </c>
      <c r="G2859" s="3" t="s">
        <v>35</v>
      </c>
      <c r="H2859" s="2" t="s">
        <v>20</v>
      </c>
      <c r="I2859" s="2" t="s">
        <v>5891</v>
      </c>
      <c r="J2859" s="3" t="str">
        <f>HYPERLINK("https://www.boe.es/gazeta/dias/1822/04/10/pdfs/GMD-1822-102.pdf#page=2","Abrir facsímil")</f>
        <v>Abrir facsímil</v>
      </c>
      <c r="K2859" s="3" t="s">
        <v>22</v>
      </c>
    </row>
    <row r="2860" spans="1:11" ht="42" customHeight="1">
      <c r="A2860" s="2" t="s">
        <v>5852</v>
      </c>
      <c r="B2860" s="2" t="s">
        <v>5852</v>
      </c>
      <c r="C2860" s="2" t="s">
        <v>71</v>
      </c>
      <c r="D2860" s="2" t="s">
        <v>17</v>
      </c>
      <c r="E2860" s="5">
        <v>-28388</v>
      </c>
      <c r="F2860" s="3" t="s">
        <v>1268</v>
      </c>
      <c r="G2860" s="3" t="s">
        <v>31</v>
      </c>
      <c r="H2860" s="2" t="s">
        <v>20</v>
      </c>
      <c r="I2860" s="2" t="s">
        <v>5892</v>
      </c>
      <c r="J2860" s="3" t="str">
        <f>HYPERLINK("https://www.boe.es/gazeta/dias/1822/04/10/pdfs/GMD-1822-102.pdf#page=3","Abrir facsímil")</f>
        <v>Abrir facsímil</v>
      </c>
      <c r="K2860" s="3" t="s">
        <v>22</v>
      </c>
    </row>
    <row r="2861" spans="1:11" ht="42" customHeight="1">
      <c r="A2861" s="2" t="s">
        <v>5852</v>
      </c>
      <c r="B2861" s="2" t="s">
        <v>5852</v>
      </c>
      <c r="C2861" s="2" t="s">
        <v>71</v>
      </c>
      <c r="D2861" s="2" t="s">
        <v>17</v>
      </c>
      <c r="E2861" s="5">
        <v>-28386</v>
      </c>
      <c r="F2861" s="3" t="s">
        <v>2993</v>
      </c>
      <c r="G2861" s="3" t="s">
        <v>31</v>
      </c>
      <c r="H2861" s="2" t="s">
        <v>20</v>
      </c>
      <c r="I2861" s="2" t="s">
        <v>5893</v>
      </c>
      <c r="J2861" s="3" t="str">
        <f>HYPERLINK("https://www.boe.es/gazeta/dias/1822/04/12/pdfs/GMD-1822-104.pdf#page=3","Abrir facsímil")</f>
        <v>Abrir facsímil</v>
      </c>
      <c r="K2861" s="3" t="s">
        <v>22</v>
      </c>
    </row>
    <row r="2862" spans="1:11" ht="42" customHeight="1">
      <c r="A2862" s="2" t="s">
        <v>5852</v>
      </c>
      <c r="B2862" s="2" t="s">
        <v>5852</v>
      </c>
      <c r="C2862" s="2" t="s">
        <v>71</v>
      </c>
      <c r="D2862" s="2" t="s">
        <v>17</v>
      </c>
      <c r="E2862" s="5">
        <v>-28385</v>
      </c>
      <c r="F2862" s="3" t="s">
        <v>484</v>
      </c>
      <c r="G2862" s="3" t="s">
        <v>35</v>
      </c>
      <c r="H2862" s="2" t="s">
        <v>20</v>
      </c>
      <c r="I2862" s="2" t="s">
        <v>5894</v>
      </c>
      <c r="J2862" s="3" t="str">
        <f>HYPERLINK("https://www.boe.es/gazeta/dias/1822/04/13/pdfs/GMD-1822-105.pdf#page=2","Abrir facsímil")</f>
        <v>Abrir facsímil</v>
      </c>
      <c r="K2862" s="3" t="s">
        <v>22</v>
      </c>
    </row>
    <row r="2863" spans="1:11" ht="42" customHeight="1">
      <c r="A2863" s="2" t="s">
        <v>5852</v>
      </c>
      <c r="B2863" s="2" t="s">
        <v>5852</v>
      </c>
      <c r="C2863" s="2" t="s">
        <v>16</v>
      </c>
      <c r="D2863" s="2" t="s">
        <v>17</v>
      </c>
      <c r="E2863" s="5">
        <v>-28385</v>
      </c>
      <c r="F2863" s="3" t="s">
        <v>484</v>
      </c>
      <c r="G2863" s="3" t="s">
        <v>57</v>
      </c>
      <c r="H2863" s="2" t="s">
        <v>20</v>
      </c>
      <c r="I2863" s="2" t="s">
        <v>5895</v>
      </c>
      <c r="J2863" s="3" t="str">
        <f>HYPERLINK("https://www.boe.es/gazeta/dias/1822/04/13/pdfs/GMD-1822-105.pdf#page=4","Abrir facsímil")</f>
        <v>Abrir facsímil</v>
      </c>
      <c r="K2863" s="3" t="s">
        <v>22</v>
      </c>
    </row>
    <row r="2864" spans="1:11" ht="42" customHeight="1">
      <c r="A2864" s="2" t="s">
        <v>5852</v>
      </c>
      <c r="B2864" s="2" t="s">
        <v>5852</v>
      </c>
      <c r="C2864" s="2" t="s">
        <v>24</v>
      </c>
      <c r="D2864" s="2" t="s">
        <v>17</v>
      </c>
      <c r="E2864" s="5">
        <v>-28385</v>
      </c>
      <c r="F2864" s="3" t="s">
        <v>484</v>
      </c>
      <c r="G2864" s="3" t="s">
        <v>19</v>
      </c>
      <c r="H2864" s="2" t="s">
        <v>20</v>
      </c>
      <c r="I2864" s="2" t="s">
        <v>5896</v>
      </c>
      <c r="J2864" s="3" t="str">
        <f>HYPERLINK("https://www.boe.es/gazeta/dias/1822/04/13/pdfs/GMD-1822-105.pdf#page=5","Abrir facsímil")</f>
        <v>Abrir facsímil</v>
      </c>
      <c r="K2864" s="3" t="s">
        <v>22</v>
      </c>
    </row>
    <row r="2865" spans="1:11" ht="42" customHeight="1">
      <c r="A2865" s="2" t="s">
        <v>5852</v>
      </c>
      <c r="B2865" s="2" t="s">
        <v>5852</v>
      </c>
      <c r="C2865" s="2" t="s">
        <v>71</v>
      </c>
      <c r="D2865" s="2" t="s">
        <v>17</v>
      </c>
      <c r="E2865" s="5">
        <v>-28382</v>
      </c>
      <c r="F2865" s="3" t="s">
        <v>973</v>
      </c>
      <c r="G2865" s="3" t="s">
        <v>31</v>
      </c>
      <c r="H2865" s="2" t="s">
        <v>20</v>
      </c>
      <c r="I2865" s="2" t="s">
        <v>5897</v>
      </c>
      <c r="J2865" s="3" t="str">
        <f>HYPERLINK("https://www.boe.es/gazeta/dias/1822/04/16/pdfs/GMD-1822-108.pdf#page=3","Abrir facsímil")</f>
        <v>Abrir facsímil</v>
      </c>
      <c r="K2865" s="3" t="s">
        <v>22</v>
      </c>
    </row>
    <row r="2866" spans="1:11" ht="42" customHeight="1">
      <c r="A2866" s="2" t="s">
        <v>5852</v>
      </c>
      <c r="B2866" s="2" t="s">
        <v>5852</v>
      </c>
      <c r="C2866" s="2" t="s">
        <v>16</v>
      </c>
      <c r="D2866" s="2" t="s">
        <v>17</v>
      </c>
      <c r="E2866" s="5">
        <v>-28382</v>
      </c>
      <c r="F2866" s="3" t="s">
        <v>973</v>
      </c>
      <c r="G2866" s="3" t="s">
        <v>63</v>
      </c>
      <c r="H2866" s="2" t="s">
        <v>20</v>
      </c>
      <c r="I2866" s="2" t="s">
        <v>5898</v>
      </c>
      <c r="J2866" s="3" t="str">
        <f>HYPERLINK("https://www.boe.es/gazeta/dias/1822/04/16/pdfs/GMD-1822-108.pdf#page=6","Abrir facsímil")</f>
        <v>Abrir facsímil</v>
      </c>
      <c r="K2866" s="3" t="s">
        <v>22</v>
      </c>
    </row>
    <row r="2867" spans="1:11" ht="42" customHeight="1">
      <c r="A2867" s="2" t="s">
        <v>5852</v>
      </c>
      <c r="B2867" s="2" t="s">
        <v>5852</v>
      </c>
      <c r="C2867" s="2" t="s">
        <v>71</v>
      </c>
      <c r="D2867" s="2" t="s">
        <v>17</v>
      </c>
      <c r="E2867" s="5">
        <v>-28379</v>
      </c>
      <c r="F2867" s="3" t="s">
        <v>494</v>
      </c>
      <c r="G2867" s="3" t="s">
        <v>35</v>
      </c>
      <c r="H2867" s="2" t="s">
        <v>20</v>
      </c>
      <c r="I2867" s="2" t="s">
        <v>5899</v>
      </c>
      <c r="J2867" s="3" t="str">
        <f>HYPERLINK("https://www.boe.es/gazeta/dias/1822/04/19/pdfs/GMD-1822-111.pdf#page=2","Abrir facsímil")</f>
        <v>Abrir facsímil</v>
      </c>
      <c r="K2867" s="3" t="s">
        <v>22</v>
      </c>
    </row>
    <row r="2868" spans="1:11" ht="42" customHeight="1">
      <c r="A2868" s="2" t="s">
        <v>5852</v>
      </c>
      <c r="B2868" s="2" t="s">
        <v>5852</v>
      </c>
      <c r="C2868" s="2" t="s">
        <v>50</v>
      </c>
      <c r="D2868" s="2" t="s">
        <v>51</v>
      </c>
      <c r="E2868" s="5">
        <v>-28378</v>
      </c>
      <c r="F2868" s="3" t="s">
        <v>496</v>
      </c>
      <c r="G2868" s="3" t="s">
        <v>35</v>
      </c>
      <c r="H2868" s="2" t="s">
        <v>20</v>
      </c>
      <c r="I2868" s="2" t="s">
        <v>5900</v>
      </c>
      <c r="J2868" s="3" t="str">
        <f>HYPERLINK("https://www.boe.es/gazeta/dias/1822/04/20/pdfs/GMD-1822-112.pdf#page=2","Abrir facsímil")</f>
        <v>Abrir facsímil</v>
      </c>
      <c r="K2868" s="3" t="s">
        <v>22</v>
      </c>
    </row>
    <row r="2869" spans="1:11" ht="42" customHeight="1">
      <c r="A2869" s="2" t="s">
        <v>5852</v>
      </c>
      <c r="B2869" s="2" t="s">
        <v>5852</v>
      </c>
      <c r="C2869" s="2" t="s">
        <v>50</v>
      </c>
      <c r="D2869" s="2" t="s">
        <v>51</v>
      </c>
      <c r="E2869" s="5">
        <v>-28378</v>
      </c>
      <c r="F2869" s="3" t="s">
        <v>496</v>
      </c>
      <c r="G2869" s="3" t="s">
        <v>31</v>
      </c>
      <c r="H2869" s="2" t="s">
        <v>20</v>
      </c>
      <c r="I2869" s="2" t="s">
        <v>5901</v>
      </c>
      <c r="J2869" s="3" t="str">
        <f>HYPERLINK("https://www.boe.es/gazeta/dias/1822/04/20/pdfs/GMD-1822-112.pdf#page=3","Abrir facsímil")</f>
        <v>Abrir facsímil</v>
      </c>
      <c r="K2869" s="3" t="s">
        <v>22</v>
      </c>
    </row>
    <row r="2870" spans="1:11" ht="42" customHeight="1">
      <c r="A2870" s="2" t="s">
        <v>5852</v>
      </c>
      <c r="B2870" s="2" t="s">
        <v>5852</v>
      </c>
      <c r="C2870" s="2" t="s">
        <v>50</v>
      </c>
      <c r="D2870" s="2" t="s">
        <v>51</v>
      </c>
      <c r="E2870" s="5">
        <v>-28377</v>
      </c>
      <c r="F2870" s="3" t="s">
        <v>498</v>
      </c>
      <c r="G2870" s="3" t="s">
        <v>35</v>
      </c>
      <c r="H2870" s="2" t="s">
        <v>20</v>
      </c>
      <c r="I2870" s="2" t="s">
        <v>5902</v>
      </c>
      <c r="J2870" s="3" t="str">
        <f>HYPERLINK("https://www.boe.es/gazeta/dias/1822/04/21/pdfs/GMD-1822-113.pdf#page=2","Abrir facsímil")</f>
        <v>Abrir facsímil</v>
      </c>
      <c r="K2870" s="3" t="s">
        <v>22</v>
      </c>
    </row>
    <row r="2871" spans="1:11" ht="42" customHeight="1">
      <c r="A2871" s="2" t="s">
        <v>5852</v>
      </c>
      <c r="B2871" s="2" t="s">
        <v>5852</v>
      </c>
      <c r="C2871" s="2" t="s">
        <v>71</v>
      </c>
      <c r="D2871" s="2" t="s">
        <v>17</v>
      </c>
      <c r="E2871" s="5">
        <v>-28377</v>
      </c>
      <c r="F2871" s="3" t="s">
        <v>498</v>
      </c>
      <c r="G2871" s="3" t="s">
        <v>57</v>
      </c>
      <c r="H2871" s="2" t="s">
        <v>20</v>
      </c>
      <c r="I2871" s="2" t="s">
        <v>5903</v>
      </c>
      <c r="J2871" s="3" t="str">
        <f>HYPERLINK("https://www.boe.es/gazeta/dias/1822/04/21/pdfs/GMD-1822-113.pdf#page=4","Abrir facsímil")</f>
        <v>Abrir facsímil</v>
      </c>
      <c r="K2871" s="3" t="s">
        <v>22</v>
      </c>
    </row>
    <row r="2872" spans="1:11" ht="42" customHeight="1">
      <c r="A2872" s="2" t="s">
        <v>5852</v>
      </c>
      <c r="B2872" s="2" t="s">
        <v>5852</v>
      </c>
      <c r="C2872" s="2" t="s">
        <v>71</v>
      </c>
      <c r="D2872" s="2" t="s">
        <v>17</v>
      </c>
      <c r="E2872" s="5">
        <v>-28376</v>
      </c>
      <c r="F2872" s="3" t="s">
        <v>500</v>
      </c>
      <c r="G2872" s="3" t="s">
        <v>501</v>
      </c>
      <c r="H2872" s="2" t="s">
        <v>20</v>
      </c>
      <c r="I2872" s="2" t="s">
        <v>5904</v>
      </c>
      <c r="J2872" s="3" t="str">
        <f>HYPERLINK("https://www.boe.es/gazeta/dias/1822/04/22/pdfs/GMD-1822-114.pdf#page=3","Abrir facsímil")</f>
        <v>Abrir facsímil</v>
      </c>
      <c r="K2872" s="3" t="s">
        <v>22</v>
      </c>
    </row>
    <row r="2873" spans="1:11" ht="42" customHeight="1">
      <c r="A2873" s="2" t="s">
        <v>5852</v>
      </c>
      <c r="B2873" s="2" t="s">
        <v>5852</v>
      </c>
      <c r="C2873" s="2" t="s">
        <v>28</v>
      </c>
      <c r="D2873" s="2" t="s">
        <v>29</v>
      </c>
      <c r="E2873" s="5">
        <v>-28376</v>
      </c>
      <c r="F2873" s="3" t="s">
        <v>500</v>
      </c>
      <c r="G2873" s="3" t="s">
        <v>35</v>
      </c>
      <c r="H2873" s="2" t="s">
        <v>20</v>
      </c>
      <c r="I2873" s="2" t="s">
        <v>5905</v>
      </c>
      <c r="J2873" s="3" t="str">
        <f>HYPERLINK("https://www.boe.es/gazeta/dias/1822/04/22/pdfs/GMD-1822-114.pdf#page=2","Abrir facsímil")</f>
        <v>Abrir facsímil</v>
      </c>
      <c r="K2873" s="3" t="s">
        <v>22</v>
      </c>
    </row>
    <row r="2874" spans="1:11" ht="42" customHeight="1">
      <c r="A2874" s="2" t="s">
        <v>5852</v>
      </c>
      <c r="B2874" s="2" t="s">
        <v>5852</v>
      </c>
      <c r="C2874" s="2" t="s">
        <v>1141</v>
      </c>
      <c r="D2874" s="2" t="s">
        <v>29</v>
      </c>
      <c r="E2874" s="5">
        <v>-28373</v>
      </c>
      <c r="F2874" s="3" t="s">
        <v>614</v>
      </c>
      <c r="G2874" s="3" t="s">
        <v>31</v>
      </c>
      <c r="H2874" s="2" t="s">
        <v>20</v>
      </c>
      <c r="I2874" s="2" t="s">
        <v>5906</v>
      </c>
      <c r="J2874" s="3" t="str">
        <f>HYPERLINK("https://www.boe.es/gazeta/dias/1822/04/25/pdfs/GMD-1822-117.pdf#page=3","Abrir facsímil")</f>
        <v>Abrir facsímil</v>
      </c>
      <c r="K2874" s="3" t="s">
        <v>22</v>
      </c>
    </row>
    <row r="2875" spans="1:11" ht="42" customHeight="1">
      <c r="A2875" s="2" t="s">
        <v>5852</v>
      </c>
      <c r="B2875" s="2" t="s">
        <v>5852</v>
      </c>
      <c r="C2875" s="2" t="s">
        <v>42</v>
      </c>
      <c r="D2875" s="2" t="s">
        <v>17</v>
      </c>
      <c r="E2875" s="5">
        <v>-28372</v>
      </c>
      <c r="F2875" s="3" t="s">
        <v>503</v>
      </c>
      <c r="G2875" s="3" t="s">
        <v>35</v>
      </c>
      <c r="H2875" s="2" t="s">
        <v>20</v>
      </c>
      <c r="I2875" s="2" t="s">
        <v>5907</v>
      </c>
      <c r="J2875" s="3" t="str">
        <f>HYPERLINK("https://www.boe.es/gazeta/dias/1822/04/26/pdfs/GMD-1822-118.pdf#page=2","Abrir facsímil")</f>
        <v>Abrir facsímil</v>
      </c>
      <c r="K2875" s="3" t="s">
        <v>22</v>
      </c>
    </row>
    <row r="2876" spans="1:11" ht="42" customHeight="1">
      <c r="A2876" s="2" t="s">
        <v>5852</v>
      </c>
      <c r="B2876" s="2" t="s">
        <v>5852</v>
      </c>
      <c r="C2876" s="2" t="s">
        <v>71</v>
      </c>
      <c r="D2876" s="2" t="s">
        <v>17</v>
      </c>
      <c r="E2876" s="5">
        <v>-28372</v>
      </c>
      <c r="F2876" s="3" t="s">
        <v>503</v>
      </c>
      <c r="G2876" s="3" t="s">
        <v>31</v>
      </c>
      <c r="H2876" s="2" t="s">
        <v>20</v>
      </c>
      <c r="I2876" s="2" t="s">
        <v>5908</v>
      </c>
      <c r="J2876" s="3" t="str">
        <f>HYPERLINK("https://www.boe.es/gazeta/dias/1822/04/26/pdfs/GMD-1822-118.pdf#page=3","Abrir facsímil")</f>
        <v>Abrir facsímil</v>
      </c>
      <c r="K2876" s="3" t="s">
        <v>22</v>
      </c>
    </row>
    <row r="2877" spans="1:11" ht="42" customHeight="1">
      <c r="A2877" s="2" t="s">
        <v>5852</v>
      </c>
      <c r="B2877" s="2" t="s">
        <v>5852</v>
      </c>
      <c r="C2877" s="2" t="s">
        <v>50</v>
      </c>
      <c r="D2877" s="2" t="s">
        <v>51</v>
      </c>
      <c r="E2877" s="5">
        <v>-28372</v>
      </c>
      <c r="F2877" s="3" t="s">
        <v>503</v>
      </c>
      <c r="G2877" s="3" t="s">
        <v>57</v>
      </c>
      <c r="H2877" s="2" t="s">
        <v>20</v>
      </c>
      <c r="I2877" s="2" t="s">
        <v>5909</v>
      </c>
      <c r="J2877" s="3" t="str">
        <f>HYPERLINK("https://www.boe.es/gazeta/dias/1822/04/26/pdfs/GMD-1822-118.pdf#page=4","Abrir facsímil")</f>
        <v>Abrir facsímil</v>
      </c>
      <c r="K2877" s="3" t="s">
        <v>22</v>
      </c>
    </row>
    <row r="2878" spans="1:11" ht="42" customHeight="1">
      <c r="A2878" s="2" t="s">
        <v>5852</v>
      </c>
      <c r="B2878" s="2" t="s">
        <v>5852</v>
      </c>
      <c r="C2878" s="2" t="s">
        <v>28</v>
      </c>
      <c r="D2878" s="2" t="s">
        <v>29</v>
      </c>
      <c r="E2878" s="5">
        <v>-28372</v>
      </c>
      <c r="F2878" s="3" t="s">
        <v>503</v>
      </c>
      <c r="G2878" s="3" t="s">
        <v>19</v>
      </c>
      <c r="H2878" s="2" t="s">
        <v>20</v>
      </c>
      <c r="I2878" s="2" t="s">
        <v>5910</v>
      </c>
      <c r="J2878" s="3" t="str">
        <f>HYPERLINK("https://www.boe.es/gazeta/dias/1822/04/26/pdfs/GMD-1822-118.pdf#page=5","Abrir facsímil")</f>
        <v>Abrir facsímil</v>
      </c>
      <c r="K2878" s="3" t="s">
        <v>22</v>
      </c>
    </row>
    <row r="2879" spans="1:11" ht="42" customHeight="1">
      <c r="A2879" s="2" t="s">
        <v>5852</v>
      </c>
      <c r="B2879" s="2" t="s">
        <v>5852</v>
      </c>
      <c r="C2879" s="2" t="s">
        <v>50</v>
      </c>
      <c r="D2879" s="2" t="s">
        <v>51</v>
      </c>
      <c r="E2879" s="5">
        <v>-28371</v>
      </c>
      <c r="F2879" s="3" t="s">
        <v>401</v>
      </c>
      <c r="G2879" s="3" t="s">
        <v>31</v>
      </c>
      <c r="H2879" s="2" t="s">
        <v>20</v>
      </c>
      <c r="I2879" s="2" t="s">
        <v>5911</v>
      </c>
      <c r="J2879" s="3" t="str">
        <f>HYPERLINK("https://www.boe.es/gazeta/dias/1822/04/27/pdfs/GMD-1822-119.pdf#page=3","Abrir facsímil")</f>
        <v>Abrir facsímil</v>
      </c>
      <c r="K2879" s="3" t="s">
        <v>22</v>
      </c>
    </row>
    <row r="2880" spans="1:11" ht="42" customHeight="1">
      <c r="A2880" s="2" t="s">
        <v>5852</v>
      </c>
      <c r="B2880" s="2" t="s">
        <v>5852</v>
      </c>
      <c r="C2880" s="2" t="s">
        <v>28</v>
      </c>
      <c r="D2880" s="2" t="s">
        <v>29</v>
      </c>
      <c r="E2880" s="5">
        <v>-28371</v>
      </c>
      <c r="F2880" s="3" t="s">
        <v>401</v>
      </c>
      <c r="G2880" s="3" t="s">
        <v>57</v>
      </c>
      <c r="H2880" s="2" t="s">
        <v>20</v>
      </c>
      <c r="I2880" s="2" t="s">
        <v>5912</v>
      </c>
      <c r="J2880" s="3" t="str">
        <f>HYPERLINK("https://www.boe.es/gazeta/dias/1822/04/27/pdfs/GMD-1822-119.pdf#page=4","Abrir facsímil")</f>
        <v>Abrir facsímil</v>
      </c>
      <c r="K2880" s="3" t="s">
        <v>22</v>
      </c>
    </row>
    <row r="2881" spans="1:11" ht="42" customHeight="1">
      <c r="A2881" s="2" t="s">
        <v>5852</v>
      </c>
      <c r="B2881" s="2" t="s">
        <v>5852</v>
      </c>
      <c r="C2881" s="2" t="s">
        <v>42</v>
      </c>
      <c r="D2881" s="2" t="s">
        <v>17</v>
      </c>
      <c r="E2881" s="5">
        <v>-28369</v>
      </c>
      <c r="F2881" s="3" t="s">
        <v>1590</v>
      </c>
      <c r="G2881" s="3" t="s">
        <v>31</v>
      </c>
      <c r="H2881" s="2" t="s">
        <v>20</v>
      </c>
      <c r="I2881" s="2" t="s">
        <v>5913</v>
      </c>
      <c r="J2881" s="3" t="str">
        <f>HYPERLINK("https://www.boe.es/gazeta/dias/1822/04/29/pdfs/GMD-1822-121.pdf#page=3","Abrir facsímil")</f>
        <v>Abrir facsímil</v>
      </c>
      <c r="K2881" s="3" t="s">
        <v>22</v>
      </c>
    </row>
    <row r="2882" spans="1:11" ht="42" customHeight="1">
      <c r="A2882" s="2" t="s">
        <v>5852</v>
      </c>
      <c r="B2882" s="2" t="s">
        <v>5852</v>
      </c>
      <c r="C2882" s="2" t="s">
        <v>61</v>
      </c>
      <c r="D2882" s="2" t="s">
        <v>17</v>
      </c>
      <c r="E2882" s="5">
        <v>-28369</v>
      </c>
      <c r="F2882" s="3" t="s">
        <v>1590</v>
      </c>
      <c r="G2882" s="3" t="s">
        <v>19</v>
      </c>
      <c r="H2882" s="2" t="s">
        <v>20</v>
      </c>
      <c r="I2882" s="2" t="s">
        <v>5914</v>
      </c>
      <c r="J2882" s="3" t="str">
        <f>HYPERLINK("https://www.boe.es/gazeta/dias/1822/04/29/pdfs/GMD-1822-121.pdf#page=5","Abrir facsímil")</f>
        <v>Abrir facsímil</v>
      </c>
      <c r="K2882" s="3" t="s">
        <v>22</v>
      </c>
    </row>
    <row r="2883" spans="1:11" ht="42" customHeight="1">
      <c r="A2883" s="2" t="s">
        <v>5852</v>
      </c>
      <c r="B2883" s="2" t="s">
        <v>5852</v>
      </c>
      <c r="C2883" s="2" t="s">
        <v>42</v>
      </c>
      <c r="D2883" s="2" t="s">
        <v>17</v>
      </c>
      <c r="E2883" s="5">
        <v>-28368</v>
      </c>
      <c r="F2883" s="3" t="s">
        <v>126</v>
      </c>
      <c r="G2883" s="3" t="s">
        <v>35</v>
      </c>
      <c r="H2883" s="2" t="s">
        <v>20</v>
      </c>
      <c r="I2883" s="2" t="s">
        <v>5915</v>
      </c>
      <c r="J2883" s="3" t="str">
        <f>HYPERLINK("https://www.boe.es/gazeta/dias/1822/04/30/pdfs/GMD-1822-122.pdf#page=2","Abrir facsímil")</f>
        <v>Abrir facsímil</v>
      </c>
      <c r="K2883" s="3" t="s">
        <v>22</v>
      </c>
    </row>
    <row r="2884" spans="1:11" ht="42" customHeight="1">
      <c r="A2884" s="2" t="s">
        <v>5852</v>
      </c>
      <c r="B2884" s="2" t="s">
        <v>5852</v>
      </c>
      <c r="C2884" s="2" t="s">
        <v>28</v>
      </c>
      <c r="D2884" s="2" t="s">
        <v>29</v>
      </c>
      <c r="E2884" s="5">
        <v>-28368</v>
      </c>
      <c r="F2884" s="3" t="s">
        <v>126</v>
      </c>
      <c r="G2884" s="3" t="s">
        <v>57</v>
      </c>
      <c r="H2884" s="2" t="s">
        <v>20</v>
      </c>
      <c r="I2884" s="2" t="s">
        <v>5916</v>
      </c>
      <c r="J2884" s="3" t="str">
        <f>HYPERLINK("https://www.boe.es/gazeta/dias/1822/04/30/pdfs/GMD-1822-122.pdf#page=4","Abrir facsímil")</f>
        <v>Abrir facsímil</v>
      </c>
      <c r="K2884" s="3" t="s">
        <v>22</v>
      </c>
    </row>
    <row r="2885" spans="1:11" ht="42" customHeight="1">
      <c r="A2885" s="2" t="s">
        <v>5852</v>
      </c>
      <c r="B2885" s="2" t="s">
        <v>5852</v>
      </c>
      <c r="C2885" s="2" t="s">
        <v>71</v>
      </c>
      <c r="D2885" s="2" t="s">
        <v>17</v>
      </c>
      <c r="E2885" s="5">
        <v>-28367</v>
      </c>
      <c r="F2885" s="3" t="s">
        <v>280</v>
      </c>
      <c r="G2885" s="3" t="s">
        <v>35</v>
      </c>
      <c r="H2885" s="2" t="s">
        <v>20</v>
      </c>
      <c r="I2885" s="2" t="s">
        <v>5917</v>
      </c>
      <c r="J2885" s="3" t="str">
        <f>HYPERLINK("https://www.boe.es/gazeta/dias/1822/05/01/pdfs/GMD-1822-123.pdf#page=2","Abrir facsímil")</f>
        <v>Abrir facsímil</v>
      </c>
      <c r="K2885" s="3" t="s">
        <v>22</v>
      </c>
    </row>
    <row r="2886" spans="1:11" ht="42" customHeight="1">
      <c r="A2886" s="2" t="s">
        <v>5852</v>
      </c>
      <c r="B2886" s="2" t="s">
        <v>5852</v>
      </c>
      <c r="C2886" s="2" t="s">
        <v>28</v>
      </c>
      <c r="D2886" s="2" t="s">
        <v>29</v>
      </c>
      <c r="E2886" s="5">
        <v>-28367</v>
      </c>
      <c r="F2886" s="3" t="s">
        <v>280</v>
      </c>
      <c r="G2886" s="3" t="s">
        <v>31</v>
      </c>
      <c r="H2886" s="2" t="s">
        <v>20</v>
      </c>
      <c r="I2886" s="2" t="s">
        <v>5918</v>
      </c>
      <c r="J2886" s="3" t="str">
        <f>HYPERLINK("https://www.boe.es/gazeta/dias/1822/05/01/pdfs/GMD-1822-123.pdf#page=3","Abrir facsímil")</f>
        <v>Abrir facsímil</v>
      </c>
      <c r="K2886" s="3" t="s">
        <v>22</v>
      </c>
    </row>
    <row r="2887" spans="1:11" ht="42" customHeight="1">
      <c r="A2887" s="2" t="s">
        <v>5852</v>
      </c>
      <c r="B2887" s="2" t="s">
        <v>5852</v>
      </c>
      <c r="C2887" s="2" t="s">
        <v>50</v>
      </c>
      <c r="D2887" s="2" t="s">
        <v>51</v>
      </c>
      <c r="E2887" s="5">
        <v>-28366</v>
      </c>
      <c r="F2887" s="3" t="s">
        <v>120</v>
      </c>
      <c r="G2887" s="3" t="s">
        <v>35</v>
      </c>
      <c r="H2887" s="2" t="s">
        <v>20</v>
      </c>
      <c r="I2887" s="2" t="s">
        <v>5919</v>
      </c>
      <c r="J2887" s="3" t="str">
        <f>HYPERLINK("https://www.boe.es/gazeta/dias/1822/05/02/pdfs/GMD-1822-124.pdf#page=2","Abrir facsímil")</f>
        <v>Abrir facsímil</v>
      </c>
      <c r="K2887" s="3" t="s">
        <v>22</v>
      </c>
    </row>
    <row r="2888" spans="1:11" ht="42" customHeight="1">
      <c r="A2888" s="2" t="s">
        <v>5852</v>
      </c>
      <c r="B2888" s="2" t="s">
        <v>5852</v>
      </c>
      <c r="C2888" s="2" t="s">
        <v>28</v>
      </c>
      <c r="D2888" s="2" t="s">
        <v>29</v>
      </c>
      <c r="E2888" s="5">
        <v>-28366</v>
      </c>
      <c r="F2888" s="3" t="s">
        <v>120</v>
      </c>
      <c r="G2888" s="3" t="s">
        <v>31</v>
      </c>
      <c r="H2888" s="2" t="s">
        <v>20</v>
      </c>
      <c r="I2888" s="2" t="s">
        <v>5920</v>
      </c>
      <c r="J2888" s="3" t="str">
        <f>HYPERLINK("https://www.boe.es/gazeta/dias/1822/05/02/pdfs/GMD-1822-124.pdf#page=3","Abrir facsímil")</f>
        <v>Abrir facsímil</v>
      </c>
      <c r="K2888" s="3" t="s">
        <v>22</v>
      </c>
    </row>
    <row r="2889" spans="1:11" ht="42" customHeight="1">
      <c r="A2889" s="2" t="s">
        <v>5852</v>
      </c>
      <c r="B2889" s="2" t="s">
        <v>5852</v>
      </c>
      <c r="C2889" s="2" t="s">
        <v>28</v>
      </c>
      <c r="D2889" s="2" t="s">
        <v>29</v>
      </c>
      <c r="E2889" s="5">
        <v>-28365</v>
      </c>
      <c r="F2889" s="3" t="s">
        <v>506</v>
      </c>
      <c r="G2889" s="3" t="s">
        <v>2093</v>
      </c>
      <c r="H2889" s="2" t="s">
        <v>20</v>
      </c>
      <c r="I2889" s="2" t="s">
        <v>5921</v>
      </c>
      <c r="J2889" s="3" t="str">
        <f>HYPERLINK("https://www.boe.es/gazeta/dias/1822/05/03/pdfs/GMD-1822-125.pdf#page=6","Abrir facsímil")</f>
        <v>Abrir facsímil</v>
      </c>
      <c r="K2889" s="3" t="s">
        <v>22</v>
      </c>
    </row>
    <row r="2890" spans="1:11" ht="42" customHeight="1">
      <c r="A2890" s="2" t="s">
        <v>5852</v>
      </c>
      <c r="B2890" s="2" t="s">
        <v>5852</v>
      </c>
      <c r="C2890" s="2" t="s">
        <v>50</v>
      </c>
      <c r="D2890" s="2" t="s">
        <v>51</v>
      </c>
      <c r="E2890" s="5">
        <v>-28365</v>
      </c>
      <c r="F2890" s="3" t="s">
        <v>506</v>
      </c>
      <c r="G2890" s="3" t="s">
        <v>44</v>
      </c>
      <c r="H2890" s="2" t="s">
        <v>20</v>
      </c>
      <c r="I2890" s="2" t="s">
        <v>5922</v>
      </c>
      <c r="J2890" s="3" t="str">
        <f>HYPERLINK("https://www.boe.es/gazeta/dias/1822/05/03/pdfs/GMD-1822-125.pdf#page=1","Abrir facsímil")</f>
        <v>Abrir facsímil</v>
      </c>
      <c r="K2890" s="3" t="s">
        <v>22</v>
      </c>
    </row>
    <row r="2891" spans="1:11" ht="42" customHeight="1">
      <c r="A2891" s="2" t="s">
        <v>5852</v>
      </c>
      <c r="B2891" s="2" t="s">
        <v>5852</v>
      </c>
      <c r="C2891" s="2" t="s">
        <v>42</v>
      </c>
      <c r="D2891" s="2" t="s">
        <v>17</v>
      </c>
      <c r="E2891" s="5">
        <v>-28365</v>
      </c>
      <c r="F2891" s="3" t="s">
        <v>506</v>
      </c>
      <c r="G2891" s="3" t="s">
        <v>35</v>
      </c>
      <c r="H2891" s="2" t="s">
        <v>20</v>
      </c>
      <c r="I2891" s="2" t="s">
        <v>5923</v>
      </c>
      <c r="J2891" s="3" t="str">
        <f>HYPERLINK("https://www.boe.es/gazeta/dias/1822/05/03/pdfs/GMD-1822-125.pdf#page=2","Abrir facsímil")</f>
        <v>Abrir facsímil</v>
      </c>
      <c r="K2891" s="3" t="s">
        <v>22</v>
      </c>
    </row>
    <row r="2892" spans="1:11" ht="42" customHeight="1">
      <c r="A2892" s="2" t="s">
        <v>5852</v>
      </c>
      <c r="B2892" s="2" t="s">
        <v>5852</v>
      </c>
      <c r="C2892" s="2" t="s">
        <v>28</v>
      </c>
      <c r="D2892" s="2" t="s">
        <v>29</v>
      </c>
      <c r="E2892" s="5">
        <v>-28365</v>
      </c>
      <c r="F2892" s="3" t="s">
        <v>506</v>
      </c>
      <c r="G2892" s="3" t="s">
        <v>57</v>
      </c>
      <c r="H2892" s="2" t="s">
        <v>20</v>
      </c>
      <c r="I2892" s="2" t="s">
        <v>5924</v>
      </c>
      <c r="J2892" s="3" t="str">
        <f>HYPERLINK("https://www.boe.es/gazeta/dias/1822/05/03/pdfs/GMD-1822-125.pdf#page=4","Abrir facsímil")</f>
        <v>Abrir facsímil</v>
      </c>
      <c r="K2892" s="3" t="s">
        <v>22</v>
      </c>
    </row>
    <row r="2893" spans="1:11" ht="42" customHeight="1">
      <c r="A2893" s="2" t="s">
        <v>5852</v>
      </c>
      <c r="B2893" s="2" t="s">
        <v>5852</v>
      </c>
      <c r="C2893" s="2" t="s">
        <v>42</v>
      </c>
      <c r="D2893" s="2" t="s">
        <v>17</v>
      </c>
      <c r="E2893" s="5">
        <v>-28364</v>
      </c>
      <c r="F2893" s="3" t="s">
        <v>509</v>
      </c>
      <c r="G2893" s="3" t="s">
        <v>35</v>
      </c>
      <c r="H2893" s="2" t="s">
        <v>20</v>
      </c>
      <c r="I2893" s="2" t="s">
        <v>5925</v>
      </c>
      <c r="J2893" s="3" t="str">
        <f>HYPERLINK("https://www.boe.es/gazeta/dias/1822/05/04/pdfs/GMD-1822-126.pdf#page=2","Abrir facsímil")</f>
        <v>Abrir facsímil</v>
      </c>
      <c r="K2893" s="3" t="s">
        <v>22</v>
      </c>
    </row>
    <row r="2894" spans="1:11" ht="42" customHeight="1">
      <c r="A2894" s="2" t="s">
        <v>5852</v>
      </c>
      <c r="B2894" s="2" t="s">
        <v>5852</v>
      </c>
      <c r="C2894" s="2" t="s">
        <v>42</v>
      </c>
      <c r="D2894" s="2" t="s">
        <v>17</v>
      </c>
      <c r="E2894" s="5">
        <v>-28364</v>
      </c>
      <c r="F2894" s="3" t="s">
        <v>509</v>
      </c>
      <c r="G2894" s="3" t="s">
        <v>31</v>
      </c>
      <c r="H2894" s="2" t="s">
        <v>20</v>
      </c>
      <c r="I2894" s="2" t="s">
        <v>5926</v>
      </c>
      <c r="J2894" s="3" t="str">
        <f>HYPERLINK("https://www.boe.es/gazeta/dias/1822/05/04/pdfs/GMD-1822-126.pdf#page=3","Abrir facsímil")</f>
        <v>Abrir facsímil</v>
      </c>
      <c r="K2894" s="3" t="s">
        <v>22</v>
      </c>
    </row>
    <row r="2895" spans="1:11" ht="42" customHeight="1">
      <c r="A2895" s="2" t="s">
        <v>5852</v>
      </c>
      <c r="B2895" s="2" t="s">
        <v>5852</v>
      </c>
      <c r="C2895" s="2" t="s">
        <v>71</v>
      </c>
      <c r="D2895" s="2" t="s">
        <v>17</v>
      </c>
      <c r="E2895" s="5">
        <v>-28364</v>
      </c>
      <c r="F2895" s="3" t="s">
        <v>509</v>
      </c>
      <c r="G2895" s="3" t="s">
        <v>57</v>
      </c>
      <c r="H2895" s="2" t="s">
        <v>20</v>
      </c>
      <c r="I2895" s="2" t="s">
        <v>5927</v>
      </c>
      <c r="J2895" s="3" t="str">
        <f>HYPERLINK("https://www.boe.es/gazeta/dias/1822/05/04/pdfs/GMD-1822-126.pdf#page=4","Abrir facsímil")</f>
        <v>Abrir facsímil</v>
      </c>
      <c r="K2895" s="3" t="s">
        <v>22</v>
      </c>
    </row>
    <row r="2896" spans="1:11" ht="42" customHeight="1">
      <c r="A2896" s="2" t="s">
        <v>5852</v>
      </c>
      <c r="B2896" s="2" t="s">
        <v>5852</v>
      </c>
      <c r="C2896" s="2" t="s">
        <v>50</v>
      </c>
      <c r="D2896" s="2" t="s">
        <v>51</v>
      </c>
      <c r="E2896" s="5">
        <v>-28363</v>
      </c>
      <c r="F2896" s="3" t="s">
        <v>72</v>
      </c>
      <c r="G2896" s="3" t="s">
        <v>35</v>
      </c>
      <c r="H2896" s="2" t="s">
        <v>20</v>
      </c>
      <c r="I2896" s="2" t="s">
        <v>5928</v>
      </c>
      <c r="J2896" s="3" t="str">
        <f>HYPERLINK("https://www.boe.es/gazeta/dias/1822/05/05/pdfs/GMD-1822-127.pdf#page=2","Abrir facsímil")</f>
        <v>Abrir facsímil</v>
      </c>
      <c r="K2896" s="3" t="s">
        <v>22</v>
      </c>
    </row>
    <row r="2897" spans="1:11" ht="42" customHeight="1">
      <c r="A2897" s="2" t="s">
        <v>5852</v>
      </c>
      <c r="B2897" s="2" t="s">
        <v>5852</v>
      </c>
      <c r="C2897" s="2" t="s">
        <v>28</v>
      </c>
      <c r="D2897" s="2" t="s">
        <v>29</v>
      </c>
      <c r="E2897" s="5">
        <v>-28363</v>
      </c>
      <c r="F2897" s="3" t="s">
        <v>72</v>
      </c>
      <c r="G2897" s="3" t="s">
        <v>31</v>
      </c>
      <c r="H2897" s="2" t="s">
        <v>20</v>
      </c>
      <c r="I2897" s="2" t="s">
        <v>5929</v>
      </c>
      <c r="J2897" s="3" t="str">
        <f>HYPERLINK("https://www.boe.es/gazeta/dias/1822/05/05/pdfs/GMD-1822-127.pdf#page=3","Abrir facsímil")</f>
        <v>Abrir facsímil</v>
      </c>
      <c r="K2897" s="3" t="s">
        <v>22</v>
      </c>
    </row>
    <row r="2898" spans="1:11" ht="42" customHeight="1">
      <c r="A2898" s="2" t="s">
        <v>5852</v>
      </c>
      <c r="B2898" s="2" t="s">
        <v>5852</v>
      </c>
      <c r="C2898" s="2" t="s">
        <v>71</v>
      </c>
      <c r="D2898" s="2" t="s">
        <v>17</v>
      </c>
      <c r="E2898" s="5">
        <v>-28362</v>
      </c>
      <c r="F2898" s="3" t="s">
        <v>511</v>
      </c>
      <c r="G2898" s="3" t="s">
        <v>35</v>
      </c>
      <c r="H2898" s="2" t="s">
        <v>20</v>
      </c>
      <c r="I2898" s="2" t="s">
        <v>5930</v>
      </c>
      <c r="J2898" s="3" t="str">
        <f>HYPERLINK("https://www.boe.es/gazeta/dias/1822/05/06/pdfs/GMD-1822-128.pdf#page=2","Abrir facsímil")</f>
        <v>Abrir facsímil</v>
      </c>
      <c r="K2898" s="3" t="s">
        <v>22</v>
      </c>
    </row>
    <row r="2899" spans="1:11" ht="42" customHeight="1">
      <c r="A2899" s="2" t="s">
        <v>5852</v>
      </c>
      <c r="B2899" s="2" t="s">
        <v>5852</v>
      </c>
      <c r="C2899" s="2" t="s">
        <v>50</v>
      </c>
      <c r="D2899" s="2" t="s">
        <v>51</v>
      </c>
      <c r="E2899" s="5">
        <v>-28361</v>
      </c>
      <c r="F2899" s="3" t="s">
        <v>374</v>
      </c>
      <c r="G2899" s="3" t="s">
        <v>57</v>
      </c>
      <c r="H2899" s="2" t="s">
        <v>20</v>
      </c>
      <c r="I2899" s="2" t="s">
        <v>5931</v>
      </c>
      <c r="J2899" s="3" t="str">
        <f>HYPERLINK("https://www.boe.es/gazeta/dias/1822/05/07/pdfs/GMD-1822-129.pdf#page=4","Abrir facsímil")</f>
        <v>Abrir facsímil</v>
      </c>
      <c r="K2899" s="3" t="s">
        <v>22</v>
      </c>
    </row>
    <row r="2900" spans="1:11" ht="42" customHeight="1">
      <c r="A2900" s="2" t="s">
        <v>5852</v>
      </c>
      <c r="B2900" s="2" t="s">
        <v>5852</v>
      </c>
      <c r="C2900" s="2" t="s">
        <v>28</v>
      </c>
      <c r="D2900" s="2" t="s">
        <v>29</v>
      </c>
      <c r="E2900" s="5">
        <v>-28361</v>
      </c>
      <c r="F2900" s="3" t="s">
        <v>374</v>
      </c>
      <c r="G2900" s="3" t="s">
        <v>19</v>
      </c>
      <c r="H2900" s="2" t="s">
        <v>20</v>
      </c>
      <c r="I2900" s="2" t="s">
        <v>5932</v>
      </c>
      <c r="J2900" s="3" t="str">
        <f>HYPERLINK("https://www.boe.es/gazeta/dias/1822/05/07/pdfs/GMD-1822-129.pdf#page=5","Abrir facsímil")</f>
        <v>Abrir facsímil</v>
      </c>
      <c r="K2900" s="3" t="s">
        <v>22</v>
      </c>
    </row>
    <row r="2901" spans="1:11" ht="42" customHeight="1">
      <c r="A2901" s="2" t="s">
        <v>5852</v>
      </c>
      <c r="B2901" s="2" t="s">
        <v>5852</v>
      </c>
      <c r="C2901" s="2" t="s">
        <v>50</v>
      </c>
      <c r="D2901" s="2" t="s">
        <v>51</v>
      </c>
      <c r="E2901" s="5">
        <v>-28360</v>
      </c>
      <c r="F2901" s="3" t="s">
        <v>514</v>
      </c>
      <c r="G2901" s="3" t="s">
        <v>31</v>
      </c>
      <c r="H2901" s="2" t="s">
        <v>20</v>
      </c>
      <c r="I2901" s="2" t="s">
        <v>5933</v>
      </c>
      <c r="J2901" s="3" t="str">
        <f>HYPERLINK("https://www.boe.es/gazeta/dias/1822/05/08/pdfs/GMD-1822-130.pdf#page=3","Abrir facsímil")</f>
        <v>Abrir facsímil</v>
      </c>
      <c r="K2901" s="3" t="s">
        <v>22</v>
      </c>
    </row>
    <row r="2902" spans="1:11" ht="42" customHeight="1">
      <c r="A2902" s="2" t="s">
        <v>5852</v>
      </c>
      <c r="B2902" s="2" t="s">
        <v>5852</v>
      </c>
      <c r="C2902" s="2" t="s">
        <v>28</v>
      </c>
      <c r="D2902" s="2" t="s">
        <v>29</v>
      </c>
      <c r="E2902" s="5">
        <v>-28360</v>
      </c>
      <c r="F2902" s="3" t="s">
        <v>514</v>
      </c>
      <c r="G2902" s="3" t="s">
        <v>57</v>
      </c>
      <c r="H2902" s="2" t="s">
        <v>20</v>
      </c>
      <c r="I2902" s="2" t="s">
        <v>5934</v>
      </c>
      <c r="J2902" s="3" t="str">
        <f>HYPERLINK("https://www.boe.es/gazeta/dias/1822/05/08/pdfs/GMD-1822-130.pdf#page=4","Abrir facsímil")</f>
        <v>Abrir facsímil</v>
      </c>
      <c r="K2902" s="3" t="s">
        <v>22</v>
      </c>
    </row>
    <row r="2903" spans="1:11" ht="42" customHeight="1">
      <c r="A2903" s="2" t="s">
        <v>5852</v>
      </c>
      <c r="B2903" s="2" t="s">
        <v>5852</v>
      </c>
      <c r="C2903" s="2" t="s">
        <v>71</v>
      </c>
      <c r="D2903" s="2" t="s">
        <v>17</v>
      </c>
      <c r="E2903" s="5">
        <v>-28358</v>
      </c>
      <c r="F2903" s="3" t="s">
        <v>211</v>
      </c>
      <c r="G2903" s="3" t="s">
        <v>35</v>
      </c>
      <c r="H2903" s="2" t="s">
        <v>20</v>
      </c>
      <c r="I2903" s="2" t="s">
        <v>5935</v>
      </c>
      <c r="J2903" s="3" t="str">
        <f>HYPERLINK("https://www.boe.es/gazeta/dias/1822/05/10/pdfs/GMD-1822-132.pdf#page=2","Abrir facsímil")</f>
        <v>Abrir facsímil</v>
      </c>
      <c r="K2903" s="3" t="s">
        <v>22</v>
      </c>
    </row>
    <row r="2904" spans="1:11" ht="42" customHeight="1">
      <c r="A2904" s="2" t="s">
        <v>5852</v>
      </c>
      <c r="B2904" s="2" t="s">
        <v>5852</v>
      </c>
      <c r="C2904" s="2" t="s">
        <v>42</v>
      </c>
      <c r="D2904" s="2" t="s">
        <v>17</v>
      </c>
      <c r="E2904" s="5">
        <v>-28357</v>
      </c>
      <c r="F2904" s="3" t="s">
        <v>690</v>
      </c>
      <c r="G2904" s="3" t="s">
        <v>44</v>
      </c>
      <c r="H2904" s="2" t="s">
        <v>20</v>
      </c>
      <c r="I2904" s="2" t="s">
        <v>5936</v>
      </c>
      <c r="J2904" s="3" t="str">
        <f>HYPERLINK("https://www.boe.es/gazeta/dias/1822/05/11/pdfs/GMD-1822-133.pdf#page=1","Abrir facsímil")</f>
        <v>Abrir facsímil</v>
      </c>
      <c r="K2904" s="3" t="s">
        <v>22</v>
      </c>
    </row>
    <row r="2905" spans="1:11" ht="42" customHeight="1">
      <c r="A2905" s="2" t="s">
        <v>5852</v>
      </c>
      <c r="B2905" s="2" t="s">
        <v>5852</v>
      </c>
      <c r="C2905" s="2" t="s">
        <v>28</v>
      </c>
      <c r="D2905" s="2" t="s">
        <v>29</v>
      </c>
      <c r="E2905" s="5">
        <v>-28356</v>
      </c>
      <c r="F2905" s="3" t="s">
        <v>4170</v>
      </c>
      <c r="G2905" s="3" t="s">
        <v>57</v>
      </c>
      <c r="H2905" s="2" t="s">
        <v>20</v>
      </c>
      <c r="I2905" s="2" t="s">
        <v>5937</v>
      </c>
      <c r="J2905" s="3" t="str">
        <f>HYPERLINK("https://www.boe.es/gazeta/dias/1822/05/12/pdfs/GMD-1822-134.pdf#page=4","Abrir facsímil")</f>
        <v>Abrir facsímil</v>
      </c>
      <c r="K2905" s="3" t="s">
        <v>22</v>
      </c>
    </row>
    <row r="2906" spans="1:11" ht="42" customHeight="1">
      <c r="A2906" s="2" t="s">
        <v>5852</v>
      </c>
      <c r="B2906" s="2" t="s">
        <v>5852</v>
      </c>
      <c r="C2906" s="2" t="s">
        <v>28</v>
      </c>
      <c r="D2906" s="2" t="s">
        <v>29</v>
      </c>
      <c r="E2906" s="5">
        <v>-28355</v>
      </c>
      <c r="F2906" s="3" t="s">
        <v>692</v>
      </c>
      <c r="G2906" s="3" t="s">
        <v>19</v>
      </c>
      <c r="H2906" s="2" t="s">
        <v>20</v>
      </c>
      <c r="I2906" s="2" t="s">
        <v>5938</v>
      </c>
      <c r="J2906" s="3" t="str">
        <f>HYPERLINK("https://www.boe.es/gazeta/dias/1822/05/13/pdfs/GMD-1822-135.pdf#page=5","Abrir facsímil")</f>
        <v>Abrir facsímil</v>
      </c>
      <c r="K2906" s="3" t="s">
        <v>22</v>
      </c>
    </row>
    <row r="2907" spans="1:11" ht="42" customHeight="1">
      <c r="A2907" s="2" t="s">
        <v>5852</v>
      </c>
      <c r="B2907" s="2" t="s">
        <v>5852</v>
      </c>
      <c r="C2907" s="2" t="s">
        <v>42</v>
      </c>
      <c r="D2907" s="2" t="s">
        <v>17</v>
      </c>
      <c r="E2907" s="5">
        <v>-28354</v>
      </c>
      <c r="F2907" s="3" t="s">
        <v>226</v>
      </c>
      <c r="G2907" s="3" t="s">
        <v>31</v>
      </c>
      <c r="H2907" s="2" t="s">
        <v>20</v>
      </c>
      <c r="I2907" s="2" t="s">
        <v>5939</v>
      </c>
      <c r="J2907" s="3" t="str">
        <f>HYPERLINK("https://www.boe.es/gazeta/dias/1822/05/14/pdfs/GMD-1822-136.pdf#page=3","Abrir facsímil")</f>
        <v>Abrir facsímil</v>
      </c>
      <c r="K2907" s="3" t="s">
        <v>22</v>
      </c>
    </row>
    <row r="2908" spans="1:11" ht="42" customHeight="1">
      <c r="A2908" s="2" t="s">
        <v>5852</v>
      </c>
      <c r="B2908" s="2" t="s">
        <v>5852</v>
      </c>
      <c r="C2908" s="2" t="s">
        <v>28</v>
      </c>
      <c r="D2908" s="2" t="s">
        <v>29</v>
      </c>
      <c r="E2908" s="5">
        <v>-28353</v>
      </c>
      <c r="F2908" s="3" t="s">
        <v>843</v>
      </c>
      <c r="G2908" s="3" t="s">
        <v>57</v>
      </c>
      <c r="H2908" s="2" t="s">
        <v>20</v>
      </c>
      <c r="I2908" s="2" t="s">
        <v>5940</v>
      </c>
      <c r="J2908" s="3" t="str">
        <f>HYPERLINK("https://www.boe.es/gazeta/dias/1822/05/15/pdfs/GMD-1822-137.pdf#page=4","Abrir facsímil")</f>
        <v>Abrir facsímil</v>
      </c>
      <c r="K2908" s="3" t="s">
        <v>22</v>
      </c>
    </row>
    <row r="2909" spans="1:11" ht="42" customHeight="1">
      <c r="A2909" s="2" t="s">
        <v>5852</v>
      </c>
      <c r="B2909" s="2" t="s">
        <v>5852</v>
      </c>
      <c r="C2909" s="2" t="s">
        <v>16</v>
      </c>
      <c r="D2909" s="2" t="s">
        <v>17</v>
      </c>
      <c r="E2909" s="5">
        <v>-28351</v>
      </c>
      <c r="F2909" s="3" t="s">
        <v>282</v>
      </c>
      <c r="G2909" s="3" t="s">
        <v>35</v>
      </c>
      <c r="H2909" s="2" t="s">
        <v>20</v>
      </c>
      <c r="I2909" s="2" t="s">
        <v>5941</v>
      </c>
      <c r="J2909" s="3" t="str">
        <f>HYPERLINK("https://www.boe.es/gazeta/dias/1822/05/17/pdfs/GMD-1822-139.pdf#page=2","Abrir facsímil")</f>
        <v>Abrir facsímil</v>
      </c>
      <c r="K2909" s="3" t="s">
        <v>22</v>
      </c>
    </row>
    <row r="2910" spans="1:11" ht="42" customHeight="1">
      <c r="A2910" s="2" t="s">
        <v>5852</v>
      </c>
      <c r="B2910" s="2" t="s">
        <v>5852</v>
      </c>
      <c r="C2910" s="2" t="s">
        <v>16</v>
      </c>
      <c r="D2910" s="2" t="s">
        <v>17</v>
      </c>
      <c r="E2910" s="5">
        <v>-28350</v>
      </c>
      <c r="F2910" s="3" t="s">
        <v>352</v>
      </c>
      <c r="G2910" s="3" t="s">
        <v>19</v>
      </c>
      <c r="H2910" s="2" t="s">
        <v>20</v>
      </c>
      <c r="I2910" s="2" t="s">
        <v>5942</v>
      </c>
      <c r="J2910" s="3" t="str">
        <f>HYPERLINK("https://www.boe.es/gazeta/dias/1822/05/18/pdfs/GMD-1822-140.pdf#page=5","Abrir facsímil")</f>
        <v>Abrir facsímil</v>
      </c>
      <c r="K2910" s="3" t="s">
        <v>22</v>
      </c>
    </row>
    <row r="2911" spans="1:11" ht="42" customHeight="1">
      <c r="A2911" s="2" t="s">
        <v>5852</v>
      </c>
      <c r="B2911" s="2" t="s">
        <v>5852</v>
      </c>
      <c r="C2911" s="2" t="s">
        <v>28</v>
      </c>
      <c r="D2911" s="2" t="s">
        <v>29</v>
      </c>
      <c r="E2911" s="5">
        <v>-28349</v>
      </c>
      <c r="F2911" s="3" t="s">
        <v>518</v>
      </c>
      <c r="G2911" s="3" t="s">
        <v>35</v>
      </c>
      <c r="H2911" s="2" t="s">
        <v>20</v>
      </c>
      <c r="I2911" s="2" t="s">
        <v>5943</v>
      </c>
      <c r="J2911" s="3" t="str">
        <f>HYPERLINK("https://www.boe.es/gazeta/dias/1822/05/19/pdfs/GMD-1822-141.pdf#page=2","Abrir facsímil")</f>
        <v>Abrir facsímil</v>
      </c>
      <c r="K2911" s="3" t="s">
        <v>22</v>
      </c>
    </row>
    <row r="2912" spans="1:11" ht="42" customHeight="1">
      <c r="A2912" s="2" t="s">
        <v>5852</v>
      </c>
      <c r="B2912" s="2" t="s">
        <v>5852</v>
      </c>
      <c r="C2912" s="2" t="s">
        <v>61</v>
      </c>
      <c r="D2912" s="2" t="s">
        <v>17</v>
      </c>
      <c r="E2912" s="5">
        <v>-28348</v>
      </c>
      <c r="F2912" s="3" t="s">
        <v>2903</v>
      </c>
      <c r="G2912" s="3" t="s">
        <v>31</v>
      </c>
      <c r="H2912" s="2" t="s">
        <v>20</v>
      </c>
      <c r="I2912" s="2" t="s">
        <v>5944</v>
      </c>
      <c r="J2912" s="3" t="str">
        <f>HYPERLINK("https://www.boe.es/gazeta/dias/1822/05/20/pdfs/GMD-1822-143.pdf#page=3","Abrir facsímil")</f>
        <v>Abrir facsímil</v>
      </c>
      <c r="K2912" s="3" t="s">
        <v>22</v>
      </c>
    </row>
    <row r="2913" spans="1:11" ht="42" customHeight="1">
      <c r="A2913" s="2" t="s">
        <v>5852</v>
      </c>
      <c r="B2913" s="2" t="s">
        <v>5852</v>
      </c>
      <c r="C2913" s="2" t="s">
        <v>71</v>
      </c>
      <c r="D2913" s="2" t="s">
        <v>17</v>
      </c>
      <c r="E2913" s="5">
        <v>-28348</v>
      </c>
      <c r="F2913" s="3" t="s">
        <v>2903</v>
      </c>
      <c r="G2913" s="3" t="s">
        <v>57</v>
      </c>
      <c r="H2913" s="2" t="s">
        <v>20</v>
      </c>
      <c r="I2913" s="2" t="s">
        <v>5945</v>
      </c>
      <c r="J2913" s="3" t="str">
        <f>HYPERLINK("https://www.boe.es/gazeta/dias/1822/05/20/pdfs/GMD-1822-143.pdf#page=4","Abrir facsímil")</f>
        <v>Abrir facsímil</v>
      </c>
      <c r="K2913" s="3" t="s">
        <v>22</v>
      </c>
    </row>
    <row r="2914" spans="1:11" ht="42" customHeight="1">
      <c r="A2914" s="2" t="s">
        <v>5852</v>
      </c>
      <c r="B2914" s="2" t="s">
        <v>5852</v>
      </c>
      <c r="C2914" s="2" t="s">
        <v>42</v>
      </c>
      <c r="D2914" s="2" t="s">
        <v>17</v>
      </c>
      <c r="E2914" s="5">
        <v>-28348</v>
      </c>
      <c r="F2914" s="3" t="s">
        <v>2903</v>
      </c>
      <c r="G2914" s="3" t="s">
        <v>19</v>
      </c>
      <c r="H2914" s="2" t="s">
        <v>20</v>
      </c>
      <c r="I2914" s="2" t="s">
        <v>5946</v>
      </c>
      <c r="J2914" s="3" t="str">
        <f>HYPERLINK("https://www.boe.es/gazeta/dias/1822/05/20/pdfs/GMD-1822-143.pdf#page=5","Abrir facsímil")</f>
        <v>Abrir facsímil</v>
      </c>
      <c r="K2914" s="3" t="s">
        <v>22</v>
      </c>
    </row>
    <row r="2915" spans="1:11" ht="42" customHeight="1">
      <c r="A2915" s="2" t="s">
        <v>5852</v>
      </c>
      <c r="B2915" s="2" t="s">
        <v>5852</v>
      </c>
      <c r="C2915" s="2" t="s">
        <v>50</v>
      </c>
      <c r="D2915" s="2" t="s">
        <v>51</v>
      </c>
      <c r="E2915" s="5">
        <v>-28347</v>
      </c>
      <c r="F2915" s="3" t="s">
        <v>520</v>
      </c>
      <c r="G2915" s="3" t="s">
        <v>63</v>
      </c>
      <c r="H2915" s="2" t="s">
        <v>20</v>
      </c>
      <c r="I2915" s="2" t="s">
        <v>5947</v>
      </c>
      <c r="J2915" s="3" t="str">
        <f>HYPERLINK("https://www.boe.es/gazeta/dias/1822/05/21/pdfs/GMD-1822-144.pdf#page=6","Abrir facsímil")</f>
        <v>Abrir facsímil</v>
      </c>
      <c r="K2915" s="3" t="s">
        <v>22</v>
      </c>
    </row>
    <row r="2916" spans="1:11" ht="42" customHeight="1">
      <c r="A2916" s="2" t="s">
        <v>5852</v>
      </c>
      <c r="B2916" s="2" t="s">
        <v>5852</v>
      </c>
      <c r="C2916" s="2" t="s">
        <v>42</v>
      </c>
      <c r="D2916" s="2" t="s">
        <v>17</v>
      </c>
      <c r="E2916" s="5">
        <v>-28344</v>
      </c>
      <c r="F2916" s="3" t="s">
        <v>524</v>
      </c>
      <c r="G2916" s="3" t="s">
        <v>63</v>
      </c>
      <c r="H2916" s="2" t="s">
        <v>20</v>
      </c>
      <c r="I2916" s="2" t="s">
        <v>5948</v>
      </c>
      <c r="J2916" s="3" t="str">
        <f>HYPERLINK("https://www.boe.es/gazeta/dias/1822/05/24/pdfs/GMD-1822-148.pdf#page=6","Abrir facsímil")</f>
        <v>Abrir facsímil</v>
      </c>
      <c r="K2916" s="3" t="s">
        <v>22</v>
      </c>
    </row>
    <row r="2917" spans="1:11" ht="42" customHeight="1">
      <c r="A2917" s="2" t="s">
        <v>5852</v>
      </c>
      <c r="B2917" s="2" t="s">
        <v>5852</v>
      </c>
      <c r="C2917" s="2" t="s">
        <v>50</v>
      </c>
      <c r="D2917" s="2" t="s">
        <v>51</v>
      </c>
      <c r="E2917" s="5">
        <v>-28341</v>
      </c>
      <c r="F2917" s="3" t="s">
        <v>284</v>
      </c>
      <c r="G2917" s="3" t="s">
        <v>19</v>
      </c>
      <c r="H2917" s="2" t="s">
        <v>20</v>
      </c>
      <c r="I2917" s="2" t="s">
        <v>5949</v>
      </c>
      <c r="J2917" s="3" t="str">
        <f>HYPERLINK("https://www.boe.es/gazeta/dias/1822/05/27/pdfs/GMD-1822-152.pdf#page=5","Abrir facsímil")</f>
        <v>Abrir facsímil</v>
      </c>
      <c r="K2917" s="3" t="s">
        <v>22</v>
      </c>
    </row>
    <row r="2918" spans="1:11" ht="42" customHeight="1">
      <c r="A2918" s="2" t="s">
        <v>5852</v>
      </c>
      <c r="B2918" s="2" t="s">
        <v>5852</v>
      </c>
      <c r="C2918" s="2" t="s">
        <v>42</v>
      </c>
      <c r="D2918" s="2" t="s">
        <v>17</v>
      </c>
      <c r="E2918" s="5">
        <v>-28337</v>
      </c>
      <c r="F2918" s="3" t="s">
        <v>1836</v>
      </c>
      <c r="G2918" s="3" t="s">
        <v>57</v>
      </c>
      <c r="H2918" s="2" t="s">
        <v>20</v>
      </c>
      <c r="I2918" s="2" t="s">
        <v>5950</v>
      </c>
      <c r="J2918" s="3" t="str">
        <f>HYPERLINK("https://www.boe.es/gazeta/dias/1822/05/31/pdfs/GMD-1822-156.pdf#page=4","Abrir facsímil")</f>
        <v>Abrir facsímil</v>
      </c>
      <c r="K2918" s="3" t="s">
        <v>22</v>
      </c>
    </row>
    <row r="2919" spans="1:11" ht="42" customHeight="1">
      <c r="A2919" s="2" t="s">
        <v>5852</v>
      </c>
      <c r="B2919" s="2" t="s">
        <v>5852</v>
      </c>
      <c r="C2919" s="2" t="s">
        <v>71</v>
      </c>
      <c r="D2919" s="2" t="s">
        <v>17</v>
      </c>
      <c r="E2919" s="5">
        <v>-28336</v>
      </c>
      <c r="F2919" s="3" t="s">
        <v>156</v>
      </c>
      <c r="G2919" s="3" t="s">
        <v>31</v>
      </c>
      <c r="H2919" s="2" t="s">
        <v>20</v>
      </c>
      <c r="I2919" s="2" t="s">
        <v>5951</v>
      </c>
      <c r="J2919" s="3" t="str">
        <f>HYPERLINK("https://www.boe.es/gazeta/dias/1822/06/01/pdfs/GMD-1822-157.pdf#page=3","Abrir facsímil")</f>
        <v>Abrir facsímil</v>
      </c>
      <c r="K2919" s="3" t="s">
        <v>22</v>
      </c>
    </row>
    <row r="2920" spans="1:11" ht="42" customHeight="1">
      <c r="A2920" s="2" t="s">
        <v>5852</v>
      </c>
      <c r="B2920" s="2" t="s">
        <v>5852</v>
      </c>
      <c r="C2920" s="2" t="s">
        <v>28</v>
      </c>
      <c r="D2920" s="2" t="s">
        <v>29</v>
      </c>
      <c r="E2920" s="5">
        <v>-28334</v>
      </c>
      <c r="F2920" s="3" t="s">
        <v>532</v>
      </c>
      <c r="G2920" s="3" t="s">
        <v>57</v>
      </c>
      <c r="H2920" s="2" t="s">
        <v>20</v>
      </c>
      <c r="I2920" s="2" t="s">
        <v>5952</v>
      </c>
      <c r="J2920" s="3" t="str">
        <f>HYPERLINK("https://www.boe.es/gazeta/dias/1822/06/03/pdfs/GMD-1822-159.pdf#page=4","Abrir facsímil")</f>
        <v>Abrir facsímil</v>
      </c>
      <c r="K2920" s="3" t="s">
        <v>22</v>
      </c>
    </row>
    <row r="2921" spans="1:11" ht="42" customHeight="1">
      <c r="A2921" s="2" t="s">
        <v>5852</v>
      </c>
      <c r="B2921" s="2" t="s">
        <v>5852</v>
      </c>
      <c r="C2921" s="2" t="s">
        <v>42</v>
      </c>
      <c r="D2921" s="2" t="s">
        <v>17</v>
      </c>
      <c r="E2921" s="5">
        <v>-28334</v>
      </c>
      <c r="F2921" s="3" t="s">
        <v>532</v>
      </c>
      <c r="G2921" s="3" t="s">
        <v>19</v>
      </c>
      <c r="H2921" s="2" t="s">
        <v>20</v>
      </c>
      <c r="I2921" s="2" t="s">
        <v>5953</v>
      </c>
      <c r="J2921" s="3" t="str">
        <f>HYPERLINK("https://www.boe.es/gazeta/dias/1822/06/03/pdfs/GMD-1822-159.pdf#page=5","Abrir facsímil")</f>
        <v>Abrir facsímil</v>
      </c>
      <c r="K2921" s="3" t="s">
        <v>22</v>
      </c>
    </row>
    <row r="2922" spans="1:11" ht="42" customHeight="1">
      <c r="A2922" s="2" t="s">
        <v>5852</v>
      </c>
      <c r="B2922" s="2" t="s">
        <v>5852</v>
      </c>
      <c r="C2922" s="2" t="s">
        <v>28</v>
      </c>
      <c r="D2922" s="2" t="s">
        <v>29</v>
      </c>
      <c r="E2922" s="5">
        <v>-28332</v>
      </c>
      <c r="F2922" s="3" t="s">
        <v>535</v>
      </c>
      <c r="G2922" s="3" t="s">
        <v>5954</v>
      </c>
      <c r="H2922" s="2" t="s">
        <v>20</v>
      </c>
      <c r="I2922" s="2" t="s">
        <v>5955</v>
      </c>
      <c r="J2922" s="3" t="str">
        <f>HYPERLINK("https://www.boe.es/gazeta/dias/1822/06/05/pdfs/GMD-1822-162.pdf#page=4","Abrir facsímil")</f>
        <v>Abrir facsímil</v>
      </c>
      <c r="K2922" s="3" t="s">
        <v>22</v>
      </c>
    </row>
    <row r="2923" spans="1:11" ht="42" customHeight="1">
      <c r="A2923" s="2" t="s">
        <v>5852</v>
      </c>
      <c r="B2923" s="2" t="s">
        <v>5852</v>
      </c>
      <c r="C2923" s="2" t="s">
        <v>50</v>
      </c>
      <c r="D2923" s="2" t="s">
        <v>51</v>
      </c>
      <c r="E2923" s="5">
        <v>-28332</v>
      </c>
      <c r="F2923" s="3" t="s">
        <v>535</v>
      </c>
      <c r="G2923" s="3" t="s">
        <v>63</v>
      </c>
      <c r="H2923" s="2" t="s">
        <v>20</v>
      </c>
      <c r="I2923" s="2" t="s">
        <v>5956</v>
      </c>
      <c r="J2923" s="3" t="str">
        <f>HYPERLINK("https://www.boe.es/gazeta/dias/1822/06/05/pdfs/GMD-1822-162.pdf#page=6","Abrir facsímil")</f>
        <v>Abrir facsímil</v>
      </c>
      <c r="K2923" s="3" t="s">
        <v>22</v>
      </c>
    </row>
    <row r="2924" spans="1:11" ht="42" customHeight="1">
      <c r="A2924" s="2" t="s">
        <v>5852</v>
      </c>
      <c r="B2924" s="2" t="s">
        <v>5852</v>
      </c>
      <c r="C2924" s="2" t="s">
        <v>28</v>
      </c>
      <c r="D2924" s="2" t="s">
        <v>29</v>
      </c>
      <c r="E2924" s="5">
        <v>-28331</v>
      </c>
      <c r="F2924" s="3" t="s">
        <v>537</v>
      </c>
      <c r="G2924" s="3" t="s">
        <v>31</v>
      </c>
      <c r="H2924" s="2" t="s">
        <v>20</v>
      </c>
      <c r="I2924" s="2" t="s">
        <v>5957</v>
      </c>
      <c r="J2924" s="3" t="str">
        <f>HYPERLINK("https://www.boe.es/gazeta/dias/1822/06/06/pdfs/GMD-1822-163.pdf#page=3","Abrir facsímil")</f>
        <v>Abrir facsímil</v>
      </c>
      <c r="K2924" s="3" t="s">
        <v>22</v>
      </c>
    </row>
    <row r="2925" spans="1:11" ht="42" customHeight="1">
      <c r="A2925" s="2" t="s">
        <v>5852</v>
      </c>
      <c r="B2925" s="2" t="s">
        <v>5852</v>
      </c>
      <c r="C2925" s="2" t="s">
        <v>28</v>
      </c>
      <c r="D2925" s="2" t="s">
        <v>29</v>
      </c>
      <c r="E2925" s="5">
        <v>-28329</v>
      </c>
      <c r="F2925" s="3" t="s">
        <v>354</v>
      </c>
      <c r="G2925" s="3" t="s">
        <v>35</v>
      </c>
      <c r="H2925" s="2" t="s">
        <v>20</v>
      </c>
      <c r="I2925" s="2" t="s">
        <v>5958</v>
      </c>
      <c r="J2925" s="3" t="str">
        <f>HYPERLINK("https://www.boe.es/gazeta/dias/1822/06/08/pdfs/GMD-1822-165.pdf#page=2","Abrir facsímil")</f>
        <v>Abrir facsímil</v>
      </c>
      <c r="K2925" s="3" t="s">
        <v>22</v>
      </c>
    </row>
    <row r="2926" spans="1:11" ht="42" customHeight="1">
      <c r="A2926" s="2" t="s">
        <v>5852</v>
      </c>
      <c r="B2926" s="2" t="s">
        <v>5852</v>
      </c>
      <c r="C2926" s="2" t="s">
        <v>42</v>
      </c>
      <c r="D2926" s="2" t="s">
        <v>17</v>
      </c>
      <c r="E2926" s="5">
        <v>-28327</v>
      </c>
      <c r="F2926" s="3" t="s">
        <v>38</v>
      </c>
      <c r="G2926" s="3" t="s">
        <v>35</v>
      </c>
      <c r="H2926" s="2" t="s">
        <v>20</v>
      </c>
      <c r="I2926" s="2" t="s">
        <v>5959</v>
      </c>
      <c r="J2926" s="3" t="str">
        <f>HYPERLINK("https://www.boe.es/gazeta/dias/1822/06/10/pdfs/GMD-1822-167.pdf#page=2","Abrir facsímil")</f>
        <v>Abrir facsímil</v>
      </c>
      <c r="K2926" s="3" t="s">
        <v>22</v>
      </c>
    </row>
    <row r="2927" spans="1:11" ht="42" customHeight="1">
      <c r="A2927" s="2" t="s">
        <v>5852</v>
      </c>
      <c r="B2927" s="2" t="s">
        <v>5852</v>
      </c>
      <c r="C2927" s="2" t="s">
        <v>16</v>
      </c>
      <c r="D2927" s="2" t="s">
        <v>17</v>
      </c>
      <c r="E2927" s="5">
        <v>-28326</v>
      </c>
      <c r="F2927" s="3" t="s">
        <v>543</v>
      </c>
      <c r="G2927" s="3" t="s">
        <v>35</v>
      </c>
      <c r="H2927" s="2" t="s">
        <v>20</v>
      </c>
      <c r="I2927" s="2" t="s">
        <v>5960</v>
      </c>
      <c r="J2927" s="3" t="str">
        <f>HYPERLINK("https://www.boe.es/gazeta/dias/1822/06/11/pdfs/GMD-1822-168.pdf#page=2","Abrir facsímil")</f>
        <v>Abrir facsímil</v>
      </c>
      <c r="K2927" s="3" t="s">
        <v>22</v>
      </c>
    </row>
    <row r="2928" spans="1:11" ht="42" customHeight="1">
      <c r="A2928" s="2" t="s">
        <v>5852</v>
      </c>
      <c r="B2928" s="2" t="s">
        <v>5852</v>
      </c>
      <c r="C2928" s="2" t="s">
        <v>42</v>
      </c>
      <c r="D2928" s="2" t="s">
        <v>17</v>
      </c>
      <c r="E2928" s="5">
        <v>-28325</v>
      </c>
      <c r="F2928" s="3" t="s">
        <v>104</v>
      </c>
      <c r="G2928" s="3" t="s">
        <v>35</v>
      </c>
      <c r="H2928" s="2" t="s">
        <v>20</v>
      </c>
      <c r="I2928" s="2" t="s">
        <v>5961</v>
      </c>
      <c r="J2928" s="3" t="str">
        <f>HYPERLINK("https://www.boe.es/gazeta/dias/1822/06/12/pdfs/GMD-1822-169.pdf#page=2","Abrir facsímil")</f>
        <v>Abrir facsímil</v>
      </c>
      <c r="K2928" s="3" t="s">
        <v>22</v>
      </c>
    </row>
    <row r="2929" spans="1:11" ht="42" customHeight="1">
      <c r="A2929" s="2" t="s">
        <v>5852</v>
      </c>
      <c r="B2929" s="2" t="s">
        <v>5852</v>
      </c>
      <c r="C2929" s="2" t="s">
        <v>24</v>
      </c>
      <c r="D2929" s="2" t="s">
        <v>17</v>
      </c>
      <c r="E2929" s="5">
        <v>-28325</v>
      </c>
      <c r="F2929" s="3" t="s">
        <v>104</v>
      </c>
      <c r="G2929" s="3" t="s">
        <v>31</v>
      </c>
      <c r="H2929" s="2" t="s">
        <v>20</v>
      </c>
      <c r="I2929" s="2" t="s">
        <v>5962</v>
      </c>
      <c r="J2929" s="3" t="str">
        <f>HYPERLINK("https://www.boe.es/gazeta/dias/1822/06/12/pdfs/GMD-1822-169.pdf#page=3","Abrir facsímil")</f>
        <v>Abrir facsímil</v>
      </c>
      <c r="K2929" s="3" t="s">
        <v>22</v>
      </c>
    </row>
    <row r="2930" spans="1:11" ht="42" customHeight="1">
      <c r="A2930" s="2" t="s">
        <v>5852</v>
      </c>
      <c r="B2930" s="2" t="s">
        <v>5852</v>
      </c>
      <c r="C2930" s="2" t="s">
        <v>50</v>
      </c>
      <c r="D2930" s="2" t="s">
        <v>51</v>
      </c>
      <c r="E2930" s="5">
        <v>-28325</v>
      </c>
      <c r="F2930" s="3" t="s">
        <v>104</v>
      </c>
      <c r="G2930" s="3" t="s">
        <v>57</v>
      </c>
      <c r="H2930" s="2" t="s">
        <v>20</v>
      </c>
      <c r="I2930" s="2" t="s">
        <v>5963</v>
      </c>
      <c r="J2930" s="3" t="str">
        <f>HYPERLINK("https://www.boe.es/gazeta/dias/1822/06/12/pdfs/GMD-1822-169.pdf#page=4","Abrir facsímil")</f>
        <v>Abrir facsímil</v>
      </c>
      <c r="K2930" s="3" t="s">
        <v>22</v>
      </c>
    </row>
    <row r="2931" spans="1:11" ht="42" customHeight="1">
      <c r="A2931" s="2" t="s">
        <v>5852</v>
      </c>
      <c r="B2931" s="2" t="s">
        <v>5852</v>
      </c>
      <c r="C2931" s="2" t="s">
        <v>28</v>
      </c>
      <c r="D2931" s="2" t="s">
        <v>29</v>
      </c>
      <c r="E2931" s="5">
        <v>-28323</v>
      </c>
      <c r="F2931" s="3" t="s">
        <v>116</v>
      </c>
      <c r="G2931" s="3" t="s">
        <v>57</v>
      </c>
      <c r="H2931" s="2" t="s">
        <v>20</v>
      </c>
      <c r="I2931" s="2" t="s">
        <v>5964</v>
      </c>
      <c r="J2931" s="3" t="str">
        <f>HYPERLINK("https://www.boe.es/gazeta/dias/1822/06/14/pdfs/GMD-1822-171.pdf#page=4","Abrir facsímil")</f>
        <v>Abrir facsímil</v>
      </c>
      <c r="K2931" s="3" t="s">
        <v>22</v>
      </c>
    </row>
    <row r="2932" spans="1:11" ht="42" customHeight="1">
      <c r="A2932" s="2" t="s">
        <v>5852</v>
      </c>
      <c r="B2932" s="2" t="s">
        <v>5852</v>
      </c>
      <c r="C2932" s="2" t="s">
        <v>28</v>
      </c>
      <c r="D2932" s="2" t="s">
        <v>29</v>
      </c>
      <c r="E2932" s="5">
        <v>-28321</v>
      </c>
      <c r="F2932" s="3" t="s">
        <v>1142</v>
      </c>
      <c r="G2932" s="3" t="s">
        <v>35</v>
      </c>
      <c r="H2932" s="2" t="s">
        <v>20</v>
      </c>
      <c r="I2932" s="2" t="s">
        <v>5965</v>
      </c>
      <c r="J2932" s="3" t="str">
        <f>HYPERLINK("https://www.boe.es/gazeta/dias/1822/06/16/pdfs/GMD-1822-173.pdf#page=2","Abrir facsímil")</f>
        <v>Abrir facsímil</v>
      </c>
      <c r="K2932" s="3" t="s">
        <v>22</v>
      </c>
    </row>
    <row r="2933" spans="1:11" ht="42" customHeight="1">
      <c r="A2933" s="2" t="s">
        <v>5852</v>
      </c>
      <c r="B2933" s="2" t="s">
        <v>5852</v>
      </c>
      <c r="C2933" s="2" t="s">
        <v>71</v>
      </c>
      <c r="D2933" s="2" t="s">
        <v>17</v>
      </c>
      <c r="E2933" s="5">
        <v>-28321</v>
      </c>
      <c r="F2933" s="3" t="s">
        <v>1142</v>
      </c>
      <c r="G2933" s="3" t="s">
        <v>31</v>
      </c>
      <c r="H2933" s="2" t="s">
        <v>20</v>
      </c>
      <c r="I2933" s="2" t="s">
        <v>5966</v>
      </c>
      <c r="J2933" s="3" t="str">
        <f>HYPERLINK("https://www.boe.es/gazeta/dias/1822/06/16/pdfs/GMD-1822-173.pdf#page=3","Abrir facsímil")</f>
        <v>Abrir facsímil</v>
      </c>
      <c r="K2933" s="3" t="s">
        <v>22</v>
      </c>
    </row>
    <row r="2934" spans="1:11" ht="42" customHeight="1">
      <c r="A2934" s="2" t="s">
        <v>5852</v>
      </c>
      <c r="B2934" s="2" t="s">
        <v>5852</v>
      </c>
      <c r="C2934" s="2" t="s">
        <v>61</v>
      </c>
      <c r="D2934" s="2" t="s">
        <v>17</v>
      </c>
      <c r="E2934" s="5">
        <v>-28320</v>
      </c>
      <c r="F2934" s="3" t="s">
        <v>700</v>
      </c>
      <c r="G2934" s="3" t="s">
        <v>19</v>
      </c>
      <c r="H2934" s="2" t="s">
        <v>20</v>
      </c>
      <c r="I2934" s="2" t="s">
        <v>5967</v>
      </c>
      <c r="J2934" s="3" t="str">
        <f>HYPERLINK("https://www.boe.es/gazeta/dias/1822/06/17/pdfs/GMD-1822-174.pdf#page=5","Abrir facsímil")</f>
        <v>Abrir facsímil</v>
      </c>
      <c r="K2934" s="3" t="s">
        <v>22</v>
      </c>
    </row>
    <row r="2935" spans="1:11" ht="42" customHeight="1">
      <c r="A2935" s="2" t="s">
        <v>5852</v>
      </c>
      <c r="B2935" s="2" t="s">
        <v>5852</v>
      </c>
      <c r="C2935" s="2" t="s">
        <v>50</v>
      </c>
      <c r="D2935" s="2" t="s">
        <v>51</v>
      </c>
      <c r="E2935" s="5">
        <v>-28320</v>
      </c>
      <c r="F2935" s="3" t="s">
        <v>700</v>
      </c>
      <c r="G2935" s="3" t="s">
        <v>63</v>
      </c>
      <c r="H2935" s="2" t="s">
        <v>20</v>
      </c>
      <c r="I2935" s="2" t="s">
        <v>5968</v>
      </c>
      <c r="J2935" s="3" t="str">
        <f>HYPERLINK("https://www.boe.es/gazeta/dias/1822/06/17/pdfs/GMD-1822-174.pdf#page=6","Abrir facsímil")</f>
        <v>Abrir facsímil</v>
      </c>
      <c r="K2935" s="3" t="s">
        <v>22</v>
      </c>
    </row>
    <row r="2936" spans="1:11" ht="42" customHeight="1">
      <c r="A2936" s="2" t="s">
        <v>5852</v>
      </c>
      <c r="B2936" s="2" t="s">
        <v>5852</v>
      </c>
      <c r="C2936" s="2" t="s">
        <v>1141</v>
      </c>
      <c r="D2936" s="2" t="s">
        <v>29</v>
      </c>
      <c r="E2936" s="5">
        <v>-28319</v>
      </c>
      <c r="F2936" s="3" t="s">
        <v>271</v>
      </c>
      <c r="G2936" s="3" t="s">
        <v>31</v>
      </c>
      <c r="H2936" s="2" t="s">
        <v>20</v>
      </c>
      <c r="I2936" s="2" t="s">
        <v>5969</v>
      </c>
      <c r="J2936" s="3" t="str">
        <f>HYPERLINK("https://www.boe.es/gazeta/dias/1822/06/18/pdfs/GMD-1822-175.pdf#page=3","Abrir facsímil")</f>
        <v>Abrir facsímil</v>
      </c>
      <c r="K2936" s="3" t="s">
        <v>22</v>
      </c>
    </row>
    <row r="2937" spans="1:11" ht="42" customHeight="1">
      <c r="A2937" s="2" t="s">
        <v>5852</v>
      </c>
      <c r="B2937" s="2" t="s">
        <v>5852</v>
      </c>
      <c r="C2937" s="2" t="s">
        <v>42</v>
      </c>
      <c r="D2937" s="2" t="s">
        <v>17</v>
      </c>
      <c r="E2937" s="5">
        <v>-28319</v>
      </c>
      <c r="F2937" s="3" t="s">
        <v>271</v>
      </c>
      <c r="G2937" s="3" t="s">
        <v>57</v>
      </c>
      <c r="H2937" s="2" t="s">
        <v>20</v>
      </c>
      <c r="I2937" s="2" t="s">
        <v>5970</v>
      </c>
      <c r="J2937" s="3" t="str">
        <f>HYPERLINK("https://www.boe.es/gazeta/dias/1822/06/18/pdfs/GMD-1822-175.pdf#page=4","Abrir facsímil")</f>
        <v>Abrir facsímil</v>
      </c>
      <c r="K2937" s="3" t="s">
        <v>22</v>
      </c>
    </row>
    <row r="2938" spans="1:11" ht="42" customHeight="1">
      <c r="A2938" s="2" t="s">
        <v>5852</v>
      </c>
      <c r="B2938" s="2" t="s">
        <v>5852</v>
      </c>
      <c r="C2938" s="2" t="s">
        <v>28</v>
      </c>
      <c r="D2938" s="2" t="s">
        <v>29</v>
      </c>
      <c r="E2938" s="5">
        <v>-28318</v>
      </c>
      <c r="F2938" s="3" t="s">
        <v>397</v>
      </c>
      <c r="G2938" s="3" t="s">
        <v>57</v>
      </c>
      <c r="H2938" s="2" t="s">
        <v>20</v>
      </c>
      <c r="I2938" s="2" t="s">
        <v>5971</v>
      </c>
      <c r="J2938" s="3" t="str">
        <f>HYPERLINK("https://www.boe.es/gazeta/dias/1822/06/19/pdfs/GMD-1822-176.pdf#page=4","Abrir facsímil")</f>
        <v>Abrir facsímil</v>
      </c>
      <c r="K2938" s="3" t="s">
        <v>22</v>
      </c>
    </row>
    <row r="2939" spans="1:11" ht="42" customHeight="1">
      <c r="A2939" s="2" t="s">
        <v>5852</v>
      </c>
      <c r="B2939" s="2" t="s">
        <v>5852</v>
      </c>
      <c r="C2939" s="2" t="s">
        <v>42</v>
      </c>
      <c r="D2939" s="2" t="s">
        <v>17</v>
      </c>
      <c r="E2939" s="5">
        <v>-28318</v>
      </c>
      <c r="F2939" s="3" t="s">
        <v>397</v>
      </c>
      <c r="G2939" s="3" t="s">
        <v>19</v>
      </c>
      <c r="H2939" s="2" t="s">
        <v>20</v>
      </c>
      <c r="I2939" s="2" t="s">
        <v>5972</v>
      </c>
      <c r="J2939" s="3" t="str">
        <f>HYPERLINK("https://www.boe.es/gazeta/dias/1822/06/19/pdfs/GMD-1822-176.pdf#page=5","Abrir facsímil")</f>
        <v>Abrir facsímil</v>
      </c>
      <c r="K2939" s="3" t="s">
        <v>22</v>
      </c>
    </row>
    <row r="2940" spans="1:11" ht="42" customHeight="1">
      <c r="A2940" s="2" t="s">
        <v>5852</v>
      </c>
      <c r="B2940" s="2" t="s">
        <v>5852</v>
      </c>
      <c r="C2940" s="2" t="s">
        <v>16</v>
      </c>
      <c r="D2940" s="2" t="s">
        <v>17</v>
      </c>
      <c r="E2940" s="5">
        <v>-28318</v>
      </c>
      <c r="F2940" s="3" t="s">
        <v>397</v>
      </c>
      <c r="G2940" s="3" t="s">
        <v>63</v>
      </c>
      <c r="H2940" s="2" t="s">
        <v>20</v>
      </c>
      <c r="I2940" s="2" t="s">
        <v>5973</v>
      </c>
      <c r="J2940" s="3" t="str">
        <f>HYPERLINK("https://www.boe.es/gazeta/dias/1822/06/19/pdfs/GMD-1822-176.pdf#page=6","Abrir facsímil")</f>
        <v>Abrir facsímil</v>
      </c>
      <c r="K2940" s="3" t="s">
        <v>22</v>
      </c>
    </row>
    <row r="2941" spans="1:11" ht="42" customHeight="1">
      <c r="A2941" s="2" t="s">
        <v>5852</v>
      </c>
      <c r="B2941" s="2" t="s">
        <v>5852</v>
      </c>
      <c r="C2941" s="2" t="s">
        <v>42</v>
      </c>
      <c r="D2941" s="2" t="s">
        <v>17</v>
      </c>
      <c r="E2941" s="5">
        <v>-28317</v>
      </c>
      <c r="F2941" s="3" t="s">
        <v>546</v>
      </c>
      <c r="G2941" s="3" t="s">
        <v>35</v>
      </c>
      <c r="H2941" s="2" t="s">
        <v>20</v>
      </c>
      <c r="I2941" s="2" t="s">
        <v>5974</v>
      </c>
      <c r="J2941" s="3" t="str">
        <f>HYPERLINK("https://www.boe.es/gazeta/dias/1822/06/20/pdfs/GMD-1822-177.pdf#page=2","Abrir facsímil")</f>
        <v>Abrir facsímil</v>
      </c>
      <c r="K2941" s="3" t="s">
        <v>22</v>
      </c>
    </row>
    <row r="2942" spans="1:11" ht="42" customHeight="1">
      <c r="A2942" s="2" t="s">
        <v>5852</v>
      </c>
      <c r="B2942" s="2" t="s">
        <v>5852</v>
      </c>
      <c r="C2942" s="2" t="s">
        <v>28</v>
      </c>
      <c r="D2942" s="2" t="s">
        <v>29</v>
      </c>
      <c r="E2942" s="5">
        <v>-28317</v>
      </c>
      <c r="F2942" s="3" t="s">
        <v>546</v>
      </c>
      <c r="G2942" s="3" t="s">
        <v>19</v>
      </c>
      <c r="H2942" s="2" t="s">
        <v>20</v>
      </c>
      <c r="I2942" s="2" t="s">
        <v>5975</v>
      </c>
      <c r="J2942" s="3" t="str">
        <f>HYPERLINK("https://www.boe.es/gazeta/dias/1822/06/20/pdfs/GMD-1822-177.pdf#page=5","Abrir facsímil")</f>
        <v>Abrir facsímil</v>
      </c>
      <c r="K2942" s="3" t="s">
        <v>22</v>
      </c>
    </row>
    <row r="2943" spans="1:11" ht="42" customHeight="1">
      <c r="A2943" s="2" t="s">
        <v>5852</v>
      </c>
      <c r="B2943" s="2" t="s">
        <v>5852</v>
      </c>
      <c r="C2943" s="2" t="s">
        <v>50</v>
      </c>
      <c r="D2943" s="2" t="s">
        <v>51</v>
      </c>
      <c r="E2943" s="5">
        <v>-28315</v>
      </c>
      <c r="F2943" s="3" t="s">
        <v>1220</v>
      </c>
      <c r="G2943" s="3" t="s">
        <v>19</v>
      </c>
      <c r="H2943" s="2" t="s">
        <v>20</v>
      </c>
      <c r="I2943" s="2" t="s">
        <v>5976</v>
      </c>
      <c r="J2943" s="3" t="str">
        <f>HYPERLINK("https://www.boe.es/gazeta/dias/1822/06/22/pdfs/GMD-1822-180.pdf#page=5","Abrir facsímil")</f>
        <v>Abrir facsímil</v>
      </c>
      <c r="K2943" s="3" t="s">
        <v>22</v>
      </c>
    </row>
    <row r="2944" spans="1:11" ht="42" customHeight="1">
      <c r="A2944" s="2" t="s">
        <v>5852</v>
      </c>
      <c r="B2944" s="2" t="s">
        <v>5852</v>
      </c>
      <c r="C2944" s="2" t="s">
        <v>42</v>
      </c>
      <c r="D2944" s="2" t="s">
        <v>17</v>
      </c>
      <c r="E2944" s="5">
        <v>-28314</v>
      </c>
      <c r="F2944" s="3" t="s">
        <v>309</v>
      </c>
      <c r="G2944" s="3" t="s">
        <v>57</v>
      </c>
      <c r="H2944" s="2" t="s">
        <v>20</v>
      </c>
      <c r="I2944" s="2" t="s">
        <v>5977</v>
      </c>
      <c r="J2944" s="3" t="str">
        <f>HYPERLINK("https://www.boe.es/gazeta/dias/1822/06/23/pdfs/GMD-1822-181.pdf#page=4","Abrir facsímil")</f>
        <v>Abrir facsímil</v>
      </c>
      <c r="K2944" s="3" t="s">
        <v>22</v>
      </c>
    </row>
    <row r="2945" spans="1:11" ht="42" customHeight="1">
      <c r="A2945" s="2" t="s">
        <v>5852</v>
      </c>
      <c r="B2945" s="2" t="s">
        <v>5852</v>
      </c>
      <c r="C2945" s="2" t="s">
        <v>42</v>
      </c>
      <c r="D2945" s="2" t="s">
        <v>17</v>
      </c>
      <c r="E2945" s="5">
        <v>-28314</v>
      </c>
      <c r="F2945" s="3" t="s">
        <v>309</v>
      </c>
      <c r="G2945" s="3" t="s">
        <v>19</v>
      </c>
      <c r="H2945" s="2" t="s">
        <v>20</v>
      </c>
      <c r="I2945" s="2" t="s">
        <v>5978</v>
      </c>
      <c r="J2945" s="3" t="str">
        <f>HYPERLINK("https://www.boe.es/gazeta/dias/1822/06/23/pdfs/GMD-1822-181.pdf#page=5","Abrir facsímil")</f>
        <v>Abrir facsímil</v>
      </c>
      <c r="K2945" s="3" t="s">
        <v>22</v>
      </c>
    </row>
    <row r="2946" spans="1:11" ht="42" customHeight="1">
      <c r="A2946" s="2" t="s">
        <v>5852</v>
      </c>
      <c r="B2946" s="2" t="s">
        <v>5852</v>
      </c>
      <c r="C2946" s="2" t="s">
        <v>71</v>
      </c>
      <c r="D2946" s="2" t="s">
        <v>17</v>
      </c>
      <c r="E2946" s="5">
        <v>-28313</v>
      </c>
      <c r="F2946" s="3" t="s">
        <v>315</v>
      </c>
      <c r="G2946" s="3" t="s">
        <v>549</v>
      </c>
      <c r="H2946" s="2" t="s">
        <v>20</v>
      </c>
      <c r="I2946" s="2" t="s">
        <v>5979</v>
      </c>
      <c r="J2946" s="3" t="str">
        <f>HYPERLINK("https://www.boe.es/gazeta/dias/1822/06/24/pdfs/GMD-1822-182.pdf#page=6","Abrir facsímil")</f>
        <v>Abrir facsímil</v>
      </c>
      <c r="K2946" s="3" t="s">
        <v>22</v>
      </c>
    </row>
    <row r="2947" spans="1:11" ht="42" customHeight="1">
      <c r="A2947" s="2" t="s">
        <v>5852</v>
      </c>
      <c r="B2947" s="2" t="s">
        <v>5852</v>
      </c>
      <c r="C2947" s="2" t="s">
        <v>42</v>
      </c>
      <c r="D2947" s="2" t="s">
        <v>17</v>
      </c>
      <c r="E2947" s="5">
        <v>-28313</v>
      </c>
      <c r="F2947" s="3" t="s">
        <v>315</v>
      </c>
      <c r="G2947" s="3" t="s">
        <v>57</v>
      </c>
      <c r="H2947" s="2" t="s">
        <v>20</v>
      </c>
      <c r="I2947" s="2" t="s">
        <v>5980</v>
      </c>
      <c r="J2947" s="3" t="str">
        <f>HYPERLINK("https://www.boe.es/gazeta/dias/1822/06/24/pdfs/GMD-1822-182.pdf#page=4","Abrir facsímil")</f>
        <v>Abrir facsímil</v>
      </c>
      <c r="K2947" s="3" t="s">
        <v>22</v>
      </c>
    </row>
    <row r="2948" spans="1:11" ht="42" customHeight="1">
      <c r="A2948" s="2" t="s">
        <v>5852</v>
      </c>
      <c r="B2948" s="2" t="s">
        <v>5852</v>
      </c>
      <c r="C2948" s="2" t="s">
        <v>24</v>
      </c>
      <c r="D2948" s="2" t="s">
        <v>17</v>
      </c>
      <c r="E2948" s="5">
        <v>-28312</v>
      </c>
      <c r="F2948" s="3" t="s">
        <v>92</v>
      </c>
      <c r="G2948" s="3" t="s">
        <v>31</v>
      </c>
      <c r="H2948" s="2" t="s">
        <v>20</v>
      </c>
      <c r="I2948" s="2" t="s">
        <v>5981</v>
      </c>
      <c r="J2948" s="3" t="str">
        <f>HYPERLINK("https://www.boe.es/gazeta/dias/1822/06/25/pdfs/GMD-1822-183.pdf#page=3","Abrir facsímil")</f>
        <v>Abrir facsímil</v>
      </c>
      <c r="K2948" s="3" t="s">
        <v>22</v>
      </c>
    </row>
    <row r="2949" spans="1:11" ht="42" customHeight="1">
      <c r="A2949" s="2" t="s">
        <v>5852</v>
      </c>
      <c r="B2949" s="2" t="s">
        <v>5852</v>
      </c>
      <c r="C2949" s="2" t="s">
        <v>50</v>
      </c>
      <c r="D2949" s="2" t="s">
        <v>51</v>
      </c>
      <c r="E2949" s="5">
        <v>-28311</v>
      </c>
      <c r="F2949" s="3" t="s">
        <v>736</v>
      </c>
      <c r="G2949" s="3" t="s">
        <v>44</v>
      </c>
      <c r="H2949" s="2" t="s">
        <v>20</v>
      </c>
      <c r="I2949" s="2" t="s">
        <v>5982</v>
      </c>
      <c r="J2949" s="3" t="str">
        <f>HYPERLINK("https://www.boe.es/gazeta/dias/1822/06/26/pdfs/GMD-1822-184.pdf#page=1","Abrir facsímil")</f>
        <v>Abrir facsímil</v>
      </c>
      <c r="K2949" s="3" t="s">
        <v>22</v>
      </c>
    </row>
    <row r="2950" spans="1:11" ht="42" customHeight="1">
      <c r="A2950" s="2" t="s">
        <v>5852</v>
      </c>
      <c r="B2950" s="2" t="s">
        <v>5852</v>
      </c>
      <c r="C2950" s="2" t="s">
        <v>42</v>
      </c>
      <c r="D2950" s="2" t="s">
        <v>17</v>
      </c>
      <c r="E2950" s="5">
        <v>-28311</v>
      </c>
      <c r="F2950" s="3" t="s">
        <v>736</v>
      </c>
      <c r="G2950" s="3" t="s">
        <v>31</v>
      </c>
      <c r="H2950" s="2" t="s">
        <v>20</v>
      </c>
      <c r="I2950" s="2" t="s">
        <v>5983</v>
      </c>
      <c r="J2950" s="3" t="str">
        <f>HYPERLINK("https://www.boe.es/gazeta/dias/1822/06/26/pdfs/GMD-1822-184.pdf#page=3","Abrir facsímil")</f>
        <v>Abrir facsímil</v>
      </c>
      <c r="K2950" s="3" t="s">
        <v>22</v>
      </c>
    </row>
    <row r="2951" spans="1:11" ht="42" customHeight="1">
      <c r="A2951" s="2" t="s">
        <v>5852</v>
      </c>
      <c r="B2951" s="2" t="s">
        <v>5852</v>
      </c>
      <c r="C2951" s="2" t="s">
        <v>71</v>
      </c>
      <c r="D2951" s="2" t="s">
        <v>17</v>
      </c>
      <c r="E2951" s="5">
        <v>-28311</v>
      </c>
      <c r="F2951" s="3" t="s">
        <v>736</v>
      </c>
      <c r="G2951" s="3" t="s">
        <v>57</v>
      </c>
      <c r="H2951" s="2" t="s">
        <v>20</v>
      </c>
      <c r="I2951" s="2" t="s">
        <v>5984</v>
      </c>
      <c r="J2951" s="3" t="str">
        <f>HYPERLINK("https://www.boe.es/gazeta/dias/1822/06/26/pdfs/GMD-1822-184.pdf#page=4","Abrir facsímil")</f>
        <v>Abrir facsímil</v>
      </c>
      <c r="K2951" s="3" t="s">
        <v>22</v>
      </c>
    </row>
    <row r="2952" spans="1:11" ht="42" customHeight="1">
      <c r="A2952" s="2" t="s">
        <v>5852</v>
      </c>
      <c r="B2952" s="2" t="s">
        <v>5852</v>
      </c>
      <c r="C2952" s="2" t="s">
        <v>50</v>
      </c>
      <c r="D2952" s="2" t="s">
        <v>51</v>
      </c>
      <c r="E2952" s="5">
        <v>-28309</v>
      </c>
      <c r="F2952" s="3" t="s">
        <v>553</v>
      </c>
      <c r="G2952" s="3" t="s">
        <v>57</v>
      </c>
      <c r="H2952" s="2" t="s">
        <v>20</v>
      </c>
      <c r="I2952" s="2" t="s">
        <v>5985</v>
      </c>
      <c r="J2952" s="3" t="str">
        <f>HYPERLINK("https://www.boe.es/gazeta/dias/1822/06/28/pdfs/GMD-1822-186.pdf#page=4","Abrir facsímil")</f>
        <v>Abrir facsímil</v>
      </c>
      <c r="K2952" s="3" t="s">
        <v>22</v>
      </c>
    </row>
    <row r="2953" spans="1:11" ht="42" customHeight="1">
      <c r="A2953" s="2" t="s">
        <v>5852</v>
      </c>
      <c r="B2953" s="2" t="s">
        <v>5852</v>
      </c>
      <c r="C2953" s="2" t="s">
        <v>50</v>
      </c>
      <c r="D2953" s="2" t="s">
        <v>51</v>
      </c>
      <c r="E2953" s="5">
        <v>-28308</v>
      </c>
      <c r="F2953" s="3" t="s">
        <v>1050</v>
      </c>
      <c r="G2953" s="3" t="s">
        <v>57</v>
      </c>
      <c r="H2953" s="2" t="s">
        <v>20</v>
      </c>
      <c r="I2953" s="2" t="s">
        <v>5986</v>
      </c>
      <c r="J2953" s="3" t="str">
        <f>HYPERLINK("https://www.boe.es/gazeta/dias/1822/06/29/pdfs/GMD-1822-187.pdf#page=4","Abrir facsímil")</f>
        <v>Abrir facsímil</v>
      </c>
      <c r="K2953" s="3" t="s">
        <v>22</v>
      </c>
    </row>
    <row r="2954" spans="1:11" ht="42" customHeight="1">
      <c r="A2954" s="2" t="s">
        <v>5852</v>
      </c>
      <c r="B2954" s="2" t="s">
        <v>5852</v>
      </c>
      <c r="C2954" s="2" t="s">
        <v>16</v>
      </c>
      <c r="D2954" s="2" t="s">
        <v>17</v>
      </c>
      <c r="E2954" s="5">
        <v>-28307</v>
      </c>
      <c r="F2954" s="3" t="s">
        <v>555</v>
      </c>
      <c r="G2954" s="3" t="s">
        <v>35</v>
      </c>
      <c r="H2954" s="2" t="s">
        <v>20</v>
      </c>
      <c r="I2954" s="2" t="s">
        <v>5987</v>
      </c>
      <c r="J2954" s="3" t="str">
        <f>HYPERLINK("https://www.boe.es/gazeta/dias/1822/06/30/pdfs/GMD-1822-188.pdf#page=2","Abrir facsímil")</f>
        <v>Abrir facsímil</v>
      </c>
      <c r="K2954" s="3" t="s">
        <v>22</v>
      </c>
    </row>
    <row r="2955" spans="1:11" ht="42" customHeight="1">
      <c r="A2955" s="2" t="s">
        <v>5852</v>
      </c>
      <c r="B2955" s="2" t="s">
        <v>5852</v>
      </c>
      <c r="C2955" s="2" t="s">
        <v>16</v>
      </c>
      <c r="D2955" s="2" t="s">
        <v>17</v>
      </c>
      <c r="E2955" s="5">
        <v>-28307</v>
      </c>
      <c r="F2955" s="3" t="s">
        <v>555</v>
      </c>
      <c r="G2955" s="3" t="s">
        <v>31</v>
      </c>
      <c r="H2955" s="2" t="s">
        <v>20</v>
      </c>
      <c r="I2955" s="2" t="s">
        <v>5988</v>
      </c>
      <c r="J2955" s="3" t="str">
        <f>HYPERLINK("https://www.boe.es/gazeta/dias/1822/06/30/pdfs/GMD-1822-188.pdf#page=3","Abrir facsímil")</f>
        <v>Abrir facsímil</v>
      </c>
      <c r="K2955" s="3" t="s">
        <v>22</v>
      </c>
    </row>
    <row r="2956" spans="1:11" ht="42" customHeight="1">
      <c r="A2956" s="2" t="s">
        <v>5852</v>
      </c>
      <c r="B2956" s="2" t="s">
        <v>5852</v>
      </c>
      <c r="C2956" s="2" t="s">
        <v>28</v>
      </c>
      <c r="D2956" s="2" t="s">
        <v>29</v>
      </c>
      <c r="E2956" s="5">
        <v>-28305</v>
      </c>
      <c r="F2956" s="3" t="s">
        <v>1337</v>
      </c>
      <c r="G2956" s="3" t="s">
        <v>57</v>
      </c>
      <c r="H2956" s="2" t="s">
        <v>20</v>
      </c>
      <c r="I2956" s="2" t="s">
        <v>5989</v>
      </c>
      <c r="J2956" s="3" t="str">
        <f>HYPERLINK("https://www.boe.es/gazeta/dias/1822/07/02/pdfs/GMD-1822-191.pdf#page=4","Abrir facsímil")</f>
        <v>Abrir facsímil</v>
      </c>
      <c r="K2956" s="3" t="s">
        <v>22</v>
      </c>
    </row>
    <row r="2957" spans="1:11" ht="42" customHeight="1">
      <c r="A2957" s="2" t="s">
        <v>5852</v>
      </c>
      <c r="B2957" s="2" t="s">
        <v>5852</v>
      </c>
      <c r="C2957" s="2" t="s">
        <v>50</v>
      </c>
      <c r="D2957" s="2" t="s">
        <v>51</v>
      </c>
      <c r="E2957" s="5">
        <v>-28213</v>
      </c>
      <c r="F2957" s="3" t="s">
        <v>558</v>
      </c>
      <c r="G2957" s="3" t="s">
        <v>31</v>
      </c>
      <c r="H2957" s="2" t="s">
        <v>20</v>
      </c>
      <c r="I2957" s="2" t="s">
        <v>5990</v>
      </c>
      <c r="J2957" s="3" t="str">
        <f>HYPERLINK("https://www.boe.es/gazeta/dias/1822/10/02/pdfs/GMD-1822-288.pdf#page=3","Abrir facsímil")</f>
        <v>Abrir facsímil</v>
      </c>
      <c r="K2957" s="3" t="s">
        <v>22</v>
      </c>
    </row>
    <row r="2958" spans="1:11" ht="42" customHeight="1">
      <c r="A2958" s="2" t="s">
        <v>5852</v>
      </c>
      <c r="B2958" s="2" t="s">
        <v>5852</v>
      </c>
      <c r="C2958" s="2" t="s">
        <v>28</v>
      </c>
      <c r="D2958" s="2" t="s">
        <v>29</v>
      </c>
      <c r="E2958" s="5">
        <v>-28206</v>
      </c>
      <c r="F2958" s="3" t="s">
        <v>562</v>
      </c>
      <c r="G2958" s="3" t="s">
        <v>35</v>
      </c>
      <c r="H2958" s="2" t="s">
        <v>20</v>
      </c>
      <c r="I2958" s="2" t="s">
        <v>5991</v>
      </c>
      <c r="J2958" s="3" t="str">
        <f>HYPERLINK("https://www.boe.es/gazeta/dias/1822/10/09/pdfs/GMD-1822-296.pdf#page=2","Abrir facsímil")</f>
        <v>Abrir facsímil</v>
      </c>
      <c r="K2958" s="3" t="s">
        <v>22</v>
      </c>
    </row>
    <row r="2959" spans="1:11" ht="42" customHeight="1">
      <c r="A2959" s="2" t="s">
        <v>5852</v>
      </c>
      <c r="B2959" s="2" t="s">
        <v>5852</v>
      </c>
      <c r="C2959" s="2" t="s">
        <v>42</v>
      </c>
      <c r="D2959" s="2" t="s">
        <v>17</v>
      </c>
      <c r="E2959" s="5">
        <v>-28202</v>
      </c>
      <c r="F2959" s="3" t="s">
        <v>922</v>
      </c>
      <c r="G2959" s="3" t="s">
        <v>19</v>
      </c>
      <c r="H2959" s="2" t="s">
        <v>20</v>
      </c>
      <c r="I2959" s="2" t="s">
        <v>5992</v>
      </c>
      <c r="J2959" s="3" t="str">
        <f>HYPERLINK("https://www.boe.es/gazeta/dias/1822/10/13/pdfs/GMD-1822-300.pdf#page=5","Abrir facsímil")</f>
        <v>Abrir facsímil</v>
      </c>
      <c r="K2959" s="3" t="s">
        <v>22</v>
      </c>
    </row>
    <row r="2960" spans="1:11" ht="42" customHeight="1">
      <c r="A2960" s="2" t="s">
        <v>5852</v>
      </c>
      <c r="B2960" s="2" t="s">
        <v>5852</v>
      </c>
      <c r="C2960" s="2" t="s">
        <v>50</v>
      </c>
      <c r="D2960" s="2" t="s">
        <v>51</v>
      </c>
      <c r="E2960" s="5">
        <v>-28201</v>
      </c>
      <c r="F2960" s="3" t="s">
        <v>163</v>
      </c>
      <c r="G2960" s="3" t="s">
        <v>57</v>
      </c>
      <c r="H2960" s="2" t="s">
        <v>20</v>
      </c>
      <c r="I2960" s="2" t="s">
        <v>5993</v>
      </c>
      <c r="J2960" s="3" t="str">
        <f>HYPERLINK("https://www.boe.es/gazeta/dias/1822/10/14/pdfs/GMD-1822-301.pdf#page=4","Abrir facsímil")</f>
        <v>Abrir facsímil</v>
      </c>
      <c r="K2960" s="3" t="s">
        <v>22</v>
      </c>
    </row>
    <row r="2961" spans="1:11" ht="42" customHeight="1">
      <c r="A2961" s="2" t="s">
        <v>5852</v>
      </c>
      <c r="B2961" s="2" t="s">
        <v>5852</v>
      </c>
      <c r="C2961" s="2" t="s">
        <v>71</v>
      </c>
      <c r="D2961" s="2" t="s">
        <v>17</v>
      </c>
      <c r="E2961" s="5">
        <v>-28197</v>
      </c>
      <c r="F2961" s="3" t="s">
        <v>568</v>
      </c>
      <c r="G2961" s="3" t="s">
        <v>44</v>
      </c>
      <c r="H2961" s="2" t="s">
        <v>20</v>
      </c>
      <c r="I2961" s="2" t="s">
        <v>5994</v>
      </c>
      <c r="J2961" s="3" t="str">
        <f>HYPERLINK("https://www.boe.es/gazeta/dias/1822/10/18/pdfs/GMD-1822-305.pdf#page=1","Abrir facsímil")</f>
        <v>Abrir facsímil</v>
      </c>
      <c r="K2961" s="3" t="s">
        <v>22</v>
      </c>
    </row>
    <row r="2962" spans="1:11" ht="42" customHeight="1">
      <c r="A2962" s="2" t="s">
        <v>5852</v>
      </c>
      <c r="B2962" s="2" t="s">
        <v>5852</v>
      </c>
      <c r="C2962" s="2" t="s">
        <v>50</v>
      </c>
      <c r="D2962" s="2" t="s">
        <v>51</v>
      </c>
      <c r="E2962" s="5">
        <v>-28197</v>
      </c>
      <c r="F2962" s="3" t="s">
        <v>568</v>
      </c>
      <c r="G2962" s="3" t="s">
        <v>31</v>
      </c>
      <c r="H2962" s="2" t="s">
        <v>20</v>
      </c>
      <c r="I2962" s="2" t="s">
        <v>5995</v>
      </c>
      <c r="J2962" s="3" t="str">
        <f>HYPERLINK("https://www.boe.es/gazeta/dias/1822/10/18/pdfs/GMD-1822-305.pdf#page=3","Abrir facsímil")</f>
        <v>Abrir facsímil</v>
      </c>
      <c r="K2962" s="3" t="s">
        <v>22</v>
      </c>
    </row>
    <row r="2963" spans="1:11" ht="42" customHeight="1">
      <c r="A2963" s="2" t="s">
        <v>5852</v>
      </c>
      <c r="B2963" s="2" t="s">
        <v>5852</v>
      </c>
      <c r="C2963" s="2" t="s">
        <v>71</v>
      </c>
      <c r="D2963" s="2" t="s">
        <v>17</v>
      </c>
      <c r="E2963" s="5">
        <v>-28197</v>
      </c>
      <c r="F2963" s="3" t="s">
        <v>568</v>
      </c>
      <c r="G2963" s="3" t="s">
        <v>57</v>
      </c>
      <c r="H2963" s="2" t="s">
        <v>20</v>
      </c>
      <c r="I2963" s="2" t="s">
        <v>5996</v>
      </c>
      <c r="J2963" s="3" t="str">
        <f>HYPERLINK("https://www.boe.es/gazeta/dias/1822/10/18/pdfs/GMD-1822-305.pdf#page=4","Abrir facsímil")</f>
        <v>Abrir facsímil</v>
      </c>
      <c r="K2963" s="3" t="s">
        <v>22</v>
      </c>
    </row>
    <row r="2964" spans="1:11" ht="42" customHeight="1">
      <c r="A2964" s="2" t="s">
        <v>5852</v>
      </c>
      <c r="B2964" s="2" t="s">
        <v>5852</v>
      </c>
      <c r="C2964" s="2" t="s">
        <v>71</v>
      </c>
      <c r="D2964" s="2" t="s">
        <v>17</v>
      </c>
      <c r="E2964" s="5">
        <v>-28194</v>
      </c>
      <c r="F2964" s="3" t="s">
        <v>18</v>
      </c>
      <c r="G2964" s="3" t="s">
        <v>44</v>
      </c>
      <c r="H2964" s="2" t="s">
        <v>20</v>
      </c>
      <c r="I2964" s="2" t="s">
        <v>5997</v>
      </c>
      <c r="J2964" s="3" t="str">
        <f>HYPERLINK("https://www.boe.es/gazeta/dias/1822/10/21/pdfs/GMD-1822-308.pdf#page=1","Abrir facsímil")</f>
        <v>Abrir facsímil</v>
      </c>
      <c r="K2964" s="3" t="s">
        <v>22</v>
      </c>
    </row>
    <row r="2965" spans="1:11" ht="42" customHeight="1">
      <c r="A2965" s="2" t="s">
        <v>5852</v>
      </c>
      <c r="B2965" s="2" t="s">
        <v>5852</v>
      </c>
      <c r="C2965" s="2" t="s">
        <v>71</v>
      </c>
      <c r="D2965" s="2" t="s">
        <v>17</v>
      </c>
      <c r="E2965" s="5">
        <v>-28194</v>
      </c>
      <c r="F2965" s="3" t="s">
        <v>18</v>
      </c>
      <c r="G2965" s="3" t="s">
        <v>57</v>
      </c>
      <c r="H2965" s="2" t="s">
        <v>20</v>
      </c>
      <c r="I2965" s="2" t="s">
        <v>5998</v>
      </c>
      <c r="J2965" s="3" t="str">
        <f>HYPERLINK("https://www.boe.es/gazeta/dias/1822/10/21/pdfs/GMD-1822-308.pdf#page=4","Abrir facsímil")</f>
        <v>Abrir facsímil</v>
      </c>
      <c r="K2965" s="3" t="s">
        <v>22</v>
      </c>
    </row>
    <row r="2966" spans="1:11" ht="42" customHeight="1">
      <c r="A2966" s="2" t="s">
        <v>5852</v>
      </c>
      <c r="B2966" s="2" t="s">
        <v>5852</v>
      </c>
      <c r="C2966" s="2" t="s">
        <v>71</v>
      </c>
      <c r="D2966" s="2" t="s">
        <v>17</v>
      </c>
      <c r="E2966" s="5">
        <v>-28193</v>
      </c>
      <c r="F2966" s="3" t="s">
        <v>574</v>
      </c>
      <c r="G2966" s="3" t="s">
        <v>19</v>
      </c>
      <c r="H2966" s="2" t="s">
        <v>20</v>
      </c>
      <c r="I2966" s="2" t="s">
        <v>5999</v>
      </c>
      <c r="J2966" s="3" t="str">
        <f>HYPERLINK("https://www.boe.es/gazeta/dias/1822/10/22/pdfs/GMD-1822-309.pdf#page=5","Abrir facsímil")</f>
        <v>Abrir facsímil</v>
      </c>
      <c r="K2966" s="3" t="s">
        <v>22</v>
      </c>
    </row>
    <row r="2967" spans="1:11" ht="42" customHeight="1">
      <c r="A2967" s="2" t="s">
        <v>5852</v>
      </c>
      <c r="B2967" s="2" t="s">
        <v>5852</v>
      </c>
      <c r="C2967" s="2" t="s">
        <v>71</v>
      </c>
      <c r="D2967" s="2" t="s">
        <v>17</v>
      </c>
      <c r="E2967" s="5">
        <v>-28192</v>
      </c>
      <c r="F2967" s="3" t="s">
        <v>43</v>
      </c>
      <c r="G2967" s="3" t="s">
        <v>63</v>
      </c>
      <c r="H2967" s="2" t="s">
        <v>20</v>
      </c>
      <c r="I2967" s="2" t="s">
        <v>6000</v>
      </c>
      <c r="J2967" s="3" t="str">
        <f>HYPERLINK("https://www.boe.es/gazeta/dias/1822/10/23/pdfs/GMD-1822-310.pdf#page=6","Abrir facsímil")</f>
        <v>Abrir facsímil</v>
      </c>
      <c r="K2967" s="3" t="s">
        <v>22</v>
      </c>
    </row>
    <row r="2968" spans="1:11" ht="42" customHeight="1">
      <c r="A2968" s="2" t="s">
        <v>5852</v>
      </c>
      <c r="B2968" s="2" t="s">
        <v>5852</v>
      </c>
      <c r="C2968" s="2" t="s">
        <v>71</v>
      </c>
      <c r="D2968" s="2" t="s">
        <v>17</v>
      </c>
      <c r="E2968" s="5">
        <v>-28190</v>
      </c>
      <c r="F2968" s="3" t="s">
        <v>576</v>
      </c>
      <c r="G2968" s="3" t="s">
        <v>57</v>
      </c>
      <c r="H2968" s="2" t="s">
        <v>20</v>
      </c>
      <c r="I2968" s="2" t="s">
        <v>6001</v>
      </c>
      <c r="J2968" s="3" t="str">
        <f>HYPERLINK("https://www.boe.es/gazeta/dias/1822/10/25/pdfs/GMD-1822-312.pdf#page=4","Abrir facsímil")</f>
        <v>Abrir facsímil</v>
      </c>
      <c r="K2968" s="3" t="s">
        <v>22</v>
      </c>
    </row>
    <row r="2969" spans="1:11" ht="42" customHeight="1">
      <c r="A2969" s="2" t="s">
        <v>5852</v>
      </c>
      <c r="B2969" s="2" t="s">
        <v>5852</v>
      </c>
      <c r="C2969" s="2" t="s">
        <v>50</v>
      </c>
      <c r="D2969" s="2" t="s">
        <v>51</v>
      </c>
      <c r="E2969" s="5">
        <v>-28189</v>
      </c>
      <c r="F2969" s="3" t="s">
        <v>645</v>
      </c>
      <c r="G2969" s="3" t="s">
        <v>31</v>
      </c>
      <c r="H2969" s="2" t="s">
        <v>20</v>
      </c>
      <c r="I2969" s="2" t="s">
        <v>6002</v>
      </c>
      <c r="J2969" s="3" t="str">
        <f>HYPERLINK("https://www.boe.es/gazeta/dias/1822/10/26/pdfs/GMD-1822-313.pdf#page=3","Abrir facsímil")</f>
        <v>Abrir facsímil</v>
      </c>
      <c r="K2969" s="3" t="s">
        <v>22</v>
      </c>
    </row>
    <row r="2970" spans="1:11" ht="42" customHeight="1">
      <c r="A2970" s="2" t="s">
        <v>5852</v>
      </c>
      <c r="B2970" s="2" t="s">
        <v>5852</v>
      </c>
      <c r="C2970" s="2" t="s">
        <v>42</v>
      </c>
      <c r="D2970" s="2" t="s">
        <v>17</v>
      </c>
      <c r="E2970" s="5">
        <v>-28189</v>
      </c>
      <c r="F2970" s="3" t="s">
        <v>645</v>
      </c>
      <c r="G2970" s="3" t="s">
        <v>19</v>
      </c>
      <c r="H2970" s="2" t="s">
        <v>20</v>
      </c>
      <c r="I2970" s="2" t="s">
        <v>6003</v>
      </c>
      <c r="J2970" s="3" t="str">
        <f>HYPERLINK("https://www.boe.es/gazeta/dias/1822/10/26/pdfs/GMD-1822-313.pdf#page=5","Abrir facsímil")</f>
        <v>Abrir facsímil</v>
      </c>
      <c r="K2970" s="3" t="s">
        <v>22</v>
      </c>
    </row>
    <row r="2971" spans="1:11" ht="42" customHeight="1">
      <c r="A2971" s="2" t="s">
        <v>5852</v>
      </c>
      <c r="B2971" s="2" t="s">
        <v>5852</v>
      </c>
      <c r="C2971" s="2" t="s">
        <v>71</v>
      </c>
      <c r="D2971" s="2" t="s">
        <v>17</v>
      </c>
      <c r="E2971" s="5">
        <v>-28188</v>
      </c>
      <c r="F2971" s="3" t="s">
        <v>578</v>
      </c>
      <c r="G2971" s="3" t="s">
        <v>63</v>
      </c>
      <c r="H2971" s="2" t="s">
        <v>20</v>
      </c>
      <c r="I2971" s="2" t="s">
        <v>6004</v>
      </c>
      <c r="J2971" s="3" t="str">
        <f>HYPERLINK("https://www.boe.es/gazeta/dias/1822/10/27/pdfs/GMD-1822-314.pdf#page=6","Abrir facsímil")</f>
        <v>Abrir facsímil</v>
      </c>
      <c r="K2971" s="3" t="s">
        <v>22</v>
      </c>
    </row>
    <row r="2972" spans="1:11" ht="42" customHeight="1">
      <c r="A2972" s="2" t="s">
        <v>5852</v>
      </c>
      <c r="B2972" s="2" t="s">
        <v>5852</v>
      </c>
      <c r="C2972" s="2" t="s">
        <v>50</v>
      </c>
      <c r="D2972" s="2" t="s">
        <v>51</v>
      </c>
      <c r="E2972" s="5">
        <v>-28187</v>
      </c>
      <c r="F2972" s="3" t="s">
        <v>929</v>
      </c>
      <c r="G2972" s="3" t="s">
        <v>35</v>
      </c>
      <c r="H2972" s="2" t="s">
        <v>20</v>
      </c>
      <c r="I2972" s="2" t="s">
        <v>6005</v>
      </c>
      <c r="J2972" s="3" t="str">
        <f>HYPERLINK("https://www.boe.es/gazeta/dias/1822/10/28/pdfs/GMD-1822-315.pdf#page=2","Abrir facsímil")</f>
        <v>Abrir facsímil</v>
      </c>
      <c r="K2972" s="3" t="s">
        <v>22</v>
      </c>
    </row>
    <row r="2973" spans="1:11" ht="42" customHeight="1">
      <c r="A2973" s="2" t="s">
        <v>5852</v>
      </c>
      <c r="B2973" s="2" t="s">
        <v>5852</v>
      </c>
      <c r="C2973" s="2" t="s">
        <v>50</v>
      </c>
      <c r="D2973" s="2" t="s">
        <v>51</v>
      </c>
      <c r="E2973" s="5">
        <v>-28187</v>
      </c>
      <c r="F2973" s="3" t="s">
        <v>929</v>
      </c>
      <c r="G2973" s="3" t="s">
        <v>19</v>
      </c>
      <c r="H2973" s="2" t="s">
        <v>20</v>
      </c>
      <c r="I2973" s="2" t="s">
        <v>6006</v>
      </c>
      <c r="J2973" s="3" t="str">
        <f>HYPERLINK("https://www.boe.es/gazeta/dias/1822/10/28/pdfs/GMD-1822-315.pdf#page=5","Abrir facsímil")</f>
        <v>Abrir facsímil</v>
      </c>
      <c r="K2973" s="3" t="s">
        <v>22</v>
      </c>
    </row>
    <row r="2974" spans="1:11" ht="42" customHeight="1">
      <c r="A2974" s="2" t="s">
        <v>5852</v>
      </c>
      <c r="B2974" s="2" t="s">
        <v>5852</v>
      </c>
      <c r="C2974" s="2" t="s">
        <v>61</v>
      </c>
      <c r="D2974" s="2" t="s">
        <v>17</v>
      </c>
      <c r="E2974" s="5">
        <v>-28186</v>
      </c>
      <c r="F2974" s="3" t="s">
        <v>581</v>
      </c>
      <c r="G2974" s="3" t="s">
        <v>35</v>
      </c>
      <c r="H2974" s="2" t="s">
        <v>20</v>
      </c>
      <c r="I2974" s="2" t="s">
        <v>6007</v>
      </c>
      <c r="J2974" s="3" t="str">
        <f>HYPERLINK("https://www.boe.es/gazeta/dias/1822/10/29/pdfs/GMD-1822-316.pdf#page=2","Abrir facsímil")</f>
        <v>Abrir facsímil</v>
      </c>
      <c r="K2974" s="3" t="s">
        <v>22</v>
      </c>
    </row>
    <row r="2975" spans="1:11" ht="42" customHeight="1">
      <c r="A2975" s="2" t="s">
        <v>5852</v>
      </c>
      <c r="B2975" s="2" t="s">
        <v>5852</v>
      </c>
      <c r="C2975" s="2" t="s">
        <v>28</v>
      </c>
      <c r="D2975" s="2" t="s">
        <v>29</v>
      </c>
      <c r="E2975" s="5">
        <v>-28185</v>
      </c>
      <c r="F2975" s="3" t="s">
        <v>933</v>
      </c>
      <c r="G2975" s="3" t="s">
        <v>35</v>
      </c>
      <c r="H2975" s="2" t="s">
        <v>20</v>
      </c>
      <c r="I2975" s="2" t="s">
        <v>6008</v>
      </c>
      <c r="J2975" s="3" t="str">
        <f>HYPERLINK("https://www.boe.es/gazeta/dias/1822/10/30/pdfs/GMD-1822-317.pdf#page=2","Abrir facsímil")</f>
        <v>Abrir facsímil</v>
      </c>
      <c r="K2975" s="3" t="s">
        <v>22</v>
      </c>
    </row>
    <row r="2976" spans="1:11" ht="42" customHeight="1">
      <c r="A2976" s="2" t="s">
        <v>5852</v>
      </c>
      <c r="B2976" s="2" t="s">
        <v>5852</v>
      </c>
      <c r="C2976" s="2" t="s">
        <v>50</v>
      </c>
      <c r="D2976" s="2" t="s">
        <v>51</v>
      </c>
      <c r="E2976" s="5">
        <v>-28185</v>
      </c>
      <c r="F2976" s="3" t="s">
        <v>933</v>
      </c>
      <c r="G2976" s="3" t="s">
        <v>57</v>
      </c>
      <c r="H2976" s="2" t="s">
        <v>20</v>
      </c>
      <c r="I2976" s="2" t="s">
        <v>6009</v>
      </c>
      <c r="J2976" s="3" t="str">
        <f>HYPERLINK("https://www.boe.es/gazeta/dias/1822/10/30/pdfs/GMD-1822-317.pdf#page=4","Abrir facsímil")</f>
        <v>Abrir facsímil</v>
      </c>
      <c r="K2976" s="3" t="s">
        <v>22</v>
      </c>
    </row>
    <row r="2977" spans="1:11" ht="42" customHeight="1">
      <c r="A2977" s="2" t="s">
        <v>5852</v>
      </c>
      <c r="B2977" s="2" t="s">
        <v>5852</v>
      </c>
      <c r="C2977" s="2" t="s">
        <v>50</v>
      </c>
      <c r="D2977" s="2" t="s">
        <v>51</v>
      </c>
      <c r="E2977" s="5">
        <v>-28184</v>
      </c>
      <c r="F2977" s="3" t="s">
        <v>1423</v>
      </c>
      <c r="G2977" s="3" t="s">
        <v>57</v>
      </c>
      <c r="H2977" s="2" t="s">
        <v>20</v>
      </c>
      <c r="I2977" s="2" t="s">
        <v>6010</v>
      </c>
      <c r="J2977" s="3" t="str">
        <f>HYPERLINK("https://www.boe.es/gazeta/dias/1822/10/31/pdfs/GMD-1822-318.pdf#page=4","Abrir facsímil")</f>
        <v>Abrir facsímil</v>
      </c>
      <c r="K2977" s="3" t="s">
        <v>22</v>
      </c>
    </row>
    <row r="2978" spans="1:11" ht="42" customHeight="1">
      <c r="A2978" s="2" t="s">
        <v>5852</v>
      </c>
      <c r="B2978" s="2" t="s">
        <v>5852</v>
      </c>
      <c r="C2978" s="2" t="s">
        <v>50</v>
      </c>
      <c r="D2978" s="2" t="s">
        <v>51</v>
      </c>
      <c r="E2978" s="5">
        <v>-28182</v>
      </c>
      <c r="F2978" s="3" t="s">
        <v>585</v>
      </c>
      <c r="G2978" s="3" t="s">
        <v>44</v>
      </c>
      <c r="H2978" s="2" t="s">
        <v>20</v>
      </c>
      <c r="I2978" s="2" t="s">
        <v>6011</v>
      </c>
      <c r="J2978" s="3" t="str">
        <f>HYPERLINK("https://www.boe.es/gazeta/dias/1822/11/02/pdfs/GMD-1822-320.pdf#page=1","Abrir facsímil")</f>
        <v>Abrir facsímil</v>
      </c>
      <c r="K2978" s="3" t="s">
        <v>22</v>
      </c>
    </row>
    <row r="2979" spans="1:11" ht="42" customHeight="1">
      <c r="A2979" s="2" t="s">
        <v>5852</v>
      </c>
      <c r="B2979" s="2" t="s">
        <v>5852</v>
      </c>
      <c r="C2979" s="2" t="s">
        <v>28</v>
      </c>
      <c r="D2979" s="2" t="s">
        <v>29</v>
      </c>
      <c r="E2979" s="5">
        <v>-28182</v>
      </c>
      <c r="F2979" s="3" t="s">
        <v>585</v>
      </c>
      <c r="G2979" s="3" t="s">
        <v>35</v>
      </c>
      <c r="H2979" s="2" t="s">
        <v>20</v>
      </c>
      <c r="I2979" s="2" t="s">
        <v>6012</v>
      </c>
      <c r="J2979" s="3" t="str">
        <f>HYPERLINK("https://www.boe.es/gazeta/dias/1822/11/02/pdfs/GMD-1822-320.pdf#page=2","Abrir facsímil")</f>
        <v>Abrir facsímil</v>
      </c>
      <c r="K2979" s="3" t="s">
        <v>22</v>
      </c>
    </row>
    <row r="2980" spans="1:11" ht="42" customHeight="1">
      <c r="A2980" s="2" t="s">
        <v>5852</v>
      </c>
      <c r="B2980" s="2" t="s">
        <v>5852</v>
      </c>
      <c r="C2980" s="2" t="s">
        <v>42</v>
      </c>
      <c r="D2980" s="2" t="s">
        <v>17</v>
      </c>
      <c r="E2980" s="5">
        <v>-28182</v>
      </c>
      <c r="F2980" s="3" t="s">
        <v>585</v>
      </c>
      <c r="G2980" s="3" t="s">
        <v>57</v>
      </c>
      <c r="H2980" s="2" t="s">
        <v>20</v>
      </c>
      <c r="I2980" s="2" t="s">
        <v>6013</v>
      </c>
      <c r="J2980" s="3" t="str">
        <f>HYPERLINK("https://www.boe.es/gazeta/dias/1822/11/02/pdfs/GMD-1822-320.pdf#page=4","Abrir facsímil")</f>
        <v>Abrir facsímil</v>
      </c>
      <c r="K2980" s="3" t="s">
        <v>22</v>
      </c>
    </row>
    <row r="2981" spans="1:11" ht="42" customHeight="1">
      <c r="A2981" s="2" t="s">
        <v>5852</v>
      </c>
      <c r="B2981" s="2" t="s">
        <v>5852</v>
      </c>
      <c r="C2981" s="2" t="s">
        <v>71</v>
      </c>
      <c r="D2981" s="2" t="s">
        <v>17</v>
      </c>
      <c r="E2981" s="5">
        <v>-28181</v>
      </c>
      <c r="F2981" s="3" t="s">
        <v>739</v>
      </c>
      <c r="G2981" s="3" t="s">
        <v>44</v>
      </c>
      <c r="H2981" s="2" t="s">
        <v>20</v>
      </c>
      <c r="I2981" s="2" t="s">
        <v>6014</v>
      </c>
      <c r="J2981" s="3" t="str">
        <f>HYPERLINK("https://www.boe.es/gazeta/dias/1822/11/03/pdfs/GMD-1822-321.pdf#page=1","Abrir facsímil")</f>
        <v>Abrir facsímil</v>
      </c>
      <c r="K2981" s="3" t="s">
        <v>22</v>
      </c>
    </row>
    <row r="2982" spans="1:11" ht="42" customHeight="1">
      <c r="A2982" s="2" t="s">
        <v>5852</v>
      </c>
      <c r="B2982" s="2" t="s">
        <v>5852</v>
      </c>
      <c r="C2982" s="2" t="s">
        <v>42</v>
      </c>
      <c r="D2982" s="2" t="s">
        <v>17</v>
      </c>
      <c r="E2982" s="5">
        <v>-28181</v>
      </c>
      <c r="F2982" s="3" t="s">
        <v>739</v>
      </c>
      <c r="G2982" s="3" t="s">
        <v>35</v>
      </c>
      <c r="H2982" s="2" t="s">
        <v>20</v>
      </c>
      <c r="I2982" s="2" t="s">
        <v>6015</v>
      </c>
      <c r="J2982" s="3" t="str">
        <f>HYPERLINK("https://www.boe.es/gazeta/dias/1822/11/03/pdfs/GMD-1822-321.pdf#page=2","Abrir facsímil")</f>
        <v>Abrir facsímil</v>
      </c>
      <c r="K2982" s="3" t="s">
        <v>22</v>
      </c>
    </row>
    <row r="2983" spans="1:11" ht="42" customHeight="1">
      <c r="A2983" s="2" t="s">
        <v>5852</v>
      </c>
      <c r="B2983" s="2" t="s">
        <v>5852</v>
      </c>
      <c r="C2983" s="2" t="s">
        <v>28</v>
      </c>
      <c r="D2983" s="2" t="s">
        <v>29</v>
      </c>
      <c r="E2983" s="5">
        <v>-28179</v>
      </c>
      <c r="F2983" s="3" t="s">
        <v>935</v>
      </c>
      <c r="G2983" s="3" t="s">
        <v>44</v>
      </c>
      <c r="H2983" s="2" t="s">
        <v>20</v>
      </c>
      <c r="I2983" s="2" t="s">
        <v>6016</v>
      </c>
      <c r="J2983" s="3" t="str">
        <f>HYPERLINK("https://www.boe.es/gazeta/dias/1822/11/05/pdfs/GMD-1822-325.pdf#page=1","Abrir facsímil")</f>
        <v>Abrir facsímil</v>
      </c>
      <c r="K2983" s="3" t="s">
        <v>22</v>
      </c>
    </row>
    <row r="2984" spans="1:11" ht="42" customHeight="1">
      <c r="A2984" s="2" t="s">
        <v>5852</v>
      </c>
      <c r="B2984" s="2" t="s">
        <v>5852</v>
      </c>
      <c r="C2984" s="2" t="s">
        <v>50</v>
      </c>
      <c r="D2984" s="2" t="s">
        <v>51</v>
      </c>
      <c r="E2984" s="5">
        <v>-28179</v>
      </c>
      <c r="F2984" s="3" t="s">
        <v>935</v>
      </c>
      <c r="G2984" s="3" t="s">
        <v>35</v>
      </c>
      <c r="H2984" s="2" t="s">
        <v>20</v>
      </c>
      <c r="I2984" s="2" t="s">
        <v>6017</v>
      </c>
      <c r="J2984" s="3" t="str">
        <f>HYPERLINK("https://www.boe.es/gazeta/dias/1822/11/05/pdfs/GMD-1822-325.pdf#page=2","Abrir facsímil")</f>
        <v>Abrir facsímil</v>
      </c>
      <c r="K2984" s="3" t="s">
        <v>22</v>
      </c>
    </row>
    <row r="2985" spans="1:11" ht="42" customHeight="1">
      <c r="A2985" s="2" t="s">
        <v>5852</v>
      </c>
      <c r="B2985" s="2" t="s">
        <v>5852</v>
      </c>
      <c r="C2985" s="2" t="s">
        <v>42</v>
      </c>
      <c r="D2985" s="2" t="s">
        <v>17</v>
      </c>
      <c r="E2985" s="5">
        <v>-28178</v>
      </c>
      <c r="F2985" s="3" t="s">
        <v>318</v>
      </c>
      <c r="G2985" s="3" t="s">
        <v>35</v>
      </c>
      <c r="H2985" s="2" t="s">
        <v>20</v>
      </c>
      <c r="I2985" s="2" t="s">
        <v>6018</v>
      </c>
      <c r="J2985" s="3" t="str">
        <f>HYPERLINK("https://www.boe.es/gazeta/dias/1822/11/06/pdfs/GMD-1822-326.pdf#page=2","Abrir facsímil")</f>
        <v>Abrir facsímil</v>
      </c>
      <c r="K2985" s="3" t="s">
        <v>22</v>
      </c>
    </row>
    <row r="2986" spans="1:11" ht="42" customHeight="1">
      <c r="A2986" s="2" t="s">
        <v>5852</v>
      </c>
      <c r="B2986" s="2" t="s">
        <v>5852</v>
      </c>
      <c r="C2986" s="2" t="s">
        <v>24</v>
      </c>
      <c r="D2986" s="2" t="s">
        <v>17</v>
      </c>
      <c r="E2986" s="5">
        <v>-28177</v>
      </c>
      <c r="F2986" s="3" t="s">
        <v>587</v>
      </c>
      <c r="G2986" s="3" t="s">
        <v>888</v>
      </c>
      <c r="H2986" s="2" t="s">
        <v>20</v>
      </c>
      <c r="I2986" s="2" t="s">
        <v>6019</v>
      </c>
      <c r="J2986" s="3" t="str">
        <f>HYPERLINK("https://www.boe.es/gazeta/dias/1822/11/07/pdfs/GMD-1822-327.pdf#page=4","Abrir facsímil")</f>
        <v>Abrir facsímil</v>
      </c>
      <c r="K2986" s="3" t="s">
        <v>22</v>
      </c>
    </row>
    <row r="2987" spans="1:11" ht="42" customHeight="1">
      <c r="A2987" s="2" t="s">
        <v>5852</v>
      </c>
      <c r="B2987" s="2" t="s">
        <v>5852</v>
      </c>
      <c r="C2987" s="2" t="s">
        <v>71</v>
      </c>
      <c r="D2987" s="2" t="s">
        <v>17</v>
      </c>
      <c r="E2987" s="5">
        <v>-28177</v>
      </c>
      <c r="F2987" s="3" t="s">
        <v>587</v>
      </c>
      <c r="G2987" s="3" t="s">
        <v>35</v>
      </c>
      <c r="H2987" s="2" t="s">
        <v>20</v>
      </c>
      <c r="I2987" s="2" t="s">
        <v>6020</v>
      </c>
      <c r="J2987" s="3" t="str">
        <f>HYPERLINK("https://www.boe.es/gazeta/dias/1822/11/07/pdfs/GMD-1822-327.pdf#page=2","Abrir facsímil")</f>
        <v>Abrir facsímil</v>
      </c>
      <c r="K2987" s="3" t="s">
        <v>22</v>
      </c>
    </row>
    <row r="2988" spans="1:11" ht="42" customHeight="1">
      <c r="A2988" s="2" t="s">
        <v>5852</v>
      </c>
      <c r="B2988" s="2" t="s">
        <v>5852</v>
      </c>
      <c r="C2988" s="2" t="s">
        <v>71</v>
      </c>
      <c r="D2988" s="2" t="s">
        <v>17</v>
      </c>
      <c r="E2988" s="5">
        <v>-28177</v>
      </c>
      <c r="F2988" s="3" t="s">
        <v>587</v>
      </c>
      <c r="G2988" s="3" t="s">
        <v>31</v>
      </c>
      <c r="H2988" s="2" t="s">
        <v>20</v>
      </c>
      <c r="I2988" s="2" t="s">
        <v>6021</v>
      </c>
      <c r="J2988" s="3" t="str">
        <f>HYPERLINK("https://www.boe.es/gazeta/dias/1822/11/07/pdfs/GMD-1822-327.pdf#page=3","Abrir facsímil")</f>
        <v>Abrir facsímil</v>
      </c>
      <c r="K2988" s="3" t="s">
        <v>22</v>
      </c>
    </row>
    <row r="2989" spans="1:11" ht="42" customHeight="1">
      <c r="A2989" s="2" t="s">
        <v>5852</v>
      </c>
      <c r="B2989" s="2" t="s">
        <v>5852</v>
      </c>
      <c r="C2989" s="2" t="s">
        <v>16</v>
      </c>
      <c r="D2989" s="2" t="s">
        <v>17</v>
      </c>
      <c r="E2989" s="5">
        <v>-28176</v>
      </c>
      <c r="F2989" s="3" t="s">
        <v>780</v>
      </c>
      <c r="G2989" s="3" t="s">
        <v>5014</v>
      </c>
      <c r="H2989" s="2" t="s">
        <v>20</v>
      </c>
      <c r="I2989" s="2" t="s">
        <v>6022</v>
      </c>
      <c r="J2989" s="3" t="str">
        <f>HYPERLINK("https://www.boe.es/gazeta/dias/1822/11/08/pdfs/GMD-1822-328.pdf#page=4","Abrir facsímil")</f>
        <v>Abrir facsímil</v>
      </c>
      <c r="K2989" s="3" t="s">
        <v>22</v>
      </c>
    </row>
    <row r="2990" spans="1:11" ht="42" customHeight="1">
      <c r="A2990" s="2" t="s">
        <v>5852</v>
      </c>
      <c r="B2990" s="2" t="s">
        <v>5852</v>
      </c>
      <c r="C2990" s="2" t="s">
        <v>28</v>
      </c>
      <c r="D2990" s="2" t="s">
        <v>29</v>
      </c>
      <c r="E2990" s="5">
        <v>-28176</v>
      </c>
      <c r="F2990" s="3" t="s">
        <v>780</v>
      </c>
      <c r="G2990" s="3" t="s">
        <v>31</v>
      </c>
      <c r="H2990" s="2" t="s">
        <v>20</v>
      </c>
      <c r="I2990" s="2" t="s">
        <v>6023</v>
      </c>
      <c r="J2990" s="3" t="str">
        <f>HYPERLINK("https://www.boe.es/gazeta/dias/1822/11/08/pdfs/GMD-1822-328.pdf#page=3","Abrir facsímil")</f>
        <v>Abrir facsímil</v>
      </c>
      <c r="K2990" s="3" t="s">
        <v>22</v>
      </c>
    </row>
    <row r="2991" spans="1:11" ht="42" customHeight="1">
      <c r="A2991" s="2" t="s">
        <v>5852</v>
      </c>
      <c r="B2991" s="2" t="s">
        <v>5852</v>
      </c>
      <c r="C2991" s="2" t="s">
        <v>50</v>
      </c>
      <c r="D2991" s="2" t="s">
        <v>51</v>
      </c>
      <c r="E2991" s="5">
        <v>-28175</v>
      </c>
      <c r="F2991" s="3" t="s">
        <v>341</v>
      </c>
      <c r="G2991" s="3" t="s">
        <v>35</v>
      </c>
      <c r="H2991" s="2" t="s">
        <v>20</v>
      </c>
      <c r="I2991" s="2" t="s">
        <v>6024</v>
      </c>
      <c r="J2991" s="3" t="str">
        <f>HYPERLINK("https://www.boe.es/gazeta/dias/1822/11/09/pdfs/GMD-1822-329.pdf#page=2","Abrir facsímil")</f>
        <v>Abrir facsímil</v>
      </c>
      <c r="K2991" s="3" t="s">
        <v>22</v>
      </c>
    </row>
    <row r="2992" spans="1:11" ht="42" customHeight="1">
      <c r="A2992" s="2" t="s">
        <v>5852</v>
      </c>
      <c r="B2992" s="2" t="s">
        <v>5852</v>
      </c>
      <c r="C2992" s="2" t="s">
        <v>28</v>
      </c>
      <c r="D2992" s="2" t="s">
        <v>29</v>
      </c>
      <c r="E2992" s="5">
        <v>-28175</v>
      </c>
      <c r="F2992" s="3" t="s">
        <v>341</v>
      </c>
      <c r="G2992" s="3" t="s">
        <v>57</v>
      </c>
      <c r="H2992" s="2" t="s">
        <v>20</v>
      </c>
      <c r="I2992" s="2" t="s">
        <v>6025</v>
      </c>
      <c r="J2992" s="3" t="str">
        <f>HYPERLINK("https://www.boe.es/gazeta/dias/1822/11/09/pdfs/GMD-1822-329.pdf#page=4","Abrir facsímil")</f>
        <v>Abrir facsímil</v>
      </c>
      <c r="K2992" s="3" t="s">
        <v>22</v>
      </c>
    </row>
    <row r="2993" spans="1:11" ht="42" customHeight="1">
      <c r="A2993" s="2" t="s">
        <v>5852</v>
      </c>
      <c r="B2993" s="2" t="s">
        <v>5852</v>
      </c>
      <c r="C2993" s="2" t="s">
        <v>71</v>
      </c>
      <c r="D2993" s="2" t="s">
        <v>17</v>
      </c>
      <c r="E2993" s="5">
        <v>-28174</v>
      </c>
      <c r="F2993" s="3" t="s">
        <v>881</v>
      </c>
      <c r="G2993" s="3" t="s">
        <v>31</v>
      </c>
      <c r="H2993" s="2" t="s">
        <v>20</v>
      </c>
      <c r="I2993" s="2" t="s">
        <v>6026</v>
      </c>
      <c r="J2993" s="3" t="str">
        <f>HYPERLINK("https://www.boe.es/gazeta/dias/1822/11/10/pdfs/GMD-1822-330.pdf#page=3","Abrir facsímil")</f>
        <v>Abrir facsímil</v>
      </c>
      <c r="K2993" s="3" t="s">
        <v>22</v>
      </c>
    </row>
    <row r="2994" spans="1:11" ht="42" customHeight="1">
      <c r="A2994" s="2" t="s">
        <v>5852</v>
      </c>
      <c r="B2994" s="2" t="s">
        <v>5852</v>
      </c>
      <c r="C2994" s="2" t="s">
        <v>42</v>
      </c>
      <c r="D2994" s="2" t="s">
        <v>17</v>
      </c>
      <c r="E2994" s="5">
        <v>-28173</v>
      </c>
      <c r="F2994" s="3" t="s">
        <v>2959</v>
      </c>
      <c r="G2994" s="3" t="s">
        <v>31</v>
      </c>
      <c r="H2994" s="2" t="s">
        <v>20</v>
      </c>
      <c r="I2994" s="2" t="s">
        <v>6027</v>
      </c>
      <c r="J2994" s="3" t="str">
        <f>HYPERLINK("https://www.boe.es/gazeta/dias/1822/11/11/pdfs/GMD-1822-331.pdf#page=3","Abrir facsímil")</f>
        <v>Abrir facsímil</v>
      </c>
      <c r="K2994" s="3" t="s">
        <v>22</v>
      </c>
    </row>
    <row r="2995" spans="1:11" ht="42" customHeight="1">
      <c r="A2995" s="2" t="s">
        <v>5852</v>
      </c>
      <c r="B2995" s="2" t="s">
        <v>5852</v>
      </c>
      <c r="C2995" s="2" t="s">
        <v>50</v>
      </c>
      <c r="D2995" s="2" t="s">
        <v>51</v>
      </c>
      <c r="E2995" s="5">
        <v>-28171</v>
      </c>
      <c r="F2995" s="3" t="s">
        <v>1075</v>
      </c>
      <c r="G2995" s="3" t="s">
        <v>57</v>
      </c>
      <c r="H2995" s="2" t="s">
        <v>20</v>
      </c>
      <c r="I2995" s="2" t="s">
        <v>6028</v>
      </c>
      <c r="J2995" s="3" t="str">
        <f>HYPERLINK("https://www.boe.es/gazeta/dias/1822/11/13/pdfs/GMD-1822-333.pdf#page=4","Abrir facsímil")</f>
        <v>Abrir facsímil</v>
      </c>
      <c r="K2995" s="3" t="s">
        <v>22</v>
      </c>
    </row>
    <row r="2996" spans="1:11" ht="42" customHeight="1">
      <c r="A2996" s="2" t="s">
        <v>5852</v>
      </c>
      <c r="B2996" s="2" t="s">
        <v>5852</v>
      </c>
      <c r="C2996" s="2" t="s">
        <v>50</v>
      </c>
      <c r="D2996" s="2" t="s">
        <v>51</v>
      </c>
      <c r="E2996" s="5">
        <v>-28170</v>
      </c>
      <c r="F2996" s="3" t="s">
        <v>1457</v>
      </c>
      <c r="G2996" s="3" t="s">
        <v>35</v>
      </c>
      <c r="H2996" s="2" t="s">
        <v>20</v>
      </c>
      <c r="I2996" s="2" t="s">
        <v>6029</v>
      </c>
      <c r="J2996" s="3" t="str">
        <f>HYPERLINK("https://www.boe.es/gazeta/dias/1822/11/14/pdfs/GMD-1822-334.pdf#page=2","Abrir facsímil")</f>
        <v>Abrir facsímil</v>
      </c>
      <c r="K2996" s="3" t="s">
        <v>22</v>
      </c>
    </row>
    <row r="2997" spans="1:11" ht="42" customHeight="1">
      <c r="A2997" s="2" t="s">
        <v>5852</v>
      </c>
      <c r="B2997" s="2" t="s">
        <v>5852</v>
      </c>
      <c r="C2997" s="2" t="s">
        <v>50</v>
      </c>
      <c r="D2997" s="2" t="s">
        <v>51</v>
      </c>
      <c r="E2997" s="5">
        <v>-28169</v>
      </c>
      <c r="F2997" s="3" t="s">
        <v>2571</v>
      </c>
      <c r="G2997" s="3" t="s">
        <v>19</v>
      </c>
      <c r="H2997" s="2" t="s">
        <v>20</v>
      </c>
      <c r="I2997" s="2" t="s">
        <v>6030</v>
      </c>
      <c r="J2997" s="3" t="str">
        <f>HYPERLINK("https://www.boe.es/gazeta/dias/1822/11/15/pdfs/GMD-1822-335.pdf#page=5","Abrir facsímil")</f>
        <v>Abrir facsímil</v>
      </c>
      <c r="K2997" s="3" t="s">
        <v>22</v>
      </c>
    </row>
    <row r="2998" spans="1:11" ht="42" customHeight="1">
      <c r="A2998" s="2" t="s">
        <v>5852</v>
      </c>
      <c r="B2998" s="2" t="s">
        <v>5852</v>
      </c>
      <c r="C2998" s="2" t="s">
        <v>50</v>
      </c>
      <c r="D2998" s="2" t="s">
        <v>51</v>
      </c>
      <c r="E2998" s="5">
        <v>-28169</v>
      </c>
      <c r="F2998" s="3" t="s">
        <v>2571</v>
      </c>
      <c r="G2998" s="3" t="s">
        <v>63</v>
      </c>
      <c r="H2998" s="2" t="s">
        <v>20</v>
      </c>
      <c r="I2998" s="2" t="s">
        <v>6031</v>
      </c>
      <c r="J2998" s="3" t="str">
        <f>HYPERLINK("https://www.boe.es/gazeta/dias/1822/11/15/pdfs/GMD-1822-335.pdf#page=6","Abrir facsímil")</f>
        <v>Abrir facsímil</v>
      </c>
      <c r="K2998" s="3" t="s">
        <v>22</v>
      </c>
    </row>
    <row r="2999" spans="1:11" ht="42" customHeight="1">
      <c r="A2999" s="2" t="s">
        <v>5852</v>
      </c>
      <c r="B2999" s="2" t="s">
        <v>5852</v>
      </c>
      <c r="C2999" s="2" t="s">
        <v>71</v>
      </c>
      <c r="D2999" s="2" t="s">
        <v>17</v>
      </c>
      <c r="E2999" s="5">
        <v>-28167</v>
      </c>
      <c r="F2999" s="3" t="s">
        <v>904</v>
      </c>
      <c r="G2999" s="3" t="s">
        <v>35</v>
      </c>
      <c r="H2999" s="2" t="s">
        <v>20</v>
      </c>
      <c r="I2999" s="2" t="s">
        <v>6032</v>
      </c>
      <c r="J2999" s="3" t="str">
        <f>HYPERLINK("https://www.boe.es/gazeta/dias/1822/11/17/pdfs/GMD-1822-337.pdf#page=2","Abrir facsímil")</f>
        <v>Abrir facsímil</v>
      </c>
      <c r="K2999" s="3" t="s">
        <v>22</v>
      </c>
    </row>
    <row r="3000" spans="1:11" ht="42" customHeight="1">
      <c r="A3000" s="2" t="s">
        <v>5852</v>
      </c>
      <c r="B3000" s="2" t="s">
        <v>5852</v>
      </c>
      <c r="C3000" s="2" t="s">
        <v>42</v>
      </c>
      <c r="D3000" s="2" t="s">
        <v>17</v>
      </c>
      <c r="E3000" s="5">
        <v>-28167</v>
      </c>
      <c r="F3000" s="3" t="s">
        <v>904</v>
      </c>
      <c r="G3000" s="3" t="s">
        <v>31</v>
      </c>
      <c r="H3000" s="2" t="s">
        <v>20</v>
      </c>
      <c r="I3000" s="2" t="s">
        <v>6033</v>
      </c>
      <c r="J3000" s="3" t="str">
        <f>HYPERLINK("https://www.boe.es/gazeta/dias/1822/11/17/pdfs/GMD-1822-337.pdf#page=3","Abrir facsímil")</f>
        <v>Abrir facsímil</v>
      </c>
      <c r="K3000" s="3" t="s">
        <v>22</v>
      </c>
    </row>
    <row r="3001" spans="1:11" ht="42" customHeight="1">
      <c r="A3001" s="2" t="s">
        <v>5852</v>
      </c>
      <c r="B3001" s="2" t="s">
        <v>5852</v>
      </c>
      <c r="C3001" s="2" t="s">
        <v>16</v>
      </c>
      <c r="D3001" s="2" t="s">
        <v>17</v>
      </c>
      <c r="E3001" s="5">
        <v>-28167</v>
      </c>
      <c r="F3001" s="3" t="s">
        <v>904</v>
      </c>
      <c r="G3001" s="3" t="s">
        <v>57</v>
      </c>
      <c r="H3001" s="2" t="s">
        <v>20</v>
      </c>
      <c r="I3001" s="2" t="s">
        <v>6034</v>
      </c>
      <c r="J3001" s="3" t="str">
        <f>HYPERLINK("https://www.boe.es/gazeta/dias/1822/11/17/pdfs/GMD-1822-337.pdf#page=4","Abrir facsímil")</f>
        <v>Abrir facsímil</v>
      </c>
      <c r="K3001" s="3" t="s">
        <v>22</v>
      </c>
    </row>
    <row r="3002" spans="1:11" ht="42" customHeight="1">
      <c r="A3002" s="2" t="s">
        <v>5852</v>
      </c>
      <c r="B3002" s="2" t="s">
        <v>5852</v>
      </c>
      <c r="C3002" s="2" t="s">
        <v>50</v>
      </c>
      <c r="D3002" s="2" t="s">
        <v>51</v>
      </c>
      <c r="E3002" s="5">
        <v>-28164</v>
      </c>
      <c r="F3002" s="3" t="s">
        <v>2172</v>
      </c>
      <c r="G3002" s="3" t="s">
        <v>57</v>
      </c>
      <c r="H3002" s="2" t="s">
        <v>20</v>
      </c>
      <c r="I3002" s="2" t="s">
        <v>6035</v>
      </c>
      <c r="J3002" s="3" t="str">
        <f>HYPERLINK("https://www.boe.es/gazeta/dias/1822/11/20/pdfs/GMD-1822-340.pdf#page=4","Abrir facsímil")</f>
        <v>Abrir facsímil</v>
      </c>
      <c r="K3002" s="3" t="s">
        <v>22</v>
      </c>
    </row>
    <row r="3003" spans="1:11" ht="42" customHeight="1">
      <c r="A3003" s="2" t="s">
        <v>5852</v>
      </c>
      <c r="B3003" s="2" t="s">
        <v>5852</v>
      </c>
      <c r="C3003" s="2" t="s">
        <v>42</v>
      </c>
      <c r="D3003" s="2" t="s">
        <v>17</v>
      </c>
      <c r="E3003" s="5">
        <v>-28162</v>
      </c>
      <c r="F3003" s="3" t="s">
        <v>3949</v>
      </c>
      <c r="G3003" s="3" t="s">
        <v>35</v>
      </c>
      <c r="H3003" s="2" t="s">
        <v>20</v>
      </c>
      <c r="I3003" s="2" t="s">
        <v>6036</v>
      </c>
      <c r="J3003" s="3" t="str">
        <f>HYPERLINK("https://www.boe.es/gazeta/dias/1822/11/22/pdfs/GMD-1822-342.pdf#page=2","Abrir facsímil")</f>
        <v>Abrir facsímil</v>
      </c>
      <c r="K3003" s="3" t="s">
        <v>22</v>
      </c>
    </row>
    <row r="3004" spans="1:11" ht="42" customHeight="1">
      <c r="A3004" s="2" t="s">
        <v>5852</v>
      </c>
      <c r="B3004" s="2" t="s">
        <v>5852</v>
      </c>
      <c r="C3004" s="2" t="s">
        <v>50</v>
      </c>
      <c r="D3004" s="2" t="s">
        <v>51</v>
      </c>
      <c r="E3004" s="5">
        <v>-28160</v>
      </c>
      <c r="F3004" s="3" t="s">
        <v>148</v>
      </c>
      <c r="G3004" s="3" t="s">
        <v>57</v>
      </c>
      <c r="H3004" s="2" t="s">
        <v>20</v>
      </c>
      <c r="I3004" s="2" t="s">
        <v>6037</v>
      </c>
      <c r="J3004" s="3" t="str">
        <f>HYPERLINK("https://www.boe.es/gazeta/dias/1822/11/24/pdfs/GMD-1822-344.pdf#page=4","Abrir facsímil")</f>
        <v>Abrir facsímil</v>
      </c>
      <c r="K3004" s="3" t="s">
        <v>22</v>
      </c>
    </row>
    <row r="3005" spans="1:11" ht="42" customHeight="1">
      <c r="A3005" s="2" t="s">
        <v>5852</v>
      </c>
      <c r="B3005" s="2" t="s">
        <v>5852</v>
      </c>
      <c r="C3005" s="2" t="s">
        <v>71</v>
      </c>
      <c r="D3005" s="2" t="s">
        <v>17</v>
      </c>
      <c r="E3005" s="5">
        <v>-28158</v>
      </c>
      <c r="F3005" s="3" t="s">
        <v>590</v>
      </c>
      <c r="G3005" s="3" t="s">
        <v>35</v>
      </c>
      <c r="H3005" s="2" t="s">
        <v>20</v>
      </c>
      <c r="I3005" s="2" t="s">
        <v>6038</v>
      </c>
      <c r="J3005" s="3" t="str">
        <f>HYPERLINK("https://www.boe.es/gazeta/dias/1822/11/26/pdfs/GMD-1822-346.pdf#page=2","Abrir facsímil")</f>
        <v>Abrir facsímil</v>
      </c>
      <c r="K3005" s="3" t="s">
        <v>22</v>
      </c>
    </row>
    <row r="3006" spans="1:11" ht="42" customHeight="1">
      <c r="A3006" s="2" t="s">
        <v>5852</v>
      </c>
      <c r="B3006" s="2" t="s">
        <v>5852</v>
      </c>
      <c r="C3006" s="2" t="s">
        <v>71</v>
      </c>
      <c r="D3006" s="2" t="s">
        <v>17</v>
      </c>
      <c r="E3006" s="5">
        <v>-28158</v>
      </c>
      <c r="F3006" s="3" t="s">
        <v>590</v>
      </c>
      <c r="G3006" s="3" t="s">
        <v>31</v>
      </c>
      <c r="H3006" s="2" t="s">
        <v>20</v>
      </c>
      <c r="I3006" s="2" t="s">
        <v>6039</v>
      </c>
      <c r="J3006" s="3" t="str">
        <f>HYPERLINK("https://www.boe.es/gazeta/dias/1822/11/26/pdfs/GMD-1822-346.pdf#page=3","Abrir facsímil")</f>
        <v>Abrir facsímil</v>
      </c>
      <c r="K3006" s="3" t="s">
        <v>22</v>
      </c>
    </row>
    <row r="3007" spans="1:11" ht="42" customHeight="1">
      <c r="A3007" s="2" t="s">
        <v>5852</v>
      </c>
      <c r="B3007" s="2" t="s">
        <v>5852</v>
      </c>
      <c r="C3007" s="2" t="s">
        <v>42</v>
      </c>
      <c r="D3007" s="2" t="s">
        <v>17</v>
      </c>
      <c r="E3007" s="5">
        <v>-28158</v>
      </c>
      <c r="F3007" s="3" t="s">
        <v>590</v>
      </c>
      <c r="G3007" s="3" t="s">
        <v>57</v>
      </c>
      <c r="H3007" s="2" t="s">
        <v>20</v>
      </c>
      <c r="I3007" s="2" t="s">
        <v>6040</v>
      </c>
      <c r="J3007" s="3" t="str">
        <f>HYPERLINK("https://www.boe.es/gazeta/dias/1822/11/26/pdfs/GMD-1822-346.pdf#page=4","Abrir facsímil")</f>
        <v>Abrir facsímil</v>
      </c>
      <c r="K3007" s="3" t="s">
        <v>22</v>
      </c>
    </row>
    <row r="3008" spans="1:11" ht="42" customHeight="1">
      <c r="A3008" s="2" t="s">
        <v>5852</v>
      </c>
      <c r="B3008" s="2" t="s">
        <v>5852</v>
      </c>
      <c r="C3008" s="2" t="s">
        <v>28</v>
      </c>
      <c r="D3008" s="2" t="s">
        <v>29</v>
      </c>
      <c r="E3008" s="5">
        <v>-28158</v>
      </c>
      <c r="F3008" s="3" t="s">
        <v>590</v>
      </c>
      <c r="G3008" s="3" t="s">
        <v>19</v>
      </c>
      <c r="H3008" s="2" t="s">
        <v>20</v>
      </c>
      <c r="I3008" s="2" t="s">
        <v>6041</v>
      </c>
      <c r="J3008" s="3" t="str">
        <f>HYPERLINK("https://www.boe.es/gazeta/dias/1822/11/26/pdfs/GMD-1822-346.pdf#page=5","Abrir facsímil")</f>
        <v>Abrir facsímil</v>
      </c>
      <c r="K3008" s="3" t="s">
        <v>22</v>
      </c>
    </row>
    <row r="3009" spans="1:11" ht="42" customHeight="1">
      <c r="A3009" s="2" t="s">
        <v>5852</v>
      </c>
      <c r="B3009" s="2" t="s">
        <v>5852</v>
      </c>
      <c r="C3009" s="2" t="s">
        <v>28</v>
      </c>
      <c r="D3009" s="2" t="s">
        <v>29</v>
      </c>
      <c r="E3009" s="5">
        <v>-28157</v>
      </c>
      <c r="F3009" s="3" t="s">
        <v>1492</v>
      </c>
      <c r="G3009" s="3" t="s">
        <v>31</v>
      </c>
      <c r="H3009" s="2" t="s">
        <v>20</v>
      </c>
      <c r="I3009" s="2" t="s">
        <v>6042</v>
      </c>
      <c r="J3009" s="3" t="str">
        <f>HYPERLINK("https://www.boe.es/gazeta/dias/1822/11/27/pdfs/GMD-1822-347.pdf#page=3","Abrir facsímil")</f>
        <v>Abrir facsímil</v>
      </c>
      <c r="K3009" s="3" t="s">
        <v>22</v>
      </c>
    </row>
    <row r="3010" spans="1:11" ht="42" customHeight="1">
      <c r="A3010" s="2" t="s">
        <v>5852</v>
      </c>
      <c r="B3010" s="2" t="s">
        <v>5852</v>
      </c>
      <c r="C3010" s="2" t="s">
        <v>42</v>
      </c>
      <c r="D3010" s="2" t="s">
        <v>17</v>
      </c>
      <c r="E3010" s="5">
        <v>-28157</v>
      </c>
      <c r="F3010" s="3" t="s">
        <v>1492</v>
      </c>
      <c r="G3010" s="3" t="s">
        <v>19</v>
      </c>
      <c r="H3010" s="2" t="s">
        <v>20</v>
      </c>
      <c r="I3010" s="2" t="s">
        <v>6043</v>
      </c>
      <c r="J3010" s="3" t="str">
        <f>HYPERLINK("https://www.boe.es/gazeta/dias/1822/11/27/pdfs/GMD-1822-347.pdf#page=5","Abrir facsímil")</f>
        <v>Abrir facsímil</v>
      </c>
      <c r="K3010" s="3" t="s">
        <v>22</v>
      </c>
    </row>
    <row r="3011" spans="1:11" ht="42" customHeight="1">
      <c r="A3011" s="2" t="s">
        <v>5852</v>
      </c>
      <c r="B3011" s="2" t="s">
        <v>5852</v>
      </c>
      <c r="C3011" s="2" t="s">
        <v>71</v>
      </c>
      <c r="D3011" s="2" t="s">
        <v>17</v>
      </c>
      <c r="E3011" s="5">
        <v>-28152</v>
      </c>
      <c r="F3011" s="3" t="s">
        <v>122</v>
      </c>
      <c r="G3011" s="3" t="s">
        <v>35</v>
      </c>
      <c r="H3011" s="2" t="s">
        <v>20</v>
      </c>
      <c r="I3011" s="2" t="s">
        <v>6044</v>
      </c>
      <c r="J3011" s="3" t="str">
        <f>HYPERLINK("https://www.boe.es/gazeta/dias/1822/12/02/pdfs/GMD-1822-352.pdf#page=2","Abrir facsímil")</f>
        <v>Abrir facsímil</v>
      </c>
      <c r="K3011" s="3" t="s">
        <v>22</v>
      </c>
    </row>
    <row r="3012" spans="1:11" ht="42" customHeight="1">
      <c r="A3012" s="2" t="s">
        <v>5852</v>
      </c>
      <c r="B3012" s="2" t="s">
        <v>5852</v>
      </c>
      <c r="C3012" s="2" t="s">
        <v>42</v>
      </c>
      <c r="D3012" s="2" t="s">
        <v>17</v>
      </c>
      <c r="E3012" s="5">
        <v>-28152</v>
      </c>
      <c r="F3012" s="3" t="s">
        <v>122</v>
      </c>
      <c r="G3012" s="3" t="s">
        <v>31</v>
      </c>
      <c r="H3012" s="2" t="s">
        <v>20</v>
      </c>
      <c r="I3012" s="2" t="s">
        <v>6045</v>
      </c>
      <c r="J3012" s="3" t="str">
        <f>HYPERLINK("https://www.boe.es/gazeta/dias/1822/12/02/pdfs/GMD-1822-352.pdf#page=3","Abrir facsímil")</f>
        <v>Abrir facsímil</v>
      </c>
      <c r="K3012" s="3" t="s">
        <v>22</v>
      </c>
    </row>
    <row r="3013" spans="1:11" ht="42" customHeight="1">
      <c r="A3013" s="2" t="s">
        <v>5852</v>
      </c>
      <c r="B3013" s="2" t="s">
        <v>5852</v>
      </c>
      <c r="C3013" s="2" t="s">
        <v>50</v>
      </c>
      <c r="D3013" s="2" t="s">
        <v>51</v>
      </c>
      <c r="E3013" s="5">
        <v>-28150</v>
      </c>
      <c r="F3013" s="3" t="s">
        <v>62</v>
      </c>
      <c r="G3013" s="3" t="s">
        <v>57</v>
      </c>
      <c r="H3013" s="2" t="s">
        <v>20</v>
      </c>
      <c r="I3013" s="2" t="s">
        <v>6046</v>
      </c>
      <c r="J3013" s="3" t="str">
        <f>HYPERLINK("https://www.boe.es/gazeta/dias/1822/12/04/pdfs/GMD-1822-354.pdf#page=4","Abrir facsímil")</f>
        <v>Abrir facsímil</v>
      </c>
      <c r="K3013" s="3" t="s">
        <v>22</v>
      </c>
    </row>
    <row r="3014" spans="1:11" ht="42" customHeight="1">
      <c r="A3014" s="2" t="s">
        <v>5852</v>
      </c>
      <c r="B3014" s="2" t="s">
        <v>5852</v>
      </c>
      <c r="C3014" s="2" t="s">
        <v>50</v>
      </c>
      <c r="D3014" s="2" t="s">
        <v>51</v>
      </c>
      <c r="E3014" s="5">
        <v>-28147</v>
      </c>
      <c r="F3014" s="3" t="s">
        <v>1611</v>
      </c>
      <c r="G3014" s="3" t="s">
        <v>35</v>
      </c>
      <c r="H3014" s="2" t="s">
        <v>20</v>
      </c>
      <c r="I3014" s="2" t="s">
        <v>6047</v>
      </c>
      <c r="J3014" s="3" t="str">
        <f>HYPERLINK("https://www.boe.es/gazeta/dias/1822/12/07/pdfs/GMD-1822-357.pdf#page=2","Abrir facsímil")</f>
        <v>Abrir facsímil</v>
      </c>
      <c r="K3014" s="3" t="s">
        <v>22</v>
      </c>
    </row>
    <row r="3015" spans="1:11" ht="42" customHeight="1">
      <c r="A3015" s="2" t="s">
        <v>5852</v>
      </c>
      <c r="B3015" s="2" t="s">
        <v>5852</v>
      </c>
      <c r="C3015" s="2" t="s">
        <v>42</v>
      </c>
      <c r="D3015" s="2" t="s">
        <v>17</v>
      </c>
      <c r="E3015" s="5">
        <v>-28144</v>
      </c>
      <c r="F3015" s="3" t="s">
        <v>288</v>
      </c>
      <c r="G3015" s="3" t="s">
        <v>57</v>
      </c>
      <c r="H3015" s="2" t="s">
        <v>20</v>
      </c>
      <c r="I3015" s="2" t="s">
        <v>6048</v>
      </c>
      <c r="J3015" s="3" t="str">
        <f>HYPERLINK("https://www.boe.es/gazeta/dias/1822/12/10/pdfs/GMD-1822-360.pdf#page=4","Abrir facsímil")</f>
        <v>Abrir facsímil</v>
      </c>
      <c r="K3015" s="3" t="s">
        <v>22</v>
      </c>
    </row>
    <row r="3016" spans="1:11" ht="42" customHeight="1">
      <c r="A3016" s="2" t="s">
        <v>5852</v>
      </c>
      <c r="B3016" s="2" t="s">
        <v>5852</v>
      </c>
      <c r="C3016" s="2" t="s">
        <v>71</v>
      </c>
      <c r="D3016" s="2" t="s">
        <v>17</v>
      </c>
      <c r="E3016" s="5">
        <v>-28143</v>
      </c>
      <c r="F3016" s="3" t="s">
        <v>2967</v>
      </c>
      <c r="G3016" s="3" t="s">
        <v>6049</v>
      </c>
      <c r="H3016" s="2" t="s">
        <v>20</v>
      </c>
      <c r="I3016" s="2" t="s">
        <v>6050</v>
      </c>
      <c r="J3016" s="3" t="str">
        <f>HYPERLINK("https://www.boe.es/gazeta/dias/1822/12/11/pdfs/GMD-1822-361.pdf#page=3","Abrir facsímil")</f>
        <v>Abrir facsímil</v>
      </c>
      <c r="K3016" s="3" t="s">
        <v>22</v>
      </c>
    </row>
    <row r="3017" spans="1:11" ht="42" customHeight="1">
      <c r="A3017" s="2" t="s">
        <v>5852</v>
      </c>
      <c r="B3017" s="2" t="s">
        <v>5852</v>
      </c>
      <c r="C3017" s="2" t="s">
        <v>28</v>
      </c>
      <c r="D3017" s="2" t="s">
        <v>29</v>
      </c>
      <c r="E3017" s="5">
        <v>-28143</v>
      </c>
      <c r="F3017" s="3" t="s">
        <v>2967</v>
      </c>
      <c r="G3017" s="3" t="s">
        <v>35</v>
      </c>
      <c r="H3017" s="2" t="s">
        <v>20</v>
      </c>
      <c r="I3017" s="2" t="s">
        <v>6051</v>
      </c>
      <c r="J3017" s="3" t="str">
        <f>HYPERLINK("https://www.boe.es/gazeta/dias/1822/12/11/pdfs/GMD-1822-361.pdf#page=2","Abrir facsímil")</f>
        <v>Abrir facsímil</v>
      </c>
      <c r="K3017" s="3" t="s">
        <v>22</v>
      </c>
    </row>
    <row r="3018" spans="1:11" ht="42" customHeight="1">
      <c r="A3018" s="2" t="s">
        <v>5852</v>
      </c>
      <c r="B3018" s="2" t="s">
        <v>5852</v>
      </c>
      <c r="C3018" s="2" t="s">
        <v>24</v>
      </c>
      <c r="D3018" s="2" t="s">
        <v>17</v>
      </c>
      <c r="E3018" s="5">
        <v>-28142</v>
      </c>
      <c r="F3018" s="3" t="s">
        <v>290</v>
      </c>
      <c r="G3018" s="3" t="s">
        <v>35</v>
      </c>
      <c r="H3018" s="2" t="s">
        <v>20</v>
      </c>
      <c r="I3018" s="2" t="s">
        <v>6052</v>
      </c>
      <c r="J3018" s="3" t="str">
        <f>HYPERLINK("https://www.boe.es/gazeta/dias/1822/12/12/pdfs/GMD-1822-362.pdf#page=2","Abrir facsímil")</f>
        <v>Abrir facsímil</v>
      </c>
      <c r="K3018" s="3" t="s">
        <v>22</v>
      </c>
    </row>
    <row r="3019" spans="1:11" ht="42" customHeight="1">
      <c r="A3019" s="2" t="s">
        <v>5852</v>
      </c>
      <c r="B3019" s="2" t="s">
        <v>5852</v>
      </c>
      <c r="C3019" s="2" t="s">
        <v>50</v>
      </c>
      <c r="D3019" s="2" t="s">
        <v>51</v>
      </c>
      <c r="E3019" s="5">
        <v>-28125</v>
      </c>
      <c r="F3019" s="3" t="s">
        <v>322</v>
      </c>
      <c r="G3019" s="3" t="s">
        <v>57</v>
      </c>
      <c r="H3019" s="2" t="s">
        <v>20</v>
      </c>
      <c r="I3019" s="2" t="s">
        <v>6053</v>
      </c>
      <c r="J3019" s="3" t="str">
        <f>HYPERLINK("https://www.boe.es/gazeta/dias/1822/12/29/pdfs/GMD-1822-379.pdf#page=4","Abrir facsímil")</f>
        <v>Abrir facsímil</v>
      </c>
      <c r="K3019" s="3" t="s">
        <v>22</v>
      </c>
    </row>
    <row r="3020" spans="1:11" ht="42" customHeight="1">
      <c r="A3020" s="2" t="s">
        <v>5852</v>
      </c>
      <c r="B3020" s="2" t="s">
        <v>5852</v>
      </c>
      <c r="C3020" s="2" t="s">
        <v>24</v>
      </c>
      <c r="D3020" s="2" t="s">
        <v>17</v>
      </c>
      <c r="E3020" s="5">
        <v>-28123</v>
      </c>
      <c r="F3020" s="3" t="s">
        <v>603</v>
      </c>
      <c r="G3020" s="3" t="s">
        <v>2642</v>
      </c>
      <c r="H3020" s="2" t="s">
        <v>20</v>
      </c>
      <c r="I3020" s="2" t="s">
        <v>6054</v>
      </c>
      <c r="J3020" s="3" t="str">
        <f>HYPERLINK("https://www.boe.es/gazeta/dias/1822/12/31/pdfs/GMD-1822-381.pdf#page=6","Abrir facsímil")</f>
        <v>Abrir facsímil</v>
      </c>
      <c r="K3020" s="3" t="s">
        <v>22</v>
      </c>
    </row>
    <row r="3021" spans="1:11" ht="42" customHeight="1">
      <c r="A3021" s="2" t="s">
        <v>5852</v>
      </c>
      <c r="B3021" s="2" t="s">
        <v>5852</v>
      </c>
      <c r="C3021" s="2" t="s">
        <v>42</v>
      </c>
      <c r="D3021" s="2" t="s">
        <v>17</v>
      </c>
      <c r="E3021" s="5">
        <v>-28123</v>
      </c>
      <c r="F3021" s="3" t="s">
        <v>603</v>
      </c>
      <c r="G3021" s="3" t="s">
        <v>19</v>
      </c>
      <c r="H3021" s="2" t="s">
        <v>20</v>
      </c>
      <c r="I3021" s="2" t="s">
        <v>6055</v>
      </c>
      <c r="J3021" s="3" t="str">
        <f>HYPERLINK("https://www.boe.es/gazeta/dias/1822/12/31/pdfs/GMD-1822-381.pdf#page=5","Abrir facsímil")</f>
        <v>Abrir facsímil</v>
      </c>
      <c r="K3021" s="3" t="s">
        <v>22</v>
      </c>
    </row>
    <row r="3022" spans="1:11" ht="42" customHeight="1">
      <c r="A3022" s="2" t="s">
        <v>6056</v>
      </c>
      <c r="B3022" s="2" t="s">
        <v>6056</v>
      </c>
      <c r="C3022" s="2" t="s">
        <v>42</v>
      </c>
      <c r="D3022" s="2" t="s">
        <v>17</v>
      </c>
      <c r="E3022" s="5">
        <v>-28197</v>
      </c>
      <c r="F3022" s="3" t="s">
        <v>568</v>
      </c>
      <c r="G3022" s="3" t="s">
        <v>35</v>
      </c>
      <c r="H3022" s="2" t="s">
        <v>20</v>
      </c>
      <c r="I3022" s="2" t="s">
        <v>6057</v>
      </c>
      <c r="J3022" s="3" t="str">
        <f>HYPERLINK("https://www.boe.es/gazeta/dias/1822/10/18/pdfs/GMD-1822-305.pdf#page=2","Abrir facsímil")</f>
        <v>Abrir facsímil</v>
      </c>
      <c r="K3022" s="3" t="s">
        <v>22</v>
      </c>
    </row>
    <row r="3023" spans="1:11" ht="42" customHeight="1">
      <c r="A3023" s="2" t="s">
        <v>6058</v>
      </c>
      <c r="B3023" s="2" t="s">
        <v>6058</v>
      </c>
      <c r="C3023" s="2" t="s">
        <v>42</v>
      </c>
      <c r="D3023" s="2" t="s">
        <v>17</v>
      </c>
      <c r="E3023" s="5">
        <v>-28434</v>
      </c>
      <c r="F3023" s="3" t="s">
        <v>433</v>
      </c>
      <c r="G3023" s="3" t="s">
        <v>35</v>
      </c>
      <c r="H3023" s="2" t="s">
        <v>20</v>
      </c>
      <c r="I3023" s="2" t="s">
        <v>6059</v>
      </c>
      <c r="J3023" s="3" t="str">
        <f>HYPERLINK("https://www.boe.es/gazeta/dias/1822/02/23/pdfs/GMD-1822-55.pdf#page=2","Abrir facsímil")</f>
        <v>Abrir facsímil</v>
      </c>
      <c r="K3023" s="3" t="s">
        <v>22</v>
      </c>
    </row>
    <row r="3024" spans="1:11" ht="42" customHeight="1">
      <c r="A3024" s="2" t="s">
        <v>6060</v>
      </c>
      <c r="B3024" s="2" t="s">
        <v>6060</v>
      </c>
      <c r="C3024" s="2" t="s">
        <v>42</v>
      </c>
      <c r="D3024" s="2" t="s">
        <v>17</v>
      </c>
      <c r="E3024" s="5">
        <v>-28441</v>
      </c>
      <c r="F3024" s="3" t="s">
        <v>429</v>
      </c>
      <c r="G3024" s="3" t="s">
        <v>31</v>
      </c>
      <c r="H3024" s="2" t="s">
        <v>20</v>
      </c>
      <c r="I3024" s="2" t="s">
        <v>6061</v>
      </c>
      <c r="J3024" s="3" t="str">
        <f>HYPERLINK("https://www.boe.es/gazeta/dias/1822/02/16/pdfs/GMD-1822-48.pdf#page=3","Abrir facsímil")</f>
        <v>Abrir facsímil</v>
      </c>
      <c r="K3024" s="3" t="s">
        <v>22</v>
      </c>
    </row>
    <row r="3025" spans="1:11" ht="42" customHeight="1">
      <c r="A3025" s="2" t="s">
        <v>6062</v>
      </c>
      <c r="B3025" s="2" t="s">
        <v>6062</v>
      </c>
      <c r="C3025" s="2" t="s">
        <v>61</v>
      </c>
      <c r="D3025" s="2" t="s">
        <v>17</v>
      </c>
      <c r="E3025" s="5">
        <v>-28355</v>
      </c>
      <c r="F3025" s="3" t="s">
        <v>692</v>
      </c>
      <c r="G3025" s="3" t="s">
        <v>19</v>
      </c>
      <c r="H3025" s="2" t="s">
        <v>20</v>
      </c>
      <c r="I3025" s="2" t="s">
        <v>6063</v>
      </c>
      <c r="J3025" s="3" t="str">
        <f>HYPERLINK("https://www.boe.es/gazeta/dias/1822/05/13/pdfs/GMD-1822-135.pdf#page=5","Abrir facsímil")</f>
        <v>Abrir facsímil</v>
      </c>
      <c r="K3025" s="3" t="s">
        <v>22</v>
      </c>
    </row>
    <row r="3026" spans="1:11" ht="42" customHeight="1">
      <c r="A3026" s="2" t="s">
        <v>6062</v>
      </c>
      <c r="B3026" s="2" t="s">
        <v>6062</v>
      </c>
      <c r="C3026" s="2" t="s">
        <v>28</v>
      </c>
      <c r="D3026" s="2" t="s">
        <v>29</v>
      </c>
      <c r="E3026" s="5">
        <v>-28194</v>
      </c>
      <c r="F3026" s="3" t="s">
        <v>18</v>
      </c>
      <c r="G3026" s="3" t="s">
        <v>31</v>
      </c>
      <c r="H3026" s="2" t="s">
        <v>20</v>
      </c>
      <c r="I3026" s="2" t="s">
        <v>6064</v>
      </c>
      <c r="J3026" s="3" t="str">
        <f>HYPERLINK("https://www.boe.es/gazeta/dias/1822/10/21/pdfs/GMD-1822-308.pdf#page=3","Abrir facsímil")</f>
        <v>Abrir facsímil</v>
      </c>
      <c r="K3026" s="3" t="s">
        <v>22</v>
      </c>
    </row>
    <row r="3027" spans="1:11" ht="42" customHeight="1">
      <c r="A3027" s="2" t="s">
        <v>6065</v>
      </c>
      <c r="B3027" s="2" t="s">
        <v>6066</v>
      </c>
      <c r="C3027" s="2" t="s">
        <v>50</v>
      </c>
      <c r="D3027" s="2" t="s">
        <v>51</v>
      </c>
      <c r="E3027" s="5">
        <v>-28168</v>
      </c>
      <c r="F3027" s="3" t="s">
        <v>3672</v>
      </c>
      <c r="G3027" s="3" t="s">
        <v>57</v>
      </c>
      <c r="H3027" s="2" t="s">
        <v>20</v>
      </c>
      <c r="I3027" s="2" t="s">
        <v>6067</v>
      </c>
      <c r="J3027" s="3" t="str">
        <f>HYPERLINK("https://www.boe.es/gazeta/dias/1822/11/16/pdfs/GMD-1822-336.pdf#page=4","Abrir facsímil")</f>
        <v>Abrir facsímil</v>
      </c>
      <c r="K3027" s="3" t="s">
        <v>22</v>
      </c>
    </row>
    <row r="3028" spans="1:11" ht="42" customHeight="1">
      <c r="A3028" s="2" t="s">
        <v>6068</v>
      </c>
      <c r="B3028" s="2" t="s">
        <v>6069</v>
      </c>
      <c r="C3028" s="2" t="s">
        <v>50</v>
      </c>
      <c r="D3028" s="2" t="s">
        <v>51</v>
      </c>
      <c r="E3028" s="5">
        <v>-28337</v>
      </c>
      <c r="F3028" s="3" t="s">
        <v>1836</v>
      </c>
      <c r="G3028" s="3" t="s">
        <v>31</v>
      </c>
      <c r="H3028" s="2" t="s">
        <v>20</v>
      </c>
      <c r="I3028" s="2" t="s">
        <v>6070</v>
      </c>
      <c r="J3028" s="3" t="str">
        <f>HYPERLINK("https://www.boe.es/gazeta/dias/1822/05/31/pdfs/GMD-1822-156.pdf#page=3","Abrir facsímil")</f>
        <v>Abrir facsímil</v>
      </c>
      <c r="K3028" s="3" t="s">
        <v>22</v>
      </c>
    </row>
    <row r="3029" spans="1:11" ht="42" customHeight="1">
      <c r="A3029" s="2" t="s">
        <v>6071</v>
      </c>
      <c r="B3029" s="2" t="s">
        <v>6072</v>
      </c>
      <c r="C3029" s="2" t="s">
        <v>71</v>
      </c>
      <c r="D3029" s="2" t="s">
        <v>17</v>
      </c>
      <c r="E3029" s="5">
        <v>-28323</v>
      </c>
      <c r="F3029" s="3" t="s">
        <v>116</v>
      </c>
      <c r="G3029" s="3" t="s">
        <v>31</v>
      </c>
      <c r="H3029" s="2" t="s">
        <v>20</v>
      </c>
      <c r="I3029" s="2" t="s">
        <v>6073</v>
      </c>
      <c r="J3029" s="3" t="str">
        <f>HYPERLINK("https://www.boe.es/gazeta/dias/1822/06/14/pdfs/GMD-1822-171.pdf#page=3","Abrir facsímil")</f>
        <v>Abrir facsímil</v>
      </c>
      <c r="K3029" s="3" t="s">
        <v>22</v>
      </c>
    </row>
    <row r="3030" spans="1:11" ht="42" customHeight="1">
      <c r="A3030" s="2" t="s">
        <v>6074</v>
      </c>
      <c r="B3030" s="2" t="s">
        <v>6074</v>
      </c>
      <c r="C3030" s="2" t="s">
        <v>42</v>
      </c>
      <c r="D3030" s="2" t="s">
        <v>17</v>
      </c>
      <c r="E3030" s="5">
        <v>-28421</v>
      </c>
      <c r="F3030" s="3" t="s">
        <v>446</v>
      </c>
      <c r="G3030" s="3" t="s">
        <v>31</v>
      </c>
      <c r="H3030" s="2" t="s">
        <v>20</v>
      </c>
      <c r="I3030" s="2" t="s">
        <v>6075</v>
      </c>
      <c r="J3030" s="3" t="str">
        <f>HYPERLINK("https://www.boe.es/gazeta/dias/1822/03/08/pdfs/GMD-1822-69.pdf#page=3","Abrir facsímil")</f>
        <v>Abrir facsímil</v>
      </c>
      <c r="K3030" s="3" t="s">
        <v>22</v>
      </c>
    </row>
    <row r="3031" spans="1:11" ht="42" customHeight="1">
      <c r="A3031" s="2" t="s">
        <v>6074</v>
      </c>
      <c r="B3031" s="2" t="s">
        <v>6074</v>
      </c>
      <c r="C3031" s="2" t="s">
        <v>28</v>
      </c>
      <c r="D3031" s="2" t="s">
        <v>29</v>
      </c>
      <c r="E3031" s="5">
        <v>-28420</v>
      </c>
      <c r="F3031" s="3" t="s">
        <v>449</v>
      </c>
      <c r="G3031" s="3" t="s">
        <v>57</v>
      </c>
      <c r="H3031" s="2" t="s">
        <v>20</v>
      </c>
      <c r="I3031" s="2" t="s">
        <v>6076</v>
      </c>
      <c r="J3031" s="3" t="str">
        <f>HYPERLINK("https://www.boe.es/gazeta/dias/1822/03/09/pdfs/GMD-1822-70.pdf#page=4","Abrir facsímil")</f>
        <v>Abrir facsímil</v>
      </c>
      <c r="K3031" s="3" t="s">
        <v>22</v>
      </c>
    </row>
    <row r="3032" spans="1:11" ht="42" customHeight="1">
      <c r="A3032" s="2" t="s">
        <v>6074</v>
      </c>
      <c r="B3032" s="2" t="s">
        <v>6074</v>
      </c>
      <c r="C3032" s="2" t="s">
        <v>50</v>
      </c>
      <c r="D3032" s="2" t="s">
        <v>51</v>
      </c>
      <c r="E3032" s="5">
        <v>-28409</v>
      </c>
      <c r="F3032" s="3" t="s">
        <v>394</v>
      </c>
      <c r="G3032" s="3" t="s">
        <v>31</v>
      </c>
      <c r="H3032" s="2" t="s">
        <v>20</v>
      </c>
      <c r="I3032" s="2" t="s">
        <v>6077</v>
      </c>
      <c r="J3032" s="3" t="str">
        <f>HYPERLINK("https://www.boe.es/gazeta/dias/1822/03/20/pdfs/GMD-1822-81.pdf#page=3","Abrir facsímil")</f>
        <v>Abrir facsímil</v>
      </c>
      <c r="K3032" s="3" t="s">
        <v>22</v>
      </c>
    </row>
    <row r="3033" spans="1:11" ht="42" customHeight="1">
      <c r="A3033" s="2" t="s">
        <v>6074</v>
      </c>
      <c r="B3033" s="2" t="s">
        <v>6074</v>
      </c>
      <c r="C3033" s="2" t="s">
        <v>28</v>
      </c>
      <c r="D3033" s="2" t="s">
        <v>29</v>
      </c>
      <c r="E3033" s="5">
        <v>-28377</v>
      </c>
      <c r="F3033" s="3" t="s">
        <v>498</v>
      </c>
      <c r="G3033" s="3" t="s">
        <v>31</v>
      </c>
      <c r="H3033" s="2" t="s">
        <v>20</v>
      </c>
      <c r="I3033" s="2" t="s">
        <v>6078</v>
      </c>
      <c r="J3033" s="3" t="str">
        <f>HYPERLINK("https://www.boe.es/gazeta/dias/1822/04/21/pdfs/GMD-1822-113.pdf#page=3","Abrir facsímil")</f>
        <v>Abrir facsímil</v>
      </c>
      <c r="K3033" s="3" t="s">
        <v>22</v>
      </c>
    </row>
    <row r="3034" spans="1:11" ht="42" customHeight="1">
      <c r="A3034" s="2" t="s">
        <v>6074</v>
      </c>
      <c r="B3034" s="2" t="s">
        <v>6074</v>
      </c>
      <c r="C3034" s="2" t="s">
        <v>42</v>
      </c>
      <c r="D3034" s="2" t="s">
        <v>17</v>
      </c>
      <c r="E3034" s="5">
        <v>-28369</v>
      </c>
      <c r="F3034" s="3" t="s">
        <v>1590</v>
      </c>
      <c r="G3034" s="3" t="s">
        <v>19</v>
      </c>
      <c r="H3034" s="2" t="s">
        <v>20</v>
      </c>
      <c r="I3034" s="2" t="s">
        <v>6079</v>
      </c>
      <c r="J3034" s="3" t="str">
        <f>HYPERLINK("https://www.boe.es/gazeta/dias/1822/04/29/pdfs/GMD-1822-121.pdf#page=5","Abrir facsímil")</f>
        <v>Abrir facsímil</v>
      </c>
      <c r="K3034" s="3" t="s">
        <v>22</v>
      </c>
    </row>
    <row r="3035" spans="1:11" ht="42" customHeight="1">
      <c r="A3035" s="2" t="s">
        <v>6074</v>
      </c>
      <c r="B3035" s="2" t="s">
        <v>6074</v>
      </c>
      <c r="C3035" s="2" t="s">
        <v>16</v>
      </c>
      <c r="D3035" s="2" t="s">
        <v>17</v>
      </c>
      <c r="E3035" s="5">
        <v>-28367</v>
      </c>
      <c r="F3035" s="3" t="s">
        <v>280</v>
      </c>
      <c r="G3035" s="3" t="s">
        <v>44</v>
      </c>
      <c r="H3035" s="2" t="s">
        <v>20</v>
      </c>
      <c r="I3035" s="2" t="s">
        <v>6080</v>
      </c>
      <c r="J3035" s="3" t="str">
        <f>HYPERLINK("https://www.boe.es/gazeta/dias/1822/05/01/pdfs/GMD-1822-123.pdf#page=1","Abrir facsímil")</f>
        <v>Abrir facsímil</v>
      </c>
      <c r="K3035" s="3" t="s">
        <v>22</v>
      </c>
    </row>
    <row r="3036" spans="1:11" ht="42" customHeight="1">
      <c r="A3036" s="2" t="s">
        <v>6074</v>
      </c>
      <c r="B3036" s="2" t="s">
        <v>6074</v>
      </c>
      <c r="C3036" s="2" t="s">
        <v>50</v>
      </c>
      <c r="D3036" s="2" t="s">
        <v>51</v>
      </c>
      <c r="E3036" s="5">
        <v>-28367</v>
      </c>
      <c r="F3036" s="3" t="s">
        <v>280</v>
      </c>
      <c r="G3036" s="3" t="s">
        <v>35</v>
      </c>
      <c r="H3036" s="2" t="s">
        <v>20</v>
      </c>
      <c r="I3036" s="2" t="s">
        <v>6081</v>
      </c>
      <c r="J3036" s="3" t="str">
        <f>HYPERLINK("https://www.boe.es/gazeta/dias/1822/05/01/pdfs/GMD-1822-123.pdf#page=2","Abrir facsímil")</f>
        <v>Abrir facsímil</v>
      </c>
      <c r="K3036" s="3" t="s">
        <v>22</v>
      </c>
    </row>
    <row r="3037" spans="1:11" ht="42" customHeight="1">
      <c r="A3037" s="2" t="s">
        <v>6074</v>
      </c>
      <c r="B3037" s="2" t="s">
        <v>6074</v>
      </c>
      <c r="C3037" s="2" t="s">
        <v>71</v>
      </c>
      <c r="D3037" s="2" t="s">
        <v>17</v>
      </c>
      <c r="E3037" s="5">
        <v>-28361</v>
      </c>
      <c r="F3037" s="3" t="s">
        <v>374</v>
      </c>
      <c r="G3037" s="3" t="s">
        <v>57</v>
      </c>
      <c r="H3037" s="2" t="s">
        <v>20</v>
      </c>
      <c r="I3037" s="2" t="s">
        <v>6082</v>
      </c>
      <c r="J3037" s="3" t="str">
        <f>HYPERLINK("https://www.boe.es/gazeta/dias/1822/05/07/pdfs/GMD-1822-129.pdf#page=4","Abrir facsímil")</f>
        <v>Abrir facsímil</v>
      </c>
      <c r="K3037" s="3" t="s">
        <v>22</v>
      </c>
    </row>
    <row r="3038" spans="1:11" ht="42" customHeight="1">
      <c r="A3038" s="2" t="s">
        <v>6074</v>
      </c>
      <c r="B3038" s="2" t="s">
        <v>6074</v>
      </c>
      <c r="C3038" s="2" t="s">
        <v>42</v>
      </c>
      <c r="D3038" s="2" t="s">
        <v>17</v>
      </c>
      <c r="E3038" s="5">
        <v>-28345</v>
      </c>
      <c r="F3038" s="3" t="s">
        <v>294</v>
      </c>
      <c r="G3038" s="3" t="s">
        <v>31</v>
      </c>
      <c r="H3038" s="2" t="s">
        <v>20</v>
      </c>
      <c r="I3038" s="2" t="s">
        <v>6083</v>
      </c>
      <c r="J3038" s="3" t="str">
        <f>HYPERLINK("https://www.boe.es/gazeta/dias/1822/05/23/pdfs/GMD-1822-147.pdf#page=3","Abrir facsímil")</f>
        <v>Abrir facsímil</v>
      </c>
      <c r="K3038" s="3" t="s">
        <v>22</v>
      </c>
    </row>
    <row r="3039" spans="1:11" ht="42" customHeight="1">
      <c r="A3039" s="2" t="s">
        <v>6074</v>
      </c>
      <c r="B3039" s="2" t="s">
        <v>6074</v>
      </c>
      <c r="C3039" s="2" t="s">
        <v>42</v>
      </c>
      <c r="D3039" s="2" t="s">
        <v>17</v>
      </c>
      <c r="E3039" s="5">
        <v>-28341</v>
      </c>
      <c r="F3039" s="3" t="s">
        <v>284</v>
      </c>
      <c r="G3039" s="3" t="s">
        <v>19</v>
      </c>
      <c r="H3039" s="2" t="s">
        <v>20</v>
      </c>
      <c r="I3039" s="2" t="s">
        <v>6084</v>
      </c>
      <c r="J3039" s="3" t="str">
        <f>HYPERLINK("https://www.boe.es/gazeta/dias/1822/05/27/pdfs/GMD-1822-152.pdf#page=5","Abrir facsímil")</f>
        <v>Abrir facsímil</v>
      </c>
      <c r="K3039" s="3" t="s">
        <v>22</v>
      </c>
    </row>
    <row r="3040" spans="1:11" ht="42" customHeight="1">
      <c r="A3040" s="2" t="s">
        <v>6074</v>
      </c>
      <c r="B3040" s="2" t="s">
        <v>6074</v>
      </c>
      <c r="C3040" s="2" t="s">
        <v>42</v>
      </c>
      <c r="D3040" s="2" t="s">
        <v>17</v>
      </c>
      <c r="E3040" s="5">
        <v>-28340</v>
      </c>
      <c r="F3040" s="3" t="s">
        <v>139</v>
      </c>
      <c r="G3040" s="3" t="s">
        <v>57</v>
      </c>
      <c r="H3040" s="2" t="s">
        <v>20</v>
      </c>
      <c r="I3040" s="2" t="s">
        <v>6085</v>
      </c>
      <c r="J3040" s="3" t="str">
        <f>HYPERLINK("https://www.boe.es/gazeta/dias/1822/05/28/pdfs/GMD-1822-153.pdf#page=4","Abrir facsímil")</f>
        <v>Abrir facsímil</v>
      </c>
      <c r="K3040" s="3" t="s">
        <v>22</v>
      </c>
    </row>
    <row r="3041" spans="1:11" ht="42" customHeight="1">
      <c r="A3041" s="2" t="s">
        <v>6074</v>
      </c>
      <c r="B3041" s="2" t="s">
        <v>6074</v>
      </c>
      <c r="C3041" s="2" t="s">
        <v>42</v>
      </c>
      <c r="D3041" s="2" t="s">
        <v>17</v>
      </c>
      <c r="E3041" s="5">
        <v>-28327</v>
      </c>
      <c r="F3041" s="3" t="s">
        <v>38</v>
      </c>
      <c r="G3041" s="3" t="s">
        <v>35</v>
      </c>
      <c r="H3041" s="2" t="s">
        <v>20</v>
      </c>
      <c r="I3041" s="2" t="s">
        <v>6086</v>
      </c>
      <c r="J3041" s="3" t="str">
        <f>HYPERLINK("https://www.boe.es/gazeta/dias/1822/06/10/pdfs/GMD-1822-167.pdf#page=2","Abrir facsímil")</f>
        <v>Abrir facsímil</v>
      </c>
      <c r="K3041" s="3" t="s">
        <v>22</v>
      </c>
    </row>
    <row r="3042" spans="1:11" ht="42" customHeight="1">
      <c r="A3042" s="2" t="s">
        <v>6074</v>
      </c>
      <c r="B3042" s="2" t="s">
        <v>6074</v>
      </c>
      <c r="C3042" s="2" t="s">
        <v>71</v>
      </c>
      <c r="D3042" s="2" t="s">
        <v>17</v>
      </c>
      <c r="E3042" s="5">
        <v>-28325</v>
      </c>
      <c r="F3042" s="3" t="s">
        <v>104</v>
      </c>
      <c r="G3042" s="3" t="s">
        <v>57</v>
      </c>
      <c r="H3042" s="2" t="s">
        <v>20</v>
      </c>
      <c r="I3042" s="2" t="s">
        <v>6087</v>
      </c>
      <c r="J3042" s="3" t="str">
        <f>HYPERLINK("https://www.boe.es/gazeta/dias/1822/06/12/pdfs/GMD-1822-169.pdf#page=4","Abrir facsímil")</f>
        <v>Abrir facsímil</v>
      </c>
      <c r="K3042" s="3" t="s">
        <v>22</v>
      </c>
    </row>
    <row r="3043" spans="1:11" ht="42" customHeight="1">
      <c r="A3043" s="2" t="s">
        <v>6074</v>
      </c>
      <c r="B3043" s="2" t="s">
        <v>6074</v>
      </c>
      <c r="C3043" s="2" t="s">
        <v>16</v>
      </c>
      <c r="D3043" s="2" t="s">
        <v>17</v>
      </c>
      <c r="E3043" s="5">
        <v>-28321</v>
      </c>
      <c r="F3043" s="3" t="s">
        <v>1142</v>
      </c>
      <c r="G3043" s="3" t="s">
        <v>19</v>
      </c>
      <c r="H3043" s="2" t="s">
        <v>20</v>
      </c>
      <c r="I3043" s="2" t="s">
        <v>6088</v>
      </c>
      <c r="J3043" s="3" t="str">
        <f>HYPERLINK("https://www.boe.es/gazeta/dias/1822/06/16/pdfs/GMD-1822-173.pdf#page=5","Abrir facsímil")</f>
        <v>Abrir facsímil</v>
      </c>
      <c r="K3043" s="3" t="s">
        <v>22</v>
      </c>
    </row>
    <row r="3044" spans="1:11" ht="42" customHeight="1">
      <c r="A3044" s="2" t="s">
        <v>6074</v>
      </c>
      <c r="B3044" s="2" t="s">
        <v>6074</v>
      </c>
      <c r="C3044" s="2" t="s">
        <v>24</v>
      </c>
      <c r="D3044" s="2" t="s">
        <v>17</v>
      </c>
      <c r="E3044" s="5">
        <v>-28316</v>
      </c>
      <c r="F3044" s="3" t="s">
        <v>1144</v>
      </c>
      <c r="G3044" s="3" t="s">
        <v>31</v>
      </c>
      <c r="H3044" s="2" t="s">
        <v>20</v>
      </c>
      <c r="I3044" s="2" t="s">
        <v>6089</v>
      </c>
      <c r="J3044" s="3" t="str">
        <f>HYPERLINK("https://www.boe.es/gazeta/dias/1822/06/21/pdfs/GMD-1822-179.pdf#page=3","Abrir facsímil")</f>
        <v>Abrir facsímil</v>
      </c>
      <c r="K3044" s="3" t="s">
        <v>22</v>
      </c>
    </row>
    <row r="3045" spans="1:11" ht="42" customHeight="1">
      <c r="A3045" s="2" t="s">
        <v>6074</v>
      </c>
      <c r="B3045" s="2" t="s">
        <v>6074</v>
      </c>
      <c r="C3045" s="2" t="s">
        <v>50</v>
      </c>
      <c r="D3045" s="2" t="s">
        <v>51</v>
      </c>
      <c r="E3045" s="5">
        <v>-28314</v>
      </c>
      <c r="F3045" s="3" t="s">
        <v>309</v>
      </c>
      <c r="G3045" s="3" t="s">
        <v>35</v>
      </c>
      <c r="H3045" s="2" t="s">
        <v>20</v>
      </c>
      <c r="I3045" s="2" t="s">
        <v>6090</v>
      </c>
      <c r="J3045" s="3" t="str">
        <f>HYPERLINK("https://www.boe.es/gazeta/dias/1822/06/23/pdfs/GMD-1822-181.pdf#page=2","Abrir facsímil")</f>
        <v>Abrir facsímil</v>
      </c>
      <c r="K3045" s="3" t="s">
        <v>22</v>
      </c>
    </row>
    <row r="3046" spans="1:11" ht="42" customHeight="1">
      <c r="A3046" s="2" t="s">
        <v>6074</v>
      </c>
      <c r="B3046" s="2" t="s">
        <v>6074</v>
      </c>
      <c r="C3046" s="2" t="s">
        <v>42</v>
      </c>
      <c r="D3046" s="2" t="s">
        <v>17</v>
      </c>
      <c r="E3046" s="5">
        <v>-28307</v>
      </c>
      <c r="F3046" s="3" t="s">
        <v>555</v>
      </c>
      <c r="G3046" s="3" t="s">
        <v>871</v>
      </c>
      <c r="H3046" s="2" t="s">
        <v>20</v>
      </c>
      <c r="I3046" s="2" t="s">
        <v>6091</v>
      </c>
      <c r="J3046" s="3" t="str">
        <f>HYPERLINK("https://www.boe.es/gazeta/dias/1822/06/30/pdfs/GMD-1822-188.pdf#page=4","Abrir facsímil")</f>
        <v>Abrir facsímil</v>
      </c>
      <c r="K3046" s="3" t="s">
        <v>22</v>
      </c>
    </row>
    <row r="3047" spans="1:11" ht="42" customHeight="1">
      <c r="A3047" s="2" t="s">
        <v>6074</v>
      </c>
      <c r="B3047" s="2" t="s">
        <v>6074</v>
      </c>
      <c r="C3047" s="2" t="s">
        <v>28</v>
      </c>
      <c r="D3047" s="2" t="s">
        <v>29</v>
      </c>
      <c r="E3047" s="5">
        <v>-28306</v>
      </c>
      <c r="F3047" s="3" t="s">
        <v>348</v>
      </c>
      <c r="G3047" s="3" t="s">
        <v>35</v>
      </c>
      <c r="H3047" s="2" t="s">
        <v>20</v>
      </c>
      <c r="I3047" s="2" t="s">
        <v>6092</v>
      </c>
      <c r="J3047" s="3" t="str">
        <f>HYPERLINK("https://www.boe.es/gazeta/dias/1822/07/01/pdfs/GMD-1822-190.pdf#page=2","Abrir facsímil")</f>
        <v>Abrir facsímil</v>
      </c>
      <c r="K3047" s="3" t="s">
        <v>22</v>
      </c>
    </row>
    <row r="3048" spans="1:11" ht="42" customHeight="1">
      <c r="A3048" s="2" t="s">
        <v>6074</v>
      </c>
      <c r="B3048" s="2" t="s">
        <v>6074</v>
      </c>
      <c r="C3048" s="2" t="s">
        <v>16</v>
      </c>
      <c r="D3048" s="2" t="s">
        <v>17</v>
      </c>
      <c r="E3048" s="5">
        <v>-28199</v>
      </c>
      <c r="F3048" s="3" t="s">
        <v>656</v>
      </c>
      <c r="G3048" s="3" t="s">
        <v>35</v>
      </c>
      <c r="H3048" s="2" t="s">
        <v>20</v>
      </c>
      <c r="I3048" s="2" t="s">
        <v>6093</v>
      </c>
      <c r="J3048" s="3" t="str">
        <f>HYPERLINK("https://www.boe.es/gazeta/dias/1822/10/16/pdfs/GMD-1822-303.pdf#page=2","Abrir facsímil")</f>
        <v>Abrir facsímil</v>
      </c>
      <c r="K3048" s="3" t="s">
        <v>22</v>
      </c>
    </row>
    <row r="3049" spans="1:11" ht="42" customHeight="1">
      <c r="A3049" s="2" t="s">
        <v>6074</v>
      </c>
      <c r="B3049" s="2" t="s">
        <v>6074</v>
      </c>
      <c r="C3049" s="2" t="s">
        <v>42</v>
      </c>
      <c r="D3049" s="2" t="s">
        <v>17</v>
      </c>
      <c r="E3049" s="5">
        <v>-28190</v>
      </c>
      <c r="F3049" s="3" t="s">
        <v>576</v>
      </c>
      <c r="G3049" s="3" t="s">
        <v>57</v>
      </c>
      <c r="H3049" s="2" t="s">
        <v>20</v>
      </c>
      <c r="I3049" s="2" t="s">
        <v>6094</v>
      </c>
      <c r="J3049" s="3" t="str">
        <f>HYPERLINK("https://www.boe.es/gazeta/dias/1822/10/25/pdfs/GMD-1822-312.pdf#page=4","Abrir facsímil")</f>
        <v>Abrir facsímil</v>
      </c>
      <c r="K3049" s="3" t="s">
        <v>22</v>
      </c>
    </row>
    <row r="3050" spans="1:11" ht="42" customHeight="1">
      <c r="A3050" s="2" t="s">
        <v>6074</v>
      </c>
      <c r="B3050" s="2" t="s">
        <v>6074</v>
      </c>
      <c r="C3050" s="2" t="s">
        <v>42</v>
      </c>
      <c r="D3050" s="2" t="s">
        <v>17</v>
      </c>
      <c r="E3050" s="5">
        <v>-28189</v>
      </c>
      <c r="F3050" s="3" t="s">
        <v>645</v>
      </c>
      <c r="G3050" s="3" t="s">
        <v>19</v>
      </c>
      <c r="H3050" s="2" t="s">
        <v>20</v>
      </c>
      <c r="I3050" s="2" t="s">
        <v>6095</v>
      </c>
      <c r="J3050" s="3" t="str">
        <f>HYPERLINK("https://www.boe.es/gazeta/dias/1822/10/26/pdfs/GMD-1822-313.pdf#page=5","Abrir facsímil")</f>
        <v>Abrir facsímil</v>
      </c>
      <c r="K3050" s="3" t="s">
        <v>22</v>
      </c>
    </row>
    <row r="3051" spans="1:11" ht="42" customHeight="1">
      <c r="A3051" s="2" t="s">
        <v>6074</v>
      </c>
      <c r="B3051" s="2" t="s">
        <v>6074</v>
      </c>
      <c r="C3051" s="2" t="s">
        <v>42</v>
      </c>
      <c r="D3051" s="2" t="s">
        <v>17</v>
      </c>
      <c r="E3051" s="5">
        <v>-28188</v>
      </c>
      <c r="F3051" s="3" t="s">
        <v>578</v>
      </c>
      <c r="G3051" s="3" t="s">
        <v>44</v>
      </c>
      <c r="H3051" s="2" t="s">
        <v>20</v>
      </c>
      <c r="I3051" s="2" t="s">
        <v>6096</v>
      </c>
      <c r="J3051" s="3" t="str">
        <f>HYPERLINK("https://www.boe.es/gazeta/dias/1822/10/27/pdfs/GMD-1822-314.pdf#page=1","Abrir facsímil")</f>
        <v>Abrir facsímil</v>
      </c>
      <c r="K3051" s="3" t="s">
        <v>22</v>
      </c>
    </row>
    <row r="3052" spans="1:11" ht="42" customHeight="1">
      <c r="A3052" s="2" t="s">
        <v>6074</v>
      </c>
      <c r="B3052" s="2" t="s">
        <v>6074</v>
      </c>
      <c r="C3052" s="2" t="s">
        <v>50</v>
      </c>
      <c r="D3052" s="2" t="s">
        <v>51</v>
      </c>
      <c r="E3052" s="5">
        <v>-28188</v>
      </c>
      <c r="F3052" s="3" t="s">
        <v>578</v>
      </c>
      <c r="G3052" s="3" t="s">
        <v>35</v>
      </c>
      <c r="H3052" s="2" t="s">
        <v>20</v>
      </c>
      <c r="I3052" s="2" t="s">
        <v>6097</v>
      </c>
      <c r="J3052" s="3" t="str">
        <f>HYPERLINK("https://www.boe.es/gazeta/dias/1822/10/27/pdfs/GMD-1822-314.pdf#page=2","Abrir facsímil")</f>
        <v>Abrir facsímil</v>
      </c>
      <c r="K3052" s="3" t="s">
        <v>22</v>
      </c>
    </row>
    <row r="3053" spans="1:11" ht="42" customHeight="1">
      <c r="A3053" s="2" t="s">
        <v>6074</v>
      </c>
      <c r="B3053" s="2" t="s">
        <v>6074</v>
      </c>
      <c r="C3053" s="2" t="s">
        <v>42</v>
      </c>
      <c r="D3053" s="2" t="s">
        <v>17</v>
      </c>
      <c r="E3053" s="5">
        <v>-28188</v>
      </c>
      <c r="F3053" s="3" t="s">
        <v>578</v>
      </c>
      <c r="G3053" s="3" t="s">
        <v>57</v>
      </c>
      <c r="H3053" s="2" t="s">
        <v>20</v>
      </c>
      <c r="I3053" s="2" t="s">
        <v>6098</v>
      </c>
      <c r="J3053" s="3" t="str">
        <f>HYPERLINK("https://www.boe.es/gazeta/dias/1822/10/27/pdfs/GMD-1822-314.pdf#page=4","Abrir facsímil")</f>
        <v>Abrir facsímil</v>
      </c>
      <c r="K3053" s="3" t="s">
        <v>22</v>
      </c>
    </row>
    <row r="3054" spans="1:11" ht="42" customHeight="1">
      <c r="A3054" s="2" t="s">
        <v>6074</v>
      </c>
      <c r="B3054" s="2" t="s">
        <v>6074</v>
      </c>
      <c r="C3054" s="2" t="s">
        <v>71</v>
      </c>
      <c r="D3054" s="2" t="s">
        <v>17</v>
      </c>
      <c r="E3054" s="5">
        <v>-28186</v>
      </c>
      <c r="F3054" s="3" t="s">
        <v>581</v>
      </c>
      <c r="G3054" s="3" t="s">
        <v>35</v>
      </c>
      <c r="H3054" s="2" t="s">
        <v>20</v>
      </c>
      <c r="I3054" s="2" t="s">
        <v>6099</v>
      </c>
      <c r="J3054" s="3" t="str">
        <f>HYPERLINK("https://www.boe.es/gazeta/dias/1822/10/29/pdfs/GMD-1822-316.pdf#page=2","Abrir facsímil")</f>
        <v>Abrir facsímil</v>
      </c>
      <c r="K3054" s="3" t="s">
        <v>22</v>
      </c>
    </row>
    <row r="3055" spans="1:11" ht="42" customHeight="1">
      <c r="A3055" s="2" t="s">
        <v>6074</v>
      </c>
      <c r="B3055" s="2" t="s">
        <v>6074</v>
      </c>
      <c r="C3055" s="2" t="s">
        <v>50</v>
      </c>
      <c r="D3055" s="2" t="s">
        <v>51</v>
      </c>
      <c r="E3055" s="5">
        <v>-28184</v>
      </c>
      <c r="F3055" s="3" t="s">
        <v>1423</v>
      </c>
      <c r="G3055" s="3" t="s">
        <v>31</v>
      </c>
      <c r="H3055" s="2" t="s">
        <v>20</v>
      </c>
      <c r="I3055" s="2" t="s">
        <v>6100</v>
      </c>
      <c r="J3055" s="3" t="str">
        <f>HYPERLINK("https://www.boe.es/gazeta/dias/1822/10/31/pdfs/GMD-1822-318.pdf#page=3","Abrir facsímil")</f>
        <v>Abrir facsímil</v>
      </c>
      <c r="K3055" s="3" t="s">
        <v>22</v>
      </c>
    </row>
    <row r="3056" spans="1:11" ht="42" customHeight="1">
      <c r="A3056" s="2" t="s">
        <v>6074</v>
      </c>
      <c r="B3056" s="2" t="s">
        <v>6074</v>
      </c>
      <c r="C3056" s="2" t="s">
        <v>16</v>
      </c>
      <c r="D3056" s="2" t="s">
        <v>17</v>
      </c>
      <c r="E3056" s="5">
        <v>-28184</v>
      </c>
      <c r="F3056" s="3" t="s">
        <v>1423</v>
      </c>
      <c r="G3056" s="3" t="s">
        <v>57</v>
      </c>
      <c r="H3056" s="2" t="s">
        <v>20</v>
      </c>
      <c r="I3056" s="2" t="s">
        <v>6101</v>
      </c>
      <c r="J3056" s="3" t="str">
        <f>HYPERLINK("https://www.boe.es/gazeta/dias/1822/10/31/pdfs/GMD-1822-318.pdf#page=4","Abrir facsímil")</f>
        <v>Abrir facsímil</v>
      </c>
      <c r="K3056" s="3" t="s">
        <v>22</v>
      </c>
    </row>
    <row r="3057" spans="1:11" ht="42" customHeight="1">
      <c r="A3057" s="2" t="s">
        <v>6074</v>
      </c>
      <c r="B3057" s="2" t="s">
        <v>6074</v>
      </c>
      <c r="C3057" s="2" t="s">
        <v>24</v>
      </c>
      <c r="D3057" s="2" t="s">
        <v>17</v>
      </c>
      <c r="E3057" s="5">
        <v>-28179</v>
      </c>
      <c r="F3057" s="3" t="s">
        <v>935</v>
      </c>
      <c r="G3057" s="3" t="s">
        <v>44</v>
      </c>
      <c r="H3057" s="2" t="s">
        <v>20</v>
      </c>
      <c r="I3057" s="2" t="s">
        <v>6102</v>
      </c>
      <c r="J3057" s="3" t="str">
        <f>HYPERLINK("https://www.boe.es/gazeta/dias/1822/11/05/pdfs/GMD-1822-325.pdf#page=1","Abrir facsímil")</f>
        <v>Abrir facsímil</v>
      </c>
      <c r="K3057" s="3" t="s">
        <v>22</v>
      </c>
    </row>
    <row r="3058" spans="1:11" ht="42" customHeight="1">
      <c r="A3058" s="2" t="s">
        <v>6074</v>
      </c>
      <c r="B3058" s="2" t="s">
        <v>6074</v>
      </c>
      <c r="C3058" s="2" t="s">
        <v>71</v>
      </c>
      <c r="D3058" s="2" t="s">
        <v>17</v>
      </c>
      <c r="E3058" s="5">
        <v>-28176</v>
      </c>
      <c r="F3058" s="3" t="s">
        <v>780</v>
      </c>
      <c r="G3058" s="3" t="s">
        <v>5014</v>
      </c>
      <c r="H3058" s="2" t="s">
        <v>20</v>
      </c>
      <c r="I3058" s="2" t="s">
        <v>6103</v>
      </c>
      <c r="J3058" s="3" t="str">
        <f>HYPERLINK("https://www.boe.es/gazeta/dias/1822/11/08/pdfs/GMD-1822-328.pdf#page=4","Abrir facsímil")</f>
        <v>Abrir facsímil</v>
      </c>
      <c r="K3058" s="3" t="s">
        <v>22</v>
      </c>
    </row>
    <row r="3059" spans="1:11" ht="42" customHeight="1">
      <c r="A3059" s="2" t="s">
        <v>6074</v>
      </c>
      <c r="B3059" s="2" t="s">
        <v>6074</v>
      </c>
      <c r="C3059" s="2" t="s">
        <v>16</v>
      </c>
      <c r="D3059" s="2" t="s">
        <v>17</v>
      </c>
      <c r="E3059" s="5">
        <v>-28163</v>
      </c>
      <c r="F3059" s="3" t="s">
        <v>891</v>
      </c>
      <c r="G3059" s="3" t="s">
        <v>57</v>
      </c>
      <c r="H3059" s="2" t="s">
        <v>20</v>
      </c>
      <c r="I3059" s="2" t="s">
        <v>6104</v>
      </c>
      <c r="J3059" s="3" t="str">
        <f>HYPERLINK("https://www.boe.es/gazeta/dias/1822/11/21/pdfs/GMD-1822-341.pdf#page=4","Abrir facsímil")</f>
        <v>Abrir facsímil</v>
      </c>
      <c r="K3059" s="3" t="s">
        <v>22</v>
      </c>
    </row>
    <row r="3060" spans="1:11" ht="42" customHeight="1">
      <c r="A3060" s="2" t="s">
        <v>6074</v>
      </c>
      <c r="B3060" s="2" t="s">
        <v>6074</v>
      </c>
      <c r="C3060" s="2" t="s">
        <v>71</v>
      </c>
      <c r="D3060" s="2" t="s">
        <v>17</v>
      </c>
      <c r="E3060" s="5">
        <v>-28155</v>
      </c>
      <c r="F3060" s="3" t="s">
        <v>833</v>
      </c>
      <c r="G3060" s="3" t="s">
        <v>35</v>
      </c>
      <c r="H3060" s="2" t="s">
        <v>20</v>
      </c>
      <c r="I3060" s="2" t="s">
        <v>6105</v>
      </c>
      <c r="J3060" s="3" t="str">
        <f>HYPERLINK("https://www.boe.es/gazeta/dias/1822/11/29/pdfs/GMD-1822-349.pdf#page=2","Abrir facsímil")</f>
        <v>Abrir facsímil</v>
      </c>
      <c r="K3060" s="3" t="s">
        <v>22</v>
      </c>
    </row>
    <row r="3061" spans="1:11" ht="42" customHeight="1">
      <c r="A3061" s="2" t="s">
        <v>6074</v>
      </c>
      <c r="B3061" s="2" t="s">
        <v>6074</v>
      </c>
      <c r="C3061" s="2" t="s">
        <v>50</v>
      </c>
      <c r="D3061" s="2" t="s">
        <v>51</v>
      </c>
      <c r="E3061" s="5">
        <v>-28141</v>
      </c>
      <c r="F3061" s="3" t="s">
        <v>265</v>
      </c>
      <c r="G3061" s="3" t="s">
        <v>35</v>
      </c>
      <c r="H3061" s="2" t="s">
        <v>20</v>
      </c>
      <c r="I3061" s="2" t="s">
        <v>6106</v>
      </c>
      <c r="J3061" s="3" t="str">
        <f>HYPERLINK("https://www.boe.es/gazeta/dias/1822/12/13/pdfs/GMD-1822-363.pdf#page=2","Abrir facsímil")</f>
        <v>Abrir facsímil</v>
      </c>
      <c r="K3061" s="3" t="s">
        <v>22</v>
      </c>
    </row>
    <row r="3062" spans="1:11" ht="42" customHeight="1">
      <c r="A3062" s="2" t="s">
        <v>6074</v>
      </c>
      <c r="B3062" s="2" t="s">
        <v>6074</v>
      </c>
      <c r="C3062" s="2" t="s">
        <v>28</v>
      </c>
      <c r="D3062" s="2" t="s">
        <v>29</v>
      </c>
      <c r="E3062" s="5">
        <v>-28141</v>
      </c>
      <c r="F3062" s="3" t="s">
        <v>265</v>
      </c>
      <c r="G3062" s="3" t="s">
        <v>31</v>
      </c>
      <c r="H3062" s="2" t="s">
        <v>20</v>
      </c>
      <c r="I3062" s="2" t="s">
        <v>6107</v>
      </c>
      <c r="J3062" s="3" t="str">
        <f>HYPERLINK("https://www.boe.es/gazeta/dias/1822/12/13/pdfs/GMD-1822-363.pdf#page=3","Abrir facsímil")</f>
        <v>Abrir facsímil</v>
      </c>
      <c r="K3062" s="3" t="s">
        <v>22</v>
      </c>
    </row>
    <row r="3063" spans="1:11" ht="42" customHeight="1">
      <c r="A3063" s="2" t="s">
        <v>6074</v>
      </c>
      <c r="B3063" s="2" t="s">
        <v>6074</v>
      </c>
      <c r="C3063" s="2" t="s">
        <v>28</v>
      </c>
      <c r="D3063" s="2" t="s">
        <v>29</v>
      </c>
      <c r="E3063" s="5">
        <v>-28130</v>
      </c>
      <c r="F3063" s="3" t="s">
        <v>34</v>
      </c>
      <c r="G3063" s="3" t="s">
        <v>35</v>
      </c>
      <c r="H3063" s="2" t="s">
        <v>20</v>
      </c>
      <c r="I3063" s="2" t="s">
        <v>6108</v>
      </c>
      <c r="J3063" s="3" t="str">
        <f>HYPERLINK("https://www.boe.es/gazeta/dias/1822/12/24/pdfs/GMD-1822-374.pdf#page=2","Abrir facsímil")</f>
        <v>Abrir facsímil</v>
      </c>
      <c r="K3063" s="3" t="s">
        <v>22</v>
      </c>
    </row>
    <row r="3064" spans="1:11" ht="42" customHeight="1">
      <c r="A3064" s="2" t="s">
        <v>6109</v>
      </c>
      <c r="B3064" s="2" t="s">
        <v>6110</v>
      </c>
      <c r="C3064" s="2" t="s">
        <v>28</v>
      </c>
      <c r="D3064" s="2" t="s">
        <v>29</v>
      </c>
      <c r="E3064" s="5">
        <v>-28436</v>
      </c>
      <c r="F3064" s="3" t="s">
        <v>431</v>
      </c>
      <c r="G3064" s="3" t="s">
        <v>1428</v>
      </c>
      <c r="H3064" s="2" t="s">
        <v>20</v>
      </c>
      <c r="I3064" s="2" t="s">
        <v>6111</v>
      </c>
      <c r="J3064" s="3" t="str">
        <f>HYPERLINK("https://www.boe.es/gazeta/dias/1822/02/21/pdfs/GMD-1822-53.pdf#page=3","Abrir facsímil")</f>
        <v>Abrir facsímil</v>
      </c>
      <c r="K3064" s="3" t="s">
        <v>22</v>
      </c>
    </row>
    <row r="3065" spans="1:11" ht="42" customHeight="1">
      <c r="A3065" s="2" t="s">
        <v>6112</v>
      </c>
      <c r="B3065" s="2" t="s">
        <v>6113</v>
      </c>
      <c r="C3065" s="2" t="s">
        <v>42</v>
      </c>
      <c r="D3065" s="2" t="s">
        <v>17</v>
      </c>
      <c r="E3065" s="5">
        <v>-28143</v>
      </c>
      <c r="F3065" s="3" t="s">
        <v>2967</v>
      </c>
      <c r="G3065" s="3" t="s">
        <v>57</v>
      </c>
      <c r="H3065" s="2" t="s">
        <v>20</v>
      </c>
      <c r="I3065" s="2" t="s">
        <v>6114</v>
      </c>
      <c r="J3065" s="3" t="str">
        <f>HYPERLINK("https://www.boe.es/gazeta/dias/1822/12/11/pdfs/GMD-1822-361.pdf#page=4","Abrir facsímil")</f>
        <v>Abrir facsímil</v>
      </c>
      <c r="K3065" s="3" t="s">
        <v>22</v>
      </c>
    </row>
    <row r="3066" spans="1:11" ht="42" customHeight="1">
      <c r="A3066" s="2" t="s">
        <v>6115</v>
      </c>
      <c r="B3066" s="2" t="s">
        <v>6116</v>
      </c>
      <c r="C3066" s="2" t="s">
        <v>50</v>
      </c>
      <c r="D3066" s="2" t="s">
        <v>51</v>
      </c>
      <c r="E3066" s="5">
        <v>-28427</v>
      </c>
      <c r="F3066" s="3" t="s">
        <v>755</v>
      </c>
      <c r="G3066" s="3" t="s">
        <v>31</v>
      </c>
      <c r="H3066" s="2" t="s">
        <v>20</v>
      </c>
      <c r="I3066" s="2" t="s">
        <v>6117</v>
      </c>
      <c r="J3066" s="3" t="str">
        <f>HYPERLINK("https://www.boe.es/gazeta/dias/1822/03/02/pdfs/GMD-1822-63.pdf#page=3","Abrir facsímil")</f>
        <v>Abrir facsímil</v>
      </c>
      <c r="K3066" s="3" t="s">
        <v>22</v>
      </c>
    </row>
    <row r="3067" spans="1:11" ht="42" customHeight="1">
      <c r="A3067" s="2" t="s">
        <v>6118</v>
      </c>
      <c r="B3067" s="2" t="s">
        <v>6118</v>
      </c>
      <c r="C3067" s="2" t="s">
        <v>42</v>
      </c>
      <c r="D3067" s="2" t="s">
        <v>17</v>
      </c>
      <c r="E3067" s="5">
        <v>-28130</v>
      </c>
      <c r="F3067" s="3" t="s">
        <v>34</v>
      </c>
      <c r="G3067" s="3" t="s">
        <v>31</v>
      </c>
      <c r="H3067" s="2" t="s">
        <v>20</v>
      </c>
      <c r="I3067" s="2" t="s">
        <v>6119</v>
      </c>
      <c r="J3067" s="3" t="str">
        <f>HYPERLINK("https://www.boe.es/gazeta/dias/1822/12/24/pdfs/GMD-1822-374.pdf#page=3","Abrir facsímil")</f>
        <v>Abrir facsímil</v>
      </c>
      <c r="K3067" s="3" t="s">
        <v>22</v>
      </c>
    </row>
    <row r="3068" spans="1:11" ht="42" customHeight="1">
      <c r="A3068" s="2" t="s">
        <v>6120</v>
      </c>
      <c r="B3068" s="2" t="s">
        <v>6120</v>
      </c>
      <c r="C3068" s="2" t="s">
        <v>42</v>
      </c>
      <c r="D3068" s="2" t="s">
        <v>17</v>
      </c>
      <c r="E3068" s="5">
        <v>-28319</v>
      </c>
      <c r="F3068" s="3" t="s">
        <v>271</v>
      </c>
      <c r="G3068" s="3" t="s">
        <v>57</v>
      </c>
      <c r="H3068" s="2" t="s">
        <v>20</v>
      </c>
      <c r="I3068" s="2" t="s">
        <v>6121</v>
      </c>
      <c r="J3068" s="3" t="str">
        <f>HYPERLINK("https://www.boe.es/gazeta/dias/1822/06/18/pdfs/GMD-1822-175.pdf#page=4","Abrir facsímil")</f>
        <v>Abrir facsímil</v>
      </c>
      <c r="K3068" s="3" t="s">
        <v>22</v>
      </c>
    </row>
    <row r="3069" spans="1:11" ht="42" customHeight="1">
      <c r="A3069" s="2" t="s">
        <v>6122</v>
      </c>
      <c r="B3069" s="2" t="s">
        <v>6122</v>
      </c>
      <c r="C3069" s="2" t="s">
        <v>50</v>
      </c>
      <c r="D3069" s="2" t="s">
        <v>51</v>
      </c>
      <c r="E3069" s="5">
        <v>-28433</v>
      </c>
      <c r="F3069" s="3" t="s">
        <v>3663</v>
      </c>
      <c r="G3069" s="3" t="s">
        <v>44</v>
      </c>
      <c r="H3069" s="2" t="s">
        <v>20</v>
      </c>
      <c r="I3069" s="2" t="s">
        <v>6123</v>
      </c>
      <c r="J3069" s="3" t="str">
        <f>HYPERLINK("https://www.boe.es/gazeta/dias/1822/02/24/pdfs/GMD-1822-56.pdf#page=1","Abrir facsímil")</f>
        <v>Abrir facsímil</v>
      </c>
      <c r="K3069" s="3" t="s">
        <v>22</v>
      </c>
    </row>
    <row r="3070" spans="1:11" ht="42" customHeight="1">
      <c r="A3070" s="2" t="s">
        <v>6122</v>
      </c>
      <c r="B3070" s="2" t="s">
        <v>6122</v>
      </c>
      <c r="C3070" s="2" t="s">
        <v>28</v>
      </c>
      <c r="D3070" s="2" t="s">
        <v>29</v>
      </c>
      <c r="E3070" s="5">
        <v>-28423</v>
      </c>
      <c r="F3070" s="3" t="s">
        <v>441</v>
      </c>
      <c r="G3070" s="3" t="s">
        <v>35</v>
      </c>
      <c r="H3070" s="2" t="s">
        <v>20</v>
      </c>
      <c r="I3070" s="2" t="s">
        <v>6124</v>
      </c>
      <c r="J3070" s="3" t="str">
        <f>HYPERLINK("https://www.boe.es/gazeta/dias/1822/03/06/pdfs/GMD-1822-67.pdf#page=2","Abrir facsímil")</f>
        <v>Abrir facsímil</v>
      </c>
      <c r="K3070" s="3" t="s">
        <v>22</v>
      </c>
    </row>
    <row r="3071" spans="1:11" ht="42" customHeight="1">
      <c r="A3071" s="2" t="s">
        <v>6122</v>
      </c>
      <c r="B3071" s="2" t="s">
        <v>6122</v>
      </c>
      <c r="C3071" s="2" t="s">
        <v>42</v>
      </c>
      <c r="D3071" s="2" t="s">
        <v>17</v>
      </c>
      <c r="E3071" s="5">
        <v>-28421</v>
      </c>
      <c r="F3071" s="3" t="s">
        <v>446</v>
      </c>
      <c r="G3071" s="3" t="s">
        <v>35</v>
      </c>
      <c r="H3071" s="2" t="s">
        <v>20</v>
      </c>
      <c r="I3071" s="2" t="s">
        <v>6125</v>
      </c>
      <c r="J3071" s="3" t="str">
        <f>HYPERLINK("https://www.boe.es/gazeta/dias/1822/03/08/pdfs/GMD-1822-69.pdf#page=2","Abrir facsímil")</f>
        <v>Abrir facsímil</v>
      </c>
      <c r="K3071" s="3" t="s">
        <v>22</v>
      </c>
    </row>
    <row r="3072" spans="1:11" ht="42" customHeight="1">
      <c r="A3072" s="2" t="s">
        <v>6122</v>
      </c>
      <c r="B3072" s="2" t="s">
        <v>6122</v>
      </c>
      <c r="C3072" s="2" t="s">
        <v>42</v>
      </c>
      <c r="D3072" s="2" t="s">
        <v>17</v>
      </c>
      <c r="E3072" s="5">
        <v>-28227</v>
      </c>
      <c r="F3072" s="3" t="s">
        <v>2148</v>
      </c>
      <c r="G3072" s="3" t="s">
        <v>44</v>
      </c>
      <c r="H3072" s="2" t="s">
        <v>20</v>
      </c>
      <c r="I3072" s="2" t="s">
        <v>6126</v>
      </c>
      <c r="J3072" s="3" t="str">
        <f>HYPERLINK("https://www.boe.es/gazeta/dias/1822/09/18/pdfs/GMD-1822-274.pdf#page=1","Abrir facsímil")</f>
        <v>Abrir facsímil</v>
      </c>
      <c r="K3072" s="3" t="s">
        <v>22</v>
      </c>
    </row>
    <row r="3073" spans="1:11" ht="42" customHeight="1">
      <c r="A3073" s="2" t="s">
        <v>6127</v>
      </c>
      <c r="B3073" s="2" t="s">
        <v>6127</v>
      </c>
      <c r="C3073" s="2" t="s">
        <v>50</v>
      </c>
      <c r="D3073" s="2" t="s">
        <v>51</v>
      </c>
      <c r="E3073" s="5">
        <v>-28449</v>
      </c>
      <c r="F3073" s="3" t="s">
        <v>1342</v>
      </c>
      <c r="G3073" s="3" t="s">
        <v>35</v>
      </c>
      <c r="H3073" s="2" t="s">
        <v>20</v>
      </c>
      <c r="I3073" s="2" t="s">
        <v>6128</v>
      </c>
      <c r="J3073" s="3" t="str">
        <f>HYPERLINK("https://www.boe.es/gazeta/dias/1822/02/08/pdfs/GMD-1822-39.pdf#page=2","Abrir facsímil")</f>
        <v>Abrir facsímil</v>
      </c>
      <c r="K3073" s="3" t="s">
        <v>22</v>
      </c>
    </row>
    <row r="3074" spans="1:11" ht="42" customHeight="1">
      <c r="A3074" s="2" t="s">
        <v>6127</v>
      </c>
      <c r="B3074" s="2" t="s">
        <v>6127</v>
      </c>
      <c r="C3074" s="2" t="s">
        <v>50</v>
      </c>
      <c r="D3074" s="2" t="s">
        <v>51</v>
      </c>
      <c r="E3074" s="5">
        <v>-28447</v>
      </c>
      <c r="F3074" s="3" t="s">
        <v>997</v>
      </c>
      <c r="G3074" s="3" t="s">
        <v>44</v>
      </c>
      <c r="H3074" s="2" t="s">
        <v>20</v>
      </c>
      <c r="I3074" s="2" t="s">
        <v>6129</v>
      </c>
      <c r="J3074" s="3" t="str">
        <f>HYPERLINK("https://www.boe.es/gazeta/dias/1822/02/10/pdfs/GMD-1822-41.pdf#page=1","Abrir facsímil")</f>
        <v>Abrir facsímil</v>
      </c>
      <c r="K3074" s="3" t="s">
        <v>22</v>
      </c>
    </row>
    <row r="3075" spans="1:11" ht="42" customHeight="1">
      <c r="A3075" s="2" t="s">
        <v>6127</v>
      </c>
      <c r="B3075" s="2" t="s">
        <v>6127</v>
      </c>
      <c r="C3075" s="2" t="s">
        <v>50</v>
      </c>
      <c r="D3075" s="2" t="s">
        <v>51</v>
      </c>
      <c r="E3075" s="5">
        <v>-28401</v>
      </c>
      <c r="F3075" s="3" t="s">
        <v>108</v>
      </c>
      <c r="G3075" s="3" t="s">
        <v>35</v>
      </c>
      <c r="H3075" s="2" t="s">
        <v>20</v>
      </c>
      <c r="I3075" s="2" t="s">
        <v>6130</v>
      </c>
      <c r="J3075" s="3" t="str">
        <f>HYPERLINK("https://www.boe.es/gazeta/dias/1822/03/28/pdfs/GMD-1822-89.pdf#page=2","Abrir facsímil")</f>
        <v>Abrir facsímil</v>
      </c>
      <c r="K3075" s="3" t="s">
        <v>22</v>
      </c>
    </row>
    <row r="3076" spans="1:11" ht="42" customHeight="1">
      <c r="A3076" s="2" t="s">
        <v>6127</v>
      </c>
      <c r="B3076" s="2" t="s">
        <v>6127</v>
      </c>
      <c r="C3076" s="2" t="s">
        <v>50</v>
      </c>
      <c r="D3076" s="2" t="s">
        <v>51</v>
      </c>
      <c r="E3076" s="5">
        <v>-28383</v>
      </c>
      <c r="F3076" s="3" t="s">
        <v>488</v>
      </c>
      <c r="G3076" s="3" t="s">
        <v>57</v>
      </c>
      <c r="H3076" s="2" t="s">
        <v>20</v>
      </c>
      <c r="I3076" s="2" t="s">
        <v>6131</v>
      </c>
      <c r="J3076" s="3" t="str">
        <f>HYPERLINK("https://www.boe.es/gazeta/dias/1822/04/15/pdfs/GMD-1822-107.pdf#page=4","Abrir facsímil")</f>
        <v>Abrir facsímil</v>
      </c>
      <c r="K3076" s="3" t="s">
        <v>22</v>
      </c>
    </row>
    <row r="3077" spans="1:11" ht="42" customHeight="1">
      <c r="A3077" s="2" t="s">
        <v>6127</v>
      </c>
      <c r="B3077" s="2" t="s">
        <v>6127</v>
      </c>
      <c r="C3077" s="2" t="s">
        <v>50</v>
      </c>
      <c r="D3077" s="2" t="s">
        <v>51</v>
      </c>
      <c r="E3077" s="5">
        <v>-28195</v>
      </c>
      <c r="F3077" s="3" t="s">
        <v>770</v>
      </c>
      <c r="G3077" s="3" t="s">
        <v>63</v>
      </c>
      <c r="H3077" s="2" t="s">
        <v>20</v>
      </c>
      <c r="I3077" s="2" t="s">
        <v>6132</v>
      </c>
      <c r="J3077" s="3" t="str">
        <f>HYPERLINK("https://www.boe.es/gazeta/dias/1822/10/20/pdfs/GMD-1822-307.pdf#page=6","Abrir facsímil")</f>
        <v>Abrir facsímil</v>
      </c>
      <c r="K3077" s="3" t="s">
        <v>22</v>
      </c>
    </row>
    <row r="3078" spans="1:11" ht="42" customHeight="1">
      <c r="A3078" s="2" t="s">
        <v>6133</v>
      </c>
      <c r="B3078" s="2" t="s">
        <v>6134</v>
      </c>
      <c r="C3078" s="2" t="s">
        <v>50</v>
      </c>
      <c r="D3078" s="2" t="s">
        <v>51</v>
      </c>
      <c r="E3078" s="5">
        <v>-28415</v>
      </c>
      <c r="F3078" s="3" t="s">
        <v>77</v>
      </c>
      <c r="G3078" s="3" t="s">
        <v>19</v>
      </c>
      <c r="H3078" s="2" t="s">
        <v>20</v>
      </c>
      <c r="I3078" s="2" t="s">
        <v>6135</v>
      </c>
      <c r="J3078" s="3" t="str">
        <f>HYPERLINK("https://www.boe.es/gazeta/dias/1822/03/14/pdfs/GMD-1822-75.pdf#page=5","Abrir facsímil")</f>
        <v>Abrir facsímil</v>
      </c>
      <c r="K3078" s="3" t="s">
        <v>22</v>
      </c>
    </row>
    <row r="3079" spans="1:11" ht="42" customHeight="1">
      <c r="A3079" s="2" t="s">
        <v>6136</v>
      </c>
      <c r="B3079" s="2" t="s">
        <v>6137</v>
      </c>
      <c r="C3079" s="2" t="s">
        <v>28</v>
      </c>
      <c r="D3079" s="2" t="s">
        <v>29</v>
      </c>
      <c r="E3079" s="5">
        <v>-28285</v>
      </c>
      <c r="F3079" s="3" t="s">
        <v>4539</v>
      </c>
      <c r="G3079" s="3" t="s">
        <v>57</v>
      </c>
      <c r="H3079" s="2" t="s">
        <v>20</v>
      </c>
      <c r="I3079" s="2" t="s">
        <v>6138</v>
      </c>
      <c r="J3079" s="3" t="str">
        <f>HYPERLINK("https://www.boe.es/gazeta/dias/1822/07/22/pdfs/GMD-1822-215.pdf#page=4","Abrir facsímil")</f>
        <v>Abrir facsímil</v>
      </c>
      <c r="K3079" s="3" t="s">
        <v>22</v>
      </c>
    </row>
    <row r="3080" spans="1:11" ht="42" customHeight="1">
      <c r="A3080" s="2" t="s">
        <v>6139</v>
      </c>
      <c r="B3080" s="2" t="s">
        <v>6140</v>
      </c>
      <c r="C3080" s="2" t="s">
        <v>50</v>
      </c>
      <c r="D3080" s="2" t="s">
        <v>51</v>
      </c>
      <c r="E3080" s="5">
        <v>-28485</v>
      </c>
      <c r="F3080" s="3" t="s">
        <v>1117</v>
      </c>
      <c r="G3080" s="3" t="s">
        <v>57</v>
      </c>
      <c r="H3080" s="2" t="s">
        <v>20</v>
      </c>
      <c r="I3080" s="2" t="s">
        <v>6141</v>
      </c>
      <c r="J3080" s="3" t="str">
        <f>HYPERLINK("https://www.boe.es/gazeta/dias/1822/01/03/pdfs/GMD-1822-3.pdf#page=4","Abrir facsímil")</f>
        <v>Abrir facsímil</v>
      </c>
      <c r="K3080" s="3" t="s">
        <v>22</v>
      </c>
    </row>
    <row r="3081" spans="1:11" ht="42" customHeight="1">
      <c r="A3081" s="2" t="s">
        <v>6142</v>
      </c>
      <c r="B3081" s="2" t="s">
        <v>6143</v>
      </c>
      <c r="C3081" s="2" t="s">
        <v>50</v>
      </c>
      <c r="D3081" s="2" t="s">
        <v>51</v>
      </c>
      <c r="E3081" s="5">
        <v>-28415</v>
      </c>
      <c r="F3081" s="3" t="s">
        <v>77</v>
      </c>
      <c r="G3081" s="3" t="s">
        <v>19</v>
      </c>
      <c r="H3081" s="2" t="s">
        <v>20</v>
      </c>
      <c r="I3081" s="2" t="s">
        <v>6144</v>
      </c>
      <c r="J3081" s="3" t="str">
        <f>HYPERLINK("https://www.boe.es/gazeta/dias/1822/03/14/pdfs/GMD-1822-75.pdf#page=5","Abrir facsímil")</f>
        <v>Abrir facsímil</v>
      </c>
      <c r="K3081" s="3" t="s">
        <v>22</v>
      </c>
    </row>
    <row r="3082" spans="1:11" ht="42" customHeight="1">
      <c r="A3082" s="2" t="s">
        <v>6145</v>
      </c>
      <c r="B3082" s="2" t="s">
        <v>6146</v>
      </c>
      <c r="C3082" s="2" t="s">
        <v>71</v>
      </c>
      <c r="D3082" s="2" t="s">
        <v>17</v>
      </c>
      <c r="E3082" s="5">
        <v>-28471</v>
      </c>
      <c r="F3082" s="3" t="s">
        <v>1436</v>
      </c>
      <c r="G3082" s="3" t="s">
        <v>57</v>
      </c>
      <c r="H3082" s="2" t="s">
        <v>20</v>
      </c>
      <c r="I3082" s="2" t="s">
        <v>6147</v>
      </c>
      <c r="J3082" s="3" t="str">
        <f>HYPERLINK("https://www.boe.es/gazeta/dias/1822/01/17/pdfs/GMD-1822-17.pdf#page=4","Abrir facsímil")</f>
        <v>Abrir facsímil</v>
      </c>
      <c r="K3082" s="3" t="s">
        <v>22</v>
      </c>
    </row>
    <row r="3083" spans="1:11" ht="42" customHeight="1">
      <c r="A3083" s="2" t="s">
        <v>6148</v>
      </c>
      <c r="B3083" s="2" t="s">
        <v>6149</v>
      </c>
      <c r="C3083" s="2" t="s">
        <v>50</v>
      </c>
      <c r="D3083" s="2" t="s">
        <v>51</v>
      </c>
      <c r="E3083" s="5">
        <v>-28264</v>
      </c>
      <c r="F3083" s="3" t="s">
        <v>1329</v>
      </c>
      <c r="G3083" s="3" t="s">
        <v>57</v>
      </c>
      <c r="H3083" s="2" t="s">
        <v>20</v>
      </c>
      <c r="I3083" s="2" t="s">
        <v>6150</v>
      </c>
      <c r="J3083" s="3" t="str">
        <f>HYPERLINK("https://www.boe.es/gazeta/dias/1822/08/12/pdfs/GMD-1822-236.pdf#page=4","Abrir facsímil")</f>
        <v>Abrir facsímil</v>
      </c>
      <c r="K3083" s="3" t="s">
        <v>22</v>
      </c>
    </row>
    <row r="3084" spans="1:11" ht="42" customHeight="1">
      <c r="A3084" s="2" t="s">
        <v>6151</v>
      </c>
      <c r="B3084" s="2" t="s">
        <v>6151</v>
      </c>
      <c r="C3084" s="2" t="s">
        <v>71</v>
      </c>
      <c r="D3084" s="2" t="s">
        <v>17</v>
      </c>
      <c r="E3084" s="5">
        <v>-28327</v>
      </c>
      <c r="F3084" s="3" t="s">
        <v>38</v>
      </c>
      <c r="G3084" s="3" t="s">
        <v>35</v>
      </c>
      <c r="H3084" s="2" t="s">
        <v>20</v>
      </c>
      <c r="I3084" s="2" t="s">
        <v>6152</v>
      </c>
      <c r="J3084" s="3" t="str">
        <f>HYPERLINK("https://www.boe.es/gazeta/dias/1822/06/10/pdfs/GMD-1822-167.pdf#page=2","Abrir facsímil")</f>
        <v>Abrir facsímil</v>
      </c>
      <c r="K3084" s="3" t="s">
        <v>22</v>
      </c>
    </row>
    <row r="3085" spans="1:11" ht="42" customHeight="1">
      <c r="A3085" s="2" t="s">
        <v>6153</v>
      </c>
      <c r="B3085" s="2" t="s">
        <v>6153</v>
      </c>
      <c r="C3085" s="2" t="s">
        <v>42</v>
      </c>
      <c r="D3085" s="2" t="s">
        <v>17</v>
      </c>
      <c r="E3085" s="5">
        <v>-28353</v>
      </c>
      <c r="F3085" s="3" t="s">
        <v>843</v>
      </c>
      <c r="G3085" s="3" t="s">
        <v>31</v>
      </c>
      <c r="H3085" s="2" t="s">
        <v>20</v>
      </c>
      <c r="I3085" s="2" t="s">
        <v>6154</v>
      </c>
      <c r="J3085" s="3" t="str">
        <f>HYPERLINK("https://www.boe.es/gazeta/dias/1822/05/15/pdfs/GMD-1822-137.pdf#page=3","Abrir facsímil")</f>
        <v>Abrir facsímil</v>
      </c>
      <c r="K3085" s="3" t="s">
        <v>22</v>
      </c>
    </row>
    <row r="3086" spans="1:11" ht="42" customHeight="1">
      <c r="A3086" s="2" t="s">
        <v>6155</v>
      </c>
      <c r="B3086" s="2" t="s">
        <v>6156</v>
      </c>
      <c r="C3086" s="2" t="s">
        <v>28</v>
      </c>
      <c r="D3086" s="2" t="s">
        <v>29</v>
      </c>
      <c r="E3086" s="5">
        <v>-28421</v>
      </c>
      <c r="F3086" s="3" t="s">
        <v>446</v>
      </c>
      <c r="G3086" s="3" t="s">
        <v>63</v>
      </c>
      <c r="H3086" s="2" t="s">
        <v>20</v>
      </c>
      <c r="I3086" s="2" t="s">
        <v>6157</v>
      </c>
      <c r="J3086" s="3" t="str">
        <f>HYPERLINK("https://www.boe.es/gazeta/dias/1822/03/08/pdfs/GMD-1822-69.pdf#page=6","Abrir facsímil")</f>
        <v>Abrir facsímil</v>
      </c>
      <c r="K3086" s="3" t="s">
        <v>22</v>
      </c>
    </row>
    <row r="3087" spans="1:11" ht="42" customHeight="1">
      <c r="A3087" s="2" t="s">
        <v>6158</v>
      </c>
      <c r="B3087" s="2" t="s">
        <v>6159</v>
      </c>
      <c r="C3087" s="2" t="s">
        <v>50</v>
      </c>
      <c r="D3087" s="2" t="s">
        <v>51</v>
      </c>
      <c r="E3087" s="5">
        <v>-28203</v>
      </c>
      <c r="F3087" s="3" t="s">
        <v>564</v>
      </c>
      <c r="G3087" s="3" t="s">
        <v>57</v>
      </c>
      <c r="H3087" s="2" t="s">
        <v>20</v>
      </c>
      <c r="I3087" s="2" t="s">
        <v>6160</v>
      </c>
      <c r="J3087" s="3" t="str">
        <f>HYPERLINK("https://www.boe.es/gazeta/dias/1822/10/12/pdfs/GMD-1822-299.pdf#page=4","Abrir facsímil")</f>
        <v>Abrir facsímil</v>
      </c>
      <c r="K3087" s="3" t="s">
        <v>22</v>
      </c>
    </row>
    <row r="3088" spans="1:11" ht="42" customHeight="1">
      <c r="A3088" s="2" t="s">
        <v>6161</v>
      </c>
      <c r="B3088" s="2" t="s">
        <v>6162</v>
      </c>
      <c r="C3088" s="2" t="s">
        <v>16</v>
      </c>
      <c r="D3088" s="2" t="s">
        <v>17</v>
      </c>
      <c r="E3088" s="5">
        <v>-28244</v>
      </c>
      <c r="F3088" s="3" t="s">
        <v>6163</v>
      </c>
      <c r="G3088" s="3" t="s">
        <v>57</v>
      </c>
      <c r="H3088" s="2" t="s">
        <v>20</v>
      </c>
      <c r="I3088" s="2" t="s">
        <v>6164</v>
      </c>
      <c r="J3088" s="3" t="str">
        <f>HYPERLINK("https://www.boe.es/gazeta/dias/1822/09/01/pdfs/GMD-1822-256.pdf#page=4","Abrir facsímil")</f>
        <v>Abrir facsímil</v>
      </c>
      <c r="K3088" s="3" t="s">
        <v>22</v>
      </c>
    </row>
    <row r="3089" spans="1:11" ht="42" customHeight="1">
      <c r="A3089" s="2" t="s">
        <v>6161</v>
      </c>
      <c r="B3089" s="2" t="s">
        <v>6162</v>
      </c>
      <c r="C3089" s="2" t="s">
        <v>28</v>
      </c>
      <c r="D3089" s="2" t="s">
        <v>29</v>
      </c>
      <c r="E3089" s="5">
        <v>-28208</v>
      </c>
      <c r="F3089" s="3" t="s">
        <v>230</v>
      </c>
      <c r="G3089" s="3" t="s">
        <v>31</v>
      </c>
      <c r="H3089" s="2" t="s">
        <v>20</v>
      </c>
      <c r="I3089" s="2" t="s">
        <v>6165</v>
      </c>
      <c r="J3089" s="3" t="str">
        <f>HYPERLINK("https://www.boe.es/gazeta/dias/1822/10/07/pdfs/GMD-1822-293.pdf#page=3","Abrir facsímil")</f>
        <v>Abrir facsímil</v>
      </c>
      <c r="K3089" s="3" t="s">
        <v>22</v>
      </c>
    </row>
    <row r="3090" spans="1:11" ht="42" customHeight="1">
      <c r="A3090" s="2" t="s">
        <v>6166</v>
      </c>
      <c r="B3090" s="2" t="s">
        <v>6167</v>
      </c>
      <c r="C3090" s="2" t="s">
        <v>50</v>
      </c>
      <c r="D3090" s="2" t="s">
        <v>51</v>
      </c>
      <c r="E3090" s="5">
        <v>-28208</v>
      </c>
      <c r="F3090" s="3" t="s">
        <v>230</v>
      </c>
      <c r="G3090" s="3" t="s">
        <v>57</v>
      </c>
      <c r="H3090" s="2" t="s">
        <v>20</v>
      </c>
      <c r="I3090" s="2" t="s">
        <v>6168</v>
      </c>
      <c r="J3090" s="3" t="str">
        <f>HYPERLINK("https://www.boe.es/gazeta/dias/1822/10/07/pdfs/GMD-1822-293.pdf#page=4","Abrir facsímil")</f>
        <v>Abrir facsímil</v>
      </c>
      <c r="K3090" s="3" t="s">
        <v>22</v>
      </c>
    </row>
    <row r="3091" spans="1:11" ht="42" customHeight="1">
      <c r="A3091" s="2" t="s">
        <v>6169</v>
      </c>
      <c r="B3091" s="2" t="s">
        <v>6170</v>
      </c>
      <c r="C3091" s="2" t="s">
        <v>50</v>
      </c>
      <c r="D3091" s="2" t="s">
        <v>51</v>
      </c>
      <c r="E3091" s="5">
        <v>-28279</v>
      </c>
      <c r="F3091" s="3" t="s">
        <v>662</v>
      </c>
      <c r="G3091" s="3" t="s">
        <v>44</v>
      </c>
      <c r="H3091" s="2" t="s">
        <v>20</v>
      </c>
      <c r="I3091" s="2" t="s">
        <v>6171</v>
      </c>
      <c r="J3091" s="3" t="str">
        <f>HYPERLINK("https://www.boe.es/gazeta/dias/1822/07/28/pdfs/GMD-1822-221.pdf#page=1","Abrir facsímil")</f>
        <v>Abrir facsímil</v>
      </c>
      <c r="K3091" s="3" t="s">
        <v>22</v>
      </c>
    </row>
    <row r="3092" spans="1:11" ht="42" customHeight="1">
      <c r="A3092" s="2" t="s">
        <v>6172</v>
      </c>
      <c r="B3092" s="2" t="s">
        <v>6172</v>
      </c>
      <c r="C3092" s="2" t="s">
        <v>28</v>
      </c>
      <c r="D3092" s="2" t="s">
        <v>29</v>
      </c>
      <c r="E3092" s="5">
        <v>-28484</v>
      </c>
      <c r="F3092" s="3" t="s">
        <v>743</v>
      </c>
      <c r="G3092" s="3" t="s">
        <v>57</v>
      </c>
      <c r="H3092" s="2" t="s">
        <v>20</v>
      </c>
      <c r="I3092" s="2" t="s">
        <v>6173</v>
      </c>
      <c r="J3092" s="3" t="str">
        <f>HYPERLINK("https://www.boe.es/gazeta/dias/1822/01/04/pdfs/GMD-1822-4.pdf#page=4","Abrir facsímil")</f>
        <v>Abrir facsímil</v>
      </c>
      <c r="K3092" s="3" t="s">
        <v>22</v>
      </c>
    </row>
    <row r="3093" spans="1:11" ht="42" customHeight="1">
      <c r="A3093" s="2" t="s">
        <v>6174</v>
      </c>
      <c r="B3093" s="2" t="s">
        <v>6174</v>
      </c>
      <c r="C3093" s="2" t="s">
        <v>28</v>
      </c>
      <c r="D3093" s="2" t="s">
        <v>29</v>
      </c>
      <c r="E3093" s="5">
        <v>-28416</v>
      </c>
      <c r="F3093" s="3" t="s">
        <v>97</v>
      </c>
      <c r="G3093" s="3" t="s">
        <v>31</v>
      </c>
      <c r="H3093" s="2" t="s">
        <v>20</v>
      </c>
      <c r="I3093" s="2" t="s">
        <v>6175</v>
      </c>
      <c r="J3093" s="3" t="str">
        <f>HYPERLINK("https://www.boe.es/gazeta/dias/1822/03/13/pdfs/GMD-1822-74.pdf#page=3","Abrir facsímil")</f>
        <v>Abrir facsímil</v>
      </c>
      <c r="K3093" s="3" t="s">
        <v>22</v>
      </c>
    </row>
    <row r="3094" spans="1:11" ht="42" customHeight="1">
      <c r="A3094" s="2" t="s">
        <v>6176</v>
      </c>
      <c r="B3094" s="2" t="s">
        <v>6176</v>
      </c>
      <c r="C3094" s="2" t="s">
        <v>28</v>
      </c>
      <c r="D3094" s="2" t="s">
        <v>29</v>
      </c>
      <c r="E3094" s="5">
        <v>-28416</v>
      </c>
      <c r="F3094" s="3" t="s">
        <v>97</v>
      </c>
      <c r="G3094" s="3" t="s">
        <v>57</v>
      </c>
      <c r="H3094" s="2" t="s">
        <v>20</v>
      </c>
      <c r="I3094" s="2" t="s">
        <v>6177</v>
      </c>
      <c r="J3094" s="3" t="str">
        <f>HYPERLINK("https://www.boe.es/gazeta/dias/1822/03/13/pdfs/GMD-1822-74.pdf#page=4","Abrir facsímil")</f>
        <v>Abrir facsímil</v>
      </c>
      <c r="K3094" s="3" t="s">
        <v>22</v>
      </c>
    </row>
    <row r="3095" spans="1:11" ht="42" customHeight="1">
      <c r="A3095" s="2" t="s">
        <v>6178</v>
      </c>
      <c r="B3095" s="2" t="s">
        <v>6179</v>
      </c>
      <c r="C3095" s="2" t="s">
        <v>28</v>
      </c>
      <c r="D3095" s="2" t="s">
        <v>29</v>
      </c>
      <c r="E3095" s="5">
        <v>-28416</v>
      </c>
      <c r="F3095" s="3" t="s">
        <v>97</v>
      </c>
      <c r="G3095" s="3" t="s">
        <v>31</v>
      </c>
      <c r="H3095" s="2" t="s">
        <v>20</v>
      </c>
      <c r="I3095" s="2" t="s">
        <v>6180</v>
      </c>
      <c r="J3095" s="3" t="str">
        <f>HYPERLINK("https://www.boe.es/gazeta/dias/1822/03/13/pdfs/GMD-1822-74.pdf#page=3","Abrir facsímil")</f>
        <v>Abrir facsímil</v>
      </c>
      <c r="K3095" s="3" t="s">
        <v>22</v>
      </c>
    </row>
    <row r="3096" spans="1:11" ht="42" customHeight="1">
      <c r="A3096" s="2" t="s">
        <v>6181</v>
      </c>
      <c r="B3096" s="2" t="s">
        <v>6181</v>
      </c>
      <c r="C3096" s="2" t="s">
        <v>71</v>
      </c>
      <c r="D3096" s="2" t="s">
        <v>17</v>
      </c>
      <c r="E3096" s="5">
        <v>-28288</v>
      </c>
      <c r="F3096" s="3" t="s">
        <v>970</v>
      </c>
      <c r="G3096" s="3" t="s">
        <v>57</v>
      </c>
      <c r="H3096" s="2" t="s">
        <v>20</v>
      </c>
      <c r="I3096" s="2" t="s">
        <v>6182</v>
      </c>
      <c r="J3096" s="3" t="str">
        <f>HYPERLINK("https://www.boe.es/gazeta/dias/1822/07/19/pdfs/GMD-1822-211.pdf#page=4","Abrir facsímil")</f>
        <v>Abrir facsímil</v>
      </c>
      <c r="K3096" s="3" t="s">
        <v>22</v>
      </c>
    </row>
    <row r="3097" spans="1:11" ht="42" customHeight="1">
      <c r="A3097" s="2" t="s">
        <v>6181</v>
      </c>
      <c r="B3097" s="2" t="s">
        <v>6181</v>
      </c>
      <c r="C3097" s="2" t="s">
        <v>50</v>
      </c>
      <c r="D3097" s="2" t="s">
        <v>51</v>
      </c>
      <c r="E3097" s="5">
        <v>-28217</v>
      </c>
      <c r="F3097" s="3" t="s">
        <v>1892</v>
      </c>
      <c r="G3097" s="3" t="s">
        <v>44</v>
      </c>
      <c r="H3097" s="2" t="s">
        <v>20</v>
      </c>
      <c r="I3097" s="2" t="s">
        <v>6183</v>
      </c>
      <c r="J3097" s="3" t="str">
        <f>HYPERLINK("https://www.boe.es/gazeta/dias/1822/09/28/pdfs/GMD-1822-284.pdf#page=1","Abrir facsímil")</f>
        <v>Abrir facsímil</v>
      </c>
      <c r="K3097" s="3" t="s">
        <v>22</v>
      </c>
    </row>
    <row r="3098" spans="1:11" ht="42" customHeight="1">
      <c r="A3098" s="2" t="s">
        <v>6181</v>
      </c>
      <c r="B3098" s="2" t="s">
        <v>6181</v>
      </c>
      <c r="C3098" s="2" t="s">
        <v>42</v>
      </c>
      <c r="D3098" s="2" t="s">
        <v>17</v>
      </c>
      <c r="E3098" s="5">
        <v>-28151</v>
      </c>
      <c r="F3098" s="3" t="s">
        <v>985</v>
      </c>
      <c r="G3098" s="3" t="s">
        <v>31</v>
      </c>
      <c r="H3098" s="2" t="s">
        <v>20</v>
      </c>
      <c r="I3098" s="2" t="s">
        <v>6184</v>
      </c>
      <c r="J3098" s="3" t="str">
        <f>HYPERLINK("https://www.boe.es/gazeta/dias/1822/12/03/pdfs/GMD-1822-353.pdf#page=3","Abrir facsímil")</f>
        <v>Abrir facsímil</v>
      </c>
      <c r="K3098" s="3" t="s">
        <v>22</v>
      </c>
    </row>
    <row r="3099" spans="1:11" ht="42" customHeight="1">
      <c r="A3099" s="2" t="s">
        <v>6181</v>
      </c>
      <c r="B3099" s="2" t="s">
        <v>6181</v>
      </c>
      <c r="C3099" s="2" t="s">
        <v>50</v>
      </c>
      <c r="D3099" s="2" t="s">
        <v>51</v>
      </c>
      <c r="E3099" s="5">
        <v>-28145</v>
      </c>
      <c r="F3099" s="3" t="s">
        <v>1350</v>
      </c>
      <c r="G3099" s="3" t="s">
        <v>6049</v>
      </c>
      <c r="H3099" s="2" t="s">
        <v>20</v>
      </c>
      <c r="I3099" s="2" t="s">
        <v>6185</v>
      </c>
      <c r="J3099" s="3" t="str">
        <f>HYPERLINK("https://www.boe.es/gazeta/dias/1822/12/09/pdfs/GMD-1822-359.pdf#page=5","Abrir facsímil")</f>
        <v>Abrir facsímil</v>
      </c>
      <c r="K3099" s="3" t="s">
        <v>22</v>
      </c>
    </row>
    <row r="3100" spans="1:11" ht="42" customHeight="1">
      <c r="A3100" s="2" t="s">
        <v>6186</v>
      </c>
      <c r="B3100" s="2" t="s">
        <v>6187</v>
      </c>
      <c r="C3100" s="2" t="s">
        <v>50</v>
      </c>
      <c r="D3100" s="2" t="s">
        <v>51</v>
      </c>
      <c r="E3100" s="5">
        <v>-28303</v>
      </c>
      <c r="F3100" s="3" t="s">
        <v>201</v>
      </c>
      <c r="G3100" s="3" t="s">
        <v>31</v>
      </c>
      <c r="H3100" s="2" t="s">
        <v>20</v>
      </c>
      <c r="I3100" s="2" t="s">
        <v>6188</v>
      </c>
      <c r="J3100" s="3" t="str">
        <f>HYPERLINK("https://www.boe.es/gazeta/dias/1822/07/04/pdfs/GMD-1822-193.pdf#page=3","Abrir facsímil")</f>
        <v>Abrir facsímil</v>
      </c>
      <c r="K3100" s="3" t="s">
        <v>22</v>
      </c>
    </row>
    <row r="3101" spans="1:11" ht="42" customHeight="1">
      <c r="A3101" s="2" t="s">
        <v>6189</v>
      </c>
      <c r="B3101" s="2" t="s">
        <v>6190</v>
      </c>
      <c r="C3101" s="2" t="s">
        <v>24</v>
      </c>
      <c r="D3101" s="2" t="s">
        <v>17</v>
      </c>
      <c r="E3101" s="5">
        <v>-28450</v>
      </c>
      <c r="F3101" s="3" t="s">
        <v>1450</v>
      </c>
      <c r="G3101" s="3" t="s">
        <v>2247</v>
      </c>
      <c r="H3101" s="2" t="s">
        <v>20</v>
      </c>
      <c r="I3101" s="2" t="s">
        <v>6191</v>
      </c>
      <c r="J3101" s="3" t="str">
        <f>HYPERLINK("https://www.boe.es/gazeta/dias/1822/02/07/pdfs/GMD-1822-38.pdf#page=6","Abrir facsímil")</f>
        <v>Abrir facsímil</v>
      </c>
      <c r="K3101" s="3" t="s">
        <v>22</v>
      </c>
    </row>
    <row r="3102" spans="1:11" ht="42" customHeight="1">
      <c r="A3102" s="2" t="s">
        <v>6192</v>
      </c>
      <c r="B3102" s="2" t="s">
        <v>6192</v>
      </c>
      <c r="C3102" s="2" t="s">
        <v>50</v>
      </c>
      <c r="D3102" s="2" t="s">
        <v>51</v>
      </c>
      <c r="E3102" s="5">
        <v>-28286</v>
      </c>
      <c r="F3102" s="3" t="s">
        <v>1853</v>
      </c>
      <c r="G3102" s="3" t="s">
        <v>31</v>
      </c>
      <c r="H3102" s="2" t="s">
        <v>20</v>
      </c>
      <c r="I3102" s="2" t="s">
        <v>6193</v>
      </c>
      <c r="J3102" s="3" t="str">
        <f>HYPERLINK("https://www.boe.es/gazeta/dias/1822/07/21/pdfs/GMD-1822-213.pdf#page=3","Abrir facsímil")</f>
        <v>Abrir facsímil</v>
      </c>
      <c r="K3102" s="3" t="s">
        <v>22</v>
      </c>
    </row>
    <row r="3103" spans="1:11" ht="42" customHeight="1">
      <c r="A3103" s="2" t="s">
        <v>6194</v>
      </c>
      <c r="B3103" s="2" t="s">
        <v>6195</v>
      </c>
      <c r="C3103" s="2" t="s">
        <v>16</v>
      </c>
      <c r="D3103" s="2" t="s">
        <v>17</v>
      </c>
      <c r="E3103" s="5">
        <v>-28468</v>
      </c>
      <c r="F3103" s="3" t="s">
        <v>1012</v>
      </c>
      <c r="G3103" s="3" t="s">
        <v>63</v>
      </c>
      <c r="H3103" s="2" t="s">
        <v>20</v>
      </c>
      <c r="I3103" s="2" t="s">
        <v>6196</v>
      </c>
      <c r="J3103" s="3" t="str">
        <f>HYPERLINK("https://www.boe.es/gazeta/dias/1822/01/20/pdfs/GMD-1822-20.pdf#page=6","Abrir facsímil")</f>
        <v>Abrir facsímil</v>
      </c>
      <c r="K3103" s="3" t="s">
        <v>22</v>
      </c>
    </row>
    <row r="3104" spans="1:11" ht="42" customHeight="1">
      <c r="A3104" s="2" t="s">
        <v>6197</v>
      </c>
      <c r="B3104" s="2" t="s">
        <v>6198</v>
      </c>
      <c r="C3104" s="2" t="s">
        <v>50</v>
      </c>
      <c r="D3104" s="2" t="s">
        <v>51</v>
      </c>
      <c r="E3104" s="5">
        <v>-28302</v>
      </c>
      <c r="F3104" s="3" t="s">
        <v>791</v>
      </c>
      <c r="G3104" s="3" t="s">
        <v>31</v>
      </c>
      <c r="H3104" s="2" t="s">
        <v>20</v>
      </c>
      <c r="I3104" s="2" t="s">
        <v>6199</v>
      </c>
      <c r="J3104" s="3" t="str">
        <f>HYPERLINK("https://www.boe.es/gazeta/dias/1822/07/05/pdfs/GMD-1822-194.pdf#page=3","Abrir facsímil")</f>
        <v>Abrir facsímil</v>
      </c>
      <c r="K3104" s="3" t="s">
        <v>22</v>
      </c>
    </row>
    <row r="3105" spans="1:11" ht="42" customHeight="1">
      <c r="A3105" s="2" t="s">
        <v>6200</v>
      </c>
      <c r="B3105" s="2" t="s">
        <v>6201</v>
      </c>
      <c r="C3105" s="2" t="s">
        <v>28</v>
      </c>
      <c r="D3105" s="2" t="s">
        <v>29</v>
      </c>
      <c r="E3105" s="5">
        <v>-28431</v>
      </c>
      <c r="F3105" s="3" t="s">
        <v>1258</v>
      </c>
      <c r="G3105" s="3" t="s">
        <v>31</v>
      </c>
      <c r="H3105" s="2" t="s">
        <v>20</v>
      </c>
      <c r="I3105" s="2" t="s">
        <v>6202</v>
      </c>
      <c r="J3105" s="3" t="str">
        <f>HYPERLINK("https://www.boe.es/gazeta/dias/1822/02/26/pdfs/GMD-1822-58.pdf#page=3","Abrir facsímil")</f>
        <v>Abrir facsímil</v>
      </c>
      <c r="K3105" s="3" t="s">
        <v>22</v>
      </c>
    </row>
    <row r="3106" spans="1:11" ht="42" customHeight="1">
      <c r="A3106" s="2" t="s">
        <v>6203</v>
      </c>
      <c r="B3106" s="2" t="s">
        <v>6204</v>
      </c>
      <c r="C3106" s="2" t="s">
        <v>28</v>
      </c>
      <c r="D3106" s="2" t="s">
        <v>29</v>
      </c>
      <c r="E3106" s="5">
        <v>-28417</v>
      </c>
      <c r="F3106" s="3" t="s">
        <v>1394</v>
      </c>
      <c r="G3106" s="3" t="s">
        <v>35</v>
      </c>
      <c r="H3106" s="2" t="s">
        <v>20</v>
      </c>
      <c r="I3106" s="2" t="s">
        <v>6205</v>
      </c>
      <c r="J3106" s="3" t="str">
        <f>HYPERLINK("https://www.boe.es/gazeta/dias/1822/03/12/pdfs/GMD-1822-73.pdf#page=2","Abrir facsímil")</f>
        <v>Abrir facsímil</v>
      </c>
      <c r="K3106" s="3" t="s">
        <v>22</v>
      </c>
    </row>
    <row r="3107" spans="1:11" ht="42" customHeight="1">
      <c r="A3107" s="2" t="s">
        <v>6206</v>
      </c>
      <c r="B3107" s="2" t="s">
        <v>6207</v>
      </c>
      <c r="C3107" s="2" t="s">
        <v>42</v>
      </c>
      <c r="D3107" s="2" t="s">
        <v>17</v>
      </c>
      <c r="E3107" s="5">
        <v>-28231</v>
      </c>
      <c r="F3107" s="3" t="s">
        <v>2049</v>
      </c>
      <c r="G3107" s="3" t="s">
        <v>57</v>
      </c>
      <c r="H3107" s="2" t="s">
        <v>20</v>
      </c>
      <c r="I3107" s="2" t="s">
        <v>6208</v>
      </c>
      <c r="J3107" s="3" t="str">
        <f>HYPERLINK("https://www.boe.es/gazeta/dias/1822/09/14/pdfs/GMD-1822-270.pdf#page=4","Abrir facsímil")</f>
        <v>Abrir facsímil</v>
      </c>
      <c r="K3107" s="3" t="s">
        <v>22</v>
      </c>
    </row>
    <row r="3108" spans="1:11" ht="42" customHeight="1">
      <c r="A3108" s="2" t="s">
        <v>6209</v>
      </c>
      <c r="B3108" s="2" t="s">
        <v>6209</v>
      </c>
      <c r="C3108" s="2" t="s">
        <v>50</v>
      </c>
      <c r="D3108" s="2" t="s">
        <v>51</v>
      </c>
      <c r="E3108" s="5">
        <v>-28228</v>
      </c>
      <c r="F3108" s="3" t="s">
        <v>718</v>
      </c>
      <c r="G3108" s="3" t="s">
        <v>57</v>
      </c>
      <c r="H3108" s="2" t="s">
        <v>20</v>
      </c>
      <c r="I3108" s="2" t="s">
        <v>6210</v>
      </c>
      <c r="J3108" s="3" t="str">
        <f>HYPERLINK("https://www.boe.es/gazeta/dias/1822/09/17/pdfs/GMD-1822-273.pdf#page=4","Abrir facsímil")</f>
        <v>Abrir facsímil</v>
      </c>
      <c r="K3108" s="3" t="s">
        <v>22</v>
      </c>
    </row>
    <row r="3109" spans="1:11" ht="42" customHeight="1">
      <c r="A3109" s="2" t="s">
        <v>6209</v>
      </c>
      <c r="B3109" s="2" t="s">
        <v>6209</v>
      </c>
      <c r="C3109" s="2" t="s">
        <v>71</v>
      </c>
      <c r="D3109" s="2" t="s">
        <v>17</v>
      </c>
      <c r="E3109" s="5">
        <v>-28167</v>
      </c>
      <c r="F3109" s="3" t="s">
        <v>904</v>
      </c>
      <c r="G3109" s="3" t="s">
        <v>44</v>
      </c>
      <c r="H3109" s="2" t="s">
        <v>20</v>
      </c>
      <c r="I3109" s="2" t="s">
        <v>6211</v>
      </c>
      <c r="J3109" s="3" t="str">
        <f>HYPERLINK("https://www.boe.es/gazeta/dias/1822/11/17/pdfs/GMD-1822-337.pdf#page=1","Abrir facsímil")</f>
        <v>Abrir facsímil</v>
      </c>
      <c r="K3109" s="3" t="s">
        <v>22</v>
      </c>
    </row>
    <row r="3110" spans="1:11" ht="42" customHeight="1">
      <c r="A3110" s="2" t="s">
        <v>6212</v>
      </c>
      <c r="B3110" s="2" t="s">
        <v>6213</v>
      </c>
      <c r="C3110" s="2" t="s">
        <v>28</v>
      </c>
      <c r="D3110" s="2" t="s">
        <v>29</v>
      </c>
      <c r="E3110" s="5">
        <v>-28287</v>
      </c>
      <c r="F3110" s="3" t="s">
        <v>1295</v>
      </c>
      <c r="G3110" s="3" t="s">
        <v>19</v>
      </c>
      <c r="H3110" s="2" t="s">
        <v>45</v>
      </c>
      <c r="I3110" s="2" t="s">
        <v>6214</v>
      </c>
      <c r="J3110" s="3" t="str">
        <f>HYPERLINK("https://www.boe.es/gazeta/dias/1822/07/20/pdfs/GMD-1822-212.pdf#page=5","Abrir facsímil")</f>
        <v>Abrir facsímil</v>
      </c>
      <c r="K3110" s="3" t="s">
        <v>47</v>
      </c>
    </row>
    <row r="3111" spans="1:11" ht="42" customHeight="1">
      <c r="A3111" s="2" t="s">
        <v>6215</v>
      </c>
      <c r="B3111" s="2" t="s">
        <v>6216</v>
      </c>
      <c r="C3111" s="2" t="s">
        <v>24</v>
      </c>
      <c r="D3111" s="2" t="s">
        <v>17</v>
      </c>
      <c r="E3111" s="5">
        <v>-28346</v>
      </c>
      <c r="F3111" s="3" t="s">
        <v>191</v>
      </c>
      <c r="G3111" s="3" t="s">
        <v>63</v>
      </c>
      <c r="H3111" s="2" t="s">
        <v>20</v>
      </c>
      <c r="I3111" s="2" t="s">
        <v>6217</v>
      </c>
      <c r="J3111" s="3" t="str">
        <f>HYPERLINK("https://www.boe.es/gazeta/dias/1822/05/22/pdfs/GMD-1822-145.pdf#page=6","Abrir facsímil")</f>
        <v>Abrir facsímil</v>
      </c>
      <c r="K3111" s="3" t="s">
        <v>22</v>
      </c>
    </row>
    <row r="3112" spans="1:11" ht="42" customHeight="1">
      <c r="A3112" s="2" t="s">
        <v>6218</v>
      </c>
      <c r="B3112" s="2" t="s">
        <v>6219</v>
      </c>
      <c r="C3112" s="2" t="s">
        <v>42</v>
      </c>
      <c r="D3112" s="2" t="s">
        <v>17</v>
      </c>
      <c r="E3112" s="5">
        <v>-28303</v>
      </c>
      <c r="F3112" s="3" t="s">
        <v>201</v>
      </c>
      <c r="G3112" s="3" t="s">
        <v>57</v>
      </c>
      <c r="H3112" s="2" t="s">
        <v>20</v>
      </c>
      <c r="I3112" s="2" t="s">
        <v>6220</v>
      </c>
      <c r="J3112" s="3" t="str">
        <f>HYPERLINK("https://www.boe.es/gazeta/dias/1822/07/04/pdfs/GMD-1822-193.pdf#page=4","Abrir facsímil")</f>
        <v>Abrir facsímil</v>
      </c>
      <c r="K3112" s="3" t="s">
        <v>22</v>
      </c>
    </row>
    <row r="3113" spans="1:11" ht="42" customHeight="1">
      <c r="A3113" s="2" t="s">
        <v>6221</v>
      </c>
      <c r="B3113" s="2" t="s">
        <v>6222</v>
      </c>
      <c r="C3113" s="2" t="s">
        <v>50</v>
      </c>
      <c r="D3113" s="2" t="s">
        <v>51</v>
      </c>
      <c r="E3113" s="5">
        <v>-28126</v>
      </c>
      <c r="F3113" s="3" t="s">
        <v>952</v>
      </c>
      <c r="G3113" s="3" t="s">
        <v>57</v>
      </c>
      <c r="H3113" s="2" t="s">
        <v>20</v>
      </c>
      <c r="I3113" s="2" t="s">
        <v>6223</v>
      </c>
      <c r="J3113" s="3" t="str">
        <f>HYPERLINK("https://www.boe.es/gazeta/dias/1822/12/28/pdfs/GMD-1822-378.pdf#page=4","Abrir facsímil")</f>
        <v>Abrir facsímil</v>
      </c>
      <c r="K3113" s="3" t="s">
        <v>22</v>
      </c>
    </row>
    <row r="3114" spans="1:11" ht="42" customHeight="1">
      <c r="A3114" s="2" t="s">
        <v>6224</v>
      </c>
      <c r="B3114" s="2" t="s">
        <v>6224</v>
      </c>
      <c r="C3114" s="2" t="s">
        <v>28</v>
      </c>
      <c r="D3114" s="2" t="s">
        <v>29</v>
      </c>
      <c r="E3114" s="5">
        <v>-28342</v>
      </c>
      <c r="F3114" s="3" t="s">
        <v>2281</v>
      </c>
      <c r="G3114" s="3" t="s">
        <v>44</v>
      </c>
      <c r="H3114" s="2" t="s">
        <v>20</v>
      </c>
      <c r="I3114" s="2" t="s">
        <v>6225</v>
      </c>
      <c r="J3114" s="3" t="str">
        <f>HYPERLINK("https://www.boe.es/gazeta/dias/1822/05/26/pdfs/GMD-1822-151.pdf#page=1","Abrir facsímil")</f>
        <v>Abrir facsímil</v>
      </c>
      <c r="K3114" s="3" t="s">
        <v>22</v>
      </c>
    </row>
    <row r="3115" spans="1:11" ht="42" customHeight="1">
      <c r="A3115" s="2" t="s">
        <v>6226</v>
      </c>
      <c r="B3115" s="2" t="s">
        <v>6226</v>
      </c>
      <c r="C3115" s="2" t="s">
        <v>71</v>
      </c>
      <c r="D3115" s="2" t="s">
        <v>17</v>
      </c>
      <c r="E3115" s="5">
        <v>-28396</v>
      </c>
      <c r="F3115" s="3" t="s">
        <v>1138</v>
      </c>
      <c r="G3115" s="3" t="s">
        <v>35</v>
      </c>
      <c r="H3115" s="2" t="s">
        <v>20</v>
      </c>
      <c r="I3115" s="2" t="s">
        <v>6227</v>
      </c>
      <c r="J3115" s="3" t="str">
        <f>HYPERLINK("https://www.boe.es/gazeta/dias/1822/04/02/pdfs/GMD-1822-94.pdf#page=2","Abrir facsímil")</f>
        <v>Abrir facsímil</v>
      </c>
      <c r="K3115" s="3" t="s">
        <v>22</v>
      </c>
    </row>
    <row r="3116" spans="1:11" ht="42" customHeight="1">
      <c r="A3116" s="2" t="s">
        <v>6228</v>
      </c>
      <c r="B3116" s="2" t="s">
        <v>6229</v>
      </c>
      <c r="C3116" s="2" t="s">
        <v>50</v>
      </c>
      <c r="D3116" s="2" t="s">
        <v>51</v>
      </c>
      <c r="E3116" s="5">
        <v>-28354</v>
      </c>
      <c r="F3116" s="3" t="s">
        <v>226</v>
      </c>
      <c r="G3116" s="3" t="s">
        <v>44</v>
      </c>
      <c r="H3116" s="2" t="s">
        <v>20</v>
      </c>
      <c r="I3116" s="2" t="s">
        <v>6230</v>
      </c>
      <c r="J3116" s="3" t="str">
        <f>HYPERLINK("https://www.boe.es/gazeta/dias/1822/05/14/pdfs/GMD-1822-136.pdf#page=1","Abrir facsímil")</f>
        <v>Abrir facsímil</v>
      </c>
      <c r="K3116" s="3" t="s">
        <v>22</v>
      </c>
    </row>
    <row r="3117" spans="1:11" ht="42" customHeight="1">
      <c r="A3117" s="2" t="s">
        <v>6231</v>
      </c>
      <c r="B3117" s="2" t="s">
        <v>6232</v>
      </c>
      <c r="C3117" s="2" t="s">
        <v>71</v>
      </c>
      <c r="D3117" s="2" t="s">
        <v>17</v>
      </c>
      <c r="E3117" s="5">
        <v>-28427</v>
      </c>
      <c r="F3117" s="3" t="s">
        <v>755</v>
      </c>
      <c r="G3117" s="3" t="s">
        <v>57</v>
      </c>
      <c r="H3117" s="2" t="s">
        <v>20</v>
      </c>
      <c r="I3117" s="2" t="s">
        <v>6233</v>
      </c>
      <c r="J3117" s="3" t="str">
        <f>HYPERLINK("https://www.boe.es/gazeta/dias/1822/03/02/pdfs/GMD-1822-63.pdf#page=4","Abrir facsímil")</f>
        <v>Abrir facsímil</v>
      </c>
      <c r="K3117" s="3" t="s">
        <v>22</v>
      </c>
    </row>
    <row r="3118" spans="1:11" ht="42" customHeight="1">
      <c r="A3118" s="2" t="s">
        <v>6234</v>
      </c>
      <c r="B3118" s="2" t="s">
        <v>6235</v>
      </c>
      <c r="C3118" s="2" t="s">
        <v>61</v>
      </c>
      <c r="D3118" s="2" t="s">
        <v>17</v>
      </c>
      <c r="E3118" s="5">
        <v>-28455</v>
      </c>
      <c r="F3118" s="3" t="s">
        <v>1107</v>
      </c>
      <c r="G3118" s="3" t="s">
        <v>63</v>
      </c>
      <c r="H3118" s="2" t="s">
        <v>20</v>
      </c>
      <c r="I3118" s="2" t="s">
        <v>6236</v>
      </c>
      <c r="J3118" s="3" t="str">
        <f>HYPERLINK("https://www.boe.es/gazeta/dias/1822/02/02/pdfs/GMD-1822-33.pdf#page=6","Abrir facsímil")</f>
        <v>Abrir facsímil</v>
      </c>
      <c r="K3118" s="3" t="s">
        <v>22</v>
      </c>
    </row>
    <row r="3119" spans="1:11" ht="42" customHeight="1">
      <c r="A3119" s="2" t="s">
        <v>6237</v>
      </c>
      <c r="B3119" s="2" t="s">
        <v>6238</v>
      </c>
      <c r="C3119" s="2" t="s">
        <v>50</v>
      </c>
      <c r="D3119" s="2" t="s">
        <v>51</v>
      </c>
      <c r="E3119" s="5">
        <v>-28213</v>
      </c>
      <c r="F3119" s="3" t="s">
        <v>558</v>
      </c>
      <c r="G3119" s="3" t="s">
        <v>44</v>
      </c>
      <c r="H3119" s="2" t="s">
        <v>20</v>
      </c>
      <c r="I3119" s="2" t="s">
        <v>6239</v>
      </c>
      <c r="J3119" s="3" t="str">
        <f>HYPERLINK("https://www.boe.es/gazeta/dias/1822/10/02/pdfs/GMD-1822-288.pdf#page=1","Abrir facsímil")</f>
        <v>Abrir facsímil</v>
      </c>
      <c r="K3119" s="3" t="s">
        <v>22</v>
      </c>
    </row>
    <row r="3120" spans="1:11" ht="42" customHeight="1">
      <c r="A3120" s="2" t="s">
        <v>6240</v>
      </c>
      <c r="B3120" s="2" t="s">
        <v>6241</v>
      </c>
      <c r="C3120" s="2" t="s">
        <v>50</v>
      </c>
      <c r="D3120" s="2" t="s">
        <v>51</v>
      </c>
      <c r="E3120" s="5">
        <v>-28224</v>
      </c>
      <c r="F3120" s="3" t="s">
        <v>1902</v>
      </c>
      <c r="G3120" s="3" t="s">
        <v>44</v>
      </c>
      <c r="H3120" s="2" t="s">
        <v>20</v>
      </c>
      <c r="I3120" s="2" t="s">
        <v>6242</v>
      </c>
      <c r="J3120" s="3" t="str">
        <f>HYPERLINK("https://www.boe.es/gazeta/dias/1822/09/21/pdfs/GMD-1822-277.pdf#page=1","Abrir facsímil")</f>
        <v>Abrir facsímil</v>
      </c>
      <c r="K3120" s="3" t="s">
        <v>22</v>
      </c>
    </row>
    <row r="3121" spans="1:11" ht="42" customHeight="1">
      <c r="A3121" s="2" t="s">
        <v>6243</v>
      </c>
      <c r="B3121" s="2" t="s">
        <v>6244</v>
      </c>
      <c r="C3121" s="2" t="s">
        <v>71</v>
      </c>
      <c r="D3121" s="2" t="s">
        <v>17</v>
      </c>
      <c r="E3121" s="5">
        <v>-28408</v>
      </c>
      <c r="F3121" s="3" t="s">
        <v>2561</v>
      </c>
      <c r="G3121" s="3" t="s">
        <v>63</v>
      </c>
      <c r="H3121" s="2" t="s">
        <v>20</v>
      </c>
      <c r="I3121" s="2" t="s">
        <v>6245</v>
      </c>
      <c r="J3121" s="3" t="str">
        <f>HYPERLINK("https://www.boe.es/gazeta/dias/1822/03/21/pdfs/GMD-1822-82.pdf#page=6","Abrir facsímil")</f>
        <v>Abrir facsímil</v>
      </c>
      <c r="K3121" s="3" t="s">
        <v>22</v>
      </c>
    </row>
    <row r="3122" spans="1:11" ht="42" customHeight="1">
      <c r="A3122" s="2" t="s">
        <v>6246</v>
      </c>
      <c r="B3122" s="2" t="s">
        <v>6247</v>
      </c>
      <c r="C3122" s="2" t="s">
        <v>28</v>
      </c>
      <c r="D3122" s="2" t="s">
        <v>29</v>
      </c>
      <c r="E3122" s="5">
        <v>-28157</v>
      </c>
      <c r="F3122" s="3" t="s">
        <v>1492</v>
      </c>
      <c r="G3122" s="3" t="s">
        <v>63</v>
      </c>
      <c r="H3122" s="2" t="s">
        <v>20</v>
      </c>
      <c r="I3122" s="2" t="s">
        <v>6248</v>
      </c>
      <c r="J3122" s="3" t="str">
        <f>HYPERLINK("https://www.boe.es/gazeta/dias/1822/11/27/pdfs/GMD-1822-347.pdf#page=6","Abrir facsímil")</f>
        <v>Abrir facsímil</v>
      </c>
      <c r="K3122" s="3" t="s">
        <v>22</v>
      </c>
    </row>
    <row r="3123" spans="1:11" ht="42" customHeight="1">
      <c r="A3123" s="2" t="s">
        <v>6249</v>
      </c>
      <c r="B3123" s="2" t="s">
        <v>6250</v>
      </c>
      <c r="C3123" s="2" t="s">
        <v>1141</v>
      </c>
      <c r="D3123" s="2" t="s">
        <v>29</v>
      </c>
      <c r="E3123" s="5">
        <v>-28408</v>
      </c>
      <c r="F3123" s="3" t="s">
        <v>2561</v>
      </c>
      <c r="G3123" s="3" t="s">
        <v>63</v>
      </c>
      <c r="H3123" s="2" t="s">
        <v>20</v>
      </c>
      <c r="I3123" s="2" t="s">
        <v>6251</v>
      </c>
      <c r="J3123" s="3" t="str">
        <f>HYPERLINK("https://www.boe.es/gazeta/dias/1822/03/21/pdfs/GMD-1822-82.pdf#page=6","Abrir facsímil")</f>
        <v>Abrir facsímil</v>
      </c>
      <c r="K3123" s="3" t="s">
        <v>22</v>
      </c>
    </row>
    <row r="3124" spans="1:11" ht="42" customHeight="1">
      <c r="A3124" s="2" t="s">
        <v>6252</v>
      </c>
      <c r="B3124" s="2" t="s">
        <v>6253</v>
      </c>
      <c r="C3124" s="2" t="s">
        <v>28</v>
      </c>
      <c r="D3124" s="2" t="s">
        <v>29</v>
      </c>
      <c r="E3124" s="5">
        <v>-28353</v>
      </c>
      <c r="F3124" s="3" t="s">
        <v>843</v>
      </c>
      <c r="G3124" s="3" t="s">
        <v>63</v>
      </c>
      <c r="H3124" s="2" t="s">
        <v>20</v>
      </c>
      <c r="I3124" s="2" t="s">
        <v>6254</v>
      </c>
      <c r="J3124" s="3" t="str">
        <f>HYPERLINK("https://www.boe.es/gazeta/dias/1822/05/15/pdfs/GMD-1822-137.pdf#page=6","Abrir facsímil")</f>
        <v>Abrir facsímil</v>
      </c>
      <c r="K3124" s="3" t="s">
        <v>22</v>
      </c>
    </row>
    <row r="3125" spans="1:11" ht="42" customHeight="1">
      <c r="A3125" s="2" t="s">
        <v>6255</v>
      </c>
      <c r="B3125" s="2" t="s">
        <v>6256</v>
      </c>
      <c r="C3125" s="2" t="s">
        <v>50</v>
      </c>
      <c r="D3125" s="2" t="s">
        <v>51</v>
      </c>
      <c r="E3125" s="5">
        <v>-28399</v>
      </c>
      <c r="F3125" s="3" t="s">
        <v>476</v>
      </c>
      <c r="G3125" s="3" t="s">
        <v>35</v>
      </c>
      <c r="H3125" s="2" t="s">
        <v>20</v>
      </c>
      <c r="I3125" s="2" t="s">
        <v>6257</v>
      </c>
      <c r="J3125" s="3" t="str">
        <f>HYPERLINK("https://www.boe.es/gazeta/dias/1822/03/30/pdfs/GMD-1822-91.pdf#page=2","Abrir facsímil")</f>
        <v>Abrir facsímil</v>
      </c>
      <c r="K3125" s="3" t="s">
        <v>22</v>
      </c>
    </row>
    <row r="3126" spans="1:11" ht="42" customHeight="1">
      <c r="A3126" s="2" t="s">
        <v>6258</v>
      </c>
      <c r="B3126" s="2" t="s">
        <v>6258</v>
      </c>
      <c r="C3126" s="2" t="s">
        <v>28</v>
      </c>
      <c r="D3126" s="2" t="s">
        <v>29</v>
      </c>
      <c r="E3126" s="5">
        <v>-28351</v>
      </c>
      <c r="F3126" s="3" t="s">
        <v>282</v>
      </c>
      <c r="G3126" s="3" t="s">
        <v>35</v>
      </c>
      <c r="H3126" s="2" t="s">
        <v>20</v>
      </c>
      <c r="I3126" s="2" t="s">
        <v>6259</v>
      </c>
      <c r="J3126" s="3" t="str">
        <f>HYPERLINK("https://www.boe.es/gazeta/dias/1822/05/17/pdfs/GMD-1822-139.pdf#page=2","Abrir facsímil")</f>
        <v>Abrir facsímil</v>
      </c>
      <c r="K3126" s="3" t="s">
        <v>22</v>
      </c>
    </row>
    <row r="3127" spans="1:11" ht="42" customHeight="1">
      <c r="A3127" s="2" t="s">
        <v>6260</v>
      </c>
      <c r="B3127" s="2" t="s">
        <v>6261</v>
      </c>
      <c r="C3127" s="2" t="s">
        <v>16</v>
      </c>
      <c r="D3127" s="2" t="s">
        <v>17</v>
      </c>
      <c r="E3127" s="5">
        <v>-28381</v>
      </c>
      <c r="F3127" s="3" t="s">
        <v>358</v>
      </c>
      <c r="G3127" s="3" t="s">
        <v>63</v>
      </c>
      <c r="H3127" s="2" t="s">
        <v>20</v>
      </c>
      <c r="I3127" s="2" t="s">
        <v>6262</v>
      </c>
      <c r="J3127" s="3" t="str">
        <f>HYPERLINK("https://www.boe.es/gazeta/dias/1822/04/17/pdfs/GMD-1822-109.pdf#page=6","Abrir facsímil")</f>
        <v>Abrir facsímil</v>
      </c>
      <c r="K3127" s="3" t="s">
        <v>22</v>
      </c>
    </row>
    <row r="3128" spans="1:11" ht="42" customHeight="1">
      <c r="A3128" s="2" t="s">
        <v>6260</v>
      </c>
      <c r="B3128" s="2" t="s">
        <v>6261</v>
      </c>
      <c r="C3128" s="2" t="s">
        <v>42</v>
      </c>
      <c r="D3128" s="2" t="s">
        <v>17</v>
      </c>
      <c r="E3128" s="5">
        <v>-28360</v>
      </c>
      <c r="F3128" s="3" t="s">
        <v>514</v>
      </c>
      <c r="G3128" s="3" t="s">
        <v>57</v>
      </c>
      <c r="H3128" s="2" t="s">
        <v>20</v>
      </c>
      <c r="I3128" s="2" t="s">
        <v>6263</v>
      </c>
      <c r="J3128" s="3" t="str">
        <f>HYPERLINK("https://www.boe.es/gazeta/dias/1822/05/08/pdfs/GMD-1822-130.pdf#page=4","Abrir facsímil")</f>
        <v>Abrir facsímil</v>
      </c>
      <c r="K3128" s="3" t="s">
        <v>22</v>
      </c>
    </row>
    <row r="3129" spans="1:11" ht="42" customHeight="1">
      <c r="A3129" s="2" t="s">
        <v>6260</v>
      </c>
      <c r="B3129" s="2" t="s">
        <v>6261</v>
      </c>
      <c r="C3129" s="2" t="s">
        <v>28</v>
      </c>
      <c r="D3129" s="2" t="s">
        <v>29</v>
      </c>
      <c r="E3129" s="5">
        <v>-28330</v>
      </c>
      <c r="F3129" s="3" t="s">
        <v>896</v>
      </c>
      <c r="G3129" s="3" t="s">
        <v>57</v>
      </c>
      <c r="H3129" s="2" t="s">
        <v>20</v>
      </c>
      <c r="I3129" s="2" t="s">
        <v>6264</v>
      </c>
      <c r="J3129" s="3" t="str">
        <f>HYPERLINK("https://www.boe.es/gazeta/dias/1822/06/07/pdfs/GMD-1822-164.pdf#page=4","Abrir facsímil")</f>
        <v>Abrir facsímil</v>
      </c>
      <c r="K3129" s="3" t="s">
        <v>22</v>
      </c>
    </row>
    <row r="3130" spans="1:11" ht="42" customHeight="1">
      <c r="A3130" s="2" t="s">
        <v>6260</v>
      </c>
      <c r="B3130" s="2" t="s">
        <v>6261</v>
      </c>
      <c r="C3130" s="2" t="s">
        <v>42</v>
      </c>
      <c r="D3130" s="2" t="s">
        <v>17</v>
      </c>
      <c r="E3130" s="5">
        <v>-28322</v>
      </c>
      <c r="F3130" s="3" t="s">
        <v>2205</v>
      </c>
      <c r="G3130" s="3" t="s">
        <v>57</v>
      </c>
      <c r="H3130" s="2" t="s">
        <v>20</v>
      </c>
      <c r="I3130" s="2" t="s">
        <v>6265</v>
      </c>
      <c r="J3130" s="3" t="str">
        <f>HYPERLINK("https://www.boe.es/gazeta/dias/1822/06/15/pdfs/GMD-1822-172.pdf#page=4","Abrir facsímil")</f>
        <v>Abrir facsímil</v>
      </c>
      <c r="K3130" s="3" t="s">
        <v>22</v>
      </c>
    </row>
    <row r="3131" spans="1:11" ht="42" customHeight="1">
      <c r="A3131" s="2" t="s">
        <v>6260</v>
      </c>
      <c r="B3131" s="2" t="s">
        <v>6261</v>
      </c>
      <c r="C3131" s="2" t="s">
        <v>42</v>
      </c>
      <c r="D3131" s="2" t="s">
        <v>17</v>
      </c>
      <c r="E3131" s="5">
        <v>-28308</v>
      </c>
      <c r="F3131" s="3" t="s">
        <v>1050</v>
      </c>
      <c r="G3131" s="3" t="s">
        <v>157</v>
      </c>
      <c r="H3131" s="2" t="s">
        <v>20</v>
      </c>
      <c r="I3131" s="2" t="s">
        <v>6266</v>
      </c>
      <c r="J3131" s="3" t="str">
        <f>HYPERLINK("https://www.boe.es/gazeta/dias/1822/06/29/pdfs/GMD-1822-187.pdf#page=8","Abrir facsímil")</f>
        <v>Abrir facsímil</v>
      </c>
      <c r="K3131" s="3" t="s">
        <v>22</v>
      </c>
    </row>
    <row r="3132" spans="1:11" ht="42" customHeight="1">
      <c r="A3132" s="2" t="s">
        <v>6260</v>
      </c>
      <c r="B3132" s="2" t="s">
        <v>6261</v>
      </c>
      <c r="C3132" s="2" t="s">
        <v>71</v>
      </c>
      <c r="D3132" s="2" t="s">
        <v>17</v>
      </c>
      <c r="E3132" s="5">
        <v>-28208</v>
      </c>
      <c r="F3132" s="3" t="s">
        <v>230</v>
      </c>
      <c r="G3132" s="3" t="s">
        <v>57</v>
      </c>
      <c r="H3132" s="2" t="s">
        <v>20</v>
      </c>
      <c r="I3132" s="2" t="s">
        <v>6267</v>
      </c>
      <c r="J3132" s="3" t="str">
        <f>HYPERLINK("https://www.boe.es/gazeta/dias/1822/10/07/pdfs/GMD-1822-293.pdf#page=4","Abrir facsímil")</f>
        <v>Abrir facsímil</v>
      </c>
      <c r="K3132" s="3" t="s">
        <v>22</v>
      </c>
    </row>
    <row r="3133" spans="1:11" ht="42" customHeight="1">
      <c r="A3133" s="2" t="s">
        <v>6268</v>
      </c>
      <c r="B3133" s="2" t="s">
        <v>6269</v>
      </c>
      <c r="C3133" s="2" t="s">
        <v>71</v>
      </c>
      <c r="D3133" s="2" t="s">
        <v>17</v>
      </c>
      <c r="E3133" s="5">
        <v>-28243</v>
      </c>
      <c r="F3133" s="3" t="s">
        <v>1829</v>
      </c>
      <c r="G3133" s="3" t="s">
        <v>57</v>
      </c>
      <c r="H3133" s="2" t="s">
        <v>20</v>
      </c>
      <c r="I3133" s="2" t="s">
        <v>6270</v>
      </c>
      <c r="J3133" s="3" t="str">
        <f>HYPERLINK("https://www.boe.es/gazeta/dias/1822/09/02/pdfs/GMD-1822-257.pdf#page=4","Abrir facsímil")</f>
        <v>Abrir facsímil</v>
      </c>
      <c r="K3133" s="3" t="s">
        <v>22</v>
      </c>
    </row>
    <row r="3134" spans="1:11" ht="42" customHeight="1">
      <c r="A3134" s="2" t="s">
        <v>6268</v>
      </c>
      <c r="B3134" s="2" t="s">
        <v>6269</v>
      </c>
      <c r="C3134" s="2" t="s">
        <v>42</v>
      </c>
      <c r="D3134" s="2" t="s">
        <v>17</v>
      </c>
      <c r="E3134" s="5">
        <v>-28221</v>
      </c>
      <c r="F3134" s="3" t="s">
        <v>2591</v>
      </c>
      <c r="G3134" s="3" t="s">
        <v>57</v>
      </c>
      <c r="H3134" s="2" t="s">
        <v>20</v>
      </c>
      <c r="I3134" s="2" t="s">
        <v>6271</v>
      </c>
      <c r="J3134" s="3" t="str">
        <f>HYPERLINK("https://www.boe.es/gazeta/dias/1822/09/24/pdfs/GMD-1822-280.pdf#page=4","Abrir facsímil")</f>
        <v>Abrir facsímil</v>
      </c>
      <c r="K3134" s="3" t="s">
        <v>22</v>
      </c>
    </row>
    <row r="3135" spans="1:11" ht="42" customHeight="1">
      <c r="A3135" s="2" t="s">
        <v>6272</v>
      </c>
      <c r="B3135" s="2" t="s">
        <v>6273</v>
      </c>
      <c r="C3135" s="2" t="s">
        <v>50</v>
      </c>
      <c r="D3135" s="2" t="s">
        <v>51</v>
      </c>
      <c r="E3135" s="5">
        <v>-28415</v>
      </c>
      <c r="F3135" s="3" t="s">
        <v>77</v>
      </c>
      <c r="G3135" s="3" t="s">
        <v>19</v>
      </c>
      <c r="H3135" s="2" t="s">
        <v>45</v>
      </c>
      <c r="I3135" s="2" t="s">
        <v>6274</v>
      </c>
      <c r="J3135" s="3" t="str">
        <f>HYPERLINK("https://www.boe.es/gazeta/dias/1822/03/14/pdfs/GMD-1822-75.pdf#page=5","Abrir facsímil")</f>
        <v>Abrir facsímil</v>
      </c>
      <c r="K3135" s="3" t="s">
        <v>47</v>
      </c>
    </row>
    <row r="3136" spans="1:11" ht="42" customHeight="1">
      <c r="A3136" s="2" t="s">
        <v>6275</v>
      </c>
      <c r="B3136" s="2" t="s">
        <v>6276</v>
      </c>
      <c r="C3136" s="2" t="s">
        <v>71</v>
      </c>
      <c r="D3136" s="2" t="s">
        <v>17</v>
      </c>
      <c r="E3136" s="5">
        <v>-28210</v>
      </c>
      <c r="F3136" s="3" t="s">
        <v>218</v>
      </c>
      <c r="G3136" s="3" t="s">
        <v>19</v>
      </c>
      <c r="H3136" s="2" t="s">
        <v>20</v>
      </c>
      <c r="I3136" s="2" t="s">
        <v>6277</v>
      </c>
      <c r="J3136" s="3" t="str">
        <f>HYPERLINK("https://www.boe.es/gazeta/dias/1822/10/05/pdfs/GMD-1822-291.pdf#page=5","Abrir facsímil")</f>
        <v>Abrir facsímil</v>
      </c>
      <c r="K3136" s="3" t="s">
        <v>22</v>
      </c>
    </row>
    <row r="3137" spans="1:11" ht="42" customHeight="1">
      <c r="A3137" s="2" t="s">
        <v>6278</v>
      </c>
      <c r="B3137" s="2" t="s">
        <v>6279</v>
      </c>
      <c r="C3137" s="2" t="s">
        <v>50</v>
      </c>
      <c r="D3137" s="2" t="s">
        <v>51</v>
      </c>
      <c r="E3137" s="5">
        <v>-28162</v>
      </c>
      <c r="F3137" s="3" t="s">
        <v>3949</v>
      </c>
      <c r="G3137" s="3" t="s">
        <v>57</v>
      </c>
      <c r="H3137" s="2" t="s">
        <v>20</v>
      </c>
      <c r="I3137" s="2" t="s">
        <v>6280</v>
      </c>
      <c r="J3137" s="3" t="str">
        <f>HYPERLINK("https://www.boe.es/gazeta/dias/1822/11/22/pdfs/GMD-1822-342.pdf#page=4","Abrir facsímil")</f>
        <v>Abrir facsímil</v>
      </c>
      <c r="K3137" s="3" t="s">
        <v>22</v>
      </c>
    </row>
    <row r="3138" spans="1:11" ht="42" customHeight="1">
      <c r="A3138" s="2" t="s">
        <v>6281</v>
      </c>
      <c r="B3138" s="2" t="s">
        <v>6281</v>
      </c>
      <c r="C3138" s="2" t="s">
        <v>50</v>
      </c>
      <c r="D3138" s="2" t="s">
        <v>51</v>
      </c>
      <c r="E3138" s="5">
        <v>-28308</v>
      </c>
      <c r="F3138" s="3" t="s">
        <v>1050</v>
      </c>
      <c r="G3138" s="3" t="s">
        <v>167</v>
      </c>
      <c r="H3138" s="2" t="s">
        <v>20</v>
      </c>
      <c r="I3138" s="2" t="s">
        <v>6282</v>
      </c>
      <c r="J3138" s="3" t="str">
        <f>HYPERLINK("https://www.boe.es/gazeta/dias/1822/06/29/pdfs/GMD-1822-187.pdf#page=7","Abrir facsímil")</f>
        <v>Abrir facsímil</v>
      </c>
      <c r="K3138" s="3" t="s">
        <v>22</v>
      </c>
    </row>
    <row r="3139" spans="1:11" ht="42" customHeight="1">
      <c r="A3139" s="2" t="s">
        <v>6283</v>
      </c>
      <c r="B3139" s="2" t="s">
        <v>6284</v>
      </c>
      <c r="C3139" s="2" t="s">
        <v>50</v>
      </c>
      <c r="D3139" s="2" t="s">
        <v>51</v>
      </c>
      <c r="E3139" s="5">
        <v>-28153</v>
      </c>
      <c r="F3139" s="3" t="s">
        <v>946</v>
      </c>
      <c r="G3139" s="3" t="s">
        <v>63</v>
      </c>
      <c r="H3139" s="2" t="s">
        <v>20</v>
      </c>
      <c r="I3139" s="2" t="s">
        <v>6285</v>
      </c>
      <c r="J3139" s="3" t="str">
        <f>HYPERLINK("https://www.boe.es/gazeta/dias/1822/12/01/pdfs/GMD-1822-351.pdf#page=6","Abrir facsímil")</f>
        <v>Abrir facsímil</v>
      </c>
      <c r="K3139" s="3" t="s">
        <v>22</v>
      </c>
    </row>
    <row r="3140" spans="1:11" ht="42" customHeight="1">
      <c r="A3140" s="2" t="s">
        <v>6286</v>
      </c>
      <c r="B3140" s="2" t="s">
        <v>6287</v>
      </c>
      <c r="C3140" s="2" t="s">
        <v>50</v>
      </c>
      <c r="D3140" s="2" t="s">
        <v>51</v>
      </c>
      <c r="E3140" s="5">
        <v>-28155</v>
      </c>
      <c r="F3140" s="3" t="s">
        <v>833</v>
      </c>
      <c r="G3140" s="3" t="s">
        <v>19</v>
      </c>
      <c r="H3140" s="2" t="s">
        <v>20</v>
      </c>
      <c r="I3140" s="2" t="s">
        <v>6288</v>
      </c>
      <c r="J3140" s="3" t="str">
        <f>HYPERLINK("https://www.boe.es/gazeta/dias/1822/11/29/pdfs/GMD-1822-349.pdf#page=5","Abrir facsímil")</f>
        <v>Abrir facsímil</v>
      </c>
      <c r="K3140" s="3" t="s">
        <v>22</v>
      </c>
    </row>
    <row r="3141" spans="1:11" ht="42" customHeight="1">
      <c r="A3141" s="2" t="s">
        <v>6289</v>
      </c>
      <c r="B3141" s="2" t="s">
        <v>6290</v>
      </c>
      <c r="C3141" s="2" t="s">
        <v>28</v>
      </c>
      <c r="D3141" s="2" t="s">
        <v>29</v>
      </c>
      <c r="E3141" s="5">
        <v>-28230</v>
      </c>
      <c r="F3141" s="3" t="s">
        <v>1735</v>
      </c>
      <c r="G3141" s="3" t="s">
        <v>57</v>
      </c>
      <c r="H3141" s="2" t="s">
        <v>20</v>
      </c>
      <c r="I3141" s="2" t="s">
        <v>6291</v>
      </c>
      <c r="J3141" s="3" t="str">
        <f>HYPERLINK("https://www.boe.es/gazeta/dias/1822/09/15/pdfs/GMD-1822-271.pdf#page=4","Abrir facsímil")</f>
        <v>Abrir facsímil</v>
      </c>
      <c r="K3141" s="3" t="s">
        <v>22</v>
      </c>
    </row>
    <row r="3142" spans="1:11" ht="42" customHeight="1">
      <c r="A3142" s="2" t="s">
        <v>6292</v>
      </c>
      <c r="B3142" s="2" t="s">
        <v>6293</v>
      </c>
      <c r="C3142" s="2" t="s">
        <v>71</v>
      </c>
      <c r="D3142" s="2" t="s">
        <v>17</v>
      </c>
      <c r="E3142" s="5">
        <v>-28368</v>
      </c>
      <c r="F3142" s="3" t="s">
        <v>126</v>
      </c>
      <c r="G3142" s="3" t="s">
        <v>44</v>
      </c>
      <c r="H3142" s="2" t="s">
        <v>20</v>
      </c>
      <c r="I3142" s="2" t="s">
        <v>6294</v>
      </c>
      <c r="J3142" s="3" t="str">
        <f>HYPERLINK("https://www.boe.es/gazeta/dias/1822/04/30/pdfs/GMD-1822-122.pdf#page=1","Abrir facsímil")</f>
        <v>Abrir facsímil</v>
      </c>
      <c r="K3142" s="3" t="s">
        <v>22</v>
      </c>
    </row>
    <row r="3143" spans="1:11" ht="42" customHeight="1">
      <c r="A3143" s="2" t="s">
        <v>6295</v>
      </c>
      <c r="B3143" s="2" t="s">
        <v>6295</v>
      </c>
      <c r="C3143" s="2" t="s">
        <v>16</v>
      </c>
      <c r="D3143" s="2" t="s">
        <v>17</v>
      </c>
      <c r="E3143" s="5">
        <v>-28387</v>
      </c>
      <c r="F3143" s="3" t="s">
        <v>2874</v>
      </c>
      <c r="G3143" s="3" t="s">
        <v>19</v>
      </c>
      <c r="H3143" s="2" t="s">
        <v>20</v>
      </c>
      <c r="I3143" s="2" t="s">
        <v>6296</v>
      </c>
      <c r="J3143" s="3" t="str">
        <f>HYPERLINK("https://www.boe.es/gazeta/dias/1822/04/11/pdfs/GMD-1822-103.pdf#page=5","Abrir facsímil")</f>
        <v>Abrir facsímil</v>
      </c>
      <c r="K3143" s="3" t="s">
        <v>22</v>
      </c>
    </row>
    <row r="3144" spans="1:11" ht="42" customHeight="1">
      <c r="A3144" s="2" t="s">
        <v>6297</v>
      </c>
      <c r="B3144" s="2" t="s">
        <v>6298</v>
      </c>
      <c r="C3144" s="2" t="s">
        <v>28</v>
      </c>
      <c r="D3144" s="2" t="s">
        <v>29</v>
      </c>
      <c r="E3144" s="5">
        <v>-28326</v>
      </c>
      <c r="F3144" s="3" t="s">
        <v>543</v>
      </c>
      <c r="G3144" s="3" t="s">
        <v>63</v>
      </c>
      <c r="H3144" s="2" t="s">
        <v>20</v>
      </c>
      <c r="I3144" s="2" t="s">
        <v>6299</v>
      </c>
      <c r="J3144" s="3" t="str">
        <f>HYPERLINK("https://www.boe.es/gazeta/dias/1822/06/11/pdfs/GMD-1822-168.pdf#page=6","Abrir facsímil")</f>
        <v>Abrir facsímil</v>
      </c>
      <c r="K3144" s="3" t="s">
        <v>22</v>
      </c>
    </row>
    <row r="3145" spans="1:11" ht="42" customHeight="1">
      <c r="A3145" s="2" t="s">
        <v>6300</v>
      </c>
      <c r="B3145" s="2" t="s">
        <v>6300</v>
      </c>
      <c r="C3145" s="2" t="s">
        <v>50</v>
      </c>
      <c r="D3145" s="2" t="s">
        <v>51</v>
      </c>
      <c r="E3145" s="5">
        <v>-28410</v>
      </c>
      <c r="F3145" s="3" t="s">
        <v>966</v>
      </c>
      <c r="G3145" s="3" t="s">
        <v>57</v>
      </c>
      <c r="H3145" s="2" t="s">
        <v>20</v>
      </c>
      <c r="I3145" s="2" t="s">
        <v>6301</v>
      </c>
      <c r="J3145" s="3" t="str">
        <f>HYPERLINK("https://www.boe.es/gazeta/dias/1822/03/19/pdfs/GMD-1822-80.pdf#page=4","Abrir facsímil")</f>
        <v>Abrir facsímil</v>
      </c>
      <c r="K3145" s="3" t="s">
        <v>22</v>
      </c>
    </row>
    <row r="3146" spans="1:11" ht="42" customHeight="1">
      <c r="A3146" s="2" t="s">
        <v>6302</v>
      </c>
      <c r="B3146" s="2" t="s">
        <v>6303</v>
      </c>
      <c r="C3146" s="2" t="s">
        <v>71</v>
      </c>
      <c r="D3146" s="2" t="s">
        <v>17</v>
      </c>
      <c r="E3146" s="5">
        <v>-28132</v>
      </c>
      <c r="F3146" s="3" t="s">
        <v>820</v>
      </c>
      <c r="G3146" s="3" t="s">
        <v>821</v>
      </c>
      <c r="H3146" s="2" t="s">
        <v>20</v>
      </c>
      <c r="I3146" s="2" t="s">
        <v>6304</v>
      </c>
      <c r="J3146" s="3" t="str">
        <f>HYPERLINK("https://www.boe.es/gazeta/dias/1822/12/22/pdfs/GMD-1822-372.pdf#page=4","Abrir facsímil")</f>
        <v>Abrir facsímil</v>
      </c>
      <c r="K3146" s="3" t="s">
        <v>22</v>
      </c>
    </row>
    <row r="3147" spans="1:11" ht="42" customHeight="1">
      <c r="A3147" s="2" t="s">
        <v>6305</v>
      </c>
      <c r="B3147" s="2" t="s">
        <v>6305</v>
      </c>
      <c r="C3147" s="2" t="s">
        <v>50</v>
      </c>
      <c r="D3147" s="2" t="s">
        <v>51</v>
      </c>
      <c r="E3147" s="5">
        <v>-28342</v>
      </c>
      <c r="F3147" s="3" t="s">
        <v>2281</v>
      </c>
      <c r="G3147" s="3" t="s">
        <v>19</v>
      </c>
      <c r="H3147" s="2" t="s">
        <v>20</v>
      </c>
      <c r="I3147" s="2" t="s">
        <v>6306</v>
      </c>
      <c r="J3147" s="3" t="str">
        <f>HYPERLINK("https://www.boe.es/gazeta/dias/1822/05/26/pdfs/GMD-1822-151.pdf#page=5","Abrir facsímil")</f>
        <v>Abrir facsímil</v>
      </c>
      <c r="K3147" s="3" t="s">
        <v>22</v>
      </c>
    </row>
    <row r="3148" spans="1:11" ht="42" customHeight="1">
      <c r="A3148" s="2" t="s">
        <v>6307</v>
      </c>
      <c r="B3148" s="2" t="s">
        <v>6307</v>
      </c>
      <c r="C3148" s="2" t="s">
        <v>50</v>
      </c>
      <c r="D3148" s="2" t="s">
        <v>51</v>
      </c>
      <c r="E3148" s="5">
        <v>-28411</v>
      </c>
      <c r="F3148" s="3" t="s">
        <v>1509</v>
      </c>
      <c r="G3148" s="3" t="s">
        <v>44</v>
      </c>
      <c r="H3148" s="2" t="s">
        <v>20</v>
      </c>
      <c r="I3148" s="2" t="s">
        <v>6308</v>
      </c>
      <c r="J3148" s="3" t="str">
        <f>HYPERLINK("https://www.boe.es/gazeta/dias/1822/03/18/pdfs/GMD-1822-79.pdf#page=1","Abrir facsímil")</f>
        <v>Abrir facsímil</v>
      </c>
      <c r="K3148" s="3" t="s">
        <v>22</v>
      </c>
    </row>
    <row r="3149" spans="1:11" ht="42" customHeight="1">
      <c r="A3149" s="2" t="s">
        <v>6307</v>
      </c>
      <c r="B3149" s="2" t="s">
        <v>6307</v>
      </c>
      <c r="C3149" s="2" t="s">
        <v>50</v>
      </c>
      <c r="D3149" s="2" t="s">
        <v>51</v>
      </c>
      <c r="E3149" s="5">
        <v>-28198</v>
      </c>
      <c r="F3149" s="3" t="s">
        <v>981</v>
      </c>
      <c r="G3149" s="3" t="s">
        <v>63</v>
      </c>
      <c r="H3149" s="2" t="s">
        <v>20</v>
      </c>
      <c r="I3149" s="2" t="s">
        <v>6309</v>
      </c>
      <c r="J3149" s="3" t="str">
        <f>HYPERLINK("https://www.boe.es/gazeta/dias/1822/10/17/pdfs/GMD-1822-304.pdf#page=6","Abrir facsímil")</f>
        <v>Abrir facsímil</v>
      </c>
      <c r="K3149" s="3" t="s">
        <v>22</v>
      </c>
    </row>
    <row r="3150" spans="1:11" ht="42" customHeight="1">
      <c r="A3150" s="2" t="s">
        <v>6310</v>
      </c>
      <c r="B3150" s="2" t="s">
        <v>6311</v>
      </c>
      <c r="C3150" s="2" t="s">
        <v>28</v>
      </c>
      <c r="D3150" s="2" t="s">
        <v>29</v>
      </c>
      <c r="E3150" s="5">
        <v>-28336</v>
      </c>
      <c r="F3150" s="3" t="s">
        <v>156</v>
      </c>
      <c r="G3150" s="3" t="s">
        <v>157</v>
      </c>
      <c r="H3150" s="2" t="s">
        <v>20</v>
      </c>
      <c r="I3150" s="2" t="s">
        <v>6312</v>
      </c>
      <c r="J3150" s="3" t="str">
        <f>HYPERLINK("https://www.boe.es/gazeta/dias/1822/06/01/pdfs/GMD-1822-157.pdf#page=8","Abrir facsímil")</f>
        <v>Abrir facsímil</v>
      </c>
      <c r="K3150" s="3" t="s">
        <v>22</v>
      </c>
    </row>
    <row r="3151" spans="1:11" ht="42" customHeight="1">
      <c r="A3151" s="2" t="s">
        <v>6313</v>
      </c>
      <c r="B3151" s="2" t="s">
        <v>6313</v>
      </c>
      <c r="C3151" s="2" t="s">
        <v>362</v>
      </c>
      <c r="D3151" s="2" t="s">
        <v>17</v>
      </c>
      <c r="E3151" s="5">
        <v>-28181</v>
      </c>
      <c r="F3151" s="3" t="s">
        <v>739</v>
      </c>
      <c r="G3151" s="3" t="s">
        <v>63</v>
      </c>
      <c r="H3151" s="2" t="s">
        <v>20</v>
      </c>
      <c r="I3151" s="2" t="s">
        <v>6314</v>
      </c>
      <c r="J3151" s="3" t="str">
        <f>HYPERLINK("https://www.boe.es/gazeta/dias/1822/11/03/pdfs/GMD-1822-321.pdf#page=6","Abrir facsímil")</f>
        <v>Abrir facsímil</v>
      </c>
      <c r="K3151" s="3" t="s">
        <v>22</v>
      </c>
    </row>
    <row r="3152" spans="1:11" ht="42" customHeight="1">
      <c r="A3152" s="2" t="s">
        <v>6315</v>
      </c>
      <c r="B3152" s="2" t="s">
        <v>6315</v>
      </c>
      <c r="C3152" s="2" t="s">
        <v>50</v>
      </c>
      <c r="D3152" s="2" t="s">
        <v>51</v>
      </c>
      <c r="E3152" s="5">
        <v>-28460</v>
      </c>
      <c r="F3152" s="3" t="s">
        <v>112</v>
      </c>
      <c r="G3152" s="3" t="s">
        <v>35</v>
      </c>
      <c r="H3152" s="2" t="s">
        <v>20</v>
      </c>
      <c r="I3152" s="2" t="s">
        <v>6316</v>
      </c>
      <c r="J3152" s="3" t="str">
        <f>HYPERLINK("https://www.boe.es/gazeta/dias/1822/01/28/pdfs/GMD-1822-28.pdf#page=2","Abrir facsímil")</f>
        <v>Abrir facsímil</v>
      </c>
      <c r="K3152" s="3" t="s">
        <v>22</v>
      </c>
    </row>
    <row r="3153" spans="1:11" ht="42" customHeight="1">
      <c r="A3153" s="2" t="s">
        <v>6317</v>
      </c>
      <c r="B3153" s="2" t="s">
        <v>6317</v>
      </c>
      <c r="C3153" s="2" t="s">
        <v>28</v>
      </c>
      <c r="D3153" s="2" t="s">
        <v>29</v>
      </c>
      <c r="E3153" s="5">
        <v>-28413</v>
      </c>
      <c r="F3153" s="3" t="s">
        <v>458</v>
      </c>
      <c r="G3153" s="3" t="s">
        <v>57</v>
      </c>
      <c r="H3153" s="2" t="s">
        <v>20</v>
      </c>
      <c r="I3153" s="2" t="s">
        <v>6318</v>
      </c>
      <c r="J3153" s="3" t="str">
        <f>HYPERLINK("https://www.boe.es/gazeta/dias/1822/03/16/pdfs/GMD-1822-77.pdf#page=4","Abrir facsímil")</f>
        <v>Abrir facsímil</v>
      </c>
      <c r="K3153" s="3" t="s">
        <v>22</v>
      </c>
    </row>
    <row r="3154" spans="1:11" ht="42" customHeight="1">
      <c r="A3154" s="2" t="s">
        <v>6317</v>
      </c>
      <c r="B3154" s="2" t="s">
        <v>6317</v>
      </c>
      <c r="C3154" s="2" t="s">
        <v>71</v>
      </c>
      <c r="D3154" s="2" t="s">
        <v>17</v>
      </c>
      <c r="E3154" s="5">
        <v>-28408</v>
      </c>
      <c r="F3154" s="3" t="s">
        <v>2561</v>
      </c>
      <c r="G3154" s="3" t="s">
        <v>19</v>
      </c>
      <c r="H3154" s="2" t="s">
        <v>20</v>
      </c>
      <c r="I3154" s="2" t="s">
        <v>6319</v>
      </c>
      <c r="J3154" s="3" t="str">
        <f>HYPERLINK("https://www.boe.es/gazeta/dias/1822/03/21/pdfs/GMD-1822-82.pdf#page=5","Abrir facsímil")</f>
        <v>Abrir facsímil</v>
      </c>
      <c r="K3154" s="3" t="s">
        <v>22</v>
      </c>
    </row>
    <row r="3155" spans="1:11" ht="42" customHeight="1">
      <c r="A3155" s="2" t="s">
        <v>6317</v>
      </c>
      <c r="B3155" s="2" t="s">
        <v>6317</v>
      </c>
      <c r="C3155" s="2" t="s">
        <v>42</v>
      </c>
      <c r="D3155" s="2" t="s">
        <v>17</v>
      </c>
      <c r="E3155" s="5">
        <v>-28397</v>
      </c>
      <c r="F3155" s="3" t="s">
        <v>1401</v>
      </c>
      <c r="G3155" s="3" t="s">
        <v>3283</v>
      </c>
      <c r="H3155" s="2" t="s">
        <v>20</v>
      </c>
      <c r="I3155" s="2" t="s">
        <v>6320</v>
      </c>
      <c r="J3155" s="3" t="str">
        <f>HYPERLINK("https://www.boe.es/gazeta/dias/1822/04/01/pdfs/GMD-1822-93.pdf#page=3","Abrir facsímil")</f>
        <v>Abrir facsímil</v>
      </c>
      <c r="K3155" s="3" t="s">
        <v>22</v>
      </c>
    </row>
    <row r="3156" spans="1:11" ht="42" customHeight="1">
      <c r="A3156" s="2" t="s">
        <v>6315</v>
      </c>
      <c r="B3156" s="2" t="s">
        <v>6315</v>
      </c>
      <c r="C3156" s="2" t="s">
        <v>50</v>
      </c>
      <c r="D3156" s="2" t="s">
        <v>51</v>
      </c>
      <c r="E3156" s="5">
        <v>-28396</v>
      </c>
      <c r="F3156" s="3" t="s">
        <v>1138</v>
      </c>
      <c r="G3156" s="3" t="s">
        <v>167</v>
      </c>
      <c r="H3156" s="2" t="s">
        <v>20</v>
      </c>
      <c r="I3156" s="2" t="s">
        <v>6321</v>
      </c>
      <c r="J3156" s="3" t="str">
        <f>HYPERLINK("https://www.boe.es/gazeta/dias/1822/04/02/pdfs/GMD-1822-94.pdf#page=7","Abrir facsímil")</f>
        <v>Abrir facsímil</v>
      </c>
      <c r="K3156" s="3" t="s">
        <v>22</v>
      </c>
    </row>
    <row r="3157" spans="1:11" ht="42" customHeight="1">
      <c r="A3157" s="2" t="s">
        <v>6317</v>
      </c>
      <c r="B3157" s="2" t="s">
        <v>6317</v>
      </c>
      <c r="C3157" s="2" t="s">
        <v>50</v>
      </c>
      <c r="D3157" s="2" t="s">
        <v>51</v>
      </c>
      <c r="E3157" s="5">
        <v>-28383</v>
      </c>
      <c r="F3157" s="3" t="s">
        <v>488</v>
      </c>
      <c r="G3157" s="3" t="s">
        <v>31</v>
      </c>
      <c r="H3157" s="2" t="s">
        <v>20</v>
      </c>
      <c r="I3157" s="2" t="s">
        <v>6322</v>
      </c>
      <c r="J3157" s="3" t="str">
        <f>HYPERLINK("https://www.boe.es/gazeta/dias/1822/04/15/pdfs/GMD-1822-107.pdf#page=3","Abrir facsímil")</f>
        <v>Abrir facsímil</v>
      </c>
      <c r="K3157" s="3" t="s">
        <v>22</v>
      </c>
    </row>
    <row r="3158" spans="1:11" ht="42" customHeight="1">
      <c r="A3158" s="2" t="s">
        <v>6317</v>
      </c>
      <c r="B3158" s="2" t="s">
        <v>6317</v>
      </c>
      <c r="C3158" s="2" t="s">
        <v>50</v>
      </c>
      <c r="D3158" s="2" t="s">
        <v>51</v>
      </c>
      <c r="E3158" s="5">
        <v>-28381</v>
      </c>
      <c r="F3158" s="3" t="s">
        <v>358</v>
      </c>
      <c r="G3158" s="3" t="s">
        <v>35</v>
      </c>
      <c r="H3158" s="2" t="s">
        <v>20</v>
      </c>
      <c r="I3158" s="2" t="s">
        <v>6323</v>
      </c>
      <c r="J3158" s="3" t="str">
        <f>HYPERLINK("https://www.boe.es/gazeta/dias/1822/04/17/pdfs/GMD-1822-109.pdf#page=2","Abrir facsímil")</f>
        <v>Abrir facsímil</v>
      </c>
      <c r="K3158" s="3" t="s">
        <v>22</v>
      </c>
    </row>
    <row r="3159" spans="1:11" ht="42" customHeight="1">
      <c r="A3159" s="2" t="s">
        <v>6315</v>
      </c>
      <c r="B3159" s="2" t="s">
        <v>6315</v>
      </c>
      <c r="C3159" s="2" t="s">
        <v>42</v>
      </c>
      <c r="D3159" s="2" t="s">
        <v>17</v>
      </c>
      <c r="E3159" s="5">
        <v>-28360</v>
      </c>
      <c r="F3159" s="3" t="s">
        <v>514</v>
      </c>
      <c r="G3159" s="3" t="s">
        <v>57</v>
      </c>
      <c r="H3159" s="2" t="s">
        <v>20</v>
      </c>
      <c r="I3159" s="2" t="s">
        <v>6324</v>
      </c>
      <c r="J3159" s="3" t="str">
        <f>HYPERLINK("https://www.boe.es/gazeta/dias/1822/05/08/pdfs/GMD-1822-130.pdf#page=4","Abrir facsímil")</f>
        <v>Abrir facsímil</v>
      </c>
      <c r="K3159" s="3" t="s">
        <v>22</v>
      </c>
    </row>
    <row r="3160" spans="1:11" ht="42" customHeight="1">
      <c r="A3160" s="2" t="s">
        <v>6317</v>
      </c>
      <c r="B3160" s="2" t="s">
        <v>6317</v>
      </c>
      <c r="C3160" s="2" t="s">
        <v>28</v>
      </c>
      <c r="D3160" s="2" t="s">
        <v>29</v>
      </c>
      <c r="E3160" s="5">
        <v>-28353</v>
      </c>
      <c r="F3160" s="3" t="s">
        <v>843</v>
      </c>
      <c r="G3160" s="3" t="s">
        <v>19</v>
      </c>
      <c r="H3160" s="2" t="s">
        <v>20</v>
      </c>
      <c r="I3160" s="2" t="s">
        <v>6325</v>
      </c>
      <c r="J3160" s="3" t="str">
        <f>HYPERLINK("https://www.boe.es/gazeta/dias/1822/05/15/pdfs/GMD-1822-137.pdf#page=5","Abrir facsímil")</f>
        <v>Abrir facsímil</v>
      </c>
      <c r="K3160" s="3" t="s">
        <v>22</v>
      </c>
    </row>
    <row r="3161" spans="1:11" ht="42" customHeight="1">
      <c r="A3161" s="2" t="s">
        <v>6317</v>
      </c>
      <c r="B3161" s="2" t="s">
        <v>6317</v>
      </c>
      <c r="C3161" s="2" t="s">
        <v>42</v>
      </c>
      <c r="D3161" s="2" t="s">
        <v>17</v>
      </c>
      <c r="E3161" s="5">
        <v>-28350</v>
      </c>
      <c r="F3161" s="3" t="s">
        <v>352</v>
      </c>
      <c r="G3161" s="3" t="s">
        <v>35</v>
      </c>
      <c r="H3161" s="2" t="s">
        <v>20</v>
      </c>
      <c r="I3161" s="2" t="s">
        <v>6326</v>
      </c>
      <c r="J3161" s="3" t="str">
        <f>HYPERLINK("https://www.boe.es/gazeta/dias/1822/05/18/pdfs/GMD-1822-140.pdf#page=2","Abrir facsímil")</f>
        <v>Abrir facsímil</v>
      </c>
      <c r="K3161" s="3" t="s">
        <v>22</v>
      </c>
    </row>
    <row r="3162" spans="1:11" ht="42" customHeight="1">
      <c r="A3162" s="2" t="s">
        <v>6317</v>
      </c>
      <c r="B3162" s="2" t="s">
        <v>6317</v>
      </c>
      <c r="C3162" s="2" t="s">
        <v>71</v>
      </c>
      <c r="D3162" s="2" t="s">
        <v>17</v>
      </c>
      <c r="E3162" s="5">
        <v>-28338</v>
      </c>
      <c r="F3162" s="3" t="s">
        <v>527</v>
      </c>
      <c r="G3162" s="3" t="s">
        <v>57</v>
      </c>
      <c r="H3162" s="2" t="s">
        <v>20</v>
      </c>
      <c r="I3162" s="2" t="s">
        <v>6327</v>
      </c>
      <c r="J3162" s="3" t="str">
        <f>HYPERLINK("https://www.boe.es/gazeta/dias/1822/05/30/pdfs/GMD-1822-155.pdf#page=4","Abrir facsímil")</f>
        <v>Abrir facsímil</v>
      </c>
      <c r="K3162" s="3" t="s">
        <v>22</v>
      </c>
    </row>
    <row r="3163" spans="1:11" ht="42" customHeight="1">
      <c r="A3163" s="2" t="s">
        <v>6317</v>
      </c>
      <c r="B3163" s="2" t="s">
        <v>6317</v>
      </c>
      <c r="C3163" s="2" t="s">
        <v>28</v>
      </c>
      <c r="D3163" s="2" t="s">
        <v>29</v>
      </c>
      <c r="E3163" s="5">
        <v>-28306</v>
      </c>
      <c r="F3163" s="3" t="s">
        <v>348</v>
      </c>
      <c r="G3163" s="3" t="s">
        <v>31</v>
      </c>
      <c r="H3163" s="2" t="s">
        <v>20</v>
      </c>
      <c r="I3163" s="2" t="s">
        <v>6328</v>
      </c>
      <c r="J3163" s="3" t="str">
        <f>HYPERLINK("https://www.boe.es/gazeta/dias/1822/07/01/pdfs/GMD-1822-190.pdf#page=3","Abrir facsímil")</f>
        <v>Abrir facsímil</v>
      </c>
      <c r="K3163" s="3" t="s">
        <v>22</v>
      </c>
    </row>
    <row r="3164" spans="1:11" ht="42" customHeight="1">
      <c r="A3164" s="2" t="s">
        <v>6317</v>
      </c>
      <c r="B3164" s="2" t="s">
        <v>6317</v>
      </c>
      <c r="C3164" s="2" t="s">
        <v>50</v>
      </c>
      <c r="D3164" s="2" t="s">
        <v>51</v>
      </c>
      <c r="E3164" s="5">
        <v>-28303</v>
      </c>
      <c r="F3164" s="3" t="s">
        <v>201</v>
      </c>
      <c r="G3164" s="3" t="s">
        <v>31</v>
      </c>
      <c r="H3164" s="2" t="s">
        <v>20</v>
      </c>
      <c r="I3164" s="2" t="s">
        <v>6329</v>
      </c>
      <c r="J3164" s="3" t="str">
        <f>HYPERLINK("https://www.boe.es/gazeta/dias/1822/07/04/pdfs/GMD-1822-193.pdf#page=3","Abrir facsímil")</f>
        <v>Abrir facsímil</v>
      </c>
      <c r="K3164" s="3" t="s">
        <v>22</v>
      </c>
    </row>
    <row r="3165" spans="1:11" ht="42" customHeight="1">
      <c r="A3165" s="2" t="s">
        <v>6317</v>
      </c>
      <c r="B3165" s="2" t="s">
        <v>6317</v>
      </c>
      <c r="C3165" s="2" t="s">
        <v>50</v>
      </c>
      <c r="D3165" s="2" t="s">
        <v>51</v>
      </c>
      <c r="E3165" s="5">
        <v>-28299</v>
      </c>
      <c r="F3165" s="3" t="s">
        <v>423</v>
      </c>
      <c r="G3165" s="3" t="s">
        <v>31</v>
      </c>
      <c r="H3165" s="2" t="s">
        <v>20</v>
      </c>
      <c r="I3165" s="2" t="s">
        <v>6330</v>
      </c>
      <c r="J3165" s="3" t="str">
        <f>HYPERLINK("https://www.boe.es/gazeta/dias/1822/07/08/pdfs/GMD-1822-197.pdf#page=3","Abrir facsímil")</f>
        <v>Abrir facsímil</v>
      </c>
      <c r="K3165" s="3" t="s">
        <v>22</v>
      </c>
    </row>
    <row r="3166" spans="1:11" ht="42" customHeight="1">
      <c r="A3166" s="2" t="s">
        <v>6317</v>
      </c>
      <c r="B3166" s="2" t="s">
        <v>6317</v>
      </c>
      <c r="C3166" s="2" t="s">
        <v>50</v>
      </c>
      <c r="D3166" s="2" t="s">
        <v>51</v>
      </c>
      <c r="E3166" s="5">
        <v>-28290</v>
      </c>
      <c r="F3166" s="3" t="s">
        <v>706</v>
      </c>
      <c r="G3166" s="3" t="s">
        <v>31</v>
      </c>
      <c r="H3166" s="2" t="s">
        <v>20</v>
      </c>
      <c r="I3166" s="2" t="s">
        <v>6331</v>
      </c>
      <c r="J3166" s="3" t="str">
        <f>HYPERLINK("https://www.boe.es/gazeta/dias/1822/07/17/pdfs/GMD-1822-207.pdf#page=3","Abrir facsímil")</f>
        <v>Abrir facsímil</v>
      </c>
      <c r="K3166" s="3" t="s">
        <v>22</v>
      </c>
    </row>
    <row r="3167" spans="1:11" ht="42" customHeight="1">
      <c r="A3167" s="2" t="s">
        <v>6317</v>
      </c>
      <c r="B3167" s="2" t="s">
        <v>6317</v>
      </c>
      <c r="C3167" s="2" t="s">
        <v>50</v>
      </c>
      <c r="D3167" s="2" t="s">
        <v>51</v>
      </c>
      <c r="E3167" s="5">
        <v>-28281</v>
      </c>
      <c r="F3167" s="3" t="s">
        <v>3310</v>
      </c>
      <c r="G3167" s="3" t="s">
        <v>31</v>
      </c>
      <c r="H3167" s="2" t="s">
        <v>20</v>
      </c>
      <c r="I3167" s="2" t="s">
        <v>6332</v>
      </c>
      <c r="J3167" s="3" t="str">
        <f>HYPERLINK("https://www.boe.es/gazeta/dias/1822/07/26/pdfs/GMD-1822-219.pdf#page=3","Abrir facsímil")</f>
        <v>Abrir facsímil</v>
      </c>
      <c r="K3167" s="3" t="s">
        <v>22</v>
      </c>
    </row>
    <row r="3168" spans="1:11" ht="42" customHeight="1">
      <c r="A3168" s="2" t="s">
        <v>6315</v>
      </c>
      <c r="B3168" s="2" t="s">
        <v>6315</v>
      </c>
      <c r="C3168" s="2" t="s">
        <v>50</v>
      </c>
      <c r="D3168" s="2" t="s">
        <v>51</v>
      </c>
      <c r="E3168" s="5">
        <v>-28213</v>
      </c>
      <c r="F3168" s="3" t="s">
        <v>558</v>
      </c>
      <c r="G3168" s="3" t="s">
        <v>57</v>
      </c>
      <c r="H3168" s="2" t="s">
        <v>20</v>
      </c>
      <c r="I3168" s="2" t="s">
        <v>6333</v>
      </c>
      <c r="J3168" s="3" t="str">
        <f>HYPERLINK("https://www.boe.es/gazeta/dias/1822/10/02/pdfs/GMD-1822-288.pdf#page=4","Abrir facsímil")</f>
        <v>Abrir facsímil</v>
      </c>
      <c r="K3168" s="3" t="s">
        <v>22</v>
      </c>
    </row>
    <row r="3169" spans="1:11" ht="42" customHeight="1">
      <c r="A3169" s="2" t="s">
        <v>6317</v>
      </c>
      <c r="B3169" s="2" t="s">
        <v>6317</v>
      </c>
      <c r="C3169" s="2" t="s">
        <v>362</v>
      </c>
      <c r="D3169" s="2" t="s">
        <v>17</v>
      </c>
      <c r="E3169" s="5">
        <v>-28209</v>
      </c>
      <c r="F3169" s="3" t="s">
        <v>748</v>
      </c>
      <c r="G3169" s="3" t="s">
        <v>57</v>
      </c>
      <c r="H3169" s="2" t="s">
        <v>20</v>
      </c>
      <c r="I3169" s="2" t="s">
        <v>6334</v>
      </c>
      <c r="J3169" s="3" t="str">
        <f>HYPERLINK("https://www.boe.es/gazeta/dias/1822/10/06/pdfs/GMD-1822-292.pdf#page=4","Abrir facsímil")</f>
        <v>Abrir facsímil</v>
      </c>
      <c r="K3169" s="3" t="s">
        <v>22</v>
      </c>
    </row>
    <row r="3170" spans="1:11" ht="42" customHeight="1">
      <c r="A3170" s="2" t="s">
        <v>6317</v>
      </c>
      <c r="B3170" s="2" t="s">
        <v>6317</v>
      </c>
      <c r="C3170" s="2" t="s">
        <v>28</v>
      </c>
      <c r="D3170" s="2" t="s">
        <v>29</v>
      </c>
      <c r="E3170" s="5">
        <v>-28207</v>
      </c>
      <c r="F3170" s="3" t="s">
        <v>1325</v>
      </c>
      <c r="G3170" s="3" t="s">
        <v>31</v>
      </c>
      <c r="H3170" s="2" t="s">
        <v>20</v>
      </c>
      <c r="I3170" s="2" t="s">
        <v>6335</v>
      </c>
      <c r="J3170" s="3" t="str">
        <f>HYPERLINK("https://www.boe.es/gazeta/dias/1822/10/08/pdfs/GMD-1822-295.pdf#page=3","Abrir facsímil")</f>
        <v>Abrir facsímil</v>
      </c>
      <c r="K3170" s="3" t="s">
        <v>22</v>
      </c>
    </row>
    <row r="3171" spans="1:11" ht="42" customHeight="1">
      <c r="A3171" s="2" t="s">
        <v>6336</v>
      </c>
      <c r="B3171" s="2" t="s">
        <v>6336</v>
      </c>
      <c r="C3171" s="2" t="s">
        <v>50</v>
      </c>
      <c r="D3171" s="2" t="s">
        <v>51</v>
      </c>
      <c r="E3171" s="5">
        <v>-28339</v>
      </c>
      <c r="F3171" s="3" t="s">
        <v>197</v>
      </c>
      <c r="G3171" s="3" t="s">
        <v>63</v>
      </c>
      <c r="H3171" s="2" t="s">
        <v>20</v>
      </c>
      <c r="I3171" s="2" t="s">
        <v>6337</v>
      </c>
      <c r="J3171" s="3" t="str">
        <f>HYPERLINK("https://www.boe.es/gazeta/dias/1822/05/29/pdfs/GMD-1822-154.pdf#page=6","Abrir facsímil")</f>
        <v>Abrir facsímil</v>
      </c>
      <c r="K3171" s="3" t="s">
        <v>22</v>
      </c>
    </row>
    <row r="3172" spans="1:11" ht="42" customHeight="1">
      <c r="A3172" s="2" t="s">
        <v>6338</v>
      </c>
      <c r="B3172" s="2" t="s">
        <v>6339</v>
      </c>
      <c r="C3172" s="2" t="s">
        <v>28</v>
      </c>
      <c r="D3172" s="2" t="s">
        <v>29</v>
      </c>
      <c r="E3172" s="5">
        <v>-28450</v>
      </c>
      <c r="F3172" s="3" t="s">
        <v>1450</v>
      </c>
      <c r="G3172" s="3" t="s">
        <v>6340</v>
      </c>
      <c r="H3172" s="2" t="s">
        <v>20</v>
      </c>
      <c r="I3172" s="2" t="s">
        <v>6341</v>
      </c>
      <c r="J3172" s="3" t="str">
        <f>HYPERLINK("https://www.boe.es/gazeta/dias/1822/02/07/pdfs/GMD-1822-38.pdf#page=5","Abrir facsímil")</f>
        <v>Abrir facsímil</v>
      </c>
      <c r="K3172" s="3" t="s">
        <v>22</v>
      </c>
    </row>
    <row r="3173" spans="1:11" ht="42" customHeight="1">
      <c r="A3173" s="2" t="s">
        <v>6338</v>
      </c>
      <c r="B3173" s="2" t="s">
        <v>6339</v>
      </c>
      <c r="C3173" s="2" t="s">
        <v>61</v>
      </c>
      <c r="D3173" s="2" t="s">
        <v>17</v>
      </c>
      <c r="E3173" s="5">
        <v>-28429</v>
      </c>
      <c r="F3173" s="3" t="s">
        <v>2397</v>
      </c>
      <c r="G3173" s="3" t="s">
        <v>31</v>
      </c>
      <c r="H3173" s="2" t="s">
        <v>20</v>
      </c>
      <c r="I3173" s="2" t="s">
        <v>6342</v>
      </c>
      <c r="J3173" s="3" t="str">
        <f>HYPERLINK("https://www.boe.es/gazeta/dias/1822/02/28/pdfs/GMD-1822-60.pdf#page=3","Abrir facsímil")</f>
        <v>Abrir facsímil</v>
      </c>
      <c r="K3173" s="3" t="s">
        <v>22</v>
      </c>
    </row>
    <row r="3174" spans="1:11" ht="42" customHeight="1">
      <c r="A3174" s="2" t="s">
        <v>6338</v>
      </c>
      <c r="B3174" s="2" t="s">
        <v>6339</v>
      </c>
      <c r="C3174" s="2" t="s">
        <v>42</v>
      </c>
      <c r="D3174" s="2" t="s">
        <v>17</v>
      </c>
      <c r="E3174" s="5">
        <v>-28397</v>
      </c>
      <c r="F3174" s="3" t="s">
        <v>1401</v>
      </c>
      <c r="G3174" s="3" t="s">
        <v>3283</v>
      </c>
      <c r="H3174" s="2" t="s">
        <v>20</v>
      </c>
      <c r="I3174" s="2" t="s">
        <v>6343</v>
      </c>
      <c r="J3174" s="3" t="str">
        <f>HYPERLINK("https://www.boe.es/gazeta/dias/1822/04/01/pdfs/GMD-1822-93.pdf#page=3","Abrir facsímil")</f>
        <v>Abrir facsímil</v>
      </c>
      <c r="K3174" s="3" t="s">
        <v>22</v>
      </c>
    </row>
    <row r="3175" spans="1:11" ht="42" customHeight="1">
      <c r="A3175" s="2" t="s">
        <v>6338</v>
      </c>
      <c r="B3175" s="2" t="s">
        <v>6339</v>
      </c>
      <c r="C3175" s="2" t="s">
        <v>28</v>
      </c>
      <c r="D3175" s="2" t="s">
        <v>29</v>
      </c>
      <c r="E3175" s="5">
        <v>-28361</v>
      </c>
      <c r="F3175" s="3" t="s">
        <v>374</v>
      </c>
      <c r="G3175" s="3" t="s">
        <v>35</v>
      </c>
      <c r="H3175" s="2" t="s">
        <v>20</v>
      </c>
      <c r="I3175" s="2" t="s">
        <v>6344</v>
      </c>
      <c r="J3175" s="3" t="str">
        <f>HYPERLINK("https://www.boe.es/gazeta/dias/1822/05/07/pdfs/GMD-1822-129.pdf#page=2","Abrir facsímil")</f>
        <v>Abrir facsímil</v>
      </c>
      <c r="K3175" s="3" t="s">
        <v>22</v>
      </c>
    </row>
    <row r="3176" spans="1:11" ht="42" customHeight="1">
      <c r="A3176" s="2" t="s">
        <v>6338</v>
      </c>
      <c r="B3176" s="2" t="s">
        <v>6339</v>
      </c>
      <c r="C3176" s="2" t="s">
        <v>28</v>
      </c>
      <c r="D3176" s="2" t="s">
        <v>29</v>
      </c>
      <c r="E3176" s="5">
        <v>-28353</v>
      </c>
      <c r="F3176" s="3" t="s">
        <v>843</v>
      </c>
      <c r="G3176" s="3" t="s">
        <v>35</v>
      </c>
      <c r="H3176" s="2" t="s">
        <v>20</v>
      </c>
      <c r="I3176" s="2" t="s">
        <v>6345</v>
      </c>
      <c r="J3176" s="3" t="str">
        <f>HYPERLINK("https://www.boe.es/gazeta/dias/1822/05/15/pdfs/GMD-1822-137.pdf#page=2","Abrir facsímil")</f>
        <v>Abrir facsímil</v>
      </c>
      <c r="K3176" s="3" t="s">
        <v>22</v>
      </c>
    </row>
    <row r="3177" spans="1:11" ht="42" customHeight="1">
      <c r="A3177" s="2" t="s">
        <v>6338</v>
      </c>
      <c r="B3177" s="2" t="s">
        <v>6339</v>
      </c>
      <c r="C3177" s="2" t="s">
        <v>71</v>
      </c>
      <c r="D3177" s="2" t="s">
        <v>17</v>
      </c>
      <c r="E3177" s="5">
        <v>-28353</v>
      </c>
      <c r="F3177" s="3" t="s">
        <v>843</v>
      </c>
      <c r="G3177" s="3" t="s">
        <v>19</v>
      </c>
      <c r="H3177" s="2" t="s">
        <v>20</v>
      </c>
      <c r="I3177" s="2" t="s">
        <v>6346</v>
      </c>
      <c r="J3177" s="3" t="str">
        <f>HYPERLINK("https://www.boe.es/gazeta/dias/1822/05/15/pdfs/GMD-1822-137.pdf#page=5","Abrir facsímil")</f>
        <v>Abrir facsímil</v>
      </c>
      <c r="K3177" s="3" t="s">
        <v>22</v>
      </c>
    </row>
    <row r="3178" spans="1:11" ht="42" customHeight="1">
      <c r="A3178" s="2" t="s">
        <v>6338</v>
      </c>
      <c r="B3178" s="2" t="s">
        <v>6339</v>
      </c>
      <c r="C3178" s="2" t="s">
        <v>71</v>
      </c>
      <c r="D3178" s="2" t="s">
        <v>17</v>
      </c>
      <c r="E3178" s="5">
        <v>-28270</v>
      </c>
      <c r="F3178" s="3" t="s">
        <v>130</v>
      </c>
      <c r="G3178" s="3" t="s">
        <v>6347</v>
      </c>
      <c r="H3178" s="2" t="s">
        <v>20</v>
      </c>
      <c r="I3178" s="2" t="s">
        <v>6348</v>
      </c>
      <c r="J3178" s="3" t="str">
        <f>HYPERLINK("https://www.boe.es/gazeta/dias/1822/08/06/pdfs/GMD-1822-230.pdf#page=4","Abrir facsímil")</f>
        <v>Abrir facsímil</v>
      </c>
      <c r="K3178" s="3" t="s">
        <v>22</v>
      </c>
    </row>
    <row r="3179" spans="1:11" ht="42" customHeight="1">
      <c r="A3179" s="2" t="s">
        <v>6349</v>
      </c>
      <c r="B3179" s="2" t="s">
        <v>6349</v>
      </c>
      <c r="C3179" s="2" t="s">
        <v>42</v>
      </c>
      <c r="D3179" s="2" t="s">
        <v>17</v>
      </c>
      <c r="E3179" s="5">
        <v>-28131</v>
      </c>
      <c r="F3179" s="3" t="s">
        <v>893</v>
      </c>
      <c r="G3179" s="3" t="s">
        <v>991</v>
      </c>
      <c r="H3179" s="2" t="s">
        <v>20</v>
      </c>
      <c r="I3179" s="2" t="s">
        <v>6350</v>
      </c>
      <c r="J3179" s="3" t="str">
        <f>HYPERLINK("https://www.boe.es/gazeta/dias/1822/12/23/pdfs/GMD-1822-373.pdf#page=6","Abrir facsímil")</f>
        <v>Abrir facsímil</v>
      </c>
      <c r="K3179" s="3" t="s">
        <v>22</v>
      </c>
    </row>
    <row r="3180" spans="1:11" ht="42" customHeight="1">
      <c r="A3180" s="2" t="s">
        <v>6351</v>
      </c>
      <c r="B3180" s="2" t="s">
        <v>6352</v>
      </c>
      <c r="C3180" s="2" t="s">
        <v>42</v>
      </c>
      <c r="D3180" s="2" t="s">
        <v>17</v>
      </c>
      <c r="E3180" s="5">
        <v>-28195</v>
      </c>
      <c r="F3180" s="3" t="s">
        <v>770</v>
      </c>
      <c r="G3180" s="3" t="s">
        <v>35</v>
      </c>
      <c r="H3180" s="2" t="s">
        <v>20</v>
      </c>
      <c r="I3180" s="2" t="s">
        <v>6353</v>
      </c>
      <c r="J3180" s="3" t="str">
        <f>HYPERLINK("https://www.boe.es/gazeta/dias/1822/10/20/pdfs/GMD-1822-307.pdf#page=2","Abrir facsímil")</f>
        <v>Abrir facsímil</v>
      </c>
      <c r="K3180" s="3" t="s">
        <v>22</v>
      </c>
    </row>
    <row r="3181" spans="1:11" ht="42" customHeight="1">
      <c r="A3181" s="2" t="s">
        <v>6354</v>
      </c>
      <c r="B3181" s="2" t="s">
        <v>6355</v>
      </c>
      <c r="C3181" s="2" t="s">
        <v>24</v>
      </c>
      <c r="D3181" s="2" t="s">
        <v>17</v>
      </c>
      <c r="E3181" s="5">
        <v>-28375</v>
      </c>
      <c r="F3181" s="3" t="s">
        <v>2035</v>
      </c>
      <c r="G3181" s="3" t="s">
        <v>35</v>
      </c>
      <c r="H3181" s="2" t="s">
        <v>20</v>
      </c>
      <c r="I3181" s="2" t="s">
        <v>6356</v>
      </c>
      <c r="J3181" s="3" t="str">
        <f>HYPERLINK("https://www.boe.es/gazeta/dias/1822/04/23/pdfs/GMD-1822-115.pdf#page=2","Abrir facsímil")</f>
        <v>Abrir facsímil</v>
      </c>
      <c r="K3181" s="3" t="s">
        <v>22</v>
      </c>
    </row>
    <row r="3182" spans="1:11" ht="42" customHeight="1">
      <c r="A3182" s="2" t="s">
        <v>6354</v>
      </c>
      <c r="B3182" s="2" t="s">
        <v>6355</v>
      </c>
      <c r="C3182" s="2" t="s">
        <v>28</v>
      </c>
      <c r="D3182" s="2" t="s">
        <v>29</v>
      </c>
      <c r="E3182" s="5">
        <v>-28236</v>
      </c>
      <c r="F3182" s="3" t="s">
        <v>714</v>
      </c>
      <c r="G3182" s="3" t="s">
        <v>35</v>
      </c>
      <c r="H3182" s="2" t="s">
        <v>20</v>
      </c>
      <c r="I3182" s="2" t="s">
        <v>6357</v>
      </c>
      <c r="J3182" s="3" t="str">
        <f>HYPERLINK("https://www.boe.es/gazeta/dias/1822/09/09/pdfs/GMD-1822-265.pdf#page=2","Abrir facsímil")</f>
        <v>Abrir facsímil</v>
      </c>
      <c r="K3182" s="3" t="s">
        <v>22</v>
      </c>
    </row>
    <row r="3183" spans="1:11" ht="42" customHeight="1">
      <c r="A3183" s="2" t="s">
        <v>6358</v>
      </c>
      <c r="B3183" s="2" t="s">
        <v>6359</v>
      </c>
      <c r="C3183" s="2" t="s">
        <v>28</v>
      </c>
      <c r="D3183" s="2" t="s">
        <v>29</v>
      </c>
      <c r="E3183" s="5">
        <v>-28401</v>
      </c>
      <c r="F3183" s="3" t="s">
        <v>108</v>
      </c>
      <c r="G3183" s="3" t="s">
        <v>44</v>
      </c>
      <c r="H3183" s="2" t="s">
        <v>20</v>
      </c>
      <c r="I3183" s="2" t="s">
        <v>6360</v>
      </c>
      <c r="J3183" s="3" t="str">
        <f>HYPERLINK("https://www.boe.es/gazeta/dias/1822/03/28/pdfs/GMD-1822-89.pdf#page=1","Abrir facsímil")</f>
        <v>Abrir facsímil</v>
      </c>
      <c r="K3183" s="3" t="s">
        <v>22</v>
      </c>
    </row>
    <row r="3184" spans="1:11" ht="42" customHeight="1">
      <c r="A3184" s="2" t="s">
        <v>6361</v>
      </c>
      <c r="B3184" s="2" t="s">
        <v>6362</v>
      </c>
      <c r="C3184" s="2" t="s">
        <v>16</v>
      </c>
      <c r="D3184" s="2" t="s">
        <v>17</v>
      </c>
      <c r="E3184" s="5">
        <v>-28331</v>
      </c>
      <c r="F3184" s="3" t="s">
        <v>537</v>
      </c>
      <c r="G3184" s="3" t="s">
        <v>44</v>
      </c>
      <c r="H3184" s="2" t="s">
        <v>20</v>
      </c>
      <c r="I3184" s="2" t="s">
        <v>6363</v>
      </c>
      <c r="J3184" s="3" t="str">
        <f>HYPERLINK("https://www.boe.es/gazeta/dias/1822/06/06/pdfs/GMD-1822-163.pdf#page=1","Abrir facsímil")</f>
        <v>Abrir facsímil</v>
      </c>
      <c r="K3184" s="3" t="s">
        <v>22</v>
      </c>
    </row>
    <row r="3185" spans="1:11" ht="42" customHeight="1">
      <c r="A3185" s="2" t="s">
        <v>6364</v>
      </c>
      <c r="B3185" s="2" t="s">
        <v>6365</v>
      </c>
      <c r="C3185" s="2" t="s">
        <v>50</v>
      </c>
      <c r="D3185" s="2" t="s">
        <v>51</v>
      </c>
      <c r="E3185" s="5">
        <v>-28331</v>
      </c>
      <c r="F3185" s="3" t="s">
        <v>537</v>
      </c>
      <c r="G3185" s="3" t="s">
        <v>44</v>
      </c>
      <c r="H3185" s="2" t="s">
        <v>20</v>
      </c>
      <c r="I3185" s="2" t="s">
        <v>6366</v>
      </c>
      <c r="J3185" s="3" t="str">
        <f>HYPERLINK("https://www.boe.es/gazeta/dias/1822/06/06/pdfs/GMD-1822-163.pdf#page=1","Abrir facsímil")</f>
        <v>Abrir facsímil</v>
      </c>
      <c r="K3185" s="3" t="s">
        <v>22</v>
      </c>
    </row>
    <row r="3186" spans="1:11" ht="42" customHeight="1">
      <c r="A3186" s="2" t="s">
        <v>6367</v>
      </c>
      <c r="B3186" s="2" t="s">
        <v>6368</v>
      </c>
      <c r="C3186" s="2" t="s">
        <v>42</v>
      </c>
      <c r="D3186" s="2" t="s">
        <v>17</v>
      </c>
      <c r="E3186" s="5">
        <v>-28456</v>
      </c>
      <c r="F3186" s="3" t="s">
        <v>1104</v>
      </c>
      <c r="G3186" s="3" t="s">
        <v>44</v>
      </c>
      <c r="H3186" s="2" t="s">
        <v>20</v>
      </c>
      <c r="I3186" s="2" t="s">
        <v>6369</v>
      </c>
      <c r="J3186" s="3" t="str">
        <f>HYPERLINK("https://www.boe.es/gazeta/dias/1822/02/01/pdfs/GMD-1822-32.pdf#page=1","Abrir facsímil")</f>
        <v>Abrir facsímil</v>
      </c>
      <c r="K3186" s="3" t="s">
        <v>22</v>
      </c>
    </row>
    <row r="3187" spans="1:11" ht="42" customHeight="1">
      <c r="A3187" s="2" t="s">
        <v>6367</v>
      </c>
      <c r="B3187" s="2" t="s">
        <v>6368</v>
      </c>
      <c r="C3187" s="2" t="s">
        <v>28</v>
      </c>
      <c r="D3187" s="2" t="s">
        <v>29</v>
      </c>
      <c r="E3187" s="5">
        <v>-28441</v>
      </c>
      <c r="F3187" s="3" t="s">
        <v>429</v>
      </c>
      <c r="G3187" s="3" t="s">
        <v>35</v>
      </c>
      <c r="H3187" s="2" t="s">
        <v>20</v>
      </c>
      <c r="I3187" s="2" t="s">
        <v>6370</v>
      </c>
      <c r="J3187" s="3" t="str">
        <f>HYPERLINK("https://www.boe.es/gazeta/dias/1822/02/16/pdfs/GMD-1822-48.pdf#page=2","Abrir facsímil")</f>
        <v>Abrir facsímil</v>
      </c>
      <c r="K3187" s="3" t="s">
        <v>22</v>
      </c>
    </row>
    <row r="3188" spans="1:11" ht="42" customHeight="1">
      <c r="A3188" s="2" t="s">
        <v>6367</v>
      </c>
      <c r="B3188" s="2" t="s">
        <v>6368</v>
      </c>
      <c r="C3188" s="2" t="s">
        <v>28</v>
      </c>
      <c r="D3188" s="2" t="s">
        <v>29</v>
      </c>
      <c r="E3188" s="5">
        <v>-28439</v>
      </c>
      <c r="F3188" s="3" t="s">
        <v>2752</v>
      </c>
      <c r="G3188" s="3" t="s">
        <v>4031</v>
      </c>
      <c r="H3188" s="2" t="s">
        <v>20</v>
      </c>
      <c r="I3188" s="2" t="s">
        <v>6371</v>
      </c>
      <c r="J3188" s="3" t="str">
        <f>HYPERLINK("https://www.boe.es/gazeta/dias/1822/02/18/pdfs/GMD-1822-50.pdf#page=2","Abrir facsímil")</f>
        <v>Abrir facsímil</v>
      </c>
      <c r="K3188" s="3" t="s">
        <v>22</v>
      </c>
    </row>
    <row r="3189" spans="1:11" ht="42" customHeight="1">
      <c r="A3189" s="2" t="s">
        <v>6367</v>
      </c>
      <c r="B3189" s="2" t="s">
        <v>6368</v>
      </c>
      <c r="C3189" s="2" t="s">
        <v>50</v>
      </c>
      <c r="D3189" s="2" t="s">
        <v>51</v>
      </c>
      <c r="E3189" s="5">
        <v>-28431</v>
      </c>
      <c r="F3189" s="3" t="s">
        <v>1258</v>
      </c>
      <c r="G3189" s="3" t="s">
        <v>31</v>
      </c>
      <c r="H3189" s="2" t="s">
        <v>20</v>
      </c>
      <c r="I3189" s="2" t="s">
        <v>6372</v>
      </c>
      <c r="J3189" s="3" t="str">
        <f>HYPERLINK("https://www.boe.es/gazeta/dias/1822/02/26/pdfs/GMD-1822-58.pdf#page=3","Abrir facsímil")</f>
        <v>Abrir facsímil</v>
      </c>
      <c r="K3189" s="3" t="s">
        <v>22</v>
      </c>
    </row>
    <row r="3190" spans="1:11" ht="42" customHeight="1">
      <c r="A3190" s="2" t="s">
        <v>6367</v>
      </c>
      <c r="B3190" s="2" t="s">
        <v>6368</v>
      </c>
      <c r="C3190" s="2" t="s">
        <v>50</v>
      </c>
      <c r="D3190" s="2" t="s">
        <v>51</v>
      </c>
      <c r="E3190" s="5">
        <v>-28424</v>
      </c>
      <c r="F3190" s="3" t="s">
        <v>439</v>
      </c>
      <c r="G3190" s="3" t="s">
        <v>44</v>
      </c>
      <c r="H3190" s="2" t="s">
        <v>20</v>
      </c>
      <c r="I3190" s="2" t="s">
        <v>6373</v>
      </c>
      <c r="J3190" s="3" t="str">
        <f>HYPERLINK("https://www.boe.es/gazeta/dias/1822/03/05/pdfs/GMD-1822-66.pdf#page=1","Abrir facsímil")</f>
        <v>Abrir facsímil</v>
      </c>
      <c r="K3190" s="3" t="s">
        <v>22</v>
      </c>
    </row>
    <row r="3191" spans="1:11" ht="42" customHeight="1">
      <c r="A3191" s="2" t="s">
        <v>6367</v>
      </c>
      <c r="B3191" s="2" t="s">
        <v>6368</v>
      </c>
      <c r="C3191" s="2" t="s">
        <v>42</v>
      </c>
      <c r="D3191" s="2" t="s">
        <v>17</v>
      </c>
      <c r="E3191" s="5">
        <v>-28393</v>
      </c>
      <c r="F3191" s="3" t="s">
        <v>326</v>
      </c>
      <c r="G3191" s="3" t="s">
        <v>35</v>
      </c>
      <c r="H3191" s="2" t="s">
        <v>20</v>
      </c>
      <c r="I3191" s="2" t="s">
        <v>6374</v>
      </c>
      <c r="J3191" s="3" t="str">
        <f>HYPERLINK("https://www.boe.es/gazeta/dias/1822/04/05/pdfs/GMD-1822-97.pdf#page=2","Abrir facsímil")</f>
        <v>Abrir facsímil</v>
      </c>
      <c r="K3191" s="3" t="s">
        <v>22</v>
      </c>
    </row>
    <row r="3192" spans="1:11" ht="42" customHeight="1">
      <c r="A3192" s="2" t="s">
        <v>6367</v>
      </c>
      <c r="B3192" s="2" t="s">
        <v>6368</v>
      </c>
      <c r="C3192" s="2" t="s">
        <v>42</v>
      </c>
      <c r="D3192" s="2" t="s">
        <v>17</v>
      </c>
      <c r="E3192" s="5">
        <v>-28278</v>
      </c>
      <c r="F3192" s="3" t="s">
        <v>368</v>
      </c>
      <c r="G3192" s="3" t="s">
        <v>35</v>
      </c>
      <c r="H3192" s="2" t="s">
        <v>20</v>
      </c>
      <c r="I3192" s="2" t="s">
        <v>6375</v>
      </c>
      <c r="J3192" s="3" t="str">
        <f>HYPERLINK("https://www.boe.es/gazeta/dias/1822/07/29/pdfs/GMD-1822-222.pdf#page=2","Abrir facsímil")</f>
        <v>Abrir facsímil</v>
      </c>
      <c r="K3192" s="3" t="s">
        <v>22</v>
      </c>
    </row>
    <row r="3193" spans="1:11" ht="42" customHeight="1">
      <c r="A3193" s="2" t="s">
        <v>6367</v>
      </c>
      <c r="B3193" s="2" t="s">
        <v>6368</v>
      </c>
      <c r="C3193" s="2" t="s">
        <v>42</v>
      </c>
      <c r="D3193" s="2" t="s">
        <v>17</v>
      </c>
      <c r="E3193" s="5">
        <v>-28273</v>
      </c>
      <c r="F3193" s="3" t="s">
        <v>1063</v>
      </c>
      <c r="G3193" s="3" t="s">
        <v>35</v>
      </c>
      <c r="H3193" s="2" t="s">
        <v>20</v>
      </c>
      <c r="I3193" s="2" t="s">
        <v>6376</v>
      </c>
      <c r="J3193" s="3" t="str">
        <f>HYPERLINK("https://www.boe.es/gazeta/dias/1822/08/03/pdfs/GMD-1822-227.pdf#page=2","Abrir facsímil")</f>
        <v>Abrir facsímil</v>
      </c>
      <c r="K3193" s="3" t="s">
        <v>22</v>
      </c>
    </row>
    <row r="3194" spans="1:11" ht="42" customHeight="1">
      <c r="A3194" s="2" t="s">
        <v>6367</v>
      </c>
      <c r="B3194" s="2" t="s">
        <v>6368</v>
      </c>
      <c r="C3194" s="2" t="s">
        <v>42</v>
      </c>
      <c r="D3194" s="2" t="s">
        <v>17</v>
      </c>
      <c r="E3194" s="5">
        <v>-28248</v>
      </c>
      <c r="F3194" s="3" t="s">
        <v>4807</v>
      </c>
      <c r="G3194" s="3" t="s">
        <v>44</v>
      </c>
      <c r="H3194" s="2" t="s">
        <v>20</v>
      </c>
      <c r="I3194" s="2" t="s">
        <v>6377</v>
      </c>
      <c r="J3194" s="3" t="str">
        <f>HYPERLINK("https://www.boe.es/gazeta/dias/1822/08/28/pdfs/GMD-1822-252.pdf#page=1","Abrir facsímil")</f>
        <v>Abrir facsímil</v>
      </c>
      <c r="K3194" s="3" t="s">
        <v>22</v>
      </c>
    </row>
    <row r="3195" spans="1:11" ht="42" customHeight="1">
      <c r="A3195" s="2" t="s">
        <v>6367</v>
      </c>
      <c r="B3195" s="2" t="s">
        <v>6368</v>
      </c>
      <c r="C3195" s="2" t="s">
        <v>50</v>
      </c>
      <c r="D3195" s="2" t="s">
        <v>51</v>
      </c>
      <c r="E3195" s="5">
        <v>-28241</v>
      </c>
      <c r="F3195" s="3" t="s">
        <v>3068</v>
      </c>
      <c r="G3195" s="3" t="s">
        <v>35</v>
      </c>
      <c r="H3195" s="2" t="s">
        <v>20</v>
      </c>
      <c r="I3195" s="2" t="s">
        <v>6378</v>
      </c>
      <c r="J3195" s="3" t="str">
        <f>HYPERLINK("https://www.boe.es/gazeta/dias/1822/09/04/pdfs/GMD-1822-259.pdf#page=2","Abrir facsímil")</f>
        <v>Abrir facsímil</v>
      </c>
      <c r="K3195" s="3" t="s">
        <v>22</v>
      </c>
    </row>
    <row r="3196" spans="1:11" ht="42" customHeight="1">
      <c r="A3196" s="2" t="s">
        <v>6367</v>
      </c>
      <c r="B3196" s="2" t="s">
        <v>6368</v>
      </c>
      <c r="C3196" s="2" t="s">
        <v>24</v>
      </c>
      <c r="D3196" s="2" t="s">
        <v>17</v>
      </c>
      <c r="E3196" s="5">
        <v>-28207</v>
      </c>
      <c r="F3196" s="3" t="s">
        <v>1325</v>
      </c>
      <c r="G3196" s="3" t="s">
        <v>44</v>
      </c>
      <c r="H3196" s="2" t="s">
        <v>20</v>
      </c>
      <c r="I3196" s="2" t="s">
        <v>6379</v>
      </c>
      <c r="J3196" s="3" t="str">
        <f>HYPERLINK("https://www.boe.es/gazeta/dias/1822/10/08/pdfs/GMD-1822-295.pdf#page=1","Abrir facsímil")</f>
        <v>Abrir facsímil</v>
      </c>
      <c r="K3196" s="3" t="s">
        <v>22</v>
      </c>
    </row>
    <row r="3197" spans="1:11" ht="42" customHeight="1">
      <c r="A3197" s="2" t="s">
        <v>6380</v>
      </c>
      <c r="B3197" s="2" t="s">
        <v>6381</v>
      </c>
      <c r="C3197" s="2" t="s">
        <v>16</v>
      </c>
      <c r="D3197" s="2" t="s">
        <v>17</v>
      </c>
      <c r="E3197" s="5">
        <v>-28424</v>
      </c>
      <c r="F3197" s="3" t="s">
        <v>439</v>
      </c>
      <c r="G3197" s="3" t="s">
        <v>44</v>
      </c>
      <c r="H3197" s="2" t="s">
        <v>20</v>
      </c>
      <c r="I3197" s="2" t="s">
        <v>6382</v>
      </c>
      <c r="J3197" s="3" t="str">
        <f>HYPERLINK("https://www.boe.es/gazeta/dias/1822/03/05/pdfs/GMD-1822-66.pdf#page=1","Abrir facsímil")</f>
        <v>Abrir facsímil</v>
      </c>
      <c r="K3197" s="3" t="s">
        <v>22</v>
      </c>
    </row>
    <row r="3198" spans="1:11" ht="42" customHeight="1">
      <c r="A3198" s="2" t="s">
        <v>6383</v>
      </c>
      <c r="B3198" s="2" t="s">
        <v>6384</v>
      </c>
      <c r="C3198" s="2" t="s">
        <v>50</v>
      </c>
      <c r="D3198" s="2" t="s">
        <v>51</v>
      </c>
      <c r="E3198" s="5">
        <v>-28328</v>
      </c>
      <c r="F3198" s="3" t="s">
        <v>540</v>
      </c>
      <c r="G3198" s="3" t="s">
        <v>44</v>
      </c>
      <c r="H3198" s="2" t="s">
        <v>20</v>
      </c>
      <c r="I3198" s="2" t="s">
        <v>6385</v>
      </c>
      <c r="J3198" s="3" t="str">
        <f>HYPERLINK("https://www.boe.es/gazeta/dias/1822/06/09/pdfs/GMD-1822-166.pdf#page=1","Abrir facsímil")</f>
        <v>Abrir facsímil</v>
      </c>
      <c r="K3198" s="3" t="s">
        <v>22</v>
      </c>
    </row>
    <row r="3199" spans="1:11" ht="42" customHeight="1">
      <c r="A3199" s="2" t="s">
        <v>6386</v>
      </c>
      <c r="B3199" s="2" t="s">
        <v>6387</v>
      </c>
      <c r="C3199" s="2" t="s">
        <v>71</v>
      </c>
      <c r="D3199" s="2" t="s">
        <v>17</v>
      </c>
      <c r="E3199" s="5">
        <v>-28229</v>
      </c>
      <c r="F3199" s="3" t="s">
        <v>2310</v>
      </c>
      <c r="G3199" s="3" t="s">
        <v>57</v>
      </c>
      <c r="H3199" s="2" t="s">
        <v>20</v>
      </c>
      <c r="I3199" s="2" t="s">
        <v>6388</v>
      </c>
      <c r="J3199" s="3" t="str">
        <f>HYPERLINK("https://www.boe.es/gazeta/dias/1822/09/16/pdfs/GMD-1822-272.pdf#page=4","Abrir facsímil")</f>
        <v>Abrir facsímil</v>
      </c>
      <c r="K3199" s="3" t="s">
        <v>22</v>
      </c>
    </row>
    <row r="3200" spans="1:11" ht="42" customHeight="1">
      <c r="A3200" s="2" t="s">
        <v>6389</v>
      </c>
      <c r="B3200" s="2" t="s">
        <v>6390</v>
      </c>
      <c r="C3200" s="2" t="s">
        <v>16</v>
      </c>
      <c r="D3200" s="2" t="s">
        <v>17</v>
      </c>
      <c r="E3200" s="5">
        <v>-28239</v>
      </c>
      <c r="F3200" s="3" t="s">
        <v>3154</v>
      </c>
      <c r="G3200" s="3" t="s">
        <v>44</v>
      </c>
      <c r="H3200" s="2" t="s">
        <v>20</v>
      </c>
      <c r="I3200" s="2" t="s">
        <v>6391</v>
      </c>
      <c r="J3200" s="3" t="str">
        <f>HYPERLINK("https://www.boe.es/gazeta/dias/1822/09/06/pdfs/GMD-1822-261.pdf#page=1","Abrir facsímil")</f>
        <v>Abrir facsímil</v>
      </c>
      <c r="K3200" s="3" t="s">
        <v>22</v>
      </c>
    </row>
    <row r="3201" spans="1:11" ht="42" customHeight="1">
      <c r="A3201" s="2" t="s">
        <v>6392</v>
      </c>
      <c r="B3201" s="2" t="s">
        <v>6393</v>
      </c>
      <c r="C3201" s="2" t="s">
        <v>42</v>
      </c>
      <c r="D3201" s="2" t="s">
        <v>17</v>
      </c>
      <c r="E3201" s="5">
        <v>-28346</v>
      </c>
      <c r="F3201" s="3" t="s">
        <v>191</v>
      </c>
      <c r="G3201" s="3" t="s">
        <v>63</v>
      </c>
      <c r="H3201" s="2" t="s">
        <v>20</v>
      </c>
      <c r="I3201" s="2" t="s">
        <v>6394</v>
      </c>
      <c r="J3201" s="3" t="str">
        <f>HYPERLINK("https://www.boe.es/gazeta/dias/1822/05/22/pdfs/GMD-1822-145.pdf#page=6","Abrir facsímil")</f>
        <v>Abrir facsímil</v>
      </c>
      <c r="K3201" s="3" t="s">
        <v>22</v>
      </c>
    </row>
    <row r="3202" spans="1:11" ht="42" customHeight="1">
      <c r="A3202" s="2" t="s">
        <v>6392</v>
      </c>
      <c r="B3202" s="2" t="s">
        <v>6393</v>
      </c>
      <c r="C3202" s="2" t="s">
        <v>24</v>
      </c>
      <c r="D3202" s="2" t="s">
        <v>17</v>
      </c>
      <c r="E3202" s="5">
        <v>-28277</v>
      </c>
      <c r="F3202" s="3" t="s">
        <v>296</v>
      </c>
      <c r="G3202" s="3" t="s">
        <v>63</v>
      </c>
      <c r="H3202" s="2" t="s">
        <v>20</v>
      </c>
      <c r="I3202" s="2" t="s">
        <v>6395</v>
      </c>
      <c r="J3202" s="3" t="str">
        <f>HYPERLINK("https://www.boe.es/gazeta/dias/1822/07/30/pdfs/GMD-1822-223.pdf#page=6","Abrir facsímil")</f>
        <v>Abrir facsímil</v>
      </c>
      <c r="K3202" s="3" t="s">
        <v>22</v>
      </c>
    </row>
    <row r="3203" spans="1:11" ht="42" customHeight="1">
      <c r="A3203" s="2" t="s">
        <v>6396</v>
      </c>
      <c r="B3203" s="2" t="s">
        <v>6397</v>
      </c>
      <c r="C3203" s="2" t="s">
        <v>50</v>
      </c>
      <c r="D3203" s="2" t="s">
        <v>51</v>
      </c>
      <c r="E3203" s="5">
        <v>-28221</v>
      </c>
      <c r="F3203" s="3" t="s">
        <v>2591</v>
      </c>
      <c r="G3203" s="3" t="s">
        <v>57</v>
      </c>
      <c r="H3203" s="2" t="s">
        <v>20</v>
      </c>
      <c r="I3203" s="2" t="s">
        <v>6398</v>
      </c>
      <c r="J3203" s="3" t="str">
        <f>HYPERLINK("https://www.boe.es/gazeta/dias/1822/09/24/pdfs/GMD-1822-280.pdf#page=4","Abrir facsímil")</f>
        <v>Abrir facsímil</v>
      </c>
      <c r="K3203" s="3" t="s">
        <v>22</v>
      </c>
    </row>
    <row r="3204" spans="1:11" ht="42" customHeight="1">
      <c r="A3204" s="2" t="s">
        <v>6396</v>
      </c>
      <c r="B3204" s="2" t="s">
        <v>6397</v>
      </c>
      <c r="C3204" s="2" t="s">
        <v>50</v>
      </c>
      <c r="D3204" s="2" t="s">
        <v>51</v>
      </c>
      <c r="E3204" s="5">
        <v>-28163</v>
      </c>
      <c r="F3204" s="3" t="s">
        <v>891</v>
      </c>
      <c r="G3204" s="3" t="s">
        <v>63</v>
      </c>
      <c r="H3204" s="2" t="s">
        <v>20</v>
      </c>
      <c r="I3204" s="2" t="s">
        <v>6399</v>
      </c>
      <c r="J3204" s="3" t="str">
        <f>HYPERLINK("https://www.boe.es/gazeta/dias/1822/11/21/pdfs/GMD-1822-341.pdf#page=6","Abrir facsímil")</f>
        <v>Abrir facsímil</v>
      </c>
      <c r="K3204" s="3" t="s">
        <v>22</v>
      </c>
    </row>
    <row r="3205" spans="1:11" ht="42" customHeight="1">
      <c r="A3205" s="2" t="s">
        <v>6400</v>
      </c>
      <c r="B3205" s="2" t="s">
        <v>6401</v>
      </c>
      <c r="C3205" s="2" t="s">
        <v>50</v>
      </c>
      <c r="D3205" s="2" t="s">
        <v>51</v>
      </c>
      <c r="E3205" s="5">
        <v>-28230</v>
      </c>
      <c r="F3205" s="3" t="s">
        <v>1735</v>
      </c>
      <c r="G3205" s="3" t="s">
        <v>31</v>
      </c>
      <c r="H3205" s="2" t="s">
        <v>20</v>
      </c>
      <c r="I3205" s="2" t="s">
        <v>6402</v>
      </c>
      <c r="J3205" s="3" t="str">
        <f>HYPERLINK("https://www.boe.es/gazeta/dias/1822/09/15/pdfs/GMD-1822-271.pdf#page=3","Abrir facsímil")</f>
        <v>Abrir facsímil</v>
      </c>
      <c r="K3205" s="3" t="s">
        <v>22</v>
      </c>
    </row>
    <row r="3206" spans="1:11" ht="42" customHeight="1">
      <c r="A3206" s="2" t="s">
        <v>6403</v>
      </c>
      <c r="B3206" s="2" t="s">
        <v>6404</v>
      </c>
      <c r="C3206" s="2" t="s">
        <v>42</v>
      </c>
      <c r="D3206" s="2" t="s">
        <v>17</v>
      </c>
      <c r="E3206" s="5">
        <v>-28298</v>
      </c>
      <c r="F3206" s="3" t="s">
        <v>6405</v>
      </c>
      <c r="G3206" s="3" t="s">
        <v>35</v>
      </c>
      <c r="H3206" s="2" t="s">
        <v>20</v>
      </c>
      <c r="I3206" s="2" t="s">
        <v>6406</v>
      </c>
      <c r="J3206" s="3" t="str">
        <f>HYPERLINK("https://www.boe.es/gazeta/dias/1822/07/09/pdfs/GMD-1822-199.pdf#page=2","Abrir facsímil")</f>
        <v>Abrir facsímil</v>
      </c>
      <c r="K3206" s="3" t="s">
        <v>22</v>
      </c>
    </row>
    <row r="3207" spans="1:11" ht="42" customHeight="1">
      <c r="A3207" s="2" t="s">
        <v>6407</v>
      </c>
      <c r="B3207" s="2" t="s">
        <v>6408</v>
      </c>
      <c r="C3207" s="2" t="s">
        <v>24</v>
      </c>
      <c r="D3207" s="2" t="s">
        <v>17</v>
      </c>
      <c r="E3207" s="5">
        <v>-28226</v>
      </c>
      <c r="F3207" s="3" t="s">
        <v>812</v>
      </c>
      <c r="G3207" s="3" t="s">
        <v>57</v>
      </c>
      <c r="H3207" s="2" t="s">
        <v>20</v>
      </c>
      <c r="I3207" s="2" t="s">
        <v>6409</v>
      </c>
      <c r="J3207" s="3" t="str">
        <f>HYPERLINK("https://www.boe.es/gazeta/dias/1822/09/19/pdfs/GMD-1822-275.pdf#page=4","Abrir facsímil")</f>
        <v>Abrir facsímil</v>
      </c>
      <c r="K3207" s="3" t="s">
        <v>22</v>
      </c>
    </row>
    <row r="3208" spans="1:11" ht="42" customHeight="1">
      <c r="A3208" s="2" t="s">
        <v>6410</v>
      </c>
      <c r="B3208" s="2" t="s">
        <v>6411</v>
      </c>
      <c r="C3208" s="2" t="s">
        <v>50</v>
      </c>
      <c r="D3208" s="2" t="s">
        <v>51</v>
      </c>
      <c r="E3208" s="5">
        <v>-28143</v>
      </c>
      <c r="F3208" s="3" t="s">
        <v>2967</v>
      </c>
      <c r="G3208" s="3" t="s">
        <v>57</v>
      </c>
      <c r="H3208" s="2" t="s">
        <v>20</v>
      </c>
      <c r="I3208" s="2" t="s">
        <v>6412</v>
      </c>
      <c r="J3208" s="3" t="str">
        <f>HYPERLINK("https://www.boe.es/gazeta/dias/1822/12/11/pdfs/GMD-1822-361.pdf#page=4","Abrir facsímil")</f>
        <v>Abrir facsímil</v>
      </c>
      <c r="K3208" s="3" t="s">
        <v>22</v>
      </c>
    </row>
    <row r="3209" spans="1:11" ht="42" customHeight="1">
      <c r="A3209" s="2" t="s">
        <v>6413</v>
      </c>
      <c r="B3209" s="2" t="s">
        <v>6414</v>
      </c>
      <c r="C3209" s="2" t="s">
        <v>50</v>
      </c>
      <c r="D3209" s="2" t="s">
        <v>51</v>
      </c>
      <c r="E3209" s="5">
        <v>-28317</v>
      </c>
      <c r="F3209" s="3" t="s">
        <v>546</v>
      </c>
      <c r="G3209" s="3" t="s">
        <v>35</v>
      </c>
      <c r="H3209" s="2" t="s">
        <v>20</v>
      </c>
      <c r="I3209" s="2" t="s">
        <v>6415</v>
      </c>
      <c r="J3209" s="3" t="str">
        <f>HYPERLINK("https://www.boe.es/gazeta/dias/1822/06/20/pdfs/GMD-1822-177.pdf#page=2","Abrir facsímil")</f>
        <v>Abrir facsímil</v>
      </c>
      <c r="K3209" s="3" t="s">
        <v>22</v>
      </c>
    </row>
    <row r="3210" spans="1:11" ht="42" customHeight="1">
      <c r="A3210" s="2" t="s">
        <v>6416</v>
      </c>
      <c r="B3210" s="2" t="s">
        <v>6416</v>
      </c>
      <c r="C3210" s="2" t="s">
        <v>50</v>
      </c>
      <c r="D3210" s="2" t="s">
        <v>51</v>
      </c>
      <c r="E3210" s="5">
        <v>-28288</v>
      </c>
      <c r="F3210" s="3" t="s">
        <v>970</v>
      </c>
      <c r="G3210" s="3" t="s">
        <v>44</v>
      </c>
      <c r="H3210" s="2" t="s">
        <v>20</v>
      </c>
      <c r="I3210" s="2" t="s">
        <v>6417</v>
      </c>
      <c r="J3210" s="3" t="str">
        <f>HYPERLINK("https://www.boe.es/gazeta/dias/1822/07/19/pdfs/GMD-1822-211.pdf#page=1","Abrir facsímil")</f>
        <v>Abrir facsímil</v>
      </c>
      <c r="K3210" s="3" t="s">
        <v>22</v>
      </c>
    </row>
    <row r="3211" spans="1:11" ht="42" customHeight="1">
      <c r="A3211" s="2" t="s">
        <v>6418</v>
      </c>
      <c r="B3211" s="2" t="s">
        <v>6418</v>
      </c>
      <c r="C3211" s="2" t="s">
        <v>50</v>
      </c>
      <c r="D3211" s="2" t="s">
        <v>51</v>
      </c>
      <c r="E3211" s="5">
        <v>-28269</v>
      </c>
      <c r="F3211" s="3" t="s">
        <v>5517</v>
      </c>
      <c r="G3211" s="3" t="s">
        <v>35</v>
      </c>
      <c r="H3211" s="2" t="s">
        <v>20</v>
      </c>
      <c r="I3211" s="2" t="s">
        <v>6419</v>
      </c>
      <c r="J3211" s="3" t="str">
        <f>HYPERLINK("https://www.boe.es/gazeta/dias/1822/08/07/pdfs/GMD-1822-231.pdf#page=2","Abrir facsímil")</f>
        <v>Abrir facsímil</v>
      </c>
      <c r="K3211" s="3" t="s">
        <v>22</v>
      </c>
    </row>
    <row r="3212" spans="1:11" ht="42" customHeight="1">
      <c r="A3212" s="2" t="s">
        <v>6420</v>
      </c>
      <c r="B3212" s="2" t="s">
        <v>6420</v>
      </c>
      <c r="C3212" s="2" t="s">
        <v>71</v>
      </c>
      <c r="D3212" s="2" t="s">
        <v>17</v>
      </c>
      <c r="E3212" s="5">
        <v>-28374</v>
      </c>
      <c r="F3212" s="3" t="s">
        <v>171</v>
      </c>
      <c r="G3212" s="3" t="s">
        <v>31</v>
      </c>
      <c r="H3212" s="2" t="s">
        <v>20</v>
      </c>
      <c r="I3212" s="2" t="s">
        <v>6421</v>
      </c>
      <c r="J3212" s="3" t="str">
        <f>HYPERLINK("https://www.boe.es/gazeta/dias/1822/04/24/pdfs/GMD-1822-116.pdf#page=3","Abrir facsímil")</f>
        <v>Abrir facsímil</v>
      </c>
      <c r="K3212" s="3" t="s">
        <v>22</v>
      </c>
    </row>
    <row r="3213" spans="1:11" ht="42" customHeight="1">
      <c r="A3213" s="2" t="s">
        <v>6422</v>
      </c>
      <c r="B3213" s="2" t="s">
        <v>6423</v>
      </c>
      <c r="C3213" s="2" t="s">
        <v>42</v>
      </c>
      <c r="D3213" s="2" t="s">
        <v>17</v>
      </c>
      <c r="E3213" s="5">
        <v>-28230</v>
      </c>
      <c r="F3213" s="3" t="s">
        <v>1735</v>
      </c>
      <c r="G3213" s="3" t="s">
        <v>31</v>
      </c>
      <c r="H3213" s="2" t="s">
        <v>20</v>
      </c>
      <c r="I3213" s="2" t="s">
        <v>6424</v>
      </c>
      <c r="J3213" s="3" t="str">
        <f>HYPERLINK("https://www.boe.es/gazeta/dias/1822/09/15/pdfs/GMD-1822-271.pdf#page=3","Abrir facsímil")</f>
        <v>Abrir facsímil</v>
      </c>
      <c r="K3213" s="3" t="s">
        <v>22</v>
      </c>
    </row>
    <row r="3214" spans="1:11" ht="42" customHeight="1">
      <c r="A3214" s="2" t="s">
        <v>6425</v>
      </c>
      <c r="B3214" s="2" t="s">
        <v>6426</v>
      </c>
      <c r="C3214" s="2" t="s">
        <v>50</v>
      </c>
      <c r="D3214" s="2" t="s">
        <v>51</v>
      </c>
      <c r="E3214" s="5">
        <v>-28290</v>
      </c>
      <c r="F3214" s="3" t="s">
        <v>706</v>
      </c>
      <c r="G3214" s="3" t="s">
        <v>57</v>
      </c>
      <c r="H3214" s="2" t="s">
        <v>20</v>
      </c>
      <c r="I3214" s="2" t="s">
        <v>6427</v>
      </c>
      <c r="J3214" s="3" t="str">
        <f>HYPERLINK("https://www.boe.es/gazeta/dias/1822/07/17/pdfs/GMD-1822-207.pdf#page=4","Abrir facsímil")</f>
        <v>Abrir facsímil</v>
      </c>
      <c r="K3214" s="3" t="s">
        <v>22</v>
      </c>
    </row>
    <row r="3215" spans="1:11" ht="42" customHeight="1">
      <c r="A3215" s="2" t="s">
        <v>6428</v>
      </c>
      <c r="B3215" s="2" t="s">
        <v>6429</v>
      </c>
      <c r="C3215" s="2" t="s">
        <v>50</v>
      </c>
      <c r="D3215" s="2" t="s">
        <v>51</v>
      </c>
      <c r="E3215" s="5">
        <v>-28409</v>
      </c>
      <c r="F3215" s="3" t="s">
        <v>394</v>
      </c>
      <c r="G3215" s="3" t="s">
        <v>57</v>
      </c>
      <c r="H3215" s="2" t="s">
        <v>20</v>
      </c>
      <c r="I3215" s="2" t="s">
        <v>6430</v>
      </c>
      <c r="J3215" s="3" t="str">
        <f>HYPERLINK("https://www.boe.es/gazeta/dias/1822/03/20/pdfs/GMD-1822-81.pdf#page=4","Abrir facsímil")</f>
        <v>Abrir facsímil</v>
      </c>
      <c r="K3215" s="3" t="s">
        <v>22</v>
      </c>
    </row>
    <row r="3216" spans="1:11" ht="42" customHeight="1">
      <c r="A3216" s="2" t="s">
        <v>6431</v>
      </c>
      <c r="B3216" s="2" t="s">
        <v>6431</v>
      </c>
      <c r="C3216" s="2" t="s">
        <v>42</v>
      </c>
      <c r="D3216" s="2" t="s">
        <v>17</v>
      </c>
      <c r="E3216" s="5">
        <v>-28487</v>
      </c>
      <c r="F3216" s="3" t="s">
        <v>426</v>
      </c>
      <c r="G3216" s="3" t="s">
        <v>57</v>
      </c>
      <c r="H3216" s="2" t="s">
        <v>20</v>
      </c>
      <c r="I3216" s="2" t="s">
        <v>6432</v>
      </c>
      <c r="J3216" s="3" t="str">
        <f>HYPERLINK("https://www.boe.es/gazeta/dias/1822/01/01/pdfs/GMD-1822-1.pdf#page=4","Abrir facsímil")</f>
        <v>Abrir facsímil</v>
      </c>
      <c r="K3216" s="3" t="s">
        <v>22</v>
      </c>
    </row>
    <row r="3217" spans="1:11" ht="42" customHeight="1">
      <c r="A3217" s="2" t="s">
        <v>6431</v>
      </c>
      <c r="B3217" s="2" t="s">
        <v>6431</v>
      </c>
      <c r="C3217" s="2" t="s">
        <v>61</v>
      </c>
      <c r="D3217" s="2" t="s">
        <v>17</v>
      </c>
      <c r="E3217" s="5">
        <v>-28463</v>
      </c>
      <c r="F3217" s="3" t="s">
        <v>25</v>
      </c>
      <c r="G3217" s="3" t="s">
        <v>57</v>
      </c>
      <c r="H3217" s="2" t="s">
        <v>20</v>
      </c>
      <c r="I3217" s="2" t="s">
        <v>6433</v>
      </c>
      <c r="J3217" s="3" t="str">
        <f>HYPERLINK("https://www.boe.es/gazeta/dias/1822/01/25/pdfs/GMD-1822-25.pdf#page=4","Abrir facsímil")</f>
        <v>Abrir facsímil</v>
      </c>
      <c r="K3217" s="3" t="s">
        <v>22</v>
      </c>
    </row>
    <row r="3218" spans="1:11" ht="42" customHeight="1">
      <c r="A3218" s="2" t="s">
        <v>6431</v>
      </c>
      <c r="B3218" s="2" t="s">
        <v>6431</v>
      </c>
      <c r="C3218" s="2" t="s">
        <v>42</v>
      </c>
      <c r="D3218" s="2" t="s">
        <v>17</v>
      </c>
      <c r="E3218" s="5">
        <v>-28462</v>
      </c>
      <c r="F3218" s="3" t="s">
        <v>1099</v>
      </c>
      <c r="G3218" s="3" t="s">
        <v>31</v>
      </c>
      <c r="H3218" s="2" t="s">
        <v>20</v>
      </c>
      <c r="I3218" s="2" t="s">
        <v>6434</v>
      </c>
      <c r="J3218" s="3" t="str">
        <f>HYPERLINK("https://www.boe.es/gazeta/dias/1822/01/26/pdfs/GMD-1822-26.pdf#page=3","Abrir facsímil")</f>
        <v>Abrir facsímil</v>
      </c>
      <c r="K3218" s="3" t="s">
        <v>22</v>
      </c>
    </row>
    <row r="3219" spans="1:11" ht="42" customHeight="1">
      <c r="A3219" s="2" t="s">
        <v>6431</v>
      </c>
      <c r="B3219" s="2" t="s">
        <v>6431</v>
      </c>
      <c r="C3219" s="2" t="s">
        <v>42</v>
      </c>
      <c r="D3219" s="2" t="s">
        <v>17</v>
      </c>
      <c r="E3219" s="5">
        <v>-28458</v>
      </c>
      <c r="F3219" s="3" t="s">
        <v>1151</v>
      </c>
      <c r="G3219" s="3" t="s">
        <v>35</v>
      </c>
      <c r="H3219" s="2" t="s">
        <v>20</v>
      </c>
      <c r="I3219" s="2" t="s">
        <v>6435</v>
      </c>
      <c r="J3219" s="3" t="str">
        <f>HYPERLINK("https://www.boe.es/gazeta/dias/1822/01/30/pdfs/GMD-1822-30.pdf#page=2","Abrir facsímil")</f>
        <v>Abrir facsímil</v>
      </c>
      <c r="K3219" s="3" t="s">
        <v>22</v>
      </c>
    </row>
    <row r="3220" spans="1:11" ht="42" customHeight="1">
      <c r="A3220" s="2" t="s">
        <v>6431</v>
      </c>
      <c r="B3220" s="2" t="s">
        <v>6431</v>
      </c>
      <c r="C3220" s="2" t="s">
        <v>42</v>
      </c>
      <c r="D3220" s="2" t="s">
        <v>17</v>
      </c>
      <c r="E3220" s="5">
        <v>-28456</v>
      </c>
      <c r="F3220" s="3" t="s">
        <v>1104</v>
      </c>
      <c r="G3220" s="3" t="s">
        <v>19</v>
      </c>
      <c r="H3220" s="2" t="s">
        <v>20</v>
      </c>
      <c r="I3220" s="2" t="s">
        <v>6436</v>
      </c>
      <c r="J3220" s="3" t="str">
        <f>HYPERLINK("https://www.boe.es/gazeta/dias/1822/02/01/pdfs/GMD-1822-32.pdf#page=5","Abrir facsímil")</f>
        <v>Abrir facsímil</v>
      </c>
      <c r="K3220" s="3" t="s">
        <v>22</v>
      </c>
    </row>
    <row r="3221" spans="1:11" ht="42" customHeight="1">
      <c r="A3221" s="2" t="s">
        <v>6437</v>
      </c>
      <c r="B3221" s="2" t="s">
        <v>6438</v>
      </c>
      <c r="C3221" s="2" t="s">
        <v>50</v>
      </c>
      <c r="D3221" s="2" t="s">
        <v>51</v>
      </c>
      <c r="E3221" s="5">
        <v>-28264</v>
      </c>
      <c r="F3221" s="3" t="s">
        <v>1329</v>
      </c>
      <c r="G3221" s="3" t="s">
        <v>57</v>
      </c>
      <c r="H3221" s="2" t="s">
        <v>20</v>
      </c>
      <c r="I3221" s="2" t="s">
        <v>6439</v>
      </c>
      <c r="J3221" s="3" t="str">
        <f>HYPERLINK("https://www.boe.es/gazeta/dias/1822/08/12/pdfs/GMD-1822-236.pdf#page=4","Abrir facsímil")</f>
        <v>Abrir facsímil</v>
      </c>
      <c r="K3221" s="3" t="s">
        <v>22</v>
      </c>
    </row>
    <row r="3222" spans="1:11" ht="42" customHeight="1">
      <c r="A3222" s="2" t="s">
        <v>6440</v>
      </c>
      <c r="B3222" s="2" t="s">
        <v>6441</v>
      </c>
      <c r="C3222" s="2" t="s">
        <v>28</v>
      </c>
      <c r="D3222" s="2" t="s">
        <v>29</v>
      </c>
      <c r="E3222" s="5">
        <v>-28220</v>
      </c>
      <c r="F3222" s="3" t="s">
        <v>1914</v>
      </c>
      <c r="G3222" s="3" t="s">
        <v>57</v>
      </c>
      <c r="H3222" s="2" t="s">
        <v>20</v>
      </c>
      <c r="I3222" s="2" t="s">
        <v>6442</v>
      </c>
      <c r="J3222" s="3" t="str">
        <f>HYPERLINK("https://www.boe.es/gazeta/dias/1822/09/25/pdfs/GMD-1822-281.pdf#page=4","Abrir facsímil")</f>
        <v>Abrir facsímil</v>
      </c>
      <c r="K3222" s="3" t="s">
        <v>22</v>
      </c>
    </row>
    <row r="3223" spans="1:11" ht="42" customHeight="1">
      <c r="A3223" s="2" t="s">
        <v>6443</v>
      </c>
      <c r="B3223" s="2" t="s">
        <v>6444</v>
      </c>
      <c r="C3223" s="2" t="s">
        <v>16</v>
      </c>
      <c r="D3223" s="2" t="s">
        <v>17</v>
      </c>
      <c r="E3223" s="5">
        <v>-28386</v>
      </c>
      <c r="F3223" s="3" t="s">
        <v>2993</v>
      </c>
      <c r="G3223" s="3" t="s">
        <v>35</v>
      </c>
      <c r="H3223" s="2" t="s">
        <v>20</v>
      </c>
      <c r="I3223" s="2" t="s">
        <v>6445</v>
      </c>
      <c r="J3223" s="3" t="str">
        <f>HYPERLINK("https://www.boe.es/gazeta/dias/1822/04/12/pdfs/GMD-1822-104.pdf#page=2","Abrir facsímil")</f>
        <v>Abrir facsímil</v>
      </c>
      <c r="K3223" s="3" t="s">
        <v>22</v>
      </c>
    </row>
    <row r="3224" spans="1:11" ht="42" customHeight="1">
      <c r="A3224" s="2" t="s">
        <v>6446</v>
      </c>
      <c r="B3224" s="2" t="s">
        <v>6446</v>
      </c>
      <c r="C3224" s="2" t="s">
        <v>50</v>
      </c>
      <c r="D3224" s="2" t="s">
        <v>51</v>
      </c>
      <c r="E3224" s="5">
        <v>-28397</v>
      </c>
      <c r="F3224" s="3" t="s">
        <v>1401</v>
      </c>
      <c r="G3224" s="3" t="s">
        <v>44</v>
      </c>
      <c r="H3224" s="2" t="s">
        <v>20</v>
      </c>
      <c r="I3224" s="2" t="s">
        <v>6447</v>
      </c>
      <c r="J3224" s="3" t="str">
        <f>HYPERLINK("https://www.boe.es/gazeta/dias/1822/04/01/pdfs/GMD-1822-93.pdf#page=1","Abrir facsímil")</f>
        <v>Abrir facsímil</v>
      </c>
      <c r="K3224" s="3" t="s">
        <v>22</v>
      </c>
    </row>
    <row r="3225" spans="1:11" ht="42" customHeight="1">
      <c r="A3225" s="2" t="s">
        <v>6448</v>
      </c>
      <c r="B3225" s="2" t="s">
        <v>6448</v>
      </c>
      <c r="C3225" s="2" t="s">
        <v>42</v>
      </c>
      <c r="D3225" s="2" t="s">
        <v>17</v>
      </c>
      <c r="E3225" s="5">
        <v>-28126</v>
      </c>
      <c r="F3225" s="3" t="s">
        <v>952</v>
      </c>
      <c r="G3225" s="3" t="s">
        <v>31</v>
      </c>
      <c r="H3225" s="2" t="s">
        <v>20</v>
      </c>
      <c r="I3225" s="2" t="s">
        <v>6449</v>
      </c>
      <c r="J3225" s="3" t="str">
        <f>HYPERLINK("https://www.boe.es/gazeta/dias/1822/12/28/pdfs/GMD-1822-378.pdf#page=3","Abrir facsímil")</f>
        <v>Abrir facsímil</v>
      </c>
      <c r="K3225" s="3" t="s">
        <v>22</v>
      </c>
    </row>
    <row r="3226" spans="1:11" ht="42" customHeight="1">
      <c r="A3226" s="2" t="s">
        <v>6450</v>
      </c>
      <c r="B3226" s="2" t="s">
        <v>6451</v>
      </c>
      <c r="C3226" s="2" t="s">
        <v>50</v>
      </c>
      <c r="D3226" s="2" t="s">
        <v>51</v>
      </c>
      <c r="E3226" s="5">
        <v>-28292</v>
      </c>
      <c r="F3226" s="3" t="s">
        <v>222</v>
      </c>
      <c r="G3226" s="3" t="s">
        <v>31</v>
      </c>
      <c r="H3226" s="2" t="s">
        <v>45</v>
      </c>
      <c r="I3226" s="2" t="s">
        <v>6452</v>
      </c>
      <c r="J3226" s="3" t="str">
        <f>HYPERLINK("https://www.boe.es/gazeta/dias/1822/07/15/pdfs/GMD-1822-205.pdf#page=3","Abrir facsímil")</f>
        <v>Abrir facsímil</v>
      </c>
      <c r="K3226" s="3" t="s">
        <v>47</v>
      </c>
    </row>
    <row r="3227" spans="1:11" ht="42" customHeight="1">
      <c r="A3227" s="2" t="s">
        <v>6453</v>
      </c>
      <c r="B3227" s="2" t="s">
        <v>6454</v>
      </c>
      <c r="C3227" s="2" t="s">
        <v>50</v>
      </c>
      <c r="D3227" s="2" t="s">
        <v>51</v>
      </c>
      <c r="E3227" s="5">
        <v>-28211</v>
      </c>
      <c r="F3227" s="3" t="s">
        <v>273</v>
      </c>
      <c r="G3227" s="3" t="s">
        <v>31</v>
      </c>
      <c r="H3227" s="2" t="s">
        <v>20</v>
      </c>
      <c r="I3227" s="2" t="s">
        <v>6455</v>
      </c>
      <c r="J3227" s="3" t="str">
        <f>HYPERLINK("https://www.boe.es/gazeta/dias/1822/10/04/pdfs/GMD-1822-290.pdf#page=3","Abrir facsímil")</f>
        <v>Abrir facsímil</v>
      </c>
      <c r="K3227" s="3" t="s">
        <v>22</v>
      </c>
    </row>
    <row r="3228" spans="1:11" ht="42" customHeight="1">
      <c r="A3228" s="2" t="s">
        <v>6456</v>
      </c>
      <c r="B3228" s="2" t="s">
        <v>6457</v>
      </c>
      <c r="C3228" s="2" t="s">
        <v>28</v>
      </c>
      <c r="D3228" s="2" t="s">
        <v>29</v>
      </c>
      <c r="E3228" s="5">
        <v>-28384</v>
      </c>
      <c r="F3228" s="3" t="s">
        <v>258</v>
      </c>
      <c r="G3228" s="3" t="s">
        <v>63</v>
      </c>
      <c r="H3228" s="2" t="s">
        <v>20</v>
      </c>
      <c r="I3228" s="2" t="s">
        <v>6458</v>
      </c>
      <c r="J3228" s="3" t="str">
        <f>HYPERLINK("https://www.boe.es/gazeta/dias/1822/04/14/pdfs/GMD-1822-106.pdf#page=6","Abrir facsímil")</f>
        <v>Abrir facsímil</v>
      </c>
      <c r="K3228" s="3" t="s">
        <v>22</v>
      </c>
    </row>
    <row r="3229" spans="1:11" ht="42" customHeight="1">
      <c r="A3229" s="2" t="s">
        <v>6459</v>
      </c>
      <c r="B3229" s="2" t="s">
        <v>6460</v>
      </c>
      <c r="C3229" s="2" t="s">
        <v>50</v>
      </c>
      <c r="D3229" s="2" t="s">
        <v>51</v>
      </c>
      <c r="E3229" s="5">
        <v>-28265</v>
      </c>
      <c r="F3229" s="3" t="s">
        <v>1263</v>
      </c>
      <c r="G3229" s="3" t="s">
        <v>57</v>
      </c>
      <c r="H3229" s="2" t="s">
        <v>20</v>
      </c>
      <c r="I3229" s="2" t="s">
        <v>6461</v>
      </c>
      <c r="J3229" s="3" t="str">
        <f>HYPERLINK("https://www.boe.es/gazeta/dias/1822/08/11/pdfs/GMD-1822-235.pdf#page=4","Abrir facsímil")</f>
        <v>Abrir facsímil</v>
      </c>
      <c r="K3229" s="3" t="s">
        <v>22</v>
      </c>
    </row>
    <row r="3230" spans="1:11" ht="42" customHeight="1">
      <c r="A3230" s="2" t="s">
        <v>6462</v>
      </c>
      <c r="B3230" s="2" t="s">
        <v>6463</v>
      </c>
      <c r="C3230" s="2" t="s">
        <v>50</v>
      </c>
      <c r="D3230" s="2" t="s">
        <v>51</v>
      </c>
      <c r="E3230" s="5">
        <v>-28367</v>
      </c>
      <c r="F3230" s="3" t="s">
        <v>280</v>
      </c>
      <c r="G3230" s="3" t="s">
        <v>35</v>
      </c>
      <c r="H3230" s="2" t="s">
        <v>20</v>
      </c>
      <c r="I3230" s="2" t="s">
        <v>6464</v>
      </c>
      <c r="J3230" s="3" t="str">
        <f>HYPERLINK("https://www.boe.es/gazeta/dias/1822/05/01/pdfs/GMD-1822-123.pdf#page=2","Abrir facsímil")</f>
        <v>Abrir facsímil</v>
      </c>
      <c r="K3230" s="3" t="s">
        <v>22</v>
      </c>
    </row>
    <row r="3231" spans="1:11" ht="42" customHeight="1">
      <c r="A3231" s="2" t="s">
        <v>6465</v>
      </c>
      <c r="B3231" s="2" t="s">
        <v>6466</v>
      </c>
      <c r="C3231" s="2" t="s">
        <v>50</v>
      </c>
      <c r="D3231" s="2" t="s">
        <v>51</v>
      </c>
      <c r="E3231" s="5">
        <v>-28252</v>
      </c>
      <c r="F3231" s="3" t="s">
        <v>4333</v>
      </c>
      <c r="G3231" s="3" t="s">
        <v>35</v>
      </c>
      <c r="H3231" s="2" t="s">
        <v>20</v>
      </c>
      <c r="I3231" s="2" t="s">
        <v>6467</v>
      </c>
      <c r="J3231" s="3" t="str">
        <f>HYPERLINK("https://www.boe.es/gazeta/dias/1822/08/24/pdfs/GMD-1822-248.pdf#page=2","Abrir facsímil")</f>
        <v>Abrir facsímil</v>
      </c>
      <c r="K3231" s="3" t="s">
        <v>22</v>
      </c>
    </row>
    <row r="3232" spans="1:11" ht="42" customHeight="1">
      <c r="A3232" s="2" t="s">
        <v>6468</v>
      </c>
      <c r="B3232" s="2" t="s">
        <v>6469</v>
      </c>
      <c r="C3232" s="2" t="s">
        <v>24</v>
      </c>
      <c r="D3232" s="2" t="s">
        <v>17</v>
      </c>
      <c r="E3232" s="5">
        <v>-28265</v>
      </c>
      <c r="F3232" s="3" t="s">
        <v>1263</v>
      </c>
      <c r="G3232" s="3" t="s">
        <v>35</v>
      </c>
      <c r="H3232" s="2" t="s">
        <v>20</v>
      </c>
      <c r="I3232" s="2" t="s">
        <v>6470</v>
      </c>
      <c r="J3232" s="3" t="str">
        <f>HYPERLINK("https://www.boe.es/gazeta/dias/1822/08/11/pdfs/GMD-1822-235.pdf#page=2","Abrir facsímil")</f>
        <v>Abrir facsímil</v>
      </c>
      <c r="K3232" s="3" t="s">
        <v>22</v>
      </c>
    </row>
    <row r="3233" spans="1:11" ht="42" customHeight="1">
      <c r="A3233" s="2" t="s">
        <v>6471</v>
      </c>
      <c r="B3233" s="2" t="s">
        <v>6472</v>
      </c>
      <c r="C3233" s="2" t="s">
        <v>50</v>
      </c>
      <c r="D3233" s="2" t="s">
        <v>51</v>
      </c>
      <c r="E3233" s="5">
        <v>-28264</v>
      </c>
      <c r="F3233" s="3" t="s">
        <v>1329</v>
      </c>
      <c r="G3233" s="3" t="s">
        <v>57</v>
      </c>
      <c r="H3233" s="2" t="s">
        <v>20</v>
      </c>
      <c r="I3233" s="2" t="s">
        <v>6473</v>
      </c>
      <c r="J3233" s="3" t="str">
        <f>HYPERLINK("https://www.boe.es/gazeta/dias/1822/08/12/pdfs/GMD-1822-236.pdf#page=4","Abrir facsímil")</f>
        <v>Abrir facsímil</v>
      </c>
      <c r="K3233" s="3" t="s">
        <v>22</v>
      </c>
    </row>
    <row r="3234" spans="1:11" ht="42" customHeight="1">
      <c r="A3234" s="2" t="s">
        <v>6474</v>
      </c>
      <c r="B3234" s="2" t="s">
        <v>6475</v>
      </c>
      <c r="C3234" s="2" t="s">
        <v>50</v>
      </c>
      <c r="D3234" s="2" t="s">
        <v>51</v>
      </c>
      <c r="E3234" s="5">
        <v>-28383</v>
      </c>
      <c r="F3234" s="3" t="s">
        <v>488</v>
      </c>
      <c r="G3234" s="3" t="s">
        <v>63</v>
      </c>
      <c r="H3234" s="2" t="s">
        <v>20</v>
      </c>
      <c r="I3234" s="2" t="s">
        <v>6476</v>
      </c>
      <c r="J3234" s="3" t="str">
        <f>HYPERLINK("https://www.boe.es/gazeta/dias/1822/04/15/pdfs/GMD-1822-107.pdf#page=6","Abrir facsímil")</f>
        <v>Abrir facsímil</v>
      </c>
      <c r="K3234" s="3" t="s">
        <v>22</v>
      </c>
    </row>
    <row r="3235" spans="1:11" ht="42" customHeight="1">
      <c r="A3235" s="2" t="s">
        <v>6477</v>
      </c>
      <c r="B3235" s="2" t="s">
        <v>6477</v>
      </c>
      <c r="C3235" s="2" t="s">
        <v>16</v>
      </c>
      <c r="D3235" s="2" t="s">
        <v>17</v>
      </c>
      <c r="E3235" s="5">
        <v>-28372</v>
      </c>
      <c r="F3235" s="3" t="s">
        <v>503</v>
      </c>
      <c r="G3235" s="3" t="s">
        <v>57</v>
      </c>
      <c r="H3235" s="2" t="s">
        <v>20</v>
      </c>
      <c r="I3235" s="2" t="s">
        <v>6478</v>
      </c>
      <c r="J3235" s="3" t="str">
        <f>HYPERLINK("https://www.boe.es/gazeta/dias/1822/04/26/pdfs/GMD-1822-118.pdf#page=4","Abrir facsímil")</f>
        <v>Abrir facsímil</v>
      </c>
      <c r="K3235" s="3" t="s">
        <v>22</v>
      </c>
    </row>
    <row r="3236" spans="1:11" ht="42" customHeight="1">
      <c r="A3236" s="2" t="s">
        <v>6477</v>
      </c>
      <c r="B3236" s="2" t="s">
        <v>6477</v>
      </c>
      <c r="C3236" s="2" t="s">
        <v>42</v>
      </c>
      <c r="D3236" s="2" t="s">
        <v>17</v>
      </c>
      <c r="E3236" s="5">
        <v>-28332</v>
      </c>
      <c r="F3236" s="3" t="s">
        <v>535</v>
      </c>
      <c r="G3236" s="3" t="s">
        <v>44</v>
      </c>
      <c r="H3236" s="2" t="s">
        <v>20</v>
      </c>
      <c r="I3236" s="2" t="s">
        <v>6479</v>
      </c>
      <c r="J3236" s="3" t="str">
        <f>HYPERLINK("https://www.boe.es/gazeta/dias/1822/06/05/pdfs/GMD-1822-162.pdf#page=1","Abrir facsímil")</f>
        <v>Abrir facsímil</v>
      </c>
      <c r="K3236" s="3" t="s">
        <v>22</v>
      </c>
    </row>
    <row r="3237" spans="1:11" ht="42" customHeight="1">
      <c r="A3237" s="2" t="s">
        <v>6477</v>
      </c>
      <c r="B3237" s="2" t="s">
        <v>6477</v>
      </c>
      <c r="C3237" s="2" t="s">
        <v>50</v>
      </c>
      <c r="D3237" s="2" t="s">
        <v>51</v>
      </c>
      <c r="E3237" s="5">
        <v>-28304</v>
      </c>
      <c r="F3237" s="3" t="s">
        <v>4502</v>
      </c>
      <c r="G3237" s="3" t="s">
        <v>31</v>
      </c>
      <c r="H3237" s="2" t="s">
        <v>20</v>
      </c>
      <c r="I3237" s="2" t="s">
        <v>6480</v>
      </c>
      <c r="J3237" s="3" t="str">
        <f>HYPERLINK("https://www.boe.es/gazeta/dias/1822/07/03/pdfs/GMD-1822-192.pdf#page=3","Abrir facsímil")</f>
        <v>Abrir facsímil</v>
      </c>
      <c r="K3237" s="3" t="s">
        <v>22</v>
      </c>
    </row>
    <row r="3238" spans="1:11" ht="42" customHeight="1">
      <c r="A3238" s="2" t="s">
        <v>6477</v>
      </c>
      <c r="B3238" s="2" t="s">
        <v>6477</v>
      </c>
      <c r="C3238" s="2" t="s">
        <v>50</v>
      </c>
      <c r="D3238" s="2" t="s">
        <v>51</v>
      </c>
      <c r="E3238" s="5">
        <v>-28266</v>
      </c>
      <c r="F3238" s="3" t="s">
        <v>1169</v>
      </c>
      <c r="G3238" s="3" t="s">
        <v>35</v>
      </c>
      <c r="H3238" s="2" t="s">
        <v>20</v>
      </c>
      <c r="I3238" s="2" t="s">
        <v>6481</v>
      </c>
      <c r="J3238" s="3" t="str">
        <f>HYPERLINK("https://www.boe.es/gazeta/dias/1822/08/10/pdfs/GMD-1822-234.pdf#page=2","Abrir facsímil")</f>
        <v>Abrir facsímil</v>
      </c>
      <c r="K3238" s="3" t="s">
        <v>22</v>
      </c>
    </row>
    <row r="3239" spans="1:11" ht="42" customHeight="1">
      <c r="A3239" s="2" t="s">
        <v>6482</v>
      </c>
      <c r="B3239" s="2" t="s">
        <v>6483</v>
      </c>
      <c r="C3239" s="2" t="s">
        <v>50</v>
      </c>
      <c r="D3239" s="2" t="s">
        <v>51</v>
      </c>
      <c r="E3239" s="5">
        <v>-28284</v>
      </c>
      <c r="F3239" s="3" t="s">
        <v>6484</v>
      </c>
      <c r="G3239" s="3" t="s">
        <v>35</v>
      </c>
      <c r="H3239" s="2" t="s">
        <v>20</v>
      </c>
      <c r="I3239" s="2" t="s">
        <v>6485</v>
      </c>
      <c r="J3239" s="3" t="str">
        <f>HYPERLINK("https://www.boe.es/gazeta/dias/1822/07/23/pdfs/GMD-1822-216.pdf#page=2","Abrir facsímil")</f>
        <v>Abrir facsímil</v>
      </c>
      <c r="K3239" s="3" t="s">
        <v>22</v>
      </c>
    </row>
    <row r="3240" spans="1:11" ht="42" customHeight="1">
      <c r="A3240" s="2" t="s">
        <v>6486</v>
      </c>
      <c r="B3240" s="2" t="s">
        <v>6487</v>
      </c>
      <c r="C3240" s="2" t="s">
        <v>28</v>
      </c>
      <c r="D3240" s="2" t="s">
        <v>29</v>
      </c>
      <c r="E3240" s="5">
        <v>-28176</v>
      </c>
      <c r="F3240" s="3" t="s">
        <v>780</v>
      </c>
      <c r="G3240" s="3" t="s">
        <v>63</v>
      </c>
      <c r="H3240" s="2" t="s">
        <v>20</v>
      </c>
      <c r="I3240" s="2" t="s">
        <v>6488</v>
      </c>
      <c r="J3240" s="3" t="str">
        <f>HYPERLINK("https://www.boe.es/gazeta/dias/1822/11/08/pdfs/GMD-1822-328.pdf#page=6","Abrir facsímil")</f>
        <v>Abrir facsímil</v>
      </c>
      <c r="K3240" s="3" t="s">
        <v>22</v>
      </c>
    </row>
    <row r="3241" spans="1:11" ht="42" customHeight="1">
      <c r="A3241" s="2" t="s">
        <v>6489</v>
      </c>
      <c r="B3241" s="2" t="s">
        <v>6490</v>
      </c>
      <c r="C3241" s="2" t="s">
        <v>28</v>
      </c>
      <c r="D3241" s="2" t="s">
        <v>29</v>
      </c>
      <c r="E3241" s="5">
        <v>-28311</v>
      </c>
      <c r="F3241" s="3" t="s">
        <v>736</v>
      </c>
      <c r="G3241" s="3" t="s">
        <v>157</v>
      </c>
      <c r="H3241" s="2" t="s">
        <v>20</v>
      </c>
      <c r="I3241" s="2" t="s">
        <v>6491</v>
      </c>
      <c r="J3241" s="3" t="str">
        <f>HYPERLINK("https://www.boe.es/gazeta/dias/1822/06/26/pdfs/GMD-1822-184.pdf#page=8","Abrir facsímil")</f>
        <v>Abrir facsímil</v>
      </c>
      <c r="K3241" s="3" t="s">
        <v>22</v>
      </c>
    </row>
    <row r="3242" spans="1:11" ht="42" customHeight="1">
      <c r="A3242" s="2" t="s">
        <v>6492</v>
      </c>
      <c r="B3242" s="2" t="s">
        <v>6493</v>
      </c>
      <c r="C3242" s="2" t="s">
        <v>50</v>
      </c>
      <c r="D3242" s="2" t="s">
        <v>51</v>
      </c>
      <c r="E3242" s="5">
        <v>-28185</v>
      </c>
      <c r="F3242" s="3" t="s">
        <v>933</v>
      </c>
      <c r="G3242" s="3" t="s">
        <v>57</v>
      </c>
      <c r="H3242" s="2" t="s">
        <v>20</v>
      </c>
      <c r="I3242" s="2" t="s">
        <v>6494</v>
      </c>
      <c r="J3242" s="3" t="str">
        <f>HYPERLINK("https://www.boe.es/gazeta/dias/1822/10/30/pdfs/GMD-1822-317.pdf#page=4","Abrir facsímil")</f>
        <v>Abrir facsímil</v>
      </c>
      <c r="K3242" s="3" t="s">
        <v>22</v>
      </c>
    </row>
    <row r="3243" spans="1:11" ht="42" customHeight="1">
      <c r="A3243" s="2" t="s">
        <v>6495</v>
      </c>
      <c r="B3243" s="2" t="s">
        <v>6495</v>
      </c>
      <c r="C3243" s="2" t="s">
        <v>24</v>
      </c>
      <c r="D3243" s="2" t="s">
        <v>17</v>
      </c>
      <c r="E3243" s="5">
        <v>-28394</v>
      </c>
      <c r="F3243" s="3" t="s">
        <v>268</v>
      </c>
      <c r="G3243" s="3" t="s">
        <v>35</v>
      </c>
      <c r="H3243" s="2" t="s">
        <v>20</v>
      </c>
      <c r="I3243" s="2" t="s">
        <v>6496</v>
      </c>
      <c r="J3243" s="3" t="str">
        <f>HYPERLINK("https://www.boe.es/gazeta/dias/1822/04/04/pdfs/GMD-1822-96.pdf#page=2","Abrir facsímil")</f>
        <v>Abrir facsímil</v>
      </c>
      <c r="K3243" s="3" t="s">
        <v>22</v>
      </c>
    </row>
    <row r="3244" spans="1:11" ht="42" customHeight="1">
      <c r="A3244" s="2" t="s">
        <v>6497</v>
      </c>
      <c r="B3244" s="2" t="s">
        <v>6497</v>
      </c>
      <c r="C3244" s="2" t="s">
        <v>50</v>
      </c>
      <c r="D3244" s="2" t="s">
        <v>51</v>
      </c>
      <c r="E3244" s="5">
        <v>-28303</v>
      </c>
      <c r="F3244" s="3" t="s">
        <v>201</v>
      </c>
      <c r="G3244" s="3" t="s">
        <v>31</v>
      </c>
      <c r="H3244" s="2" t="s">
        <v>20</v>
      </c>
      <c r="I3244" s="2" t="s">
        <v>6498</v>
      </c>
      <c r="J3244" s="3" t="str">
        <f>HYPERLINK("https://www.boe.es/gazeta/dias/1822/07/04/pdfs/GMD-1822-193.pdf#page=3","Abrir facsímil")</f>
        <v>Abrir facsímil</v>
      </c>
      <c r="K3244" s="3" t="s">
        <v>22</v>
      </c>
    </row>
    <row r="3245" spans="1:11" ht="42" customHeight="1">
      <c r="A3245" s="2" t="s">
        <v>6499</v>
      </c>
      <c r="B3245" s="2" t="s">
        <v>6499</v>
      </c>
      <c r="C3245" s="2" t="s">
        <v>50</v>
      </c>
      <c r="D3245" s="2" t="s">
        <v>51</v>
      </c>
      <c r="E3245" s="5">
        <v>-28454</v>
      </c>
      <c r="F3245" s="3" t="s">
        <v>2033</v>
      </c>
      <c r="G3245" s="3" t="s">
        <v>63</v>
      </c>
      <c r="H3245" s="2" t="s">
        <v>20</v>
      </c>
      <c r="I3245" s="2" t="s">
        <v>6500</v>
      </c>
      <c r="J3245" s="3" t="str">
        <f>HYPERLINK("https://www.boe.es/gazeta/dias/1822/02/03/pdfs/GMD-1822-34.pdf#page=6","Abrir facsímil")</f>
        <v>Abrir facsímil</v>
      </c>
      <c r="K3245" s="3" t="s">
        <v>22</v>
      </c>
    </row>
    <row r="3246" spans="1:11" ht="42" customHeight="1">
      <c r="A3246" s="2" t="s">
        <v>6501</v>
      </c>
      <c r="B3246" s="2" t="s">
        <v>6502</v>
      </c>
      <c r="C3246" s="2" t="s">
        <v>50</v>
      </c>
      <c r="D3246" s="2" t="s">
        <v>51</v>
      </c>
      <c r="E3246" s="5">
        <v>-28150</v>
      </c>
      <c r="F3246" s="3" t="s">
        <v>62</v>
      </c>
      <c r="G3246" s="3" t="s">
        <v>63</v>
      </c>
      <c r="H3246" s="2" t="s">
        <v>20</v>
      </c>
      <c r="I3246" s="2" t="s">
        <v>6503</v>
      </c>
      <c r="J3246" s="3" t="str">
        <f>HYPERLINK("https://www.boe.es/gazeta/dias/1822/12/04/pdfs/GMD-1822-354.pdf#page=6","Abrir facsímil")</f>
        <v>Abrir facsímil</v>
      </c>
      <c r="K3246" s="3" t="s">
        <v>22</v>
      </c>
    </row>
    <row r="3247" spans="1:11" ht="42" customHeight="1">
      <c r="A3247" s="2" t="s">
        <v>6504</v>
      </c>
      <c r="B3247" s="2" t="s">
        <v>6505</v>
      </c>
      <c r="C3247" s="2" t="s">
        <v>28</v>
      </c>
      <c r="D3247" s="2" t="s">
        <v>29</v>
      </c>
      <c r="E3247" s="5">
        <v>-28230</v>
      </c>
      <c r="F3247" s="3" t="s">
        <v>1735</v>
      </c>
      <c r="G3247" s="3" t="s">
        <v>57</v>
      </c>
      <c r="H3247" s="2" t="s">
        <v>45</v>
      </c>
      <c r="I3247" s="2" t="s">
        <v>6506</v>
      </c>
      <c r="J3247" s="3" t="str">
        <f>HYPERLINK("https://www.boe.es/gazeta/dias/1822/09/15/pdfs/GMD-1822-271.pdf#page=4","Abrir facsímil")</f>
        <v>Abrir facsímil</v>
      </c>
      <c r="K3247" s="3" t="s">
        <v>47</v>
      </c>
    </row>
    <row r="3248" spans="1:11" ht="42" customHeight="1">
      <c r="A3248" s="2" t="s">
        <v>6507</v>
      </c>
      <c r="B3248" s="2" t="s">
        <v>6508</v>
      </c>
      <c r="C3248" s="2" t="s">
        <v>61</v>
      </c>
      <c r="D3248" s="2" t="s">
        <v>17</v>
      </c>
      <c r="E3248" s="5">
        <v>-28150</v>
      </c>
      <c r="F3248" s="3" t="s">
        <v>62</v>
      </c>
      <c r="G3248" s="3" t="s">
        <v>63</v>
      </c>
      <c r="H3248" s="2" t="s">
        <v>20</v>
      </c>
      <c r="I3248" s="2" t="s">
        <v>6509</v>
      </c>
      <c r="J3248" s="3" t="str">
        <f>HYPERLINK("https://www.boe.es/gazeta/dias/1822/12/04/pdfs/GMD-1822-354.pdf#page=6","Abrir facsímil")</f>
        <v>Abrir facsímil</v>
      </c>
      <c r="K3248" s="3" t="s">
        <v>22</v>
      </c>
    </row>
    <row r="3249" spans="1:11" ht="42" customHeight="1">
      <c r="A3249" s="2" t="s">
        <v>6510</v>
      </c>
      <c r="B3249" s="2" t="s">
        <v>6511</v>
      </c>
      <c r="C3249" s="2" t="s">
        <v>24</v>
      </c>
      <c r="D3249" s="2" t="s">
        <v>17</v>
      </c>
      <c r="E3249" s="5">
        <v>-28486</v>
      </c>
      <c r="F3249" s="3" t="s">
        <v>1046</v>
      </c>
      <c r="G3249" s="3" t="s">
        <v>57</v>
      </c>
      <c r="H3249" s="2" t="s">
        <v>20</v>
      </c>
      <c r="I3249" s="2" t="s">
        <v>6512</v>
      </c>
      <c r="J3249" s="3" t="str">
        <f>HYPERLINK("https://www.boe.es/gazeta/dias/1822/01/02/pdfs/GMD-1822-2.pdf#page=4","Abrir facsímil")</f>
        <v>Abrir facsímil</v>
      </c>
      <c r="K3249" s="3" t="s">
        <v>22</v>
      </c>
    </row>
    <row r="3250" spans="1:11" ht="42" customHeight="1">
      <c r="A3250" s="2" t="s">
        <v>6513</v>
      </c>
      <c r="B3250" s="2" t="s">
        <v>6514</v>
      </c>
      <c r="C3250" s="2" t="s">
        <v>28</v>
      </c>
      <c r="D3250" s="2" t="s">
        <v>29</v>
      </c>
      <c r="E3250" s="5">
        <v>-28358</v>
      </c>
      <c r="F3250" s="3" t="s">
        <v>211</v>
      </c>
      <c r="G3250" s="3" t="s">
        <v>44</v>
      </c>
      <c r="H3250" s="2" t="s">
        <v>20</v>
      </c>
      <c r="I3250" s="2" t="s">
        <v>6515</v>
      </c>
      <c r="J3250" s="3" t="str">
        <f>HYPERLINK("https://www.boe.es/gazeta/dias/1822/05/10/pdfs/GMD-1822-132.pdf#page=1","Abrir facsímil")</f>
        <v>Abrir facsímil</v>
      </c>
      <c r="K3250" s="3" t="s">
        <v>22</v>
      </c>
    </row>
    <row r="3251" spans="1:11" ht="42" customHeight="1">
      <c r="A3251" s="2" t="s">
        <v>6516</v>
      </c>
      <c r="B3251" s="2" t="s">
        <v>6517</v>
      </c>
      <c r="C3251" s="2" t="s">
        <v>71</v>
      </c>
      <c r="D3251" s="2" t="s">
        <v>17</v>
      </c>
      <c r="E3251" s="5">
        <v>-28461</v>
      </c>
      <c r="F3251" s="3" t="s">
        <v>1801</v>
      </c>
      <c r="G3251" s="3" t="s">
        <v>57</v>
      </c>
      <c r="H3251" s="2" t="s">
        <v>20</v>
      </c>
      <c r="I3251" s="2" t="s">
        <v>6518</v>
      </c>
      <c r="J3251" s="3" t="str">
        <f>HYPERLINK("https://www.boe.es/gazeta/dias/1822/01/27/pdfs/GMD-1822-27.pdf#page=4","Abrir facsímil")</f>
        <v>Abrir facsímil</v>
      </c>
      <c r="K3251" s="3" t="s">
        <v>22</v>
      </c>
    </row>
    <row r="3252" spans="1:11" ht="42" customHeight="1">
      <c r="A3252" s="2" t="s">
        <v>6519</v>
      </c>
      <c r="B3252" s="2" t="s">
        <v>6520</v>
      </c>
      <c r="C3252" s="2" t="s">
        <v>50</v>
      </c>
      <c r="D3252" s="2" t="s">
        <v>51</v>
      </c>
      <c r="E3252" s="5">
        <v>-28140</v>
      </c>
      <c r="F3252" s="3" t="s">
        <v>84</v>
      </c>
      <c r="G3252" s="3" t="s">
        <v>57</v>
      </c>
      <c r="H3252" s="2" t="s">
        <v>20</v>
      </c>
      <c r="I3252" s="2" t="s">
        <v>6521</v>
      </c>
      <c r="J3252" s="3" t="str">
        <f>HYPERLINK("https://www.boe.es/gazeta/dias/1822/12/14/pdfs/GMD-1822-364.pdf#page=4","Abrir facsímil")</f>
        <v>Abrir facsímil</v>
      </c>
      <c r="K3252" s="3" t="s">
        <v>22</v>
      </c>
    </row>
    <row r="3253" spans="1:11" ht="42" customHeight="1">
      <c r="A3253" s="2" t="s">
        <v>6522</v>
      </c>
      <c r="B3253" s="2" t="s">
        <v>6522</v>
      </c>
      <c r="C3253" s="2" t="s">
        <v>50</v>
      </c>
      <c r="D3253" s="2" t="s">
        <v>51</v>
      </c>
      <c r="E3253" s="5">
        <v>-28228</v>
      </c>
      <c r="F3253" s="3" t="s">
        <v>718</v>
      </c>
      <c r="G3253" s="3" t="s">
        <v>44</v>
      </c>
      <c r="H3253" s="2" t="s">
        <v>20</v>
      </c>
      <c r="I3253" s="2" t="s">
        <v>6523</v>
      </c>
      <c r="J3253" s="3" t="str">
        <f>HYPERLINK("https://www.boe.es/gazeta/dias/1822/09/17/pdfs/GMD-1822-273.pdf#page=1","Abrir facsímil")</f>
        <v>Abrir facsímil</v>
      </c>
      <c r="K3253" s="3" t="s">
        <v>22</v>
      </c>
    </row>
    <row r="3254" spans="1:11" ht="42" customHeight="1">
      <c r="A3254" s="2" t="s">
        <v>6524</v>
      </c>
      <c r="B3254" s="2" t="s">
        <v>6524</v>
      </c>
      <c r="C3254" s="2" t="s">
        <v>71</v>
      </c>
      <c r="D3254" s="2" t="s">
        <v>17</v>
      </c>
      <c r="E3254" s="5">
        <v>-28475</v>
      </c>
      <c r="F3254" s="3" t="s">
        <v>1205</v>
      </c>
      <c r="G3254" s="3" t="s">
        <v>907</v>
      </c>
      <c r="H3254" s="2" t="s">
        <v>20</v>
      </c>
      <c r="I3254" s="2" t="s">
        <v>6525</v>
      </c>
      <c r="J3254" s="3" t="str">
        <f>HYPERLINK("https://www.boe.es/gazeta/dias/1822/01/13/pdfs/GMD-1822-13.pdf#page=5","Abrir facsímil")</f>
        <v>Abrir facsímil</v>
      </c>
      <c r="K3254" s="3" t="s">
        <v>22</v>
      </c>
    </row>
    <row r="3255" spans="1:11" ht="42" customHeight="1">
      <c r="A3255" s="2" t="s">
        <v>6524</v>
      </c>
      <c r="B3255" s="2" t="s">
        <v>6524</v>
      </c>
      <c r="C3255" s="2" t="s">
        <v>28</v>
      </c>
      <c r="D3255" s="2" t="s">
        <v>29</v>
      </c>
      <c r="E3255" s="5">
        <v>-28353</v>
      </c>
      <c r="F3255" s="3" t="s">
        <v>843</v>
      </c>
      <c r="G3255" s="3" t="s">
        <v>35</v>
      </c>
      <c r="H3255" s="2" t="s">
        <v>20</v>
      </c>
      <c r="I3255" s="2" t="s">
        <v>6526</v>
      </c>
      <c r="J3255" s="3" t="str">
        <f>HYPERLINK("https://www.boe.es/gazeta/dias/1822/05/15/pdfs/GMD-1822-137.pdf#page=2","Abrir facsímil")</f>
        <v>Abrir facsímil</v>
      </c>
      <c r="K3255" s="3" t="s">
        <v>22</v>
      </c>
    </row>
    <row r="3256" spans="1:11" ht="42" customHeight="1">
      <c r="A3256" s="2" t="s">
        <v>6524</v>
      </c>
      <c r="B3256" s="2" t="s">
        <v>6524</v>
      </c>
      <c r="C3256" s="2" t="s">
        <v>24</v>
      </c>
      <c r="D3256" s="2" t="s">
        <v>17</v>
      </c>
      <c r="E3256" s="5">
        <v>-28328</v>
      </c>
      <c r="F3256" s="3" t="s">
        <v>540</v>
      </c>
      <c r="G3256" s="3" t="s">
        <v>19</v>
      </c>
      <c r="H3256" s="2" t="s">
        <v>20</v>
      </c>
      <c r="I3256" s="2" t="s">
        <v>6527</v>
      </c>
      <c r="J3256" s="3" t="str">
        <f>HYPERLINK("https://www.boe.es/gazeta/dias/1822/06/09/pdfs/GMD-1822-166.pdf#page=5","Abrir facsímil")</f>
        <v>Abrir facsímil</v>
      </c>
      <c r="K3256" s="3" t="s">
        <v>22</v>
      </c>
    </row>
    <row r="3257" spans="1:11" ht="42" customHeight="1">
      <c r="A3257" s="2" t="s">
        <v>6528</v>
      </c>
      <c r="B3257" s="2" t="s">
        <v>6529</v>
      </c>
      <c r="C3257" s="2" t="s">
        <v>50</v>
      </c>
      <c r="D3257" s="2" t="s">
        <v>51</v>
      </c>
      <c r="E3257" s="5">
        <v>-28349</v>
      </c>
      <c r="F3257" s="3" t="s">
        <v>518</v>
      </c>
      <c r="G3257" s="3" t="s">
        <v>57</v>
      </c>
      <c r="H3257" s="2" t="s">
        <v>20</v>
      </c>
      <c r="I3257" s="2" t="s">
        <v>6530</v>
      </c>
      <c r="J3257" s="3" t="str">
        <f>HYPERLINK("https://www.boe.es/gazeta/dias/1822/05/19/pdfs/GMD-1822-141.pdf#page=4","Abrir facsímil")</f>
        <v>Abrir facsímil</v>
      </c>
      <c r="K3257" s="3" t="s">
        <v>22</v>
      </c>
    </row>
    <row r="3258" spans="1:11" ht="42" customHeight="1">
      <c r="A3258" s="2" t="s">
        <v>6531</v>
      </c>
      <c r="B3258" s="2" t="s">
        <v>6531</v>
      </c>
      <c r="C3258" s="2" t="s">
        <v>24</v>
      </c>
      <c r="D3258" s="2" t="s">
        <v>17</v>
      </c>
      <c r="E3258" s="5">
        <v>-28483</v>
      </c>
      <c r="F3258" s="3" t="s">
        <v>254</v>
      </c>
      <c r="G3258" s="3" t="s">
        <v>35</v>
      </c>
      <c r="H3258" s="2" t="s">
        <v>20</v>
      </c>
      <c r="I3258" s="2" t="s">
        <v>6532</v>
      </c>
      <c r="J3258" s="3" t="str">
        <f>HYPERLINK("https://www.boe.es/gazeta/dias/1822/01/05/pdfs/GMD-1822-5.pdf#page=2","Abrir facsímil")</f>
        <v>Abrir facsímil</v>
      </c>
      <c r="K3258" s="3" t="s">
        <v>22</v>
      </c>
    </row>
    <row r="3259" spans="1:11" ht="42" customHeight="1">
      <c r="A3259" s="2" t="s">
        <v>6531</v>
      </c>
      <c r="B3259" s="2" t="s">
        <v>6531</v>
      </c>
      <c r="C3259" s="2" t="s">
        <v>50</v>
      </c>
      <c r="D3259" s="2" t="s">
        <v>51</v>
      </c>
      <c r="E3259" s="5">
        <v>-28300</v>
      </c>
      <c r="F3259" s="3" t="s">
        <v>6533</v>
      </c>
      <c r="G3259" s="3" t="s">
        <v>57</v>
      </c>
      <c r="H3259" s="2" t="s">
        <v>20</v>
      </c>
      <c r="I3259" s="2" t="s">
        <v>6534</v>
      </c>
      <c r="J3259" s="3" t="str">
        <f>HYPERLINK("https://www.boe.es/gazeta/dias/1822/07/07/pdfs/GMD-1822-196.pdf#page=4","Abrir facsímil")</f>
        <v>Abrir facsímil</v>
      </c>
      <c r="K3259" s="3" t="s">
        <v>22</v>
      </c>
    </row>
    <row r="3260" spans="1:11" ht="42" customHeight="1">
      <c r="A3260" s="2" t="s">
        <v>6531</v>
      </c>
      <c r="B3260" s="2" t="s">
        <v>6531</v>
      </c>
      <c r="C3260" s="2" t="s">
        <v>42</v>
      </c>
      <c r="D3260" s="2" t="s">
        <v>17</v>
      </c>
      <c r="E3260" s="5">
        <v>-28202</v>
      </c>
      <c r="F3260" s="3" t="s">
        <v>922</v>
      </c>
      <c r="G3260" s="3" t="s">
        <v>923</v>
      </c>
      <c r="H3260" s="2" t="s">
        <v>20</v>
      </c>
      <c r="I3260" s="2" t="s">
        <v>6535</v>
      </c>
      <c r="J3260" s="3" t="str">
        <f>HYPERLINK("https://www.boe.es/gazeta/dias/1822/10/13/pdfs/GMD-1822-300.pdf#page=2","Abrir facsímil")</f>
        <v>Abrir facsímil</v>
      </c>
      <c r="K3260" s="3" t="s">
        <v>22</v>
      </c>
    </row>
    <row r="3261" spans="1:11" ht="42" customHeight="1">
      <c r="A3261" s="2" t="s">
        <v>6536</v>
      </c>
      <c r="B3261" s="2" t="s">
        <v>6537</v>
      </c>
      <c r="C3261" s="2" t="s">
        <v>50</v>
      </c>
      <c r="D3261" s="2" t="s">
        <v>51</v>
      </c>
      <c r="E3261" s="5">
        <v>-28339</v>
      </c>
      <c r="F3261" s="3" t="s">
        <v>197</v>
      </c>
      <c r="G3261" s="3" t="s">
        <v>63</v>
      </c>
      <c r="H3261" s="2" t="s">
        <v>20</v>
      </c>
      <c r="I3261" s="2" t="s">
        <v>6538</v>
      </c>
      <c r="J3261" s="3" t="str">
        <f>HYPERLINK("https://www.boe.es/gazeta/dias/1822/05/29/pdfs/GMD-1822-154.pdf#page=6","Abrir facsímil")</f>
        <v>Abrir facsímil</v>
      </c>
      <c r="K3261" s="3" t="s">
        <v>22</v>
      </c>
    </row>
    <row r="3262" spans="1:11" ht="42" customHeight="1">
      <c r="A3262" s="2" t="s">
        <v>6539</v>
      </c>
      <c r="B3262" s="2" t="s">
        <v>6540</v>
      </c>
      <c r="C3262" s="2" t="s">
        <v>42</v>
      </c>
      <c r="D3262" s="2" t="s">
        <v>17</v>
      </c>
      <c r="E3262" s="5">
        <v>-28294</v>
      </c>
      <c r="F3262" s="3" t="s">
        <v>2298</v>
      </c>
      <c r="G3262" s="3" t="s">
        <v>35</v>
      </c>
      <c r="H3262" s="2" t="s">
        <v>20</v>
      </c>
      <c r="I3262" s="2" t="s">
        <v>6541</v>
      </c>
      <c r="J3262" s="3" t="str">
        <f>HYPERLINK("https://www.boe.es/gazeta/dias/1822/07/13/pdfs/GMD-1822-203.pdf#page=2","Abrir facsímil")</f>
        <v>Abrir facsímil</v>
      </c>
      <c r="K3262" s="3" t="s">
        <v>22</v>
      </c>
    </row>
    <row r="3263" spans="1:11" ht="42" customHeight="1">
      <c r="A3263" s="2" t="s">
        <v>6542</v>
      </c>
      <c r="B3263" s="2" t="s">
        <v>6543</v>
      </c>
      <c r="C3263" s="2" t="s">
        <v>28</v>
      </c>
      <c r="D3263" s="2" t="s">
        <v>29</v>
      </c>
      <c r="E3263" s="5">
        <v>-28385</v>
      </c>
      <c r="F3263" s="3" t="s">
        <v>484</v>
      </c>
      <c r="G3263" s="3" t="s">
        <v>31</v>
      </c>
      <c r="H3263" s="2" t="s">
        <v>20</v>
      </c>
      <c r="I3263" s="2" t="s">
        <v>6544</v>
      </c>
      <c r="J3263" s="3" t="str">
        <f>HYPERLINK("https://www.boe.es/gazeta/dias/1822/04/13/pdfs/GMD-1822-105.pdf#page=3","Abrir facsímil")</f>
        <v>Abrir facsímil</v>
      </c>
      <c r="K3263" s="3" t="s">
        <v>22</v>
      </c>
    </row>
    <row r="3264" spans="1:11" ht="42" customHeight="1">
      <c r="A3264" s="2" t="s">
        <v>6542</v>
      </c>
      <c r="B3264" s="2" t="s">
        <v>6543</v>
      </c>
      <c r="C3264" s="2" t="s">
        <v>50</v>
      </c>
      <c r="D3264" s="2" t="s">
        <v>51</v>
      </c>
      <c r="E3264" s="5">
        <v>-28338</v>
      </c>
      <c r="F3264" s="3" t="s">
        <v>527</v>
      </c>
      <c r="G3264" s="3" t="s">
        <v>35</v>
      </c>
      <c r="H3264" s="2" t="s">
        <v>20</v>
      </c>
      <c r="I3264" s="2" t="s">
        <v>6545</v>
      </c>
      <c r="J3264" s="3" t="str">
        <f>HYPERLINK("https://www.boe.es/gazeta/dias/1822/05/30/pdfs/GMD-1822-155.pdf#page=2","Abrir facsímil")</f>
        <v>Abrir facsímil</v>
      </c>
      <c r="K3264" s="3" t="s">
        <v>22</v>
      </c>
    </row>
    <row r="3265" spans="1:11" ht="42" customHeight="1">
      <c r="A3265" s="2" t="s">
        <v>6546</v>
      </c>
      <c r="B3265" s="2" t="s">
        <v>6547</v>
      </c>
      <c r="C3265" s="2" t="s">
        <v>42</v>
      </c>
      <c r="D3265" s="2" t="s">
        <v>17</v>
      </c>
      <c r="E3265" s="5">
        <v>-28230</v>
      </c>
      <c r="F3265" s="3" t="s">
        <v>1735</v>
      </c>
      <c r="G3265" s="3" t="s">
        <v>31</v>
      </c>
      <c r="H3265" s="2" t="s">
        <v>20</v>
      </c>
      <c r="I3265" s="2" t="s">
        <v>6548</v>
      </c>
      <c r="J3265" s="3" t="str">
        <f>HYPERLINK("https://www.boe.es/gazeta/dias/1822/09/15/pdfs/GMD-1822-271.pdf#page=3","Abrir facsímil")</f>
        <v>Abrir facsímil</v>
      </c>
      <c r="K3265" s="3" t="s">
        <v>22</v>
      </c>
    </row>
    <row r="3266" spans="1:11" ht="42" customHeight="1">
      <c r="A3266" s="2" t="s">
        <v>6549</v>
      </c>
      <c r="B3266" s="2" t="s">
        <v>6550</v>
      </c>
      <c r="C3266" s="2" t="s">
        <v>50</v>
      </c>
      <c r="D3266" s="2" t="s">
        <v>51</v>
      </c>
      <c r="E3266" s="5">
        <v>-28414</v>
      </c>
      <c r="F3266" s="3" t="s">
        <v>187</v>
      </c>
      <c r="G3266" s="3" t="s">
        <v>19</v>
      </c>
      <c r="H3266" s="2" t="s">
        <v>20</v>
      </c>
      <c r="I3266" s="2" t="s">
        <v>6551</v>
      </c>
      <c r="J3266" s="3" t="str">
        <f>HYPERLINK("https://www.boe.es/gazeta/dias/1822/03/15/pdfs/GMD-1822-76.pdf#page=5","Abrir facsímil")</f>
        <v>Abrir facsímil</v>
      </c>
      <c r="K3266" s="3" t="s">
        <v>22</v>
      </c>
    </row>
    <row r="3267" spans="1:11" ht="42" customHeight="1">
      <c r="A3267" s="2" t="s">
        <v>6552</v>
      </c>
      <c r="B3267" s="2" t="s">
        <v>6553</v>
      </c>
      <c r="C3267" s="2" t="s">
        <v>71</v>
      </c>
      <c r="D3267" s="2" t="s">
        <v>17</v>
      </c>
      <c r="E3267" s="5">
        <v>-28391</v>
      </c>
      <c r="F3267" s="3" t="s">
        <v>378</v>
      </c>
      <c r="G3267" s="3" t="s">
        <v>63</v>
      </c>
      <c r="H3267" s="2" t="s">
        <v>20</v>
      </c>
      <c r="I3267" s="2" t="s">
        <v>6554</v>
      </c>
      <c r="J3267" s="3" t="str">
        <f>HYPERLINK("https://www.boe.es/gazeta/dias/1822/04/07/pdfs/GMD-1822-99.pdf#page=6","Abrir facsímil")</f>
        <v>Abrir facsímil</v>
      </c>
      <c r="K3267" s="3" t="s">
        <v>22</v>
      </c>
    </row>
    <row r="3268" spans="1:11" ht="42" customHeight="1">
      <c r="A3268" s="2" t="s">
        <v>6552</v>
      </c>
      <c r="B3268" s="2" t="s">
        <v>6553</v>
      </c>
      <c r="C3268" s="2" t="s">
        <v>50</v>
      </c>
      <c r="D3268" s="2" t="s">
        <v>51</v>
      </c>
      <c r="E3268" s="5">
        <v>-28374</v>
      </c>
      <c r="F3268" s="3" t="s">
        <v>171</v>
      </c>
      <c r="G3268" s="3" t="s">
        <v>57</v>
      </c>
      <c r="H3268" s="2" t="s">
        <v>20</v>
      </c>
      <c r="I3268" s="2" t="s">
        <v>6555</v>
      </c>
      <c r="J3268" s="3" t="str">
        <f>HYPERLINK("https://www.boe.es/gazeta/dias/1822/04/24/pdfs/GMD-1822-116.pdf#page=4","Abrir facsímil")</f>
        <v>Abrir facsímil</v>
      </c>
      <c r="K3268" s="3" t="s">
        <v>22</v>
      </c>
    </row>
    <row r="3269" spans="1:11" ht="42" customHeight="1">
      <c r="A3269" s="2" t="s">
        <v>6552</v>
      </c>
      <c r="B3269" s="2" t="s">
        <v>6553</v>
      </c>
      <c r="C3269" s="2" t="s">
        <v>24</v>
      </c>
      <c r="D3269" s="2" t="s">
        <v>17</v>
      </c>
      <c r="E3269" s="5">
        <v>-28364</v>
      </c>
      <c r="F3269" s="3" t="s">
        <v>509</v>
      </c>
      <c r="G3269" s="3" t="s">
        <v>63</v>
      </c>
      <c r="H3269" s="2" t="s">
        <v>20</v>
      </c>
      <c r="I3269" s="2" t="s">
        <v>6556</v>
      </c>
      <c r="J3269" s="3" t="str">
        <f>HYPERLINK("https://www.boe.es/gazeta/dias/1822/05/04/pdfs/GMD-1822-126.pdf#page=6","Abrir facsímil")</f>
        <v>Abrir facsímil</v>
      </c>
      <c r="K3269" s="3" t="s">
        <v>22</v>
      </c>
    </row>
    <row r="3270" spans="1:11" ht="42" customHeight="1">
      <c r="A3270" s="2" t="s">
        <v>6557</v>
      </c>
      <c r="B3270" s="2" t="s">
        <v>6558</v>
      </c>
      <c r="C3270" s="2" t="s">
        <v>16</v>
      </c>
      <c r="D3270" s="2" t="s">
        <v>17</v>
      </c>
      <c r="E3270" s="5">
        <v>-28393</v>
      </c>
      <c r="F3270" s="3" t="s">
        <v>326</v>
      </c>
      <c r="G3270" s="3" t="s">
        <v>57</v>
      </c>
      <c r="H3270" s="2" t="s">
        <v>20</v>
      </c>
      <c r="I3270" s="2" t="s">
        <v>6559</v>
      </c>
      <c r="J3270" s="3" t="str">
        <f>HYPERLINK("https://www.boe.es/gazeta/dias/1822/04/05/pdfs/GMD-1822-97.pdf#page=4","Abrir facsímil")</f>
        <v>Abrir facsímil</v>
      </c>
      <c r="K3270" s="3" t="s">
        <v>22</v>
      </c>
    </row>
    <row r="3271" spans="1:11" ht="42" customHeight="1">
      <c r="A3271" s="2" t="s">
        <v>6560</v>
      </c>
      <c r="B3271" s="2" t="s">
        <v>6560</v>
      </c>
      <c r="C3271" s="2" t="s">
        <v>50</v>
      </c>
      <c r="D3271" s="2" t="s">
        <v>51</v>
      </c>
      <c r="E3271" s="5">
        <v>-28403</v>
      </c>
      <c r="F3271" s="3" t="s">
        <v>471</v>
      </c>
      <c r="G3271" s="3" t="s">
        <v>35</v>
      </c>
      <c r="H3271" s="2" t="s">
        <v>20</v>
      </c>
      <c r="I3271" s="2" t="s">
        <v>6561</v>
      </c>
      <c r="J3271" s="3" t="str">
        <f>HYPERLINK("https://www.boe.es/gazeta/dias/1822/03/26/pdfs/GMD-1822-87.pdf#page=2","Abrir facsímil")</f>
        <v>Abrir facsímil</v>
      </c>
      <c r="K3271" s="3" t="s">
        <v>22</v>
      </c>
    </row>
    <row r="3272" spans="1:11" ht="42" customHeight="1">
      <c r="A3272" s="2" t="s">
        <v>6560</v>
      </c>
      <c r="B3272" s="2" t="s">
        <v>6560</v>
      </c>
      <c r="C3272" s="2" t="s">
        <v>42</v>
      </c>
      <c r="D3272" s="2" t="s">
        <v>17</v>
      </c>
      <c r="E3272" s="5">
        <v>-28378</v>
      </c>
      <c r="F3272" s="3" t="s">
        <v>496</v>
      </c>
      <c r="G3272" s="3" t="s">
        <v>31</v>
      </c>
      <c r="H3272" s="2" t="s">
        <v>20</v>
      </c>
      <c r="I3272" s="2" t="s">
        <v>6562</v>
      </c>
      <c r="J3272" s="3" t="str">
        <f>HYPERLINK("https://www.boe.es/gazeta/dias/1822/04/20/pdfs/GMD-1822-112.pdf#page=3","Abrir facsímil")</f>
        <v>Abrir facsímil</v>
      </c>
      <c r="K3272" s="3" t="s">
        <v>22</v>
      </c>
    </row>
    <row r="3273" spans="1:11" ht="42" customHeight="1">
      <c r="A3273" s="2" t="s">
        <v>6560</v>
      </c>
      <c r="B3273" s="2" t="s">
        <v>6560</v>
      </c>
      <c r="C3273" s="2" t="s">
        <v>50</v>
      </c>
      <c r="D3273" s="2" t="s">
        <v>51</v>
      </c>
      <c r="E3273" s="5">
        <v>-28376</v>
      </c>
      <c r="F3273" s="3" t="s">
        <v>500</v>
      </c>
      <c r="G3273" s="3" t="s">
        <v>501</v>
      </c>
      <c r="H3273" s="2" t="s">
        <v>20</v>
      </c>
      <c r="I3273" s="2" t="s">
        <v>6563</v>
      </c>
      <c r="J3273" s="3" t="str">
        <f>HYPERLINK("https://www.boe.es/gazeta/dias/1822/04/22/pdfs/GMD-1822-114.pdf#page=3","Abrir facsímil")</f>
        <v>Abrir facsímil</v>
      </c>
      <c r="K3273" s="3" t="s">
        <v>22</v>
      </c>
    </row>
    <row r="3274" spans="1:11" ht="42" customHeight="1">
      <c r="A3274" s="2" t="s">
        <v>6560</v>
      </c>
      <c r="B3274" s="2" t="s">
        <v>6560</v>
      </c>
      <c r="C3274" s="2" t="s">
        <v>71</v>
      </c>
      <c r="D3274" s="2" t="s">
        <v>17</v>
      </c>
      <c r="E3274" s="5">
        <v>-28359</v>
      </c>
      <c r="F3274" s="3" t="s">
        <v>209</v>
      </c>
      <c r="G3274" s="3" t="s">
        <v>19</v>
      </c>
      <c r="H3274" s="2" t="s">
        <v>20</v>
      </c>
      <c r="I3274" s="2" t="s">
        <v>6564</v>
      </c>
      <c r="J3274" s="3" t="str">
        <f>HYPERLINK("https://www.boe.es/gazeta/dias/1822/05/09/pdfs/GMD-1822-131.pdf#page=5","Abrir facsímil")</f>
        <v>Abrir facsímil</v>
      </c>
      <c r="K3274" s="3" t="s">
        <v>22</v>
      </c>
    </row>
    <row r="3275" spans="1:11" ht="42" customHeight="1">
      <c r="A3275" s="2" t="s">
        <v>6560</v>
      </c>
      <c r="B3275" s="2" t="s">
        <v>6560</v>
      </c>
      <c r="C3275" s="2" t="s">
        <v>42</v>
      </c>
      <c r="D3275" s="2" t="s">
        <v>17</v>
      </c>
      <c r="E3275" s="5">
        <v>-28351</v>
      </c>
      <c r="F3275" s="3" t="s">
        <v>282</v>
      </c>
      <c r="G3275" s="3" t="s">
        <v>35</v>
      </c>
      <c r="H3275" s="2" t="s">
        <v>20</v>
      </c>
      <c r="I3275" s="2" t="s">
        <v>6565</v>
      </c>
      <c r="J3275" s="3" t="str">
        <f>HYPERLINK("https://www.boe.es/gazeta/dias/1822/05/17/pdfs/GMD-1822-139.pdf#page=2","Abrir facsímil")</f>
        <v>Abrir facsímil</v>
      </c>
      <c r="K3275" s="3" t="s">
        <v>22</v>
      </c>
    </row>
    <row r="3276" spans="1:11" ht="42" customHeight="1">
      <c r="A3276" s="2" t="s">
        <v>6560</v>
      </c>
      <c r="B3276" s="2" t="s">
        <v>6560</v>
      </c>
      <c r="C3276" s="2" t="s">
        <v>42</v>
      </c>
      <c r="D3276" s="2" t="s">
        <v>17</v>
      </c>
      <c r="E3276" s="5">
        <v>-28336</v>
      </c>
      <c r="F3276" s="3" t="s">
        <v>156</v>
      </c>
      <c r="G3276" s="3" t="s">
        <v>35</v>
      </c>
      <c r="H3276" s="2" t="s">
        <v>20</v>
      </c>
      <c r="I3276" s="2" t="s">
        <v>6566</v>
      </c>
      <c r="J3276" s="3" t="str">
        <f>HYPERLINK("https://www.boe.es/gazeta/dias/1822/06/01/pdfs/GMD-1822-157.pdf#page=2","Abrir facsímil")</f>
        <v>Abrir facsímil</v>
      </c>
      <c r="K3276" s="3" t="s">
        <v>22</v>
      </c>
    </row>
    <row r="3277" spans="1:11" ht="42" customHeight="1">
      <c r="A3277" s="2" t="s">
        <v>6560</v>
      </c>
      <c r="B3277" s="2" t="s">
        <v>6560</v>
      </c>
      <c r="C3277" s="2" t="s">
        <v>42</v>
      </c>
      <c r="D3277" s="2" t="s">
        <v>17</v>
      </c>
      <c r="E3277" s="5">
        <v>-28327</v>
      </c>
      <c r="F3277" s="3" t="s">
        <v>38</v>
      </c>
      <c r="G3277" s="3" t="s">
        <v>63</v>
      </c>
      <c r="H3277" s="2" t="s">
        <v>20</v>
      </c>
      <c r="I3277" s="2" t="s">
        <v>6567</v>
      </c>
      <c r="J3277" s="3" t="str">
        <f>HYPERLINK("https://www.boe.es/gazeta/dias/1822/06/10/pdfs/GMD-1822-167.pdf#page=6","Abrir facsímil")</f>
        <v>Abrir facsímil</v>
      </c>
      <c r="K3277" s="3" t="s">
        <v>22</v>
      </c>
    </row>
    <row r="3278" spans="1:11" ht="42" customHeight="1">
      <c r="A3278" s="2" t="s">
        <v>6560</v>
      </c>
      <c r="B3278" s="2" t="s">
        <v>6560</v>
      </c>
      <c r="C3278" s="2" t="s">
        <v>16</v>
      </c>
      <c r="D3278" s="2" t="s">
        <v>17</v>
      </c>
      <c r="E3278" s="5">
        <v>-28322</v>
      </c>
      <c r="F3278" s="3" t="s">
        <v>2205</v>
      </c>
      <c r="G3278" s="3" t="s">
        <v>3031</v>
      </c>
      <c r="H3278" s="2" t="s">
        <v>20</v>
      </c>
      <c r="I3278" s="2" t="s">
        <v>6568</v>
      </c>
      <c r="J3278" s="3" t="str">
        <f>HYPERLINK("https://www.boe.es/gazeta/dias/1822/06/15/pdfs/GMD-1822-172.pdf#page=2","Abrir facsímil")</f>
        <v>Abrir facsímil</v>
      </c>
      <c r="K3278" s="3" t="s">
        <v>22</v>
      </c>
    </row>
    <row r="3279" spans="1:11" ht="42" customHeight="1">
      <c r="A3279" s="2" t="s">
        <v>6560</v>
      </c>
      <c r="B3279" s="2" t="s">
        <v>6560</v>
      </c>
      <c r="C3279" s="2" t="s">
        <v>28</v>
      </c>
      <c r="D3279" s="2" t="s">
        <v>29</v>
      </c>
      <c r="E3279" s="5">
        <v>-28322</v>
      </c>
      <c r="F3279" s="3" t="s">
        <v>2205</v>
      </c>
      <c r="G3279" s="3" t="s">
        <v>31</v>
      </c>
      <c r="H3279" s="2" t="s">
        <v>20</v>
      </c>
      <c r="I3279" s="2" t="s">
        <v>6569</v>
      </c>
      <c r="J3279" s="3" t="str">
        <f>HYPERLINK("https://www.boe.es/gazeta/dias/1822/06/15/pdfs/GMD-1822-172.pdf#page=3","Abrir facsímil")</f>
        <v>Abrir facsímil</v>
      </c>
      <c r="K3279" s="3" t="s">
        <v>22</v>
      </c>
    </row>
    <row r="3280" spans="1:11" ht="42" customHeight="1">
      <c r="A3280" s="2" t="s">
        <v>6560</v>
      </c>
      <c r="B3280" s="2" t="s">
        <v>6560</v>
      </c>
      <c r="C3280" s="2" t="s">
        <v>28</v>
      </c>
      <c r="D3280" s="2" t="s">
        <v>29</v>
      </c>
      <c r="E3280" s="5">
        <v>-28314</v>
      </c>
      <c r="F3280" s="3" t="s">
        <v>309</v>
      </c>
      <c r="G3280" s="3" t="s">
        <v>35</v>
      </c>
      <c r="H3280" s="2" t="s">
        <v>20</v>
      </c>
      <c r="I3280" s="2" t="s">
        <v>6570</v>
      </c>
      <c r="J3280" s="3" t="str">
        <f>HYPERLINK("https://www.boe.es/gazeta/dias/1822/06/23/pdfs/GMD-1822-181.pdf#page=2","Abrir facsímil")</f>
        <v>Abrir facsímil</v>
      </c>
      <c r="K3280" s="3" t="s">
        <v>22</v>
      </c>
    </row>
    <row r="3281" spans="1:11" ht="42" customHeight="1">
      <c r="A3281" s="2" t="s">
        <v>6560</v>
      </c>
      <c r="B3281" s="2" t="s">
        <v>6560</v>
      </c>
      <c r="C3281" s="2" t="s">
        <v>50</v>
      </c>
      <c r="D3281" s="2" t="s">
        <v>51</v>
      </c>
      <c r="E3281" s="5">
        <v>-28203</v>
      </c>
      <c r="F3281" s="3" t="s">
        <v>564</v>
      </c>
      <c r="G3281" s="3" t="s">
        <v>4185</v>
      </c>
      <c r="H3281" s="2" t="s">
        <v>20</v>
      </c>
      <c r="I3281" s="2" t="s">
        <v>6571</v>
      </c>
      <c r="J3281" s="3" t="str">
        <f>HYPERLINK("https://www.boe.es/gazeta/dias/1822/10/12/pdfs/GMD-1822-299.pdf#page=2","Abrir facsímil")</f>
        <v>Abrir facsímil</v>
      </c>
      <c r="K3281" s="3" t="s">
        <v>22</v>
      </c>
    </row>
    <row r="3282" spans="1:11" ht="42" customHeight="1">
      <c r="A3282" s="2" t="s">
        <v>6560</v>
      </c>
      <c r="B3282" s="2" t="s">
        <v>6560</v>
      </c>
      <c r="C3282" s="2" t="s">
        <v>50</v>
      </c>
      <c r="D3282" s="2" t="s">
        <v>51</v>
      </c>
      <c r="E3282" s="5">
        <v>-28202</v>
      </c>
      <c r="F3282" s="3" t="s">
        <v>922</v>
      </c>
      <c r="G3282" s="3" t="s">
        <v>923</v>
      </c>
      <c r="H3282" s="2" t="s">
        <v>20</v>
      </c>
      <c r="I3282" s="2" t="s">
        <v>6572</v>
      </c>
      <c r="J3282" s="3" t="str">
        <f>HYPERLINK("https://www.boe.es/gazeta/dias/1822/10/13/pdfs/GMD-1822-300.pdf#page=2","Abrir facsímil")</f>
        <v>Abrir facsímil</v>
      </c>
      <c r="K3282" s="3" t="s">
        <v>22</v>
      </c>
    </row>
    <row r="3283" spans="1:11" ht="42" customHeight="1">
      <c r="A3283" s="2" t="s">
        <v>6560</v>
      </c>
      <c r="B3283" s="2" t="s">
        <v>6560</v>
      </c>
      <c r="C3283" s="2" t="s">
        <v>71</v>
      </c>
      <c r="D3283" s="2" t="s">
        <v>17</v>
      </c>
      <c r="E3283" s="5">
        <v>-28200</v>
      </c>
      <c r="F3283" s="3" t="s">
        <v>1037</v>
      </c>
      <c r="G3283" s="3" t="s">
        <v>35</v>
      </c>
      <c r="H3283" s="2" t="s">
        <v>20</v>
      </c>
      <c r="I3283" s="2" t="s">
        <v>6573</v>
      </c>
      <c r="J3283" s="3" t="str">
        <f>HYPERLINK("https://www.boe.es/gazeta/dias/1822/10/15/pdfs/GMD-1822-302.pdf#page=2","Abrir facsímil")</f>
        <v>Abrir facsímil</v>
      </c>
      <c r="K3283" s="3" t="s">
        <v>22</v>
      </c>
    </row>
    <row r="3284" spans="1:11" ht="42" customHeight="1">
      <c r="A3284" s="2" t="s">
        <v>6560</v>
      </c>
      <c r="B3284" s="2" t="s">
        <v>6560</v>
      </c>
      <c r="C3284" s="2" t="s">
        <v>28</v>
      </c>
      <c r="D3284" s="2" t="s">
        <v>29</v>
      </c>
      <c r="E3284" s="5">
        <v>-28198</v>
      </c>
      <c r="F3284" s="3" t="s">
        <v>981</v>
      </c>
      <c r="G3284" s="3" t="s">
        <v>44</v>
      </c>
      <c r="H3284" s="2" t="s">
        <v>20</v>
      </c>
      <c r="I3284" s="2" t="s">
        <v>6574</v>
      </c>
      <c r="J3284" s="3" t="str">
        <f>HYPERLINK("https://www.boe.es/gazeta/dias/1822/10/17/pdfs/GMD-1822-304.pdf#page=1","Abrir facsímil")</f>
        <v>Abrir facsímil</v>
      </c>
      <c r="K3284" s="3" t="s">
        <v>22</v>
      </c>
    </row>
    <row r="3285" spans="1:11" ht="42" customHeight="1">
      <c r="A3285" s="2" t="s">
        <v>6560</v>
      </c>
      <c r="B3285" s="2" t="s">
        <v>6560</v>
      </c>
      <c r="C3285" s="2" t="s">
        <v>16</v>
      </c>
      <c r="D3285" s="2" t="s">
        <v>17</v>
      </c>
      <c r="E3285" s="5">
        <v>-28197</v>
      </c>
      <c r="F3285" s="3" t="s">
        <v>568</v>
      </c>
      <c r="G3285" s="3" t="s">
        <v>57</v>
      </c>
      <c r="H3285" s="2" t="s">
        <v>20</v>
      </c>
      <c r="I3285" s="2" t="s">
        <v>6575</v>
      </c>
      <c r="J3285" s="3" t="str">
        <f>HYPERLINK("https://www.boe.es/gazeta/dias/1822/10/18/pdfs/GMD-1822-305.pdf#page=4","Abrir facsímil")</f>
        <v>Abrir facsímil</v>
      </c>
      <c r="K3285" s="3" t="s">
        <v>22</v>
      </c>
    </row>
    <row r="3286" spans="1:11" ht="42" customHeight="1">
      <c r="A3286" s="2" t="s">
        <v>6560</v>
      </c>
      <c r="B3286" s="2" t="s">
        <v>6560</v>
      </c>
      <c r="C3286" s="2" t="s">
        <v>28</v>
      </c>
      <c r="D3286" s="2" t="s">
        <v>29</v>
      </c>
      <c r="E3286" s="5">
        <v>-28196</v>
      </c>
      <c r="F3286" s="3" t="s">
        <v>570</v>
      </c>
      <c r="G3286" s="3" t="s">
        <v>35</v>
      </c>
      <c r="H3286" s="2" t="s">
        <v>20</v>
      </c>
      <c r="I3286" s="2" t="s">
        <v>6576</v>
      </c>
      <c r="J3286" s="3" t="str">
        <f>HYPERLINK("https://www.boe.es/gazeta/dias/1822/10/19/pdfs/GMD-1822-306.pdf#page=2","Abrir facsímil")</f>
        <v>Abrir facsímil</v>
      </c>
      <c r="K3286" s="3" t="s">
        <v>22</v>
      </c>
    </row>
    <row r="3287" spans="1:11" ht="42" customHeight="1">
      <c r="A3287" s="2" t="s">
        <v>6560</v>
      </c>
      <c r="B3287" s="2" t="s">
        <v>6560</v>
      </c>
      <c r="C3287" s="2" t="s">
        <v>42</v>
      </c>
      <c r="D3287" s="2" t="s">
        <v>17</v>
      </c>
      <c r="E3287" s="5">
        <v>-28194</v>
      </c>
      <c r="F3287" s="3" t="s">
        <v>18</v>
      </c>
      <c r="G3287" s="3" t="s">
        <v>31</v>
      </c>
      <c r="H3287" s="2" t="s">
        <v>20</v>
      </c>
      <c r="I3287" s="2" t="s">
        <v>6577</v>
      </c>
      <c r="J3287" s="3" t="str">
        <f>HYPERLINK("https://www.boe.es/gazeta/dias/1822/10/21/pdfs/GMD-1822-308.pdf#page=3","Abrir facsímil")</f>
        <v>Abrir facsímil</v>
      </c>
      <c r="K3287" s="3" t="s">
        <v>22</v>
      </c>
    </row>
    <row r="3288" spans="1:11" ht="42" customHeight="1">
      <c r="A3288" s="2" t="s">
        <v>6560</v>
      </c>
      <c r="B3288" s="2" t="s">
        <v>6560</v>
      </c>
      <c r="C3288" s="2" t="s">
        <v>42</v>
      </c>
      <c r="D3288" s="2" t="s">
        <v>17</v>
      </c>
      <c r="E3288" s="5">
        <v>-28188</v>
      </c>
      <c r="F3288" s="3" t="s">
        <v>578</v>
      </c>
      <c r="G3288" s="3" t="s">
        <v>19</v>
      </c>
      <c r="H3288" s="2" t="s">
        <v>20</v>
      </c>
      <c r="I3288" s="2" t="s">
        <v>6578</v>
      </c>
      <c r="J3288" s="3" t="str">
        <f>HYPERLINK("https://www.boe.es/gazeta/dias/1822/10/27/pdfs/GMD-1822-314.pdf#page=5","Abrir facsímil")</f>
        <v>Abrir facsímil</v>
      </c>
      <c r="K3288" s="3" t="s">
        <v>22</v>
      </c>
    </row>
    <row r="3289" spans="1:11" ht="42" customHeight="1">
      <c r="A3289" s="2" t="s">
        <v>6560</v>
      </c>
      <c r="B3289" s="2" t="s">
        <v>6560</v>
      </c>
      <c r="C3289" s="2" t="s">
        <v>50</v>
      </c>
      <c r="D3289" s="2" t="s">
        <v>51</v>
      </c>
      <c r="E3289" s="5">
        <v>-28186</v>
      </c>
      <c r="F3289" s="3" t="s">
        <v>581</v>
      </c>
      <c r="G3289" s="3" t="s">
        <v>35</v>
      </c>
      <c r="H3289" s="2" t="s">
        <v>20</v>
      </c>
      <c r="I3289" s="2" t="s">
        <v>6579</v>
      </c>
      <c r="J3289" s="3" t="str">
        <f>HYPERLINK("https://www.boe.es/gazeta/dias/1822/10/29/pdfs/GMD-1822-316.pdf#page=2","Abrir facsímil")</f>
        <v>Abrir facsímil</v>
      </c>
      <c r="K3289" s="3" t="s">
        <v>22</v>
      </c>
    </row>
    <row r="3290" spans="1:11" ht="42" customHeight="1">
      <c r="A3290" s="2" t="s">
        <v>6560</v>
      </c>
      <c r="B3290" s="2" t="s">
        <v>6560</v>
      </c>
      <c r="C3290" s="2" t="s">
        <v>42</v>
      </c>
      <c r="D3290" s="2" t="s">
        <v>17</v>
      </c>
      <c r="E3290" s="5">
        <v>-28158</v>
      </c>
      <c r="F3290" s="3" t="s">
        <v>590</v>
      </c>
      <c r="G3290" s="3" t="s">
        <v>57</v>
      </c>
      <c r="H3290" s="2" t="s">
        <v>20</v>
      </c>
      <c r="I3290" s="2" t="s">
        <v>6580</v>
      </c>
      <c r="J3290" s="3" t="str">
        <f>HYPERLINK("https://www.boe.es/gazeta/dias/1822/11/26/pdfs/GMD-1822-346.pdf#page=4","Abrir facsímil")</f>
        <v>Abrir facsímil</v>
      </c>
      <c r="K3290" s="3" t="s">
        <v>22</v>
      </c>
    </row>
    <row r="3291" spans="1:11" ht="42" customHeight="1">
      <c r="A3291" s="2" t="s">
        <v>6560</v>
      </c>
      <c r="B3291" s="2" t="s">
        <v>6560</v>
      </c>
      <c r="C3291" s="2" t="s">
        <v>42</v>
      </c>
      <c r="D3291" s="2" t="s">
        <v>17</v>
      </c>
      <c r="E3291" s="5">
        <v>-28158</v>
      </c>
      <c r="F3291" s="3" t="s">
        <v>590</v>
      </c>
      <c r="G3291" s="3" t="s">
        <v>19</v>
      </c>
      <c r="H3291" s="2" t="s">
        <v>20</v>
      </c>
      <c r="I3291" s="2" t="s">
        <v>6581</v>
      </c>
      <c r="J3291" s="3" t="str">
        <f>HYPERLINK("https://www.boe.es/gazeta/dias/1822/11/26/pdfs/GMD-1822-346.pdf#page=5","Abrir facsímil")</f>
        <v>Abrir facsímil</v>
      </c>
      <c r="K3291" s="3" t="s">
        <v>22</v>
      </c>
    </row>
    <row r="3292" spans="1:11" ht="42" customHeight="1">
      <c r="A3292" s="2" t="s">
        <v>6582</v>
      </c>
      <c r="B3292" s="2" t="s">
        <v>6583</v>
      </c>
      <c r="C3292" s="2" t="s">
        <v>28</v>
      </c>
      <c r="D3292" s="2" t="s">
        <v>29</v>
      </c>
      <c r="E3292" s="5">
        <v>-28427</v>
      </c>
      <c r="F3292" s="3" t="s">
        <v>755</v>
      </c>
      <c r="G3292" s="3" t="s">
        <v>57</v>
      </c>
      <c r="H3292" s="2" t="s">
        <v>20</v>
      </c>
      <c r="I3292" s="2" t="s">
        <v>6584</v>
      </c>
      <c r="J3292" s="3" t="str">
        <f>HYPERLINK("https://www.boe.es/gazeta/dias/1822/03/02/pdfs/GMD-1822-63.pdf#page=4","Abrir facsímil")</f>
        <v>Abrir facsímil</v>
      </c>
      <c r="K3292" s="3" t="s">
        <v>22</v>
      </c>
    </row>
    <row r="3293" spans="1:11" ht="42" customHeight="1">
      <c r="A3293" s="2" t="s">
        <v>6585</v>
      </c>
      <c r="B3293" s="2" t="s">
        <v>6586</v>
      </c>
      <c r="C3293" s="2" t="s">
        <v>42</v>
      </c>
      <c r="D3293" s="2" t="s">
        <v>17</v>
      </c>
      <c r="E3293" s="5">
        <v>-28145</v>
      </c>
      <c r="F3293" s="3" t="s">
        <v>1350</v>
      </c>
      <c r="G3293" s="3" t="s">
        <v>63</v>
      </c>
      <c r="H3293" s="2" t="s">
        <v>20</v>
      </c>
      <c r="I3293" s="2" t="s">
        <v>6587</v>
      </c>
      <c r="J3293" s="3" t="str">
        <f>HYPERLINK("https://www.boe.es/gazeta/dias/1822/12/09/pdfs/GMD-1822-359.pdf#page=6","Abrir facsímil")</f>
        <v>Abrir facsímil</v>
      </c>
      <c r="K3293" s="3" t="s">
        <v>22</v>
      </c>
    </row>
    <row r="3294" spans="1:11" ht="42" customHeight="1">
      <c r="A3294" s="2" t="s">
        <v>6588</v>
      </c>
      <c r="B3294" s="2" t="s">
        <v>6589</v>
      </c>
      <c r="C3294" s="2" t="s">
        <v>1141</v>
      </c>
      <c r="D3294" s="2" t="s">
        <v>29</v>
      </c>
      <c r="E3294" s="5">
        <v>-28436</v>
      </c>
      <c r="F3294" s="3" t="s">
        <v>431</v>
      </c>
      <c r="G3294" s="3" t="s">
        <v>1428</v>
      </c>
      <c r="H3294" s="2" t="s">
        <v>20</v>
      </c>
      <c r="I3294" s="2" t="s">
        <v>6590</v>
      </c>
      <c r="J3294" s="3" t="str">
        <f>HYPERLINK("https://www.boe.es/gazeta/dias/1822/02/21/pdfs/GMD-1822-53.pdf#page=3","Abrir facsímil")</f>
        <v>Abrir facsímil</v>
      </c>
      <c r="K3294" s="3" t="s">
        <v>22</v>
      </c>
    </row>
    <row r="3295" spans="1:11" ht="42" customHeight="1">
      <c r="A3295" s="2" t="s">
        <v>6588</v>
      </c>
      <c r="B3295" s="2" t="s">
        <v>6589</v>
      </c>
      <c r="C3295" s="2" t="s">
        <v>61</v>
      </c>
      <c r="D3295" s="2" t="s">
        <v>17</v>
      </c>
      <c r="E3295" s="5">
        <v>-28312</v>
      </c>
      <c r="F3295" s="3" t="s">
        <v>92</v>
      </c>
      <c r="G3295" s="3" t="s">
        <v>93</v>
      </c>
      <c r="H3295" s="2" t="s">
        <v>20</v>
      </c>
      <c r="I3295" s="2" t="s">
        <v>6591</v>
      </c>
      <c r="J3295" s="3" t="str">
        <f>HYPERLINK("https://www.boe.es/gazeta/dias/1822/06/25/pdfs/GMD-1822-183.pdf#page=4","Abrir facsímil")</f>
        <v>Abrir facsímil</v>
      </c>
      <c r="K3295" s="3" t="s">
        <v>22</v>
      </c>
    </row>
    <row r="3296" spans="1:11" ht="42" customHeight="1">
      <c r="A3296" s="2" t="s">
        <v>6592</v>
      </c>
      <c r="B3296" s="2" t="s">
        <v>6593</v>
      </c>
      <c r="C3296" s="2" t="s">
        <v>61</v>
      </c>
      <c r="D3296" s="2" t="s">
        <v>17</v>
      </c>
      <c r="E3296" s="5">
        <v>-28427</v>
      </c>
      <c r="F3296" s="3" t="s">
        <v>755</v>
      </c>
      <c r="G3296" s="3" t="s">
        <v>57</v>
      </c>
      <c r="H3296" s="2" t="s">
        <v>20</v>
      </c>
      <c r="I3296" s="2" t="s">
        <v>6594</v>
      </c>
      <c r="J3296" s="3" t="str">
        <f>HYPERLINK("https://www.boe.es/gazeta/dias/1822/03/02/pdfs/GMD-1822-63.pdf#page=4","Abrir facsímil")</f>
        <v>Abrir facsímil</v>
      </c>
      <c r="K3296" s="3" t="s">
        <v>22</v>
      </c>
    </row>
    <row r="3297" spans="1:11" ht="42" customHeight="1">
      <c r="A3297" s="2" t="s">
        <v>6595</v>
      </c>
      <c r="B3297" s="2" t="s">
        <v>6595</v>
      </c>
      <c r="C3297" s="2" t="s">
        <v>50</v>
      </c>
      <c r="D3297" s="2" t="s">
        <v>51</v>
      </c>
      <c r="E3297" s="5">
        <v>-28476</v>
      </c>
      <c r="F3297" s="3" t="s">
        <v>160</v>
      </c>
      <c r="G3297" s="3" t="s">
        <v>35</v>
      </c>
      <c r="H3297" s="2" t="s">
        <v>20</v>
      </c>
      <c r="I3297" s="2" t="s">
        <v>6596</v>
      </c>
      <c r="J3297" s="3" t="str">
        <f>HYPERLINK("https://www.boe.es/gazeta/dias/1822/01/12/pdfs/GMD-1822-12.pdf#page=2","Abrir facsímil")</f>
        <v>Abrir facsímil</v>
      </c>
      <c r="K3297" s="3" t="s">
        <v>22</v>
      </c>
    </row>
    <row r="3298" spans="1:11" ht="42" customHeight="1">
      <c r="A3298" s="2" t="s">
        <v>6597</v>
      </c>
      <c r="B3298" s="2" t="s">
        <v>6597</v>
      </c>
      <c r="C3298" s="2" t="s">
        <v>28</v>
      </c>
      <c r="D3298" s="2" t="s">
        <v>29</v>
      </c>
      <c r="E3298" s="5">
        <v>-28249</v>
      </c>
      <c r="F3298" s="3" t="s">
        <v>3986</v>
      </c>
      <c r="G3298" s="3" t="s">
        <v>57</v>
      </c>
      <c r="H3298" s="2" t="s">
        <v>20</v>
      </c>
      <c r="I3298" s="2" t="s">
        <v>6598</v>
      </c>
      <c r="J3298" s="3" t="str">
        <f>HYPERLINK("https://www.boe.es/gazeta/dias/1822/08/27/pdfs/GMD-1822-251.pdf#page=4","Abrir facsímil")</f>
        <v>Abrir facsímil</v>
      </c>
      <c r="K3298" s="3" t="s">
        <v>22</v>
      </c>
    </row>
    <row r="3299" spans="1:11" ht="42" customHeight="1">
      <c r="A3299" s="2" t="s">
        <v>6599</v>
      </c>
      <c r="B3299" s="2" t="s">
        <v>6599</v>
      </c>
      <c r="C3299" s="2" t="s">
        <v>50</v>
      </c>
      <c r="D3299" s="2" t="s">
        <v>51</v>
      </c>
      <c r="E3299" s="5">
        <v>-28282</v>
      </c>
      <c r="F3299" s="3" t="s">
        <v>6600</v>
      </c>
      <c r="G3299" s="3" t="s">
        <v>6601</v>
      </c>
      <c r="H3299" s="2" t="s">
        <v>20</v>
      </c>
      <c r="I3299" s="2" t="s">
        <v>6602</v>
      </c>
      <c r="J3299" s="3" t="str">
        <f>HYPERLINK("https://www.boe.es/gazeta/dias/1822/07/25/pdfs/GMD-1822-218.pdf#page=4","Abrir facsímil")</f>
        <v>Abrir facsímil</v>
      </c>
      <c r="K3299" s="3" t="s">
        <v>22</v>
      </c>
    </row>
    <row r="3300" spans="1:11" ht="42" customHeight="1">
      <c r="A3300" s="2" t="s">
        <v>6603</v>
      </c>
      <c r="B3300" s="2" t="s">
        <v>6604</v>
      </c>
      <c r="C3300" s="2" t="s">
        <v>42</v>
      </c>
      <c r="D3300" s="2" t="s">
        <v>17</v>
      </c>
      <c r="E3300" s="5">
        <v>-28417</v>
      </c>
      <c r="F3300" s="3" t="s">
        <v>1394</v>
      </c>
      <c r="G3300" s="3" t="s">
        <v>31</v>
      </c>
      <c r="H3300" s="2" t="s">
        <v>20</v>
      </c>
      <c r="I3300" s="2" t="s">
        <v>6605</v>
      </c>
      <c r="J3300" s="3" t="str">
        <f>HYPERLINK("https://www.boe.es/gazeta/dias/1822/03/12/pdfs/GMD-1822-73.pdf#page=3","Abrir facsímil")</f>
        <v>Abrir facsímil</v>
      </c>
      <c r="K3300" s="3" t="s">
        <v>22</v>
      </c>
    </row>
    <row r="3301" spans="1:11" ht="42" customHeight="1">
      <c r="A3301" s="2" t="s">
        <v>6606</v>
      </c>
      <c r="B3301" s="2" t="s">
        <v>6607</v>
      </c>
      <c r="C3301" s="2" t="s">
        <v>42</v>
      </c>
      <c r="D3301" s="2" t="s">
        <v>17</v>
      </c>
      <c r="E3301" s="5">
        <v>-28462</v>
      </c>
      <c r="F3301" s="3" t="s">
        <v>1099</v>
      </c>
      <c r="G3301" s="3" t="s">
        <v>57</v>
      </c>
      <c r="H3301" s="2" t="s">
        <v>20</v>
      </c>
      <c r="I3301" s="2" t="s">
        <v>6608</v>
      </c>
      <c r="J3301" s="3" t="str">
        <f>HYPERLINK("https://www.boe.es/gazeta/dias/1822/01/26/pdfs/GMD-1822-26.pdf#page=4","Abrir facsímil")</f>
        <v>Abrir facsímil</v>
      </c>
      <c r="K3301" s="3" t="s">
        <v>22</v>
      </c>
    </row>
    <row r="3302" spans="1:11" ht="42" customHeight="1">
      <c r="A3302" s="2" t="s">
        <v>6609</v>
      </c>
      <c r="B3302" s="2" t="s">
        <v>6610</v>
      </c>
      <c r="C3302" s="2" t="s">
        <v>42</v>
      </c>
      <c r="D3302" s="2" t="s">
        <v>17</v>
      </c>
      <c r="E3302" s="5">
        <v>-28285</v>
      </c>
      <c r="F3302" s="3" t="s">
        <v>4539</v>
      </c>
      <c r="G3302" s="3" t="s">
        <v>57</v>
      </c>
      <c r="H3302" s="2" t="s">
        <v>20</v>
      </c>
      <c r="I3302" s="2" t="s">
        <v>6611</v>
      </c>
      <c r="J3302" s="3" t="str">
        <f>HYPERLINK("https://www.boe.es/gazeta/dias/1822/07/22/pdfs/GMD-1822-215.pdf#page=4","Abrir facsímil")</f>
        <v>Abrir facsímil</v>
      </c>
      <c r="K3302" s="3" t="s">
        <v>22</v>
      </c>
    </row>
    <row r="3303" spans="1:11" ht="42" customHeight="1">
      <c r="A3303" s="2" t="s">
        <v>6612</v>
      </c>
      <c r="B3303" s="2" t="s">
        <v>6613</v>
      </c>
      <c r="C3303" s="2" t="s">
        <v>24</v>
      </c>
      <c r="D3303" s="2" t="s">
        <v>17</v>
      </c>
      <c r="E3303" s="5">
        <v>-28297</v>
      </c>
      <c r="F3303" s="3" t="s">
        <v>1972</v>
      </c>
      <c r="G3303" s="3" t="s">
        <v>57</v>
      </c>
      <c r="H3303" s="2" t="s">
        <v>20</v>
      </c>
      <c r="I3303" s="2" t="s">
        <v>6614</v>
      </c>
      <c r="J3303" s="3" t="str">
        <f>HYPERLINK("https://www.boe.es/gazeta/dias/1822/07/10/pdfs/GMD-1822-200.pdf#page=4","Abrir facsímil")</f>
        <v>Abrir facsímil</v>
      </c>
      <c r="K3303" s="3" t="s">
        <v>22</v>
      </c>
    </row>
    <row r="3304" spans="1:11" ht="42" customHeight="1">
      <c r="A3304" s="2" t="s">
        <v>6615</v>
      </c>
      <c r="B3304" s="2" t="s">
        <v>6616</v>
      </c>
      <c r="C3304" s="2" t="s">
        <v>71</v>
      </c>
      <c r="D3304" s="2" t="s">
        <v>17</v>
      </c>
      <c r="E3304" s="5">
        <v>-28199</v>
      </c>
      <c r="F3304" s="3" t="s">
        <v>656</v>
      </c>
      <c r="G3304" s="3" t="s">
        <v>19</v>
      </c>
      <c r="H3304" s="2" t="s">
        <v>20</v>
      </c>
      <c r="I3304" s="2" t="s">
        <v>6617</v>
      </c>
      <c r="J3304" s="3" t="str">
        <f>HYPERLINK("https://www.boe.es/gazeta/dias/1822/10/16/pdfs/GMD-1822-303.pdf#page=5","Abrir facsímil")</f>
        <v>Abrir facsímil</v>
      </c>
      <c r="K3304" s="3" t="s">
        <v>22</v>
      </c>
    </row>
    <row r="3305" spans="1:11" ht="42" customHeight="1">
      <c r="A3305" s="2" t="s">
        <v>6618</v>
      </c>
      <c r="B3305" s="2" t="s">
        <v>6619</v>
      </c>
      <c r="C3305" s="2" t="s">
        <v>42</v>
      </c>
      <c r="D3305" s="2" t="s">
        <v>17</v>
      </c>
      <c r="E3305" s="5">
        <v>-28271</v>
      </c>
      <c r="F3305" s="3" t="s">
        <v>4942</v>
      </c>
      <c r="G3305" s="3" t="s">
        <v>57</v>
      </c>
      <c r="H3305" s="2" t="s">
        <v>20</v>
      </c>
      <c r="I3305" s="2" t="s">
        <v>6620</v>
      </c>
      <c r="J3305" s="3" t="str">
        <f>HYPERLINK("https://www.boe.es/gazeta/dias/1822/08/05/pdfs/GMD-1822-229.pdf#page=4","Abrir facsímil")</f>
        <v>Abrir facsímil</v>
      </c>
      <c r="K3305" s="3" t="s">
        <v>22</v>
      </c>
    </row>
    <row r="3306" spans="1:11" ht="42" customHeight="1">
      <c r="A3306" s="2" t="s">
        <v>6621</v>
      </c>
      <c r="B3306" s="2" t="s">
        <v>6622</v>
      </c>
      <c r="C3306" s="2" t="s">
        <v>61</v>
      </c>
      <c r="D3306" s="2" t="s">
        <v>17</v>
      </c>
      <c r="E3306" s="5">
        <v>-28212</v>
      </c>
      <c r="F3306" s="3" t="s">
        <v>560</v>
      </c>
      <c r="G3306" s="3" t="s">
        <v>57</v>
      </c>
      <c r="H3306" s="2" t="s">
        <v>20</v>
      </c>
      <c r="I3306" s="2" t="s">
        <v>6623</v>
      </c>
      <c r="J3306" s="3" t="str">
        <f>HYPERLINK("https://www.boe.es/gazeta/dias/1822/10/03/pdfs/GMD-1822-289.pdf#page=4","Abrir facsímil")</f>
        <v>Abrir facsímil</v>
      </c>
      <c r="K3306" s="3" t="s">
        <v>22</v>
      </c>
    </row>
    <row r="3307" spans="1:11" ht="42" customHeight="1">
      <c r="A3307" s="2" t="s">
        <v>6624</v>
      </c>
      <c r="B3307" s="2" t="s">
        <v>6625</v>
      </c>
      <c r="C3307" s="2" t="s">
        <v>28</v>
      </c>
      <c r="D3307" s="2" t="s">
        <v>29</v>
      </c>
      <c r="E3307" s="5">
        <v>-28285</v>
      </c>
      <c r="F3307" s="3" t="s">
        <v>4539</v>
      </c>
      <c r="G3307" s="3" t="s">
        <v>57</v>
      </c>
      <c r="H3307" s="2" t="s">
        <v>20</v>
      </c>
      <c r="I3307" s="2" t="s">
        <v>6626</v>
      </c>
      <c r="J3307" s="3" t="str">
        <f>HYPERLINK("https://www.boe.es/gazeta/dias/1822/07/22/pdfs/GMD-1822-215.pdf#page=4","Abrir facsímil")</f>
        <v>Abrir facsímil</v>
      </c>
      <c r="K3307" s="3" t="s">
        <v>22</v>
      </c>
    </row>
    <row r="3308" spans="1:11" ht="42" customHeight="1">
      <c r="A3308" s="2" t="s">
        <v>6627</v>
      </c>
      <c r="B3308" s="2" t="s">
        <v>6628</v>
      </c>
      <c r="C3308" s="2" t="s">
        <v>28</v>
      </c>
      <c r="D3308" s="2" t="s">
        <v>29</v>
      </c>
      <c r="E3308" s="5">
        <v>-28272</v>
      </c>
      <c r="F3308" s="3" t="s">
        <v>52</v>
      </c>
      <c r="G3308" s="3" t="s">
        <v>57</v>
      </c>
      <c r="H3308" s="2" t="s">
        <v>45</v>
      </c>
      <c r="I3308" s="2" t="s">
        <v>6629</v>
      </c>
      <c r="J3308" s="3" t="str">
        <f>HYPERLINK("https://www.boe.es/gazeta/dias/1822/08/04/pdfs/GMD-1822-228.pdf#page=4","Abrir facsímil")</f>
        <v>Abrir facsímil</v>
      </c>
      <c r="K3308" s="3" t="s">
        <v>47</v>
      </c>
    </row>
    <row r="3309" spans="1:11" ht="42" customHeight="1">
      <c r="A3309" s="2" t="s">
        <v>6630</v>
      </c>
      <c r="B3309" s="2" t="s">
        <v>6631</v>
      </c>
      <c r="C3309" s="2" t="s">
        <v>28</v>
      </c>
      <c r="D3309" s="2" t="s">
        <v>29</v>
      </c>
      <c r="E3309" s="5">
        <v>-28382</v>
      </c>
      <c r="F3309" s="3" t="s">
        <v>973</v>
      </c>
      <c r="G3309" s="3" t="s">
        <v>63</v>
      </c>
      <c r="H3309" s="2" t="s">
        <v>20</v>
      </c>
      <c r="I3309" s="2" t="s">
        <v>6632</v>
      </c>
      <c r="J3309" s="3" t="str">
        <f>HYPERLINK("https://www.boe.es/gazeta/dias/1822/04/16/pdfs/GMD-1822-108.pdf#page=6","Abrir facsímil")</f>
        <v>Abrir facsímil</v>
      </c>
      <c r="K3309" s="3" t="s">
        <v>22</v>
      </c>
    </row>
    <row r="3310" spans="1:11" ht="42" customHeight="1">
      <c r="A3310" s="2" t="s">
        <v>6633</v>
      </c>
      <c r="B3310" s="2" t="s">
        <v>6634</v>
      </c>
      <c r="C3310" s="2" t="s">
        <v>42</v>
      </c>
      <c r="D3310" s="2" t="s">
        <v>17</v>
      </c>
      <c r="E3310" s="5">
        <v>-28243</v>
      </c>
      <c r="F3310" s="3" t="s">
        <v>1829</v>
      </c>
      <c r="G3310" s="3" t="s">
        <v>57</v>
      </c>
      <c r="H3310" s="2" t="s">
        <v>20</v>
      </c>
      <c r="I3310" s="2" t="s">
        <v>6635</v>
      </c>
      <c r="J3310" s="3" t="str">
        <f>HYPERLINK("https://www.boe.es/gazeta/dias/1822/09/02/pdfs/GMD-1822-257.pdf#page=4","Abrir facsímil")</f>
        <v>Abrir facsímil</v>
      </c>
      <c r="K3310" s="3" t="s">
        <v>22</v>
      </c>
    </row>
    <row r="3311" spans="1:11" ht="42" customHeight="1">
      <c r="A3311" s="2" t="s">
        <v>6633</v>
      </c>
      <c r="B3311" s="2" t="s">
        <v>6634</v>
      </c>
      <c r="C3311" s="2" t="s">
        <v>50</v>
      </c>
      <c r="D3311" s="2" t="s">
        <v>51</v>
      </c>
      <c r="E3311" s="5">
        <v>-28221</v>
      </c>
      <c r="F3311" s="3" t="s">
        <v>2591</v>
      </c>
      <c r="G3311" s="3" t="s">
        <v>57</v>
      </c>
      <c r="H3311" s="2" t="s">
        <v>20</v>
      </c>
      <c r="I3311" s="2" t="s">
        <v>6636</v>
      </c>
      <c r="J3311" s="3" t="str">
        <f>HYPERLINK("https://www.boe.es/gazeta/dias/1822/09/24/pdfs/GMD-1822-280.pdf#page=4","Abrir facsímil")</f>
        <v>Abrir facsímil</v>
      </c>
      <c r="K3311" s="3" t="s">
        <v>22</v>
      </c>
    </row>
    <row r="3312" spans="1:11" ht="42" customHeight="1">
      <c r="A3312" s="2" t="s">
        <v>6633</v>
      </c>
      <c r="B3312" s="2" t="s">
        <v>6634</v>
      </c>
      <c r="C3312" s="2" t="s">
        <v>42</v>
      </c>
      <c r="D3312" s="2" t="s">
        <v>17</v>
      </c>
      <c r="E3312" s="5">
        <v>-28213</v>
      </c>
      <c r="F3312" s="3" t="s">
        <v>558</v>
      </c>
      <c r="G3312" s="3" t="s">
        <v>57</v>
      </c>
      <c r="H3312" s="2" t="s">
        <v>20</v>
      </c>
      <c r="I3312" s="2" t="s">
        <v>6637</v>
      </c>
      <c r="J3312" s="3" t="str">
        <f>HYPERLINK("https://www.boe.es/gazeta/dias/1822/10/02/pdfs/GMD-1822-288.pdf#page=4","Abrir facsímil")</f>
        <v>Abrir facsímil</v>
      </c>
      <c r="K3312" s="3" t="s">
        <v>22</v>
      </c>
    </row>
    <row r="3313" spans="1:11" ht="42" customHeight="1">
      <c r="A3313" s="2" t="s">
        <v>6638</v>
      </c>
      <c r="B3313" s="2" t="s">
        <v>6639</v>
      </c>
      <c r="C3313" s="2" t="s">
        <v>42</v>
      </c>
      <c r="D3313" s="2" t="s">
        <v>17</v>
      </c>
      <c r="E3313" s="5">
        <v>-28352</v>
      </c>
      <c r="F3313" s="3" t="s">
        <v>1575</v>
      </c>
      <c r="G3313" s="3" t="s">
        <v>63</v>
      </c>
      <c r="H3313" s="2" t="s">
        <v>20</v>
      </c>
      <c r="I3313" s="2" t="s">
        <v>6640</v>
      </c>
      <c r="J3313" s="3" t="str">
        <f>HYPERLINK("https://www.boe.es/gazeta/dias/1822/05/16/pdfs/GMD-1822-138.pdf#page=6","Abrir facsímil")</f>
        <v>Abrir facsímil</v>
      </c>
      <c r="K3313" s="3" t="s">
        <v>22</v>
      </c>
    </row>
    <row r="3314" spans="1:11" ht="42" customHeight="1">
      <c r="A3314" s="2" t="s">
        <v>6641</v>
      </c>
      <c r="B3314" s="2" t="s">
        <v>6642</v>
      </c>
      <c r="C3314" s="2" t="s">
        <v>28</v>
      </c>
      <c r="D3314" s="2" t="s">
        <v>29</v>
      </c>
      <c r="E3314" s="5">
        <v>-28272</v>
      </c>
      <c r="F3314" s="3" t="s">
        <v>52</v>
      </c>
      <c r="G3314" s="3" t="s">
        <v>57</v>
      </c>
      <c r="H3314" s="2" t="s">
        <v>20</v>
      </c>
      <c r="I3314" s="2" t="s">
        <v>6643</v>
      </c>
      <c r="J3314" s="3" t="str">
        <f>HYPERLINK("https://www.boe.es/gazeta/dias/1822/08/04/pdfs/GMD-1822-228.pdf#page=4","Abrir facsímil")</f>
        <v>Abrir facsímil</v>
      </c>
      <c r="K3314" s="3" t="s">
        <v>22</v>
      </c>
    </row>
    <row r="3315" spans="1:11" ht="42" customHeight="1">
      <c r="A3315" s="2" t="s">
        <v>6641</v>
      </c>
      <c r="B3315" s="2" t="s">
        <v>6642</v>
      </c>
      <c r="C3315" s="2" t="s">
        <v>1141</v>
      </c>
      <c r="D3315" s="2" t="s">
        <v>29</v>
      </c>
      <c r="E3315" s="5">
        <v>-28270</v>
      </c>
      <c r="F3315" s="3" t="s">
        <v>130</v>
      </c>
      <c r="G3315" s="3" t="s">
        <v>131</v>
      </c>
      <c r="H3315" s="2" t="s">
        <v>20</v>
      </c>
      <c r="I3315" s="2" t="s">
        <v>6644</v>
      </c>
      <c r="J3315" s="3" t="str">
        <f>HYPERLINK("https://www.boe.es/gazeta/dias/1822/08/06/pdfs/GMD-1822-230.pdf#page=6","Abrir facsímil")</f>
        <v>Abrir facsímil</v>
      </c>
      <c r="K3315" s="3" t="s">
        <v>22</v>
      </c>
    </row>
    <row r="3316" spans="1:11" ht="42" customHeight="1">
      <c r="A3316" s="2" t="s">
        <v>6645</v>
      </c>
      <c r="B3316" s="2" t="s">
        <v>6645</v>
      </c>
      <c r="C3316" s="2" t="s">
        <v>28</v>
      </c>
      <c r="D3316" s="2" t="s">
        <v>29</v>
      </c>
      <c r="E3316" s="5">
        <v>-28354</v>
      </c>
      <c r="F3316" s="3" t="s">
        <v>226</v>
      </c>
      <c r="G3316" s="3" t="s">
        <v>35</v>
      </c>
      <c r="H3316" s="2" t="s">
        <v>20</v>
      </c>
      <c r="I3316" s="2" t="s">
        <v>6646</v>
      </c>
      <c r="J3316" s="3" t="str">
        <f>HYPERLINK("https://www.boe.es/gazeta/dias/1822/05/14/pdfs/GMD-1822-136.pdf#page=2","Abrir facsímil")</f>
        <v>Abrir facsímil</v>
      </c>
      <c r="K3316" s="3" t="s">
        <v>22</v>
      </c>
    </row>
    <row r="3317" spans="1:11" ht="42" customHeight="1">
      <c r="A3317" s="2" t="s">
        <v>6645</v>
      </c>
      <c r="B3317" s="2" t="s">
        <v>6645</v>
      </c>
      <c r="C3317" s="2" t="s">
        <v>362</v>
      </c>
      <c r="D3317" s="2" t="s">
        <v>17</v>
      </c>
      <c r="E3317" s="5">
        <v>-28243</v>
      </c>
      <c r="F3317" s="3" t="s">
        <v>1829</v>
      </c>
      <c r="G3317" s="3" t="s">
        <v>57</v>
      </c>
      <c r="H3317" s="2" t="s">
        <v>20</v>
      </c>
      <c r="I3317" s="2" t="s">
        <v>6647</v>
      </c>
      <c r="J3317" s="3" t="str">
        <f>HYPERLINK("https://www.boe.es/gazeta/dias/1822/09/02/pdfs/GMD-1822-257.pdf#page=4","Abrir facsímil")</f>
        <v>Abrir facsímil</v>
      </c>
      <c r="K3317" s="3" t="s">
        <v>22</v>
      </c>
    </row>
    <row r="3318" spans="1:11" ht="42" customHeight="1">
      <c r="A3318" s="2" t="s">
        <v>6645</v>
      </c>
      <c r="B3318" s="2" t="s">
        <v>6645</v>
      </c>
      <c r="C3318" s="2" t="s">
        <v>42</v>
      </c>
      <c r="D3318" s="2" t="s">
        <v>17</v>
      </c>
      <c r="E3318" s="5">
        <v>-28192</v>
      </c>
      <c r="F3318" s="3" t="s">
        <v>43</v>
      </c>
      <c r="G3318" s="3" t="s">
        <v>63</v>
      </c>
      <c r="H3318" s="2" t="s">
        <v>20</v>
      </c>
      <c r="I3318" s="2" t="s">
        <v>6648</v>
      </c>
      <c r="J3318" s="3" t="str">
        <f>HYPERLINK("https://www.boe.es/gazeta/dias/1822/10/23/pdfs/GMD-1822-310.pdf#page=6","Abrir facsímil")</f>
        <v>Abrir facsímil</v>
      </c>
      <c r="K3318" s="3" t="s">
        <v>22</v>
      </c>
    </row>
    <row r="3319" spans="1:11" ht="42" customHeight="1">
      <c r="A3319" s="2" t="s">
        <v>6645</v>
      </c>
      <c r="B3319" s="2" t="s">
        <v>6645</v>
      </c>
      <c r="C3319" s="2" t="s">
        <v>71</v>
      </c>
      <c r="D3319" s="2" t="s">
        <v>17</v>
      </c>
      <c r="E3319" s="5">
        <v>-28180</v>
      </c>
      <c r="F3319" s="3" t="s">
        <v>839</v>
      </c>
      <c r="G3319" s="3" t="s">
        <v>57</v>
      </c>
      <c r="H3319" s="2" t="s">
        <v>20</v>
      </c>
      <c r="I3319" s="2" t="s">
        <v>6649</v>
      </c>
      <c r="J3319" s="3" t="str">
        <f>HYPERLINK("https://www.boe.es/gazeta/dias/1822/11/04/pdfs/GMD-1822-323.pdf#page=4","Abrir facsímil")</f>
        <v>Abrir facsímil</v>
      </c>
      <c r="K3319" s="3" t="s">
        <v>22</v>
      </c>
    </row>
    <row r="3320" spans="1:11" ht="42" customHeight="1">
      <c r="A3320" s="2" t="s">
        <v>6650</v>
      </c>
      <c r="B3320" s="2" t="s">
        <v>6651</v>
      </c>
      <c r="C3320" s="2" t="s">
        <v>28</v>
      </c>
      <c r="D3320" s="2" t="s">
        <v>29</v>
      </c>
      <c r="E3320" s="5">
        <v>-28391</v>
      </c>
      <c r="F3320" s="3" t="s">
        <v>378</v>
      </c>
      <c r="G3320" s="3" t="s">
        <v>63</v>
      </c>
      <c r="H3320" s="2" t="s">
        <v>20</v>
      </c>
      <c r="I3320" s="2" t="s">
        <v>6652</v>
      </c>
      <c r="J3320" s="3" t="str">
        <f>HYPERLINK("https://www.boe.es/gazeta/dias/1822/04/07/pdfs/GMD-1822-99.pdf#page=6","Abrir facsímil")</f>
        <v>Abrir facsímil</v>
      </c>
      <c r="K3320" s="3" t="s">
        <v>22</v>
      </c>
    </row>
    <row r="3321" spans="1:11" ht="42" customHeight="1">
      <c r="A3321" s="2" t="s">
        <v>6653</v>
      </c>
      <c r="B3321" s="2" t="s">
        <v>6654</v>
      </c>
      <c r="C3321" s="2" t="s">
        <v>50</v>
      </c>
      <c r="D3321" s="2" t="s">
        <v>51</v>
      </c>
      <c r="E3321" s="5">
        <v>-28264</v>
      </c>
      <c r="F3321" s="3" t="s">
        <v>1329</v>
      </c>
      <c r="G3321" s="3" t="s">
        <v>57</v>
      </c>
      <c r="H3321" s="2" t="s">
        <v>20</v>
      </c>
      <c r="I3321" s="2" t="s">
        <v>6655</v>
      </c>
      <c r="J3321" s="3" t="str">
        <f>HYPERLINK("https://www.boe.es/gazeta/dias/1822/08/12/pdfs/GMD-1822-236.pdf#page=4","Abrir facsímil")</f>
        <v>Abrir facsímil</v>
      </c>
      <c r="K3321" s="3" t="s">
        <v>22</v>
      </c>
    </row>
    <row r="3322" spans="1:11" ht="42" customHeight="1">
      <c r="A3322" s="2" t="s">
        <v>6656</v>
      </c>
      <c r="B3322" s="2" t="s">
        <v>6657</v>
      </c>
      <c r="C3322" s="2" t="s">
        <v>42</v>
      </c>
      <c r="D3322" s="2" t="s">
        <v>17</v>
      </c>
      <c r="E3322" s="5">
        <v>-28312</v>
      </c>
      <c r="F3322" s="3" t="s">
        <v>92</v>
      </c>
      <c r="G3322" s="3" t="s">
        <v>35</v>
      </c>
      <c r="H3322" s="2" t="s">
        <v>20</v>
      </c>
      <c r="I3322" s="2" t="s">
        <v>6658</v>
      </c>
      <c r="J3322" s="3" t="str">
        <f>HYPERLINK("https://www.boe.es/gazeta/dias/1822/06/25/pdfs/GMD-1822-183.pdf#page=2","Abrir facsímil")</f>
        <v>Abrir facsímil</v>
      </c>
      <c r="K3322" s="3" t="s">
        <v>22</v>
      </c>
    </row>
    <row r="3323" spans="1:11" ht="42" customHeight="1">
      <c r="A3323" s="2" t="s">
        <v>6659</v>
      </c>
      <c r="B3323" s="2" t="s">
        <v>6659</v>
      </c>
      <c r="C3323" s="2" t="s">
        <v>24</v>
      </c>
      <c r="D3323" s="2" t="s">
        <v>17</v>
      </c>
      <c r="E3323" s="5">
        <v>-28153</v>
      </c>
      <c r="F3323" s="3" t="s">
        <v>946</v>
      </c>
      <c r="G3323" s="3" t="s">
        <v>19</v>
      </c>
      <c r="H3323" s="2" t="s">
        <v>20</v>
      </c>
      <c r="I3323" s="2" t="s">
        <v>6660</v>
      </c>
      <c r="J3323" s="3" t="str">
        <f>HYPERLINK("https://www.boe.es/gazeta/dias/1822/12/01/pdfs/GMD-1822-351.pdf#page=5","Abrir facsímil")</f>
        <v>Abrir facsímil</v>
      </c>
      <c r="K3323" s="3" t="s">
        <v>22</v>
      </c>
    </row>
    <row r="3324" spans="1:11" ht="42" customHeight="1">
      <c r="A3324" s="2" t="s">
        <v>6661</v>
      </c>
      <c r="B3324" s="2" t="s">
        <v>6662</v>
      </c>
      <c r="C3324" s="2" t="s">
        <v>28</v>
      </c>
      <c r="D3324" s="2" t="s">
        <v>29</v>
      </c>
      <c r="E3324" s="5">
        <v>-28287</v>
      </c>
      <c r="F3324" s="3" t="s">
        <v>1295</v>
      </c>
      <c r="G3324" s="3" t="s">
        <v>63</v>
      </c>
      <c r="H3324" s="2" t="s">
        <v>20</v>
      </c>
      <c r="I3324" s="2" t="s">
        <v>6663</v>
      </c>
      <c r="J3324" s="3" t="str">
        <f>HYPERLINK("https://www.boe.es/gazeta/dias/1822/07/20/pdfs/GMD-1822-212.pdf#page=6","Abrir facsímil")</f>
        <v>Abrir facsímil</v>
      </c>
      <c r="K3324" s="3" t="s">
        <v>22</v>
      </c>
    </row>
    <row r="3325" spans="1:11" ht="42" customHeight="1">
      <c r="A3325" s="2" t="s">
        <v>6664</v>
      </c>
      <c r="B3325" s="2" t="s">
        <v>6665</v>
      </c>
      <c r="C3325" s="2" t="s">
        <v>50</v>
      </c>
      <c r="D3325" s="2" t="s">
        <v>51</v>
      </c>
      <c r="E3325" s="5">
        <v>-28258</v>
      </c>
      <c r="F3325" s="3" t="s">
        <v>88</v>
      </c>
      <c r="G3325" s="3" t="s">
        <v>57</v>
      </c>
      <c r="H3325" s="2" t="s">
        <v>20</v>
      </c>
      <c r="I3325" s="2" t="s">
        <v>6666</v>
      </c>
      <c r="J3325" s="3" t="str">
        <f>HYPERLINK("https://www.boe.es/gazeta/dias/1822/08/18/pdfs/GMD-1822-242.pdf#page=4","Abrir facsímil")</f>
        <v>Abrir facsímil</v>
      </c>
      <c r="K3325" s="3" t="s">
        <v>22</v>
      </c>
    </row>
    <row r="3326" spans="1:11" ht="42" customHeight="1">
      <c r="A3326" s="2" t="s">
        <v>6667</v>
      </c>
      <c r="B3326" s="2" t="s">
        <v>6667</v>
      </c>
      <c r="C3326" s="2" t="s">
        <v>71</v>
      </c>
      <c r="D3326" s="2" t="s">
        <v>17</v>
      </c>
      <c r="E3326" s="5">
        <v>-28402</v>
      </c>
      <c r="F3326" s="3" t="s">
        <v>473</v>
      </c>
      <c r="G3326" s="3" t="s">
        <v>19</v>
      </c>
      <c r="H3326" s="2" t="s">
        <v>20</v>
      </c>
      <c r="I3326" s="2" t="s">
        <v>6668</v>
      </c>
      <c r="J3326" s="3" t="str">
        <f>HYPERLINK("https://www.boe.es/gazeta/dias/1822/03/27/pdfs/GMD-1822-88.pdf#page=5","Abrir facsímil")</f>
        <v>Abrir facsímil</v>
      </c>
      <c r="K3326" s="3" t="s">
        <v>22</v>
      </c>
    </row>
    <row r="3327" spans="1:11" ht="42" customHeight="1">
      <c r="A3327" s="2" t="s">
        <v>6669</v>
      </c>
      <c r="B3327" s="2" t="s">
        <v>6670</v>
      </c>
      <c r="C3327" s="2" t="s">
        <v>50</v>
      </c>
      <c r="D3327" s="2" t="s">
        <v>51</v>
      </c>
      <c r="E3327" s="5">
        <v>-28449</v>
      </c>
      <c r="F3327" s="3" t="s">
        <v>1342</v>
      </c>
      <c r="G3327" s="3" t="s">
        <v>44</v>
      </c>
      <c r="H3327" s="2" t="s">
        <v>20</v>
      </c>
      <c r="I3327" s="2" t="s">
        <v>6671</v>
      </c>
      <c r="J3327" s="3" t="str">
        <f>HYPERLINK("https://www.boe.es/gazeta/dias/1822/02/08/pdfs/GMD-1822-39.pdf#page=1","Abrir facsímil")</f>
        <v>Abrir facsímil</v>
      </c>
      <c r="K3327" s="3" t="s">
        <v>22</v>
      </c>
    </row>
    <row r="3328" spans="1:11" ht="42" customHeight="1">
      <c r="A3328" s="2" t="s">
        <v>6672</v>
      </c>
      <c r="B3328" s="2" t="s">
        <v>6672</v>
      </c>
      <c r="C3328" s="2" t="s">
        <v>50</v>
      </c>
      <c r="D3328" s="2" t="s">
        <v>51</v>
      </c>
      <c r="E3328" s="5">
        <v>-28247</v>
      </c>
      <c r="F3328" s="3" t="s">
        <v>2023</v>
      </c>
      <c r="G3328" s="3" t="s">
        <v>44</v>
      </c>
      <c r="H3328" s="2" t="s">
        <v>20</v>
      </c>
      <c r="I3328" s="2" t="s">
        <v>6673</v>
      </c>
      <c r="J3328" s="3" t="str">
        <f>HYPERLINK("https://www.boe.es/gazeta/dias/1822/08/29/pdfs/GMD-1822-253.pdf#page=1","Abrir facsímil")</f>
        <v>Abrir facsímil</v>
      </c>
      <c r="K3328" s="3" t="s">
        <v>22</v>
      </c>
    </row>
    <row r="3329" spans="1:11" ht="42" customHeight="1">
      <c r="A3329" s="2" t="s">
        <v>6674</v>
      </c>
      <c r="B3329" s="2" t="s">
        <v>6674</v>
      </c>
      <c r="C3329" s="2" t="s">
        <v>71</v>
      </c>
      <c r="D3329" s="2" t="s">
        <v>17</v>
      </c>
      <c r="E3329" s="5">
        <v>-28346</v>
      </c>
      <c r="F3329" s="3" t="s">
        <v>191</v>
      </c>
      <c r="G3329" s="3" t="s">
        <v>31</v>
      </c>
      <c r="H3329" s="2" t="s">
        <v>20</v>
      </c>
      <c r="I3329" s="2" t="s">
        <v>6675</v>
      </c>
      <c r="J3329" s="3" t="str">
        <f>HYPERLINK("https://www.boe.es/gazeta/dias/1822/05/22/pdfs/GMD-1822-145.pdf#page=3","Abrir facsímil")</f>
        <v>Abrir facsímil</v>
      </c>
      <c r="K3329" s="3" t="s">
        <v>22</v>
      </c>
    </row>
    <row r="3330" spans="1:11" ht="42" customHeight="1">
      <c r="A3330" s="2" t="s">
        <v>6676</v>
      </c>
      <c r="B3330" s="2" t="s">
        <v>6676</v>
      </c>
      <c r="C3330" s="2" t="s">
        <v>71</v>
      </c>
      <c r="D3330" s="2" t="s">
        <v>17</v>
      </c>
      <c r="E3330" s="5">
        <v>-28382</v>
      </c>
      <c r="F3330" s="3" t="s">
        <v>973</v>
      </c>
      <c r="G3330" s="3" t="s">
        <v>31</v>
      </c>
      <c r="H3330" s="2" t="s">
        <v>20</v>
      </c>
      <c r="I3330" s="2" t="s">
        <v>6677</v>
      </c>
      <c r="J3330" s="3" t="str">
        <f>HYPERLINK("https://www.boe.es/gazeta/dias/1822/04/16/pdfs/GMD-1822-108.pdf#page=3","Abrir facsímil")</f>
        <v>Abrir facsímil</v>
      </c>
      <c r="K3330" s="3" t="s">
        <v>22</v>
      </c>
    </row>
    <row r="3331" spans="1:11" ht="42" customHeight="1">
      <c r="A3331" s="2" t="s">
        <v>6678</v>
      </c>
      <c r="B3331" s="2" t="s">
        <v>6678</v>
      </c>
      <c r="C3331" s="2" t="s">
        <v>42</v>
      </c>
      <c r="D3331" s="2" t="s">
        <v>17</v>
      </c>
      <c r="E3331" s="5">
        <v>-28212</v>
      </c>
      <c r="F3331" s="3" t="s">
        <v>560</v>
      </c>
      <c r="G3331" s="3" t="s">
        <v>44</v>
      </c>
      <c r="H3331" s="2" t="s">
        <v>20</v>
      </c>
      <c r="I3331" s="2" t="s">
        <v>6679</v>
      </c>
      <c r="J3331" s="3" t="str">
        <f>HYPERLINK("https://www.boe.es/gazeta/dias/1822/10/03/pdfs/GMD-1822-289.pdf#page=1","Abrir facsímil")</f>
        <v>Abrir facsímil</v>
      </c>
      <c r="K3331" s="3" t="s">
        <v>22</v>
      </c>
    </row>
    <row r="3332" spans="1:11" ht="42" customHeight="1">
      <c r="A3332" s="2" t="s">
        <v>6680</v>
      </c>
      <c r="B3332" s="2" t="s">
        <v>6681</v>
      </c>
      <c r="C3332" s="2" t="s">
        <v>28</v>
      </c>
      <c r="D3332" s="2" t="s">
        <v>29</v>
      </c>
      <c r="E3332" s="5">
        <v>-28306</v>
      </c>
      <c r="F3332" s="3" t="s">
        <v>348</v>
      </c>
      <c r="G3332" s="3" t="s">
        <v>35</v>
      </c>
      <c r="H3332" s="2" t="s">
        <v>20</v>
      </c>
      <c r="I3332" s="2" t="s">
        <v>6682</v>
      </c>
      <c r="J3332" s="3" t="str">
        <f>HYPERLINK("https://www.boe.es/gazeta/dias/1822/07/01/pdfs/GMD-1822-190.pdf#page=2","Abrir facsímil")</f>
        <v>Abrir facsímil</v>
      </c>
      <c r="K3332" s="3" t="s">
        <v>22</v>
      </c>
    </row>
    <row r="3333" spans="1:11" ht="42" customHeight="1">
      <c r="A3333" s="2" t="s">
        <v>6683</v>
      </c>
      <c r="B3333" s="2" t="s">
        <v>6684</v>
      </c>
      <c r="C3333" s="2" t="s">
        <v>28</v>
      </c>
      <c r="D3333" s="2" t="s">
        <v>29</v>
      </c>
      <c r="E3333" s="5">
        <v>-28175</v>
      </c>
      <c r="F3333" s="3" t="s">
        <v>341</v>
      </c>
      <c r="G3333" s="3" t="s">
        <v>57</v>
      </c>
      <c r="H3333" s="2" t="s">
        <v>20</v>
      </c>
      <c r="I3333" s="2" t="s">
        <v>6685</v>
      </c>
      <c r="J3333" s="3" t="str">
        <f>HYPERLINK("https://www.boe.es/gazeta/dias/1822/11/09/pdfs/GMD-1822-329.pdf#page=4","Abrir facsímil")</f>
        <v>Abrir facsímil</v>
      </c>
      <c r="K3333" s="3" t="s">
        <v>22</v>
      </c>
    </row>
    <row r="3334" spans="1:11" ht="42" customHeight="1">
      <c r="A3334" s="2" t="s">
        <v>6686</v>
      </c>
      <c r="B3334" s="2" t="s">
        <v>6687</v>
      </c>
      <c r="C3334" s="2" t="s">
        <v>50</v>
      </c>
      <c r="D3334" s="2" t="s">
        <v>51</v>
      </c>
      <c r="E3334" s="5">
        <v>-28397</v>
      </c>
      <c r="F3334" s="3" t="s">
        <v>1401</v>
      </c>
      <c r="G3334" s="3" t="s">
        <v>57</v>
      </c>
      <c r="H3334" s="2" t="s">
        <v>20</v>
      </c>
      <c r="I3334" s="2" t="s">
        <v>6688</v>
      </c>
      <c r="J3334" s="3" t="str">
        <f>HYPERLINK("https://www.boe.es/gazeta/dias/1822/04/01/pdfs/GMD-1822-93.pdf#page=4","Abrir facsímil")</f>
        <v>Abrir facsímil</v>
      </c>
      <c r="K3334" s="3" t="s">
        <v>22</v>
      </c>
    </row>
    <row r="3335" spans="1:11" ht="42" customHeight="1">
      <c r="A3335" s="2" t="s">
        <v>6689</v>
      </c>
      <c r="B3335" s="2" t="s">
        <v>6690</v>
      </c>
      <c r="C3335" s="2" t="s">
        <v>50</v>
      </c>
      <c r="D3335" s="2" t="s">
        <v>51</v>
      </c>
      <c r="E3335" s="5">
        <v>-28342</v>
      </c>
      <c r="F3335" s="3" t="s">
        <v>2281</v>
      </c>
      <c r="G3335" s="3" t="s">
        <v>35</v>
      </c>
      <c r="H3335" s="2" t="s">
        <v>20</v>
      </c>
      <c r="I3335" s="2" t="s">
        <v>6691</v>
      </c>
      <c r="J3335" s="3" t="str">
        <f>HYPERLINK("https://www.boe.es/gazeta/dias/1822/05/26/pdfs/GMD-1822-151.pdf#page=2","Abrir facsímil")</f>
        <v>Abrir facsímil</v>
      </c>
      <c r="K3335" s="3" t="s">
        <v>22</v>
      </c>
    </row>
    <row r="3336" spans="1:11" ht="42" customHeight="1">
      <c r="A3336" s="2" t="s">
        <v>6692</v>
      </c>
      <c r="B3336" s="2" t="s">
        <v>6693</v>
      </c>
      <c r="C3336" s="2" t="s">
        <v>50</v>
      </c>
      <c r="D3336" s="2" t="s">
        <v>51</v>
      </c>
      <c r="E3336" s="5">
        <v>-28308</v>
      </c>
      <c r="F3336" s="3" t="s">
        <v>1050</v>
      </c>
      <c r="G3336" s="3" t="s">
        <v>35</v>
      </c>
      <c r="H3336" s="2" t="s">
        <v>20</v>
      </c>
      <c r="I3336" s="2" t="s">
        <v>6694</v>
      </c>
      <c r="J3336" s="3" t="str">
        <f>HYPERLINK("https://www.boe.es/gazeta/dias/1822/06/29/pdfs/GMD-1822-187.pdf#page=2","Abrir facsímil")</f>
        <v>Abrir facsímil</v>
      </c>
      <c r="K3336" s="3" t="s">
        <v>22</v>
      </c>
    </row>
    <row r="3337" spans="1:11" ht="42" customHeight="1">
      <c r="A3337" s="2" t="s">
        <v>6695</v>
      </c>
      <c r="B3337" s="2" t="s">
        <v>6696</v>
      </c>
      <c r="C3337" s="2" t="s">
        <v>50</v>
      </c>
      <c r="D3337" s="2" t="s">
        <v>51</v>
      </c>
      <c r="E3337" s="5">
        <v>-28349</v>
      </c>
      <c r="F3337" s="3" t="s">
        <v>518</v>
      </c>
      <c r="G3337" s="3" t="s">
        <v>57</v>
      </c>
      <c r="H3337" s="2" t="s">
        <v>20</v>
      </c>
      <c r="I3337" s="2" t="s">
        <v>6697</v>
      </c>
      <c r="J3337" s="3" t="str">
        <f>HYPERLINK("https://www.boe.es/gazeta/dias/1822/05/19/pdfs/GMD-1822-141.pdf#page=4","Abrir facsímil")</f>
        <v>Abrir facsímil</v>
      </c>
      <c r="K3337" s="3" t="s">
        <v>22</v>
      </c>
    </row>
    <row r="3338" spans="1:11" ht="42" customHeight="1">
      <c r="A3338" s="2" t="s">
        <v>6698</v>
      </c>
      <c r="B3338" s="2" t="s">
        <v>6699</v>
      </c>
      <c r="C3338" s="2" t="s">
        <v>28</v>
      </c>
      <c r="D3338" s="2" t="s">
        <v>29</v>
      </c>
      <c r="E3338" s="5">
        <v>-28386</v>
      </c>
      <c r="F3338" s="3" t="s">
        <v>2993</v>
      </c>
      <c r="G3338" s="3" t="s">
        <v>57</v>
      </c>
      <c r="H3338" s="2" t="s">
        <v>20</v>
      </c>
      <c r="I3338" s="2" t="s">
        <v>6700</v>
      </c>
      <c r="J3338" s="3" t="str">
        <f>HYPERLINK("https://www.boe.es/gazeta/dias/1822/04/12/pdfs/GMD-1822-104.pdf#page=4","Abrir facsímil")</f>
        <v>Abrir facsímil</v>
      </c>
      <c r="K3338" s="3" t="s">
        <v>22</v>
      </c>
    </row>
    <row r="3339" spans="1:11" ht="42" customHeight="1">
      <c r="A3339" s="2" t="s">
        <v>6701</v>
      </c>
      <c r="B3339" s="2" t="s">
        <v>6702</v>
      </c>
      <c r="C3339" s="2" t="s">
        <v>28</v>
      </c>
      <c r="D3339" s="2" t="s">
        <v>29</v>
      </c>
      <c r="E3339" s="5">
        <v>-28165</v>
      </c>
      <c r="F3339" s="3" t="s">
        <v>846</v>
      </c>
      <c r="G3339" s="3" t="s">
        <v>57</v>
      </c>
      <c r="H3339" s="2" t="s">
        <v>20</v>
      </c>
      <c r="I3339" s="2" t="s">
        <v>6703</v>
      </c>
      <c r="J3339" s="3" t="str">
        <f>HYPERLINK("https://www.boe.es/gazeta/dias/1822/11/19/pdfs/GMD-1822-339.pdf#page=4","Abrir facsímil")</f>
        <v>Abrir facsímil</v>
      </c>
      <c r="K3339" s="3" t="s">
        <v>22</v>
      </c>
    </row>
    <row r="3340" spans="1:11" ht="42" customHeight="1">
      <c r="A3340" s="2" t="s">
        <v>6704</v>
      </c>
      <c r="B3340" s="2" t="s">
        <v>6705</v>
      </c>
      <c r="C3340" s="2" t="s">
        <v>50</v>
      </c>
      <c r="D3340" s="2" t="s">
        <v>51</v>
      </c>
      <c r="E3340" s="5">
        <v>-28400</v>
      </c>
      <c r="F3340" s="3" t="s">
        <v>1937</v>
      </c>
      <c r="G3340" s="3" t="s">
        <v>2260</v>
      </c>
      <c r="H3340" s="2" t="s">
        <v>20</v>
      </c>
      <c r="I3340" s="2" t="s">
        <v>6706</v>
      </c>
      <c r="J3340" s="3" t="str">
        <f>HYPERLINK("https://www.boe.es/gazeta/dias/1822/03/29/pdfs/GMD-1822-90.pdf#page=4","Abrir facsímil")</f>
        <v>Abrir facsímil</v>
      </c>
      <c r="K3340" s="3" t="s">
        <v>22</v>
      </c>
    </row>
    <row r="3341" spans="1:11" ht="42" customHeight="1">
      <c r="A3341" s="2" t="s">
        <v>6707</v>
      </c>
      <c r="B3341" s="2" t="s">
        <v>6708</v>
      </c>
      <c r="C3341" s="2" t="s">
        <v>50</v>
      </c>
      <c r="D3341" s="2" t="s">
        <v>51</v>
      </c>
      <c r="E3341" s="5">
        <v>-28230</v>
      </c>
      <c r="F3341" s="3" t="s">
        <v>1735</v>
      </c>
      <c r="G3341" s="3" t="s">
        <v>31</v>
      </c>
      <c r="H3341" s="2" t="s">
        <v>20</v>
      </c>
      <c r="I3341" s="2" t="s">
        <v>6709</v>
      </c>
      <c r="J3341" s="3" t="str">
        <f>HYPERLINK("https://www.boe.es/gazeta/dias/1822/09/15/pdfs/GMD-1822-271.pdf#page=3","Abrir facsímil")</f>
        <v>Abrir facsímil</v>
      </c>
      <c r="K3341" s="3" t="s">
        <v>22</v>
      </c>
    </row>
    <row r="3342" spans="1:11" ht="42" customHeight="1">
      <c r="A3342" s="2" t="s">
        <v>6710</v>
      </c>
      <c r="B3342" s="2" t="s">
        <v>6710</v>
      </c>
      <c r="C3342" s="2" t="s">
        <v>50</v>
      </c>
      <c r="D3342" s="2" t="s">
        <v>51</v>
      </c>
      <c r="E3342" s="5">
        <v>-28421</v>
      </c>
      <c r="F3342" s="3" t="s">
        <v>446</v>
      </c>
      <c r="G3342" s="3" t="s">
        <v>31</v>
      </c>
      <c r="H3342" s="2" t="s">
        <v>20</v>
      </c>
      <c r="I3342" s="2" t="s">
        <v>6711</v>
      </c>
      <c r="J3342" s="3" t="str">
        <f>HYPERLINK("https://www.boe.es/gazeta/dias/1822/03/08/pdfs/GMD-1822-69.pdf#page=3","Abrir facsímil")</f>
        <v>Abrir facsímil</v>
      </c>
      <c r="K3342" s="3" t="s">
        <v>22</v>
      </c>
    </row>
    <row r="3343" spans="1:11" ht="42" customHeight="1">
      <c r="A3343" s="2" t="s">
        <v>6710</v>
      </c>
      <c r="B3343" s="2" t="s">
        <v>6710</v>
      </c>
      <c r="C3343" s="2" t="s">
        <v>42</v>
      </c>
      <c r="D3343" s="2" t="s">
        <v>17</v>
      </c>
      <c r="E3343" s="5">
        <v>-28415</v>
      </c>
      <c r="F3343" s="3" t="s">
        <v>77</v>
      </c>
      <c r="G3343" s="3" t="s">
        <v>57</v>
      </c>
      <c r="H3343" s="2" t="s">
        <v>20</v>
      </c>
      <c r="I3343" s="2" t="s">
        <v>6712</v>
      </c>
      <c r="J3343" s="3" t="str">
        <f>HYPERLINK("https://www.boe.es/gazeta/dias/1822/03/14/pdfs/GMD-1822-75.pdf#page=4","Abrir facsímil")</f>
        <v>Abrir facsímil</v>
      </c>
      <c r="K3343" s="3" t="s">
        <v>22</v>
      </c>
    </row>
    <row r="3344" spans="1:11" ht="42" customHeight="1">
      <c r="A3344" s="2" t="s">
        <v>6710</v>
      </c>
      <c r="B3344" s="2" t="s">
        <v>6710</v>
      </c>
      <c r="C3344" s="2" t="s">
        <v>50</v>
      </c>
      <c r="D3344" s="2" t="s">
        <v>51</v>
      </c>
      <c r="E3344" s="5">
        <v>-28337</v>
      </c>
      <c r="F3344" s="3" t="s">
        <v>1836</v>
      </c>
      <c r="G3344" s="3" t="s">
        <v>57</v>
      </c>
      <c r="H3344" s="2" t="s">
        <v>20</v>
      </c>
      <c r="I3344" s="2" t="s">
        <v>6713</v>
      </c>
      <c r="J3344" s="3" t="str">
        <f>HYPERLINK("https://www.boe.es/gazeta/dias/1822/05/31/pdfs/GMD-1822-156.pdf#page=4","Abrir facsímil")</f>
        <v>Abrir facsímil</v>
      </c>
      <c r="K3344" s="3" t="s">
        <v>22</v>
      </c>
    </row>
    <row r="3345" spans="1:11" ht="42" customHeight="1">
      <c r="A3345" s="2" t="s">
        <v>6710</v>
      </c>
      <c r="B3345" s="2" t="s">
        <v>6710</v>
      </c>
      <c r="C3345" s="2" t="s">
        <v>28</v>
      </c>
      <c r="D3345" s="2" t="s">
        <v>29</v>
      </c>
      <c r="E3345" s="5">
        <v>-28194</v>
      </c>
      <c r="F3345" s="3" t="s">
        <v>18</v>
      </c>
      <c r="G3345" s="3" t="s">
        <v>57</v>
      </c>
      <c r="H3345" s="2" t="s">
        <v>20</v>
      </c>
      <c r="I3345" s="2" t="s">
        <v>6714</v>
      </c>
      <c r="J3345" s="3" t="str">
        <f>HYPERLINK("https://www.boe.es/gazeta/dias/1822/10/21/pdfs/GMD-1822-308.pdf#page=4","Abrir facsímil")</f>
        <v>Abrir facsímil</v>
      </c>
      <c r="K3345" s="3" t="s">
        <v>22</v>
      </c>
    </row>
    <row r="3346" spans="1:11" ht="42" customHeight="1">
      <c r="A3346" s="2" t="s">
        <v>6715</v>
      </c>
      <c r="B3346" s="2" t="s">
        <v>6716</v>
      </c>
      <c r="C3346" s="2" t="s">
        <v>42</v>
      </c>
      <c r="D3346" s="2" t="s">
        <v>17</v>
      </c>
      <c r="E3346" s="5">
        <v>-28129</v>
      </c>
      <c r="F3346" s="3" t="s">
        <v>599</v>
      </c>
      <c r="G3346" s="3" t="s">
        <v>57</v>
      </c>
      <c r="H3346" s="2" t="s">
        <v>20</v>
      </c>
      <c r="I3346" s="2" t="s">
        <v>6717</v>
      </c>
      <c r="J3346" s="3" t="str">
        <f>HYPERLINK("https://www.boe.es/gazeta/dias/1822/12/25/pdfs/GMD-1822-375.pdf#page=4","Abrir facsímil")</f>
        <v>Abrir facsímil</v>
      </c>
      <c r="K3346" s="3" t="s">
        <v>22</v>
      </c>
    </row>
    <row r="3347" spans="1:11" ht="42" customHeight="1">
      <c r="A3347" s="2" t="s">
        <v>6718</v>
      </c>
      <c r="B3347" s="2" t="s">
        <v>6718</v>
      </c>
      <c r="C3347" s="2" t="s">
        <v>42</v>
      </c>
      <c r="D3347" s="2" t="s">
        <v>17</v>
      </c>
      <c r="E3347" s="5">
        <v>-28358</v>
      </c>
      <c r="F3347" s="3" t="s">
        <v>211</v>
      </c>
      <c r="G3347" s="3" t="s">
        <v>31</v>
      </c>
      <c r="H3347" s="2" t="s">
        <v>20</v>
      </c>
      <c r="I3347" s="2" t="s">
        <v>6719</v>
      </c>
      <c r="J3347" s="3" t="str">
        <f>HYPERLINK("https://www.boe.es/gazeta/dias/1822/05/10/pdfs/GMD-1822-132.pdf#page=3","Abrir facsímil")</f>
        <v>Abrir facsímil</v>
      </c>
      <c r="K3347" s="3" t="s">
        <v>22</v>
      </c>
    </row>
    <row r="3348" spans="1:11" ht="42" customHeight="1">
      <c r="A3348" s="2" t="s">
        <v>6720</v>
      </c>
      <c r="B3348" s="2" t="s">
        <v>6720</v>
      </c>
      <c r="C3348" s="2" t="s">
        <v>28</v>
      </c>
      <c r="D3348" s="2" t="s">
        <v>29</v>
      </c>
      <c r="E3348" s="5">
        <v>-28194</v>
      </c>
      <c r="F3348" s="3" t="s">
        <v>18</v>
      </c>
      <c r="G3348" s="3" t="s">
        <v>57</v>
      </c>
      <c r="H3348" s="2" t="s">
        <v>20</v>
      </c>
      <c r="I3348" s="2" t="s">
        <v>6721</v>
      </c>
      <c r="J3348" s="3" t="str">
        <f>HYPERLINK("https://www.boe.es/gazeta/dias/1822/10/21/pdfs/GMD-1822-308.pdf#page=4","Abrir facsímil")</f>
        <v>Abrir facsímil</v>
      </c>
      <c r="K3348" s="3" t="s">
        <v>22</v>
      </c>
    </row>
    <row r="3349" spans="1:11" ht="42" customHeight="1">
      <c r="A3349" s="2" t="s">
        <v>6722</v>
      </c>
      <c r="B3349" s="2" t="s">
        <v>6722</v>
      </c>
      <c r="C3349" s="2" t="s">
        <v>28</v>
      </c>
      <c r="D3349" s="2" t="s">
        <v>29</v>
      </c>
      <c r="E3349" s="5">
        <v>-28411</v>
      </c>
      <c r="F3349" s="3" t="s">
        <v>1509</v>
      </c>
      <c r="G3349" s="3" t="s">
        <v>31</v>
      </c>
      <c r="H3349" s="2" t="s">
        <v>20</v>
      </c>
      <c r="I3349" s="2" t="s">
        <v>6723</v>
      </c>
      <c r="J3349" s="3" t="str">
        <f>HYPERLINK("https://www.boe.es/gazeta/dias/1822/03/18/pdfs/GMD-1822-79.pdf#page=3","Abrir facsímil")</f>
        <v>Abrir facsímil</v>
      </c>
      <c r="K3349" s="3" t="s">
        <v>22</v>
      </c>
    </row>
    <row r="3350" spans="1:11" ht="42" customHeight="1">
      <c r="A3350" s="2" t="s">
        <v>6724</v>
      </c>
      <c r="B3350" s="2" t="s">
        <v>6724</v>
      </c>
      <c r="C3350" s="2" t="s">
        <v>42</v>
      </c>
      <c r="D3350" s="2" t="s">
        <v>17</v>
      </c>
      <c r="E3350" s="5">
        <v>-28441</v>
      </c>
      <c r="F3350" s="3" t="s">
        <v>429</v>
      </c>
      <c r="G3350" s="3" t="s">
        <v>31</v>
      </c>
      <c r="H3350" s="2" t="s">
        <v>20</v>
      </c>
      <c r="I3350" s="2" t="s">
        <v>6725</v>
      </c>
      <c r="J3350" s="3" t="str">
        <f>HYPERLINK("https://www.boe.es/gazeta/dias/1822/02/16/pdfs/GMD-1822-48.pdf#page=3","Abrir facsímil")</f>
        <v>Abrir facsímil</v>
      </c>
      <c r="K3350" s="3" t="s">
        <v>22</v>
      </c>
    </row>
    <row r="3351" spans="1:11" ht="42" customHeight="1">
      <c r="A3351" s="2" t="s">
        <v>6724</v>
      </c>
      <c r="B3351" s="2" t="s">
        <v>6724</v>
      </c>
      <c r="C3351" s="2" t="s">
        <v>50</v>
      </c>
      <c r="D3351" s="2" t="s">
        <v>51</v>
      </c>
      <c r="E3351" s="5">
        <v>-28431</v>
      </c>
      <c r="F3351" s="3" t="s">
        <v>1258</v>
      </c>
      <c r="G3351" s="3" t="s">
        <v>31</v>
      </c>
      <c r="H3351" s="2" t="s">
        <v>20</v>
      </c>
      <c r="I3351" s="2" t="s">
        <v>6726</v>
      </c>
      <c r="J3351" s="3" t="str">
        <f>HYPERLINK("https://www.boe.es/gazeta/dias/1822/02/26/pdfs/GMD-1822-58.pdf#page=3","Abrir facsímil")</f>
        <v>Abrir facsímil</v>
      </c>
      <c r="K3351" s="3" t="s">
        <v>22</v>
      </c>
    </row>
    <row r="3352" spans="1:11" ht="42" customHeight="1">
      <c r="A3352" s="2" t="s">
        <v>6724</v>
      </c>
      <c r="B3352" s="2" t="s">
        <v>6724</v>
      </c>
      <c r="C3352" s="2" t="s">
        <v>28</v>
      </c>
      <c r="D3352" s="2" t="s">
        <v>29</v>
      </c>
      <c r="E3352" s="5">
        <v>-28425</v>
      </c>
      <c r="F3352" s="3" t="s">
        <v>419</v>
      </c>
      <c r="G3352" s="3" t="s">
        <v>31</v>
      </c>
      <c r="H3352" s="2" t="s">
        <v>20</v>
      </c>
      <c r="I3352" s="2" t="s">
        <v>6727</v>
      </c>
      <c r="J3352" s="3" t="str">
        <f>HYPERLINK("https://www.boe.es/gazeta/dias/1822/03/04/pdfs/GMD-1822-65.pdf#page=3","Abrir facsímil")</f>
        <v>Abrir facsímil</v>
      </c>
      <c r="K3352" s="3" t="s">
        <v>22</v>
      </c>
    </row>
    <row r="3353" spans="1:11" ht="42" customHeight="1">
      <c r="A3353" s="2" t="s">
        <v>6724</v>
      </c>
      <c r="B3353" s="2" t="s">
        <v>6724</v>
      </c>
      <c r="C3353" s="2" t="s">
        <v>42</v>
      </c>
      <c r="D3353" s="2" t="s">
        <v>17</v>
      </c>
      <c r="E3353" s="5">
        <v>-28423</v>
      </c>
      <c r="F3353" s="3" t="s">
        <v>441</v>
      </c>
      <c r="G3353" s="3" t="s">
        <v>35</v>
      </c>
      <c r="H3353" s="2" t="s">
        <v>20</v>
      </c>
      <c r="I3353" s="2" t="s">
        <v>6728</v>
      </c>
      <c r="J3353" s="3" t="str">
        <f>HYPERLINK("https://www.boe.es/gazeta/dias/1822/03/06/pdfs/GMD-1822-67.pdf#page=2","Abrir facsímil")</f>
        <v>Abrir facsímil</v>
      </c>
      <c r="K3353" s="3" t="s">
        <v>22</v>
      </c>
    </row>
    <row r="3354" spans="1:11" ht="42" customHeight="1">
      <c r="A3354" s="2" t="s">
        <v>6724</v>
      </c>
      <c r="B3354" s="2" t="s">
        <v>6724</v>
      </c>
      <c r="C3354" s="2" t="s">
        <v>28</v>
      </c>
      <c r="D3354" s="2" t="s">
        <v>29</v>
      </c>
      <c r="E3354" s="5">
        <v>-28417</v>
      </c>
      <c r="F3354" s="3" t="s">
        <v>1394</v>
      </c>
      <c r="G3354" s="3" t="s">
        <v>35</v>
      </c>
      <c r="H3354" s="2" t="s">
        <v>20</v>
      </c>
      <c r="I3354" s="2" t="s">
        <v>6729</v>
      </c>
      <c r="J3354" s="3" t="str">
        <f>HYPERLINK("https://www.boe.es/gazeta/dias/1822/03/12/pdfs/GMD-1822-73.pdf#page=2","Abrir facsímil")</f>
        <v>Abrir facsímil</v>
      </c>
      <c r="K3354" s="3" t="s">
        <v>22</v>
      </c>
    </row>
    <row r="3355" spans="1:11" ht="42" customHeight="1">
      <c r="A3355" s="2" t="s">
        <v>6724</v>
      </c>
      <c r="B3355" s="2" t="s">
        <v>6724</v>
      </c>
      <c r="C3355" s="2" t="s">
        <v>28</v>
      </c>
      <c r="D3355" s="2" t="s">
        <v>29</v>
      </c>
      <c r="E3355" s="5">
        <v>-28416</v>
      </c>
      <c r="F3355" s="3" t="s">
        <v>97</v>
      </c>
      <c r="G3355" s="3" t="s">
        <v>35</v>
      </c>
      <c r="H3355" s="2" t="s">
        <v>20</v>
      </c>
      <c r="I3355" s="2" t="s">
        <v>6730</v>
      </c>
      <c r="J3355" s="3" t="str">
        <f>HYPERLINK("https://www.boe.es/gazeta/dias/1822/03/13/pdfs/GMD-1822-74.pdf#page=2","Abrir facsímil")</f>
        <v>Abrir facsímil</v>
      </c>
      <c r="K3355" s="3" t="s">
        <v>22</v>
      </c>
    </row>
    <row r="3356" spans="1:11" ht="42" customHeight="1">
      <c r="A3356" s="2" t="s">
        <v>6724</v>
      </c>
      <c r="B3356" s="2" t="s">
        <v>6724</v>
      </c>
      <c r="C3356" s="2" t="s">
        <v>28</v>
      </c>
      <c r="D3356" s="2" t="s">
        <v>29</v>
      </c>
      <c r="E3356" s="5">
        <v>-28416</v>
      </c>
      <c r="F3356" s="3" t="s">
        <v>97</v>
      </c>
      <c r="G3356" s="3" t="s">
        <v>31</v>
      </c>
      <c r="H3356" s="2" t="s">
        <v>20</v>
      </c>
      <c r="I3356" s="2" t="s">
        <v>6731</v>
      </c>
      <c r="J3356" s="3" t="str">
        <f>HYPERLINK("https://www.boe.es/gazeta/dias/1822/03/13/pdfs/GMD-1822-74.pdf#page=3","Abrir facsímil")</f>
        <v>Abrir facsímil</v>
      </c>
      <c r="K3356" s="3" t="s">
        <v>22</v>
      </c>
    </row>
    <row r="3357" spans="1:11" ht="42" customHeight="1">
      <c r="A3357" s="2" t="s">
        <v>6724</v>
      </c>
      <c r="B3357" s="2" t="s">
        <v>6724</v>
      </c>
      <c r="C3357" s="2" t="s">
        <v>24</v>
      </c>
      <c r="D3357" s="2" t="s">
        <v>17</v>
      </c>
      <c r="E3357" s="5">
        <v>-28414</v>
      </c>
      <c r="F3357" s="3" t="s">
        <v>187</v>
      </c>
      <c r="G3357" s="3" t="s">
        <v>63</v>
      </c>
      <c r="H3357" s="2" t="s">
        <v>20</v>
      </c>
      <c r="I3357" s="2" t="s">
        <v>6732</v>
      </c>
      <c r="J3357" s="3" t="str">
        <f>HYPERLINK("https://www.boe.es/gazeta/dias/1822/03/15/pdfs/GMD-1822-76.pdf#page=6","Abrir facsímil")</f>
        <v>Abrir facsímil</v>
      </c>
      <c r="K3357" s="3" t="s">
        <v>22</v>
      </c>
    </row>
    <row r="3358" spans="1:11" ht="42" customHeight="1">
      <c r="A3358" s="2" t="s">
        <v>6724</v>
      </c>
      <c r="B3358" s="2" t="s">
        <v>6724</v>
      </c>
      <c r="C3358" s="2" t="s">
        <v>71</v>
      </c>
      <c r="D3358" s="2" t="s">
        <v>17</v>
      </c>
      <c r="E3358" s="5">
        <v>-28411</v>
      </c>
      <c r="F3358" s="3" t="s">
        <v>1509</v>
      </c>
      <c r="G3358" s="3" t="s">
        <v>35</v>
      </c>
      <c r="H3358" s="2" t="s">
        <v>20</v>
      </c>
      <c r="I3358" s="2" t="s">
        <v>6733</v>
      </c>
      <c r="J3358" s="3" t="str">
        <f>HYPERLINK("https://www.boe.es/gazeta/dias/1822/03/18/pdfs/GMD-1822-79.pdf#page=2","Abrir facsímil")</f>
        <v>Abrir facsímil</v>
      </c>
      <c r="K3358" s="3" t="s">
        <v>22</v>
      </c>
    </row>
    <row r="3359" spans="1:11" ht="42" customHeight="1">
      <c r="A3359" s="2" t="s">
        <v>6724</v>
      </c>
      <c r="B3359" s="2" t="s">
        <v>6724</v>
      </c>
      <c r="C3359" s="2" t="s">
        <v>50</v>
      </c>
      <c r="D3359" s="2" t="s">
        <v>51</v>
      </c>
      <c r="E3359" s="5">
        <v>-28402</v>
      </c>
      <c r="F3359" s="3" t="s">
        <v>473</v>
      </c>
      <c r="G3359" s="3" t="s">
        <v>31</v>
      </c>
      <c r="H3359" s="2" t="s">
        <v>20</v>
      </c>
      <c r="I3359" s="2" t="s">
        <v>6734</v>
      </c>
      <c r="J3359" s="3" t="str">
        <f>HYPERLINK("https://www.boe.es/gazeta/dias/1822/03/27/pdfs/GMD-1822-88.pdf#page=3","Abrir facsímil")</f>
        <v>Abrir facsímil</v>
      </c>
      <c r="K3359" s="3" t="s">
        <v>22</v>
      </c>
    </row>
    <row r="3360" spans="1:11" ht="42" customHeight="1">
      <c r="A3360" s="2" t="s">
        <v>6724</v>
      </c>
      <c r="B3360" s="2" t="s">
        <v>6724</v>
      </c>
      <c r="C3360" s="2" t="s">
        <v>28</v>
      </c>
      <c r="D3360" s="2" t="s">
        <v>29</v>
      </c>
      <c r="E3360" s="5">
        <v>-28402</v>
      </c>
      <c r="F3360" s="3" t="s">
        <v>473</v>
      </c>
      <c r="G3360" s="3" t="s">
        <v>57</v>
      </c>
      <c r="H3360" s="2" t="s">
        <v>20</v>
      </c>
      <c r="I3360" s="2" t="s">
        <v>6735</v>
      </c>
      <c r="J3360" s="3" t="str">
        <f>HYPERLINK("https://www.boe.es/gazeta/dias/1822/03/27/pdfs/GMD-1822-88.pdf#page=4","Abrir facsímil")</f>
        <v>Abrir facsímil</v>
      </c>
      <c r="K3360" s="3" t="s">
        <v>22</v>
      </c>
    </row>
    <row r="3361" spans="1:11" ht="42" customHeight="1">
      <c r="A3361" s="2" t="s">
        <v>6724</v>
      </c>
      <c r="B3361" s="2" t="s">
        <v>6724</v>
      </c>
      <c r="C3361" s="2" t="s">
        <v>16</v>
      </c>
      <c r="D3361" s="2" t="s">
        <v>17</v>
      </c>
      <c r="E3361" s="5">
        <v>-28397</v>
      </c>
      <c r="F3361" s="3" t="s">
        <v>1401</v>
      </c>
      <c r="G3361" s="3" t="s">
        <v>57</v>
      </c>
      <c r="H3361" s="2" t="s">
        <v>20</v>
      </c>
      <c r="I3361" s="2" t="s">
        <v>6736</v>
      </c>
      <c r="J3361" s="3" t="str">
        <f>HYPERLINK("https://www.boe.es/gazeta/dias/1822/04/01/pdfs/GMD-1822-93.pdf#page=4","Abrir facsímil")</f>
        <v>Abrir facsímil</v>
      </c>
      <c r="K3361" s="3" t="s">
        <v>22</v>
      </c>
    </row>
    <row r="3362" spans="1:11" ht="42" customHeight="1">
      <c r="A3362" s="2" t="s">
        <v>6724</v>
      </c>
      <c r="B3362" s="2" t="s">
        <v>6724</v>
      </c>
      <c r="C3362" s="2" t="s">
        <v>50</v>
      </c>
      <c r="D3362" s="2" t="s">
        <v>51</v>
      </c>
      <c r="E3362" s="5">
        <v>-28396</v>
      </c>
      <c r="F3362" s="3" t="s">
        <v>1138</v>
      </c>
      <c r="G3362" s="3" t="s">
        <v>167</v>
      </c>
      <c r="H3362" s="2" t="s">
        <v>20</v>
      </c>
      <c r="I3362" s="2" t="s">
        <v>6737</v>
      </c>
      <c r="J3362" s="3" t="str">
        <f>HYPERLINK("https://www.boe.es/gazeta/dias/1822/04/02/pdfs/GMD-1822-94.pdf#page=7","Abrir facsímil")</f>
        <v>Abrir facsímil</v>
      </c>
      <c r="K3362" s="3" t="s">
        <v>22</v>
      </c>
    </row>
    <row r="3363" spans="1:11" ht="42" customHeight="1">
      <c r="A3363" s="2" t="s">
        <v>6724</v>
      </c>
      <c r="B3363" s="2" t="s">
        <v>6724</v>
      </c>
      <c r="C3363" s="2" t="s">
        <v>50</v>
      </c>
      <c r="D3363" s="2" t="s">
        <v>51</v>
      </c>
      <c r="E3363" s="5">
        <v>-28388</v>
      </c>
      <c r="F3363" s="3" t="s">
        <v>1268</v>
      </c>
      <c r="G3363" s="3" t="s">
        <v>57</v>
      </c>
      <c r="H3363" s="2" t="s">
        <v>20</v>
      </c>
      <c r="I3363" s="2" t="s">
        <v>6738</v>
      </c>
      <c r="J3363" s="3" t="str">
        <f>HYPERLINK("https://www.boe.es/gazeta/dias/1822/04/10/pdfs/GMD-1822-102.pdf#page=4","Abrir facsímil")</f>
        <v>Abrir facsímil</v>
      </c>
      <c r="K3363" s="3" t="s">
        <v>22</v>
      </c>
    </row>
    <row r="3364" spans="1:11" ht="42" customHeight="1">
      <c r="A3364" s="2" t="s">
        <v>6724</v>
      </c>
      <c r="B3364" s="2" t="s">
        <v>6724</v>
      </c>
      <c r="C3364" s="2" t="s">
        <v>42</v>
      </c>
      <c r="D3364" s="2" t="s">
        <v>17</v>
      </c>
      <c r="E3364" s="5">
        <v>-28386</v>
      </c>
      <c r="F3364" s="3" t="s">
        <v>2993</v>
      </c>
      <c r="G3364" s="3" t="s">
        <v>35</v>
      </c>
      <c r="H3364" s="2" t="s">
        <v>20</v>
      </c>
      <c r="I3364" s="2" t="s">
        <v>6739</v>
      </c>
      <c r="J3364" s="3" t="str">
        <f>HYPERLINK("https://www.boe.es/gazeta/dias/1822/04/12/pdfs/GMD-1822-104.pdf#page=2","Abrir facsímil")</f>
        <v>Abrir facsímil</v>
      </c>
      <c r="K3364" s="3" t="s">
        <v>22</v>
      </c>
    </row>
    <row r="3365" spans="1:11" ht="42" customHeight="1">
      <c r="A3365" s="2" t="s">
        <v>6724</v>
      </c>
      <c r="B3365" s="2" t="s">
        <v>6724</v>
      </c>
      <c r="C3365" s="2" t="s">
        <v>71</v>
      </c>
      <c r="D3365" s="2" t="s">
        <v>17</v>
      </c>
      <c r="E3365" s="5">
        <v>-28382</v>
      </c>
      <c r="F3365" s="3" t="s">
        <v>973</v>
      </c>
      <c r="G3365" s="3" t="s">
        <v>57</v>
      </c>
      <c r="H3365" s="2" t="s">
        <v>20</v>
      </c>
      <c r="I3365" s="2" t="s">
        <v>6740</v>
      </c>
      <c r="J3365" s="3" t="str">
        <f>HYPERLINK("https://www.boe.es/gazeta/dias/1822/04/16/pdfs/GMD-1822-108.pdf#page=4","Abrir facsímil")</f>
        <v>Abrir facsímil</v>
      </c>
      <c r="K3365" s="3" t="s">
        <v>22</v>
      </c>
    </row>
    <row r="3366" spans="1:11" ht="42" customHeight="1">
      <c r="A3366" s="2" t="s">
        <v>6724</v>
      </c>
      <c r="B3366" s="2" t="s">
        <v>6724</v>
      </c>
      <c r="C3366" s="2" t="s">
        <v>71</v>
      </c>
      <c r="D3366" s="2" t="s">
        <v>17</v>
      </c>
      <c r="E3366" s="5">
        <v>-28378</v>
      </c>
      <c r="F3366" s="3" t="s">
        <v>496</v>
      </c>
      <c r="G3366" s="3" t="s">
        <v>35</v>
      </c>
      <c r="H3366" s="2" t="s">
        <v>20</v>
      </c>
      <c r="I3366" s="2" t="s">
        <v>6741</v>
      </c>
      <c r="J3366" s="3" t="str">
        <f>HYPERLINK("https://www.boe.es/gazeta/dias/1822/04/20/pdfs/GMD-1822-112.pdf#page=2","Abrir facsímil")</f>
        <v>Abrir facsímil</v>
      </c>
      <c r="K3366" s="3" t="s">
        <v>22</v>
      </c>
    </row>
    <row r="3367" spans="1:11" ht="42" customHeight="1">
      <c r="A3367" s="2" t="s">
        <v>6724</v>
      </c>
      <c r="B3367" s="2" t="s">
        <v>6724</v>
      </c>
      <c r="C3367" s="2" t="s">
        <v>50</v>
      </c>
      <c r="D3367" s="2" t="s">
        <v>51</v>
      </c>
      <c r="E3367" s="5">
        <v>-28360</v>
      </c>
      <c r="F3367" s="3" t="s">
        <v>514</v>
      </c>
      <c r="G3367" s="3" t="s">
        <v>31</v>
      </c>
      <c r="H3367" s="2" t="s">
        <v>20</v>
      </c>
      <c r="I3367" s="2" t="s">
        <v>6742</v>
      </c>
      <c r="J3367" s="3" t="str">
        <f>HYPERLINK("https://www.boe.es/gazeta/dias/1822/05/08/pdfs/GMD-1822-130.pdf#page=3","Abrir facsímil")</f>
        <v>Abrir facsímil</v>
      </c>
      <c r="K3367" s="3" t="s">
        <v>22</v>
      </c>
    </row>
    <row r="3368" spans="1:11" ht="42" customHeight="1">
      <c r="A3368" s="2" t="s">
        <v>6724</v>
      </c>
      <c r="B3368" s="2" t="s">
        <v>6724</v>
      </c>
      <c r="C3368" s="2" t="s">
        <v>71</v>
      </c>
      <c r="D3368" s="2" t="s">
        <v>17</v>
      </c>
      <c r="E3368" s="5">
        <v>-28356</v>
      </c>
      <c r="F3368" s="3" t="s">
        <v>4170</v>
      </c>
      <c r="G3368" s="3" t="s">
        <v>35</v>
      </c>
      <c r="H3368" s="2" t="s">
        <v>20</v>
      </c>
      <c r="I3368" s="2" t="s">
        <v>6743</v>
      </c>
      <c r="J3368" s="3" t="str">
        <f>HYPERLINK("https://www.boe.es/gazeta/dias/1822/05/12/pdfs/GMD-1822-134.pdf#page=2","Abrir facsímil")</f>
        <v>Abrir facsímil</v>
      </c>
      <c r="K3368" s="3" t="s">
        <v>22</v>
      </c>
    </row>
    <row r="3369" spans="1:11" ht="42" customHeight="1">
      <c r="A3369" s="2" t="s">
        <v>6724</v>
      </c>
      <c r="B3369" s="2" t="s">
        <v>6724</v>
      </c>
      <c r="C3369" s="2" t="s">
        <v>42</v>
      </c>
      <c r="D3369" s="2" t="s">
        <v>17</v>
      </c>
      <c r="E3369" s="5">
        <v>-28344</v>
      </c>
      <c r="F3369" s="3" t="s">
        <v>524</v>
      </c>
      <c r="G3369" s="3" t="s">
        <v>1040</v>
      </c>
      <c r="H3369" s="2" t="s">
        <v>20</v>
      </c>
      <c r="I3369" s="2" t="s">
        <v>6744</v>
      </c>
      <c r="J3369" s="3" t="str">
        <f>HYPERLINK("https://www.boe.es/gazeta/dias/1822/05/24/pdfs/GMD-1822-148.pdf#page=2","Abrir facsímil")</f>
        <v>Abrir facsímil</v>
      </c>
      <c r="K3369" s="3" t="s">
        <v>22</v>
      </c>
    </row>
    <row r="3370" spans="1:11" ht="42" customHeight="1">
      <c r="A3370" s="2" t="s">
        <v>6724</v>
      </c>
      <c r="B3370" s="2" t="s">
        <v>6724</v>
      </c>
      <c r="C3370" s="2" t="s">
        <v>50</v>
      </c>
      <c r="D3370" s="2" t="s">
        <v>51</v>
      </c>
      <c r="E3370" s="5">
        <v>-28342</v>
      </c>
      <c r="F3370" s="3" t="s">
        <v>2281</v>
      </c>
      <c r="G3370" s="3" t="s">
        <v>35</v>
      </c>
      <c r="H3370" s="2" t="s">
        <v>20</v>
      </c>
      <c r="I3370" s="2" t="s">
        <v>6745</v>
      </c>
      <c r="J3370" s="3" t="str">
        <f>HYPERLINK("https://www.boe.es/gazeta/dias/1822/05/26/pdfs/GMD-1822-151.pdf#page=2","Abrir facsímil")</f>
        <v>Abrir facsímil</v>
      </c>
      <c r="K3370" s="3" t="s">
        <v>22</v>
      </c>
    </row>
    <row r="3371" spans="1:11" ht="42" customHeight="1">
      <c r="A3371" s="2" t="s">
        <v>6724</v>
      </c>
      <c r="B3371" s="2" t="s">
        <v>6724</v>
      </c>
      <c r="C3371" s="2" t="s">
        <v>16</v>
      </c>
      <c r="D3371" s="2" t="s">
        <v>17</v>
      </c>
      <c r="E3371" s="5">
        <v>-28329</v>
      </c>
      <c r="F3371" s="3" t="s">
        <v>354</v>
      </c>
      <c r="G3371" s="3" t="s">
        <v>35</v>
      </c>
      <c r="H3371" s="2" t="s">
        <v>20</v>
      </c>
      <c r="I3371" s="2" t="s">
        <v>6746</v>
      </c>
      <c r="J3371" s="3" t="str">
        <f>HYPERLINK("https://www.boe.es/gazeta/dias/1822/06/08/pdfs/GMD-1822-165.pdf#page=2","Abrir facsímil")</f>
        <v>Abrir facsímil</v>
      </c>
      <c r="K3371" s="3" t="s">
        <v>22</v>
      </c>
    </row>
    <row r="3372" spans="1:11" ht="42" customHeight="1">
      <c r="A3372" s="2" t="s">
        <v>6724</v>
      </c>
      <c r="B3372" s="2" t="s">
        <v>6724</v>
      </c>
      <c r="C3372" s="2" t="s">
        <v>28</v>
      </c>
      <c r="D3372" s="2" t="s">
        <v>29</v>
      </c>
      <c r="E3372" s="5">
        <v>-28328</v>
      </c>
      <c r="F3372" s="3" t="s">
        <v>540</v>
      </c>
      <c r="G3372" s="3" t="s">
        <v>35</v>
      </c>
      <c r="H3372" s="2" t="s">
        <v>20</v>
      </c>
      <c r="I3372" s="2" t="s">
        <v>6747</v>
      </c>
      <c r="J3372" s="3" t="str">
        <f>HYPERLINK("https://www.boe.es/gazeta/dias/1822/06/09/pdfs/GMD-1822-166.pdf#page=2","Abrir facsímil")</f>
        <v>Abrir facsímil</v>
      </c>
      <c r="K3372" s="3" t="s">
        <v>22</v>
      </c>
    </row>
    <row r="3373" spans="1:11" ht="42" customHeight="1">
      <c r="A3373" s="2" t="s">
        <v>6724</v>
      </c>
      <c r="B3373" s="2" t="s">
        <v>6724</v>
      </c>
      <c r="C3373" s="2" t="s">
        <v>71</v>
      </c>
      <c r="D3373" s="2" t="s">
        <v>17</v>
      </c>
      <c r="E3373" s="5">
        <v>-28325</v>
      </c>
      <c r="F3373" s="3" t="s">
        <v>104</v>
      </c>
      <c r="G3373" s="3" t="s">
        <v>57</v>
      </c>
      <c r="H3373" s="2" t="s">
        <v>20</v>
      </c>
      <c r="I3373" s="2" t="s">
        <v>6748</v>
      </c>
      <c r="J3373" s="3" t="str">
        <f>HYPERLINK("https://www.boe.es/gazeta/dias/1822/06/12/pdfs/GMD-1822-169.pdf#page=4","Abrir facsímil")</f>
        <v>Abrir facsímil</v>
      </c>
      <c r="K3373" s="3" t="s">
        <v>22</v>
      </c>
    </row>
    <row r="3374" spans="1:11" ht="42" customHeight="1">
      <c r="A3374" s="2" t="s">
        <v>6724</v>
      </c>
      <c r="B3374" s="2" t="s">
        <v>6724</v>
      </c>
      <c r="C3374" s="2" t="s">
        <v>71</v>
      </c>
      <c r="D3374" s="2" t="s">
        <v>17</v>
      </c>
      <c r="E3374" s="5">
        <v>-28324</v>
      </c>
      <c r="F3374" s="3" t="s">
        <v>305</v>
      </c>
      <c r="G3374" s="3" t="s">
        <v>57</v>
      </c>
      <c r="H3374" s="2" t="s">
        <v>20</v>
      </c>
      <c r="I3374" s="2" t="s">
        <v>6749</v>
      </c>
      <c r="J3374" s="3" t="str">
        <f>HYPERLINK("https://www.boe.es/gazeta/dias/1822/06/13/pdfs/GMD-1822-170.pdf#page=4","Abrir facsímil")</f>
        <v>Abrir facsímil</v>
      </c>
      <c r="K3374" s="3" t="s">
        <v>22</v>
      </c>
    </row>
    <row r="3375" spans="1:11" ht="42" customHeight="1">
      <c r="A3375" s="2" t="s">
        <v>6724</v>
      </c>
      <c r="B3375" s="2" t="s">
        <v>6724</v>
      </c>
      <c r="C3375" s="2" t="s">
        <v>71</v>
      </c>
      <c r="D3375" s="2" t="s">
        <v>17</v>
      </c>
      <c r="E3375" s="5">
        <v>-28320</v>
      </c>
      <c r="F3375" s="3" t="s">
        <v>700</v>
      </c>
      <c r="G3375" s="3" t="s">
        <v>35</v>
      </c>
      <c r="H3375" s="2" t="s">
        <v>20</v>
      </c>
      <c r="I3375" s="2" t="s">
        <v>6750</v>
      </c>
      <c r="J3375" s="3" t="str">
        <f>HYPERLINK("https://www.boe.es/gazeta/dias/1822/06/17/pdfs/GMD-1822-174.pdf#page=2","Abrir facsímil")</f>
        <v>Abrir facsímil</v>
      </c>
      <c r="K3375" s="3" t="s">
        <v>22</v>
      </c>
    </row>
    <row r="3376" spans="1:11" ht="42" customHeight="1">
      <c r="A3376" s="2" t="s">
        <v>6724</v>
      </c>
      <c r="B3376" s="2" t="s">
        <v>6724</v>
      </c>
      <c r="C3376" s="2" t="s">
        <v>71</v>
      </c>
      <c r="D3376" s="2" t="s">
        <v>17</v>
      </c>
      <c r="E3376" s="5">
        <v>-28320</v>
      </c>
      <c r="F3376" s="3" t="s">
        <v>700</v>
      </c>
      <c r="G3376" s="3" t="s">
        <v>31</v>
      </c>
      <c r="H3376" s="2" t="s">
        <v>20</v>
      </c>
      <c r="I3376" s="2" t="s">
        <v>6751</v>
      </c>
      <c r="J3376" s="3" t="str">
        <f>HYPERLINK("https://www.boe.es/gazeta/dias/1822/06/17/pdfs/GMD-1822-174.pdf#page=3","Abrir facsímil")</f>
        <v>Abrir facsímil</v>
      </c>
      <c r="K3376" s="3" t="s">
        <v>22</v>
      </c>
    </row>
    <row r="3377" spans="1:11" ht="42" customHeight="1">
      <c r="A3377" s="2" t="s">
        <v>6724</v>
      </c>
      <c r="B3377" s="2" t="s">
        <v>6724</v>
      </c>
      <c r="C3377" s="2" t="s">
        <v>42</v>
      </c>
      <c r="D3377" s="2" t="s">
        <v>17</v>
      </c>
      <c r="E3377" s="5">
        <v>-28318</v>
      </c>
      <c r="F3377" s="3" t="s">
        <v>397</v>
      </c>
      <c r="G3377" s="3" t="s">
        <v>31</v>
      </c>
      <c r="H3377" s="2" t="s">
        <v>20</v>
      </c>
      <c r="I3377" s="2" t="s">
        <v>6752</v>
      </c>
      <c r="J3377" s="3" t="str">
        <f>HYPERLINK("https://www.boe.es/gazeta/dias/1822/06/19/pdfs/GMD-1822-176.pdf#page=3","Abrir facsímil")</f>
        <v>Abrir facsímil</v>
      </c>
      <c r="K3377" s="3" t="s">
        <v>22</v>
      </c>
    </row>
    <row r="3378" spans="1:11" ht="42" customHeight="1">
      <c r="A3378" s="2" t="s">
        <v>6724</v>
      </c>
      <c r="B3378" s="2" t="s">
        <v>6724</v>
      </c>
      <c r="C3378" s="2" t="s">
        <v>42</v>
      </c>
      <c r="D3378" s="2" t="s">
        <v>17</v>
      </c>
      <c r="E3378" s="5">
        <v>-28316</v>
      </c>
      <c r="F3378" s="3" t="s">
        <v>1144</v>
      </c>
      <c r="G3378" s="3" t="s">
        <v>35</v>
      </c>
      <c r="H3378" s="2" t="s">
        <v>20</v>
      </c>
      <c r="I3378" s="2" t="s">
        <v>6753</v>
      </c>
      <c r="J3378" s="3" t="str">
        <f>HYPERLINK("https://www.boe.es/gazeta/dias/1822/06/21/pdfs/GMD-1822-179.pdf#page=2","Abrir facsímil")</f>
        <v>Abrir facsímil</v>
      </c>
      <c r="K3378" s="3" t="s">
        <v>22</v>
      </c>
    </row>
    <row r="3379" spans="1:11" ht="42" customHeight="1">
      <c r="A3379" s="2" t="s">
        <v>6724</v>
      </c>
      <c r="B3379" s="2" t="s">
        <v>6724</v>
      </c>
      <c r="C3379" s="2" t="s">
        <v>42</v>
      </c>
      <c r="D3379" s="2" t="s">
        <v>17</v>
      </c>
      <c r="E3379" s="5">
        <v>-28311</v>
      </c>
      <c r="F3379" s="3" t="s">
        <v>736</v>
      </c>
      <c r="G3379" s="3" t="s">
        <v>57</v>
      </c>
      <c r="H3379" s="2" t="s">
        <v>20</v>
      </c>
      <c r="I3379" s="2" t="s">
        <v>6754</v>
      </c>
      <c r="J3379" s="3" t="str">
        <f>HYPERLINK("https://www.boe.es/gazeta/dias/1822/06/26/pdfs/GMD-1822-184.pdf#page=4","Abrir facsímil")</f>
        <v>Abrir facsímil</v>
      </c>
      <c r="K3379" s="3" t="s">
        <v>22</v>
      </c>
    </row>
    <row r="3380" spans="1:11" ht="42" customHeight="1">
      <c r="A3380" s="2" t="s">
        <v>6724</v>
      </c>
      <c r="B3380" s="2" t="s">
        <v>6724</v>
      </c>
      <c r="C3380" s="2" t="s">
        <v>28</v>
      </c>
      <c r="D3380" s="2" t="s">
        <v>29</v>
      </c>
      <c r="E3380" s="5">
        <v>-28212</v>
      </c>
      <c r="F3380" s="3" t="s">
        <v>560</v>
      </c>
      <c r="G3380" s="3" t="s">
        <v>35</v>
      </c>
      <c r="H3380" s="2" t="s">
        <v>20</v>
      </c>
      <c r="I3380" s="2" t="s">
        <v>6755</v>
      </c>
      <c r="J3380" s="3" t="str">
        <f>HYPERLINK("https://www.boe.es/gazeta/dias/1822/10/03/pdfs/GMD-1822-289.pdf#page=2","Abrir facsímil")</f>
        <v>Abrir facsímil</v>
      </c>
      <c r="K3380" s="3" t="s">
        <v>22</v>
      </c>
    </row>
    <row r="3381" spans="1:11" ht="42" customHeight="1">
      <c r="A3381" s="2" t="s">
        <v>6724</v>
      </c>
      <c r="B3381" s="2" t="s">
        <v>6724</v>
      </c>
      <c r="C3381" s="2" t="s">
        <v>42</v>
      </c>
      <c r="D3381" s="2" t="s">
        <v>17</v>
      </c>
      <c r="E3381" s="5">
        <v>-28192</v>
      </c>
      <c r="F3381" s="3" t="s">
        <v>43</v>
      </c>
      <c r="G3381" s="3" t="s">
        <v>63</v>
      </c>
      <c r="H3381" s="2" t="s">
        <v>20</v>
      </c>
      <c r="I3381" s="2" t="s">
        <v>6756</v>
      </c>
      <c r="J3381" s="3" t="str">
        <f>HYPERLINK("https://www.boe.es/gazeta/dias/1822/10/23/pdfs/GMD-1822-310.pdf#page=6","Abrir facsímil")</f>
        <v>Abrir facsímil</v>
      </c>
      <c r="K3381" s="3" t="s">
        <v>22</v>
      </c>
    </row>
    <row r="3382" spans="1:11" ht="42" customHeight="1">
      <c r="A3382" s="2" t="s">
        <v>6724</v>
      </c>
      <c r="B3382" s="2" t="s">
        <v>6724</v>
      </c>
      <c r="C3382" s="2" t="s">
        <v>42</v>
      </c>
      <c r="D3382" s="2" t="s">
        <v>17</v>
      </c>
      <c r="E3382" s="5">
        <v>-28177</v>
      </c>
      <c r="F3382" s="3" t="s">
        <v>587</v>
      </c>
      <c r="G3382" s="3" t="s">
        <v>888</v>
      </c>
      <c r="H3382" s="2" t="s">
        <v>20</v>
      </c>
      <c r="I3382" s="2" t="s">
        <v>6757</v>
      </c>
      <c r="J3382" s="3" t="str">
        <f>HYPERLINK("https://www.boe.es/gazeta/dias/1822/11/07/pdfs/GMD-1822-327.pdf#page=4","Abrir facsímil")</f>
        <v>Abrir facsímil</v>
      </c>
      <c r="K3382" s="3" t="s">
        <v>22</v>
      </c>
    </row>
    <row r="3383" spans="1:11" ht="42" customHeight="1">
      <c r="A3383" s="2" t="s">
        <v>6724</v>
      </c>
      <c r="B3383" s="2" t="s">
        <v>6724</v>
      </c>
      <c r="C3383" s="2" t="s">
        <v>71</v>
      </c>
      <c r="D3383" s="2" t="s">
        <v>17</v>
      </c>
      <c r="E3383" s="5">
        <v>-28138</v>
      </c>
      <c r="F3383" s="3" t="s">
        <v>3542</v>
      </c>
      <c r="G3383" s="3" t="s">
        <v>35</v>
      </c>
      <c r="H3383" s="2" t="s">
        <v>20</v>
      </c>
      <c r="I3383" s="2" t="s">
        <v>6758</v>
      </c>
      <c r="J3383" s="3" t="str">
        <f>HYPERLINK("https://www.boe.es/gazeta/dias/1822/12/16/pdfs/GMD-1822-366.pdf#page=2","Abrir facsímil")</f>
        <v>Abrir facsímil</v>
      </c>
      <c r="K3383" s="3" t="s">
        <v>22</v>
      </c>
    </row>
    <row r="3384" spans="1:11" ht="42" customHeight="1">
      <c r="A3384" s="2" t="s">
        <v>6724</v>
      </c>
      <c r="B3384" s="2" t="s">
        <v>6724</v>
      </c>
      <c r="C3384" s="2" t="s">
        <v>71</v>
      </c>
      <c r="D3384" s="2" t="s">
        <v>17</v>
      </c>
      <c r="E3384" s="5">
        <v>-28137</v>
      </c>
      <c r="F3384" s="3" t="s">
        <v>312</v>
      </c>
      <c r="G3384" s="3" t="s">
        <v>35</v>
      </c>
      <c r="H3384" s="2" t="s">
        <v>20</v>
      </c>
      <c r="I3384" s="2" t="s">
        <v>6759</v>
      </c>
      <c r="J3384" s="3" t="str">
        <f>HYPERLINK("https://www.boe.es/gazeta/dias/1822/12/17/pdfs/GMD-1822-367.pdf#page=2","Abrir facsímil")</f>
        <v>Abrir facsímil</v>
      </c>
      <c r="K3384" s="3" t="s">
        <v>22</v>
      </c>
    </row>
    <row r="3385" spans="1:11" ht="42" customHeight="1">
      <c r="A3385" s="2" t="s">
        <v>6760</v>
      </c>
      <c r="B3385" s="2" t="s">
        <v>6761</v>
      </c>
      <c r="C3385" s="2" t="s">
        <v>28</v>
      </c>
      <c r="D3385" s="2" t="s">
        <v>29</v>
      </c>
      <c r="E3385" s="5">
        <v>-28436</v>
      </c>
      <c r="F3385" s="3" t="s">
        <v>431</v>
      </c>
      <c r="G3385" s="3" t="s">
        <v>1428</v>
      </c>
      <c r="H3385" s="2" t="s">
        <v>20</v>
      </c>
      <c r="I3385" s="2" t="s">
        <v>6762</v>
      </c>
      <c r="J3385" s="3" t="str">
        <f>HYPERLINK("https://www.boe.es/gazeta/dias/1822/02/21/pdfs/GMD-1822-53.pdf#page=3","Abrir facsímil")</f>
        <v>Abrir facsímil</v>
      </c>
      <c r="K3385" s="3" t="s">
        <v>22</v>
      </c>
    </row>
    <row r="3386" spans="1:11" ht="42" customHeight="1">
      <c r="A3386" s="2" t="s">
        <v>6763</v>
      </c>
      <c r="B3386" s="2" t="s">
        <v>6763</v>
      </c>
      <c r="C3386" s="2" t="s">
        <v>50</v>
      </c>
      <c r="D3386" s="2" t="s">
        <v>51</v>
      </c>
      <c r="E3386" s="5">
        <v>-28327</v>
      </c>
      <c r="F3386" s="3" t="s">
        <v>38</v>
      </c>
      <c r="G3386" s="3" t="s">
        <v>57</v>
      </c>
      <c r="H3386" s="2" t="s">
        <v>20</v>
      </c>
      <c r="I3386" s="2" t="s">
        <v>6764</v>
      </c>
      <c r="J3386" s="3" t="str">
        <f>HYPERLINK("https://www.boe.es/gazeta/dias/1822/06/10/pdfs/GMD-1822-167.pdf#page=4","Abrir facsímil")</f>
        <v>Abrir facsímil</v>
      </c>
      <c r="K3386" s="3" t="s">
        <v>22</v>
      </c>
    </row>
    <row r="3387" spans="1:11" ht="42" customHeight="1">
      <c r="A3387" s="2" t="s">
        <v>6765</v>
      </c>
      <c r="B3387" s="2" t="s">
        <v>6766</v>
      </c>
      <c r="C3387" s="2" t="s">
        <v>50</v>
      </c>
      <c r="D3387" s="2" t="s">
        <v>51</v>
      </c>
      <c r="E3387" s="5">
        <v>-28240</v>
      </c>
      <c r="F3387" s="3" t="s">
        <v>678</v>
      </c>
      <c r="G3387" s="3" t="s">
        <v>57</v>
      </c>
      <c r="H3387" s="2" t="s">
        <v>20</v>
      </c>
      <c r="I3387" s="2" t="s">
        <v>6767</v>
      </c>
      <c r="J3387" s="3" t="str">
        <f>HYPERLINK("https://www.boe.es/gazeta/dias/1822/09/05/pdfs/GMD-1822-260.pdf#page=4","Abrir facsímil")</f>
        <v>Abrir facsímil</v>
      </c>
      <c r="K3387" s="3" t="s">
        <v>22</v>
      </c>
    </row>
    <row r="3388" spans="1:11" ht="42" customHeight="1">
      <c r="A3388" s="2" t="s">
        <v>6765</v>
      </c>
      <c r="B3388" s="2" t="s">
        <v>6766</v>
      </c>
      <c r="C3388" s="2" t="s">
        <v>71</v>
      </c>
      <c r="D3388" s="2" t="s">
        <v>17</v>
      </c>
      <c r="E3388" s="5">
        <v>-28199</v>
      </c>
      <c r="F3388" s="3" t="s">
        <v>656</v>
      </c>
      <c r="G3388" s="3" t="s">
        <v>19</v>
      </c>
      <c r="H3388" s="2" t="s">
        <v>20</v>
      </c>
      <c r="I3388" s="2" t="s">
        <v>6768</v>
      </c>
      <c r="J3388" s="3" t="str">
        <f>HYPERLINK("https://www.boe.es/gazeta/dias/1822/10/16/pdfs/GMD-1822-303.pdf#page=5","Abrir facsímil")</f>
        <v>Abrir facsímil</v>
      </c>
      <c r="K3388" s="3" t="s">
        <v>22</v>
      </c>
    </row>
    <row r="3389" spans="1:11" ht="42" customHeight="1">
      <c r="A3389" s="2" t="s">
        <v>6769</v>
      </c>
      <c r="B3389" s="2" t="s">
        <v>6770</v>
      </c>
      <c r="C3389" s="2" t="s">
        <v>42</v>
      </c>
      <c r="D3389" s="2" t="s">
        <v>17</v>
      </c>
      <c r="E3389" s="5">
        <v>-28165</v>
      </c>
      <c r="F3389" s="3" t="s">
        <v>846</v>
      </c>
      <c r="G3389" s="3" t="s">
        <v>57</v>
      </c>
      <c r="H3389" s="2" t="s">
        <v>20</v>
      </c>
      <c r="I3389" s="2" t="s">
        <v>6771</v>
      </c>
      <c r="J3389" s="3" t="str">
        <f>HYPERLINK("https://www.boe.es/gazeta/dias/1822/11/19/pdfs/GMD-1822-339.pdf#page=4","Abrir facsímil")</f>
        <v>Abrir facsímil</v>
      </c>
      <c r="K3389" s="3" t="s">
        <v>22</v>
      </c>
    </row>
    <row r="3390" spans="1:11" ht="42" customHeight="1">
      <c r="A3390" s="2" t="s">
        <v>6772</v>
      </c>
      <c r="B3390" s="2" t="s">
        <v>6773</v>
      </c>
      <c r="C3390" s="2" t="s">
        <v>50</v>
      </c>
      <c r="D3390" s="2" t="s">
        <v>51</v>
      </c>
      <c r="E3390" s="5">
        <v>-28171</v>
      </c>
      <c r="F3390" s="3" t="s">
        <v>1075</v>
      </c>
      <c r="G3390" s="3" t="s">
        <v>57</v>
      </c>
      <c r="H3390" s="2" t="s">
        <v>20</v>
      </c>
      <c r="I3390" s="2" t="s">
        <v>6774</v>
      </c>
      <c r="J3390" s="3" t="str">
        <f>HYPERLINK("https://www.boe.es/gazeta/dias/1822/11/13/pdfs/GMD-1822-333.pdf#page=4","Abrir facsímil")</f>
        <v>Abrir facsímil</v>
      </c>
      <c r="K3390" s="3" t="s">
        <v>22</v>
      </c>
    </row>
    <row r="3391" spans="1:11" ht="42" customHeight="1">
      <c r="A3391" s="2" t="s">
        <v>6775</v>
      </c>
      <c r="B3391" s="2" t="s">
        <v>6776</v>
      </c>
      <c r="C3391" s="2" t="s">
        <v>71</v>
      </c>
      <c r="D3391" s="2" t="s">
        <v>17</v>
      </c>
      <c r="E3391" s="5">
        <v>-28459</v>
      </c>
      <c r="F3391" s="3" t="s">
        <v>1102</v>
      </c>
      <c r="G3391" s="3" t="s">
        <v>31</v>
      </c>
      <c r="H3391" s="2" t="s">
        <v>20</v>
      </c>
      <c r="I3391" s="2" t="s">
        <v>6777</v>
      </c>
      <c r="J3391" s="3" t="str">
        <f>HYPERLINK("https://www.boe.es/gazeta/dias/1822/01/29/pdfs/GMD-1822-29.pdf#page=3","Abrir facsímil")</f>
        <v>Abrir facsímil</v>
      </c>
      <c r="K3391" s="3" t="s">
        <v>22</v>
      </c>
    </row>
    <row r="3392" spans="1:11" ht="42" customHeight="1">
      <c r="A3392" s="2" t="s">
        <v>6778</v>
      </c>
      <c r="B3392" s="2" t="s">
        <v>6779</v>
      </c>
      <c r="C3392" s="2" t="s">
        <v>50</v>
      </c>
      <c r="D3392" s="2" t="s">
        <v>51</v>
      </c>
      <c r="E3392" s="5">
        <v>-28477</v>
      </c>
      <c r="F3392" s="3" t="s">
        <v>1668</v>
      </c>
      <c r="G3392" s="3" t="s">
        <v>31</v>
      </c>
      <c r="H3392" s="2" t="s">
        <v>20</v>
      </c>
      <c r="I3392" s="2" t="s">
        <v>6780</v>
      </c>
      <c r="J3392" s="3" t="str">
        <f>HYPERLINK("https://www.boe.es/gazeta/dias/1822/01/11/pdfs/GMD-1822-11.pdf#page=3","Abrir facsímil")</f>
        <v>Abrir facsímil</v>
      </c>
      <c r="K3392" s="3" t="s">
        <v>22</v>
      </c>
    </row>
    <row r="3393" spans="1:11" ht="42" customHeight="1">
      <c r="A3393" s="2" t="s">
        <v>6778</v>
      </c>
      <c r="B3393" s="2" t="s">
        <v>6779</v>
      </c>
      <c r="C3393" s="2" t="s">
        <v>50</v>
      </c>
      <c r="D3393" s="2" t="s">
        <v>51</v>
      </c>
      <c r="E3393" s="5">
        <v>-28477</v>
      </c>
      <c r="F3393" s="3" t="s">
        <v>1668</v>
      </c>
      <c r="G3393" s="3" t="s">
        <v>19</v>
      </c>
      <c r="H3393" s="2" t="s">
        <v>20</v>
      </c>
      <c r="I3393" s="2" t="s">
        <v>6781</v>
      </c>
      <c r="J3393" s="3" t="str">
        <f>HYPERLINK("https://www.boe.es/gazeta/dias/1822/01/11/pdfs/GMD-1822-11.pdf#page=5","Abrir facsímil")</f>
        <v>Abrir facsímil</v>
      </c>
      <c r="K3393" s="3" t="s">
        <v>22</v>
      </c>
    </row>
    <row r="3394" spans="1:11" ht="42" customHeight="1">
      <c r="A3394" s="2" t="s">
        <v>6782</v>
      </c>
      <c r="B3394" s="2" t="s">
        <v>6783</v>
      </c>
      <c r="C3394" s="2" t="s">
        <v>50</v>
      </c>
      <c r="D3394" s="2" t="s">
        <v>51</v>
      </c>
      <c r="E3394" s="5">
        <v>-28460</v>
      </c>
      <c r="F3394" s="3" t="s">
        <v>112</v>
      </c>
      <c r="G3394" s="3" t="s">
        <v>63</v>
      </c>
      <c r="H3394" s="2" t="s">
        <v>20</v>
      </c>
      <c r="I3394" s="2" t="s">
        <v>6784</v>
      </c>
      <c r="J3394" s="3" t="str">
        <f>HYPERLINK("https://www.boe.es/gazeta/dias/1822/01/28/pdfs/GMD-1822-28.pdf#page=6","Abrir facsímil")</f>
        <v>Abrir facsímil</v>
      </c>
      <c r="K3394" s="3" t="s">
        <v>22</v>
      </c>
    </row>
    <row r="3395" spans="1:11" ht="42" customHeight="1">
      <c r="A3395" s="2" t="s">
        <v>6782</v>
      </c>
      <c r="B3395" s="2" t="s">
        <v>6783</v>
      </c>
      <c r="C3395" s="2" t="s">
        <v>50</v>
      </c>
      <c r="D3395" s="2" t="s">
        <v>51</v>
      </c>
      <c r="E3395" s="5">
        <v>-28458</v>
      </c>
      <c r="F3395" s="3" t="s">
        <v>1151</v>
      </c>
      <c r="G3395" s="3" t="s">
        <v>57</v>
      </c>
      <c r="H3395" s="2" t="s">
        <v>20</v>
      </c>
      <c r="I3395" s="2" t="s">
        <v>6785</v>
      </c>
      <c r="J3395" s="3" t="str">
        <f>HYPERLINK("https://www.boe.es/gazeta/dias/1822/01/30/pdfs/GMD-1822-30.pdf#page=4","Abrir facsímil")</f>
        <v>Abrir facsímil</v>
      </c>
      <c r="K3395" s="3" t="s">
        <v>22</v>
      </c>
    </row>
    <row r="3396" spans="1:11" ht="42" customHeight="1">
      <c r="A3396" s="2" t="s">
        <v>6782</v>
      </c>
      <c r="B3396" s="2" t="s">
        <v>6783</v>
      </c>
      <c r="C3396" s="2" t="s">
        <v>362</v>
      </c>
      <c r="D3396" s="2" t="s">
        <v>17</v>
      </c>
      <c r="E3396" s="5">
        <v>-28449</v>
      </c>
      <c r="F3396" s="3" t="s">
        <v>1342</v>
      </c>
      <c r="G3396" s="3" t="s">
        <v>57</v>
      </c>
      <c r="H3396" s="2" t="s">
        <v>20</v>
      </c>
      <c r="I3396" s="2" t="s">
        <v>6786</v>
      </c>
      <c r="J3396" s="3" t="str">
        <f>HYPERLINK("https://www.boe.es/gazeta/dias/1822/02/08/pdfs/GMD-1822-39.pdf#page=4","Abrir facsímil")</f>
        <v>Abrir facsímil</v>
      </c>
      <c r="K3396" s="3" t="s">
        <v>22</v>
      </c>
    </row>
    <row r="3397" spans="1:11" ht="42" customHeight="1">
      <c r="A3397" s="2" t="s">
        <v>6787</v>
      </c>
      <c r="B3397" s="2" t="s">
        <v>6788</v>
      </c>
      <c r="C3397" s="2" t="s">
        <v>42</v>
      </c>
      <c r="D3397" s="2" t="s">
        <v>17</v>
      </c>
      <c r="E3397" s="5">
        <v>-28142</v>
      </c>
      <c r="F3397" s="3" t="s">
        <v>290</v>
      </c>
      <c r="G3397" s="3" t="s">
        <v>57</v>
      </c>
      <c r="H3397" s="2" t="s">
        <v>20</v>
      </c>
      <c r="I3397" s="2" t="s">
        <v>6789</v>
      </c>
      <c r="J3397" s="3" t="str">
        <f>HYPERLINK("https://www.boe.es/gazeta/dias/1822/12/12/pdfs/GMD-1822-362.pdf#page=4","Abrir facsímil")</f>
        <v>Abrir facsímil</v>
      </c>
      <c r="K3397" s="3" t="s">
        <v>22</v>
      </c>
    </row>
    <row r="3398" spans="1:11" ht="42" customHeight="1">
      <c r="A3398" s="2" t="s">
        <v>6790</v>
      </c>
      <c r="B3398" s="2" t="s">
        <v>6791</v>
      </c>
      <c r="C3398" s="2" t="s">
        <v>50</v>
      </c>
      <c r="D3398" s="2" t="s">
        <v>51</v>
      </c>
      <c r="E3398" s="5">
        <v>-28260</v>
      </c>
      <c r="F3398" s="3" t="s">
        <v>135</v>
      </c>
      <c r="G3398" s="3" t="s">
        <v>63</v>
      </c>
      <c r="H3398" s="2" t="s">
        <v>20</v>
      </c>
      <c r="I3398" s="2" t="s">
        <v>6792</v>
      </c>
      <c r="J3398" s="3" t="str">
        <f>HYPERLINK("https://www.boe.es/gazeta/dias/1822/08/16/pdfs/GMD-1822-240.pdf#page=6","Abrir facsímil")</f>
        <v>Abrir facsímil</v>
      </c>
      <c r="K3398" s="3" t="s">
        <v>22</v>
      </c>
    </row>
    <row r="3399" spans="1:11" ht="42" customHeight="1">
      <c r="A3399" s="2" t="s">
        <v>6793</v>
      </c>
      <c r="B3399" s="2" t="s">
        <v>6794</v>
      </c>
      <c r="C3399" s="2" t="s">
        <v>50</v>
      </c>
      <c r="D3399" s="2" t="s">
        <v>51</v>
      </c>
      <c r="E3399" s="5">
        <v>-28276</v>
      </c>
      <c r="F3399" s="3" t="s">
        <v>4746</v>
      </c>
      <c r="G3399" s="3" t="s">
        <v>44</v>
      </c>
      <c r="H3399" s="2" t="s">
        <v>20</v>
      </c>
      <c r="I3399" s="2" t="s">
        <v>6795</v>
      </c>
      <c r="J3399" s="3" t="str">
        <f>HYPERLINK("https://www.boe.es/gazeta/dias/1822/07/31/pdfs/GMD-1822-224.pdf#page=1","Abrir facsímil")</f>
        <v>Abrir facsímil</v>
      </c>
      <c r="K3399" s="3" t="s">
        <v>22</v>
      </c>
    </row>
    <row r="3400" spans="1:11" ht="42" customHeight="1">
      <c r="A3400" s="2" t="s">
        <v>6796</v>
      </c>
      <c r="B3400" s="2" t="s">
        <v>6797</v>
      </c>
      <c r="C3400" s="2" t="s">
        <v>28</v>
      </c>
      <c r="D3400" s="2" t="s">
        <v>29</v>
      </c>
      <c r="E3400" s="5">
        <v>-28326</v>
      </c>
      <c r="F3400" s="3" t="s">
        <v>543</v>
      </c>
      <c r="G3400" s="3" t="s">
        <v>63</v>
      </c>
      <c r="H3400" s="2" t="s">
        <v>20</v>
      </c>
      <c r="I3400" s="2" t="s">
        <v>6798</v>
      </c>
      <c r="J3400" s="3" t="str">
        <f>HYPERLINK("https://www.boe.es/gazeta/dias/1822/06/11/pdfs/GMD-1822-168.pdf#page=6","Abrir facsímil")</f>
        <v>Abrir facsímil</v>
      </c>
      <c r="K3400" s="3" t="s">
        <v>22</v>
      </c>
    </row>
    <row r="3401" spans="1:11" ht="42" customHeight="1">
      <c r="A3401" s="2" t="s">
        <v>6799</v>
      </c>
      <c r="B3401" s="2" t="s">
        <v>6800</v>
      </c>
      <c r="C3401" s="2" t="s">
        <v>50</v>
      </c>
      <c r="D3401" s="2" t="s">
        <v>51</v>
      </c>
      <c r="E3401" s="5">
        <v>-28415</v>
      </c>
      <c r="F3401" s="3" t="s">
        <v>77</v>
      </c>
      <c r="G3401" s="3" t="s">
        <v>19</v>
      </c>
      <c r="H3401" s="2" t="s">
        <v>20</v>
      </c>
      <c r="I3401" s="2" t="s">
        <v>6801</v>
      </c>
      <c r="J3401" s="3" t="str">
        <f>HYPERLINK("https://www.boe.es/gazeta/dias/1822/03/14/pdfs/GMD-1822-75.pdf#page=5","Abrir facsímil")</f>
        <v>Abrir facsímil</v>
      </c>
      <c r="K3401" s="3" t="s">
        <v>22</v>
      </c>
    </row>
    <row r="3402" spans="1:11" ht="42" customHeight="1">
      <c r="A3402" s="2" t="s">
        <v>6802</v>
      </c>
      <c r="B3402" s="2" t="s">
        <v>6803</v>
      </c>
      <c r="C3402" s="2" t="s">
        <v>50</v>
      </c>
      <c r="D3402" s="2" t="s">
        <v>51</v>
      </c>
      <c r="E3402" s="5">
        <v>-28359</v>
      </c>
      <c r="F3402" s="3" t="s">
        <v>209</v>
      </c>
      <c r="G3402" s="3" t="s">
        <v>31</v>
      </c>
      <c r="H3402" s="2" t="s">
        <v>20</v>
      </c>
      <c r="I3402" s="2" t="s">
        <v>6804</v>
      </c>
      <c r="J3402" s="3" t="str">
        <f>HYPERLINK("https://www.boe.es/gazeta/dias/1822/05/09/pdfs/GMD-1822-131.pdf#page=3","Abrir facsímil")</f>
        <v>Abrir facsímil</v>
      </c>
      <c r="K3402" s="3" t="s">
        <v>22</v>
      </c>
    </row>
    <row r="3403" spans="1:11" ht="42" customHeight="1">
      <c r="A3403" s="2" t="s">
        <v>6805</v>
      </c>
      <c r="B3403" s="2" t="s">
        <v>6806</v>
      </c>
      <c r="C3403" s="2" t="s">
        <v>28</v>
      </c>
      <c r="D3403" s="2" t="s">
        <v>29</v>
      </c>
      <c r="E3403" s="5">
        <v>-28130</v>
      </c>
      <c r="F3403" s="3" t="s">
        <v>34</v>
      </c>
      <c r="G3403" s="3" t="s">
        <v>63</v>
      </c>
      <c r="H3403" s="2" t="s">
        <v>20</v>
      </c>
      <c r="I3403" s="2" t="s">
        <v>6807</v>
      </c>
      <c r="J3403" s="3" t="str">
        <f>HYPERLINK("https://www.boe.es/gazeta/dias/1822/12/24/pdfs/GMD-1822-374.pdf#page=6","Abrir facsímil")</f>
        <v>Abrir facsímil</v>
      </c>
      <c r="K3403" s="3" t="s">
        <v>22</v>
      </c>
    </row>
    <row r="3404" spans="1:11" ht="42" customHeight="1">
      <c r="A3404" s="2" t="s">
        <v>6808</v>
      </c>
      <c r="B3404" s="2" t="s">
        <v>6809</v>
      </c>
      <c r="C3404" s="2" t="s">
        <v>50</v>
      </c>
      <c r="D3404" s="2" t="s">
        <v>51</v>
      </c>
      <c r="E3404" s="5">
        <v>-28391</v>
      </c>
      <c r="F3404" s="3" t="s">
        <v>378</v>
      </c>
      <c r="G3404" s="3" t="s">
        <v>19</v>
      </c>
      <c r="H3404" s="2" t="s">
        <v>20</v>
      </c>
      <c r="I3404" s="2" t="s">
        <v>6810</v>
      </c>
      <c r="J3404" s="3" t="str">
        <f>HYPERLINK("https://www.boe.es/gazeta/dias/1822/04/07/pdfs/GMD-1822-99.pdf#page=5","Abrir facsímil")</f>
        <v>Abrir facsímil</v>
      </c>
      <c r="K3404" s="3" t="s">
        <v>22</v>
      </c>
    </row>
    <row r="3405" spans="1:11" ht="42" customHeight="1">
      <c r="A3405" s="2" t="s">
        <v>6811</v>
      </c>
      <c r="B3405" s="2" t="s">
        <v>6812</v>
      </c>
      <c r="C3405" s="2" t="s">
        <v>50</v>
      </c>
      <c r="D3405" s="2" t="s">
        <v>51</v>
      </c>
      <c r="E3405" s="5">
        <v>-28235</v>
      </c>
      <c r="F3405" s="3" t="s">
        <v>1470</v>
      </c>
      <c r="G3405" s="3" t="s">
        <v>35</v>
      </c>
      <c r="H3405" s="2" t="s">
        <v>20</v>
      </c>
      <c r="I3405" s="2" t="s">
        <v>6813</v>
      </c>
      <c r="J3405" s="3" t="str">
        <f>HYPERLINK("https://www.boe.es/gazeta/dias/1822/09/10/pdfs/GMD-1822-266.pdf#page=2","Abrir facsímil")</f>
        <v>Abrir facsímil</v>
      </c>
      <c r="K3405" s="3" t="s">
        <v>22</v>
      </c>
    </row>
    <row r="3406" spans="1:11" ht="42" customHeight="1">
      <c r="A3406" s="2" t="s">
        <v>6814</v>
      </c>
      <c r="B3406" s="2" t="s">
        <v>6815</v>
      </c>
      <c r="C3406" s="2" t="s">
        <v>50</v>
      </c>
      <c r="D3406" s="2" t="s">
        <v>51</v>
      </c>
      <c r="E3406" s="5">
        <v>-28260</v>
      </c>
      <c r="F3406" s="3" t="s">
        <v>135</v>
      </c>
      <c r="G3406" s="3" t="s">
        <v>31</v>
      </c>
      <c r="H3406" s="2" t="s">
        <v>20</v>
      </c>
      <c r="I3406" s="2" t="s">
        <v>6816</v>
      </c>
      <c r="J3406" s="3" t="str">
        <f>HYPERLINK("https://www.boe.es/gazeta/dias/1822/08/16/pdfs/GMD-1822-240.pdf#page=3","Abrir facsímil")</f>
        <v>Abrir facsímil</v>
      </c>
      <c r="K3406" s="3" t="s">
        <v>22</v>
      </c>
    </row>
    <row r="3407" spans="1:11" ht="42" customHeight="1">
      <c r="A3407" s="2" t="s">
        <v>6817</v>
      </c>
      <c r="B3407" s="2" t="s">
        <v>6818</v>
      </c>
      <c r="C3407" s="2" t="s">
        <v>50</v>
      </c>
      <c r="D3407" s="2" t="s">
        <v>51</v>
      </c>
      <c r="E3407" s="5">
        <v>-28265</v>
      </c>
      <c r="F3407" s="3" t="s">
        <v>1263</v>
      </c>
      <c r="G3407" s="3" t="s">
        <v>57</v>
      </c>
      <c r="H3407" s="2" t="s">
        <v>20</v>
      </c>
      <c r="I3407" s="2" t="s">
        <v>6819</v>
      </c>
      <c r="J3407" s="3" t="str">
        <f>HYPERLINK("https://www.boe.es/gazeta/dias/1822/08/11/pdfs/GMD-1822-235.pdf#page=4","Abrir facsímil")</f>
        <v>Abrir facsímil</v>
      </c>
      <c r="K3407" s="3" t="s">
        <v>22</v>
      </c>
    </row>
    <row r="3408" spans="1:11" ht="42" customHeight="1">
      <c r="A3408" s="2" t="s">
        <v>6820</v>
      </c>
      <c r="B3408" s="2" t="s">
        <v>6821</v>
      </c>
      <c r="C3408" s="2" t="s">
        <v>61</v>
      </c>
      <c r="D3408" s="2" t="s">
        <v>17</v>
      </c>
      <c r="E3408" s="5">
        <v>-28311</v>
      </c>
      <c r="F3408" s="3" t="s">
        <v>736</v>
      </c>
      <c r="G3408" s="3" t="s">
        <v>157</v>
      </c>
      <c r="H3408" s="2" t="s">
        <v>20</v>
      </c>
      <c r="I3408" s="2" t="s">
        <v>6822</v>
      </c>
      <c r="J3408" s="3" t="str">
        <f>HYPERLINK("https://www.boe.es/gazeta/dias/1822/06/26/pdfs/GMD-1822-184.pdf#page=8","Abrir facsímil")</f>
        <v>Abrir facsímil</v>
      </c>
      <c r="K3408" s="3" t="s">
        <v>22</v>
      </c>
    </row>
    <row r="3409" spans="1:11" ht="42" customHeight="1">
      <c r="A3409" s="2" t="s">
        <v>6820</v>
      </c>
      <c r="B3409" s="2" t="s">
        <v>6821</v>
      </c>
      <c r="C3409" s="2" t="s">
        <v>42</v>
      </c>
      <c r="D3409" s="2" t="s">
        <v>17</v>
      </c>
      <c r="E3409" s="5">
        <v>-28214</v>
      </c>
      <c r="F3409" s="3" t="s">
        <v>814</v>
      </c>
      <c r="G3409" s="3" t="s">
        <v>57</v>
      </c>
      <c r="H3409" s="2" t="s">
        <v>20</v>
      </c>
      <c r="I3409" s="2" t="s">
        <v>6823</v>
      </c>
      <c r="J3409" s="3" t="str">
        <f>HYPERLINK("https://www.boe.es/gazeta/dias/1822/10/01/pdfs/GMD-1822-287.pdf#page=4","Abrir facsímil")</f>
        <v>Abrir facsímil</v>
      </c>
      <c r="K3409" s="3" t="s">
        <v>22</v>
      </c>
    </row>
    <row r="3410" spans="1:11" ht="42" customHeight="1">
      <c r="A3410" s="2" t="s">
        <v>6824</v>
      </c>
      <c r="B3410" s="2" t="s">
        <v>6825</v>
      </c>
      <c r="C3410" s="2" t="s">
        <v>42</v>
      </c>
      <c r="D3410" s="2" t="s">
        <v>17</v>
      </c>
      <c r="E3410" s="5">
        <v>-28461</v>
      </c>
      <c r="F3410" s="3" t="s">
        <v>1801</v>
      </c>
      <c r="G3410" s="3" t="s">
        <v>35</v>
      </c>
      <c r="H3410" s="2" t="s">
        <v>20</v>
      </c>
      <c r="I3410" s="2" t="s">
        <v>6826</v>
      </c>
      <c r="J3410" s="3" t="str">
        <f>HYPERLINK("https://www.boe.es/gazeta/dias/1822/01/27/pdfs/GMD-1822-27.pdf#page=2","Abrir facsímil")</f>
        <v>Abrir facsímil</v>
      </c>
      <c r="K3410" s="3" t="s">
        <v>22</v>
      </c>
    </row>
    <row r="3411" spans="1:11" ht="42" customHeight="1">
      <c r="A3411" s="2" t="s">
        <v>6827</v>
      </c>
      <c r="B3411" s="2" t="s">
        <v>6828</v>
      </c>
      <c r="C3411" s="2" t="s">
        <v>50</v>
      </c>
      <c r="D3411" s="2" t="s">
        <v>51</v>
      </c>
      <c r="E3411" s="5">
        <v>-28208</v>
      </c>
      <c r="F3411" s="3" t="s">
        <v>230</v>
      </c>
      <c r="G3411" s="3" t="s">
        <v>57</v>
      </c>
      <c r="H3411" s="2" t="s">
        <v>20</v>
      </c>
      <c r="I3411" s="2" t="s">
        <v>6829</v>
      </c>
      <c r="J3411" s="3" t="str">
        <f>HYPERLINK("https://www.boe.es/gazeta/dias/1822/10/07/pdfs/GMD-1822-293.pdf#page=4","Abrir facsímil")</f>
        <v>Abrir facsímil</v>
      </c>
      <c r="K3411" s="3" t="s">
        <v>22</v>
      </c>
    </row>
    <row r="3412" spans="1:11" ht="42" customHeight="1">
      <c r="A3412" s="2" t="s">
        <v>6830</v>
      </c>
      <c r="B3412" s="2" t="s">
        <v>6831</v>
      </c>
      <c r="C3412" s="2" t="s">
        <v>50</v>
      </c>
      <c r="D3412" s="2" t="s">
        <v>51</v>
      </c>
      <c r="E3412" s="5">
        <v>-28265</v>
      </c>
      <c r="F3412" s="3" t="s">
        <v>1263</v>
      </c>
      <c r="G3412" s="3" t="s">
        <v>57</v>
      </c>
      <c r="H3412" s="2" t="s">
        <v>20</v>
      </c>
      <c r="I3412" s="2" t="s">
        <v>6832</v>
      </c>
      <c r="J3412" s="3" t="str">
        <f>HYPERLINK("https://www.boe.es/gazeta/dias/1822/08/11/pdfs/GMD-1822-235.pdf#page=4","Abrir facsímil")</f>
        <v>Abrir facsímil</v>
      </c>
      <c r="K3412" s="3" t="s">
        <v>22</v>
      </c>
    </row>
    <row r="3413" spans="1:11" ht="42" customHeight="1">
      <c r="A3413" s="2" t="s">
        <v>6833</v>
      </c>
      <c r="B3413" s="2" t="s">
        <v>6834</v>
      </c>
      <c r="C3413" s="2" t="s">
        <v>50</v>
      </c>
      <c r="D3413" s="2" t="s">
        <v>51</v>
      </c>
      <c r="E3413" s="5">
        <v>-28264</v>
      </c>
      <c r="F3413" s="3" t="s">
        <v>1329</v>
      </c>
      <c r="G3413" s="3" t="s">
        <v>57</v>
      </c>
      <c r="H3413" s="2" t="s">
        <v>20</v>
      </c>
      <c r="I3413" s="2" t="s">
        <v>6835</v>
      </c>
      <c r="J3413" s="3" t="str">
        <f>HYPERLINK("https://www.boe.es/gazeta/dias/1822/08/12/pdfs/GMD-1822-236.pdf#page=4","Abrir facsímil")</f>
        <v>Abrir facsímil</v>
      </c>
      <c r="K3413" s="3" t="s">
        <v>22</v>
      </c>
    </row>
    <row r="3414" spans="1:11" ht="42" customHeight="1">
      <c r="A3414" s="2" t="s">
        <v>6836</v>
      </c>
      <c r="B3414" s="2" t="s">
        <v>6836</v>
      </c>
      <c r="C3414" s="2" t="s">
        <v>50</v>
      </c>
      <c r="D3414" s="2" t="s">
        <v>51</v>
      </c>
      <c r="E3414" s="5">
        <v>-28247</v>
      </c>
      <c r="F3414" s="3" t="s">
        <v>2023</v>
      </c>
      <c r="G3414" s="3" t="s">
        <v>35</v>
      </c>
      <c r="H3414" s="2" t="s">
        <v>20</v>
      </c>
      <c r="I3414" s="2" t="s">
        <v>6837</v>
      </c>
      <c r="J3414" s="3" t="str">
        <f>HYPERLINK("https://www.boe.es/gazeta/dias/1822/08/29/pdfs/GMD-1822-253.pdf#page=2","Abrir facsímil")</f>
        <v>Abrir facsímil</v>
      </c>
      <c r="K3414" s="3" t="s">
        <v>22</v>
      </c>
    </row>
    <row r="3415" spans="1:11" ht="42" customHeight="1">
      <c r="A3415" s="2" t="s">
        <v>6836</v>
      </c>
      <c r="B3415" s="2" t="s">
        <v>6836</v>
      </c>
      <c r="C3415" s="2" t="s">
        <v>42</v>
      </c>
      <c r="D3415" s="2" t="s">
        <v>17</v>
      </c>
      <c r="E3415" s="5">
        <v>-28212</v>
      </c>
      <c r="F3415" s="3" t="s">
        <v>560</v>
      </c>
      <c r="G3415" s="3" t="s">
        <v>44</v>
      </c>
      <c r="H3415" s="2" t="s">
        <v>20</v>
      </c>
      <c r="I3415" s="2" t="s">
        <v>6838</v>
      </c>
      <c r="J3415" s="3" t="str">
        <f>HYPERLINK("https://www.boe.es/gazeta/dias/1822/10/03/pdfs/GMD-1822-289.pdf#page=1","Abrir facsímil")</f>
        <v>Abrir facsímil</v>
      </c>
      <c r="K3415" s="3" t="s">
        <v>22</v>
      </c>
    </row>
    <row r="3416" spans="1:11" ht="42" customHeight="1">
      <c r="A3416" s="2" t="s">
        <v>6839</v>
      </c>
      <c r="B3416" s="2" t="s">
        <v>6839</v>
      </c>
      <c r="C3416" s="2" t="s">
        <v>50</v>
      </c>
      <c r="D3416" s="2" t="s">
        <v>51</v>
      </c>
      <c r="E3416" s="5">
        <v>-28242</v>
      </c>
      <c r="F3416" s="3" t="s">
        <v>831</v>
      </c>
      <c r="G3416" s="3" t="s">
        <v>44</v>
      </c>
      <c r="H3416" s="2" t="s">
        <v>20</v>
      </c>
      <c r="I3416" s="2" t="s">
        <v>6840</v>
      </c>
      <c r="J3416" s="3" t="str">
        <f>HYPERLINK("https://www.boe.es/gazeta/dias/1822/09/03/pdfs/GMD-1822-258.pdf#page=1","Abrir facsímil")</f>
        <v>Abrir facsímil</v>
      </c>
      <c r="K3416" s="3" t="s">
        <v>22</v>
      </c>
    </row>
    <row r="3417" spans="1:11" ht="42" customHeight="1">
      <c r="A3417" s="2" t="s">
        <v>6841</v>
      </c>
      <c r="B3417" s="2" t="s">
        <v>6842</v>
      </c>
      <c r="C3417" s="2" t="s">
        <v>28</v>
      </c>
      <c r="D3417" s="2" t="s">
        <v>29</v>
      </c>
      <c r="E3417" s="5">
        <v>-28448</v>
      </c>
      <c r="F3417" s="3" t="s">
        <v>1670</v>
      </c>
      <c r="G3417" s="3" t="s">
        <v>35</v>
      </c>
      <c r="H3417" s="2" t="s">
        <v>20</v>
      </c>
      <c r="I3417" s="2" t="s">
        <v>6843</v>
      </c>
      <c r="J3417" s="3" t="str">
        <f>HYPERLINK("https://www.boe.es/gazeta/dias/1822/02/09/pdfs/GMD-1822-40.pdf#page=2","Abrir facsímil")</f>
        <v>Abrir facsímil</v>
      </c>
      <c r="K3417" s="3" t="s">
        <v>22</v>
      </c>
    </row>
    <row r="3418" spans="1:11" ht="42" customHeight="1">
      <c r="A3418" s="2" t="s">
        <v>6844</v>
      </c>
      <c r="B3418" s="2" t="s">
        <v>6844</v>
      </c>
      <c r="C3418" s="2" t="s">
        <v>71</v>
      </c>
      <c r="D3418" s="2" t="s">
        <v>17</v>
      </c>
      <c r="E3418" s="5">
        <v>-28487</v>
      </c>
      <c r="F3418" s="3" t="s">
        <v>426</v>
      </c>
      <c r="G3418" s="3" t="s">
        <v>19</v>
      </c>
      <c r="H3418" s="2" t="s">
        <v>20</v>
      </c>
      <c r="I3418" s="2" t="s">
        <v>6845</v>
      </c>
      <c r="J3418" s="3" t="str">
        <f>HYPERLINK("https://www.boe.es/gazeta/dias/1822/01/01/pdfs/GMD-1822-1.pdf#page=5","Abrir facsímil")</f>
        <v>Abrir facsímil</v>
      </c>
      <c r="K3418" s="3" t="s">
        <v>22</v>
      </c>
    </row>
    <row r="3419" spans="1:11" ht="42" customHeight="1">
      <c r="A3419" s="2" t="s">
        <v>6844</v>
      </c>
      <c r="B3419" s="2" t="s">
        <v>6844</v>
      </c>
      <c r="C3419" s="2" t="s">
        <v>50</v>
      </c>
      <c r="D3419" s="2" t="s">
        <v>51</v>
      </c>
      <c r="E3419" s="5">
        <v>-28483</v>
      </c>
      <c r="F3419" s="3" t="s">
        <v>254</v>
      </c>
      <c r="G3419" s="3" t="s">
        <v>35</v>
      </c>
      <c r="H3419" s="2" t="s">
        <v>20</v>
      </c>
      <c r="I3419" s="2" t="s">
        <v>6846</v>
      </c>
      <c r="J3419" s="3" t="str">
        <f>HYPERLINK("https://www.boe.es/gazeta/dias/1822/01/05/pdfs/GMD-1822-5.pdf#page=2","Abrir facsímil")</f>
        <v>Abrir facsímil</v>
      </c>
      <c r="K3419" s="3" t="s">
        <v>22</v>
      </c>
    </row>
    <row r="3420" spans="1:11" ht="42" customHeight="1">
      <c r="A3420" s="2" t="s">
        <v>6844</v>
      </c>
      <c r="B3420" s="2" t="s">
        <v>6844</v>
      </c>
      <c r="C3420" s="2" t="s">
        <v>71</v>
      </c>
      <c r="D3420" s="2" t="s">
        <v>17</v>
      </c>
      <c r="E3420" s="5">
        <v>-28475</v>
      </c>
      <c r="F3420" s="3" t="s">
        <v>1205</v>
      </c>
      <c r="G3420" s="3" t="s">
        <v>1685</v>
      </c>
      <c r="H3420" s="2" t="s">
        <v>20</v>
      </c>
      <c r="I3420" s="2" t="s">
        <v>6847</v>
      </c>
      <c r="J3420" s="3" t="str">
        <f>HYPERLINK("https://www.boe.es/gazeta/dias/1822/01/13/pdfs/GMD-1822-13.pdf#page=4","Abrir facsímil")</f>
        <v>Abrir facsímil</v>
      </c>
      <c r="K3420" s="3" t="s">
        <v>22</v>
      </c>
    </row>
    <row r="3421" spans="1:11" ht="42" customHeight="1">
      <c r="A3421" s="2" t="s">
        <v>6844</v>
      </c>
      <c r="B3421" s="2" t="s">
        <v>6844</v>
      </c>
      <c r="C3421" s="2" t="s">
        <v>42</v>
      </c>
      <c r="D3421" s="2" t="s">
        <v>17</v>
      </c>
      <c r="E3421" s="5">
        <v>-28458</v>
      </c>
      <c r="F3421" s="3" t="s">
        <v>1151</v>
      </c>
      <c r="G3421" s="3" t="s">
        <v>35</v>
      </c>
      <c r="H3421" s="2" t="s">
        <v>20</v>
      </c>
      <c r="I3421" s="2" t="s">
        <v>6848</v>
      </c>
      <c r="J3421" s="3" t="str">
        <f>HYPERLINK("https://www.boe.es/gazeta/dias/1822/01/30/pdfs/GMD-1822-30.pdf#page=2","Abrir facsímil")</f>
        <v>Abrir facsímil</v>
      </c>
      <c r="K3421" s="3" t="s">
        <v>22</v>
      </c>
    </row>
    <row r="3422" spans="1:11" ht="42" customHeight="1">
      <c r="A3422" s="2" t="s">
        <v>6849</v>
      </c>
      <c r="B3422" s="2" t="s">
        <v>6849</v>
      </c>
      <c r="C3422" s="2" t="s">
        <v>24</v>
      </c>
      <c r="D3422" s="2" t="s">
        <v>723</v>
      </c>
      <c r="E3422" s="5">
        <v>-28238</v>
      </c>
      <c r="F3422" s="3" t="s">
        <v>3584</v>
      </c>
      <c r="G3422" s="3" t="s">
        <v>44</v>
      </c>
      <c r="H3422" s="2" t="s">
        <v>20</v>
      </c>
      <c r="I3422" s="2" t="s">
        <v>6850</v>
      </c>
      <c r="J3422" s="3" t="str">
        <f>HYPERLINK("https://www.boe.es/gazeta/dias/1822/09/07/pdfs/GMD-1822-263E.pdf#page=1","Abrir facsímil")</f>
        <v>Abrir facsímil</v>
      </c>
      <c r="K3422" s="3" t="s">
        <v>22</v>
      </c>
    </row>
    <row r="3423" spans="1:11" ht="42" customHeight="1">
      <c r="A3423" s="2" t="s">
        <v>6849</v>
      </c>
      <c r="B3423" s="2" t="s">
        <v>6849</v>
      </c>
      <c r="C3423" s="2" t="s">
        <v>50</v>
      </c>
      <c r="D3423" s="2" t="s">
        <v>51</v>
      </c>
      <c r="E3423" s="5">
        <v>-28217</v>
      </c>
      <c r="F3423" s="3" t="s">
        <v>1892</v>
      </c>
      <c r="G3423" s="3" t="s">
        <v>31</v>
      </c>
      <c r="H3423" s="2" t="s">
        <v>20</v>
      </c>
      <c r="I3423" s="2" t="s">
        <v>6851</v>
      </c>
      <c r="J3423" s="3" t="str">
        <f>HYPERLINK("https://www.boe.es/gazeta/dias/1822/09/28/pdfs/GMD-1822-284.pdf#page=3","Abrir facsímil")</f>
        <v>Abrir facsímil</v>
      </c>
      <c r="K3423" s="3" t="s">
        <v>22</v>
      </c>
    </row>
    <row r="3424" spans="1:11" ht="42" customHeight="1">
      <c r="A3424" s="2" t="s">
        <v>6852</v>
      </c>
      <c r="B3424" s="2" t="s">
        <v>6853</v>
      </c>
      <c r="C3424" s="2" t="s">
        <v>42</v>
      </c>
      <c r="D3424" s="2" t="s">
        <v>17</v>
      </c>
      <c r="E3424" s="5">
        <v>-28143</v>
      </c>
      <c r="F3424" s="3" t="s">
        <v>2967</v>
      </c>
      <c r="G3424" s="3" t="s">
        <v>57</v>
      </c>
      <c r="H3424" s="2" t="s">
        <v>20</v>
      </c>
      <c r="I3424" s="2" t="s">
        <v>6854</v>
      </c>
      <c r="J3424" s="3" t="str">
        <f>HYPERLINK("https://www.boe.es/gazeta/dias/1822/12/11/pdfs/GMD-1822-361.pdf#page=4","Abrir facsímil")</f>
        <v>Abrir facsímil</v>
      </c>
      <c r="K3424" s="3" t="s">
        <v>22</v>
      </c>
    </row>
    <row r="3425" spans="1:11" ht="42" customHeight="1">
      <c r="A3425" s="2" t="s">
        <v>6855</v>
      </c>
      <c r="B3425" s="2" t="s">
        <v>6856</v>
      </c>
      <c r="C3425" s="2" t="s">
        <v>61</v>
      </c>
      <c r="D3425" s="2" t="s">
        <v>17</v>
      </c>
      <c r="E3425" s="5">
        <v>-28228</v>
      </c>
      <c r="F3425" s="3" t="s">
        <v>718</v>
      </c>
      <c r="G3425" s="3" t="s">
        <v>57</v>
      </c>
      <c r="H3425" s="2" t="s">
        <v>20</v>
      </c>
      <c r="I3425" s="2" t="s">
        <v>6857</v>
      </c>
      <c r="J3425" s="3" t="str">
        <f>HYPERLINK("https://www.boe.es/gazeta/dias/1822/09/17/pdfs/GMD-1822-273.pdf#page=4","Abrir facsímil")</f>
        <v>Abrir facsímil</v>
      </c>
      <c r="K3425" s="3" t="s">
        <v>22</v>
      </c>
    </row>
    <row r="3426" spans="1:11" ht="42" customHeight="1">
      <c r="A3426" s="2" t="s">
        <v>6858</v>
      </c>
      <c r="B3426" s="2" t="s">
        <v>6859</v>
      </c>
      <c r="C3426" s="2" t="s">
        <v>71</v>
      </c>
      <c r="D3426" s="2" t="s">
        <v>17</v>
      </c>
      <c r="E3426" s="5">
        <v>-28477</v>
      </c>
      <c r="F3426" s="3" t="s">
        <v>1668</v>
      </c>
      <c r="G3426" s="3" t="s">
        <v>19</v>
      </c>
      <c r="H3426" s="2" t="s">
        <v>20</v>
      </c>
      <c r="I3426" s="2" t="s">
        <v>6860</v>
      </c>
      <c r="J3426" s="3" t="str">
        <f>HYPERLINK("https://www.boe.es/gazeta/dias/1822/01/11/pdfs/GMD-1822-11.pdf#page=5","Abrir facsímil")</f>
        <v>Abrir facsímil</v>
      </c>
      <c r="K3426" s="3" t="s">
        <v>22</v>
      </c>
    </row>
    <row r="3427" spans="1:11" ht="42" customHeight="1">
      <c r="A3427" s="2" t="s">
        <v>6861</v>
      </c>
      <c r="B3427" s="2" t="s">
        <v>6862</v>
      </c>
      <c r="C3427" s="2" t="s">
        <v>50</v>
      </c>
      <c r="D3427" s="2" t="s">
        <v>51</v>
      </c>
      <c r="E3427" s="5">
        <v>-28155</v>
      </c>
      <c r="F3427" s="3" t="s">
        <v>833</v>
      </c>
      <c r="G3427" s="3" t="s">
        <v>63</v>
      </c>
      <c r="H3427" s="2" t="s">
        <v>20</v>
      </c>
      <c r="I3427" s="2" t="s">
        <v>6863</v>
      </c>
      <c r="J3427" s="3" t="str">
        <f>HYPERLINK("https://www.boe.es/gazeta/dias/1822/11/29/pdfs/GMD-1822-349.pdf#page=6","Abrir facsímil")</f>
        <v>Abrir facsímil</v>
      </c>
      <c r="K3427" s="3" t="s">
        <v>22</v>
      </c>
    </row>
    <row r="3428" spans="1:11" ht="42" customHeight="1">
      <c r="A3428" s="2" t="s">
        <v>6864</v>
      </c>
      <c r="B3428" s="2" t="s">
        <v>6865</v>
      </c>
      <c r="C3428" s="2" t="s">
        <v>362</v>
      </c>
      <c r="D3428" s="2" t="s">
        <v>17</v>
      </c>
      <c r="E3428" s="5">
        <v>-28398</v>
      </c>
      <c r="F3428" s="3" t="s">
        <v>1961</v>
      </c>
      <c r="G3428" s="3" t="s">
        <v>2262</v>
      </c>
      <c r="H3428" s="2" t="s">
        <v>20</v>
      </c>
      <c r="I3428" s="2" t="s">
        <v>6866</v>
      </c>
      <c r="J3428" s="3" t="str">
        <f>HYPERLINK("https://www.boe.es/gazeta/dias/1822/03/31/pdfs/GMD-1822-92.pdf#page=4","Abrir facsímil")</f>
        <v>Abrir facsímil</v>
      </c>
      <c r="K3428" s="3" t="s">
        <v>22</v>
      </c>
    </row>
    <row r="3429" spans="1:11" ht="42" customHeight="1">
      <c r="A3429" s="2" t="s">
        <v>6867</v>
      </c>
      <c r="B3429" s="2" t="s">
        <v>6868</v>
      </c>
      <c r="C3429" s="2" t="s">
        <v>28</v>
      </c>
      <c r="D3429" s="2" t="s">
        <v>29</v>
      </c>
      <c r="E3429" s="5">
        <v>-28471</v>
      </c>
      <c r="F3429" s="3" t="s">
        <v>1436</v>
      </c>
      <c r="G3429" s="3" t="s">
        <v>35</v>
      </c>
      <c r="H3429" s="2" t="s">
        <v>20</v>
      </c>
      <c r="I3429" s="2" t="s">
        <v>6869</v>
      </c>
      <c r="J3429" s="3" t="str">
        <f>HYPERLINK("https://www.boe.es/gazeta/dias/1822/01/17/pdfs/GMD-1822-17.pdf#page=2","Abrir facsímil")</f>
        <v>Abrir facsímil</v>
      </c>
      <c r="K3429" s="3" t="s">
        <v>22</v>
      </c>
    </row>
    <row r="3430" spans="1:11" ht="42" customHeight="1">
      <c r="A3430" s="2" t="s">
        <v>6870</v>
      </c>
      <c r="B3430" s="2" t="s">
        <v>6871</v>
      </c>
      <c r="C3430" s="2" t="s">
        <v>42</v>
      </c>
      <c r="D3430" s="2" t="s">
        <v>17</v>
      </c>
      <c r="E3430" s="5">
        <v>-28217</v>
      </c>
      <c r="F3430" s="3" t="s">
        <v>1892</v>
      </c>
      <c r="G3430" s="3" t="s">
        <v>31</v>
      </c>
      <c r="H3430" s="2" t="s">
        <v>20</v>
      </c>
      <c r="I3430" s="2" t="s">
        <v>6872</v>
      </c>
      <c r="J3430" s="3" t="str">
        <f>HYPERLINK("https://www.boe.es/gazeta/dias/1822/09/28/pdfs/GMD-1822-284.pdf#page=3","Abrir facsímil")</f>
        <v>Abrir facsímil</v>
      </c>
      <c r="K3430" s="3" t="s">
        <v>22</v>
      </c>
    </row>
    <row r="3431" spans="1:11" ht="42" customHeight="1">
      <c r="A3431" s="2" t="s">
        <v>6873</v>
      </c>
      <c r="B3431" s="2" t="s">
        <v>6874</v>
      </c>
      <c r="C3431" s="2" t="s">
        <v>16</v>
      </c>
      <c r="D3431" s="2" t="s">
        <v>17</v>
      </c>
      <c r="E3431" s="5">
        <v>-28324</v>
      </c>
      <c r="F3431" s="3" t="s">
        <v>305</v>
      </c>
      <c r="G3431" s="3" t="s">
        <v>63</v>
      </c>
      <c r="H3431" s="2" t="s">
        <v>20</v>
      </c>
      <c r="I3431" s="2" t="s">
        <v>6875</v>
      </c>
      <c r="J3431" s="3" t="str">
        <f>HYPERLINK("https://www.boe.es/gazeta/dias/1822/06/13/pdfs/GMD-1822-170.pdf#page=6","Abrir facsímil")</f>
        <v>Abrir facsímil</v>
      </c>
      <c r="K3431" s="3" t="s">
        <v>22</v>
      </c>
    </row>
    <row r="3432" spans="1:11" ht="42" customHeight="1">
      <c r="A3432" s="2" t="s">
        <v>6873</v>
      </c>
      <c r="B3432" s="2" t="s">
        <v>6874</v>
      </c>
      <c r="C3432" s="2" t="s">
        <v>16</v>
      </c>
      <c r="D3432" s="2" t="s">
        <v>17</v>
      </c>
      <c r="E3432" s="5">
        <v>-28148</v>
      </c>
      <c r="F3432" s="3" t="s">
        <v>1909</v>
      </c>
      <c r="G3432" s="3" t="s">
        <v>63</v>
      </c>
      <c r="H3432" s="2" t="s">
        <v>20</v>
      </c>
      <c r="I3432" s="2" t="s">
        <v>6876</v>
      </c>
      <c r="J3432" s="3" t="str">
        <f>HYPERLINK("https://www.boe.es/gazeta/dias/1822/12/06/pdfs/GMD-1822-356.pdf#page=6","Abrir facsímil")</f>
        <v>Abrir facsímil</v>
      </c>
      <c r="K3432" s="3" t="s">
        <v>22</v>
      </c>
    </row>
    <row r="3433" spans="1:11" ht="42" customHeight="1">
      <c r="A3433" s="2" t="s">
        <v>6877</v>
      </c>
      <c r="B3433" s="2" t="s">
        <v>6878</v>
      </c>
      <c r="C3433" s="2" t="s">
        <v>71</v>
      </c>
      <c r="D3433" s="2" t="s">
        <v>17</v>
      </c>
      <c r="E3433" s="5">
        <v>-28378</v>
      </c>
      <c r="F3433" s="3" t="s">
        <v>496</v>
      </c>
      <c r="G3433" s="3" t="s">
        <v>57</v>
      </c>
      <c r="H3433" s="2" t="s">
        <v>45</v>
      </c>
      <c r="I3433" s="2" t="s">
        <v>6879</v>
      </c>
      <c r="J3433" s="3" t="str">
        <f>HYPERLINK("https://www.boe.es/gazeta/dias/1822/04/20/pdfs/GMD-1822-112.pdf#page=4","Abrir facsímil")</f>
        <v>Abrir facsímil</v>
      </c>
      <c r="K3433" s="3" t="s">
        <v>47</v>
      </c>
    </row>
    <row r="3434" spans="1:11" ht="42" customHeight="1">
      <c r="A3434" s="2" t="s">
        <v>6880</v>
      </c>
      <c r="B3434" s="2" t="s">
        <v>6881</v>
      </c>
      <c r="C3434" s="2" t="s">
        <v>71</v>
      </c>
      <c r="D3434" s="2" t="s">
        <v>17</v>
      </c>
      <c r="E3434" s="5">
        <v>-28313</v>
      </c>
      <c r="F3434" s="3" t="s">
        <v>315</v>
      </c>
      <c r="G3434" s="3" t="s">
        <v>35</v>
      </c>
      <c r="H3434" s="2" t="s">
        <v>20</v>
      </c>
      <c r="I3434" s="2" t="s">
        <v>6882</v>
      </c>
      <c r="J3434" s="3" t="str">
        <f>HYPERLINK("https://www.boe.es/gazeta/dias/1822/06/24/pdfs/GMD-1822-182.pdf#page=2","Abrir facsímil")</f>
        <v>Abrir facsímil</v>
      </c>
      <c r="K3434" s="3" t="s">
        <v>22</v>
      </c>
    </row>
    <row r="3435" spans="1:11" ht="42" customHeight="1">
      <c r="A3435" s="2" t="s">
        <v>6883</v>
      </c>
      <c r="B3435" s="2" t="s">
        <v>6883</v>
      </c>
      <c r="C3435" s="2" t="s">
        <v>42</v>
      </c>
      <c r="D3435" s="2" t="s">
        <v>17</v>
      </c>
      <c r="E3435" s="5">
        <v>-28314</v>
      </c>
      <c r="F3435" s="3" t="s">
        <v>309</v>
      </c>
      <c r="G3435" s="3" t="s">
        <v>35</v>
      </c>
      <c r="H3435" s="2" t="s">
        <v>20</v>
      </c>
      <c r="I3435" s="2" t="s">
        <v>6884</v>
      </c>
      <c r="J3435" s="3" t="str">
        <f>HYPERLINK("https://www.boe.es/gazeta/dias/1822/06/23/pdfs/GMD-1822-181.pdf#page=2","Abrir facsímil")</f>
        <v>Abrir facsímil</v>
      </c>
      <c r="K3435" s="3" t="s">
        <v>22</v>
      </c>
    </row>
    <row r="3436" spans="1:11" ht="42" customHeight="1">
      <c r="A3436" s="2" t="s">
        <v>6883</v>
      </c>
      <c r="B3436" s="2" t="s">
        <v>6883</v>
      </c>
      <c r="C3436" s="2" t="s">
        <v>71</v>
      </c>
      <c r="D3436" s="2" t="s">
        <v>17</v>
      </c>
      <c r="E3436" s="5">
        <v>-28137</v>
      </c>
      <c r="F3436" s="3" t="s">
        <v>312</v>
      </c>
      <c r="G3436" s="3" t="s">
        <v>31</v>
      </c>
      <c r="H3436" s="2" t="s">
        <v>20</v>
      </c>
      <c r="I3436" s="2" t="s">
        <v>6885</v>
      </c>
      <c r="J3436" s="3" t="str">
        <f>HYPERLINK("https://www.boe.es/gazeta/dias/1822/12/17/pdfs/GMD-1822-367.pdf#page=3","Abrir facsímil")</f>
        <v>Abrir facsímil</v>
      </c>
      <c r="K3436" s="3" t="s">
        <v>22</v>
      </c>
    </row>
    <row r="3437" spans="1:11" ht="42" customHeight="1">
      <c r="A3437" s="2" t="s">
        <v>6886</v>
      </c>
      <c r="B3437" s="2" t="s">
        <v>6886</v>
      </c>
      <c r="C3437" s="2" t="s">
        <v>24</v>
      </c>
      <c r="D3437" s="2" t="s">
        <v>17</v>
      </c>
      <c r="E3437" s="5">
        <v>-28202</v>
      </c>
      <c r="F3437" s="3" t="s">
        <v>922</v>
      </c>
      <c r="G3437" s="3" t="s">
        <v>63</v>
      </c>
      <c r="H3437" s="2" t="s">
        <v>20</v>
      </c>
      <c r="I3437" s="2" t="s">
        <v>6887</v>
      </c>
      <c r="J3437" s="3" t="str">
        <f>HYPERLINK("https://www.boe.es/gazeta/dias/1822/10/13/pdfs/GMD-1822-300.pdf#page=6","Abrir facsímil")</f>
        <v>Abrir facsímil</v>
      </c>
      <c r="K3437" s="3" t="s">
        <v>22</v>
      </c>
    </row>
    <row r="3438" spans="1:11" ht="42" customHeight="1">
      <c r="A3438" s="2" t="s">
        <v>6888</v>
      </c>
      <c r="B3438" s="2" t="s">
        <v>6889</v>
      </c>
      <c r="C3438" s="2" t="s">
        <v>50</v>
      </c>
      <c r="D3438" s="2" t="s">
        <v>51</v>
      </c>
      <c r="E3438" s="5">
        <v>-28221</v>
      </c>
      <c r="F3438" s="3" t="s">
        <v>2591</v>
      </c>
      <c r="G3438" s="3" t="s">
        <v>57</v>
      </c>
      <c r="H3438" s="2" t="s">
        <v>20</v>
      </c>
      <c r="I3438" s="2" t="s">
        <v>6890</v>
      </c>
      <c r="J3438" s="3" t="str">
        <f>HYPERLINK("https://www.boe.es/gazeta/dias/1822/09/24/pdfs/GMD-1822-280.pdf#page=4","Abrir facsímil")</f>
        <v>Abrir facsímil</v>
      </c>
      <c r="K3438" s="3" t="s">
        <v>22</v>
      </c>
    </row>
    <row r="3439" spans="1:11" ht="42" customHeight="1">
      <c r="A3439" s="2" t="s">
        <v>6891</v>
      </c>
      <c r="B3439" s="2" t="s">
        <v>6891</v>
      </c>
      <c r="C3439" s="2" t="s">
        <v>71</v>
      </c>
      <c r="D3439" s="2" t="s">
        <v>17</v>
      </c>
      <c r="E3439" s="5">
        <v>-28368</v>
      </c>
      <c r="F3439" s="3" t="s">
        <v>126</v>
      </c>
      <c r="G3439" s="3" t="s">
        <v>44</v>
      </c>
      <c r="H3439" s="2" t="s">
        <v>20</v>
      </c>
      <c r="I3439" s="2" t="s">
        <v>6892</v>
      </c>
      <c r="J3439" s="3" t="str">
        <f>HYPERLINK("https://www.boe.es/gazeta/dias/1822/04/30/pdfs/GMD-1822-122.pdf#page=1","Abrir facsímil")</f>
        <v>Abrir facsímil</v>
      </c>
      <c r="K3439" s="3" t="s">
        <v>22</v>
      </c>
    </row>
    <row r="3440" spans="1:11" ht="42" customHeight="1">
      <c r="A3440" s="2" t="s">
        <v>6893</v>
      </c>
      <c r="B3440" s="2" t="s">
        <v>6894</v>
      </c>
      <c r="C3440" s="2" t="s">
        <v>28</v>
      </c>
      <c r="D3440" s="2" t="s">
        <v>29</v>
      </c>
      <c r="E3440" s="5">
        <v>-28180</v>
      </c>
      <c r="F3440" s="3" t="s">
        <v>839</v>
      </c>
      <c r="G3440" s="3" t="s">
        <v>57</v>
      </c>
      <c r="H3440" s="2" t="s">
        <v>20</v>
      </c>
      <c r="I3440" s="2" t="s">
        <v>6895</v>
      </c>
      <c r="J3440" s="3" t="str">
        <f>HYPERLINK("https://www.boe.es/gazeta/dias/1822/11/04/pdfs/GMD-1822-323.pdf#page=4","Abrir facsímil")</f>
        <v>Abrir facsímil</v>
      </c>
      <c r="K3440" s="3" t="s">
        <v>22</v>
      </c>
    </row>
    <row r="3441" spans="1:11" ht="42" customHeight="1">
      <c r="A3441" s="2" t="s">
        <v>6896</v>
      </c>
      <c r="B3441" s="2" t="s">
        <v>6897</v>
      </c>
      <c r="C3441" s="2" t="s">
        <v>50</v>
      </c>
      <c r="D3441" s="2" t="s">
        <v>51</v>
      </c>
      <c r="E3441" s="5">
        <v>-28208</v>
      </c>
      <c r="F3441" s="3" t="s">
        <v>230</v>
      </c>
      <c r="G3441" s="3" t="s">
        <v>57</v>
      </c>
      <c r="H3441" s="2" t="s">
        <v>20</v>
      </c>
      <c r="I3441" s="2" t="s">
        <v>6898</v>
      </c>
      <c r="J3441" s="3" t="str">
        <f>HYPERLINK("https://www.boe.es/gazeta/dias/1822/10/07/pdfs/GMD-1822-293.pdf#page=4","Abrir facsímil")</f>
        <v>Abrir facsímil</v>
      </c>
      <c r="K3441" s="3" t="s">
        <v>22</v>
      </c>
    </row>
    <row r="3442" spans="1:11" ht="42" customHeight="1">
      <c r="A3442" s="2" t="s">
        <v>6899</v>
      </c>
      <c r="B3442" s="2" t="s">
        <v>6900</v>
      </c>
      <c r="C3442" s="2" t="s">
        <v>50</v>
      </c>
      <c r="D3442" s="2" t="s">
        <v>51</v>
      </c>
      <c r="E3442" s="5">
        <v>-28358</v>
      </c>
      <c r="F3442" s="3" t="s">
        <v>211</v>
      </c>
      <c r="G3442" s="3" t="s">
        <v>157</v>
      </c>
      <c r="H3442" s="2" t="s">
        <v>20</v>
      </c>
      <c r="I3442" s="2" t="s">
        <v>6901</v>
      </c>
      <c r="J3442" s="3" t="str">
        <f>HYPERLINK("https://www.boe.es/gazeta/dias/1822/05/10/pdfs/GMD-1822-132.pdf#page=8","Abrir facsímil")</f>
        <v>Abrir facsímil</v>
      </c>
      <c r="K3442" s="3" t="s">
        <v>22</v>
      </c>
    </row>
    <row r="3443" spans="1:11" ht="42" customHeight="1">
      <c r="A3443" s="2" t="s">
        <v>6902</v>
      </c>
      <c r="B3443" s="2" t="s">
        <v>6903</v>
      </c>
      <c r="C3443" s="2" t="s">
        <v>24</v>
      </c>
      <c r="D3443" s="2" t="s">
        <v>17</v>
      </c>
      <c r="E3443" s="5">
        <v>-28322</v>
      </c>
      <c r="F3443" s="3" t="s">
        <v>2205</v>
      </c>
      <c r="G3443" s="3" t="s">
        <v>57</v>
      </c>
      <c r="H3443" s="2" t="s">
        <v>20</v>
      </c>
      <c r="I3443" s="2" t="s">
        <v>6904</v>
      </c>
      <c r="J3443" s="3" t="str">
        <f>HYPERLINK("https://www.boe.es/gazeta/dias/1822/06/15/pdfs/GMD-1822-172.pdf#page=4","Abrir facsímil")</f>
        <v>Abrir facsímil</v>
      </c>
      <c r="K3443" s="3" t="s">
        <v>22</v>
      </c>
    </row>
    <row r="3444" spans="1:11" ht="42" customHeight="1">
      <c r="A3444" s="2" t="s">
        <v>6905</v>
      </c>
      <c r="B3444" s="2" t="s">
        <v>6905</v>
      </c>
      <c r="C3444" s="2" t="s">
        <v>61</v>
      </c>
      <c r="D3444" s="2" t="s">
        <v>17</v>
      </c>
      <c r="E3444" s="5">
        <v>-28175</v>
      </c>
      <c r="F3444" s="3" t="s">
        <v>341</v>
      </c>
      <c r="G3444" s="3" t="s">
        <v>63</v>
      </c>
      <c r="H3444" s="2" t="s">
        <v>20</v>
      </c>
      <c r="I3444" s="2" t="s">
        <v>6906</v>
      </c>
      <c r="J3444" s="3" t="str">
        <f>HYPERLINK("https://www.boe.es/gazeta/dias/1822/11/09/pdfs/GMD-1822-329.pdf#page=6","Abrir facsímil")</f>
        <v>Abrir facsímil</v>
      </c>
      <c r="K3444" s="3" t="s">
        <v>22</v>
      </c>
    </row>
    <row r="3445" spans="1:11" ht="42" customHeight="1">
      <c r="A3445" s="2" t="s">
        <v>6907</v>
      </c>
      <c r="B3445" s="2" t="s">
        <v>6907</v>
      </c>
      <c r="C3445" s="2" t="s">
        <v>50</v>
      </c>
      <c r="D3445" s="2" t="s">
        <v>51</v>
      </c>
      <c r="E3445" s="5">
        <v>-28158</v>
      </c>
      <c r="F3445" s="3" t="s">
        <v>590</v>
      </c>
      <c r="G3445" s="3" t="s">
        <v>35</v>
      </c>
      <c r="H3445" s="2" t="s">
        <v>20</v>
      </c>
      <c r="I3445" s="2" t="s">
        <v>6908</v>
      </c>
      <c r="J3445" s="3" t="str">
        <f>HYPERLINK("https://www.boe.es/gazeta/dias/1822/11/26/pdfs/GMD-1822-346.pdf#page=2","Abrir facsímil")</f>
        <v>Abrir facsímil</v>
      </c>
      <c r="K3445" s="3" t="s">
        <v>22</v>
      </c>
    </row>
    <row r="3446" spans="1:11" ht="42" customHeight="1">
      <c r="A3446" s="2" t="s">
        <v>6909</v>
      </c>
      <c r="B3446" s="2" t="s">
        <v>6910</v>
      </c>
      <c r="C3446" s="2" t="s">
        <v>50</v>
      </c>
      <c r="D3446" s="2" t="s">
        <v>51</v>
      </c>
      <c r="E3446" s="5">
        <v>-28313</v>
      </c>
      <c r="F3446" s="3" t="s">
        <v>315</v>
      </c>
      <c r="G3446" s="3" t="s">
        <v>157</v>
      </c>
      <c r="H3446" s="2" t="s">
        <v>20</v>
      </c>
      <c r="I3446" s="2" t="s">
        <v>6911</v>
      </c>
      <c r="J3446" s="3" t="str">
        <f>HYPERLINK("https://www.boe.es/gazeta/dias/1822/06/24/pdfs/GMD-1822-182.pdf#page=8","Abrir facsímil")</f>
        <v>Abrir facsímil</v>
      </c>
      <c r="K3446" s="3" t="s">
        <v>22</v>
      </c>
    </row>
    <row r="3447" spans="1:11" ht="42" customHeight="1">
      <c r="A3447" s="2" t="s">
        <v>6912</v>
      </c>
      <c r="B3447" s="2" t="s">
        <v>6913</v>
      </c>
      <c r="C3447" s="2" t="s">
        <v>42</v>
      </c>
      <c r="D3447" s="2" t="s">
        <v>17</v>
      </c>
      <c r="E3447" s="5">
        <v>-28303</v>
      </c>
      <c r="F3447" s="3" t="s">
        <v>201</v>
      </c>
      <c r="G3447" s="3" t="s">
        <v>57</v>
      </c>
      <c r="H3447" s="2" t="s">
        <v>20</v>
      </c>
      <c r="I3447" s="2" t="s">
        <v>6914</v>
      </c>
      <c r="J3447" s="3" t="str">
        <f>HYPERLINK("https://www.boe.es/gazeta/dias/1822/07/04/pdfs/GMD-1822-193.pdf#page=4","Abrir facsímil")</f>
        <v>Abrir facsímil</v>
      </c>
      <c r="K3447" s="3" t="s">
        <v>22</v>
      </c>
    </row>
    <row r="3448" spans="1:11" ht="42" customHeight="1">
      <c r="A3448" s="2" t="s">
        <v>6915</v>
      </c>
      <c r="B3448" s="2" t="s">
        <v>6915</v>
      </c>
      <c r="C3448" s="2" t="s">
        <v>71</v>
      </c>
      <c r="D3448" s="2" t="s">
        <v>17</v>
      </c>
      <c r="E3448" s="5">
        <v>-28377</v>
      </c>
      <c r="F3448" s="3" t="s">
        <v>498</v>
      </c>
      <c r="G3448" s="3" t="s">
        <v>44</v>
      </c>
      <c r="H3448" s="2" t="s">
        <v>20</v>
      </c>
      <c r="I3448" s="2" t="s">
        <v>6916</v>
      </c>
      <c r="J3448" s="3" t="str">
        <f>HYPERLINK("https://www.boe.es/gazeta/dias/1822/04/21/pdfs/GMD-1822-113.pdf#page=1","Abrir facsímil")</f>
        <v>Abrir facsímil</v>
      </c>
      <c r="K3448" s="3" t="s">
        <v>22</v>
      </c>
    </row>
    <row r="3449" spans="1:11" ht="42" customHeight="1">
      <c r="A3449" s="2" t="s">
        <v>6917</v>
      </c>
      <c r="B3449" s="2" t="s">
        <v>6917</v>
      </c>
      <c r="C3449" s="2" t="s">
        <v>50</v>
      </c>
      <c r="D3449" s="2" t="s">
        <v>51</v>
      </c>
      <c r="E3449" s="5">
        <v>-28339</v>
      </c>
      <c r="F3449" s="3" t="s">
        <v>197</v>
      </c>
      <c r="G3449" s="3" t="s">
        <v>57</v>
      </c>
      <c r="H3449" s="2" t="s">
        <v>20</v>
      </c>
      <c r="I3449" s="2" t="s">
        <v>6918</v>
      </c>
      <c r="J3449" s="3" t="str">
        <f>HYPERLINK("https://www.boe.es/gazeta/dias/1822/05/29/pdfs/GMD-1822-154.pdf#page=4","Abrir facsímil")</f>
        <v>Abrir facsímil</v>
      </c>
      <c r="K3449" s="3" t="s">
        <v>22</v>
      </c>
    </row>
    <row r="3450" spans="1:11" ht="42" customHeight="1">
      <c r="A3450" s="2" t="s">
        <v>6919</v>
      </c>
      <c r="B3450" s="2" t="s">
        <v>6919</v>
      </c>
      <c r="C3450" s="2" t="s">
        <v>28</v>
      </c>
      <c r="D3450" s="2" t="s">
        <v>29</v>
      </c>
      <c r="E3450" s="5">
        <v>-28366</v>
      </c>
      <c r="F3450" s="3" t="s">
        <v>120</v>
      </c>
      <c r="G3450" s="3" t="s">
        <v>35</v>
      </c>
      <c r="H3450" s="2" t="s">
        <v>20</v>
      </c>
      <c r="I3450" s="2" t="s">
        <v>6920</v>
      </c>
      <c r="J3450" s="3" t="str">
        <f>HYPERLINK("https://www.boe.es/gazeta/dias/1822/05/02/pdfs/GMD-1822-124.pdf#page=2","Abrir facsímil")</f>
        <v>Abrir facsímil</v>
      </c>
      <c r="K3450" s="3" t="s">
        <v>22</v>
      </c>
    </row>
    <row r="3451" spans="1:11" ht="42" customHeight="1">
      <c r="A3451" s="2" t="s">
        <v>6921</v>
      </c>
      <c r="B3451" s="2" t="s">
        <v>6922</v>
      </c>
      <c r="C3451" s="2" t="s">
        <v>71</v>
      </c>
      <c r="D3451" s="2" t="s">
        <v>17</v>
      </c>
      <c r="E3451" s="5">
        <v>-28307</v>
      </c>
      <c r="F3451" s="3" t="s">
        <v>555</v>
      </c>
      <c r="G3451" s="3" t="s">
        <v>871</v>
      </c>
      <c r="H3451" s="2" t="s">
        <v>20</v>
      </c>
      <c r="I3451" s="2" t="s">
        <v>6923</v>
      </c>
      <c r="J3451" s="3" t="str">
        <f>HYPERLINK("https://www.boe.es/gazeta/dias/1822/06/30/pdfs/GMD-1822-188.pdf#page=4","Abrir facsímil")</f>
        <v>Abrir facsímil</v>
      </c>
      <c r="K3451" s="3" t="s">
        <v>22</v>
      </c>
    </row>
    <row r="3452" spans="1:11" ht="42" customHeight="1">
      <c r="A3452" s="2" t="s">
        <v>6924</v>
      </c>
      <c r="B3452" s="2" t="s">
        <v>6925</v>
      </c>
      <c r="C3452" s="2" t="s">
        <v>50</v>
      </c>
      <c r="D3452" s="2" t="s">
        <v>51</v>
      </c>
      <c r="E3452" s="5">
        <v>-28260</v>
      </c>
      <c r="F3452" s="3" t="s">
        <v>135</v>
      </c>
      <c r="G3452" s="3" t="s">
        <v>31</v>
      </c>
      <c r="H3452" s="2" t="s">
        <v>20</v>
      </c>
      <c r="I3452" s="2" t="s">
        <v>6926</v>
      </c>
      <c r="J3452" s="3" t="str">
        <f>HYPERLINK("https://www.boe.es/gazeta/dias/1822/08/16/pdfs/GMD-1822-240.pdf#page=3","Abrir facsímil")</f>
        <v>Abrir facsímil</v>
      </c>
      <c r="K3452" s="3" t="s">
        <v>22</v>
      </c>
    </row>
    <row r="3453" spans="1:11" ht="42" customHeight="1">
      <c r="A3453" s="2" t="s">
        <v>6927</v>
      </c>
      <c r="B3453" s="2" t="s">
        <v>6927</v>
      </c>
      <c r="C3453" s="2" t="s">
        <v>1141</v>
      </c>
      <c r="D3453" s="2" t="s">
        <v>29</v>
      </c>
      <c r="E3453" s="5">
        <v>-28351</v>
      </c>
      <c r="F3453" s="3" t="s">
        <v>282</v>
      </c>
      <c r="G3453" s="3" t="s">
        <v>35</v>
      </c>
      <c r="H3453" s="2" t="s">
        <v>20</v>
      </c>
      <c r="I3453" s="2" t="s">
        <v>6928</v>
      </c>
      <c r="J3453" s="3" t="str">
        <f>HYPERLINK("https://www.boe.es/gazeta/dias/1822/05/17/pdfs/GMD-1822-139.pdf#page=2","Abrir facsímil")</f>
        <v>Abrir facsímil</v>
      </c>
      <c r="K3453" s="3" t="s">
        <v>22</v>
      </c>
    </row>
    <row r="3454" spans="1:11" ht="42" customHeight="1">
      <c r="A3454" s="2" t="s">
        <v>6929</v>
      </c>
      <c r="B3454" s="2" t="s">
        <v>6929</v>
      </c>
      <c r="C3454" s="2" t="s">
        <v>50</v>
      </c>
      <c r="D3454" s="2" t="s">
        <v>51</v>
      </c>
      <c r="E3454" s="5">
        <v>-28417</v>
      </c>
      <c r="F3454" s="3" t="s">
        <v>1394</v>
      </c>
      <c r="G3454" s="3" t="s">
        <v>57</v>
      </c>
      <c r="H3454" s="2" t="s">
        <v>20</v>
      </c>
      <c r="I3454" s="2" t="s">
        <v>6930</v>
      </c>
      <c r="J3454" s="3" t="str">
        <f>HYPERLINK("https://www.boe.es/gazeta/dias/1822/03/12/pdfs/GMD-1822-73.pdf#page=4","Abrir facsímil")</f>
        <v>Abrir facsímil</v>
      </c>
      <c r="K3454" s="3" t="s">
        <v>22</v>
      </c>
    </row>
    <row r="3455" spans="1:11" ht="42" customHeight="1">
      <c r="A3455" s="2" t="s">
        <v>6931</v>
      </c>
      <c r="B3455" s="2" t="s">
        <v>6932</v>
      </c>
      <c r="C3455" s="2" t="s">
        <v>42</v>
      </c>
      <c r="D3455" s="2" t="s">
        <v>17</v>
      </c>
      <c r="E3455" s="5">
        <v>-28322</v>
      </c>
      <c r="F3455" s="3" t="s">
        <v>2205</v>
      </c>
      <c r="G3455" s="3" t="s">
        <v>57</v>
      </c>
      <c r="H3455" s="2" t="s">
        <v>20</v>
      </c>
      <c r="I3455" s="2" t="s">
        <v>6933</v>
      </c>
      <c r="J3455" s="3" t="str">
        <f>HYPERLINK("https://www.boe.es/gazeta/dias/1822/06/15/pdfs/GMD-1822-172.pdf#page=4","Abrir facsímil")</f>
        <v>Abrir facsímil</v>
      </c>
      <c r="K3455" s="3" t="s">
        <v>22</v>
      </c>
    </row>
    <row r="3456" spans="1:11" ht="42" customHeight="1">
      <c r="A3456" s="2" t="s">
        <v>6934</v>
      </c>
      <c r="B3456" s="2" t="s">
        <v>6934</v>
      </c>
      <c r="C3456" s="2" t="s">
        <v>42</v>
      </c>
      <c r="D3456" s="2" t="s">
        <v>17</v>
      </c>
      <c r="E3456" s="5">
        <v>-28479</v>
      </c>
      <c r="F3456" s="3" t="s">
        <v>1091</v>
      </c>
      <c r="G3456" s="3" t="s">
        <v>57</v>
      </c>
      <c r="H3456" s="2" t="s">
        <v>20</v>
      </c>
      <c r="I3456" s="2" t="s">
        <v>6935</v>
      </c>
      <c r="J3456" s="3" t="str">
        <f>HYPERLINK("https://www.boe.es/gazeta/dias/1822/01/09/pdfs/GMD-1822-9.pdf#page=4","Abrir facsímil")</f>
        <v>Abrir facsímil</v>
      </c>
      <c r="K3456" s="3" t="s">
        <v>22</v>
      </c>
    </row>
    <row r="3457" spans="1:11" ht="42" customHeight="1">
      <c r="A3457" s="2" t="s">
        <v>6936</v>
      </c>
      <c r="B3457" s="2" t="s">
        <v>6936</v>
      </c>
      <c r="C3457" s="2" t="s">
        <v>28</v>
      </c>
      <c r="D3457" s="2" t="s">
        <v>29</v>
      </c>
      <c r="E3457" s="5">
        <v>-28487</v>
      </c>
      <c r="F3457" s="3" t="s">
        <v>426</v>
      </c>
      <c r="G3457" s="3" t="s">
        <v>57</v>
      </c>
      <c r="H3457" s="2" t="s">
        <v>20</v>
      </c>
      <c r="I3457" s="2" t="s">
        <v>6937</v>
      </c>
      <c r="J3457" s="3" t="str">
        <f>HYPERLINK("https://www.boe.es/gazeta/dias/1822/01/01/pdfs/GMD-1822-1.pdf#page=4","Abrir facsímil")</f>
        <v>Abrir facsímil</v>
      </c>
      <c r="K3457" s="3" t="s">
        <v>22</v>
      </c>
    </row>
    <row r="3458" spans="1:11" ht="42" customHeight="1">
      <c r="A3458" s="2" t="s">
        <v>6938</v>
      </c>
      <c r="B3458" s="2" t="s">
        <v>6938</v>
      </c>
      <c r="C3458" s="2" t="s">
        <v>28</v>
      </c>
      <c r="D3458" s="2" t="s">
        <v>29</v>
      </c>
      <c r="E3458" s="5">
        <v>-28456</v>
      </c>
      <c r="F3458" s="3" t="s">
        <v>1104</v>
      </c>
      <c r="G3458" s="3" t="s">
        <v>31</v>
      </c>
      <c r="H3458" s="2" t="s">
        <v>20</v>
      </c>
      <c r="I3458" s="2" t="s">
        <v>6939</v>
      </c>
      <c r="J3458" s="3" t="str">
        <f>HYPERLINK("https://www.boe.es/gazeta/dias/1822/02/01/pdfs/GMD-1822-32.pdf#page=3","Abrir facsímil")</f>
        <v>Abrir facsímil</v>
      </c>
      <c r="K3458" s="3" t="s">
        <v>22</v>
      </c>
    </row>
    <row r="3459" spans="1:11" ht="42" customHeight="1">
      <c r="A3459" s="2" t="s">
        <v>6940</v>
      </c>
      <c r="B3459" s="2" t="s">
        <v>6940</v>
      </c>
      <c r="C3459" s="2" t="s">
        <v>42</v>
      </c>
      <c r="D3459" s="2" t="s">
        <v>17</v>
      </c>
      <c r="E3459" s="5">
        <v>-28337</v>
      </c>
      <c r="F3459" s="3" t="s">
        <v>1836</v>
      </c>
      <c r="G3459" s="3" t="s">
        <v>31</v>
      </c>
      <c r="H3459" s="2" t="s">
        <v>20</v>
      </c>
      <c r="I3459" s="2" t="s">
        <v>6941</v>
      </c>
      <c r="J3459" s="3" t="str">
        <f>HYPERLINK("https://www.boe.es/gazeta/dias/1822/05/31/pdfs/GMD-1822-156.pdf#page=3","Abrir facsímil")</f>
        <v>Abrir facsímil</v>
      </c>
      <c r="K3459" s="3" t="s">
        <v>22</v>
      </c>
    </row>
    <row r="3460" spans="1:11" ht="42" customHeight="1">
      <c r="A3460" s="2" t="s">
        <v>6942</v>
      </c>
      <c r="B3460" s="2" t="s">
        <v>6943</v>
      </c>
      <c r="C3460" s="2" t="s">
        <v>50</v>
      </c>
      <c r="D3460" s="2" t="s">
        <v>51</v>
      </c>
      <c r="E3460" s="5">
        <v>-28295</v>
      </c>
      <c r="F3460" s="3" t="s">
        <v>81</v>
      </c>
      <c r="G3460" s="3" t="s">
        <v>82</v>
      </c>
      <c r="H3460" s="2" t="s">
        <v>20</v>
      </c>
      <c r="I3460" s="2" t="s">
        <v>6944</v>
      </c>
      <c r="J3460" s="3" t="str">
        <f>HYPERLINK("https://www.boe.es/gazeta/dias/1822/07/12/pdfs/GMD-1822-202.pdf#page=3","Abrir facsímil")</f>
        <v>Abrir facsímil</v>
      </c>
      <c r="K3460" s="3" t="s">
        <v>22</v>
      </c>
    </row>
    <row r="3461" spans="1:11" ht="42" customHeight="1">
      <c r="A3461" s="2" t="s">
        <v>6945</v>
      </c>
      <c r="B3461" s="2" t="s">
        <v>6945</v>
      </c>
      <c r="C3461" s="2" t="s">
        <v>42</v>
      </c>
      <c r="D3461" s="2" t="s">
        <v>17</v>
      </c>
      <c r="E3461" s="5">
        <v>-28400</v>
      </c>
      <c r="F3461" s="3" t="s">
        <v>1937</v>
      </c>
      <c r="G3461" s="3" t="s">
        <v>31</v>
      </c>
      <c r="H3461" s="2" t="s">
        <v>20</v>
      </c>
      <c r="I3461" s="2" t="s">
        <v>6946</v>
      </c>
      <c r="J3461" s="3" t="str">
        <f>HYPERLINK("https://www.boe.es/gazeta/dias/1822/03/29/pdfs/GMD-1822-90.pdf#page=3","Abrir facsímil")</f>
        <v>Abrir facsímil</v>
      </c>
      <c r="K3461" s="3" t="s">
        <v>22</v>
      </c>
    </row>
    <row r="3462" spans="1:11" ht="42" customHeight="1">
      <c r="A3462" s="2" t="s">
        <v>6945</v>
      </c>
      <c r="B3462" s="2" t="s">
        <v>6945</v>
      </c>
      <c r="C3462" s="2" t="s">
        <v>50</v>
      </c>
      <c r="D3462" s="2" t="s">
        <v>51</v>
      </c>
      <c r="E3462" s="5">
        <v>-28157</v>
      </c>
      <c r="F3462" s="3" t="s">
        <v>1492</v>
      </c>
      <c r="G3462" s="3" t="s">
        <v>31</v>
      </c>
      <c r="H3462" s="2" t="s">
        <v>20</v>
      </c>
      <c r="I3462" s="2" t="s">
        <v>6947</v>
      </c>
      <c r="J3462" s="3" t="str">
        <f>HYPERLINK("https://www.boe.es/gazeta/dias/1822/11/27/pdfs/GMD-1822-347.pdf#page=3","Abrir facsímil")</f>
        <v>Abrir facsímil</v>
      </c>
      <c r="K3462" s="3" t="s">
        <v>22</v>
      </c>
    </row>
    <row r="3463" spans="1:11" ht="42" customHeight="1">
      <c r="A3463" s="2" t="s">
        <v>6948</v>
      </c>
      <c r="B3463" s="2" t="s">
        <v>6949</v>
      </c>
      <c r="C3463" s="2" t="s">
        <v>50</v>
      </c>
      <c r="D3463" s="2" t="s">
        <v>51</v>
      </c>
      <c r="E3463" s="5">
        <v>-28303</v>
      </c>
      <c r="F3463" s="3" t="s">
        <v>201</v>
      </c>
      <c r="G3463" s="3" t="s">
        <v>31</v>
      </c>
      <c r="H3463" s="2" t="s">
        <v>20</v>
      </c>
      <c r="I3463" s="2" t="s">
        <v>6950</v>
      </c>
      <c r="J3463" s="3" t="str">
        <f>HYPERLINK("https://www.boe.es/gazeta/dias/1822/07/04/pdfs/GMD-1822-193.pdf#page=3","Abrir facsímil")</f>
        <v>Abrir facsímil</v>
      </c>
      <c r="K3463" s="3" t="s">
        <v>22</v>
      </c>
    </row>
    <row r="3464" spans="1:11" ht="42" customHeight="1">
      <c r="A3464" s="2" t="s">
        <v>6951</v>
      </c>
      <c r="B3464" s="2" t="s">
        <v>6952</v>
      </c>
      <c r="C3464" s="2" t="s">
        <v>71</v>
      </c>
      <c r="D3464" s="2" t="s">
        <v>17</v>
      </c>
      <c r="E3464" s="5">
        <v>-28241</v>
      </c>
      <c r="F3464" s="3" t="s">
        <v>3068</v>
      </c>
      <c r="G3464" s="3" t="s">
        <v>57</v>
      </c>
      <c r="H3464" s="2" t="s">
        <v>20</v>
      </c>
      <c r="I3464" s="2" t="s">
        <v>6953</v>
      </c>
      <c r="J3464" s="3" t="str">
        <f>HYPERLINK("https://www.boe.es/gazeta/dias/1822/09/04/pdfs/GMD-1822-259.pdf#page=4","Abrir facsímil")</f>
        <v>Abrir facsímil</v>
      </c>
      <c r="K3464" s="3" t="s">
        <v>22</v>
      </c>
    </row>
    <row r="3465" spans="1:11" ht="42" customHeight="1">
      <c r="A3465" s="2" t="s">
        <v>6954</v>
      </c>
      <c r="B3465" s="2" t="s">
        <v>6954</v>
      </c>
      <c r="C3465" s="2" t="s">
        <v>24</v>
      </c>
      <c r="D3465" s="2" t="s">
        <v>17</v>
      </c>
      <c r="E3465" s="5">
        <v>-28322</v>
      </c>
      <c r="F3465" s="3" t="s">
        <v>2205</v>
      </c>
      <c r="G3465" s="3" t="s">
        <v>57</v>
      </c>
      <c r="H3465" s="2" t="s">
        <v>20</v>
      </c>
      <c r="I3465" s="2" t="s">
        <v>6955</v>
      </c>
      <c r="J3465" s="3" t="str">
        <f>HYPERLINK("https://www.boe.es/gazeta/dias/1822/06/15/pdfs/GMD-1822-172.pdf#page=4","Abrir facsímil")</f>
        <v>Abrir facsímil</v>
      </c>
      <c r="K3465" s="3" t="s">
        <v>22</v>
      </c>
    </row>
    <row r="3466" spans="1:11" ht="42" customHeight="1">
      <c r="A3466" s="2" t="s">
        <v>6956</v>
      </c>
      <c r="B3466" s="2" t="s">
        <v>6956</v>
      </c>
      <c r="C3466" s="2" t="s">
        <v>24</v>
      </c>
      <c r="D3466" s="2" t="s">
        <v>17</v>
      </c>
      <c r="E3466" s="5">
        <v>-28300</v>
      </c>
      <c r="F3466" s="3" t="s">
        <v>6533</v>
      </c>
      <c r="G3466" s="3" t="s">
        <v>57</v>
      </c>
      <c r="H3466" s="2" t="s">
        <v>20</v>
      </c>
      <c r="I3466" s="2" t="s">
        <v>6957</v>
      </c>
      <c r="J3466" s="3" t="str">
        <f>HYPERLINK("https://www.boe.es/gazeta/dias/1822/07/07/pdfs/GMD-1822-196.pdf#page=4","Abrir facsímil")</f>
        <v>Abrir facsímil</v>
      </c>
      <c r="K3466" s="3" t="s">
        <v>22</v>
      </c>
    </row>
    <row r="3467" spans="1:11" ht="42" customHeight="1">
      <c r="A3467" s="2" t="s">
        <v>6956</v>
      </c>
      <c r="B3467" s="2" t="s">
        <v>6956</v>
      </c>
      <c r="C3467" s="2" t="s">
        <v>50</v>
      </c>
      <c r="D3467" s="2" t="s">
        <v>51</v>
      </c>
      <c r="E3467" s="5">
        <v>-28190</v>
      </c>
      <c r="F3467" s="3" t="s">
        <v>576</v>
      </c>
      <c r="G3467" s="3" t="s">
        <v>19</v>
      </c>
      <c r="H3467" s="2" t="s">
        <v>20</v>
      </c>
      <c r="I3467" s="2" t="s">
        <v>6958</v>
      </c>
      <c r="J3467" s="3" t="str">
        <f>HYPERLINK("https://www.boe.es/gazeta/dias/1822/10/25/pdfs/GMD-1822-312.pdf#page=5","Abrir facsímil")</f>
        <v>Abrir facsímil</v>
      </c>
      <c r="K3467" s="3" t="s">
        <v>22</v>
      </c>
    </row>
    <row r="3468" spans="1:11" ht="42" customHeight="1">
      <c r="A3468" s="2" t="s">
        <v>6956</v>
      </c>
      <c r="B3468" s="2" t="s">
        <v>6956</v>
      </c>
      <c r="C3468" s="2" t="s">
        <v>42</v>
      </c>
      <c r="D3468" s="2" t="s">
        <v>17</v>
      </c>
      <c r="E3468" s="5">
        <v>-28147</v>
      </c>
      <c r="F3468" s="3" t="s">
        <v>1611</v>
      </c>
      <c r="G3468" s="3" t="s">
        <v>31</v>
      </c>
      <c r="H3468" s="2" t="s">
        <v>20</v>
      </c>
      <c r="I3468" s="2" t="s">
        <v>6959</v>
      </c>
      <c r="J3468" s="3" t="str">
        <f>HYPERLINK("https://www.boe.es/gazeta/dias/1822/12/07/pdfs/GMD-1822-357.pdf#page=3","Abrir facsímil")</f>
        <v>Abrir facsímil</v>
      </c>
      <c r="K3468" s="3" t="s">
        <v>22</v>
      </c>
    </row>
    <row r="3469" spans="1:11" ht="42" customHeight="1">
      <c r="A3469" s="2" t="s">
        <v>6960</v>
      </c>
      <c r="B3469" s="2" t="s">
        <v>6960</v>
      </c>
      <c r="C3469" s="2" t="s">
        <v>42</v>
      </c>
      <c r="D3469" s="2" t="s">
        <v>17</v>
      </c>
      <c r="E3469" s="5">
        <v>-28172</v>
      </c>
      <c r="F3469" s="3" t="s">
        <v>674</v>
      </c>
      <c r="G3469" s="3" t="s">
        <v>35</v>
      </c>
      <c r="H3469" s="2" t="s">
        <v>20</v>
      </c>
      <c r="I3469" s="2" t="s">
        <v>6961</v>
      </c>
      <c r="J3469" s="3" t="str">
        <f>HYPERLINK("https://www.boe.es/gazeta/dias/1822/11/12/pdfs/GMD-1822-332.pdf#page=2","Abrir facsímil")</f>
        <v>Abrir facsímil</v>
      </c>
      <c r="K3469" s="3" t="s">
        <v>22</v>
      </c>
    </row>
    <row r="3470" spans="1:11" ht="42" customHeight="1">
      <c r="A3470" s="2" t="s">
        <v>6962</v>
      </c>
      <c r="B3470" s="2" t="s">
        <v>6962</v>
      </c>
      <c r="C3470" s="2" t="s">
        <v>50</v>
      </c>
      <c r="D3470" s="2" t="s">
        <v>51</v>
      </c>
      <c r="E3470" s="5">
        <v>-28125</v>
      </c>
      <c r="F3470" s="3" t="s">
        <v>322</v>
      </c>
      <c r="G3470" s="3" t="s">
        <v>31</v>
      </c>
      <c r="H3470" s="2" t="s">
        <v>20</v>
      </c>
      <c r="I3470" s="2" t="s">
        <v>6963</v>
      </c>
      <c r="J3470" s="3" t="str">
        <f>HYPERLINK("https://www.boe.es/gazeta/dias/1822/12/29/pdfs/GMD-1822-379.pdf#page=3","Abrir facsímil")</f>
        <v>Abrir facsímil</v>
      </c>
      <c r="K3470" s="3" t="s">
        <v>22</v>
      </c>
    </row>
    <row r="3471" spans="1:11" ht="42" customHeight="1">
      <c r="A3471" s="2" t="s">
        <v>6964</v>
      </c>
      <c r="B3471" s="2" t="s">
        <v>6964</v>
      </c>
      <c r="C3471" s="2" t="s">
        <v>50</v>
      </c>
      <c r="D3471" s="2" t="s">
        <v>51</v>
      </c>
      <c r="E3471" s="5">
        <v>-28382</v>
      </c>
      <c r="F3471" s="3" t="s">
        <v>973</v>
      </c>
      <c r="G3471" s="3" t="s">
        <v>63</v>
      </c>
      <c r="H3471" s="2" t="s">
        <v>20</v>
      </c>
      <c r="I3471" s="2" t="s">
        <v>6965</v>
      </c>
      <c r="J3471" s="3" t="str">
        <f>HYPERLINK("https://www.boe.es/gazeta/dias/1822/04/16/pdfs/GMD-1822-108.pdf#page=6","Abrir facsímil")</f>
        <v>Abrir facsímil</v>
      </c>
      <c r="K3471" s="3" t="s">
        <v>22</v>
      </c>
    </row>
    <row r="3472" spans="1:11" ht="42" customHeight="1">
      <c r="A3472" s="2" t="s">
        <v>6966</v>
      </c>
      <c r="B3472" s="2" t="s">
        <v>6966</v>
      </c>
      <c r="C3472" s="2" t="s">
        <v>24</v>
      </c>
      <c r="D3472" s="2" t="s">
        <v>17</v>
      </c>
      <c r="E3472" s="5">
        <v>-28341</v>
      </c>
      <c r="F3472" s="3" t="s">
        <v>284</v>
      </c>
      <c r="G3472" s="3" t="s">
        <v>31</v>
      </c>
      <c r="H3472" s="2" t="s">
        <v>20</v>
      </c>
      <c r="I3472" s="2" t="s">
        <v>6967</v>
      </c>
      <c r="J3472" s="3" t="str">
        <f>HYPERLINK("https://www.boe.es/gazeta/dias/1822/05/27/pdfs/GMD-1822-152.pdf#page=3","Abrir facsímil")</f>
        <v>Abrir facsímil</v>
      </c>
      <c r="K3472" s="3" t="s">
        <v>22</v>
      </c>
    </row>
    <row r="3473" spans="1:11" ht="42" customHeight="1">
      <c r="A3473" s="2" t="s">
        <v>6968</v>
      </c>
      <c r="B3473" s="2" t="s">
        <v>6968</v>
      </c>
      <c r="C3473" s="2" t="s">
        <v>28</v>
      </c>
      <c r="D3473" s="2" t="s">
        <v>29</v>
      </c>
      <c r="E3473" s="5">
        <v>-28436</v>
      </c>
      <c r="F3473" s="3" t="s">
        <v>431</v>
      </c>
      <c r="G3473" s="3" t="s">
        <v>57</v>
      </c>
      <c r="H3473" s="2" t="s">
        <v>20</v>
      </c>
      <c r="I3473" s="2" t="s">
        <v>6969</v>
      </c>
      <c r="J3473" s="3" t="str">
        <f>HYPERLINK("https://www.boe.es/gazeta/dias/1822/02/21/pdfs/GMD-1822-53.pdf#page=4","Abrir facsímil")</f>
        <v>Abrir facsímil</v>
      </c>
      <c r="K3473" s="3" t="s">
        <v>22</v>
      </c>
    </row>
    <row r="3474" spans="1:11" ht="42" customHeight="1">
      <c r="A3474" s="2" t="s">
        <v>6968</v>
      </c>
      <c r="B3474" s="2" t="s">
        <v>6968</v>
      </c>
      <c r="C3474" s="2" t="s">
        <v>71</v>
      </c>
      <c r="D3474" s="2" t="s">
        <v>17</v>
      </c>
      <c r="E3474" s="5">
        <v>-28327</v>
      </c>
      <c r="F3474" s="3" t="s">
        <v>38</v>
      </c>
      <c r="G3474" s="3" t="s">
        <v>35</v>
      </c>
      <c r="H3474" s="2" t="s">
        <v>20</v>
      </c>
      <c r="I3474" s="2" t="s">
        <v>6970</v>
      </c>
      <c r="J3474" s="3" t="str">
        <f>HYPERLINK("https://www.boe.es/gazeta/dias/1822/06/10/pdfs/GMD-1822-167.pdf#page=2","Abrir facsímil")</f>
        <v>Abrir facsímil</v>
      </c>
      <c r="K3474" s="3" t="s">
        <v>22</v>
      </c>
    </row>
    <row r="3475" spans="1:11" ht="42" customHeight="1">
      <c r="A3475" s="2" t="s">
        <v>6968</v>
      </c>
      <c r="B3475" s="2" t="s">
        <v>6968</v>
      </c>
      <c r="C3475" s="2" t="s">
        <v>61</v>
      </c>
      <c r="D3475" s="2" t="s">
        <v>17</v>
      </c>
      <c r="E3475" s="5">
        <v>-28200</v>
      </c>
      <c r="F3475" s="3" t="s">
        <v>1037</v>
      </c>
      <c r="G3475" s="3" t="s">
        <v>57</v>
      </c>
      <c r="H3475" s="2" t="s">
        <v>20</v>
      </c>
      <c r="I3475" s="2" t="s">
        <v>6971</v>
      </c>
      <c r="J3475" s="3" t="str">
        <f>HYPERLINK("https://www.boe.es/gazeta/dias/1822/10/15/pdfs/GMD-1822-302.pdf#page=4","Abrir facsímil")</f>
        <v>Abrir facsímil</v>
      </c>
      <c r="K3475" s="3" t="s">
        <v>22</v>
      </c>
    </row>
    <row r="3476" spans="1:11" ht="42" customHeight="1">
      <c r="A3476" s="2" t="s">
        <v>6968</v>
      </c>
      <c r="B3476" s="2" t="s">
        <v>6968</v>
      </c>
      <c r="C3476" s="2" t="s">
        <v>28</v>
      </c>
      <c r="D3476" s="2" t="s">
        <v>29</v>
      </c>
      <c r="E3476" s="5">
        <v>-28180</v>
      </c>
      <c r="F3476" s="3" t="s">
        <v>839</v>
      </c>
      <c r="G3476" s="3" t="s">
        <v>31</v>
      </c>
      <c r="H3476" s="2" t="s">
        <v>20</v>
      </c>
      <c r="I3476" s="2" t="s">
        <v>6972</v>
      </c>
      <c r="J3476" s="3" t="str">
        <f>HYPERLINK("https://www.boe.es/gazeta/dias/1822/11/04/pdfs/GMD-1822-323.pdf#page=3","Abrir facsímil")</f>
        <v>Abrir facsímil</v>
      </c>
      <c r="K3476" s="3" t="s">
        <v>22</v>
      </c>
    </row>
    <row r="3477" spans="1:11" ht="42" customHeight="1">
      <c r="A3477" s="2" t="s">
        <v>6973</v>
      </c>
      <c r="B3477" s="2" t="s">
        <v>6974</v>
      </c>
      <c r="C3477" s="2" t="s">
        <v>42</v>
      </c>
      <c r="D3477" s="2" t="s">
        <v>17</v>
      </c>
      <c r="E3477" s="5">
        <v>-28220</v>
      </c>
      <c r="F3477" s="3" t="s">
        <v>1914</v>
      </c>
      <c r="G3477" s="3" t="s">
        <v>57</v>
      </c>
      <c r="H3477" s="2" t="s">
        <v>20</v>
      </c>
      <c r="I3477" s="2" t="s">
        <v>6975</v>
      </c>
      <c r="J3477" s="3" t="str">
        <f>HYPERLINK("https://www.boe.es/gazeta/dias/1822/09/25/pdfs/GMD-1822-281.pdf#page=4","Abrir facsímil")</f>
        <v>Abrir facsímil</v>
      </c>
      <c r="K3477" s="3" t="s">
        <v>22</v>
      </c>
    </row>
    <row r="3478" spans="1:11" ht="42" customHeight="1">
      <c r="A3478" s="2" t="s">
        <v>6976</v>
      </c>
      <c r="B3478" s="2" t="s">
        <v>6976</v>
      </c>
      <c r="C3478" s="2" t="s">
        <v>28</v>
      </c>
      <c r="D3478" s="2" t="s">
        <v>29</v>
      </c>
      <c r="E3478" s="5">
        <v>-28131</v>
      </c>
      <c r="F3478" s="3" t="s">
        <v>893</v>
      </c>
      <c r="G3478" s="3" t="s">
        <v>19</v>
      </c>
      <c r="H3478" s="2" t="s">
        <v>20</v>
      </c>
      <c r="I3478" s="2" t="s">
        <v>6977</v>
      </c>
      <c r="J3478" s="3" t="str">
        <f>HYPERLINK("https://www.boe.es/gazeta/dias/1822/12/23/pdfs/GMD-1822-373.pdf#page=5","Abrir facsímil")</f>
        <v>Abrir facsímil</v>
      </c>
      <c r="K3478" s="3" t="s">
        <v>22</v>
      </c>
    </row>
    <row r="3479" spans="1:11" ht="42" customHeight="1">
      <c r="A3479" s="2" t="s">
        <v>6978</v>
      </c>
      <c r="B3479" s="2" t="s">
        <v>6978</v>
      </c>
      <c r="C3479" s="2" t="s">
        <v>50</v>
      </c>
      <c r="D3479" s="2" t="s">
        <v>51</v>
      </c>
      <c r="E3479" s="5">
        <v>-28348</v>
      </c>
      <c r="F3479" s="3" t="s">
        <v>2903</v>
      </c>
      <c r="G3479" s="3" t="s">
        <v>19</v>
      </c>
      <c r="H3479" s="2" t="s">
        <v>20</v>
      </c>
      <c r="I3479" s="2" t="s">
        <v>6979</v>
      </c>
      <c r="J3479" s="3" t="str">
        <f>HYPERLINK("https://www.boe.es/gazeta/dias/1822/05/20/pdfs/GMD-1822-143.pdf#page=5","Abrir facsímil")</f>
        <v>Abrir facsímil</v>
      </c>
      <c r="K3479" s="3" t="s">
        <v>22</v>
      </c>
    </row>
    <row r="3480" spans="1:11" ht="42" customHeight="1">
      <c r="A3480" s="2" t="s">
        <v>6980</v>
      </c>
      <c r="B3480" s="2" t="s">
        <v>6980</v>
      </c>
      <c r="C3480" s="2" t="s">
        <v>42</v>
      </c>
      <c r="D3480" s="2" t="s">
        <v>17</v>
      </c>
      <c r="E3480" s="5">
        <v>-28441</v>
      </c>
      <c r="F3480" s="3" t="s">
        <v>429</v>
      </c>
      <c r="G3480" s="3" t="s">
        <v>31</v>
      </c>
      <c r="H3480" s="2" t="s">
        <v>20</v>
      </c>
      <c r="I3480" s="2" t="s">
        <v>6981</v>
      </c>
      <c r="J3480" s="3" t="str">
        <f>HYPERLINK("https://www.boe.es/gazeta/dias/1822/02/16/pdfs/GMD-1822-48.pdf#page=3","Abrir facsímil")</f>
        <v>Abrir facsímil</v>
      </c>
      <c r="K3480" s="3" t="s">
        <v>22</v>
      </c>
    </row>
    <row r="3481" spans="1:11" ht="42" customHeight="1">
      <c r="A3481" s="2" t="s">
        <v>6980</v>
      </c>
      <c r="B3481" s="2" t="s">
        <v>6980</v>
      </c>
      <c r="C3481" s="2" t="s">
        <v>28</v>
      </c>
      <c r="D3481" s="2" t="s">
        <v>29</v>
      </c>
      <c r="E3481" s="5">
        <v>-28426</v>
      </c>
      <c r="F3481" s="3" t="s">
        <v>1178</v>
      </c>
      <c r="G3481" s="3" t="s">
        <v>35</v>
      </c>
      <c r="H3481" s="2" t="s">
        <v>20</v>
      </c>
      <c r="I3481" s="2" t="s">
        <v>6982</v>
      </c>
      <c r="J3481" s="3" t="str">
        <f>HYPERLINK("https://www.boe.es/gazeta/dias/1822/03/03/pdfs/GMD-1822-64.pdf#page=2","Abrir facsímil")</f>
        <v>Abrir facsímil</v>
      </c>
      <c r="K3481" s="3" t="s">
        <v>22</v>
      </c>
    </row>
    <row r="3482" spans="1:11" ht="42" customHeight="1">
      <c r="A3482" s="2" t="s">
        <v>6980</v>
      </c>
      <c r="B3482" s="2" t="s">
        <v>6980</v>
      </c>
      <c r="C3482" s="2" t="s">
        <v>362</v>
      </c>
      <c r="D3482" s="2" t="s">
        <v>17</v>
      </c>
      <c r="E3482" s="5">
        <v>-28425</v>
      </c>
      <c r="F3482" s="3" t="s">
        <v>419</v>
      </c>
      <c r="G3482" s="3" t="s">
        <v>35</v>
      </c>
      <c r="H3482" s="2" t="s">
        <v>20</v>
      </c>
      <c r="I3482" s="2" t="s">
        <v>6983</v>
      </c>
      <c r="J3482" s="3" t="str">
        <f>HYPERLINK("https://www.boe.es/gazeta/dias/1822/03/04/pdfs/GMD-1822-65.pdf#page=2","Abrir facsímil")</f>
        <v>Abrir facsímil</v>
      </c>
      <c r="K3482" s="3" t="s">
        <v>22</v>
      </c>
    </row>
    <row r="3483" spans="1:11" ht="42" customHeight="1">
      <c r="A3483" s="2" t="s">
        <v>6980</v>
      </c>
      <c r="B3483" s="2" t="s">
        <v>6980</v>
      </c>
      <c r="C3483" s="2" t="s">
        <v>16</v>
      </c>
      <c r="D3483" s="2" t="s">
        <v>17</v>
      </c>
      <c r="E3483" s="5">
        <v>-28422</v>
      </c>
      <c r="F3483" s="3" t="s">
        <v>416</v>
      </c>
      <c r="G3483" s="3" t="s">
        <v>57</v>
      </c>
      <c r="H3483" s="2" t="s">
        <v>20</v>
      </c>
      <c r="I3483" s="2" t="s">
        <v>6984</v>
      </c>
      <c r="J3483" s="3" t="str">
        <f>HYPERLINK("https://www.boe.es/gazeta/dias/1822/03/07/pdfs/GMD-1822-68.pdf#page=4","Abrir facsímil")</f>
        <v>Abrir facsímil</v>
      </c>
      <c r="K3483" s="3" t="s">
        <v>22</v>
      </c>
    </row>
    <row r="3484" spans="1:11" ht="42" customHeight="1">
      <c r="A3484" s="2" t="s">
        <v>6980</v>
      </c>
      <c r="B3484" s="2" t="s">
        <v>6980</v>
      </c>
      <c r="C3484" s="2" t="s">
        <v>71</v>
      </c>
      <c r="D3484" s="2" t="s">
        <v>17</v>
      </c>
      <c r="E3484" s="5">
        <v>-28421</v>
      </c>
      <c r="F3484" s="3" t="s">
        <v>446</v>
      </c>
      <c r="G3484" s="3" t="s">
        <v>57</v>
      </c>
      <c r="H3484" s="2" t="s">
        <v>20</v>
      </c>
      <c r="I3484" s="2" t="s">
        <v>6985</v>
      </c>
      <c r="J3484" s="3" t="str">
        <f>HYPERLINK("https://www.boe.es/gazeta/dias/1822/03/08/pdfs/GMD-1822-69.pdf#page=4","Abrir facsímil")</f>
        <v>Abrir facsímil</v>
      </c>
      <c r="K3484" s="3" t="s">
        <v>22</v>
      </c>
    </row>
    <row r="3485" spans="1:11" ht="42" customHeight="1">
      <c r="A3485" s="2" t="s">
        <v>6980</v>
      </c>
      <c r="B3485" s="2" t="s">
        <v>6980</v>
      </c>
      <c r="C3485" s="2" t="s">
        <v>28</v>
      </c>
      <c r="D3485" s="2" t="s">
        <v>29</v>
      </c>
      <c r="E3485" s="5">
        <v>-28419</v>
      </c>
      <c r="F3485" s="3" t="s">
        <v>1392</v>
      </c>
      <c r="G3485" s="3" t="s">
        <v>57</v>
      </c>
      <c r="H3485" s="2" t="s">
        <v>20</v>
      </c>
      <c r="I3485" s="2" t="s">
        <v>6986</v>
      </c>
      <c r="J3485" s="3" t="str">
        <f>HYPERLINK("https://www.boe.es/gazeta/dias/1822/03/10/pdfs/GMD-1822-71.pdf#page=4","Abrir facsímil")</f>
        <v>Abrir facsímil</v>
      </c>
      <c r="K3485" s="3" t="s">
        <v>22</v>
      </c>
    </row>
    <row r="3486" spans="1:11" ht="42" customHeight="1">
      <c r="A3486" s="2" t="s">
        <v>6980</v>
      </c>
      <c r="B3486" s="2" t="s">
        <v>6980</v>
      </c>
      <c r="C3486" s="2" t="s">
        <v>28</v>
      </c>
      <c r="D3486" s="2" t="s">
        <v>29</v>
      </c>
      <c r="E3486" s="5">
        <v>-28417</v>
      </c>
      <c r="F3486" s="3" t="s">
        <v>1394</v>
      </c>
      <c r="G3486" s="3" t="s">
        <v>35</v>
      </c>
      <c r="H3486" s="2" t="s">
        <v>20</v>
      </c>
      <c r="I3486" s="2" t="s">
        <v>6987</v>
      </c>
      <c r="J3486" s="3" t="str">
        <f>HYPERLINK("https://www.boe.es/gazeta/dias/1822/03/12/pdfs/GMD-1822-73.pdf#page=2","Abrir facsímil")</f>
        <v>Abrir facsímil</v>
      </c>
      <c r="K3486" s="3" t="s">
        <v>22</v>
      </c>
    </row>
    <row r="3487" spans="1:11" ht="42" customHeight="1">
      <c r="A3487" s="2" t="s">
        <v>6980</v>
      </c>
      <c r="B3487" s="2" t="s">
        <v>6980</v>
      </c>
      <c r="C3487" s="2" t="s">
        <v>28</v>
      </c>
      <c r="D3487" s="2" t="s">
        <v>29</v>
      </c>
      <c r="E3487" s="5">
        <v>-28417</v>
      </c>
      <c r="F3487" s="3" t="s">
        <v>1394</v>
      </c>
      <c r="G3487" s="3" t="s">
        <v>57</v>
      </c>
      <c r="H3487" s="2" t="s">
        <v>20</v>
      </c>
      <c r="I3487" s="2" t="s">
        <v>6988</v>
      </c>
      <c r="J3487" s="3" t="str">
        <f>HYPERLINK("https://www.boe.es/gazeta/dias/1822/03/12/pdfs/GMD-1822-73.pdf#page=4","Abrir facsímil")</f>
        <v>Abrir facsímil</v>
      </c>
      <c r="K3487" s="3" t="s">
        <v>22</v>
      </c>
    </row>
    <row r="3488" spans="1:11" ht="42" customHeight="1">
      <c r="A3488" s="2" t="s">
        <v>6980</v>
      </c>
      <c r="B3488" s="2" t="s">
        <v>6980</v>
      </c>
      <c r="C3488" s="2" t="s">
        <v>28</v>
      </c>
      <c r="D3488" s="2" t="s">
        <v>29</v>
      </c>
      <c r="E3488" s="5">
        <v>-28416</v>
      </c>
      <c r="F3488" s="3" t="s">
        <v>97</v>
      </c>
      <c r="G3488" s="3" t="s">
        <v>31</v>
      </c>
      <c r="H3488" s="2" t="s">
        <v>20</v>
      </c>
      <c r="I3488" s="2" t="s">
        <v>6989</v>
      </c>
      <c r="J3488" s="3" t="str">
        <f>HYPERLINK("https://www.boe.es/gazeta/dias/1822/03/13/pdfs/GMD-1822-74.pdf#page=3","Abrir facsímil")</f>
        <v>Abrir facsímil</v>
      </c>
      <c r="K3488" s="3" t="s">
        <v>22</v>
      </c>
    </row>
    <row r="3489" spans="1:11" ht="42" customHeight="1">
      <c r="A3489" s="2" t="s">
        <v>6980</v>
      </c>
      <c r="B3489" s="2" t="s">
        <v>6980</v>
      </c>
      <c r="C3489" s="2" t="s">
        <v>16</v>
      </c>
      <c r="D3489" s="2" t="s">
        <v>17</v>
      </c>
      <c r="E3489" s="5">
        <v>-28416</v>
      </c>
      <c r="F3489" s="3" t="s">
        <v>97</v>
      </c>
      <c r="G3489" s="3" t="s">
        <v>63</v>
      </c>
      <c r="H3489" s="2" t="s">
        <v>20</v>
      </c>
      <c r="I3489" s="2" t="s">
        <v>6990</v>
      </c>
      <c r="J3489" s="3" t="str">
        <f>HYPERLINK("https://www.boe.es/gazeta/dias/1822/03/13/pdfs/GMD-1822-74.pdf#page=6","Abrir facsímil")</f>
        <v>Abrir facsímil</v>
      </c>
      <c r="K3489" s="3" t="s">
        <v>22</v>
      </c>
    </row>
    <row r="3490" spans="1:11" ht="42" customHeight="1">
      <c r="A3490" s="2" t="s">
        <v>6980</v>
      </c>
      <c r="B3490" s="2" t="s">
        <v>6980</v>
      </c>
      <c r="C3490" s="2" t="s">
        <v>71</v>
      </c>
      <c r="D3490" s="2" t="s">
        <v>17</v>
      </c>
      <c r="E3490" s="5">
        <v>-28415</v>
      </c>
      <c r="F3490" s="3" t="s">
        <v>77</v>
      </c>
      <c r="G3490" s="3" t="s">
        <v>35</v>
      </c>
      <c r="H3490" s="2" t="s">
        <v>20</v>
      </c>
      <c r="I3490" s="2" t="s">
        <v>6991</v>
      </c>
      <c r="J3490" s="3" t="str">
        <f>HYPERLINK("https://www.boe.es/gazeta/dias/1822/03/14/pdfs/GMD-1822-75.pdf#page=2","Abrir facsímil")</f>
        <v>Abrir facsímil</v>
      </c>
      <c r="K3490" s="3" t="s">
        <v>22</v>
      </c>
    </row>
    <row r="3491" spans="1:11" ht="42" customHeight="1">
      <c r="A3491" s="2" t="s">
        <v>6980</v>
      </c>
      <c r="B3491" s="2" t="s">
        <v>6980</v>
      </c>
      <c r="C3491" s="2" t="s">
        <v>50</v>
      </c>
      <c r="D3491" s="2" t="s">
        <v>51</v>
      </c>
      <c r="E3491" s="5">
        <v>-28414</v>
      </c>
      <c r="F3491" s="3" t="s">
        <v>187</v>
      </c>
      <c r="G3491" s="3" t="s">
        <v>19</v>
      </c>
      <c r="H3491" s="2" t="s">
        <v>20</v>
      </c>
      <c r="I3491" s="2" t="s">
        <v>6992</v>
      </c>
      <c r="J3491" s="3" t="str">
        <f>HYPERLINK("https://www.boe.es/gazeta/dias/1822/03/15/pdfs/GMD-1822-76.pdf#page=5","Abrir facsímil")</f>
        <v>Abrir facsímil</v>
      </c>
      <c r="K3491" s="3" t="s">
        <v>22</v>
      </c>
    </row>
    <row r="3492" spans="1:11" ht="42" customHeight="1">
      <c r="A3492" s="2" t="s">
        <v>6980</v>
      </c>
      <c r="B3492" s="2" t="s">
        <v>6980</v>
      </c>
      <c r="C3492" s="2" t="s">
        <v>50</v>
      </c>
      <c r="D3492" s="2" t="s">
        <v>51</v>
      </c>
      <c r="E3492" s="5">
        <v>-28411</v>
      </c>
      <c r="F3492" s="3" t="s">
        <v>1509</v>
      </c>
      <c r="G3492" s="3" t="s">
        <v>35</v>
      </c>
      <c r="H3492" s="2" t="s">
        <v>20</v>
      </c>
      <c r="I3492" s="2" t="s">
        <v>6993</v>
      </c>
      <c r="J3492" s="3" t="str">
        <f>HYPERLINK("https://www.boe.es/gazeta/dias/1822/03/18/pdfs/GMD-1822-79.pdf#page=2","Abrir facsímil")</f>
        <v>Abrir facsímil</v>
      </c>
      <c r="K3492" s="3" t="s">
        <v>22</v>
      </c>
    </row>
    <row r="3493" spans="1:11" ht="42" customHeight="1">
      <c r="A3493" s="2" t="s">
        <v>6980</v>
      </c>
      <c r="B3493" s="2" t="s">
        <v>6980</v>
      </c>
      <c r="C3493" s="2" t="s">
        <v>24</v>
      </c>
      <c r="D3493" s="2" t="s">
        <v>17</v>
      </c>
      <c r="E3493" s="5">
        <v>-28404</v>
      </c>
      <c r="F3493" s="3" t="s">
        <v>421</v>
      </c>
      <c r="G3493" s="3" t="s">
        <v>57</v>
      </c>
      <c r="H3493" s="2" t="s">
        <v>20</v>
      </c>
      <c r="I3493" s="2" t="s">
        <v>6994</v>
      </c>
      <c r="J3493" s="3" t="str">
        <f>HYPERLINK("https://www.boe.es/gazeta/dias/1822/03/25/pdfs/GMD-1822-86.pdf#page=4","Abrir facsímil")</f>
        <v>Abrir facsímil</v>
      </c>
      <c r="K3493" s="3" t="s">
        <v>22</v>
      </c>
    </row>
    <row r="3494" spans="1:11" ht="42" customHeight="1">
      <c r="A3494" s="2" t="s">
        <v>6980</v>
      </c>
      <c r="B3494" s="2" t="s">
        <v>6980</v>
      </c>
      <c r="C3494" s="2" t="s">
        <v>28</v>
      </c>
      <c r="D3494" s="2" t="s">
        <v>29</v>
      </c>
      <c r="E3494" s="5">
        <v>-28403</v>
      </c>
      <c r="F3494" s="3" t="s">
        <v>471</v>
      </c>
      <c r="G3494" s="3" t="s">
        <v>19</v>
      </c>
      <c r="H3494" s="2" t="s">
        <v>20</v>
      </c>
      <c r="I3494" s="2" t="s">
        <v>6995</v>
      </c>
      <c r="J3494" s="3" t="str">
        <f>HYPERLINK("https://www.boe.es/gazeta/dias/1822/03/26/pdfs/GMD-1822-87.pdf#page=5","Abrir facsímil")</f>
        <v>Abrir facsímil</v>
      </c>
      <c r="K3494" s="3" t="s">
        <v>22</v>
      </c>
    </row>
    <row r="3495" spans="1:11" ht="42" customHeight="1">
      <c r="A3495" s="2" t="s">
        <v>6980</v>
      </c>
      <c r="B3495" s="2" t="s">
        <v>6980</v>
      </c>
      <c r="C3495" s="2" t="s">
        <v>24</v>
      </c>
      <c r="D3495" s="2" t="s">
        <v>17</v>
      </c>
      <c r="E3495" s="5">
        <v>-28402</v>
      </c>
      <c r="F3495" s="3" t="s">
        <v>473</v>
      </c>
      <c r="G3495" s="3" t="s">
        <v>63</v>
      </c>
      <c r="H3495" s="2" t="s">
        <v>20</v>
      </c>
      <c r="I3495" s="2" t="s">
        <v>6996</v>
      </c>
      <c r="J3495" s="3" t="str">
        <f>HYPERLINK("https://www.boe.es/gazeta/dias/1822/03/27/pdfs/GMD-1822-88.pdf#page=6","Abrir facsímil")</f>
        <v>Abrir facsímil</v>
      </c>
      <c r="K3495" s="3" t="s">
        <v>22</v>
      </c>
    </row>
    <row r="3496" spans="1:11" ht="42" customHeight="1">
      <c r="A3496" s="2" t="s">
        <v>6980</v>
      </c>
      <c r="B3496" s="2" t="s">
        <v>6980</v>
      </c>
      <c r="C3496" s="2" t="s">
        <v>50</v>
      </c>
      <c r="D3496" s="2" t="s">
        <v>51</v>
      </c>
      <c r="E3496" s="5">
        <v>-28401</v>
      </c>
      <c r="F3496" s="3" t="s">
        <v>108</v>
      </c>
      <c r="G3496" s="3" t="s">
        <v>57</v>
      </c>
      <c r="H3496" s="2" t="s">
        <v>20</v>
      </c>
      <c r="I3496" s="2" t="s">
        <v>6997</v>
      </c>
      <c r="J3496" s="3" t="str">
        <f>HYPERLINK("https://www.boe.es/gazeta/dias/1822/03/28/pdfs/GMD-1822-89.pdf#page=4","Abrir facsímil")</f>
        <v>Abrir facsímil</v>
      </c>
      <c r="K3496" s="3" t="s">
        <v>22</v>
      </c>
    </row>
    <row r="3497" spans="1:11" ht="42" customHeight="1">
      <c r="A3497" s="2" t="s">
        <v>6980</v>
      </c>
      <c r="B3497" s="2" t="s">
        <v>6980</v>
      </c>
      <c r="C3497" s="2" t="s">
        <v>16</v>
      </c>
      <c r="D3497" s="2" t="s">
        <v>17</v>
      </c>
      <c r="E3497" s="5">
        <v>-28399</v>
      </c>
      <c r="F3497" s="3" t="s">
        <v>476</v>
      </c>
      <c r="G3497" s="3" t="s">
        <v>35</v>
      </c>
      <c r="H3497" s="2" t="s">
        <v>20</v>
      </c>
      <c r="I3497" s="2" t="s">
        <v>6998</v>
      </c>
      <c r="J3497" s="3" t="str">
        <f>HYPERLINK("https://www.boe.es/gazeta/dias/1822/03/30/pdfs/GMD-1822-91.pdf#page=2","Abrir facsímil")</f>
        <v>Abrir facsímil</v>
      </c>
      <c r="K3497" s="3" t="s">
        <v>22</v>
      </c>
    </row>
    <row r="3498" spans="1:11" ht="42" customHeight="1">
      <c r="A3498" s="2" t="s">
        <v>6980</v>
      </c>
      <c r="B3498" s="2" t="s">
        <v>6980</v>
      </c>
      <c r="C3498" s="2" t="s">
        <v>24</v>
      </c>
      <c r="D3498" s="2" t="s">
        <v>17</v>
      </c>
      <c r="E3498" s="5">
        <v>-28399</v>
      </c>
      <c r="F3498" s="3" t="s">
        <v>476</v>
      </c>
      <c r="G3498" s="3" t="s">
        <v>31</v>
      </c>
      <c r="H3498" s="2" t="s">
        <v>20</v>
      </c>
      <c r="I3498" s="2" t="s">
        <v>6999</v>
      </c>
      <c r="J3498" s="3" t="str">
        <f>HYPERLINK("https://www.boe.es/gazeta/dias/1822/03/30/pdfs/GMD-1822-91.pdf#page=3","Abrir facsímil")</f>
        <v>Abrir facsímil</v>
      </c>
      <c r="K3498" s="3" t="s">
        <v>22</v>
      </c>
    </row>
    <row r="3499" spans="1:11" ht="42" customHeight="1">
      <c r="A3499" s="2" t="s">
        <v>6980</v>
      </c>
      <c r="B3499" s="2" t="s">
        <v>6980</v>
      </c>
      <c r="C3499" s="2" t="s">
        <v>71</v>
      </c>
      <c r="D3499" s="2" t="s">
        <v>17</v>
      </c>
      <c r="E3499" s="5">
        <v>-28397</v>
      </c>
      <c r="F3499" s="3" t="s">
        <v>1401</v>
      </c>
      <c r="G3499" s="3" t="s">
        <v>57</v>
      </c>
      <c r="H3499" s="2" t="s">
        <v>20</v>
      </c>
      <c r="I3499" s="2" t="s">
        <v>7000</v>
      </c>
      <c r="J3499" s="3" t="str">
        <f>HYPERLINK("https://www.boe.es/gazeta/dias/1822/04/01/pdfs/GMD-1822-93.pdf#page=4","Abrir facsímil")</f>
        <v>Abrir facsímil</v>
      </c>
      <c r="K3499" s="3" t="s">
        <v>22</v>
      </c>
    </row>
    <row r="3500" spans="1:11" ht="42" customHeight="1">
      <c r="A3500" s="2" t="s">
        <v>6980</v>
      </c>
      <c r="B3500" s="2" t="s">
        <v>6980</v>
      </c>
      <c r="C3500" s="2" t="s">
        <v>50</v>
      </c>
      <c r="D3500" s="2" t="s">
        <v>51</v>
      </c>
      <c r="E3500" s="5">
        <v>-28396</v>
      </c>
      <c r="F3500" s="3" t="s">
        <v>1138</v>
      </c>
      <c r="G3500" s="3" t="s">
        <v>19</v>
      </c>
      <c r="H3500" s="2" t="s">
        <v>20</v>
      </c>
      <c r="I3500" s="2" t="s">
        <v>7001</v>
      </c>
      <c r="J3500" s="3" t="str">
        <f>HYPERLINK("https://www.boe.es/gazeta/dias/1822/04/02/pdfs/GMD-1822-94.pdf#page=5","Abrir facsímil")</f>
        <v>Abrir facsímil</v>
      </c>
      <c r="K3500" s="3" t="s">
        <v>22</v>
      </c>
    </row>
    <row r="3501" spans="1:11" ht="42" customHeight="1">
      <c r="A3501" s="2" t="s">
        <v>6980</v>
      </c>
      <c r="B3501" s="2" t="s">
        <v>6980</v>
      </c>
      <c r="C3501" s="2" t="s">
        <v>24</v>
      </c>
      <c r="D3501" s="2" t="s">
        <v>17</v>
      </c>
      <c r="E3501" s="5">
        <v>-28396</v>
      </c>
      <c r="F3501" s="3" t="s">
        <v>1138</v>
      </c>
      <c r="G3501" s="3" t="s">
        <v>63</v>
      </c>
      <c r="H3501" s="2" t="s">
        <v>20</v>
      </c>
      <c r="I3501" s="2" t="s">
        <v>7002</v>
      </c>
      <c r="J3501" s="3" t="str">
        <f>HYPERLINK("https://www.boe.es/gazeta/dias/1822/04/02/pdfs/GMD-1822-94.pdf#page=6","Abrir facsímil")</f>
        <v>Abrir facsímil</v>
      </c>
      <c r="K3501" s="3" t="s">
        <v>22</v>
      </c>
    </row>
    <row r="3502" spans="1:11" ht="42" customHeight="1">
      <c r="A3502" s="2" t="s">
        <v>6980</v>
      </c>
      <c r="B3502" s="2" t="s">
        <v>6980</v>
      </c>
      <c r="C3502" s="2" t="s">
        <v>42</v>
      </c>
      <c r="D3502" s="2" t="s">
        <v>17</v>
      </c>
      <c r="E3502" s="5">
        <v>-28396</v>
      </c>
      <c r="F3502" s="3" t="s">
        <v>1138</v>
      </c>
      <c r="G3502" s="3" t="s">
        <v>167</v>
      </c>
      <c r="H3502" s="2" t="s">
        <v>20</v>
      </c>
      <c r="I3502" s="2" t="s">
        <v>7003</v>
      </c>
      <c r="J3502" s="3" t="str">
        <f>HYPERLINK("https://www.boe.es/gazeta/dias/1822/04/02/pdfs/GMD-1822-94.pdf#page=7","Abrir facsímil")</f>
        <v>Abrir facsímil</v>
      </c>
      <c r="K3502" s="3" t="s">
        <v>22</v>
      </c>
    </row>
    <row r="3503" spans="1:11" ht="42" customHeight="1">
      <c r="A3503" s="2" t="s">
        <v>6980</v>
      </c>
      <c r="B3503" s="2" t="s">
        <v>6980</v>
      </c>
      <c r="C3503" s="2" t="s">
        <v>50</v>
      </c>
      <c r="D3503" s="2" t="s">
        <v>51</v>
      </c>
      <c r="E3503" s="5">
        <v>-28390</v>
      </c>
      <c r="F3503" s="3" t="s">
        <v>665</v>
      </c>
      <c r="G3503" s="3" t="s">
        <v>35</v>
      </c>
      <c r="H3503" s="2" t="s">
        <v>20</v>
      </c>
      <c r="I3503" s="2" t="s">
        <v>7004</v>
      </c>
      <c r="J3503" s="3" t="str">
        <f>HYPERLINK("https://www.boe.es/gazeta/dias/1822/04/08/pdfs/GMD-1822-100.pdf#page=2","Abrir facsímil")</f>
        <v>Abrir facsímil</v>
      </c>
      <c r="K3503" s="3" t="s">
        <v>22</v>
      </c>
    </row>
    <row r="3504" spans="1:11" ht="42" customHeight="1">
      <c r="A3504" s="2" t="s">
        <v>6980</v>
      </c>
      <c r="B3504" s="2" t="s">
        <v>6980</v>
      </c>
      <c r="C3504" s="2" t="s">
        <v>50</v>
      </c>
      <c r="D3504" s="2" t="s">
        <v>51</v>
      </c>
      <c r="E3504" s="5">
        <v>-28388</v>
      </c>
      <c r="F3504" s="3" t="s">
        <v>1268</v>
      </c>
      <c r="G3504" s="3" t="s">
        <v>57</v>
      </c>
      <c r="H3504" s="2" t="s">
        <v>20</v>
      </c>
      <c r="I3504" s="2" t="s">
        <v>7005</v>
      </c>
      <c r="J3504" s="3" t="str">
        <f>HYPERLINK("https://www.boe.es/gazeta/dias/1822/04/10/pdfs/GMD-1822-102.pdf#page=4","Abrir facsímil")</f>
        <v>Abrir facsímil</v>
      </c>
      <c r="K3504" s="3" t="s">
        <v>22</v>
      </c>
    </row>
    <row r="3505" spans="1:11" ht="42" customHeight="1">
      <c r="A3505" s="2" t="s">
        <v>6980</v>
      </c>
      <c r="B3505" s="2" t="s">
        <v>6980</v>
      </c>
      <c r="C3505" s="2" t="s">
        <v>42</v>
      </c>
      <c r="D3505" s="2" t="s">
        <v>17</v>
      </c>
      <c r="E3505" s="5">
        <v>-28386</v>
      </c>
      <c r="F3505" s="3" t="s">
        <v>2993</v>
      </c>
      <c r="G3505" s="3" t="s">
        <v>35</v>
      </c>
      <c r="H3505" s="2" t="s">
        <v>20</v>
      </c>
      <c r="I3505" s="2" t="s">
        <v>7006</v>
      </c>
      <c r="J3505" s="3" t="str">
        <f>HYPERLINK("https://www.boe.es/gazeta/dias/1822/04/12/pdfs/GMD-1822-104.pdf#page=2","Abrir facsímil")</f>
        <v>Abrir facsímil</v>
      </c>
      <c r="K3505" s="3" t="s">
        <v>22</v>
      </c>
    </row>
    <row r="3506" spans="1:11" ht="42" customHeight="1">
      <c r="A3506" s="2" t="s">
        <v>6980</v>
      </c>
      <c r="B3506" s="2" t="s">
        <v>6980</v>
      </c>
      <c r="C3506" s="2" t="s">
        <v>28</v>
      </c>
      <c r="D3506" s="2" t="s">
        <v>29</v>
      </c>
      <c r="E3506" s="5">
        <v>-28378</v>
      </c>
      <c r="F3506" s="3" t="s">
        <v>496</v>
      </c>
      <c r="G3506" s="3" t="s">
        <v>57</v>
      </c>
      <c r="H3506" s="2" t="s">
        <v>20</v>
      </c>
      <c r="I3506" s="2" t="s">
        <v>7007</v>
      </c>
      <c r="J3506" s="3" t="str">
        <f>HYPERLINK("https://www.boe.es/gazeta/dias/1822/04/20/pdfs/GMD-1822-112.pdf#page=4","Abrir facsímil")</f>
        <v>Abrir facsímil</v>
      </c>
      <c r="K3506" s="3" t="s">
        <v>22</v>
      </c>
    </row>
    <row r="3507" spans="1:11" ht="42" customHeight="1">
      <c r="A3507" s="2" t="s">
        <v>6980</v>
      </c>
      <c r="B3507" s="2" t="s">
        <v>6980</v>
      </c>
      <c r="C3507" s="2" t="s">
        <v>16</v>
      </c>
      <c r="D3507" s="2" t="s">
        <v>17</v>
      </c>
      <c r="E3507" s="5">
        <v>-28365</v>
      </c>
      <c r="F3507" s="3" t="s">
        <v>506</v>
      </c>
      <c r="G3507" s="3" t="s">
        <v>19</v>
      </c>
      <c r="H3507" s="2" t="s">
        <v>20</v>
      </c>
      <c r="I3507" s="2" t="s">
        <v>7008</v>
      </c>
      <c r="J3507" s="3" t="str">
        <f>HYPERLINK("https://www.boe.es/gazeta/dias/1822/05/03/pdfs/GMD-1822-125.pdf#page=5","Abrir facsímil")</f>
        <v>Abrir facsímil</v>
      </c>
      <c r="K3507" s="3" t="s">
        <v>22</v>
      </c>
    </row>
    <row r="3508" spans="1:11" ht="42" customHeight="1">
      <c r="A3508" s="2" t="s">
        <v>6980</v>
      </c>
      <c r="B3508" s="2" t="s">
        <v>6980</v>
      </c>
      <c r="C3508" s="2" t="s">
        <v>50</v>
      </c>
      <c r="D3508" s="2" t="s">
        <v>51</v>
      </c>
      <c r="E3508" s="5">
        <v>-28364</v>
      </c>
      <c r="F3508" s="3" t="s">
        <v>509</v>
      </c>
      <c r="G3508" s="3" t="s">
        <v>31</v>
      </c>
      <c r="H3508" s="2" t="s">
        <v>20</v>
      </c>
      <c r="I3508" s="2" t="s">
        <v>7009</v>
      </c>
      <c r="J3508" s="3" t="str">
        <f>HYPERLINK("https://www.boe.es/gazeta/dias/1822/05/04/pdfs/GMD-1822-126.pdf#page=3","Abrir facsímil")</f>
        <v>Abrir facsímil</v>
      </c>
      <c r="K3508" s="3" t="s">
        <v>22</v>
      </c>
    </row>
    <row r="3509" spans="1:11" ht="42" customHeight="1">
      <c r="A3509" s="2" t="s">
        <v>6980</v>
      </c>
      <c r="B3509" s="2" t="s">
        <v>6980</v>
      </c>
      <c r="C3509" s="2" t="s">
        <v>61</v>
      </c>
      <c r="D3509" s="2" t="s">
        <v>17</v>
      </c>
      <c r="E3509" s="5">
        <v>-28364</v>
      </c>
      <c r="F3509" s="3" t="s">
        <v>509</v>
      </c>
      <c r="G3509" s="3" t="s">
        <v>63</v>
      </c>
      <c r="H3509" s="2" t="s">
        <v>20</v>
      </c>
      <c r="I3509" s="2" t="s">
        <v>7010</v>
      </c>
      <c r="J3509" s="3" t="str">
        <f>HYPERLINK("https://www.boe.es/gazeta/dias/1822/05/04/pdfs/GMD-1822-126.pdf#page=6","Abrir facsímil")</f>
        <v>Abrir facsímil</v>
      </c>
      <c r="K3509" s="3" t="s">
        <v>22</v>
      </c>
    </row>
    <row r="3510" spans="1:11" ht="42" customHeight="1">
      <c r="A3510" s="2" t="s">
        <v>6980</v>
      </c>
      <c r="B3510" s="2" t="s">
        <v>6980</v>
      </c>
      <c r="C3510" s="2" t="s">
        <v>71</v>
      </c>
      <c r="D3510" s="2" t="s">
        <v>17</v>
      </c>
      <c r="E3510" s="5">
        <v>-28363</v>
      </c>
      <c r="F3510" s="3" t="s">
        <v>72</v>
      </c>
      <c r="G3510" s="3" t="s">
        <v>19</v>
      </c>
      <c r="H3510" s="2" t="s">
        <v>20</v>
      </c>
      <c r="I3510" s="2" t="s">
        <v>7011</v>
      </c>
      <c r="J3510" s="3" t="str">
        <f>HYPERLINK("https://www.boe.es/gazeta/dias/1822/05/05/pdfs/GMD-1822-127.pdf#page=5","Abrir facsímil")</f>
        <v>Abrir facsímil</v>
      </c>
      <c r="K3510" s="3" t="s">
        <v>22</v>
      </c>
    </row>
    <row r="3511" spans="1:11" ht="42" customHeight="1">
      <c r="A3511" s="2" t="s">
        <v>6980</v>
      </c>
      <c r="B3511" s="2" t="s">
        <v>6980</v>
      </c>
      <c r="C3511" s="2" t="s">
        <v>71</v>
      </c>
      <c r="D3511" s="2" t="s">
        <v>17</v>
      </c>
      <c r="E3511" s="5">
        <v>-28362</v>
      </c>
      <c r="F3511" s="3" t="s">
        <v>511</v>
      </c>
      <c r="G3511" s="3" t="s">
        <v>35</v>
      </c>
      <c r="H3511" s="2" t="s">
        <v>20</v>
      </c>
      <c r="I3511" s="2" t="s">
        <v>7012</v>
      </c>
      <c r="J3511" s="3" t="str">
        <f>HYPERLINK("https://www.boe.es/gazeta/dias/1822/05/06/pdfs/GMD-1822-128.pdf#page=2","Abrir facsímil")</f>
        <v>Abrir facsímil</v>
      </c>
      <c r="K3511" s="3" t="s">
        <v>22</v>
      </c>
    </row>
    <row r="3512" spans="1:11" ht="42" customHeight="1">
      <c r="A3512" s="2" t="s">
        <v>6980</v>
      </c>
      <c r="B3512" s="2" t="s">
        <v>6980</v>
      </c>
      <c r="C3512" s="2" t="s">
        <v>50</v>
      </c>
      <c r="D3512" s="2" t="s">
        <v>51</v>
      </c>
      <c r="E3512" s="5">
        <v>-28362</v>
      </c>
      <c r="F3512" s="3" t="s">
        <v>511</v>
      </c>
      <c r="G3512" s="3" t="s">
        <v>31</v>
      </c>
      <c r="H3512" s="2" t="s">
        <v>20</v>
      </c>
      <c r="I3512" s="2" t="s">
        <v>7013</v>
      </c>
      <c r="J3512" s="3" t="str">
        <f>HYPERLINK("https://www.boe.es/gazeta/dias/1822/05/06/pdfs/GMD-1822-128.pdf#page=3","Abrir facsímil")</f>
        <v>Abrir facsímil</v>
      </c>
      <c r="K3512" s="3" t="s">
        <v>22</v>
      </c>
    </row>
    <row r="3513" spans="1:11" ht="42" customHeight="1">
      <c r="A3513" s="2" t="s">
        <v>6980</v>
      </c>
      <c r="B3513" s="2" t="s">
        <v>6980</v>
      </c>
      <c r="C3513" s="2" t="s">
        <v>50</v>
      </c>
      <c r="D3513" s="2" t="s">
        <v>51</v>
      </c>
      <c r="E3513" s="5">
        <v>-28358</v>
      </c>
      <c r="F3513" s="3" t="s">
        <v>211</v>
      </c>
      <c r="G3513" s="3" t="s">
        <v>57</v>
      </c>
      <c r="H3513" s="2" t="s">
        <v>20</v>
      </c>
      <c r="I3513" s="2" t="s">
        <v>7014</v>
      </c>
      <c r="J3513" s="3" t="str">
        <f>HYPERLINK("https://www.boe.es/gazeta/dias/1822/05/10/pdfs/GMD-1822-132.pdf#page=4","Abrir facsímil")</f>
        <v>Abrir facsímil</v>
      </c>
      <c r="K3513" s="3" t="s">
        <v>22</v>
      </c>
    </row>
    <row r="3514" spans="1:11" ht="42" customHeight="1">
      <c r="A3514" s="2" t="s">
        <v>6980</v>
      </c>
      <c r="B3514" s="2" t="s">
        <v>6980</v>
      </c>
      <c r="C3514" s="2" t="s">
        <v>16</v>
      </c>
      <c r="D3514" s="2" t="s">
        <v>17</v>
      </c>
      <c r="E3514" s="5">
        <v>-28357</v>
      </c>
      <c r="F3514" s="3" t="s">
        <v>690</v>
      </c>
      <c r="G3514" s="3" t="s">
        <v>31</v>
      </c>
      <c r="H3514" s="2" t="s">
        <v>20</v>
      </c>
      <c r="I3514" s="2" t="s">
        <v>7015</v>
      </c>
      <c r="J3514" s="3" t="str">
        <f>HYPERLINK("https://www.boe.es/gazeta/dias/1822/05/11/pdfs/GMD-1822-133.pdf#page=3","Abrir facsímil")</f>
        <v>Abrir facsímil</v>
      </c>
      <c r="K3514" s="3" t="s">
        <v>22</v>
      </c>
    </row>
    <row r="3515" spans="1:11" ht="42" customHeight="1">
      <c r="A3515" s="2" t="s">
        <v>6980</v>
      </c>
      <c r="B3515" s="2" t="s">
        <v>6980</v>
      </c>
      <c r="C3515" s="2" t="s">
        <v>50</v>
      </c>
      <c r="D3515" s="2" t="s">
        <v>51</v>
      </c>
      <c r="E3515" s="5">
        <v>-28354</v>
      </c>
      <c r="F3515" s="3" t="s">
        <v>226</v>
      </c>
      <c r="G3515" s="3" t="s">
        <v>57</v>
      </c>
      <c r="H3515" s="2" t="s">
        <v>20</v>
      </c>
      <c r="I3515" s="2" t="s">
        <v>7016</v>
      </c>
      <c r="J3515" s="3" t="str">
        <f>HYPERLINK("https://www.boe.es/gazeta/dias/1822/05/14/pdfs/GMD-1822-136.pdf#page=4","Abrir facsímil")</f>
        <v>Abrir facsímil</v>
      </c>
      <c r="K3515" s="3" t="s">
        <v>22</v>
      </c>
    </row>
    <row r="3516" spans="1:11" ht="42" customHeight="1">
      <c r="A3516" s="2" t="s">
        <v>6980</v>
      </c>
      <c r="B3516" s="2" t="s">
        <v>6980</v>
      </c>
      <c r="C3516" s="2" t="s">
        <v>42</v>
      </c>
      <c r="D3516" s="2" t="s">
        <v>17</v>
      </c>
      <c r="E3516" s="5">
        <v>-28353</v>
      </c>
      <c r="F3516" s="3" t="s">
        <v>843</v>
      </c>
      <c r="G3516" s="3" t="s">
        <v>35</v>
      </c>
      <c r="H3516" s="2" t="s">
        <v>20</v>
      </c>
      <c r="I3516" s="2" t="s">
        <v>7017</v>
      </c>
      <c r="J3516" s="3" t="str">
        <f>HYPERLINK("https://www.boe.es/gazeta/dias/1822/05/15/pdfs/GMD-1822-137.pdf#page=2","Abrir facsímil")</f>
        <v>Abrir facsímil</v>
      </c>
      <c r="K3516" s="3" t="s">
        <v>22</v>
      </c>
    </row>
    <row r="3517" spans="1:11" ht="42" customHeight="1">
      <c r="A3517" s="2" t="s">
        <v>6980</v>
      </c>
      <c r="B3517" s="2" t="s">
        <v>6980</v>
      </c>
      <c r="C3517" s="2" t="s">
        <v>28</v>
      </c>
      <c r="D3517" s="2" t="s">
        <v>29</v>
      </c>
      <c r="E3517" s="5">
        <v>-28353</v>
      </c>
      <c r="F3517" s="3" t="s">
        <v>843</v>
      </c>
      <c r="G3517" s="3" t="s">
        <v>57</v>
      </c>
      <c r="H3517" s="2" t="s">
        <v>20</v>
      </c>
      <c r="I3517" s="2" t="s">
        <v>7018</v>
      </c>
      <c r="J3517" s="3" t="str">
        <f>HYPERLINK("https://www.boe.es/gazeta/dias/1822/05/15/pdfs/GMD-1822-137.pdf#page=4","Abrir facsímil")</f>
        <v>Abrir facsímil</v>
      </c>
      <c r="K3517" s="3" t="s">
        <v>22</v>
      </c>
    </row>
    <row r="3518" spans="1:11" ht="42" customHeight="1">
      <c r="A3518" s="2" t="s">
        <v>6980</v>
      </c>
      <c r="B3518" s="2" t="s">
        <v>6980</v>
      </c>
      <c r="C3518" s="2" t="s">
        <v>50</v>
      </c>
      <c r="D3518" s="2" t="s">
        <v>51</v>
      </c>
      <c r="E3518" s="5">
        <v>-28352</v>
      </c>
      <c r="F3518" s="3" t="s">
        <v>1575</v>
      </c>
      <c r="G3518" s="3" t="s">
        <v>35</v>
      </c>
      <c r="H3518" s="2" t="s">
        <v>20</v>
      </c>
      <c r="I3518" s="2" t="s">
        <v>7019</v>
      </c>
      <c r="J3518" s="3" t="str">
        <f>HYPERLINK("https://www.boe.es/gazeta/dias/1822/05/16/pdfs/GMD-1822-138.pdf#page=2","Abrir facsímil")</f>
        <v>Abrir facsímil</v>
      </c>
      <c r="K3518" s="3" t="s">
        <v>22</v>
      </c>
    </row>
    <row r="3519" spans="1:11" ht="42" customHeight="1">
      <c r="A3519" s="2" t="s">
        <v>6980</v>
      </c>
      <c r="B3519" s="2" t="s">
        <v>6980</v>
      </c>
      <c r="C3519" s="2" t="s">
        <v>50</v>
      </c>
      <c r="D3519" s="2" t="s">
        <v>51</v>
      </c>
      <c r="E3519" s="5">
        <v>-28350</v>
      </c>
      <c r="F3519" s="3" t="s">
        <v>352</v>
      </c>
      <c r="G3519" s="3" t="s">
        <v>35</v>
      </c>
      <c r="H3519" s="2" t="s">
        <v>20</v>
      </c>
      <c r="I3519" s="2" t="s">
        <v>7020</v>
      </c>
      <c r="J3519" s="3" t="str">
        <f>HYPERLINK("https://www.boe.es/gazeta/dias/1822/05/18/pdfs/GMD-1822-140.pdf#page=2","Abrir facsímil")</f>
        <v>Abrir facsímil</v>
      </c>
      <c r="K3519" s="3" t="s">
        <v>22</v>
      </c>
    </row>
    <row r="3520" spans="1:11" ht="42" customHeight="1">
      <c r="A3520" s="2" t="s">
        <v>6980</v>
      </c>
      <c r="B3520" s="2" t="s">
        <v>6980</v>
      </c>
      <c r="C3520" s="2" t="s">
        <v>28</v>
      </c>
      <c r="D3520" s="2" t="s">
        <v>29</v>
      </c>
      <c r="E3520" s="5">
        <v>-28350</v>
      </c>
      <c r="F3520" s="3" t="s">
        <v>352</v>
      </c>
      <c r="G3520" s="3" t="s">
        <v>31</v>
      </c>
      <c r="H3520" s="2" t="s">
        <v>20</v>
      </c>
      <c r="I3520" s="2" t="s">
        <v>7021</v>
      </c>
      <c r="J3520" s="3" t="str">
        <f>HYPERLINK("https://www.boe.es/gazeta/dias/1822/05/18/pdfs/GMD-1822-140.pdf#page=3","Abrir facsímil")</f>
        <v>Abrir facsímil</v>
      </c>
      <c r="K3520" s="3" t="s">
        <v>22</v>
      </c>
    </row>
    <row r="3521" spans="1:11" ht="42" customHeight="1">
      <c r="A3521" s="2" t="s">
        <v>6980</v>
      </c>
      <c r="B3521" s="2" t="s">
        <v>6980</v>
      </c>
      <c r="C3521" s="2" t="s">
        <v>61</v>
      </c>
      <c r="D3521" s="2" t="s">
        <v>17</v>
      </c>
      <c r="E3521" s="5">
        <v>-28348</v>
      </c>
      <c r="F3521" s="3" t="s">
        <v>2903</v>
      </c>
      <c r="G3521" s="3" t="s">
        <v>35</v>
      </c>
      <c r="H3521" s="2" t="s">
        <v>20</v>
      </c>
      <c r="I3521" s="2" t="s">
        <v>7022</v>
      </c>
      <c r="J3521" s="3" t="str">
        <f>HYPERLINK("https://www.boe.es/gazeta/dias/1822/05/20/pdfs/GMD-1822-143.pdf#page=2","Abrir facsímil")</f>
        <v>Abrir facsímil</v>
      </c>
      <c r="K3521" s="3" t="s">
        <v>22</v>
      </c>
    </row>
    <row r="3522" spans="1:11" ht="42" customHeight="1">
      <c r="A3522" s="2" t="s">
        <v>6980</v>
      </c>
      <c r="B3522" s="2" t="s">
        <v>6980</v>
      </c>
      <c r="C3522" s="2" t="s">
        <v>42</v>
      </c>
      <c r="D3522" s="2" t="s">
        <v>17</v>
      </c>
      <c r="E3522" s="5">
        <v>-28348</v>
      </c>
      <c r="F3522" s="3" t="s">
        <v>2903</v>
      </c>
      <c r="G3522" s="3" t="s">
        <v>31</v>
      </c>
      <c r="H3522" s="2" t="s">
        <v>20</v>
      </c>
      <c r="I3522" s="2" t="s">
        <v>7023</v>
      </c>
      <c r="J3522" s="3" t="str">
        <f>HYPERLINK("https://www.boe.es/gazeta/dias/1822/05/20/pdfs/GMD-1822-143.pdf#page=3","Abrir facsímil")</f>
        <v>Abrir facsímil</v>
      </c>
      <c r="K3522" s="3" t="s">
        <v>22</v>
      </c>
    </row>
    <row r="3523" spans="1:11" ht="42" customHeight="1">
      <c r="A3523" s="2" t="s">
        <v>6980</v>
      </c>
      <c r="B3523" s="2" t="s">
        <v>6980</v>
      </c>
      <c r="C3523" s="2" t="s">
        <v>50</v>
      </c>
      <c r="D3523" s="2" t="s">
        <v>51</v>
      </c>
      <c r="E3523" s="5">
        <v>-28348</v>
      </c>
      <c r="F3523" s="3" t="s">
        <v>2903</v>
      </c>
      <c r="G3523" s="3" t="s">
        <v>57</v>
      </c>
      <c r="H3523" s="2" t="s">
        <v>20</v>
      </c>
      <c r="I3523" s="2" t="s">
        <v>7024</v>
      </c>
      <c r="J3523" s="3" t="str">
        <f>HYPERLINK("https://www.boe.es/gazeta/dias/1822/05/20/pdfs/GMD-1822-143.pdf#page=4","Abrir facsímil")</f>
        <v>Abrir facsímil</v>
      </c>
      <c r="K3523" s="3" t="s">
        <v>22</v>
      </c>
    </row>
    <row r="3524" spans="1:11" ht="42" customHeight="1">
      <c r="A3524" s="2" t="s">
        <v>6980</v>
      </c>
      <c r="B3524" s="2" t="s">
        <v>6980</v>
      </c>
      <c r="C3524" s="2" t="s">
        <v>28</v>
      </c>
      <c r="D3524" s="2" t="s">
        <v>29</v>
      </c>
      <c r="E3524" s="5">
        <v>-28347</v>
      </c>
      <c r="F3524" s="3" t="s">
        <v>520</v>
      </c>
      <c r="G3524" s="3" t="s">
        <v>63</v>
      </c>
      <c r="H3524" s="2" t="s">
        <v>20</v>
      </c>
      <c r="I3524" s="2" t="s">
        <v>7025</v>
      </c>
      <c r="J3524" s="3" t="str">
        <f>HYPERLINK("https://www.boe.es/gazeta/dias/1822/05/21/pdfs/GMD-1822-144.pdf#page=6","Abrir facsímil")</f>
        <v>Abrir facsímil</v>
      </c>
      <c r="K3524" s="3" t="s">
        <v>22</v>
      </c>
    </row>
    <row r="3525" spans="1:11" ht="42" customHeight="1">
      <c r="A3525" s="2" t="s">
        <v>6980</v>
      </c>
      <c r="B3525" s="2" t="s">
        <v>6980</v>
      </c>
      <c r="C3525" s="2" t="s">
        <v>28</v>
      </c>
      <c r="D3525" s="2" t="s">
        <v>29</v>
      </c>
      <c r="E3525" s="5">
        <v>-28346</v>
      </c>
      <c r="F3525" s="3" t="s">
        <v>191</v>
      </c>
      <c r="G3525" s="3" t="s">
        <v>35</v>
      </c>
      <c r="H3525" s="2" t="s">
        <v>20</v>
      </c>
      <c r="I3525" s="2" t="s">
        <v>7026</v>
      </c>
      <c r="J3525" s="3" t="str">
        <f>HYPERLINK("https://www.boe.es/gazeta/dias/1822/05/22/pdfs/GMD-1822-145.pdf#page=2","Abrir facsímil")</f>
        <v>Abrir facsímil</v>
      </c>
      <c r="K3525" s="3" t="s">
        <v>22</v>
      </c>
    </row>
    <row r="3526" spans="1:11" ht="42" customHeight="1">
      <c r="A3526" s="2" t="s">
        <v>6980</v>
      </c>
      <c r="B3526" s="2" t="s">
        <v>6980</v>
      </c>
      <c r="C3526" s="2" t="s">
        <v>28</v>
      </c>
      <c r="D3526" s="2" t="s">
        <v>29</v>
      </c>
      <c r="E3526" s="5">
        <v>-28345</v>
      </c>
      <c r="F3526" s="3" t="s">
        <v>294</v>
      </c>
      <c r="G3526" s="3" t="s">
        <v>31</v>
      </c>
      <c r="H3526" s="2" t="s">
        <v>20</v>
      </c>
      <c r="I3526" s="2" t="s">
        <v>7027</v>
      </c>
      <c r="J3526" s="3" t="str">
        <f>HYPERLINK("https://www.boe.es/gazeta/dias/1822/05/23/pdfs/GMD-1822-147.pdf#page=3","Abrir facsímil")</f>
        <v>Abrir facsímil</v>
      </c>
      <c r="K3526" s="3" t="s">
        <v>22</v>
      </c>
    </row>
    <row r="3527" spans="1:11" ht="42" customHeight="1">
      <c r="A3527" s="2" t="s">
        <v>6980</v>
      </c>
      <c r="B3527" s="2" t="s">
        <v>6980</v>
      </c>
      <c r="C3527" s="2" t="s">
        <v>50</v>
      </c>
      <c r="D3527" s="2" t="s">
        <v>51</v>
      </c>
      <c r="E3527" s="5">
        <v>-28344</v>
      </c>
      <c r="F3527" s="3" t="s">
        <v>524</v>
      </c>
      <c r="G3527" s="3" t="s">
        <v>1040</v>
      </c>
      <c r="H3527" s="2" t="s">
        <v>20</v>
      </c>
      <c r="I3527" s="2" t="s">
        <v>7028</v>
      </c>
      <c r="J3527" s="3" t="str">
        <f>HYPERLINK("https://www.boe.es/gazeta/dias/1822/05/24/pdfs/GMD-1822-148.pdf#page=2","Abrir facsímil")</f>
        <v>Abrir facsímil</v>
      </c>
      <c r="K3527" s="3" t="s">
        <v>22</v>
      </c>
    </row>
    <row r="3528" spans="1:11" ht="42" customHeight="1">
      <c r="A3528" s="2" t="s">
        <v>6980</v>
      </c>
      <c r="B3528" s="2" t="s">
        <v>6980</v>
      </c>
      <c r="C3528" s="2" t="s">
        <v>50</v>
      </c>
      <c r="D3528" s="2" t="s">
        <v>51</v>
      </c>
      <c r="E3528" s="5">
        <v>-28344</v>
      </c>
      <c r="F3528" s="3" t="s">
        <v>524</v>
      </c>
      <c r="G3528" s="3" t="s">
        <v>31</v>
      </c>
      <c r="H3528" s="2" t="s">
        <v>20</v>
      </c>
      <c r="I3528" s="2" t="s">
        <v>7029</v>
      </c>
      <c r="J3528" s="3" t="str">
        <f>HYPERLINK("https://www.boe.es/gazeta/dias/1822/05/24/pdfs/GMD-1822-148.pdf#page=3","Abrir facsímil")</f>
        <v>Abrir facsímil</v>
      </c>
      <c r="K3528" s="3" t="s">
        <v>22</v>
      </c>
    </row>
    <row r="3529" spans="1:11" ht="42" customHeight="1">
      <c r="A3529" s="2" t="s">
        <v>6980</v>
      </c>
      <c r="B3529" s="2" t="s">
        <v>6980</v>
      </c>
      <c r="C3529" s="2" t="s">
        <v>28</v>
      </c>
      <c r="D3529" s="2" t="s">
        <v>29</v>
      </c>
      <c r="E3529" s="5">
        <v>-28342</v>
      </c>
      <c r="F3529" s="3" t="s">
        <v>2281</v>
      </c>
      <c r="G3529" s="3" t="s">
        <v>44</v>
      </c>
      <c r="H3529" s="2" t="s">
        <v>20</v>
      </c>
      <c r="I3529" s="2" t="s">
        <v>7030</v>
      </c>
      <c r="J3529" s="3" t="str">
        <f>HYPERLINK("https://www.boe.es/gazeta/dias/1822/05/26/pdfs/GMD-1822-151.pdf#page=1","Abrir facsímil")</f>
        <v>Abrir facsímil</v>
      </c>
      <c r="K3529" s="3" t="s">
        <v>22</v>
      </c>
    </row>
    <row r="3530" spans="1:11" ht="42" customHeight="1">
      <c r="A3530" s="2" t="s">
        <v>6980</v>
      </c>
      <c r="B3530" s="2" t="s">
        <v>6980</v>
      </c>
      <c r="C3530" s="2" t="s">
        <v>50</v>
      </c>
      <c r="D3530" s="2" t="s">
        <v>51</v>
      </c>
      <c r="E3530" s="5">
        <v>-28341</v>
      </c>
      <c r="F3530" s="3" t="s">
        <v>284</v>
      </c>
      <c r="G3530" s="3" t="s">
        <v>35</v>
      </c>
      <c r="H3530" s="2" t="s">
        <v>20</v>
      </c>
      <c r="I3530" s="2" t="s">
        <v>7031</v>
      </c>
      <c r="J3530" s="3" t="str">
        <f>HYPERLINK("https://www.boe.es/gazeta/dias/1822/05/27/pdfs/GMD-1822-152.pdf#page=2","Abrir facsímil")</f>
        <v>Abrir facsímil</v>
      </c>
      <c r="K3530" s="3" t="s">
        <v>22</v>
      </c>
    </row>
    <row r="3531" spans="1:11" ht="42" customHeight="1">
      <c r="A3531" s="2" t="s">
        <v>6980</v>
      </c>
      <c r="B3531" s="2" t="s">
        <v>6980</v>
      </c>
      <c r="C3531" s="2" t="s">
        <v>50</v>
      </c>
      <c r="D3531" s="2" t="s">
        <v>51</v>
      </c>
      <c r="E3531" s="5">
        <v>-28341</v>
      </c>
      <c r="F3531" s="3" t="s">
        <v>284</v>
      </c>
      <c r="G3531" s="3" t="s">
        <v>31</v>
      </c>
      <c r="H3531" s="2" t="s">
        <v>20</v>
      </c>
      <c r="I3531" s="2" t="s">
        <v>7032</v>
      </c>
      <c r="J3531" s="3" t="str">
        <f>HYPERLINK("https://www.boe.es/gazeta/dias/1822/05/27/pdfs/GMD-1822-152.pdf#page=3","Abrir facsímil")</f>
        <v>Abrir facsímil</v>
      </c>
      <c r="K3531" s="3" t="s">
        <v>22</v>
      </c>
    </row>
    <row r="3532" spans="1:11" ht="42" customHeight="1">
      <c r="A3532" s="2" t="s">
        <v>6980</v>
      </c>
      <c r="B3532" s="2" t="s">
        <v>6980</v>
      </c>
      <c r="C3532" s="2" t="s">
        <v>28</v>
      </c>
      <c r="D3532" s="2" t="s">
        <v>29</v>
      </c>
      <c r="E3532" s="5">
        <v>-28340</v>
      </c>
      <c r="F3532" s="3" t="s">
        <v>139</v>
      </c>
      <c r="G3532" s="3" t="s">
        <v>57</v>
      </c>
      <c r="H3532" s="2" t="s">
        <v>20</v>
      </c>
      <c r="I3532" s="2" t="s">
        <v>7033</v>
      </c>
      <c r="J3532" s="3" t="str">
        <f>HYPERLINK("https://www.boe.es/gazeta/dias/1822/05/28/pdfs/GMD-1822-153.pdf#page=4","Abrir facsímil")</f>
        <v>Abrir facsímil</v>
      </c>
      <c r="K3532" s="3" t="s">
        <v>22</v>
      </c>
    </row>
    <row r="3533" spans="1:11" ht="42" customHeight="1">
      <c r="A3533" s="2" t="s">
        <v>6980</v>
      </c>
      <c r="B3533" s="2" t="s">
        <v>6980</v>
      </c>
      <c r="C3533" s="2" t="s">
        <v>42</v>
      </c>
      <c r="D3533" s="2" t="s">
        <v>17</v>
      </c>
      <c r="E3533" s="5">
        <v>-28337</v>
      </c>
      <c r="F3533" s="3" t="s">
        <v>1836</v>
      </c>
      <c r="G3533" s="3" t="s">
        <v>31</v>
      </c>
      <c r="H3533" s="2" t="s">
        <v>20</v>
      </c>
      <c r="I3533" s="2" t="s">
        <v>7034</v>
      </c>
      <c r="J3533" s="3" t="str">
        <f>HYPERLINK("https://www.boe.es/gazeta/dias/1822/05/31/pdfs/GMD-1822-156.pdf#page=3","Abrir facsímil")</f>
        <v>Abrir facsímil</v>
      </c>
      <c r="K3533" s="3" t="s">
        <v>22</v>
      </c>
    </row>
    <row r="3534" spans="1:11" ht="42" customHeight="1">
      <c r="A3534" s="2" t="s">
        <v>6980</v>
      </c>
      <c r="B3534" s="2" t="s">
        <v>6980</v>
      </c>
      <c r="C3534" s="2" t="s">
        <v>50</v>
      </c>
      <c r="D3534" s="2" t="s">
        <v>51</v>
      </c>
      <c r="E3534" s="5">
        <v>-28337</v>
      </c>
      <c r="F3534" s="3" t="s">
        <v>1836</v>
      </c>
      <c r="G3534" s="3" t="s">
        <v>57</v>
      </c>
      <c r="H3534" s="2" t="s">
        <v>20</v>
      </c>
      <c r="I3534" s="2" t="s">
        <v>7035</v>
      </c>
      <c r="J3534" s="3" t="str">
        <f>HYPERLINK("https://www.boe.es/gazeta/dias/1822/05/31/pdfs/GMD-1822-156.pdf#page=4","Abrir facsímil")</f>
        <v>Abrir facsímil</v>
      </c>
      <c r="K3534" s="3" t="s">
        <v>22</v>
      </c>
    </row>
    <row r="3535" spans="1:11" ht="42" customHeight="1">
      <c r="A3535" s="2" t="s">
        <v>6980</v>
      </c>
      <c r="B3535" s="2" t="s">
        <v>6980</v>
      </c>
      <c r="C3535" s="2" t="s">
        <v>50</v>
      </c>
      <c r="D3535" s="2" t="s">
        <v>51</v>
      </c>
      <c r="E3535" s="5">
        <v>-28334</v>
      </c>
      <c r="F3535" s="3" t="s">
        <v>532</v>
      </c>
      <c r="G3535" s="3" t="s">
        <v>35</v>
      </c>
      <c r="H3535" s="2" t="s">
        <v>20</v>
      </c>
      <c r="I3535" s="2" t="s">
        <v>7036</v>
      </c>
      <c r="J3535" s="3" t="str">
        <f>HYPERLINK("https://www.boe.es/gazeta/dias/1822/06/03/pdfs/GMD-1822-159.pdf#page=2","Abrir facsímil")</f>
        <v>Abrir facsímil</v>
      </c>
      <c r="K3535" s="3" t="s">
        <v>22</v>
      </c>
    </row>
    <row r="3536" spans="1:11" ht="42" customHeight="1">
      <c r="A3536" s="2" t="s">
        <v>6980</v>
      </c>
      <c r="B3536" s="2" t="s">
        <v>6980</v>
      </c>
      <c r="C3536" s="2" t="s">
        <v>50</v>
      </c>
      <c r="D3536" s="2" t="s">
        <v>51</v>
      </c>
      <c r="E3536" s="5">
        <v>-28328</v>
      </c>
      <c r="F3536" s="3" t="s">
        <v>540</v>
      </c>
      <c r="G3536" s="3" t="s">
        <v>541</v>
      </c>
      <c r="H3536" s="2" t="s">
        <v>20</v>
      </c>
      <c r="I3536" s="2" t="s">
        <v>7037</v>
      </c>
      <c r="J3536" s="3" t="str">
        <f>HYPERLINK("https://www.boe.es/gazeta/dias/1822/06/09/pdfs/GMD-1822-166.pdf#page=4","Abrir facsímil")</f>
        <v>Abrir facsímil</v>
      </c>
      <c r="K3536" s="3" t="s">
        <v>22</v>
      </c>
    </row>
    <row r="3537" spans="1:11" ht="42" customHeight="1">
      <c r="A3537" s="2" t="s">
        <v>6980</v>
      </c>
      <c r="B3537" s="2" t="s">
        <v>6980</v>
      </c>
      <c r="C3537" s="2" t="s">
        <v>42</v>
      </c>
      <c r="D3537" s="2" t="s">
        <v>17</v>
      </c>
      <c r="E3537" s="5">
        <v>-28326</v>
      </c>
      <c r="F3537" s="3" t="s">
        <v>543</v>
      </c>
      <c r="G3537" s="3" t="s">
        <v>19</v>
      </c>
      <c r="H3537" s="2" t="s">
        <v>20</v>
      </c>
      <c r="I3537" s="2" t="s">
        <v>7038</v>
      </c>
      <c r="J3537" s="3" t="str">
        <f>HYPERLINK("https://www.boe.es/gazeta/dias/1822/06/11/pdfs/GMD-1822-168.pdf#page=5","Abrir facsímil")</f>
        <v>Abrir facsímil</v>
      </c>
      <c r="K3537" s="3" t="s">
        <v>22</v>
      </c>
    </row>
    <row r="3538" spans="1:11" ht="42" customHeight="1">
      <c r="A3538" s="2" t="s">
        <v>6980</v>
      </c>
      <c r="B3538" s="2" t="s">
        <v>6980</v>
      </c>
      <c r="C3538" s="2" t="s">
        <v>362</v>
      </c>
      <c r="D3538" s="2" t="s">
        <v>17</v>
      </c>
      <c r="E3538" s="5">
        <v>-28325</v>
      </c>
      <c r="F3538" s="3" t="s">
        <v>104</v>
      </c>
      <c r="G3538" s="3" t="s">
        <v>57</v>
      </c>
      <c r="H3538" s="2" t="s">
        <v>20</v>
      </c>
      <c r="I3538" s="2" t="s">
        <v>7039</v>
      </c>
      <c r="J3538" s="3" t="str">
        <f>HYPERLINK("https://www.boe.es/gazeta/dias/1822/06/12/pdfs/GMD-1822-169.pdf#page=4","Abrir facsímil")</f>
        <v>Abrir facsímil</v>
      </c>
      <c r="K3538" s="3" t="s">
        <v>22</v>
      </c>
    </row>
    <row r="3539" spans="1:11" ht="42" customHeight="1">
      <c r="A3539" s="2" t="s">
        <v>6980</v>
      </c>
      <c r="B3539" s="2" t="s">
        <v>6980</v>
      </c>
      <c r="C3539" s="2" t="s">
        <v>71</v>
      </c>
      <c r="D3539" s="2" t="s">
        <v>17</v>
      </c>
      <c r="E3539" s="5">
        <v>-28324</v>
      </c>
      <c r="F3539" s="3" t="s">
        <v>305</v>
      </c>
      <c r="G3539" s="3" t="s">
        <v>57</v>
      </c>
      <c r="H3539" s="2" t="s">
        <v>20</v>
      </c>
      <c r="I3539" s="2" t="s">
        <v>7040</v>
      </c>
      <c r="J3539" s="3" t="str">
        <f>HYPERLINK("https://www.boe.es/gazeta/dias/1822/06/13/pdfs/GMD-1822-170.pdf#page=4","Abrir facsímil")</f>
        <v>Abrir facsímil</v>
      </c>
      <c r="K3539" s="3" t="s">
        <v>22</v>
      </c>
    </row>
    <row r="3540" spans="1:11" ht="42" customHeight="1">
      <c r="A3540" s="2" t="s">
        <v>6980</v>
      </c>
      <c r="B3540" s="2" t="s">
        <v>6980</v>
      </c>
      <c r="C3540" s="2" t="s">
        <v>50</v>
      </c>
      <c r="D3540" s="2" t="s">
        <v>51</v>
      </c>
      <c r="E3540" s="5">
        <v>-28324</v>
      </c>
      <c r="F3540" s="3" t="s">
        <v>305</v>
      </c>
      <c r="G3540" s="3" t="s">
        <v>19</v>
      </c>
      <c r="H3540" s="2" t="s">
        <v>20</v>
      </c>
      <c r="I3540" s="2" t="s">
        <v>7041</v>
      </c>
      <c r="J3540" s="3" t="str">
        <f>HYPERLINK("https://www.boe.es/gazeta/dias/1822/06/13/pdfs/GMD-1822-170.pdf#page=5","Abrir facsímil")</f>
        <v>Abrir facsímil</v>
      </c>
      <c r="K3540" s="3" t="s">
        <v>22</v>
      </c>
    </row>
    <row r="3541" spans="1:11" ht="42" customHeight="1">
      <c r="A3541" s="2" t="s">
        <v>6980</v>
      </c>
      <c r="B3541" s="2" t="s">
        <v>6980</v>
      </c>
      <c r="C3541" s="2" t="s">
        <v>28</v>
      </c>
      <c r="D3541" s="2" t="s">
        <v>29</v>
      </c>
      <c r="E3541" s="5">
        <v>-28321</v>
      </c>
      <c r="F3541" s="3" t="s">
        <v>1142</v>
      </c>
      <c r="G3541" s="3" t="s">
        <v>35</v>
      </c>
      <c r="H3541" s="2" t="s">
        <v>20</v>
      </c>
      <c r="I3541" s="2" t="s">
        <v>7042</v>
      </c>
      <c r="J3541" s="3" t="str">
        <f>HYPERLINK("https://www.boe.es/gazeta/dias/1822/06/16/pdfs/GMD-1822-173.pdf#page=2","Abrir facsímil")</f>
        <v>Abrir facsímil</v>
      </c>
      <c r="K3541" s="3" t="s">
        <v>22</v>
      </c>
    </row>
    <row r="3542" spans="1:11" ht="42" customHeight="1">
      <c r="A3542" s="2" t="s">
        <v>6980</v>
      </c>
      <c r="B3542" s="2" t="s">
        <v>6980</v>
      </c>
      <c r="C3542" s="2" t="s">
        <v>42</v>
      </c>
      <c r="D3542" s="2" t="s">
        <v>17</v>
      </c>
      <c r="E3542" s="5">
        <v>-28320</v>
      </c>
      <c r="F3542" s="3" t="s">
        <v>700</v>
      </c>
      <c r="G3542" s="3" t="s">
        <v>31</v>
      </c>
      <c r="H3542" s="2" t="s">
        <v>20</v>
      </c>
      <c r="I3542" s="2" t="s">
        <v>7043</v>
      </c>
      <c r="J3542" s="3" t="str">
        <f>HYPERLINK("https://www.boe.es/gazeta/dias/1822/06/17/pdfs/GMD-1822-174.pdf#page=3","Abrir facsímil")</f>
        <v>Abrir facsímil</v>
      </c>
      <c r="K3542" s="3" t="s">
        <v>22</v>
      </c>
    </row>
    <row r="3543" spans="1:11" ht="42" customHeight="1">
      <c r="A3543" s="2" t="s">
        <v>6980</v>
      </c>
      <c r="B3543" s="2" t="s">
        <v>6980</v>
      </c>
      <c r="C3543" s="2" t="s">
        <v>50</v>
      </c>
      <c r="D3543" s="2" t="s">
        <v>51</v>
      </c>
      <c r="E3543" s="5">
        <v>-28320</v>
      </c>
      <c r="F3543" s="3" t="s">
        <v>700</v>
      </c>
      <c r="G3543" s="3" t="s">
        <v>57</v>
      </c>
      <c r="H3543" s="2" t="s">
        <v>20</v>
      </c>
      <c r="I3543" s="2" t="s">
        <v>7044</v>
      </c>
      <c r="J3543" s="3" t="str">
        <f>HYPERLINK("https://www.boe.es/gazeta/dias/1822/06/17/pdfs/GMD-1822-174.pdf#page=4","Abrir facsímil")</f>
        <v>Abrir facsímil</v>
      </c>
      <c r="K3543" s="3" t="s">
        <v>22</v>
      </c>
    </row>
    <row r="3544" spans="1:11" ht="42" customHeight="1">
      <c r="A3544" s="2" t="s">
        <v>6980</v>
      </c>
      <c r="B3544" s="2" t="s">
        <v>6980</v>
      </c>
      <c r="C3544" s="2" t="s">
        <v>28</v>
      </c>
      <c r="D3544" s="2" t="s">
        <v>29</v>
      </c>
      <c r="E3544" s="5">
        <v>-28320</v>
      </c>
      <c r="F3544" s="3" t="s">
        <v>700</v>
      </c>
      <c r="G3544" s="3" t="s">
        <v>19</v>
      </c>
      <c r="H3544" s="2" t="s">
        <v>20</v>
      </c>
      <c r="I3544" s="2" t="s">
        <v>7045</v>
      </c>
      <c r="J3544" s="3" t="str">
        <f>HYPERLINK("https://www.boe.es/gazeta/dias/1822/06/17/pdfs/GMD-1822-174.pdf#page=5","Abrir facsímil")</f>
        <v>Abrir facsímil</v>
      </c>
      <c r="K3544" s="3" t="s">
        <v>22</v>
      </c>
    </row>
    <row r="3545" spans="1:11" ht="42" customHeight="1">
      <c r="A3545" s="2" t="s">
        <v>6980</v>
      </c>
      <c r="B3545" s="2" t="s">
        <v>6980</v>
      </c>
      <c r="C3545" s="2" t="s">
        <v>1141</v>
      </c>
      <c r="D3545" s="2" t="s">
        <v>29</v>
      </c>
      <c r="E3545" s="5">
        <v>-28319</v>
      </c>
      <c r="F3545" s="3" t="s">
        <v>271</v>
      </c>
      <c r="G3545" s="3" t="s">
        <v>31</v>
      </c>
      <c r="H3545" s="2" t="s">
        <v>20</v>
      </c>
      <c r="I3545" s="2" t="s">
        <v>7046</v>
      </c>
      <c r="J3545" s="3" t="str">
        <f>HYPERLINK("https://www.boe.es/gazeta/dias/1822/06/18/pdfs/GMD-1822-175.pdf#page=3","Abrir facsímil")</f>
        <v>Abrir facsímil</v>
      </c>
      <c r="K3545" s="3" t="s">
        <v>22</v>
      </c>
    </row>
    <row r="3546" spans="1:11" ht="42" customHeight="1">
      <c r="A3546" s="2" t="s">
        <v>6980</v>
      </c>
      <c r="B3546" s="2" t="s">
        <v>6980</v>
      </c>
      <c r="C3546" s="2" t="s">
        <v>42</v>
      </c>
      <c r="D3546" s="2" t="s">
        <v>17</v>
      </c>
      <c r="E3546" s="5">
        <v>-28318</v>
      </c>
      <c r="F3546" s="3" t="s">
        <v>397</v>
      </c>
      <c r="G3546" s="3" t="s">
        <v>31</v>
      </c>
      <c r="H3546" s="2" t="s">
        <v>20</v>
      </c>
      <c r="I3546" s="2" t="s">
        <v>7047</v>
      </c>
      <c r="J3546" s="3" t="str">
        <f>HYPERLINK("https://www.boe.es/gazeta/dias/1822/06/19/pdfs/GMD-1822-176.pdf#page=3","Abrir facsímil")</f>
        <v>Abrir facsímil</v>
      </c>
      <c r="K3546" s="3" t="s">
        <v>22</v>
      </c>
    </row>
    <row r="3547" spans="1:11" ht="42" customHeight="1">
      <c r="A3547" s="2" t="s">
        <v>6980</v>
      </c>
      <c r="B3547" s="2" t="s">
        <v>6980</v>
      </c>
      <c r="C3547" s="2" t="s">
        <v>50</v>
      </c>
      <c r="D3547" s="2" t="s">
        <v>51</v>
      </c>
      <c r="E3547" s="5">
        <v>-28317</v>
      </c>
      <c r="F3547" s="3" t="s">
        <v>546</v>
      </c>
      <c r="G3547" s="3" t="s">
        <v>63</v>
      </c>
      <c r="H3547" s="2" t="s">
        <v>20</v>
      </c>
      <c r="I3547" s="2" t="s">
        <v>7048</v>
      </c>
      <c r="J3547" s="3" t="str">
        <f>HYPERLINK("https://www.boe.es/gazeta/dias/1822/06/20/pdfs/GMD-1822-177.pdf#page=6","Abrir facsímil")</f>
        <v>Abrir facsímil</v>
      </c>
      <c r="K3547" s="3" t="s">
        <v>22</v>
      </c>
    </row>
    <row r="3548" spans="1:11" ht="42" customHeight="1">
      <c r="A3548" s="2" t="s">
        <v>6980</v>
      </c>
      <c r="B3548" s="2" t="s">
        <v>6980</v>
      </c>
      <c r="C3548" s="2" t="s">
        <v>28</v>
      </c>
      <c r="D3548" s="2" t="s">
        <v>29</v>
      </c>
      <c r="E3548" s="5">
        <v>-28314</v>
      </c>
      <c r="F3548" s="3" t="s">
        <v>309</v>
      </c>
      <c r="G3548" s="3" t="s">
        <v>35</v>
      </c>
      <c r="H3548" s="2" t="s">
        <v>20</v>
      </c>
      <c r="I3548" s="2" t="s">
        <v>7049</v>
      </c>
      <c r="J3548" s="3" t="str">
        <f>HYPERLINK("https://www.boe.es/gazeta/dias/1822/06/23/pdfs/GMD-1822-181.pdf#page=2","Abrir facsímil")</f>
        <v>Abrir facsímil</v>
      </c>
      <c r="K3548" s="3" t="s">
        <v>22</v>
      </c>
    </row>
    <row r="3549" spans="1:11" ht="42" customHeight="1">
      <c r="A3549" s="2" t="s">
        <v>6980</v>
      </c>
      <c r="B3549" s="2" t="s">
        <v>6980</v>
      </c>
      <c r="C3549" s="2" t="s">
        <v>50</v>
      </c>
      <c r="D3549" s="2" t="s">
        <v>51</v>
      </c>
      <c r="E3549" s="5">
        <v>-28314</v>
      </c>
      <c r="F3549" s="3" t="s">
        <v>309</v>
      </c>
      <c r="G3549" s="3" t="s">
        <v>31</v>
      </c>
      <c r="H3549" s="2" t="s">
        <v>20</v>
      </c>
      <c r="I3549" s="2" t="s">
        <v>7050</v>
      </c>
      <c r="J3549" s="3" t="str">
        <f>HYPERLINK("https://www.boe.es/gazeta/dias/1822/06/23/pdfs/GMD-1822-181.pdf#page=3","Abrir facsímil")</f>
        <v>Abrir facsímil</v>
      </c>
      <c r="K3549" s="3" t="s">
        <v>22</v>
      </c>
    </row>
    <row r="3550" spans="1:11" ht="42" customHeight="1">
      <c r="A3550" s="2" t="s">
        <v>6980</v>
      </c>
      <c r="B3550" s="2" t="s">
        <v>6980</v>
      </c>
      <c r="C3550" s="2" t="s">
        <v>1141</v>
      </c>
      <c r="D3550" s="2" t="s">
        <v>29</v>
      </c>
      <c r="E3550" s="5">
        <v>-28313</v>
      </c>
      <c r="F3550" s="3" t="s">
        <v>315</v>
      </c>
      <c r="G3550" s="3" t="s">
        <v>549</v>
      </c>
      <c r="H3550" s="2" t="s">
        <v>20</v>
      </c>
      <c r="I3550" s="2" t="s">
        <v>7051</v>
      </c>
      <c r="J3550" s="3" t="str">
        <f>HYPERLINK("https://www.boe.es/gazeta/dias/1822/06/24/pdfs/GMD-1822-182.pdf#page=6","Abrir facsímil")</f>
        <v>Abrir facsímil</v>
      </c>
      <c r="K3550" s="3" t="s">
        <v>22</v>
      </c>
    </row>
    <row r="3551" spans="1:11" ht="42" customHeight="1">
      <c r="A3551" s="2" t="s">
        <v>6980</v>
      </c>
      <c r="B3551" s="2" t="s">
        <v>6980</v>
      </c>
      <c r="C3551" s="2" t="s">
        <v>28</v>
      </c>
      <c r="D3551" s="2" t="s">
        <v>29</v>
      </c>
      <c r="E3551" s="5">
        <v>-28311</v>
      </c>
      <c r="F3551" s="3" t="s">
        <v>736</v>
      </c>
      <c r="G3551" s="3" t="s">
        <v>19</v>
      </c>
      <c r="H3551" s="2" t="s">
        <v>20</v>
      </c>
      <c r="I3551" s="2" t="s">
        <v>7052</v>
      </c>
      <c r="J3551" s="3" t="str">
        <f>HYPERLINK("https://www.boe.es/gazeta/dias/1822/06/26/pdfs/GMD-1822-184.pdf#page=5","Abrir facsímil")</f>
        <v>Abrir facsímil</v>
      </c>
      <c r="K3551" s="3" t="s">
        <v>22</v>
      </c>
    </row>
    <row r="3552" spans="1:11" ht="42" customHeight="1">
      <c r="A3552" s="2" t="s">
        <v>6980</v>
      </c>
      <c r="B3552" s="2" t="s">
        <v>6980</v>
      </c>
      <c r="C3552" s="2" t="s">
        <v>42</v>
      </c>
      <c r="D3552" s="2" t="s">
        <v>17</v>
      </c>
      <c r="E3552" s="5">
        <v>-28310</v>
      </c>
      <c r="F3552" s="3" t="s">
        <v>241</v>
      </c>
      <c r="G3552" s="3" t="s">
        <v>63</v>
      </c>
      <c r="H3552" s="2" t="s">
        <v>20</v>
      </c>
      <c r="I3552" s="2" t="s">
        <v>7053</v>
      </c>
      <c r="J3552" s="3" t="str">
        <f>HYPERLINK("https://www.boe.es/gazeta/dias/1822/06/27/pdfs/GMD-1822-185.pdf#page=6","Abrir facsímil")</f>
        <v>Abrir facsímil</v>
      </c>
      <c r="K3552" s="3" t="s">
        <v>22</v>
      </c>
    </row>
    <row r="3553" spans="1:11" ht="42" customHeight="1">
      <c r="A3553" s="2" t="s">
        <v>6980</v>
      </c>
      <c r="B3553" s="2" t="s">
        <v>6980</v>
      </c>
      <c r="C3553" s="2" t="s">
        <v>42</v>
      </c>
      <c r="D3553" s="2" t="s">
        <v>17</v>
      </c>
      <c r="E3553" s="5">
        <v>-28309</v>
      </c>
      <c r="F3553" s="3" t="s">
        <v>553</v>
      </c>
      <c r="G3553" s="3" t="s">
        <v>19</v>
      </c>
      <c r="H3553" s="2" t="s">
        <v>20</v>
      </c>
      <c r="I3553" s="2" t="s">
        <v>7054</v>
      </c>
      <c r="J3553" s="3" t="str">
        <f>HYPERLINK("https://www.boe.es/gazeta/dias/1822/06/28/pdfs/GMD-1822-186.pdf#page=5","Abrir facsímil")</f>
        <v>Abrir facsímil</v>
      </c>
      <c r="K3553" s="3" t="s">
        <v>22</v>
      </c>
    </row>
    <row r="3554" spans="1:11" ht="42" customHeight="1">
      <c r="A3554" s="2" t="s">
        <v>6980</v>
      </c>
      <c r="B3554" s="2" t="s">
        <v>6980</v>
      </c>
      <c r="C3554" s="2" t="s">
        <v>61</v>
      </c>
      <c r="D3554" s="2" t="s">
        <v>17</v>
      </c>
      <c r="E3554" s="5">
        <v>-28308</v>
      </c>
      <c r="F3554" s="3" t="s">
        <v>1050</v>
      </c>
      <c r="G3554" s="3" t="s">
        <v>19</v>
      </c>
      <c r="H3554" s="2" t="s">
        <v>20</v>
      </c>
      <c r="I3554" s="2" t="s">
        <v>7055</v>
      </c>
      <c r="J3554" s="3" t="str">
        <f>HYPERLINK("https://www.boe.es/gazeta/dias/1822/06/29/pdfs/GMD-1822-187.pdf#page=5","Abrir facsímil")</f>
        <v>Abrir facsímil</v>
      </c>
      <c r="K3554" s="3" t="s">
        <v>22</v>
      </c>
    </row>
    <row r="3555" spans="1:11" ht="42" customHeight="1">
      <c r="A3555" s="2" t="s">
        <v>6980</v>
      </c>
      <c r="B3555" s="2" t="s">
        <v>6980</v>
      </c>
      <c r="C3555" s="2" t="s">
        <v>16</v>
      </c>
      <c r="D3555" s="2" t="s">
        <v>17</v>
      </c>
      <c r="E3555" s="5">
        <v>-28307</v>
      </c>
      <c r="F3555" s="3" t="s">
        <v>555</v>
      </c>
      <c r="G3555" s="3" t="s">
        <v>157</v>
      </c>
      <c r="H3555" s="2" t="s">
        <v>20</v>
      </c>
      <c r="I3555" s="2" t="s">
        <v>7056</v>
      </c>
      <c r="J3555" s="3" t="str">
        <f>HYPERLINK("https://www.boe.es/gazeta/dias/1822/06/30/pdfs/GMD-1822-188.pdf#page=8","Abrir facsímil")</f>
        <v>Abrir facsímil</v>
      </c>
      <c r="K3555" s="3" t="s">
        <v>22</v>
      </c>
    </row>
    <row r="3556" spans="1:11" ht="42" customHeight="1">
      <c r="A3556" s="2" t="s">
        <v>6980</v>
      </c>
      <c r="B3556" s="2" t="s">
        <v>6980</v>
      </c>
      <c r="C3556" s="2" t="s">
        <v>42</v>
      </c>
      <c r="D3556" s="2" t="s">
        <v>17</v>
      </c>
      <c r="E3556" s="5">
        <v>-28271</v>
      </c>
      <c r="F3556" s="3" t="s">
        <v>4942</v>
      </c>
      <c r="G3556" s="3" t="s">
        <v>57</v>
      </c>
      <c r="H3556" s="2" t="s">
        <v>20</v>
      </c>
      <c r="I3556" s="2" t="s">
        <v>7057</v>
      </c>
      <c r="J3556" s="3" t="str">
        <f>HYPERLINK("https://www.boe.es/gazeta/dias/1822/08/05/pdfs/GMD-1822-229.pdf#page=4","Abrir facsímil")</f>
        <v>Abrir facsímil</v>
      </c>
      <c r="K3556" s="3" t="s">
        <v>22</v>
      </c>
    </row>
    <row r="3557" spans="1:11" ht="42" customHeight="1">
      <c r="A3557" s="2" t="s">
        <v>6980</v>
      </c>
      <c r="B3557" s="2" t="s">
        <v>6980</v>
      </c>
      <c r="C3557" s="2" t="s">
        <v>50</v>
      </c>
      <c r="D3557" s="2" t="s">
        <v>51</v>
      </c>
      <c r="E3557" s="5">
        <v>-28203</v>
      </c>
      <c r="F3557" s="3" t="s">
        <v>564</v>
      </c>
      <c r="G3557" s="3" t="s">
        <v>4185</v>
      </c>
      <c r="H3557" s="2" t="s">
        <v>20</v>
      </c>
      <c r="I3557" s="2" t="s">
        <v>7058</v>
      </c>
      <c r="J3557" s="3" t="str">
        <f>HYPERLINK("https://www.boe.es/gazeta/dias/1822/10/12/pdfs/GMD-1822-299.pdf#page=2","Abrir facsímil")</f>
        <v>Abrir facsímil</v>
      </c>
      <c r="K3557" s="3" t="s">
        <v>22</v>
      </c>
    </row>
    <row r="3558" spans="1:11" ht="42" customHeight="1">
      <c r="A3558" s="2" t="s">
        <v>6980</v>
      </c>
      <c r="B3558" s="2" t="s">
        <v>6980</v>
      </c>
      <c r="C3558" s="2" t="s">
        <v>71</v>
      </c>
      <c r="D3558" s="2" t="s">
        <v>17</v>
      </c>
      <c r="E3558" s="5">
        <v>-28203</v>
      </c>
      <c r="F3558" s="3" t="s">
        <v>564</v>
      </c>
      <c r="G3558" s="3" t="s">
        <v>44</v>
      </c>
      <c r="H3558" s="2" t="s">
        <v>20</v>
      </c>
      <c r="I3558" s="2" t="s">
        <v>7059</v>
      </c>
      <c r="J3558" s="3" t="str">
        <f>HYPERLINK("https://www.boe.es/gazeta/dias/1822/10/12/pdfs/GMD-1822-299.pdf#page=1","Abrir facsímil")</f>
        <v>Abrir facsímil</v>
      </c>
      <c r="K3558" s="3" t="s">
        <v>22</v>
      </c>
    </row>
    <row r="3559" spans="1:11" ht="42" customHeight="1">
      <c r="A3559" s="2" t="s">
        <v>6980</v>
      </c>
      <c r="B3559" s="2" t="s">
        <v>6980</v>
      </c>
      <c r="C3559" s="2" t="s">
        <v>42</v>
      </c>
      <c r="D3559" s="2" t="s">
        <v>17</v>
      </c>
      <c r="E3559" s="5">
        <v>-28200</v>
      </c>
      <c r="F3559" s="3" t="s">
        <v>1037</v>
      </c>
      <c r="G3559" s="3" t="s">
        <v>35</v>
      </c>
      <c r="H3559" s="2" t="s">
        <v>20</v>
      </c>
      <c r="I3559" s="2" t="s">
        <v>7060</v>
      </c>
      <c r="J3559" s="3" t="str">
        <f>HYPERLINK("https://www.boe.es/gazeta/dias/1822/10/15/pdfs/GMD-1822-302.pdf#page=2","Abrir facsímil")</f>
        <v>Abrir facsímil</v>
      </c>
      <c r="K3559" s="3" t="s">
        <v>22</v>
      </c>
    </row>
    <row r="3560" spans="1:11" ht="42" customHeight="1">
      <c r="A3560" s="2" t="s">
        <v>6980</v>
      </c>
      <c r="B3560" s="2" t="s">
        <v>6980</v>
      </c>
      <c r="C3560" s="2" t="s">
        <v>50</v>
      </c>
      <c r="D3560" s="2" t="s">
        <v>51</v>
      </c>
      <c r="E3560" s="5">
        <v>-28200</v>
      </c>
      <c r="F3560" s="3" t="s">
        <v>1037</v>
      </c>
      <c r="G3560" s="3" t="s">
        <v>31</v>
      </c>
      <c r="H3560" s="2" t="s">
        <v>20</v>
      </c>
      <c r="I3560" s="2" t="s">
        <v>7061</v>
      </c>
      <c r="J3560" s="3" t="str">
        <f>HYPERLINK("https://www.boe.es/gazeta/dias/1822/10/15/pdfs/GMD-1822-302.pdf#page=3","Abrir facsímil")</f>
        <v>Abrir facsímil</v>
      </c>
      <c r="K3560" s="3" t="s">
        <v>22</v>
      </c>
    </row>
    <row r="3561" spans="1:11" ht="42" customHeight="1">
      <c r="A3561" s="2" t="s">
        <v>6980</v>
      </c>
      <c r="B3561" s="2" t="s">
        <v>6980</v>
      </c>
      <c r="C3561" s="2" t="s">
        <v>28</v>
      </c>
      <c r="D3561" s="2" t="s">
        <v>29</v>
      </c>
      <c r="E3561" s="5">
        <v>-28200</v>
      </c>
      <c r="F3561" s="3" t="s">
        <v>1037</v>
      </c>
      <c r="G3561" s="3" t="s">
        <v>57</v>
      </c>
      <c r="H3561" s="2" t="s">
        <v>20</v>
      </c>
      <c r="I3561" s="2" t="s">
        <v>7062</v>
      </c>
      <c r="J3561" s="3" t="str">
        <f>HYPERLINK("https://www.boe.es/gazeta/dias/1822/10/15/pdfs/GMD-1822-302.pdf#page=4","Abrir facsímil")</f>
        <v>Abrir facsímil</v>
      </c>
      <c r="K3561" s="3" t="s">
        <v>22</v>
      </c>
    </row>
    <row r="3562" spans="1:11" ht="42" customHeight="1">
      <c r="A3562" s="2" t="s">
        <v>6980</v>
      </c>
      <c r="B3562" s="2" t="s">
        <v>6980</v>
      </c>
      <c r="C3562" s="2" t="s">
        <v>42</v>
      </c>
      <c r="D3562" s="2" t="s">
        <v>17</v>
      </c>
      <c r="E3562" s="5">
        <v>-28199</v>
      </c>
      <c r="F3562" s="3" t="s">
        <v>656</v>
      </c>
      <c r="G3562" s="3" t="s">
        <v>31</v>
      </c>
      <c r="H3562" s="2" t="s">
        <v>20</v>
      </c>
      <c r="I3562" s="2" t="s">
        <v>7063</v>
      </c>
      <c r="J3562" s="3" t="str">
        <f>HYPERLINK("https://www.boe.es/gazeta/dias/1822/10/16/pdfs/GMD-1822-303.pdf#page=3","Abrir facsímil")</f>
        <v>Abrir facsímil</v>
      </c>
      <c r="K3562" s="3" t="s">
        <v>22</v>
      </c>
    </row>
    <row r="3563" spans="1:11" ht="42" customHeight="1">
      <c r="A3563" s="2" t="s">
        <v>6980</v>
      </c>
      <c r="B3563" s="2" t="s">
        <v>6980</v>
      </c>
      <c r="C3563" s="2" t="s">
        <v>42</v>
      </c>
      <c r="D3563" s="2" t="s">
        <v>17</v>
      </c>
      <c r="E3563" s="5">
        <v>-28199</v>
      </c>
      <c r="F3563" s="3" t="s">
        <v>656</v>
      </c>
      <c r="G3563" s="3" t="s">
        <v>57</v>
      </c>
      <c r="H3563" s="2" t="s">
        <v>20</v>
      </c>
      <c r="I3563" s="2" t="s">
        <v>7064</v>
      </c>
      <c r="J3563" s="3" t="str">
        <f>HYPERLINK("https://www.boe.es/gazeta/dias/1822/10/16/pdfs/GMD-1822-303.pdf#page=4","Abrir facsímil")</f>
        <v>Abrir facsímil</v>
      </c>
      <c r="K3563" s="3" t="s">
        <v>22</v>
      </c>
    </row>
    <row r="3564" spans="1:11" ht="42" customHeight="1">
      <c r="A3564" s="2" t="s">
        <v>6980</v>
      </c>
      <c r="B3564" s="2" t="s">
        <v>6980</v>
      </c>
      <c r="C3564" s="2" t="s">
        <v>42</v>
      </c>
      <c r="D3564" s="2" t="s">
        <v>17</v>
      </c>
      <c r="E3564" s="5">
        <v>-28198</v>
      </c>
      <c r="F3564" s="3" t="s">
        <v>981</v>
      </c>
      <c r="G3564" s="3" t="s">
        <v>31</v>
      </c>
      <c r="H3564" s="2" t="s">
        <v>20</v>
      </c>
      <c r="I3564" s="2" t="s">
        <v>7065</v>
      </c>
      <c r="J3564" s="3" t="str">
        <f>HYPERLINK("https://www.boe.es/gazeta/dias/1822/10/17/pdfs/GMD-1822-304.pdf#page=3","Abrir facsímil")</f>
        <v>Abrir facsímil</v>
      </c>
      <c r="K3564" s="3" t="s">
        <v>22</v>
      </c>
    </row>
    <row r="3565" spans="1:11" ht="42" customHeight="1">
      <c r="A3565" s="2" t="s">
        <v>6980</v>
      </c>
      <c r="B3565" s="2" t="s">
        <v>6980</v>
      </c>
      <c r="C3565" s="2" t="s">
        <v>42</v>
      </c>
      <c r="D3565" s="2" t="s">
        <v>17</v>
      </c>
      <c r="E3565" s="5">
        <v>-28195</v>
      </c>
      <c r="F3565" s="3" t="s">
        <v>770</v>
      </c>
      <c r="G3565" s="3" t="s">
        <v>57</v>
      </c>
      <c r="H3565" s="2" t="s">
        <v>20</v>
      </c>
      <c r="I3565" s="2" t="s">
        <v>7066</v>
      </c>
      <c r="J3565" s="3" t="str">
        <f>HYPERLINK("https://www.boe.es/gazeta/dias/1822/10/20/pdfs/GMD-1822-307.pdf#page=4","Abrir facsímil")</f>
        <v>Abrir facsímil</v>
      </c>
      <c r="K3565" s="3" t="s">
        <v>22</v>
      </c>
    </row>
    <row r="3566" spans="1:11" ht="42" customHeight="1">
      <c r="A3566" s="2" t="s">
        <v>6980</v>
      </c>
      <c r="B3566" s="2" t="s">
        <v>6980</v>
      </c>
      <c r="C3566" s="2" t="s">
        <v>42</v>
      </c>
      <c r="D3566" s="2" t="s">
        <v>17</v>
      </c>
      <c r="E3566" s="5">
        <v>-28194</v>
      </c>
      <c r="F3566" s="3" t="s">
        <v>18</v>
      </c>
      <c r="G3566" s="3" t="s">
        <v>19</v>
      </c>
      <c r="H3566" s="2" t="s">
        <v>20</v>
      </c>
      <c r="I3566" s="2" t="s">
        <v>7067</v>
      </c>
      <c r="J3566" s="3" t="str">
        <f>HYPERLINK("https://www.boe.es/gazeta/dias/1822/10/21/pdfs/GMD-1822-308.pdf#page=5","Abrir facsímil")</f>
        <v>Abrir facsímil</v>
      </c>
      <c r="K3566" s="3" t="s">
        <v>22</v>
      </c>
    </row>
    <row r="3567" spans="1:11" ht="42" customHeight="1">
      <c r="A3567" s="2" t="s">
        <v>6980</v>
      </c>
      <c r="B3567" s="2" t="s">
        <v>6980</v>
      </c>
      <c r="C3567" s="2" t="s">
        <v>71</v>
      </c>
      <c r="D3567" s="2" t="s">
        <v>17</v>
      </c>
      <c r="E3567" s="5">
        <v>-28193</v>
      </c>
      <c r="F3567" s="3" t="s">
        <v>574</v>
      </c>
      <c r="G3567" s="3" t="s">
        <v>57</v>
      </c>
      <c r="H3567" s="2" t="s">
        <v>20</v>
      </c>
      <c r="I3567" s="2" t="s">
        <v>7068</v>
      </c>
      <c r="J3567" s="3" t="str">
        <f>HYPERLINK("https://www.boe.es/gazeta/dias/1822/10/22/pdfs/GMD-1822-309.pdf#page=4","Abrir facsímil")</f>
        <v>Abrir facsímil</v>
      </c>
      <c r="K3567" s="3" t="s">
        <v>22</v>
      </c>
    </row>
    <row r="3568" spans="1:11" ht="42" customHeight="1">
      <c r="A3568" s="2" t="s">
        <v>6980</v>
      </c>
      <c r="B3568" s="2" t="s">
        <v>6980</v>
      </c>
      <c r="C3568" s="2" t="s">
        <v>42</v>
      </c>
      <c r="D3568" s="2" t="s">
        <v>17</v>
      </c>
      <c r="E3568" s="5">
        <v>-28192</v>
      </c>
      <c r="F3568" s="3" t="s">
        <v>43</v>
      </c>
      <c r="G3568" s="3" t="s">
        <v>63</v>
      </c>
      <c r="H3568" s="2" t="s">
        <v>20</v>
      </c>
      <c r="I3568" s="2" t="s">
        <v>7069</v>
      </c>
      <c r="J3568" s="3" t="str">
        <f>HYPERLINK("https://www.boe.es/gazeta/dias/1822/10/23/pdfs/GMD-1822-310.pdf#page=6","Abrir facsímil")</f>
        <v>Abrir facsímil</v>
      </c>
      <c r="K3568" s="3" t="s">
        <v>22</v>
      </c>
    </row>
    <row r="3569" spans="1:11" ht="42" customHeight="1">
      <c r="A3569" s="2" t="s">
        <v>6980</v>
      </c>
      <c r="B3569" s="2" t="s">
        <v>6980</v>
      </c>
      <c r="C3569" s="2" t="s">
        <v>42</v>
      </c>
      <c r="D3569" s="2" t="s">
        <v>17</v>
      </c>
      <c r="E3569" s="5">
        <v>-28191</v>
      </c>
      <c r="F3569" s="3" t="s">
        <v>710</v>
      </c>
      <c r="G3569" s="3" t="s">
        <v>63</v>
      </c>
      <c r="H3569" s="2" t="s">
        <v>20</v>
      </c>
      <c r="I3569" s="2" t="s">
        <v>7070</v>
      </c>
      <c r="J3569" s="3" t="str">
        <f>HYPERLINK("https://www.boe.es/gazeta/dias/1822/10/24/pdfs/GMD-1822-311.pdf#page=6","Abrir facsímil")</f>
        <v>Abrir facsímil</v>
      </c>
      <c r="K3569" s="3" t="s">
        <v>22</v>
      </c>
    </row>
    <row r="3570" spans="1:11" ht="42" customHeight="1">
      <c r="A3570" s="2" t="s">
        <v>6980</v>
      </c>
      <c r="B3570" s="2" t="s">
        <v>6980</v>
      </c>
      <c r="C3570" s="2" t="s">
        <v>50</v>
      </c>
      <c r="D3570" s="2" t="s">
        <v>51</v>
      </c>
      <c r="E3570" s="5">
        <v>-28190</v>
      </c>
      <c r="F3570" s="3" t="s">
        <v>576</v>
      </c>
      <c r="G3570" s="3" t="s">
        <v>57</v>
      </c>
      <c r="H3570" s="2" t="s">
        <v>20</v>
      </c>
      <c r="I3570" s="2" t="s">
        <v>7071</v>
      </c>
      <c r="J3570" s="3" t="str">
        <f>HYPERLINK("https://www.boe.es/gazeta/dias/1822/10/25/pdfs/GMD-1822-312.pdf#page=4","Abrir facsímil")</f>
        <v>Abrir facsímil</v>
      </c>
      <c r="K3570" s="3" t="s">
        <v>22</v>
      </c>
    </row>
    <row r="3571" spans="1:11" ht="42" customHeight="1">
      <c r="A3571" s="2" t="s">
        <v>6980</v>
      </c>
      <c r="B3571" s="2" t="s">
        <v>6980</v>
      </c>
      <c r="C3571" s="2" t="s">
        <v>50</v>
      </c>
      <c r="D3571" s="2" t="s">
        <v>51</v>
      </c>
      <c r="E3571" s="5">
        <v>-28189</v>
      </c>
      <c r="F3571" s="3" t="s">
        <v>645</v>
      </c>
      <c r="G3571" s="3" t="s">
        <v>35</v>
      </c>
      <c r="H3571" s="2" t="s">
        <v>20</v>
      </c>
      <c r="I3571" s="2" t="s">
        <v>7072</v>
      </c>
      <c r="J3571" s="3" t="str">
        <f>HYPERLINK("https://www.boe.es/gazeta/dias/1822/10/26/pdfs/GMD-1822-313.pdf#page=2","Abrir facsímil")</f>
        <v>Abrir facsímil</v>
      </c>
      <c r="K3571" s="3" t="s">
        <v>22</v>
      </c>
    </row>
    <row r="3572" spans="1:11" ht="42" customHeight="1">
      <c r="A3572" s="2" t="s">
        <v>6980</v>
      </c>
      <c r="B3572" s="2" t="s">
        <v>6980</v>
      </c>
      <c r="C3572" s="2" t="s">
        <v>28</v>
      </c>
      <c r="D3572" s="2" t="s">
        <v>29</v>
      </c>
      <c r="E3572" s="5">
        <v>-28187</v>
      </c>
      <c r="F3572" s="3" t="s">
        <v>929</v>
      </c>
      <c r="G3572" s="3" t="s">
        <v>31</v>
      </c>
      <c r="H3572" s="2" t="s">
        <v>20</v>
      </c>
      <c r="I3572" s="2" t="s">
        <v>7073</v>
      </c>
      <c r="J3572" s="3" t="str">
        <f>HYPERLINK("https://www.boe.es/gazeta/dias/1822/10/28/pdfs/GMD-1822-315.pdf#page=3","Abrir facsímil")</f>
        <v>Abrir facsímil</v>
      </c>
      <c r="K3572" s="3" t="s">
        <v>22</v>
      </c>
    </row>
    <row r="3573" spans="1:11" ht="42" customHeight="1">
      <c r="A3573" s="2" t="s">
        <v>6980</v>
      </c>
      <c r="B3573" s="2" t="s">
        <v>6980</v>
      </c>
      <c r="C3573" s="2" t="s">
        <v>42</v>
      </c>
      <c r="D3573" s="2" t="s">
        <v>17</v>
      </c>
      <c r="E3573" s="5">
        <v>-28186</v>
      </c>
      <c r="F3573" s="3" t="s">
        <v>581</v>
      </c>
      <c r="G3573" s="3" t="s">
        <v>31</v>
      </c>
      <c r="H3573" s="2" t="s">
        <v>20</v>
      </c>
      <c r="I3573" s="2" t="s">
        <v>7074</v>
      </c>
      <c r="J3573" s="3" t="str">
        <f>HYPERLINK("https://www.boe.es/gazeta/dias/1822/10/29/pdfs/GMD-1822-316.pdf#page=3","Abrir facsímil")</f>
        <v>Abrir facsímil</v>
      </c>
      <c r="K3573" s="3" t="s">
        <v>22</v>
      </c>
    </row>
    <row r="3574" spans="1:11" ht="42" customHeight="1">
      <c r="A3574" s="2" t="s">
        <v>6980</v>
      </c>
      <c r="B3574" s="2" t="s">
        <v>6980</v>
      </c>
      <c r="C3574" s="2" t="s">
        <v>24</v>
      </c>
      <c r="D3574" s="2" t="s">
        <v>17</v>
      </c>
      <c r="E3574" s="5">
        <v>-28185</v>
      </c>
      <c r="F3574" s="3" t="s">
        <v>933</v>
      </c>
      <c r="G3574" s="3" t="s">
        <v>35</v>
      </c>
      <c r="H3574" s="2" t="s">
        <v>20</v>
      </c>
      <c r="I3574" s="2" t="s">
        <v>7075</v>
      </c>
      <c r="J3574" s="3" t="str">
        <f>HYPERLINK("https://www.boe.es/gazeta/dias/1822/10/30/pdfs/GMD-1822-317.pdf#page=2","Abrir facsímil")</f>
        <v>Abrir facsímil</v>
      </c>
      <c r="K3574" s="3" t="s">
        <v>22</v>
      </c>
    </row>
    <row r="3575" spans="1:11" ht="42" customHeight="1">
      <c r="A3575" s="2" t="s">
        <v>6980</v>
      </c>
      <c r="B3575" s="2" t="s">
        <v>6980</v>
      </c>
      <c r="C3575" s="2" t="s">
        <v>42</v>
      </c>
      <c r="D3575" s="2" t="s">
        <v>17</v>
      </c>
      <c r="E3575" s="5">
        <v>-28184</v>
      </c>
      <c r="F3575" s="3" t="s">
        <v>1423</v>
      </c>
      <c r="G3575" s="3" t="s">
        <v>35</v>
      </c>
      <c r="H3575" s="2" t="s">
        <v>20</v>
      </c>
      <c r="I3575" s="2" t="s">
        <v>7076</v>
      </c>
      <c r="J3575" s="3" t="str">
        <f>HYPERLINK("https://www.boe.es/gazeta/dias/1822/10/31/pdfs/GMD-1822-318.pdf#page=2","Abrir facsímil")</f>
        <v>Abrir facsímil</v>
      </c>
      <c r="K3575" s="3" t="s">
        <v>22</v>
      </c>
    </row>
    <row r="3576" spans="1:11" ht="42" customHeight="1">
      <c r="A3576" s="2" t="s">
        <v>6980</v>
      </c>
      <c r="B3576" s="2" t="s">
        <v>6980</v>
      </c>
      <c r="C3576" s="2" t="s">
        <v>50</v>
      </c>
      <c r="D3576" s="2" t="s">
        <v>51</v>
      </c>
      <c r="E3576" s="5">
        <v>-28183</v>
      </c>
      <c r="F3576" s="3" t="s">
        <v>583</v>
      </c>
      <c r="G3576" s="3" t="s">
        <v>63</v>
      </c>
      <c r="H3576" s="2" t="s">
        <v>20</v>
      </c>
      <c r="I3576" s="2" t="s">
        <v>7077</v>
      </c>
      <c r="J3576" s="3" t="str">
        <f>HYPERLINK("https://www.boe.es/gazeta/dias/1822/11/01/pdfs/GMD-1822-319.pdf#page=6","Abrir facsímil")</f>
        <v>Abrir facsímil</v>
      </c>
      <c r="K3576" s="3" t="s">
        <v>22</v>
      </c>
    </row>
    <row r="3577" spans="1:11" ht="42" customHeight="1">
      <c r="A3577" s="2" t="s">
        <v>6980</v>
      </c>
      <c r="B3577" s="2" t="s">
        <v>6980</v>
      </c>
      <c r="C3577" s="2" t="s">
        <v>71</v>
      </c>
      <c r="D3577" s="2" t="s">
        <v>17</v>
      </c>
      <c r="E3577" s="5">
        <v>-28179</v>
      </c>
      <c r="F3577" s="3" t="s">
        <v>935</v>
      </c>
      <c r="G3577" s="3" t="s">
        <v>44</v>
      </c>
      <c r="H3577" s="2" t="s">
        <v>20</v>
      </c>
      <c r="I3577" s="2" t="s">
        <v>7078</v>
      </c>
      <c r="J3577" s="3" t="str">
        <f>HYPERLINK("https://www.boe.es/gazeta/dias/1822/11/05/pdfs/GMD-1822-325.pdf#page=1","Abrir facsímil")</f>
        <v>Abrir facsímil</v>
      </c>
      <c r="K3577" s="3" t="s">
        <v>22</v>
      </c>
    </row>
    <row r="3578" spans="1:11" ht="42" customHeight="1">
      <c r="A3578" s="2" t="s">
        <v>6980</v>
      </c>
      <c r="B3578" s="2" t="s">
        <v>6980</v>
      </c>
      <c r="C3578" s="2" t="s">
        <v>42</v>
      </c>
      <c r="D3578" s="2" t="s">
        <v>17</v>
      </c>
      <c r="E3578" s="5">
        <v>-28179</v>
      </c>
      <c r="F3578" s="3" t="s">
        <v>935</v>
      </c>
      <c r="G3578" s="3" t="s">
        <v>31</v>
      </c>
      <c r="H3578" s="2" t="s">
        <v>20</v>
      </c>
      <c r="I3578" s="2" t="s">
        <v>7079</v>
      </c>
      <c r="J3578" s="3" t="str">
        <f>HYPERLINK("https://www.boe.es/gazeta/dias/1822/11/05/pdfs/GMD-1822-325.pdf#page=3","Abrir facsímil")</f>
        <v>Abrir facsímil</v>
      </c>
      <c r="K3578" s="3" t="s">
        <v>22</v>
      </c>
    </row>
    <row r="3579" spans="1:11" ht="42" customHeight="1">
      <c r="A3579" s="2" t="s">
        <v>6980</v>
      </c>
      <c r="B3579" s="2" t="s">
        <v>6980</v>
      </c>
      <c r="C3579" s="2" t="s">
        <v>71</v>
      </c>
      <c r="D3579" s="2" t="s">
        <v>17</v>
      </c>
      <c r="E3579" s="5">
        <v>-28178</v>
      </c>
      <c r="F3579" s="3" t="s">
        <v>318</v>
      </c>
      <c r="G3579" s="3" t="s">
        <v>31</v>
      </c>
      <c r="H3579" s="2" t="s">
        <v>20</v>
      </c>
      <c r="I3579" s="2" t="s">
        <v>7080</v>
      </c>
      <c r="J3579" s="3" t="str">
        <f>HYPERLINK("https://www.boe.es/gazeta/dias/1822/11/06/pdfs/GMD-1822-326.pdf#page=3","Abrir facsímil")</f>
        <v>Abrir facsímil</v>
      </c>
      <c r="K3579" s="3" t="s">
        <v>22</v>
      </c>
    </row>
    <row r="3580" spans="1:11" ht="42" customHeight="1">
      <c r="A3580" s="2" t="s">
        <v>6980</v>
      </c>
      <c r="B3580" s="2" t="s">
        <v>6980</v>
      </c>
      <c r="C3580" s="2" t="s">
        <v>42</v>
      </c>
      <c r="D3580" s="2" t="s">
        <v>17</v>
      </c>
      <c r="E3580" s="5">
        <v>-28177</v>
      </c>
      <c r="F3580" s="3" t="s">
        <v>587</v>
      </c>
      <c r="G3580" s="3" t="s">
        <v>888</v>
      </c>
      <c r="H3580" s="2" t="s">
        <v>20</v>
      </c>
      <c r="I3580" s="2" t="s">
        <v>7081</v>
      </c>
      <c r="J3580" s="3" t="str">
        <f>HYPERLINK("https://www.boe.es/gazeta/dias/1822/11/07/pdfs/GMD-1822-327.pdf#page=4","Abrir facsímil")</f>
        <v>Abrir facsímil</v>
      </c>
      <c r="K3580" s="3" t="s">
        <v>22</v>
      </c>
    </row>
    <row r="3581" spans="1:11" ht="42" customHeight="1">
      <c r="A3581" s="2" t="s">
        <v>6980</v>
      </c>
      <c r="B3581" s="2" t="s">
        <v>6980</v>
      </c>
      <c r="C3581" s="2" t="s">
        <v>71</v>
      </c>
      <c r="D3581" s="2" t="s">
        <v>17</v>
      </c>
      <c r="E3581" s="5">
        <v>-28176</v>
      </c>
      <c r="F3581" s="3" t="s">
        <v>780</v>
      </c>
      <c r="G3581" s="3" t="s">
        <v>5014</v>
      </c>
      <c r="H3581" s="2" t="s">
        <v>20</v>
      </c>
      <c r="I3581" s="2" t="s">
        <v>7082</v>
      </c>
      <c r="J3581" s="3" t="str">
        <f>HYPERLINK("https://www.boe.es/gazeta/dias/1822/11/08/pdfs/GMD-1822-328.pdf#page=4","Abrir facsímil")</f>
        <v>Abrir facsímil</v>
      </c>
      <c r="K3581" s="3" t="s">
        <v>22</v>
      </c>
    </row>
    <row r="3582" spans="1:11" ht="42" customHeight="1">
      <c r="A3582" s="2" t="s">
        <v>6980</v>
      </c>
      <c r="B3582" s="2" t="s">
        <v>6980</v>
      </c>
      <c r="C3582" s="2" t="s">
        <v>16</v>
      </c>
      <c r="D3582" s="2" t="s">
        <v>17</v>
      </c>
      <c r="E3582" s="5">
        <v>-28176</v>
      </c>
      <c r="F3582" s="3" t="s">
        <v>780</v>
      </c>
      <c r="G3582" s="3" t="s">
        <v>31</v>
      </c>
      <c r="H3582" s="2" t="s">
        <v>20</v>
      </c>
      <c r="I3582" s="2" t="s">
        <v>7083</v>
      </c>
      <c r="J3582" s="3" t="str">
        <f>HYPERLINK("https://www.boe.es/gazeta/dias/1822/11/08/pdfs/GMD-1822-328.pdf#page=3","Abrir facsímil")</f>
        <v>Abrir facsímil</v>
      </c>
      <c r="K3582" s="3" t="s">
        <v>22</v>
      </c>
    </row>
    <row r="3583" spans="1:11" ht="42" customHeight="1">
      <c r="A3583" s="2" t="s">
        <v>6980</v>
      </c>
      <c r="B3583" s="2" t="s">
        <v>6980</v>
      </c>
      <c r="C3583" s="2" t="s">
        <v>50</v>
      </c>
      <c r="D3583" s="2" t="s">
        <v>51</v>
      </c>
      <c r="E3583" s="5">
        <v>-28175</v>
      </c>
      <c r="F3583" s="3" t="s">
        <v>341</v>
      </c>
      <c r="G3583" s="3" t="s">
        <v>63</v>
      </c>
      <c r="H3583" s="2" t="s">
        <v>20</v>
      </c>
      <c r="I3583" s="2" t="s">
        <v>7084</v>
      </c>
      <c r="J3583" s="3" t="str">
        <f>HYPERLINK("https://www.boe.es/gazeta/dias/1822/11/09/pdfs/GMD-1822-329.pdf#page=6","Abrir facsímil")</f>
        <v>Abrir facsímil</v>
      </c>
      <c r="K3583" s="3" t="s">
        <v>22</v>
      </c>
    </row>
    <row r="3584" spans="1:11" ht="42" customHeight="1">
      <c r="A3584" s="2" t="s">
        <v>6980</v>
      </c>
      <c r="B3584" s="2" t="s">
        <v>6980</v>
      </c>
      <c r="C3584" s="2" t="s">
        <v>71</v>
      </c>
      <c r="D3584" s="2" t="s">
        <v>17</v>
      </c>
      <c r="E3584" s="5">
        <v>-28174</v>
      </c>
      <c r="F3584" s="3" t="s">
        <v>881</v>
      </c>
      <c r="G3584" s="3" t="s">
        <v>63</v>
      </c>
      <c r="H3584" s="2" t="s">
        <v>20</v>
      </c>
      <c r="I3584" s="2" t="s">
        <v>7085</v>
      </c>
      <c r="J3584" s="3" t="str">
        <f>HYPERLINK("https://www.boe.es/gazeta/dias/1822/11/10/pdfs/GMD-1822-330.pdf#page=6","Abrir facsímil")</f>
        <v>Abrir facsímil</v>
      </c>
      <c r="K3584" s="3" t="s">
        <v>22</v>
      </c>
    </row>
    <row r="3585" spans="1:11" ht="42" customHeight="1">
      <c r="A3585" s="2" t="s">
        <v>6980</v>
      </c>
      <c r="B3585" s="2" t="s">
        <v>6980</v>
      </c>
      <c r="C3585" s="2" t="s">
        <v>16</v>
      </c>
      <c r="D3585" s="2" t="s">
        <v>17</v>
      </c>
      <c r="E3585" s="5">
        <v>-28173</v>
      </c>
      <c r="F3585" s="3" t="s">
        <v>2959</v>
      </c>
      <c r="G3585" s="3" t="s">
        <v>57</v>
      </c>
      <c r="H3585" s="2" t="s">
        <v>20</v>
      </c>
      <c r="I3585" s="2" t="s">
        <v>7086</v>
      </c>
      <c r="J3585" s="3" t="str">
        <f>HYPERLINK("https://www.boe.es/gazeta/dias/1822/11/11/pdfs/GMD-1822-331.pdf#page=4","Abrir facsímil")</f>
        <v>Abrir facsímil</v>
      </c>
      <c r="K3585" s="3" t="s">
        <v>22</v>
      </c>
    </row>
    <row r="3586" spans="1:11" ht="42" customHeight="1">
      <c r="A3586" s="2" t="s">
        <v>6980</v>
      </c>
      <c r="B3586" s="2" t="s">
        <v>6980</v>
      </c>
      <c r="C3586" s="2" t="s">
        <v>50</v>
      </c>
      <c r="D3586" s="2" t="s">
        <v>51</v>
      </c>
      <c r="E3586" s="5">
        <v>-28172</v>
      </c>
      <c r="F3586" s="3" t="s">
        <v>674</v>
      </c>
      <c r="G3586" s="3" t="s">
        <v>35</v>
      </c>
      <c r="H3586" s="2" t="s">
        <v>20</v>
      </c>
      <c r="I3586" s="2" t="s">
        <v>7087</v>
      </c>
      <c r="J3586" s="3" t="str">
        <f>HYPERLINK("https://www.boe.es/gazeta/dias/1822/11/12/pdfs/GMD-1822-332.pdf#page=2","Abrir facsímil")</f>
        <v>Abrir facsímil</v>
      </c>
      <c r="K3586" s="3" t="s">
        <v>22</v>
      </c>
    </row>
    <row r="3587" spans="1:11" ht="42" customHeight="1">
      <c r="A3587" s="2" t="s">
        <v>6980</v>
      </c>
      <c r="B3587" s="2" t="s">
        <v>6980</v>
      </c>
      <c r="C3587" s="2" t="s">
        <v>50</v>
      </c>
      <c r="D3587" s="2" t="s">
        <v>51</v>
      </c>
      <c r="E3587" s="5">
        <v>-28172</v>
      </c>
      <c r="F3587" s="3" t="s">
        <v>674</v>
      </c>
      <c r="G3587" s="3" t="s">
        <v>31</v>
      </c>
      <c r="H3587" s="2" t="s">
        <v>20</v>
      </c>
      <c r="I3587" s="2" t="s">
        <v>7088</v>
      </c>
      <c r="J3587" s="3" t="str">
        <f>HYPERLINK("https://www.boe.es/gazeta/dias/1822/11/12/pdfs/GMD-1822-332.pdf#page=3","Abrir facsímil")</f>
        <v>Abrir facsímil</v>
      </c>
      <c r="K3587" s="3" t="s">
        <v>22</v>
      </c>
    </row>
    <row r="3588" spans="1:11" ht="42" customHeight="1">
      <c r="A3588" s="2" t="s">
        <v>6980</v>
      </c>
      <c r="B3588" s="2" t="s">
        <v>6980</v>
      </c>
      <c r="C3588" s="2" t="s">
        <v>50</v>
      </c>
      <c r="D3588" s="2" t="s">
        <v>51</v>
      </c>
      <c r="E3588" s="5">
        <v>-28171</v>
      </c>
      <c r="F3588" s="3" t="s">
        <v>1075</v>
      </c>
      <c r="G3588" s="3" t="s">
        <v>35</v>
      </c>
      <c r="H3588" s="2" t="s">
        <v>20</v>
      </c>
      <c r="I3588" s="2" t="s">
        <v>7089</v>
      </c>
      <c r="J3588" s="3" t="str">
        <f>HYPERLINK("https://www.boe.es/gazeta/dias/1822/11/13/pdfs/GMD-1822-333.pdf#page=2","Abrir facsímil")</f>
        <v>Abrir facsímil</v>
      </c>
      <c r="K3588" s="3" t="s">
        <v>22</v>
      </c>
    </row>
    <row r="3589" spans="1:11" ht="42" customHeight="1">
      <c r="A3589" s="2" t="s">
        <v>6980</v>
      </c>
      <c r="B3589" s="2" t="s">
        <v>6980</v>
      </c>
      <c r="C3589" s="2" t="s">
        <v>42</v>
      </c>
      <c r="D3589" s="2" t="s">
        <v>17</v>
      </c>
      <c r="E3589" s="5">
        <v>-28171</v>
      </c>
      <c r="F3589" s="3" t="s">
        <v>1075</v>
      </c>
      <c r="G3589" s="3" t="s">
        <v>31</v>
      </c>
      <c r="H3589" s="2" t="s">
        <v>20</v>
      </c>
      <c r="I3589" s="2" t="s">
        <v>7090</v>
      </c>
      <c r="J3589" s="3" t="str">
        <f>HYPERLINK("https://www.boe.es/gazeta/dias/1822/11/13/pdfs/GMD-1822-333.pdf#page=3","Abrir facsímil")</f>
        <v>Abrir facsímil</v>
      </c>
      <c r="K3589" s="3" t="s">
        <v>22</v>
      </c>
    </row>
    <row r="3590" spans="1:11" ht="42" customHeight="1">
      <c r="A3590" s="2" t="s">
        <v>6980</v>
      </c>
      <c r="B3590" s="2" t="s">
        <v>6980</v>
      </c>
      <c r="C3590" s="2" t="s">
        <v>16</v>
      </c>
      <c r="D3590" s="2" t="s">
        <v>17</v>
      </c>
      <c r="E3590" s="5">
        <v>-28169</v>
      </c>
      <c r="F3590" s="3" t="s">
        <v>2571</v>
      </c>
      <c r="G3590" s="3" t="s">
        <v>35</v>
      </c>
      <c r="H3590" s="2" t="s">
        <v>20</v>
      </c>
      <c r="I3590" s="2" t="s">
        <v>7091</v>
      </c>
      <c r="J3590" s="3" t="str">
        <f>HYPERLINK("https://www.boe.es/gazeta/dias/1822/11/15/pdfs/GMD-1822-335.pdf#page=2","Abrir facsímil")</f>
        <v>Abrir facsímil</v>
      </c>
      <c r="K3590" s="3" t="s">
        <v>22</v>
      </c>
    </row>
    <row r="3591" spans="1:11" ht="42" customHeight="1">
      <c r="A3591" s="2" t="s">
        <v>6980</v>
      </c>
      <c r="B3591" s="2" t="s">
        <v>6980</v>
      </c>
      <c r="C3591" s="2" t="s">
        <v>42</v>
      </c>
      <c r="D3591" s="2" t="s">
        <v>17</v>
      </c>
      <c r="E3591" s="5">
        <v>-28169</v>
      </c>
      <c r="F3591" s="3" t="s">
        <v>2571</v>
      </c>
      <c r="G3591" s="3" t="s">
        <v>19</v>
      </c>
      <c r="H3591" s="2" t="s">
        <v>20</v>
      </c>
      <c r="I3591" s="2" t="s">
        <v>7092</v>
      </c>
      <c r="J3591" s="3" t="str">
        <f>HYPERLINK("https://www.boe.es/gazeta/dias/1822/11/15/pdfs/GMD-1822-335.pdf#page=5","Abrir facsímil")</f>
        <v>Abrir facsímil</v>
      </c>
      <c r="K3591" s="3" t="s">
        <v>22</v>
      </c>
    </row>
    <row r="3592" spans="1:11" ht="42" customHeight="1">
      <c r="A3592" s="2" t="s">
        <v>6980</v>
      </c>
      <c r="B3592" s="2" t="s">
        <v>6980</v>
      </c>
      <c r="C3592" s="2" t="s">
        <v>50</v>
      </c>
      <c r="D3592" s="2" t="s">
        <v>51</v>
      </c>
      <c r="E3592" s="5">
        <v>-28168</v>
      </c>
      <c r="F3592" s="3" t="s">
        <v>3672</v>
      </c>
      <c r="G3592" s="3" t="s">
        <v>31</v>
      </c>
      <c r="H3592" s="2" t="s">
        <v>20</v>
      </c>
      <c r="I3592" s="2" t="s">
        <v>7093</v>
      </c>
      <c r="J3592" s="3" t="str">
        <f>HYPERLINK("https://www.boe.es/gazeta/dias/1822/11/16/pdfs/GMD-1822-336.pdf#page=3","Abrir facsímil")</f>
        <v>Abrir facsímil</v>
      </c>
      <c r="K3592" s="3" t="s">
        <v>22</v>
      </c>
    </row>
    <row r="3593" spans="1:11" ht="42" customHeight="1">
      <c r="A3593" s="2" t="s">
        <v>6980</v>
      </c>
      <c r="B3593" s="2" t="s">
        <v>6980</v>
      </c>
      <c r="C3593" s="2" t="s">
        <v>71</v>
      </c>
      <c r="D3593" s="2" t="s">
        <v>17</v>
      </c>
      <c r="E3593" s="5">
        <v>-28167</v>
      </c>
      <c r="F3593" s="3" t="s">
        <v>904</v>
      </c>
      <c r="G3593" s="3" t="s">
        <v>31</v>
      </c>
      <c r="H3593" s="2" t="s">
        <v>20</v>
      </c>
      <c r="I3593" s="2" t="s">
        <v>7094</v>
      </c>
      <c r="J3593" s="3" t="str">
        <f>HYPERLINK("https://www.boe.es/gazeta/dias/1822/11/17/pdfs/GMD-1822-337.pdf#page=3","Abrir facsímil")</f>
        <v>Abrir facsímil</v>
      </c>
      <c r="K3593" s="3" t="s">
        <v>22</v>
      </c>
    </row>
    <row r="3594" spans="1:11" ht="42" customHeight="1">
      <c r="A3594" s="2" t="s">
        <v>6980</v>
      </c>
      <c r="B3594" s="2" t="s">
        <v>6980</v>
      </c>
      <c r="C3594" s="2" t="s">
        <v>42</v>
      </c>
      <c r="D3594" s="2" t="s">
        <v>17</v>
      </c>
      <c r="E3594" s="5">
        <v>-28164</v>
      </c>
      <c r="F3594" s="3" t="s">
        <v>2172</v>
      </c>
      <c r="G3594" s="3" t="s">
        <v>31</v>
      </c>
      <c r="H3594" s="2" t="s">
        <v>20</v>
      </c>
      <c r="I3594" s="2" t="s">
        <v>7095</v>
      </c>
      <c r="J3594" s="3" t="str">
        <f>HYPERLINK("https://www.boe.es/gazeta/dias/1822/11/20/pdfs/GMD-1822-340.pdf#page=3","Abrir facsímil")</f>
        <v>Abrir facsímil</v>
      </c>
      <c r="K3594" s="3" t="s">
        <v>22</v>
      </c>
    </row>
    <row r="3595" spans="1:11" ht="42" customHeight="1">
      <c r="A3595" s="2" t="s">
        <v>6980</v>
      </c>
      <c r="B3595" s="2" t="s">
        <v>6980</v>
      </c>
      <c r="C3595" s="2" t="s">
        <v>50</v>
      </c>
      <c r="D3595" s="2" t="s">
        <v>51</v>
      </c>
      <c r="E3595" s="5">
        <v>-28164</v>
      </c>
      <c r="F3595" s="3" t="s">
        <v>2172</v>
      </c>
      <c r="G3595" s="3" t="s">
        <v>57</v>
      </c>
      <c r="H3595" s="2" t="s">
        <v>20</v>
      </c>
      <c r="I3595" s="2" t="s">
        <v>7096</v>
      </c>
      <c r="J3595" s="3" t="str">
        <f>HYPERLINK("https://www.boe.es/gazeta/dias/1822/11/20/pdfs/GMD-1822-340.pdf#page=4","Abrir facsímil")</f>
        <v>Abrir facsímil</v>
      </c>
      <c r="K3595" s="3" t="s">
        <v>22</v>
      </c>
    </row>
    <row r="3596" spans="1:11" ht="42" customHeight="1">
      <c r="A3596" s="2" t="s">
        <v>6980</v>
      </c>
      <c r="B3596" s="2" t="s">
        <v>6980</v>
      </c>
      <c r="C3596" s="2" t="s">
        <v>42</v>
      </c>
      <c r="D3596" s="2" t="s">
        <v>17</v>
      </c>
      <c r="E3596" s="5">
        <v>-28163</v>
      </c>
      <c r="F3596" s="3" t="s">
        <v>891</v>
      </c>
      <c r="G3596" s="3" t="s">
        <v>57</v>
      </c>
      <c r="H3596" s="2" t="s">
        <v>20</v>
      </c>
      <c r="I3596" s="2" t="s">
        <v>7097</v>
      </c>
      <c r="J3596" s="3" t="str">
        <f>HYPERLINK("https://www.boe.es/gazeta/dias/1822/11/21/pdfs/GMD-1822-341.pdf#page=4","Abrir facsímil")</f>
        <v>Abrir facsímil</v>
      </c>
      <c r="K3596" s="3" t="s">
        <v>22</v>
      </c>
    </row>
    <row r="3597" spans="1:11" ht="42" customHeight="1">
      <c r="A3597" s="2" t="s">
        <v>6980</v>
      </c>
      <c r="B3597" s="2" t="s">
        <v>6980</v>
      </c>
      <c r="C3597" s="2" t="s">
        <v>42</v>
      </c>
      <c r="D3597" s="2" t="s">
        <v>17</v>
      </c>
      <c r="E3597" s="5">
        <v>-28162</v>
      </c>
      <c r="F3597" s="3" t="s">
        <v>3949</v>
      </c>
      <c r="G3597" s="3" t="s">
        <v>35</v>
      </c>
      <c r="H3597" s="2" t="s">
        <v>20</v>
      </c>
      <c r="I3597" s="2" t="s">
        <v>7098</v>
      </c>
      <c r="J3597" s="3" t="str">
        <f>HYPERLINK("https://www.boe.es/gazeta/dias/1822/11/22/pdfs/GMD-1822-342.pdf#page=2","Abrir facsímil")</f>
        <v>Abrir facsímil</v>
      </c>
      <c r="K3597" s="3" t="s">
        <v>22</v>
      </c>
    </row>
    <row r="3598" spans="1:11" ht="42" customHeight="1">
      <c r="A3598" s="2" t="s">
        <v>6980</v>
      </c>
      <c r="B3598" s="2" t="s">
        <v>6980</v>
      </c>
      <c r="C3598" s="2" t="s">
        <v>50</v>
      </c>
      <c r="D3598" s="2" t="s">
        <v>51</v>
      </c>
      <c r="E3598" s="5">
        <v>-28162</v>
      </c>
      <c r="F3598" s="3" t="s">
        <v>3949</v>
      </c>
      <c r="G3598" s="3" t="s">
        <v>31</v>
      </c>
      <c r="H3598" s="2" t="s">
        <v>20</v>
      </c>
      <c r="I3598" s="2" t="s">
        <v>7099</v>
      </c>
      <c r="J3598" s="3" t="str">
        <f>HYPERLINK("https://www.boe.es/gazeta/dias/1822/11/22/pdfs/GMD-1822-342.pdf#page=3","Abrir facsímil")</f>
        <v>Abrir facsímil</v>
      </c>
      <c r="K3598" s="3" t="s">
        <v>22</v>
      </c>
    </row>
    <row r="3599" spans="1:11" ht="42" customHeight="1">
      <c r="A3599" s="2" t="s">
        <v>6980</v>
      </c>
      <c r="B3599" s="2" t="s">
        <v>6980</v>
      </c>
      <c r="C3599" s="2" t="s">
        <v>61</v>
      </c>
      <c r="D3599" s="2" t="s">
        <v>17</v>
      </c>
      <c r="E3599" s="5">
        <v>-28161</v>
      </c>
      <c r="F3599" s="3" t="s">
        <v>166</v>
      </c>
      <c r="G3599" s="3" t="s">
        <v>44</v>
      </c>
      <c r="H3599" s="2" t="s">
        <v>20</v>
      </c>
      <c r="I3599" s="2" t="s">
        <v>7100</v>
      </c>
      <c r="J3599" s="3" t="str">
        <f>HYPERLINK("https://www.boe.es/gazeta/dias/1822/11/23/pdfs/GMD-1822-343.pdf#page=1","Abrir facsímil")</f>
        <v>Abrir facsímil</v>
      </c>
      <c r="K3599" s="3" t="s">
        <v>22</v>
      </c>
    </row>
    <row r="3600" spans="1:11" ht="42" customHeight="1">
      <c r="A3600" s="2" t="s">
        <v>6980</v>
      </c>
      <c r="B3600" s="2" t="s">
        <v>6980</v>
      </c>
      <c r="C3600" s="2" t="s">
        <v>50</v>
      </c>
      <c r="D3600" s="2" t="s">
        <v>51</v>
      </c>
      <c r="E3600" s="5">
        <v>-28161</v>
      </c>
      <c r="F3600" s="3" t="s">
        <v>166</v>
      </c>
      <c r="G3600" s="3" t="s">
        <v>31</v>
      </c>
      <c r="H3600" s="2" t="s">
        <v>20</v>
      </c>
      <c r="I3600" s="2" t="s">
        <v>7101</v>
      </c>
      <c r="J3600" s="3" t="str">
        <f>HYPERLINK("https://www.boe.es/gazeta/dias/1822/11/23/pdfs/GMD-1822-343.pdf#page=3","Abrir facsímil")</f>
        <v>Abrir facsímil</v>
      </c>
      <c r="K3600" s="3" t="s">
        <v>22</v>
      </c>
    </row>
    <row r="3601" spans="1:11" ht="42" customHeight="1">
      <c r="A3601" s="2" t="s">
        <v>6980</v>
      </c>
      <c r="B3601" s="2" t="s">
        <v>6980</v>
      </c>
      <c r="C3601" s="2" t="s">
        <v>362</v>
      </c>
      <c r="D3601" s="2" t="s">
        <v>17</v>
      </c>
      <c r="E3601" s="5">
        <v>-28159</v>
      </c>
      <c r="F3601" s="3" t="s">
        <v>67</v>
      </c>
      <c r="G3601" s="3" t="s">
        <v>35</v>
      </c>
      <c r="H3601" s="2" t="s">
        <v>20</v>
      </c>
      <c r="I3601" s="2" t="s">
        <v>7102</v>
      </c>
      <c r="J3601" s="3" t="str">
        <f>HYPERLINK("https://www.boe.es/gazeta/dias/1822/11/25/pdfs/GMD-1822-345.pdf#page=2","Abrir facsímil")</f>
        <v>Abrir facsímil</v>
      </c>
      <c r="K3601" s="3" t="s">
        <v>22</v>
      </c>
    </row>
    <row r="3602" spans="1:11" ht="42" customHeight="1">
      <c r="A3602" s="2" t="s">
        <v>6980</v>
      </c>
      <c r="B3602" s="2" t="s">
        <v>6980</v>
      </c>
      <c r="C3602" s="2" t="s">
        <v>50</v>
      </c>
      <c r="D3602" s="2" t="s">
        <v>51</v>
      </c>
      <c r="E3602" s="5">
        <v>-28154</v>
      </c>
      <c r="F3602" s="3" t="s">
        <v>2321</v>
      </c>
      <c r="G3602" s="3" t="s">
        <v>35</v>
      </c>
      <c r="H3602" s="2" t="s">
        <v>20</v>
      </c>
      <c r="I3602" s="2" t="s">
        <v>7103</v>
      </c>
      <c r="J3602" s="3" t="str">
        <f>HYPERLINK("https://www.boe.es/gazeta/dias/1822/11/30/pdfs/GMD-1822-350.pdf#page=2","Abrir facsímil")</f>
        <v>Abrir facsímil</v>
      </c>
      <c r="K3602" s="3" t="s">
        <v>22</v>
      </c>
    </row>
    <row r="3603" spans="1:11" ht="42" customHeight="1">
      <c r="A3603" s="2" t="s">
        <v>6980</v>
      </c>
      <c r="B3603" s="2" t="s">
        <v>6980</v>
      </c>
      <c r="C3603" s="2" t="s">
        <v>28</v>
      </c>
      <c r="D3603" s="2" t="s">
        <v>29</v>
      </c>
      <c r="E3603" s="5">
        <v>-28154</v>
      </c>
      <c r="F3603" s="3" t="s">
        <v>2321</v>
      </c>
      <c r="G3603" s="3" t="s">
        <v>31</v>
      </c>
      <c r="H3603" s="2" t="s">
        <v>20</v>
      </c>
      <c r="I3603" s="2" t="s">
        <v>7104</v>
      </c>
      <c r="J3603" s="3" t="str">
        <f>HYPERLINK("https://www.boe.es/gazeta/dias/1822/11/30/pdfs/GMD-1822-350.pdf#page=3","Abrir facsímil")</f>
        <v>Abrir facsímil</v>
      </c>
      <c r="K3603" s="3" t="s">
        <v>22</v>
      </c>
    </row>
    <row r="3604" spans="1:11" ht="42" customHeight="1">
      <c r="A3604" s="2" t="s">
        <v>6980</v>
      </c>
      <c r="B3604" s="2" t="s">
        <v>6980</v>
      </c>
      <c r="C3604" s="2" t="s">
        <v>50</v>
      </c>
      <c r="D3604" s="2" t="s">
        <v>51</v>
      </c>
      <c r="E3604" s="5">
        <v>-28153</v>
      </c>
      <c r="F3604" s="3" t="s">
        <v>946</v>
      </c>
      <c r="G3604" s="3" t="s">
        <v>35</v>
      </c>
      <c r="H3604" s="2" t="s">
        <v>20</v>
      </c>
      <c r="I3604" s="2" t="s">
        <v>7105</v>
      </c>
      <c r="J3604" s="3" t="str">
        <f>HYPERLINK("https://www.boe.es/gazeta/dias/1822/12/01/pdfs/GMD-1822-351.pdf#page=2","Abrir facsímil")</f>
        <v>Abrir facsímil</v>
      </c>
      <c r="K3604" s="3" t="s">
        <v>22</v>
      </c>
    </row>
    <row r="3605" spans="1:11" ht="42" customHeight="1">
      <c r="A3605" s="2" t="s">
        <v>6980</v>
      </c>
      <c r="B3605" s="2" t="s">
        <v>6980</v>
      </c>
      <c r="C3605" s="2" t="s">
        <v>42</v>
      </c>
      <c r="D3605" s="2" t="s">
        <v>17</v>
      </c>
      <c r="E3605" s="5">
        <v>-28153</v>
      </c>
      <c r="F3605" s="3" t="s">
        <v>946</v>
      </c>
      <c r="G3605" s="3" t="s">
        <v>31</v>
      </c>
      <c r="H3605" s="2" t="s">
        <v>20</v>
      </c>
      <c r="I3605" s="2" t="s">
        <v>7106</v>
      </c>
      <c r="J3605" s="3" t="str">
        <f>HYPERLINK("https://www.boe.es/gazeta/dias/1822/12/01/pdfs/GMD-1822-351.pdf#page=3","Abrir facsímil")</f>
        <v>Abrir facsímil</v>
      </c>
      <c r="K3605" s="3" t="s">
        <v>22</v>
      </c>
    </row>
    <row r="3606" spans="1:11" ht="42" customHeight="1">
      <c r="A3606" s="2" t="s">
        <v>6980</v>
      </c>
      <c r="B3606" s="2" t="s">
        <v>6980</v>
      </c>
      <c r="C3606" s="2" t="s">
        <v>24</v>
      </c>
      <c r="D3606" s="2" t="s">
        <v>17</v>
      </c>
      <c r="E3606" s="5">
        <v>-28153</v>
      </c>
      <c r="F3606" s="3" t="s">
        <v>946</v>
      </c>
      <c r="G3606" s="3" t="s">
        <v>57</v>
      </c>
      <c r="H3606" s="2" t="s">
        <v>20</v>
      </c>
      <c r="I3606" s="2" t="s">
        <v>7107</v>
      </c>
      <c r="J3606" s="3" t="str">
        <f>HYPERLINK("https://www.boe.es/gazeta/dias/1822/12/01/pdfs/GMD-1822-351.pdf#page=4","Abrir facsímil")</f>
        <v>Abrir facsímil</v>
      </c>
      <c r="K3606" s="3" t="s">
        <v>22</v>
      </c>
    </row>
    <row r="3607" spans="1:11" ht="42" customHeight="1">
      <c r="A3607" s="2" t="s">
        <v>6980</v>
      </c>
      <c r="B3607" s="2" t="s">
        <v>6980</v>
      </c>
      <c r="C3607" s="2" t="s">
        <v>50</v>
      </c>
      <c r="D3607" s="2" t="s">
        <v>51</v>
      </c>
      <c r="E3607" s="5">
        <v>-28151</v>
      </c>
      <c r="F3607" s="3" t="s">
        <v>985</v>
      </c>
      <c r="G3607" s="3" t="s">
        <v>7108</v>
      </c>
      <c r="H3607" s="2" t="s">
        <v>20</v>
      </c>
      <c r="I3607" s="2" t="s">
        <v>7109</v>
      </c>
      <c r="J3607" s="3" t="str">
        <f>HYPERLINK("https://www.boe.es/gazeta/dias/1822/12/03/pdfs/GMD-1822-353.pdf#page=2","Abrir facsímil")</f>
        <v>Abrir facsímil</v>
      </c>
      <c r="K3607" s="3" t="s">
        <v>22</v>
      </c>
    </row>
    <row r="3608" spans="1:11" ht="42" customHeight="1">
      <c r="A3608" s="2" t="s">
        <v>6980</v>
      </c>
      <c r="B3608" s="2" t="s">
        <v>6980</v>
      </c>
      <c r="C3608" s="2" t="s">
        <v>42</v>
      </c>
      <c r="D3608" s="2" t="s">
        <v>17</v>
      </c>
      <c r="E3608" s="5">
        <v>-28150</v>
      </c>
      <c r="F3608" s="3" t="s">
        <v>62</v>
      </c>
      <c r="G3608" s="3" t="s">
        <v>57</v>
      </c>
      <c r="H3608" s="2" t="s">
        <v>20</v>
      </c>
      <c r="I3608" s="2" t="s">
        <v>7110</v>
      </c>
      <c r="J3608" s="3" t="str">
        <f>HYPERLINK("https://www.boe.es/gazeta/dias/1822/12/04/pdfs/GMD-1822-354.pdf#page=4","Abrir facsímil")</f>
        <v>Abrir facsímil</v>
      </c>
      <c r="K3608" s="3" t="s">
        <v>22</v>
      </c>
    </row>
    <row r="3609" spans="1:11" ht="42" customHeight="1">
      <c r="A3609" s="2" t="s">
        <v>6980</v>
      </c>
      <c r="B3609" s="2" t="s">
        <v>6980</v>
      </c>
      <c r="C3609" s="2" t="s">
        <v>42</v>
      </c>
      <c r="D3609" s="2" t="s">
        <v>17</v>
      </c>
      <c r="E3609" s="5">
        <v>-28149</v>
      </c>
      <c r="F3609" s="3" t="s">
        <v>1322</v>
      </c>
      <c r="G3609" s="3" t="s">
        <v>31</v>
      </c>
      <c r="H3609" s="2" t="s">
        <v>20</v>
      </c>
      <c r="I3609" s="2" t="s">
        <v>7111</v>
      </c>
      <c r="J3609" s="3" t="str">
        <f>HYPERLINK("https://www.boe.es/gazeta/dias/1822/12/05/pdfs/GMD-1822-355.pdf#page=3","Abrir facsímil")</f>
        <v>Abrir facsímil</v>
      </c>
      <c r="K3609" s="3" t="s">
        <v>22</v>
      </c>
    </row>
    <row r="3610" spans="1:11" ht="42" customHeight="1">
      <c r="A3610" s="2" t="s">
        <v>6980</v>
      </c>
      <c r="B3610" s="2" t="s">
        <v>6980</v>
      </c>
      <c r="C3610" s="2" t="s">
        <v>71</v>
      </c>
      <c r="D3610" s="2" t="s">
        <v>17</v>
      </c>
      <c r="E3610" s="5">
        <v>-28138</v>
      </c>
      <c r="F3610" s="3" t="s">
        <v>3542</v>
      </c>
      <c r="G3610" s="3" t="s">
        <v>35</v>
      </c>
      <c r="H3610" s="2" t="s">
        <v>20</v>
      </c>
      <c r="I3610" s="2" t="s">
        <v>7112</v>
      </c>
      <c r="J3610" s="3" t="str">
        <f>HYPERLINK("https://www.boe.es/gazeta/dias/1822/12/16/pdfs/GMD-1822-366.pdf#page=2","Abrir facsímil")</f>
        <v>Abrir facsímil</v>
      </c>
      <c r="K3610" s="3" t="s">
        <v>22</v>
      </c>
    </row>
    <row r="3611" spans="1:11" ht="42" customHeight="1">
      <c r="A3611" s="2" t="s">
        <v>6980</v>
      </c>
      <c r="B3611" s="2" t="s">
        <v>6980</v>
      </c>
      <c r="C3611" s="2" t="s">
        <v>50</v>
      </c>
      <c r="D3611" s="2" t="s">
        <v>51</v>
      </c>
      <c r="E3611" s="5">
        <v>-28136</v>
      </c>
      <c r="F3611" s="3" t="s">
        <v>948</v>
      </c>
      <c r="G3611" s="3" t="s">
        <v>57</v>
      </c>
      <c r="H3611" s="2" t="s">
        <v>20</v>
      </c>
      <c r="I3611" s="2" t="s">
        <v>7113</v>
      </c>
      <c r="J3611" s="3" t="str">
        <f>HYPERLINK("https://www.boe.es/gazeta/dias/1822/12/18/pdfs/GMD-1822-368.pdf#page=4","Abrir facsímil")</f>
        <v>Abrir facsímil</v>
      </c>
      <c r="K3611" s="3" t="s">
        <v>22</v>
      </c>
    </row>
    <row r="3612" spans="1:11" ht="42" customHeight="1">
      <c r="A3612" s="2" t="s">
        <v>6980</v>
      </c>
      <c r="B3612" s="2" t="s">
        <v>6980</v>
      </c>
      <c r="C3612" s="2" t="s">
        <v>50</v>
      </c>
      <c r="D3612" s="2" t="s">
        <v>51</v>
      </c>
      <c r="E3612" s="5">
        <v>-28134</v>
      </c>
      <c r="F3612" s="3" t="s">
        <v>620</v>
      </c>
      <c r="G3612" s="3" t="s">
        <v>35</v>
      </c>
      <c r="H3612" s="2" t="s">
        <v>20</v>
      </c>
      <c r="I3612" s="2" t="s">
        <v>7114</v>
      </c>
      <c r="J3612" s="3" t="str">
        <f>HYPERLINK("https://www.boe.es/gazeta/dias/1822/12/20/pdfs/GMD-1822-370.pdf#page=2","Abrir facsímil")</f>
        <v>Abrir facsímil</v>
      </c>
      <c r="K3612" s="3" t="s">
        <v>22</v>
      </c>
    </row>
    <row r="3613" spans="1:11" ht="42" customHeight="1">
      <c r="A3613" s="2" t="s">
        <v>6980</v>
      </c>
      <c r="B3613" s="2" t="s">
        <v>6980</v>
      </c>
      <c r="C3613" s="2" t="s">
        <v>42</v>
      </c>
      <c r="D3613" s="2" t="s">
        <v>17</v>
      </c>
      <c r="E3613" s="5">
        <v>-28132</v>
      </c>
      <c r="F3613" s="3" t="s">
        <v>820</v>
      </c>
      <c r="G3613" s="3" t="s">
        <v>31</v>
      </c>
      <c r="H3613" s="2" t="s">
        <v>20</v>
      </c>
      <c r="I3613" s="2" t="s">
        <v>7115</v>
      </c>
      <c r="J3613" s="3" t="str">
        <f>HYPERLINK("https://www.boe.es/gazeta/dias/1822/12/22/pdfs/GMD-1822-372.pdf#page=3","Abrir facsímil")</f>
        <v>Abrir facsímil</v>
      </c>
      <c r="K3613" s="3" t="s">
        <v>22</v>
      </c>
    </row>
    <row r="3614" spans="1:11" ht="42" customHeight="1">
      <c r="A3614" s="2" t="s">
        <v>6980</v>
      </c>
      <c r="B3614" s="2" t="s">
        <v>6980</v>
      </c>
      <c r="C3614" s="2" t="s">
        <v>24</v>
      </c>
      <c r="D3614" s="2" t="s">
        <v>17</v>
      </c>
      <c r="E3614" s="5">
        <v>-28130</v>
      </c>
      <c r="F3614" s="3" t="s">
        <v>34</v>
      </c>
      <c r="G3614" s="3" t="s">
        <v>35</v>
      </c>
      <c r="H3614" s="2" t="s">
        <v>20</v>
      </c>
      <c r="I3614" s="2" t="s">
        <v>7116</v>
      </c>
      <c r="J3614" s="3" t="str">
        <f>HYPERLINK("https://www.boe.es/gazeta/dias/1822/12/24/pdfs/GMD-1822-374.pdf#page=2","Abrir facsímil")</f>
        <v>Abrir facsímil</v>
      </c>
      <c r="K3614" s="3" t="s">
        <v>22</v>
      </c>
    </row>
    <row r="3615" spans="1:11" ht="42" customHeight="1">
      <c r="A3615" s="2" t="s">
        <v>6980</v>
      </c>
      <c r="B3615" s="2" t="s">
        <v>6980</v>
      </c>
      <c r="C3615" s="2" t="s">
        <v>50</v>
      </c>
      <c r="D3615" s="2" t="s">
        <v>51</v>
      </c>
      <c r="E3615" s="5">
        <v>-28125</v>
      </c>
      <c r="F3615" s="3" t="s">
        <v>322</v>
      </c>
      <c r="G3615" s="3" t="s">
        <v>57</v>
      </c>
      <c r="H3615" s="2" t="s">
        <v>20</v>
      </c>
      <c r="I3615" s="2" t="s">
        <v>7117</v>
      </c>
      <c r="J3615" s="3" t="str">
        <f>HYPERLINK("https://www.boe.es/gazeta/dias/1822/12/29/pdfs/GMD-1822-379.pdf#page=4","Abrir facsímil")</f>
        <v>Abrir facsímil</v>
      </c>
      <c r="K3615" s="3" t="s">
        <v>22</v>
      </c>
    </row>
    <row r="3616" spans="1:11" ht="42" customHeight="1">
      <c r="A3616" s="2" t="s">
        <v>6980</v>
      </c>
      <c r="B3616" s="2" t="s">
        <v>6980</v>
      </c>
      <c r="C3616" s="2" t="s">
        <v>71</v>
      </c>
      <c r="D3616" s="2" t="s">
        <v>17</v>
      </c>
      <c r="E3616" s="5">
        <v>-28124</v>
      </c>
      <c r="F3616" s="3" t="s">
        <v>301</v>
      </c>
      <c r="G3616" s="3" t="s">
        <v>601</v>
      </c>
      <c r="H3616" s="2" t="s">
        <v>20</v>
      </c>
      <c r="I3616" s="2" t="s">
        <v>7118</v>
      </c>
      <c r="J3616" s="3" t="str">
        <f>HYPERLINK("https://www.boe.es/gazeta/dias/1822/12/30/pdfs/GMD-1822-380.pdf#page=4","Abrir facsímil")</f>
        <v>Abrir facsímil</v>
      </c>
      <c r="K3616" s="3" t="s">
        <v>22</v>
      </c>
    </row>
    <row r="3617" spans="1:11" ht="42" customHeight="1">
      <c r="A3617" s="2" t="s">
        <v>6980</v>
      </c>
      <c r="B3617" s="2" t="s">
        <v>6980</v>
      </c>
      <c r="C3617" s="2" t="s">
        <v>71</v>
      </c>
      <c r="D3617" s="2" t="s">
        <v>17</v>
      </c>
      <c r="E3617" s="5">
        <v>-28124</v>
      </c>
      <c r="F3617" s="3" t="s">
        <v>301</v>
      </c>
      <c r="G3617" s="3" t="s">
        <v>19</v>
      </c>
      <c r="H3617" s="2" t="s">
        <v>20</v>
      </c>
      <c r="I3617" s="2" t="s">
        <v>7119</v>
      </c>
      <c r="J3617" s="3" t="str">
        <f>HYPERLINK("https://www.boe.es/gazeta/dias/1822/12/30/pdfs/GMD-1822-380.pdf#page=5","Abrir facsímil")</f>
        <v>Abrir facsímil</v>
      </c>
      <c r="K3617" s="3" t="s">
        <v>22</v>
      </c>
    </row>
    <row r="3618" spans="1:11" ht="42" customHeight="1">
      <c r="A3618" s="2" t="s">
        <v>7120</v>
      </c>
      <c r="B3618" s="2" t="s">
        <v>7120</v>
      </c>
      <c r="C3618" s="2" t="s">
        <v>71</v>
      </c>
      <c r="D3618" s="2" t="s">
        <v>17</v>
      </c>
      <c r="E3618" s="5">
        <v>-28342</v>
      </c>
      <c r="F3618" s="3" t="s">
        <v>2281</v>
      </c>
      <c r="G3618" s="3" t="s">
        <v>57</v>
      </c>
      <c r="H3618" s="2" t="s">
        <v>20</v>
      </c>
      <c r="I3618" s="2" t="s">
        <v>7121</v>
      </c>
      <c r="J3618" s="3" t="str">
        <f>HYPERLINK("https://www.boe.es/gazeta/dias/1822/05/26/pdfs/GMD-1822-151.pdf#page=4","Abrir facsímil")</f>
        <v>Abrir facsímil</v>
      </c>
      <c r="K3618" s="3" t="s">
        <v>22</v>
      </c>
    </row>
    <row r="3619" spans="1:11" ht="42" customHeight="1">
      <c r="A3619" s="2" t="s">
        <v>7122</v>
      </c>
      <c r="B3619" s="2" t="s">
        <v>7123</v>
      </c>
      <c r="C3619" s="2" t="s">
        <v>42</v>
      </c>
      <c r="D3619" s="2" t="s">
        <v>17</v>
      </c>
      <c r="E3619" s="5">
        <v>-28210</v>
      </c>
      <c r="F3619" s="3" t="s">
        <v>218</v>
      </c>
      <c r="G3619" s="3" t="s">
        <v>63</v>
      </c>
      <c r="H3619" s="2" t="s">
        <v>20</v>
      </c>
      <c r="I3619" s="2" t="s">
        <v>7124</v>
      </c>
      <c r="J3619" s="3" t="str">
        <f>HYPERLINK("https://www.boe.es/gazeta/dias/1822/10/05/pdfs/GMD-1822-291.pdf#page=6","Abrir facsímil")</f>
        <v>Abrir facsímil</v>
      </c>
      <c r="K3619" s="3" t="s">
        <v>22</v>
      </c>
    </row>
    <row r="3620" spans="1:11" ht="42" customHeight="1">
      <c r="A3620" s="2" t="s">
        <v>7125</v>
      </c>
      <c r="B3620" s="2" t="s">
        <v>7126</v>
      </c>
      <c r="C3620" s="2" t="s">
        <v>50</v>
      </c>
      <c r="D3620" s="2" t="s">
        <v>51</v>
      </c>
      <c r="E3620" s="5">
        <v>-28398</v>
      </c>
      <c r="F3620" s="3" t="s">
        <v>1961</v>
      </c>
      <c r="G3620" s="3" t="s">
        <v>44</v>
      </c>
      <c r="H3620" s="2" t="s">
        <v>20</v>
      </c>
      <c r="I3620" s="2" t="s">
        <v>7127</v>
      </c>
      <c r="J3620" s="3" t="str">
        <f>HYPERLINK("https://www.boe.es/gazeta/dias/1822/03/31/pdfs/GMD-1822-92.pdf#page=1","Abrir facsímil")</f>
        <v>Abrir facsímil</v>
      </c>
      <c r="K3620" s="3" t="s">
        <v>22</v>
      </c>
    </row>
    <row r="3621" spans="1:11" ht="42" customHeight="1">
      <c r="A3621" s="2" t="s">
        <v>7128</v>
      </c>
      <c r="B3621" s="2" t="s">
        <v>7129</v>
      </c>
      <c r="C3621" s="2" t="s">
        <v>50</v>
      </c>
      <c r="D3621" s="2" t="s">
        <v>51</v>
      </c>
      <c r="E3621" s="5">
        <v>-28264</v>
      </c>
      <c r="F3621" s="3" t="s">
        <v>1329</v>
      </c>
      <c r="G3621" s="3" t="s">
        <v>57</v>
      </c>
      <c r="H3621" s="2" t="s">
        <v>20</v>
      </c>
      <c r="I3621" s="2" t="s">
        <v>7130</v>
      </c>
      <c r="J3621" s="3" t="str">
        <f>HYPERLINK("https://www.boe.es/gazeta/dias/1822/08/12/pdfs/GMD-1822-236.pdf#page=4","Abrir facsímil")</f>
        <v>Abrir facsímil</v>
      </c>
      <c r="K3621" s="3" t="s">
        <v>22</v>
      </c>
    </row>
    <row r="3622" spans="1:11" ht="42" customHeight="1">
      <c r="A3622" s="2" t="s">
        <v>7131</v>
      </c>
      <c r="B3622" s="2" t="s">
        <v>7132</v>
      </c>
      <c r="C3622" s="2" t="s">
        <v>50</v>
      </c>
      <c r="D3622" s="2" t="s">
        <v>51</v>
      </c>
      <c r="E3622" s="5">
        <v>-28207</v>
      </c>
      <c r="F3622" s="3" t="s">
        <v>1325</v>
      </c>
      <c r="G3622" s="3" t="s">
        <v>35</v>
      </c>
      <c r="H3622" s="2" t="s">
        <v>20</v>
      </c>
      <c r="I3622" s="2" t="s">
        <v>7133</v>
      </c>
      <c r="J3622" s="3" t="str">
        <f>HYPERLINK("https://www.boe.es/gazeta/dias/1822/10/08/pdfs/GMD-1822-295.pdf#page=2","Abrir facsímil")</f>
        <v>Abrir facsímil</v>
      </c>
      <c r="K3622" s="3" t="s">
        <v>22</v>
      </c>
    </row>
    <row r="3623" spans="1:11" ht="42" customHeight="1">
      <c r="A3623" s="2" t="s">
        <v>7134</v>
      </c>
      <c r="B3623" s="2" t="s">
        <v>7135</v>
      </c>
      <c r="C3623" s="2" t="s">
        <v>42</v>
      </c>
      <c r="D3623" s="2" t="s">
        <v>17</v>
      </c>
      <c r="E3623" s="5">
        <v>-28258</v>
      </c>
      <c r="F3623" s="3" t="s">
        <v>88</v>
      </c>
      <c r="G3623" s="3" t="s">
        <v>31</v>
      </c>
      <c r="H3623" s="2" t="s">
        <v>20</v>
      </c>
      <c r="I3623" s="2" t="s">
        <v>7136</v>
      </c>
      <c r="J3623" s="3" t="str">
        <f>HYPERLINK("https://www.boe.es/gazeta/dias/1822/08/18/pdfs/GMD-1822-242.pdf#page=3","Abrir facsímil")</f>
        <v>Abrir facsímil</v>
      </c>
      <c r="K3623" s="3" t="s">
        <v>22</v>
      </c>
    </row>
    <row r="3624" spans="1:11" ht="42" customHeight="1">
      <c r="A3624" s="2" t="s">
        <v>7137</v>
      </c>
      <c r="B3624" s="2" t="s">
        <v>7138</v>
      </c>
      <c r="C3624" s="2" t="s">
        <v>42</v>
      </c>
      <c r="D3624" s="2" t="s">
        <v>17</v>
      </c>
      <c r="E3624" s="5">
        <v>-28222</v>
      </c>
      <c r="F3624" s="3" t="s">
        <v>2027</v>
      </c>
      <c r="G3624" s="3" t="s">
        <v>35</v>
      </c>
      <c r="H3624" s="2" t="s">
        <v>20</v>
      </c>
      <c r="I3624" s="2" t="s">
        <v>7139</v>
      </c>
      <c r="J3624" s="3" t="str">
        <f>HYPERLINK("https://www.boe.es/gazeta/dias/1822/09/23/pdfs/GMD-1822-279.pdf#page=2","Abrir facsímil")</f>
        <v>Abrir facsímil</v>
      </c>
      <c r="K3624" s="3" t="s">
        <v>22</v>
      </c>
    </row>
    <row r="3625" spans="1:11" ht="42" customHeight="1">
      <c r="A3625" s="2" t="s">
        <v>7140</v>
      </c>
      <c r="B3625" s="2" t="s">
        <v>7141</v>
      </c>
      <c r="C3625" s="2" t="s">
        <v>24</v>
      </c>
      <c r="D3625" s="2" t="s">
        <v>17</v>
      </c>
      <c r="E3625" s="5">
        <v>-28199</v>
      </c>
      <c r="F3625" s="3" t="s">
        <v>656</v>
      </c>
      <c r="G3625" s="3" t="s">
        <v>19</v>
      </c>
      <c r="H3625" s="2" t="s">
        <v>20</v>
      </c>
      <c r="I3625" s="2" t="s">
        <v>7142</v>
      </c>
      <c r="J3625" s="3" t="str">
        <f>HYPERLINK("https://www.boe.es/gazeta/dias/1822/10/16/pdfs/GMD-1822-303.pdf#page=5","Abrir facsímil")</f>
        <v>Abrir facsímil</v>
      </c>
      <c r="K3625" s="3" t="s">
        <v>22</v>
      </c>
    </row>
    <row r="3626" spans="1:11" ht="42" customHeight="1">
      <c r="A3626" s="2" t="s">
        <v>7143</v>
      </c>
      <c r="B3626" s="2" t="s">
        <v>7144</v>
      </c>
      <c r="C3626" s="2" t="s">
        <v>42</v>
      </c>
      <c r="D3626" s="2" t="s">
        <v>17</v>
      </c>
      <c r="E3626" s="5">
        <v>-28213</v>
      </c>
      <c r="F3626" s="3" t="s">
        <v>558</v>
      </c>
      <c r="G3626" s="3" t="s">
        <v>57</v>
      </c>
      <c r="H3626" s="2" t="s">
        <v>20</v>
      </c>
      <c r="I3626" s="2" t="s">
        <v>7145</v>
      </c>
      <c r="J3626" s="3" t="str">
        <f>HYPERLINK("https://www.boe.es/gazeta/dias/1822/10/02/pdfs/GMD-1822-288.pdf#page=4","Abrir facsímil")</f>
        <v>Abrir facsímil</v>
      </c>
      <c r="K3626" s="3" t="s">
        <v>22</v>
      </c>
    </row>
    <row r="3627" spans="1:11" ht="42" customHeight="1">
      <c r="A3627" s="2" t="s">
        <v>7146</v>
      </c>
      <c r="B3627" s="2" t="s">
        <v>7147</v>
      </c>
      <c r="C3627" s="2" t="s">
        <v>16</v>
      </c>
      <c r="D3627" s="2" t="s">
        <v>17</v>
      </c>
      <c r="E3627" s="5">
        <v>-28345</v>
      </c>
      <c r="F3627" s="3" t="s">
        <v>294</v>
      </c>
      <c r="G3627" s="3" t="s">
        <v>63</v>
      </c>
      <c r="H3627" s="2" t="s">
        <v>20</v>
      </c>
      <c r="I3627" s="2" t="s">
        <v>7148</v>
      </c>
      <c r="J3627" s="3" t="str">
        <f>HYPERLINK("https://www.boe.es/gazeta/dias/1822/05/23/pdfs/GMD-1822-147.pdf#page=6","Abrir facsímil")</f>
        <v>Abrir facsímil</v>
      </c>
      <c r="K3627" s="3" t="s">
        <v>22</v>
      </c>
    </row>
    <row r="3628" spans="1:11" ht="42" customHeight="1">
      <c r="A3628" s="2" t="s">
        <v>7149</v>
      </c>
      <c r="B3628" s="2" t="s">
        <v>7150</v>
      </c>
      <c r="C3628" s="2" t="s">
        <v>28</v>
      </c>
      <c r="D3628" s="2" t="s">
        <v>29</v>
      </c>
      <c r="E3628" s="5">
        <v>-28178</v>
      </c>
      <c r="F3628" s="3" t="s">
        <v>318</v>
      </c>
      <c r="G3628" s="3" t="s">
        <v>31</v>
      </c>
      <c r="H3628" s="2" t="s">
        <v>20</v>
      </c>
      <c r="I3628" s="2" t="s">
        <v>7151</v>
      </c>
      <c r="J3628" s="3" t="str">
        <f>HYPERLINK("https://www.boe.es/gazeta/dias/1822/11/06/pdfs/GMD-1822-326.pdf#page=3","Abrir facsímil")</f>
        <v>Abrir facsímil</v>
      </c>
      <c r="K3628" s="3" t="s">
        <v>22</v>
      </c>
    </row>
    <row r="3629" spans="1:11" ht="42" customHeight="1">
      <c r="A3629" s="2" t="s">
        <v>7152</v>
      </c>
      <c r="B3629" s="2" t="s">
        <v>7152</v>
      </c>
      <c r="C3629" s="2" t="s">
        <v>42</v>
      </c>
      <c r="D3629" s="2" t="s">
        <v>17</v>
      </c>
      <c r="E3629" s="5">
        <v>-28458</v>
      </c>
      <c r="F3629" s="3" t="s">
        <v>1151</v>
      </c>
      <c r="G3629" s="3" t="s">
        <v>35</v>
      </c>
      <c r="H3629" s="2" t="s">
        <v>20</v>
      </c>
      <c r="I3629" s="2" t="s">
        <v>7153</v>
      </c>
      <c r="J3629" s="3" t="str">
        <f>HYPERLINK("https://www.boe.es/gazeta/dias/1822/01/30/pdfs/GMD-1822-30.pdf#page=2","Abrir facsímil")</f>
        <v>Abrir facsímil</v>
      </c>
      <c r="K3629" s="3" t="s">
        <v>22</v>
      </c>
    </row>
    <row r="3630" spans="1:11" ht="42" customHeight="1">
      <c r="A3630" s="2" t="s">
        <v>7152</v>
      </c>
      <c r="B3630" s="2" t="s">
        <v>7152</v>
      </c>
      <c r="C3630" s="2" t="s">
        <v>42</v>
      </c>
      <c r="D3630" s="2" t="s">
        <v>17</v>
      </c>
      <c r="E3630" s="5">
        <v>-28450</v>
      </c>
      <c r="F3630" s="3" t="s">
        <v>1450</v>
      </c>
      <c r="G3630" s="3" t="s">
        <v>31</v>
      </c>
      <c r="H3630" s="2" t="s">
        <v>20</v>
      </c>
      <c r="I3630" s="2" t="s">
        <v>7154</v>
      </c>
      <c r="J3630" s="3" t="str">
        <f>HYPERLINK("https://www.boe.es/gazeta/dias/1822/02/07/pdfs/GMD-1822-38.pdf#page=3","Abrir facsímil")</f>
        <v>Abrir facsímil</v>
      </c>
      <c r="K3630" s="3" t="s">
        <v>22</v>
      </c>
    </row>
    <row r="3631" spans="1:11" ht="42" customHeight="1">
      <c r="A3631" s="2" t="s">
        <v>7155</v>
      </c>
      <c r="B3631" s="2" t="s">
        <v>7156</v>
      </c>
      <c r="C3631" s="2" t="s">
        <v>28</v>
      </c>
      <c r="D3631" s="2" t="s">
        <v>29</v>
      </c>
      <c r="E3631" s="5">
        <v>-28478</v>
      </c>
      <c r="F3631" s="3" t="s">
        <v>1093</v>
      </c>
      <c r="G3631" s="3" t="s">
        <v>57</v>
      </c>
      <c r="H3631" s="2" t="s">
        <v>20</v>
      </c>
      <c r="I3631" s="2" t="s">
        <v>7157</v>
      </c>
      <c r="J3631" s="3" t="str">
        <f>HYPERLINK("https://www.boe.es/gazeta/dias/1822/01/10/pdfs/GMD-1822-10.pdf#page=4","Abrir facsímil")</f>
        <v>Abrir facsímil</v>
      </c>
      <c r="K3631" s="3" t="s">
        <v>22</v>
      </c>
    </row>
    <row r="3632" spans="1:11" ht="42" customHeight="1">
      <c r="A3632" s="2" t="s">
        <v>7158</v>
      </c>
      <c r="B3632" s="2" t="s">
        <v>7159</v>
      </c>
      <c r="C3632" s="2" t="s">
        <v>50</v>
      </c>
      <c r="D3632" s="2" t="s">
        <v>51</v>
      </c>
      <c r="E3632" s="5">
        <v>-28157</v>
      </c>
      <c r="F3632" s="3" t="s">
        <v>1492</v>
      </c>
      <c r="G3632" s="3" t="s">
        <v>63</v>
      </c>
      <c r="H3632" s="2" t="s">
        <v>20</v>
      </c>
      <c r="I3632" s="2" t="s">
        <v>7160</v>
      </c>
      <c r="J3632" s="3" t="str">
        <f>HYPERLINK("https://www.boe.es/gazeta/dias/1822/11/27/pdfs/GMD-1822-347.pdf#page=6","Abrir facsímil")</f>
        <v>Abrir facsímil</v>
      </c>
      <c r="K3632" s="3" t="s">
        <v>22</v>
      </c>
    </row>
    <row r="3633" spans="1:11" ht="42" customHeight="1">
      <c r="A3633" s="2" t="s">
        <v>7161</v>
      </c>
      <c r="B3633" s="2" t="s">
        <v>7162</v>
      </c>
      <c r="C3633" s="2" t="s">
        <v>24</v>
      </c>
      <c r="D3633" s="2" t="s">
        <v>17</v>
      </c>
      <c r="E3633" s="5">
        <v>-28391</v>
      </c>
      <c r="F3633" s="3" t="s">
        <v>378</v>
      </c>
      <c r="G3633" s="3" t="s">
        <v>63</v>
      </c>
      <c r="H3633" s="2" t="s">
        <v>20</v>
      </c>
      <c r="I3633" s="2" t="s">
        <v>7163</v>
      </c>
      <c r="J3633" s="3" t="str">
        <f>HYPERLINK("https://www.boe.es/gazeta/dias/1822/04/07/pdfs/GMD-1822-99.pdf#page=6","Abrir facsímil")</f>
        <v>Abrir facsímil</v>
      </c>
      <c r="K3633" s="3" t="s">
        <v>22</v>
      </c>
    </row>
    <row r="3634" spans="1:11" ht="42" customHeight="1">
      <c r="A3634" s="2" t="s">
        <v>7164</v>
      </c>
      <c r="B3634" s="2" t="s">
        <v>7165</v>
      </c>
      <c r="C3634" s="2" t="s">
        <v>50</v>
      </c>
      <c r="D3634" s="2" t="s">
        <v>51</v>
      </c>
      <c r="E3634" s="5">
        <v>-28206</v>
      </c>
      <c r="F3634" s="3" t="s">
        <v>562</v>
      </c>
      <c r="G3634" s="3" t="s">
        <v>35</v>
      </c>
      <c r="H3634" s="2" t="s">
        <v>20</v>
      </c>
      <c r="I3634" s="2" t="s">
        <v>7166</v>
      </c>
      <c r="J3634" s="3" t="str">
        <f>HYPERLINK("https://www.boe.es/gazeta/dias/1822/10/09/pdfs/GMD-1822-296.pdf#page=2","Abrir facsímil")</f>
        <v>Abrir facsímil</v>
      </c>
      <c r="K3634" s="3" t="s">
        <v>22</v>
      </c>
    </row>
    <row r="3635" spans="1:11" ht="42" customHeight="1">
      <c r="A3635" s="2" t="s">
        <v>7167</v>
      </c>
      <c r="B3635" s="2" t="s">
        <v>7168</v>
      </c>
      <c r="C3635" s="2" t="s">
        <v>61</v>
      </c>
      <c r="D3635" s="2" t="s">
        <v>17</v>
      </c>
      <c r="E3635" s="5">
        <v>-28142</v>
      </c>
      <c r="F3635" s="3" t="s">
        <v>290</v>
      </c>
      <c r="G3635" s="3" t="s">
        <v>57</v>
      </c>
      <c r="H3635" s="2" t="s">
        <v>20</v>
      </c>
      <c r="I3635" s="2" t="s">
        <v>7169</v>
      </c>
      <c r="J3635" s="3" t="str">
        <f>HYPERLINK("https://www.boe.es/gazeta/dias/1822/12/12/pdfs/GMD-1822-362.pdf#page=4","Abrir facsímil")</f>
        <v>Abrir facsímil</v>
      </c>
      <c r="K3635" s="3" t="s">
        <v>22</v>
      </c>
    </row>
    <row r="3636" spans="1:11" ht="42" customHeight="1">
      <c r="A3636" s="2" t="s">
        <v>7170</v>
      </c>
      <c r="B3636" s="2" t="s">
        <v>7171</v>
      </c>
      <c r="C3636" s="2" t="s">
        <v>42</v>
      </c>
      <c r="D3636" s="2" t="s">
        <v>17</v>
      </c>
      <c r="E3636" s="5">
        <v>-28271</v>
      </c>
      <c r="F3636" s="3" t="s">
        <v>4942</v>
      </c>
      <c r="G3636" s="3" t="s">
        <v>57</v>
      </c>
      <c r="H3636" s="2" t="s">
        <v>20</v>
      </c>
      <c r="I3636" s="2" t="s">
        <v>7172</v>
      </c>
      <c r="J3636" s="3" t="str">
        <f>HYPERLINK("https://www.boe.es/gazeta/dias/1822/08/05/pdfs/GMD-1822-229.pdf#page=4","Abrir facsímil")</f>
        <v>Abrir facsímil</v>
      </c>
      <c r="K3636" s="3" t="s">
        <v>22</v>
      </c>
    </row>
    <row r="3637" spans="1:11" ht="42" customHeight="1">
      <c r="A3637" s="2" t="s">
        <v>7173</v>
      </c>
      <c r="B3637" s="2" t="s">
        <v>7174</v>
      </c>
      <c r="C3637" s="2" t="s">
        <v>50</v>
      </c>
      <c r="D3637" s="2" t="s">
        <v>51</v>
      </c>
      <c r="E3637" s="5">
        <v>-28189</v>
      </c>
      <c r="F3637" s="3" t="s">
        <v>645</v>
      </c>
      <c r="G3637" s="3" t="s">
        <v>63</v>
      </c>
      <c r="H3637" s="2" t="s">
        <v>20</v>
      </c>
      <c r="I3637" s="2" t="s">
        <v>7175</v>
      </c>
      <c r="J3637" s="3" t="str">
        <f>HYPERLINK("https://www.boe.es/gazeta/dias/1822/10/26/pdfs/GMD-1822-313.pdf#page=6","Abrir facsímil")</f>
        <v>Abrir facsímil</v>
      </c>
      <c r="K3637" s="3" t="s">
        <v>22</v>
      </c>
    </row>
    <row r="3638" spans="1:11" ht="42" customHeight="1">
      <c r="A3638" s="2" t="s">
        <v>7173</v>
      </c>
      <c r="B3638" s="2" t="s">
        <v>7174</v>
      </c>
      <c r="C3638" s="2" t="s">
        <v>50</v>
      </c>
      <c r="D3638" s="2" t="s">
        <v>51</v>
      </c>
      <c r="E3638" s="5">
        <v>-28165</v>
      </c>
      <c r="F3638" s="3" t="s">
        <v>846</v>
      </c>
      <c r="G3638" s="3" t="s">
        <v>57</v>
      </c>
      <c r="H3638" s="2" t="s">
        <v>20</v>
      </c>
      <c r="I3638" s="2" t="s">
        <v>7176</v>
      </c>
      <c r="J3638" s="3" t="str">
        <f>HYPERLINK("https://www.boe.es/gazeta/dias/1822/11/19/pdfs/GMD-1822-339.pdf#page=4","Abrir facsímil")</f>
        <v>Abrir facsímil</v>
      </c>
      <c r="K3638" s="3" t="s">
        <v>22</v>
      </c>
    </row>
    <row r="3639" spans="1:11" ht="42" customHeight="1">
      <c r="A3639" s="2" t="s">
        <v>7177</v>
      </c>
      <c r="B3639" s="2" t="s">
        <v>7178</v>
      </c>
      <c r="C3639" s="2" t="s">
        <v>42</v>
      </c>
      <c r="D3639" s="2" t="s">
        <v>17</v>
      </c>
      <c r="E3639" s="5">
        <v>-28361</v>
      </c>
      <c r="F3639" s="3" t="s">
        <v>374</v>
      </c>
      <c r="G3639" s="3" t="s">
        <v>63</v>
      </c>
      <c r="H3639" s="2" t="s">
        <v>45</v>
      </c>
      <c r="I3639" s="2" t="s">
        <v>7179</v>
      </c>
      <c r="J3639" s="3" t="str">
        <f>HYPERLINK("https://www.boe.es/gazeta/dias/1822/05/07/pdfs/GMD-1822-129.pdf#page=6","Abrir facsímil")</f>
        <v>Abrir facsímil</v>
      </c>
      <c r="K3639" s="3" t="s">
        <v>47</v>
      </c>
    </row>
    <row r="3640" spans="1:11" ht="42" customHeight="1">
      <c r="A3640" s="2" t="s">
        <v>7180</v>
      </c>
      <c r="B3640" s="2" t="s">
        <v>7180</v>
      </c>
      <c r="C3640" s="2" t="s">
        <v>71</v>
      </c>
      <c r="D3640" s="2" t="s">
        <v>17</v>
      </c>
      <c r="E3640" s="5">
        <v>-28240</v>
      </c>
      <c r="F3640" s="3" t="s">
        <v>678</v>
      </c>
      <c r="G3640" s="3" t="s">
        <v>57</v>
      </c>
      <c r="H3640" s="2" t="s">
        <v>20</v>
      </c>
      <c r="I3640" s="2" t="s">
        <v>7181</v>
      </c>
      <c r="J3640" s="3" t="str">
        <f>HYPERLINK("https://www.boe.es/gazeta/dias/1822/09/05/pdfs/GMD-1822-260.pdf#page=4","Abrir facsímil")</f>
        <v>Abrir facsímil</v>
      </c>
      <c r="K3640" s="3" t="s">
        <v>22</v>
      </c>
    </row>
    <row r="3641" spans="1:11" ht="42" customHeight="1">
      <c r="A3641" s="2" t="s">
        <v>7182</v>
      </c>
      <c r="B3641" s="2" t="s">
        <v>7183</v>
      </c>
      <c r="C3641" s="2" t="s">
        <v>50</v>
      </c>
      <c r="D3641" s="2" t="s">
        <v>51</v>
      </c>
      <c r="E3641" s="5">
        <v>-28398</v>
      </c>
      <c r="F3641" s="3" t="s">
        <v>1961</v>
      </c>
      <c r="G3641" s="3" t="s">
        <v>2262</v>
      </c>
      <c r="H3641" s="2" t="s">
        <v>20</v>
      </c>
      <c r="I3641" s="2" t="s">
        <v>7184</v>
      </c>
      <c r="J3641" s="3" t="str">
        <f>HYPERLINK("https://www.boe.es/gazeta/dias/1822/03/31/pdfs/GMD-1822-92.pdf#page=4","Abrir facsímil")</f>
        <v>Abrir facsímil</v>
      </c>
      <c r="K3641" s="3" t="s">
        <v>22</v>
      </c>
    </row>
    <row r="3642" spans="1:11" ht="42" customHeight="1">
      <c r="A3642" s="2" t="s">
        <v>7185</v>
      </c>
      <c r="B3642" s="2" t="s">
        <v>7186</v>
      </c>
      <c r="C3642" s="2" t="s">
        <v>71</v>
      </c>
      <c r="D3642" s="2" t="s">
        <v>17</v>
      </c>
      <c r="E3642" s="5">
        <v>-28400</v>
      </c>
      <c r="F3642" s="3" t="s">
        <v>1937</v>
      </c>
      <c r="G3642" s="3" t="s">
        <v>35</v>
      </c>
      <c r="H3642" s="2" t="s">
        <v>20</v>
      </c>
      <c r="I3642" s="2" t="s">
        <v>7187</v>
      </c>
      <c r="J3642" s="3" t="str">
        <f>HYPERLINK("https://www.boe.es/gazeta/dias/1822/03/29/pdfs/GMD-1822-90.pdf#page=2","Abrir facsímil")</f>
        <v>Abrir facsímil</v>
      </c>
      <c r="K3642" s="3" t="s">
        <v>22</v>
      </c>
    </row>
    <row r="3643" spans="1:11" ht="42" customHeight="1">
      <c r="A3643" s="2" t="s">
        <v>7188</v>
      </c>
      <c r="B3643" s="2" t="s">
        <v>7189</v>
      </c>
      <c r="C3643" s="2" t="s">
        <v>28</v>
      </c>
      <c r="D3643" s="2" t="s">
        <v>29</v>
      </c>
      <c r="E3643" s="5">
        <v>-28394</v>
      </c>
      <c r="F3643" s="3" t="s">
        <v>268</v>
      </c>
      <c r="G3643" s="3" t="s">
        <v>57</v>
      </c>
      <c r="H3643" s="2" t="s">
        <v>20</v>
      </c>
      <c r="I3643" s="2" t="s">
        <v>7190</v>
      </c>
      <c r="J3643" s="3" t="str">
        <f>HYPERLINK("https://www.boe.es/gazeta/dias/1822/04/04/pdfs/GMD-1822-96.pdf#page=4","Abrir facsímil")</f>
        <v>Abrir facsímil</v>
      </c>
      <c r="K3643" s="3" t="s">
        <v>22</v>
      </c>
    </row>
    <row r="3644" spans="1:11" ht="42" customHeight="1">
      <c r="A3644" s="2" t="s">
        <v>7191</v>
      </c>
      <c r="B3644" s="2" t="s">
        <v>7192</v>
      </c>
      <c r="C3644" s="2" t="s">
        <v>50</v>
      </c>
      <c r="D3644" s="2" t="s">
        <v>51</v>
      </c>
      <c r="E3644" s="5">
        <v>-28397</v>
      </c>
      <c r="F3644" s="3" t="s">
        <v>1401</v>
      </c>
      <c r="G3644" s="3" t="s">
        <v>57</v>
      </c>
      <c r="H3644" s="2" t="s">
        <v>20</v>
      </c>
      <c r="I3644" s="2" t="s">
        <v>7193</v>
      </c>
      <c r="J3644" s="3" t="str">
        <f>HYPERLINK("https://www.boe.es/gazeta/dias/1822/04/01/pdfs/GMD-1822-93.pdf#page=4","Abrir facsímil")</f>
        <v>Abrir facsímil</v>
      </c>
      <c r="K3644" s="3" t="s">
        <v>22</v>
      </c>
    </row>
    <row r="3645" spans="1:11" ht="42" customHeight="1">
      <c r="A3645" s="2" t="s">
        <v>7194</v>
      </c>
      <c r="B3645" s="2" t="s">
        <v>7194</v>
      </c>
      <c r="C3645" s="2" t="s">
        <v>50</v>
      </c>
      <c r="D3645" s="2" t="s">
        <v>51</v>
      </c>
      <c r="E3645" s="5">
        <v>-28149</v>
      </c>
      <c r="F3645" s="3" t="s">
        <v>1322</v>
      </c>
      <c r="G3645" s="3" t="s">
        <v>44</v>
      </c>
      <c r="H3645" s="2" t="s">
        <v>20</v>
      </c>
      <c r="I3645" s="2" t="s">
        <v>7195</v>
      </c>
      <c r="J3645" s="3" t="str">
        <f>HYPERLINK("https://www.boe.es/gazeta/dias/1822/12/05/pdfs/GMD-1822-355.pdf#page=1","Abrir facsímil")</f>
        <v>Abrir facsímil</v>
      </c>
      <c r="K3645" s="3" t="s">
        <v>22</v>
      </c>
    </row>
    <row r="3646" spans="1:11" ht="42" customHeight="1">
      <c r="A3646" s="2" t="s">
        <v>7196</v>
      </c>
      <c r="B3646" s="2" t="s">
        <v>7197</v>
      </c>
      <c r="C3646" s="2" t="s">
        <v>50</v>
      </c>
      <c r="D3646" s="2" t="s">
        <v>51</v>
      </c>
      <c r="E3646" s="5">
        <v>-28367</v>
      </c>
      <c r="F3646" s="3" t="s">
        <v>280</v>
      </c>
      <c r="G3646" s="3" t="s">
        <v>63</v>
      </c>
      <c r="H3646" s="2" t="s">
        <v>20</v>
      </c>
      <c r="I3646" s="2" t="s">
        <v>7198</v>
      </c>
      <c r="J3646" s="3" t="str">
        <f>HYPERLINK("https://www.boe.es/gazeta/dias/1822/05/01/pdfs/GMD-1822-123.pdf#page=6","Abrir facsímil")</f>
        <v>Abrir facsímil</v>
      </c>
      <c r="K3646" s="3" t="s">
        <v>22</v>
      </c>
    </row>
    <row r="3647" spans="1:11" ht="42" customHeight="1">
      <c r="A3647" s="2" t="s">
        <v>7199</v>
      </c>
      <c r="B3647" s="2" t="s">
        <v>7200</v>
      </c>
      <c r="C3647" s="2" t="s">
        <v>42</v>
      </c>
      <c r="D3647" s="2" t="s">
        <v>17</v>
      </c>
      <c r="E3647" s="5">
        <v>-28208</v>
      </c>
      <c r="F3647" s="3" t="s">
        <v>230</v>
      </c>
      <c r="G3647" s="3" t="s">
        <v>57</v>
      </c>
      <c r="H3647" s="2" t="s">
        <v>20</v>
      </c>
      <c r="I3647" s="2" t="s">
        <v>7201</v>
      </c>
      <c r="J3647" s="3" t="str">
        <f>HYPERLINK("https://www.boe.es/gazeta/dias/1822/10/07/pdfs/GMD-1822-293.pdf#page=4","Abrir facsímil")</f>
        <v>Abrir facsímil</v>
      </c>
      <c r="K3647" s="3" t="s">
        <v>22</v>
      </c>
    </row>
    <row r="3648" spans="1:11" ht="42" customHeight="1">
      <c r="A3648" s="2" t="s">
        <v>7202</v>
      </c>
      <c r="B3648" s="2" t="s">
        <v>7203</v>
      </c>
      <c r="C3648" s="2" t="s">
        <v>50</v>
      </c>
      <c r="D3648" s="2" t="s">
        <v>51</v>
      </c>
      <c r="E3648" s="5">
        <v>-28319</v>
      </c>
      <c r="F3648" s="3" t="s">
        <v>271</v>
      </c>
      <c r="G3648" s="3" t="s">
        <v>63</v>
      </c>
      <c r="H3648" s="2" t="s">
        <v>20</v>
      </c>
      <c r="I3648" s="2" t="s">
        <v>7204</v>
      </c>
      <c r="J3648" s="3" t="str">
        <f>HYPERLINK("https://www.boe.es/gazeta/dias/1822/06/18/pdfs/GMD-1822-175.pdf#page=6","Abrir facsímil")</f>
        <v>Abrir facsímil</v>
      </c>
      <c r="K3648" s="3" t="s">
        <v>22</v>
      </c>
    </row>
    <row r="3649" spans="1:11" ht="42" customHeight="1">
      <c r="A3649" s="2" t="s">
        <v>7205</v>
      </c>
      <c r="B3649" s="2" t="s">
        <v>7205</v>
      </c>
      <c r="C3649" s="2" t="s">
        <v>42</v>
      </c>
      <c r="D3649" s="2" t="s">
        <v>17</v>
      </c>
      <c r="E3649" s="5">
        <v>-28476</v>
      </c>
      <c r="F3649" s="3" t="s">
        <v>160</v>
      </c>
      <c r="G3649" s="3" t="s">
        <v>31</v>
      </c>
      <c r="H3649" s="2" t="s">
        <v>20</v>
      </c>
      <c r="I3649" s="2" t="s">
        <v>7206</v>
      </c>
      <c r="J3649" s="3" t="str">
        <f>HYPERLINK("https://www.boe.es/gazeta/dias/1822/01/12/pdfs/GMD-1822-12.pdf#page=3","Abrir facsímil")</f>
        <v>Abrir facsímil</v>
      </c>
      <c r="K3649" s="3" t="s">
        <v>22</v>
      </c>
    </row>
    <row r="3650" spans="1:11" ht="42" customHeight="1">
      <c r="A3650" s="2" t="s">
        <v>7205</v>
      </c>
      <c r="B3650" s="2" t="s">
        <v>7205</v>
      </c>
      <c r="C3650" s="2" t="s">
        <v>50</v>
      </c>
      <c r="D3650" s="2" t="s">
        <v>51</v>
      </c>
      <c r="E3650" s="5">
        <v>-28475</v>
      </c>
      <c r="F3650" s="3" t="s">
        <v>1205</v>
      </c>
      <c r="G3650" s="3" t="s">
        <v>1685</v>
      </c>
      <c r="H3650" s="2" t="s">
        <v>20</v>
      </c>
      <c r="I3650" s="2" t="s">
        <v>7207</v>
      </c>
      <c r="J3650" s="3" t="str">
        <f>HYPERLINK("https://www.boe.es/gazeta/dias/1822/01/13/pdfs/GMD-1822-13.pdf#page=4","Abrir facsímil")</f>
        <v>Abrir facsímil</v>
      </c>
      <c r="K3650" s="3" t="s">
        <v>22</v>
      </c>
    </row>
    <row r="3651" spans="1:11" ht="42" customHeight="1">
      <c r="A3651" s="2" t="s">
        <v>7205</v>
      </c>
      <c r="B3651" s="2" t="s">
        <v>7205</v>
      </c>
      <c r="C3651" s="2" t="s">
        <v>28</v>
      </c>
      <c r="D3651" s="2" t="s">
        <v>29</v>
      </c>
      <c r="E3651" s="5">
        <v>-28445</v>
      </c>
      <c r="F3651" s="3" t="s">
        <v>1622</v>
      </c>
      <c r="G3651" s="3" t="s">
        <v>57</v>
      </c>
      <c r="H3651" s="2" t="s">
        <v>20</v>
      </c>
      <c r="I3651" s="2" t="s">
        <v>7208</v>
      </c>
      <c r="J3651" s="3" t="str">
        <f>HYPERLINK("https://www.boe.es/gazeta/dias/1822/02/12/pdfs/GMD-1822-43.pdf#page=4","Abrir facsímil")</f>
        <v>Abrir facsímil</v>
      </c>
      <c r="K3651" s="3" t="s">
        <v>22</v>
      </c>
    </row>
    <row r="3652" spans="1:11" ht="42" customHeight="1">
      <c r="A3652" s="2" t="s">
        <v>7209</v>
      </c>
      <c r="B3652" s="2" t="s">
        <v>7209</v>
      </c>
      <c r="C3652" s="2" t="s">
        <v>71</v>
      </c>
      <c r="D3652" s="2" t="s">
        <v>17</v>
      </c>
      <c r="E3652" s="5">
        <v>-28470</v>
      </c>
      <c r="F3652" s="3" t="s">
        <v>1444</v>
      </c>
      <c r="G3652" s="3" t="s">
        <v>31</v>
      </c>
      <c r="H3652" s="2" t="s">
        <v>20</v>
      </c>
      <c r="I3652" s="2" t="s">
        <v>7210</v>
      </c>
      <c r="J3652" s="3" t="str">
        <f>HYPERLINK("https://www.boe.es/gazeta/dias/1822/01/18/pdfs/GMD-1822-18.pdf#page=3","Abrir facsímil")</f>
        <v>Abrir facsímil</v>
      </c>
      <c r="K3652" s="3" t="s">
        <v>22</v>
      </c>
    </row>
    <row r="3653" spans="1:11" ht="42" customHeight="1">
      <c r="A3653" s="2" t="s">
        <v>7209</v>
      </c>
      <c r="B3653" s="2" t="s">
        <v>7209</v>
      </c>
      <c r="C3653" s="2" t="s">
        <v>42</v>
      </c>
      <c r="D3653" s="2" t="s">
        <v>17</v>
      </c>
      <c r="E3653" s="5">
        <v>-28461</v>
      </c>
      <c r="F3653" s="3" t="s">
        <v>1801</v>
      </c>
      <c r="G3653" s="3" t="s">
        <v>5459</v>
      </c>
      <c r="H3653" s="2" t="s">
        <v>20</v>
      </c>
      <c r="I3653" s="2" t="s">
        <v>7211</v>
      </c>
      <c r="J3653" s="3" t="str">
        <f>HYPERLINK("https://www.boe.es/gazeta/dias/1822/01/27/pdfs/GMD-1822-27.pdf#page=3","Abrir facsímil")</f>
        <v>Abrir facsímil</v>
      </c>
      <c r="K3653" s="3" t="s">
        <v>22</v>
      </c>
    </row>
    <row r="3654" spans="1:11" ht="42" customHeight="1">
      <c r="A3654" s="2" t="s">
        <v>7212</v>
      </c>
      <c r="B3654" s="2" t="s">
        <v>7212</v>
      </c>
      <c r="C3654" s="2" t="s">
        <v>50</v>
      </c>
      <c r="D3654" s="2" t="s">
        <v>51</v>
      </c>
      <c r="E3654" s="5">
        <v>-28246</v>
      </c>
      <c r="F3654" s="3" t="s">
        <v>3246</v>
      </c>
      <c r="G3654" s="3" t="s">
        <v>57</v>
      </c>
      <c r="H3654" s="2" t="s">
        <v>20</v>
      </c>
      <c r="I3654" s="2" t="s">
        <v>7213</v>
      </c>
      <c r="J3654" s="3" t="str">
        <f>HYPERLINK("https://www.boe.es/gazeta/dias/1822/08/30/pdfs/GMD-1822-254.pdf#page=4","Abrir facsímil")</f>
        <v>Abrir facsímil</v>
      </c>
      <c r="K3654" s="3" t="s">
        <v>22</v>
      </c>
    </row>
    <row r="3655" spans="1:11" ht="42" customHeight="1">
      <c r="A3655" s="2" t="s">
        <v>7214</v>
      </c>
      <c r="B3655" s="2" t="s">
        <v>7214</v>
      </c>
      <c r="C3655" s="2" t="s">
        <v>28</v>
      </c>
      <c r="D3655" s="2" t="s">
        <v>29</v>
      </c>
      <c r="E3655" s="5">
        <v>-28199</v>
      </c>
      <c r="F3655" s="3" t="s">
        <v>656</v>
      </c>
      <c r="G3655" s="3" t="s">
        <v>19</v>
      </c>
      <c r="H3655" s="2" t="s">
        <v>20</v>
      </c>
      <c r="I3655" s="2" t="s">
        <v>7215</v>
      </c>
      <c r="J3655" s="3" t="str">
        <f>HYPERLINK("https://www.boe.es/gazeta/dias/1822/10/16/pdfs/GMD-1822-303.pdf#page=5","Abrir facsímil")</f>
        <v>Abrir facsímil</v>
      </c>
      <c r="K3655" s="3" t="s">
        <v>22</v>
      </c>
    </row>
    <row r="3656" spans="1:11" ht="42" customHeight="1">
      <c r="A3656" s="2" t="s">
        <v>7216</v>
      </c>
      <c r="B3656" s="2" t="s">
        <v>7216</v>
      </c>
      <c r="C3656" s="2" t="s">
        <v>42</v>
      </c>
      <c r="D3656" s="2" t="s">
        <v>17</v>
      </c>
      <c r="E3656" s="5">
        <v>-28283</v>
      </c>
      <c r="F3656" s="3" t="s">
        <v>1477</v>
      </c>
      <c r="G3656" s="3" t="s">
        <v>35</v>
      </c>
      <c r="H3656" s="2" t="s">
        <v>20</v>
      </c>
      <c r="I3656" s="2" t="s">
        <v>7217</v>
      </c>
      <c r="J3656" s="3" t="str">
        <f>HYPERLINK("https://www.boe.es/gazeta/dias/1822/07/24/pdfs/GMD-1822-217.pdf#page=2","Abrir facsímil")</f>
        <v>Abrir facsímil</v>
      </c>
      <c r="K3656" s="3" t="s">
        <v>22</v>
      </c>
    </row>
    <row r="3657" spans="1:11" ht="42" customHeight="1">
      <c r="A3657" s="2" t="s">
        <v>7216</v>
      </c>
      <c r="B3657" s="2" t="s">
        <v>7216</v>
      </c>
      <c r="C3657" s="2" t="s">
        <v>50</v>
      </c>
      <c r="D3657" s="2" t="s">
        <v>51</v>
      </c>
      <c r="E3657" s="5">
        <v>-28262</v>
      </c>
      <c r="F3657" s="3" t="s">
        <v>1771</v>
      </c>
      <c r="G3657" s="3" t="s">
        <v>44</v>
      </c>
      <c r="H3657" s="2" t="s">
        <v>20</v>
      </c>
      <c r="I3657" s="2" t="s">
        <v>7218</v>
      </c>
      <c r="J3657" s="3" t="str">
        <f>HYPERLINK("https://www.boe.es/gazeta/dias/1822/08/14/pdfs/GMD-1822-238.pdf#page=1","Abrir facsímil")</f>
        <v>Abrir facsímil</v>
      </c>
      <c r="K3657" s="3" t="s">
        <v>22</v>
      </c>
    </row>
    <row r="3658" spans="1:11" ht="42" customHeight="1">
      <c r="A3658" s="2" t="s">
        <v>7216</v>
      </c>
      <c r="B3658" s="2" t="s">
        <v>7216</v>
      </c>
      <c r="C3658" s="2" t="s">
        <v>50</v>
      </c>
      <c r="D3658" s="2" t="s">
        <v>51</v>
      </c>
      <c r="E3658" s="5">
        <v>-28246</v>
      </c>
      <c r="F3658" s="3" t="s">
        <v>3246</v>
      </c>
      <c r="G3658" s="3" t="s">
        <v>57</v>
      </c>
      <c r="H3658" s="2" t="s">
        <v>20</v>
      </c>
      <c r="I3658" s="2" t="s">
        <v>7219</v>
      </c>
      <c r="J3658" s="3" t="str">
        <f>HYPERLINK("https://www.boe.es/gazeta/dias/1822/08/30/pdfs/GMD-1822-254.pdf#page=4","Abrir facsímil")</f>
        <v>Abrir facsímil</v>
      </c>
      <c r="K3658" s="3" t="s">
        <v>22</v>
      </c>
    </row>
    <row r="3659" spans="1:11" ht="42" customHeight="1">
      <c r="A3659" s="2" t="s">
        <v>7220</v>
      </c>
      <c r="B3659" s="2" t="s">
        <v>7221</v>
      </c>
      <c r="C3659" s="2" t="s">
        <v>42</v>
      </c>
      <c r="D3659" s="2" t="s">
        <v>17</v>
      </c>
      <c r="E3659" s="5">
        <v>-28251</v>
      </c>
      <c r="F3659" s="3" t="s">
        <v>1485</v>
      </c>
      <c r="G3659" s="3" t="s">
        <v>31</v>
      </c>
      <c r="H3659" s="2" t="s">
        <v>20</v>
      </c>
      <c r="I3659" s="2" t="s">
        <v>7222</v>
      </c>
      <c r="J3659" s="3" t="str">
        <f>HYPERLINK("https://www.boe.es/gazeta/dias/1822/08/25/pdfs/GMD-1822-249.pdf#page=3","Abrir facsímil")</f>
        <v>Abrir facsímil</v>
      </c>
      <c r="K3659" s="3" t="s">
        <v>22</v>
      </c>
    </row>
    <row r="3660" spans="1:11" ht="42" customHeight="1">
      <c r="A3660" s="2" t="s">
        <v>7223</v>
      </c>
      <c r="B3660" s="2" t="s">
        <v>7224</v>
      </c>
      <c r="C3660" s="2" t="s">
        <v>42</v>
      </c>
      <c r="D3660" s="2" t="s">
        <v>17</v>
      </c>
      <c r="E3660" s="5">
        <v>-28251</v>
      </c>
      <c r="F3660" s="3" t="s">
        <v>1485</v>
      </c>
      <c r="G3660" s="3" t="s">
        <v>31</v>
      </c>
      <c r="H3660" s="2" t="s">
        <v>20</v>
      </c>
      <c r="I3660" s="2" t="s">
        <v>7225</v>
      </c>
      <c r="J3660" s="3" t="str">
        <f>HYPERLINK("https://www.boe.es/gazeta/dias/1822/08/25/pdfs/GMD-1822-249.pdf#page=3","Abrir facsímil")</f>
        <v>Abrir facsímil</v>
      </c>
      <c r="K3660" s="3" t="s">
        <v>22</v>
      </c>
    </row>
    <row r="3661" spans="1:11" ht="42" customHeight="1">
      <c r="A3661" s="2" t="s">
        <v>7226</v>
      </c>
      <c r="B3661" s="2" t="s">
        <v>7227</v>
      </c>
      <c r="C3661" s="2" t="s">
        <v>50</v>
      </c>
      <c r="D3661" s="2" t="s">
        <v>51</v>
      </c>
      <c r="E3661" s="5">
        <v>-28329</v>
      </c>
      <c r="F3661" s="3" t="s">
        <v>354</v>
      </c>
      <c r="G3661" s="3" t="s">
        <v>63</v>
      </c>
      <c r="H3661" s="2" t="s">
        <v>20</v>
      </c>
      <c r="I3661" s="2" t="s">
        <v>7228</v>
      </c>
      <c r="J3661" s="3" t="str">
        <f>HYPERLINK("https://www.boe.es/gazeta/dias/1822/06/08/pdfs/GMD-1822-165.pdf#page=6","Abrir facsímil")</f>
        <v>Abrir facsímil</v>
      </c>
      <c r="K3661" s="3" t="s">
        <v>22</v>
      </c>
    </row>
    <row r="3662" spans="1:11" ht="42" customHeight="1">
      <c r="A3662" s="2" t="s">
        <v>7226</v>
      </c>
      <c r="B3662" s="2" t="s">
        <v>7227</v>
      </c>
      <c r="C3662" s="2" t="s">
        <v>50</v>
      </c>
      <c r="D3662" s="2" t="s">
        <v>51</v>
      </c>
      <c r="E3662" s="5">
        <v>-28315</v>
      </c>
      <c r="F3662" s="3" t="s">
        <v>1220</v>
      </c>
      <c r="G3662" s="3" t="s">
        <v>35</v>
      </c>
      <c r="H3662" s="2" t="s">
        <v>20</v>
      </c>
      <c r="I3662" s="2" t="s">
        <v>7229</v>
      </c>
      <c r="J3662" s="3" t="str">
        <f>HYPERLINK("https://www.boe.es/gazeta/dias/1822/06/22/pdfs/GMD-1822-180.pdf#page=2","Abrir facsímil")</f>
        <v>Abrir facsímil</v>
      </c>
      <c r="K3662" s="3" t="s">
        <v>22</v>
      </c>
    </row>
    <row r="3663" spans="1:11" ht="42" customHeight="1">
      <c r="A3663" s="2" t="s">
        <v>7226</v>
      </c>
      <c r="B3663" s="2" t="s">
        <v>7227</v>
      </c>
      <c r="C3663" s="2" t="s">
        <v>50</v>
      </c>
      <c r="D3663" s="2" t="s">
        <v>51</v>
      </c>
      <c r="E3663" s="5">
        <v>-28283</v>
      </c>
      <c r="F3663" s="3" t="s">
        <v>1477</v>
      </c>
      <c r="G3663" s="3" t="s">
        <v>35</v>
      </c>
      <c r="H3663" s="2" t="s">
        <v>20</v>
      </c>
      <c r="I3663" s="2" t="s">
        <v>7230</v>
      </c>
      <c r="J3663" s="3" t="str">
        <f>HYPERLINK("https://www.boe.es/gazeta/dias/1822/07/24/pdfs/GMD-1822-217.pdf#page=2","Abrir facsímil")</f>
        <v>Abrir facsímil</v>
      </c>
      <c r="K3663" s="3" t="s">
        <v>22</v>
      </c>
    </row>
    <row r="3664" spans="1:11" ht="42" customHeight="1">
      <c r="A3664" s="2" t="s">
        <v>7226</v>
      </c>
      <c r="B3664" s="2" t="s">
        <v>7227</v>
      </c>
      <c r="C3664" s="2" t="s">
        <v>50</v>
      </c>
      <c r="D3664" s="2" t="s">
        <v>51</v>
      </c>
      <c r="E3664" s="5">
        <v>-28268</v>
      </c>
      <c r="F3664" s="3" t="s">
        <v>7231</v>
      </c>
      <c r="G3664" s="3" t="s">
        <v>35</v>
      </c>
      <c r="H3664" s="2" t="s">
        <v>20</v>
      </c>
      <c r="I3664" s="2" t="s">
        <v>7232</v>
      </c>
      <c r="J3664" s="3" t="str">
        <f>HYPERLINK("https://www.boe.es/gazeta/dias/1822/08/08/pdfs/GMD-1822-232.pdf#page=2","Abrir facsímil")</f>
        <v>Abrir facsímil</v>
      </c>
      <c r="K3664" s="3" t="s">
        <v>22</v>
      </c>
    </row>
    <row r="3665" spans="1:11" ht="42" customHeight="1">
      <c r="A3665" s="2" t="s">
        <v>7226</v>
      </c>
      <c r="B3665" s="2" t="s">
        <v>7227</v>
      </c>
      <c r="C3665" s="2" t="s">
        <v>50</v>
      </c>
      <c r="D3665" s="2" t="s">
        <v>51</v>
      </c>
      <c r="E3665" s="5">
        <v>-28263</v>
      </c>
      <c r="F3665" s="3" t="s">
        <v>7233</v>
      </c>
      <c r="G3665" s="3" t="s">
        <v>31</v>
      </c>
      <c r="H3665" s="2" t="s">
        <v>20</v>
      </c>
      <c r="I3665" s="2" t="s">
        <v>7234</v>
      </c>
      <c r="J3665" s="3" t="str">
        <f>HYPERLINK("https://www.boe.es/gazeta/dias/1822/08/13/pdfs/GMD-1822-237.pdf#page=3","Abrir facsímil")</f>
        <v>Abrir facsímil</v>
      </c>
      <c r="K3665" s="3" t="s">
        <v>22</v>
      </c>
    </row>
    <row r="3666" spans="1:11" ht="42" customHeight="1">
      <c r="A3666" s="2" t="s">
        <v>7235</v>
      </c>
      <c r="B3666" s="2" t="s">
        <v>7236</v>
      </c>
      <c r="C3666" s="2" t="s">
        <v>16</v>
      </c>
      <c r="D3666" s="2" t="s">
        <v>17</v>
      </c>
      <c r="E3666" s="5">
        <v>-28308</v>
      </c>
      <c r="F3666" s="3" t="s">
        <v>1050</v>
      </c>
      <c r="G3666" s="3" t="s">
        <v>157</v>
      </c>
      <c r="H3666" s="2" t="s">
        <v>20</v>
      </c>
      <c r="I3666" s="2" t="s">
        <v>7237</v>
      </c>
      <c r="J3666" s="3" t="str">
        <f>HYPERLINK("https://www.boe.es/gazeta/dias/1822/06/29/pdfs/GMD-1822-187.pdf#page=8","Abrir facsímil")</f>
        <v>Abrir facsímil</v>
      </c>
      <c r="K3666" s="3" t="s">
        <v>22</v>
      </c>
    </row>
    <row r="3667" spans="1:11" ht="42" customHeight="1">
      <c r="A3667" s="2" t="s">
        <v>7238</v>
      </c>
      <c r="B3667" s="2" t="s">
        <v>7239</v>
      </c>
      <c r="C3667" s="2" t="s">
        <v>42</v>
      </c>
      <c r="D3667" s="2" t="s">
        <v>17</v>
      </c>
      <c r="E3667" s="5">
        <v>-28210</v>
      </c>
      <c r="F3667" s="3" t="s">
        <v>218</v>
      </c>
      <c r="G3667" s="3" t="s">
        <v>19</v>
      </c>
      <c r="H3667" s="2" t="s">
        <v>20</v>
      </c>
      <c r="I3667" s="2" t="s">
        <v>7240</v>
      </c>
      <c r="J3667" s="3" t="str">
        <f>HYPERLINK("https://www.boe.es/gazeta/dias/1822/10/05/pdfs/GMD-1822-291.pdf#page=5","Abrir facsímil")</f>
        <v>Abrir facsímil</v>
      </c>
      <c r="K3667" s="3" t="s">
        <v>22</v>
      </c>
    </row>
    <row r="3668" spans="1:11" ht="42" customHeight="1">
      <c r="A3668" s="2" t="s">
        <v>7241</v>
      </c>
      <c r="B3668" s="2" t="s">
        <v>7242</v>
      </c>
      <c r="C3668" s="2" t="s">
        <v>50</v>
      </c>
      <c r="D3668" s="2" t="s">
        <v>51</v>
      </c>
      <c r="E3668" s="5">
        <v>-28201</v>
      </c>
      <c r="F3668" s="3" t="s">
        <v>163</v>
      </c>
      <c r="G3668" s="3" t="s">
        <v>57</v>
      </c>
      <c r="H3668" s="2" t="s">
        <v>20</v>
      </c>
      <c r="I3668" s="2" t="s">
        <v>7243</v>
      </c>
      <c r="J3668" s="3" t="str">
        <f>HYPERLINK("https://www.boe.es/gazeta/dias/1822/10/14/pdfs/GMD-1822-301.pdf#page=4","Abrir facsímil")</f>
        <v>Abrir facsímil</v>
      </c>
      <c r="K3668" s="3" t="s">
        <v>22</v>
      </c>
    </row>
    <row r="3669" spans="1:11" ht="42" customHeight="1">
      <c r="A3669" s="2" t="s">
        <v>7244</v>
      </c>
      <c r="B3669" s="2" t="s">
        <v>7245</v>
      </c>
      <c r="C3669" s="2" t="s">
        <v>50</v>
      </c>
      <c r="D3669" s="2" t="s">
        <v>51</v>
      </c>
      <c r="E3669" s="5">
        <v>-28400</v>
      </c>
      <c r="F3669" s="3" t="s">
        <v>1937</v>
      </c>
      <c r="G3669" s="3" t="s">
        <v>2260</v>
      </c>
      <c r="H3669" s="2" t="s">
        <v>20</v>
      </c>
      <c r="I3669" s="2" t="s">
        <v>7246</v>
      </c>
      <c r="J3669" s="3" t="str">
        <f>HYPERLINK("https://www.boe.es/gazeta/dias/1822/03/29/pdfs/GMD-1822-90.pdf#page=4","Abrir facsímil")</f>
        <v>Abrir facsímil</v>
      </c>
      <c r="K3669" s="3" t="s">
        <v>22</v>
      </c>
    </row>
    <row r="3670" spans="1:11" ht="42" customHeight="1">
      <c r="A3670" s="2" t="s">
        <v>7244</v>
      </c>
      <c r="B3670" s="2" t="s">
        <v>7245</v>
      </c>
      <c r="C3670" s="2" t="s">
        <v>42</v>
      </c>
      <c r="D3670" s="2" t="s">
        <v>17</v>
      </c>
      <c r="E3670" s="5">
        <v>-28396</v>
      </c>
      <c r="F3670" s="3" t="s">
        <v>1138</v>
      </c>
      <c r="G3670" s="3" t="s">
        <v>35</v>
      </c>
      <c r="H3670" s="2" t="s">
        <v>20</v>
      </c>
      <c r="I3670" s="2" t="s">
        <v>7247</v>
      </c>
      <c r="J3670" s="3" t="str">
        <f>HYPERLINK("https://www.boe.es/gazeta/dias/1822/04/02/pdfs/GMD-1822-94.pdf#page=2","Abrir facsímil")</f>
        <v>Abrir facsímil</v>
      </c>
      <c r="K3670" s="3" t="s">
        <v>22</v>
      </c>
    </row>
    <row r="3671" spans="1:11" ht="42" customHeight="1">
      <c r="A3671" s="2" t="s">
        <v>7248</v>
      </c>
      <c r="B3671" s="2" t="s">
        <v>7249</v>
      </c>
      <c r="C3671" s="2" t="s">
        <v>50</v>
      </c>
      <c r="D3671" s="2" t="s">
        <v>51</v>
      </c>
      <c r="E3671" s="5">
        <v>-28419</v>
      </c>
      <c r="F3671" s="3" t="s">
        <v>1392</v>
      </c>
      <c r="G3671" s="3" t="s">
        <v>31</v>
      </c>
      <c r="H3671" s="2" t="s">
        <v>20</v>
      </c>
      <c r="I3671" s="2" t="s">
        <v>7250</v>
      </c>
      <c r="J3671" s="3" t="str">
        <f>HYPERLINK("https://www.boe.es/gazeta/dias/1822/03/10/pdfs/GMD-1822-71.pdf#page=3","Abrir facsímil")</f>
        <v>Abrir facsímil</v>
      </c>
      <c r="K3671" s="3" t="s">
        <v>22</v>
      </c>
    </row>
    <row r="3672" spans="1:11" ht="42" customHeight="1">
      <c r="A3672" s="2" t="s">
        <v>7251</v>
      </c>
      <c r="B3672" s="2" t="s">
        <v>7252</v>
      </c>
      <c r="C3672" s="2" t="s">
        <v>50</v>
      </c>
      <c r="D3672" s="2" t="s">
        <v>51</v>
      </c>
      <c r="E3672" s="5">
        <v>-28293</v>
      </c>
      <c r="F3672" s="3" t="s">
        <v>152</v>
      </c>
      <c r="G3672" s="3" t="s">
        <v>31</v>
      </c>
      <c r="H3672" s="2" t="s">
        <v>45</v>
      </c>
      <c r="I3672" s="2" t="s">
        <v>7253</v>
      </c>
      <c r="J3672" s="3" t="str">
        <f>HYPERLINK("https://www.boe.es/gazeta/dias/1822/07/14/pdfs/GMD-1822-204.pdf#page=3","Abrir facsímil")</f>
        <v>Abrir facsímil</v>
      </c>
      <c r="K3672" s="3" t="s">
        <v>47</v>
      </c>
    </row>
    <row r="3673" spans="1:11" ht="42" customHeight="1">
      <c r="A3673" s="2" t="s">
        <v>7254</v>
      </c>
      <c r="B3673" s="2" t="s">
        <v>7255</v>
      </c>
      <c r="C3673" s="2" t="s">
        <v>42</v>
      </c>
      <c r="D3673" s="2" t="s">
        <v>17</v>
      </c>
      <c r="E3673" s="5">
        <v>-28210</v>
      </c>
      <c r="F3673" s="3" t="s">
        <v>218</v>
      </c>
      <c r="G3673" s="3" t="s">
        <v>19</v>
      </c>
      <c r="H3673" s="2" t="s">
        <v>20</v>
      </c>
      <c r="I3673" s="2" t="s">
        <v>7256</v>
      </c>
      <c r="J3673" s="3" t="str">
        <f>HYPERLINK("https://www.boe.es/gazeta/dias/1822/10/05/pdfs/GMD-1822-291.pdf#page=5","Abrir facsímil")</f>
        <v>Abrir facsímil</v>
      </c>
      <c r="K3673" s="3" t="s">
        <v>22</v>
      </c>
    </row>
    <row r="3674" spans="1:11" ht="42" customHeight="1">
      <c r="A3674" s="2" t="s">
        <v>7257</v>
      </c>
      <c r="B3674" s="2" t="s">
        <v>7258</v>
      </c>
      <c r="C3674" s="2" t="s">
        <v>50</v>
      </c>
      <c r="D3674" s="2" t="s">
        <v>51</v>
      </c>
      <c r="E3674" s="5">
        <v>-28210</v>
      </c>
      <c r="F3674" s="3" t="s">
        <v>218</v>
      </c>
      <c r="G3674" s="3" t="s">
        <v>19</v>
      </c>
      <c r="H3674" s="2" t="s">
        <v>20</v>
      </c>
      <c r="I3674" s="2" t="s">
        <v>7259</v>
      </c>
      <c r="J3674" s="3" t="str">
        <f>HYPERLINK("https://www.boe.es/gazeta/dias/1822/10/05/pdfs/GMD-1822-291.pdf#page=5","Abrir facsímil")</f>
        <v>Abrir facsímil</v>
      </c>
      <c r="K3674" s="3" t="s">
        <v>22</v>
      </c>
    </row>
    <row r="3675" spans="1:11" ht="42" customHeight="1">
      <c r="A3675" s="2" t="s">
        <v>7260</v>
      </c>
      <c r="B3675" s="2" t="s">
        <v>7261</v>
      </c>
      <c r="C3675" s="2" t="s">
        <v>50</v>
      </c>
      <c r="D3675" s="2" t="s">
        <v>51</v>
      </c>
      <c r="E3675" s="5">
        <v>-28308</v>
      </c>
      <c r="F3675" s="3" t="s">
        <v>1050</v>
      </c>
      <c r="G3675" s="3" t="s">
        <v>35</v>
      </c>
      <c r="H3675" s="2" t="s">
        <v>20</v>
      </c>
      <c r="I3675" s="2" t="s">
        <v>7262</v>
      </c>
      <c r="J3675" s="3" t="str">
        <f>HYPERLINK("https://www.boe.es/gazeta/dias/1822/06/29/pdfs/GMD-1822-187.pdf#page=2","Abrir facsímil")</f>
        <v>Abrir facsímil</v>
      </c>
      <c r="K3675" s="3" t="s">
        <v>22</v>
      </c>
    </row>
    <row r="3676" spans="1:11" ht="42" customHeight="1">
      <c r="A3676" s="2" t="s">
        <v>7263</v>
      </c>
      <c r="B3676" s="2" t="s">
        <v>7263</v>
      </c>
      <c r="C3676" s="2" t="s">
        <v>50</v>
      </c>
      <c r="D3676" s="2" t="s">
        <v>51</v>
      </c>
      <c r="E3676" s="5">
        <v>-28175</v>
      </c>
      <c r="F3676" s="3" t="s">
        <v>341</v>
      </c>
      <c r="G3676" s="3" t="s">
        <v>63</v>
      </c>
      <c r="H3676" s="2" t="s">
        <v>20</v>
      </c>
      <c r="I3676" s="2" t="s">
        <v>7264</v>
      </c>
      <c r="J3676" s="3" t="str">
        <f>HYPERLINK("https://www.boe.es/gazeta/dias/1822/11/09/pdfs/GMD-1822-329.pdf#page=6","Abrir facsímil")</f>
        <v>Abrir facsímil</v>
      </c>
      <c r="K3676" s="3" t="s">
        <v>22</v>
      </c>
    </row>
    <row r="3677" spans="1:11" ht="42" customHeight="1">
      <c r="A3677" s="2" t="s">
        <v>7265</v>
      </c>
      <c r="B3677" s="2" t="s">
        <v>7266</v>
      </c>
      <c r="C3677" s="2" t="s">
        <v>16</v>
      </c>
      <c r="D3677" s="2" t="s">
        <v>17</v>
      </c>
      <c r="E3677" s="5">
        <v>-28328</v>
      </c>
      <c r="F3677" s="3" t="s">
        <v>540</v>
      </c>
      <c r="G3677" s="3" t="s">
        <v>35</v>
      </c>
      <c r="H3677" s="2" t="s">
        <v>20</v>
      </c>
      <c r="I3677" s="2" t="s">
        <v>7267</v>
      </c>
      <c r="J3677" s="3" t="str">
        <f>HYPERLINK("https://www.boe.es/gazeta/dias/1822/06/09/pdfs/GMD-1822-166.pdf#page=2","Abrir facsímil")</f>
        <v>Abrir facsímil</v>
      </c>
      <c r="K3677" s="3" t="s">
        <v>22</v>
      </c>
    </row>
    <row r="3678" spans="1:11" ht="42" customHeight="1">
      <c r="A3678" s="2" t="s">
        <v>7268</v>
      </c>
      <c r="B3678" s="2" t="s">
        <v>7269</v>
      </c>
      <c r="C3678" s="2" t="s">
        <v>16</v>
      </c>
      <c r="D3678" s="2" t="s">
        <v>17</v>
      </c>
      <c r="E3678" s="5">
        <v>-28357</v>
      </c>
      <c r="F3678" s="3" t="s">
        <v>690</v>
      </c>
      <c r="G3678" s="3" t="s">
        <v>31</v>
      </c>
      <c r="H3678" s="2" t="s">
        <v>20</v>
      </c>
      <c r="I3678" s="2" t="s">
        <v>7270</v>
      </c>
      <c r="J3678" s="3" t="str">
        <f>HYPERLINK("https://www.boe.es/gazeta/dias/1822/05/11/pdfs/GMD-1822-133.pdf#page=3","Abrir facsímil")</f>
        <v>Abrir facsímil</v>
      </c>
      <c r="K3678" s="3" t="s">
        <v>22</v>
      </c>
    </row>
    <row r="3679" spans="1:11" ht="42" customHeight="1">
      <c r="A3679" s="2" t="s">
        <v>7271</v>
      </c>
      <c r="B3679" s="2" t="s">
        <v>7271</v>
      </c>
      <c r="C3679" s="2" t="s">
        <v>50</v>
      </c>
      <c r="D3679" s="2" t="s">
        <v>51</v>
      </c>
      <c r="E3679" s="5">
        <v>-28381</v>
      </c>
      <c r="F3679" s="3" t="s">
        <v>358</v>
      </c>
      <c r="G3679" s="3" t="s">
        <v>35</v>
      </c>
      <c r="H3679" s="2" t="s">
        <v>20</v>
      </c>
      <c r="I3679" s="2" t="s">
        <v>7272</v>
      </c>
      <c r="J3679" s="3" t="str">
        <f>HYPERLINK("https://www.boe.es/gazeta/dias/1822/04/17/pdfs/GMD-1822-109.pdf#page=2","Abrir facsímil")</f>
        <v>Abrir facsímil</v>
      </c>
      <c r="K3679" s="3" t="s">
        <v>22</v>
      </c>
    </row>
    <row r="3680" spans="1:11" ht="42" customHeight="1">
      <c r="A3680" s="2" t="s">
        <v>7273</v>
      </c>
      <c r="B3680" s="2" t="s">
        <v>7274</v>
      </c>
      <c r="C3680" s="2" t="s">
        <v>24</v>
      </c>
      <c r="D3680" s="2" t="s">
        <v>17</v>
      </c>
      <c r="E3680" s="5">
        <v>-28258</v>
      </c>
      <c r="F3680" s="3" t="s">
        <v>88</v>
      </c>
      <c r="G3680" s="3" t="s">
        <v>31</v>
      </c>
      <c r="H3680" s="2" t="s">
        <v>20</v>
      </c>
      <c r="I3680" s="2" t="s">
        <v>7275</v>
      </c>
      <c r="J3680" s="3" t="str">
        <f>HYPERLINK("https://www.boe.es/gazeta/dias/1822/08/18/pdfs/GMD-1822-242.pdf#page=3","Abrir facsímil")</f>
        <v>Abrir facsímil</v>
      </c>
      <c r="K3680" s="3" t="s">
        <v>22</v>
      </c>
    </row>
    <row r="3681" spans="1:11" ht="42" customHeight="1">
      <c r="A3681" s="2" t="s">
        <v>7276</v>
      </c>
      <c r="B3681" s="2" t="s">
        <v>7277</v>
      </c>
      <c r="C3681" s="2" t="s">
        <v>42</v>
      </c>
      <c r="D3681" s="2" t="s">
        <v>17</v>
      </c>
      <c r="E3681" s="5">
        <v>-28360</v>
      </c>
      <c r="F3681" s="3" t="s">
        <v>514</v>
      </c>
      <c r="G3681" s="3" t="s">
        <v>57</v>
      </c>
      <c r="H3681" s="2" t="s">
        <v>20</v>
      </c>
      <c r="I3681" s="2" t="s">
        <v>7278</v>
      </c>
      <c r="J3681" s="3" t="str">
        <f>HYPERLINK("https://www.boe.es/gazeta/dias/1822/05/08/pdfs/GMD-1822-130.pdf#page=4","Abrir facsímil")</f>
        <v>Abrir facsímil</v>
      </c>
      <c r="K3681" s="3" t="s">
        <v>22</v>
      </c>
    </row>
    <row r="3682" spans="1:11" ht="42" customHeight="1">
      <c r="A3682" s="2" t="s">
        <v>7279</v>
      </c>
      <c r="B3682" s="2" t="s">
        <v>7279</v>
      </c>
      <c r="C3682" s="2" t="s">
        <v>50</v>
      </c>
      <c r="D3682" s="2" t="s">
        <v>51</v>
      </c>
      <c r="E3682" s="5">
        <v>-28231</v>
      </c>
      <c r="F3682" s="3" t="s">
        <v>2049</v>
      </c>
      <c r="G3682" s="3" t="s">
        <v>44</v>
      </c>
      <c r="H3682" s="2" t="s">
        <v>20</v>
      </c>
      <c r="I3682" s="2" t="s">
        <v>7280</v>
      </c>
      <c r="J3682" s="3" t="str">
        <f>HYPERLINK("https://www.boe.es/gazeta/dias/1822/09/14/pdfs/GMD-1822-270.pdf#page=1","Abrir facsímil")</f>
        <v>Abrir facsímil</v>
      </c>
      <c r="K3682" s="3" t="s">
        <v>22</v>
      </c>
    </row>
    <row r="3683" spans="1:11" ht="42" customHeight="1">
      <c r="A3683" s="2" t="s">
        <v>7281</v>
      </c>
      <c r="B3683" s="2" t="s">
        <v>7282</v>
      </c>
      <c r="C3683" s="2" t="s">
        <v>42</v>
      </c>
      <c r="D3683" s="2" t="s">
        <v>17</v>
      </c>
      <c r="E3683" s="5">
        <v>-28287</v>
      </c>
      <c r="F3683" s="3" t="s">
        <v>1295</v>
      </c>
      <c r="G3683" s="3" t="s">
        <v>63</v>
      </c>
      <c r="H3683" s="2" t="s">
        <v>20</v>
      </c>
      <c r="I3683" s="2" t="s">
        <v>7283</v>
      </c>
      <c r="J3683" s="3" t="str">
        <f>HYPERLINK("https://www.boe.es/gazeta/dias/1822/07/20/pdfs/GMD-1822-212.pdf#page=6","Abrir facsímil")</f>
        <v>Abrir facsímil</v>
      </c>
      <c r="K3683" s="3" t="s">
        <v>22</v>
      </c>
    </row>
    <row r="3684" spans="1:11" ht="42" customHeight="1">
      <c r="A3684" s="2" t="s">
        <v>7284</v>
      </c>
      <c r="B3684" s="2" t="s">
        <v>7285</v>
      </c>
      <c r="C3684" s="2" t="s">
        <v>42</v>
      </c>
      <c r="D3684" s="2" t="s">
        <v>17</v>
      </c>
      <c r="E3684" s="5">
        <v>-28371</v>
      </c>
      <c r="F3684" s="3" t="s">
        <v>401</v>
      </c>
      <c r="G3684" s="3" t="s">
        <v>63</v>
      </c>
      <c r="H3684" s="2" t="s">
        <v>20</v>
      </c>
      <c r="I3684" s="2" t="s">
        <v>7286</v>
      </c>
      <c r="J3684" s="3" t="str">
        <f>HYPERLINK("https://www.boe.es/gazeta/dias/1822/04/27/pdfs/GMD-1822-119.pdf#page=6","Abrir facsímil")</f>
        <v>Abrir facsímil</v>
      </c>
      <c r="K3684" s="3" t="s">
        <v>22</v>
      </c>
    </row>
    <row r="3685" spans="1:11" ht="42" customHeight="1">
      <c r="A3685" s="2" t="s">
        <v>7287</v>
      </c>
      <c r="B3685" s="2" t="s">
        <v>7288</v>
      </c>
      <c r="C3685" s="2" t="s">
        <v>42</v>
      </c>
      <c r="D3685" s="2" t="s">
        <v>17</v>
      </c>
      <c r="E3685" s="5">
        <v>-28378</v>
      </c>
      <c r="F3685" s="3" t="s">
        <v>496</v>
      </c>
      <c r="G3685" s="3" t="s">
        <v>57</v>
      </c>
      <c r="H3685" s="2" t="s">
        <v>20</v>
      </c>
      <c r="I3685" s="2" t="s">
        <v>7289</v>
      </c>
      <c r="J3685" s="3" t="str">
        <f>HYPERLINK("https://www.boe.es/gazeta/dias/1822/04/20/pdfs/GMD-1822-112.pdf#page=4","Abrir facsímil")</f>
        <v>Abrir facsímil</v>
      </c>
      <c r="K3685" s="3" t="s">
        <v>22</v>
      </c>
    </row>
    <row r="3686" spans="1:11" ht="42" customHeight="1">
      <c r="A3686" s="2" t="s">
        <v>7290</v>
      </c>
      <c r="B3686" s="2" t="s">
        <v>7291</v>
      </c>
      <c r="C3686" s="2" t="s">
        <v>50</v>
      </c>
      <c r="D3686" s="2" t="s">
        <v>51</v>
      </c>
      <c r="E3686" s="5">
        <v>-28391</v>
      </c>
      <c r="F3686" s="3" t="s">
        <v>378</v>
      </c>
      <c r="G3686" s="3" t="s">
        <v>63</v>
      </c>
      <c r="H3686" s="2" t="s">
        <v>20</v>
      </c>
      <c r="I3686" s="2" t="s">
        <v>7292</v>
      </c>
      <c r="J3686" s="3" t="str">
        <f>HYPERLINK("https://www.boe.es/gazeta/dias/1822/04/07/pdfs/GMD-1822-99.pdf#page=6","Abrir facsímil")</f>
        <v>Abrir facsímil</v>
      </c>
      <c r="K3686" s="3" t="s">
        <v>22</v>
      </c>
    </row>
    <row r="3687" spans="1:11" ht="42" customHeight="1">
      <c r="A3687" s="2" t="s">
        <v>7293</v>
      </c>
      <c r="B3687" s="2" t="s">
        <v>7294</v>
      </c>
      <c r="C3687" s="2" t="s">
        <v>42</v>
      </c>
      <c r="D3687" s="2" t="s">
        <v>17</v>
      </c>
      <c r="E3687" s="5">
        <v>-28366</v>
      </c>
      <c r="F3687" s="3" t="s">
        <v>120</v>
      </c>
      <c r="G3687" s="3" t="s">
        <v>63</v>
      </c>
      <c r="H3687" s="2" t="s">
        <v>20</v>
      </c>
      <c r="I3687" s="2" t="s">
        <v>7295</v>
      </c>
      <c r="J3687" s="3" t="str">
        <f>HYPERLINK("https://www.boe.es/gazeta/dias/1822/05/02/pdfs/GMD-1822-124.pdf#page=6","Abrir facsímil")</f>
        <v>Abrir facsímil</v>
      </c>
      <c r="K3687" s="3" t="s">
        <v>22</v>
      </c>
    </row>
    <row r="3688" spans="1:11" ht="42" customHeight="1">
      <c r="A3688" s="2" t="s">
        <v>7293</v>
      </c>
      <c r="B3688" s="2" t="s">
        <v>7294</v>
      </c>
      <c r="C3688" s="2" t="s">
        <v>61</v>
      </c>
      <c r="D3688" s="2" t="s">
        <v>17</v>
      </c>
      <c r="E3688" s="5">
        <v>-28148</v>
      </c>
      <c r="F3688" s="3" t="s">
        <v>1909</v>
      </c>
      <c r="G3688" s="3" t="s">
        <v>63</v>
      </c>
      <c r="H3688" s="2" t="s">
        <v>20</v>
      </c>
      <c r="I3688" s="2" t="s">
        <v>7296</v>
      </c>
      <c r="J3688" s="3" t="str">
        <f>HYPERLINK("https://www.boe.es/gazeta/dias/1822/12/06/pdfs/GMD-1822-356.pdf#page=6","Abrir facsímil")</f>
        <v>Abrir facsímil</v>
      </c>
      <c r="K3688" s="3" t="s">
        <v>22</v>
      </c>
    </row>
    <row r="3689" spans="1:11" ht="42" customHeight="1">
      <c r="A3689" s="2" t="s">
        <v>7297</v>
      </c>
      <c r="B3689" s="2" t="s">
        <v>7298</v>
      </c>
      <c r="C3689" s="2" t="s">
        <v>42</v>
      </c>
      <c r="D3689" s="2" t="s">
        <v>17</v>
      </c>
      <c r="E3689" s="5">
        <v>-28225</v>
      </c>
      <c r="F3689" s="3" t="s">
        <v>177</v>
      </c>
      <c r="G3689" s="3" t="s">
        <v>3273</v>
      </c>
      <c r="H3689" s="2" t="s">
        <v>45</v>
      </c>
      <c r="I3689" s="2" t="s">
        <v>7299</v>
      </c>
      <c r="J3689" s="3" t="str">
        <f>HYPERLINK("https://www.boe.es/gazeta/dias/1822/09/20/pdfs/GMD-1822-276.pdf#page=4","Abrir facsímil")</f>
        <v>Abrir facsímil</v>
      </c>
      <c r="K3689" s="3" t="s">
        <v>47</v>
      </c>
    </row>
    <row r="3690" spans="1:11" ht="42" customHeight="1">
      <c r="A3690" s="2" t="s">
        <v>7300</v>
      </c>
      <c r="B3690" s="2" t="s">
        <v>7301</v>
      </c>
      <c r="C3690" s="2" t="s">
        <v>71</v>
      </c>
      <c r="D3690" s="2" t="s">
        <v>17</v>
      </c>
      <c r="E3690" s="5">
        <v>-28367</v>
      </c>
      <c r="F3690" s="3" t="s">
        <v>280</v>
      </c>
      <c r="G3690" s="3" t="s">
        <v>63</v>
      </c>
      <c r="H3690" s="2" t="s">
        <v>20</v>
      </c>
      <c r="I3690" s="2" t="s">
        <v>7302</v>
      </c>
      <c r="J3690" s="3" t="str">
        <f>HYPERLINK("https://www.boe.es/gazeta/dias/1822/05/01/pdfs/GMD-1822-123.pdf#page=6","Abrir facsímil")</f>
        <v>Abrir facsímil</v>
      </c>
      <c r="K3690" s="3" t="s">
        <v>22</v>
      </c>
    </row>
    <row r="3691" spans="1:11" ht="42" customHeight="1">
      <c r="A3691" s="2" t="s">
        <v>7303</v>
      </c>
      <c r="B3691" s="2" t="s">
        <v>7304</v>
      </c>
      <c r="C3691" s="2" t="s">
        <v>16</v>
      </c>
      <c r="D3691" s="2" t="s">
        <v>17</v>
      </c>
      <c r="E3691" s="5">
        <v>-28393</v>
      </c>
      <c r="F3691" s="3" t="s">
        <v>326</v>
      </c>
      <c r="G3691" s="3" t="s">
        <v>57</v>
      </c>
      <c r="H3691" s="2" t="s">
        <v>20</v>
      </c>
      <c r="I3691" s="2" t="s">
        <v>7305</v>
      </c>
      <c r="J3691" s="3" t="str">
        <f>HYPERLINK("https://www.boe.es/gazeta/dias/1822/04/05/pdfs/GMD-1822-97.pdf#page=4","Abrir facsímil")</f>
        <v>Abrir facsímil</v>
      </c>
      <c r="K3691" s="3" t="s">
        <v>22</v>
      </c>
    </row>
    <row r="3692" spans="1:11" ht="42" customHeight="1">
      <c r="A3692" s="2" t="s">
        <v>7306</v>
      </c>
      <c r="B3692" s="2" t="s">
        <v>7307</v>
      </c>
      <c r="C3692" s="2" t="s">
        <v>42</v>
      </c>
      <c r="D3692" s="2" t="s">
        <v>17</v>
      </c>
      <c r="E3692" s="5">
        <v>-28365</v>
      </c>
      <c r="F3692" s="3" t="s">
        <v>506</v>
      </c>
      <c r="G3692" s="3" t="s">
        <v>2093</v>
      </c>
      <c r="H3692" s="2" t="s">
        <v>20</v>
      </c>
      <c r="I3692" s="2" t="s">
        <v>7308</v>
      </c>
      <c r="J3692" s="3" t="str">
        <f>HYPERLINK("https://www.boe.es/gazeta/dias/1822/05/03/pdfs/GMD-1822-125.pdf#page=6","Abrir facsímil")</f>
        <v>Abrir facsímil</v>
      </c>
      <c r="K3692" s="3" t="s">
        <v>22</v>
      </c>
    </row>
    <row r="3693" spans="1:11" ht="42" customHeight="1">
      <c r="A3693" s="2" t="s">
        <v>7309</v>
      </c>
      <c r="B3693" s="2" t="s">
        <v>7310</v>
      </c>
      <c r="C3693" s="2" t="s">
        <v>50</v>
      </c>
      <c r="D3693" s="2" t="s">
        <v>51</v>
      </c>
      <c r="E3693" s="5">
        <v>-28264</v>
      </c>
      <c r="F3693" s="3" t="s">
        <v>1329</v>
      </c>
      <c r="G3693" s="3" t="s">
        <v>31</v>
      </c>
      <c r="H3693" s="2" t="s">
        <v>20</v>
      </c>
      <c r="I3693" s="2" t="s">
        <v>7311</v>
      </c>
      <c r="J3693" s="3" t="str">
        <f>HYPERLINK("https://www.boe.es/gazeta/dias/1822/08/12/pdfs/GMD-1822-236.pdf#page=3","Abrir facsímil")</f>
        <v>Abrir facsímil</v>
      </c>
      <c r="K3693" s="3" t="s">
        <v>22</v>
      </c>
    </row>
    <row r="3694" spans="1:11" ht="42" customHeight="1">
      <c r="A3694" s="2" t="s">
        <v>7312</v>
      </c>
      <c r="B3694" s="2" t="s">
        <v>7313</v>
      </c>
      <c r="C3694" s="2" t="s">
        <v>71</v>
      </c>
      <c r="D3694" s="2" t="s">
        <v>17</v>
      </c>
      <c r="E3694" s="5">
        <v>-28349</v>
      </c>
      <c r="F3694" s="3" t="s">
        <v>518</v>
      </c>
      <c r="G3694" s="3" t="s">
        <v>44</v>
      </c>
      <c r="H3694" s="2" t="s">
        <v>20</v>
      </c>
      <c r="I3694" s="2" t="s">
        <v>7314</v>
      </c>
      <c r="J3694" s="3" t="str">
        <f>HYPERLINK("https://www.boe.es/gazeta/dias/1822/05/19/pdfs/GMD-1822-141.pdf#page=1","Abrir facsímil")</f>
        <v>Abrir facsímil</v>
      </c>
      <c r="K3694" s="3" t="s">
        <v>22</v>
      </c>
    </row>
    <row r="3695" spans="1:11" ht="42" customHeight="1">
      <c r="A3695" s="2" t="s">
        <v>7315</v>
      </c>
      <c r="B3695" s="2" t="s">
        <v>7316</v>
      </c>
      <c r="C3695" s="2" t="s">
        <v>50</v>
      </c>
      <c r="D3695" s="2" t="s">
        <v>51</v>
      </c>
      <c r="E3695" s="5">
        <v>-28390</v>
      </c>
      <c r="F3695" s="3" t="s">
        <v>665</v>
      </c>
      <c r="G3695" s="3" t="s">
        <v>57</v>
      </c>
      <c r="H3695" s="2" t="s">
        <v>20</v>
      </c>
      <c r="I3695" s="2" t="s">
        <v>7317</v>
      </c>
      <c r="J3695" s="3" t="str">
        <f>HYPERLINK("https://www.boe.es/gazeta/dias/1822/04/08/pdfs/GMD-1822-100.pdf#page=4","Abrir facsímil")</f>
        <v>Abrir facsímil</v>
      </c>
      <c r="K3695" s="3" t="s">
        <v>22</v>
      </c>
    </row>
    <row r="3696" spans="1:11" ht="42" customHeight="1">
      <c r="A3696" s="2" t="s">
        <v>7318</v>
      </c>
      <c r="B3696" s="2" t="s">
        <v>7319</v>
      </c>
      <c r="C3696" s="2" t="s">
        <v>42</v>
      </c>
      <c r="D3696" s="2" t="s">
        <v>17</v>
      </c>
      <c r="E3696" s="5">
        <v>-28139</v>
      </c>
      <c r="F3696" s="3" t="s">
        <v>143</v>
      </c>
      <c r="G3696" s="3" t="s">
        <v>144</v>
      </c>
      <c r="H3696" s="2" t="s">
        <v>20</v>
      </c>
      <c r="I3696" s="2" t="s">
        <v>7320</v>
      </c>
      <c r="J3696" s="3" t="str">
        <f>HYPERLINK("https://www.boe.es/gazeta/dias/1822/12/15/pdfs/GMD-1822-365.pdf#page=4","Abrir facsímil")</f>
        <v>Abrir facsímil</v>
      </c>
      <c r="K3696" s="3" t="s">
        <v>22</v>
      </c>
    </row>
    <row r="3697" spans="1:11" ht="42" customHeight="1">
      <c r="A3697" s="2" t="s">
        <v>7321</v>
      </c>
      <c r="B3697" s="2" t="s">
        <v>7322</v>
      </c>
      <c r="C3697" s="2" t="s">
        <v>42</v>
      </c>
      <c r="D3697" s="2" t="s">
        <v>17</v>
      </c>
      <c r="E3697" s="5">
        <v>-28251</v>
      </c>
      <c r="F3697" s="3" t="s">
        <v>1485</v>
      </c>
      <c r="G3697" s="3" t="s">
        <v>31</v>
      </c>
      <c r="H3697" s="2" t="s">
        <v>20</v>
      </c>
      <c r="I3697" s="2" t="s">
        <v>7323</v>
      </c>
      <c r="J3697" s="3" t="str">
        <f>HYPERLINK("https://www.boe.es/gazeta/dias/1822/08/25/pdfs/GMD-1822-249.pdf#page=3","Abrir facsímil")</f>
        <v>Abrir facsímil</v>
      </c>
      <c r="K3697" s="3" t="s">
        <v>22</v>
      </c>
    </row>
    <row r="3698" spans="1:11" ht="42" customHeight="1">
      <c r="A3698" s="2" t="s">
        <v>7324</v>
      </c>
      <c r="B3698" s="2" t="s">
        <v>7324</v>
      </c>
      <c r="C3698" s="2" t="s">
        <v>50</v>
      </c>
      <c r="D3698" s="2" t="s">
        <v>51</v>
      </c>
      <c r="E3698" s="5">
        <v>-28124</v>
      </c>
      <c r="F3698" s="3" t="s">
        <v>301</v>
      </c>
      <c r="G3698" s="3" t="s">
        <v>35</v>
      </c>
      <c r="H3698" s="2" t="s">
        <v>20</v>
      </c>
      <c r="I3698" s="2" t="s">
        <v>7325</v>
      </c>
      <c r="J3698" s="3" t="str">
        <f>HYPERLINK("https://www.boe.es/gazeta/dias/1822/12/30/pdfs/GMD-1822-380.pdf#page=2","Abrir facsímil")</f>
        <v>Abrir facsímil</v>
      </c>
      <c r="K3698" s="3" t="s">
        <v>22</v>
      </c>
    </row>
    <row r="3699" spans="1:11" ht="42" customHeight="1">
      <c r="A3699" s="2" t="s">
        <v>7326</v>
      </c>
      <c r="B3699" s="2" t="s">
        <v>7326</v>
      </c>
      <c r="C3699" s="2" t="s">
        <v>28</v>
      </c>
      <c r="D3699" s="2" t="s">
        <v>29</v>
      </c>
      <c r="E3699" s="5">
        <v>-28201</v>
      </c>
      <c r="F3699" s="3" t="s">
        <v>163</v>
      </c>
      <c r="G3699" s="3" t="s">
        <v>57</v>
      </c>
      <c r="H3699" s="2" t="s">
        <v>20</v>
      </c>
      <c r="I3699" s="2" t="s">
        <v>7327</v>
      </c>
      <c r="J3699" s="3" t="str">
        <f>HYPERLINK("https://www.boe.es/gazeta/dias/1822/10/14/pdfs/GMD-1822-301.pdf#page=4","Abrir facsímil")</f>
        <v>Abrir facsímil</v>
      </c>
      <c r="K3699" s="3" t="s">
        <v>22</v>
      </c>
    </row>
    <row r="3700" spans="1:11" ht="42" customHeight="1">
      <c r="A3700" s="2" t="s">
        <v>7328</v>
      </c>
      <c r="B3700" s="2" t="s">
        <v>7329</v>
      </c>
      <c r="C3700" s="2" t="s">
        <v>50</v>
      </c>
      <c r="D3700" s="2" t="s">
        <v>51</v>
      </c>
      <c r="E3700" s="5">
        <v>-28201</v>
      </c>
      <c r="F3700" s="3" t="s">
        <v>163</v>
      </c>
      <c r="G3700" s="3" t="s">
        <v>57</v>
      </c>
      <c r="H3700" s="2" t="s">
        <v>20</v>
      </c>
      <c r="I3700" s="2" t="s">
        <v>7330</v>
      </c>
      <c r="J3700" s="3" t="str">
        <f>HYPERLINK("https://www.boe.es/gazeta/dias/1822/10/14/pdfs/GMD-1822-301.pdf#page=4","Abrir facsímil")</f>
        <v>Abrir facsímil</v>
      </c>
      <c r="K3700" s="3" t="s">
        <v>22</v>
      </c>
    </row>
    <row r="3701" spans="1:11" ht="42" customHeight="1">
      <c r="A3701" s="2" t="s">
        <v>7331</v>
      </c>
      <c r="B3701" s="2" t="s">
        <v>7332</v>
      </c>
      <c r="C3701" s="2" t="s">
        <v>50</v>
      </c>
      <c r="D3701" s="2" t="s">
        <v>51</v>
      </c>
      <c r="E3701" s="5">
        <v>-28403</v>
      </c>
      <c r="F3701" s="3" t="s">
        <v>471</v>
      </c>
      <c r="G3701" s="3" t="s">
        <v>44</v>
      </c>
      <c r="H3701" s="2" t="s">
        <v>20</v>
      </c>
      <c r="I3701" s="2" t="s">
        <v>7333</v>
      </c>
      <c r="J3701" s="3" t="str">
        <f>HYPERLINK("https://www.boe.es/gazeta/dias/1822/03/26/pdfs/GMD-1822-87.pdf#page=1","Abrir facsímil")</f>
        <v>Abrir facsímil</v>
      </c>
      <c r="K3701" s="3" t="s">
        <v>22</v>
      </c>
    </row>
    <row r="3702" spans="1:11" ht="42" customHeight="1">
      <c r="A3702" s="2" t="s">
        <v>7334</v>
      </c>
      <c r="B3702" s="2" t="s">
        <v>7335</v>
      </c>
      <c r="C3702" s="2" t="s">
        <v>50</v>
      </c>
      <c r="D3702" s="2" t="s">
        <v>51</v>
      </c>
      <c r="E3702" s="5">
        <v>-28473</v>
      </c>
      <c r="F3702" s="3" t="s">
        <v>2337</v>
      </c>
      <c r="G3702" s="3" t="s">
        <v>157</v>
      </c>
      <c r="H3702" s="2" t="s">
        <v>20</v>
      </c>
      <c r="I3702" s="2" t="s">
        <v>7336</v>
      </c>
      <c r="J3702" s="3" t="str">
        <f>HYPERLINK("https://www.boe.es/gazeta/dias/1822/01/15/pdfs/GMD-1822-15.pdf#page=8","Abrir facsímil")</f>
        <v>Abrir facsímil</v>
      </c>
      <c r="K3702" s="3" t="s">
        <v>22</v>
      </c>
    </row>
    <row r="3703" spans="1:11" ht="42" customHeight="1">
      <c r="A3703" s="2" t="s">
        <v>7334</v>
      </c>
      <c r="B3703" s="2" t="s">
        <v>7335</v>
      </c>
      <c r="C3703" s="2" t="s">
        <v>50</v>
      </c>
      <c r="D3703" s="2" t="s">
        <v>51</v>
      </c>
      <c r="E3703" s="5">
        <v>-28424</v>
      </c>
      <c r="F3703" s="3" t="s">
        <v>439</v>
      </c>
      <c r="G3703" s="3" t="s">
        <v>57</v>
      </c>
      <c r="H3703" s="2" t="s">
        <v>20</v>
      </c>
      <c r="I3703" s="2" t="s">
        <v>7337</v>
      </c>
      <c r="J3703" s="3" t="str">
        <f>HYPERLINK("https://www.boe.es/gazeta/dias/1822/03/05/pdfs/GMD-1822-66.pdf#page=4","Abrir facsímil")</f>
        <v>Abrir facsímil</v>
      </c>
      <c r="K3703" s="3" t="s">
        <v>22</v>
      </c>
    </row>
    <row r="3704" spans="1:11" ht="42" customHeight="1">
      <c r="A3704" s="2" t="s">
        <v>7338</v>
      </c>
      <c r="B3704" s="2" t="s">
        <v>7339</v>
      </c>
      <c r="C3704" s="2" t="s">
        <v>24</v>
      </c>
      <c r="D3704" s="2" t="s">
        <v>17</v>
      </c>
      <c r="E3704" s="5">
        <v>-28389</v>
      </c>
      <c r="F3704" s="3" t="s">
        <v>481</v>
      </c>
      <c r="G3704" s="3" t="s">
        <v>57</v>
      </c>
      <c r="H3704" s="2" t="s">
        <v>20</v>
      </c>
      <c r="I3704" s="2" t="s">
        <v>7340</v>
      </c>
      <c r="J3704" s="3" t="str">
        <f>HYPERLINK("https://www.boe.es/gazeta/dias/1822/04/09/pdfs/GMD-1822-101.pdf#page=4","Abrir facsímil")</f>
        <v>Abrir facsímil</v>
      </c>
      <c r="K3704" s="3" t="s">
        <v>22</v>
      </c>
    </row>
    <row r="3705" spans="1:11" ht="42" customHeight="1">
      <c r="A3705" s="2" t="s">
        <v>7341</v>
      </c>
      <c r="B3705" s="2" t="s">
        <v>7342</v>
      </c>
      <c r="C3705" s="2" t="s">
        <v>71</v>
      </c>
      <c r="D3705" s="2" t="s">
        <v>17</v>
      </c>
      <c r="E3705" s="5">
        <v>-28409</v>
      </c>
      <c r="F3705" s="3" t="s">
        <v>394</v>
      </c>
      <c r="G3705" s="3" t="s">
        <v>31</v>
      </c>
      <c r="H3705" s="2" t="s">
        <v>20</v>
      </c>
      <c r="I3705" s="2" t="s">
        <v>7343</v>
      </c>
      <c r="J3705" s="3" t="str">
        <f>HYPERLINK("https://www.boe.es/gazeta/dias/1822/03/20/pdfs/GMD-1822-81.pdf#page=3","Abrir facsímil")</f>
        <v>Abrir facsímil</v>
      </c>
      <c r="K3705" s="3" t="s">
        <v>22</v>
      </c>
    </row>
    <row r="3706" spans="1:11" ht="42" customHeight="1">
      <c r="A3706" s="2" t="s">
        <v>7344</v>
      </c>
      <c r="B3706" s="2" t="s">
        <v>7345</v>
      </c>
      <c r="C3706" s="2" t="s">
        <v>42</v>
      </c>
      <c r="D3706" s="2" t="s">
        <v>17</v>
      </c>
      <c r="E3706" s="5">
        <v>-28189</v>
      </c>
      <c r="F3706" s="3" t="s">
        <v>645</v>
      </c>
      <c r="G3706" s="3" t="s">
        <v>63</v>
      </c>
      <c r="H3706" s="2" t="s">
        <v>20</v>
      </c>
      <c r="I3706" s="2" t="s">
        <v>7346</v>
      </c>
      <c r="J3706" s="3" t="str">
        <f>HYPERLINK("https://www.boe.es/gazeta/dias/1822/10/26/pdfs/GMD-1822-313.pdf#page=6","Abrir facsímil")</f>
        <v>Abrir facsímil</v>
      </c>
      <c r="K3706" s="3" t="s">
        <v>22</v>
      </c>
    </row>
    <row r="3707" spans="1:11" ht="42" customHeight="1">
      <c r="A3707" s="2" t="s">
        <v>7347</v>
      </c>
      <c r="B3707" s="2" t="s">
        <v>7348</v>
      </c>
      <c r="C3707" s="2" t="s">
        <v>28</v>
      </c>
      <c r="D3707" s="2" t="s">
        <v>29</v>
      </c>
      <c r="E3707" s="5">
        <v>-28230</v>
      </c>
      <c r="F3707" s="3" t="s">
        <v>1735</v>
      </c>
      <c r="G3707" s="3" t="s">
        <v>57</v>
      </c>
      <c r="H3707" s="2" t="s">
        <v>20</v>
      </c>
      <c r="I3707" s="2" t="s">
        <v>7349</v>
      </c>
      <c r="J3707" s="3" t="str">
        <f>HYPERLINK("https://www.boe.es/gazeta/dias/1822/09/15/pdfs/GMD-1822-271.pdf#page=4","Abrir facsímil")</f>
        <v>Abrir facsímil</v>
      </c>
      <c r="K3707" s="3" t="s">
        <v>22</v>
      </c>
    </row>
    <row r="3708" spans="1:11" ht="42" customHeight="1">
      <c r="A3708" s="2" t="s">
        <v>7347</v>
      </c>
      <c r="B3708" s="2" t="s">
        <v>7348</v>
      </c>
      <c r="C3708" s="2" t="s">
        <v>28</v>
      </c>
      <c r="D3708" s="2" t="s">
        <v>29</v>
      </c>
      <c r="E3708" s="5">
        <v>-28157</v>
      </c>
      <c r="F3708" s="3" t="s">
        <v>1492</v>
      </c>
      <c r="G3708" s="3" t="s">
        <v>63</v>
      </c>
      <c r="H3708" s="2" t="s">
        <v>20</v>
      </c>
      <c r="I3708" s="2" t="s">
        <v>7350</v>
      </c>
      <c r="J3708" s="3" t="str">
        <f>HYPERLINK("https://www.boe.es/gazeta/dias/1822/11/27/pdfs/GMD-1822-347.pdf#page=6","Abrir facsímil")</f>
        <v>Abrir facsímil</v>
      </c>
      <c r="K3708" s="3" t="s">
        <v>22</v>
      </c>
    </row>
    <row r="3709" spans="1:11" ht="42" customHeight="1">
      <c r="A3709" s="2" t="s">
        <v>7351</v>
      </c>
      <c r="B3709" s="2" t="s">
        <v>7352</v>
      </c>
      <c r="C3709" s="2" t="s">
        <v>50</v>
      </c>
      <c r="D3709" s="2" t="s">
        <v>51</v>
      </c>
      <c r="E3709" s="5">
        <v>-28484</v>
      </c>
      <c r="F3709" s="3" t="s">
        <v>743</v>
      </c>
      <c r="G3709" s="3" t="s">
        <v>63</v>
      </c>
      <c r="H3709" s="2" t="s">
        <v>20</v>
      </c>
      <c r="I3709" s="2" t="s">
        <v>7353</v>
      </c>
      <c r="J3709" s="3" t="str">
        <f>HYPERLINK("https://www.boe.es/gazeta/dias/1822/01/04/pdfs/GMD-1822-4.pdf#page=6","Abrir facsímil")</f>
        <v>Abrir facsímil</v>
      </c>
      <c r="K3709" s="3" t="s">
        <v>22</v>
      </c>
    </row>
    <row r="3710" spans="1:11" ht="42" customHeight="1">
      <c r="A3710" s="2" t="s">
        <v>7354</v>
      </c>
      <c r="B3710" s="2" t="s">
        <v>7355</v>
      </c>
      <c r="C3710" s="2" t="s">
        <v>50</v>
      </c>
      <c r="D3710" s="2" t="s">
        <v>51</v>
      </c>
      <c r="E3710" s="5">
        <v>-28190</v>
      </c>
      <c r="F3710" s="3" t="s">
        <v>576</v>
      </c>
      <c r="G3710" s="3" t="s">
        <v>63</v>
      </c>
      <c r="H3710" s="2" t="s">
        <v>20</v>
      </c>
      <c r="I3710" s="2" t="s">
        <v>7356</v>
      </c>
      <c r="J3710" s="3" t="str">
        <f>HYPERLINK("https://www.boe.es/gazeta/dias/1822/10/25/pdfs/GMD-1822-312.pdf#page=6","Abrir facsímil")</f>
        <v>Abrir facsímil</v>
      </c>
      <c r="K3710" s="3" t="s">
        <v>22</v>
      </c>
    </row>
    <row r="3711" spans="1:11" ht="42" customHeight="1">
      <c r="A3711" s="2" t="s">
        <v>7357</v>
      </c>
      <c r="B3711" s="2" t="s">
        <v>7358</v>
      </c>
      <c r="C3711" s="2" t="s">
        <v>16</v>
      </c>
      <c r="D3711" s="2" t="s">
        <v>17</v>
      </c>
      <c r="E3711" s="5">
        <v>-28414</v>
      </c>
      <c r="F3711" s="3" t="s">
        <v>187</v>
      </c>
      <c r="G3711" s="3" t="s">
        <v>31</v>
      </c>
      <c r="H3711" s="2" t="s">
        <v>20</v>
      </c>
      <c r="I3711" s="2" t="s">
        <v>7359</v>
      </c>
      <c r="J3711" s="3" t="str">
        <f>HYPERLINK("https://www.boe.es/gazeta/dias/1822/03/15/pdfs/GMD-1822-76.pdf#page=3","Abrir facsímil")</f>
        <v>Abrir facsímil</v>
      </c>
      <c r="K3711" s="3" t="s">
        <v>22</v>
      </c>
    </row>
    <row r="3712" spans="1:11" ht="42" customHeight="1">
      <c r="A3712" s="2" t="s">
        <v>7360</v>
      </c>
      <c r="B3712" s="2" t="s">
        <v>7361</v>
      </c>
      <c r="C3712" s="2" t="s">
        <v>50</v>
      </c>
      <c r="D3712" s="2" t="s">
        <v>723</v>
      </c>
      <c r="E3712" s="5">
        <v>-28181</v>
      </c>
      <c r="F3712" s="3" t="s">
        <v>724</v>
      </c>
      <c r="G3712" s="3" t="s">
        <v>35</v>
      </c>
      <c r="H3712" s="2" t="s">
        <v>20</v>
      </c>
      <c r="I3712" s="2" t="s">
        <v>7362</v>
      </c>
      <c r="J3712" s="3" t="str">
        <f>HYPERLINK("https://www.boe.es/gazeta/dias/1822/11/03/pdfs/GMD-1822-322E.pdf#page=2","Abrir facsímil")</f>
        <v>Abrir facsímil</v>
      </c>
      <c r="K3712" s="3" t="s">
        <v>22</v>
      </c>
    </row>
    <row r="3713" spans="1:11" ht="42" customHeight="1">
      <c r="A3713" s="2" t="s">
        <v>7363</v>
      </c>
      <c r="B3713" s="2" t="s">
        <v>7364</v>
      </c>
      <c r="C3713" s="2" t="s">
        <v>50</v>
      </c>
      <c r="D3713" s="2" t="s">
        <v>51</v>
      </c>
      <c r="E3713" s="5">
        <v>-28419</v>
      </c>
      <c r="F3713" s="3" t="s">
        <v>1392</v>
      </c>
      <c r="G3713" s="3" t="s">
        <v>31</v>
      </c>
      <c r="H3713" s="2" t="s">
        <v>20</v>
      </c>
      <c r="I3713" s="2" t="s">
        <v>7365</v>
      </c>
      <c r="J3713" s="3" t="str">
        <f>HYPERLINK("https://www.boe.es/gazeta/dias/1822/03/10/pdfs/GMD-1822-71.pdf#page=3","Abrir facsímil")</f>
        <v>Abrir facsímil</v>
      </c>
      <c r="K3713" s="3" t="s">
        <v>22</v>
      </c>
    </row>
    <row r="3714" spans="1:11" ht="42" customHeight="1">
      <c r="A3714" s="2" t="s">
        <v>7366</v>
      </c>
      <c r="B3714" s="2" t="s">
        <v>7366</v>
      </c>
      <c r="C3714" s="2" t="s">
        <v>50</v>
      </c>
      <c r="D3714" s="2" t="s">
        <v>51</v>
      </c>
      <c r="E3714" s="5">
        <v>-28396</v>
      </c>
      <c r="F3714" s="3" t="s">
        <v>1138</v>
      </c>
      <c r="G3714" s="3" t="s">
        <v>57</v>
      </c>
      <c r="H3714" s="2" t="s">
        <v>20</v>
      </c>
      <c r="I3714" s="2" t="s">
        <v>7367</v>
      </c>
      <c r="J3714" s="3" t="str">
        <f>HYPERLINK("https://www.boe.es/gazeta/dias/1822/04/02/pdfs/GMD-1822-94.pdf#page=4","Abrir facsímil")</f>
        <v>Abrir facsímil</v>
      </c>
      <c r="K3714" s="3" t="s">
        <v>22</v>
      </c>
    </row>
    <row r="3715" spans="1:11" ht="42" customHeight="1">
      <c r="A3715" s="2" t="s">
        <v>7368</v>
      </c>
      <c r="B3715" s="2" t="s">
        <v>7369</v>
      </c>
      <c r="C3715" s="2" t="s">
        <v>50</v>
      </c>
      <c r="D3715" s="2" t="s">
        <v>51</v>
      </c>
      <c r="E3715" s="5">
        <v>-28400</v>
      </c>
      <c r="F3715" s="3" t="s">
        <v>1937</v>
      </c>
      <c r="G3715" s="3" t="s">
        <v>2260</v>
      </c>
      <c r="H3715" s="2" t="s">
        <v>20</v>
      </c>
      <c r="I3715" s="2" t="s">
        <v>7370</v>
      </c>
      <c r="J3715" s="3" t="str">
        <f>HYPERLINK("https://www.boe.es/gazeta/dias/1822/03/29/pdfs/GMD-1822-90.pdf#page=4","Abrir facsímil")</f>
        <v>Abrir facsímil</v>
      </c>
      <c r="K3715" s="3" t="s">
        <v>22</v>
      </c>
    </row>
    <row r="3716" spans="1:11" ht="42" customHeight="1">
      <c r="A3716" s="2" t="s">
        <v>7368</v>
      </c>
      <c r="B3716" s="2" t="s">
        <v>7369</v>
      </c>
      <c r="C3716" s="2" t="s">
        <v>50</v>
      </c>
      <c r="D3716" s="2" t="s">
        <v>51</v>
      </c>
      <c r="E3716" s="5">
        <v>-28397</v>
      </c>
      <c r="F3716" s="3" t="s">
        <v>1401</v>
      </c>
      <c r="G3716" s="3" t="s">
        <v>57</v>
      </c>
      <c r="H3716" s="2" t="s">
        <v>20</v>
      </c>
      <c r="I3716" s="2" t="s">
        <v>7371</v>
      </c>
      <c r="J3716" s="3" t="str">
        <f>HYPERLINK("https://www.boe.es/gazeta/dias/1822/04/01/pdfs/GMD-1822-93.pdf#page=4","Abrir facsímil")</f>
        <v>Abrir facsímil</v>
      </c>
      <c r="K3716" s="3" t="s">
        <v>22</v>
      </c>
    </row>
    <row r="3717" spans="1:11" ht="42" customHeight="1">
      <c r="A3717" s="2" t="s">
        <v>7372</v>
      </c>
      <c r="B3717" s="2" t="s">
        <v>7373</v>
      </c>
      <c r="C3717" s="2" t="s">
        <v>42</v>
      </c>
      <c r="D3717" s="2" t="s">
        <v>17</v>
      </c>
      <c r="E3717" s="5">
        <v>-28392</v>
      </c>
      <c r="F3717" s="3" t="s">
        <v>2003</v>
      </c>
      <c r="G3717" s="3" t="s">
        <v>57</v>
      </c>
      <c r="H3717" s="2" t="s">
        <v>20</v>
      </c>
      <c r="I3717" s="2" t="s">
        <v>7374</v>
      </c>
      <c r="J3717" s="3" t="str">
        <f>HYPERLINK("https://www.boe.es/gazeta/dias/1822/04/06/pdfs/GMD-1822-98.pdf#page=4","Abrir facsímil")</f>
        <v>Abrir facsímil</v>
      </c>
      <c r="K3717" s="3" t="s">
        <v>22</v>
      </c>
    </row>
    <row r="3718" spans="1:11" ht="42" customHeight="1">
      <c r="A3718" s="2" t="s">
        <v>7375</v>
      </c>
      <c r="B3718" s="2" t="s">
        <v>7376</v>
      </c>
      <c r="C3718" s="2" t="s">
        <v>61</v>
      </c>
      <c r="D3718" s="2" t="s">
        <v>17</v>
      </c>
      <c r="E3718" s="5">
        <v>-28408</v>
      </c>
      <c r="F3718" s="3" t="s">
        <v>2561</v>
      </c>
      <c r="G3718" s="3" t="s">
        <v>63</v>
      </c>
      <c r="H3718" s="2" t="s">
        <v>20</v>
      </c>
      <c r="I3718" s="2" t="s">
        <v>7377</v>
      </c>
      <c r="J3718" s="3" t="str">
        <f>HYPERLINK("https://www.boe.es/gazeta/dias/1822/03/21/pdfs/GMD-1822-82.pdf#page=6","Abrir facsímil")</f>
        <v>Abrir facsímil</v>
      </c>
      <c r="K3718" s="3" t="s">
        <v>22</v>
      </c>
    </row>
    <row r="3719" spans="1:11" ht="42" customHeight="1">
      <c r="A3719" s="2" t="s">
        <v>7378</v>
      </c>
      <c r="B3719" s="2" t="s">
        <v>7379</v>
      </c>
      <c r="C3719" s="2" t="s">
        <v>50</v>
      </c>
      <c r="D3719" s="2" t="s">
        <v>51</v>
      </c>
      <c r="E3719" s="5">
        <v>-28222</v>
      </c>
      <c r="F3719" s="3" t="s">
        <v>2027</v>
      </c>
      <c r="G3719" s="3" t="s">
        <v>31</v>
      </c>
      <c r="H3719" s="2" t="s">
        <v>20</v>
      </c>
      <c r="I3719" s="2" t="s">
        <v>7380</v>
      </c>
      <c r="J3719" s="3" t="str">
        <f>HYPERLINK("https://www.boe.es/gazeta/dias/1822/09/23/pdfs/GMD-1822-279.pdf#page=3","Abrir facsímil")</f>
        <v>Abrir facsímil</v>
      </c>
      <c r="K3719" s="3" t="s">
        <v>22</v>
      </c>
    </row>
    <row r="3720" spans="1:11" ht="42" customHeight="1">
      <c r="A3720" s="2" t="s">
        <v>7381</v>
      </c>
      <c r="B3720" s="2" t="s">
        <v>7381</v>
      </c>
      <c r="C3720" s="2" t="s">
        <v>28</v>
      </c>
      <c r="D3720" s="2" t="s">
        <v>29</v>
      </c>
      <c r="E3720" s="5">
        <v>-28176</v>
      </c>
      <c r="F3720" s="3" t="s">
        <v>780</v>
      </c>
      <c r="G3720" s="3" t="s">
        <v>44</v>
      </c>
      <c r="H3720" s="2" t="s">
        <v>20</v>
      </c>
      <c r="I3720" s="2" t="s">
        <v>7382</v>
      </c>
      <c r="J3720" s="3" t="str">
        <f>HYPERLINK("https://www.boe.es/gazeta/dias/1822/11/08/pdfs/GMD-1822-328.pdf#page=1","Abrir facsímil")</f>
        <v>Abrir facsímil</v>
      </c>
      <c r="K3720" s="3" t="s">
        <v>22</v>
      </c>
    </row>
    <row r="3721" spans="1:11" ht="42" customHeight="1">
      <c r="A3721" s="2" t="s">
        <v>7383</v>
      </c>
      <c r="B3721" s="2" t="s">
        <v>7384</v>
      </c>
      <c r="C3721" s="2" t="s">
        <v>50</v>
      </c>
      <c r="D3721" s="2" t="s">
        <v>51</v>
      </c>
      <c r="E3721" s="5">
        <v>-28151</v>
      </c>
      <c r="F3721" s="3" t="s">
        <v>985</v>
      </c>
      <c r="G3721" s="3" t="s">
        <v>44</v>
      </c>
      <c r="H3721" s="2" t="s">
        <v>20</v>
      </c>
      <c r="I3721" s="2" t="s">
        <v>7385</v>
      </c>
      <c r="J3721" s="3" t="str">
        <f>HYPERLINK("https://www.boe.es/gazeta/dias/1822/12/03/pdfs/GMD-1822-353.pdf#page=1","Abrir facsímil")</f>
        <v>Abrir facsímil</v>
      </c>
      <c r="K3721" s="3" t="s">
        <v>22</v>
      </c>
    </row>
    <row r="3722" spans="1:11" ht="42" customHeight="1">
      <c r="A3722" s="2" t="s">
        <v>7386</v>
      </c>
      <c r="B3722" s="2" t="s">
        <v>7387</v>
      </c>
      <c r="C3722" s="2" t="s">
        <v>42</v>
      </c>
      <c r="D3722" s="2" t="s">
        <v>17</v>
      </c>
      <c r="E3722" s="5">
        <v>-28248</v>
      </c>
      <c r="F3722" s="3" t="s">
        <v>4807</v>
      </c>
      <c r="G3722" s="3" t="s">
        <v>31</v>
      </c>
      <c r="H3722" s="2" t="s">
        <v>20</v>
      </c>
      <c r="I3722" s="2" t="s">
        <v>7388</v>
      </c>
      <c r="J3722" s="3" t="str">
        <f>HYPERLINK("https://www.boe.es/gazeta/dias/1822/08/28/pdfs/GMD-1822-252.pdf#page=3","Abrir facsímil")</f>
        <v>Abrir facsímil</v>
      </c>
      <c r="K3722" s="3" t="s">
        <v>22</v>
      </c>
    </row>
    <row r="3723" spans="1:11" ht="42" customHeight="1">
      <c r="A3723" s="2" t="s">
        <v>7389</v>
      </c>
      <c r="B3723" s="2" t="s">
        <v>7390</v>
      </c>
      <c r="C3723" s="2" t="s">
        <v>50</v>
      </c>
      <c r="D3723" s="2" t="s">
        <v>51</v>
      </c>
      <c r="E3723" s="5">
        <v>-28315</v>
      </c>
      <c r="F3723" s="3" t="s">
        <v>1220</v>
      </c>
      <c r="G3723" s="3" t="s">
        <v>57</v>
      </c>
      <c r="H3723" s="2" t="s">
        <v>20</v>
      </c>
      <c r="I3723" s="2" t="s">
        <v>7391</v>
      </c>
      <c r="J3723" s="3" t="str">
        <f>HYPERLINK("https://www.boe.es/gazeta/dias/1822/06/22/pdfs/GMD-1822-180.pdf#page=4","Abrir facsímil")</f>
        <v>Abrir facsímil</v>
      </c>
      <c r="K3723" s="3" t="s">
        <v>22</v>
      </c>
    </row>
    <row r="3724" spans="1:11" ht="42" customHeight="1">
      <c r="A3724" s="2" t="s">
        <v>7392</v>
      </c>
      <c r="B3724" s="2" t="s">
        <v>7393</v>
      </c>
      <c r="C3724" s="2" t="s">
        <v>42</v>
      </c>
      <c r="D3724" s="2" t="s">
        <v>17</v>
      </c>
      <c r="E3724" s="5">
        <v>-28423</v>
      </c>
      <c r="F3724" s="3" t="s">
        <v>441</v>
      </c>
      <c r="G3724" s="3" t="s">
        <v>35</v>
      </c>
      <c r="H3724" s="2" t="s">
        <v>20</v>
      </c>
      <c r="I3724" s="2" t="s">
        <v>7394</v>
      </c>
      <c r="J3724" s="3" t="str">
        <f>HYPERLINK("https://www.boe.es/gazeta/dias/1822/03/06/pdfs/GMD-1822-67.pdf#page=2","Abrir facsímil")</f>
        <v>Abrir facsímil</v>
      </c>
      <c r="K3724" s="3" t="s">
        <v>22</v>
      </c>
    </row>
    <row r="3725" spans="1:11" ht="42" customHeight="1">
      <c r="A3725" s="2" t="s">
        <v>7395</v>
      </c>
      <c r="B3725" s="2" t="s">
        <v>7396</v>
      </c>
      <c r="C3725" s="2" t="s">
        <v>50</v>
      </c>
      <c r="D3725" s="2" t="s">
        <v>51</v>
      </c>
      <c r="E3725" s="5">
        <v>-28282</v>
      </c>
      <c r="F3725" s="3" t="s">
        <v>6600</v>
      </c>
      <c r="G3725" s="3" t="s">
        <v>7397</v>
      </c>
      <c r="H3725" s="2" t="s">
        <v>20</v>
      </c>
      <c r="I3725" s="2" t="s">
        <v>7398</v>
      </c>
      <c r="J3725" s="3" t="str">
        <f>HYPERLINK("https://www.boe.es/gazeta/dias/1822/07/25/pdfs/GMD-1822-218.pdf#page=3","Abrir facsímil")</f>
        <v>Abrir facsímil</v>
      </c>
      <c r="K3725" s="3" t="s">
        <v>22</v>
      </c>
    </row>
    <row r="3726" spans="1:11" ht="42" customHeight="1">
      <c r="A3726" s="2" t="s">
        <v>7399</v>
      </c>
      <c r="B3726" s="2" t="s">
        <v>7400</v>
      </c>
      <c r="C3726" s="2" t="s">
        <v>71</v>
      </c>
      <c r="D3726" s="2" t="s">
        <v>17</v>
      </c>
      <c r="E3726" s="5">
        <v>-28422</v>
      </c>
      <c r="F3726" s="3" t="s">
        <v>416</v>
      </c>
      <c r="G3726" s="3" t="s">
        <v>35</v>
      </c>
      <c r="H3726" s="2" t="s">
        <v>20</v>
      </c>
      <c r="I3726" s="2" t="s">
        <v>7401</v>
      </c>
      <c r="J3726" s="3" t="str">
        <f>HYPERLINK("https://www.boe.es/gazeta/dias/1822/03/07/pdfs/GMD-1822-68.pdf#page=2","Abrir facsímil")</f>
        <v>Abrir facsímil</v>
      </c>
      <c r="K3726" s="3" t="s">
        <v>22</v>
      </c>
    </row>
    <row r="3727" spans="1:11" ht="42" customHeight="1">
      <c r="A3727" s="2" t="s">
        <v>7402</v>
      </c>
      <c r="B3727" s="2" t="s">
        <v>7403</v>
      </c>
      <c r="C3727" s="2" t="s">
        <v>28</v>
      </c>
      <c r="D3727" s="2" t="s">
        <v>29</v>
      </c>
      <c r="E3727" s="5">
        <v>-28432</v>
      </c>
      <c r="F3727" s="3" t="s">
        <v>195</v>
      </c>
      <c r="G3727" s="3" t="s">
        <v>57</v>
      </c>
      <c r="H3727" s="2" t="s">
        <v>20</v>
      </c>
      <c r="I3727" s="2" t="s">
        <v>7404</v>
      </c>
      <c r="J3727" s="3" t="str">
        <f>HYPERLINK("https://www.boe.es/gazeta/dias/1822/02/25/pdfs/GMD-1822-57.pdf#page=4","Abrir facsímil")</f>
        <v>Abrir facsímil</v>
      </c>
      <c r="K3727" s="3" t="s">
        <v>22</v>
      </c>
    </row>
    <row r="3728" spans="1:11" ht="42" customHeight="1">
      <c r="A3728" s="2" t="s">
        <v>7405</v>
      </c>
      <c r="B3728" s="2" t="s">
        <v>7406</v>
      </c>
      <c r="C3728" s="2" t="s">
        <v>50</v>
      </c>
      <c r="D3728" s="2" t="s">
        <v>51</v>
      </c>
      <c r="E3728" s="5">
        <v>-28329</v>
      </c>
      <c r="F3728" s="3" t="s">
        <v>354</v>
      </c>
      <c r="G3728" s="3" t="s">
        <v>63</v>
      </c>
      <c r="H3728" s="2" t="s">
        <v>20</v>
      </c>
      <c r="I3728" s="2" t="s">
        <v>7407</v>
      </c>
      <c r="J3728" s="3" t="str">
        <f>HYPERLINK("https://www.boe.es/gazeta/dias/1822/06/08/pdfs/GMD-1822-165.pdf#page=6","Abrir facsímil")</f>
        <v>Abrir facsímil</v>
      </c>
      <c r="K3728" s="3" t="s">
        <v>22</v>
      </c>
    </row>
    <row r="3729" spans="1:11" ht="42" customHeight="1">
      <c r="A3729" s="2" t="s">
        <v>7408</v>
      </c>
      <c r="B3729" s="2" t="s">
        <v>7409</v>
      </c>
      <c r="C3729" s="2" t="s">
        <v>71</v>
      </c>
      <c r="D3729" s="2" t="s">
        <v>17</v>
      </c>
      <c r="E3729" s="5">
        <v>-28241</v>
      </c>
      <c r="F3729" s="3" t="s">
        <v>3068</v>
      </c>
      <c r="G3729" s="3" t="s">
        <v>57</v>
      </c>
      <c r="H3729" s="2" t="s">
        <v>20</v>
      </c>
      <c r="I3729" s="2" t="s">
        <v>7410</v>
      </c>
      <c r="J3729" s="3" t="str">
        <f>HYPERLINK("https://www.boe.es/gazeta/dias/1822/09/04/pdfs/GMD-1822-259.pdf#page=4","Abrir facsímil")</f>
        <v>Abrir facsímil</v>
      </c>
      <c r="K3729" s="3" t="s">
        <v>22</v>
      </c>
    </row>
    <row r="3730" spans="1:11" ht="42" customHeight="1">
      <c r="A3730" s="2" t="s">
        <v>7411</v>
      </c>
      <c r="B3730" s="2" t="s">
        <v>7412</v>
      </c>
      <c r="C3730" s="2" t="s">
        <v>50</v>
      </c>
      <c r="D3730" s="2" t="s">
        <v>51</v>
      </c>
      <c r="E3730" s="5">
        <v>-28266</v>
      </c>
      <c r="F3730" s="3" t="s">
        <v>1169</v>
      </c>
      <c r="G3730" s="3" t="s">
        <v>31</v>
      </c>
      <c r="H3730" s="2" t="s">
        <v>20</v>
      </c>
      <c r="I3730" s="2" t="s">
        <v>7413</v>
      </c>
      <c r="J3730" s="3" t="str">
        <f>HYPERLINK("https://www.boe.es/gazeta/dias/1822/08/10/pdfs/GMD-1822-234.pdf#page=3","Abrir facsímil")</f>
        <v>Abrir facsímil</v>
      </c>
      <c r="K3730" s="3" t="s">
        <v>22</v>
      </c>
    </row>
    <row r="3731" spans="1:11" ht="42" customHeight="1">
      <c r="A3731" s="2" t="s">
        <v>7414</v>
      </c>
      <c r="B3731" s="2" t="s">
        <v>7415</v>
      </c>
      <c r="C3731" s="2" t="s">
        <v>28</v>
      </c>
      <c r="D3731" s="2" t="s">
        <v>29</v>
      </c>
      <c r="E3731" s="5">
        <v>-28430</v>
      </c>
      <c r="F3731" s="3" t="s">
        <v>3437</v>
      </c>
      <c r="G3731" s="3" t="s">
        <v>57</v>
      </c>
      <c r="H3731" s="2" t="s">
        <v>20</v>
      </c>
      <c r="I3731" s="2" t="s">
        <v>7416</v>
      </c>
      <c r="J3731" s="3" t="str">
        <f>HYPERLINK("https://www.boe.es/gazeta/dias/1822/02/27/pdfs/GMD-1822-59.pdf#page=4","Abrir facsímil")</f>
        <v>Abrir facsímil</v>
      </c>
      <c r="K3731" s="3" t="s">
        <v>22</v>
      </c>
    </row>
    <row r="3732" spans="1:11" ht="42" customHeight="1">
      <c r="A3732" s="2" t="s">
        <v>7417</v>
      </c>
      <c r="B3732" s="2" t="s">
        <v>7418</v>
      </c>
      <c r="C3732" s="2" t="s">
        <v>50</v>
      </c>
      <c r="D3732" s="2" t="s">
        <v>51</v>
      </c>
      <c r="E3732" s="5">
        <v>-28427</v>
      </c>
      <c r="F3732" s="3" t="s">
        <v>755</v>
      </c>
      <c r="G3732" s="3" t="s">
        <v>31</v>
      </c>
      <c r="H3732" s="2" t="s">
        <v>20</v>
      </c>
      <c r="I3732" s="2" t="s">
        <v>7419</v>
      </c>
      <c r="J3732" s="3" t="str">
        <f>HYPERLINK("https://www.boe.es/gazeta/dias/1822/03/02/pdfs/GMD-1822-63.pdf#page=3","Abrir facsímil")</f>
        <v>Abrir facsímil</v>
      </c>
      <c r="K3732" s="3" t="s">
        <v>22</v>
      </c>
    </row>
    <row r="3733" spans="1:11" ht="42" customHeight="1">
      <c r="A3733" s="2" t="s">
        <v>7420</v>
      </c>
      <c r="B3733" s="2" t="s">
        <v>7421</v>
      </c>
      <c r="C3733" s="2" t="s">
        <v>50</v>
      </c>
      <c r="D3733" s="2" t="s">
        <v>51</v>
      </c>
      <c r="E3733" s="5">
        <v>-28461</v>
      </c>
      <c r="F3733" s="3" t="s">
        <v>1801</v>
      </c>
      <c r="G3733" s="3" t="s">
        <v>35</v>
      </c>
      <c r="H3733" s="2" t="s">
        <v>20</v>
      </c>
      <c r="I3733" s="2" t="s">
        <v>7422</v>
      </c>
      <c r="J3733" s="3" t="str">
        <f>HYPERLINK("https://www.boe.es/gazeta/dias/1822/01/27/pdfs/GMD-1822-27.pdf#page=2","Abrir facsímil")</f>
        <v>Abrir facsímil</v>
      </c>
      <c r="K3733" s="3" t="s">
        <v>22</v>
      </c>
    </row>
    <row r="3734" spans="1:11" ht="42" customHeight="1">
      <c r="A3734" s="2" t="s">
        <v>7420</v>
      </c>
      <c r="B3734" s="2" t="s">
        <v>7421</v>
      </c>
      <c r="C3734" s="2" t="s">
        <v>42</v>
      </c>
      <c r="D3734" s="2" t="s">
        <v>17</v>
      </c>
      <c r="E3734" s="5">
        <v>-28448</v>
      </c>
      <c r="F3734" s="3" t="s">
        <v>1670</v>
      </c>
      <c r="G3734" s="3" t="s">
        <v>57</v>
      </c>
      <c r="H3734" s="2" t="s">
        <v>20</v>
      </c>
      <c r="I3734" s="2" t="s">
        <v>7423</v>
      </c>
      <c r="J3734" s="3" t="str">
        <f>HYPERLINK("https://www.boe.es/gazeta/dias/1822/02/09/pdfs/GMD-1822-40.pdf#page=4","Abrir facsímil")</f>
        <v>Abrir facsímil</v>
      </c>
      <c r="K3734" s="3" t="s">
        <v>22</v>
      </c>
    </row>
    <row r="3735" spans="1:11" ht="42" customHeight="1">
      <c r="A3735" s="2" t="s">
        <v>7420</v>
      </c>
      <c r="B3735" s="2" t="s">
        <v>7421</v>
      </c>
      <c r="C3735" s="2" t="s">
        <v>50</v>
      </c>
      <c r="D3735" s="2" t="s">
        <v>51</v>
      </c>
      <c r="E3735" s="5">
        <v>-28301</v>
      </c>
      <c r="F3735" s="3" t="s">
        <v>2348</v>
      </c>
      <c r="G3735" s="3" t="s">
        <v>35</v>
      </c>
      <c r="H3735" s="2" t="s">
        <v>20</v>
      </c>
      <c r="I3735" s="2" t="s">
        <v>7424</v>
      </c>
      <c r="J3735" s="3" t="str">
        <f>HYPERLINK("https://www.boe.es/gazeta/dias/1822/07/06/pdfs/GMD-1822-195.pdf#page=2","Abrir facsímil")</f>
        <v>Abrir facsímil</v>
      </c>
      <c r="K3735" s="3" t="s">
        <v>22</v>
      </c>
    </row>
    <row r="3736" spans="1:11" ht="42" customHeight="1">
      <c r="A3736" s="2" t="s">
        <v>7420</v>
      </c>
      <c r="B3736" s="2" t="s">
        <v>7421</v>
      </c>
      <c r="C3736" s="2" t="s">
        <v>50</v>
      </c>
      <c r="D3736" s="2" t="s">
        <v>51</v>
      </c>
      <c r="E3736" s="5">
        <v>-28268</v>
      </c>
      <c r="F3736" s="3" t="s">
        <v>7231</v>
      </c>
      <c r="G3736" s="3" t="s">
        <v>31</v>
      </c>
      <c r="H3736" s="2" t="s">
        <v>20</v>
      </c>
      <c r="I3736" s="2" t="s">
        <v>7425</v>
      </c>
      <c r="J3736" s="3" t="str">
        <f>HYPERLINK("https://www.boe.es/gazeta/dias/1822/08/08/pdfs/GMD-1822-232.pdf#page=3","Abrir facsímil")</f>
        <v>Abrir facsímil</v>
      </c>
      <c r="K3736" s="3" t="s">
        <v>22</v>
      </c>
    </row>
    <row r="3737" spans="1:11" ht="42" customHeight="1">
      <c r="A3737" s="2" t="s">
        <v>7420</v>
      </c>
      <c r="B3737" s="2" t="s">
        <v>7421</v>
      </c>
      <c r="C3737" s="2" t="s">
        <v>50</v>
      </c>
      <c r="D3737" s="2" t="s">
        <v>51</v>
      </c>
      <c r="E3737" s="5">
        <v>-28207</v>
      </c>
      <c r="F3737" s="3" t="s">
        <v>1325</v>
      </c>
      <c r="G3737" s="3" t="s">
        <v>35</v>
      </c>
      <c r="H3737" s="2" t="s">
        <v>20</v>
      </c>
      <c r="I3737" s="2" t="s">
        <v>7426</v>
      </c>
      <c r="J3737" s="3" t="str">
        <f>HYPERLINK("https://www.boe.es/gazeta/dias/1822/10/08/pdfs/GMD-1822-295.pdf#page=2","Abrir facsímil")</f>
        <v>Abrir facsímil</v>
      </c>
      <c r="K3737" s="3" t="s">
        <v>22</v>
      </c>
    </row>
    <row r="3738" spans="1:11" ht="42" customHeight="1">
      <c r="A3738" s="2" t="s">
        <v>7427</v>
      </c>
      <c r="B3738" s="2" t="s">
        <v>7427</v>
      </c>
      <c r="C3738" s="2" t="s">
        <v>71</v>
      </c>
      <c r="D3738" s="2" t="s">
        <v>17</v>
      </c>
      <c r="E3738" s="5">
        <v>-28487</v>
      </c>
      <c r="F3738" s="3" t="s">
        <v>426</v>
      </c>
      <c r="G3738" s="3" t="s">
        <v>57</v>
      </c>
      <c r="H3738" s="2" t="s">
        <v>20</v>
      </c>
      <c r="I3738" s="2" t="s">
        <v>7428</v>
      </c>
      <c r="J3738" s="3" t="str">
        <f>HYPERLINK("https://www.boe.es/gazeta/dias/1822/01/01/pdfs/GMD-1822-1.pdf#page=4","Abrir facsímil")</f>
        <v>Abrir facsímil</v>
      </c>
      <c r="K3738" s="3" t="s">
        <v>22</v>
      </c>
    </row>
    <row r="3739" spans="1:11" ht="42" customHeight="1">
      <c r="A3739" s="2" t="s">
        <v>7429</v>
      </c>
      <c r="B3739" s="2" t="s">
        <v>7429</v>
      </c>
      <c r="C3739" s="2" t="s">
        <v>50</v>
      </c>
      <c r="D3739" s="2" t="s">
        <v>51</v>
      </c>
      <c r="E3739" s="5">
        <v>-28214</v>
      </c>
      <c r="F3739" s="3" t="s">
        <v>814</v>
      </c>
      <c r="G3739" s="3" t="s">
        <v>57</v>
      </c>
      <c r="H3739" s="2" t="s">
        <v>20</v>
      </c>
      <c r="I3739" s="2" t="s">
        <v>7430</v>
      </c>
      <c r="J3739" s="3" t="str">
        <f>HYPERLINK("https://www.boe.es/gazeta/dias/1822/10/01/pdfs/GMD-1822-287.pdf#page=4","Abrir facsímil")</f>
        <v>Abrir facsímil</v>
      </c>
      <c r="K3739" s="3" t="s">
        <v>22</v>
      </c>
    </row>
    <row r="3740" spans="1:11" ht="42" customHeight="1">
      <c r="A3740" s="2" t="s">
        <v>7431</v>
      </c>
      <c r="B3740" s="2" t="s">
        <v>7432</v>
      </c>
      <c r="C3740" s="2" t="s">
        <v>28</v>
      </c>
      <c r="D3740" s="2" t="s">
        <v>29</v>
      </c>
      <c r="E3740" s="5">
        <v>-28425</v>
      </c>
      <c r="F3740" s="3" t="s">
        <v>419</v>
      </c>
      <c r="G3740" s="3" t="s">
        <v>35</v>
      </c>
      <c r="H3740" s="2" t="s">
        <v>20</v>
      </c>
      <c r="I3740" s="2" t="s">
        <v>7433</v>
      </c>
      <c r="J3740" s="3" t="str">
        <f>HYPERLINK("https://www.boe.es/gazeta/dias/1822/03/04/pdfs/GMD-1822-65.pdf#page=2","Abrir facsímil")</f>
        <v>Abrir facsímil</v>
      </c>
      <c r="K3740" s="3" t="s">
        <v>22</v>
      </c>
    </row>
    <row r="3741" spans="1:11" ht="42" customHeight="1">
      <c r="A3741" s="2" t="s">
        <v>7434</v>
      </c>
      <c r="B3741" s="2" t="s">
        <v>7435</v>
      </c>
      <c r="C3741" s="2" t="s">
        <v>42</v>
      </c>
      <c r="D3741" s="2" t="s">
        <v>17</v>
      </c>
      <c r="E3741" s="5">
        <v>-28407</v>
      </c>
      <c r="F3741" s="3" t="s">
        <v>460</v>
      </c>
      <c r="G3741" s="3" t="s">
        <v>35</v>
      </c>
      <c r="H3741" s="2" t="s">
        <v>20</v>
      </c>
      <c r="I3741" s="2" t="s">
        <v>7436</v>
      </c>
      <c r="J3741" s="3" t="str">
        <f>HYPERLINK("https://www.boe.es/gazeta/dias/1822/03/22/pdfs/GMD-1822-83.pdf#page=2","Abrir facsímil")</f>
        <v>Abrir facsímil</v>
      </c>
      <c r="K3741" s="3" t="s">
        <v>22</v>
      </c>
    </row>
    <row r="3742" spans="1:11" ht="42" customHeight="1">
      <c r="A3742" s="2" t="s">
        <v>7437</v>
      </c>
      <c r="B3742" s="2" t="s">
        <v>7437</v>
      </c>
      <c r="C3742" s="2" t="s">
        <v>50</v>
      </c>
      <c r="D3742" s="2" t="s">
        <v>51</v>
      </c>
      <c r="E3742" s="5">
        <v>-28176</v>
      </c>
      <c r="F3742" s="3" t="s">
        <v>780</v>
      </c>
      <c r="G3742" s="3" t="s">
        <v>35</v>
      </c>
      <c r="H3742" s="2" t="s">
        <v>20</v>
      </c>
      <c r="I3742" s="2" t="s">
        <v>7438</v>
      </c>
      <c r="J3742" s="3" t="str">
        <f>HYPERLINK("https://www.boe.es/gazeta/dias/1822/11/08/pdfs/GMD-1822-328.pdf#page=2","Abrir facsímil")</f>
        <v>Abrir facsímil</v>
      </c>
      <c r="K3742" s="3" t="s">
        <v>22</v>
      </c>
    </row>
    <row r="3743" spans="1:11" ht="42" customHeight="1">
      <c r="A3743" s="2" t="s">
        <v>7437</v>
      </c>
      <c r="B3743" s="2" t="s">
        <v>7437</v>
      </c>
      <c r="C3743" s="2" t="s">
        <v>28</v>
      </c>
      <c r="D3743" s="2" t="s">
        <v>29</v>
      </c>
      <c r="E3743" s="5">
        <v>-28175</v>
      </c>
      <c r="F3743" s="3" t="s">
        <v>341</v>
      </c>
      <c r="G3743" s="3" t="s">
        <v>31</v>
      </c>
      <c r="H3743" s="2" t="s">
        <v>20</v>
      </c>
      <c r="I3743" s="2" t="s">
        <v>7439</v>
      </c>
      <c r="J3743" s="3" t="str">
        <f>HYPERLINK("https://www.boe.es/gazeta/dias/1822/11/09/pdfs/GMD-1822-329.pdf#page=3","Abrir facsímil")</f>
        <v>Abrir facsímil</v>
      </c>
      <c r="K3743" s="3" t="s">
        <v>22</v>
      </c>
    </row>
    <row r="3744" spans="1:11" ht="42" customHeight="1">
      <c r="A3744" s="2" t="s">
        <v>7440</v>
      </c>
      <c r="B3744" s="2" t="s">
        <v>7440</v>
      </c>
      <c r="C3744" s="2" t="s">
        <v>42</v>
      </c>
      <c r="D3744" s="2" t="s">
        <v>17</v>
      </c>
      <c r="E3744" s="5">
        <v>-28188</v>
      </c>
      <c r="F3744" s="3" t="s">
        <v>578</v>
      </c>
      <c r="G3744" s="3" t="s">
        <v>44</v>
      </c>
      <c r="H3744" s="2" t="s">
        <v>20</v>
      </c>
      <c r="I3744" s="2" t="s">
        <v>7441</v>
      </c>
      <c r="J3744" s="3" t="str">
        <f>HYPERLINK("https://www.boe.es/gazeta/dias/1822/10/27/pdfs/GMD-1822-314.pdf#page=1","Abrir facsímil")</f>
        <v>Abrir facsímil</v>
      </c>
      <c r="K3744" s="3" t="s">
        <v>22</v>
      </c>
    </row>
    <row r="3745" spans="1:11" ht="42" customHeight="1">
      <c r="A3745" s="2" t="s">
        <v>7442</v>
      </c>
      <c r="B3745" s="2" t="s">
        <v>7442</v>
      </c>
      <c r="C3745" s="2" t="s">
        <v>42</v>
      </c>
      <c r="D3745" s="2" t="s">
        <v>17</v>
      </c>
      <c r="E3745" s="5">
        <v>-28234</v>
      </c>
      <c r="F3745" s="3" t="s">
        <v>1331</v>
      </c>
      <c r="G3745" s="3" t="s">
        <v>31</v>
      </c>
      <c r="H3745" s="2" t="s">
        <v>20</v>
      </c>
      <c r="I3745" s="2" t="s">
        <v>7443</v>
      </c>
      <c r="J3745" s="3" t="str">
        <f>HYPERLINK("https://www.boe.es/gazeta/dias/1822/09/11/pdfs/GMD-1822-267.pdf#page=3","Abrir facsímil")</f>
        <v>Abrir facsímil</v>
      </c>
      <c r="K3745" s="3" t="s">
        <v>22</v>
      </c>
    </row>
    <row r="3746" spans="1:11" ht="42" customHeight="1">
      <c r="A3746" s="2" t="s">
        <v>7444</v>
      </c>
      <c r="B3746" s="2" t="s">
        <v>7445</v>
      </c>
      <c r="C3746" s="2" t="s">
        <v>24</v>
      </c>
      <c r="D3746" s="2" t="s">
        <v>17</v>
      </c>
      <c r="E3746" s="5">
        <v>-28139</v>
      </c>
      <c r="F3746" s="3" t="s">
        <v>143</v>
      </c>
      <c r="G3746" s="3" t="s">
        <v>144</v>
      </c>
      <c r="H3746" s="2" t="s">
        <v>20</v>
      </c>
      <c r="I3746" s="2" t="s">
        <v>7446</v>
      </c>
      <c r="J3746" s="3" t="str">
        <f>HYPERLINK("https://www.boe.es/gazeta/dias/1822/12/15/pdfs/GMD-1822-365.pdf#page=4","Abrir facsímil")</f>
        <v>Abrir facsímil</v>
      </c>
      <c r="K3746" s="3" t="s">
        <v>22</v>
      </c>
    </row>
    <row r="3747" spans="1:11" ht="42" customHeight="1">
      <c r="A3747" s="2" t="s">
        <v>7447</v>
      </c>
      <c r="B3747" s="2" t="s">
        <v>7447</v>
      </c>
      <c r="C3747" s="2" t="s">
        <v>50</v>
      </c>
      <c r="D3747" s="2" t="s">
        <v>51</v>
      </c>
      <c r="E3747" s="5">
        <v>-28417</v>
      </c>
      <c r="F3747" s="3" t="s">
        <v>1394</v>
      </c>
      <c r="G3747" s="3" t="s">
        <v>57</v>
      </c>
      <c r="H3747" s="2" t="s">
        <v>20</v>
      </c>
      <c r="I3747" s="2" t="s">
        <v>7448</v>
      </c>
      <c r="J3747" s="3" t="str">
        <f>HYPERLINK("https://www.boe.es/gazeta/dias/1822/03/12/pdfs/GMD-1822-73.pdf#page=4","Abrir facsímil")</f>
        <v>Abrir facsímil</v>
      </c>
      <c r="K3747" s="3" t="s">
        <v>22</v>
      </c>
    </row>
    <row r="3748" spans="1:11" ht="42" customHeight="1">
      <c r="A3748" s="2" t="s">
        <v>7449</v>
      </c>
      <c r="B3748" s="2" t="s">
        <v>7449</v>
      </c>
      <c r="C3748" s="2" t="s">
        <v>50</v>
      </c>
      <c r="D3748" s="2" t="s">
        <v>51</v>
      </c>
      <c r="E3748" s="5">
        <v>-28164</v>
      </c>
      <c r="F3748" s="3" t="s">
        <v>2172</v>
      </c>
      <c r="G3748" s="3" t="s">
        <v>63</v>
      </c>
      <c r="H3748" s="2" t="s">
        <v>20</v>
      </c>
      <c r="I3748" s="2" t="s">
        <v>7450</v>
      </c>
      <c r="J3748" s="3" t="str">
        <f>HYPERLINK("https://www.boe.es/gazeta/dias/1822/11/20/pdfs/GMD-1822-340.pdf#page=6","Abrir facsímil")</f>
        <v>Abrir facsímil</v>
      </c>
      <c r="K3748" s="3" t="s">
        <v>22</v>
      </c>
    </row>
    <row r="3749" spans="1:11" ht="42" customHeight="1">
      <c r="A3749" s="2" t="s">
        <v>7451</v>
      </c>
      <c r="B3749" s="2" t="s">
        <v>7451</v>
      </c>
      <c r="C3749" s="2" t="s">
        <v>61</v>
      </c>
      <c r="D3749" s="2" t="s">
        <v>17</v>
      </c>
      <c r="E3749" s="5">
        <v>-28241</v>
      </c>
      <c r="F3749" s="3" t="s">
        <v>3068</v>
      </c>
      <c r="G3749" s="3" t="s">
        <v>31</v>
      </c>
      <c r="H3749" s="2" t="s">
        <v>20</v>
      </c>
      <c r="I3749" s="2" t="s">
        <v>7452</v>
      </c>
      <c r="J3749" s="3" t="str">
        <f>HYPERLINK("https://www.boe.es/gazeta/dias/1822/09/04/pdfs/GMD-1822-259.pdf#page=3","Abrir facsímil")</f>
        <v>Abrir facsímil</v>
      </c>
      <c r="K3749" s="3" t="s">
        <v>22</v>
      </c>
    </row>
    <row r="3750" spans="1:11" ht="42" customHeight="1">
      <c r="A3750" s="2" t="s">
        <v>7453</v>
      </c>
      <c r="B3750" s="2" t="s">
        <v>7454</v>
      </c>
      <c r="C3750" s="2" t="s">
        <v>61</v>
      </c>
      <c r="D3750" s="2" t="s">
        <v>17</v>
      </c>
      <c r="E3750" s="5">
        <v>-28165</v>
      </c>
      <c r="F3750" s="3" t="s">
        <v>846</v>
      </c>
      <c r="G3750" s="3" t="s">
        <v>57</v>
      </c>
      <c r="H3750" s="2" t="s">
        <v>20</v>
      </c>
      <c r="I3750" s="2" t="s">
        <v>7455</v>
      </c>
      <c r="J3750" s="3" t="str">
        <f>HYPERLINK("https://www.boe.es/gazeta/dias/1822/11/19/pdfs/GMD-1822-339.pdf#page=4","Abrir facsímil")</f>
        <v>Abrir facsímil</v>
      </c>
      <c r="K3750" s="3" t="s">
        <v>22</v>
      </c>
    </row>
    <row r="3751" spans="1:11" ht="42" customHeight="1">
      <c r="A3751" s="2" t="s">
        <v>7456</v>
      </c>
      <c r="B3751" s="2" t="s">
        <v>7456</v>
      </c>
      <c r="C3751" s="2" t="s">
        <v>28</v>
      </c>
      <c r="D3751" s="2" t="s">
        <v>29</v>
      </c>
      <c r="E3751" s="5">
        <v>-28379</v>
      </c>
      <c r="F3751" s="3" t="s">
        <v>494</v>
      </c>
      <c r="G3751" s="3" t="s">
        <v>63</v>
      </c>
      <c r="H3751" s="2" t="s">
        <v>20</v>
      </c>
      <c r="I3751" s="2" t="s">
        <v>7457</v>
      </c>
      <c r="J3751" s="3" t="str">
        <f>HYPERLINK("https://www.boe.es/gazeta/dias/1822/04/19/pdfs/GMD-1822-111.pdf#page=6","Abrir facsímil")</f>
        <v>Abrir facsímil</v>
      </c>
      <c r="K3751" s="3" t="s">
        <v>22</v>
      </c>
    </row>
    <row r="3752" spans="1:11" ht="42" customHeight="1">
      <c r="A3752" s="2" t="s">
        <v>7456</v>
      </c>
      <c r="B3752" s="2" t="s">
        <v>7456</v>
      </c>
      <c r="C3752" s="2" t="s">
        <v>24</v>
      </c>
      <c r="D3752" s="2" t="s">
        <v>17</v>
      </c>
      <c r="E3752" s="5">
        <v>-28183</v>
      </c>
      <c r="F3752" s="3" t="s">
        <v>583</v>
      </c>
      <c r="G3752" s="3" t="s">
        <v>63</v>
      </c>
      <c r="H3752" s="2" t="s">
        <v>20</v>
      </c>
      <c r="I3752" s="2" t="s">
        <v>7458</v>
      </c>
      <c r="J3752" s="3" t="str">
        <f>HYPERLINK("https://www.boe.es/gazeta/dias/1822/11/01/pdfs/GMD-1822-319.pdf#page=6","Abrir facsímil")</f>
        <v>Abrir facsímil</v>
      </c>
      <c r="K3752" s="3" t="s">
        <v>22</v>
      </c>
    </row>
    <row r="3753" spans="1:11" ht="42" customHeight="1">
      <c r="A3753" s="2" t="s">
        <v>7459</v>
      </c>
      <c r="B3753" s="2" t="s">
        <v>7460</v>
      </c>
      <c r="C3753" s="2" t="s">
        <v>71</v>
      </c>
      <c r="D3753" s="2" t="s">
        <v>17</v>
      </c>
      <c r="E3753" s="5">
        <v>-28227</v>
      </c>
      <c r="F3753" s="3" t="s">
        <v>2148</v>
      </c>
      <c r="G3753" s="3" t="s">
        <v>31</v>
      </c>
      <c r="H3753" s="2" t="s">
        <v>20</v>
      </c>
      <c r="I3753" s="2" t="s">
        <v>7461</v>
      </c>
      <c r="J3753" s="3" t="str">
        <f>HYPERLINK("https://www.boe.es/gazeta/dias/1822/09/18/pdfs/GMD-1822-274.pdf#page=3","Abrir facsímil")</f>
        <v>Abrir facsímil</v>
      </c>
      <c r="K3753" s="3" t="s">
        <v>22</v>
      </c>
    </row>
    <row r="3754" spans="1:11" ht="42" customHeight="1">
      <c r="A3754" s="2" t="s">
        <v>7462</v>
      </c>
      <c r="B3754" s="2" t="s">
        <v>7463</v>
      </c>
      <c r="C3754" s="2" t="s">
        <v>61</v>
      </c>
      <c r="D3754" s="2" t="s">
        <v>17</v>
      </c>
      <c r="E3754" s="5">
        <v>-28212</v>
      </c>
      <c r="F3754" s="3" t="s">
        <v>560</v>
      </c>
      <c r="G3754" s="3" t="s">
        <v>57</v>
      </c>
      <c r="H3754" s="2" t="s">
        <v>20</v>
      </c>
      <c r="I3754" s="2" t="s">
        <v>7464</v>
      </c>
      <c r="J3754" s="3" t="str">
        <f>HYPERLINK("https://www.boe.es/gazeta/dias/1822/10/03/pdfs/GMD-1822-289.pdf#page=4","Abrir facsímil")</f>
        <v>Abrir facsímil</v>
      </c>
      <c r="K3754" s="3" t="s">
        <v>22</v>
      </c>
    </row>
    <row r="3755" spans="1:11" ht="42" customHeight="1">
      <c r="A3755" s="2" t="s">
        <v>7465</v>
      </c>
      <c r="B3755" s="2" t="s">
        <v>7466</v>
      </c>
      <c r="C3755" s="2" t="s">
        <v>50</v>
      </c>
      <c r="D3755" s="2" t="s">
        <v>51</v>
      </c>
      <c r="E3755" s="5">
        <v>-28428</v>
      </c>
      <c r="F3755" s="3" t="s">
        <v>1924</v>
      </c>
      <c r="G3755" s="3" t="s">
        <v>57</v>
      </c>
      <c r="H3755" s="2" t="s">
        <v>20</v>
      </c>
      <c r="I3755" s="2" t="s">
        <v>7467</v>
      </c>
      <c r="J3755" s="3" t="str">
        <f>HYPERLINK("https://www.boe.es/gazeta/dias/1822/03/01/pdfs/GMD-1822-61.pdf#page=4","Abrir facsímil")</f>
        <v>Abrir facsímil</v>
      </c>
      <c r="K3755" s="3" t="s">
        <v>22</v>
      </c>
    </row>
    <row r="3756" spans="1:11" ht="42" customHeight="1">
      <c r="A3756" s="2" t="s">
        <v>7468</v>
      </c>
      <c r="B3756" s="2" t="s">
        <v>7469</v>
      </c>
      <c r="C3756" s="2" t="s">
        <v>28</v>
      </c>
      <c r="D3756" s="2" t="s">
        <v>29</v>
      </c>
      <c r="E3756" s="5">
        <v>-28125</v>
      </c>
      <c r="F3756" s="3" t="s">
        <v>322</v>
      </c>
      <c r="G3756" s="3" t="s">
        <v>63</v>
      </c>
      <c r="H3756" s="2" t="s">
        <v>20</v>
      </c>
      <c r="I3756" s="2" t="s">
        <v>7470</v>
      </c>
      <c r="J3756" s="3" t="str">
        <f>HYPERLINK("https://www.boe.es/gazeta/dias/1822/12/29/pdfs/GMD-1822-379.pdf#page=6","Abrir facsímil")</f>
        <v>Abrir facsímil</v>
      </c>
      <c r="K3756" s="3" t="s">
        <v>22</v>
      </c>
    </row>
    <row r="3757" spans="1:11" ht="42" customHeight="1">
      <c r="A3757" s="2" t="s">
        <v>7471</v>
      </c>
      <c r="B3757" s="2" t="s">
        <v>7472</v>
      </c>
      <c r="C3757" s="2" t="s">
        <v>50</v>
      </c>
      <c r="D3757" s="2" t="s">
        <v>51</v>
      </c>
      <c r="E3757" s="5">
        <v>-28455</v>
      </c>
      <c r="F3757" s="3" t="s">
        <v>1107</v>
      </c>
      <c r="G3757" s="3" t="s">
        <v>19</v>
      </c>
      <c r="H3757" s="2" t="s">
        <v>20</v>
      </c>
      <c r="I3757" s="2" t="s">
        <v>7473</v>
      </c>
      <c r="J3757" s="3" t="str">
        <f>HYPERLINK("https://www.boe.es/gazeta/dias/1822/02/02/pdfs/GMD-1822-33.pdf#page=5","Abrir facsímil")</f>
        <v>Abrir facsímil</v>
      </c>
      <c r="K3757" s="3" t="s">
        <v>22</v>
      </c>
    </row>
    <row r="3758" spans="1:11" ht="42" customHeight="1">
      <c r="A3758" s="2" t="s">
        <v>7474</v>
      </c>
      <c r="B3758" s="2" t="s">
        <v>7475</v>
      </c>
      <c r="C3758" s="2" t="s">
        <v>71</v>
      </c>
      <c r="D3758" s="2" t="s">
        <v>17</v>
      </c>
      <c r="E3758" s="5">
        <v>-28201</v>
      </c>
      <c r="F3758" s="3" t="s">
        <v>163</v>
      </c>
      <c r="G3758" s="3" t="s">
        <v>35</v>
      </c>
      <c r="H3758" s="2" t="s">
        <v>20</v>
      </c>
      <c r="I3758" s="2" t="s">
        <v>7476</v>
      </c>
      <c r="J3758" s="3" t="str">
        <f>HYPERLINK("https://www.boe.es/gazeta/dias/1822/10/14/pdfs/GMD-1822-301.pdf#page=2","Abrir facsímil")</f>
        <v>Abrir facsímil</v>
      </c>
      <c r="K3758" s="3" t="s">
        <v>22</v>
      </c>
    </row>
    <row r="3759" spans="1:11" ht="42" customHeight="1">
      <c r="A3759" s="2" t="s">
        <v>7477</v>
      </c>
      <c r="B3759" s="2" t="s">
        <v>7477</v>
      </c>
      <c r="C3759" s="2" t="s">
        <v>16</v>
      </c>
      <c r="D3759" s="2" t="s">
        <v>17</v>
      </c>
      <c r="E3759" s="5">
        <v>-28411</v>
      </c>
      <c r="F3759" s="3" t="s">
        <v>1509</v>
      </c>
      <c r="G3759" s="3" t="s">
        <v>35</v>
      </c>
      <c r="H3759" s="2" t="s">
        <v>20</v>
      </c>
      <c r="I3759" s="2" t="s">
        <v>7478</v>
      </c>
      <c r="J3759" s="3" t="str">
        <f>HYPERLINK("https://www.boe.es/gazeta/dias/1822/03/18/pdfs/GMD-1822-79.pdf#page=2","Abrir facsímil")</f>
        <v>Abrir facsímil</v>
      </c>
      <c r="K3759" s="3" t="s">
        <v>22</v>
      </c>
    </row>
    <row r="3760" spans="1:11" ht="42" customHeight="1">
      <c r="A3760" s="2" t="s">
        <v>7477</v>
      </c>
      <c r="B3760" s="2" t="s">
        <v>7477</v>
      </c>
      <c r="C3760" s="2" t="s">
        <v>28</v>
      </c>
      <c r="D3760" s="2" t="s">
        <v>29</v>
      </c>
      <c r="E3760" s="5">
        <v>-28351</v>
      </c>
      <c r="F3760" s="3" t="s">
        <v>282</v>
      </c>
      <c r="G3760" s="3" t="s">
        <v>35</v>
      </c>
      <c r="H3760" s="2" t="s">
        <v>20</v>
      </c>
      <c r="I3760" s="2" t="s">
        <v>7479</v>
      </c>
      <c r="J3760" s="3" t="str">
        <f>HYPERLINK("https://www.boe.es/gazeta/dias/1822/05/17/pdfs/GMD-1822-139.pdf#page=2","Abrir facsímil")</f>
        <v>Abrir facsímil</v>
      </c>
      <c r="K3760" s="3" t="s">
        <v>22</v>
      </c>
    </row>
    <row r="3761" spans="1:11" ht="42" customHeight="1">
      <c r="A3761" s="2" t="s">
        <v>7477</v>
      </c>
      <c r="B3761" s="2" t="s">
        <v>7477</v>
      </c>
      <c r="C3761" s="2" t="s">
        <v>50</v>
      </c>
      <c r="D3761" s="2" t="s">
        <v>51</v>
      </c>
      <c r="E3761" s="5">
        <v>-28303</v>
      </c>
      <c r="F3761" s="3" t="s">
        <v>201</v>
      </c>
      <c r="G3761" s="3" t="s">
        <v>31</v>
      </c>
      <c r="H3761" s="2" t="s">
        <v>20</v>
      </c>
      <c r="I3761" s="2" t="s">
        <v>7480</v>
      </c>
      <c r="J3761" s="3" t="str">
        <f>HYPERLINK("https://www.boe.es/gazeta/dias/1822/07/04/pdfs/GMD-1822-193.pdf#page=3","Abrir facsímil")</f>
        <v>Abrir facsímil</v>
      </c>
      <c r="K3761" s="3" t="s">
        <v>22</v>
      </c>
    </row>
    <row r="3762" spans="1:11" ht="42" customHeight="1">
      <c r="A3762" s="2" t="s">
        <v>7477</v>
      </c>
      <c r="B3762" s="2" t="s">
        <v>7477</v>
      </c>
      <c r="C3762" s="2" t="s">
        <v>42</v>
      </c>
      <c r="D3762" s="2" t="s">
        <v>17</v>
      </c>
      <c r="E3762" s="5">
        <v>-28274</v>
      </c>
      <c r="F3762" s="3" t="s">
        <v>3371</v>
      </c>
      <c r="G3762" s="3" t="s">
        <v>44</v>
      </c>
      <c r="H3762" s="2" t="s">
        <v>20</v>
      </c>
      <c r="I3762" s="2" t="s">
        <v>7481</v>
      </c>
      <c r="J3762" s="3" t="str">
        <f>HYPERLINK("https://www.boe.es/gazeta/dias/1822/08/02/pdfs/GMD-1822-226.pdf#page=1","Abrir facsímil")</f>
        <v>Abrir facsímil</v>
      </c>
      <c r="K3762" s="3" t="s">
        <v>22</v>
      </c>
    </row>
    <row r="3763" spans="1:11" ht="42" customHeight="1">
      <c r="A3763" s="2" t="s">
        <v>7477</v>
      </c>
      <c r="B3763" s="2" t="s">
        <v>7477</v>
      </c>
      <c r="C3763" s="2" t="s">
        <v>42</v>
      </c>
      <c r="D3763" s="2" t="s">
        <v>17</v>
      </c>
      <c r="E3763" s="5">
        <v>-28258</v>
      </c>
      <c r="F3763" s="3" t="s">
        <v>88</v>
      </c>
      <c r="G3763" s="3" t="s">
        <v>31</v>
      </c>
      <c r="H3763" s="2" t="s">
        <v>20</v>
      </c>
      <c r="I3763" s="2" t="s">
        <v>7482</v>
      </c>
      <c r="J3763" s="3" t="str">
        <f>HYPERLINK("https://www.boe.es/gazeta/dias/1822/08/18/pdfs/GMD-1822-242.pdf#page=3","Abrir facsímil")</f>
        <v>Abrir facsímil</v>
      </c>
      <c r="K3763" s="3" t="s">
        <v>22</v>
      </c>
    </row>
    <row r="3764" spans="1:11" ht="42" customHeight="1">
      <c r="A3764" s="2" t="s">
        <v>7483</v>
      </c>
      <c r="B3764" s="2" t="s">
        <v>7483</v>
      </c>
      <c r="C3764" s="2" t="s">
        <v>50</v>
      </c>
      <c r="D3764" s="2" t="s">
        <v>51</v>
      </c>
      <c r="E3764" s="5">
        <v>-28451</v>
      </c>
      <c r="F3764" s="3" t="s">
        <v>1674</v>
      </c>
      <c r="G3764" s="3" t="s">
        <v>63</v>
      </c>
      <c r="H3764" s="2" t="s">
        <v>20</v>
      </c>
      <c r="I3764" s="2" t="s">
        <v>7484</v>
      </c>
      <c r="J3764" s="3" t="str">
        <f>HYPERLINK("https://www.boe.es/gazeta/dias/1822/02/06/pdfs/GMD-1822-37.pdf#page=6","Abrir facsímil")</f>
        <v>Abrir facsímil</v>
      </c>
      <c r="K3764" s="3" t="s">
        <v>22</v>
      </c>
    </row>
    <row r="3765" spans="1:11" ht="42" customHeight="1">
      <c r="A3765" s="2" t="s">
        <v>7483</v>
      </c>
      <c r="B3765" s="2" t="s">
        <v>7483</v>
      </c>
      <c r="C3765" s="2" t="s">
        <v>24</v>
      </c>
      <c r="D3765" s="2" t="s">
        <v>17</v>
      </c>
      <c r="E3765" s="5">
        <v>-28450</v>
      </c>
      <c r="F3765" s="3" t="s">
        <v>1450</v>
      </c>
      <c r="G3765" s="3" t="s">
        <v>2247</v>
      </c>
      <c r="H3765" s="2" t="s">
        <v>20</v>
      </c>
      <c r="I3765" s="2" t="s">
        <v>7485</v>
      </c>
      <c r="J3765" s="3" t="str">
        <f>HYPERLINK("https://www.boe.es/gazeta/dias/1822/02/07/pdfs/GMD-1822-38.pdf#page=6","Abrir facsímil")</f>
        <v>Abrir facsímil</v>
      </c>
      <c r="K3765" s="3" t="s">
        <v>22</v>
      </c>
    </row>
    <row r="3766" spans="1:11" ht="42" customHeight="1">
      <c r="A3766" s="2" t="s">
        <v>7483</v>
      </c>
      <c r="B3766" s="2" t="s">
        <v>7483</v>
      </c>
      <c r="C3766" s="2" t="s">
        <v>42</v>
      </c>
      <c r="D3766" s="2" t="s">
        <v>17</v>
      </c>
      <c r="E3766" s="5">
        <v>-28433</v>
      </c>
      <c r="F3766" s="3" t="s">
        <v>3663</v>
      </c>
      <c r="G3766" s="3" t="s">
        <v>44</v>
      </c>
      <c r="H3766" s="2" t="s">
        <v>20</v>
      </c>
      <c r="I3766" s="2" t="s">
        <v>7486</v>
      </c>
      <c r="J3766" s="3" t="str">
        <f>HYPERLINK("https://www.boe.es/gazeta/dias/1822/02/24/pdfs/GMD-1822-56.pdf#page=1","Abrir facsímil")</f>
        <v>Abrir facsímil</v>
      </c>
      <c r="K3766" s="3" t="s">
        <v>22</v>
      </c>
    </row>
    <row r="3767" spans="1:11" ht="42" customHeight="1">
      <c r="A3767" s="2" t="s">
        <v>7483</v>
      </c>
      <c r="B3767" s="2" t="s">
        <v>7483</v>
      </c>
      <c r="C3767" s="2" t="s">
        <v>50</v>
      </c>
      <c r="D3767" s="2" t="s">
        <v>51</v>
      </c>
      <c r="E3767" s="5">
        <v>-28401</v>
      </c>
      <c r="F3767" s="3" t="s">
        <v>108</v>
      </c>
      <c r="G3767" s="3" t="s">
        <v>35</v>
      </c>
      <c r="H3767" s="2" t="s">
        <v>20</v>
      </c>
      <c r="I3767" s="2" t="s">
        <v>7487</v>
      </c>
      <c r="J3767" s="3" t="str">
        <f>HYPERLINK("https://www.boe.es/gazeta/dias/1822/03/28/pdfs/GMD-1822-89.pdf#page=2","Abrir facsímil")</f>
        <v>Abrir facsímil</v>
      </c>
      <c r="K3767" s="3" t="s">
        <v>22</v>
      </c>
    </row>
    <row r="3768" spans="1:11" ht="42" customHeight="1">
      <c r="A3768" s="2" t="s">
        <v>7483</v>
      </c>
      <c r="B3768" s="2" t="s">
        <v>7483</v>
      </c>
      <c r="C3768" s="2" t="s">
        <v>50</v>
      </c>
      <c r="D3768" s="2" t="s">
        <v>51</v>
      </c>
      <c r="E3768" s="5">
        <v>-28381</v>
      </c>
      <c r="F3768" s="3" t="s">
        <v>358</v>
      </c>
      <c r="G3768" s="3" t="s">
        <v>35</v>
      </c>
      <c r="H3768" s="2" t="s">
        <v>20</v>
      </c>
      <c r="I3768" s="2" t="s">
        <v>7488</v>
      </c>
      <c r="J3768" s="3" t="str">
        <f>HYPERLINK("https://www.boe.es/gazeta/dias/1822/04/17/pdfs/GMD-1822-109.pdf#page=2","Abrir facsímil")</f>
        <v>Abrir facsímil</v>
      </c>
      <c r="K3768" s="3" t="s">
        <v>22</v>
      </c>
    </row>
    <row r="3769" spans="1:11" ht="42" customHeight="1">
      <c r="A3769" s="2" t="s">
        <v>7483</v>
      </c>
      <c r="B3769" s="2" t="s">
        <v>7483</v>
      </c>
      <c r="C3769" s="2" t="s">
        <v>50</v>
      </c>
      <c r="D3769" s="2" t="s">
        <v>51</v>
      </c>
      <c r="E3769" s="5">
        <v>-28379</v>
      </c>
      <c r="F3769" s="3" t="s">
        <v>494</v>
      </c>
      <c r="G3769" s="3" t="s">
        <v>57</v>
      </c>
      <c r="H3769" s="2" t="s">
        <v>20</v>
      </c>
      <c r="I3769" s="2" t="s">
        <v>7489</v>
      </c>
      <c r="J3769" s="3" t="str">
        <f>HYPERLINK("https://www.boe.es/gazeta/dias/1822/04/19/pdfs/GMD-1822-111.pdf#page=4","Abrir facsímil")</f>
        <v>Abrir facsímil</v>
      </c>
      <c r="K3769" s="3" t="s">
        <v>22</v>
      </c>
    </row>
    <row r="3770" spans="1:11" ht="42" customHeight="1">
      <c r="A3770" s="2" t="s">
        <v>7483</v>
      </c>
      <c r="B3770" s="2" t="s">
        <v>7483</v>
      </c>
      <c r="C3770" s="2" t="s">
        <v>28</v>
      </c>
      <c r="D3770" s="2" t="s">
        <v>29</v>
      </c>
      <c r="E3770" s="5">
        <v>-28368</v>
      </c>
      <c r="F3770" s="3" t="s">
        <v>126</v>
      </c>
      <c r="G3770" s="3" t="s">
        <v>35</v>
      </c>
      <c r="H3770" s="2" t="s">
        <v>20</v>
      </c>
      <c r="I3770" s="2" t="s">
        <v>7490</v>
      </c>
      <c r="J3770" s="3" t="str">
        <f>HYPERLINK("https://www.boe.es/gazeta/dias/1822/04/30/pdfs/GMD-1822-122.pdf#page=2","Abrir facsímil")</f>
        <v>Abrir facsímil</v>
      </c>
      <c r="K3770" s="3" t="s">
        <v>22</v>
      </c>
    </row>
    <row r="3771" spans="1:11" ht="42" customHeight="1">
      <c r="A3771" s="2" t="s">
        <v>7483</v>
      </c>
      <c r="B3771" s="2" t="s">
        <v>7483</v>
      </c>
      <c r="C3771" s="2" t="s">
        <v>42</v>
      </c>
      <c r="D3771" s="2" t="s">
        <v>17</v>
      </c>
      <c r="E3771" s="5">
        <v>-28354</v>
      </c>
      <c r="F3771" s="3" t="s">
        <v>226</v>
      </c>
      <c r="G3771" s="3" t="s">
        <v>57</v>
      </c>
      <c r="H3771" s="2" t="s">
        <v>20</v>
      </c>
      <c r="I3771" s="2" t="s">
        <v>7491</v>
      </c>
      <c r="J3771" s="3" t="str">
        <f>HYPERLINK("https://www.boe.es/gazeta/dias/1822/05/14/pdfs/GMD-1822-136.pdf#page=4","Abrir facsímil")</f>
        <v>Abrir facsímil</v>
      </c>
      <c r="K3771" s="3" t="s">
        <v>22</v>
      </c>
    </row>
    <row r="3772" spans="1:11" ht="42" customHeight="1">
      <c r="A3772" s="2" t="s">
        <v>7483</v>
      </c>
      <c r="B3772" s="2" t="s">
        <v>7483</v>
      </c>
      <c r="C3772" s="2" t="s">
        <v>362</v>
      </c>
      <c r="D3772" s="2" t="s">
        <v>17</v>
      </c>
      <c r="E3772" s="5">
        <v>-28338</v>
      </c>
      <c r="F3772" s="3" t="s">
        <v>527</v>
      </c>
      <c r="G3772" s="3" t="s">
        <v>31</v>
      </c>
      <c r="H3772" s="2" t="s">
        <v>20</v>
      </c>
      <c r="I3772" s="2" t="s">
        <v>7492</v>
      </c>
      <c r="J3772" s="3" t="str">
        <f>HYPERLINK("https://www.boe.es/gazeta/dias/1822/05/30/pdfs/GMD-1822-155.pdf#page=3","Abrir facsímil")</f>
        <v>Abrir facsímil</v>
      </c>
      <c r="K3772" s="3" t="s">
        <v>22</v>
      </c>
    </row>
    <row r="3773" spans="1:11" ht="42" customHeight="1">
      <c r="A3773" s="2" t="s">
        <v>7483</v>
      </c>
      <c r="B3773" s="2" t="s">
        <v>7483</v>
      </c>
      <c r="C3773" s="2" t="s">
        <v>28</v>
      </c>
      <c r="D3773" s="2" t="s">
        <v>29</v>
      </c>
      <c r="E3773" s="5">
        <v>-28338</v>
      </c>
      <c r="F3773" s="3" t="s">
        <v>527</v>
      </c>
      <c r="G3773" s="3" t="s">
        <v>57</v>
      </c>
      <c r="H3773" s="2" t="s">
        <v>20</v>
      </c>
      <c r="I3773" s="2" t="s">
        <v>7493</v>
      </c>
      <c r="J3773" s="3" t="str">
        <f>HYPERLINK("https://www.boe.es/gazeta/dias/1822/05/30/pdfs/GMD-1822-155.pdf#page=4","Abrir facsímil")</f>
        <v>Abrir facsímil</v>
      </c>
      <c r="K3773" s="3" t="s">
        <v>22</v>
      </c>
    </row>
    <row r="3774" spans="1:11" ht="42" customHeight="1">
      <c r="A3774" s="2" t="s">
        <v>7483</v>
      </c>
      <c r="B3774" s="2" t="s">
        <v>7483</v>
      </c>
      <c r="C3774" s="2" t="s">
        <v>50</v>
      </c>
      <c r="D3774" s="2" t="s">
        <v>51</v>
      </c>
      <c r="E3774" s="5">
        <v>-28205</v>
      </c>
      <c r="F3774" s="3" t="s">
        <v>806</v>
      </c>
      <c r="G3774" s="3" t="s">
        <v>44</v>
      </c>
      <c r="H3774" s="2" t="s">
        <v>20</v>
      </c>
      <c r="I3774" s="2" t="s">
        <v>7494</v>
      </c>
      <c r="J3774" s="3" t="str">
        <f>HYPERLINK("https://www.boe.es/gazeta/dias/1822/10/10/pdfs/GMD-1822-297.pdf#page=1","Abrir facsímil")</f>
        <v>Abrir facsímil</v>
      </c>
      <c r="K3774" s="3" t="s">
        <v>22</v>
      </c>
    </row>
    <row r="3775" spans="1:11" ht="42" customHeight="1">
      <c r="A3775" s="2" t="s">
        <v>7495</v>
      </c>
      <c r="B3775" s="2" t="s">
        <v>7496</v>
      </c>
      <c r="C3775" s="2" t="s">
        <v>50</v>
      </c>
      <c r="D3775" s="2" t="s">
        <v>51</v>
      </c>
      <c r="E3775" s="5">
        <v>-28237</v>
      </c>
      <c r="F3775" s="3" t="s">
        <v>878</v>
      </c>
      <c r="G3775" s="3" t="s">
        <v>57</v>
      </c>
      <c r="H3775" s="2" t="s">
        <v>20</v>
      </c>
      <c r="I3775" s="2" t="s">
        <v>7497</v>
      </c>
      <c r="J3775" s="3" t="str">
        <f>HYPERLINK("https://www.boe.es/gazeta/dias/1822/09/08/pdfs/GMD-1822-264.pdf#page=4","Abrir facsímil")</f>
        <v>Abrir facsímil</v>
      </c>
      <c r="K3775" s="3" t="s">
        <v>22</v>
      </c>
    </row>
    <row r="3776" spans="1:11" ht="42" customHeight="1">
      <c r="A3776" s="2" t="s">
        <v>7498</v>
      </c>
      <c r="B3776" s="2" t="s">
        <v>7499</v>
      </c>
      <c r="C3776" s="2" t="s">
        <v>42</v>
      </c>
      <c r="D3776" s="2" t="s">
        <v>17</v>
      </c>
      <c r="E3776" s="5">
        <v>-28409</v>
      </c>
      <c r="F3776" s="3" t="s">
        <v>394</v>
      </c>
      <c r="G3776" s="3" t="s">
        <v>44</v>
      </c>
      <c r="H3776" s="2" t="s">
        <v>20</v>
      </c>
      <c r="I3776" s="2" t="s">
        <v>7500</v>
      </c>
      <c r="J3776" s="3" t="str">
        <f>HYPERLINK("https://www.boe.es/gazeta/dias/1822/03/20/pdfs/GMD-1822-81.pdf#page=1","Abrir facsímil")</f>
        <v>Abrir facsímil</v>
      </c>
      <c r="K3776" s="3" t="s">
        <v>22</v>
      </c>
    </row>
    <row r="3777" spans="1:11" ht="42" customHeight="1">
      <c r="A3777" s="2" t="s">
        <v>7498</v>
      </c>
      <c r="B3777" s="2" t="s">
        <v>7499</v>
      </c>
      <c r="C3777" s="2" t="s">
        <v>28</v>
      </c>
      <c r="D3777" s="2" t="s">
        <v>29</v>
      </c>
      <c r="E3777" s="5">
        <v>-28301</v>
      </c>
      <c r="F3777" s="3" t="s">
        <v>2348</v>
      </c>
      <c r="G3777" s="3" t="s">
        <v>35</v>
      </c>
      <c r="H3777" s="2" t="s">
        <v>20</v>
      </c>
      <c r="I3777" s="2" t="s">
        <v>7501</v>
      </c>
      <c r="J3777" s="3" t="str">
        <f>HYPERLINK("https://www.boe.es/gazeta/dias/1822/07/06/pdfs/GMD-1822-195.pdf#page=2","Abrir facsímil")</f>
        <v>Abrir facsímil</v>
      </c>
      <c r="K3777" s="3" t="s">
        <v>22</v>
      </c>
    </row>
    <row r="3778" spans="1:11" ht="42" customHeight="1">
      <c r="A3778" s="2" t="s">
        <v>7502</v>
      </c>
      <c r="B3778" s="2" t="s">
        <v>7503</v>
      </c>
      <c r="C3778" s="2" t="s">
        <v>42</v>
      </c>
      <c r="D3778" s="2" t="s">
        <v>17</v>
      </c>
      <c r="E3778" s="5">
        <v>-28345</v>
      </c>
      <c r="F3778" s="3" t="s">
        <v>294</v>
      </c>
      <c r="G3778" s="3" t="s">
        <v>63</v>
      </c>
      <c r="H3778" s="2" t="s">
        <v>20</v>
      </c>
      <c r="I3778" s="2" t="s">
        <v>7504</v>
      </c>
      <c r="J3778" s="3" t="str">
        <f>HYPERLINK("https://www.boe.es/gazeta/dias/1822/05/23/pdfs/GMD-1822-147.pdf#page=6","Abrir facsímil")</f>
        <v>Abrir facsímil</v>
      </c>
      <c r="K3778" s="3" t="s">
        <v>22</v>
      </c>
    </row>
    <row r="3779" spans="1:11" ht="42" customHeight="1">
      <c r="A3779" s="2" t="s">
        <v>7505</v>
      </c>
      <c r="B3779" s="2" t="s">
        <v>7505</v>
      </c>
      <c r="C3779" s="2" t="s">
        <v>28</v>
      </c>
      <c r="D3779" s="2" t="s">
        <v>29</v>
      </c>
      <c r="E3779" s="5">
        <v>-28432</v>
      </c>
      <c r="F3779" s="3" t="s">
        <v>195</v>
      </c>
      <c r="G3779" s="3" t="s">
        <v>31</v>
      </c>
      <c r="H3779" s="2" t="s">
        <v>20</v>
      </c>
      <c r="I3779" s="2" t="s">
        <v>7506</v>
      </c>
      <c r="J3779" s="3" t="str">
        <f>HYPERLINK("https://www.boe.es/gazeta/dias/1822/02/25/pdfs/GMD-1822-57.pdf#page=3","Abrir facsímil")</f>
        <v>Abrir facsímil</v>
      </c>
      <c r="K3779" s="3" t="s">
        <v>22</v>
      </c>
    </row>
    <row r="3780" spans="1:11" ht="42" customHeight="1">
      <c r="A3780" s="2" t="s">
        <v>7507</v>
      </c>
      <c r="B3780" s="2" t="s">
        <v>7508</v>
      </c>
      <c r="C3780" s="2" t="s">
        <v>50</v>
      </c>
      <c r="D3780" s="2" t="s">
        <v>51</v>
      </c>
      <c r="E3780" s="5">
        <v>-28189</v>
      </c>
      <c r="F3780" s="3" t="s">
        <v>645</v>
      </c>
      <c r="G3780" s="3" t="s">
        <v>63</v>
      </c>
      <c r="H3780" s="2" t="s">
        <v>20</v>
      </c>
      <c r="I3780" s="2" t="s">
        <v>7509</v>
      </c>
      <c r="J3780" s="3" t="str">
        <f>HYPERLINK("https://www.boe.es/gazeta/dias/1822/10/26/pdfs/GMD-1822-313.pdf#page=6","Abrir facsímil")</f>
        <v>Abrir facsímil</v>
      </c>
      <c r="K3780" s="3" t="s">
        <v>22</v>
      </c>
    </row>
    <row r="3781" spans="1:11" ht="42" customHeight="1">
      <c r="A3781" s="2" t="s">
        <v>7510</v>
      </c>
      <c r="B3781" s="2" t="s">
        <v>7511</v>
      </c>
      <c r="C3781" s="2" t="s">
        <v>50</v>
      </c>
      <c r="D3781" s="2" t="s">
        <v>51</v>
      </c>
      <c r="E3781" s="5">
        <v>-28171</v>
      </c>
      <c r="F3781" s="3" t="s">
        <v>1075</v>
      </c>
      <c r="G3781" s="3" t="s">
        <v>57</v>
      </c>
      <c r="H3781" s="2" t="s">
        <v>20</v>
      </c>
      <c r="I3781" s="2" t="s">
        <v>7512</v>
      </c>
      <c r="J3781" s="3" t="str">
        <f>HYPERLINK("https://www.boe.es/gazeta/dias/1822/11/13/pdfs/GMD-1822-333.pdf#page=4","Abrir facsímil")</f>
        <v>Abrir facsímil</v>
      </c>
      <c r="K3781" s="3" t="s">
        <v>22</v>
      </c>
    </row>
    <row r="3782" spans="1:11" ht="42" customHeight="1">
      <c r="A3782" s="2" t="s">
        <v>7513</v>
      </c>
      <c r="B3782" s="2" t="s">
        <v>7513</v>
      </c>
      <c r="C3782" s="2" t="s">
        <v>28</v>
      </c>
      <c r="D3782" s="2" t="s">
        <v>29</v>
      </c>
      <c r="E3782" s="5">
        <v>-28353</v>
      </c>
      <c r="F3782" s="3" t="s">
        <v>843</v>
      </c>
      <c r="G3782" s="3" t="s">
        <v>19</v>
      </c>
      <c r="H3782" s="2" t="s">
        <v>20</v>
      </c>
      <c r="I3782" s="2" t="s">
        <v>7514</v>
      </c>
      <c r="J3782" s="3" t="str">
        <f>HYPERLINK("https://www.boe.es/gazeta/dias/1822/05/15/pdfs/GMD-1822-137.pdf#page=5","Abrir facsímil")</f>
        <v>Abrir facsímil</v>
      </c>
      <c r="K3782" s="3" t="s">
        <v>22</v>
      </c>
    </row>
    <row r="3783" spans="1:11" ht="42" customHeight="1">
      <c r="A3783" s="2" t="s">
        <v>7515</v>
      </c>
      <c r="B3783" s="2" t="s">
        <v>7515</v>
      </c>
      <c r="C3783" s="2" t="s">
        <v>28</v>
      </c>
      <c r="D3783" s="2" t="s">
        <v>29</v>
      </c>
      <c r="E3783" s="5">
        <v>-28194</v>
      </c>
      <c r="F3783" s="3" t="s">
        <v>18</v>
      </c>
      <c r="G3783" s="3" t="s">
        <v>57</v>
      </c>
      <c r="H3783" s="2" t="s">
        <v>20</v>
      </c>
      <c r="I3783" s="2" t="s">
        <v>7516</v>
      </c>
      <c r="J3783" s="3" t="str">
        <f>HYPERLINK("https://www.boe.es/gazeta/dias/1822/10/21/pdfs/GMD-1822-308.pdf#page=4","Abrir facsímil")</f>
        <v>Abrir facsímil</v>
      </c>
      <c r="K3783" s="3" t="s">
        <v>22</v>
      </c>
    </row>
    <row r="3784" spans="1:11" ht="42" customHeight="1">
      <c r="A3784" s="2" t="s">
        <v>7517</v>
      </c>
      <c r="B3784" s="2" t="s">
        <v>7517</v>
      </c>
      <c r="C3784" s="2" t="s">
        <v>71</v>
      </c>
      <c r="D3784" s="2" t="s">
        <v>17</v>
      </c>
      <c r="E3784" s="5">
        <v>-28152</v>
      </c>
      <c r="F3784" s="3" t="s">
        <v>122</v>
      </c>
      <c r="G3784" s="3" t="s">
        <v>31</v>
      </c>
      <c r="H3784" s="2" t="s">
        <v>20</v>
      </c>
      <c r="I3784" s="2" t="s">
        <v>7518</v>
      </c>
      <c r="J3784" s="3" t="str">
        <f>HYPERLINK("https://www.boe.es/gazeta/dias/1822/12/02/pdfs/GMD-1822-352.pdf#page=3","Abrir facsímil")</f>
        <v>Abrir facsímil</v>
      </c>
      <c r="K3784" s="3" t="s">
        <v>22</v>
      </c>
    </row>
    <row r="3785" spans="1:11" ht="42" customHeight="1">
      <c r="A3785" s="2" t="s">
        <v>7519</v>
      </c>
      <c r="B3785" s="2" t="s">
        <v>7520</v>
      </c>
      <c r="C3785" s="2" t="s">
        <v>50</v>
      </c>
      <c r="D3785" s="2" t="s">
        <v>723</v>
      </c>
      <c r="E3785" s="5">
        <v>-28180</v>
      </c>
      <c r="F3785" s="3" t="s">
        <v>7521</v>
      </c>
      <c r="G3785" s="3" t="s">
        <v>44</v>
      </c>
      <c r="H3785" s="2" t="s">
        <v>20</v>
      </c>
      <c r="I3785" s="2" t="s">
        <v>7522</v>
      </c>
      <c r="J3785" s="3" t="str">
        <f>HYPERLINK("https://www.boe.es/gazeta/dias/1822/11/04/pdfs/GMD-1822-324E.pdf#page=1","Abrir facsímil")</f>
        <v>Abrir facsímil</v>
      </c>
      <c r="K3785" s="3" t="s">
        <v>22</v>
      </c>
    </row>
    <row r="3786" spans="1:11" ht="42" customHeight="1">
      <c r="A3786" s="2" t="s">
        <v>7523</v>
      </c>
      <c r="B3786" s="2" t="s">
        <v>7524</v>
      </c>
      <c r="C3786" s="2" t="s">
        <v>50</v>
      </c>
      <c r="D3786" s="2" t="s">
        <v>51</v>
      </c>
      <c r="E3786" s="5">
        <v>-28293</v>
      </c>
      <c r="F3786" s="3" t="s">
        <v>152</v>
      </c>
      <c r="G3786" s="3" t="s">
        <v>31</v>
      </c>
      <c r="H3786" s="2" t="s">
        <v>45</v>
      </c>
      <c r="I3786" s="2" t="s">
        <v>7525</v>
      </c>
      <c r="J3786" s="3" t="str">
        <f>HYPERLINK("https://www.boe.es/gazeta/dias/1822/07/14/pdfs/GMD-1822-204.pdf#page=3","Abrir facsímil")</f>
        <v>Abrir facsímil</v>
      </c>
      <c r="K3786" s="3" t="s">
        <v>47</v>
      </c>
    </row>
    <row r="3787" spans="1:11" ht="42" customHeight="1">
      <c r="A3787" s="2" t="s">
        <v>7526</v>
      </c>
      <c r="B3787" s="2" t="s">
        <v>7526</v>
      </c>
      <c r="C3787" s="2" t="s">
        <v>71</v>
      </c>
      <c r="D3787" s="2" t="s">
        <v>17</v>
      </c>
      <c r="E3787" s="5">
        <v>-28133</v>
      </c>
      <c r="F3787" s="3" t="s">
        <v>595</v>
      </c>
      <c r="G3787" s="3" t="s">
        <v>31</v>
      </c>
      <c r="H3787" s="2" t="s">
        <v>20</v>
      </c>
      <c r="I3787" s="2" t="s">
        <v>7527</v>
      </c>
      <c r="J3787" s="3" t="str">
        <f>HYPERLINK("https://www.boe.es/gazeta/dias/1822/12/21/pdfs/GMD-1822-371.pdf#page=3","Abrir facsímil")</f>
        <v>Abrir facsímil</v>
      </c>
      <c r="K3787" s="3" t="s">
        <v>22</v>
      </c>
    </row>
    <row r="3788" spans="1:11" ht="42" customHeight="1">
      <c r="A3788" s="2" t="s">
        <v>7528</v>
      </c>
      <c r="B3788" s="2" t="s">
        <v>7528</v>
      </c>
      <c r="C3788" s="2" t="s">
        <v>28</v>
      </c>
      <c r="D3788" s="2" t="s">
        <v>29</v>
      </c>
      <c r="E3788" s="5">
        <v>-28313</v>
      </c>
      <c r="F3788" s="3" t="s">
        <v>315</v>
      </c>
      <c r="G3788" s="3" t="s">
        <v>35</v>
      </c>
      <c r="H3788" s="2" t="s">
        <v>20</v>
      </c>
      <c r="I3788" s="2" t="s">
        <v>7529</v>
      </c>
      <c r="J3788" s="3" t="str">
        <f>HYPERLINK("https://www.boe.es/gazeta/dias/1822/06/24/pdfs/GMD-1822-182.pdf#page=2","Abrir facsímil")</f>
        <v>Abrir facsímil</v>
      </c>
      <c r="K3788" s="3" t="s">
        <v>22</v>
      </c>
    </row>
    <row r="3789" spans="1:11" ht="42" customHeight="1">
      <c r="A3789" s="2" t="s">
        <v>7530</v>
      </c>
      <c r="B3789" s="2" t="s">
        <v>7530</v>
      </c>
      <c r="C3789" s="2" t="s">
        <v>50</v>
      </c>
      <c r="D3789" s="2" t="s">
        <v>51</v>
      </c>
      <c r="E3789" s="5">
        <v>-28337</v>
      </c>
      <c r="F3789" s="3" t="s">
        <v>1836</v>
      </c>
      <c r="G3789" s="3" t="s">
        <v>19</v>
      </c>
      <c r="H3789" s="2" t="s">
        <v>20</v>
      </c>
      <c r="I3789" s="2" t="s">
        <v>7531</v>
      </c>
      <c r="J3789" s="3" t="str">
        <f>HYPERLINK("https://www.boe.es/gazeta/dias/1822/05/31/pdfs/GMD-1822-156.pdf#page=5","Abrir facsímil")</f>
        <v>Abrir facsímil</v>
      </c>
      <c r="K3789" s="3" t="s">
        <v>22</v>
      </c>
    </row>
    <row r="3790" spans="1:11" ht="42" customHeight="1">
      <c r="A3790" s="2" t="s">
        <v>7532</v>
      </c>
      <c r="B3790" s="2" t="s">
        <v>7533</v>
      </c>
      <c r="C3790" s="2" t="s">
        <v>42</v>
      </c>
      <c r="D3790" s="2" t="s">
        <v>17</v>
      </c>
      <c r="E3790" s="5">
        <v>-28166</v>
      </c>
      <c r="F3790" s="3" t="s">
        <v>942</v>
      </c>
      <c r="G3790" s="3" t="s">
        <v>19</v>
      </c>
      <c r="H3790" s="2" t="s">
        <v>20</v>
      </c>
      <c r="I3790" s="2" t="s">
        <v>7534</v>
      </c>
      <c r="J3790" s="3" t="str">
        <f>HYPERLINK("https://www.boe.es/gazeta/dias/1822/11/18/pdfs/GMD-1822-338.pdf#page=5","Abrir facsímil")</f>
        <v>Abrir facsímil</v>
      </c>
      <c r="K3790" s="3" t="s">
        <v>22</v>
      </c>
    </row>
    <row r="3791" spans="1:11" ht="42" customHeight="1">
      <c r="A3791" s="2" t="s">
        <v>7535</v>
      </c>
      <c r="B3791" s="2" t="s">
        <v>7535</v>
      </c>
      <c r="C3791" s="2" t="s">
        <v>42</v>
      </c>
      <c r="D3791" s="2" t="s">
        <v>17</v>
      </c>
      <c r="E3791" s="5">
        <v>-28165</v>
      </c>
      <c r="F3791" s="3" t="s">
        <v>846</v>
      </c>
      <c r="G3791" s="3" t="s">
        <v>847</v>
      </c>
      <c r="H3791" s="2" t="s">
        <v>20</v>
      </c>
      <c r="I3791" s="2" t="s">
        <v>7536</v>
      </c>
      <c r="J3791" s="3" t="str">
        <f>HYPERLINK("https://www.boe.es/gazeta/dias/1822/11/19/pdfs/GMD-1822-339.pdf#page=3","Abrir facsímil")</f>
        <v>Abrir facsímil</v>
      </c>
      <c r="K3791" s="3" t="s">
        <v>22</v>
      </c>
    </row>
    <row r="3792" spans="1:11" ht="42" customHeight="1">
      <c r="A3792" s="2" t="s">
        <v>7537</v>
      </c>
      <c r="B3792" s="2" t="s">
        <v>7537</v>
      </c>
      <c r="C3792" s="2" t="s">
        <v>50</v>
      </c>
      <c r="D3792" s="2" t="s">
        <v>51</v>
      </c>
      <c r="E3792" s="5">
        <v>-28375</v>
      </c>
      <c r="F3792" s="3" t="s">
        <v>2035</v>
      </c>
      <c r="G3792" s="3" t="s">
        <v>57</v>
      </c>
      <c r="H3792" s="2" t="s">
        <v>20</v>
      </c>
      <c r="I3792" s="2" t="s">
        <v>7538</v>
      </c>
      <c r="J3792" s="3" t="str">
        <f>HYPERLINK("https://www.boe.es/gazeta/dias/1822/04/23/pdfs/GMD-1822-115.pdf#page=4","Abrir facsímil")</f>
        <v>Abrir facsímil</v>
      </c>
      <c r="K3792" s="3" t="s">
        <v>22</v>
      </c>
    </row>
    <row r="3793" spans="1:11" ht="42" customHeight="1">
      <c r="A3793" s="2" t="s">
        <v>7539</v>
      </c>
      <c r="B3793" s="2" t="s">
        <v>7539</v>
      </c>
      <c r="C3793" s="2" t="s">
        <v>61</v>
      </c>
      <c r="D3793" s="2" t="s">
        <v>17</v>
      </c>
      <c r="E3793" s="5">
        <v>-28372</v>
      </c>
      <c r="F3793" s="3" t="s">
        <v>503</v>
      </c>
      <c r="G3793" s="3" t="s">
        <v>63</v>
      </c>
      <c r="H3793" s="2" t="s">
        <v>20</v>
      </c>
      <c r="I3793" s="2" t="s">
        <v>7540</v>
      </c>
      <c r="J3793" s="3" t="str">
        <f>HYPERLINK("https://www.boe.es/gazeta/dias/1822/04/26/pdfs/GMD-1822-118.pdf#page=6","Abrir facsímil")</f>
        <v>Abrir facsímil</v>
      </c>
      <c r="K3793" s="3" t="s">
        <v>22</v>
      </c>
    </row>
    <row r="3794" spans="1:11" ht="42" customHeight="1">
      <c r="A3794" s="2" t="s">
        <v>7541</v>
      </c>
      <c r="B3794" s="2" t="s">
        <v>7542</v>
      </c>
      <c r="C3794" s="2" t="s">
        <v>50</v>
      </c>
      <c r="D3794" s="2" t="s">
        <v>51</v>
      </c>
      <c r="E3794" s="5">
        <v>-28284</v>
      </c>
      <c r="F3794" s="3" t="s">
        <v>6484</v>
      </c>
      <c r="G3794" s="3" t="s">
        <v>35</v>
      </c>
      <c r="H3794" s="2" t="s">
        <v>20</v>
      </c>
      <c r="I3794" s="2" t="s">
        <v>7543</v>
      </c>
      <c r="J3794" s="3" t="str">
        <f>HYPERLINK("https://www.boe.es/gazeta/dias/1822/07/23/pdfs/GMD-1822-216.pdf#page=2","Abrir facsímil")</f>
        <v>Abrir facsímil</v>
      </c>
      <c r="K3794" s="3" t="s">
        <v>22</v>
      </c>
    </row>
    <row r="3795" spans="1:11" ht="42" customHeight="1">
      <c r="A3795" s="2" t="s">
        <v>7544</v>
      </c>
      <c r="B3795" s="2" t="s">
        <v>7545</v>
      </c>
      <c r="C3795" s="2" t="s">
        <v>28</v>
      </c>
      <c r="D3795" s="2" t="s">
        <v>29</v>
      </c>
      <c r="E3795" s="5">
        <v>-28211</v>
      </c>
      <c r="F3795" s="3" t="s">
        <v>273</v>
      </c>
      <c r="G3795" s="3" t="s">
        <v>44</v>
      </c>
      <c r="H3795" s="2" t="s">
        <v>20</v>
      </c>
      <c r="I3795" s="2" t="s">
        <v>7546</v>
      </c>
      <c r="J3795" s="3" t="str">
        <f>HYPERLINK("https://www.boe.es/gazeta/dias/1822/10/04/pdfs/GMD-1822-290.pdf#page=1","Abrir facsímil")</f>
        <v>Abrir facsímil</v>
      </c>
      <c r="K3795" s="3" t="s">
        <v>22</v>
      </c>
    </row>
    <row r="3796" spans="1:11" ht="42" customHeight="1">
      <c r="A3796" s="2" t="s">
        <v>7547</v>
      </c>
      <c r="B3796" s="2" t="s">
        <v>7548</v>
      </c>
      <c r="C3796" s="2" t="s">
        <v>42</v>
      </c>
      <c r="D3796" s="2" t="s">
        <v>17</v>
      </c>
      <c r="E3796" s="5">
        <v>-28243</v>
      </c>
      <c r="F3796" s="3" t="s">
        <v>1829</v>
      </c>
      <c r="G3796" s="3" t="s">
        <v>57</v>
      </c>
      <c r="H3796" s="2" t="s">
        <v>20</v>
      </c>
      <c r="I3796" s="2" t="s">
        <v>7549</v>
      </c>
      <c r="J3796" s="3" t="str">
        <f>HYPERLINK("https://www.boe.es/gazeta/dias/1822/09/02/pdfs/GMD-1822-257.pdf#page=4","Abrir facsímil")</f>
        <v>Abrir facsímil</v>
      </c>
      <c r="K3796" s="3" t="s">
        <v>22</v>
      </c>
    </row>
    <row r="3797" spans="1:11" ht="42" customHeight="1">
      <c r="A3797" s="2" t="s">
        <v>7550</v>
      </c>
      <c r="B3797" s="2" t="s">
        <v>7551</v>
      </c>
      <c r="C3797" s="2" t="s">
        <v>24</v>
      </c>
      <c r="D3797" s="2" t="s">
        <v>17</v>
      </c>
      <c r="E3797" s="5">
        <v>-28415</v>
      </c>
      <c r="F3797" s="3" t="s">
        <v>77</v>
      </c>
      <c r="G3797" s="3" t="s">
        <v>63</v>
      </c>
      <c r="H3797" s="2" t="s">
        <v>20</v>
      </c>
      <c r="I3797" s="2" t="s">
        <v>7552</v>
      </c>
      <c r="J3797" s="3" t="str">
        <f>HYPERLINK("https://www.boe.es/gazeta/dias/1822/03/14/pdfs/GMD-1822-75.pdf#page=6","Abrir facsímil")</f>
        <v>Abrir facsímil</v>
      </c>
      <c r="K3797" s="3" t="s">
        <v>22</v>
      </c>
    </row>
    <row r="3798" spans="1:11" ht="42" customHeight="1">
      <c r="A3798" s="2" t="s">
        <v>7553</v>
      </c>
      <c r="B3798" s="2" t="s">
        <v>7553</v>
      </c>
      <c r="C3798" s="2" t="s">
        <v>42</v>
      </c>
      <c r="D3798" s="2" t="s">
        <v>17</v>
      </c>
      <c r="E3798" s="5">
        <v>-28402</v>
      </c>
      <c r="F3798" s="3" t="s">
        <v>473</v>
      </c>
      <c r="G3798" s="3" t="s">
        <v>63</v>
      </c>
      <c r="H3798" s="2" t="s">
        <v>20</v>
      </c>
      <c r="I3798" s="2" t="s">
        <v>7554</v>
      </c>
      <c r="J3798" s="3" t="str">
        <f>HYPERLINK("https://www.boe.es/gazeta/dias/1822/03/27/pdfs/GMD-1822-88.pdf#page=6","Abrir facsímil")</f>
        <v>Abrir facsímil</v>
      </c>
      <c r="K3798" s="3" t="s">
        <v>22</v>
      </c>
    </row>
    <row r="3799" spans="1:11" ht="42" customHeight="1">
      <c r="A3799" s="2" t="s">
        <v>7555</v>
      </c>
      <c r="B3799" s="2" t="s">
        <v>7556</v>
      </c>
      <c r="C3799" s="2" t="s">
        <v>28</v>
      </c>
      <c r="D3799" s="2" t="s">
        <v>29</v>
      </c>
      <c r="E3799" s="5">
        <v>-28339</v>
      </c>
      <c r="F3799" s="3" t="s">
        <v>197</v>
      </c>
      <c r="G3799" s="3" t="s">
        <v>63</v>
      </c>
      <c r="H3799" s="2" t="s">
        <v>20</v>
      </c>
      <c r="I3799" s="2" t="s">
        <v>7557</v>
      </c>
      <c r="J3799" s="3" t="str">
        <f>HYPERLINK("https://www.boe.es/gazeta/dias/1822/05/29/pdfs/GMD-1822-154.pdf#page=6","Abrir facsímil")</f>
        <v>Abrir facsímil</v>
      </c>
      <c r="K3799" s="3" t="s">
        <v>22</v>
      </c>
    </row>
    <row r="3800" spans="1:11" ht="42" customHeight="1">
      <c r="A3800" s="2" t="s">
        <v>7558</v>
      </c>
      <c r="B3800" s="2" t="s">
        <v>7559</v>
      </c>
      <c r="C3800" s="2" t="s">
        <v>42</v>
      </c>
      <c r="D3800" s="2" t="s">
        <v>17</v>
      </c>
      <c r="E3800" s="5">
        <v>-28415</v>
      </c>
      <c r="F3800" s="3" t="s">
        <v>77</v>
      </c>
      <c r="G3800" s="3" t="s">
        <v>35</v>
      </c>
      <c r="H3800" s="2" t="s">
        <v>20</v>
      </c>
      <c r="I3800" s="2" t="s">
        <v>7560</v>
      </c>
      <c r="J3800" s="3" t="str">
        <f>HYPERLINK("https://www.boe.es/gazeta/dias/1822/03/14/pdfs/GMD-1822-75.pdf#page=2","Abrir facsímil")</f>
        <v>Abrir facsímil</v>
      </c>
      <c r="K3800" s="3" t="s">
        <v>22</v>
      </c>
    </row>
    <row r="3801" spans="1:11" ht="42" customHeight="1">
      <c r="A3801" s="2" t="s">
        <v>7561</v>
      </c>
      <c r="B3801" s="2" t="s">
        <v>7562</v>
      </c>
      <c r="C3801" s="2" t="s">
        <v>50</v>
      </c>
      <c r="D3801" s="2" t="s">
        <v>51</v>
      </c>
      <c r="E3801" s="5">
        <v>-28286</v>
      </c>
      <c r="F3801" s="3" t="s">
        <v>1853</v>
      </c>
      <c r="G3801" s="3" t="s">
        <v>57</v>
      </c>
      <c r="H3801" s="2" t="s">
        <v>20</v>
      </c>
      <c r="I3801" s="2" t="s">
        <v>7563</v>
      </c>
      <c r="J3801" s="3" t="str">
        <f>HYPERLINK("https://www.boe.es/gazeta/dias/1822/07/21/pdfs/GMD-1822-213.pdf#page=4","Abrir facsímil")</f>
        <v>Abrir facsímil</v>
      </c>
      <c r="K3801" s="3" t="s">
        <v>22</v>
      </c>
    </row>
    <row r="3802" spans="1:11" ht="42" customHeight="1">
      <c r="A3802" s="2" t="s">
        <v>7564</v>
      </c>
      <c r="B3802" s="2" t="s">
        <v>7564</v>
      </c>
      <c r="C3802" s="2" t="s">
        <v>28</v>
      </c>
      <c r="D3802" s="2" t="s">
        <v>29</v>
      </c>
      <c r="E3802" s="5">
        <v>-28411</v>
      </c>
      <c r="F3802" s="3" t="s">
        <v>1509</v>
      </c>
      <c r="G3802" s="3" t="s">
        <v>35</v>
      </c>
      <c r="H3802" s="2" t="s">
        <v>20</v>
      </c>
      <c r="I3802" s="2" t="s">
        <v>7565</v>
      </c>
      <c r="J3802" s="3" t="str">
        <f>HYPERLINK("https://www.boe.es/gazeta/dias/1822/03/18/pdfs/GMD-1822-79.pdf#page=2","Abrir facsímil")</f>
        <v>Abrir facsímil</v>
      </c>
      <c r="K3802" s="3" t="s">
        <v>22</v>
      </c>
    </row>
    <row r="3803" spans="1:11" ht="42" customHeight="1">
      <c r="A3803" s="2" t="s">
        <v>7566</v>
      </c>
      <c r="B3803" s="2" t="s">
        <v>7566</v>
      </c>
      <c r="C3803" s="2" t="s">
        <v>50</v>
      </c>
      <c r="D3803" s="2" t="s">
        <v>51</v>
      </c>
      <c r="E3803" s="5">
        <v>-28481</v>
      </c>
      <c r="F3803" s="3" t="s">
        <v>1089</v>
      </c>
      <c r="G3803" s="3" t="s">
        <v>35</v>
      </c>
      <c r="H3803" s="2" t="s">
        <v>20</v>
      </c>
      <c r="I3803" s="2" t="s">
        <v>7567</v>
      </c>
      <c r="J3803" s="3" t="str">
        <f>HYPERLINK("https://www.boe.es/gazeta/dias/1822/01/07/pdfs/GMD-1822-7.pdf#page=2","Abrir facsímil")</f>
        <v>Abrir facsímil</v>
      </c>
      <c r="K3803" s="3" t="s">
        <v>22</v>
      </c>
    </row>
    <row r="3804" spans="1:11" ht="42" customHeight="1">
      <c r="A3804" s="2" t="s">
        <v>7566</v>
      </c>
      <c r="B3804" s="2" t="s">
        <v>7566</v>
      </c>
      <c r="C3804" s="2" t="s">
        <v>42</v>
      </c>
      <c r="D3804" s="2" t="s">
        <v>17</v>
      </c>
      <c r="E3804" s="5">
        <v>-28450</v>
      </c>
      <c r="F3804" s="3" t="s">
        <v>1450</v>
      </c>
      <c r="G3804" s="3" t="s">
        <v>31</v>
      </c>
      <c r="H3804" s="2" t="s">
        <v>20</v>
      </c>
      <c r="I3804" s="2" t="s">
        <v>7568</v>
      </c>
      <c r="J3804" s="3" t="str">
        <f>HYPERLINK("https://www.boe.es/gazeta/dias/1822/02/07/pdfs/GMD-1822-38.pdf#page=3","Abrir facsímil")</f>
        <v>Abrir facsímil</v>
      </c>
      <c r="K3804" s="3" t="s">
        <v>22</v>
      </c>
    </row>
    <row r="3805" spans="1:11" ht="42" customHeight="1">
      <c r="A3805" s="2" t="s">
        <v>7569</v>
      </c>
      <c r="B3805" s="2" t="s">
        <v>7570</v>
      </c>
      <c r="C3805" s="2" t="s">
        <v>28</v>
      </c>
      <c r="D3805" s="2" t="s">
        <v>29</v>
      </c>
      <c r="E3805" s="5">
        <v>-28486</v>
      </c>
      <c r="F3805" s="3" t="s">
        <v>1046</v>
      </c>
      <c r="G3805" s="3" t="s">
        <v>57</v>
      </c>
      <c r="H3805" s="2" t="s">
        <v>20</v>
      </c>
      <c r="I3805" s="2" t="s">
        <v>7571</v>
      </c>
      <c r="J3805" s="3" t="str">
        <f>HYPERLINK("https://www.boe.es/gazeta/dias/1822/01/02/pdfs/GMD-1822-2.pdf#page=4","Abrir facsímil")</f>
        <v>Abrir facsímil</v>
      </c>
      <c r="K3805" s="3" t="s">
        <v>22</v>
      </c>
    </row>
    <row r="3806" spans="1:11" ht="42" customHeight="1">
      <c r="A3806" s="2" t="s">
        <v>7569</v>
      </c>
      <c r="B3806" s="2" t="s">
        <v>7570</v>
      </c>
      <c r="C3806" s="2" t="s">
        <v>28</v>
      </c>
      <c r="D3806" s="2" t="s">
        <v>29</v>
      </c>
      <c r="E3806" s="5">
        <v>-28275</v>
      </c>
      <c r="F3806" s="3" t="s">
        <v>1297</v>
      </c>
      <c r="G3806" s="3" t="s">
        <v>57</v>
      </c>
      <c r="H3806" s="2" t="s">
        <v>20</v>
      </c>
      <c r="I3806" s="2" t="s">
        <v>7572</v>
      </c>
      <c r="J3806" s="3" t="str">
        <f>HYPERLINK("https://www.boe.es/gazeta/dias/1822/08/01/pdfs/GMD-1822-225.pdf#page=4","Abrir facsímil")</f>
        <v>Abrir facsímil</v>
      </c>
      <c r="K3806" s="3" t="s">
        <v>22</v>
      </c>
    </row>
    <row r="3807" spans="1:11" ht="42" customHeight="1">
      <c r="A3807" s="2" t="s">
        <v>7569</v>
      </c>
      <c r="B3807" s="2" t="s">
        <v>7570</v>
      </c>
      <c r="C3807" s="2" t="s">
        <v>42</v>
      </c>
      <c r="D3807" s="2" t="s">
        <v>17</v>
      </c>
      <c r="E3807" s="5">
        <v>-28268</v>
      </c>
      <c r="F3807" s="3" t="s">
        <v>7231</v>
      </c>
      <c r="G3807" s="3" t="s">
        <v>57</v>
      </c>
      <c r="H3807" s="2" t="s">
        <v>20</v>
      </c>
      <c r="I3807" s="2" t="s">
        <v>7573</v>
      </c>
      <c r="J3807" s="3" t="str">
        <f>HYPERLINK("https://www.boe.es/gazeta/dias/1822/08/08/pdfs/GMD-1822-232.pdf#page=4","Abrir facsímil")</f>
        <v>Abrir facsímil</v>
      </c>
      <c r="K3807" s="3" t="s">
        <v>22</v>
      </c>
    </row>
    <row r="3808" spans="1:11" ht="42" customHeight="1">
      <c r="A3808" s="2" t="s">
        <v>7574</v>
      </c>
      <c r="B3808" s="2" t="s">
        <v>7574</v>
      </c>
      <c r="C3808" s="2" t="s">
        <v>71</v>
      </c>
      <c r="D3808" s="2" t="s">
        <v>17</v>
      </c>
      <c r="E3808" s="5">
        <v>-28487</v>
      </c>
      <c r="F3808" s="3" t="s">
        <v>426</v>
      </c>
      <c r="G3808" s="3" t="s">
        <v>31</v>
      </c>
      <c r="H3808" s="2" t="s">
        <v>20</v>
      </c>
      <c r="I3808" s="2" t="s">
        <v>7575</v>
      </c>
      <c r="J3808" s="3" t="str">
        <f>HYPERLINK("https://www.boe.es/gazeta/dias/1822/01/01/pdfs/GMD-1822-1.pdf#page=3","Abrir facsímil")</f>
        <v>Abrir facsímil</v>
      </c>
      <c r="K3808" s="3" t="s">
        <v>22</v>
      </c>
    </row>
    <row r="3809" spans="1:11" ht="42" customHeight="1">
      <c r="A3809" s="2" t="s">
        <v>7576</v>
      </c>
      <c r="B3809" s="2" t="s">
        <v>7577</v>
      </c>
      <c r="C3809" s="2" t="s">
        <v>42</v>
      </c>
      <c r="D3809" s="2" t="s">
        <v>17</v>
      </c>
      <c r="E3809" s="5">
        <v>-28407</v>
      </c>
      <c r="F3809" s="3" t="s">
        <v>460</v>
      </c>
      <c r="G3809" s="3" t="s">
        <v>63</v>
      </c>
      <c r="H3809" s="2" t="s">
        <v>20</v>
      </c>
      <c r="I3809" s="2" t="s">
        <v>7578</v>
      </c>
      <c r="J3809" s="3" t="str">
        <f>HYPERLINK("https://www.boe.es/gazeta/dias/1822/03/22/pdfs/GMD-1822-83.pdf#page=6","Abrir facsímil")</f>
        <v>Abrir facsímil</v>
      </c>
      <c r="K3809" s="3" t="s">
        <v>22</v>
      </c>
    </row>
    <row r="3810" spans="1:11" ht="42" customHeight="1">
      <c r="A3810" s="2" t="s">
        <v>7579</v>
      </c>
      <c r="B3810" s="2" t="s">
        <v>7579</v>
      </c>
      <c r="C3810" s="2" t="s">
        <v>42</v>
      </c>
      <c r="D3810" s="2" t="s">
        <v>17</v>
      </c>
      <c r="E3810" s="5">
        <v>-28369</v>
      </c>
      <c r="F3810" s="3" t="s">
        <v>1590</v>
      </c>
      <c r="G3810" s="3" t="s">
        <v>63</v>
      </c>
      <c r="H3810" s="2" t="s">
        <v>20</v>
      </c>
      <c r="I3810" s="2" t="s">
        <v>7580</v>
      </c>
      <c r="J3810" s="3" t="str">
        <f>HYPERLINK("https://www.boe.es/gazeta/dias/1822/04/29/pdfs/GMD-1822-121.pdf#page=6","Abrir facsímil")</f>
        <v>Abrir facsímil</v>
      </c>
      <c r="K3810" s="3" t="s">
        <v>22</v>
      </c>
    </row>
    <row r="3811" spans="1:11" ht="42" customHeight="1">
      <c r="A3811" s="2" t="s">
        <v>7581</v>
      </c>
      <c r="B3811" s="2" t="s">
        <v>7581</v>
      </c>
      <c r="C3811" s="2" t="s">
        <v>42</v>
      </c>
      <c r="D3811" s="2" t="s">
        <v>17</v>
      </c>
      <c r="E3811" s="5">
        <v>-28457</v>
      </c>
      <c r="F3811" s="3" t="s">
        <v>1655</v>
      </c>
      <c r="G3811" s="3" t="s">
        <v>44</v>
      </c>
      <c r="H3811" s="2" t="s">
        <v>20</v>
      </c>
      <c r="I3811" s="2" t="s">
        <v>7582</v>
      </c>
      <c r="J3811" s="3" t="str">
        <f>HYPERLINK("https://www.boe.es/gazeta/dias/1822/01/31/pdfs/GMD-1822-31.pdf#page=1","Abrir facsímil")</f>
        <v>Abrir facsímil</v>
      </c>
      <c r="K3811" s="3" t="s">
        <v>22</v>
      </c>
    </row>
    <row r="3812" spans="1:11" ht="42" customHeight="1">
      <c r="A3812" s="2" t="s">
        <v>7581</v>
      </c>
      <c r="B3812" s="2" t="s">
        <v>7581</v>
      </c>
      <c r="C3812" s="2" t="s">
        <v>71</v>
      </c>
      <c r="D3812" s="2" t="s">
        <v>17</v>
      </c>
      <c r="E3812" s="5">
        <v>-28362</v>
      </c>
      <c r="F3812" s="3" t="s">
        <v>511</v>
      </c>
      <c r="G3812" s="3" t="s">
        <v>35</v>
      </c>
      <c r="H3812" s="2" t="s">
        <v>20</v>
      </c>
      <c r="I3812" s="2" t="s">
        <v>7583</v>
      </c>
      <c r="J3812" s="3" t="str">
        <f>HYPERLINK("https://www.boe.es/gazeta/dias/1822/05/06/pdfs/GMD-1822-128.pdf#page=2","Abrir facsímil")</f>
        <v>Abrir facsímil</v>
      </c>
      <c r="K3812" s="3" t="s">
        <v>22</v>
      </c>
    </row>
    <row r="3813" spans="1:11" ht="42" customHeight="1">
      <c r="A3813" s="2" t="s">
        <v>7584</v>
      </c>
      <c r="B3813" s="2" t="s">
        <v>7585</v>
      </c>
      <c r="C3813" s="2" t="s">
        <v>50</v>
      </c>
      <c r="D3813" s="2" t="s">
        <v>51</v>
      </c>
      <c r="E3813" s="5">
        <v>-28264</v>
      </c>
      <c r="F3813" s="3" t="s">
        <v>1329</v>
      </c>
      <c r="G3813" s="3" t="s">
        <v>57</v>
      </c>
      <c r="H3813" s="2" t="s">
        <v>45</v>
      </c>
      <c r="I3813" s="2" t="s">
        <v>7586</v>
      </c>
      <c r="J3813" s="3" t="str">
        <f>HYPERLINK("https://www.boe.es/gazeta/dias/1822/08/12/pdfs/GMD-1822-236.pdf#page=4","Abrir facsímil")</f>
        <v>Abrir facsímil</v>
      </c>
      <c r="K3813" s="3" t="s">
        <v>47</v>
      </c>
    </row>
    <row r="3814" spans="1:11" ht="42" customHeight="1">
      <c r="A3814" s="2" t="s">
        <v>7587</v>
      </c>
      <c r="B3814" s="2" t="s">
        <v>7588</v>
      </c>
      <c r="C3814" s="2" t="s">
        <v>28</v>
      </c>
      <c r="D3814" s="2" t="s">
        <v>29</v>
      </c>
      <c r="E3814" s="5">
        <v>-28379</v>
      </c>
      <c r="F3814" s="3" t="s">
        <v>494</v>
      </c>
      <c r="G3814" s="3" t="s">
        <v>19</v>
      </c>
      <c r="H3814" s="2" t="s">
        <v>20</v>
      </c>
      <c r="I3814" s="2" t="s">
        <v>7589</v>
      </c>
      <c r="J3814" s="3" t="str">
        <f>HYPERLINK("https://www.boe.es/gazeta/dias/1822/04/19/pdfs/GMD-1822-111.pdf#page=5","Abrir facsímil")</f>
        <v>Abrir facsímil</v>
      </c>
      <c r="K3814" s="3" t="s">
        <v>22</v>
      </c>
    </row>
    <row r="3815" spans="1:11" ht="42" customHeight="1">
      <c r="A3815" s="2" t="s">
        <v>7590</v>
      </c>
      <c r="B3815" s="2" t="s">
        <v>7590</v>
      </c>
      <c r="C3815" s="2" t="s">
        <v>28</v>
      </c>
      <c r="D3815" s="2" t="s">
        <v>29</v>
      </c>
      <c r="E3815" s="5">
        <v>-28480</v>
      </c>
      <c r="F3815" s="3" t="s">
        <v>995</v>
      </c>
      <c r="G3815" s="3" t="s">
        <v>19</v>
      </c>
      <c r="H3815" s="2" t="s">
        <v>20</v>
      </c>
      <c r="I3815" s="2" t="s">
        <v>7591</v>
      </c>
      <c r="J3815" s="3" t="str">
        <f>HYPERLINK("https://www.boe.es/gazeta/dias/1822/01/08/pdfs/GMD-1822-8.pdf#page=5","Abrir facsímil")</f>
        <v>Abrir facsímil</v>
      </c>
      <c r="K3815" s="3" t="s">
        <v>22</v>
      </c>
    </row>
    <row r="3816" spans="1:11" ht="42" customHeight="1">
      <c r="A3816" s="2" t="s">
        <v>7592</v>
      </c>
      <c r="B3816" s="2" t="s">
        <v>7592</v>
      </c>
      <c r="C3816" s="2" t="s">
        <v>71</v>
      </c>
      <c r="D3816" s="2" t="s">
        <v>17</v>
      </c>
      <c r="E3816" s="5">
        <v>-28482</v>
      </c>
      <c r="F3816" s="3" t="s">
        <v>850</v>
      </c>
      <c r="G3816" s="3" t="s">
        <v>31</v>
      </c>
      <c r="H3816" s="2" t="s">
        <v>20</v>
      </c>
      <c r="I3816" s="2" t="s">
        <v>7593</v>
      </c>
      <c r="J3816" s="3" t="str">
        <f>HYPERLINK("https://www.boe.es/gazeta/dias/1822/01/06/pdfs/GMD-1822-6.pdf#page=3","Abrir facsímil")</f>
        <v>Abrir facsímil</v>
      </c>
      <c r="K3816" s="3" t="s">
        <v>22</v>
      </c>
    </row>
    <row r="3817" spans="1:11" ht="42" customHeight="1">
      <c r="A3817" s="2" t="s">
        <v>7594</v>
      </c>
      <c r="B3817" s="2" t="s">
        <v>7595</v>
      </c>
      <c r="C3817" s="2" t="s">
        <v>28</v>
      </c>
      <c r="D3817" s="2" t="s">
        <v>29</v>
      </c>
      <c r="E3817" s="5">
        <v>-28429</v>
      </c>
      <c r="F3817" s="3" t="s">
        <v>2397</v>
      </c>
      <c r="G3817" s="3" t="s">
        <v>57</v>
      </c>
      <c r="H3817" s="2" t="s">
        <v>20</v>
      </c>
      <c r="I3817" s="2" t="s">
        <v>7596</v>
      </c>
      <c r="J3817" s="3" t="str">
        <f>HYPERLINK("https://www.boe.es/gazeta/dias/1822/02/28/pdfs/GMD-1822-60.pdf#page=4","Abrir facsímil")</f>
        <v>Abrir facsímil</v>
      </c>
      <c r="K3817" s="3" t="s">
        <v>22</v>
      </c>
    </row>
    <row r="3818" spans="1:11" ht="42" customHeight="1">
      <c r="A3818" s="2" t="s">
        <v>7597</v>
      </c>
      <c r="B3818" s="2" t="s">
        <v>7597</v>
      </c>
      <c r="C3818" s="2" t="s">
        <v>61</v>
      </c>
      <c r="D3818" s="2" t="s">
        <v>17</v>
      </c>
      <c r="E3818" s="5">
        <v>-28467</v>
      </c>
      <c r="F3818" s="3" t="s">
        <v>1096</v>
      </c>
      <c r="G3818" s="3" t="s">
        <v>35</v>
      </c>
      <c r="H3818" s="2" t="s">
        <v>20</v>
      </c>
      <c r="I3818" s="2" t="s">
        <v>7598</v>
      </c>
      <c r="J3818" s="3" t="str">
        <f>HYPERLINK("https://www.boe.es/gazeta/dias/1822/01/21/pdfs/GMD-1822-21.pdf#page=2","Abrir facsímil")</f>
        <v>Abrir facsímil</v>
      </c>
      <c r="K3818" s="3" t="s">
        <v>22</v>
      </c>
    </row>
    <row r="3819" spans="1:11" ht="42" customHeight="1">
      <c r="A3819" s="2" t="s">
        <v>7599</v>
      </c>
      <c r="B3819" s="2" t="s">
        <v>7600</v>
      </c>
      <c r="C3819" s="2" t="s">
        <v>50</v>
      </c>
      <c r="D3819" s="2" t="s">
        <v>51</v>
      </c>
      <c r="E3819" s="5">
        <v>-28230</v>
      </c>
      <c r="F3819" s="3" t="s">
        <v>1735</v>
      </c>
      <c r="G3819" s="3" t="s">
        <v>31</v>
      </c>
      <c r="H3819" s="2" t="s">
        <v>45</v>
      </c>
      <c r="I3819" s="2" t="s">
        <v>7601</v>
      </c>
      <c r="J3819" s="3" t="str">
        <f>HYPERLINK("https://www.boe.es/gazeta/dias/1822/09/15/pdfs/GMD-1822-271.pdf#page=3","Abrir facsímil")</f>
        <v>Abrir facsímil</v>
      </c>
      <c r="K3819" s="3" t="s">
        <v>47</v>
      </c>
    </row>
    <row r="3820" spans="1:11" ht="42" customHeight="1">
      <c r="A3820" s="2" t="s">
        <v>7602</v>
      </c>
      <c r="B3820" s="2" t="s">
        <v>7602</v>
      </c>
      <c r="C3820" s="2" t="s">
        <v>24</v>
      </c>
      <c r="D3820" s="2" t="s">
        <v>17</v>
      </c>
      <c r="E3820" s="5">
        <v>-28308</v>
      </c>
      <c r="F3820" s="3" t="s">
        <v>1050</v>
      </c>
      <c r="G3820" s="3" t="s">
        <v>19</v>
      </c>
      <c r="H3820" s="2" t="s">
        <v>20</v>
      </c>
      <c r="I3820" s="2" t="s">
        <v>7603</v>
      </c>
      <c r="J3820" s="3" t="str">
        <f>HYPERLINK("https://www.boe.es/gazeta/dias/1822/06/29/pdfs/GMD-1822-187.pdf#page=5","Abrir facsímil")</f>
        <v>Abrir facsímil</v>
      </c>
      <c r="K3820" s="3" t="s">
        <v>22</v>
      </c>
    </row>
    <row r="3821" spans="1:11" ht="42" customHeight="1">
      <c r="A3821" s="2" t="s">
        <v>7602</v>
      </c>
      <c r="B3821" s="2" t="s">
        <v>7602</v>
      </c>
      <c r="C3821" s="2" t="s">
        <v>42</v>
      </c>
      <c r="D3821" s="2" t="s">
        <v>17</v>
      </c>
      <c r="E3821" s="5">
        <v>-28307</v>
      </c>
      <c r="F3821" s="3" t="s">
        <v>555</v>
      </c>
      <c r="G3821" s="3" t="s">
        <v>19</v>
      </c>
      <c r="H3821" s="2" t="s">
        <v>20</v>
      </c>
      <c r="I3821" s="2" t="s">
        <v>7604</v>
      </c>
      <c r="J3821" s="3" t="str">
        <f>HYPERLINK("https://www.boe.es/gazeta/dias/1822/06/30/pdfs/GMD-1822-188.pdf#page=5","Abrir facsímil")</f>
        <v>Abrir facsímil</v>
      </c>
      <c r="K3821" s="3" t="s">
        <v>22</v>
      </c>
    </row>
    <row r="3822" spans="1:11" ht="42" customHeight="1">
      <c r="A3822" s="2" t="s">
        <v>7605</v>
      </c>
      <c r="B3822" s="2" t="s">
        <v>7606</v>
      </c>
      <c r="C3822" s="2" t="s">
        <v>28</v>
      </c>
      <c r="D3822" s="2" t="s">
        <v>29</v>
      </c>
      <c r="E3822" s="5">
        <v>-28170</v>
      </c>
      <c r="F3822" s="3" t="s">
        <v>1457</v>
      </c>
      <c r="G3822" s="3" t="s">
        <v>63</v>
      </c>
      <c r="H3822" s="2" t="s">
        <v>20</v>
      </c>
      <c r="I3822" s="2" t="s">
        <v>7607</v>
      </c>
      <c r="J3822" s="3" t="str">
        <f>HYPERLINK("https://www.boe.es/gazeta/dias/1822/11/14/pdfs/GMD-1822-334.pdf#page=6","Abrir facsímil")</f>
        <v>Abrir facsímil</v>
      </c>
      <c r="K3822" s="3" t="s">
        <v>22</v>
      </c>
    </row>
    <row r="3823" spans="1:11" ht="42" customHeight="1">
      <c r="A3823" s="2" t="s">
        <v>7608</v>
      </c>
      <c r="B3823" s="2" t="s">
        <v>7609</v>
      </c>
      <c r="C3823" s="2" t="s">
        <v>50</v>
      </c>
      <c r="D3823" s="2" t="s">
        <v>51</v>
      </c>
      <c r="E3823" s="5">
        <v>-28284</v>
      </c>
      <c r="F3823" s="3" t="s">
        <v>6484</v>
      </c>
      <c r="G3823" s="3" t="s">
        <v>35</v>
      </c>
      <c r="H3823" s="2" t="s">
        <v>20</v>
      </c>
      <c r="I3823" s="2" t="s">
        <v>7610</v>
      </c>
      <c r="J3823" s="3" t="str">
        <f>HYPERLINK("https://www.boe.es/gazeta/dias/1822/07/23/pdfs/GMD-1822-216.pdf#page=2","Abrir facsímil")</f>
        <v>Abrir facsímil</v>
      </c>
      <c r="K3823" s="3" t="s">
        <v>22</v>
      </c>
    </row>
    <row r="3824" spans="1:11" ht="42" customHeight="1">
      <c r="A3824" s="2" t="s">
        <v>7611</v>
      </c>
      <c r="B3824" s="2" t="s">
        <v>7611</v>
      </c>
      <c r="C3824" s="2" t="s">
        <v>50</v>
      </c>
      <c r="D3824" s="2" t="s">
        <v>51</v>
      </c>
      <c r="E3824" s="5">
        <v>-28375</v>
      </c>
      <c r="F3824" s="3" t="s">
        <v>2035</v>
      </c>
      <c r="G3824" s="3" t="s">
        <v>35</v>
      </c>
      <c r="H3824" s="2" t="s">
        <v>20</v>
      </c>
      <c r="I3824" s="2" t="s">
        <v>7612</v>
      </c>
      <c r="J3824" s="3" t="str">
        <f>HYPERLINK("https://www.boe.es/gazeta/dias/1822/04/23/pdfs/GMD-1822-115.pdf#page=2","Abrir facsímil")</f>
        <v>Abrir facsímil</v>
      </c>
      <c r="K3824" s="3" t="s">
        <v>22</v>
      </c>
    </row>
    <row r="3825" spans="1:11" ht="42" customHeight="1">
      <c r="A3825" s="2" t="s">
        <v>7613</v>
      </c>
      <c r="B3825" s="2" t="s">
        <v>7613</v>
      </c>
      <c r="C3825" s="2" t="s">
        <v>50</v>
      </c>
      <c r="D3825" s="2" t="s">
        <v>51</v>
      </c>
      <c r="E3825" s="5">
        <v>-28296</v>
      </c>
      <c r="F3825" s="3" t="s">
        <v>4121</v>
      </c>
      <c r="G3825" s="3" t="s">
        <v>44</v>
      </c>
      <c r="H3825" s="2" t="s">
        <v>20</v>
      </c>
      <c r="I3825" s="2" t="s">
        <v>7614</v>
      </c>
      <c r="J3825" s="3" t="str">
        <f>HYPERLINK("https://www.boe.es/gazeta/dias/1822/07/11/pdfs/GMD-1822-201.pdf#page=1","Abrir facsímil")</f>
        <v>Abrir facsímil</v>
      </c>
      <c r="K3825" s="3" t="s">
        <v>22</v>
      </c>
    </row>
    <row r="3826" spans="1:11" ht="42" customHeight="1">
      <c r="A3826" s="2" t="s">
        <v>7615</v>
      </c>
      <c r="B3826" s="2" t="s">
        <v>7616</v>
      </c>
      <c r="C3826" s="2" t="s">
        <v>50</v>
      </c>
      <c r="D3826" s="2" t="s">
        <v>51</v>
      </c>
      <c r="E3826" s="5">
        <v>-28265</v>
      </c>
      <c r="F3826" s="3" t="s">
        <v>1263</v>
      </c>
      <c r="G3826" s="3" t="s">
        <v>57</v>
      </c>
      <c r="H3826" s="2" t="s">
        <v>20</v>
      </c>
      <c r="I3826" s="2" t="s">
        <v>7617</v>
      </c>
      <c r="J3826" s="3" t="str">
        <f>HYPERLINK("https://www.boe.es/gazeta/dias/1822/08/11/pdfs/GMD-1822-235.pdf#page=4","Abrir facsímil")</f>
        <v>Abrir facsímil</v>
      </c>
      <c r="K3826" s="3" t="s">
        <v>22</v>
      </c>
    </row>
    <row r="3827" spans="1:11" ht="42" customHeight="1">
      <c r="A3827" s="2" t="s">
        <v>7618</v>
      </c>
      <c r="B3827" s="2" t="s">
        <v>7619</v>
      </c>
      <c r="C3827" s="2" t="s">
        <v>50</v>
      </c>
      <c r="D3827" s="2" t="s">
        <v>51</v>
      </c>
      <c r="E3827" s="5">
        <v>-28260</v>
      </c>
      <c r="F3827" s="3" t="s">
        <v>135</v>
      </c>
      <c r="G3827" s="3" t="s">
        <v>63</v>
      </c>
      <c r="H3827" s="2" t="s">
        <v>20</v>
      </c>
      <c r="I3827" s="2" t="s">
        <v>7620</v>
      </c>
      <c r="J3827" s="3" t="str">
        <f>HYPERLINK("https://www.boe.es/gazeta/dias/1822/08/16/pdfs/GMD-1822-240.pdf#page=6","Abrir facsímil")</f>
        <v>Abrir facsímil</v>
      </c>
      <c r="K3827" s="3" t="s">
        <v>22</v>
      </c>
    </row>
    <row r="3828" spans="1:11" ht="42" customHeight="1">
      <c r="A3828" s="2" t="s">
        <v>7621</v>
      </c>
      <c r="B3828" s="2" t="s">
        <v>7622</v>
      </c>
      <c r="C3828" s="2" t="s">
        <v>71</v>
      </c>
      <c r="D3828" s="2" t="s">
        <v>17</v>
      </c>
      <c r="E3828" s="5">
        <v>-28251</v>
      </c>
      <c r="F3828" s="3" t="s">
        <v>1485</v>
      </c>
      <c r="G3828" s="3" t="s">
        <v>57</v>
      </c>
      <c r="H3828" s="2" t="s">
        <v>20</v>
      </c>
      <c r="I3828" s="2" t="s">
        <v>7623</v>
      </c>
      <c r="J3828" s="3" t="str">
        <f>HYPERLINK("https://www.boe.es/gazeta/dias/1822/08/25/pdfs/GMD-1822-249.pdf#page=4","Abrir facsímil")</f>
        <v>Abrir facsímil</v>
      </c>
      <c r="K3828" s="3" t="s">
        <v>22</v>
      </c>
    </row>
    <row r="3829" spans="1:11" ht="42" customHeight="1">
      <c r="A3829" s="2" t="s">
        <v>7624</v>
      </c>
      <c r="B3829" s="2" t="s">
        <v>7624</v>
      </c>
      <c r="C3829" s="2" t="s">
        <v>61</v>
      </c>
      <c r="D3829" s="2" t="s">
        <v>17</v>
      </c>
      <c r="E3829" s="5">
        <v>-28468</v>
      </c>
      <c r="F3829" s="3" t="s">
        <v>1012</v>
      </c>
      <c r="G3829" s="3" t="s">
        <v>44</v>
      </c>
      <c r="H3829" s="2" t="s">
        <v>20</v>
      </c>
      <c r="I3829" s="2" t="s">
        <v>7625</v>
      </c>
      <c r="J3829" s="3" t="str">
        <f>HYPERLINK("https://www.boe.es/gazeta/dias/1822/01/20/pdfs/GMD-1822-20.pdf#page=1","Abrir facsímil")</f>
        <v>Abrir facsímil</v>
      </c>
      <c r="K3829" s="3" t="s">
        <v>22</v>
      </c>
    </row>
    <row r="3830" spans="1:11" ht="42" customHeight="1">
      <c r="A3830" s="2" t="s">
        <v>7624</v>
      </c>
      <c r="B3830" s="2" t="s">
        <v>7624</v>
      </c>
      <c r="C3830" s="2" t="s">
        <v>50</v>
      </c>
      <c r="D3830" s="2" t="s">
        <v>51</v>
      </c>
      <c r="E3830" s="5">
        <v>-28401</v>
      </c>
      <c r="F3830" s="3" t="s">
        <v>108</v>
      </c>
      <c r="G3830" s="3" t="s">
        <v>35</v>
      </c>
      <c r="H3830" s="2" t="s">
        <v>20</v>
      </c>
      <c r="I3830" s="2" t="s">
        <v>7626</v>
      </c>
      <c r="J3830" s="3" t="str">
        <f>HYPERLINK("https://www.boe.es/gazeta/dias/1822/03/28/pdfs/GMD-1822-89.pdf#page=2","Abrir facsímil")</f>
        <v>Abrir facsímil</v>
      </c>
      <c r="K3830" s="3" t="s">
        <v>22</v>
      </c>
    </row>
    <row r="3831" spans="1:11" ht="42" customHeight="1">
      <c r="A3831" s="2" t="s">
        <v>7624</v>
      </c>
      <c r="B3831" s="2" t="s">
        <v>7624</v>
      </c>
      <c r="C3831" s="2" t="s">
        <v>71</v>
      </c>
      <c r="D3831" s="2" t="s">
        <v>17</v>
      </c>
      <c r="E3831" s="5">
        <v>-28353</v>
      </c>
      <c r="F3831" s="3" t="s">
        <v>843</v>
      </c>
      <c r="G3831" s="3" t="s">
        <v>44</v>
      </c>
      <c r="H3831" s="2" t="s">
        <v>20</v>
      </c>
      <c r="I3831" s="2" t="s">
        <v>7627</v>
      </c>
      <c r="J3831" s="3" t="str">
        <f>HYPERLINK("https://www.boe.es/gazeta/dias/1822/05/15/pdfs/GMD-1822-137.pdf#page=1","Abrir facsímil")</f>
        <v>Abrir facsímil</v>
      </c>
      <c r="K3831" s="3" t="s">
        <v>22</v>
      </c>
    </row>
    <row r="3832" spans="1:11" ht="42" customHeight="1">
      <c r="A3832" s="2" t="s">
        <v>7624</v>
      </c>
      <c r="B3832" s="2" t="s">
        <v>7624</v>
      </c>
      <c r="C3832" s="2" t="s">
        <v>50</v>
      </c>
      <c r="D3832" s="2" t="s">
        <v>51</v>
      </c>
      <c r="E3832" s="5">
        <v>-28302</v>
      </c>
      <c r="F3832" s="3" t="s">
        <v>791</v>
      </c>
      <c r="G3832" s="3" t="s">
        <v>44</v>
      </c>
      <c r="H3832" s="2" t="s">
        <v>20</v>
      </c>
      <c r="I3832" s="2" t="s">
        <v>7628</v>
      </c>
      <c r="J3832" s="3" t="str">
        <f>HYPERLINK("https://www.boe.es/gazeta/dias/1822/07/05/pdfs/GMD-1822-194.pdf#page=1","Abrir facsímil")</f>
        <v>Abrir facsímil</v>
      </c>
      <c r="K3832" s="3" t="s">
        <v>22</v>
      </c>
    </row>
    <row r="3833" spans="1:11" ht="42" customHeight="1">
      <c r="A3833" s="2" t="s">
        <v>7629</v>
      </c>
      <c r="B3833" s="2" t="s">
        <v>7630</v>
      </c>
      <c r="C3833" s="2" t="s">
        <v>71</v>
      </c>
      <c r="D3833" s="2" t="s">
        <v>17</v>
      </c>
      <c r="E3833" s="5">
        <v>-28408</v>
      </c>
      <c r="F3833" s="3" t="s">
        <v>2561</v>
      </c>
      <c r="G3833" s="3" t="s">
        <v>63</v>
      </c>
      <c r="H3833" s="2" t="s">
        <v>20</v>
      </c>
      <c r="I3833" s="2" t="s">
        <v>7631</v>
      </c>
      <c r="J3833" s="3" t="str">
        <f>HYPERLINK("https://www.boe.es/gazeta/dias/1822/03/21/pdfs/GMD-1822-82.pdf#page=6","Abrir facsímil")</f>
        <v>Abrir facsímil</v>
      </c>
      <c r="K3833" s="3" t="s">
        <v>22</v>
      </c>
    </row>
    <row r="3834" spans="1:11" ht="42" customHeight="1">
      <c r="A3834" s="2" t="s">
        <v>7632</v>
      </c>
      <c r="B3834" s="2" t="s">
        <v>7633</v>
      </c>
      <c r="C3834" s="2" t="s">
        <v>28</v>
      </c>
      <c r="D3834" s="2" t="s">
        <v>29</v>
      </c>
      <c r="E3834" s="5">
        <v>-28459</v>
      </c>
      <c r="F3834" s="3" t="s">
        <v>1102</v>
      </c>
      <c r="G3834" s="3" t="s">
        <v>57</v>
      </c>
      <c r="H3834" s="2" t="s">
        <v>20</v>
      </c>
      <c r="I3834" s="2" t="s">
        <v>7634</v>
      </c>
      <c r="J3834" s="3" t="str">
        <f>HYPERLINK("https://www.boe.es/gazeta/dias/1822/01/29/pdfs/GMD-1822-29.pdf#page=4","Abrir facsímil")</f>
        <v>Abrir facsímil</v>
      </c>
      <c r="K3834" s="3" t="s">
        <v>22</v>
      </c>
    </row>
    <row r="3835" spans="1:11" ht="42" customHeight="1">
      <c r="A3835" s="2" t="s">
        <v>7635</v>
      </c>
      <c r="B3835" s="2" t="s">
        <v>7635</v>
      </c>
      <c r="C3835" s="2" t="s">
        <v>28</v>
      </c>
      <c r="D3835" s="2" t="s">
        <v>29</v>
      </c>
      <c r="E3835" s="5">
        <v>-28220</v>
      </c>
      <c r="F3835" s="3" t="s">
        <v>1914</v>
      </c>
      <c r="G3835" s="3" t="s">
        <v>57</v>
      </c>
      <c r="H3835" s="2" t="s">
        <v>20</v>
      </c>
      <c r="I3835" s="2" t="s">
        <v>7636</v>
      </c>
      <c r="J3835" s="3" t="str">
        <f>HYPERLINK("https://www.boe.es/gazeta/dias/1822/09/25/pdfs/GMD-1822-281.pdf#page=4","Abrir facsímil")</f>
        <v>Abrir facsímil</v>
      </c>
      <c r="K3835" s="3" t="s">
        <v>22</v>
      </c>
    </row>
    <row r="3836" spans="1:11" ht="42" customHeight="1">
      <c r="A3836" s="2" t="s">
        <v>7637</v>
      </c>
      <c r="B3836" s="2" t="s">
        <v>7637</v>
      </c>
      <c r="C3836" s="2" t="s">
        <v>50</v>
      </c>
      <c r="D3836" s="2" t="s">
        <v>51</v>
      </c>
      <c r="E3836" s="5">
        <v>-28304</v>
      </c>
      <c r="F3836" s="3" t="s">
        <v>4502</v>
      </c>
      <c r="G3836" s="3" t="s">
        <v>31</v>
      </c>
      <c r="H3836" s="2" t="s">
        <v>20</v>
      </c>
      <c r="I3836" s="2" t="s">
        <v>7638</v>
      </c>
      <c r="J3836" s="3" t="str">
        <f>HYPERLINK("https://www.boe.es/gazeta/dias/1822/07/03/pdfs/GMD-1822-192.pdf#page=3","Abrir facsímil")</f>
        <v>Abrir facsímil</v>
      </c>
      <c r="K3836" s="3" t="s">
        <v>22</v>
      </c>
    </row>
    <row r="3837" spans="1:11" ht="42" customHeight="1">
      <c r="A3837" s="2" t="s">
        <v>7639</v>
      </c>
      <c r="B3837" s="2" t="s">
        <v>7640</v>
      </c>
      <c r="C3837" s="2" t="s">
        <v>71</v>
      </c>
      <c r="D3837" s="2" t="s">
        <v>17</v>
      </c>
      <c r="E3837" s="5">
        <v>-28256</v>
      </c>
      <c r="F3837" s="3" t="s">
        <v>1949</v>
      </c>
      <c r="G3837" s="3" t="s">
        <v>44</v>
      </c>
      <c r="H3837" s="2" t="s">
        <v>20</v>
      </c>
      <c r="I3837" s="2" t="s">
        <v>7641</v>
      </c>
      <c r="J3837" s="3" t="str">
        <f>HYPERLINK("https://www.boe.es/gazeta/dias/1822/08/20/pdfs/GMD-1822-244.pdf#page=1","Abrir facsímil")</f>
        <v>Abrir facsímil</v>
      </c>
      <c r="K3837" s="3" t="s">
        <v>22</v>
      </c>
    </row>
    <row r="3838" spans="1:11" ht="42" customHeight="1">
      <c r="A3838" s="2" t="s">
        <v>7642</v>
      </c>
      <c r="B3838" s="2" t="s">
        <v>7643</v>
      </c>
      <c r="C3838" s="2" t="s">
        <v>50</v>
      </c>
      <c r="D3838" s="2" t="s">
        <v>51</v>
      </c>
      <c r="E3838" s="5">
        <v>-28125</v>
      </c>
      <c r="F3838" s="3" t="s">
        <v>322</v>
      </c>
      <c r="G3838" s="3" t="s">
        <v>31</v>
      </c>
      <c r="H3838" s="2" t="s">
        <v>20</v>
      </c>
      <c r="I3838" s="2" t="s">
        <v>7644</v>
      </c>
      <c r="J3838" s="3" t="str">
        <f>HYPERLINK("https://www.boe.es/gazeta/dias/1822/12/29/pdfs/GMD-1822-379.pdf#page=3","Abrir facsímil")</f>
        <v>Abrir facsímil</v>
      </c>
      <c r="K3838" s="3" t="s">
        <v>22</v>
      </c>
    </row>
    <row r="3839" spans="1:11" ht="42" customHeight="1">
      <c r="A3839" s="2" t="s">
        <v>7645</v>
      </c>
      <c r="B3839" s="2" t="s">
        <v>7645</v>
      </c>
      <c r="C3839" s="2" t="s">
        <v>16</v>
      </c>
      <c r="D3839" s="2" t="s">
        <v>17</v>
      </c>
      <c r="E3839" s="5">
        <v>-28317</v>
      </c>
      <c r="F3839" s="3" t="s">
        <v>546</v>
      </c>
      <c r="G3839" s="3" t="s">
        <v>44</v>
      </c>
      <c r="H3839" s="2" t="s">
        <v>20</v>
      </c>
      <c r="I3839" s="2" t="s">
        <v>7646</v>
      </c>
      <c r="J3839" s="3" t="str">
        <f>HYPERLINK("https://www.boe.es/gazeta/dias/1822/06/20/pdfs/GMD-1822-177.pdf#page=1","Abrir facsímil")</f>
        <v>Abrir facsímil</v>
      </c>
      <c r="K3839" s="3" t="s">
        <v>22</v>
      </c>
    </row>
    <row r="3840" spans="1:11" ht="42" customHeight="1">
      <c r="A3840" s="2" t="s">
        <v>7647</v>
      </c>
      <c r="B3840" s="2" t="s">
        <v>7648</v>
      </c>
      <c r="C3840" s="2" t="s">
        <v>42</v>
      </c>
      <c r="D3840" s="2" t="s">
        <v>17</v>
      </c>
      <c r="E3840" s="5">
        <v>-28386</v>
      </c>
      <c r="F3840" s="3" t="s">
        <v>2993</v>
      </c>
      <c r="G3840" s="3" t="s">
        <v>35</v>
      </c>
      <c r="H3840" s="2" t="s">
        <v>20</v>
      </c>
      <c r="I3840" s="2" t="s">
        <v>7649</v>
      </c>
      <c r="J3840" s="3" t="str">
        <f>HYPERLINK("https://www.boe.es/gazeta/dias/1822/04/12/pdfs/GMD-1822-104.pdf#page=2","Abrir facsímil")</f>
        <v>Abrir facsímil</v>
      </c>
      <c r="K3840" s="3" t="s">
        <v>22</v>
      </c>
    </row>
    <row r="3841" spans="1:11" ht="42" customHeight="1">
      <c r="A3841" s="2" t="s">
        <v>7650</v>
      </c>
      <c r="B3841" s="2" t="s">
        <v>7650</v>
      </c>
      <c r="C3841" s="2" t="s">
        <v>50</v>
      </c>
      <c r="D3841" s="2" t="s">
        <v>51</v>
      </c>
      <c r="E3841" s="5">
        <v>-28319</v>
      </c>
      <c r="F3841" s="3" t="s">
        <v>271</v>
      </c>
      <c r="G3841" s="3" t="s">
        <v>44</v>
      </c>
      <c r="H3841" s="2" t="s">
        <v>20</v>
      </c>
      <c r="I3841" s="2" t="s">
        <v>7651</v>
      </c>
      <c r="J3841" s="3" t="str">
        <f>HYPERLINK("https://www.boe.es/gazeta/dias/1822/06/18/pdfs/GMD-1822-175.pdf#page=1","Abrir facsímil")</f>
        <v>Abrir facsímil</v>
      </c>
      <c r="K3841" s="3" t="s">
        <v>22</v>
      </c>
    </row>
    <row r="3842" spans="1:11" ht="42" customHeight="1">
      <c r="A3842" s="2" t="s">
        <v>7652</v>
      </c>
      <c r="B3842" s="2" t="s">
        <v>7653</v>
      </c>
      <c r="C3842" s="2" t="s">
        <v>71</v>
      </c>
      <c r="D3842" s="2" t="s">
        <v>17</v>
      </c>
      <c r="E3842" s="5">
        <v>-28132</v>
      </c>
      <c r="F3842" s="3" t="s">
        <v>820</v>
      </c>
      <c r="G3842" s="3" t="s">
        <v>821</v>
      </c>
      <c r="H3842" s="2" t="s">
        <v>20</v>
      </c>
      <c r="I3842" s="2" t="s">
        <v>7654</v>
      </c>
      <c r="J3842" s="3" t="str">
        <f>HYPERLINK("https://www.boe.es/gazeta/dias/1822/12/22/pdfs/GMD-1822-372.pdf#page=4","Abrir facsímil")</f>
        <v>Abrir facsímil</v>
      </c>
      <c r="K3842" s="3" t="s">
        <v>22</v>
      </c>
    </row>
    <row r="3843" spans="1:11" ht="42" customHeight="1">
      <c r="A3843" s="2" t="s">
        <v>7655</v>
      </c>
      <c r="B3843" s="2" t="s">
        <v>7655</v>
      </c>
      <c r="C3843" s="2" t="s">
        <v>50</v>
      </c>
      <c r="D3843" s="2" t="s">
        <v>51</v>
      </c>
      <c r="E3843" s="5">
        <v>-28301</v>
      </c>
      <c r="F3843" s="3" t="s">
        <v>2348</v>
      </c>
      <c r="G3843" s="3" t="s">
        <v>35</v>
      </c>
      <c r="H3843" s="2" t="s">
        <v>20</v>
      </c>
      <c r="I3843" s="2" t="s">
        <v>7656</v>
      </c>
      <c r="J3843" s="3" t="str">
        <f>HYPERLINK("https://www.boe.es/gazeta/dias/1822/07/06/pdfs/GMD-1822-195.pdf#page=2","Abrir facsímil")</f>
        <v>Abrir facsímil</v>
      </c>
      <c r="K3843" s="3" t="s">
        <v>22</v>
      </c>
    </row>
    <row r="3844" spans="1:11" ht="42" customHeight="1">
      <c r="A3844" s="2" t="s">
        <v>7657</v>
      </c>
      <c r="B3844" s="2" t="s">
        <v>7658</v>
      </c>
      <c r="C3844" s="2" t="s">
        <v>50</v>
      </c>
      <c r="D3844" s="2" t="s">
        <v>51</v>
      </c>
      <c r="E3844" s="5">
        <v>-28272</v>
      </c>
      <c r="F3844" s="3" t="s">
        <v>52</v>
      </c>
      <c r="G3844" s="3" t="s">
        <v>35</v>
      </c>
      <c r="H3844" s="2" t="s">
        <v>20</v>
      </c>
      <c r="I3844" s="2" t="s">
        <v>7659</v>
      </c>
      <c r="J3844" s="3" t="str">
        <f>HYPERLINK("https://www.boe.es/gazeta/dias/1822/08/04/pdfs/GMD-1822-228.pdf#page=2","Abrir facsímil")</f>
        <v>Abrir facsímil</v>
      </c>
      <c r="K3844" s="3" t="s">
        <v>22</v>
      </c>
    </row>
    <row r="3845" spans="1:11" ht="42" customHeight="1">
      <c r="A3845" s="2" t="s">
        <v>7660</v>
      </c>
      <c r="B3845" s="2" t="s">
        <v>7661</v>
      </c>
      <c r="C3845" s="2" t="s">
        <v>50</v>
      </c>
      <c r="D3845" s="2" t="s">
        <v>51</v>
      </c>
      <c r="E3845" s="5">
        <v>-28241</v>
      </c>
      <c r="F3845" s="3" t="s">
        <v>3068</v>
      </c>
      <c r="G3845" s="3" t="s">
        <v>35</v>
      </c>
      <c r="H3845" s="2" t="s">
        <v>20</v>
      </c>
      <c r="I3845" s="2" t="s">
        <v>7662</v>
      </c>
      <c r="J3845" s="3" t="str">
        <f>HYPERLINK("https://www.boe.es/gazeta/dias/1822/09/04/pdfs/GMD-1822-259.pdf#page=2","Abrir facsímil")</f>
        <v>Abrir facsímil</v>
      </c>
      <c r="K3845" s="3" t="s">
        <v>22</v>
      </c>
    </row>
    <row r="3846" spans="1:11" ht="42" customHeight="1">
      <c r="A3846" s="2" t="s">
        <v>7663</v>
      </c>
      <c r="B3846" s="2" t="s">
        <v>7664</v>
      </c>
      <c r="C3846" s="2" t="s">
        <v>42</v>
      </c>
      <c r="D3846" s="2" t="s">
        <v>17</v>
      </c>
      <c r="E3846" s="5">
        <v>-28149</v>
      </c>
      <c r="F3846" s="3" t="s">
        <v>1322</v>
      </c>
      <c r="G3846" s="3" t="s">
        <v>57</v>
      </c>
      <c r="H3846" s="2" t="s">
        <v>20</v>
      </c>
      <c r="I3846" s="2" t="s">
        <v>7665</v>
      </c>
      <c r="J3846" s="3" t="str">
        <f>HYPERLINK("https://www.boe.es/gazeta/dias/1822/12/05/pdfs/GMD-1822-355.pdf#page=4","Abrir facsímil")</f>
        <v>Abrir facsímil</v>
      </c>
      <c r="K3846" s="3" t="s">
        <v>22</v>
      </c>
    </row>
    <row r="3847" spans="1:11" ht="42" customHeight="1">
      <c r="A3847" s="2" t="s">
        <v>7666</v>
      </c>
      <c r="B3847" s="2" t="s">
        <v>7666</v>
      </c>
      <c r="C3847" s="2" t="s">
        <v>50</v>
      </c>
      <c r="D3847" s="2" t="s">
        <v>51</v>
      </c>
      <c r="E3847" s="5">
        <v>-28138</v>
      </c>
      <c r="F3847" s="3" t="s">
        <v>3542</v>
      </c>
      <c r="G3847" s="3" t="s">
        <v>44</v>
      </c>
      <c r="H3847" s="2" t="s">
        <v>20</v>
      </c>
      <c r="I3847" s="2" t="s">
        <v>7667</v>
      </c>
      <c r="J3847" s="3" t="str">
        <f>HYPERLINK("https://www.boe.es/gazeta/dias/1822/12/16/pdfs/GMD-1822-366.pdf#page=1","Abrir facsímil")</f>
        <v>Abrir facsímil</v>
      </c>
      <c r="K3847" s="3" t="s">
        <v>22</v>
      </c>
    </row>
    <row r="3848" spans="1:11" ht="42" customHeight="1">
      <c r="A3848" s="2" t="s">
        <v>7668</v>
      </c>
      <c r="B3848" s="2" t="s">
        <v>7668</v>
      </c>
      <c r="C3848" s="2" t="s">
        <v>50</v>
      </c>
      <c r="D3848" s="2" t="s">
        <v>51</v>
      </c>
      <c r="E3848" s="5">
        <v>-28300</v>
      </c>
      <c r="F3848" s="3" t="s">
        <v>6533</v>
      </c>
      <c r="G3848" s="3" t="s">
        <v>44</v>
      </c>
      <c r="H3848" s="2" t="s">
        <v>20</v>
      </c>
      <c r="I3848" s="2" t="s">
        <v>7669</v>
      </c>
      <c r="J3848" s="3" t="str">
        <f>HYPERLINK("https://www.boe.es/gazeta/dias/1822/07/07/pdfs/GMD-1822-196.pdf#page=1","Abrir facsímil")</f>
        <v>Abrir facsímil</v>
      </c>
      <c r="K3848" s="3" t="s">
        <v>22</v>
      </c>
    </row>
    <row r="3849" spans="1:11" ht="42" customHeight="1">
      <c r="A3849" s="2" t="s">
        <v>7668</v>
      </c>
      <c r="B3849" s="2" t="s">
        <v>7668</v>
      </c>
      <c r="C3849" s="2" t="s">
        <v>28</v>
      </c>
      <c r="D3849" s="2" t="s">
        <v>29</v>
      </c>
      <c r="E3849" s="5">
        <v>-28236</v>
      </c>
      <c r="F3849" s="3" t="s">
        <v>714</v>
      </c>
      <c r="G3849" s="3" t="s">
        <v>35</v>
      </c>
      <c r="H3849" s="2" t="s">
        <v>20</v>
      </c>
      <c r="I3849" s="2" t="s">
        <v>7670</v>
      </c>
      <c r="J3849" s="3" t="str">
        <f>HYPERLINK("https://www.boe.es/gazeta/dias/1822/09/09/pdfs/GMD-1822-265.pdf#page=2","Abrir facsímil")</f>
        <v>Abrir facsímil</v>
      </c>
      <c r="K3849" s="3" t="s">
        <v>22</v>
      </c>
    </row>
    <row r="3850" spans="1:11" ht="42" customHeight="1">
      <c r="A3850" s="2" t="s">
        <v>7668</v>
      </c>
      <c r="B3850" s="2" t="s">
        <v>7668</v>
      </c>
      <c r="C3850" s="2" t="s">
        <v>362</v>
      </c>
      <c r="D3850" s="2" t="s">
        <v>17</v>
      </c>
      <c r="E3850" s="5">
        <v>-28229</v>
      </c>
      <c r="F3850" s="3" t="s">
        <v>2310</v>
      </c>
      <c r="G3850" s="3" t="s">
        <v>31</v>
      </c>
      <c r="H3850" s="2" t="s">
        <v>20</v>
      </c>
      <c r="I3850" s="2" t="s">
        <v>7671</v>
      </c>
      <c r="J3850" s="3" t="str">
        <f>HYPERLINK("https://www.boe.es/gazeta/dias/1822/09/16/pdfs/GMD-1822-272.pdf#page=3","Abrir facsímil")</f>
        <v>Abrir facsímil</v>
      </c>
      <c r="K3850" s="3" t="s">
        <v>22</v>
      </c>
    </row>
    <row r="3851" spans="1:11" ht="42" customHeight="1">
      <c r="A3851" s="2" t="s">
        <v>7672</v>
      </c>
      <c r="B3851" s="2" t="s">
        <v>7673</v>
      </c>
      <c r="C3851" s="2" t="s">
        <v>50</v>
      </c>
      <c r="D3851" s="2" t="s">
        <v>51</v>
      </c>
      <c r="E3851" s="5">
        <v>-28391</v>
      </c>
      <c r="F3851" s="3" t="s">
        <v>378</v>
      </c>
      <c r="G3851" s="3" t="s">
        <v>19</v>
      </c>
      <c r="H3851" s="2" t="s">
        <v>20</v>
      </c>
      <c r="I3851" s="2" t="s">
        <v>7674</v>
      </c>
      <c r="J3851" s="3" t="str">
        <f>HYPERLINK("https://www.boe.es/gazeta/dias/1822/04/07/pdfs/GMD-1822-99.pdf#page=5","Abrir facsímil")</f>
        <v>Abrir facsímil</v>
      </c>
      <c r="K3851" s="3" t="s">
        <v>22</v>
      </c>
    </row>
    <row r="3852" spans="1:11" ht="42" customHeight="1">
      <c r="A3852" s="2" t="s">
        <v>7675</v>
      </c>
      <c r="B3852" s="2" t="s">
        <v>7675</v>
      </c>
      <c r="C3852" s="2" t="s">
        <v>50</v>
      </c>
      <c r="D3852" s="2" t="s">
        <v>51</v>
      </c>
      <c r="E3852" s="5">
        <v>-28294</v>
      </c>
      <c r="F3852" s="3" t="s">
        <v>2298</v>
      </c>
      <c r="G3852" s="3" t="s">
        <v>35</v>
      </c>
      <c r="H3852" s="2" t="s">
        <v>20</v>
      </c>
      <c r="I3852" s="2" t="s">
        <v>7676</v>
      </c>
      <c r="J3852" s="3" t="str">
        <f>HYPERLINK("https://www.boe.es/gazeta/dias/1822/07/13/pdfs/GMD-1822-203.pdf#page=2","Abrir facsímil")</f>
        <v>Abrir facsímil</v>
      </c>
      <c r="K3852" s="3" t="s">
        <v>22</v>
      </c>
    </row>
    <row r="3853" spans="1:11" ht="42" customHeight="1">
      <c r="A3853" s="2" t="s">
        <v>7677</v>
      </c>
      <c r="B3853" s="2" t="s">
        <v>7678</v>
      </c>
      <c r="C3853" s="2" t="s">
        <v>50</v>
      </c>
      <c r="D3853" s="2" t="s">
        <v>51</v>
      </c>
      <c r="E3853" s="5">
        <v>-28345</v>
      </c>
      <c r="F3853" s="3" t="s">
        <v>294</v>
      </c>
      <c r="G3853" s="3" t="s">
        <v>63</v>
      </c>
      <c r="H3853" s="2" t="s">
        <v>45</v>
      </c>
      <c r="I3853" s="2" t="s">
        <v>7679</v>
      </c>
      <c r="J3853" s="3" t="str">
        <f>HYPERLINK("https://www.boe.es/gazeta/dias/1822/05/23/pdfs/GMD-1822-147.pdf#page=6","Abrir facsímil")</f>
        <v>Abrir facsímil</v>
      </c>
      <c r="K3853" s="3" t="s">
        <v>47</v>
      </c>
    </row>
    <row r="3854" spans="1:11" ht="42" customHeight="1">
      <c r="A3854" s="2" t="s">
        <v>7677</v>
      </c>
      <c r="B3854" s="2" t="s">
        <v>7678</v>
      </c>
      <c r="C3854" s="2" t="s">
        <v>50</v>
      </c>
      <c r="D3854" s="2" t="s">
        <v>51</v>
      </c>
      <c r="E3854" s="5">
        <v>-28127</v>
      </c>
      <c r="F3854" s="3" t="s">
        <v>409</v>
      </c>
      <c r="G3854" s="3" t="s">
        <v>5790</v>
      </c>
      <c r="H3854" s="2" t="s">
        <v>45</v>
      </c>
      <c r="I3854" s="2" t="s">
        <v>7680</v>
      </c>
      <c r="J3854" s="3" t="str">
        <f>HYPERLINK("https://www.boe.es/gazeta/dias/1822/12/27/pdfs/GMD-1822-377.pdf#page=6","Abrir facsímil")</f>
        <v>Abrir facsímil</v>
      </c>
      <c r="K3854" s="3" t="s">
        <v>47</v>
      </c>
    </row>
    <row r="3855" spans="1:11" ht="42" customHeight="1">
      <c r="A3855" s="2" t="s">
        <v>7681</v>
      </c>
      <c r="B3855" s="2" t="s">
        <v>7682</v>
      </c>
      <c r="C3855" s="2" t="s">
        <v>42</v>
      </c>
      <c r="D3855" s="2" t="s">
        <v>17</v>
      </c>
      <c r="E3855" s="5">
        <v>-28294</v>
      </c>
      <c r="F3855" s="3" t="s">
        <v>2298</v>
      </c>
      <c r="G3855" s="3" t="s">
        <v>35</v>
      </c>
      <c r="H3855" s="2" t="s">
        <v>20</v>
      </c>
      <c r="I3855" s="2" t="s">
        <v>7683</v>
      </c>
      <c r="J3855" s="3" t="str">
        <f>HYPERLINK("https://www.boe.es/gazeta/dias/1822/07/13/pdfs/GMD-1822-203.pdf#page=2","Abrir facsímil")</f>
        <v>Abrir facsímil</v>
      </c>
      <c r="K3855" s="3" t="s">
        <v>22</v>
      </c>
    </row>
    <row r="3856" spans="1:11" ht="42" customHeight="1">
      <c r="A3856" s="2" t="s">
        <v>7684</v>
      </c>
      <c r="B3856" s="2" t="s">
        <v>7684</v>
      </c>
      <c r="C3856" s="2" t="s">
        <v>50</v>
      </c>
      <c r="D3856" s="2" t="s">
        <v>51</v>
      </c>
      <c r="E3856" s="5">
        <v>-28265</v>
      </c>
      <c r="F3856" s="3" t="s">
        <v>1263</v>
      </c>
      <c r="G3856" s="3" t="s">
        <v>35</v>
      </c>
      <c r="H3856" s="2" t="s">
        <v>20</v>
      </c>
      <c r="I3856" s="2" t="s">
        <v>7685</v>
      </c>
      <c r="J3856" s="3" t="str">
        <f>HYPERLINK("https://www.boe.es/gazeta/dias/1822/08/11/pdfs/GMD-1822-235.pdf#page=2","Abrir facsímil")</f>
        <v>Abrir facsímil</v>
      </c>
      <c r="K3856" s="3" t="s">
        <v>22</v>
      </c>
    </row>
    <row r="3857" spans="1:11" ht="42" customHeight="1">
      <c r="A3857" s="2" t="s">
        <v>7686</v>
      </c>
      <c r="B3857" s="2" t="s">
        <v>7687</v>
      </c>
      <c r="C3857" s="2" t="s">
        <v>50</v>
      </c>
      <c r="D3857" s="2" t="s">
        <v>51</v>
      </c>
      <c r="E3857" s="5">
        <v>-28208</v>
      </c>
      <c r="F3857" s="3" t="s">
        <v>230</v>
      </c>
      <c r="G3857" s="3" t="s">
        <v>57</v>
      </c>
      <c r="H3857" s="2" t="s">
        <v>45</v>
      </c>
      <c r="I3857" s="2" t="s">
        <v>7688</v>
      </c>
      <c r="J3857" s="3" t="str">
        <f>HYPERLINK("https://www.boe.es/gazeta/dias/1822/10/07/pdfs/GMD-1822-293.pdf#page=4","Abrir facsímil")</f>
        <v>Abrir facsímil</v>
      </c>
      <c r="K3857" s="3" t="s">
        <v>47</v>
      </c>
    </row>
    <row r="3858" spans="1:11" ht="42" customHeight="1">
      <c r="A3858" s="2" t="s">
        <v>7689</v>
      </c>
      <c r="B3858" s="2" t="s">
        <v>7690</v>
      </c>
      <c r="C3858" s="2" t="s">
        <v>362</v>
      </c>
      <c r="D3858" s="2" t="s">
        <v>17</v>
      </c>
      <c r="E3858" s="5">
        <v>-28439</v>
      </c>
      <c r="F3858" s="3" t="s">
        <v>2752</v>
      </c>
      <c r="G3858" s="3" t="s">
        <v>57</v>
      </c>
      <c r="H3858" s="2" t="s">
        <v>45</v>
      </c>
      <c r="I3858" s="2" t="s">
        <v>7691</v>
      </c>
      <c r="J3858" s="3" t="str">
        <f>HYPERLINK("https://www.boe.es/gazeta/dias/1822/02/18/pdfs/GMD-1822-50.pdf#page=4","Abrir facsímil")</f>
        <v>Abrir facsímil</v>
      </c>
      <c r="K3858" s="3" t="s">
        <v>47</v>
      </c>
    </row>
    <row r="3859" spans="1:11" ht="42" customHeight="1">
      <c r="A3859" s="2" t="s">
        <v>7689</v>
      </c>
      <c r="B3859" s="2" t="s">
        <v>7690</v>
      </c>
      <c r="C3859" s="2" t="s">
        <v>28</v>
      </c>
      <c r="D3859" s="2" t="s">
        <v>29</v>
      </c>
      <c r="E3859" s="5">
        <v>-28402</v>
      </c>
      <c r="F3859" s="3" t="s">
        <v>473</v>
      </c>
      <c r="G3859" s="3" t="s">
        <v>63</v>
      </c>
      <c r="H3859" s="2" t="s">
        <v>45</v>
      </c>
      <c r="I3859" s="2" t="s">
        <v>7692</v>
      </c>
      <c r="J3859" s="3" t="str">
        <f>HYPERLINK("https://www.boe.es/gazeta/dias/1822/03/27/pdfs/GMD-1822-88.pdf#page=6","Abrir facsímil")</f>
        <v>Abrir facsímil</v>
      </c>
      <c r="K3859" s="3" t="s">
        <v>47</v>
      </c>
    </row>
    <row r="3860" spans="1:11" ht="42" customHeight="1">
      <c r="A3860" s="2" t="s">
        <v>7693</v>
      </c>
      <c r="B3860" s="2" t="s">
        <v>7694</v>
      </c>
      <c r="C3860" s="2" t="s">
        <v>50</v>
      </c>
      <c r="D3860" s="2" t="s">
        <v>51</v>
      </c>
      <c r="E3860" s="5">
        <v>-28229</v>
      </c>
      <c r="F3860" s="3" t="s">
        <v>2310</v>
      </c>
      <c r="G3860" s="3" t="s">
        <v>35</v>
      </c>
      <c r="H3860" s="2" t="s">
        <v>20</v>
      </c>
      <c r="I3860" s="2" t="s">
        <v>7695</v>
      </c>
      <c r="J3860" s="3" t="str">
        <f>HYPERLINK("https://www.boe.es/gazeta/dias/1822/09/16/pdfs/GMD-1822-272.pdf#page=2","Abrir facsímil")</f>
        <v>Abrir facsímil</v>
      </c>
      <c r="K3860" s="3" t="s">
        <v>22</v>
      </c>
    </row>
    <row r="3861" spans="1:11" ht="42" customHeight="1">
      <c r="A3861" s="2" t="s">
        <v>7696</v>
      </c>
      <c r="B3861" s="2" t="s">
        <v>7697</v>
      </c>
      <c r="C3861" s="2" t="s">
        <v>50</v>
      </c>
      <c r="D3861" s="2" t="s">
        <v>51</v>
      </c>
      <c r="E3861" s="5">
        <v>-28238</v>
      </c>
      <c r="F3861" s="3" t="s">
        <v>2077</v>
      </c>
      <c r="G3861" s="3" t="s">
        <v>57</v>
      </c>
      <c r="H3861" s="2" t="s">
        <v>20</v>
      </c>
      <c r="I3861" s="2" t="s">
        <v>7698</v>
      </c>
      <c r="J3861" s="3" t="str">
        <f>HYPERLINK("https://www.boe.es/gazeta/dias/1822/09/07/pdfs/GMD-1822-262.pdf#page=4","Abrir facsímil")</f>
        <v>Abrir facsímil</v>
      </c>
      <c r="K3861" s="3" t="s">
        <v>22</v>
      </c>
    </row>
    <row r="3862" spans="1:11" ht="42" customHeight="1">
      <c r="A3862" s="2" t="s">
        <v>7699</v>
      </c>
      <c r="B3862" s="2" t="s">
        <v>7699</v>
      </c>
      <c r="C3862" s="2" t="s">
        <v>50</v>
      </c>
      <c r="D3862" s="2" t="s">
        <v>51</v>
      </c>
      <c r="E3862" s="5">
        <v>-28227</v>
      </c>
      <c r="F3862" s="3" t="s">
        <v>2148</v>
      </c>
      <c r="G3862" s="3" t="s">
        <v>44</v>
      </c>
      <c r="H3862" s="2" t="s">
        <v>20</v>
      </c>
      <c r="I3862" s="2" t="s">
        <v>7700</v>
      </c>
      <c r="J3862" s="3" t="str">
        <f>HYPERLINK("https://www.boe.es/gazeta/dias/1822/09/18/pdfs/GMD-1822-274.pdf#page=1","Abrir facsímil")</f>
        <v>Abrir facsímil</v>
      </c>
      <c r="K3862" s="3" t="s">
        <v>22</v>
      </c>
    </row>
    <row r="3863" spans="1:11" ht="42" customHeight="1">
      <c r="A3863" s="2" t="s">
        <v>7701</v>
      </c>
      <c r="B3863" s="2" t="s">
        <v>7702</v>
      </c>
      <c r="C3863" s="2" t="s">
        <v>50</v>
      </c>
      <c r="D3863" s="2" t="s">
        <v>51</v>
      </c>
      <c r="E3863" s="5">
        <v>-28221</v>
      </c>
      <c r="F3863" s="3" t="s">
        <v>2591</v>
      </c>
      <c r="G3863" s="3" t="s">
        <v>35</v>
      </c>
      <c r="H3863" s="2" t="s">
        <v>20</v>
      </c>
      <c r="I3863" s="2" t="s">
        <v>7703</v>
      </c>
      <c r="J3863" s="3" t="str">
        <f>HYPERLINK("https://www.boe.es/gazeta/dias/1822/09/24/pdfs/GMD-1822-280.pdf#page=2","Abrir facsímil")</f>
        <v>Abrir facsímil</v>
      </c>
      <c r="K3863" s="3" t="s">
        <v>22</v>
      </c>
    </row>
    <row r="3864" spans="1:11" ht="42" customHeight="1">
      <c r="A3864" s="2" t="s">
        <v>7704</v>
      </c>
      <c r="B3864" s="2" t="s">
        <v>7705</v>
      </c>
      <c r="C3864" s="2" t="s">
        <v>71</v>
      </c>
      <c r="D3864" s="2" t="s">
        <v>17</v>
      </c>
      <c r="E3864" s="5">
        <v>-28360</v>
      </c>
      <c r="F3864" s="3" t="s">
        <v>514</v>
      </c>
      <c r="G3864" s="3" t="s">
        <v>57</v>
      </c>
      <c r="H3864" s="2" t="s">
        <v>20</v>
      </c>
      <c r="I3864" s="2" t="s">
        <v>7706</v>
      </c>
      <c r="J3864" s="3" t="str">
        <f>HYPERLINK("https://www.boe.es/gazeta/dias/1822/05/08/pdfs/GMD-1822-130.pdf#page=4","Abrir facsímil")</f>
        <v>Abrir facsímil</v>
      </c>
      <c r="K3864" s="3" t="s">
        <v>22</v>
      </c>
    </row>
    <row r="3865" spans="1:11" ht="42" customHeight="1">
      <c r="A3865" s="2" t="s">
        <v>7704</v>
      </c>
      <c r="B3865" s="2" t="s">
        <v>7705</v>
      </c>
      <c r="C3865" s="2" t="s">
        <v>16</v>
      </c>
      <c r="D3865" s="2" t="s">
        <v>17</v>
      </c>
      <c r="E3865" s="5">
        <v>-28219</v>
      </c>
      <c r="F3865" s="3" t="s">
        <v>1082</v>
      </c>
      <c r="G3865" s="3" t="s">
        <v>31</v>
      </c>
      <c r="H3865" s="2" t="s">
        <v>20</v>
      </c>
      <c r="I3865" s="2" t="s">
        <v>7707</v>
      </c>
      <c r="J3865" s="3" t="str">
        <f>HYPERLINK("https://www.boe.es/gazeta/dias/1822/09/26/pdfs/GMD-1822-282.pdf#page=3","Abrir facsímil")</f>
        <v>Abrir facsímil</v>
      </c>
      <c r="K3865" s="3" t="s">
        <v>22</v>
      </c>
    </row>
    <row r="3866" spans="1:11" ht="42" customHeight="1">
      <c r="A3866" s="2" t="s">
        <v>7704</v>
      </c>
      <c r="B3866" s="2" t="s">
        <v>7705</v>
      </c>
      <c r="C3866" s="2" t="s">
        <v>71</v>
      </c>
      <c r="D3866" s="2" t="s">
        <v>17</v>
      </c>
      <c r="E3866" s="5">
        <v>-28214</v>
      </c>
      <c r="F3866" s="3" t="s">
        <v>814</v>
      </c>
      <c r="G3866" s="3" t="s">
        <v>57</v>
      </c>
      <c r="H3866" s="2" t="s">
        <v>20</v>
      </c>
      <c r="I3866" s="2" t="s">
        <v>7708</v>
      </c>
      <c r="J3866" s="3" t="str">
        <f>HYPERLINK("https://www.boe.es/gazeta/dias/1822/10/01/pdfs/GMD-1822-287.pdf#page=4","Abrir facsímil")</f>
        <v>Abrir facsímil</v>
      </c>
      <c r="K3866" s="3" t="s">
        <v>22</v>
      </c>
    </row>
    <row r="3867" spans="1:11" ht="42" customHeight="1">
      <c r="A3867" s="2" t="s">
        <v>7709</v>
      </c>
      <c r="B3867" s="2" t="s">
        <v>7710</v>
      </c>
      <c r="C3867" s="2" t="s">
        <v>28</v>
      </c>
      <c r="D3867" s="2" t="s">
        <v>29</v>
      </c>
      <c r="E3867" s="5">
        <v>-28468</v>
      </c>
      <c r="F3867" s="3" t="s">
        <v>1012</v>
      </c>
      <c r="G3867" s="3" t="s">
        <v>44</v>
      </c>
      <c r="H3867" s="2" t="s">
        <v>20</v>
      </c>
      <c r="I3867" s="2" t="s">
        <v>7711</v>
      </c>
      <c r="J3867" s="3" t="str">
        <f>HYPERLINK("https://www.boe.es/gazeta/dias/1822/01/20/pdfs/GMD-1822-20.pdf#page=1","Abrir facsímil")</f>
        <v>Abrir facsímil</v>
      </c>
      <c r="K3867" s="3" t="s">
        <v>22</v>
      </c>
    </row>
    <row r="3868" spans="1:11" ht="42" customHeight="1">
      <c r="A3868" s="2" t="s">
        <v>7712</v>
      </c>
      <c r="B3868" s="2" t="s">
        <v>7712</v>
      </c>
      <c r="C3868" s="2" t="s">
        <v>50</v>
      </c>
      <c r="D3868" s="2" t="s">
        <v>51</v>
      </c>
      <c r="E3868" s="5">
        <v>-28318</v>
      </c>
      <c r="F3868" s="3" t="s">
        <v>397</v>
      </c>
      <c r="G3868" s="3" t="s">
        <v>167</v>
      </c>
      <c r="H3868" s="2" t="s">
        <v>20</v>
      </c>
      <c r="I3868" s="2" t="s">
        <v>7713</v>
      </c>
      <c r="J3868" s="3" t="str">
        <f>HYPERLINK("https://www.boe.es/gazeta/dias/1822/06/19/pdfs/GMD-1822-176.pdf#page=7","Abrir facsímil")</f>
        <v>Abrir facsímil</v>
      </c>
      <c r="K3868" s="3" t="s">
        <v>22</v>
      </c>
    </row>
    <row r="3869" spans="1:11" ht="42" customHeight="1">
      <c r="A3869" s="2" t="s">
        <v>7714</v>
      </c>
      <c r="B3869" s="2" t="s">
        <v>7715</v>
      </c>
      <c r="C3869" s="2" t="s">
        <v>50</v>
      </c>
      <c r="D3869" s="2" t="s">
        <v>51</v>
      </c>
      <c r="E3869" s="5">
        <v>-28125</v>
      </c>
      <c r="F3869" s="3" t="s">
        <v>322</v>
      </c>
      <c r="G3869" s="3" t="s">
        <v>19</v>
      </c>
      <c r="H3869" s="2" t="s">
        <v>20</v>
      </c>
      <c r="I3869" s="2" t="s">
        <v>7716</v>
      </c>
      <c r="J3869" s="3" t="str">
        <f>HYPERLINK("https://www.boe.es/gazeta/dias/1822/12/29/pdfs/GMD-1822-379.pdf#page=5","Abrir facsímil")</f>
        <v>Abrir facsímil</v>
      </c>
      <c r="K3869" s="3" t="s">
        <v>22</v>
      </c>
    </row>
    <row r="3870" spans="1:11" ht="42" customHeight="1">
      <c r="A3870" s="2" t="s">
        <v>7717</v>
      </c>
      <c r="B3870" s="2" t="s">
        <v>7718</v>
      </c>
      <c r="C3870" s="2" t="s">
        <v>16</v>
      </c>
      <c r="D3870" s="2" t="s">
        <v>17</v>
      </c>
      <c r="E3870" s="5">
        <v>-28129</v>
      </c>
      <c r="F3870" s="3" t="s">
        <v>599</v>
      </c>
      <c r="G3870" s="3" t="s">
        <v>57</v>
      </c>
      <c r="H3870" s="2" t="s">
        <v>20</v>
      </c>
      <c r="I3870" s="2" t="s">
        <v>7719</v>
      </c>
      <c r="J3870" s="3" t="str">
        <f>HYPERLINK("https://www.boe.es/gazeta/dias/1822/12/25/pdfs/GMD-1822-375.pdf#page=4","Abrir facsímil")</f>
        <v>Abrir facsímil</v>
      </c>
      <c r="K3870" s="3" t="s">
        <v>22</v>
      </c>
    </row>
    <row r="3871" spans="1:11" ht="42" customHeight="1">
      <c r="A3871" s="2" t="s">
        <v>7720</v>
      </c>
      <c r="B3871" s="2" t="s">
        <v>7721</v>
      </c>
      <c r="C3871" s="2" t="s">
        <v>61</v>
      </c>
      <c r="D3871" s="2" t="s">
        <v>17</v>
      </c>
      <c r="E3871" s="5">
        <v>-28357</v>
      </c>
      <c r="F3871" s="3" t="s">
        <v>690</v>
      </c>
      <c r="G3871" s="3" t="s">
        <v>31</v>
      </c>
      <c r="H3871" s="2" t="s">
        <v>20</v>
      </c>
      <c r="I3871" s="2" t="s">
        <v>7722</v>
      </c>
      <c r="J3871" s="3" t="str">
        <f>HYPERLINK("https://www.boe.es/gazeta/dias/1822/05/11/pdfs/GMD-1822-133.pdf#page=3","Abrir facsímil")</f>
        <v>Abrir facsímil</v>
      </c>
      <c r="K3871" s="3" t="s">
        <v>22</v>
      </c>
    </row>
    <row r="3872" spans="1:11" ht="42" customHeight="1">
      <c r="A3872" s="2" t="s">
        <v>7723</v>
      </c>
      <c r="B3872" s="2" t="s">
        <v>7724</v>
      </c>
      <c r="C3872" s="2" t="s">
        <v>50</v>
      </c>
      <c r="D3872" s="2" t="s">
        <v>51</v>
      </c>
      <c r="E3872" s="5">
        <v>-28403</v>
      </c>
      <c r="F3872" s="3" t="s">
        <v>471</v>
      </c>
      <c r="G3872" s="3" t="s">
        <v>44</v>
      </c>
      <c r="H3872" s="2" t="s">
        <v>20</v>
      </c>
      <c r="I3872" s="2" t="s">
        <v>7725</v>
      </c>
      <c r="J3872" s="3" t="str">
        <f>HYPERLINK("https://www.boe.es/gazeta/dias/1822/03/26/pdfs/GMD-1822-87.pdf#page=1","Abrir facsímil")</f>
        <v>Abrir facsímil</v>
      </c>
      <c r="K3872" s="3" t="s">
        <v>22</v>
      </c>
    </row>
    <row r="3873" spans="1:11" ht="42" customHeight="1">
      <c r="A3873" s="2" t="s">
        <v>7726</v>
      </c>
      <c r="B3873" s="2" t="s">
        <v>7726</v>
      </c>
      <c r="C3873" s="2" t="s">
        <v>50</v>
      </c>
      <c r="D3873" s="2" t="s">
        <v>51</v>
      </c>
      <c r="E3873" s="5">
        <v>-28348</v>
      </c>
      <c r="F3873" s="3" t="s">
        <v>2903</v>
      </c>
      <c r="G3873" s="3" t="s">
        <v>35</v>
      </c>
      <c r="H3873" s="2" t="s">
        <v>20</v>
      </c>
      <c r="I3873" s="2" t="s">
        <v>7727</v>
      </c>
      <c r="J3873" s="3" t="str">
        <f>HYPERLINK("https://www.boe.es/gazeta/dias/1822/05/20/pdfs/GMD-1822-143.pdf#page=2","Abrir facsímil")</f>
        <v>Abrir facsímil</v>
      </c>
      <c r="K3873" s="3" t="s">
        <v>22</v>
      </c>
    </row>
    <row r="3874" spans="1:11" ht="42" customHeight="1">
      <c r="A3874" s="2" t="s">
        <v>7728</v>
      </c>
      <c r="B3874" s="2" t="s">
        <v>7729</v>
      </c>
      <c r="C3874" s="2" t="s">
        <v>16</v>
      </c>
      <c r="D3874" s="2" t="s">
        <v>17</v>
      </c>
      <c r="E3874" s="5">
        <v>-28209</v>
      </c>
      <c r="F3874" s="3" t="s">
        <v>748</v>
      </c>
      <c r="G3874" s="3" t="s">
        <v>57</v>
      </c>
      <c r="H3874" s="2" t="s">
        <v>45</v>
      </c>
      <c r="I3874" s="2" t="s">
        <v>7730</v>
      </c>
      <c r="J3874" s="3" t="str">
        <f>HYPERLINK("https://www.boe.es/gazeta/dias/1822/10/06/pdfs/GMD-1822-292.pdf#page=4","Abrir facsímil")</f>
        <v>Abrir facsímil</v>
      </c>
      <c r="K3874" s="3" t="s">
        <v>47</v>
      </c>
    </row>
    <row r="3875" spans="1:11" ht="42" customHeight="1">
      <c r="A3875" s="2" t="s">
        <v>7731</v>
      </c>
      <c r="B3875" s="2" t="s">
        <v>7731</v>
      </c>
      <c r="C3875" s="2" t="s">
        <v>42</v>
      </c>
      <c r="D3875" s="2" t="s">
        <v>17</v>
      </c>
      <c r="E3875" s="5">
        <v>-28250</v>
      </c>
      <c r="F3875" s="3" t="s">
        <v>1174</v>
      </c>
      <c r="G3875" s="3" t="s">
        <v>31</v>
      </c>
      <c r="H3875" s="2" t="s">
        <v>20</v>
      </c>
      <c r="I3875" s="2" t="s">
        <v>7732</v>
      </c>
      <c r="J3875" s="3" t="str">
        <f>HYPERLINK("https://www.boe.es/gazeta/dias/1822/08/26/pdfs/GMD-1822-250.pdf#page=3","Abrir facsímil")</f>
        <v>Abrir facsímil</v>
      </c>
      <c r="K3875" s="3" t="s">
        <v>22</v>
      </c>
    </row>
    <row r="3876" spans="1:11" ht="42" customHeight="1">
      <c r="A3876" s="2" t="s">
        <v>7731</v>
      </c>
      <c r="B3876" s="2" t="s">
        <v>7731</v>
      </c>
      <c r="C3876" s="2" t="s">
        <v>50</v>
      </c>
      <c r="D3876" s="2" t="s">
        <v>51</v>
      </c>
      <c r="E3876" s="5">
        <v>-28213</v>
      </c>
      <c r="F3876" s="3" t="s">
        <v>558</v>
      </c>
      <c r="G3876" s="3" t="s">
        <v>44</v>
      </c>
      <c r="H3876" s="2" t="s">
        <v>20</v>
      </c>
      <c r="I3876" s="2" t="s">
        <v>7733</v>
      </c>
      <c r="J3876" s="3" t="str">
        <f>HYPERLINK("https://www.boe.es/gazeta/dias/1822/10/02/pdfs/GMD-1822-288.pdf#page=1","Abrir facsímil")</f>
        <v>Abrir facsímil</v>
      </c>
      <c r="K3876" s="3" t="s">
        <v>22</v>
      </c>
    </row>
    <row r="3877" spans="1:11" ht="42" customHeight="1">
      <c r="A3877" s="2" t="s">
        <v>7734</v>
      </c>
      <c r="B3877" s="2" t="s">
        <v>7735</v>
      </c>
      <c r="C3877" s="2" t="s">
        <v>50</v>
      </c>
      <c r="D3877" s="2" t="s">
        <v>51</v>
      </c>
      <c r="E3877" s="5">
        <v>-28254</v>
      </c>
      <c r="F3877" s="3" t="s">
        <v>3557</v>
      </c>
      <c r="G3877" s="3" t="s">
        <v>31</v>
      </c>
      <c r="H3877" s="2" t="s">
        <v>20</v>
      </c>
      <c r="I3877" s="2" t="s">
        <v>7736</v>
      </c>
      <c r="J3877" s="3" t="str">
        <f>HYPERLINK("https://www.boe.es/gazeta/dias/1822/08/22/pdfs/GMD-1822-246.pdf#page=3","Abrir facsímil")</f>
        <v>Abrir facsímil</v>
      </c>
      <c r="K3877" s="3" t="s">
        <v>22</v>
      </c>
    </row>
    <row r="3878" spans="1:11" ht="42" customHeight="1">
      <c r="A3878" s="2" t="s">
        <v>7737</v>
      </c>
      <c r="B3878" s="2" t="s">
        <v>7738</v>
      </c>
      <c r="C3878" s="2" t="s">
        <v>16</v>
      </c>
      <c r="D3878" s="2" t="s">
        <v>17</v>
      </c>
      <c r="E3878" s="5">
        <v>-28347</v>
      </c>
      <c r="F3878" s="3" t="s">
        <v>520</v>
      </c>
      <c r="G3878" s="3" t="s">
        <v>31</v>
      </c>
      <c r="H3878" s="2" t="s">
        <v>20</v>
      </c>
      <c r="I3878" s="2" t="s">
        <v>7739</v>
      </c>
      <c r="J3878" s="3" t="str">
        <f>HYPERLINK("https://www.boe.es/gazeta/dias/1822/05/21/pdfs/GMD-1822-144.pdf#page=3","Abrir facsímil")</f>
        <v>Abrir facsímil</v>
      </c>
      <c r="K3878" s="3" t="s">
        <v>22</v>
      </c>
    </row>
    <row r="3879" spans="1:11" ht="42" customHeight="1">
      <c r="A3879" s="2" t="s">
        <v>7740</v>
      </c>
      <c r="B3879" s="2" t="s">
        <v>7741</v>
      </c>
      <c r="C3879" s="2" t="s">
        <v>16</v>
      </c>
      <c r="D3879" s="2" t="s">
        <v>17</v>
      </c>
      <c r="E3879" s="5">
        <v>-28417</v>
      </c>
      <c r="F3879" s="3" t="s">
        <v>1394</v>
      </c>
      <c r="G3879" s="3" t="s">
        <v>31</v>
      </c>
      <c r="H3879" s="2" t="s">
        <v>20</v>
      </c>
      <c r="I3879" s="2" t="s">
        <v>7742</v>
      </c>
      <c r="J3879" s="3" t="str">
        <f>HYPERLINK("https://www.boe.es/gazeta/dias/1822/03/12/pdfs/GMD-1822-73.pdf#page=3","Abrir facsímil")</f>
        <v>Abrir facsímil</v>
      </c>
      <c r="K3879" s="3" t="s">
        <v>22</v>
      </c>
    </row>
    <row r="3880" spans="1:11" ht="42" customHeight="1">
      <c r="A3880" s="2" t="s">
        <v>7743</v>
      </c>
      <c r="B3880" s="2" t="s">
        <v>7743</v>
      </c>
      <c r="C3880" s="2" t="s">
        <v>42</v>
      </c>
      <c r="D3880" s="2" t="s">
        <v>17</v>
      </c>
      <c r="E3880" s="5">
        <v>-28131</v>
      </c>
      <c r="F3880" s="3" t="s">
        <v>893</v>
      </c>
      <c r="G3880" s="3" t="s">
        <v>991</v>
      </c>
      <c r="H3880" s="2" t="s">
        <v>20</v>
      </c>
      <c r="I3880" s="2" t="s">
        <v>7744</v>
      </c>
      <c r="J3880" s="3" t="str">
        <f>HYPERLINK("https://www.boe.es/gazeta/dias/1822/12/23/pdfs/GMD-1822-373.pdf#page=6","Abrir facsímil")</f>
        <v>Abrir facsímil</v>
      </c>
      <c r="K3880" s="3" t="s">
        <v>22</v>
      </c>
    </row>
    <row r="3881" spans="1:11" ht="42" customHeight="1">
      <c r="A3881" s="2" t="s">
        <v>7745</v>
      </c>
      <c r="B3881" s="2" t="s">
        <v>7746</v>
      </c>
      <c r="C3881" s="2" t="s">
        <v>42</v>
      </c>
      <c r="D3881" s="2" t="s">
        <v>17</v>
      </c>
      <c r="E3881" s="5">
        <v>-28425</v>
      </c>
      <c r="F3881" s="3" t="s">
        <v>419</v>
      </c>
      <c r="G3881" s="3" t="s">
        <v>57</v>
      </c>
      <c r="H3881" s="2" t="s">
        <v>20</v>
      </c>
      <c r="I3881" s="2" t="s">
        <v>7747</v>
      </c>
      <c r="J3881" s="3" t="str">
        <f>HYPERLINK("https://www.boe.es/gazeta/dias/1822/03/04/pdfs/GMD-1822-65.pdf#page=4","Abrir facsímil")</f>
        <v>Abrir facsímil</v>
      </c>
      <c r="K3881" s="3" t="s">
        <v>22</v>
      </c>
    </row>
    <row r="3882" spans="1:11" ht="42" customHeight="1">
      <c r="A3882" s="2" t="s">
        <v>7748</v>
      </c>
      <c r="B3882" s="2" t="s">
        <v>7748</v>
      </c>
      <c r="C3882" s="2" t="s">
        <v>28</v>
      </c>
      <c r="D3882" s="2" t="s">
        <v>29</v>
      </c>
      <c r="E3882" s="5">
        <v>-28478</v>
      </c>
      <c r="F3882" s="3" t="s">
        <v>1093</v>
      </c>
      <c r="G3882" s="3" t="s">
        <v>57</v>
      </c>
      <c r="H3882" s="2" t="s">
        <v>20</v>
      </c>
      <c r="I3882" s="2" t="s">
        <v>7749</v>
      </c>
      <c r="J3882" s="3" t="str">
        <f>HYPERLINK("https://www.boe.es/gazeta/dias/1822/01/10/pdfs/GMD-1822-10.pdf#page=4","Abrir facsímil")</f>
        <v>Abrir facsímil</v>
      </c>
      <c r="K3882" s="3" t="s">
        <v>22</v>
      </c>
    </row>
    <row r="3883" spans="1:11" ht="42" customHeight="1">
      <c r="A3883" s="2" t="s">
        <v>7750</v>
      </c>
      <c r="B3883" s="2" t="s">
        <v>7751</v>
      </c>
      <c r="C3883" s="2" t="s">
        <v>362</v>
      </c>
      <c r="D3883" s="2" t="s">
        <v>17</v>
      </c>
      <c r="E3883" s="5">
        <v>-28219</v>
      </c>
      <c r="F3883" s="3" t="s">
        <v>1082</v>
      </c>
      <c r="G3883" s="3" t="s">
        <v>31</v>
      </c>
      <c r="H3883" s="2" t="s">
        <v>20</v>
      </c>
      <c r="I3883" s="2" t="s">
        <v>7752</v>
      </c>
      <c r="J3883" s="3" t="str">
        <f>HYPERLINK("https://www.boe.es/gazeta/dias/1822/09/26/pdfs/GMD-1822-282.pdf#page=3","Abrir facsímil")</f>
        <v>Abrir facsímil</v>
      </c>
      <c r="K3883" s="3" t="s">
        <v>22</v>
      </c>
    </row>
    <row r="3884" spans="1:11" ht="42" customHeight="1">
      <c r="A3884" s="2" t="s">
        <v>7753</v>
      </c>
      <c r="B3884" s="2" t="s">
        <v>7754</v>
      </c>
      <c r="C3884" s="2" t="s">
        <v>50</v>
      </c>
      <c r="D3884" s="2" t="s">
        <v>51</v>
      </c>
      <c r="E3884" s="5">
        <v>-28127</v>
      </c>
      <c r="F3884" s="3" t="s">
        <v>409</v>
      </c>
      <c r="G3884" s="3" t="s">
        <v>5790</v>
      </c>
      <c r="H3884" s="2" t="s">
        <v>20</v>
      </c>
      <c r="I3884" s="2" t="s">
        <v>7755</v>
      </c>
      <c r="J3884" s="3" t="str">
        <f>HYPERLINK("https://www.boe.es/gazeta/dias/1822/12/27/pdfs/GMD-1822-377.pdf#page=6","Abrir facsímil")</f>
        <v>Abrir facsímil</v>
      </c>
      <c r="K3884" s="3" t="s">
        <v>22</v>
      </c>
    </row>
    <row r="3885" spans="1:11" ht="42" customHeight="1">
      <c r="A3885" s="2" t="s">
        <v>7756</v>
      </c>
      <c r="B3885" s="2" t="s">
        <v>7757</v>
      </c>
      <c r="C3885" s="2" t="s">
        <v>50</v>
      </c>
      <c r="D3885" s="2" t="s">
        <v>51</v>
      </c>
      <c r="E3885" s="5">
        <v>-28352</v>
      </c>
      <c r="F3885" s="3" t="s">
        <v>1575</v>
      </c>
      <c r="G3885" s="3" t="s">
        <v>63</v>
      </c>
      <c r="H3885" s="2" t="s">
        <v>20</v>
      </c>
      <c r="I3885" s="2" t="s">
        <v>7758</v>
      </c>
      <c r="J3885" s="3" t="str">
        <f>HYPERLINK("https://www.boe.es/gazeta/dias/1822/05/16/pdfs/GMD-1822-138.pdf#page=6","Abrir facsímil")</f>
        <v>Abrir facsímil</v>
      </c>
      <c r="K3885" s="3" t="s">
        <v>22</v>
      </c>
    </row>
    <row r="3886" spans="1:11" ht="42" customHeight="1">
      <c r="A3886" s="2" t="s">
        <v>7759</v>
      </c>
      <c r="B3886" s="2" t="s">
        <v>7759</v>
      </c>
      <c r="C3886" s="2" t="s">
        <v>50</v>
      </c>
      <c r="D3886" s="2" t="s">
        <v>51</v>
      </c>
      <c r="E3886" s="5">
        <v>-28257</v>
      </c>
      <c r="F3886" s="3" t="s">
        <v>1171</v>
      </c>
      <c r="G3886" s="3" t="s">
        <v>44</v>
      </c>
      <c r="H3886" s="2" t="s">
        <v>20</v>
      </c>
      <c r="I3886" s="2" t="s">
        <v>7760</v>
      </c>
      <c r="J3886" s="3" t="str">
        <f>HYPERLINK("https://www.boe.es/gazeta/dias/1822/08/19/pdfs/GMD-1822-243.pdf#page=1","Abrir facsímil")</f>
        <v>Abrir facsímil</v>
      </c>
      <c r="K3886" s="3" t="s">
        <v>22</v>
      </c>
    </row>
    <row r="3887" spans="1:11" ht="42" customHeight="1">
      <c r="A3887" s="2" t="s">
        <v>7761</v>
      </c>
      <c r="B3887" s="2" t="s">
        <v>7762</v>
      </c>
      <c r="C3887" s="2" t="s">
        <v>61</v>
      </c>
      <c r="D3887" s="2" t="s">
        <v>17</v>
      </c>
      <c r="E3887" s="5">
        <v>-28481</v>
      </c>
      <c r="F3887" s="3" t="s">
        <v>1089</v>
      </c>
      <c r="G3887" s="3" t="s">
        <v>35</v>
      </c>
      <c r="H3887" s="2" t="s">
        <v>20</v>
      </c>
      <c r="I3887" s="2" t="s">
        <v>7763</v>
      </c>
      <c r="J3887" s="3" t="str">
        <f>HYPERLINK("https://www.boe.es/gazeta/dias/1822/01/07/pdfs/GMD-1822-7.pdf#page=2","Abrir facsímil")</f>
        <v>Abrir facsímil</v>
      </c>
      <c r="K3887" s="3" t="s">
        <v>22</v>
      </c>
    </row>
    <row r="3888" spans="1:11" ht="42" customHeight="1">
      <c r="A3888" s="2" t="s">
        <v>7764</v>
      </c>
      <c r="B3888" s="2" t="s">
        <v>7765</v>
      </c>
      <c r="C3888" s="2" t="s">
        <v>42</v>
      </c>
      <c r="D3888" s="2" t="s">
        <v>17</v>
      </c>
      <c r="E3888" s="5">
        <v>-28334</v>
      </c>
      <c r="F3888" s="3" t="s">
        <v>532</v>
      </c>
      <c r="G3888" s="3" t="s">
        <v>157</v>
      </c>
      <c r="H3888" s="2" t="s">
        <v>20</v>
      </c>
      <c r="I3888" s="2" t="s">
        <v>7766</v>
      </c>
      <c r="J3888" s="3" t="str">
        <f>HYPERLINK("https://www.boe.es/gazeta/dias/1822/06/03/pdfs/GMD-1822-159.pdf#page=8","Abrir facsímil")</f>
        <v>Abrir facsímil</v>
      </c>
      <c r="K3888" s="3" t="s">
        <v>22</v>
      </c>
    </row>
    <row r="3889" spans="1:11" ht="42" customHeight="1">
      <c r="A3889" s="2" t="s">
        <v>7767</v>
      </c>
      <c r="B3889" s="2" t="s">
        <v>7768</v>
      </c>
      <c r="C3889" s="2" t="s">
        <v>28</v>
      </c>
      <c r="D3889" s="2" t="s">
        <v>29</v>
      </c>
      <c r="E3889" s="5">
        <v>-28418</v>
      </c>
      <c r="F3889" s="3" t="s">
        <v>205</v>
      </c>
      <c r="G3889" s="3" t="s">
        <v>31</v>
      </c>
      <c r="H3889" s="2" t="s">
        <v>20</v>
      </c>
      <c r="I3889" s="2" t="s">
        <v>7769</v>
      </c>
      <c r="J3889" s="3" t="str">
        <f>HYPERLINK("https://www.boe.es/gazeta/dias/1822/03/11/pdfs/GMD-1822-72.pdf#page=3","Abrir facsímil")</f>
        <v>Abrir facsímil</v>
      </c>
      <c r="K3889" s="3" t="s">
        <v>22</v>
      </c>
    </row>
    <row r="3890" spans="1:11" ht="42" customHeight="1">
      <c r="A3890" s="2" t="s">
        <v>7770</v>
      </c>
      <c r="B3890" s="2" t="s">
        <v>7771</v>
      </c>
      <c r="C3890" s="2" t="s">
        <v>50</v>
      </c>
      <c r="D3890" s="2" t="s">
        <v>51</v>
      </c>
      <c r="E3890" s="5">
        <v>-28452</v>
      </c>
      <c r="F3890" s="3" t="s">
        <v>7772</v>
      </c>
      <c r="G3890" s="3" t="s">
        <v>44</v>
      </c>
      <c r="H3890" s="2" t="s">
        <v>20</v>
      </c>
      <c r="I3890" s="2" t="s">
        <v>7773</v>
      </c>
      <c r="J3890" s="3" t="str">
        <f>HYPERLINK("https://www.boe.es/gazeta/dias/1822/02/05/pdfs/GMD-1822-36.pdf#page=1","Abrir facsímil")</f>
        <v>Abrir facsímil</v>
      </c>
      <c r="K3890" s="3" t="s">
        <v>22</v>
      </c>
    </row>
    <row r="3891" spans="1:11" ht="42" customHeight="1">
      <c r="A3891" s="2" t="s">
        <v>7774</v>
      </c>
      <c r="B3891" s="2" t="s">
        <v>7775</v>
      </c>
      <c r="C3891" s="2" t="s">
        <v>50</v>
      </c>
      <c r="D3891" s="2" t="s">
        <v>51</v>
      </c>
      <c r="E3891" s="5">
        <v>-28267</v>
      </c>
      <c r="F3891" s="3" t="s">
        <v>1270</v>
      </c>
      <c r="G3891" s="3" t="s">
        <v>44</v>
      </c>
      <c r="H3891" s="2" t="s">
        <v>45</v>
      </c>
      <c r="I3891" s="2" t="s">
        <v>7776</v>
      </c>
      <c r="J3891" s="3" t="str">
        <f>HYPERLINK("https://www.boe.es/gazeta/dias/1822/08/09/pdfs/GMD-1822-233.pdf#page=1","Abrir facsímil")</f>
        <v>Abrir facsímil</v>
      </c>
      <c r="K3891" s="3" t="s">
        <v>47</v>
      </c>
    </row>
    <row r="3892" spans="1:11" ht="42" customHeight="1">
      <c r="A3892" s="2" t="s">
        <v>7777</v>
      </c>
      <c r="B3892" s="2" t="s">
        <v>7777</v>
      </c>
      <c r="C3892" s="2" t="s">
        <v>50</v>
      </c>
      <c r="D3892" s="2" t="s">
        <v>51</v>
      </c>
      <c r="E3892" s="5">
        <v>-28253</v>
      </c>
      <c r="F3892" s="3" t="s">
        <v>413</v>
      </c>
      <c r="G3892" s="3" t="s">
        <v>31</v>
      </c>
      <c r="H3892" s="2" t="s">
        <v>20</v>
      </c>
      <c r="I3892" s="2" t="s">
        <v>7778</v>
      </c>
      <c r="J3892" s="3" t="str">
        <f>HYPERLINK("https://www.boe.es/gazeta/dias/1822/08/23/pdfs/GMD-1822-247.pdf#page=3","Abrir facsímil")</f>
        <v>Abrir facsímil</v>
      </c>
      <c r="K3892" s="3" t="s">
        <v>22</v>
      </c>
    </row>
    <row r="3893" spans="1:11" ht="42" customHeight="1">
      <c r="A3893" s="2" t="s">
        <v>7779</v>
      </c>
      <c r="B3893" s="2" t="s">
        <v>7780</v>
      </c>
      <c r="C3893" s="2" t="s">
        <v>24</v>
      </c>
      <c r="D3893" s="2" t="s">
        <v>17</v>
      </c>
      <c r="E3893" s="5">
        <v>-28483</v>
      </c>
      <c r="F3893" s="3" t="s">
        <v>254</v>
      </c>
      <c r="G3893" s="3" t="s">
        <v>57</v>
      </c>
      <c r="H3893" s="2" t="s">
        <v>20</v>
      </c>
      <c r="I3893" s="2" t="s">
        <v>7781</v>
      </c>
      <c r="J3893" s="3" t="str">
        <f>HYPERLINK("https://www.boe.es/gazeta/dias/1822/01/05/pdfs/GMD-1822-5.pdf#page=4","Abrir facsímil")</f>
        <v>Abrir facsímil</v>
      </c>
      <c r="K3893" s="3" t="s">
        <v>22</v>
      </c>
    </row>
    <row r="3894" spans="1:11" ht="42" customHeight="1">
      <c r="A3894" s="2" t="s">
        <v>7779</v>
      </c>
      <c r="B3894" s="2" t="s">
        <v>7780</v>
      </c>
      <c r="C3894" s="2" t="s">
        <v>16</v>
      </c>
      <c r="D3894" s="2" t="s">
        <v>17</v>
      </c>
      <c r="E3894" s="5">
        <v>-28482</v>
      </c>
      <c r="F3894" s="3" t="s">
        <v>850</v>
      </c>
      <c r="G3894" s="3" t="s">
        <v>31</v>
      </c>
      <c r="H3894" s="2" t="s">
        <v>20</v>
      </c>
      <c r="I3894" s="2" t="s">
        <v>7782</v>
      </c>
      <c r="J3894" s="3" t="str">
        <f>HYPERLINK("https://www.boe.es/gazeta/dias/1822/01/06/pdfs/GMD-1822-6.pdf#page=3","Abrir facsímil")</f>
        <v>Abrir facsímil</v>
      </c>
      <c r="K3894" s="3" t="s">
        <v>22</v>
      </c>
    </row>
    <row r="3895" spans="1:11" ht="42" customHeight="1">
      <c r="A3895" s="2" t="s">
        <v>7779</v>
      </c>
      <c r="B3895" s="2" t="s">
        <v>7780</v>
      </c>
      <c r="C3895" s="2" t="s">
        <v>42</v>
      </c>
      <c r="D3895" s="2" t="s">
        <v>17</v>
      </c>
      <c r="E3895" s="5">
        <v>-28482</v>
      </c>
      <c r="F3895" s="3" t="s">
        <v>850</v>
      </c>
      <c r="G3895" s="3" t="s">
        <v>57</v>
      </c>
      <c r="H3895" s="2" t="s">
        <v>20</v>
      </c>
      <c r="I3895" s="2" t="s">
        <v>7783</v>
      </c>
      <c r="J3895" s="3" t="str">
        <f>HYPERLINK("https://www.boe.es/gazeta/dias/1822/01/06/pdfs/GMD-1822-6.pdf#page=4","Abrir facsímil")</f>
        <v>Abrir facsímil</v>
      </c>
      <c r="K3895" s="3" t="s">
        <v>22</v>
      </c>
    </row>
    <row r="3896" spans="1:11" ht="42" customHeight="1">
      <c r="A3896" s="2" t="s">
        <v>7779</v>
      </c>
      <c r="B3896" s="2" t="s">
        <v>7780</v>
      </c>
      <c r="C3896" s="2" t="s">
        <v>61</v>
      </c>
      <c r="D3896" s="2" t="s">
        <v>17</v>
      </c>
      <c r="E3896" s="5">
        <v>-28481</v>
      </c>
      <c r="F3896" s="3" t="s">
        <v>1089</v>
      </c>
      <c r="G3896" s="3" t="s">
        <v>35</v>
      </c>
      <c r="H3896" s="2" t="s">
        <v>20</v>
      </c>
      <c r="I3896" s="2" t="s">
        <v>7784</v>
      </c>
      <c r="J3896" s="3" t="str">
        <f>HYPERLINK("https://www.boe.es/gazeta/dias/1822/01/07/pdfs/GMD-1822-7.pdf#page=2","Abrir facsímil")</f>
        <v>Abrir facsímil</v>
      </c>
      <c r="K3896" s="3" t="s">
        <v>22</v>
      </c>
    </row>
    <row r="3897" spans="1:11" ht="42" customHeight="1">
      <c r="A3897" s="2" t="s">
        <v>7779</v>
      </c>
      <c r="B3897" s="2" t="s">
        <v>7780</v>
      </c>
      <c r="C3897" s="2" t="s">
        <v>28</v>
      </c>
      <c r="D3897" s="2" t="s">
        <v>29</v>
      </c>
      <c r="E3897" s="5">
        <v>-28450</v>
      </c>
      <c r="F3897" s="3" t="s">
        <v>1450</v>
      </c>
      <c r="G3897" s="3" t="s">
        <v>44</v>
      </c>
      <c r="H3897" s="2" t="s">
        <v>20</v>
      </c>
      <c r="I3897" s="2" t="s">
        <v>7785</v>
      </c>
      <c r="J3897" s="3" t="str">
        <f>HYPERLINK("https://www.boe.es/gazeta/dias/1822/02/07/pdfs/GMD-1822-38.pdf#page=1","Abrir facsímil")</f>
        <v>Abrir facsímil</v>
      </c>
      <c r="K3897" s="3" t="s">
        <v>22</v>
      </c>
    </row>
    <row r="3898" spans="1:11" ht="42" customHeight="1">
      <c r="A3898" s="2" t="s">
        <v>7786</v>
      </c>
      <c r="B3898" s="2" t="s">
        <v>7786</v>
      </c>
      <c r="C3898" s="2" t="s">
        <v>50</v>
      </c>
      <c r="D3898" s="2" t="s">
        <v>51</v>
      </c>
      <c r="E3898" s="5">
        <v>-28449</v>
      </c>
      <c r="F3898" s="3" t="s">
        <v>1342</v>
      </c>
      <c r="G3898" s="3" t="s">
        <v>35</v>
      </c>
      <c r="H3898" s="2" t="s">
        <v>20</v>
      </c>
      <c r="I3898" s="2" t="s">
        <v>7787</v>
      </c>
      <c r="J3898" s="3" t="str">
        <f>HYPERLINK("https://www.boe.es/gazeta/dias/1822/02/08/pdfs/GMD-1822-39.pdf#page=2","Abrir facsímil")</f>
        <v>Abrir facsímil</v>
      </c>
      <c r="K3898" s="3" t="s">
        <v>22</v>
      </c>
    </row>
    <row r="3899" spans="1:11" ht="42" customHeight="1">
      <c r="A3899" s="2" t="s">
        <v>7786</v>
      </c>
      <c r="B3899" s="2" t="s">
        <v>7786</v>
      </c>
      <c r="C3899" s="2" t="s">
        <v>24</v>
      </c>
      <c r="D3899" s="2" t="s">
        <v>17</v>
      </c>
      <c r="E3899" s="5">
        <v>-28393</v>
      </c>
      <c r="F3899" s="3" t="s">
        <v>326</v>
      </c>
      <c r="G3899" s="3" t="s">
        <v>31</v>
      </c>
      <c r="H3899" s="2" t="s">
        <v>20</v>
      </c>
      <c r="I3899" s="2" t="s">
        <v>7788</v>
      </c>
      <c r="J3899" s="3" t="str">
        <f>HYPERLINK("https://www.boe.es/gazeta/dias/1822/04/05/pdfs/GMD-1822-97.pdf#page=3","Abrir facsímil")</f>
        <v>Abrir facsímil</v>
      </c>
      <c r="K3899" s="3" t="s">
        <v>22</v>
      </c>
    </row>
    <row r="3900" spans="1:11" ht="42" customHeight="1">
      <c r="A3900" s="2" t="s">
        <v>7786</v>
      </c>
      <c r="B3900" s="2" t="s">
        <v>7786</v>
      </c>
      <c r="C3900" s="2" t="s">
        <v>42</v>
      </c>
      <c r="D3900" s="2" t="s">
        <v>17</v>
      </c>
      <c r="E3900" s="5">
        <v>-28224</v>
      </c>
      <c r="F3900" s="3" t="s">
        <v>1902</v>
      </c>
      <c r="G3900" s="3" t="s">
        <v>44</v>
      </c>
      <c r="H3900" s="2" t="s">
        <v>20</v>
      </c>
      <c r="I3900" s="2" t="s">
        <v>7789</v>
      </c>
      <c r="J3900" s="3" t="str">
        <f>HYPERLINK("https://www.boe.es/gazeta/dias/1822/09/21/pdfs/GMD-1822-277.pdf#page=1","Abrir facsímil")</f>
        <v>Abrir facsímil</v>
      </c>
      <c r="K3900" s="3" t="s">
        <v>22</v>
      </c>
    </row>
    <row r="3901" spans="1:11" ht="42" customHeight="1">
      <c r="A3901" s="2" t="s">
        <v>7786</v>
      </c>
      <c r="B3901" s="2" t="s">
        <v>7786</v>
      </c>
      <c r="C3901" s="2" t="s">
        <v>50</v>
      </c>
      <c r="D3901" s="2" t="s">
        <v>51</v>
      </c>
      <c r="E3901" s="5">
        <v>-28219</v>
      </c>
      <c r="F3901" s="3" t="s">
        <v>1082</v>
      </c>
      <c r="G3901" s="3" t="s">
        <v>44</v>
      </c>
      <c r="H3901" s="2" t="s">
        <v>20</v>
      </c>
      <c r="I3901" s="2" t="s">
        <v>7790</v>
      </c>
      <c r="J3901" s="3" t="str">
        <f>HYPERLINK("https://www.boe.es/gazeta/dias/1822/09/26/pdfs/GMD-1822-282.pdf#page=1","Abrir facsímil")</f>
        <v>Abrir facsímil</v>
      </c>
      <c r="K3901" s="3" t="s">
        <v>22</v>
      </c>
    </row>
    <row r="3902" spans="1:11" ht="42" customHeight="1">
      <c r="A3902" s="2" t="s">
        <v>7791</v>
      </c>
      <c r="B3902" s="2" t="s">
        <v>7791</v>
      </c>
      <c r="C3902" s="2" t="s">
        <v>50</v>
      </c>
      <c r="D3902" s="2" t="s">
        <v>51</v>
      </c>
      <c r="E3902" s="5">
        <v>-28405</v>
      </c>
      <c r="F3902" s="3" t="s">
        <v>466</v>
      </c>
      <c r="G3902" s="3" t="s">
        <v>35</v>
      </c>
      <c r="H3902" s="2" t="s">
        <v>20</v>
      </c>
      <c r="I3902" s="2" t="s">
        <v>7792</v>
      </c>
      <c r="J3902" s="3" t="str">
        <f>HYPERLINK("https://www.boe.es/gazeta/dias/1822/03/24/pdfs/GMD-1822-85.pdf#page=2","Abrir facsímil")</f>
        <v>Abrir facsímil</v>
      </c>
      <c r="K3902" s="3" t="s">
        <v>22</v>
      </c>
    </row>
    <row r="3903" spans="1:11" ht="42" customHeight="1">
      <c r="A3903" s="2" t="s">
        <v>7793</v>
      </c>
      <c r="B3903" s="2" t="s">
        <v>7794</v>
      </c>
      <c r="C3903" s="2" t="s">
        <v>42</v>
      </c>
      <c r="D3903" s="2" t="s">
        <v>17</v>
      </c>
      <c r="E3903" s="5">
        <v>-28322</v>
      </c>
      <c r="F3903" s="3" t="s">
        <v>2205</v>
      </c>
      <c r="G3903" s="3" t="s">
        <v>57</v>
      </c>
      <c r="H3903" s="2" t="s">
        <v>20</v>
      </c>
      <c r="I3903" s="2" t="s">
        <v>7795</v>
      </c>
      <c r="J3903" s="3" t="str">
        <f>HYPERLINK("https://www.boe.es/gazeta/dias/1822/06/15/pdfs/GMD-1822-172.pdf#page=4","Abrir facsímil")</f>
        <v>Abrir facsímil</v>
      </c>
      <c r="K3903" s="3" t="s">
        <v>22</v>
      </c>
    </row>
    <row r="3904" spans="1:11" ht="42" customHeight="1">
      <c r="A3904" s="2" t="s">
        <v>7796</v>
      </c>
      <c r="B3904" s="2" t="s">
        <v>7797</v>
      </c>
      <c r="C3904" s="2" t="s">
        <v>50</v>
      </c>
      <c r="D3904" s="2" t="s">
        <v>51</v>
      </c>
      <c r="E3904" s="5">
        <v>-28405</v>
      </c>
      <c r="F3904" s="3" t="s">
        <v>466</v>
      </c>
      <c r="G3904" s="3" t="s">
        <v>35</v>
      </c>
      <c r="H3904" s="2" t="s">
        <v>20</v>
      </c>
      <c r="I3904" s="2" t="s">
        <v>7798</v>
      </c>
      <c r="J3904" s="3" t="str">
        <f>HYPERLINK("https://www.boe.es/gazeta/dias/1822/03/24/pdfs/GMD-1822-85.pdf#page=2","Abrir facsímil")</f>
        <v>Abrir facsímil</v>
      </c>
      <c r="K3904" s="3" t="s">
        <v>22</v>
      </c>
    </row>
    <row r="3905" spans="1:11" ht="42" customHeight="1">
      <c r="A3905" s="2" t="s">
        <v>7799</v>
      </c>
      <c r="B3905" s="2" t="s">
        <v>7800</v>
      </c>
      <c r="C3905" s="2" t="s">
        <v>50</v>
      </c>
      <c r="D3905" s="2" t="s">
        <v>51</v>
      </c>
      <c r="E3905" s="5">
        <v>-28396</v>
      </c>
      <c r="F3905" s="3" t="s">
        <v>1138</v>
      </c>
      <c r="G3905" s="3" t="s">
        <v>63</v>
      </c>
      <c r="H3905" s="2" t="s">
        <v>20</v>
      </c>
      <c r="I3905" s="2" t="s">
        <v>7801</v>
      </c>
      <c r="J3905" s="3" t="str">
        <f>HYPERLINK("https://www.boe.es/gazeta/dias/1822/04/02/pdfs/GMD-1822-94.pdf#page=6","Abrir facsímil")</f>
        <v>Abrir facsímil</v>
      </c>
      <c r="K3905" s="3" t="s">
        <v>22</v>
      </c>
    </row>
    <row r="3906" spans="1:11" ht="42" customHeight="1">
      <c r="A3906" s="2" t="s">
        <v>7802</v>
      </c>
      <c r="B3906" s="2" t="s">
        <v>7803</v>
      </c>
      <c r="C3906" s="2" t="s">
        <v>28</v>
      </c>
      <c r="D3906" s="2" t="s">
        <v>29</v>
      </c>
      <c r="E3906" s="5">
        <v>-28291</v>
      </c>
      <c r="F3906" s="3" t="s">
        <v>363</v>
      </c>
      <c r="G3906" s="3" t="s">
        <v>57</v>
      </c>
      <c r="H3906" s="2" t="s">
        <v>45</v>
      </c>
      <c r="I3906" s="2" t="s">
        <v>7804</v>
      </c>
      <c r="J3906" s="3" t="str">
        <f>HYPERLINK("https://www.boe.es/gazeta/dias/1822/07/16/pdfs/GMD-1822-206.pdf#page=4","Abrir facsímil")</f>
        <v>Abrir facsímil</v>
      </c>
      <c r="K3906" s="3" t="s">
        <v>47</v>
      </c>
    </row>
    <row r="3907" spans="1:11" ht="42" customHeight="1">
      <c r="A3907" s="2" t="s">
        <v>7805</v>
      </c>
      <c r="B3907" s="2" t="s">
        <v>7806</v>
      </c>
      <c r="C3907" s="2" t="s">
        <v>50</v>
      </c>
      <c r="D3907" s="2" t="s">
        <v>51</v>
      </c>
      <c r="E3907" s="5">
        <v>-28354</v>
      </c>
      <c r="F3907" s="3" t="s">
        <v>226</v>
      </c>
      <c r="G3907" s="3" t="s">
        <v>44</v>
      </c>
      <c r="H3907" s="2" t="s">
        <v>20</v>
      </c>
      <c r="I3907" s="2" t="s">
        <v>7807</v>
      </c>
      <c r="J3907" s="3" t="str">
        <f>HYPERLINK("https://www.boe.es/gazeta/dias/1822/05/14/pdfs/GMD-1822-136.pdf#page=1","Abrir facsímil")</f>
        <v>Abrir facsímil</v>
      </c>
      <c r="K3907" s="3" t="s">
        <v>22</v>
      </c>
    </row>
    <row r="3908" spans="1:11" ht="42" customHeight="1">
      <c r="A3908" s="2" t="s">
        <v>7808</v>
      </c>
      <c r="B3908" s="2" t="s">
        <v>7809</v>
      </c>
      <c r="C3908" s="2" t="s">
        <v>42</v>
      </c>
      <c r="D3908" s="2" t="s">
        <v>17</v>
      </c>
      <c r="E3908" s="5">
        <v>-28410</v>
      </c>
      <c r="F3908" s="3" t="s">
        <v>966</v>
      </c>
      <c r="G3908" s="3" t="s">
        <v>57</v>
      </c>
      <c r="H3908" s="2" t="s">
        <v>20</v>
      </c>
      <c r="I3908" s="2" t="s">
        <v>7810</v>
      </c>
      <c r="J3908" s="3" t="str">
        <f>HYPERLINK("https://www.boe.es/gazeta/dias/1822/03/19/pdfs/GMD-1822-80.pdf#page=4","Abrir facsímil")</f>
        <v>Abrir facsímil</v>
      </c>
      <c r="K3908" s="3" t="s">
        <v>22</v>
      </c>
    </row>
    <row r="3909" spans="1:11" ht="42" customHeight="1">
      <c r="A3909" s="2" t="s">
        <v>7811</v>
      </c>
      <c r="B3909" s="2" t="s">
        <v>7812</v>
      </c>
      <c r="C3909" s="2" t="s">
        <v>50</v>
      </c>
      <c r="D3909" s="2" t="s">
        <v>51</v>
      </c>
      <c r="E3909" s="5">
        <v>-28162</v>
      </c>
      <c r="F3909" s="3" t="s">
        <v>3949</v>
      </c>
      <c r="G3909" s="3" t="s">
        <v>31</v>
      </c>
      <c r="H3909" s="2" t="s">
        <v>20</v>
      </c>
      <c r="I3909" s="2" t="s">
        <v>7813</v>
      </c>
      <c r="J3909" s="3" t="str">
        <f>HYPERLINK("https://www.boe.es/gazeta/dias/1822/11/22/pdfs/GMD-1822-342.pdf#page=3","Abrir facsímil")</f>
        <v>Abrir facsímil</v>
      </c>
      <c r="K3909" s="3" t="s">
        <v>22</v>
      </c>
    </row>
    <row r="3910" spans="1:11" ht="42" customHeight="1">
      <c r="A3910" s="2" t="s">
        <v>7814</v>
      </c>
      <c r="B3910" s="2" t="s">
        <v>7814</v>
      </c>
      <c r="C3910" s="2" t="s">
        <v>50</v>
      </c>
      <c r="D3910" s="2" t="s">
        <v>51</v>
      </c>
      <c r="E3910" s="5">
        <v>-28257</v>
      </c>
      <c r="F3910" s="3" t="s">
        <v>1171</v>
      </c>
      <c r="G3910" s="3" t="s">
        <v>1172</v>
      </c>
      <c r="H3910" s="2" t="s">
        <v>20</v>
      </c>
      <c r="I3910" s="2" t="s">
        <v>7815</v>
      </c>
      <c r="J3910" s="3" t="str">
        <f>HYPERLINK("https://www.boe.es/gazeta/dias/1822/08/19/pdfs/GMD-1822-243.pdf#page=4","Abrir facsímil")</f>
        <v>Abrir facsímil</v>
      </c>
      <c r="K3910" s="3" t="s">
        <v>22</v>
      </c>
    </row>
    <row r="3911" spans="1:11" ht="42" customHeight="1">
      <c r="A3911" s="2" t="s">
        <v>7816</v>
      </c>
      <c r="B3911" s="2" t="s">
        <v>7816</v>
      </c>
      <c r="C3911" s="2" t="s">
        <v>28</v>
      </c>
      <c r="D3911" s="2" t="s">
        <v>29</v>
      </c>
      <c r="E3911" s="5">
        <v>-28333</v>
      </c>
      <c r="F3911" s="3" t="s">
        <v>1928</v>
      </c>
      <c r="G3911" s="3" t="s">
        <v>63</v>
      </c>
      <c r="H3911" s="2" t="s">
        <v>20</v>
      </c>
      <c r="I3911" s="2" t="s">
        <v>7817</v>
      </c>
      <c r="J3911" s="3" t="str">
        <f>HYPERLINK("https://www.boe.es/gazeta/dias/1822/06/04/pdfs/GMD-1822-161.pdf#page=6","Abrir facsímil")</f>
        <v>Abrir facsímil</v>
      </c>
      <c r="K3911" s="3" t="s">
        <v>22</v>
      </c>
    </row>
    <row r="3912" spans="1:11" ht="42" customHeight="1">
      <c r="A3912" s="2" t="s">
        <v>7818</v>
      </c>
      <c r="B3912" s="2" t="s">
        <v>7818</v>
      </c>
      <c r="C3912" s="2" t="s">
        <v>50</v>
      </c>
      <c r="D3912" s="2" t="s">
        <v>51</v>
      </c>
      <c r="E3912" s="5">
        <v>-28286</v>
      </c>
      <c r="F3912" s="3" t="s">
        <v>1853</v>
      </c>
      <c r="G3912" s="3" t="s">
        <v>31</v>
      </c>
      <c r="H3912" s="2" t="s">
        <v>20</v>
      </c>
      <c r="I3912" s="2" t="s">
        <v>7819</v>
      </c>
      <c r="J3912" s="3" t="str">
        <f>HYPERLINK("https://www.boe.es/gazeta/dias/1822/07/21/pdfs/GMD-1822-213.pdf#page=3","Abrir facsímil")</f>
        <v>Abrir facsímil</v>
      </c>
      <c r="K3912" s="3" t="s">
        <v>22</v>
      </c>
    </row>
    <row r="3913" spans="1:11" ht="42" customHeight="1">
      <c r="A3913" s="2" t="s">
        <v>7820</v>
      </c>
      <c r="B3913" s="2" t="s">
        <v>7820</v>
      </c>
      <c r="C3913" s="2" t="s">
        <v>50</v>
      </c>
      <c r="D3913" s="2" t="s">
        <v>51</v>
      </c>
      <c r="E3913" s="5">
        <v>-28288</v>
      </c>
      <c r="F3913" s="3" t="s">
        <v>970</v>
      </c>
      <c r="G3913" s="3" t="s">
        <v>31</v>
      </c>
      <c r="H3913" s="2" t="s">
        <v>20</v>
      </c>
      <c r="I3913" s="2" t="s">
        <v>7821</v>
      </c>
      <c r="J3913" s="3" t="str">
        <f>HYPERLINK("https://www.boe.es/gazeta/dias/1822/07/19/pdfs/GMD-1822-211.pdf#page=3","Abrir facsímil")</f>
        <v>Abrir facsímil</v>
      </c>
      <c r="K3913" s="3" t="s">
        <v>22</v>
      </c>
    </row>
    <row r="3914" spans="1:11" ht="42" customHeight="1">
      <c r="A3914" s="2" t="s">
        <v>7822</v>
      </c>
      <c r="B3914" s="2" t="s">
        <v>7822</v>
      </c>
      <c r="C3914" s="2" t="s">
        <v>24</v>
      </c>
      <c r="D3914" s="2" t="s">
        <v>17</v>
      </c>
      <c r="E3914" s="5">
        <v>-28347</v>
      </c>
      <c r="F3914" s="3" t="s">
        <v>520</v>
      </c>
      <c r="G3914" s="3" t="s">
        <v>35</v>
      </c>
      <c r="H3914" s="2" t="s">
        <v>20</v>
      </c>
      <c r="I3914" s="2" t="s">
        <v>7823</v>
      </c>
      <c r="J3914" s="3" t="str">
        <f>HYPERLINK("https://www.boe.es/gazeta/dias/1822/05/21/pdfs/GMD-1822-144.pdf#page=2","Abrir facsímil")</f>
        <v>Abrir facsímil</v>
      </c>
      <c r="K3914" s="3" t="s">
        <v>22</v>
      </c>
    </row>
    <row r="3915" spans="1:11" ht="42" customHeight="1">
      <c r="A3915" s="2" t="s">
        <v>7824</v>
      </c>
      <c r="B3915" s="2" t="s">
        <v>7824</v>
      </c>
      <c r="C3915" s="2" t="s">
        <v>50</v>
      </c>
      <c r="D3915" s="2" t="s">
        <v>51</v>
      </c>
      <c r="E3915" s="5">
        <v>-28356</v>
      </c>
      <c r="F3915" s="3" t="s">
        <v>4170</v>
      </c>
      <c r="G3915" s="3" t="s">
        <v>31</v>
      </c>
      <c r="H3915" s="2" t="s">
        <v>20</v>
      </c>
      <c r="I3915" s="2" t="s">
        <v>7825</v>
      </c>
      <c r="J3915" s="3" t="str">
        <f>HYPERLINK("https://www.boe.es/gazeta/dias/1822/05/12/pdfs/GMD-1822-134.pdf#page=3","Abrir facsímil")</f>
        <v>Abrir facsímil</v>
      </c>
      <c r="K3915" s="3" t="s">
        <v>22</v>
      </c>
    </row>
    <row r="3916" spans="1:11" ht="42" customHeight="1">
      <c r="A3916" s="2" t="s">
        <v>7824</v>
      </c>
      <c r="B3916" s="2" t="s">
        <v>7824</v>
      </c>
      <c r="C3916" s="2" t="s">
        <v>50</v>
      </c>
      <c r="D3916" s="2" t="s">
        <v>51</v>
      </c>
      <c r="E3916" s="5">
        <v>-28288</v>
      </c>
      <c r="F3916" s="3" t="s">
        <v>970</v>
      </c>
      <c r="G3916" s="3" t="s">
        <v>31</v>
      </c>
      <c r="H3916" s="2" t="s">
        <v>20</v>
      </c>
      <c r="I3916" s="2" t="s">
        <v>7826</v>
      </c>
      <c r="J3916" s="3" t="str">
        <f>HYPERLINK("https://www.boe.es/gazeta/dias/1822/07/19/pdfs/GMD-1822-211.pdf#page=3","Abrir facsímil")</f>
        <v>Abrir facsímil</v>
      </c>
      <c r="K3916" s="3" t="s">
        <v>22</v>
      </c>
    </row>
    <row r="3917" spans="1:11" ht="42" customHeight="1">
      <c r="A3917" s="2" t="s">
        <v>7824</v>
      </c>
      <c r="B3917" s="2" t="s">
        <v>7824</v>
      </c>
      <c r="C3917" s="2" t="s">
        <v>50</v>
      </c>
      <c r="D3917" s="2" t="s">
        <v>51</v>
      </c>
      <c r="E3917" s="5">
        <v>-28281</v>
      </c>
      <c r="F3917" s="3" t="s">
        <v>3310</v>
      </c>
      <c r="G3917" s="3" t="s">
        <v>31</v>
      </c>
      <c r="H3917" s="2" t="s">
        <v>20</v>
      </c>
      <c r="I3917" s="2" t="s">
        <v>7827</v>
      </c>
      <c r="J3917" s="3" t="str">
        <f>HYPERLINK("https://www.boe.es/gazeta/dias/1822/07/26/pdfs/GMD-1822-219.pdf#page=3","Abrir facsímil")</f>
        <v>Abrir facsímil</v>
      </c>
      <c r="K3917" s="3" t="s">
        <v>22</v>
      </c>
    </row>
    <row r="3918" spans="1:11" ht="42" customHeight="1">
      <c r="A3918" s="2" t="s">
        <v>7828</v>
      </c>
      <c r="B3918" s="2" t="s">
        <v>7829</v>
      </c>
      <c r="C3918" s="2" t="s">
        <v>28</v>
      </c>
      <c r="D3918" s="2" t="s">
        <v>29</v>
      </c>
      <c r="E3918" s="5">
        <v>-28318</v>
      </c>
      <c r="F3918" s="3" t="s">
        <v>397</v>
      </c>
      <c r="G3918" s="3" t="s">
        <v>44</v>
      </c>
      <c r="H3918" s="2" t="s">
        <v>45</v>
      </c>
      <c r="I3918" s="2" t="s">
        <v>7830</v>
      </c>
      <c r="J3918" s="3" t="str">
        <f>HYPERLINK("https://www.boe.es/gazeta/dias/1822/06/19/pdfs/GMD-1822-176.pdf#page=1","Abrir facsímil")</f>
        <v>Abrir facsímil</v>
      </c>
      <c r="K3918" s="3" t="s">
        <v>47</v>
      </c>
    </row>
    <row r="3919" spans="1:11" ht="42" customHeight="1">
      <c r="A3919" s="2" t="s">
        <v>7831</v>
      </c>
      <c r="B3919" s="2" t="s">
        <v>7832</v>
      </c>
      <c r="C3919" s="2" t="s">
        <v>50</v>
      </c>
      <c r="D3919" s="2" t="s">
        <v>51</v>
      </c>
      <c r="E3919" s="5">
        <v>-28288</v>
      </c>
      <c r="F3919" s="3" t="s">
        <v>970</v>
      </c>
      <c r="G3919" s="3" t="s">
        <v>31</v>
      </c>
      <c r="H3919" s="2" t="s">
        <v>20</v>
      </c>
      <c r="I3919" s="2" t="s">
        <v>7833</v>
      </c>
      <c r="J3919" s="3" t="str">
        <f>HYPERLINK("https://www.boe.es/gazeta/dias/1822/07/19/pdfs/GMD-1822-211.pdf#page=3","Abrir facsímil")</f>
        <v>Abrir facsímil</v>
      </c>
      <c r="K3919" s="3" t="s">
        <v>22</v>
      </c>
    </row>
    <row r="3920" spans="1:11" ht="42" customHeight="1">
      <c r="A3920" s="2" t="s">
        <v>7834</v>
      </c>
      <c r="B3920" s="2" t="s">
        <v>7835</v>
      </c>
      <c r="C3920" s="2" t="s">
        <v>50</v>
      </c>
      <c r="D3920" s="2" t="s">
        <v>51</v>
      </c>
      <c r="E3920" s="5">
        <v>-28290</v>
      </c>
      <c r="F3920" s="3" t="s">
        <v>706</v>
      </c>
      <c r="G3920" s="3" t="s">
        <v>31</v>
      </c>
      <c r="H3920" s="2" t="s">
        <v>20</v>
      </c>
      <c r="I3920" s="2" t="s">
        <v>7836</v>
      </c>
      <c r="J3920" s="3" t="str">
        <f>HYPERLINK("https://www.boe.es/gazeta/dias/1822/07/17/pdfs/GMD-1822-207.pdf#page=3","Abrir facsímil")</f>
        <v>Abrir facsímil</v>
      </c>
      <c r="K3920" s="3" t="s">
        <v>22</v>
      </c>
    </row>
    <row r="3921" spans="1:11" ht="42" customHeight="1">
      <c r="A3921" s="2" t="s">
        <v>7837</v>
      </c>
      <c r="B3921" s="2" t="s">
        <v>7837</v>
      </c>
      <c r="C3921" s="2" t="s">
        <v>50</v>
      </c>
      <c r="D3921" s="2" t="s">
        <v>51</v>
      </c>
      <c r="E3921" s="5">
        <v>-28409</v>
      </c>
      <c r="F3921" s="3" t="s">
        <v>394</v>
      </c>
      <c r="G3921" s="3" t="s">
        <v>31</v>
      </c>
      <c r="H3921" s="2" t="s">
        <v>20</v>
      </c>
      <c r="I3921" s="2" t="s">
        <v>7838</v>
      </c>
      <c r="J3921" s="3" t="str">
        <f>HYPERLINK("https://www.boe.es/gazeta/dias/1822/03/20/pdfs/GMD-1822-81.pdf#page=3","Abrir facsímil")</f>
        <v>Abrir facsímil</v>
      </c>
      <c r="K3921" s="3" t="s">
        <v>22</v>
      </c>
    </row>
    <row r="3922" spans="1:11" ht="42" customHeight="1">
      <c r="A3922" s="2" t="s">
        <v>7839</v>
      </c>
      <c r="B3922" s="2" t="s">
        <v>7839</v>
      </c>
      <c r="C3922" s="2" t="s">
        <v>50</v>
      </c>
      <c r="D3922" s="2" t="s">
        <v>51</v>
      </c>
      <c r="E3922" s="5">
        <v>-28474</v>
      </c>
      <c r="F3922" s="3" t="s">
        <v>30</v>
      </c>
      <c r="G3922" s="3" t="s">
        <v>31</v>
      </c>
      <c r="H3922" s="2" t="s">
        <v>20</v>
      </c>
      <c r="I3922" s="2" t="s">
        <v>7840</v>
      </c>
      <c r="J3922" s="3" t="str">
        <f>HYPERLINK("https://www.boe.es/gazeta/dias/1822/01/14/pdfs/GMD-1822-14.pdf#page=3","Abrir facsímil")</f>
        <v>Abrir facsímil</v>
      </c>
      <c r="K3922" s="3" t="s">
        <v>22</v>
      </c>
    </row>
    <row r="3923" spans="1:11" ht="42" customHeight="1">
      <c r="A3923" s="2" t="s">
        <v>7841</v>
      </c>
      <c r="B3923" s="2" t="s">
        <v>7842</v>
      </c>
      <c r="C3923" s="2" t="s">
        <v>71</v>
      </c>
      <c r="D3923" s="2" t="s">
        <v>17</v>
      </c>
      <c r="E3923" s="5">
        <v>-28455</v>
      </c>
      <c r="F3923" s="3" t="s">
        <v>1107</v>
      </c>
      <c r="G3923" s="3" t="s">
        <v>19</v>
      </c>
      <c r="H3923" s="2" t="s">
        <v>20</v>
      </c>
      <c r="I3923" s="2" t="s">
        <v>7843</v>
      </c>
      <c r="J3923" s="3" t="str">
        <f>HYPERLINK("https://www.boe.es/gazeta/dias/1822/02/02/pdfs/GMD-1822-33.pdf#page=5","Abrir facsímil")</f>
        <v>Abrir facsímil</v>
      </c>
      <c r="K3923" s="3" t="s">
        <v>22</v>
      </c>
    </row>
    <row r="3924" spans="1:11" ht="42" customHeight="1">
      <c r="A3924" s="2" t="s">
        <v>7841</v>
      </c>
      <c r="B3924" s="2" t="s">
        <v>7842</v>
      </c>
      <c r="C3924" s="2" t="s">
        <v>50</v>
      </c>
      <c r="D3924" s="2" t="s">
        <v>51</v>
      </c>
      <c r="E3924" s="5">
        <v>-28416</v>
      </c>
      <c r="F3924" s="3" t="s">
        <v>97</v>
      </c>
      <c r="G3924" s="3" t="s">
        <v>63</v>
      </c>
      <c r="H3924" s="2" t="s">
        <v>20</v>
      </c>
      <c r="I3924" s="2" t="s">
        <v>7844</v>
      </c>
      <c r="J3924" s="3" t="str">
        <f>HYPERLINK("https://www.boe.es/gazeta/dias/1822/03/13/pdfs/GMD-1822-74.pdf#page=6","Abrir facsímil")</f>
        <v>Abrir facsímil</v>
      </c>
      <c r="K3924" s="3" t="s">
        <v>22</v>
      </c>
    </row>
    <row r="3925" spans="1:11" ht="42" customHeight="1">
      <c r="A3925" s="2" t="s">
        <v>7845</v>
      </c>
      <c r="B3925" s="2" t="s">
        <v>7845</v>
      </c>
      <c r="C3925" s="2" t="s">
        <v>28</v>
      </c>
      <c r="D3925" s="2" t="s">
        <v>29</v>
      </c>
      <c r="E3925" s="5">
        <v>-28254</v>
      </c>
      <c r="F3925" s="3" t="s">
        <v>3557</v>
      </c>
      <c r="G3925" s="3" t="s">
        <v>31</v>
      </c>
      <c r="H3925" s="2" t="s">
        <v>20</v>
      </c>
      <c r="I3925" s="2" t="s">
        <v>7846</v>
      </c>
      <c r="J3925" s="3" t="str">
        <f>HYPERLINK("https://www.boe.es/gazeta/dias/1822/08/22/pdfs/GMD-1822-246.pdf#page=3","Abrir facsímil")</f>
        <v>Abrir facsímil</v>
      </c>
      <c r="K3925" s="3" t="s">
        <v>22</v>
      </c>
    </row>
    <row r="3926" spans="1:11" ht="42" customHeight="1">
      <c r="A3926" s="2" t="s">
        <v>7847</v>
      </c>
      <c r="B3926" s="2" t="s">
        <v>7848</v>
      </c>
      <c r="C3926" s="2" t="s">
        <v>50</v>
      </c>
      <c r="D3926" s="2" t="s">
        <v>51</v>
      </c>
      <c r="E3926" s="5">
        <v>-28296</v>
      </c>
      <c r="F3926" s="3" t="s">
        <v>4121</v>
      </c>
      <c r="G3926" s="3" t="s">
        <v>57</v>
      </c>
      <c r="H3926" s="2" t="s">
        <v>20</v>
      </c>
      <c r="I3926" s="2" t="s">
        <v>7849</v>
      </c>
      <c r="J3926" s="3" t="str">
        <f>HYPERLINK("https://www.boe.es/gazeta/dias/1822/07/11/pdfs/GMD-1822-201.pdf#page=4","Abrir facsímil")</f>
        <v>Abrir facsímil</v>
      </c>
      <c r="K3926" s="3" t="s">
        <v>22</v>
      </c>
    </row>
    <row r="3927" spans="1:11" ht="42" customHeight="1">
      <c r="A3927" s="2" t="s">
        <v>7850</v>
      </c>
      <c r="B3927" s="2" t="s">
        <v>7851</v>
      </c>
      <c r="C3927" s="2" t="s">
        <v>71</v>
      </c>
      <c r="D3927" s="2" t="s">
        <v>17</v>
      </c>
      <c r="E3927" s="5">
        <v>-28244</v>
      </c>
      <c r="F3927" s="3" t="s">
        <v>6163</v>
      </c>
      <c r="G3927" s="3" t="s">
        <v>44</v>
      </c>
      <c r="H3927" s="2" t="s">
        <v>20</v>
      </c>
      <c r="I3927" s="2" t="s">
        <v>7852</v>
      </c>
      <c r="J3927" s="3" t="str">
        <f>HYPERLINK("https://www.boe.es/gazeta/dias/1822/09/01/pdfs/GMD-1822-256.pdf#page=1","Abrir facsímil")</f>
        <v>Abrir facsímil</v>
      </c>
      <c r="K3927" s="3" t="s">
        <v>22</v>
      </c>
    </row>
    <row r="3928" spans="1:11" ht="42" customHeight="1">
      <c r="A3928" s="2" t="s">
        <v>7853</v>
      </c>
      <c r="B3928" s="2" t="s">
        <v>7854</v>
      </c>
      <c r="C3928" s="2" t="s">
        <v>16</v>
      </c>
      <c r="D3928" s="2" t="s">
        <v>17</v>
      </c>
      <c r="E3928" s="5">
        <v>-28191</v>
      </c>
      <c r="F3928" s="3" t="s">
        <v>710</v>
      </c>
      <c r="G3928" s="3" t="s">
        <v>5038</v>
      </c>
      <c r="H3928" s="2" t="s">
        <v>20</v>
      </c>
      <c r="I3928" s="2" t="s">
        <v>7855</v>
      </c>
      <c r="J3928" s="3" t="str">
        <f>HYPERLINK("https://www.boe.es/gazeta/dias/1822/10/24/pdfs/GMD-1822-311.pdf#page=8","Abrir facsímil")</f>
        <v>Abrir facsímil</v>
      </c>
      <c r="K3928" s="3" t="s">
        <v>22</v>
      </c>
    </row>
    <row r="3929" spans="1:11" ht="42" customHeight="1">
      <c r="A3929" s="2" t="s">
        <v>7856</v>
      </c>
      <c r="B3929" s="2" t="s">
        <v>7857</v>
      </c>
      <c r="C3929" s="2" t="s">
        <v>16</v>
      </c>
      <c r="D3929" s="2" t="s">
        <v>17</v>
      </c>
      <c r="E3929" s="5">
        <v>-28165</v>
      </c>
      <c r="F3929" s="3" t="s">
        <v>846</v>
      </c>
      <c r="G3929" s="3" t="s">
        <v>57</v>
      </c>
      <c r="H3929" s="2" t="s">
        <v>20</v>
      </c>
      <c r="I3929" s="2" t="s">
        <v>7858</v>
      </c>
      <c r="J3929" s="3" t="str">
        <f>HYPERLINK("https://www.boe.es/gazeta/dias/1822/11/19/pdfs/GMD-1822-339.pdf#page=4","Abrir facsímil")</f>
        <v>Abrir facsímil</v>
      </c>
      <c r="K3929" s="3" t="s">
        <v>22</v>
      </c>
    </row>
    <row r="3930" spans="1:11" ht="42" customHeight="1">
      <c r="A3930" s="2" t="s">
        <v>7859</v>
      </c>
      <c r="B3930" s="2" t="s">
        <v>7860</v>
      </c>
      <c r="C3930" s="2" t="s">
        <v>50</v>
      </c>
      <c r="D3930" s="2" t="s">
        <v>51</v>
      </c>
      <c r="E3930" s="5">
        <v>-28303</v>
      </c>
      <c r="F3930" s="3" t="s">
        <v>201</v>
      </c>
      <c r="G3930" s="3" t="s">
        <v>31</v>
      </c>
      <c r="H3930" s="2" t="s">
        <v>20</v>
      </c>
      <c r="I3930" s="2" t="s">
        <v>7861</v>
      </c>
      <c r="J3930" s="3" t="str">
        <f>HYPERLINK("https://www.boe.es/gazeta/dias/1822/07/04/pdfs/GMD-1822-193.pdf#page=3","Abrir facsímil")</f>
        <v>Abrir facsímil</v>
      </c>
      <c r="K3930" s="3" t="s">
        <v>22</v>
      </c>
    </row>
    <row r="3931" spans="1:11" ht="42" customHeight="1">
      <c r="A3931" s="2" t="s">
        <v>7862</v>
      </c>
      <c r="B3931" s="2" t="s">
        <v>7862</v>
      </c>
      <c r="C3931" s="2" t="s">
        <v>50</v>
      </c>
      <c r="D3931" s="2" t="s">
        <v>51</v>
      </c>
      <c r="E3931" s="5">
        <v>-28245</v>
      </c>
      <c r="F3931" s="3" t="s">
        <v>2307</v>
      </c>
      <c r="G3931" s="3" t="s">
        <v>35</v>
      </c>
      <c r="H3931" s="2" t="s">
        <v>20</v>
      </c>
      <c r="I3931" s="2" t="s">
        <v>7863</v>
      </c>
      <c r="J3931" s="3" t="str">
        <f>HYPERLINK("https://www.boe.es/gazeta/dias/1822/08/31/pdfs/GMD-1822-255.pdf#page=2","Abrir facsímil")</f>
        <v>Abrir facsímil</v>
      </c>
      <c r="K3931" s="3" t="s">
        <v>22</v>
      </c>
    </row>
    <row r="3932" spans="1:11" ht="42" customHeight="1">
      <c r="A3932" s="2" t="s">
        <v>7864</v>
      </c>
      <c r="B3932" s="2" t="s">
        <v>7865</v>
      </c>
      <c r="C3932" s="2" t="s">
        <v>50</v>
      </c>
      <c r="D3932" s="2" t="s">
        <v>51</v>
      </c>
      <c r="E3932" s="5">
        <v>-28349</v>
      </c>
      <c r="F3932" s="3" t="s">
        <v>518</v>
      </c>
      <c r="G3932" s="3" t="s">
        <v>57</v>
      </c>
      <c r="H3932" s="2" t="s">
        <v>20</v>
      </c>
      <c r="I3932" s="2" t="s">
        <v>7866</v>
      </c>
      <c r="J3932" s="3" t="str">
        <f>HYPERLINK("https://www.boe.es/gazeta/dias/1822/05/19/pdfs/GMD-1822-141.pdf#page=4","Abrir facsímil")</f>
        <v>Abrir facsímil</v>
      </c>
      <c r="K3932" s="3" t="s">
        <v>22</v>
      </c>
    </row>
    <row r="3933" spans="1:11" ht="42" customHeight="1">
      <c r="A3933" s="2" t="s">
        <v>7867</v>
      </c>
      <c r="B3933" s="2" t="s">
        <v>7868</v>
      </c>
      <c r="C3933" s="2" t="s">
        <v>50</v>
      </c>
      <c r="D3933" s="2" t="s">
        <v>51</v>
      </c>
      <c r="E3933" s="5">
        <v>-28213</v>
      </c>
      <c r="F3933" s="3" t="s">
        <v>558</v>
      </c>
      <c r="G3933" s="3" t="s">
        <v>35</v>
      </c>
      <c r="H3933" s="2" t="s">
        <v>20</v>
      </c>
      <c r="I3933" s="2" t="s">
        <v>7869</v>
      </c>
      <c r="J3933" s="3" t="str">
        <f>HYPERLINK("https://www.boe.es/gazeta/dias/1822/10/02/pdfs/GMD-1822-288.pdf#page=2","Abrir facsímil")</f>
        <v>Abrir facsímil</v>
      </c>
      <c r="K3933" s="3" t="s">
        <v>22</v>
      </c>
    </row>
    <row r="3934" spans="1:11" ht="42" customHeight="1">
      <c r="A3934" s="2" t="s">
        <v>7870</v>
      </c>
      <c r="B3934" s="2" t="s">
        <v>7871</v>
      </c>
      <c r="C3934" s="2" t="s">
        <v>71</v>
      </c>
      <c r="D3934" s="2" t="s">
        <v>17</v>
      </c>
      <c r="E3934" s="5">
        <v>-28415</v>
      </c>
      <c r="F3934" s="3" t="s">
        <v>77</v>
      </c>
      <c r="G3934" s="3" t="s">
        <v>35</v>
      </c>
      <c r="H3934" s="2" t="s">
        <v>20</v>
      </c>
      <c r="I3934" s="2" t="s">
        <v>7872</v>
      </c>
      <c r="J3934" s="3" t="str">
        <f>HYPERLINK("https://www.boe.es/gazeta/dias/1822/03/14/pdfs/GMD-1822-75.pdf#page=2","Abrir facsímil")</f>
        <v>Abrir facsímil</v>
      </c>
      <c r="K3934" s="3" t="s">
        <v>22</v>
      </c>
    </row>
    <row r="3935" spans="1:11" ht="42" customHeight="1">
      <c r="A3935" s="2" t="s">
        <v>7873</v>
      </c>
      <c r="B3935" s="2" t="s">
        <v>7874</v>
      </c>
      <c r="C3935" s="2" t="s">
        <v>16</v>
      </c>
      <c r="D3935" s="2" t="s">
        <v>17</v>
      </c>
      <c r="E3935" s="5">
        <v>-28191</v>
      </c>
      <c r="F3935" s="3" t="s">
        <v>710</v>
      </c>
      <c r="G3935" s="3" t="s">
        <v>5038</v>
      </c>
      <c r="H3935" s="2" t="s">
        <v>20</v>
      </c>
      <c r="I3935" s="2" t="s">
        <v>7875</v>
      </c>
      <c r="J3935" s="3" t="str">
        <f>HYPERLINK("https://www.boe.es/gazeta/dias/1822/10/24/pdfs/GMD-1822-311.pdf#page=8","Abrir facsímil")</f>
        <v>Abrir facsímil</v>
      </c>
      <c r="K3935" s="3" t="s">
        <v>22</v>
      </c>
    </row>
    <row r="3936" spans="1:11" ht="42" customHeight="1">
      <c r="A3936" s="2" t="s">
        <v>7876</v>
      </c>
      <c r="B3936" s="2" t="s">
        <v>7877</v>
      </c>
      <c r="C3936" s="2" t="s">
        <v>50</v>
      </c>
      <c r="D3936" s="2" t="s">
        <v>51</v>
      </c>
      <c r="E3936" s="5">
        <v>-28245</v>
      </c>
      <c r="F3936" s="3" t="s">
        <v>2307</v>
      </c>
      <c r="G3936" s="3" t="s">
        <v>35</v>
      </c>
      <c r="H3936" s="2" t="s">
        <v>20</v>
      </c>
      <c r="I3936" s="2" t="s">
        <v>7878</v>
      </c>
      <c r="J3936" s="3" t="str">
        <f>HYPERLINK("https://www.boe.es/gazeta/dias/1822/08/31/pdfs/GMD-1822-255.pdf#page=2","Abrir facsímil")</f>
        <v>Abrir facsímil</v>
      </c>
      <c r="K3936" s="3" t="s">
        <v>22</v>
      </c>
    </row>
    <row r="3937" spans="1:11" ht="42" customHeight="1">
      <c r="A3937" s="2" t="s">
        <v>7879</v>
      </c>
      <c r="B3937" s="2" t="s">
        <v>7880</v>
      </c>
      <c r="C3937" s="2" t="s">
        <v>42</v>
      </c>
      <c r="D3937" s="2" t="s">
        <v>17</v>
      </c>
      <c r="E3937" s="5">
        <v>-28395</v>
      </c>
      <c r="F3937" s="3" t="s">
        <v>237</v>
      </c>
      <c r="G3937" s="3" t="s">
        <v>57</v>
      </c>
      <c r="H3937" s="2" t="s">
        <v>20</v>
      </c>
      <c r="I3937" s="2" t="s">
        <v>7881</v>
      </c>
      <c r="J3937" s="3" t="str">
        <f>HYPERLINK("https://www.boe.es/gazeta/dias/1822/04/03/pdfs/GMD-1822-95.pdf#page=4","Abrir facsímil")</f>
        <v>Abrir facsímil</v>
      </c>
      <c r="K3937" s="3" t="s">
        <v>22</v>
      </c>
    </row>
    <row r="3938" spans="1:11" ht="42" customHeight="1">
      <c r="A3938" s="2" t="s">
        <v>7882</v>
      </c>
      <c r="B3938" s="2" t="s">
        <v>7883</v>
      </c>
      <c r="C3938" s="2" t="s">
        <v>28</v>
      </c>
      <c r="D3938" s="2" t="s">
        <v>29</v>
      </c>
      <c r="E3938" s="5">
        <v>-28384</v>
      </c>
      <c r="F3938" s="3" t="s">
        <v>258</v>
      </c>
      <c r="G3938" s="3" t="s">
        <v>63</v>
      </c>
      <c r="H3938" s="2" t="s">
        <v>20</v>
      </c>
      <c r="I3938" s="2" t="s">
        <v>7884</v>
      </c>
      <c r="J3938" s="3" t="str">
        <f>HYPERLINK("https://www.boe.es/gazeta/dias/1822/04/14/pdfs/GMD-1822-106.pdf#page=6","Abrir facsímil")</f>
        <v>Abrir facsímil</v>
      </c>
      <c r="K3938" s="3" t="s">
        <v>22</v>
      </c>
    </row>
    <row r="3939" spans="1:11" ht="42" customHeight="1">
      <c r="A3939" s="2" t="s">
        <v>7885</v>
      </c>
      <c r="B3939" s="2" t="s">
        <v>7886</v>
      </c>
      <c r="C3939" s="2" t="s">
        <v>42</v>
      </c>
      <c r="D3939" s="2" t="s">
        <v>17</v>
      </c>
      <c r="E3939" s="5">
        <v>-28292</v>
      </c>
      <c r="F3939" s="3" t="s">
        <v>222</v>
      </c>
      <c r="G3939" s="3" t="s">
        <v>31</v>
      </c>
      <c r="H3939" s="2" t="s">
        <v>20</v>
      </c>
      <c r="I3939" s="2" t="s">
        <v>7887</v>
      </c>
      <c r="J3939" s="3" t="str">
        <f>HYPERLINK("https://www.boe.es/gazeta/dias/1822/07/15/pdfs/GMD-1822-205.pdf#page=3","Abrir facsímil")</f>
        <v>Abrir facsímil</v>
      </c>
      <c r="K3939" s="3" t="s">
        <v>22</v>
      </c>
    </row>
    <row r="3940" spans="1:11" ht="42" customHeight="1">
      <c r="A3940" s="2" t="s">
        <v>7888</v>
      </c>
      <c r="B3940" s="2" t="s">
        <v>7889</v>
      </c>
      <c r="C3940" s="2" t="s">
        <v>362</v>
      </c>
      <c r="D3940" s="2" t="s">
        <v>17</v>
      </c>
      <c r="E3940" s="5">
        <v>-28181</v>
      </c>
      <c r="F3940" s="3" t="s">
        <v>739</v>
      </c>
      <c r="G3940" s="3" t="s">
        <v>63</v>
      </c>
      <c r="H3940" s="2" t="s">
        <v>20</v>
      </c>
      <c r="I3940" s="2" t="s">
        <v>7890</v>
      </c>
      <c r="J3940" s="3" t="str">
        <f>HYPERLINK("https://www.boe.es/gazeta/dias/1822/11/03/pdfs/GMD-1822-321.pdf#page=6","Abrir facsímil")</f>
        <v>Abrir facsímil</v>
      </c>
      <c r="K3940" s="3" t="s">
        <v>22</v>
      </c>
    </row>
    <row r="3941" spans="1:11" ht="42" customHeight="1">
      <c r="A3941" s="2" t="s">
        <v>7891</v>
      </c>
      <c r="B3941" s="2" t="s">
        <v>7892</v>
      </c>
      <c r="C3941" s="2" t="s">
        <v>50</v>
      </c>
      <c r="D3941" s="2" t="s">
        <v>51</v>
      </c>
      <c r="E3941" s="5">
        <v>-28381</v>
      </c>
      <c r="F3941" s="3" t="s">
        <v>358</v>
      </c>
      <c r="G3941" s="3" t="s">
        <v>63</v>
      </c>
      <c r="H3941" s="2" t="s">
        <v>20</v>
      </c>
      <c r="I3941" s="2" t="s">
        <v>7893</v>
      </c>
      <c r="J3941" s="3" t="str">
        <f>HYPERLINK("https://www.boe.es/gazeta/dias/1822/04/17/pdfs/GMD-1822-109.pdf#page=6","Abrir facsímil")</f>
        <v>Abrir facsímil</v>
      </c>
      <c r="K3941" s="3" t="s">
        <v>22</v>
      </c>
    </row>
    <row r="3942" spans="1:11" ht="42" customHeight="1">
      <c r="A3942" s="2" t="s">
        <v>7894</v>
      </c>
      <c r="B3942" s="2" t="s">
        <v>7895</v>
      </c>
      <c r="C3942" s="2" t="s">
        <v>28</v>
      </c>
      <c r="D3942" s="2" t="s">
        <v>29</v>
      </c>
      <c r="E3942" s="5">
        <v>-28416</v>
      </c>
      <c r="F3942" s="3" t="s">
        <v>97</v>
      </c>
      <c r="G3942" s="3" t="s">
        <v>63</v>
      </c>
      <c r="H3942" s="2" t="s">
        <v>20</v>
      </c>
      <c r="I3942" s="2" t="s">
        <v>7896</v>
      </c>
      <c r="J3942" s="3" t="str">
        <f>HYPERLINK("https://www.boe.es/gazeta/dias/1822/03/13/pdfs/GMD-1822-74.pdf#page=6","Abrir facsímil")</f>
        <v>Abrir facsímil</v>
      </c>
      <c r="K3942" s="3" t="s">
        <v>22</v>
      </c>
    </row>
    <row r="3943" spans="1:11" ht="42" customHeight="1">
      <c r="A3943" s="2" t="s">
        <v>7897</v>
      </c>
      <c r="B3943" s="2" t="s">
        <v>7898</v>
      </c>
      <c r="C3943" s="2" t="s">
        <v>50</v>
      </c>
      <c r="D3943" s="2" t="s">
        <v>51</v>
      </c>
      <c r="E3943" s="5">
        <v>-28391</v>
      </c>
      <c r="F3943" s="3" t="s">
        <v>378</v>
      </c>
      <c r="G3943" s="3" t="s">
        <v>63</v>
      </c>
      <c r="H3943" s="2" t="s">
        <v>45</v>
      </c>
      <c r="I3943" s="2" t="s">
        <v>7899</v>
      </c>
      <c r="J3943" s="3" t="str">
        <f>HYPERLINK("https://www.boe.es/gazeta/dias/1822/04/07/pdfs/GMD-1822-99.pdf#page=6","Abrir facsímil")</f>
        <v>Abrir facsímil</v>
      </c>
      <c r="K3943" s="3" t="s">
        <v>47</v>
      </c>
    </row>
    <row r="3944" spans="1:11" ht="42" customHeight="1">
      <c r="A3944" s="2" t="s">
        <v>7900</v>
      </c>
      <c r="B3944" s="2" t="s">
        <v>7901</v>
      </c>
      <c r="C3944" s="2" t="s">
        <v>16</v>
      </c>
      <c r="D3944" s="2" t="s">
        <v>17</v>
      </c>
      <c r="E3944" s="5">
        <v>-28282</v>
      </c>
      <c r="F3944" s="3" t="s">
        <v>6600</v>
      </c>
      <c r="G3944" s="3" t="s">
        <v>6601</v>
      </c>
      <c r="H3944" s="2" t="s">
        <v>20</v>
      </c>
      <c r="I3944" s="2" t="s">
        <v>7902</v>
      </c>
      <c r="J3944" s="3" t="str">
        <f>HYPERLINK("https://www.boe.es/gazeta/dias/1822/07/25/pdfs/GMD-1822-218.pdf#page=4","Abrir facsímil")</f>
        <v>Abrir facsímil</v>
      </c>
      <c r="K3944" s="3" t="s">
        <v>22</v>
      </c>
    </row>
    <row r="3945" spans="1:11" ht="42" customHeight="1">
      <c r="A3945" s="2" t="s">
        <v>7903</v>
      </c>
      <c r="B3945" s="2" t="s">
        <v>7904</v>
      </c>
      <c r="C3945" s="2" t="s">
        <v>16</v>
      </c>
      <c r="D3945" s="2" t="s">
        <v>17</v>
      </c>
      <c r="E3945" s="5">
        <v>-28342</v>
      </c>
      <c r="F3945" s="3" t="s">
        <v>2281</v>
      </c>
      <c r="G3945" s="3" t="s">
        <v>63</v>
      </c>
      <c r="H3945" s="2" t="s">
        <v>20</v>
      </c>
      <c r="I3945" s="2" t="s">
        <v>7905</v>
      </c>
      <c r="J3945" s="3" t="str">
        <f>HYPERLINK("https://www.boe.es/gazeta/dias/1822/05/26/pdfs/GMD-1822-151.pdf#page=6","Abrir facsímil")</f>
        <v>Abrir facsímil</v>
      </c>
      <c r="K3945" s="3" t="s">
        <v>22</v>
      </c>
    </row>
    <row r="3946" spans="1:11" ht="42" customHeight="1">
      <c r="A3946" s="2" t="s">
        <v>7906</v>
      </c>
      <c r="B3946" s="2" t="s">
        <v>7907</v>
      </c>
      <c r="C3946" s="2" t="s">
        <v>42</v>
      </c>
      <c r="D3946" s="2" t="s">
        <v>17</v>
      </c>
      <c r="E3946" s="5">
        <v>-28129</v>
      </c>
      <c r="F3946" s="3" t="s">
        <v>599</v>
      </c>
      <c r="G3946" s="3" t="s">
        <v>57</v>
      </c>
      <c r="H3946" s="2" t="s">
        <v>20</v>
      </c>
      <c r="I3946" s="2" t="s">
        <v>7908</v>
      </c>
      <c r="J3946" s="3" t="str">
        <f>HYPERLINK("https://www.boe.es/gazeta/dias/1822/12/25/pdfs/GMD-1822-375.pdf#page=4","Abrir facsímil")</f>
        <v>Abrir facsímil</v>
      </c>
      <c r="K3946" s="3" t="s">
        <v>22</v>
      </c>
    </row>
    <row r="3947" spans="1:11" ht="42" customHeight="1">
      <c r="A3947" s="2" t="s">
        <v>7909</v>
      </c>
      <c r="B3947" s="2" t="s">
        <v>7910</v>
      </c>
      <c r="C3947" s="2" t="s">
        <v>28</v>
      </c>
      <c r="D3947" s="2" t="s">
        <v>29</v>
      </c>
      <c r="E3947" s="5">
        <v>-28395</v>
      </c>
      <c r="F3947" s="3" t="s">
        <v>237</v>
      </c>
      <c r="G3947" s="3" t="s">
        <v>35</v>
      </c>
      <c r="H3947" s="2" t="s">
        <v>45</v>
      </c>
      <c r="I3947" s="2" t="s">
        <v>7911</v>
      </c>
      <c r="J3947" s="3" t="str">
        <f>HYPERLINK("https://www.boe.es/gazeta/dias/1822/04/03/pdfs/GMD-1822-95.pdf#page=2","Abrir facsímil")</f>
        <v>Abrir facsímil</v>
      </c>
      <c r="K3947" s="3" t="s">
        <v>47</v>
      </c>
    </row>
    <row r="3948" spans="1:11" ht="42" customHeight="1">
      <c r="A3948" s="2" t="s">
        <v>7912</v>
      </c>
      <c r="B3948" s="2" t="s">
        <v>7913</v>
      </c>
      <c r="C3948" s="2" t="s">
        <v>42</v>
      </c>
      <c r="D3948" s="2" t="s">
        <v>17</v>
      </c>
      <c r="E3948" s="5">
        <v>-28394</v>
      </c>
      <c r="F3948" s="3" t="s">
        <v>268</v>
      </c>
      <c r="G3948" s="3" t="s">
        <v>57</v>
      </c>
      <c r="H3948" s="2" t="s">
        <v>20</v>
      </c>
      <c r="I3948" s="2" t="s">
        <v>7914</v>
      </c>
      <c r="J3948" s="3" t="str">
        <f>HYPERLINK("https://www.boe.es/gazeta/dias/1822/04/04/pdfs/GMD-1822-96.pdf#page=4","Abrir facsímil")</f>
        <v>Abrir facsímil</v>
      </c>
      <c r="K3948" s="3" t="s">
        <v>22</v>
      </c>
    </row>
    <row r="3949" spans="1:11" ht="42" customHeight="1">
      <c r="A3949" s="2" t="s">
        <v>7915</v>
      </c>
      <c r="B3949" s="2" t="s">
        <v>7916</v>
      </c>
      <c r="C3949" s="2" t="s">
        <v>50</v>
      </c>
      <c r="D3949" s="2" t="s">
        <v>51</v>
      </c>
      <c r="E3949" s="5">
        <v>-28223</v>
      </c>
      <c r="F3949" s="3" t="s">
        <v>2374</v>
      </c>
      <c r="G3949" s="3" t="s">
        <v>57</v>
      </c>
      <c r="H3949" s="2" t="s">
        <v>20</v>
      </c>
      <c r="I3949" s="2" t="s">
        <v>7917</v>
      </c>
      <c r="J3949" s="3" t="str">
        <f>HYPERLINK("https://www.boe.es/gazeta/dias/1822/09/22/pdfs/GMD-1822-278.pdf#page=4","Abrir facsímil")</f>
        <v>Abrir facsímil</v>
      </c>
      <c r="K3949" s="3" t="s">
        <v>22</v>
      </c>
    </row>
    <row r="3950" spans="1:11" ht="42" customHeight="1">
      <c r="A3950" s="2" t="s">
        <v>7918</v>
      </c>
      <c r="B3950" s="2" t="s">
        <v>7919</v>
      </c>
      <c r="C3950" s="2" t="s">
        <v>50</v>
      </c>
      <c r="D3950" s="2" t="s">
        <v>51</v>
      </c>
      <c r="E3950" s="5">
        <v>-28358</v>
      </c>
      <c r="F3950" s="3" t="s">
        <v>211</v>
      </c>
      <c r="G3950" s="3" t="s">
        <v>35</v>
      </c>
      <c r="H3950" s="2" t="s">
        <v>20</v>
      </c>
      <c r="I3950" s="2" t="s">
        <v>7920</v>
      </c>
      <c r="J3950" s="3" t="str">
        <f>HYPERLINK("https://www.boe.es/gazeta/dias/1822/05/10/pdfs/GMD-1822-132.pdf#page=2","Abrir facsímil")</f>
        <v>Abrir facsímil</v>
      </c>
      <c r="K3950" s="3" t="s">
        <v>22</v>
      </c>
    </row>
    <row r="3951" spans="1:11" ht="42" customHeight="1">
      <c r="A3951" s="2" t="s">
        <v>7921</v>
      </c>
      <c r="B3951" s="2" t="s">
        <v>7922</v>
      </c>
      <c r="C3951" s="2" t="s">
        <v>42</v>
      </c>
      <c r="D3951" s="2" t="s">
        <v>17</v>
      </c>
      <c r="E3951" s="5">
        <v>-28285</v>
      </c>
      <c r="F3951" s="3" t="s">
        <v>4539</v>
      </c>
      <c r="G3951" s="3" t="s">
        <v>35</v>
      </c>
      <c r="H3951" s="2" t="s">
        <v>20</v>
      </c>
      <c r="I3951" s="2" t="s">
        <v>7923</v>
      </c>
      <c r="J3951" s="3" t="str">
        <f>HYPERLINK("https://www.boe.es/gazeta/dias/1822/07/22/pdfs/GMD-1822-215.pdf#page=2","Abrir facsímil")</f>
        <v>Abrir facsímil</v>
      </c>
      <c r="K3951" s="3" t="s">
        <v>22</v>
      </c>
    </row>
    <row r="3952" spans="1:11" ht="42" customHeight="1">
      <c r="A3952" s="2" t="s">
        <v>7924</v>
      </c>
      <c r="B3952" s="2" t="s">
        <v>7925</v>
      </c>
      <c r="C3952" s="2" t="s">
        <v>50</v>
      </c>
      <c r="D3952" s="2" t="s">
        <v>51</v>
      </c>
      <c r="E3952" s="5">
        <v>-28287</v>
      </c>
      <c r="F3952" s="3" t="s">
        <v>1295</v>
      </c>
      <c r="G3952" s="3" t="s">
        <v>63</v>
      </c>
      <c r="H3952" s="2" t="s">
        <v>20</v>
      </c>
      <c r="I3952" s="2" t="s">
        <v>7926</v>
      </c>
      <c r="J3952" s="3" t="str">
        <f>HYPERLINK("https://www.boe.es/gazeta/dias/1822/07/20/pdfs/GMD-1822-212.pdf#page=6","Abrir facsímil")</f>
        <v>Abrir facsímil</v>
      </c>
      <c r="K3952" s="3" t="s">
        <v>22</v>
      </c>
    </row>
    <row r="3953" spans="1:11" ht="42" customHeight="1">
      <c r="A3953" s="2" t="s">
        <v>7927</v>
      </c>
      <c r="B3953" s="2" t="s">
        <v>7927</v>
      </c>
      <c r="C3953" s="2" t="s">
        <v>42</v>
      </c>
      <c r="D3953" s="2" t="s">
        <v>17</v>
      </c>
      <c r="E3953" s="5">
        <v>-28145</v>
      </c>
      <c r="F3953" s="3" t="s">
        <v>1350</v>
      </c>
      <c r="G3953" s="3" t="s">
        <v>35</v>
      </c>
      <c r="H3953" s="2" t="s">
        <v>20</v>
      </c>
      <c r="I3953" s="2" t="s">
        <v>7928</v>
      </c>
      <c r="J3953" s="3" t="str">
        <f>HYPERLINK("https://www.boe.es/gazeta/dias/1822/12/09/pdfs/GMD-1822-359.pdf#page=2","Abrir facsímil")</f>
        <v>Abrir facsímil</v>
      </c>
      <c r="K3953" s="3" t="s">
        <v>22</v>
      </c>
    </row>
    <row r="3954" spans="1:11" ht="42" customHeight="1">
      <c r="A3954" s="2" t="s">
        <v>7929</v>
      </c>
      <c r="B3954" s="2" t="s">
        <v>7929</v>
      </c>
      <c r="C3954" s="2" t="s">
        <v>50</v>
      </c>
      <c r="D3954" s="2" t="s">
        <v>51</v>
      </c>
      <c r="E3954" s="5">
        <v>-28290</v>
      </c>
      <c r="F3954" s="3" t="s">
        <v>706</v>
      </c>
      <c r="G3954" s="3" t="s">
        <v>57</v>
      </c>
      <c r="H3954" s="2" t="s">
        <v>20</v>
      </c>
      <c r="I3954" s="2" t="s">
        <v>7930</v>
      </c>
      <c r="J3954" s="3" t="str">
        <f>HYPERLINK("https://www.boe.es/gazeta/dias/1822/07/17/pdfs/GMD-1822-207.pdf#page=4","Abrir facsímil")</f>
        <v>Abrir facsímil</v>
      </c>
      <c r="K3954" s="3" t="s">
        <v>22</v>
      </c>
    </row>
    <row r="3955" spans="1:11" ht="42" customHeight="1">
      <c r="A3955" s="2" t="s">
        <v>7931</v>
      </c>
      <c r="B3955" s="2" t="s">
        <v>7932</v>
      </c>
      <c r="C3955" s="2" t="s">
        <v>42</v>
      </c>
      <c r="D3955" s="2" t="s">
        <v>17</v>
      </c>
      <c r="E3955" s="5">
        <v>-28160</v>
      </c>
      <c r="F3955" s="3" t="s">
        <v>148</v>
      </c>
      <c r="G3955" s="3" t="s">
        <v>19</v>
      </c>
      <c r="H3955" s="2" t="s">
        <v>20</v>
      </c>
      <c r="I3955" s="2" t="s">
        <v>7933</v>
      </c>
      <c r="J3955" s="3" t="str">
        <f>HYPERLINK("https://www.boe.es/gazeta/dias/1822/11/24/pdfs/GMD-1822-344.pdf#page=5","Abrir facsímil")</f>
        <v>Abrir facsímil</v>
      </c>
      <c r="K3955" s="3" t="s">
        <v>22</v>
      </c>
    </row>
    <row r="3956" spans="1:11" ht="42" customHeight="1">
      <c r="A3956" s="2" t="s">
        <v>7934</v>
      </c>
      <c r="B3956" s="2" t="s">
        <v>7935</v>
      </c>
      <c r="C3956" s="2" t="s">
        <v>50</v>
      </c>
      <c r="D3956" s="2" t="s">
        <v>51</v>
      </c>
      <c r="E3956" s="5">
        <v>-28240</v>
      </c>
      <c r="F3956" s="3" t="s">
        <v>678</v>
      </c>
      <c r="G3956" s="3" t="s">
        <v>57</v>
      </c>
      <c r="H3956" s="2" t="s">
        <v>20</v>
      </c>
      <c r="I3956" s="2" t="s">
        <v>7936</v>
      </c>
      <c r="J3956" s="3" t="str">
        <f>HYPERLINK("https://www.boe.es/gazeta/dias/1822/09/05/pdfs/GMD-1822-260.pdf#page=4","Abrir facsímil")</f>
        <v>Abrir facsímil</v>
      </c>
      <c r="K3956" s="3" t="s">
        <v>22</v>
      </c>
    </row>
    <row r="3957" spans="1:11" ht="42" customHeight="1">
      <c r="A3957" s="2" t="s">
        <v>7937</v>
      </c>
      <c r="B3957" s="2" t="s">
        <v>7938</v>
      </c>
      <c r="C3957" s="2" t="s">
        <v>61</v>
      </c>
      <c r="D3957" s="2" t="s">
        <v>17</v>
      </c>
      <c r="E3957" s="5">
        <v>-28384</v>
      </c>
      <c r="F3957" s="3" t="s">
        <v>258</v>
      </c>
      <c r="G3957" s="3" t="s">
        <v>63</v>
      </c>
      <c r="H3957" s="2" t="s">
        <v>20</v>
      </c>
      <c r="I3957" s="2" t="s">
        <v>7939</v>
      </c>
      <c r="J3957" s="3" t="str">
        <f>HYPERLINK("https://www.boe.es/gazeta/dias/1822/04/14/pdfs/GMD-1822-106.pdf#page=6","Abrir facsímil")</f>
        <v>Abrir facsímil</v>
      </c>
      <c r="K3957" s="3" t="s">
        <v>22</v>
      </c>
    </row>
    <row r="3958" spans="1:11" ht="42" customHeight="1">
      <c r="A3958" s="2" t="s">
        <v>7940</v>
      </c>
      <c r="B3958" s="2" t="s">
        <v>7941</v>
      </c>
      <c r="C3958" s="2" t="s">
        <v>50</v>
      </c>
      <c r="D3958" s="2" t="s">
        <v>51</v>
      </c>
      <c r="E3958" s="5">
        <v>-28337</v>
      </c>
      <c r="F3958" s="3" t="s">
        <v>1836</v>
      </c>
      <c r="G3958" s="3" t="s">
        <v>4337</v>
      </c>
      <c r="H3958" s="2" t="s">
        <v>20</v>
      </c>
      <c r="I3958" s="2" t="s">
        <v>7942</v>
      </c>
      <c r="J3958" s="3" t="str">
        <f>HYPERLINK("https://www.boe.es/gazeta/dias/1822/05/31/pdfs/GMD-1822-156.pdf#page=6","Abrir facsímil")</f>
        <v>Abrir facsímil</v>
      </c>
      <c r="K3958" s="3" t="s">
        <v>22</v>
      </c>
    </row>
    <row r="3959" spans="1:11" ht="42" customHeight="1">
      <c r="A3959" s="2" t="s">
        <v>7943</v>
      </c>
      <c r="B3959" s="2" t="s">
        <v>7944</v>
      </c>
      <c r="C3959" s="2" t="s">
        <v>42</v>
      </c>
      <c r="D3959" s="2" t="s">
        <v>17</v>
      </c>
      <c r="E3959" s="5">
        <v>-28314</v>
      </c>
      <c r="F3959" s="3" t="s">
        <v>309</v>
      </c>
      <c r="G3959" s="3" t="s">
        <v>63</v>
      </c>
      <c r="H3959" s="2" t="s">
        <v>20</v>
      </c>
      <c r="I3959" s="2" t="s">
        <v>7945</v>
      </c>
      <c r="J3959" s="3" t="str">
        <f>HYPERLINK("https://www.boe.es/gazeta/dias/1822/06/23/pdfs/GMD-1822-181.pdf#page=6","Abrir facsímil")</f>
        <v>Abrir facsímil</v>
      </c>
      <c r="K3959" s="3" t="s">
        <v>22</v>
      </c>
    </row>
    <row r="3960" spans="1:11" ht="42" customHeight="1">
      <c r="A3960" s="2" t="s">
        <v>7946</v>
      </c>
      <c r="B3960" s="2" t="s">
        <v>7947</v>
      </c>
      <c r="C3960" s="2" t="s">
        <v>61</v>
      </c>
      <c r="D3960" s="2" t="s">
        <v>17</v>
      </c>
      <c r="E3960" s="5">
        <v>-28258</v>
      </c>
      <c r="F3960" s="3" t="s">
        <v>88</v>
      </c>
      <c r="G3960" s="3" t="s">
        <v>57</v>
      </c>
      <c r="H3960" s="2" t="s">
        <v>20</v>
      </c>
      <c r="I3960" s="2" t="s">
        <v>7948</v>
      </c>
      <c r="J3960" s="3" t="str">
        <f>HYPERLINK("https://www.boe.es/gazeta/dias/1822/08/18/pdfs/GMD-1822-242.pdf#page=4","Abrir facsímil")</f>
        <v>Abrir facsímil</v>
      </c>
      <c r="K3960" s="3" t="s">
        <v>22</v>
      </c>
    </row>
    <row r="3961" spans="1:11" ht="42" customHeight="1">
      <c r="A3961" s="2" t="s">
        <v>7949</v>
      </c>
      <c r="B3961" s="2" t="s">
        <v>7950</v>
      </c>
      <c r="C3961" s="2" t="s">
        <v>71</v>
      </c>
      <c r="D3961" s="2" t="s">
        <v>17</v>
      </c>
      <c r="E3961" s="5">
        <v>-28306</v>
      </c>
      <c r="F3961" s="3" t="s">
        <v>348</v>
      </c>
      <c r="G3961" s="3" t="s">
        <v>57</v>
      </c>
      <c r="H3961" s="2" t="s">
        <v>45</v>
      </c>
      <c r="I3961" s="2" t="s">
        <v>7951</v>
      </c>
      <c r="J3961" s="3" t="str">
        <f>HYPERLINK("https://www.boe.es/gazeta/dias/1822/07/01/pdfs/GMD-1822-190.pdf#page=4","Abrir facsímil")</f>
        <v>Abrir facsímil</v>
      </c>
      <c r="K3961" s="3" t="s">
        <v>47</v>
      </c>
    </row>
    <row r="3962" spans="1:11" ht="42" customHeight="1">
      <c r="A3962" s="2" t="s">
        <v>7952</v>
      </c>
      <c r="B3962" s="2" t="s">
        <v>7953</v>
      </c>
      <c r="C3962" s="2" t="s">
        <v>50</v>
      </c>
      <c r="D3962" s="2" t="s">
        <v>51</v>
      </c>
      <c r="E3962" s="5">
        <v>-28156</v>
      </c>
      <c r="F3962" s="3" t="s">
        <v>1568</v>
      </c>
      <c r="G3962" s="3" t="s">
        <v>63</v>
      </c>
      <c r="H3962" s="2" t="s">
        <v>20</v>
      </c>
      <c r="I3962" s="2" t="s">
        <v>7954</v>
      </c>
      <c r="J3962" s="3" t="str">
        <f>HYPERLINK("https://www.boe.es/gazeta/dias/1822/11/28/pdfs/GMD-1822-348.pdf#page=6","Abrir facsímil")</f>
        <v>Abrir facsímil</v>
      </c>
      <c r="K3962" s="3" t="s">
        <v>22</v>
      </c>
    </row>
    <row r="3963" spans="1:11" ht="42" customHeight="1">
      <c r="A3963" s="2" t="s">
        <v>7955</v>
      </c>
      <c r="B3963" s="2" t="s">
        <v>7956</v>
      </c>
      <c r="C3963" s="2" t="s">
        <v>50</v>
      </c>
      <c r="D3963" s="2" t="s">
        <v>51</v>
      </c>
      <c r="E3963" s="5">
        <v>-28125</v>
      </c>
      <c r="F3963" s="3" t="s">
        <v>322</v>
      </c>
      <c r="G3963" s="3" t="s">
        <v>19</v>
      </c>
      <c r="H3963" s="2" t="s">
        <v>45</v>
      </c>
      <c r="I3963" s="2" t="s">
        <v>7957</v>
      </c>
      <c r="J3963" s="3" t="str">
        <f>HYPERLINK("https://www.boe.es/gazeta/dias/1822/12/29/pdfs/GMD-1822-379.pdf#page=5","Abrir facsímil")</f>
        <v>Abrir facsímil</v>
      </c>
      <c r="K3963" s="3" t="s">
        <v>47</v>
      </c>
    </row>
    <row r="3964" spans="1:11" ht="42" customHeight="1">
      <c r="A3964" s="2" t="s">
        <v>7958</v>
      </c>
      <c r="B3964" s="2" t="s">
        <v>7959</v>
      </c>
      <c r="C3964" s="2" t="s">
        <v>50</v>
      </c>
      <c r="D3964" s="2" t="s">
        <v>51</v>
      </c>
      <c r="E3964" s="5">
        <v>-28209</v>
      </c>
      <c r="F3964" s="3" t="s">
        <v>748</v>
      </c>
      <c r="G3964" s="3" t="s">
        <v>57</v>
      </c>
      <c r="H3964" s="2" t="s">
        <v>20</v>
      </c>
      <c r="I3964" s="2" t="s">
        <v>7960</v>
      </c>
      <c r="J3964" s="3" t="str">
        <f>HYPERLINK("https://www.boe.es/gazeta/dias/1822/10/06/pdfs/GMD-1822-292.pdf#page=4","Abrir facsímil")</f>
        <v>Abrir facsímil</v>
      </c>
      <c r="K3964" s="3" t="s">
        <v>22</v>
      </c>
    </row>
    <row r="3965" spans="1:11" ht="42" customHeight="1">
      <c r="A3965" s="2" t="s">
        <v>7961</v>
      </c>
      <c r="B3965" s="2" t="s">
        <v>7961</v>
      </c>
      <c r="C3965" s="2" t="s">
        <v>61</v>
      </c>
      <c r="D3965" s="2" t="s">
        <v>17</v>
      </c>
      <c r="E3965" s="5">
        <v>-28341</v>
      </c>
      <c r="F3965" s="3" t="s">
        <v>284</v>
      </c>
      <c r="G3965" s="3" t="s">
        <v>31</v>
      </c>
      <c r="H3965" s="2" t="s">
        <v>20</v>
      </c>
      <c r="I3965" s="2" t="s">
        <v>7962</v>
      </c>
      <c r="J3965" s="3" t="str">
        <f>HYPERLINK("https://www.boe.es/gazeta/dias/1822/05/27/pdfs/GMD-1822-152.pdf#page=3","Abrir facsímil")</f>
        <v>Abrir facsímil</v>
      </c>
      <c r="K3965" s="3" t="s">
        <v>22</v>
      </c>
    </row>
    <row r="3966" spans="1:11" ht="42" customHeight="1">
      <c r="A3966" s="2" t="s">
        <v>7963</v>
      </c>
      <c r="B3966" s="2" t="s">
        <v>7964</v>
      </c>
      <c r="C3966" s="2" t="s">
        <v>50</v>
      </c>
      <c r="D3966" s="2" t="s">
        <v>51</v>
      </c>
      <c r="E3966" s="5">
        <v>-28131</v>
      </c>
      <c r="F3966" s="3" t="s">
        <v>893</v>
      </c>
      <c r="G3966" s="3" t="s">
        <v>31</v>
      </c>
      <c r="H3966" s="2" t="s">
        <v>20</v>
      </c>
      <c r="I3966" s="2" t="s">
        <v>7965</v>
      </c>
      <c r="J3966" s="3" t="str">
        <f>HYPERLINK("https://www.boe.es/gazeta/dias/1822/12/23/pdfs/GMD-1822-373.pdf#page=3","Abrir facsímil")</f>
        <v>Abrir facsímil</v>
      </c>
      <c r="K3966" s="3" t="s">
        <v>22</v>
      </c>
    </row>
    <row r="3967" spans="1:11" ht="42" customHeight="1">
      <c r="A3967" s="2" t="s">
        <v>7966</v>
      </c>
      <c r="B3967" s="2" t="s">
        <v>7967</v>
      </c>
      <c r="C3967" s="2" t="s">
        <v>42</v>
      </c>
      <c r="D3967" s="2" t="s">
        <v>17</v>
      </c>
      <c r="E3967" s="5">
        <v>-28296</v>
      </c>
      <c r="F3967" s="3" t="s">
        <v>4121</v>
      </c>
      <c r="G3967" s="3" t="s">
        <v>35</v>
      </c>
      <c r="H3967" s="2" t="s">
        <v>20</v>
      </c>
      <c r="I3967" s="2" t="s">
        <v>7968</v>
      </c>
      <c r="J3967" s="3" t="str">
        <f>HYPERLINK("https://www.boe.es/gazeta/dias/1822/07/11/pdfs/GMD-1822-201.pdf#page=2","Abrir facsímil")</f>
        <v>Abrir facsímil</v>
      </c>
      <c r="K3967" s="3" t="s">
        <v>22</v>
      </c>
    </row>
    <row r="3968" spans="1:11" ht="42" customHeight="1">
      <c r="A3968" s="2" t="s">
        <v>7969</v>
      </c>
      <c r="B3968" s="2" t="s">
        <v>7970</v>
      </c>
      <c r="C3968" s="2" t="s">
        <v>16</v>
      </c>
      <c r="D3968" s="2" t="s">
        <v>17</v>
      </c>
      <c r="E3968" s="5">
        <v>-28342</v>
      </c>
      <c r="F3968" s="3" t="s">
        <v>2281</v>
      </c>
      <c r="G3968" s="3" t="s">
        <v>63</v>
      </c>
      <c r="H3968" s="2" t="s">
        <v>20</v>
      </c>
      <c r="I3968" s="2" t="s">
        <v>7971</v>
      </c>
      <c r="J3968" s="3" t="str">
        <f>HYPERLINK("https://www.boe.es/gazeta/dias/1822/05/26/pdfs/GMD-1822-151.pdf#page=6","Abrir facsímil")</f>
        <v>Abrir facsímil</v>
      </c>
      <c r="K3968" s="3" t="s">
        <v>22</v>
      </c>
    </row>
    <row r="3969" spans="1:11" ht="42" customHeight="1">
      <c r="A3969" s="2" t="s">
        <v>7969</v>
      </c>
      <c r="B3969" s="2" t="s">
        <v>7970</v>
      </c>
      <c r="C3969" s="2" t="s">
        <v>28</v>
      </c>
      <c r="D3969" s="2" t="s">
        <v>29</v>
      </c>
      <c r="E3969" s="5">
        <v>-28321</v>
      </c>
      <c r="F3969" s="3" t="s">
        <v>1142</v>
      </c>
      <c r="G3969" s="3" t="s">
        <v>63</v>
      </c>
      <c r="H3969" s="2" t="s">
        <v>20</v>
      </c>
      <c r="I3969" s="2" t="s">
        <v>7972</v>
      </c>
      <c r="J3969" s="3" t="str">
        <f>HYPERLINK("https://www.boe.es/gazeta/dias/1822/06/16/pdfs/GMD-1822-173.pdf#page=6","Abrir facsímil")</f>
        <v>Abrir facsímil</v>
      </c>
      <c r="K3969" s="3" t="s">
        <v>22</v>
      </c>
    </row>
    <row r="3970" spans="1:11" ht="42" customHeight="1">
      <c r="A3970" s="2" t="s">
        <v>7973</v>
      </c>
      <c r="B3970" s="2" t="s">
        <v>7974</v>
      </c>
      <c r="C3970" s="2" t="s">
        <v>50</v>
      </c>
      <c r="D3970" s="2" t="s">
        <v>51</v>
      </c>
      <c r="E3970" s="5">
        <v>-28265</v>
      </c>
      <c r="F3970" s="3" t="s">
        <v>1263</v>
      </c>
      <c r="G3970" s="3" t="s">
        <v>57</v>
      </c>
      <c r="H3970" s="2" t="s">
        <v>20</v>
      </c>
      <c r="I3970" s="2" t="s">
        <v>7975</v>
      </c>
      <c r="J3970" s="3" t="str">
        <f>HYPERLINK("https://www.boe.es/gazeta/dias/1822/08/11/pdfs/GMD-1822-235.pdf#page=4","Abrir facsímil")</f>
        <v>Abrir facsímil</v>
      </c>
      <c r="K3970" s="3" t="s">
        <v>22</v>
      </c>
    </row>
    <row r="3971" spans="1:11" ht="42" customHeight="1">
      <c r="A3971" s="2" t="s">
        <v>7976</v>
      </c>
      <c r="B3971" s="2" t="s">
        <v>7977</v>
      </c>
      <c r="C3971" s="2" t="s">
        <v>28</v>
      </c>
      <c r="D3971" s="2" t="s">
        <v>29</v>
      </c>
      <c r="E3971" s="5">
        <v>-28158</v>
      </c>
      <c r="F3971" s="3" t="s">
        <v>590</v>
      </c>
      <c r="G3971" s="3" t="s">
        <v>63</v>
      </c>
      <c r="H3971" s="2" t="s">
        <v>20</v>
      </c>
      <c r="I3971" s="2" t="s">
        <v>7978</v>
      </c>
      <c r="J3971" s="3" t="str">
        <f>HYPERLINK("https://www.boe.es/gazeta/dias/1822/11/26/pdfs/GMD-1822-346.pdf#page=6","Abrir facsímil")</f>
        <v>Abrir facsímil</v>
      </c>
      <c r="K3971" s="3" t="s">
        <v>22</v>
      </c>
    </row>
    <row r="3972" spans="1:11" ht="42" customHeight="1">
      <c r="A3972" s="2" t="s">
        <v>7979</v>
      </c>
      <c r="B3972" s="2" t="s">
        <v>7980</v>
      </c>
      <c r="C3972" s="2" t="s">
        <v>28</v>
      </c>
      <c r="D3972" s="2" t="s">
        <v>29</v>
      </c>
      <c r="E3972" s="5">
        <v>-28199</v>
      </c>
      <c r="F3972" s="3" t="s">
        <v>656</v>
      </c>
      <c r="G3972" s="3" t="s">
        <v>63</v>
      </c>
      <c r="H3972" s="2" t="s">
        <v>20</v>
      </c>
      <c r="I3972" s="2" t="s">
        <v>7981</v>
      </c>
      <c r="J3972" s="3" t="str">
        <f>HYPERLINK("https://www.boe.es/gazeta/dias/1822/10/16/pdfs/GMD-1822-303.pdf#page=6","Abrir facsímil")</f>
        <v>Abrir facsímil</v>
      </c>
      <c r="K3972" s="3" t="s">
        <v>22</v>
      </c>
    </row>
    <row r="3973" spans="1:11" ht="42" customHeight="1">
      <c r="A3973" s="2" t="s">
        <v>7982</v>
      </c>
      <c r="B3973" s="2" t="s">
        <v>7983</v>
      </c>
      <c r="C3973" s="2" t="s">
        <v>362</v>
      </c>
      <c r="D3973" s="2" t="s">
        <v>17</v>
      </c>
      <c r="E3973" s="5">
        <v>-28266</v>
      </c>
      <c r="F3973" s="3" t="s">
        <v>1169</v>
      </c>
      <c r="G3973" s="3" t="s">
        <v>57</v>
      </c>
      <c r="H3973" s="2" t="s">
        <v>20</v>
      </c>
      <c r="I3973" s="2" t="s">
        <v>7984</v>
      </c>
      <c r="J3973" s="3" t="str">
        <f>HYPERLINK("https://www.boe.es/gazeta/dias/1822/08/10/pdfs/GMD-1822-234.pdf#page=4","Abrir facsímil")</f>
        <v>Abrir facsímil</v>
      </c>
      <c r="K3973" s="3" t="s">
        <v>22</v>
      </c>
    </row>
    <row r="3974" spans="1:11" ht="42" customHeight="1">
      <c r="A3974" s="2" t="s">
        <v>7985</v>
      </c>
      <c r="B3974" s="2" t="s">
        <v>7985</v>
      </c>
      <c r="C3974" s="2" t="s">
        <v>71</v>
      </c>
      <c r="D3974" s="2" t="s">
        <v>17</v>
      </c>
      <c r="E3974" s="5">
        <v>-28476</v>
      </c>
      <c r="F3974" s="3" t="s">
        <v>160</v>
      </c>
      <c r="G3974" s="3" t="s">
        <v>35</v>
      </c>
      <c r="H3974" s="2" t="s">
        <v>20</v>
      </c>
      <c r="I3974" s="2" t="s">
        <v>7986</v>
      </c>
      <c r="J3974" s="3" t="str">
        <f>HYPERLINK("https://www.boe.es/gazeta/dias/1822/01/12/pdfs/GMD-1822-12.pdf#page=2","Abrir facsímil")</f>
        <v>Abrir facsímil</v>
      </c>
      <c r="K3974" s="3" t="s">
        <v>22</v>
      </c>
    </row>
    <row r="3975" spans="1:11" ht="42" customHeight="1">
      <c r="A3975" s="2" t="s">
        <v>7985</v>
      </c>
      <c r="B3975" s="2" t="s">
        <v>7985</v>
      </c>
      <c r="C3975" s="2" t="s">
        <v>24</v>
      </c>
      <c r="D3975" s="2" t="s">
        <v>17</v>
      </c>
      <c r="E3975" s="5">
        <v>-28476</v>
      </c>
      <c r="F3975" s="3" t="s">
        <v>160</v>
      </c>
      <c r="G3975" s="3" t="s">
        <v>31</v>
      </c>
      <c r="H3975" s="2" t="s">
        <v>20</v>
      </c>
      <c r="I3975" s="2" t="s">
        <v>7987</v>
      </c>
      <c r="J3975" s="3" t="str">
        <f>HYPERLINK("https://www.boe.es/gazeta/dias/1822/01/12/pdfs/GMD-1822-12.pdf#page=3","Abrir facsímil")</f>
        <v>Abrir facsímil</v>
      </c>
      <c r="K3975" s="3" t="s">
        <v>22</v>
      </c>
    </row>
    <row r="3976" spans="1:11" ht="42" customHeight="1">
      <c r="A3976" s="2" t="s">
        <v>7985</v>
      </c>
      <c r="B3976" s="2" t="s">
        <v>7985</v>
      </c>
      <c r="C3976" s="2" t="s">
        <v>50</v>
      </c>
      <c r="D3976" s="2" t="s">
        <v>51</v>
      </c>
      <c r="E3976" s="5">
        <v>-28474</v>
      </c>
      <c r="F3976" s="3" t="s">
        <v>30</v>
      </c>
      <c r="G3976" s="3" t="s">
        <v>31</v>
      </c>
      <c r="H3976" s="2" t="s">
        <v>20</v>
      </c>
      <c r="I3976" s="2" t="s">
        <v>7988</v>
      </c>
      <c r="J3976" s="3" t="str">
        <f>HYPERLINK("https://www.boe.es/gazeta/dias/1822/01/14/pdfs/GMD-1822-14.pdf#page=3","Abrir facsímil")</f>
        <v>Abrir facsímil</v>
      </c>
      <c r="K3976" s="3" t="s">
        <v>22</v>
      </c>
    </row>
    <row r="3977" spans="1:11" ht="42" customHeight="1">
      <c r="A3977" s="2" t="s">
        <v>7985</v>
      </c>
      <c r="B3977" s="2" t="s">
        <v>7985</v>
      </c>
      <c r="C3977" s="2" t="s">
        <v>71</v>
      </c>
      <c r="D3977" s="2" t="s">
        <v>17</v>
      </c>
      <c r="E3977" s="5">
        <v>-28449</v>
      </c>
      <c r="F3977" s="3" t="s">
        <v>1342</v>
      </c>
      <c r="G3977" s="3" t="s">
        <v>31</v>
      </c>
      <c r="H3977" s="2" t="s">
        <v>20</v>
      </c>
      <c r="I3977" s="2" t="s">
        <v>7989</v>
      </c>
      <c r="J3977" s="3" t="str">
        <f>HYPERLINK("https://www.boe.es/gazeta/dias/1822/02/08/pdfs/GMD-1822-39.pdf#page=3","Abrir facsímil")</f>
        <v>Abrir facsímil</v>
      </c>
      <c r="K3977" s="3" t="s">
        <v>22</v>
      </c>
    </row>
    <row r="3978" spans="1:11" ht="42" customHeight="1">
      <c r="A3978" s="2" t="s">
        <v>7985</v>
      </c>
      <c r="B3978" s="2" t="s">
        <v>7985</v>
      </c>
      <c r="C3978" s="2" t="s">
        <v>28</v>
      </c>
      <c r="D3978" s="2" t="s">
        <v>29</v>
      </c>
      <c r="E3978" s="5">
        <v>-28395</v>
      </c>
      <c r="F3978" s="3" t="s">
        <v>237</v>
      </c>
      <c r="G3978" s="3" t="s">
        <v>35</v>
      </c>
      <c r="H3978" s="2" t="s">
        <v>20</v>
      </c>
      <c r="I3978" s="2" t="s">
        <v>7990</v>
      </c>
      <c r="J3978" s="3" t="str">
        <f>HYPERLINK("https://www.boe.es/gazeta/dias/1822/04/03/pdfs/GMD-1822-95.pdf#page=2","Abrir facsímil")</f>
        <v>Abrir facsímil</v>
      </c>
      <c r="K3978" s="3" t="s">
        <v>22</v>
      </c>
    </row>
    <row r="3979" spans="1:11" ht="42" customHeight="1">
      <c r="A3979" s="2" t="s">
        <v>7985</v>
      </c>
      <c r="B3979" s="2" t="s">
        <v>7985</v>
      </c>
      <c r="C3979" s="2" t="s">
        <v>50</v>
      </c>
      <c r="D3979" s="2" t="s">
        <v>51</v>
      </c>
      <c r="E3979" s="5">
        <v>-28377</v>
      </c>
      <c r="F3979" s="3" t="s">
        <v>498</v>
      </c>
      <c r="G3979" s="3" t="s">
        <v>35</v>
      </c>
      <c r="H3979" s="2" t="s">
        <v>20</v>
      </c>
      <c r="I3979" s="2" t="s">
        <v>7991</v>
      </c>
      <c r="J3979" s="3" t="str">
        <f>HYPERLINK("https://www.boe.es/gazeta/dias/1822/04/21/pdfs/GMD-1822-113.pdf#page=2","Abrir facsímil")</f>
        <v>Abrir facsímil</v>
      </c>
      <c r="K3979" s="3" t="s">
        <v>22</v>
      </c>
    </row>
    <row r="3980" spans="1:11" ht="42" customHeight="1">
      <c r="A3980" s="2" t="s">
        <v>7985</v>
      </c>
      <c r="B3980" s="2" t="s">
        <v>7985</v>
      </c>
      <c r="C3980" s="2" t="s">
        <v>28</v>
      </c>
      <c r="D3980" s="2" t="s">
        <v>29</v>
      </c>
      <c r="E3980" s="5">
        <v>-28360</v>
      </c>
      <c r="F3980" s="3" t="s">
        <v>514</v>
      </c>
      <c r="G3980" s="3" t="s">
        <v>57</v>
      </c>
      <c r="H3980" s="2" t="s">
        <v>20</v>
      </c>
      <c r="I3980" s="2" t="s">
        <v>7992</v>
      </c>
      <c r="J3980" s="3" t="str">
        <f>HYPERLINK("https://www.boe.es/gazeta/dias/1822/05/08/pdfs/GMD-1822-130.pdf#page=4","Abrir facsímil")</f>
        <v>Abrir facsímil</v>
      </c>
      <c r="K3980" s="3" t="s">
        <v>22</v>
      </c>
    </row>
    <row r="3981" spans="1:11" ht="42" customHeight="1">
      <c r="A3981" s="2" t="s">
        <v>7985</v>
      </c>
      <c r="B3981" s="2" t="s">
        <v>7985</v>
      </c>
      <c r="C3981" s="2" t="s">
        <v>50</v>
      </c>
      <c r="D3981" s="2" t="s">
        <v>51</v>
      </c>
      <c r="E3981" s="5">
        <v>-28337</v>
      </c>
      <c r="F3981" s="3" t="s">
        <v>1836</v>
      </c>
      <c r="G3981" s="3" t="s">
        <v>35</v>
      </c>
      <c r="H3981" s="2" t="s">
        <v>20</v>
      </c>
      <c r="I3981" s="2" t="s">
        <v>7993</v>
      </c>
      <c r="J3981" s="3" t="str">
        <f>HYPERLINK("https://www.boe.es/gazeta/dias/1822/05/31/pdfs/GMD-1822-156.pdf#page=2","Abrir facsímil")</f>
        <v>Abrir facsímil</v>
      </c>
      <c r="K3981" s="3" t="s">
        <v>22</v>
      </c>
    </row>
    <row r="3982" spans="1:11" ht="42" customHeight="1">
      <c r="A3982" s="2" t="s">
        <v>7985</v>
      </c>
      <c r="B3982" s="2" t="s">
        <v>7985</v>
      </c>
      <c r="C3982" s="2" t="s">
        <v>42</v>
      </c>
      <c r="D3982" s="2" t="s">
        <v>17</v>
      </c>
      <c r="E3982" s="5">
        <v>-28323</v>
      </c>
      <c r="F3982" s="3" t="s">
        <v>116</v>
      </c>
      <c r="G3982" s="3" t="s">
        <v>19</v>
      </c>
      <c r="H3982" s="2" t="s">
        <v>20</v>
      </c>
      <c r="I3982" s="2" t="s">
        <v>7994</v>
      </c>
      <c r="J3982" s="3" t="str">
        <f>HYPERLINK("https://www.boe.es/gazeta/dias/1822/06/14/pdfs/GMD-1822-171.pdf#page=5","Abrir facsímil")</f>
        <v>Abrir facsímil</v>
      </c>
      <c r="K3982" s="3" t="s">
        <v>22</v>
      </c>
    </row>
    <row r="3983" spans="1:11" ht="42" customHeight="1">
      <c r="A3983" s="2" t="s">
        <v>7985</v>
      </c>
      <c r="B3983" s="2" t="s">
        <v>7985</v>
      </c>
      <c r="C3983" s="2" t="s">
        <v>71</v>
      </c>
      <c r="D3983" s="2" t="s">
        <v>17</v>
      </c>
      <c r="E3983" s="5">
        <v>-28313</v>
      </c>
      <c r="F3983" s="3" t="s">
        <v>315</v>
      </c>
      <c r="G3983" s="3" t="s">
        <v>19</v>
      </c>
      <c r="H3983" s="2" t="s">
        <v>20</v>
      </c>
      <c r="I3983" s="2" t="s">
        <v>7995</v>
      </c>
      <c r="J3983" s="3" t="str">
        <f>HYPERLINK("https://www.boe.es/gazeta/dias/1822/06/24/pdfs/GMD-1822-182.pdf#page=5","Abrir facsímil")</f>
        <v>Abrir facsímil</v>
      </c>
      <c r="K3983" s="3" t="s">
        <v>22</v>
      </c>
    </row>
    <row r="3984" spans="1:11" ht="42" customHeight="1">
      <c r="A3984" s="2" t="s">
        <v>7996</v>
      </c>
      <c r="B3984" s="2" t="s">
        <v>7997</v>
      </c>
      <c r="C3984" s="2" t="s">
        <v>50</v>
      </c>
      <c r="D3984" s="2" t="s">
        <v>51</v>
      </c>
      <c r="E3984" s="5">
        <v>-28208</v>
      </c>
      <c r="F3984" s="3" t="s">
        <v>230</v>
      </c>
      <c r="G3984" s="3" t="s">
        <v>57</v>
      </c>
      <c r="H3984" s="2" t="s">
        <v>20</v>
      </c>
      <c r="I3984" s="2" t="s">
        <v>7998</v>
      </c>
      <c r="J3984" s="3" t="str">
        <f>HYPERLINK("https://www.boe.es/gazeta/dias/1822/10/07/pdfs/GMD-1822-293.pdf#page=4","Abrir facsímil")</f>
        <v>Abrir facsímil</v>
      </c>
      <c r="K3984" s="3" t="s">
        <v>22</v>
      </c>
    </row>
    <row r="3985" spans="1:11" ht="42" customHeight="1">
      <c r="A3985" s="2" t="s">
        <v>7999</v>
      </c>
      <c r="B3985" s="2" t="s">
        <v>8000</v>
      </c>
      <c r="C3985" s="2" t="s">
        <v>50</v>
      </c>
      <c r="D3985" s="2" t="s">
        <v>51</v>
      </c>
      <c r="E3985" s="5">
        <v>-28238</v>
      </c>
      <c r="F3985" s="3" t="s">
        <v>2077</v>
      </c>
      <c r="G3985" s="3" t="s">
        <v>35</v>
      </c>
      <c r="H3985" s="2" t="s">
        <v>20</v>
      </c>
      <c r="I3985" s="2" t="s">
        <v>8001</v>
      </c>
      <c r="J3985" s="3" t="str">
        <f>HYPERLINK("https://www.boe.es/gazeta/dias/1822/09/07/pdfs/GMD-1822-262.pdf#page=2","Abrir facsímil")</f>
        <v>Abrir facsímil</v>
      </c>
      <c r="K3985" s="3" t="s">
        <v>22</v>
      </c>
    </row>
    <row r="3986" spans="1:11" ht="42" customHeight="1">
      <c r="A3986" s="2" t="s">
        <v>8002</v>
      </c>
      <c r="B3986" s="2" t="s">
        <v>8003</v>
      </c>
      <c r="C3986" s="2" t="s">
        <v>16</v>
      </c>
      <c r="D3986" s="2" t="s">
        <v>17</v>
      </c>
      <c r="E3986" s="5">
        <v>-28382</v>
      </c>
      <c r="F3986" s="3" t="s">
        <v>973</v>
      </c>
      <c r="G3986" s="3" t="s">
        <v>63</v>
      </c>
      <c r="H3986" s="2" t="s">
        <v>20</v>
      </c>
      <c r="I3986" s="2" t="s">
        <v>8004</v>
      </c>
      <c r="J3986" s="3" t="str">
        <f>HYPERLINK("https://www.boe.es/gazeta/dias/1822/04/16/pdfs/GMD-1822-108.pdf#page=6","Abrir facsímil")</f>
        <v>Abrir facsímil</v>
      </c>
      <c r="K3986" s="3" t="s">
        <v>22</v>
      </c>
    </row>
    <row r="3987" spans="1:11" ht="42" customHeight="1">
      <c r="A3987" s="2" t="s">
        <v>8002</v>
      </c>
      <c r="B3987" s="2" t="s">
        <v>8003</v>
      </c>
      <c r="C3987" s="2" t="s">
        <v>50</v>
      </c>
      <c r="D3987" s="2" t="s">
        <v>51</v>
      </c>
      <c r="E3987" s="5">
        <v>-28345</v>
      </c>
      <c r="F3987" s="3" t="s">
        <v>294</v>
      </c>
      <c r="G3987" s="3" t="s">
        <v>63</v>
      </c>
      <c r="H3987" s="2" t="s">
        <v>20</v>
      </c>
      <c r="I3987" s="2" t="s">
        <v>8005</v>
      </c>
      <c r="J3987" s="3" t="str">
        <f>HYPERLINK("https://www.boe.es/gazeta/dias/1822/05/23/pdfs/GMD-1822-147.pdf#page=6","Abrir facsímil")</f>
        <v>Abrir facsímil</v>
      </c>
      <c r="K3987" s="3" t="s">
        <v>22</v>
      </c>
    </row>
    <row r="3988" spans="1:11" ht="42" customHeight="1">
      <c r="A3988" s="2" t="s">
        <v>8002</v>
      </c>
      <c r="B3988" s="2" t="s">
        <v>8003</v>
      </c>
      <c r="C3988" s="2" t="s">
        <v>42</v>
      </c>
      <c r="D3988" s="2" t="s">
        <v>17</v>
      </c>
      <c r="E3988" s="5">
        <v>-28217</v>
      </c>
      <c r="F3988" s="3" t="s">
        <v>1892</v>
      </c>
      <c r="G3988" s="3" t="s">
        <v>57</v>
      </c>
      <c r="H3988" s="2" t="s">
        <v>20</v>
      </c>
      <c r="I3988" s="2" t="s">
        <v>8006</v>
      </c>
      <c r="J3988" s="3" t="str">
        <f>HYPERLINK("https://www.boe.es/gazeta/dias/1822/09/28/pdfs/GMD-1822-284.pdf#page=4","Abrir facsímil")</f>
        <v>Abrir facsímil</v>
      </c>
      <c r="K3988" s="3" t="s">
        <v>22</v>
      </c>
    </row>
    <row r="3989" spans="1:11" ht="42" customHeight="1">
      <c r="A3989" s="2" t="s">
        <v>8007</v>
      </c>
      <c r="B3989" s="2" t="s">
        <v>8008</v>
      </c>
      <c r="C3989" s="2" t="s">
        <v>71</v>
      </c>
      <c r="D3989" s="2" t="s">
        <v>17</v>
      </c>
      <c r="E3989" s="5">
        <v>-28192</v>
      </c>
      <c r="F3989" s="3" t="s">
        <v>43</v>
      </c>
      <c r="G3989" s="3" t="s">
        <v>157</v>
      </c>
      <c r="H3989" s="2" t="s">
        <v>20</v>
      </c>
      <c r="I3989" s="2" t="s">
        <v>8009</v>
      </c>
      <c r="J3989" s="3" t="str">
        <f>HYPERLINK("https://www.boe.es/gazeta/dias/1822/10/23/pdfs/GMD-1822-310.pdf#page=8","Abrir facsímil")</f>
        <v>Abrir facsímil</v>
      </c>
      <c r="K3989" s="3" t="s">
        <v>22</v>
      </c>
    </row>
    <row r="3990" spans="1:11" ht="42" customHeight="1">
      <c r="A3990" s="2" t="s">
        <v>8010</v>
      </c>
      <c r="B3990" s="2" t="s">
        <v>8011</v>
      </c>
      <c r="C3990" s="2" t="s">
        <v>71</v>
      </c>
      <c r="D3990" s="2" t="s">
        <v>17</v>
      </c>
      <c r="E3990" s="5">
        <v>-28316</v>
      </c>
      <c r="F3990" s="3" t="s">
        <v>1144</v>
      </c>
      <c r="G3990" s="3" t="s">
        <v>31</v>
      </c>
      <c r="H3990" s="2" t="s">
        <v>20</v>
      </c>
      <c r="I3990" s="2" t="s">
        <v>8012</v>
      </c>
      <c r="J3990" s="3" t="str">
        <f>HYPERLINK("https://www.boe.es/gazeta/dias/1822/06/21/pdfs/GMD-1822-179.pdf#page=3","Abrir facsímil")</f>
        <v>Abrir facsímil</v>
      </c>
      <c r="K3990" s="3" t="s">
        <v>22</v>
      </c>
    </row>
    <row r="3991" spans="1:11" ht="42" customHeight="1">
      <c r="A3991" s="2" t="s">
        <v>8013</v>
      </c>
      <c r="B3991" s="2" t="s">
        <v>8014</v>
      </c>
      <c r="C3991" s="2" t="s">
        <v>50</v>
      </c>
      <c r="D3991" s="2" t="s">
        <v>51</v>
      </c>
      <c r="E3991" s="5">
        <v>-28421</v>
      </c>
      <c r="F3991" s="3" t="s">
        <v>446</v>
      </c>
      <c r="G3991" s="3" t="s">
        <v>63</v>
      </c>
      <c r="H3991" s="2" t="s">
        <v>20</v>
      </c>
      <c r="I3991" s="2" t="s">
        <v>8015</v>
      </c>
      <c r="J3991" s="3" t="str">
        <f>HYPERLINK("https://www.boe.es/gazeta/dias/1822/03/08/pdfs/GMD-1822-69.pdf#page=6","Abrir facsímil")</f>
        <v>Abrir facsímil</v>
      </c>
      <c r="K3991" s="3" t="s">
        <v>22</v>
      </c>
    </row>
    <row r="3992" spans="1:11" ht="42" customHeight="1">
      <c r="A3992" s="2" t="s">
        <v>8013</v>
      </c>
      <c r="B3992" s="2" t="s">
        <v>8014</v>
      </c>
      <c r="C3992" s="2" t="s">
        <v>28</v>
      </c>
      <c r="D3992" s="2" t="s">
        <v>29</v>
      </c>
      <c r="E3992" s="5">
        <v>-28357</v>
      </c>
      <c r="F3992" s="3" t="s">
        <v>690</v>
      </c>
      <c r="G3992" s="3" t="s">
        <v>19</v>
      </c>
      <c r="H3992" s="2" t="s">
        <v>20</v>
      </c>
      <c r="I3992" s="2" t="s">
        <v>8016</v>
      </c>
      <c r="J3992" s="3" t="str">
        <f>HYPERLINK("https://www.boe.es/gazeta/dias/1822/05/11/pdfs/GMD-1822-133.pdf#page=5","Abrir facsímil")</f>
        <v>Abrir facsímil</v>
      </c>
      <c r="K3992" s="3" t="s">
        <v>22</v>
      </c>
    </row>
    <row r="3993" spans="1:11" ht="42" customHeight="1">
      <c r="A3993" s="2" t="s">
        <v>8017</v>
      </c>
      <c r="B3993" s="2" t="s">
        <v>8018</v>
      </c>
      <c r="C3993" s="2" t="s">
        <v>28</v>
      </c>
      <c r="D3993" s="2" t="s">
        <v>29</v>
      </c>
      <c r="E3993" s="5">
        <v>-28361</v>
      </c>
      <c r="F3993" s="3" t="s">
        <v>374</v>
      </c>
      <c r="G3993" s="3" t="s">
        <v>35</v>
      </c>
      <c r="H3993" s="2" t="s">
        <v>20</v>
      </c>
      <c r="I3993" s="2" t="s">
        <v>8019</v>
      </c>
      <c r="J3993" s="3" t="str">
        <f>HYPERLINK("https://www.boe.es/gazeta/dias/1822/05/07/pdfs/GMD-1822-129.pdf#page=2","Abrir facsímil")</f>
        <v>Abrir facsímil</v>
      </c>
      <c r="K3993" s="3" t="s">
        <v>22</v>
      </c>
    </row>
    <row r="3994" spans="1:11" ht="42" customHeight="1">
      <c r="A3994" s="2" t="s">
        <v>8020</v>
      </c>
      <c r="B3994" s="2" t="s">
        <v>8021</v>
      </c>
      <c r="C3994" s="2" t="s">
        <v>71</v>
      </c>
      <c r="D3994" s="2" t="s">
        <v>17</v>
      </c>
      <c r="E3994" s="5">
        <v>-28258</v>
      </c>
      <c r="F3994" s="3" t="s">
        <v>88</v>
      </c>
      <c r="G3994" s="3" t="s">
        <v>31</v>
      </c>
      <c r="H3994" s="2" t="s">
        <v>20</v>
      </c>
      <c r="I3994" s="2" t="s">
        <v>8022</v>
      </c>
      <c r="J3994" s="3" t="str">
        <f>HYPERLINK("https://www.boe.es/gazeta/dias/1822/08/18/pdfs/GMD-1822-242.pdf#page=3","Abrir facsímil")</f>
        <v>Abrir facsímil</v>
      </c>
      <c r="K3994" s="3" t="s">
        <v>22</v>
      </c>
    </row>
    <row r="3995" spans="1:11" ht="42" customHeight="1">
      <c r="A3995" s="2" t="s">
        <v>8023</v>
      </c>
      <c r="B3995" s="2" t="s">
        <v>8024</v>
      </c>
      <c r="C3995" s="2" t="s">
        <v>28</v>
      </c>
      <c r="D3995" s="2" t="s">
        <v>29</v>
      </c>
      <c r="E3995" s="5">
        <v>-28198</v>
      </c>
      <c r="F3995" s="3" t="s">
        <v>981</v>
      </c>
      <c r="G3995" s="3" t="s">
        <v>31</v>
      </c>
      <c r="H3995" s="2" t="s">
        <v>20</v>
      </c>
      <c r="I3995" s="2" t="s">
        <v>8025</v>
      </c>
      <c r="J3995" s="3" t="str">
        <f>HYPERLINK("https://www.boe.es/gazeta/dias/1822/10/17/pdfs/GMD-1822-304.pdf#page=3","Abrir facsímil")</f>
        <v>Abrir facsímil</v>
      </c>
      <c r="K3995" s="3" t="s">
        <v>22</v>
      </c>
    </row>
    <row r="3996" spans="1:11" ht="42" customHeight="1">
      <c r="A3996" s="2" t="s">
        <v>8026</v>
      </c>
      <c r="B3996" s="2" t="s">
        <v>8027</v>
      </c>
      <c r="C3996" s="2" t="s">
        <v>61</v>
      </c>
      <c r="D3996" s="2" t="s">
        <v>17</v>
      </c>
      <c r="E3996" s="5">
        <v>-28258</v>
      </c>
      <c r="F3996" s="3" t="s">
        <v>88</v>
      </c>
      <c r="G3996" s="3" t="s">
        <v>31</v>
      </c>
      <c r="H3996" s="2" t="s">
        <v>20</v>
      </c>
      <c r="I3996" s="2" t="s">
        <v>8028</v>
      </c>
      <c r="J3996" s="3" t="str">
        <f>HYPERLINK("https://www.boe.es/gazeta/dias/1822/08/18/pdfs/GMD-1822-242.pdf#page=3","Abrir facsímil")</f>
        <v>Abrir facsímil</v>
      </c>
      <c r="K3996" s="3" t="s">
        <v>22</v>
      </c>
    </row>
    <row r="3997" spans="1:11" ht="42" customHeight="1">
      <c r="A3997" s="2" t="s">
        <v>8029</v>
      </c>
      <c r="B3997" s="2" t="s">
        <v>8030</v>
      </c>
      <c r="C3997" s="2" t="s">
        <v>61</v>
      </c>
      <c r="D3997" s="2" t="s">
        <v>17</v>
      </c>
      <c r="E3997" s="5">
        <v>-28417</v>
      </c>
      <c r="F3997" s="3" t="s">
        <v>1394</v>
      </c>
      <c r="G3997" s="3" t="s">
        <v>35</v>
      </c>
      <c r="H3997" s="2" t="s">
        <v>20</v>
      </c>
      <c r="I3997" s="2" t="s">
        <v>8031</v>
      </c>
      <c r="J3997" s="3" t="str">
        <f>HYPERLINK("https://www.boe.es/gazeta/dias/1822/03/12/pdfs/GMD-1822-73.pdf#page=2","Abrir facsímil")</f>
        <v>Abrir facsímil</v>
      </c>
      <c r="K3997" s="3" t="s">
        <v>22</v>
      </c>
    </row>
    <row r="3998" spans="1:11" ht="42" customHeight="1">
      <c r="A3998" s="2" t="s">
        <v>8032</v>
      </c>
      <c r="B3998" s="2" t="s">
        <v>8033</v>
      </c>
      <c r="C3998" s="2" t="s">
        <v>28</v>
      </c>
      <c r="D3998" s="2" t="s">
        <v>29</v>
      </c>
      <c r="E3998" s="5">
        <v>-28321</v>
      </c>
      <c r="F3998" s="3" t="s">
        <v>1142</v>
      </c>
      <c r="G3998" s="3" t="s">
        <v>63</v>
      </c>
      <c r="H3998" s="2" t="s">
        <v>20</v>
      </c>
      <c r="I3998" s="2" t="s">
        <v>8034</v>
      </c>
      <c r="J3998" s="3" t="str">
        <f>HYPERLINK("https://www.boe.es/gazeta/dias/1822/06/16/pdfs/GMD-1822-173.pdf#page=6","Abrir facsímil")</f>
        <v>Abrir facsímil</v>
      </c>
      <c r="K3998" s="3" t="s">
        <v>22</v>
      </c>
    </row>
    <row r="3999" spans="1:11" ht="42" customHeight="1">
      <c r="A3999" s="2" t="s">
        <v>8035</v>
      </c>
      <c r="B3999" s="2" t="s">
        <v>8036</v>
      </c>
      <c r="C3999" s="2" t="s">
        <v>16</v>
      </c>
      <c r="D3999" s="2" t="s">
        <v>17</v>
      </c>
      <c r="E3999" s="5">
        <v>-28353</v>
      </c>
      <c r="F3999" s="3" t="s">
        <v>843</v>
      </c>
      <c r="G3999" s="3" t="s">
        <v>63</v>
      </c>
      <c r="H3999" s="2" t="s">
        <v>45</v>
      </c>
      <c r="I3999" s="2" t="s">
        <v>8037</v>
      </c>
      <c r="J3999" s="3" t="str">
        <f>HYPERLINK("https://www.boe.es/gazeta/dias/1822/05/15/pdfs/GMD-1822-137.pdf#page=6","Abrir facsímil")</f>
        <v>Abrir facsímil</v>
      </c>
      <c r="K3999" s="3" t="s">
        <v>47</v>
      </c>
    </row>
    <row r="4000" spans="1:11" ht="42" customHeight="1">
      <c r="A4000" s="2" t="s">
        <v>8038</v>
      </c>
      <c r="B4000" s="2" t="s">
        <v>8039</v>
      </c>
      <c r="C4000" s="2" t="s">
        <v>42</v>
      </c>
      <c r="D4000" s="2" t="s">
        <v>17</v>
      </c>
      <c r="E4000" s="5">
        <v>-28210</v>
      </c>
      <c r="F4000" s="3" t="s">
        <v>218</v>
      </c>
      <c r="G4000" s="3" t="s">
        <v>19</v>
      </c>
      <c r="H4000" s="2" t="s">
        <v>20</v>
      </c>
      <c r="I4000" s="2" t="s">
        <v>8040</v>
      </c>
      <c r="J4000" s="3" t="str">
        <f>HYPERLINK("https://www.boe.es/gazeta/dias/1822/10/05/pdfs/GMD-1822-291.pdf#page=5","Abrir facsímil")</f>
        <v>Abrir facsímil</v>
      </c>
      <c r="K4000" s="3" t="s">
        <v>22</v>
      </c>
    </row>
    <row r="4001" spans="1:11" ht="42" customHeight="1">
      <c r="A4001" s="2" t="s">
        <v>8041</v>
      </c>
      <c r="B4001" s="2" t="s">
        <v>8042</v>
      </c>
      <c r="C4001" s="2" t="s">
        <v>71</v>
      </c>
      <c r="D4001" s="2" t="s">
        <v>17</v>
      </c>
      <c r="E4001" s="5">
        <v>-28325</v>
      </c>
      <c r="F4001" s="3" t="s">
        <v>104</v>
      </c>
      <c r="G4001" s="3" t="s">
        <v>44</v>
      </c>
      <c r="H4001" s="2" t="s">
        <v>20</v>
      </c>
      <c r="I4001" s="2" t="s">
        <v>8043</v>
      </c>
      <c r="J4001" s="3" t="str">
        <f>HYPERLINK("https://www.boe.es/gazeta/dias/1822/06/12/pdfs/GMD-1822-169.pdf#page=1","Abrir facsímil")</f>
        <v>Abrir facsímil</v>
      </c>
      <c r="K4001" s="3" t="s">
        <v>22</v>
      </c>
    </row>
    <row r="4002" spans="1:11" ht="42" customHeight="1">
      <c r="A4002" s="2" t="s">
        <v>8044</v>
      </c>
      <c r="B4002" s="2" t="s">
        <v>8045</v>
      </c>
      <c r="C4002" s="2" t="s">
        <v>42</v>
      </c>
      <c r="D4002" s="2" t="s">
        <v>17</v>
      </c>
      <c r="E4002" s="5">
        <v>-28235</v>
      </c>
      <c r="F4002" s="3" t="s">
        <v>1470</v>
      </c>
      <c r="G4002" s="3" t="s">
        <v>35</v>
      </c>
      <c r="H4002" s="2" t="s">
        <v>20</v>
      </c>
      <c r="I4002" s="2" t="s">
        <v>8046</v>
      </c>
      <c r="J4002" s="3" t="str">
        <f>HYPERLINK("https://www.boe.es/gazeta/dias/1822/09/10/pdfs/GMD-1822-266.pdf#page=2","Abrir facsímil")</f>
        <v>Abrir facsímil</v>
      </c>
      <c r="K4002" s="3" t="s">
        <v>22</v>
      </c>
    </row>
    <row r="4003" spans="1:11" ht="42" customHeight="1">
      <c r="A4003" s="2" t="s">
        <v>8047</v>
      </c>
      <c r="B4003" s="2" t="s">
        <v>8047</v>
      </c>
      <c r="C4003" s="2" t="s">
        <v>362</v>
      </c>
      <c r="D4003" s="2" t="s">
        <v>17</v>
      </c>
      <c r="E4003" s="5">
        <v>-28455</v>
      </c>
      <c r="F4003" s="3" t="s">
        <v>1107</v>
      </c>
      <c r="G4003" s="3" t="s">
        <v>63</v>
      </c>
      <c r="H4003" s="2" t="s">
        <v>20</v>
      </c>
      <c r="I4003" s="2" t="s">
        <v>8048</v>
      </c>
      <c r="J4003" s="3" t="str">
        <f>HYPERLINK("https://www.boe.es/gazeta/dias/1822/02/02/pdfs/GMD-1822-33.pdf#page=6","Abrir facsímil")</f>
        <v>Abrir facsímil</v>
      </c>
      <c r="K4003" s="3" t="s">
        <v>22</v>
      </c>
    </row>
    <row r="4004" spans="1:11" ht="42" customHeight="1">
      <c r="A4004" s="2" t="s">
        <v>8049</v>
      </c>
      <c r="B4004" s="2" t="s">
        <v>8049</v>
      </c>
      <c r="C4004" s="2" t="s">
        <v>50</v>
      </c>
      <c r="D4004" s="2" t="s">
        <v>51</v>
      </c>
      <c r="E4004" s="5">
        <v>-28419</v>
      </c>
      <c r="F4004" s="3" t="s">
        <v>1392</v>
      </c>
      <c r="G4004" s="3" t="s">
        <v>57</v>
      </c>
      <c r="H4004" s="2" t="s">
        <v>20</v>
      </c>
      <c r="I4004" s="2" t="s">
        <v>8050</v>
      </c>
      <c r="J4004" s="3" t="str">
        <f>HYPERLINK("https://www.boe.es/gazeta/dias/1822/03/10/pdfs/GMD-1822-71.pdf#page=4","Abrir facsímil")</f>
        <v>Abrir facsímil</v>
      </c>
      <c r="K4004" s="3" t="s">
        <v>22</v>
      </c>
    </row>
    <row r="4005" spans="1:11" ht="42" customHeight="1">
      <c r="A4005" s="2" t="s">
        <v>8049</v>
      </c>
      <c r="B4005" s="2" t="s">
        <v>8049</v>
      </c>
      <c r="C4005" s="2" t="s">
        <v>50</v>
      </c>
      <c r="D4005" s="2" t="s">
        <v>51</v>
      </c>
      <c r="E4005" s="5">
        <v>-28418</v>
      </c>
      <c r="F4005" s="3" t="s">
        <v>205</v>
      </c>
      <c r="G4005" s="3" t="s">
        <v>44</v>
      </c>
      <c r="H4005" s="2" t="s">
        <v>20</v>
      </c>
      <c r="I4005" s="2" t="s">
        <v>8051</v>
      </c>
      <c r="J4005" s="3" t="str">
        <f>HYPERLINK("https://www.boe.es/gazeta/dias/1822/03/11/pdfs/GMD-1822-72.pdf#page=1","Abrir facsímil")</f>
        <v>Abrir facsímil</v>
      </c>
      <c r="K4005" s="3" t="s">
        <v>22</v>
      </c>
    </row>
    <row r="4006" spans="1:11" ht="42" customHeight="1">
      <c r="A4006" s="2" t="s">
        <v>8049</v>
      </c>
      <c r="B4006" s="2" t="s">
        <v>8049</v>
      </c>
      <c r="C4006" s="2" t="s">
        <v>50</v>
      </c>
      <c r="D4006" s="2" t="s">
        <v>51</v>
      </c>
      <c r="E4006" s="5">
        <v>-28418</v>
      </c>
      <c r="F4006" s="3" t="s">
        <v>205</v>
      </c>
      <c r="G4006" s="3" t="s">
        <v>35</v>
      </c>
      <c r="H4006" s="2" t="s">
        <v>20</v>
      </c>
      <c r="I4006" s="2" t="s">
        <v>8052</v>
      </c>
      <c r="J4006" s="3" t="str">
        <f>HYPERLINK("https://www.boe.es/gazeta/dias/1822/03/11/pdfs/GMD-1822-72.pdf#page=2","Abrir facsímil")</f>
        <v>Abrir facsímil</v>
      </c>
      <c r="K4006" s="3" t="s">
        <v>22</v>
      </c>
    </row>
    <row r="4007" spans="1:11" ht="42" customHeight="1">
      <c r="A4007" s="2" t="s">
        <v>8049</v>
      </c>
      <c r="B4007" s="2" t="s">
        <v>8049</v>
      </c>
      <c r="C4007" s="2" t="s">
        <v>50</v>
      </c>
      <c r="D4007" s="2" t="s">
        <v>51</v>
      </c>
      <c r="E4007" s="5">
        <v>-28418</v>
      </c>
      <c r="F4007" s="3" t="s">
        <v>205</v>
      </c>
      <c r="G4007" s="3" t="s">
        <v>63</v>
      </c>
      <c r="H4007" s="2" t="s">
        <v>20</v>
      </c>
      <c r="I4007" s="2" t="s">
        <v>8053</v>
      </c>
      <c r="J4007" s="3" t="str">
        <f>HYPERLINK("https://www.boe.es/gazeta/dias/1822/03/11/pdfs/GMD-1822-72.pdf#page=6","Abrir facsímil")</f>
        <v>Abrir facsímil</v>
      </c>
      <c r="K4007" s="3" t="s">
        <v>22</v>
      </c>
    </row>
    <row r="4008" spans="1:11" ht="42" customHeight="1">
      <c r="A4008" s="2" t="s">
        <v>8049</v>
      </c>
      <c r="B4008" s="2" t="s">
        <v>8049</v>
      </c>
      <c r="C4008" s="2" t="s">
        <v>50</v>
      </c>
      <c r="D4008" s="2" t="s">
        <v>51</v>
      </c>
      <c r="E4008" s="5">
        <v>-28418</v>
      </c>
      <c r="F4008" s="3" t="s">
        <v>205</v>
      </c>
      <c r="G4008" s="3" t="s">
        <v>167</v>
      </c>
      <c r="H4008" s="2" t="s">
        <v>20</v>
      </c>
      <c r="I4008" s="2" t="s">
        <v>8054</v>
      </c>
      <c r="J4008" s="3" t="str">
        <f>HYPERLINK("https://www.boe.es/gazeta/dias/1822/03/11/pdfs/GMD-1822-72.pdf#page=7","Abrir facsímil")</f>
        <v>Abrir facsímil</v>
      </c>
      <c r="K4008" s="3" t="s">
        <v>22</v>
      </c>
    </row>
    <row r="4009" spans="1:11" ht="42" customHeight="1">
      <c r="A4009" s="2" t="s">
        <v>8049</v>
      </c>
      <c r="B4009" s="2" t="s">
        <v>8049</v>
      </c>
      <c r="C4009" s="2" t="s">
        <v>50</v>
      </c>
      <c r="D4009" s="2" t="s">
        <v>51</v>
      </c>
      <c r="E4009" s="5">
        <v>-28314</v>
      </c>
      <c r="F4009" s="3" t="s">
        <v>309</v>
      </c>
      <c r="G4009" s="3" t="s">
        <v>44</v>
      </c>
      <c r="H4009" s="2" t="s">
        <v>20</v>
      </c>
      <c r="I4009" s="2" t="s">
        <v>8055</v>
      </c>
      <c r="J4009" s="3" t="str">
        <f>HYPERLINK("https://www.boe.es/gazeta/dias/1822/06/23/pdfs/GMD-1822-181.pdf#page=1","Abrir facsímil")</f>
        <v>Abrir facsímil</v>
      </c>
      <c r="K4009" s="3" t="s">
        <v>22</v>
      </c>
    </row>
    <row r="4010" spans="1:11" ht="42" customHeight="1">
      <c r="A4010" s="2" t="s">
        <v>8049</v>
      </c>
      <c r="B4010" s="2" t="s">
        <v>8049</v>
      </c>
      <c r="C4010" s="2" t="s">
        <v>50</v>
      </c>
      <c r="D4010" s="2" t="s">
        <v>51</v>
      </c>
      <c r="E4010" s="5">
        <v>-28171</v>
      </c>
      <c r="F4010" s="3" t="s">
        <v>1075</v>
      </c>
      <c r="G4010" s="3" t="s">
        <v>57</v>
      </c>
      <c r="H4010" s="2" t="s">
        <v>20</v>
      </c>
      <c r="I4010" s="2" t="s">
        <v>8056</v>
      </c>
      <c r="J4010" s="3" t="str">
        <f>HYPERLINK("https://www.boe.es/gazeta/dias/1822/11/13/pdfs/GMD-1822-333.pdf#page=4","Abrir facsímil")</f>
        <v>Abrir facsímil</v>
      </c>
      <c r="K4010" s="3" t="s">
        <v>22</v>
      </c>
    </row>
    <row r="4011" spans="1:11" ht="42" customHeight="1">
      <c r="A4011" s="2" t="s">
        <v>8049</v>
      </c>
      <c r="B4011" s="2" t="s">
        <v>8049</v>
      </c>
      <c r="C4011" s="2" t="s">
        <v>50</v>
      </c>
      <c r="D4011" s="2" t="s">
        <v>51</v>
      </c>
      <c r="E4011" s="5">
        <v>-28141</v>
      </c>
      <c r="F4011" s="3" t="s">
        <v>265</v>
      </c>
      <c r="G4011" s="3" t="s">
        <v>35</v>
      </c>
      <c r="H4011" s="2" t="s">
        <v>20</v>
      </c>
      <c r="I4011" s="2" t="s">
        <v>8057</v>
      </c>
      <c r="J4011" s="3" t="str">
        <f>HYPERLINK("https://www.boe.es/gazeta/dias/1822/12/13/pdfs/GMD-1822-363.pdf#page=2","Abrir facsímil")</f>
        <v>Abrir facsímil</v>
      </c>
      <c r="K4011" s="3" t="s">
        <v>22</v>
      </c>
    </row>
    <row r="4012" spans="1:11" ht="42" customHeight="1">
      <c r="A4012" s="2" t="s">
        <v>8049</v>
      </c>
      <c r="B4012" s="2" t="s">
        <v>8049</v>
      </c>
      <c r="C4012" s="2" t="s">
        <v>50</v>
      </c>
      <c r="D4012" s="2" t="s">
        <v>51</v>
      </c>
      <c r="E4012" s="5">
        <v>-28125</v>
      </c>
      <c r="F4012" s="3" t="s">
        <v>322</v>
      </c>
      <c r="G4012" s="3" t="s">
        <v>35</v>
      </c>
      <c r="H4012" s="2" t="s">
        <v>20</v>
      </c>
      <c r="I4012" s="2" t="s">
        <v>8058</v>
      </c>
      <c r="J4012" s="3" t="str">
        <f>HYPERLINK("https://www.boe.es/gazeta/dias/1822/12/29/pdfs/GMD-1822-379.pdf#page=2","Abrir facsímil")</f>
        <v>Abrir facsímil</v>
      </c>
      <c r="K4012" s="3" t="s">
        <v>22</v>
      </c>
    </row>
    <row r="4013" spans="1:11" ht="42" customHeight="1">
      <c r="A4013" s="2" t="s">
        <v>8059</v>
      </c>
      <c r="B4013" s="2" t="s">
        <v>8060</v>
      </c>
      <c r="C4013" s="2" t="s">
        <v>42</v>
      </c>
      <c r="D4013" s="2" t="s">
        <v>17</v>
      </c>
      <c r="E4013" s="5">
        <v>-28240</v>
      </c>
      <c r="F4013" s="3" t="s">
        <v>678</v>
      </c>
      <c r="G4013" s="3" t="s">
        <v>8061</v>
      </c>
      <c r="H4013" s="2" t="s">
        <v>20</v>
      </c>
      <c r="I4013" s="2" t="s">
        <v>8062</v>
      </c>
      <c r="J4013" s="3" t="str">
        <f>HYPERLINK("https://www.boe.es/gazeta/dias/1822/09/05/pdfs/GMD-1822-260.pdf#page=2","Abrir facsímil")</f>
        <v>Abrir facsímil</v>
      </c>
      <c r="K4013" s="3" t="s">
        <v>22</v>
      </c>
    </row>
    <row r="4014" spans="1:11" ht="42" customHeight="1">
      <c r="A4014" s="2" t="s">
        <v>8063</v>
      </c>
      <c r="B4014" s="2" t="s">
        <v>8064</v>
      </c>
      <c r="C4014" s="2" t="s">
        <v>50</v>
      </c>
      <c r="D4014" s="2" t="s">
        <v>51</v>
      </c>
      <c r="E4014" s="5">
        <v>-28137</v>
      </c>
      <c r="F4014" s="3" t="s">
        <v>312</v>
      </c>
      <c r="G4014" s="3" t="s">
        <v>63</v>
      </c>
      <c r="H4014" s="2" t="s">
        <v>20</v>
      </c>
      <c r="I4014" s="2" t="s">
        <v>8065</v>
      </c>
      <c r="J4014" s="3" t="str">
        <f>HYPERLINK("https://www.boe.es/gazeta/dias/1822/12/17/pdfs/GMD-1822-367.pdf#page=6","Abrir facsímil")</f>
        <v>Abrir facsímil</v>
      </c>
      <c r="K4014" s="3" t="s">
        <v>22</v>
      </c>
    </row>
    <row r="4015" spans="1:11" ht="42" customHeight="1">
      <c r="A4015" s="2" t="s">
        <v>8066</v>
      </c>
      <c r="B4015" s="2" t="s">
        <v>8067</v>
      </c>
      <c r="C4015" s="2" t="s">
        <v>50</v>
      </c>
      <c r="D4015" s="2" t="s">
        <v>51</v>
      </c>
      <c r="E4015" s="5">
        <v>-28407</v>
      </c>
      <c r="F4015" s="3" t="s">
        <v>460</v>
      </c>
      <c r="G4015" s="3" t="s">
        <v>35</v>
      </c>
      <c r="H4015" s="2" t="s">
        <v>20</v>
      </c>
      <c r="I4015" s="2" t="s">
        <v>8068</v>
      </c>
      <c r="J4015" s="3" t="str">
        <f>HYPERLINK("https://www.boe.es/gazeta/dias/1822/03/22/pdfs/GMD-1822-83.pdf#page=2","Abrir facsímil")</f>
        <v>Abrir facsímil</v>
      </c>
      <c r="K4015" s="3" t="s">
        <v>22</v>
      </c>
    </row>
    <row r="4016" spans="1:11" ht="42" customHeight="1">
      <c r="A4016" s="2" t="s">
        <v>8066</v>
      </c>
      <c r="B4016" s="2" t="s">
        <v>8067</v>
      </c>
      <c r="C4016" s="2" t="s">
        <v>50</v>
      </c>
      <c r="D4016" s="2" t="s">
        <v>51</v>
      </c>
      <c r="E4016" s="5">
        <v>-28132</v>
      </c>
      <c r="F4016" s="3" t="s">
        <v>820</v>
      </c>
      <c r="G4016" s="3" t="s">
        <v>44</v>
      </c>
      <c r="H4016" s="2" t="s">
        <v>20</v>
      </c>
      <c r="I4016" s="2" t="s">
        <v>8069</v>
      </c>
      <c r="J4016" s="3" t="str">
        <f>HYPERLINK("https://www.boe.es/gazeta/dias/1822/12/22/pdfs/GMD-1822-372.pdf#page=1","Abrir facsímil")</f>
        <v>Abrir facsímil</v>
      </c>
      <c r="K4016" s="3" t="s">
        <v>22</v>
      </c>
    </row>
    <row r="4017" spans="1:11" ht="42" customHeight="1">
      <c r="A4017" s="2" t="s">
        <v>8070</v>
      </c>
      <c r="B4017" s="2" t="s">
        <v>8071</v>
      </c>
      <c r="C4017" s="2" t="s">
        <v>50</v>
      </c>
      <c r="D4017" s="2" t="s">
        <v>51</v>
      </c>
      <c r="E4017" s="5">
        <v>-28265</v>
      </c>
      <c r="F4017" s="3" t="s">
        <v>1263</v>
      </c>
      <c r="G4017" s="3" t="s">
        <v>57</v>
      </c>
      <c r="H4017" s="2" t="s">
        <v>20</v>
      </c>
      <c r="I4017" s="2" t="s">
        <v>8072</v>
      </c>
      <c r="J4017" s="3" t="str">
        <f>HYPERLINK("https://www.boe.es/gazeta/dias/1822/08/11/pdfs/GMD-1822-235.pdf#page=4","Abrir facsímil")</f>
        <v>Abrir facsímil</v>
      </c>
      <c r="K4017" s="3" t="s">
        <v>22</v>
      </c>
    </row>
    <row r="4018" spans="1:11" ht="42" customHeight="1">
      <c r="A4018" s="2" t="s">
        <v>8073</v>
      </c>
      <c r="B4018" s="2" t="s">
        <v>8074</v>
      </c>
      <c r="C4018" s="2" t="s">
        <v>50</v>
      </c>
      <c r="D4018" s="2" t="s">
        <v>51</v>
      </c>
      <c r="E4018" s="5">
        <v>-28418</v>
      </c>
      <c r="F4018" s="3" t="s">
        <v>205</v>
      </c>
      <c r="G4018" s="3" t="s">
        <v>63</v>
      </c>
      <c r="H4018" s="2" t="s">
        <v>20</v>
      </c>
      <c r="I4018" s="2" t="s">
        <v>8075</v>
      </c>
      <c r="J4018" s="3" t="str">
        <f>HYPERLINK("https://www.boe.es/gazeta/dias/1822/03/11/pdfs/GMD-1822-72.pdf#page=6","Abrir facsímil")</f>
        <v>Abrir facsímil</v>
      </c>
      <c r="K4018" s="3" t="s">
        <v>22</v>
      </c>
    </row>
    <row r="4019" spans="1:11" ht="42" customHeight="1">
      <c r="A4019" s="2" t="s">
        <v>8076</v>
      </c>
      <c r="B4019" s="2" t="s">
        <v>8077</v>
      </c>
      <c r="C4019" s="2" t="s">
        <v>50</v>
      </c>
      <c r="D4019" s="2" t="s">
        <v>51</v>
      </c>
      <c r="E4019" s="5">
        <v>-28264</v>
      </c>
      <c r="F4019" s="3" t="s">
        <v>1329</v>
      </c>
      <c r="G4019" s="3" t="s">
        <v>57</v>
      </c>
      <c r="H4019" s="2" t="s">
        <v>20</v>
      </c>
      <c r="I4019" s="2" t="s">
        <v>8078</v>
      </c>
      <c r="J4019" s="3" t="str">
        <f>HYPERLINK("https://www.boe.es/gazeta/dias/1822/08/12/pdfs/GMD-1822-236.pdf#page=4","Abrir facsímil")</f>
        <v>Abrir facsímil</v>
      </c>
      <c r="K4019" s="3" t="s">
        <v>22</v>
      </c>
    </row>
    <row r="4020" spans="1:11" ht="42" customHeight="1">
      <c r="A4020" s="2" t="s">
        <v>8079</v>
      </c>
      <c r="B4020" s="2" t="s">
        <v>8080</v>
      </c>
      <c r="C4020" s="2" t="s">
        <v>61</v>
      </c>
      <c r="D4020" s="2" t="s">
        <v>17</v>
      </c>
      <c r="E4020" s="5">
        <v>-28391</v>
      </c>
      <c r="F4020" s="3" t="s">
        <v>378</v>
      </c>
      <c r="G4020" s="3" t="s">
        <v>63</v>
      </c>
      <c r="H4020" s="2" t="s">
        <v>20</v>
      </c>
      <c r="I4020" s="2" t="s">
        <v>8081</v>
      </c>
      <c r="J4020" s="3" t="str">
        <f>HYPERLINK("https://www.boe.es/gazeta/dias/1822/04/07/pdfs/GMD-1822-99.pdf#page=6","Abrir facsímil")</f>
        <v>Abrir facsímil</v>
      </c>
      <c r="K4020" s="3" t="s">
        <v>22</v>
      </c>
    </row>
    <row r="4021" spans="1:11" ht="42" customHeight="1">
      <c r="A4021" s="2" t="s">
        <v>8079</v>
      </c>
      <c r="B4021" s="2" t="s">
        <v>8080</v>
      </c>
      <c r="C4021" s="2" t="s">
        <v>16</v>
      </c>
      <c r="D4021" s="2" t="s">
        <v>17</v>
      </c>
      <c r="E4021" s="5">
        <v>-28382</v>
      </c>
      <c r="F4021" s="3" t="s">
        <v>973</v>
      </c>
      <c r="G4021" s="3" t="s">
        <v>63</v>
      </c>
      <c r="H4021" s="2" t="s">
        <v>20</v>
      </c>
      <c r="I4021" s="2" t="s">
        <v>8082</v>
      </c>
      <c r="J4021" s="3" t="str">
        <f>HYPERLINK("https://www.boe.es/gazeta/dias/1822/04/16/pdfs/GMD-1822-108.pdf#page=6","Abrir facsímil")</f>
        <v>Abrir facsímil</v>
      </c>
      <c r="K4021" s="3" t="s">
        <v>22</v>
      </c>
    </row>
    <row r="4022" spans="1:11" ht="42" customHeight="1">
      <c r="A4022" s="2" t="s">
        <v>8079</v>
      </c>
      <c r="B4022" s="2" t="s">
        <v>8080</v>
      </c>
      <c r="C4022" s="2" t="s">
        <v>28</v>
      </c>
      <c r="D4022" s="2" t="s">
        <v>29</v>
      </c>
      <c r="E4022" s="5">
        <v>-28235</v>
      </c>
      <c r="F4022" s="3" t="s">
        <v>1470</v>
      </c>
      <c r="G4022" s="3" t="s">
        <v>57</v>
      </c>
      <c r="H4022" s="2" t="s">
        <v>20</v>
      </c>
      <c r="I4022" s="2" t="s">
        <v>8083</v>
      </c>
      <c r="J4022" s="3" t="str">
        <f>HYPERLINK("https://www.boe.es/gazeta/dias/1822/09/10/pdfs/GMD-1822-266.pdf#page=4","Abrir facsímil")</f>
        <v>Abrir facsímil</v>
      </c>
      <c r="K4022" s="3" t="s">
        <v>22</v>
      </c>
    </row>
    <row r="4023" spans="1:11" ht="42" customHeight="1">
      <c r="A4023" s="2" t="s">
        <v>8084</v>
      </c>
      <c r="B4023" s="2" t="s">
        <v>8085</v>
      </c>
      <c r="C4023" s="2" t="s">
        <v>28</v>
      </c>
      <c r="D4023" s="2" t="s">
        <v>29</v>
      </c>
      <c r="E4023" s="5">
        <v>-28379</v>
      </c>
      <c r="F4023" s="3" t="s">
        <v>494</v>
      </c>
      <c r="G4023" s="3" t="s">
        <v>63</v>
      </c>
      <c r="H4023" s="2" t="s">
        <v>20</v>
      </c>
      <c r="I4023" s="2" t="s">
        <v>8086</v>
      </c>
      <c r="J4023" s="3" t="str">
        <f>HYPERLINK("https://www.boe.es/gazeta/dias/1822/04/19/pdfs/GMD-1822-111.pdf#page=6","Abrir facsímil")</f>
        <v>Abrir facsímil</v>
      </c>
      <c r="K4023" s="3" t="s">
        <v>22</v>
      </c>
    </row>
    <row r="4024" spans="1:11" ht="42" customHeight="1">
      <c r="A4024" s="2" t="s">
        <v>8087</v>
      </c>
      <c r="B4024" s="2" t="s">
        <v>8088</v>
      </c>
      <c r="C4024" s="2" t="s">
        <v>71</v>
      </c>
      <c r="D4024" s="2" t="s">
        <v>17</v>
      </c>
      <c r="E4024" s="5">
        <v>-28198</v>
      </c>
      <c r="F4024" s="3" t="s">
        <v>981</v>
      </c>
      <c r="G4024" s="3" t="s">
        <v>63</v>
      </c>
      <c r="H4024" s="2" t="s">
        <v>20</v>
      </c>
      <c r="I4024" s="2" t="s">
        <v>8089</v>
      </c>
      <c r="J4024" s="3" t="str">
        <f>HYPERLINK("https://www.boe.es/gazeta/dias/1822/10/17/pdfs/GMD-1822-304.pdf#page=6","Abrir facsímil")</f>
        <v>Abrir facsímil</v>
      </c>
      <c r="K4024" s="3" t="s">
        <v>22</v>
      </c>
    </row>
    <row r="4025" spans="1:11" ht="42" customHeight="1">
      <c r="A4025" s="2" t="s">
        <v>8090</v>
      </c>
      <c r="B4025" s="2" t="s">
        <v>8091</v>
      </c>
      <c r="C4025" s="2" t="s">
        <v>61</v>
      </c>
      <c r="D4025" s="2" t="s">
        <v>17</v>
      </c>
      <c r="E4025" s="5">
        <v>-28264</v>
      </c>
      <c r="F4025" s="3" t="s">
        <v>1329</v>
      </c>
      <c r="G4025" s="3" t="s">
        <v>31</v>
      </c>
      <c r="H4025" s="2" t="s">
        <v>20</v>
      </c>
      <c r="I4025" s="2" t="s">
        <v>8092</v>
      </c>
      <c r="J4025" s="3" t="str">
        <f>HYPERLINK("https://www.boe.es/gazeta/dias/1822/08/12/pdfs/GMD-1822-236.pdf#page=3","Abrir facsímil")</f>
        <v>Abrir facsímil</v>
      </c>
      <c r="K4025" s="3" t="s">
        <v>22</v>
      </c>
    </row>
    <row r="4026" spans="1:11" ht="42" customHeight="1">
      <c r="A4026" s="2" t="s">
        <v>8093</v>
      </c>
      <c r="B4026" s="2" t="s">
        <v>8094</v>
      </c>
      <c r="C4026" s="2" t="s">
        <v>50</v>
      </c>
      <c r="D4026" s="2" t="s">
        <v>51</v>
      </c>
      <c r="E4026" s="5">
        <v>-28431</v>
      </c>
      <c r="F4026" s="3" t="s">
        <v>1258</v>
      </c>
      <c r="G4026" s="3" t="s">
        <v>31</v>
      </c>
      <c r="H4026" s="2" t="s">
        <v>20</v>
      </c>
      <c r="I4026" s="2" t="s">
        <v>8095</v>
      </c>
      <c r="J4026" s="3" t="str">
        <f>HYPERLINK("https://www.boe.es/gazeta/dias/1822/02/26/pdfs/GMD-1822-58.pdf#page=3","Abrir facsímil")</f>
        <v>Abrir facsímil</v>
      </c>
      <c r="K4026" s="3" t="s">
        <v>22</v>
      </c>
    </row>
    <row r="4027" spans="1:11" ht="42" customHeight="1">
      <c r="A4027" s="2" t="s">
        <v>8093</v>
      </c>
      <c r="B4027" s="2" t="s">
        <v>8094</v>
      </c>
      <c r="C4027" s="2" t="s">
        <v>42</v>
      </c>
      <c r="D4027" s="2" t="s">
        <v>17</v>
      </c>
      <c r="E4027" s="5">
        <v>-28392</v>
      </c>
      <c r="F4027" s="3" t="s">
        <v>2003</v>
      </c>
      <c r="G4027" s="3" t="s">
        <v>35</v>
      </c>
      <c r="H4027" s="2" t="s">
        <v>20</v>
      </c>
      <c r="I4027" s="2" t="s">
        <v>8096</v>
      </c>
      <c r="J4027" s="3" t="str">
        <f>HYPERLINK("https://www.boe.es/gazeta/dias/1822/04/06/pdfs/GMD-1822-98.pdf#page=2","Abrir facsímil")</f>
        <v>Abrir facsímil</v>
      </c>
      <c r="K4027" s="3" t="s">
        <v>22</v>
      </c>
    </row>
    <row r="4028" spans="1:11" ht="42" customHeight="1">
      <c r="A4028" s="2" t="s">
        <v>8097</v>
      </c>
      <c r="B4028" s="2" t="s">
        <v>8098</v>
      </c>
      <c r="C4028" s="2" t="s">
        <v>71</v>
      </c>
      <c r="D4028" s="2" t="s">
        <v>17</v>
      </c>
      <c r="E4028" s="5">
        <v>-28278</v>
      </c>
      <c r="F4028" s="3" t="s">
        <v>368</v>
      </c>
      <c r="G4028" s="3" t="s">
        <v>35</v>
      </c>
      <c r="H4028" s="2" t="s">
        <v>20</v>
      </c>
      <c r="I4028" s="2" t="s">
        <v>8099</v>
      </c>
      <c r="J4028" s="3" t="str">
        <f>HYPERLINK("https://www.boe.es/gazeta/dias/1822/07/29/pdfs/GMD-1822-222.pdf#page=2","Abrir facsímil")</f>
        <v>Abrir facsímil</v>
      </c>
      <c r="K4028" s="3" t="s">
        <v>22</v>
      </c>
    </row>
    <row r="4029" spans="1:11" ht="42" customHeight="1">
      <c r="A4029" s="2" t="s">
        <v>8100</v>
      </c>
      <c r="B4029" s="2" t="s">
        <v>8101</v>
      </c>
      <c r="C4029" s="2" t="s">
        <v>42</v>
      </c>
      <c r="D4029" s="2" t="s">
        <v>17</v>
      </c>
      <c r="E4029" s="5">
        <v>-28477</v>
      </c>
      <c r="F4029" s="3" t="s">
        <v>1668</v>
      </c>
      <c r="G4029" s="3" t="s">
        <v>57</v>
      </c>
      <c r="H4029" s="2" t="s">
        <v>20</v>
      </c>
      <c r="I4029" s="2" t="s">
        <v>8102</v>
      </c>
      <c r="J4029" s="3" t="str">
        <f>HYPERLINK("https://www.boe.es/gazeta/dias/1822/01/11/pdfs/GMD-1822-11.pdf#page=4","Abrir facsímil")</f>
        <v>Abrir facsímil</v>
      </c>
      <c r="K4029" s="3" t="s">
        <v>22</v>
      </c>
    </row>
    <row r="4030" spans="1:11" ht="42" customHeight="1">
      <c r="A4030" s="2" t="s">
        <v>8103</v>
      </c>
      <c r="B4030" s="2" t="s">
        <v>8104</v>
      </c>
      <c r="C4030" s="2" t="s">
        <v>61</v>
      </c>
      <c r="D4030" s="2" t="s">
        <v>17</v>
      </c>
      <c r="E4030" s="5">
        <v>-28417</v>
      </c>
      <c r="F4030" s="3" t="s">
        <v>1394</v>
      </c>
      <c r="G4030" s="3" t="s">
        <v>31</v>
      </c>
      <c r="H4030" s="2" t="s">
        <v>20</v>
      </c>
      <c r="I4030" s="2" t="s">
        <v>8105</v>
      </c>
      <c r="J4030" s="3" t="str">
        <f>HYPERLINK("https://www.boe.es/gazeta/dias/1822/03/12/pdfs/GMD-1822-73.pdf#page=3","Abrir facsímil")</f>
        <v>Abrir facsímil</v>
      </c>
      <c r="K4030" s="3" t="s">
        <v>22</v>
      </c>
    </row>
    <row r="4031" spans="1:11" ht="42" customHeight="1">
      <c r="A4031" s="2" t="s">
        <v>8106</v>
      </c>
      <c r="B4031" s="2" t="s">
        <v>8107</v>
      </c>
      <c r="C4031" s="2" t="s">
        <v>50</v>
      </c>
      <c r="D4031" s="2" t="s">
        <v>51</v>
      </c>
      <c r="E4031" s="5">
        <v>-28249</v>
      </c>
      <c r="F4031" s="3" t="s">
        <v>3986</v>
      </c>
      <c r="G4031" s="3" t="s">
        <v>35</v>
      </c>
      <c r="H4031" s="2" t="s">
        <v>20</v>
      </c>
      <c r="I4031" s="2" t="s">
        <v>8108</v>
      </c>
      <c r="J4031" s="3" t="str">
        <f>HYPERLINK("https://www.boe.es/gazeta/dias/1822/08/27/pdfs/GMD-1822-251.pdf#page=2","Abrir facsímil")</f>
        <v>Abrir facsímil</v>
      </c>
      <c r="K4031" s="3" t="s">
        <v>22</v>
      </c>
    </row>
    <row r="4032" spans="1:11" ht="42" customHeight="1">
      <c r="A4032" s="2" t="s">
        <v>8109</v>
      </c>
      <c r="B4032" s="2" t="s">
        <v>8109</v>
      </c>
      <c r="C4032" s="2" t="s">
        <v>42</v>
      </c>
      <c r="D4032" s="2" t="s">
        <v>17</v>
      </c>
      <c r="E4032" s="5">
        <v>-28477</v>
      </c>
      <c r="F4032" s="3" t="s">
        <v>1668</v>
      </c>
      <c r="G4032" s="3" t="s">
        <v>19</v>
      </c>
      <c r="H4032" s="2" t="s">
        <v>20</v>
      </c>
      <c r="I4032" s="2" t="s">
        <v>8110</v>
      </c>
      <c r="J4032" s="3" t="str">
        <f>HYPERLINK("https://www.boe.es/gazeta/dias/1822/01/11/pdfs/GMD-1822-11.pdf#page=5","Abrir facsímil")</f>
        <v>Abrir facsímil</v>
      </c>
      <c r="K4032" s="3" t="s">
        <v>22</v>
      </c>
    </row>
    <row r="4033" spans="1:11" ht="42" customHeight="1">
      <c r="A4033" s="2" t="s">
        <v>8111</v>
      </c>
      <c r="B4033" s="2" t="s">
        <v>8111</v>
      </c>
      <c r="C4033" s="2" t="s">
        <v>28</v>
      </c>
      <c r="D4033" s="2" t="s">
        <v>29</v>
      </c>
      <c r="E4033" s="5">
        <v>-28244</v>
      </c>
      <c r="F4033" s="3" t="s">
        <v>6163</v>
      </c>
      <c r="G4033" s="3" t="s">
        <v>35</v>
      </c>
      <c r="H4033" s="2" t="s">
        <v>20</v>
      </c>
      <c r="I4033" s="2" t="s">
        <v>8112</v>
      </c>
      <c r="J4033" s="3" t="str">
        <f>HYPERLINK("https://www.boe.es/gazeta/dias/1822/09/01/pdfs/GMD-1822-256.pdf#page=2","Abrir facsímil")</f>
        <v>Abrir facsímil</v>
      </c>
      <c r="K4033" s="3" t="s">
        <v>22</v>
      </c>
    </row>
    <row r="4034" spans="1:11" ht="42" customHeight="1">
      <c r="A4034" s="2" t="s">
        <v>8113</v>
      </c>
      <c r="B4034" s="2" t="s">
        <v>8113</v>
      </c>
      <c r="C4034" s="2" t="s">
        <v>50</v>
      </c>
      <c r="D4034" s="2" t="s">
        <v>51</v>
      </c>
      <c r="E4034" s="5">
        <v>-28161</v>
      </c>
      <c r="F4034" s="3" t="s">
        <v>166</v>
      </c>
      <c r="G4034" s="3" t="s">
        <v>157</v>
      </c>
      <c r="H4034" s="2" t="s">
        <v>20</v>
      </c>
      <c r="I4034" s="2" t="s">
        <v>8114</v>
      </c>
      <c r="J4034" s="3" t="str">
        <f>HYPERLINK("https://www.boe.es/gazeta/dias/1822/11/23/pdfs/GMD-1822-343.pdf#page=8","Abrir facsímil")</f>
        <v>Abrir facsímil</v>
      </c>
      <c r="K4034" s="3" t="s">
        <v>22</v>
      </c>
    </row>
    <row r="4035" spans="1:11" ht="42" customHeight="1">
      <c r="A4035" s="2" t="s">
        <v>8115</v>
      </c>
      <c r="B4035" s="2" t="s">
        <v>8116</v>
      </c>
      <c r="C4035" s="2" t="s">
        <v>362</v>
      </c>
      <c r="D4035" s="2" t="s">
        <v>17</v>
      </c>
      <c r="E4035" s="5">
        <v>-28314</v>
      </c>
      <c r="F4035" s="3" t="s">
        <v>309</v>
      </c>
      <c r="G4035" s="3" t="s">
        <v>63</v>
      </c>
      <c r="H4035" s="2" t="s">
        <v>20</v>
      </c>
      <c r="I4035" s="2" t="s">
        <v>8117</v>
      </c>
      <c r="J4035" s="3" t="str">
        <f>HYPERLINK("https://www.boe.es/gazeta/dias/1822/06/23/pdfs/GMD-1822-181.pdf#page=6","Abrir facsímil")</f>
        <v>Abrir facsímil</v>
      </c>
      <c r="K4035" s="3" t="s">
        <v>22</v>
      </c>
    </row>
    <row r="4036" spans="1:11" ht="42" customHeight="1">
      <c r="A4036" s="2" t="s">
        <v>8118</v>
      </c>
      <c r="B4036" s="2" t="s">
        <v>8119</v>
      </c>
      <c r="C4036" s="2" t="s">
        <v>42</v>
      </c>
      <c r="D4036" s="2" t="s">
        <v>17</v>
      </c>
      <c r="E4036" s="5">
        <v>-28131</v>
      </c>
      <c r="F4036" s="3" t="s">
        <v>893</v>
      </c>
      <c r="G4036" s="3" t="s">
        <v>991</v>
      </c>
      <c r="H4036" s="2" t="s">
        <v>20</v>
      </c>
      <c r="I4036" s="2" t="s">
        <v>8120</v>
      </c>
      <c r="J4036" s="3" t="str">
        <f>HYPERLINK("https://www.boe.es/gazeta/dias/1822/12/23/pdfs/GMD-1822-373.pdf#page=6","Abrir facsímil")</f>
        <v>Abrir facsímil</v>
      </c>
      <c r="K4036" s="3" t="s">
        <v>22</v>
      </c>
    </row>
    <row r="4037" spans="1:11" ht="42" customHeight="1">
      <c r="A4037" s="2" t="s">
        <v>8121</v>
      </c>
      <c r="B4037" s="2" t="s">
        <v>8121</v>
      </c>
      <c r="C4037" s="2" t="s">
        <v>50</v>
      </c>
      <c r="D4037" s="2" t="s">
        <v>51</v>
      </c>
      <c r="E4037" s="5">
        <v>-28238</v>
      </c>
      <c r="F4037" s="3" t="s">
        <v>2077</v>
      </c>
      <c r="G4037" s="3" t="s">
        <v>35</v>
      </c>
      <c r="H4037" s="2" t="s">
        <v>20</v>
      </c>
      <c r="I4037" s="2" t="s">
        <v>8122</v>
      </c>
      <c r="J4037" s="3" t="str">
        <f>HYPERLINK("https://www.boe.es/gazeta/dias/1822/09/07/pdfs/GMD-1822-262.pdf#page=2","Abrir facsímil")</f>
        <v>Abrir facsímil</v>
      </c>
      <c r="K4037" s="3" t="s">
        <v>22</v>
      </c>
    </row>
    <row r="4038" spans="1:11" ht="42" customHeight="1">
      <c r="A4038" s="2" t="s">
        <v>8123</v>
      </c>
      <c r="B4038" s="2" t="s">
        <v>8123</v>
      </c>
      <c r="C4038" s="2" t="s">
        <v>50</v>
      </c>
      <c r="D4038" s="2" t="s">
        <v>51</v>
      </c>
      <c r="E4038" s="5">
        <v>-28241</v>
      </c>
      <c r="F4038" s="3" t="s">
        <v>3068</v>
      </c>
      <c r="G4038" s="3" t="s">
        <v>35</v>
      </c>
      <c r="H4038" s="2" t="s">
        <v>20</v>
      </c>
      <c r="I4038" s="2" t="s">
        <v>8124</v>
      </c>
      <c r="J4038" s="3" t="str">
        <f>HYPERLINK("https://www.boe.es/gazeta/dias/1822/09/04/pdfs/GMD-1822-259.pdf#page=2","Abrir facsímil")</f>
        <v>Abrir facsímil</v>
      </c>
      <c r="K4038" s="3" t="s">
        <v>22</v>
      </c>
    </row>
    <row r="4039" spans="1:11" ht="42" customHeight="1">
      <c r="A4039" s="2" t="s">
        <v>8125</v>
      </c>
      <c r="B4039" s="2" t="s">
        <v>8125</v>
      </c>
      <c r="C4039" s="2" t="s">
        <v>71</v>
      </c>
      <c r="D4039" s="2" t="s">
        <v>17</v>
      </c>
      <c r="E4039" s="5">
        <v>-28209</v>
      </c>
      <c r="F4039" s="3" t="s">
        <v>748</v>
      </c>
      <c r="G4039" s="3" t="s">
        <v>35</v>
      </c>
      <c r="H4039" s="2" t="s">
        <v>20</v>
      </c>
      <c r="I4039" s="2" t="s">
        <v>8126</v>
      </c>
      <c r="J4039" s="3" t="str">
        <f>HYPERLINK("https://www.boe.es/gazeta/dias/1822/10/06/pdfs/GMD-1822-292.pdf#page=2","Abrir facsímil")</f>
        <v>Abrir facsímil</v>
      </c>
      <c r="K4039" s="3" t="s">
        <v>22</v>
      </c>
    </row>
    <row r="4040" spans="1:11" ht="42" customHeight="1">
      <c r="A4040" s="2" t="s">
        <v>8125</v>
      </c>
      <c r="B4040" s="2" t="s">
        <v>8125</v>
      </c>
      <c r="C4040" s="2" t="s">
        <v>50</v>
      </c>
      <c r="D4040" s="2" t="s">
        <v>51</v>
      </c>
      <c r="E4040" s="5">
        <v>-28125</v>
      </c>
      <c r="F4040" s="3" t="s">
        <v>322</v>
      </c>
      <c r="G4040" s="3" t="s">
        <v>19</v>
      </c>
      <c r="H4040" s="2" t="s">
        <v>20</v>
      </c>
      <c r="I4040" s="2" t="s">
        <v>8127</v>
      </c>
      <c r="J4040" s="3" t="str">
        <f>HYPERLINK("https://www.boe.es/gazeta/dias/1822/12/29/pdfs/GMD-1822-379.pdf#page=5","Abrir facsímil")</f>
        <v>Abrir facsímil</v>
      </c>
      <c r="K4040" s="3" t="s">
        <v>22</v>
      </c>
    </row>
    <row r="4041" spans="1:11" ht="42" customHeight="1">
      <c r="A4041" s="2" t="s">
        <v>8128</v>
      </c>
      <c r="B4041" s="2" t="s">
        <v>8129</v>
      </c>
      <c r="C4041" s="2" t="s">
        <v>42</v>
      </c>
      <c r="D4041" s="2" t="s">
        <v>17</v>
      </c>
      <c r="E4041" s="5">
        <v>-28230</v>
      </c>
      <c r="F4041" s="3" t="s">
        <v>1735</v>
      </c>
      <c r="G4041" s="3" t="s">
        <v>44</v>
      </c>
      <c r="H4041" s="2" t="s">
        <v>20</v>
      </c>
      <c r="I4041" s="2" t="s">
        <v>8130</v>
      </c>
      <c r="J4041" s="3" t="str">
        <f>HYPERLINK("https://www.boe.es/gazeta/dias/1822/09/15/pdfs/GMD-1822-271.pdf#page=1","Abrir facsímil")</f>
        <v>Abrir facsímil</v>
      </c>
      <c r="K4041" s="3" t="s">
        <v>22</v>
      </c>
    </row>
    <row r="4042" spans="1:11" ht="42" customHeight="1">
      <c r="A4042" s="2" t="s">
        <v>8131</v>
      </c>
      <c r="B4042" s="2" t="s">
        <v>8132</v>
      </c>
      <c r="C4042" s="2" t="s">
        <v>61</v>
      </c>
      <c r="D4042" s="2" t="s">
        <v>17</v>
      </c>
      <c r="E4042" s="5">
        <v>-28147</v>
      </c>
      <c r="F4042" s="3" t="s">
        <v>1611</v>
      </c>
      <c r="G4042" s="3" t="s">
        <v>63</v>
      </c>
      <c r="H4042" s="2" t="s">
        <v>20</v>
      </c>
      <c r="I4042" s="2" t="s">
        <v>8133</v>
      </c>
      <c r="J4042" s="3" t="str">
        <f>HYPERLINK("https://www.boe.es/gazeta/dias/1822/12/07/pdfs/GMD-1822-357.pdf#page=6","Abrir facsímil")</f>
        <v>Abrir facsímil</v>
      </c>
      <c r="K4042" s="3" t="s">
        <v>22</v>
      </c>
    </row>
    <row r="4043" spans="1:11" ht="42" customHeight="1">
      <c r="A4043" s="2" t="s">
        <v>8134</v>
      </c>
      <c r="B4043" s="2" t="s">
        <v>8134</v>
      </c>
      <c r="C4043" s="2" t="s">
        <v>50</v>
      </c>
      <c r="D4043" s="2" t="s">
        <v>51</v>
      </c>
      <c r="E4043" s="5">
        <v>-28230</v>
      </c>
      <c r="F4043" s="3" t="s">
        <v>1735</v>
      </c>
      <c r="G4043" s="3" t="s">
        <v>31</v>
      </c>
      <c r="H4043" s="2" t="s">
        <v>20</v>
      </c>
      <c r="I4043" s="2" t="s">
        <v>8135</v>
      </c>
      <c r="J4043" s="3" t="str">
        <f>HYPERLINK("https://www.boe.es/gazeta/dias/1822/09/15/pdfs/GMD-1822-271.pdf#page=3","Abrir facsímil")</f>
        <v>Abrir facsímil</v>
      </c>
      <c r="K4043" s="3" t="s">
        <v>22</v>
      </c>
    </row>
    <row r="4044" spans="1:11" ht="42" customHeight="1">
      <c r="A4044" s="2" t="s">
        <v>8136</v>
      </c>
      <c r="B4044" s="2" t="s">
        <v>8136</v>
      </c>
      <c r="C4044" s="2" t="s">
        <v>16</v>
      </c>
      <c r="D4044" s="2" t="s">
        <v>17</v>
      </c>
      <c r="E4044" s="5">
        <v>-28134</v>
      </c>
      <c r="F4044" s="3" t="s">
        <v>620</v>
      </c>
      <c r="G4044" s="3" t="s">
        <v>57</v>
      </c>
      <c r="H4044" s="2" t="s">
        <v>20</v>
      </c>
      <c r="I4044" s="2" t="s">
        <v>8137</v>
      </c>
      <c r="J4044" s="3" t="str">
        <f>HYPERLINK("https://www.boe.es/gazeta/dias/1822/12/20/pdfs/GMD-1822-370.pdf#page=4","Abrir facsímil")</f>
        <v>Abrir facsímil</v>
      </c>
      <c r="K4044" s="3" t="s">
        <v>22</v>
      </c>
    </row>
    <row r="4045" spans="1:11" ht="42" customHeight="1">
      <c r="A4045" s="2" t="s">
        <v>8138</v>
      </c>
      <c r="B4045" s="2" t="s">
        <v>8138</v>
      </c>
      <c r="C4045" s="2" t="s">
        <v>71</v>
      </c>
      <c r="D4045" s="2" t="s">
        <v>17</v>
      </c>
      <c r="E4045" s="5">
        <v>-28453</v>
      </c>
      <c r="F4045" s="3" t="s">
        <v>2039</v>
      </c>
      <c r="G4045" s="3" t="s">
        <v>35</v>
      </c>
      <c r="H4045" s="2" t="s">
        <v>20</v>
      </c>
      <c r="I4045" s="2" t="s">
        <v>8139</v>
      </c>
      <c r="J4045" s="3" t="str">
        <f>HYPERLINK("https://www.boe.es/gazeta/dias/1822/02/04/pdfs/GMD-1822-35.pdf#page=2","Abrir facsímil")</f>
        <v>Abrir facsímil</v>
      </c>
      <c r="K4045" s="3" t="s">
        <v>22</v>
      </c>
    </row>
    <row r="4046" spans="1:11" ht="42" customHeight="1">
      <c r="A4046" s="2" t="s">
        <v>8140</v>
      </c>
      <c r="B4046" s="2" t="s">
        <v>8140</v>
      </c>
      <c r="C4046" s="2" t="s">
        <v>50</v>
      </c>
      <c r="D4046" s="2" t="s">
        <v>51</v>
      </c>
      <c r="E4046" s="5">
        <v>-28371</v>
      </c>
      <c r="F4046" s="3" t="s">
        <v>401</v>
      </c>
      <c r="G4046" s="3" t="s">
        <v>19</v>
      </c>
      <c r="H4046" s="2" t="s">
        <v>20</v>
      </c>
      <c r="I4046" s="2" t="s">
        <v>8141</v>
      </c>
      <c r="J4046" s="3" t="str">
        <f>HYPERLINK("https://www.boe.es/gazeta/dias/1822/04/27/pdfs/GMD-1822-119.pdf#page=5","Abrir facsímil")</f>
        <v>Abrir facsímil</v>
      </c>
      <c r="K4046" s="3" t="s">
        <v>22</v>
      </c>
    </row>
    <row r="4047" spans="1:11" ht="42" customHeight="1">
      <c r="A4047" s="2" t="s">
        <v>8142</v>
      </c>
      <c r="B4047" s="2" t="s">
        <v>8143</v>
      </c>
      <c r="C4047" s="2" t="s">
        <v>50</v>
      </c>
      <c r="D4047" s="2" t="s">
        <v>51</v>
      </c>
      <c r="E4047" s="5">
        <v>-28346</v>
      </c>
      <c r="F4047" s="3" t="s">
        <v>191</v>
      </c>
      <c r="G4047" s="3" t="s">
        <v>2823</v>
      </c>
      <c r="H4047" s="2" t="s">
        <v>20</v>
      </c>
      <c r="I4047" s="2" t="s">
        <v>8144</v>
      </c>
      <c r="J4047" s="3" t="str">
        <f>HYPERLINK("https://www.boe.es/gazeta/dias/1822/05/22/pdfs/GMD-1822-145.pdf#page=4","Abrir facsímil")</f>
        <v>Abrir facsímil</v>
      </c>
      <c r="K4047" s="3" t="s">
        <v>22</v>
      </c>
    </row>
    <row r="4048" spans="1:11" ht="42" customHeight="1">
      <c r="A4048" s="2" t="s">
        <v>8145</v>
      </c>
      <c r="B4048" s="2" t="s">
        <v>8145</v>
      </c>
      <c r="C4048" s="2" t="s">
        <v>50</v>
      </c>
      <c r="D4048" s="2" t="s">
        <v>51</v>
      </c>
      <c r="E4048" s="5">
        <v>-28340</v>
      </c>
      <c r="F4048" s="3" t="s">
        <v>139</v>
      </c>
      <c r="G4048" s="3" t="s">
        <v>35</v>
      </c>
      <c r="H4048" s="2" t="s">
        <v>20</v>
      </c>
      <c r="I4048" s="2" t="s">
        <v>8146</v>
      </c>
      <c r="J4048" s="3" t="str">
        <f>HYPERLINK("https://www.boe.es/gazeta/dias/1822/05/28/pdfs/GMD-1822-153.pdf#page=2","Abrir facsímil")</f>
        <v>Abrir facsímil</v>
      </c>
      <c r="K4048" s="3" t="s">
        <v>22</v>
      </c>
    </row>
    <row r="4049" spans="1:11" ht="42" customHeight="1">
      <c r="A4049" s="2" t="s">
        <v>8147</v>
      </c>
      <c r="B4049" s="2" t="s">
        <v>8148</v>
      </c>
      <c r="C4049" s="2" t="s">
        <v>362</v>
      </c>
      <c r="D4049" s="2" t="s">
        <v>17</v>
      </c>
      <c r="E4049" s="5">
        <v>-28160</v>
      </c>
      <c r="F4049" s="3" t="s">
        <v>148</v>
      </c>
      <c r="G4049" s="3" t="s">
        <v>19</v>
      </c>
      <c r="H4049" s="2" t="s">
        <v>20</v>
      </c>
      <c r="I4049" s="2" t="s">
        <v>8149</v>
      </c>
      <c r="J4049" s="3" t="str">
        <f>HYPERLINK("https://www.boe.es/gazeta/dias/1822/11/24/pdfs/GMD-1822-344.pdf#page=5","Abrir facsímil")</f>
        <v>Abrir facsímil</v>
      </c>
      <c r="K4049" s="3" t="s">
        <v>22</v>
      </c>
    </row>
    <row r="4050" spans="1:11" ht="42" customHeight="1">
      <c r="A4050" s="2" t="s">
        <v>8150</v>
      </c>
      <c r="B4050" s="2" t="s">
        <v>8151</v>
      </c>
      <c r="C4050" s="2" t="s">
        <v>42</v>
      </c>
      <c r="D4050" s="2" t="s">
        <v>17</v>
      </c>
      <c r="E4050" s="5">
        <v>-28168</v>
      </c>
      <c r="F4050" s="3" t="s">
        <v>3672</v>
      </c>
      <c r="G4050" s="3" t="s">
        <v>57</v>
      </c>
      <c r="H4050" s="2" t="s">
        <v>20</v>
      </c>
      <c r="I4050" s="2" t="s">
        <v>8152</v>
      </c>
      <c r="J4050" s="3" t="str">
        <f>HYPERLINK("https://www.boe.es/gazeta/dias/1822/11/16/pdfs/GMD-1822-336.pdf#page=4","Abrir facsímil")</f>
        <v>Abrir facsímil</v>
      </c>
      <c r="K4050" s="3" t="s">
        <v>22</v>
      </c>
    </row>
    <row r="4051" spans="1:11" ht="42" customHeight="1">
      <c r="A4051" s="2" t="s">
        <v>8153</v>
      </c>
      <c r="B4051" s="2" t="s">
        <v>8154</v>
      </c>
      <c r="C4051" s="2" t="s">
        <v>50</v>
      </c>
      <c r="D4051" s="2" t="s">
        <v>51</v>
      </c>
      <c r="E4051" s="5">
        <v>-28260</v>
      </c>
      <c r="F4051" s="3" t="s">
        <v>135</v>
      </c>
      <c r="G4051" s="3" t="s">
        <v>35</v>
      </c>
      <c r="H4051" s="2" t="s">
        <v>45</v>
      </c>
      <c r="I4051" s="2" t="s">
        <v>8155</v>
      </c>
      <c r="J4051" s="3" t="str">
        <f>HYPERLINK("https://www.boe.es/gazeta/dias/1822/08/16/pdfs/GMD-1822-240.pdf#page=2","Abrir facsímil")</f>
        <v>Abrir facsímil</v>
      </c>
      <c r="K4051" s="3" t="s">
        <v>47</v>
      </c>
    </row>
    <row r="4052" spans="1:11" ht="42" customHeight="1">
      <c r="A4052" s="2" t="s">
        <v>8156</v>
      </c>
      <c r="B4052" s="2" t="s">
        <v>8157</v>
      </c>
      <c r="C4052" s="2" t="s">
        <v>50</v>
      </c>
      <c r="D4052" s="2" t="s">
        <v>51</v>
      </c>
      <c r="E4052" s="5">
        <v>-28208</v>
      </c>
      <c r="F4052" s="3" t="s">
        <v>230</v>
      </c>
      <c r="G4052" s="3" t="s">
        <v>57</v>
      </c>
      <c r="H4052" s="2" t="s">
        <v>20</v>
      </c>
      <c r="I4052" s="2" t="s">
        <v>8158</v>
      </c>
      <c r="J4052" s="3" t="str">
        <f>HYPERLINK("https://www.boe.es/gazeta/dias/1822/10/07/pdfs/GMD-1822-293.pdf#page=4","Abrir facsímil")</f>
        <v>Abrir facsímil</v>
      </c>
      <c r="K4052" s="3" t="s">
        <v>22</v>
      </c>
    </row>
    <row r="4053" spans="1:11" ht="42" customHeight="1">
      <c r="A4053" s="2" t="s">
        <v>8159</v>
      </c>
      <c r="B4053" s="2" t="s">
        <v>8159</v>
      </c>
      <c r="C4053" s="2" t="s">
        <v>42</v>
      </c>
      <c r="D4053" s="2" t="s">
        <v>17</v>
      </c>
      <c r="E4053" s="5">
        <v>-28162</v>
      </c>
      <c r="F4053" s="3" t="s">
        <v>3949</v>
      </c>
      <c r="G4053" s="3" t="s">
        <v>35</v>
      </c>
      <c r="H4053" s="2" t="s">
        <v>20</v>
      </c>
      <c r="I4053" s="2" t="s">
        <v>8160</v>
      </c>
      <c r="J4053" s="3" t="str">
        <f>HYPERLINK("https://www.boe.es/gazeta/dias/1822/11/22/pdfs/GMD-1822-342.pdf#page=2","Abrir facsímil")</f>
        <v>Abrir facsímil</v>
      </c>
      <c r="K4053" s="3" t="s">
        <v>22</v>
      </c>
    </row>
    <row r="4054" spans="1:11" ht="42" customHeight="1">
      <c r="A4054" s="2" t="s">
        <v>8161</v>
      </c>
      <c r="B4054" s="2" t="s">
        <v>8162</v>
      </c>
      <c r="C4054" s="2" t="s">
        <v>50</v>
      </c>
      <c r="D4054" s="2" t="s">
        <v>51</v>
      </c>
      <c r="E4054" s="5">
        <v>-28373</v>
      </c>
      <c r="F4054" s="3" t="s">
        <v>614</v>
      </c>
      <c r="G4054" s="3" t="s">
        <v>57</v>
      </c>
      <c r="H4054" s="2" t="s">
        <v>20</v>
      </c>
      <c r="I4054" s="2" t="s">
        <v>8163</v>
      </c>
      <c r="J4054" s="3" t="str">
        <f>HYPERLINK("https://www.boe.es/gazeta/dias/1822/04/25/pdfs/GMD-1822-117.pdf#page=4","Abrir facsímil")</f>
        <v>Abrir facsímil</v>
      </c>
      <c r="K4054" s="3" t="s">
        <v>22</v>
      </c>
    </row>
    <row r="4055" spans="1:11" ht="42" customHeight="1">
      <c r="A4055" s="2" t="s">
        <v>8164</v>
      </c>
      <c r="B4055" s="2" t="s">
        <v>8164</v>
      </c>
      <c r="C4055" s="2" t="s">
        <v>42</v>
      </c>
      <c r="D4055" s="2" t="s">
        <v>17</v>
      </c>
      <c r="E4055" s="5">
        <v>-28454</v>
      </c>
      <c r="F4055" s="3" t="s">
        <v>2033</v>
      </c>
      <c r="G4055" s="3" t="s">
        <v>63</v>
      </c>
      <c r="H4055" s="2" t="s">
        <v>20</v>
      </c>
      <c r="I4055" s="2" t="s">
        <v>8165</v>
      </c>
      <c r="J4055" s="3" t="str">
        <f>HYPERLINK("https://www.boe.es/gazeta/dias/1822/02/03/pdfs/GMD-1822-34.pdf#page=6","Abrir facsímil")</f>
        <v>Abrir facsímil</v>
      </c>
      <c r="K4055" s="3" t="s">
        <v>22</v>
      </c>
    </row>
    <row r="4056" spans="1:11" ht="42" customHeight="1">
      <c r="A4056" s="2" t="s">
        <v>8166</v>
      </c>
      <c r="B4056" s="2" t="s">
        <v>8166</v>
      </c>
      <c r="C4056" s="2" t="s">
        <v>71</v>
      </c>
      <c r="D4056" s="2" t="s">
        <v>17</v>
      </c>
      <c r="E4056" s="5">
        <v>-28464</v>
      </c>
      <c r="F4056" s="3" t="s">
        <v>1447</v>
      </c>
      <c r="G4056" s="3" t="s">
        <v>31</v>
      </c>
      <c r="H4056" s="2" t="s">
        <v>20</v>
      </c>
      <c r="I4056" s="2" t="s">
        <v>8167</v>
      </c>
      <c r="J4056" s="3" t="str">
        <f>HYPERLINK("https://www.boe.es/gazeta/dias/1822/01/24/pdfs/GMD-1822-24.pdf#page=3","Abrir facsímil")</f>
        <v>Abrir facsímil</v>
      </c>
      <c r="K4056" s="3" t="s">
        <v>22</v>
      </c>
    </row>
    <row r="4057" spans="1:11" ht="42" customHeight="1">
      <c r="A4057" s="2" t="s">
        <v>8168</v>
      </c>
      <c r="B4057" s="2" t="s">
        <v>8168</v>
      </c>
      <c r="C4057" s="2" t="s">
        <v>24</v>
      </c>
      <c r="D4057" s="2" t="s">
        <v>17</v>
      </c>
      <c r="E4057" s="5">
        <v>-28394</v>
      </c>
      <c r="F4057" s="3" t="s">
        <v>268</v>
      </c>
      <c r="G4057" s="3" t="s">
        <v>35</v>
      </c>
      <c r="H4057" s="2" t="s">
        <v>20</v>
      </c>
      <c r="I4057" s="2" t="s">
        <v>8169</v>
      </c>
      <c r="J4057" s="3" t="str">
        <f>HYPERLINK("https://www.boe.es/gazeta/dias/1822/04/04/pdfs/GMD-1822-96.pdf#page=2","Abrir facsímil")</f>
        <v>Abrir facsímil</v>
      </c>
      <c r="K4057" s="3" t="s">
        <v>22</v>
      </c>
    </row>
    <row r="4058" spans="1:11" ht="42" customHeight="1">
      <c r="A4058" s="2" t="s">
        <v>8170</v>
      </c>
      <c r="B4058" s="2" t="s">
        <v>8170</v>
      </c>
      <c r="C4058" s="2" t="s">
        <v>50</v>
      </c>
      <c r="D4058" s="2" t="s">
        <v>51</v>
      </c>
      <c r="E4058" s="5">
        <v>-28265</v>
      </c>
      <c r="F4058" s="3" t="s">
        <v>1263</v>
      </c>
      <c r="G4058" s="3" t="s">
        <v>57</v>
      </c>
      <c r="H4058" s="2" t="s">
        <v>20</v>
      </c>
      <c r="I4058" s="2" t="s">
        <v>8171</v>
      </c>
      <c r="J4058" s="3" t="str">
        <f>HYPERLINK("https://www.boe.es/gazeta/dias/1822/08/11/pdfs/GMD-1822-235.pdf#page=4","Abrir facsímil")</f>
        <v>Abrir facsímil</v>
      </c>
      <c r="K4058" s="3" t="s">
        <v>22</v>
      </c>
    </row>
    <row r="4059" spans="1:11" ht="42" customHeight="1">
      <c r="A4059" s="2" t="s">
        <v>8172</v>
      </c>
      <c r="B4059" s="2" t="s">
        <v>8172</v>
      </c>
      <c r="C4059" s="2" t="s">
        <v>28</v>
      </c>
      <c r="D4059" s="2" t="s">
        <v>29</v>
      </c>
      <c r="E4059" s="5">
        <v>-28210</v>
      </c>
      <c r="F4059" s="3" t="s">
        <v>218</v>
      </c>
      <c r="G4059" s="3" t="s">
        <v>19</v>
      </c>
      <c r="H4059" s="2" t="s">
        <v>20</v>
      </c>
      <c r="I4059" s="2" t="s">
        <v>8173</v>
      </c>
      <c r="J4059" s="3" t="str">
        <f>HYPERLINK("https://www.boe.es/gazeta/dias/1822/10/05/pdfs/GMD-1822-291.pdf#page=5","Abrir facsímil")</f>
        <v>Abrir facsímil</v>
      </c>
      <c r="K4059" s="3" t="s">
        <v>22</v>
      </c>
    </row>
    <row r="4060" spans="1:11" ht="42" customHeight="1">
      <c r="A4060" s="2" t="s">
        <v>8174</v>
      </c>
      <c r="B4060" s="2" t="s">
        <v>8175</v>
      </c>
      <c r="C4060" s="2" t="s">
        <v>28</v>
      </c>
      <c r="D4060" s="2" t="s">
        <v>29</v>
      </c>
      <c r="E4060" s="5">
        <v>-28327</v>
      </c>
      <c r="F4060" s="3" t="s">
        <v>38</v>
      </c>
      <c r="G4060" s="3" t="s">
        <v>63</v>
      </c>
      <c r="H4060" s="2" t="s">
        <v>20</v>
      </c>
      <c r="I4060" s="2" t="s">
        <v>8176</v>
      </c>
      <c r="J4060" s="3" t="str">
        <f>HYPERLINK("https://www.boe.es/gazeta/dias/1822/06/10/pdfs/GMD-1822-167.pdf#page=6","Abrir facsímil")</f>
        <v>Abrir facsímil</v>
      </c>
      <c r="K4060" s="3" t="s">
        <v>22</v>
      </c>
    </row>
    <row r="4061" spans="1:11" ht="42" customHeight="1">
      <c r="A4061" s="2" t="s">
        <v>8177</v>
      </c>
      <c r="B4061" s="2" t="s">
        <v>8177</v>
      </c>
      <c r="C4061" s="2" t="s">
        <v>42</v>
      </c>
      <c r="D4061" s="2" t="s">
        <v>17</v>
      </c>
      <c r="E4061" s="5">
        <v>-28131</v>
      </c>
      <c r="F4061" s="3" t="s">
        <v>893</v>
      </c>
      <c r="G4061" s="3" t="s">
        <v>19</v>
      </c>
      <c r="H4061" s="2" t="s">
        <v>20</v>
      </c>
      <c r="I4061" s="2" t="s">
        <v>8178</v>
      </c>
      <c r="J4061" s="3" t="str">
        <f>HYPERLINK("https://www.boe.es/gazeta/dias/1822/12/23/pdfs/GMD-1822-373.pdf#page=5","Abrir facsímil")</f>
        <v>Abrir facsímil</v>
      </c>
      <c r="K4061" s="3" t="s">
        <v>22</v>
      </c>
    </row>
    <row r="4062" spans="1:11" ht="42" customHeight="1">
      <c r="A4062" s="2" t="s">
        <v>8179</v>
      </c>
      <c r="B4062" s="2" t="s">
        <v>8180</v>
      </c>
      <c r="C4062" s="2" t="s">
        <v>24</v>
      </c>
      <c r="D4062" s="2" t="s">
        <v>17</v>
      </c>
      <c r="E4062" s="5">
        <v>-28258</v>
      </c>
      <c r="F4062" s="3" t="s">
        <v>88</v>
      </c>
      <c r="G4062" s="3" t="s">
        <v>31</v>
      </c>
      <c r="H4062" s="2" t="s">
        <v>20</v>
      </c>
      <c r="I4062" s="2" t="s">
        <v>8181</v>
      </c>
      <c r="J4062" s="3" t="str">
        <f>HYPERLINK("https://www.boe.es/gazeta/dias/1822/08/18/pdfs/GMD-1822-242.pdf#page=3","Abrir facsímil")</f>
        <v>Abrir facsímil</v>
      </c>
      <c r="K4062" s="3" t="s">
        <v>22</v>
      </c>
    </row>
    <row r="4063" spans="1:11" ht="42" customHeight="1">
      <c r="A4063" s="2" t="s">
        <v>8182</v>
      </c>
      <c r="B4063" s="2" t="s">
        <v>8183</v>
      </c>
      <c r="C4063" s="2" t="s">
        <v>71</v>
      </c>
      <c r="D4063" s="2" t="s">
        <v>17</v>
      </c>
      <c r="E4063" s="5">
        <v>-28354</v>
      </c>
      <c r="F4063" s="3" t="s">
        <v>226</v>
      </c>
      <c r="G4063" s="3" t="s">
        <v>44</v>
      </c>
      <c r="H4063" s="2" t="s">
        <v>20</v>
      </c>
      <c r="I4063" s="2" t="s">
        <v>8184</v>
      </c>
      <c r="J4063" s="3" t="str">
        <f>HYPERLINK("https://www.boe.es/gazeta/dias/1822/05/14/pdfs/GMD-1822-136.pdf#page=1","Abrir facsímil")</f>
        <v>Abrir facsímil</v>
      </c>
      <c r="K4063" s="3" t="s">
        <v>22</v>
      </c>
    </row>
    <row r="4064" spans="1:11" ht="42" customHeight="1">
      <c r="A4064" s="2" t="s">
        <v>8185</v>
      </c>
      <c r="B4064" s="2" t="s">
        <v>8185</v>
      </c>
      <c r="C4064" s="2" t="s">
        <v>28</v>
      </c>
      <c r="D4064" s="2" t="s">
        <v>29</v>
      </c>
      <c r="E4064" s="5">
        <v>-28484</v>
      </c>
      <c r="F4064" s="3" t="s">
        <v>743</v>
      </c>
      <c r="G4064" s="3" t="s">
        <v>57</v>
      </c>
      <c r="H4064" s="2" t="s">
        <v>20</v>
      </c>
      <c r="I4064" s="2" t="s">
        <v>8186</v>
      </c>
      <c r="J4064" s="3" t="str">
        <f>HYPERLINK("https://www.boe.es/gazeta/dias/1822/01/04/pdfs/GMD-1822-4.pdf#page=4","Abrir facsímil")</f>
        <v>Abrir facsímil</v>
      </c>
      <c r="K4064" s="3" t="s">
        <v>22</v>
      </c>
    </row>
    <row r="4065" spans="1:11" ht="42" customHeight="1">
      <c r="A4065" s="2" t="s">
        <v>8187</v>
      </c>
      <c r="B4065" s="2" t="s">
        <v>8187</v>
      </c>
      <c r="C4065" s="2" t="s">
        <v>50</v>
      </c>
      <c r="D4065" s="2" t="s">
        <v>51</v>
      </c>
      <c r="E4065" s="5">
        <v>-28151</v>
      </c>
      <c r="F4065" s="3" t="s">
        <v>985</v>
      </c>
      <c r="G4065" s="3" t="s">
        <v>7108</v>
      </c>
      <c r="H4065" s="2" t="s">
        <v>20</v>
      </c>
      <c r="I4065" s="2" t="s">
        <v>8188</v>
      </c>
      <c r="J4065" s="3" t="str">
        <f>HYPERLINK("https://www.boe.es/gazeta/dias/1822/12/03/pdfs/GMD-1822-353.pdf#page=2","Abrir facsímil")</f>
        <v>Abrir facsímil</v>
      </c>
      <c r="K4065" s="3" t="s">
        <v>22</v>
      </c>
    </row>
    <row r="4066" spans="1:11" ht="42" customHeight="1">
      <c r="A4066" s="2" t="s">
        <v>8189</v>
      </c>
      <c r="B4066" s="2" t="s">
        <v>8189</v>
      </c>
      <c r="C4066" s="2" t="s">
        <v>42</v>
      </c>
      <c r="D4066" s="2" t="s">
        <v>17</v>
      </c>
      <c r="E4066" s="5">
        <v>-28158</v>
      </c>
      <c r="F4066" s="3" t="s">
        <v>590</v>
      </c>
      <c r="G4066" s="3" t="s">
        <v>19</v>
      </c>
      <c r="H4066" s="2" t="s">
        <v>20</v>
      </c>
      <c r="I4066" s="2" t="s">
        <v>8190</v>
      </c>
      <c r="J4066" s="3" t="str">
        <f>HYPERLINK("https://www.boe.es/gazeta/dias/1822/11/26/pdfs/GMD-1822-346.pdf#page=5","Abrir facsímil")</f>
        <v>Abrir facsímil</v>
      </c>
      <c r="K4066" s="3" t="s">
        <v>22</v>
      </c>
    </row>
    <row r="4067" spans="1:11" ht="42" customHeight="1">
      <c r="A4067" s="2" t="s">
        <v>8191</v>
      </c>
      <c r="B4067" s="2" t="s">
        <v>8192</v>
      </c>
      <c r="C4067" s="2" t="s">
        <v>50</v>
      </c>
      <c r="D4067" s="2" t="s">
        <v>51</v>
      </c>
      <c r="E4067" s="5">
        <v>-28331</v>
      </c>
      <c r="F4067" s="3" t="s">
        <v>537</v>
      </c>
      <c r="G4067" s="3" t="s">
        <v>44</v>
      </c>
      <c r="H4067" s="2" t="s">
        <v>20</v>
      </c>
      <c r="I4067" s="2" t="s">
        <v>8193</v>
      </c>
      <c r="J4067" s="3" t="str">
        <f>HYPERLINK("https://www.boe.es/gazeta/dias/1822/06/06/pdfs/GMD-1822-163.pdf#page=1","Abrir facsímil")</f>
        <v>Abrir facsímil</v>
      </c>
      <c r="K4067" s="3" t="s">
        <v>22</v>
      </c>
    </row>
    <row r="4068" spans="1:11" ht="42" customHeight="1">
      <c r="A4068" s="2" t="s">
        <v>8194</v>
      </c>
      <c r="B4068" s="2" t="s">
        <v>8194</v>
      </c>
      <c r="C4068" s="2" t="s">
        <v>42</v>
      </c>
      <c r="D4068" s="2" t="s">
        <v>17</v>
      </c>
      <c r="E4068" s="5">
        <v>-28314</v>
      </c>
      <c r="F4068" s="3" t="s">
        <v>309</v>
      </c>
      <c r="G4068" s="3" t="s">
        <v>35</v>
      </c>
      <c r="H4068" s="2" t="s">
        <v>20</v>
      </c>
      <c r="I4068" s="2" t="s">
        <v>8195</v>
      </c>
      <c r="J4068" s="3" t="str">
        <f>HYPERLINK("https://www.boe.es/gazeta/dias/1822/06/23/pdfs/GMD-1822-181.pdf#page=2","Abrir facsímil")</f>
        <v>Abrir facsímil</v>
      </c>
      <c r="K4068" s="3" t="s">
        <v>22</v>
      </c>
    </row>
    <row r="4069" spans="1:11" ht="42" customHeight="1">
      <c r="A4069" s="2" t="s">
        <v>8196</v>
      </c>
      <c r="B4069" s="2" t="s">
        <v>8197</v>
      </c>
      <c r="C4069" s="2" t="s">
        <v>42</v>
      </c>
      <c r="D4069" s="2" t="s">
        <v>17</v>
      </c>
      <c r="E4069" s="5">
        <v>-28258</v>
      </c>
      <c r="F4069" s="3" t="s">
        <v>88</v>
      </c>
      <c r="G4069" s="3" t="s">
        <v>31</v>
      </c>
      <c r="H4069" s="2" t="s">
        <v>20</v>
      </c>
      <c r="I4069" s="2" t="s">
        <v>8198</v>
      </c>
      <c r="J4069" s="3" t="str">
        <f>HYPERLINK("https://www.boe.es/gazeta/dias/1822/08/18/pdfs/GMD-1822-242.pdf#page=3","Abrir facsímil")</f>
        <v>Abrir facsímil</v>
      </c>
      <c r="K4069" s="3" t="s">
        <v>22</v>
      </c>
    </row>
    <row r="4070" spans="1:11" ht="42" customHeight="1">
      <c r="A4070" s="2" t="s">
        <v>8199</v>
      </c>
      <c r="B4070" s="2" t="s">
        <v>8199</v>
      </c>
      <c r="C4070" s="2" t="s">
        <v>28</v>
      </c>
      <c r="D4070" s="2" t="s">
        <v>29</v>
      </c>
      <c r="E4070" s="5">
        <v>-28436</v>
      </c>
      <c r="F4070" s="3" t="s">
        <v>431</v>
      </c>
      <c r="G4070" s="3" t="s">
        <v>1428</v>
      </c>
      <c r="H4070" s="2" t="s">
        <v>20</v>
      </c>
      <c r="I4070" s="2" t="s">
        <v>8200</v>
      </c>
      <c r="J4070" s="3" t="str">
        <f>HYPERLINK("https://www.boe.es/gazeta/dias/1822/02/21/pdfs/GMD-1822-53.pdf#page=3","Abrir facsímil")</f>
        <v>Abrir facsímil</v>
      </c>
      <c r="K4070" s="3" t="s">
        <v>22</v>
      </c>
    </row>
    <row r="4071" spans="1:11" ht="42" customHeight="1">
      <c r="A4071" s="2" t="s">
        <v>8199</v>
      </c>
      <c r="B4071" s="2" t="s">
        <v>8199</v>
      </c>
      <c r="C4071" s="2" t="s">
        <v>28</v>
      </c>
      <c r="D4071" s="2" t="s">
        <v>29</v>
      </c>
      <c r="E4071" s="5">
        <v>-28436</v>
      </c>
      <c r="F4071" s="3" t="s">
        <v>431</v>
      </c>
      <c r="G4071" s="3" t="s">
        <v>57</v>
      </c>
      <c r="H4071" s="2" t="s">
        <v>20</v>
      </c>
      <c r="I4071" s="2" t="s">
        <v>8201</v>
      </c>
      <c r="J4071" s="3" t="str">
        <f>HYPERLINK("https://www.boe.es/gazeta/dias/1822/02/21/pdfs/GMD-1822-53.pdf#page=4","Abrir facsímil")</f>
        <v>Abrir facsímil</v>
      </c>
      <c r="K4071" s="3" t="s">
        <v>22</v>
      </c>
    </row>
    <row r="4072" spans="1:11" ht="42" customHeight="1">
      <c r="A4072" s="2" t="s">
        <v>8199</v>
      </c>
      <c r="B4072" s="2" t="s">
        <v>8199</v>
      </c>
      <c r="C4072" s="2" t="s">
        <v>28</v>
      </c>
      <c r="D4072" s="2" t="s">
        <v>29</v>
      </c>
      <c r="E4072" s="5">
        <v>-28426</v>
      </c>
      <c r="F4072" s="3" t="s">
        <v>1178</v>
      </c>
      <c r="G4072" s="3" t="s">
        <v>57</v>
      </c>
      <c r="H4072" s="2" t="s">
        <v>20</v>
      </c>
      <c r="I4072" s="2" t="s">
        <v>8202</v>
      </c>
      <c r="J4072" s="3" t="str">
        <f>HYPERLINK("https://www.boe.es/gazeta/dias/1822/03/03/pdfs/GMD-1822-64.pdf#page=4","Abrir facsímil")</f>
        <v>Abrir facsímil</v>
      </c>
      <c r="K4072" s="3" t="s">
        <v>22</v>
      </c>
    </row>
    <row r="4073" spans="1:11" ht="42" customHeight="1">
      <c r="A4073" s="2" t="s">
        <v>8199</v>
      </c>
      <c r="B4073" s="2" t="s">
        <v>8199</v>
      </c>
      <c r="C4073" s="2" t="s">
        <v>16</v>
      </c>
      <c r="D4073" s="2" t="s">
        <v>17</v>
      </c>
      <c r="E4073" s="5">
        <v>-28404</v>
      </c>
      <c r="F4073" s="3" t="s">
        <v>421</v>
      </c>
      <c r="G4073" s="3" t="s">
        <v>31</v>
      </c>
      <c r="H4073" s="2" t="s">
        <v>20</v>
      </c>
      <c r="I4073" s="2" t="s">
        <v>8203</v>
      </c>
      <c r="J4073" s="3" t="str">
        <f>HYPERLINK("https://www.boe.es/gazeta/dias/1822/03/25/pdfs/GMD-1822-86.pdf#page=3","Abrir facsímil")</f>
        <v>Abrir facsímil</v>
      </c>
      <c r="K4073" s="3" t="s">
        <v>22</v>
      </c>
    </row>
    <row r="4074" spans="1:11" ht="42" customHeight="1">
      <c r="A4074" s="2" t="s">
        <v>8199</v>
      </c>
      <c r="B4074" s="2" t="s">
        <v>8199</v>
      </c>
      <c r="C4074" s="2" t="s">
        <v>71</v>
      </c>
      <c r="D4074" s="2" t="s">
        <v>17</v>
      </c>
      <c r="E4074" s="5">
        <v>-28402</v>
      </c>
      <c r="F4074" s="3" t="s">
        <v>473</v>
      </c>
      <c r="G4074" s="3" t="s">
        <v>35</v>
      </c>
      <c r="H4074" s="2" t="s">
        <v>20</v>
      </c>
      <c r="I4074" s="2" t="s">
        <v>8204</v>
      </c>
      <c r="J4074" s="3" t="str">
        <f>HYPERLINK("https://www.boe.es/gazeta/dias/1822/03/27/pdfs/GMD-1822-88.pdf#page=2","Abrir facsímil")</f>
        <v>Abrir facsímil</v>
      </c>
      <c r="K4074" s="3" t="s">
        <v>22</v>
      </c>
    </row>
    <row r="4075" spans="1:11" ht="42" customHeight="1">
      <c r="A4075" s="2" t="s">
        <v>8199</v>
      </c>
      <c r="B4075" s="2" t="s">
        <v>8199</v>
      </c>
      <c r="C4075" s="2" t="s">
        <v>50</v>
      </c>
      <c r="D4075" s="2" t="s">
        <v>51</v>
      </c>
      <c r="E4075" s="5">
        <v>-28394</v>
      </c>
      <c r="F4075" s="3" t="s">
        <v>268</v>
      </c>
      <c r="G4075" s="3" t="s">
        <v>57</v>
      </c>
      <c r="H4075" s="2" t="s">
        <v>20</v>
      </c>
      <c r="I4075" s="2" t="s">
        <v>8205</v>
      </c>
      <c r="J4075" s="3" t="str">
        <f>HYPERLINK("https://www.boe.es/gazeta/dias/1822/04/04/pdfs/GMD-1822-96.pdf#page=4","Abrir facsímil")</f>
        <v>Abrir facsímil</v>
      </c>
      <c r="K4075" s="3" t="s">
        <v>22</v>
      </c>
    </row>
    <row r="4076" spans="1:11" ht="42" customHeight="1">
      <c r="A4076" s="2" t="s">
        <v>8199</v>
      </c>
      <c r="B4076" s="2" t="s">
        <v>8199</v>
      </c>
      <c r="C4076" s="2" t="s">
        <v>71</v>
      </c>
      <c r="D4076" s="2" t="s">
        <v>17</v>
      </c>
      <c r="E4076" s="5">
        <v>-28383</v>
      </c>
      <c r="F4076" s="3" t="s">
        <v>488</v>
      </c>
      <c r="G4076" s="3" t="s">
        <v>57</v>
      </c>
      <c r="H4076" s="2" t="s">
        <v>20</v>
      </c>
      <c r="I4076" s="2" t="s">
        <v>8206</v>
      </c>
      <c r="J4076" s="3" t="str">
        <f>HYPERLINK("https://www.boe.es/gazeta/dias/1822/04/15/pdfs/GMD-1822-107.pdf#page=4","Abrir facsímil")</f>
        <v>Abrir facsímil</v>
      </c>
      <c r="K4076" s="3" t="s">
        <v>22</v>
      </c>
    </row>
    <row r="4077" spans="1:11" ht="42" customHeight="1">
      <c r="A4077" s="2" t="s">
        <v>8199</v>
      </c>
      <c r="B4077" s="2" t="s">
        <v>8199</v>
      </c>
      <c r="C4077" s="2" t="s">
        <v>28</v>
      </c>
      <c r="D4077" s="2" t="s">
        <v>29</v>
      </c>
      <c r="E4077" s="5">
        <v>-28372</v>
      </c>
      <c r="F4077" s="3" t="s">
        <v>503</v>
      </c>
      <c r="G4077" s="3" t="s">
        <v>57</v>
      </c>
      <c r="H4077" s="2" t="s">
        <v>20</v>
      </c>
      <c r="I4077" s="2" t="s">
        <v>8207</v>
      </c>
      <c r="J4077" s="3" t="str">
        <f>HYPERLINK("https://www.boe.es/gazeta/dias/1822/04/26/pdfs/GMD-1822-118.pdf#page=4","Abrir facsímil")</f>
        <v>Abrir facsímil</v>
      </c>
      <c r="K4077" s="3" t="s">
        <v>22</v>
      </c>
    </row>
    <row r="4078" spans="1:11" ht="42" customHeight="1">
      <c r="A4078" s="2" t="s">
        <v>8199</v>
      </c>
      <c r="B4078" s="2" t="s">
        <v>8199</v>
      </c>
      <c r="C4078" s="2" t="s">
        <v>71</v>
      </c>
      <c r="D4078" s="2" t="s">
        <v>17</v>
      </c>
      <c r="E4078" s="5">
        <v>-28356</v>
      </c>
      <c r="F4078" s="3" t="s">
        <v>4170</v>
      </c>
      <c r="G4078" s="3" t="s">
        <v>44</v>
      </c>
      <c r="H4078" s="2" t="s">
        <v>20</v>
      </c>
      <c r="I4078" s="2" t="s">
        <v>8208</v>
      </c>
      <c r="J4078" s="3" t="str">
        <f>HYPERLINK("https://www.boe.es/gazeta/dias/1822/05/12/pdfs/GMD-1822-134.pdf#page=1","Abrir facsímil")</f>
        <v>Abrir facsímil</v>
      </c>
      <c r="K4078" s="3" t="s">
        <v>22</v>
      </c>
    </row>
    <row r="4079" spans="1:11" ht="42" customHeight="1">
      <c r="A4079" s="2" t="s">
        <v>8199</v>
      </c>
      <c r="B4079" s="2" t="s">
        <v>8199</v>
      </c>
      <c r="C4079" s="2" t="s">
        <v>71</v>
      </c>
      <c r="D4079" s="2" t="s">
        <v>17</v>
      </c>
      <c r="E4079" s="5">
        <v>-28336</v>
      </c>
      <c r="F4079" s="3" t="s">
        <v>156</v>
      </c>
      <c r="G4079" s="3" t="s">
        <v>35</v>
      </c>
      <c r="H4079" s="2" t="s">
        <v>20</v>
      </c>
      <c r="I4079" s="2" t="s">
        <v>8209</v>
      </c>
      <c r="J4079" s="3" t="str">
        <f>HYPERLINK("https://www.boe.es/gazeta/dias/1822/06/01/pdfs/GMD-1822-157.pdf#page=2","Abrir facsímil")</f>
        <v>Abrir facsímil</v>
      </c>
      <c r="K4079" s="3" t="s">
        <v>22</v>
      </c>
    </row>
    <row r="4080" spans="1:11" ht="42" customHeight="1">
      <c r="A4080" s="2" t="s">
        <v>8199</v>
      </c>
      <c r="B4080" s="2" t="s">
        <v>8199</v>
      </c>
      <c r="C4080" s="2" t="s">
        <v>71</v>
      </c>
      <c r="D4080" s="2" t="s">
        <v>17</v>
      </c>
      <c r="E4080" s="5">
        <v>-28320</v>
      </c>
      <c r="F4080" s="3" t="s">
        <v>700</v>
      </c>
      <c r="G4080" s="3" t="s">
        <v>31</v>
      </c>
      <c r="H4080" s="2" t="s">
        <v>20</v>
      </c>
      <c r="I4080" s="2" t="s">
        <v>8210</v>
      </c>
      <c r="J4080" s="3" t="str">
        <f>HYPERLINK("https://www.boe.es/gazeta/dias/1822/06/17/pdfs/GMD-1822-174.pdf#page=3","Abrir facsímil")</f>
        <v>Abrir facsímil</v>
      </c>
      <c r="K4080" s="3" t="s">
        <v>22</v>
      </c>
    </row>
    <row r="4081" spans="1:11" ht="42" customHeight="1">
      <c r="A4081" s="2" t="s">
        <v>8211</v>
      </c>
      <c r="B4081" s="2" t="s">
        <v>8212</v>
      </c>
      <c r="C4081" s="2" t="s">
        <v>50</v>
      </c>
      <c r="D4081" s="2" t="s">
        <v>51</v>
      </c>
      <c r="E4081" s="5">
        <v>-28225</v>
      </c>
      <c r="F4081" s="3" t="s">
        <v>177</v>
      </c>
      <c r="G4081" s="3" t="s">
        <v>3273</v>
      </c>
      <c r="H4081" s="2" t="s">
        <v>20</v>
      </c>
      <c r="I4081" s="2" t="s">
        <v>8213</v>
      </c>
      <c r="J4081" s="3" t="str">
        <f>HYPERLINK("https://www.boe.es/gazeta/dias/1822/09/20/pdfs/GMD-1822-276.pdf#page=4","Abrir facsímil")</f>
        <v>Abrir facsímil</v>
      </c>
      <c r="K4081" s="3" t="s">
        <v>22</v>
      </c>
    </row>
    <row r="4082" spans="1:11" ht="42" customHeight="1">
      <c r="A4082" s="2" t="s">
        <v>8214</v>
      </c>
      <c r="B4082" s="2" t="s">
        <v>8215</v>
      </c>
      <c r="C4082" s="2" t="s">
        <v>362</v>
      </c>
      <c r="D4082" s="2" t="s">
        <v>17</v>
      </c>
      <c r="E4082" s="5">
        <v>-28367</v>
      </c>
      <c r="F4082" s="3" t="s">
        <v>280</v>
      </c>
      <c r="G4082" s="3" t="s">
        <v>35</v>
      </c>
      <c r="H4082" s="2" t="s">
        <v>20</v>
      </c>
      <c r="I4082" s="2" t="s">
        <v>8216</v>
      </c>
      <c r="J4082" s="3" t="str">
        <f>HYPERLINK("https://www.boe.es/gazeta/dias/1822/05/01/pdfs/GMD-1822-123.pdf#page=2","Abrir facsímil")</f>
        <v>Abrir facsímil</v>
      </c>
      <c r="K4082" s="3" t="s">
        <v>22</v>
      </c>
    </row>
    <row r="4083" spans="1:11" ht="42" customHeight="1">
      <c r="A4083" s="2" t="s">
        <v>8217</v>
      </c>
      <c r="B4083" s="2" t="s">
        <v>8218</v>
      </c>
      <c r="C4083" s="2" t="s">
        <v>42</v>
      </c>
      <c r="D4083" s="2" t="s">
        <v>17</v>
      </c>
      <c r="E4083" s="5">
        <v>-28258</v>
      </c>
      <c r="F4083" s="3" t="s">
        <v>88</v>
      </c>
      <c r="G4083" s="3" t="s">
        <v>35</v>
      </c>
      <c r="H4083" s="2" t="s">
        <v>20</v>
      </c>
      <c r="I4083" s="2" t="s">
        <v>8219</v>
      </c>
      <c r="J4083" s="3" t="str">
        <f>HYPERLINK("https://www.boe.es/gazeta/dias/1822/08/18/pdfs/GMD-1822-242.pdf#page=2","Abrir facsímil")</f>
        <v>Abrir facsímil</v>
      </c>
      <c r="K4083" s="3" t="s">
        <v>22</v>
      </c>
    </row>
    <row r="4084" spans="1:11" ht="42" customHeight="1">
      <c r="A4084" s="2" t="s">
        <v>8220</v>
      </c>
      <c r="B4084" s="2" t="s">
        <v>8220</v>
      </c>
      <c r="C4084" s="2" t="s">
        <v>28</v>
      </c>
      <c r="D4084" s="2" t="s">
        <v>29</v>
      </c>
      <c r="E4084" s="5">
        <v>-28475</v>
      </c>
      <c r="F4084" s="3" t="s">
        <v>1205</v>
      </c>
      <c r="G4084" s="3" t="s">
        <v>63</v>
      </c>
      <c r="H4084" s="2" t="s">
        <v>20</v>
      </c>
      <c r="I4084" s="2" t="s">
        <v>8221</v>
      </c>
      <c r="J4084" s="3" t="str">
        <f>HYPERLINK("https://www.boe.es/gazeta/dias/1822/01/13/pdfs/GMD-1822-13.pdf#page=6","Abrir facsímil")</f>
        <v>Abrir facsímil</v>
      </c>
      <c r="K4084" s="3" t="s">
        <v>22</v>
      </c>
    </row>
    <row r="4085" spans="1:11" ht="42" customHeight="1">
      <c r="A4085" s="2" t="s">
        <v>8222</v>
      </c>
      <c r="B4085" s="2" t="s">
        <v>8222</v>
      </c>
      <c r="C4085" s="2" t="s">
        <v>71</v>
      </c>
      <c r="D4085" s="2" t="s">
        <v>17</v>
      </c>
      <c r="E4085" s="5">
        <v>-28454</v>
      </c>
      <c r="F4085" s="3" t="s">
        <v>2033</v>
      </c>
      <c r="G4085" s="3" t="s">
        <v>57</v>
      </c>
      <c r="H4085" s="2" t="s">
        <v>20</v>
      </c>
      <c r="I4085" s="2" t="s">
        <v>8223</v>
      </c>
      <c r="J4085" s="3" t="str">
        <f>HYPERLINK("https://www.boe.es/gazeta/dias/1822/02/03/pdfs/GMD-1822-34.pdf#page=4","Abrir facsímil")</f>
        <v>Abrir facsímil</v>
      </c>
      <c r="K4085" s="3" t="s">
        <v>22</v>
      </c>
    </row>
    <row r="4086" spans="1:11" ht="42" customHeight="1">
      <c r="A4086" s="2" t="s">
        <v>8224</v>
      </c>
      <c r="B4086" s="2" t="s">
        <v>8225</v>
      </c>
      <c r="C4086" s="2" t="s">
        <v>28</v>
      </c>
      <c r="D4086" s="2" t="s">
        <v>29</v>
      </c>
      <c r="E4086" s="5">
        <v>-28384</v>
      </c>
      <c r="F4086" s="3" t="s">
        <v>258</v>
      </c>
      <c r="G4086" s="3" t="s">
        <v>63</v>
      </c>
      <c r="H4086" s="2" t="s">
        <v>20</v>
      </c>
      <c r="I4086" s="2" t="s">
        <v>8226</v>
      </c>
      <c r="J4086" s="3" t="str">
        <f>HYPERLINK("https://www.boe.es/gazeta/dias/1822/04/14/pdfs/GMD-1822-106.pdf#page=6","Abrir facsímil")</f>
        <v>Abrir facsímil</v>
      </c>
      <c r="K4086" s="3" t="s">
        <v>22</v>
      </c>
    </row>
    <row r="4087" spans="1:11" ht="42" customHeight="1">
      <c r="A4087" s="2" t="s">
        <v>8227</v>
      </c>
      <c r="B4087" s="2" t="s">
        <v>8227</v>
      </c>
      <c r="C4087" s="2" t="s">
        <v>42</v>
      </c>
      <c r="D4087" s="2" t="s">
        <v>17</v>
      </c>
      <c r="E4087" s="5">
        <v>-28454</v>
      </c>
      <c r="F4087" s="3" t="s">
        <v>2033</v>
      </c>
      <c r="G4087" s="3" t="s">
        <v>57</v>
      </c>
      <c r="H4087" s="2" t="s">
        <v>20</v>
      </c>
      <c r="I4087" s="2" t="s">
        <v>8228</v>
      </c>
      <c r="J4087" s="3" t="str">
        <f>HYPERLINK("https://www.boe.es/gazeta/dias/1822/02/03/pdfs/GMD-1822-34.pdf#page=4","Abrir facsímil")</f>
        <v>Abrir facsímil</v>
      </c>
      <c r="K4087" s="3" t="s">
        <v>22</v>
      </c>
    </row>
    <row r="4088" spans="1:11" ht="42" customHeight="1">
      <c r="A4088" s="2" t="s">
        <v>8229</v>
      </c>
      <c r="B4088" s="2" t="s">
        <v>8230</v>
      </c>
      <c r="C4088" s="2" t="s">
        <v>50</v>
      </c>
      <c r="D4088" s="2" t="s">
        <v>51</v>
      </c>
      <c r="E4088" s="5">
        <v>-28265</v>
      </c>
      <c r="F4088" s="3" t="s">
        <v>1263</v>
      </c>
      <c r="G4088" s="3" t="s">
        <v>57</v>
      </c>
      <c r="H4088" s="2" t="s">
        <v>45</v>
      </c>
      <c r="I4088" s="2" t="s">
        <v>8231</v>
      </c>
      <c r="J4088" s="3" t="str">
        <f>HYPERLINK("https://www.boe.es/gazeta/dias/1822/08/11/pdfs/GMD-1822-235.pdf#page=4","Abrir facsímil")</f>
        <v>Abrir facsímil</v>
      </c>
      <c r="K4088" s="3" t="s">
        <v>47</v>
      </c>
    </row>
    <row r="4089" spans="1:11" ht="42" customHeight="1">
      <c r="A4089" s="2" t="s">
        <v>8232</v>
      </c>
      <c r="B4089" s="2" t="s">
        <v>8233</v>
      </c>
      <c r="C4089" s="2" t="s">
        <v>50</v>
      </c>
      <c r="D4089" s="2" t="s">
        <v>51</v>
      </c>
      <c r="E4089" s="5">
        <v>-28417</v>
      </c>
      <c r="F4089" s="3" t="s">
        <v>1394</v>
      </c>
      <c r="G4089" s="3" t="s">
        <v>31</v>
      </c>
      <c r="H4089" s="2" t="s">
        <v>20</v>
      </c>
      <c r="I4089" s="2" t="s">
        <v>8234</v>
      </c>
      <c r="J4089" s="3" t="str">
        <f>HYPERLINK("https://www.boe.es/gazeta/dias/1822/03/12/pdfs/GMD-1822-73.pdf#page=3","Abrir facsímil")</f>
        <v>Abrir facsímil</v>
      </c>
      <c r="K4089" s="3" t="s">
        <v>22</v>
      </c>
    </row>
    <row r="4090" spans="1:11" ht="42" customHeight="1">
      <c r="A4090" s="2" t="s">
        <v>8235</v>
      </c>
      <c r="B4090" s="2" t="s">
        <v>8235</v>
      </c>
      <c r="C4090" s="2" t="s">
        <v>28</v>
      </c>
      <c r="D4090" s="2" t="s">
        <v>29</v>
      </c>
      <c r="E4090" s="5">
        <v>-28152</v>
      </c>
      <c r="F4090" s="3" t="s">
        <v>122</v>
      </c>
      <c r="G4090" s="3" t="s">
        <v>8236</v>
      </c>
      <c r="H4090" s="2" t="s">
        <v>20</v>
      </c>
      <c r="I4090" s="2" t="s">
        <v>8237</v>
      </c>
      <c r="J4090" s="3" t="str">
        <f>HYPERLINK("https://www.boe.es/gazeta/dias/1822/12/02/pdfs/GMD-1822-352.pdf#page=6","Abrir facsímil")</f>
        <v>Abrir facsímil</v>
      </c>
      <c r="K4090" s="3" t="s">
        <v>22</v>
      </c>
    </row>
    <row r="4091" spans="1:11" ht="42" customHeight="1">
      <c r="A4091" s="2" t="s">
        <v>8238</v>
      </c>
      <c r="B4091" s="2" t="s">
        <v>8239</v>
      </c>
      <c r="C4091" s="2" t="s">
        <v>50</v>
      </c>
      <c r="D4091" s="2" t="s">
        <v>51</v>
      </c>
      <c r="E4091" s="5">
        <v>-28265</v>
      </c>
      <c r="F4091" s="3" t="s">
        <v>1263</v>
      </c>
      <c r="G4091" s="3" t="s">
        <v>57</v>
      </c>
      <c r="H4091" s="2" t="s">
        <v>20</v>
      </c>
      <c r="I4091" s="2" t="s">
        <v>8240</v>
      </c>
      <c r="J4091" s="3" t="str">
        <f>HYPERLINK("https://www.boe.es/gazeta/dias/1822/08/11/pdfs/GMD-1822-235.pdf#page=4","Abrir facsímil")</f>
        <v>Abrir facsímil</v>
      </c>
      <c r="K4091" s="3" t="s">
        <v>22</v>
      </c>
    </row>
    <row r="4092" spans="1:11" ht="42" customHeight="1">
      <c r="A4092" s="2" t="s">
        <v>8241</v>
      </c>
      <c r="B4092" s="2" t="s">
        <v>8242</v>
      </c>
      <c r="C4092" s="2" t="s">
        <v>42</v>
      </c>
      <c r="D4092" s="2" t="s">
        <v>17</v>
      </c>
      <c r="E4092" s="5">
        <v>-28325</v>
      </c>
      <c r="F4092" s="3" t="s">
        <v>104</v>
      </c>
      <c r="G4092" s="3" t="s">
        <v>57</v>
      </c>
      <c r="H4092" s="2" t="s">
        <v>20</v>
      </c>
      <c r="I4092" s="2" t="s">
        <v>8243</v>
      </c>
      <c r="J4092" s="3" t="str">
        <f>HYPERLINK("https://www.boe.es/gazeta/dias/1822/06/12/pdfs/GMD-1822-169.pdf#page=4","Abrir facsímil")</f>
        <v>Abrir facsímil</v>
      </c>
      <c r="K4092" s="3" t="s">
        <v>22</v>
      </c>
    </row>
    <row r="4093" spans="1:11" ht="42" customHeight="1">
      <c r="A4093" s="2" t="s">
        <v>8244</v>
      </c>
      <c r="B4093" s="2" t="s">
        <v>8244</v>
      </c>
      <c r="C4093" s="2" t="s">
        <v>50</v>
      </c>
      <c r="D4093" s="2" t="s">
        <v>51</v>
      </c>
      <c r="E4093" s="5">
        <v>-28388</v>
      </c>
      <c r="F4093" s="3" t="s">
        <v>1268</v>
      </c>
      <c r="G4093" s="3" t="s">
        <v>57</v>
      </c>
      <c r="H4093" s="2" t="s">
        <v>20</v>
      </c>
      <c r="I4093" s="2" t="s">
        <v>8245</v>
      </c>
      <c r="J4093" s="3" t="str">
        <f>HYPERLINK("https://www.boe.es/gazeta/dias/1822/04/10/pdfs/GMD-1822-102.pdf#page=4","Abrir facsímil")</f>
        <v>Abrir facsímil</v>
      </c>
      <c r="K4093" s="3" t="s">
        <v>22</v>
      </c>
    </row>
    <row r="4094" spans="1:11" ht="42" customHeight="1">
      <c r="A4094" s="2" t="s">
        <v>8246</v>
      </c>
      <c r="B4094" s="2" t="s">
        <v>8246</v>
      </c>
      <c r="C4094" s="2" t="s">
        <v>50</v>
      </c>
      <c r="D4094" s="2" t="s">
        <v>51</v>
      </c>
      <c r="E4094" s="5">
        <v>-28255</v>
      </c>
      <c r="F4094" s="3" t="s">
        <v>4826</v>
      </c>
      <c r="G4094" s="3" t="s">
        <v>31</v>
      </c>
      <c r="H4094" s="2" t="s">
        <v>20</v>
      </c>
      <c r="I4094" s="2" t="s">
        <v>8247</v>
      </c>
      <c r="J4094" s="3" t="str">
        <f>HYPERLINK("https://www.boe.es/gazeta/dias/1822/08/21/pdfs/GMD-1822-245.pdf#page=3","Abrir facsímil")</f>
        <v>Abrir facsímil</v>
      </c>
      <c r="K4094" s="3" t="s">
        <v>22</v>
      </c>
    </row>
    <row r="4095" spans="1:11" ht="42" customHeight="1">
      <c r="A4095" s="2" t="s">
        <v>8248</v>
      </c>
      <c r="B4095" s="2" t="s">
        <v>8249</v>
      </c>
      <c r="C4095" s="2" t="s">
        <v>28</v>
      </c>
      <c r="D4095" s="2" t="s">
        <v>29</v>
      </c>
      <c r="E4095" s="5">
        <v>-28241</v>
      </c>
      <c r="F4095" s="3" t="s">
        <v>3068</v>
      </c>
      <c r="G4095" s="3" t="s">
        <v>57</v>
      </c>
      <c r="H4095" s="2" t="s">
        <v>20</v>
      </c>
      <c r="I4095" s="2" t="s">
        <v>8250</v>
      </c>
      <c r="J4095" s="3" t="str">
        <f>HYPERLINK("https://www.boe.es/gazeta/dias/1822/09/04/pdfs/GMD-1822-259.pdf#page=4","Abrir facsímil")</f>
        <v>Abrir facsímil</v>
      </c>
      <c r="K4095" s="3" t="s">
        <v>22</v>
      </c>
    </row>
    <row r="4096" spans="1:11" ht="42" customHeight="1">
      <c r="A4096" s="2" t="s">
        <v>8251</v>
      </c>
      <c r="B4096" s="2" t="s">
        <v>8251</v>
      </c>
      <c r="C4096" s="2" t="s">
        <v>71</v>
      </c>
      <c r="D4096" s="2" t="s">
        <v>17</v>
      </c>
      <c r="E4096" s="5">
        <v>-28480</v>
      </c>
      <c r="F4096" s="3" t="s">
        <v>995</v>
      </c>
      <c r="G4096" s="3" t="s">
        <v>19</v>
      </c>
      <c r="H4096" s="2" t="s">
        <v>20</v>
      </c>
      <c r="I4096" s="2" t="s">
        <v>8252</v>
      </c>
      <c r="J4096" s="3" t="str">
        <f>HYPERLINK("https://www.boe.es/gazeta/dias/1822/01/08/pdfs/GMD-1822-8.pdf#page=5","Abrir facsímil")</f>
        <v>Abrir facsímil</v>
      </c>
      <c r="K4096" s="3" t="s">
        <v>22</v>
      </c>
    </row>
    <row r="4097" spans="1:11" ht="42" customHeight="1">
      <c r="A4097" s="2" t="s">
        <v>8251</v>
      </c>
      <c r="B4097" s="2" t="s">
        <v>8251</v>
      </c>
      <c r="C4097" s="2" t="s">
        <v>71</v>
      </c>
      <c r="D4097" s="2" t="s">
        <v>17</v>
      </c>
      <c r="E4097" s="5">
        <v>-28470</v>
      </c>
      <c r="F4097" s="3" t="s">
        <v>1444</v>
      </c>
      <c r="G4097" s="3" t="s">
        <v>31</v>
      </c>
      <c r="H4097" s="2" t="s">
        <v>20</v>
      </c>
      <c r="I4097" s="2" t="s">
        <v>8253</v>
      </c>
      <c r="J4097" s="3" t="str">
        <f>HYPERLINK("https://www.boe.es/gazeta/dias/1822/01/18/pdfs/GMD-1822-18.pdf#page=3","Abrir facsímil")</f>
        <v>Abrir facsímil</v>
      </c>
      <c r="K4097" s="3" t="s">
        <v>22</v>
      </c>
    </row>
    <row r="4098" spans="1:11" ht="42" customHeight="1">
      <c r="A4098" s="2" t="s">
        <v>8251</v>
      </c>
      <c r="B4098" s="2" t="s">
        <v>8251</v>
      </c>
      <c r="C4098" s="2" t="s">
        <v>16</v>
      </c>
      <c r="D4098" s="2" t="s">
        <v>17</v>
      </c>
      <c r="E4098" s="5">
        <v>-28469</v>
      </c>
      <c r="F4098" s="3" t="s">
        <v>1164</v>
      </c>
      <c r="G4098" s="3" t="s">
        <v>31</v>
      </c>
      <c r="H4098" s="2" t="s">
        <v>20</v>
      </c>
      <c r="I4098" s="2" t="s">
        <v>8254</v>
      </c>
      <c r="J4098" s="3" t="str">
        <f>HYPERLINK("https://www.boe.es/gazeta/dias/1822/01/19/pdfs/GMD-1822-19.pdf#page=3","Abrir facsímil")</f>
        <v>Abrir facsímil</v>
      </c>
      <c r="K4098" s="3" t="s">
        <v>22</v>
      </c>
    </row>
    <row r="4099" spans="1:11" ht="42" customHeight="1">
      <c r="A4099" s="2" t="s">
        <v>8251</v>
      </c>
      <c r="B4099" s="2" t="s">
        <v>8251</v>
      </c>
      <c r="C4099" s="2" t="s">
        <v>71</v>
      </c>
      <c r="D4099" s="2" t="s">
        <v>17</v>
      </c>
      <c r="E4099" s="5">
        <v>-28469</v>
      </c>
      <c r="F4099" s="3" t="s">
        <v>1164</v>
      </c>
      <c r="G4099" s="3" t="s">
        <v>57</v>
      </c>
      <c r="H4099" s="2" t="s">
        <v>20</v>
      </c>
      <c r="I4099" s="2" t="s">
        <v>8255</v>
      </c>
      <c r="J4099" s="3" t="str">
        <f>HYPERLINK("https://www.boe.es/gazeta/dias/1822/01/19/pdfs/GMD-1822-19.pdf#page=4","Abrir facsímil")</f>
        <v>Abrir facsímil</v>
      </c>
      <c r="K4099" s="3" t="s">
        <v>22</v>
      </c>
    </row>
    <row r="4100" spans="1:11" ht="42" customHeight="1">
      <c r="A4100" s="2" t="s">
        <v>8251</v>
      </c>
      <c r="B4100" s="2" t="s">
        <v>8251</v>
      </c>
      <c r="C4100" s="2" t="s">
        <v>28</v>
      </c>
      <c r="D4100" s="2" t="s">
        <v>29</v>
      </c>
      <c r="E4100" s="5">
        <v>-28460</v>
      </c>
      <c r="F4100" s="3" t="s">
        <v>112</v>
      </c>
      <c r="G4100" s="3" t="s">
        <v>19</v>
      </c>
      <c r="H4100" s="2" t="s">
        <v>20</v>
      </c>
      <c r="I4100" s="2" t="s">
        <v>8256</v>
      </c>
      <c r="J4100" s="3" t="str">
        <f>HYPERLINK("https://www.boe.es/gazeta/dias/1822/01/28/pdfs/GMD-1822-28.pdf#page=5","Abrir facsímil")</f>
        <v>Abrir facsímil</v>
      </c>
      <c r="K4100" s="3" t="s">
        <v>22</v>
      </c>
    </row>
    <row r="4101" spans="1:11" ht="42" customHeight="1">
      <c r="A4101" s="2" t="s">
        <v>8251</v>
      </c>
      <c r="B4101" s="2" t="s">
        <v>8251</v>
      </c>
      <c r="C4101" s="2" t="s">
        <v>50</v>
      </c>
      <c r="D4101" s="2" t="s">
        <v>51</v>
      </c>
      <c r="E4101" s="5">
        <v>-28460</v>
      </c>
      <c r="F4101" s="3" t="s">
        <v>112</v>
      </c>
      <c r="G4101" s="3" t="s">
        <v>63</v>
      </c>
      <c r="H4101" s="2" t="s">
        <v>20</v>
      </c>
      <c r="I4101" s="2" t="s">
        <v>8257</v>
      </c>
      <c r="J4101" s="3" t="str">
        <f>HYPERLINK("https://www.boe.es/gazeta/dias/1822/01/28/pdfs/GMD-1822-28.pdf#page=6","Abrir facsímil")</f>
        <v>Abrir facsímil</v>
      </c>
      <c r="K4101" s="3" t="s">
        <v>22</v>
      </c>
    </row>
    <row r="4102" spans="1:11" ht="42" customHeight="1">
      <c r="A4102" s="2" t="s">
        <v>8251</v>
      </c>
      <c r="B4102" s="2" t="s">
        <v>8251</v>
      </c>
      <c r="C4102" s="2" t="s">
        <v>71</v>
      </c>
      <c r="D4102" s="2" t="s">
        <v>17</v>
      </c>
      <c r="E4102" s="5">
        <v>-28459</v>
      </c>
      <c r="F4102" s="3" t="s">
        <v>1102</v>
      </c>
      <c r="G4102" s="3" t="s">
        <v>35</v>
      </c>
      <c r="H4102" s="2" t="s">
        <v>20</v>
      </c>
      <c r="I4102" s="2" t="s">
        <v>8258</v>
      </c>
      <c r="J4102" s="3" t="str">
        <f>HYPERLINK("https://www.boe.es/gazeta/dias/1822/01/29/pdfs/GMD-1822-29.pdf#page=2","Abrir facsímil")</f>
        <v>Abrir facsímil</v>
      </c>
      <c r="K4102" s="3" t="s">
        <v>22</v>
      </c>
    </row>
    <row r="4103" spans="1:11" ht="42" customHeight="1">
      <c r="A4103" s="2" t="s">
        <v>8251</v>
      </c>
      <c r="B4103" s="2" t="s">
        <v>8251</v>
      </c>
      <c r="C4103" s="2" t="s">
        <v>71</v>
      </c>
      <c r="D4103" s="2" t="s">
        <v>17</v>
      </c>
      <c r="E4103" s="5">
        <v>-28454</v>
      </c>
      <c r="F4103" s="3" t="s">
        <v>2033</v>
      </c>
      <c r="G4103" s="3" t="s">
        <v>57</v>
      </c>
      <c r="H4103" s="2" t="s">
        <v>20</v>
      </c>
      <c r="I4103" s="2" t="s">
        <v>8259</v>
      </c>
      <c r="J4103" s="3" t="str">
        <f>HYPERLINK("https://www.boe.es/gazeta/dias/1822/02/03/pdfs/GMD-1822-34.pdf#page=4","Abrir facsímil")</f>
        <v>Abrir facsímil</v>
      </c>
      <c r="K4103" s="3" t="s">
        <v>22</v>
      </c>
    </row>
    <row r="4104" spans="1:11" ht="42" customHeight="1">
      <c r="A4104" s="2" t="s">
        <v>8251</v>
      </c>
      <c r="B4104" s="2" t="s">
        <v>8251</v>
      </c>
      <c r="C4104" s="2" t="s">
        <v>28</v>
      </c>
      <c r="D4104" s="2" t="s">
        <v>29</v>
      </c>
      <c r="E4104" s="5">
        <v>-28454</v>
      </c>
      <c r="F4104" s="3" t="s">
        <v>2033</v>
      </c>
      <c r="G4104" s="3" t="s">
        <v>19</v>
      </c>
      <c r="H4104" s="2" t="s">
        <v>20</v>
      </c>
      <c r="I4104" s="2" t="s">
        <v>8260</v>
      </c>
      <c r="J4104" s="3" t="str">
        <f>HYPERLINK("https://www.boe.es/gazeta/dias/1822/02/03/pdfs/GMD-1822-34.pdf#page=5","Abrir facsímil")</f>
        <v>Abrir facsímil</v>
      </c>
      <c r="K4104" s="3" t="s">
        <v>22</v>
      </c>
    </row>
    <row r="4105" spans="1:11" ht="42" customHeight="1">
      <c r="A4105" s="2" t="s">
        <v>8251</v>
      </c>
      <c r="B4105" s="2" t="s">
        <v>8251</v>
      </c>
      <c r="C4105" s="2" t="s">
        <v>42</v>
      </c>
      <c r="D4105" s="2" t="s">
        <v>17</v>
      </c>
      <c r="E4105" s="5">
        <v>-28450</v>
      </c>
      <c r="F4105" s="3" t="s">
        <v>1450</v>
      </c>
      <c r="G4105" s="3" t="s">
        <v>35</v>
      </c>
      <c r="H4105" s="2" t="s">
        <v>20</v>
      </c>
      <c r="I4105" s="2" t="s">
        <v>8261</v>
      </c>
      <c r="J4105" s="3" t="str">
        <f>HYPERLINK("https://www.boe.es/gazeta/dias/1822/02/07/pdfs/GMD-1822-38.pdf#page=2","Abrir facsímil")</f>
        <v>Abrir facsímil</v>
      </c>
      <c r="K4105" s="3" t="s">
        <v>22</v>
      </c>
    </row>
    <row r="4106" spans="1:11" ht="42" customHeight="1">
      <c r="A4106" s="2" t="s">
        <v>8251</v>
      </c>
      <c r="B4106" s="2" t="s">
        <v>8251</v>
      </c>
      <c r="C4106" s="2" t="s">
        <v>42</v>
      </c>
      <c r="D4106" s="2" t="s">
        <v>17</v>
      </c>
      <c r="E4106" s="5">
        <v>-28450</v>
      </c>
      <c r="F4106" s="3" t="s">
        <v>1450</v>
      </c>
      <c r="G4106" s="3" t="s">
        <v>31</v>
      </c>
      <c r="H4106" s="2" t="s">
        <v>20</v>
      </c>
      <c r="I4106" s="2" t="s">
        <v>8262</v>
      </c>
      <c r="J4106" s="3" t="str">
        <f>HYPERLINK("https://www.boe.es/gazeta/dias/1822/02/07/pdfs/GMD-1822-38.pdf#page=3","Abrir facsímil")</f>
        <v>Abrir facsímil</v>
      </c>
      <c r="K4106" s="3" t="s">
        <v>22</v>
      </c>
    </row>
    <row r="4107" spans="1:11" ht="42" customHeight="1">
      <c r="A4107" s="2" t="s">
        <v>8251</v>
      </c>
      <c r="B4107" s="2" t="s">
        <v>8251</v>
      </c>
      <c r="C4107" s="2" t="s">
        <v>71</v>
      </c>
      <c r="D4107" s="2" t="s">
        <v>17</v>
      </c>
      <c r="E4107" s="5">
        <v>-28449</v>
      </c>
      <c r="F4107" s="3" t="s">
        <v>1342</v>
      </c>
      <c r="G4107" s="3" t="s">
        <v>31</v>
      </c>
      <c r="H4107" s="2" t="s">
        <v>20</v>
      </c>
      <c r="I4107" s="2" t="s">
        <v>8263</v>
      </c>
      <c r="J4107" s="3" t="str">
        <f>HYPERLINK("https://www.boe.es/gazeta/dias/1822/02/08/pdfs/GMD-1822-39.pdf#page=3","Abrir facsímil")</f>
        <v>Abrir facsímil</v>
      </c>
      <c r="K4107" s="3" t="s">
        <v>22</v>
      </c>
    </row>
    <row r="4108" spans="1:11" ht="42" customHeight="1">
      <c r="A4108" s="2" t="s">
        <v>8251</v>
      </c>
      <c r="B4108" s="2" t="s">
        <v>8251</v>
      </c>
      <c r="C4108" s="2" t="s">
        <v>24</v>
      </c>
      <c r="D4108" s="2" t="s">
        <v>17</v>
      </c>
      <c r="E4108" s="5">
        <v>-28448</v>
      </c>
      <c r="F4108" s="3" t="s">
        <v>1670</v>
      </c>
      <c r="G4108" s="3" t="s">
        <v>35</v>
      </c>
      <c r="H4108" s="2" t="s">
        <v>20</v>
      </c>
      <c r="I4108" s="2" t="s">
        <v>8264</v>
      </c>
      <c r="J4108" s="3" t="str">
        <f>HYPERLINK("https://www.boe.es/gazeta/dias/1822/02/09/pdfs/GMD-1822-40.pdf#page=2","Abrir facsímil")</f>
        <v>Abrir facsímil</v>
      </c>
      <c r="K4108" s="3" t="s">
        <v>22</v>
      </c>
    </row>
    <row r="4109" spans="1:11" ht="42" customHeight="1">
      <c r="A4109" s="2" t="s">
        <v>8251</v>
      </c>
      <c r="B4109" s="2" t="s">
        <v>8251</v>
      </c>
      <c r="C4109" s="2" t="s">
        <v>24</v>
      </c>
      <c r="D4109" s="2" t="s">
        <v>17</v>
      </c>
      <c r="E4109" s="5">
        <v>-28448</v>
      </c>
      <c r="F4109" s="3" t="s">
        <v>1670</v>
      </c>
      <c r="G4109" s="3" t="s">
        <v>31</v>
      </c>
      <c r="H4109" s="2" t="s">
        <v>20</v>
      </c>
      <c r="I4109" s="2" t="s">
        <v>8265</v>
      </c>
      <c r="J4109" s="3" t="str">
        <f>HYPERLINK("https://www.boe.es/gazeta/dias/1822/02/09/pdfs/GMD-1822-40.pdf#page=3","Abrir facsímil")</f>
        <v>Abrir facsímil</v>
      </c>
      <c r="K4109" s="3" t="s">
        <v>22</v>
      </c>
    </row>
    <row r="4110" spans="1:11" ht="42" customHeight="1">
      <c r="A4110" s="2" t="s">
        <v>8251</v>
      </c>
      <c r="B4110" s="2" t="s">
        <v>8251</v>
      </c>
      <c r="C4110" s="2" t="s">
        <v>42</v>
      </c>
      <c r="D4110" s="2" t="s">
        <v>17</v>
      </c>
      <c r="E4110" s="5">
        <v>-28446</v>
      </c>
      <c r="F4110" s="3" t="s">
        <v>773</v>
      </c>
      <c r="G4110" s="3" t="s">
        <v>19</v>
      </c>
      <c r="H4110" s="2" t="s">
        <v>20</v>
      </c>
      <c r="I4110" s="2" t="s">
        <v>8266</v>
      </c>
      <c r="J4110" s="3" t="str">
        <f>HYPERLINK("https://www.boe.es/gazeta/dias/1822/02/11/pdfs/GMD-1822-42.pdf#page=5","Abrir facsímil")</f>
        <v>Abrir facsímil</v>
      </c>
      <c r="K4110" s="3" t="s">
        <v>22</v>
      </c>
    </row>
    <row r="4111" spans="1:11" ht="42" customHeight="1">
      <c r="A4111" s="2" t="s">
        <v>8251</v>
      </c>
      <c r="B4111" s="2" t="s">
        <v>8251</v>
      </c>
      <c r="C4111" s="2" t="s">
        <v>50</v>
      </c>
      <c r="D4111" s="2" t="s">
        <v>51</v>
      </c>
      <c r="E4111" s="5">
        <v>-28160</v>
      </c>
      <c r="F4111" s="3" t="s">
        <v>148</v>
      </c>
      <c r="G4111" s="3" t="s">
        <v>63</v>
      </c>
      <c r="H4111" s="2" t="s">
        <v>20</v>
      </c>
      <c r="I4111" s="2" t="s">
        <v>8267</v>
      </c>
      <c r="J4111" s="3" t="str">
        <f>HYPERLINK("https://www.boe.es/gazeta/dias/1822/11/24/pdfs/GMD-1822-344.pdf#page=6","Abrir facsímil")</f>
        <v>Abrir facsímil</v>
      </c>
      <c r="K4111" s="3" t="s">
        <v>22</v>
      </c>
    </row>
    <row r="4112" spans="1:11" ht="42" customHeight="1">
      <c r="A4112" s="2" t="s">
        <v>8268</v>
      </c>
      <c r="B4112" s="2" t="s">
        <v>8269</v>
      </c>
      <c r="C4112" s="2" t="s">
        <v>50</v>
      </c>
      <c r="D4112" s="2" t="s">
        <v>51</v>
      </c>
      <c r="E4112" s="5">
        <v>-28255</v>
      </c>
      <c r="F4112" s="3" t="s">
        <v>4826</v>
      </c>
      <c r="G4112" s="3" t="s">
        <v>57</v>
      </c>
      <c r="H4112" s="2" t="s">
        <v>20</v>
      </c>
      <c r="I4112" s="2" t="s">
        <v>8270</v>
      </c>
      <c r="J4112" s="3" t="str">
        <f>HYPERLINK("https://www.boe.es/gazeta/dias/1822/08/21/pdfs/GMD-1822-245.pdf#page=4","Abrir facsímil")</f>
        <v>Abrir facsímil</v>
      </c>
      <c r="K4112" s="3" t="s">
        <v>22</v>
      </c>
    </row>
    <row r="4113" spans="1:11" ht="42" customHeight="1">
      <c r="A4113" s="2" t="s">
        <v>8271</v>
      </c>
      <c r="B4113" s="2" t="s">
        <v>8272</v>
      </c>
      <c r="C4113" s="2" t="s">
        <v>50</v>
      </c>
      <c r="D4113" s="2" t="s">
        <v>51</v>
      </c>
      <c r="E4113" s="5">
        <v>-28419</v>
      </c>
      <c r="F4113" s="3" t="s">
        <v>1392</v>
      </c>
      <c r="G4113" s="3" t="s">
        <v>31</v>
      </c>
      <c r="H4113" s="2" t="s">
        <v>20</v>
      </c>
      <c r="I4113" s="2" t="s">
        <v>8273</v>
      </c>
      <c r="J4113" s="3" t="str">
        <f>HYPERLINK("https://www.boe.es/gazeta/dias/1822/03/10/pdfs/GMD-1822-71.pdf#page=3","Abrir facsímil")</f>
        <v>Abrir facsímil</v>
      </c>
      <c r="K4113" s="3" t="s">
        <v>22</v>
      </c>
    </row>
    <row r="4114" spans="1:11" ht="42" customHeight="1">
      <c r="A4114" s="2" t="s">
        <v>8271</v>
      </c>
      <c r="B4114" s="2" t="s">
        <v>8272</v>
      </c>
      <c r="C4114" s="2" t="s">
        <v>50</v>
      </c>
      <c r="D4114" s="2" t="s">
        <v>51</v>
      </c>
      <c r="E4114" s="5">
        <v>-28397</v>
      </c>
      <c r="F4114" s="3" t="s">
        <v>1401</v>
      </c>
      <c r="G4114" s="3" t="s">
        <v>57</v>
      </c>
      <c r="H4114" s="2" t="s">
        <v>20</v>
      </c>
      <c r="I4114" s="2" t="s">
        <v>8274</v>
      </c>
      <c r="J4114" s="3" t="str">
        <f>HYPERLINK("https://www.boe.es/gazeta/dias/1822/04/01/pdfs/GMD-1822-93.pdf#page=4","Abrir facsímil")</f>
        <v>Abrir facsímil</v>
      </c>
      <c r="K4114" s="3" t="s">
        <v>22</v>
      </c>
    </row>
    <row r="4115" spans="1:11" ht="42" customHeight="1">
      <c r="A4115" s="2" t="s">
        <v>8271</v>
      </c>
      <c r="B4115" s="2" t="s">
        <v>8272</v>
      </c>
      <c r="C4115" s="2" t="s">
        <v>50</v>
      </c>
      <c r="D4115" s="2" t="s">
        <v>51</v>
      </c>
      <c r="E4115" s="5">
        <v>-28290</v>
      </c>
      <c r="F4115" s="3" t="s">
        <v>706</v>
      </c>
      <c r="G4115" s="3" t="s">
        <v>35</v>
      </c>
      <c r="H4115" s="2" t="s">
        <v>20</v>
      </c>
      <c r="I4115" s="2" t="s">
        <v>8275</v>
      </c>
      <c r="J4115" s="3" t="str">
        <f>HYPERLINK("https://www.boe.es/gazeta/dias/1822/07/17/pdfs/GMD-1822-207.pdf#page=2","Abrir facsímil")</f>
        <v>Abrir facsímil</v>
      </c>
      <c r="K4115" s="3" t="s">
        <v>22</v>
      </c>
    </row>
    <row r="4116" spans="1:11" ht="42" customHeight="1">
      <c r="A4116" s="2" t="s">
        <v>8276</v>
      </c>
      <c r="B4116" s="2" t="s">
        <v>8276</v>
      </c>
      <c r="C4116" s="2" t="s">
        <v>71</v>
      </c>
      <c r="D4116" s="2" t="s">
        <v>17</v>
      </c>
      <c r="E4116" s="5">
        <v>-28357</v>
      </c>
      <c r="F4116" s="3" t="s">
        <v>690</v>
      </c>
      <c r="G4116" s="3" t="s">
        <v>44</v>
      </c>
      <c r="H4116" s="2" t="s">
        <v>20</v>
      </c>
      <c r="I4116" s="2" t="s">
        <v>8277</v>
      </c>
      <c r="J4116" s="3" t="str">
        <f>HYPERLINK("https://www.boe.es/gazeta/dias/1822/05/11/pdfs/GMD-1822-133.pdf#page=1","Abrir facsímil")</f>
        <v>Abrir facsímil</v>
      </c>
      <c r="K4116" s="3" t="s">
        <v>22</v>
      </c>
    </row>
    <row r="4117" spans="1:11" ht="42" customHeight="1">
      <c r="A4117" s="2" t="s">
        <v>8276</v>
      </c>
      <c r="B4117" s="2" t="s">
        <v>8276</v>
      </c>
      <c r="C4117" s="2" t="s">
        <v>50</v>
      </c>
      <c r="D4117" s="2" t="s">
        <v>51</v>
      </c>
      <c r="E4117" s="5">
        <v>-28345</v>
      </c>
      <c r="F4117" s="3" t="s">
        <v>294</v>
      </c>
      <c r="G4117" s="3" t="s">
        <v>35</v>
      </c>
      <c r="H4117" s="2" t="s">
        <v>20</v>
      </c>
      <c r="I4117" s="2" t="s">
        <v>8278</v>
      </c>
      <c r="J4117" s="3" t="str">
        <f>HYPERLINK("https://www.boe.es/gazeta/dias/1822/05/23/pdfs/GMD-1822-147.pdf#page=2","Abrir facsímil")</f>
        <v>Abrir facsímil</v>
      </c>
      <c r="K4117" s="3" t="s">
        <v>22</v>
      </c>
    </row>
    <row r="4118" spans="1:11" ht="42" customHeight="1">
      <c r="A4118" s="2" t="s">
        <v>8276</v>
      </c>
      <c r="B4118" s="2" t="s">
        <v>8276</v>
      </c>
      <c r="C4118" s="2" t="s">
        <v>50</v>
      </c>
      <c r="D4118" s="2" t="s">
        <v>51</v>
      </c>
      <c r="E4118" s="5">
        <v>-28338</v>
      </c>
      <c r="F4118" s="3" t="s">
        <v>527</v>
      </c>
      <c r="G4118" s="3" t="s">
        <v>35</v>
      </c>
      <c r="H4118" s="2" t="s">
        <v>20</v>
      </c>
      <c r="I4118" s="2" t="s">
        <v>8279</v>
      </c>
      <c r="J4118" s="3" t="str">
        <f>HYPERLINK("https://www.boe.es/gazeta/dias/1822/05/30/pdfs/GMD-1822-155.pdf#page=2","Abrir facsímil")</f>
        <v>Abrir facsímil</v>
      </c>
      <c r="K4118" s="3" t="s">
        <v>22</v>
      </c>
    </row>
    <row r="4119" spans="1:11" ht="42" customHeight="1">
      <c r="A4119" s="2" t="s">
        <v>8276</v>
      </c>
      <c r="B4119" s="2" t="s">
        <v>8276</v>
      </c>
      <c r="C4119" s="2" t="s">
        <v>50</v>
      </c>
      <c r="D4119" s="2" t="s">
        <v>51</v>
      </c>
      <c r="E4119" s="5">
        <v>-28324</v>
      </c>
      <c r="F4119" s="3" t="s">
        <v>305</v>
      </c>
      <c r="G4119" s="3" t="s">
        <v>31</v>
      </c>
      <c r="H4119" s="2" t="s">
        <v>20</v>
      </c>
      <c r="I4119" s="2" t="s">
        <v>8280</v>
      </c>
      <c r="J4119" s="3" t="str">
        <f>HYPERLINK("https://www.boe.es/gazeta/dias/1822/06/13/pdfs/GMD-1822-170.pdf#page=3","Abrir facsímil")</f>
        <v>Abrir facsímil</v>
      </c>
      <c r="K4119" s="3" t="s">
        <v>22</v>
      </c>
    </row>
    <row r="4120" spans="1:11" ht="42" customHeight="1">
      <c r="A4120" s="2" t="s">
        <v>8276</v>
      </c>
      <c r="B4120" s="2" t="s">
        <v>8276</v>
      </c>
      <c r="C4120" s="2" t="s">
        <v>16</v>
      </c>
      <c r="D4120" s="2" t="s">
        <v>17</v>
      </c>
      <c r="E4120" s="5">
        <v>-28323</v>
      </c>
      <c r="F4120" s="3" t="s">
        <v>116</v>
      </c>
      <c r="G4120" s="3" t="s">
        <v>31</v>
      </c>
      <c r="H4120" s="2" t="s">
        <v>20</v>
      </c>
      <c r="I4120" s="2" t="s">
        <v>8281</v>
      </c>
      <c r="J4120" s="3" t="str">
        <f>HYPERLINK("https://www.boe.es/gazeta/dias/1822/06/14/pdfs/GMD-1822-171.pdf#page=3","Abrir facsímil")</f>
        <v>Abrir facsímil</v>
      </c>
      <c r="K4120" s="3" t="s">
        <v>22</v>
      </c>
    </row>
    <row r="4121" spans="1:11" ht="42" customHeight="1">
      <c r="A4121" s="2" t="s">
        <v>8276</v>
      </c>
      <c r="B4121" s="2" t="s">
        <v>8276</v>
      </c>
      <c r="C4121" s="2" t="s">
        <v>16</v>
      </c>
      <c r="D4121" s="2" t="s">
        <v>17</v>
      </c>
      <c r="E4121" s="5">
        <v>-28312</v>
      </c>
      <c r="F4121" s="3" t="s">
        <v>92</v>
      </c>
      <c r="G4121" s="3" t="s">
        <v>35</v>
      </c>
      <c r="H4121" s="2" t="s">
        <v>20</v>
      </c>
      <c r="I4121" s="2" t="s">
        <v>8282</v>
      </c>
      <c r="J4121" s="3" t="str">
        <f>HYPERLINK("https://www.boe.es/gazeta/dias/1822/06/25/pdfs/GMD-1822-183.pdf#page=2","Abrir facsímil")</f>
        <v>Abrir facsímil</v>
      </c>
      <c r="K4121" s="3" t="s">
        <v>22</v>
      </c>
    </row>
    <row r="4122" spans="1:11" ht="42" customHeight="1">
      <c r="A4122" s="2" t="s">
        <v>8276</v>
      </c>
      <c r="B4122" s="2" t="s">
        <v>8276</v>
      </c>
      <c r="C4122" s="2" t="s">
        <v>50</v>
      </c>
      <c r="D4122" s="2" t="s">
        <v>51</v>
      </c>
      <c r="E4122" s="5">
        <v>-28260</v>
      </c>
      <c r="F4122" s="3" t="s">
        <v>135</v>
      </c>
      <c r="G4122" s="3" t="s">
        <v>31</v>
      </c>
      <c r="H4122" s="2" t="s">
        <v>20</v>
      </c>
      <c r="I4122" s="2" t="s">
        <v>8283</v>
      </c>
      <c r="J4122" s="3" t="str">
        <f>HYPERLINK("https://www.boe.es/gazeta/dias/1822/08/16/pdfs/GMD-1822-240.pdf#page=3","Abrir facsímil")</f>
        <v>Abrir facsímil</v>
      </c>
      <c r="K4122" s="3" t="s">
        <v>22</v>
      </c>
    </row>
    <row r="4123" spans="1:11" ht="42" customHeight="1">
      <c r="A4123" s="2" t="s">
        <v>8276</v>
      </c>
      <c r="B4123" s="2" t="s">
        <v>8276</v>
      </c>
      <c r="C4123" s="2" t="s">
        <v>50</v>
      </c>
      <c r="D4123" s="2" t="s">
        <v>51</v>
      </c>
      <c r="E4123" s="5">
        <v>-28205</v>
      </c>
      <c r="F4123" s="3" t="s">
        <v>806</v>
      </c>
      <c r="G4123" s="3" t="s">
        <v>19</v>
      </c>
      <c r="H4123" s="2" t="s">
        <v>20</v>
      </c>
      <c r="I4123" s="2" t="s">
        <v>8284</v>
      </c>
      <c r="J4123" s="3" t="str">
        <f>HYPERLINK("https://www.boe.es/gazeta/dias/1822/10/10/pdfs/GMD-1822-297.pdf#page=5","Abrir facsímil")</f>
        <v>Abrir facsímil</v>
      </c>
      <c r="K4123" s="3" t="s">
        <v>22</v>
      </c>
    </row>
    <row r="4124" spans="1:11" ht="42" customHeight="1">
      <c r="A4124" s="2" t="s">
        <v>8285</v>
      </c>
      <c r="B4124" s="2" t="s">
        <v>8286</v>
      </c>
      <c r="C4124" s="2" t="s">
        <v>28</v>
      </c>
      <c r="D4124" s="2" t="s">
        <v>29</v>
      </c>
      <c r="E4124" s="5">
        <v>-28436</v>
      </c>
      <c r="F4124" s="3" t="s">
        <v>431</v>
      </c>
      <c r="G4124" s="3" t="s">
        <v>1428</v>
      </c>
      <c r="H4124" s="2" t="s">
        <v>20</v>
      </c>
      <c r="I4124" s="2" t="s">
        <v>8287</v>
      </c>
      <c r="J4124" s="3" t="str">
        <f>HYPERLINK("https://www.boe.es/gazeta/dias/1822/02/21/pdfs/GMD-1822-53.pdf#page=3","Abrir facsímil")</f>
        <v>Abrir facsímil</v>
      </c>
      <c r="K4124" s="3" t="s">
        <v>22</v>
      </c>
    </row>
    <row r="4125" spans="1:11" ht="42" customHeight="1">
      <c r="A4125" s="2" t="s">
        <v>8288</v>
      </c>
      <c r="B4125" s="2" t="s">
        <v>8289</v>
      </c>
      <c r="C4125" s="2" t="s">
        <v>28</v>
      </c>
      <c r="D4125" s="2" t="s">
        <v>29</v>
      </c>
      <c r="E4125" s="5">
        <v>-28423</v>
      </c>
      <c r="F4125" s="3" t="s">
        <v>441</v>
      </c>
      <c r="G4125" s="3" t="s">
        <v>35</v>
      </c>
      <c r="H4125" s="2" t="s">
        <v>20</v>
      </c>
      <c r="I4125" s="2" t="s">
        <v>8290</v>
      </c>
      <c r="J4125" s="3" t="str">
        <f>HYPERLINK("https://www.boe.es/gazeta/dias/1822/03/06/pdfs/GMD-1822-67.pdf#page=2","Abrir facsímil")</f>
        <v>Abrir facsímil</v>
      </c>
      <c r="K4125" s="3" t="s">
        <v>22</v>
      </c>
    </row>
    <row r="4126" spans="1:11" ht="42" customHeight="1">
      <c r="A4126" s="2" t="s">
        <v>8288</v>
      </c>
      <c r="B4126" s="2" t="s">
        <v>8289</v>
      </c>
      <c r="C4126" s="2" t="s">
        <v>71</v>
      </c>
      <c r="D4126" s="2" t="s">
        <v>17</v>
      </c>
      <c r="E4126" s="5">
        <v>-28421</v>
      </c>
      <c r="F4126" s="3" t="s">
        <v>446</v>
      </c>
      <c r="G4126" s="3" t="s">
        <v>31</v>
      </c>
      <c r="H4126" s="2" t="s">
        <v>20</v>
      </c>
      <c r="I4126" s="2" t="s">
        <v>8291</v>
      </c>
      <c r="J4126" s="3" t="str">
        <f>HYPERLINK("https://www.boe.es/gazeta/dias/1822/03/08/pdfs/GMD-1822-69.pdf#page=3","Abrir facsímil")</f>
        <v>Abrir facsímil</v>
      </c>
      <c r="K4126" s="3" t="s">
        <v>22</v>
      </c>
    </row>
    <row r="4127" spans="1:11" ht="42" customHeight="1">
      <c r="A4127" s="2" t="s">
        <v>8288</v>
      </c>
      <c r="B4127" s="2" t="s">
        <v>8289</v>
      </c>
      <c r="C4127" s="2" t="s">
        <v>71</v>
      </c>
      <c r="D4127" s="2" t="s">
        <v>17</v>
      </c>
      <c r="E4127" s="5">
        <v>-28421</v>
      </c>
      <c r="F4127" s="3" t="s">
        <v>446</v>
      </c>
      <c r="G4127" s="3" t="s">
        <v>19</v>
      </c>
      <c r="H4127" s="2" t="s">
        <v>20</v>
      </c>
      <c r="I4127" s="2" t="s">
        <v>8292</v>
      </c>
      <c r="J4127" s="3" t="str">
        <f>HYPERLINK("https://www.boe.es/gazeta/dias/1822/03/08/pdfs/GMD-1822-69.pdf#page=5","Abrir facsímil")</f>
        <v>Abrir facsímil</v>
      </c>
      <c r="K4127" s="3" t="s">
        <v>22</v>
      </c>
    </row>
    <row r="4128" spans="1:11" ht="42" customHeight="1">
      <c r="A4128" s="2" t="s">
        <v>8288</v>
      </c>
      <c r="B4128" s="2" t="s">
        <v>8289</v>
      </c>
      <c r="C4128" s="2" t="s">
        <v>28</v>
      </c>
      <c r="D4128" s="2" t="s">
        <v>29</v>
      </c>
      <c r="E4128" s="5">
        <v>-28419</v>
      </c>
      <c r="F4128" s="3" t="s">
        <v>1392</v>
      </c>
      <c r="G4128" s="3" t="s">
        <v>57</v>
      </c>
      <c r="H4128" s="2" t="s">
        <v>20</v>
      </c>
      <c r="I4128" s="2" t="s">
        <v>8293</v>
      </c>
      <c r="J4128" s="3" t="str">
        <f>HYPERLINK("https://www.boe.es/gazeta/dias/1822/03/10/pdfs/GMD-1822-71.pdf#page=4","Abrir facsímil")</f>
        <v>Abrir facsímil</v>
      </c>
      <c r="K4128" s="3" t="s">
        <v>22</v>
      </c>
    </row>
    <row r="4129" spans="1:11" ht="42" customHeight="1">
      <c r="A4129" s="2" t="s">
        <v>8288</v>
      </c>
      <c r="B4129" s="2" t="s">
        <v>8289</v>
      </c>
      <c r="C4129" s="2" t="s">
        <v>28</v>
      </c>
      <c r="D4129" s="2" t="s">
        <v>29</v>
      </c>
      <c r="E4129" s="5">
        <v>-28342</v>
      </c>
      <c r="F4129" s="3" t="s">
        <v>2281</v>
      </c>
      <c r="G4129" s="3" t="s">
        <v>31</v>
      </c>
      <c r="H4129" s="2" t="s">
        <v>20</v>
      </c>
      <c r="I4129" s="2" t="s">
        <v>8294</v>
      </c>
      <c r="J4129" s="3" t="str">
        <f>HYPERLINK("https://www.boe.es/gazeta/dias/1822/05/26/pdfs/GMD-1822-151.pdf#page=3","Abrir facsímil")</f>
        <v>Abrir facsímil</v>
      </c>
      <c r="K4129" s="3" t="s">
        <v>22</v>
      </c>
    </row>
    <row r="4130" spans="1:11" ht="42" customHeight="1">
      <c r="A4130" s="2" t="s">
        <v>8288</v>
      </c>
      <c r="B4130" s="2" t="s">
        <v>8289</v>
      </c>
      <c r="C4130" s="2" t="s">
        <v>42</v>
      </c>
      <c r="D4130" s="2" t="s">
        <v>17</v>
      </c>
      <c r="E4130" s="5">
        <v>-28325</v>
      </c>
      <c r="F4130" s="3" t="s">
        <v>104</v>
      </c>
      <c r="G4130" s="3" t="s">
        <v>57</v>
      </c>
      <c r="H4130" s="2" t="s">
        <v>20</v>
      </c>
      <c r="I4130" s="2" t="s">
        <v>8295</v>
      </c>
      <c r="J4130" s="3" t="str">
        <f>HYPERLINK("https://www.boe.es/gazeta/dias/1822/06/12/pdfs/GMD-1822-169.pdf#page=4","Abrir facsímil")</f>
        <v>Abrir facsímil</v>
      </c>
      <c r="K4130" s="3" t="s">
        <v>22</v>
      </c>
    </row>
    <row r="4131" spans="1:11" ht="42" customHeight="1">
      <c r="A4131" s="2" t="s">
        <v>8296</v>
      </c>
      <c r="B4131" s="2" t="s">
        <v>8297</v>
      </c>
      <c r="C4131" s="2" t="s">
        <v>42</v>
      </c>
      <c r="D4131" s="2" t="s">
        <v>17</v>
      </c>
      <c r="E4131" s="5">
        <v>-28234</v>
      </c>
      <c r="F4131" s="3" t="s">
        <v>1331</v>
      </c>
      <c r="G4131" s="3" t="s">
        <v>35</v>
      </c>
      <c r="H4131" s="2" t="s">
        <v>20</v>
      </c>
      <c r="I4131" s="2" t="s">
        <v>8298</v>
      </c>
      <c r="J4131" s="3" t="str">
        <f>HYPERLINK("https://www.boe.es/gazeta/dias/1822/09/11/pdfs/GMD-1822-267.pdf#page=2","Abrir facsímil")</f>
        <v>Abrir facsímil</v>
      </c>
      <c r="K4131" s="3" t="s">
        <v>22</v>
      </c>
    </row>
    <row r="4132" spans="1:11" ht="42" customHeight="1">
      <c r="A4132" s="2" t="s">
        <v>8299</v>
      </c>
      <c r="B4132" s="2" t="s">
        <v>8299</v>
      </c>
      <c r="C4132" s="2" t="s">
        <v>42</v>
      </c>
      <c r="D4132" s="2" t="s">
        <v>17</v>
      </c>
      <c r="E4132" s="5">
        <v>-28325</v>
      </c>
      <c r="F4132" s="3" t="s">
        <v>104</v>
      </c>
      <c r="G4132" s="3" t="s">
        <v>35</v>
      </c>
      <c r="H4132" s="2" t="s">
        <v>20</v>
      </c>
      <c r="I4132" s="2" t="s">
        <v>8300</v>
      </c>
      <c r="J4132" s="3" t="str">
        <f>HYPERLINK("https://www.boe.es/gazeta/dias/1822/06/12/pdfs/GMD-1822-169.pdf#page=2","Abrir facsímil")</f>
        <v>Abrir facsímil</v>
      </c>
      <c r="K4132" s="3" t="s">
        <v>22</v>
      </c>
    </row>
    <row r="4133" spans="1:11" ht="42" customHeight="1">
      <c r="A4133" s="2" t="s">
        <v>8301</v>
      </c>
      <c r="B4133" s="2" t="s">
        <v>8302</v>
      </c>
      <c r="C4133" s="2" t="s">
        <v>42</v>
      </c>
      <c r="D4133" s="2" t="s">
        <v>17</v>
      </c>
      <c r="E4133" s="5">
        <v>-28208</v>
      </c>
      <c r="F4133" s="3" t="s">
        <v>230</v>
      </c>
      <c r="G4133" s="3" t="s">
        <v>57</v>
      </c>
      <c r="H4133" s="2" t="s">
        <v>20</v>
      </c>
      <c r="I4133" s="2" t="s">
        <v>8303</v>
      </c>
      <c r="J4133" s="3" t="str">
        <f>HYPERLINK("https://www.boe.es/gazeta/dias/1822/10/07/pdfs/GMD-1822-293.pdf#page=4","Abrir facsímil")</f>
        <v>Abrir facsímil</v>
      </c>
      <c r="K4133" s="3" t="s">
        <v>22</v>
      </c>
    </row>
    <row r="4134" spans="1:11" ht="42" customHeight="1">
      <c r="A4134" s="2" t="s">
        <v>8304</v>
      </c>
      <c r="B4134" s="2" t="s">
        <v>8305</v>
      </c>
      <c r="C4134" s="2" t="s">
        <v>16</v>
      </c>
      <c r="D4134" s="2" t="s">
        <v>17</v>
      </c>
      <c r="E4134" s="5">
        <v>-28224</v>
      </c>
      <c r="F4134" s="3" t="s">
        <v>1902</v>
      </c>
      <c r="G4134" s="3" t="s">
        <v>57</v>
      </c>
      <c r="H4134" s="2" t="s">
        <v>20</v>
      </c>
      <c r="I4134" s="2" t="s">
        <v>8306</v>
      </c>
      <c r="J4134" s="3" t="str">
        <f>HYPERLINK("https://www.boe.es/gazeta/dias/1822/09/21/pdfs/GMD-1822-277.pdf#page=4","Abrir facsímil")</f>
        <v>Abrir facsímil</v>
      </c>
      <c r="K4134" s="3" t="s">
        <v>22</v>
      </c>
    </row>
    <row r="4135" spans="1:11" ht="42" customHeight="1">
      <c r="A4135" s="2" t="s">
        <v>8307</v>
      </c>
      <c r="B4135" s="2" t="s">
        <v>8307</v>
      </c>
      <c r="C4135" s="2" t="s">
        <v>42</v>
      </c>
      <c r="D4135" s="2" t="s">
        <v>17</v>
      </c>
      <c r="E4135" s="5">
        <v>-28454</v>
      </c>
      <c r="F4135" s="3" t="s">
        <v>2033</v>
      </c>
      <c r="G4135" s="3" t="s">
        <v>57</v>
      </c>
      <c r="H4135" s="2" t="s">
        <v>20</v>
      </c>
      <c r="I4135" s="2" t="s">
        <v>8308</v>
      </c>
      <c r="J4135" s="3" t="str">
        <f>HYPERLINK("https://www.boe.es/gazeta/dias/1822/02/03/pdfs/GMD-1822-34.pdf#page=4","Abrir facsímil")</f>
        <v>Abrir facsímil</v>
      </c>
      <c r="K4135" s="3" t="s">
        <v>22</v>
      </c>
    </row>
    <row r="4136" spans="1:11" ht="42" customHeight="1">
      <c r="A4136" s="2" t="s">
        <v>8307</v>
      </c>
      <c r="B4136" s="2" t="s">
        <v>8307</v>
      </c>
      <c r="C4136" s="2" t="s">
        <v>61</v>
      </c>
      <c r="D4136" s="2" t="s">
        <v>17</v>
      </c>
      <c r="E4136" s="5">
        <v>-28448</v>
      </c>
      <c r="F4136" s="3" t="s">
        <v>1670</v>
      </c>
      <c r="G4136" s="3" t="s">
        <v>35</v>
      </c>
      <c r="H4136" s="2" t="s">
        <v>20</v>
      </c>
      <c r="I4136" s="2" t="s">
        <v>8309</v>
      </c>
      <c r="J4136" s="3" t="str">
        <f>HYPERLINK("https://www.boe.es/gazeta/dias/1822/02/09/pdfs/GMD-1822-40.pdf#page=2","Abrir facsímil")</f>
        <v>Abrir facsímil</v>
      </c>
      <c r="K4136" s="3" t="s">
        <v>22</v>
      </c>
    </row>
    <row r="4137" spans="1:11" ht="42" customHeight="1">
      <c r="A4137" s="2" t="s">
        <v>8310</v>
      </c>
      <c r="B4137" s="2" t="s">
        <v>8310</v>
      </c>
      <c r="C4137" s="2" t="s">
        <v>71</v>
      </c>
      <c r="D4137" s="2" t="s">
        <v>17</v>
      </c>
      <c r="E4137" s="5">
        <v>-28160</v>
      </c>
      <c r="F4137" s="3" t="s">
        <v>148</v>
      </c>
      <c r="G4137" s="3" t="s">
        <v>57</v>
      </c>
      <c r="H4137" s="2" t="s">
        <v>20</v>
      </c>
      <c r="I4137" s="2" t="s">
        <v>8311</v>
      </c>
      <c r="J4137" s="3" t="str">
        <f>HYPERLINK("https://www.boe.es/gazeta/dias/1822/11/24/pdfs/GMD-1822-344.pdf#page=4","Abrir facsímil")</f>
        <v>Abrir facsímil</v>
      </c>
      <c r="K4137" s="3" t="s">
        <v>22</v>
      </c>
    </row>
    <row r="4138" spans="1:11" ht="42" customHeight="1">
      <c r="A4138" s="2" t="s">
        <v>8312</v>
      </c>
      <c r="B4138" s="2" t="s">
        <v>8312</v>
      </c>
      <c r="C4138" s="2" t="s">
        <v>42</v>
      </c>
      <c r="D4138" s="2" t="s">
        <v>17</v>
      </c>
      <c r="E4138" s="5">
        <v>-28454</v>
      </c>
      <c r="F4138" s="3" t="s">
        <v>2033</v>
      </c>
      <c r="G4138" s="3" t="s">
        <v>19</v>
      </c>
      <c r="H4138" s="2" t="s">
        <v>20</v>
      </c>
      <c r="I4138" s="2" t="s">
        <v>8313</v>
      </c>
      <c r="J4138" s="3" t="str">
        <f>HYPERLINK("https://www.boe.es/gazeta/dias/1822/02/03/pdfs/GMD-1822-34.pdf#page=5","Abrir facsímil")</f>
        <v>Abrir facsímil</v>
      </c>
      <c r="K4138" s="3" t="s">
        <v>22</v>
      </c>
    </row>
    <row r="4139" spans="1:11" ht="42" customHeight="1">
      <c r="A4139" s="2" t="s">
        <v>8314</v>
      </c>
      <c r="B4139" s="2" t="s">
        <v>8314</v>
      </c>
      <c r="C4139" s="2" t="s">
        <v>50</v>
      </c>
      <c r="D4139" s="2" t="s">
        <v>51</v>
      </c>
      <c r="E4139" s="5">
        <v>-28172</v>
      </c>
      <c r="F4139" s="3" t="s">
        <v>674</v>
      </c>
      <c r="G4139" s="3" t="s">
        <v>31</v>
      </c>
      <c r="H4139" s="2" t="s">
        <v>20</v>
      </c>
      <c r="I4139" s="2" t="s">
        <v>8315</v>
      </c>
      <c r="J4139" s="3" t="str">
        <f>HYPERLINK("https://www.boe.es/gazeta/dias/1822/11/12/pdfs/GMD-1822-332.pdf#page=3","Abrir facsímil")</f>
        <v>Abrir facsímil</v>
      </c>
      <c r="K4139" s="3" t="s">
        <v>22</v>
      </c>
    </row>
    <row r="4140" spans="1:11" ht="42" customHeight="1">
      <c r="A4140" s="2" t="s">
        <v>8316</v>
      </c>
      <c r="B4140" s="2" t="s">
        <v>8317</v>
      </c>
      <c r="C4140" s="2" t="s">
        <v>28</v>
      </c>
      <c r="D4140" s="2" t="s">
        <v>29</v>
      </c>
      <c r="E4140" s="5">
        <v>-28358</v>
      </c>
      <c r="F4140" s="3" t="s">
        <v>211</v>
      </c>
      <c r="G4140" s="3" t="s">
        <v>44</v>
      </c>
      <c r="H4140" s="2" t="s">
        <v>20</v>
      </c>
      <c r="I4140" s="2" t="s">
        <v>8318</v>
      </c>
      <c r="J4140" s="3" t="str">
        <f>HYPERLINK("https://www.boe.es/gazeta/dias/1822/05/10/pdfs/GMD-1822-132.pdf#page=1","Abrir facsímil")</f>
        <v>Abrir facsímil</v>
      </c>
      <c r="K4140" s="3" t="s">
        <v>22</v>
      </c>
    </row>
    <row r="4141" spans="1:11" ht="42" customHeight="1">
      <c r="A4141" s="2" t="s">
        <v>8319</v>
      </c>
      <c r="B4141" s="2" t="s">
        <v>8319</v>
      </c>
      <c r="C4141" s="2" t="s">
        <v>16</v>
      </c>
      <c r="D4141" s="2" t="s">
        <v>17</v>
      </c>
      <c r="E4141" s="5">
        <v>-28214</v>
      </c>
      <c r="F4141" s="3" t="s">
        <v>814</v>
      </c>
      <c r="G4141" s="3" t="s">
        <v>57</v>
      </c>
      <c r="H4141" s="2" t="s">
        <v>20</v>
      </c>
      <c r="I4141" s="2" t="s">
        <v>8320</v>
      </c>
      <c r="J4141" s="3" t="str">
        <f>HYPERLINK("https://www.boe.es/gazeta/dias/1822/10/01/pdfs/GMD-1822-287.pdf#page=4","Abrir facsímil")</f>
        <v>Abrir facsímil</v>
      </c>
      <c r="K4141" s="3" t="s">
        <v>22</v>
      </c>
    </row>
    <row r="4142" spans="1:11" ht="42" customHeight="1">
      <c r="A4142" s="2" t="s">
        <v>8321</v>
      </c>
      <c r="B4142" s="2" t="s">
        <v>8321</v>
      </c>
      <c r="C4142" s="2" t="s">
        <v>28</v>
      </c>
      <c r="D4142" s="2" t="s">
        <v>29</v>
      </c>
      <c r="E4142" s="5">
        <v>-28126</v>
      </c>
      <c r="F4142" s="3" t="s">
        <v>952</v>
      </c>
      <c r="G4142" s="3" t="s">
        <v>57</v>
      </c>
      <c r="H4142" s="2" t="s">
        <v>20</v>
      </c>
      <c r="I4142" s="2" t="s">
        <v>8322</v>
      </c>
      <c r="J4142" s="3" t="str">
        <f>HYPERLINK("https://www.boe.es/gazeta/dias/1822/12/28/pdfs/GMD-1822-378.pdf#page=4","Abrir facsímil")</f>
        <v>Abrir facsímil</v>
      </c>
      <c r="K4142" s="3" t="s">
        <v>22</v>
      </c>
    </row>
    <row r="4143" spans="1:11" ht="42" customHeight="1">
      <c r="A4143" s="2" t="s">
        <v>8323</v>
      </c>
      <c r="B4143" s="2" t="s">
        <v>8323</v>
      </c>
      <c r="C4143" s="2" t="s">
        <v>42</v>
      </c>
      <c r="D4143" s="2" t="s">
        <v>17</v>
      </c>
      <c r="E4143" s="5">
        <v>-28309</v>
      </c>
      <c r="F4143" s="3" t="s">
        <v>553</v>
      </c>
      <c r="G4143" s="3" t="s">
        <v>642</v>
      </c>
      <c r="H4143" s="2" t="s">
        <v>20</v>
      </c>
      <c r="I4143" s="2" t="s">
        <v>8324</v>
      </c>
      <c r="J4143" s="3" t="str">
        <f>HYPERLINK("https://www.boe.es/gazeta/dias/1822/06/28/pdfs/GMD-1822-186.pdf#page=7","Abrir facsímil")</f>
        <v>Abrir facsímil</v>
      </c>
      <c r="K4143" s="3" t="s">
        <v>22</v>
      </c>
    </row>
    <row r="4144" spans="1:11" ht="42" customHeight="1">
      <c r="A4144" s="2" t="s">
        <v>8325</v>
      </c>
      <c r="B4144" s="2" t="s">
        <v>8325</v>
      </c>
      <c r="C4144" s="2" t="s">
        <v>28</v>
      </c>
      <c r="D4144" s="2" t="s">
        <v>29</v>
      </c>
      <c r="E4144" s="5">
        <v>-28175</v>
      </c>
      <c r="F4144" s="3" t="s">
        <v>341</v>
      </c>
      <c r="G4144" s="3" t="s">
        <v>31</v>
      </c>
      <c r="H4144" s="2" t="s">
        <v>20</v>
      </c>
      <c r="I4144" s="2" t="s">
        <v>8326</v>
      </c>
      <c r="J4144" s="3" t="str">
        <f>HYPERLINK("https://www.boe.es/gazeta/dias/1822/11/09/pdfs/GMD-1822-329.pdf#page=3","Abrir facsímil")</f>
        <v>Abrir facsímil</v>
      </c>
      <c r="K4144" s="3" t="s">
        <v>22</v>
      </c>
    </row>
    <row r="4145" spans="1:11" ht="42" customHeight="1">
      <c r="A4145" s="2" t="s">
        <v>8327</v>
      </c>
      <c r="B4145" s="2" t="s">
        <v>8328</v>
      </c>
      <c r="C4145" s="2" t="s">
        <v>50</v>
      </c>
      <c r="D4145" s="2" t="s">
        <v>51</v>
      </c>
      <c r="E4145" s="5">
        <v>-28277</v>
      </c>
      <c r="F4145" s="3" t="s">
        <v>296</v>
      </c>
      <c r="G4145" s="3" t="s">
        <v>63</v>
      </c>
      <c r="H4145" s="2" t="s">
        <v>20</v>
      </c>
      <c r="I4145" s="2" t="s">
        <v>8329</v>
      </c>
      <c r="J4145" s="3" t="str">
        <f>HYPERLINK("https://www.boe.es/gazeta/dias/1822/07/30/pdfs/GMD-1822-223.pdf#page=6","Abrir facsímil")</f>
        <v>Abrir facsímil</v>
      </c>
      <c r="K4145" s="3" t="s">
        <v>22</v>
      </c>
    </row>
    <row r="4146" spans="1:11" ht="42" customHeight="1">
      <c r="A4146" s="2" t="s">
        <v>8330</v>
      </c>
      <c r="B4146" s="2" t="s">
        <v>8330</v>
      </c>
      <c r="C4146" s="2" t="s">
        <v>24</v>
      </c>
      <c r="D4146" s="2" t="s">
        <v>17</v>
      </c>
      <c r="E4146" s="5">
        <v>-28474</v>
      </c>
      <c r="F4146" s="3" t="s">
        <v>30</v>
      </c>
      <c r="G4146" s="3" t="s">
        <v>31</v>
      </c>
      <c r="H4146" s="2" t="s">
        <v>20</v>
      </c>
      <c r="I4146" s="2" t="s">
        <v>8331</v>
      </c>
      <c r="J4146" s="3" t="str">
        <f>HYPERLINK("https://www.boe.es/gazeta/dias/1822/01/14/pdfs/GMD-1822-14.pdf#page=3","Abrir facsímil")</f>
        <v>Abrir facsímil</v>
      </c>
      <c r="K4146" s="3" t="s">
        <v>22</v>
      </c>
    </row>
    <row r="4147" spans="1:11" ht="42" customHeight="1">
      <c r="A4147" s="2" t="s">
        <v>8332</v>
      </c>
      <c r="B4147" s="2" t="s">
        <v>8332</v>
      </c>
      <c r="C4147" s="2" t="s">
        <v>42</v>
      </c>
      <c r="D4147" s="2" t="s">
        <v>17</v>
      </c>
      <c r="E4147" s="5">
        <v>-28188</v>
      </c>
      <c r="F4147" s="3" t="s">
        <v>578</v>
      </c>
      <c r="G4147" s="3" t="s">
        <v>44</v>
      </c>
      <c r="H4147" s="2" t="s">
        <v>20</v>
      </c>
      <c r="I4147" s="2" t="s">
        <v>8333</v>
      </c>
      <c r="J4147" s="3" t="str">
        <f>HYPERLINK("https://www.boe.es/gazeta/dias/1822/10/27/pdfs/GMD-1822-314.pdf#page=1","Abrir facsímil")</f>
        <v>Abrir facsímil</v>
      </c>
      <c r="K4147" s="3" t="s">
        <v>22</v>
      </c>
    </row>
    <row r="4148" spans="1:11" ht="42" customHeight="1">
      <c r="A4148" s="2" t="s">
        <v>8334</v>
      </c>
      <c r="B4148" s="2" t="s">
        <v>8335</v>
      </c>
      <c r="C4148" s="2" t="s">
        <v>28</v>
      </c>
      <c r="D4148" s="2" t="s">
        <v>29</v>
      </c>
      <c r="E4148" s="5">
        <v>-28160</v>
      </c>
      <c r="F4148" s="3" t="s">
        <v>148</v>
      </c>
      <c r="G4148" s="3" t="s">
        <v>19</v>
      </c>
      <c r="H4148" s="2" t="s">
        <v>45</v>
      </c>
      <c r="I4148" s="2" t="s">
        <v>8336</v>
      </c>
      <c r="J4148" s="3" t="str">
        <f>HYPERLINK("https://www.boe.es/gazeta/dias/1822/11/24/pdfs/GMD-1822-344.pdf#page=5","Abrir facsímil")</f>
        <v>Abrir facsímil</v>
      </c>
      <c r="K4148" s="3" t="s">
        <v>47</v>
      </c>
    </row>
    <row r="4149" spans="1:11" ht="42" customHeight="1">
      <c r="A4149" s="2" t="s">
        <v>8337</v>
      </c>
      <c r="B4149" s="2" t="s">
        <v>8338</v>
      </c>
      <c r="C4149" s="2" t="s">
        <v>42</v>
      </c>
      <c r="D4149" s="2" t="s">
        <v>17</v>
      </c>
      <c r="E4149" s="5">
        <v>-28246</v>
      </c>
      <c r="F4149" s="3" t="s">
        <v>3246</v>
      </c>
      <c r="G4149" s="3" t="s">
        <v>3393</v>
      </c>
      <c r="H4149" s="2" t="s">
        <v>45</v>
      </c>
      <c r="I4149" s="2" t="s">
        <v>8339</v>
      </c>
      <c r="J4149" s="3" t="str">
        <f>HYPERLINK("https://www.boe.es/gazeta/dias/1822/08/30/pdfs/GMD-1822-254.pdf#page=3","Abrir facsímil")</f>
        <v>Abrir facsímil</v>
      </c>
      <c r="K4149" s="3" t="s">
        <v>47</v>
      </c>
    </row>
    <row r="4150" spans="1:11" ht="42" customHeight="1">
      <c r="A4150" s="2" t="s">
        <v>8340</v>
      </c>
      <c r="B4150" s="2" t="s">
        <v>8341</v>
      </c>
      <c r="C4150" s="2" t="s">
        <v>28</v>
      </c>
      <c r="D4150" s="2" t="s">
        <v>29</v>
      </c>
      <c r="E4150" s="5">
        <v>-28241</v>
      </c>
      <c r="F4150" s="3" t="s">
        <v>3068</v>
      </c>
      <c r="G4150" s="3" t="s">
        <v>57</v>
      </c>
      <c r="H4150" s="2" t="s">
        <v>45</v>
      </c>
      <c r="I4150" s="2" t="s">
        <v>8342</v>
      </c>
      <c r="J4150" s="3" t="str">
        <f>HYPERLINK("https://www.boe.es/gazeta/dias/1822/09/04/pdfs/GMD-1822-259.pdf#page=4","Abrir facsímil")</f>
        <v>Abrir facsímil</v>
      </c>
      <c r="K4150" s="3" t="s">
        <v>47</v>
      </c>
    </row>
    <row r="4151" spans="1:11" ht="42" customHeight="1">
      <c r="A4151" s="2" t="s">
        <v>8343</v>
      </c>
      <c r="B4151" s="2" t="s">
        <v>8344</v>
      </c>
      <c r="C4151" s="2" t="s">
        <v>42</v>
      </c>
      <c r="D4151" s="2" t="s">
        <v>17</v>
      </c>
      <c r="E4151" s="5">
        <v>-28281</v>
      </c>
      <c r="F4151" s="3" t="s">
        <v>3310</v>
      </c>
      <c r="G4151" s="3" t="s">
        <v>44</v>
      </c>
      <c r="H4151" s="2" t="s">
        <v>45</v>
      </c>
      <c r="I4151" s="2" t="s">
        <v>8345</v>
      </c>
      <c r="J4151" s="3" t="str">
        <f>HYPERLINK("https://www.boe.es/gazeta/dias/1822/07/26/pdfs/GMD-1822-219.pdf#page=1","Abrir facsímil")</f>
        <v>Abrir facsímil</v>
      </c>
      <c r="K4151" s="3" t="s">
        <v>47</v>
      </c>
    </row>
    <row r="4152" spans="1:11" ht="42" customHeight="1">
      <c r="A4152" s="2" t="s">
        <v>8346</v>
      </c>
      <c r="B4152" s="2" t="s">
        <v>8347</v>
      </c>
      <c r="C4152" s="2" t="s">
        <v>24</v>
      </c>
      <c r="D4152" s="2" t="s">
        <v>17</v>
      </c>
      <c r="E4152" s="5">
        <v>-28386</v>
      </c>
      <c r="F4152" s="3" t="s">
        <v>2993</v>
      </c>
      <c r="G4152" s="3" t="s">
        <v>57</v>
      </c>
      <c r="H4152" s="2" t="s">
        <v>45</v>
      </c>
      <c r="I4152" s="2" t="s">
        <v>8348</v>
      </c>
      <c r="J4152" s="3" t="str">
        <f>HYPERLINK("https://www.boe.es/gazeta/dias/1822/04/12/pdfs/GMD-1822-104.pdf#page=4","Abrir facsímil")</f>
        <v>Abrir facsímil</v>
      </c>
      <c r="K4152" s="3" t="s">
        <v>47</v>
      </c>
    </row>
    <row r="4153" spans="1:11" ht="42" customHeight="1">
      <c r="A4153" s="2" t="s">
        <v>8349</v>
      </c>
      <c r="B4153" s="2" t="s">
        <v>8350</v>
      </c>
      <c r="C4153" s="2" t="s">
        <v>362</v>
      </c>
      <c r="D4153" s="2" t="s">
        <v>17</v>
      </c>
      <c r="E4153" s="5">
        <v>-28338</v>
      </c>
      <c r="F4153" s="3" t="s">
        <v>527</v>
      </c>
      <c r="G4153" s="3" t="s">
        <v>44</v>
      </c>
      <c r="H4153" s="2" t="s">
        <v>45</v>
      </c>
      <c r="I4153" s="2" t="s">
        <v>8351</v>
      </c>
      <c r="J4153" s="3" t="str">
        <f>HYPERLINK("https://www.boe.es/gazeta/dias/1822/05/30/pdfs/GMD-1822-155.pdf#page=1","Abrir facsímil")</f>
        <v>Abrir facsímil</v>
      </c>
      <c r="K4153" s="3" t="s">
        <v>47</v>
      </c>
    </row>
    <row r="4154" spans="1:11" ht="42" customHeight="1">
      <c r="A4154" s="2" t="s">
        <v>8352</v>
      </c>
      <c r="B4154" s="2" t="s">
        <v>8353</v>
      </c>
      <c r="C4154" s="2" t="s">
        <v>50</v>
      </c>
      <c r="D4154" s="2" t="s">
        <v>51</v>
      </c>
      <c r="E4154" s="5">
        <v>-28264</v>
      </c>
      <c r="F4154" s="3" t="s">
        <v>1329</v>
      </c>
      <c r="G4154" s="3" t="s">
        <v>31</v>
      </c>
      <c r="H4154" s="2" t="s">
        <v>45</v>
      </c>
      <c r="I4154" s="2" t="s">
        <v>8354</v>
      </c>
      <c r="J4154" s="3" t="str">
        <f>HYPERLINK("https://www.boe.es/gazeta/dias/1822/08/12/pdfs/GMD-1822-236.pdf#page=3","Abrir facsímil")</f>
        <v>Abrir facsímil</v>
      </c>
      <c r="K4154" s="3" t="s">
        <v>47</v>
      </c>
    </row>
    <row r="4155" spans="1:11" ht="42" customHeight="1">
      <c r="A4155" s="2" t="s">
        <v>8355</v>
      </c>
      <c r="B4155" s="2" t="s">
        <v>8356</v>
      </c>
      <c r="C4155" s="2" t="s">
        <v>71</v>
      </c>
      <c r="D4155" s="2" t="s">
        <v>17</v>
      </c>
      <c r="E4155" s="5">
        <v>-28297</v>
      </c>
      <c r="F4155" s="3" t="s">
        <v>1972</v>
      </c>
      <c r="G4155" s="3" t="s">
        <v>57</v>
      </c>
      <c r="H4155" s="2" t="s">
        <v>45</v>
      </c>
      <c r="I4155" s="2" t="s">
        <v>8357</v>
      </c>
      <c r="J4155" s="3" t="str">
        <f>HYPERLINK("https://www.boe.es/gazeta/dias/1822/07/10/pdfs/GMD-1822-200.pdf#page=4","Abrir facsímil")</f>
        <v>Abrir facsímil</v>
      </c>
      <c r="K4155" s="3" t="s">
        <v>47</v>
      </c>
    </row>
    <row r="4156" spans="1:11" ht="42" customHeight="1">
      <c r="A4156" s="2" t="s">
        <v>8358</v>
      </c>
      <c r="B4156" s="2" t="s">
        <v>8359</v>
      </c>
      <c r="C4156" s="2" t="s">
        <v>50</v>
      </c>
      <c r="D4156" s="2" t="s">
        <v>51</v>
      </c>
      <c r="E4156" s="5">
        <v>-28199</v>
      </c>
      <c r="F4156" s="3" t="s">
        <v>656</v>
      </c>
      <c r="G4156" s="3" t="s">
        <v>19</v>
      </c>
      <c r="H4156" s="2" t="s">
        <v>45</v>
      </c>
      <c r="I4156" s="2" t="s">
        <v>8360</v>
      </c>
      <c r="J4156" s="3" t="str">
        <f>HYPERLINK("https://www.boe.es/gazeta/dias/1822/10/16/pdfs/GMD-1822-303.pdf#page=5","Abrir facsímil")</f>
        <v>Abrir facsímil</v>
      </c>
      <c r="K4156" s="3" t="s">
        <v>47</v>
      </c>
    </row>
    <row r="4157" spans="1:11" ht="42" customHeight="1">
      <c r="A4157" s="2" t="s">
        <v>8361</v>
      </c>
      <c r="B4157" s="2" t="s">
        <v>8362</v>
      </c>
      <c r="C4157" s="2" t="s">
        <v>61</v>
      </c>
      <c r="D4157" s="2" t="s">
        <v>17</v>
      </c>
      <c r="E4157" s="5">
        <v>-28453</v>
      </c>
      <c r="F4157" s="3" t="s">
        <v>2039</v>
      </c>
      <c r="G4157" s="3" t="s">
        <v>57</v>
      </c>
      <c r="H4157" s="2" t="s">
        <v>45</v>
      </c>
      <c r="I4157" s="2" t="s">
        <v>8363</v>
      </c>
      <c r="J4157" s="3" t="str">
        <f>HYPERLINK("https://www.boe.es/gazeta/dias/1822/02/04/pdfs/GMD-1822-35.pdf#page=4","Abrir facsímil")</f>
        <v>Abrir facsímil</v>
      </c>
      <c r="K4157" s="3" t="s">
        <v>47</v>
      </c>
    </row>
    <row r="4158" spans="1:11" ht="42" customHeight="1">
      <c r="A4158" s="2" t="s">
        <v>8364</v>
      </c>
      <c r="B4158" s="2" t="s">
        <v>8365</v>
      </c>
      <c r="C4158" s="2" t="s">
        <v>50</v>
      </c>
      <c r="D4158" s="2" t="s">
        <v>51</v>
      </c>
      <c r="E4158" s="5">
        <v>-28155</v>
      </c>
      <c r="F4158" s="3" t="s">
        <v>833</v>
      </c>
      <c r="G4158" s="3" t="s">
        <v>63</v>
      </c>
      <c r="H4158" s="2" t="s">
        <v>20</v>
      </c>
      <c r="I4158" s="2" t="s">
        <v>8366</v>
      </c>
      <c r="J4158" s="3" t="str">
        <f>HYPERLINK("https://www.boe.es/gazeta/dias/1822/11/29/pdfs/GMD-1822-349.pdf#page=6","Abrir facsímil")</f>
        <v>Abrir facsímil</v>
      </c>
      <c r="K4158" s="3" t="s">
        <v>22</v>
      </c>
    </row>
    <row r="4159" spans="1:11" ht="42" customHeight="1">
      <c r="A4159" s="2" t="s">
        <v>8367</v>
      </c>
      <c r="B4159" s="2" t="s">
        <v>8367</v>
      </c>
      <c r="C4159" s="2" t="s">
        <v>16</v>
      </c>
      <c r="D4159" s="2" t="s">
        <v>17</v>
      </c>
      <c r="E4159" s="5">
        <v>-28275</v>
      </c>
      <c r="F4159" s="3" t="s">
        <v>1297</v>
      </c>
      <c r="G4159" s="3" t="s">
        <v>57</v>
      </c>
      <c r="H4159" s="2" t="s">
        <v>20</v>
      </c>
      <c r="I4159" s="2" t="s">
        <v>8368</v>
      </c>
      <c r="J4159" s="3" t="str">
        <f>HYPERLINK("https://www.boe.es/gazeta/dias/1822/08/01/pdfs/GMD-1822-225.pdf#page=4","Abrir facsímil")</f>
        <v>Abrir facsímil</v>
      </c>
      <c r="K4159" s="3" t="s">
        <v>22</v>
      </c>
    </row>
    <row r="4160" spans="1:11" ht="42" customHeight="1">
      <c r="A4160" s="2" t="s">
        <v>8367</v>
      </c>
      <c r="B4160" s="2" t="s">
        <v>8367</v>
      </c>
      <c r="C4160" s="2" t="s">
        <v>24</v>
      </c>
      <c r="D4160" s="2" t="s">
        <v>17</v>
      </c>
      <c r="E4160" s="5">
        <v>-28183</v>
      </c>
      <c r="F4160" s="3" t="s">
        <v>583</v>
      </c>
      <c r="G4160" s="3" t="s">
        <v>63</v>
      </c>
      <c r="H4160" s="2" t="s">
        <v>20</v>
      </c>
      <c r="I4160" s="2" t="s">
        <v>8369</v>
      </c>
      <c r="J4160" s="3" t="str">
        <f>HYPERLINK("https://www.boe.es/gazeta/dias/1822/11/01/pdfs/GMD-1822-319.pdf#page=6","Abrir facsímil")</f>
        <v>Abrir facsímil</v>
      </c>
      <c r="K4160" s="3" t="s">
        <v>22</v>
      </c>
    </row>
    <row r="4161" spans="1:11" ht="42" customHeight="1">
      <c r="A4161" s="2" t="s">
        <v>8370</v>
      </c>
      <c r="B4161" s="2" t="s">
        <v>8371</v>
      </c>
      <c r="C4161" s="2" t="s">
        <v>50</v>
      </c>
      <c r="D4161" s="2" t="s">
        <v>51</v>
      </c>
      <c r="E4161" s="5">
        <v>-28287</v>
      </c>
      <c r="F4161" s="3" t="s">
        <v>1295</v>
      </c>
      <c r="G4161" s="3" t="s">
        <v>57</v>
      </c>
      <c r="H4161" s="2" t="s">
        <v>20</v>
      </c>
      <c r="I4161" s="2" t="s">
        <v>8372</v>
      </c>
      <c r="J4161" s="3" t="str">
        <f>HYPERLINK("https://www.boe.es/gazeta/dias/1822/07/20/pdfs/GMD-1822-212.pdf#page=4","Abrir facsímil")</f>
        <v>Abrir facsímil</v>
      </c>
      <c r="K4161" s="3" t="s">
        <v>22</v>
      </c>
    </row>
    <row r="4162" spans="1:11" ht="42" customHeight="1">
      <c r="A4162" s="2" t="s">
        <v>8373</v>
      </c>
      <c r="B4162" s="2" t="s">
        <v>8374</v>
      </c>
      <c r="C4162" s="2" t="s">
        <v>50</v>
      </c>
      <c r="D4162" s="2" t="s">
        <v>51</v>
      </c>
      <c r="E4162" s="5">
        <v>-28395</v>
      </c>
      <c r="F4162" s="3" t="s">
        <v>237</v>
      </c>
      <c r="G4162" s="3" t="s">
        <v>57</v>
      </c>
      <c r="H4162" s="2" t="s">
        <v>20</v>
      </c>
      <c r="I4162" s="2" t="s">
        <v>8375</v>
      </c>
      <c r="J4162" s="3" t="str">
        <f>HYPERLINK("https://www.boe.es/gazeta/dias/1822/04/03/pdfs/GMD-1822-95.pdf#page=4","Abrir facsímil")</f>
        <v>Abrir facsímil</v>
      </c>
      <c r="K4162" s="3" t="s">
        <v>22</v>
      </c>
    </row>
    <row r="4163" spans="1:11" ht="42" customHeight="1">
      <c r="A4163" s="2" t="s">
        <v>8376</v>
      </c>
      <c r="B4163" s="2" t="s">
        <v>8376</v>
      </c>
      <c r="C4163" s="2" t="s">
        <v>50</v>
      </c>
      <c r="D4163" s="2" t="s">
        <v>51</v>
      </c>
      <c r="E4163" s="5">
        <v>-28382</v>
      </c>
      <c r="F4163" s="3" t="s">
        <v>973</v>
      </c>
      <c r="G4163" s="3" t="s">
        <v>31</v>
      </c>
      <c r="H4163" s="2" t="s">
        <v>20</v>
      </c>
      <c r="I4163" s="2" t="s">
        <v>8377</v>
      </c>
      <c r="J4163" s="3" t="str">
        <f>HYPERLINK("https://www.boe.es/gazeta/dias/1822/04/16/pdfs/GMD-1822-108.pdf#page=3","Abrir facsímil")</f>
        <v>Abrir facsímil</v>
      </c>
      <c r="K4163" s="3" t="s">
        <v>22</v>
      </c>
    </row>
    <row r="4164" spans="1:11" ht="42" customHeight="1">
      <c r="A4164" s="2" t="s">
        <v>8378</v>
      </c>
      <c r="B4164" s="2" t="s">
        <v>8379</v>
      </c>
      <c r="C4164" s="2" t="s">
        <v>24</v>
      </c>
      <c r="D4164" s="2" t="s">
        <v>17</v>
      </c>
      <c r="E4164" s="5">
        <v>-28139</v>
      </c>
      <c r="F4164" s="3" t="s">
        <v>143</v>
      </c>
      <c r="G4164" s="3" t="s">
        <v>144</v>
      </c>
      <c r="H4164" s="2" t="s">
        <v>45</v>
      </c>
      <c r="I4164" s="2" t="s">
        <v>8380</v>
      </c>
      <c r="J4164" s="3" t="str">
        <f>HYPERLINK("https://www.boe.es/gazeta/dias/1822/12/15/pdfs/GMD-1822-365.pdf#page=4","Abrir facsímil")</f>
        <v>Abrir facsímil</v>
      </c>
      <c r="K4164" s="3" t="s">
        <v>47</v>
      </c>
    </row>
    <row r="4165" spans="1:11" ht="42" customHeight="1">
      <c r="A4165" s="2" t="s">
        <v>8381</v>
      </c>
      <c r="B4165" s="2" t="s">
        <v>8382</v>
      </c>
      <c r="C4165" s="2" t="s">
        <v>28</v>
      </c>
      <c r="D4165" s="2" t="s">
        <v>29</v>
      </c>
      <c r="E4165" s="5">
        <v>-28367</v>
      </c>
      <c r="F4165" s="3" t="s">
        <v>280</v>
      </c>
      <c r="G4165" s="3" t="s">
        <v>19</v>
      </c>
      <c r="H4165" s="2" t="s">
        <v>20</v>
      </c>
      <c r="I4165" s="2" t="s">
        <v>8383</v>
      </c>
      <c r="J4165" s="3" t="str">
        <f>HYPERLINK("https://www.boe.es/gazeta/dias/1822/05/01/pdfs/GMD-1822-123.pdf#page=5","Abrir facsímil")</f>
        <v>Abrir facsímil</v>
      </c>
      <c r="K4165" s="3" t="s">
        <v>22</v>
      </c>
    </row>
    <row r="4166" spans="1:11" ht="42" customHeight="1">
      <c r="A4166" s="2" t="s">
        <v>8384</v>
      </c>
      <c r="B4166" s="2" t="s">
        <v>8385</v>
      </c>
      <c r="C4166" s="2" t="s">
        <v>42</v>
      </c>
      <c r="D4166" s="2" t="s">
        <v>17</v>
      </c>
      <c r="E4166" s="5">
        <v>-28418</v>
      </c>
      <c r="F4166" s="3" t="s">
        <v>205</v>
      </c>
      <c r="G4166" s="3" t="s">
        <v>19</v>
      </c>
      <c r="H4166" s="2" t="s">
        <v>20</v>
      </c>
      <c r="I4166" s="2" t="s">
        <v>8386</v>
      </c>
      <c r="J4166" s="3" t="str">
        <f>HYPERLINK("https://www.boe.es/gazeta/dias/1822/03/11/pdfs/GMD-1822-72.pdf#page=5","Abrir facsímil")</f>
        <v>Abrir facsímil</v>
      </c>
      <c r="K4166" s="3" t="s">
        <v>22</v>
      </c>
    </row>
    <row r="4167" spans="1:11" ht="42" customHeight="1">
      <c r="A4167" s="2" t="s">
        <v>8387</v>
      </c>
      <c r="B4167" s="2" t="s">
        <v>8388</v>
      </c>
      <c r="C4167" s="2" t="s">
        <v>28</v>
      </c>
      <c r="D4167" s="2" t="s">
        <v>29</v>
      </c>
      <c r="E4167" s="5">
        <v>-28413</v>
      </c>
      <c r="F4167" s="3" t="s">
        <v>458</v>
      </c>
      <c r="G4167" s="3" t="s">
        <v>57</v>
      </c>
      <c r="H4167" s="2" t="s">
        <v>20</v>
      </c>
      <c r="I4167" s="2" t="s">
        <v>8389</v>
      </c>
      <c r="J4167" s="3" t="str">
        <f>HYPERLINK("https://www.boe.es/gazeta/dias/1822/03/16/pdfs/GMD-1822-77.pdf#page=4","Abrir facsímil")</f>
        <v>Abrir facsímil</v>
      </c>
      <c r="K4167" s="3" t="s">
        <v>22</v>
      </c>
    </row>
    <row r="4168" spans="1:11" ht="42" customHeight="1">
      <c r="A4168" s="2" t="s">
        <v>8390</v>
      </c>
      <c r="B4168" s="2" t="s">
        <v>8391</v>
      </c>
      <c r="C4168" s="2" t="s">
        <v>50</v>
      </c>
      <c r="D4168" s="2" t="s">
        <v>51</v>
      </c>
      <c r="E4168" s="5">
        <v>-28415</v>
      </c>
      <c r="F4168" s="3" t="s">
        <v>77</v>
      </c>
      <c r="G4168" s="3" t="s">
        <v>63</v>
      </c>
      <c r="H4168" s="2" t="s">
        <v>20</v>
      </c>
      <c r="I4168" s="2" t="s">
        <v>8392</v>
      </c>
      <c r="J4168" s="3" t="str">
        <f>HYPERLINK("https://www.boe.es/gazeta/dias/1822/03/14/pdfs/GMD-1822-75.pdf#page=6","Abrir facsímil")</f>
        <v>Abrir facsímil</v>
      </c>
      <c r="K4168" s="3" t="s">
        <v>22</v>
      </c>
    </row>
    <row r="4169" spans="1:11" ht="42" customHeight="1">
      <c r="A4169" s="2" t="s">
        <v>8393</v>
      </c>
      <c r="B4169" s="2" t="s">
        <v>8393</v>
      </c>
      <c r="C4169" s="2" t="s">
        <v>50</v>
      </c>
      <c r="D4169" s="2" t="s">
        <v>51</v>
      </c>
      <c r="E4169" s="5">
        <v>-28410</v>
      </c>
      <c r="F4169" s="3" t="s">
        <v>966</v>
      </c>
      <c r="G4169" s="3" t="s">
        <v>35</v>
      </c>
      <c r="H4169" s="2" t="s">
        <v>20</v>
      </c>
      <c r="I4169" s="2" t="s">
        <v>8394</v>
      </c>
      <c r="J4169" s="3" t="str">
        <f>HYPERLINK("https://www.boe.es/gazeta/dias/1822/03/19/pdfs/GMD-1822-80.pdf#page=2","Abrir facsímil")</f>
        <v>Abrir facsímil</v>
      </c>
      <c r="K4169" s="3" t="s">
        <v>22</v>
      </c>
    </row>
    <row r="4170" spans="1:11" ht="42" customHeight="1">
      <c r="A4170" s="2" t="s">
        <v>8395</v>
      </c>
      <c r="B4170" s="2" t="s">
        <v>8396</v>
      </c>
      <c r="C4170" s="2" t="s">
        <v>28</v>
      </c>
      <c r="D4170" s="2" t="s">
        <v>29</v>
      </c>
      <c r="E4170" s="5">
        <v>-28210</v>
      </c>
      <c r="F4170" s="3" t="s">
        <v>218</v>
      </c>
      <c r="G4170" s="3" t="s">
        <v>19</v>
      </c>
      <c r="H4170" s="2" t="s">
        <v>20</v>
      </c>
      <c r="I4170" s="2" t="s">
        <v>8397</v>
      </c>
      <c r="J4170" s="3" t="str">
        <f>HYPERLINK("https://www.boe.es/gazeta/dias/1822/10/05/pdfs/GMD-1822-291.pdf#page=5","Abrir facsímil")</f>
        <v>Abrir facsímil</v>
      </c>
      <c r="K4170" s="3" t="s">
        <v>22</v>
      </c>
    </row>
    <row r="4171" spans="1:11" ht="42" customHeight="1">
      <c r="A4171" s="2" t="s">
        <v>8398</v>
      </c>
      <c r="B4171" s="2" t="s">
        <v>8399</v>
      </c>
      <c r="C4171" s="2" t="s">
        <v>28</v>
      </c>
      <c r="D4171" s="2" t="s">
        <v>29</v>
      </c>
      <c r="E4171" s="5">
        <v>-28329</v>
      </c>
      <c r="F4171" s="3" t="s">
        <v>354</v>
      </c>
      <c r="G4171" s="3" t="s">
        <v>19</v>
      </c>
      <c r="H4171" s="2" t="s">
        <v>20</v>
      </c>
      <c r="I4171" s="2" t="s">
        <v>8400</v>
      </c>
      <c r="J4171" s="3" t="str">
        <f>HYPERLINK("https://www.boe.es/gazeta/dias/1822/06/08/pdfs/GMD-1822-165.pdf#page=5","Abrir facsímil")</f>
        <v>Abrir facsímil</v>
      </c>
      <c r="K4171" s="3" t="s">
        <v>22</v>
      </c>
    </row>
    <row r="4172" spans="1:11" ht="42" customHeight="1">
      <c r="A4172" s="2" t="s">
        <v>8401</v>
      </c>
      <c r="B4172" s="2" t="s">
        <v>8401</v>
      </c>
      <c r="C4172" s="2" t="s">
        <v>50</v>
      </c>
      <c r="D4172" s="2" t="s">
        <v>51</v>
      </c>
      <c r="E4172" s="5">
        <v>-28401</v>
      </c>
      <c r="F4172" s="3" t="s">
        <v>108</v>
      </c>
      <c r="G4172" s="3" t="s">
        <v>35</v>
      </c>
      <c r="H4172" s="2" t="s">
        <v>20</v>
      </c>
      <c r="I4172" s="2" t="s">
        <v>8402</v>
      </c>
      <c r="J4172" s="3" t="str">
        <f>HYPERLINK("https://www.boe.es/gazeta/dias/1822/03/28/pdfs/GMD-1822-89.pdf#page=2","Abrir facsímil")</f>
        <v>Abrir facsímil</v>
      </c>
      <c r="K4172" s="3" t="s">
        <v>22</v>
      </c>
    </row>
    <row r="4173" spans="1:11" ht="42" customHeight="1">
      <c r="A4173" s="2" t="s">
        <v>8403</v>
      </c>
      <c r="B4173" s="2" t="s">
        <v>8403</v>
      </c>
      <c r="C4173" s="2" t="s">
        <v>61</v>
      </c>
      <c r="D4173" s="2" t="s">
        <v>17</v>
      </c>
      <c r="E4173" s="5">
        <v>-28486</v>
      </c>
      <c r="F4173" s="3" t="s">
        <v>1046</v>
      </c>
      <c r="G4173" s="3" t="s">
        <v>35</v>
      </c>
      <c r="H4173" s="2" t="s">
        <v>20</v>
      </c>
      <c r="I4173" s="2" t="s">
        <v>8404</v>
      </c>
      <c r="J4173" s="3" t="str">
        <f>HYPERLINK("https://www.boe.es/gazeta/dias/1822/01/02/pdfs/GMD-1822-2.pdf#page=2","Abrir facsímil")</f>
        <v>Abrir facsímil</v>
      </c>
      <c r="K4173" s="3" t="s">
        <v>22</v>
      </c>
    </row>
    <row r="4174" spans="1:11" ht="42" customHeight="1">
      <c r="A4174" s="2" t="s">
        <v>8405</v>
      </c>
      <c r="B4174" s="2" t="s">
        <v>8405</v>
      </c>
      <c r="C4174" s="2" t="s">
        <v>50</v>
      </c>
      <c r="D4174" s="2" t="s">
        <v>51</v>
      </c>
      <c r="E4174" s="5">
        <v>-28235</v>
      </c>
      <c r="F4174" s="3" t="s">
        <v>1470</v>
      </c>
      <c r="G4174" s="3" t="s">
        <v>35</v>
      </c>
      <c r="H4174" s="2" t="s">
        <v>20</v>
      </c>
      <c r="I4174" s="2" t="s">
        <v>8406</v>
      </c>
      <c r="J4174" s="3" t="str">
        <f>HYPERLINK("https://www.boe.es/gazeta/dias/1822/09/10/pdfs/GMD-1822-266.pdf#page=2","Abrir facsímil")</f>
        <v>Abrir facsímil</v>
      </c>
      <c r="K4174" s="3" t="s">
        <v>22</v>
      </c>
    </row>
    <row r="4175" spans="1:11" ht="42" customHeight="1">
      <c r="A4175" s="2" t="s">
        <v>8403</v>
      </c>
      <c r="B4175" s="2" t="s">
        <v>8403</v>
      </c>
      <c r="C4175" s="2" t="s">
        <v>50</v>
      </c>
      <c r="D4175" s="2" t="s">
        <v>51</v>
      </c>
      <c r="E4175" s="5">
        <v>-28124</v>
      </c>
      <c r="F4175" s="3" t="s">
        <v>301</v>
      </c>
      <c r="G4175" s="3" t="s">
        <v>35</v>
      </c>
      <c r="H4175" s="2" t="s">
        <v>20</v>
      </c>
      <c r="I4175" s="2" t="s">
        <v>8407</v>
      </c>
      <c r="J4175" s="3" t="str">
        <f>HYPERLINK("https://www.boe.es/gazeta/dias/1822/12/30/pdfs/GMD-1822-380.pdf#page=2","Abrir facsímil")</f>
        <v>Abrir facsímil</v>
      </c>
      <c r="K4175" s="3" t="s">
        <v>22</v>
      </c>
    </row>
    <row r="4176" spans="1:11" ht="42" customHeight="1">
      <c r="A4176" s="2" t="s">
        <v>8408</v>
      </c>
      <c r="B4176" s="2" t="s">
        <v>8409</v>
      </c>
      <c r="C4176" s="2" t="s">
        <v>61</v>
      </c>
      <c r="D4176" s="2" t="s">
        <v>17</v>
      </c>
      <c r="E4176" s="5">
        <v>-28311</v>
      </c>
      <c r="F4176" s="3" t="s">
        <v>736</v>
      </c>
      <c r="G4176" s="3" t="s">
        <v>157</v>
      </c>
      <c r="H4176" s="2" t="s">
        <v>20</v>
      </c>
      <c r="I4176" s="2" t="s">
        <v>8410</v>
      </c>
      <c r="J4176" s="3" t="str">
        <f>HYPERLINK("https://www.boe.es/gazeta/dias/1822/06/26/pdfs/GMD-1822-184.pdf#page=8","Abrir facsímil")</f>
        <v>Abrir facsímil</v>
      </c>
      <c r="K4176" s="3" t="s">
        <v>22</v>
      </c>
    </row>
    <row r="4177" spans="1:11" ht="42" customHeight="1">
      <c r="A4177" s="2" t="s">
        <v>8411</v>
      </c>
      <c r="B4177" s="2" t="s">
        <v>8412</v>
      </c>
      <c r="C4177" s="2" t="s">
        <v>50</v>
      </c>
      <c r="D4177" s="2" t="s">
        <v>51</v>
      </c>
      <c r="E4177" s="5">
        <v>-28379</v>
      </c>
      <c r="F4177" s="3" t="s">
        <v>494</v>
      </c>
      <c r="G4177" s="3" t="s">
        <v>35</v>
      </c>
      <c r="H4177" s="2" t="s">
        <v>20</v>
      </c>
      <c r="I4177" s="2" t="s">
        <v>8413</v>
      </c>
      <c r="J4177" s="3" t="str">
        <f>HYPERLINK("https://www.boe.es/gazeta/dias/1822/04/19/pdfs/GMD-1822-111.pdf#page=2","Abrir facsímil")</f>
        <v>Abrir facsímil</v>
      </c>
      <c r="K4177" s="3" t="s">
        <v>22</v>
      </c>
    </row>
    <row r="4178" spans="1:11" ht="42" customHeight="1">
      <c r="A4178" s="2" t="s">
        <v>8411</v>
      </c>
      <c r="B4178" s="2" t="s">
        <v>8412</v>
      </c>
      <c r="C4178" s="2" t="s">
        <v>50</v>
      </c>
      <c r="D4178" s="2" t="s">
        <v>51</v>
      </c>
      <c r="E4178" s="5">
        <v>-28345</v>
      </c>
      <c r="F4178" s="3" t="s">
        <v>294</v>
      </c>
      <c r="G4178" s="3" t="s">
        <v>19</v>
      </c>
      <c r="H4178" s="2" t="s">
        <v>20</v>
      </c>
      <c r="I4178" s="2" t="s">
        <v>8414</v>
      </c>
      <c r="J4178" s="3" t="str">
        <f>HYPERLINK("https://www.boe.es/gazeta/dias/1822/05/23/pdfs/GMD-1822-147.pdf#page=5","Abrir facsímil")</f>
        <v>Abrir facsímil</v>
      </c>
      <c r="K4178" s="3" t="s">
        <v>22</v>
      </c>
    </row>
    <row r="4179" spans="1:11" ht="42" customHeight="1">
      <c r="A4179" s="2" t="s">
        <v>8411</v>
      </c>
      <c r="B4179" s="2" t="s">
        <v>8412</v>
      </c>
      <c r="C4179" s="2" t="s">
        <v>28</v>
      </c>
      <c r="D4179" s="2" t="s">
        <v>29</v>
      </c>
      <c r="E4179" s="5">
        <v>-28317</v>
      </c>
      <c r="F4179" s="3" t="s">
        <v>546</v>
      </c>
      <c r="G4179" s="3" t="s">
        <v>57</v>
      </c>
      <c r="H4179" s="2" t="s">
        <v>20</v>
      </c>
      <c r="I4179" s="2" t="s">
        <v>8415</v>
      </c>
      <c r="J4179" s="3" t="str">
        <f>HYPERLINK("https://www.boe.es/gazeta/dias/1822/06/20/pdfs/GMD-1822-177.pdf#page=4","Abrir facsímil")</f>
        <v>Abrir facsímil</v>
      </c>
      <c r="K4179" s="3" t="s">
        <v>22</v>
      </c>
    </row>
    <row r="4180" spans="1:11" ht="42" customHeight="1">
      <c r="A4180" s="2" t="s">
        <v>8416</v>
      </c>
      <c r="B4180" s="2" t="s">
        <v>8417</v>
      </c>
      <c r="C4180" s="2" t="s">
        <v>61</v>
      </c>
      <c r="D4180" s="2" t="s">
        <v>17</v>
      </c>
      <c r="E4180" s="5">
        <v>-28145</v>
      </c>
      <c r="F4180" s="3" t="s">
        <v>1350</v>
      </c>
      <c r="G4180" s="3" t="s">
        <v>63</v>
      </c>
      <c r="H4180" s="2" t="s">
        <v>20</v>
      </c>
      <c r="I4180" s="2" t="s">
        <v>8418</v>
      </c>
      <c r="J4180" s="3" t="str">
        <f>HYPERLINK("https://www.boe.es/gazeta/dias/1822/12/09/pdfs/GMD-1822-359.pdf#page=6","Abrir facsímil")</f>
        <v>Abrir facsímil</v>
      </c>
      <c r="K4180" s="3" t="s">
        <v>22</v>
      </c>
    </row>
    <row r="4181" spans="1:11" ht="42" customHeight="1">
      <c r="A4181" s="2" t="s">
        <v>8419</v>
      </c>
      <c r="B4181" s="2" t="s">
        <v>8420</v>
      </c>
      <c r="C4181" s="2" t="s">
        <v>28</v>
      </c>
      <c r="D4181" s="2" t="s">
        <v>29</v>
      </c>
      <c r="E4181" s="5">
        <v>-28326</v>
      </c>
      <c r="F4181" s="3" t="s">
        <v>543</v>
      </c>
      <c r="G4181" s="3" t="s">
        <v>63</v>
      </c>
      <c r="H4181" s="2" t="s">
        <v>20</v>
      </c>
      <c r="I4181" s="2" t="s">
        <v>8421</v>
      </c>
      <c r="J4181" s="3" t="str">
        <f>HYPERLINK("https://www.boe.es/gazeta/dias/1822/06/11/pdfs/GMD-1822-168.pdf#page=6","Abrir facsímil")</f>
        <v>Abrir facsímil</v>
      </c>
      <c r="K4181" s="3" t="s">
        <v>22</v>
      </c>
    </row>
    <row r="4182" spans="1:11" ht="42" customHeight="1">
      <c r="A4182" s="2" t="s">
        <v>8422</v>
      </c>
      <c r="B4182" s="2" t="s">
        <v>8423</v>
      </c>
      <c r="C4182" s="2" t="s">
        <v>71</v>
      </c>
      <c r="D4182" s="2" t="s">
        <v>17</v>
      </c>
      <c r="E4182" s="5">
        <v>-28482</v>
      </c>
      <c r="F4182" s="3" t="s">
        <v>850</v>
      </c>
      <c r="G4182" s="3" t="s">
        <v>35</v>
      </c>
      <c r="H4182" s="2" t="s">
        <v>20</v>
      </c>
      <c r="I4182" s="2" t="s">
        <v>8424</v>
      </c>
      <c r="J4182" s="3" t="str">
        <f>HYPERLINK("https://www.boe.es/gazeta/dias/1822/01/06/pdfs/GMD-1822-6.pdf#page=2","Abrir facsímil")</f>
        <v>Abrir facsímil</v>
      </c>
      <c r="K4182" s="3" t="s">
        <v>22</v>
      </c>
    </row>
    <row r="4183" spans="1:11" ht="42" customHeight="1">
      <c r="A4183" s="2" t="s">
        <v>8425</v>
      </c>
      <c r="B4183" s="2" t="s">
        <v>8425</v>
      </c>
      <c r="C4183" s="2" t="s">
        <v>61</v>
      </c>
      <c r="D4183" s="2" t="s">
        <v>17</v>
      </c>
      <c r="E4183" s="5">
        <v>-28317</v>
      </c>
      <c r="F4183" s="3" t="s">
        <v>546</v>
      </c>
      <c r="G4183" s="3" t="s">
        <v>157</v>
      </c>
      <c r="H4183" s="2" t="s">
        <v>20</v>
      </c>
      <c r="I4183" s="2" t="s">
        <v>8426</v>
      </c>
      <c r="J4183" s="3" t="str">
        <f>HYPERLINK("https://www.boe.es/gazeta/dias/1822/06/20/pdfs/GMD-1822-177.pdf#page=8","Abrir facsímil")</f>
        <v>Abrir facsímil</v>
      </c>
      <c r="K4183" s="3" t="s">
        <v>22</v>
      </c>
    </row>
    <row r="4184" spans="1:11" ht="42" customHeight="1">
      <c r="A4184" s="2" t="s">
        <v>8427</v>
      </c>
      <c r="B4184" s="2" t="s">
        <v>8428</v>
      </c>
      <c r="C4184" s="2" t="s">
        <v>50</v>
      </c>
      <c r="D4184" s="2" t="s">
        <v>51</v>
      </c>
      <c r="E4184" s="5">
        <v>-28415</v>
      </c>
      <c r="F4184" s="3" t="s">
        <v>77</v>
      </c>
      <c r="G4184" s="3" t="s">
        <v>63</v>
      </c>
      <c r="H4184" s="2" t="s">
        <v>20</v>
      </c>
      <c r="I4184" s="2" t="s">
        <v>8429</v>
      </c>
      <c r="J4184" s="3" t="str">
        <f>HYPERLINK("https://www.boe.es/gazeta/dias/1822/03/14/pdfs/GMD-1822-75.pdf#page=6","Abrir facsímil")</f>
        <v>Abrir facsímil</v>
      </c>
      <c r="K4184" s="3" t="s">
        <v>22</v>
      </c>
    </row>
    <row r="4185" spans="1:11" ht="42" customHeight="1">
      <c r="A4185" s="2" t="s">
        <v>8430</v>
      </c>
      <c r="B4185" s="2" t="s">
        <v>8430</v>
      </c>
      <c r="C4185" s="2" t="s">
        <v>42</v>
      </c>
      <c r="D4185" s="2" t="s">
        <v>17</v>
      </c>
      <c r="E4185" s="5">
        <v>-28358</v>
      </c>
      <c r="F4185" s="3" t="s">
        <v>211</v>
      </c>
      <c r="G4185" s="3" t="s">
        <v>684</v>
      </c>
      <c r="H4185" s="2" t="s">
        <v>20</v>
      </c>
      <c r="I4185" s="2" t="s">
        <v>8431</v>
      </c>
      <c r="J4185" s="3" t="str">
        <f>HYPERLINK("https://www.boe.es/gazeta/dias/1822/05/10/pdfs/GMD-1822-132.pdf#page=5","Abrir facsímil")</f>
        <v>Abrir facsímil</v>
      </c>
      <c r="K4185" s="3" t="s">
        <v>22</v>
      </c>
    </row>
    <row r="4186" spans="1:11" ht="42" customHeight="1">
      <c r="A4186" s="2" t="s">
        <v>8432</v>
      </c>
      <c r="B4186" s="2" t="s">
        <v>8433</v>
      </c>
      <c r="C4186" s="2" t="s">
        <v>50</v>
      </c>
      <c r="D4186" s="2" t="s">
        <v>51</v>
      </c>
      <c r="E4186" s="5">
        <v>-28190</v>
      </c>
      <c r="F4186" s="3" t="s">
        <v>576</v>
      </c>
      <c r="G4186" s="3" t="s">
        <v>63</v>
      </c>
      <c r="H4186" s="2" t="s">
        <v>20</v>
      </c>
      <c r="I4186" s="2" t="s">
        <v>8434</v>
      </c>
      <c r="J4186" s="3" t="str">
        <f>HYPERLINK("https://www.boe.es/gazeta/dias/1822/10/25/pdfs/GMD-1822-312.pdf#page=6","Abrir facsímil")</f>
        <v>Abrir facsímil</v>
      </c>
      <c r="K4186" s="3" t="s">
        <v>22</v>
      </c>
    </row>
    <row r="4187" spans="1:11" ht="42" customHeight="1">
      <c r="A4187" s="2" t="s">
        <v>8435</v>
      </c>
      <c r="B4187" s="2" t="s">
        <v>8435</v>
      </c>
      <c r="C4187" s="2" t="s">
        <v>28</v>
      </c>
      <c r="D4187" s="2" t="s">
        <v>29</v>
      </c>
      <c r="E4187" s="5">
        <v>-28462</v>
      </c>
      <c r="F4187" s="3" t="s">
        <v>1099</v>
      </c>
      <c r="G4187" s="3" t="s">
        <v>31</v>
      </c>
      <c r="H4187" s="2" t="s">
        <v>20</v>
      </c>
      <c r="I4187" s="2" t="s">
        <v>8436</v>
      </c>
      <c r="J4187" s="3" t="str">
        <f>HYPERLINK("https://www.boe.es/gazeta/dias/1822/01/26/pdfs/GMD-1822-26.pdf#page=3","Abrir facsímil")</f>
        <v>Abrir facsímil</v>
      </c>
      <c r="K4187" s="3" t="s">
        <v>22</v>
      </c>
    </row>
    <row r="4188" spans="1:11" ht="42" customHeight="1">
      <c r="A4188" s="2" t="s">
        <v>8435</v>
      </c>
      <c r="B4188" s="2" t="s">
        <v>8435</v>
      </c>
      <c r="C4188" s="2" t="s">
        <v>50</v>
      </c>
      <c r="D4188" s="2" t="s">
        <v>51</v>
      </c>
      <c r="E4188" s="5">
        <v>-28131</v>
      </c>
      <c r="F4188" s="3" t="s">
        <v>893</v>
      </c>
      <c r="G4188" s="3" t="s">
        <v>19</v>
      </c>
      <c r="H4188" s="2" t="s">
        <v>20</v>
      </c>
      <c r="I4188" s="2" t="s">
        <v>8437</v>
      </c>
      <c r="J4188" s="3" t="str">
        <f>HYPERLINK("https://www.boe.es/gazeta/dias/1822/12/23/pdfs/GMD-1822-373.pdf#page=5","Abrir facsímil")</f>
        <v>Abrir facsímil</v>
      </c>
      <c r="K4188" s="3" t="s">
        <v>22</v>
      </c>
    </row>
    <row r="4189" spans="1:11" ht="42" customHeight="1">
      <c r="A4189" s="2" t="s">
        <v>8438</v>
      </c>
      <c r="B4189" s="2" t="s">
        <v>8438</v>
      </c>
      <c r="C4189" s="2" t="s">
        <v>50</v>
      </c>
      <c r="D4189" s="2" t="s">
        <v>51</v>
      </c>
      <c r="E4189" s="5">
        <v>-28367</v>
      </c>
      <c r="F4189" s="3" t="s">
        <v>280</v>
      </c>
      <c r="G4189" s="3" t="s">
        <v>63</v>
      </c>
      <c r="H4189" s="2" t="s">
        <v>20</v>
      </c>
      <c r="I4189" s="2" t="s">
        <v>8439</v>
      </c>
      <c r="J4189" s="3" t="str">
        <f>HYPERLINK("https://www.boe.es/gazeta/dias/1822/05/01/pdfs/GMD-1822-123.pdf#page=6","Abrir facsímil")</f>
        <v>Abrir facsímil</v>
      </c>
      <c r="K4189" s="3" t="s">
        <v>22</v>
      </c>
    </row>
    <row r="4190" spans="1:11" ht="42" customHeight="1">
      <c r="A4190" s="2" t="s">
        <v>8440</v>
      </c>
      <c r="B4190" s="2" t="s">
        <v>8441</v>
      </c>
      <c r="C4190" s="2" t="s">
        <v>28</v>
      </c>
      <c r="D4190" s="2" t="s">
        <v>29</v>
      </c>
      <c r="E4190" s="5">
        <v>-28244</v>
      </c>
      <c r="F4190" s="3" t="s">
        <v>6163</v>
      </c>
      <c r="G4190" s="3" t="s">
        <v>57</v>
      </c>
      <c r="H4190" s="2" t="s">
        <v>20</v>
      </c>
      <c r="I4190" s="2" t="s">
        <v>8442</v>
      </c>
      <c r="J4190" s="3" t="str">
        <f>HYPERLINK("https://www.boe.es/gazeta/dias/1822/09/01/pdfs/GMD-1822-256.pdf#page=4","Abrir facsímil")</f>
        <v>Abrir facsímil</v>
      </c>
      <c r="K4190" s="3" t="s">
        <v>22</v>
      </c>
    </row>
    <row r="4191" spans="1:11" ht="42" customHeight="1">
      <c r="A4191" s="2" t="s">
        <v>8443</v>
      </c>
      <c r="B4191" s="2" t="s">
        <v>8444</v>
      </c>
      <c r="C4191" s="2" t="s">
        <v>28</v>
      </c>
      <c r="D4191" s="2" t="s">
        <v>29</v>
      </c>
      <c r="E4191" s="5">
        <v>-28274</v>
      </c>
      <c r="F4191" s="3" t="s">
        <v>3371</v>
      </c>
      <c r="G4191" s="3" t="s">
        <v>57</v>
      </c>
      <c r="H4191" s="2" t="s">
        <v>20</v>
      </c>
      <c r="I4191" s="2" t="s">
        <v>8445</v>
      </c>
      <c r="J4191" s="3" t="str">
        <f>HYPERLINK("https://www.boe.es/gazeta/dias/1822/08/02/pdfs/GMD-1822-226.pdf#page=4","Abrir facsímil")</f>
        <v>Abrir facsímil</v>
      </c>
      <c r="K4191" s="3" t="s">
        <v>22</v>
      </c>
    </row>
    <row r="4192" spans="1:11" ht="42" customHeight="1">
      <c r="A4192" s="2" t="s">
        <v>8446</v>
      </c>
      <c r="B4192" s="2" t="s">
        <v>8447</v>
      </c>
      <c r="C4192" s="2" t="s">
        <v>71</v>
      </c>
      <c r="D4192" s="2" t="s">
        <v>17</v>
      </c>
      <c r="E4192" s="5">
        <v>-28306</v>
      </c>
      <c r="F4192" s="3" t="s">
        <v>348</v>
      </c>
      <c r="G4192" s="3" t="s">
        <v>57</v>
      </c>
      <c r="H4192" s="2" t="s">
        <v>20</v>
      </c>
      <c r="I4192" s="2" t="s">
        <v>8448</v>
      </c>
      <c r="J4192" s="3" t="str">
        <f>HYPERLINK("https://www.boe.es/gazeta/dias/1822/07/01/pdfs/GMD-1822-190.pdf#page=4","Abrir facsímil")</f>
        <v>Abrir facsímil</v>
      </c>
      <c r="K4192" s="3" t="s">
        <v>22</v>
      </c>
    </row>
    <row r="4193" spans="1:11" ht="42" customHeight="1">
      <c r="A4193" s="2" t="s">
        <v>8449</v>
      </c>
      <c r="B4193" s="2" t="s">
        <v>8450</v>
      </c>
      <c r="C4193" s="2" t="s">
        <v>50</v>
      </c>
      <c r="D4193" s="2" t="s">
        <v>51</v>
      </c>
      <c r="E4193" s="5">
        <v>-28274</v>
      </c>
      <c r="F4193" s="3" t="s">
        <v>3371</v>
      </c>
      <c r="G4193" s="3" t="s">
        <v>57</v>
      </c>
      <c r="H4193" s="2" t="s">
        <v>20</v>
      </c>
      <c r="I4193" s="2" t="s">
        <v>8451</v>
      </c>
      <c r="J4193" s="3" t="str">
        <f>HYPERLINK("https://www.boe.es/gazeta/dias/1822/08/02/pdfs/GMD-1822-226.pdf#page=4","Abrir facsímil")</f>
        <v>Abrir facsímil</v>
      </c>
      <c r="K4193" s="3" t="s">
        <v>22</v>
      </c>
    </row>
    <row r="4194" spans="1:11" ht="42" customHeight="1">
      <c r="A4194" s="2" t="s">
        <v>8452</v>
      </c>
      <c r="B4194" s="2" t="s">
        <v>8453</v>
      </c>
      <c r="C4194" s="2" t="s">
        <v>16</v>
      </c>
      <c r="D4194" s="2" t="s">
        <v>17</v>
      </c>
      <c r="E4194" s="5">
        <v>-28152</v>
      </c>
      <c r="F4194" s="3" t="s">
        <v>122</v>
      </c>
      <c r="G4194" s="3" t="s">
        <v>19</v>
      </c>
      <c r="H4194" s="2" t="s">
        <v>20</v>
      </c>
      <c r="I4194" s="2" t="s">
        <v>8454</v>
      </c>
      <c r="J4194" s="3" t="str">
        <f>HYPERLINK("https://www.boe.es/gazeta/dias/1822/12/02/pdfs/GMD-1822-352.pdf#page=5","Abrir facsímil")</f>
        <v>Abrir facsímil</v>
      </c>
      <c r="K4194" s="3" t="s">
        <v>22</v>
      </c>
    </row>
    <row r="4195" spans="1:11" ht="42" customHeight="1">
      <c r="A4195" s="2" t="s">
        <v>8455</v>
      </c>
      <c r="B4195" s="2" t="s">
        <v>8456</v>
      </c>
      <c r="C4195" s="2" t="s">
        <v>50</v>
      </c>
      <c r="D4195" s="2" t="s">
        <v>51</v>
      </c>
      <c r="E4195" s="5">
        <v>-28395</v>
      </c>
      <c r="F4195" s="3" t="s">
        <v>237</v>
      </c>
      <c r="G4195" s="3" t="s">
        <v>57</v>
      </c>
      <c r="H4195" s="2" t="s">
        <v>20</v>
      </c>
      <c r="I4195" s="2" t="s">
        <v>8457</v>
      </c>
      <c r="J4195" s="3" t="str">
        <f>HYPERLINK("https://www.boe.es/gazeta/dias/1822/04/03/pdfs/GMD-1822-95.pdf#page=4","Abrir facsímil")</f>
        <v>Abrir facsímil</v>
      </c>
      <c r="K4195" s="3" t="s">
        <v>22</v>
      </c>
    </row>
    <row r="4196" spans="1:11" ht="42" customHeight="1">
      <c r="A4196" s="2" t="s">
        <v>8458</v>
      </c>
      <c r="B4196" s="2" t="s">
        <v>8459</v>
      </c>
      <c r="C4196" s="2" t="s">
        <v>28</v>
      </c>
      <c r="D4196" s="2" t="s">
        <v>29</v>
      </c>
      <c r="E4196" s="5">
        <v>-28358</v>
      </c>
      <c r="F4196" s="3" t="s">
        <v>211</v>
      </c>
      <c r="G4196" s="3" t="s">
        <v>157</v>
      </c>
      <c r="H4196" s="2" t="s">
        <v>20</v>
      </c>
      <c r="I4196" s="2" t="s">
        <v>8460</v>
      </c>
      <c r="J4196" s="3" t="str">
        <f>HYPERLINK("https://www.boe.es/gazeta/dias/1822/05/10/pdfs/GMD-1822-132.pdf#page=8","Abrir facsímil")</f>
        <v>Abrir facsímil</v>
      </c>
      <c r="K4196" s="3" t="s">
        <v>22</v>
      </c>
    </row>
    <row r="4197" spans="1:11" ht="42" customHeight="1">
      <c r="A4197" s="2" t="s">
        <v>8461</v>
      </c>
      <c r="B4197" s="2" t="s">
        <v>8462</v>
      </c>
      <c r="C4197" s="2" t="s">
        <v>42</v>
      </c>
      <c r="D4197" s="2" t="s">
        <v>17</v>
      </c>
      <c r="E4197" s="5">
        <v>-28292</v>
      </c>
      <c r="F4197" s="3" t="s">
        <v>222</v>
      </c>
      <c r="G4197" s="3" t="s">
        <v>31</v>
      </c>
      <c r="H4197" s="2" t="s">
        <v>20</v>
      </c>
      <c r="I4197" s="2" t="s">
        <v>8463</v>
      </c>
      <c r="J4197" s="3" t="str">
        <f>HYPERLINK("https://www.boe.es/gazeta/dias/1822/07/15/pdfs/GMD-1822-205.pdf#page=3","Abrir facsímil")</f>
        <v>Abrir facsímil</v>
      </c>
      <c r="K4197" s="3" t="s">
        <v>22</v>
      </c>
    </row>
    <row r="4198" spans="1:11" ht="42" customHeight="1">
      <c r="A4198" s="2" t="s">
        <v>8464</v>
      </c>
      <c r="B4198" s="2" t="s">
        <v>8465</v>
      </c>
      <c r="C4198" s="2" t="s">
        <v>28</v>
      </c>
      <c r="D4198" s="2" t="s">
        <v>29</v>
      </c>
      <c r="E4198" s="5">
        <v>-28486</v>
      </c>
      <c r="F4198" s="3" t="s">
        <v>1046</v>
      </c>
      <c r="G4198" s="3" t="s">
        <v>57</v>
      </c>
      <c r="H4198" s="2" t="s">
        <v>20</v>
      </c>
      <c r="I4198" s="2" t="s">
        <v>8466</v>
      </c>
      <c r="J4198" s="3" t="str">
        <f>HYPERLINK("https://www.boe.es/gazeta/dias/1822/01/02/pdfs/GMD-1822-2.pdf#page=4","Abrir facsímil")</f>
        <v>Abrir facsímil</v>
      </c>
      <c r="K4198" s="3" t="s">
        <v>22</v>
      </c>
    </row>
    <row r="4199" spans="1:11" ht="42" customHeight="1">
      <c r="A4199" s="2" t="s">
        <v>8467</v>
      </c>
      <c r="B4199" s="2" t="s">
        <v>8468</v>
      </c>
      <c r="C4199" s="2" t="s">
        <v>24</v>
      </c>
      <c r="D4199" s="2" t="s">
        <v>17</v>
      </c>
      <c r="E4199" s="5">
        <v>-28391</v>
      </c>
      <c r="F4199" s="3" t="s">
        <v>378</v>
      </c>
      <c r="G4199" s="3" t="s">
        <v>63</v>
      </c>
      <c r="H4199" s="2" t="s">
        <v>20</v>
      </c>
      <c r="I4199" s="2" t="s">
        <v>8469</v>
      </c>
      <c r="J4199" s="3" t="str">
        <f>HYPERLINK("https://www.boe.es/gazeta/dias/1822/04/07/pdfs/GMD-1822-99.pdf#page=6","Abrir facsímil")</f>
        <v>Abrir facsímil</v>
      </c>
      <c r="K4199" s="3" t="s">
        <v>22</v>
      </c>
    </row>
    <row r="4200" spans="1:11" ht="42" customHeight="1">
      <c r="A4200" s="2" t="s">
        <v>8467</v>
      </c>
      <c r="B4200" s="2" t="s">
        <v>8468</v>
      </c>
      <c r="C4200" s="2" t="s">
        <v>16</v>
      </c>
      <c r="D4200" s="2" t="s">
        <v>17</v>
      </c>
      <c r="E4200" s="5">
        <v>-28366</v>
      </c>
      <c r="F4200" s="3" t="s">
        <v>120</v>
      </c>
      <c r="G4200" s="3" t="s">
        <v>63</v>
      </c>
      <c r="H4200" s="2" t="s">
        <v>20</v>
      </c>
      <c r="I4200" s="2" t="s">
        <v>8470</v>
      </c>
      <c r="J4200" s="3" t="str">
        <f>HYPERLINK("https://www.boe.es/gazeta/dias/1822/05/02/pdfs/GMD-1822-124.pdf#page=6","Abrir facsímil")</f>
        <v>Abrir facsímil</v>
      </c>
      <c r="K4200" s="3" t="s">
        <v>22</v>
      </c>
    </row>
    <row r="4201" spans="1:11" ht="42" customHeight="1">
      <c r="A4201" s="2" t="s">
        <v>8467</v>
      </c>
      <c r="B4201" s="2" t="s">
        <v>8468</v>
      </c>
      <c r="C4201" s="2" t="s">
        <v>61</v>
      </c>
      <c r="D4201" s="2" t="s">
        <v>17</v>
      </c>
      <c r="E4201" s="5">
        <v>-28257</v>
      </c>
      <c r="F4201" s="3" t="s">
        <v>1171</v>
      </c>
      <c r="G4201" s="3" t="s">
        <v>1172</v>
      </c>
      <c r="H4201" s="2" t="s">
        <v>20</v>
      </c>
      <c r="I4201" s="2" t="s">
        <v>8471</v>
      </c>
      <c r="J4201" s="3" t="str">
        <f>HYPERLINK("https://www.boe.es/gazeta/dias/1822/08/19/pdfs/GMD-1822-243.pdf#page=4","Abrir facsímil")</f>
        <v>Abrir facsímil</v>
      </c>
      <c r="K4201" s="3" t="s">
        <v>22</v>
      </c>
    </row>
    <row r="4202" spans="1:11" ht="42" customHeight="1">
      <c r="A4202" s="2" t="s">
        <v>8472</v>
      </c>
      <c r="B4202" s="2" t="s">
        <v>8473</v>
      </c>
      <c r="C4202" s="2" t="s">
        <v>16</v>
      </c>
      <c r="D4202" s="2" t="s">
        <v>17</v>
      </c>
      <c r="E4202" s="5">
        <v>-28340</v>
      </c>
      <c r="F4202" s="3" t="s">
        <v>139</v>
      </c>
      <c r="G4202" s="3" t="s">
        <v>63</v>
      </c>
      <c r="H4202" s="2" t="s">
        <v>45</v>
      </c>
      <c r="I4202" s="2" t="s">
        <v>8474</v>
      </c>
      <c r="J4202" s="3" t="str">
        <f>HYPERLINK("https://www.boe.es/gazeta/dias/1822/05/28/pdfs/GMD-1822-153.pdf#page=6","Abrir facsímil")</f>
        <v>Abrir facsímil</v>
      </c>
      <c r="K4202" s="3" t="s">
        <v>47</v>
      </c>
    </row>
    <row r="4203" spans="1:11" ht="42" customHeight="1">
      <c r="A4203" s="2" t="s">
        <v>8475</v>
      </c>
      <c r="B4203" s="2" t="s">
        <v>8476</v>
      </c>
      <c r="C4203" s="2" t="s">
        <v>42</v>
      </c>
      <c r="D4203" s="2" t="s">
        <v>17</v>
      </c>
      <c r="E4203" s="5">
        <v>-28464</v>
      </c>
      <c r="F4203" s="3" t="s">
        <v>1447</v>
      </c>
      <c r="G4203" s="3" t="s">
        <v>57</v>
      </c>
      <c r="H4203" s="2" t="s">
        <v>20</v>
      </c>
      <c r="I4203" s="2" t="s">
        <v>8477</v>
      </c>
      <c r="J4203" s="3" t="str">
        <f>HYPERLINK("https://www.boe.es/gazeta/dias/1822/01/24/pdfs/GMD-1822-24.pdf#page=4","Abrir facsímil")</f>
        <v>Abrir facsímil</v>
      </c>
      <c r="K4203" s="3" t="s">
        <v>22</v>
      </c>
    </row>
    <row r="4204" spans="1:11" ht="42" customHeight="1">
      <c r="A4204" s="2" t="s">
        <v>8475</v>
      </c>
      <c r="B4204" s="2" t="s">
        <v>8476</v>
      </c>
      <c r="C4204" s="2" t="s">
        <v>42</v>
      </c>
      <c r="D4204" s="2" t="s">
        <v>17</v>
      </c>
      <c r="E4204" s="5">
        <v>-28364</v>
      </c>
      <c r="F4204" s="3" t="s">
        <v>509</v>
      </c>
      <c r="G4204" s="3" t="s">
        <v>63</v>
      </c>
      <c r="H4204" s="2" t="s">
        <v>20</v>
      </c>
      <c r="I4204" s="2" t="s">
        <v>8478</v>
      </c>
      <c r="J4204" s="3" t="str">
        <f>HYPERLINK("https://www.boe.es/gazeta/dias/1822/05/04/pdfs/GMD-1822-126.pdf#page=6","Abrir facsímil")</f>
        <v>Abrir facsímil</v>
      </c>
      <c r="K4204" s="3" t="s">
        <v>22</v>
      </c>
    </row>
    <row r="4205" spans="1:11" ht="42" customHeight="1">
      <c r="A4205" s="2" t="s">
        <v>8475</v>
      </c>
      <c r="B4205" s="2" t="s">
        <v>8476</v>
      </c>
      <c r="C4205" s="2" t="s">
        <v>28</v>
      </c>
      <c r="D4205" s="2" t="s">
        <v>29</v>
      </c>
      <c r="E4205" s="5">
        <v>-28345</v>
      </c>
      <c r="F4205" s="3" t="s">
        <v>294</v>
      </c>
      <c r="G4205" s="3" t="s">
        <v>63</v>
      </c>
      <c r="H4205" s="2" t="s">
        <v>20</v>
      </c>
      <c r="I4205" s="2" t="s">
        <v>8479</v>
      </c>
      <c r="J4205" s="3" t="str">
        <f>HYPERLINK("https://www.boe.es/gazeta/dias/1822/05/23/pdfs/GMD-1822-147.pdf#page=6","Abrir facsímil")</f>
        <v>Abrir facsímil</v>
      </c>
      <c r="K4205" s="3" t="s">
        <v>22</v>
      </c>
    </row>
    <row r="4206" spans="1:11" ht="42" customHeight="1">
      <c r="A4206" s="2" t="s">
        <v>8475</v>
      </c>
      <c r="B4206" s="2" t="s">
        <v>8476</v>
      </c>
      <c r="C4206" s="2" t="s">
        <v>42</v>
      </c>
      <c r="D4206" s="2" t="s">
        <v>17</v>
      </c>
      <c r="E4206" s="5">
        <v>-28308</v>
      </c>
      <c r="F4206" s="3" t="s">
        <v>1050</v>
      </c>
      <c r="G4206" s="3" t="s">
        <v>157</v>
      </c>
      <c r="H4206" s="2" t="s">
        <v>20</v>
      </c>
      <c r="I4206" s="2" t="s">
        <v>8480</v>
      </c>
      <c r="J4206" s="3" t="str">
        <f>HYPERLINK("https://www.boe.es/gazeta/dias/1822/06/29/pdfs/GMD-1822-187.pdf#page=8","Abrir facsímil")</f>
        <v>Abrir facsímil</v>
      </c>
      <c r="K4206" s="3" t="s">
        <v>22</v>
      </c>
    </row>
    <row r="4207" spans="1:11" ht="42" customHeight="1">
      <c r="A4207" s="2" t="s">
        <v>8475</v>
      </c>
      <c r="B4207" s="2" t="s">
        <v>8476</v>
      </c>
      <c r="C4207" s="2" t="s">
        <v>42</v>
      </c>
      <c r="D4207" s="2" t="s">
        <v>17</v>
      </c>
      <c r="E4207" s="5">
        <v>-28219</v>
      </c>
      <c r="F4207" s="3" t="s">
        <v>1082</v>
      </c>
      <c r="G4207" s="3" t="s">
        <v>31</v>
      </c>
      <c r="H4207" s="2" t="s">
        <v>20</v>
      </c>
      <c r="I4207" s="2" t="s">
        <v>8481</v>
      </c>
      <c r="J4207" s="3" t="str">
        <f>HYPERLINK("https://www.boe.es/gazeta/dias/1822/09/26/pdfs/GMD-1822-282.pdf#page=3","Abrir facsímil")</f>
        <v>Abrir facsímil</v>
      </c>
      <c r="K4207" s="3" t="s">
        <v>22</v>
      </c>
    </row>
    <row r="4208" spans="1:11" ht="42" customHeight="1">
      <c r="A4208" s="2" t="s">
        <v>8475</v>
      </c>
      <c r="B4208" s="2" t="s">
        <v>8476</v>
      </c>
      <c r="C4208" s="2" t="s">
        <v>42</v>
      </c>
      <c r="D4208" s="2" t="s">
        <v>17</v>
      </c>
      <c r="E4208" s="5">
        <v>-28195</v>
      </c>
      <c r="F4208" s="3" t="s">
        <v>770</v>
      </c>
      <c r="G4208" s="3" t="s">
        <v>63</v>
      </c>
      <c r="H4208" s="2" t="s">
        <v>20</v>
      </c>
      <c r="I4208" s="2" t="s">
        <v>8482</v>
      </c>
      <c r="J4208" s="3" t="str">
        <f>HYPERLINK("https://www.boe.es/gazeta/dias/1822/10/20/pdfs/GMD-1822-307.pdf#page=6","Abrir facsímil")</f>
        <v>Abrir facsímil</v>
      </c>
      <c r="K4208" s="3" t="s">
        <v>22</v>
      </c>
    </row>
    <row r="4209" spans="1:11" ht="42" customHeight="1">
      <c r="A4209" s="2" t="s">
        <v>8483</v>
      </c>
      <c r="B4209" s="2" t="s">
        <v>8484</v>
      </c>
      <c r="C4209" s="2" t="s">
        <v>42</v>
      </c>
      <c r="D4209" s="2" t="s">
        <v>17</v>
      </c>
      <c r="E4209" s="5">
        <v>-28258</v>
      </c>
      <c r="F4209" s="3" t="s">
        <v>88</v>
      </c>
      <c r="G4209" s="3" t="s">
        <v>35</v>
      </c>
      <c r="H4209" s="2" t="s">
        <v>20</v>
      </c>
      <c r="I4209" s="2" t="s">
        <v>8485</v>
      </c>
      <c r="J4209" s="3" t="str">
        <f>HYPERLINK("https://www.boe.es/gazeta/dias/1822/08/18/pdfs/GMD-1822-242.pdf#page=2","Abrir facsímil")</f>
        <v>Abrir facsímil</v>
      </c>
      <c r="K4209" s="3" t="s">
        <v>22</v>
      </c>
    </row>
    <row r="4210" spans="1:11" ht="42" customHeight="1">
      <c r="A4210" s="2" t="s">
        <v>8486</v>
      </c>
      <c r="B4210" s="2" t="s">
        <v>8486</v>
      </c>
      <c r="C4210" s="2" t="s">
        <v>28</v>
      </c>
      <c r="D4210" s="2" t="s">
        <v>29</v>
      </c>
      <c r="E4210" s="5">
        <v>-28268</v>
      </c>
      <c r="F4210" s="3" t="s">
        <v>7231</v>
      </c>
      <c r="G4210" s="3" t="s">
        <v>44</v>
      </c>
      <c r="H4210" s="2" t="s">
        <v>20</v>
      </c>
      <c r="I4210" s="2" t="s">
        <v>8487</v>
      </c>
      <c r="J4210" s="3" t="str">
        <f>HYPERLINK("https://www.boe.es/gazeta/dias/1822/08/08/pdfs/GMD-1822-232.pdf#page=1","Abrir facsímil")</f>
        <v>Abrir facsímil</v>
      </c>
      <c r="K4210" s="3" t="s">
        <v>22</v>
      </c>
    </row>
    <row r="4211" spans="1:11" ht="42" customHeight="1">
      <c r="A4211" s="2" t="s">
        <v>8488</v>
      </c>
      <c r="B4211" s="2" t="s">
        <v>8488</v>
      </c>
      <c r="C4211" s="2" t="s">
        <v>50</v>
      </c>
      <c r="D4211" s="2" t="s">
        <v>51</v>
      </c>
      <c r="E4211" s="5">
        <v>-28398</v>
      </c>
      <c r="F4211" s="3" t="s">
        <v>1961</v>
      </c>
      <c r="G4211" s="3" t="s">
        <v>35</v>
      </c>
      <c r="H4211" s="2" t="s">
        <v>20</v>
      </c>
      <c r="I4211" s="2" t="s">
        <v>8489</v>
      </c>
      <c r="J4211" s="3" t="str">
        <f>HYPERLINK("https://www.boe.es/gazeta/dias/1822/03/31/pdfs/GMD-1822-92.pdf#page=2","Abrir facsímil")</f>
        <v>Abrir facsímil</v>
      </c>
      <c r="K4211" s="3" t="s">
        <v>22</v>
      </c>
    </row>
    <row r="4212" spans="1:11" ht="42" customHeight="1">
      <c r="A4212" s="2" t="s">
        <v>8488</v>
      </c>
      <c r="B4212" s="2" t="s">
        <v>8488</v>
      </c>
      <c r="C4212" s="2" t="s">
        <v>28</v>
      </c>
      <c r="D4212" s="2" t="s">
        <v>29</v>
      </c>
      <c r="E4212" s="5">
        <v>-28301</v>
      </c>
      <c r="F4212" s="3" t="s">
        <v>2348</v>
      </c>
      <c r="G4212" s="3" t="s">
        <v>44</v>
      </c>
      <c r="H4212" s="2" t="s">
        <v>20</v>
      </c>
      <c r="I4212" s="2" t="s">
        <v>8490</v>
      </c>
      <c r="J4212" s="3" t="str">
        <f>HYPERLINK("https://www.boe.es/gazeta/dias/1822/07/06/pdfs/GMD-1822-195.pdf#page=1","Abrir facsímil")</f>
        <v>Abrir facsímil</v>
      </c>
      <c r="K4212" s="3" t="s">
        <v>22</v>
      </c>
    </row>
    <row r="4213" spans="1:11" ht="42" customHeight="1">
      <c r="A4213" s="2" t="s">
        <v>8488</v>
      </c>
      <c r="B4213" s="2" t="s">
        <v>8488</v>
      </c>
      <c r="C4213" s="2" t="s">
        <v>50</v>
      </c>
      <c r="D4213" s="2" t="s">
        <v>51</v>
      </c>
      <c r="E4213" s="5">
        <v>-28192</v>
      </c>
      <c r="F4213" s="3" t="s">
        <v>43</v>
      </c>
      <c r="G4213" s="3" t="s">
        <v>44</v>
      </c>
      <c r="H4213" s="2" t="s">
        <v>20</v>
      </c>
      <c r="I4213" s="2" t="s">
        <v>8491</v>
      </c>
      <c r="J4213" s="3" t="str">
        <f>HYPERLINK("https://www.boe.es/gazeta/dias/1822/10/23/pdfs/GMD-1822-310.pdf#page=1","Abrir facsímil")</f>
        <v>Abrir facsímil</v>
      </c>
      <c r="K4213" s="3" t="s">
        <v>22</v>
      </c>
    </row>
    <row r="4214" spans="1:11" ht="42" customHeight="1">
      <c r="A4214" s="2" t="s">
        <v>8492</v>
      </c>
      <c r="B4214" s="2" t="s">
        <v>8493</v>
      </c>
      <c r="C4214" s="2" t="s">
        <v>24</v>
      </c>
      <c r="D4214" s="2" t="s">
        <v>17</v>
      </c>
      <c r="E4214" s="5">
        <v>-28379</v>
      </c>
      <c r="F4214" s="3" t="s">
        <v>494</v>
      </c>
      <c r="G4214" s="3" t="s">
        <v>63</v>
      </c>
      <c r="H4214" s="2" t="s">
        <v>20</v>
      </c>
      <c r="I4214" s="2" t="s">
        <v>8494</v>
      </c>
      <c r="J4214" s="3" t="str">
        <f>HYPERLINK("https://www.boe.es/gazeta/dias/1822/04/19/pdfs/GMD-1822-111.pdf#page=6","Abrir facsímil")</f>
        <v>Abrir facsímil</v>
      </c>
      <c r="K4214" s="3" t="s">
        <v>22</v>
      </c>
    </row>
    <row r="4215" spans="1:11" ht="42" customHeight="1">
      <c r="A4215" s="2" t="s">
        <v>8495</v>
      </c>
      <c r="B4215" s="2" t="s">
        <v>8496</v>
      </c>
      <c r="C4215" s="2" t="s">
        <v>42</v>
      </c>
      <c r="D4215" s="2" t="s">
        <v>17</v>
      </c>
      <c r="E4215" s="5">
        <v>-28487</v>
      </c>
      <c r="F4215" s="3" t="s">
        <v>426</v>
      </c>
      <c r="G4215" s="3" t="s">
        <v>63</v>
      </c>
      <c r="H4215" s="2" t="s">
        <v>20</v>
      </c>
      <c r="I4215" s="2" t="s">
        <v>8497</v>
      </c>
      <c r="J4215" s="3" t="str">
        <f>HYPERLINK("https://www.boe.es/gazeta/dias/1822/01/01/pdfs/GMD-1822-1.pdf#page=6","Abrir facsímil")</f>
        <v>Abrir facsímil</v>
      </c>
      <c r="K4215" s="3" t="s">
        <v>22</v>
      </c>
    </row>
    <row r="4216" spans="1:11" ht="42" customHeight="1">
      <c r="A4216" s="2" t="s">
        <v>8498</v>
      </c>
      <c r="B4216" s="2" t="s">
        <v>8499</v>
      </c>
      <c r="C4216" s="2" t="s">
        <v>50</v>
      </c>
      <c r="D4216" s="2" t="s">
        <v>51</v>
      </c>
      <c r="E4216" s="5">
        <v>-28264</v>
      </c>
      <c r="F4216" s="3" t="s">
        <v>1329</v>
      </c>
      <c r="G4216" s="3" t="s">
        <v>57</v>
      </c>
      <c r="H4216" s="2" t="s">
        <v>20</v>
      </c>
      <c r="I4216" s="2" t="s">
        <v>8500</v>
      </c>
      <c r="J4216" s="3" t="str">
        <f>HYPERLINK("https://www.boe.es/gazeta/dias/1822/08/12/pdfs/GMD-1822-236.pdf#page=4","Abrir facsímil")</f>
        <v>Abrir facsímil</v>
      </c>
      <c r="K4216" s="3" t="s">
        <v>22</v>
      </c>
    </row>
    <row r="4217" spans="1:11" ht="42" customHeight="1">
      <c r="A4217" s="2" t="s">
        <v>8501</v>
      </c>
      <c r="B4217" s="2" t="s">
        <v>8502</v>
      </c>
      <c r="C4217" s="2" t="s">
        <v>24</v>
      </c>
      <c r="D4217" s="2" t="s">
        <v>17</v>
      </c>
      <c r="E4217" s="5">
        <v>-28125</v>
      </c>
      <c r="F4217" s="3" t="s">
        <v>322</v>
      </c>
      <c r="G4217" s="3" t="s">
        <v>63</v>
      </c>
      <c r="H4217" s="2" t="s">
        <v>20</v>
      </c>
      <c r="I4217" s="2" t="s">
        <v>8503</v>
      </c>
      <c r="J4217" s="3" t="str">
        <f>HYPERLINK("https://www.boe.es/gazeta/dias/1822/12/29/pdfs/GMD-1822-379.pdf#page=6","Abrir facsímil")</f>
        <v>Abrir facsímil</v>
      </c>
      <c r="K4217" s="3" t="s">
        <v>22</v>
      </c>
    </row>
    <row r="4218" spans="1:11" ht="42" customHeight="1">
      <c r="A4218" s="2" t="s">
        <v>8504</v>
      </c>
      <c r="B4218" s="2" t="s">
        <v>8505</v>
      </c>
      <c r="C4218" s="2" t="s">
        <v>16</v>
      </c>
      <c r="D4218" s="2" t="s">
        <v>17</v>
      </c>
      <c r="E4218" s="5">
        <v>-28323</v>
      </c>
      <c r="F4218" s="3" t="s">
        <v>116</v>
      </c>
      <c r="G4218" s="3" t="s">
        <v>35</v>
      </c>
      <c r="H4218" s="2" t="s">
        <v>20</v>
      </c>
      <c r="I4218" s="2" t="s">
        <v>8506</v>
      </c>
      <c r="J4218" s="3" t="str">
        <f>HYPERLINK("https://www.boe.es/gazeta/dias/1822/06/14/pdfs/GMD-1822-171.pdf#page=2","Abrir facsímil")</f>
        <v>Abrir facsímil</v>
      </c>
      <c r="K4218" s="3" t="s">
        <v>22</v>
      </c>
    </row>
    <row r="4219" spans="1:11" ht="42" customHeight="1">
      <c r="A4219" s="2" t="s">
        <v>8507</v>
      </c>
      <c r="B4219" s="2" t="s">
        <v>8507</v>
      </c>
      <c r="C4219" s="2" t="s">
        <v>50</v>
      </c>
      <c r="D4219" s="2" t="s">
        <v>51</v>
      </c>
      <c r="E4219" s="5">
        <v>-28450</v>
      </c>
      <c r="F4219" s="3" t="s">
        <v>1450</v>
      </c>
      <c r="G4219" s="3" t="s">
        <v>2247</v>
      </c>
      <c r="H4219" s="2" t="s">
        <v>20</v>
      </c>
      <c r="I4219" s="2" t="s">
        <v>8508</v>
      </c>
      <c r="J4219" s="3" t="str">
        <f>HYPERLINK("https://www.boe.es/gazeta/dias/1822/02/07/pdfs/GMD-1822-38.pdf#page=6","Abrir facsímil")</f>
        <v>Abrir facsímil</v>
      </c>
      <c r="K4219" s="3" t="s">
        <v>22</v>
      </c>
    </row>
    <row r="4220" spans="1:11" ht="42" customHeight="1">
      <c r="A4220" s="2" t="s">
        <v>8509</v>
      </c>
      <c r="B4220" s="2" t="s">
        <v>8510</v>
      </c>
      <c r="C4220" s="2" t="s">
        <v>28</v>
      </c>
      <c r="D4220" s="2" t="s">
        <v>29</v>
      </c>
      <c r="E4220" s="5">
        <v>-28418</v>
      </c>
      <c r="F4220" s="3" t="s">
        <v>205</v>
      </c>
      <c r="G4220" s="3" t="s">
        <v>57</v>
      </c>
      <c r="H4220" s="2" t="s">
        <v>20</v>
      </c>
      <c r="I4220" s="2" t="s">
        <v>8511</v>
      </c>
      <c r="J4220" s="3" t="str">
        <f>HYPERLINK("https://www.boe.es/gazeta/dias/1822/03/11/pdfs/GMD-1822-72.pdf#page=4","Abrir facsímil")</f>
        <v>Abrir facsímil</v>
      </c>
      <c r="K4220" s="3" t="s">
        <v>22</v>
      </c>
    </row>
    <row r="4221" spans="1:11" ht="42" customHeight="1">
      <c r="A4221" s="2" t="s">
        <v>8512</v>
      </c>
      <c r="B4221" s="2" t="s">
        <v>8512</v>
      </c>
      <c r="C4221" s="2" t="s">
        <v>50</v>
      </c>
      <c r="D4221" s="2" t="s">
        <v>51</v>
      </c>
      <c r="E4221" s="5">
        <v>-28430</v>
      </c>
      <c r="F4221" s="3" t="s">
        <v>3437</v>
      </c>
      <c r="G4221" s="3" t="s">
        <v>31</v>
      </c>
      <c r="H4221" s="2" t="s">
        <v>20</v>
      </c>
      <c r="I4221" s="2" t="s">
        <v>8513</v>
      </c>
      <c r="J4221" s="3" t="str">
        <f>HYPERLINK("https://www.boe.es/gazeta/dias/1822/02/27/pdfs/GMD-1822-59.pdf#page=3","Abrir facsímil")</f>
        <v>Abrir facsímil</v>
      </c>
      <c r="K4221" s="3" t="s">
        <v>22</v>
      </c>
    </row>
    <row r="4222" spans="1:11" ht="42" customHeight="1">
      <c r="A4222" s="2" t="s">
        <v>8514</v>
      </c>
      <c r="B4222" s="2" t="s">
        <v>8514</v>
      </c>
      <c r="C4222" s="2" t="s">
        <v>50</v>
      </c>
      <c r="D4222" s="2" t="s">
        <v>51</v>
      </c>
      <c r="E4222" s="5">
        <v>-28393</v>
      </c>
      <c r="F4222" s="3" t="s">
        <v>326</v>
      </c>
      <c r="G4222" s="3" t="s">
        <v>31</v>
      </c>
      <c r="H4222" s="2" t="s">
        <v>20</v>
      </c>
      <c r="I4222" s="2" t="s">
        <v>8515</v>
      </c>
      <c r="J4222" s="3" t="str">
        <f>HYPERLINK("https://www.boe.es/gazeta/dias/1822/04/05/pdfs/GMD-1822-97.pdf#page=3","Abrir facsímil")</f>
        <v>Abrir facsímil</v>
      </c>
      <c r="K4222" s="3" t="s">
        <v>22</v>
      </c>
    </row>
    <row r="4223" spans="1:11" ht="42" customHeight="1">
      <c r="A4223" s="2" t="s">
        <v>8516</v>
      </c>
      <c r="B4223" s="2" t="s">
        <v>8516</v>
      </c>
      <c r="C4223" s="2" t="s">
        <v>42</v>
      </c>
      <c r="D4223" s="2" t="s">
        <v>17</v>
      </c>
      <c r="E4223" s="5">
        <v>-28303</v>
      </c>
      <c r="F4223" s="3" t="s">
        <v>201</v>
      </c>
      <c r="G4223" s="3" t="s">
        <v>44</v>
      </c>
      <c r="H4223" s="2" t="s">
        <v>20</v>
      </c>
      <c r="I4223" s="2" t="s">
        <v>8517</v>
      </c>
      <c r="J4223" s="3" t="str">
        <f>HYPERLINK("https://www.boe.es/gazeta/dias/1822/07/04/pdfs/GMD-1822-193.pdf#page=1","Abrir facsímil")</f>
        <v>Abrir facsímil</v>
      </c>
      <c r="K4223" s="3" t="s">
        <v>22</v>
      </c>
    </row>
    <row r="4224" spans="1:11" ht="42" customHeight="1">
      <c r="A4224" s="2" t="s">
        <v>8518</v>
      </c>
      <c r="B4224" s="2" t="s">
        <v>8518</v>
      </c>
      <c r="C4224" s="2" t="s">
        <v>50</v>
      </c>
      <c r="D4224" s="2" t="s">
        <v>51</v>
      </c>
      <c r="E4224" s="5">
        <v>-28416</v>
      </c>
      <c r="F4224" s="3" t="s">
        <v>97</v>
      </c>
      <c r="G4224" s="3" t="s">
        <v>35</v>
      </c>
      <c r="H4224" s="2" t="s">
        <v>20</v>
      </c>
      <c r="I4224" s="2" t="s">
        <v>8519</v>
      </c>
      <c r="J4224" s="3" t="str">
        <f>HYPERLINK("https://www.boe.es/gazeta/dias/1822/03/13/pdfs/GMD-1822-74.pdf#page=2","Abrir facsímil")</f>
        <v>Abrir facsímil</v>
      </c>
      <c r="K4224" s="3" t="s">
        <v>22</v>
      </c>
    </row>
    <row r="4225" spans="1:11" ht="42" customHeight="1">
      <c r="A4225" s="2" t="s">
        <v>8520</v>
      </c>
      <c r="B4225" s="2" t="s">
        <v>8521</v>
      </c>
      <c r="C4225" s="2" t="s">
        <v>24</v>
      </c>
      <c r="D4225" s="2" t="s">
        <v>17</v>
      </c>
      <c r="E4225" s="5">
        <v>-28314</v>
      </c>
      <c r="F4225" s="3" t="s">
        <v>309</v>
      </c>
      <c r="G4225" s="3" t="s">
        <v>63</v>
      </c>
      <c r="H4225" s="2" t="s">
        <v>20</v>
      </c>
      <c r="I4225" s="2" t="s">
        <v>8522</v>
      </c>
      <c r="J4225" s="3" t="str">
        <f>HYPERLINK("https://www.boe.es/gazeta/dias/1822/06/23/pdfs/GMD-1822-181.pdf#page=6","Abrir facsímil")</f>
        <v>Abrir facsímil</v>
      </c>
      <c r="K4225" s="3" t="s">
        <v>22</v>
      </c>
    </row>
    <row r="4226" spans="1:11" ht="42" customHeight="1">
      <c r="A4226" s="2" t="s">
        <v>8523</v>
      </c>
      <c r="B4226" s="2" t="s">
        <v>8524</v>
      </c>
      <c r="C4226" s="2" t="s">
        <v>50</v>
      </c>
      <c r="D4226" s="2" t="s">
        <v>51</v>
      </c>
      <c r="E4226" s="5">
        <v>-28391</v>
      </c>
      <c r="F4226" s="3" t="s">
        <v>378</v>
      </c>
      <c r="G4226" s="3" t="s">
        <v>63</v>
      </c>
      <c r="H4226" s="2" t="s">
        <v>20</v>
      </c>
      <c r="I4226" s="2" t="s">
        <v>8525</v>
      </c>
      <c r="J4226" s="3" t="str">
        <f>HYPERLINK("https://www.boe.es/gazeta/dias/1822/04/07/pdfs/GMD-1822-99.pdf#page=6","Abrir facsímil")</f>
        <v>Abrir facsímil</v>
      </c>
      <c r="K4226" s="3" t="s">
        <v>22</v>
      </c>
    </row>
    <row r="4227" spans="1:11" ht="42" customHeight="1">
      <c r="A4227" s="2" t="s">
        <v>8526</v>
      </c>
      <c r="B4227" s="2" t="s">
        <v>8527</v>
      </c>
      <c r="C4227" s="2" t="s">
        <v>362</v>
      </c>
      <c r="D4227" s="2" t="s">
        <v>17</v>
      </c>
      <c r="E4227" s="5">
        <v>-28305</v>
      </c>
      <c r="F4227" s="3" t="s">
        <v>1337</v>
      </c>
      <c r="G4227" s="3" t="s">
        <v>57</v>
      </c>
      <c r="H4227" s="2" t="s">
        <v>20</v>
      </c>
      <c r="I4227" s="2" t="s">
        <v>8528</v>
      </c>
      <c r="J4227" s="3" t="str">
        <f>HYPERLINK("https://www.boe.es/gazeta/dias/1822/07/02/pdfs/GMD-1822-191.pdf#page=4","Abrir facsímil")</f>
        <v>Abrir facsímil</v>
      </c>
      <c r="K4227" s="3" t="s">
        <v>22</v>
      </c>
    </row>
    <row r="4228" spans="1:11" ht="42" customHeight="1">
      <c r="A4228" s="2" t="s">
        <v>8529</v>
      </c>
      <c r="B4228" s="2" t="s">
        <v>8530</v>
      </c>
      <c r="C4228" s="2" t="s">
        <v>42</v>
      </c>
      <c r="D4228" s="2" t="s">
        <v>17</v>
      </c>
      <c r="E4228" s="5">
        <v>-28148</v>
      </c>
      <c r="F4228" s="3" t="s">
        <v>1909</v>
      </c>
      <c r="G4228" s="3" t="s">
        <v>63</v>
      </c>
      <c r="H4228" s="2" t="s">
        <v>20</v>
      </c>
      <c r="I4228" s="2" t="s">
        <v>8531</v>
      </c>
      <c r="J4228" s="3" t="str">
        <f>HYPERLINK("https://www.boe.es/gazeta/dias/1822/12/06/pdfs/GMD-1822-356.pdf#page=6","Abrir facsímil")</f>
        <v>Abrir facsímil</v>
      </c>
      <c r="K4228" s="3" t="s">
        <v>22</v>
      </c>
    </row>
    <row r="4229" spans="1:11" ht="42" customHeight="1">
      <c r="A4229" s="2" t="s">
        <v>8532</v>
      </c>
      <c r="B4229" s="2" t="s">
        <v>8533</v>
      </c>
      <c r="C4229" s="2" t="s">
        <v>50</v>
      </c>
      <c r="D4229" s="2" t="s">
        <v>51</v>
      </c>
      <c r="E4229" s="5">
        <v>-28137</v>
      </c>
      <c r="F4229" s="3" t="s">
        <v>312</v>
      </c>
      <c r="G4229" s="3" t="s">
        <v>63</v>
      </c>
      <c r="H4229" s="2" t="s">
        <v>45</v>
      </c>
      <c r="I4229" s="2" t="s">
        <v>8534</v>
      </c>
      <c r="J4229" s="3" t="str">
        <f>HYPERLINK("https://www.boe.es/gazeta/dias/1822/12/17/pdfs/GMD-1822-367.pdf#page=6","Abrir facsímil")</f>
        <v>Abrir facsímil</v>
      </c>
      <c r="K4229" s="3" t="s">
        <v>47</v>
      </c>
    </row>
    <row r="4230" spans="1:11" ht="42" customHeight="1">
      <c r="A4230" s="2" t="s">
        <v>8535</v>
      </c>
      <c r="B4230" s="2" t="s">
        <v>8536</v>
      </c>
      <c r="C4230" s="2" t="s">
        <v>71</v>
      </c>
      <c r="D4230" s="2" t="s">
        <v>17</v>
      </c>
      <c r="E4230" s="5">
        <v>-28359</v>
      </c>
      <c r="F4230" s="3" t="s">
        <v>209</v>
      </c>
      <c r="G4230" s="3" t="s">
        <v>63</v>
      </c>
      <c r="H4230" s="2" t="s">
        <v>20</v>
      </c>
      <c r="I4230" s="2" t="s">
        <v>8537</v>
      </c>
      <c r="J4230" s="3" t="str">
        <f>HYPERLINK("https://www.boe.es/gazeta/dias/1822/05/09/pdfs/GMD-1822-131.pdf#page=6","Abrir facsímil")</f>
        <v>Abrir facsímil</v>
      </c>
      <c r="K4230" s="3" t="s">
        <v>22</v>
      </c>
    </row>
    <row r="4231" spans="1:11" ht="42" customHeight="1">
      <c r="A4231" s="2" t="s">
        <v>8538</v>
      </c>
      <c r="B4231" s="2" t="s">
        <v>8539</v>
      </c>
      <c r="C4231" s="2" t="s">
        <v>28</v>
      </c>
      <c r="D4231" s="2" t="s">
        <v>29</v>
      </c>
      <c r="E4231" s="5">
        <v>-28371</v>
      </c>
      <c r="F4231" s="3" t="s">
        <v>401</v>
      </c>
      <c r="G4231" s="3" t="s">
        <v>35</v>
      </c>
      <c r="H4231" s="2" t="s">
        <v>20</v>
      </c>
      <c r="I4231" s="2" t="s">
        <v>8540</v>
      </c>
      <c r="J4231" s="3" t="str">
        <f>HYPERLINK("https://www.boe.es/gazeta/dias/1822/04/27/pdfs/GMD-1822-119.pdf#page=2","Abrir facsímil")</f>
        <v>Abrir facsímil</v>
      </c>
      <c r="K4231" s="3" t="s">
        <v>22</v>
      </c>
    </row>
    <row r="4232" spans="1:11" ht="42" customHeight="1">
      <c r="A4232" s="2" t="s">
        <v>8541</v>
      </c>
      <c r="B4232" s="2" t="s">
        <v>8542</v>
      </c>
      <c r="C4232" s="2" t="s">
        <v>16</v>
      </c>
      <c r="D4232" s="2" t="s">
        <v>17</v>
      </c>
      <c r="E4232" s="5">
        <v>-28144</v>
      </c>
      <c r="F4232" s="3" t="s">
        <v>288</v>
      </c>
      <c r="G4232" s="3" t="s">
        <v>63</v>
      </c>
      <c r="H4232" s="2" t="s">
        <v>45</v>
      </c>
      <c r="I4232" s="2" t="s">
        <v>8543</v>
      </c>
      <c r="J4232" s="3" t="str">
        <f>HYPERLINK("https://www.boe.es/gazeta/dias/1822/12/10/pdfs/GMD-1822-360.pdf#page=6","Abrir facsímil")</f>
        <v>Abrir facsímil</v>
      </c>
      <c r="K4232" s="3" t="s">
        <v>47</v>
      </c>
    </row>
    <row r="4233" spans="1:11" ht="42" customHeight="1">
      <c r="A4233" s="2" t="s">
        <v>8544</v>
      </c>
      <c r="B4233" s="2" t="s">
        <v>8545</v>
      </c>
      <c r="C4233" s="2" t="s">
        <v>28</v>
      </c>
      <c r="D4233" s="2" t="s">
        <v>29</v>
      </c>
      <c r="E4233" s="5">
        <v>-28374</v>
      </c>
      <c r="F4233" s="3" t="s">
        <v>171</v>
      </c>
      <c r="G4233" s="3" t="s">
        <v>57</v>
      </c>
      <c r="H4233" s="2" t="s">
        <v>20</v>
      </c>
      <c r="I4233" s="2" t="s">
        <v>8546</v>
      </c>
      <c r="J4233" s="3" t="str">
        <f>HYPERLINK("https://www.boe.es/gazeta/dias/1822/04/24/pdfs/GMD-1822-116.pdf#page=4","Abrir facsímil")</f>
        <v>Abrir facsímil</v>
      </c>
      <c r="K4233" s="3" t="s">
        <v>22</v>
      </c>
    </row>
    <row r="4234" spans="1:11" ht="42" customHeight="1">
      <c r="A4234" s="2" t="s">
        <v>8547</v>
      </c>
      <c r="B4234" s="2" t="s">
        <v>8548</v>
      </c>
      <c r="C4234" s="2" t="s">
        <v>71</v>
      </c>
      <c r="D4234" s="2" t="s">
        <v>17</v>
      </c>
      <c r="E4234" s="5">
        <v>-28423</v>
      </c>
      <c r="F4234" s="3" t="s">
        <v>441</v>
      </c>
      <c r="G4234" s="3" t="s">
        <v>63</v>
      </c>
      <c r="H4234" s="2" t="s">
        <v>45</v>
      </c>
      <c r="I4234" s="2" t="s">
        <v>8549</v>
      </c>
      <c r="J4234" s="3" t="str">
        <f>HYPERLINK("https://www.boe.es/gazeta/dias/1822/03/06/pdfs/GMD-1822-67.pdf#page=6","Abrir facsímil")</f>
        <v>Abrir facsímil</v>
      </c>
      <c r="K4234" s="3" t="s">
        <v>47</v>
      </c>
    </row>
    <row r="4235" spans="1:11" ht="42" customHeight="1">
      <c r="A4235" s="2" t="s">
        <v>8547</v>
      </c>
      <c r="B4235" s="2" t="s">
        <v>8548</v>
      </c>
      <c r="C4235" s="2" t="s">
        <v>28</v>
      </c>
      <c r="D4235" s="2" t="s">
        <v>29</v>
      </c>
      <c r="E4235" s="5">
        <v>-28373</v>
      </c>
      <c r="F4235" s="3" t="s">
        <v>614</v>
      </c>
      <c r="G4235" s="3" t="s">
        <v>57</v>
      </c>
      <c r="H4235" s="2" t="s">
        <v>45</v>
      </c>
      <c r="I4235" s="2" t="s">
        <v>8550</v>
      </c>
      <c r="J4235" s="3" t="str">
        <f>HYPERLINK("https://www.boe.es/gazeta/dias/1822/04/25/pdfs/GMD-1822-117.pdf#page=4","Abrir facsímil")</f>
        <v>Abrir facsímil</v>
      </c>
      <c r="K4235" s="3" t="s">
        <v>47</v>
      </c>
    </row>
    <row r="4236" spans="1:11" ht="42" customHeight="1">
      <c r="A4236" s="2" t="s">
        <v>8547</v>
      </c>
      <c r="B4236" s="2" t="s">
        <v>8548</v>
      </c>
      <c r="C4236" s="2" t="s">
        <v>28</v>
      </c>
      <c r="D4236" s="2" t="s">
        <v>29</v>
      </c>
      <c r="E4236" s="5">
        <v>-28291</v>
      </c>
      <c r="F4236" s="3" t="s">
        <v>363</v>
      </c>
      <c r="G4236" s="3" t="s">
        <v>57</v>
      </c>
      <c r="H4236" s="2" t="s">
        <v>45</v>
      </c>
      <c r="I4236" s="2" t="s">
        <v>8551</v>
      </c>
      <c r="J4236" s="3" t="str">
        <f>HYPERLINK("https://www.boe.es/gazeta/dias/1822/07/16/pdfs/GMD-1822-206.pdf#page=4","Abrir facsímil")</f>
        <v>Abrir facsímil</v>
      </c>
      <c r="K4236" s="3" t="s">
        <v>47</v>
      </c>
    </row>
    <row r="4237" spans="1:11" ht="42" customHeight="1">
      <c r="A4237" s="2" t="s">
        <v>8552</v>
      </c>
      <c r="B4237" s="2" t="s">
        <v>8553</v>
      </c>
      <c r="C4237" s="2" t="s">
        <v>50</v>
      </c>
      <c r="D4237" s="2" t="s">
        <v>51</v>
      </c>
      <c r="E4237" s="5">
        <v>-28262</v>
      </c>
      <c r="F4237" s="3" t="s">
        <v>1771</v>
      </c>
      <c r="G4237" s="3" t="s">
        <v>35</v>
      </c>
      <c r="H4237" s="2" t="s">
        <v>20</v>
      </c>
      <c r="I4237" s="2" t="s">
        <v>8554</v>
      </c>
      <c r="J4237" s="3" t="str">
        <f>HYPERLINK("https://www.boe.es/gazeta/dias/1822/08/14/pdfs/GMD-1822-238.pdf#page=2","Abrir facsímil")</f>
        <v>Abrir facsímil</v>
      </c>
      <c r="K4237" s="3" t="s">
        <v>22</v>
      </c>
    </row>
    <row r="4238" spans="1:11" ht="42" customHeight="1">
      <c r="A4238" s="2" t="s">
        <v>8555</v>
      </c>
      <c r="B4238" s="2" t="s">
        <v>8556</v>
      </c>
      <c r="C4238" s="2" t="s">
        <v>362</v>
      </c>
      <c r="D4238" s="2" t="s">
        <v>17</v>
      </c>
      <c r="E4238" s="5">
        <v>-28338</v>
      </c>
      <c r="F4238" s="3" t="s">
        <v>527</v>
      </c>
      <c r="G4238" s="3" t="s">
        <v>44</v>
      </c>
      <c r="H4238" s="2" t="s">
        <v>20</v>
      </c>
      <c r="I4238" s="2" t="s">
        <v>8557</v>
      </c>
      <c r="J4238" s="3" t="str">
        <f>HYPERLINK("https://www.boe.es/gazeta/dias/1822/05/30/pdfs/GMD-1822-155.pdf#page=1","Abrir facsímil")</f>
        <v>Abrir facsímil</v>
      </c>
      <c r="K4238" s="3" t="s">
        <v>22</v>
      </c>
    </row>
    <row r="4239" spans="1:11" ht="42" customHeight="1">
      <c r="A4239" s="2" t="s">
        <v>8558</v>
      </c>
      <c r="B4239" s="2" t="s">
        <v>8559</v>
      </c>
      <c r="C4239" s="2" t="s">
        <v>50</v>
      </c>
      <c r="D4239" s="2" t="s">
        <v>51</v>
      </c>
      <c r="E4239" s="5">
        <v>-28265</v>
      </c>
      <c r="F4239" s="3" t="s">
        <v>1263</v>
      </c>
      <c r="G4239" s="3" t="s">
        <v>57</v>
      </c>
      <c r="H4239" s="2" t="s">
        <v>20</v>
      </c>
      <c r="I4239" s="2" t="s">
        <v>8560</v>
      </c>
      <c r="J4239" s="3" t="str">
        <f>HYPERLINK("https://www.boe.es/gazeta/dias/1822/08/11/pdfs/GMD-1822-235.pdf#page=4","Abrir facsímil")</f>
        <v>Abrir facsímil</v>
      </c>
      <c r="K4239" s="3" t="s">
        <v>22</v>
      </c>
    </row>
    <row r="4240" spans="1:11" ht="42" customHeight="1">
      <c r="A4240" s="2" t="s">
        <v>8561</v>
      </c>
      <c r="B4240" s="2" t="s">
        <v>8562</v>
      </c>
      <c r="C4240" s="2" t="s">
        <v>42</v>
      </c>
      <c r="D4240" s="2" t="s">
        <v>17</v>
      </c>
      <c r="E4240" s="5">
        <v>-28445</v>
      </c>
      <c r="F4240" s="3" t="s">
        <v>1622</v>
      </c>
      <c r="G4240" s="3" t="s">
        <v>57</v>
      </c>
      <c r="H4240" s="2" t="s">
        <v>20</v>
      </c>
      <c r="I4240" s="2" t="s">
        <v>8563</v>
      </c>
      <c r="J4240" s="3" t="str">
        <f>HYPERLINK("https://www.boe.es/gazeta/dias/1822/02/12/pdfs/GMD-1822-43.pdf#page=4","Abrir facsímil")</f>
        <v>Abrir facsímil</v>
      </c>
      <c r="K4240" s="3" t="s">
        <v>22</v>
      </c>
    </row>
    <row r="4241" spans="1:11" ht="42" customHeight="1">
      <c r="A4241" s="2" t="s">
        <v>8564</v>
      </c>
      <c r="B4241" s="2" t="s">
        <v>8565</v>
      </c>
      <c r="C4241" s="2" t="s">
        <v>24</v>
      </c>
      <c r="D4241" s="2" t="s">
        <v>17</v>
      </c>
      <c r="E4241" s="5">
        <v>-28451</v>
      </c>
      <c r="F4241" s="3" t="s">
        <v>1674</v>
      </c>
      <c r="G4241" s="3" t="s">
        <v>63</v>
      </c>
      <c r="H4241" s="2" t="s">
        <v>20</v>
      </c>
      <c r="I4241" s="2" t="s">
        <v>8566</v>
      </c>
      <c r="J4241" s="3" t="str">
        <f>HYPERLINK("https://www.boe.es/gazeta/dias/1822/02/06/pdfs/GMD-1822-37.pdf#page=6","Abrir facsímil")</f>
        <v>Abrir facsímil</v>
      </c>
      <c r="K4241" s="3" t="s">
        <v>22</v>
      </c>
    </row>
    <row r="4242" spans="1:11" ht="42" customHeight="1">
      <c r="A4242" s="2" t="s">
        <v>8567</v>
      </c>
      <c r="B4242" s="2" t="s">
        <v>8567</v>
      </c>
      <c r="C4242" s="2" t="s">
        <v>50</v>
      </c>
      <c r="D4242" s="2" t="s">
        <v>51</v>
      </c>
      <c r="E4242" s="5">
        <v>-28231</v>
      </c>
      <c r="F4242" s="3" t="s">
        <v>2049</v>
      </c>
      <c r="G4242" s="3" t="s">
        <v>44</v>
      </c>
      <c r="H4242" s="2" t="s">
        <v>20</v>
      </c>
      <c r="I4242" s="2" t="s">
        <v>8568</v>
      </c>
      <c r="J4242" s="3" t="str">
        <f>HYPERLINK("https://www.boe.es/gazeta/dias/1822/09/14/pdfs/GMD-1822-270.pdf#page=1","Abrir facsímil")</f>
        <v>Abrir facsímil</v>
      </c>
      <c r="K4242" s="3" t="s">
        <v>22</v>
      </c>
    </row>
    <row r="4243" spans="1:11" ht="42" customHeight="1">
      <c r="A4243" s="2" t="s">
        <v>8569</v>
      </c>
      <c r="B4243" s="2" t="s">
        <v>8570</v>
      </c>
      <c r="C4243" s="2" t="s">
        <v>50</v>
      </c>
      <c r="D4243" s="2" t="s">
        <v>51</v>
      </c>
      <c r="E4243" s="5">
        <v>-28486</v>
      </c>
      <c r="F4243" s="3" t="s">
        <v>1046</v>
      </c>
      <c r="G4243" s="3" t="s">
        <v>57</v>
      </c>
      <c r="H4243" s="2" t="s">
        <v>20</v>
      </c>
      <c r="I4243" s="2" t="s">
        <v>8571</v>
      </c>
      <c r="J4243" s="3" t="str">
        <f>HYPERLINK("https://www.boe.es/gazeta/dias/1822/01/02/pdfs/GMD-1822-2.pdf#page=4","Abrir facsímil")</f>
        <v>Abrir facsímil</v>
      </c>
      <c r="K4243" s="3" t="s">
        <v>22</v>
      </c>
    </row>
    <row r="4244" spans="1:11" ht="42" customHeight="1">
      <c r="A4244" s="2" t="s">
        <v>8572</v>
      </c>
      <c r="B4244" s="2" t="s">
        <v>8573</v>
      </c>
      <c r="C4244" s="2" t="s">
        <v>42</v>
      </c>
      <c r="D4244" s="2" t="s">
        <v>17</v>
      </c>
      <c r="E4244" s="5">
        <v>-28391</v>
      </c>
      <c r="F4244" s="3" t="s">
        <v>378</v>
      </c>
      <c r="G4244" s="3" t="s">
        <v>63</v>
      </c>
      <c r="H4244" s="2" t="s">
        <v>20</v>
      </c>
      <c r="I4244" s="2" t="s">
        <v>8574</v>
      </c>
      <c r="J4244" s="3" t="str">
        <f>HYPERLINK("https://www.boe.es/gazeta/dias/1822/04/07/pdfs/GMD-1822-99.pdf#page=6","Abrir facsímil")</f>
        <v>Abrir facsímil</v>
      </c>
      <c r="K4244" s="3" t="s">
        <v>22</v>
      </c>
    </row>
    <row r="4245" spans="1:11" ht="42" customHeight="1">
      <c r="A4245" s="2" t="s">
        <v>8575</v>
      </c>
      <c r="B4245" s="2" t="s">
        <v>8575</v>
      </c>
      <c r="C4245" s="2" t="s">
        <v>50</v>
      </c>
      <c r="D4245" s="2" t="s">
        <v>51</v>
      </c>
      <c r="E4245" s="5">
        <v>-28369</v>
      </c>
      <c r="F4245" s="3" t="s">
        <v>1590</v>
      </c>
      <c r="G4245" s="3" t="s">
        <v>63</v>
      </c>
      <c r="H4245" s="2" t="s">
        <v>20</v>
      </c>
      <c r="I4245" s="2" t="s">
        <v>8576</v>
      </c>
      <c r="J4245" s="3" t="str">
        <f>HYPERLINK("https://www.boe.es/gazeta/dias/1822/04/29/pdfs/GMD-1822-121.pdf#page=6","Abrir facsímil")</f>
        <v>Abrir facsímil</v>
      </c>
      <c r="K4245" s="3" t="s">
        <v>22</v>
      </c>
    </row>
    <row r="4246" spans="1:11" ht="42" customHeight="1">
      <c r="A4246" s="2" t="s">
        <v>8577</v>
      </c>
      <c r="B4246" s="2" t="s">
        <v>8577</v>
      </c>
      <c r="C4246" s="2" t="s">
        <v>50</v>
      </c>
      <c r="D4246" s="2" t="s">
        <v>51</v>
      </c>
      <c r="E4246" s="5">
        <v>-28308</v>
      </c>
      <c r="F4246" s="3" t="s">
        <v>1050</v>
      </c>
      <c r="G4246" s="3" t="s">
        <v>157</v>
      </c>
      <c r="H4246" s="2" t="s">
        <v>20</v>
      </c>
      <c r="I4246" s="2" t="s">
        <v>8578</v>
      </c>
      <c r="J4246" s="3" t="str">
        <f>HYPERLINK("https://www.boe.es/gazeta/dias/1822/06/29/pdfs/GMD-1822-187.pdf#page=8","Abrir facsímil")</f>
        <v>Abrir facsímil</v>
      </c>
      <c r="K4246" s="3" t="s">
        <v>22</v>
      </c>
    </row>
    <row r="4247" spans="1:11" ht="42" customHeight="1">
      <c r="A4247" s="2" t="s">
        <v>8579</v>
      </c>
      <c r="B4247" s="2" t="s">
        <v>8579</v>
      </c>
      <c r="C4247" s="2" t="s">
        <v>50</v>
      </c>
      <c r="D4247" s="2" t="s">
        <v>51</v>
      </c>
      <c r="E4247" s="5">
        <v>-28410</v>
      </c>
      <c r="F4247" s="3" t="s">
        <v>966</v>
      </c>
      <c r="G4247" s="3" t="s">
        <v>44</v>
      </c>
      <c r="H4247" s="2" t="s">
        <v>20</v>
      </c>
      <c r="I4247" s="2" t="s">
        <v>8580</v>
      </c>
      <c r="J4247" s="3" t="str">
        <f>HYPERLINK("https://www.boe.es/gazeta/dias/1822/03/19/pdfs/GMD-1822-80.pdf#page=1","Abrir facsímil")</f>
        <v>Abrir facsímil</v>
      </c>
      <c r="K4247" s="3" t="s">
        <v>22</v>
      </c>
    </row>
    <row r="4248" spans="1:11" ht="42" customHeight="1">
      <c r="A4248" s="2" t="s">
        <v>8581</v>
      </c>
      <c r="B4248" s="2" t="s">
        <v>8581</v>
      </c>
      <c r="C4248" s="2" t="s">
        <v>42</v>
      </c>
      <c r="D4248" s="2" t="s">
        <v>17</v>
      </c>
      <c r="E4248" s="5">
        <v>-28450</v>
      </c>
      <c r="F4248" s="3" t="s">
        <v>1450</v>
      </c>
      <c r="G4248" s="3" t="s">
        <v>2247</v>
      </c>
      <c r="H4248" s="2" t="s">
        <v>20</v>
      </c>
      <c r="I4248" s="2" t="s">
        <v>8582</v>
      </c>
      <c r="J4248" s="3" t="str">
        <f>HYPERLINK("https://www.boe.es/gazeta/dias/1822/02/07/pdfs/GMD-1822-38.pdf#page=6","Abrir facsímil")</f>
        <v>Abrir facsímil</v>
      </c>
      <c r="K4248" s="3" t="s">
        <v>22</v>
      </c>
    </row>
    <row r="4249" spans="1:11" ht="42" customHeight="1">
      <c r="A4249" s="2" t="s">
        <v>8581</v>
      </c>
      <c r="B4249" s="2" t="s">
        <v>8581</v>
      </c>
      <c r="C4249" s="2" t="s">
        <v>50</v>
      </c>
      <c r="D4249" s="2" t="s">
        <v>51</v>
      </c>
      <c r="E4249" s="5">
        <v>-28432</v>
      </c>
      <c r="F4249" s="3" t="s">
        <v>195</v>
      </c>
      <c r="G4249" s="3" t="s">
        <v>57</v>
      </c>
      <c r="H4249" s="2" t="s">
        <v>20</v>
      </c>
      <c r="I4249" s="2" t="s">
        <v>8583</v>
      </c>
      <c r="J4249" s="3" t="str">
        <f>HYPERLINK("https://www.boe.es/gazeta/dias/1822/02/25/pdfs/GMD-1822-57.pdf#page=4","Abrir facsímil")</f>
        <v>Abrir facsímil</v>
      </c>
      <c r="K4249" s="3" t="s">
        <v>22</v>
      </c>
    </row>
    <row r="4250" spans="1:11" ht="42" customHeight="1">
      <c r="A4250" s="2" t="s">
        <v>8581</v>
      </c>
      <c r="B4250" s="2" t="s">
        <v>8581</v>
      </c>
      <c r="C4250" s="2" t="s">
        <v>16</v>
      </c>
      <c r="D4250" s="2" t="s">
        <v>17</v>
      </c>
      <c r="E4250" s="5">
        <v>-28423</v>
      </c>
      <c r="F4250" s="3" t="s">
        <v>441</v>
      </c>
      <c r="G4250" s="3" t="s">
        <v>35</v>
      </c>
      <c r="H4250" s="2" t="s">
        <v>20</v>
      </c>
      <c r="I4250" s="2" t="s">
        <v>8584</v>
      </c>
      <c r="J4250" s="3" t="str">
        <f>HYPERLINK("https://www.boe.es/gazeta/dias/1822/03/06/pdfs/GMD-1822-67.pdf#page=2","Abrir facsímil")</f>
        <v>Abrir facsímil</v>
      </c>
      <c r="K4250" s="3" t="s">
        <v>22</v>
      </c>
    </row>
    <row r="4251" spans="1:11" ht="42" customHeight="1">
      <c r="A4251" s="2" t="s">
        <v>8581</v>
      </c>
      <c r="B4251" s="2" t="s">
        <v>8581</v>
      </c>
      <c r="C4251" s="2" t="s">
        <v>28</v>
      </c>
      <c r="D4251" s="2" t="s">
        <v>29</v>
      </c>
      <c r="E4251" s="5">
        <v>-28415</v>
      </c>
      <c r="F4251" s="3" t="s">
        <v>77</v>
      </c>
      <c r="G4251" s="3" t="s">
        <v>19</v>
      </c>
      <c r="H4251" s="2" t="s">
        <v>20</v>
      </c>
      <c r="I4251" s="2" t="s">
        <v>8585</v>
      </c>
      <c r="J4251" s="3" t="str">
        <f>HYPERLINK("https://www.boe.es/gazeta/dias/1822/03/14/pdfs/GMD-1822-75.pdf#page=5","Abrir facsímil")</f>
        <v>Abrir facsímil</v>
      </c>
      <c r="K4251" s="3" t="s">
        <v>22</v>
      </c>
    </row>
    <row r="4252" spans="1:11" ht="42" customHeight="1">
      <c r="A4252" s="2" t="s">
        <v>8581</v>
      </c>
      <c r="B4252" s="2" t="s">
        <v>8581</v>
      </c>
      <c r="C4252" s="2" t="s">
        <v>28</v>
      </c>
      <c r="D4252" s="2" t="s">
        <v>29</v>
      </c>
      <c r="E4252" s="5">
        <v>-28414</v>
      </c>
      <c r="F4252" s="3" t="s">
        <v>187</v>
      </c>
      <c r="G4252" s="3" t="s">
        <v>31</v>
      </c>
      <c r="H4252" s="2" t="s">
        <v>20</v>
      </c>
      <c r="I4252" s="2" t="s">
        <v>8586</v>
      </c>
      <c r="J4252" s="3" t="str">
        <f>HYPERLINK("https://www.boe.es/gazeta/dias/1822/03/15/pdfs/GMD-1822-76.pdf#page=3","Abrir facsímil")</f>
        <v>Abrir facsímil</v>
      </c>
      <c r="K4252" s="3" t="s">
        <v>22</v>
      </c>
    </row>
    <row r="4253" spans="1:11" ht="42" customHeight="1">
      <c r="A4253" s="2" t="s">
        <v>8581</v>
      </c>
      <c r="B4253" s="2" t="s">
        <v>8581</v>
      </c>
      <c r="C4253" s="2" t="s">
        <v>50</v>
      </c>
      <c r="D4253" s="2" t="s">
        <v>51</v>
      </c>
      <c r="E4253" s="5">
        <v>-28359</v>
      </c>
      <c r="F4253" s="3" t="s">
        <v>209</v>
      </c>
      <c r="G4253" s="3" t="s">
        <v>31</v>
      </c>
      <c r="H4253" s="2" t="s">
        <v>20</v>
      </c>
      <c r="I4253" s="2" t="s">
        <v>8587</v>
      </c>
      <c r="J4253" s="3" t="str">
        <f>HYPERLINK("https://www.boe.es/gazeta/dias/1822/05/09/pdfs/GMD-1822-131.pdf#page=3","Abrir facsímil")</f>
        <v>Abrir facsímil</v>
      </c>
      <c r="K4253" s="3" t="s">
        <v>22</v>
      </c>
    </row>
    <row r="4254" spans="1:11" ht="42" customHeight="1">
      <c r="A4254" s="2" t="s">
        <v>8581</v>
      </c>
      <c r="B4254" s="2" t="s">
        <v>8581</v>
      </c>
      <c r="C4254" s="2" t="s">
        <v>28</v>
      </c>
      <c r="D4254" s="2" t="s">
        <v>29</v>
      </c>
      <c r="E4254" s="5">
        <v>-28357</v>
      </c>
      <c r="F4254" s="3" t="s">
        <v>690</v>
      </c>
      <c r="G4254" s="3" t="s">
        <v>31</v>
      </c>
      <c r="H4254" s="2" t="s">
        <v>20</v>
      </c>
      <c r="I4254" s="2" t="s">
        <v>8588</v>
      </c>
      <c r="J4254" s="3" t="str">
        <f>HYPERLINK("https://www.boe.es/gazeta/dias/1822/05/11/pdfs/GMD-1822-133.pdf#page=3","Abrir facsímil")</f>
        <v>Abrir facsímil</v>
      </c>
      <c r="K4254" s="3" t="s">
        <v>22</v>
      </c>
    </row>
    <row r="4255" spans="1:11" ht="42" customHeight="1">
      <c r="A4255" s="2" t="s">
        <v>8581</v>
      </c>
      <c r="B4255" s="2" t="s">
        <v>8581</v>
      </c>
      <c r="C4255" s="2" t="s">
        <v>28</v>
      </c>
      <c r="D4255" s="2" t="s">
        <v>29</v>
      </c>
      <c r="E4255" s="5">
        <v>-28339</v>
      </c>
      <c r="F4255" s="3" t="s">
        <v>197</v>
      </c>
      <c r="G4255" s="3" t="s">
        <v>63</v>
      </c>
      <c r="H4255" s="2" t="s">
        <v>20</v>
      </c>
      <c r="I4255" s="2" t="s">
        <v>8589</v>
      </c>
      <c r="J4255" s="3" t="str">
        <f>HYPERLINK("https://www.boe.es/gazeta/dias/1822/05/29/pdfs/GMD-1822-154.pdf#page=6","Abrir facsímil")</f>
        <v>Abrir facsímil</v>
      </c>
      <c r="K4255" s="3" t="s">
        <v>22</v>
      </c>
    </row>
    <row r="4256" spans="1:11" ht="42" customHeight="1">
      <c r="A4256" s="2" t="s">
        <v>8581</v>
      </c>
      <c r="B4256" s="2" t="s">
        <v>8581</v>
      </c>
      <c r="C4256" s="2" t="s">
        <v>50</v>
      </c>
      <c r="D4256" s="2" t="s">
        <v>51</v>
      </c>
      <c r="E4256" s="5">
        <v>-28319</v>
      </c>
      <c r="F4256" s="3" t="s">
        <v>271</v>
      </c>
      <c r="G4256" s="3" t="s">
        <v>63</v>
      </c>
      <c r="H4256" s="2" t="s">
        <v>20</v>
      </c>
      <c r="I4256" s="2" t="s">
        <v>8590</v>
      </c>
      <c r="J4256" s="3" t="str">
        <f>HYPERLINK("https://www.boe.es/gazeta/dias/1822/06/18/pdfs/GMD-1822-175.pdf#page=6","Abrir facsímil")</f>
        <v>Abrir facsímil</v>
      </c>
      <c r="K4256" s="3" t="s">
        <v>22</v>
      </c>
    </row>
    <row r="4257" spans="1:11" ht="42" customHeight="1">
      <c r="A4257" s="2" t="s">
        <v>8581</v>
      </c>
      <c r="B4257" s="2" t="s">
        <v>8581</v>
      </c>
      <c r="C4257" s="2" t="s">
        <v>50</v>
      </c>
      <c r="D4257" s="2" t="s">
        <v>51</v>
      </c>
      <c r="E4257" s="5">
        <v>-28269</v>
      </c>
      <c r="F4257" s="3" t="s">
        <v>5517</v>
      </c>
      <c r="G4257" s="3" t="s">
        <v>57</v>
      </c>
      <c r="H4257" s="2" t="s">
        <v>20</v>
      </c>
      <c r="I4257" s="2" t="s">
        <v>8591</v>
      </c>
      <c r="J4257" s="3" t="str">
        <f>HYPERLINK("https://www.boe.es/gazeta/dias/1822/08/07/pdfs/GMD-1822-231.pdf#page=4","Abrir facsímil")</f>
        <v>Abrir facsímil</v>
      </c>
      <c r="K4257" s="3" t="s">
        <v>22</v>
      </c>
    </row>
    <row r="4258" spans="1:11" ht="42" customHeight="1">
      <c r="A4258" s="2" t="s">
        <v>8581</v>
      </c>
      <c r="B4258" s="2" t="s">
        <v>8581</v>
      </c>
      <c r="C4258" s="2" t="s">
        <v>42</v>
      </c>
      <c r="D4258" s="2" t="s">
        <v>17</v>
      </c>
      <c r="E4258" s="5">
        <v>-28258</v>
      </c>
      <c r="F4258" s="3" t="s">
        <v>88</v>
      </c>
      <c r="G4258" s="3" t="s">
        <v>57</v>
      </c>
      <c r="H4258" s="2" t="s">
        <v>20</v>
      </c>
      <c r="I4258" s="2" t="s">
        <v>8592</v>
      </c>
      <c r="J4258" s="3" t="str">
        <f>HYPERLINK("https://www.boe.es/gazeta/dias/1822/08/18/pdfs/GMD-1822-242.pdf#page=4","Abrir facsímil")</f>
        <v>Abrir facsímil</v>
      </c>
      <c r="K4258" s="3" t="s">
        <v>22</v>
      </c>
    </row>
    <row r="4259" spans="1:11" ht="42" customHeight="1">
      <c r="A4259" s="2" t="s">
        <v>8581</v>
      </c>
      <c r="B4259" s="2" t="s">
        <v>8581</v>
      </c>
      <c r="C4259" s="2" t="s">
        <v>50</v>
      </c>
      <c r="D4259" s="2" t="s">
        <v>51</v>
      </c>
      <c r="E4259" s="5">
        <v>-28249</v>
      </c>
      <c r="F4259" s="3" t="s">
        <v>3986</v>
      </c>
      <c r="G4259" s="3" t="s">
        <v>31</v>
      </c>
      <c r="H4259" s="2" t="s">
        <v>20</v>
      </c>
      <c r="I4259" s="2" t="s">
        <v>8593</v>
      </c>
      <c r="J4259" s="3" t="str">
        <f>HYPERLINK("https://www.boe.es/gazeta/dias/1822/08/27/pdfs/GMD-1822-251.pdf#page=3","Abrir facsímil")</f>
        <v>Abrir facsímil</v>
      </c>
      <c r="K4259" s="3" t="s">
        <v>22</v>
      </c>
    </row>
    <row r="4260" spans="1:11" ht="42" customHeight="1">
      <c r="A4260" s="2" t="s">
        <v>8581</v>
      </c>
      <c r="B4260" s="2" t="s">
        <v>8581</v>
      </c>
      <c r="C4260" s="2" t="s">
        <v>50</v>
      </c>
      <c r="D4260" s="2" t="s">
        <v>51</v>
      </c>
      <c r="E4260" s="5">
        <v>-28228</v>
      </c>
      <c r="F4260" s="3" t="s">
        <v>718</v>
      </c>
      <c r="G4260" s="3" t="s">
        <v>719</v>
      </c>
      <c r="H4260" s="2" t="s">
        <v>20</v>
      </c>
      <c r="I4260" s="2" t="s">
        <v>8594</v>
      </c>
      <c r="J4260" s="3" t="str">
        <f>HYPERLINK("https://www.boe.es/gazeta/dias/1822/09/17/pdfs/GMD-1822-273.pdf#page=3","Abrir facsímil")</f>
        <v>Abrir facsímil</v>
      </c>
      <c r="K4260" s="3" t="s">
        <v>22</v>
      </c>
    </row>
    <row r="4261" spans="1:11" ht="42" customHeight="1">
      <c r="A4261" s="2" t="s">
        <v>8581</v>
      </c>
      <c r="B4261" s="2" t="s">
        <v>8581</v>
      </c>
      <c r="C4261" s="2" t="s">
        <v>50</v>
      </c>
      <c r="D4261" s="2" t="s">
        <v>51</v>
      </c>
      <c r="E4261" s="5">
        <v>-28220</v>
      </c>
      <c r="F4261" s="3" t="s">
        <v>1914</v>
      </c>
      <c r="G4261" s="3" t="s">
        <v>57</v>
      </c>
      <c r="H4261" s="2" t="s">
        <v>20</v>
      </c>
      <c r="I4261" s="2" t="s">
        <v>8595</v>
      </c>
      <c r="J4261" s="3" t="str">
        <f>HYPERLINK("https://www.boe.es/gazeta/dias/1822/09/25/pdfs/GMD-1822-281.pdf#page=4","Abrir facsímil")</f>
        <v>Abrir facsímil</v>
      </c>
      <c r="K4261" s="3" t="s">
        <v>22</v>
      </c>
    </row>
    <row r="4262" spans="1:11" ht="42" customHeight="1">
      <c r="A4262" s="2" t="s">
        <v>8581</v>
      </c>
      <c r="B4262" s="2" t="s">
        <v>8581</v>
      </c>
      <c r="C4262" s="2" t="s">
        <v>16</v>
      </c>
      <c r="D4262" s="2" t="s">
        <v>17</v>
      </c>
      <c r="E4262" s="5">
        <v>-28189</v>
      </c>
      <c r="F4262" s="3" t="s">
        <v>645</v>
      </c>
      <c r="G4262" s="3" t="s">
        <v>57</v>
      </c>
      <c r="H4262" s="2" t="s">
        <v>20</v>
      </c>
      <c r="I4262" s="2" t="s">
        <v>8596</v>
      </c>
      <c r="J4262" s="3" t="str">
        <f>HYPERLINK("https://www.boe.es/gazeta/dias/1822/10/26/pdfs/GMD-1822-313.pdf#page=4","Abrir facsímil")</f>
        <v>Abrir facsímil</v>
      </c>
      <c r="K4262" s="3" t="s">
        <v>22</v>
      </c>
    </row>
    <row r="4263" spans="1:11" ht="42" customHeight="1">
      <c r="A4263" s="2" t="s">
        <v>8581</v>
      </c>
      <c r="B4263" s="2" t="s">
        <v>8581</v>
      </c>
      <c r="C4263" s="2" t="s">
        <v>28</v>
      </c>
      <c r="D4263" s="2" t="s">
        <v>29</v>
      </c>
      <c r="E4263" s="5">
        <v>-28176</v>
      </c>
      <c r="F4263" s="3" t="s">
        <v>780</v>
      </c>
      <c r="G4263" s="3" t="s">
        <v>63</v>
      </c>
      <c r="H4263" s="2" t="s">
        <v>20</v>
      </c>
      <c r="I4263" s="2" t="s">
        <v>8597</v>
      </c>
      <c r="J4263" s="3" t="str">
        <f>HYPERLINK("https://www.boe.es/gazeta/dias/1822/11/08/pdfs/GMD-1822-328.pdf#page=6","Abrir facsímil")</f>
        <v>Abrir facsímil</v>
      </c>
      <c r="K4263" s="3" t="s">
        <v>22</v>
      </c>
    </row>
    <row r="4264" spans="1:11" ht="42" customHeight="1">
      <c r="A4264" s="2" t="s">
        <v>8598</v>
      </c>
      <c r="B4264" s="2" t="s">
        <v>8599</v>
      </c>
      <c r="C4264" s="2" t="s">
        <v>50</v>
      </c>
      <c r="D4264" s="2" t="s">
        <v>51</v>
      </c>
      <c r="E4264" s="5">
        <v>-28303</v>
      </c>
      <c r="F4264" s="3" t="s">
        <v>201</v>
      </c>
      <c r="G4264" s="3" t="s">
        <v>35</v>
      </c>
      <c r="H4264" s="2" t="s">
        <v>45</v>
      </c>
      <c r="I4264" s="2" t="s">
        <v>8600</v>
      </c>
      <c r="J4264" s="3" t="str">
        <f>HYPERLINK("https://www.boe.es/gazeta/dias/1822/07/04/pdfs/GMD-1822-193.pdf#page=2","Abrir facsímil")</f>
        <v>Abrir facsímil</v>
      </c>
      <c r="K4264" s="3" t="s">
        <v>47</v>
      </c>
    </row>
    <row r="4265" spans="1:11" ht="42" customHeight="1">
      <c r="A4265" s="2" t="s">
        <v>8601</v>
      </c>
      <c r="B4265" s="2" t="s">
        <v>8601</v>
      </c>
      <c r="C4265" s="2" t="s">
        <v>50</v>
      </c>
      <c r="D4265" s="2" t="s">
        <v>51</v>
      </c>
      <c r="E4265" s="5">
        <v>-28397</v>
      </c>
      <c r="F4265" s="3" t="s">
        <v>1401</v>
      </c>
      <c r="G4265" s="3" t="s">
        <v>63</v>
      </c>
      <c r="H4265" s="2" t="s">
        <v>20</v>
      </c>
      <c r="I4265" s="2" t="s">
        <v>8602</v>
      </c>
      <c r="J4265" s="3" t="str">
        <f>HYPERLINK("https://www.boe.es/gazeta/dias/1822/04/01/pdfs/GMD-1822-93.pdf#page=6","Abrir facsímil")</f>
        <v>Abrir facsímil</v>
      </c>
      <c r="K4265" s="3" t="s">
        <v>22</v>
      </c>
    </row>
    <row r="4266" spans="1:11" ht="42" customHeight="1">
      <c r="A4266" s="2" t="s">
        <v>8601</v>
      </c>
      <c r="B4266" s="2" t="s">
        <v>8601</v>
      </c>
      <c r="C4266" s="2" t="s">
        <v>71</v>
      </c>
      <c r="D4266" s="2" t="s">
        <v>17</v>
      </c>
      <c r="E4266" s="5">
        <v>-28310</v>
      </c>
      <c r="F4266" s="3" t="s">
        <v>241</v>
      </c>
      <c r="G4266" s="3" t="s">
        <v>35</v>
      </c>
      <c r="H4266" s="2" t="s">
        <v>20</v>
      </c>
      <c r="I4266" s="2" t="s">
        <v>8603</v>
      </c>
      <c r="J4266" s="3" t="str">
        <f>HYPERLINK("https://www.boe.es/gazeta/dias/1822/06/27/pdfs/GMD-1822-185.pdf#page=2","Abrir facsímil")</f>
        <v>Abrir facsímil</v>
      </c>
      <c r="K4266" s="3" t="s">
        <v>22</v>
      </c>
    </row>
    <row r="4267" spans="1:11" ht="42" customHeight="1">
      <c r="A4267" s="2" t="s">
        <v>8601</v>
      </c>
      <c r="B4267" s="2" t="s">
        <v>8601</v>
      </c>
      <c r="C4267" s="2" t="s">
        <v>50</v>
      </c>
      <c r="D4267" s="2" t="s">
        <v>51</v>
      </c>
      <c r="E4267" s="5">
        <v>-28211</v>
      </c>
      <c r="F4267" s="3" t="s">
        <v>273</v>
      </c>
      <c r="G4267" s="3" t="s">
        <v>57</v>
      </c>
      <c r="H4267" s="2" t="s">
        <v>20</v>
      </c>
      <c r="I4267" s="2" t="s">
        <v>8604</v>
      </c>
      <c r="J4267" s="3" t="str">
        <f>HYPERLINK("https://www.boe.es/gazeta/dias/1822/10/04/pdfs/GMD-1822-290.pdf#page=4","Abrir facsímil")</f>
        <v>Abrir facsímil</v>
      </c>
      <c r="K4267" s="3" t="s">
        <v>22</v>
      </c>
    </row>
    <row r="4268" spans="1:11" ht="42" customHeight="1">
      <c r="A4268" s="2" t="s">
        <v>8601</v>
      </c>
      <c r="B4268" s="2" t="s">
        <v>8601</v>
      </c>
      <c r="C4268" s="2" t="s">
        <v>42</v>
      </c>
      <c r="D4268" s="2" t="s">
        <v>17</v>
      </c>
      <c r="E4268" s="5">
        <v>-28202</v>
      </c>
      <c r="F4268" s="3" t="s">
        <v>922</v>
      </c>
      <c r="G4268" s="3" t="s">
        <v>44</v>
      </c>
      <c r="H4268" s="2" t="s">
        <v>20</v>
      </c>
      <c r="I4268" s="2" t="s">
        <v>8605</v>
      </c>
      <c r="J4268" s="3" t="str">
        <f>HYPERLINK("https://www.boe.es/gazeta/dias/1822/10/13/pdfs/GMD-1822-300.pdf#page=1","Abrir facsímil")</f>
        <v>Abrir facsímil</v>
      </c>
      <c r="K4268" s="3" t="s">
        <v>22</v>
      </c>
    </row>
    <row r="4269" spans="1:11" ht="42" customHeight="1">
      <c r="A4269" s="2" t="s">
        <v>8601</v>
      </c>
      <c r="B4269" s="2" t="s">
        <v>8601</v>
      </c>
      <c r="C4269" s="2" t="s">
        <v>42</v>
      </c>
      <c r="D4269" s="2" t="s">
        <v>17</v>
      </c>
      <c r="E4269" s="5">
        <v>-28189</v>
      </c>
      <c r="F4269" s="3" t="s">
        <v>645</v>
      </c>
      <c r="G4269" s="3" t="s">
        <v>35</v>
      </c>
      <c r="H4269" s="2" t="s">
        <v>20</v>
      </c>
      <c r="I4269" s="2" t="s">
        <v>8606</v>
      </c>
      <c r="J4269" s="3" t="str">
        <f>HYPERLINK("https://www.boe.es/gazeta/dias/1822/10/26/pdfs/GMD-1822-313.pdf#page=2","Abrir facsímil")</f>
        <v>Abrir facsímil</v>
      </c>
      <c r="K4269" s="3" t="s">
        <v>22</v>
      </c>
    </row>
    <row r="4270" spans="1:11" ht="42" customHeight="1">
      <c r="A4270" s="2" t="s">
        <v>8601</v>
      </c>
      <c r="B4270" s="2" t="s">
        <v>8601</v>
      </c>
      <c r="C4270" s="2" t="s">
        <v>50</v>
      </c>
      <c r="D4270" s="2" t="s">
        <v>51</v>
      </c>
      <c r="E4270" s="5">
        <v>-28184</v>
      </c>
      <c r="F4270" s="3" t="s">
        <v>1423</v>
      </c>
      <c r="G4270" s="3" t="s">
        <v>31</v>
      </c>
      <c r="H4270" s="2" t="s">
        <v>20</v>
      </c>
      <c r="I4270" s="2" t="s">
        <v>8607</v>
      </c>
      <c r="J4270" s="3" t="str">
        <f>HYPERLINK("https://www.boe.es/gazeta/dias/1822/10/31/pdfs/GMD-1822-318.pdf#page=3","Abrir facsímil")</f>
        <v>Abrir facsímil</v>
      </c>
      <c r="K4270" s="3" t="s">
        <v>22</v>
      </c>
    </row>
    <row r="4271" spans="1:11" ht="42" customHeight="1">
      <c r="A4271" s="2" t="s">
        <v>8601</v>
      </c>
      <c r="B4271" s="2" t="s">
        <v>8601</v>
      </c>
      <c r="C4271" s="2" t="s">
        <v>42</v>
      </c>
      <c r="D4271" s="2" t="s">
        <v>17</v>
      </c>
      <c r="E4271" s="5">
        <v>-28172</v>
      </c>
      <c r="F4271" s="3" t="s">
        <v>674</v>
      </c>
      <c r="G4271" s="3" t="s">
        <v>31</v>
      </c>
      <c r="H4271" s="2" t="s">
        <v>20</v>
      </c>
      <c r="I4271" s="2" t="s">
        <v>8608</v>
      </c>
      <c r="J4271" s="3" t="str">
        <f>HYPERLINK("https://www.boe.es/gazeta/dias/1822/11/12/pdfs/GMD-1822-332.pdf#page=3","Abrir facsímil")</f>
        <v>Abrir facsímil</v>
      </c>
      <c r="K4271" s="3" t="s">
        <v>22</v>
      </c>
    </row>
    <row r="4272" spans="1:11" ht="42" customHeight="1">
      <c r="A4272" s="2" t="s">
        <v>8609</v>
      </c>
      <c r="B4272" s="2" t="s">
        <v>8610</v>
      </c>
      <c r="C4272" s="2" t="s">
        <v>50</v>
      </c>
      <c r="D4272" s="2" t="s">
        <v>51</v>
      </c>
      <c r="E4272" s="5">
        <v>-28258</v>
      </c>
      <c r="F4272" s="3" t="s">
        <v>88</v>
      </c>
      <c r="G4272" s="3" t="s">
        <v>57</v>
      </c>
      <c r="H4272" s="2" t="s">
        <v>20</v>
      </c>
      <c r="I4272" s="2" t="s">
        <v>8611</v>
      </c>
      <c r="J4272" s="3" t="str">
        <f>HYPERLINK("https://www.boe.es/gazeta/dias/1822/08/18/pdfs/GMD-1822-242.pdf#page=4","Abrir facsímil")</f>
        <v>Abrir facsímil</v>
      </c>
      <c r="K4272" s="3" t="s">
        <v>22</v>
      </c>
    </row>
    <row r="4273" spans="1:11" ht="42" customHeight="1">
      <c r="A4273" s="2" t="s">
        <v>8612</v>
      </c>
      <c r="B4273" s="2" t="s">
        <v>8613</v>
      </c>
      <c r="C4273" s="2" t="s">
        <v>50</v>
      </c>
      <c r="D4273" s="2" t="s">
        <v>51</v>
      </c>
      <c r="E4273" s="5">
        <v>-28415</v>
      </c>
      <c r="F4273" s="3" t="s">
        <v>77</v>
      </c>
      <c r="G4273" s="3" t="s">
        <v>35</v>
      </c>
      <c r="H4273" s="2" t="s">
        <v>20</v>
      </c>
      <c r="I4273" s="2" t="s">
        <v>8614</v>
      </c>
      <c r="J4273" s="3" t="str">
        <f>HYPERLINK("https://www.boe.es/gazeta/dias/1822/03/14/pdfs/GMD-1822-75.pdf#page=2","Abrir facsímil")</f>
        <v>Abrir facsímil</v>
      </c>
      <c r="K4273" s="3" t="s">
        <v>22</v>
      </c>
    </row>
    <row r="4274" spans="1:11" ht="42" customHeight="1">
      <c r="A4274" s="2" t="s">
        <v>8615</v>
      </c>
      <c r="B4274" s="2" t="s">
        <v>8616</v>
      </c>
      <c r="C4274" s="2" t="s">
        <v>50</v>
      </c>
      <c r="D4274" s="2" t="s">
        <v>51</v>
      </c>
      <c r="E4274" s="5">
        <v>-28396</v>
      </c>
      <c r="F4274" s="3" t="s">
        <v>1138</v>
      </c>
      <c r="G4274" s="3" t="s">
        <v>167</v>
      </c>
      <c r="H4274" s="2" t="s">
        <v>20</v>
      </c>
      <c r="I4274" s="2" t="s">
        <v>8617</v>
      </c>
      <c r="J4274" s="3" t="str">
        <f>HYPERLINK("https://www.boe.es/gazeta/dias/1822/04/02/pdfs/GMD-1822-94.pdf#page=7","Abrir facsímil")</f>
        <v>Abrir facsímil</v>
      </c>
      <c r="K4274" s="3" t="s">
        <v>22</v>
      </c>
    </row>
    <row r="4275" spans="1:11" ht="42" customHeight="1">
      <c r="A4275" s="2" t="s">
        <v>8618</v>
      </c>
      <c r="B4275" s="2" t="s">
        <v>8619</v>
      </c>
      <c r="C4275" s="2" t="s">
        <v>28</v>
      </c>
      <c r="D4275" s="2" t="s">
        <v>29</v>
      </c>
      <c r="E4275" s="5">
        <v>-28330</v>
      </c>
      <c r="F4275" s="3" t="s">
        <v>896</v>
      </c>
      <c r="G4275" s="3" t="s">
        <v>57</v>
      </c>
      <c r="H4275" s="2" t="s">
        <v>20</v>
      </c>
      <c r="I4275" s="2" t="s">
        <v>8620</v>
      </c>
      <c r="J4275" s="3" t="str">
        <f>HYPERLINK("https://www.boe.es/gazeta/dias/1822/06/07/pdfs/GMD-1822-164.pdf#page=4","Abrir facsímil")</f>
        <v>Abrir facsímil</v>
      </c>
      <c r="K4275" s="3" t="s">
        <v>22</v>
      </c>
    </row>
    <row r="4276" spans="1:11" ht="42" customHeight="1">
      <c r="A4276" s="2" t="s">
        <v>8621</v>
      </c>
      <c r="B4276" s="2" t="s">
        <v>8622</v>
      </c>
      <c r="C4276" s="2" t="s">
        <v>28</v>
      </c>
      <c r="D4276" s="2" t="s">
        <v>29</v>
      </c>
      <c r="E4276" s="5">
        <v>-28464</v>
      </c>
      <c r="F4276" s="3" t="s">
        <v>1447</v>
      </c>
      <c r="G4276" s="3" t="s">
        <v>57</v>
      </c>
      <c r="H4276" s="2" t="s">
        <v>20</v>
      </c>
      <c r="I4276" s="2" t="s">
        <v>8623</v>
      </c>
      <c r="J4276" s="3" t="str">
        <f>HYPERLINK("https://www.boe.es/gazeta/dias/1822/01/24/pdfs/GMD-1822-24.pdf#page=4","Abrir facsímil")</f>
        <v>Abrir facsímil</v>
      </c>
      <c r="K4276" s="3" t="s">
        <v>22</v>
      </c>
    </row>
    <row r="4277" spans="1:11" ht="42" customHeight="1">
      <c r="A4277" s="2" t="s">
        <v>8624</v>
      </c>
      <c r="B4277" s="2" t="s">
        <v>8625</v>
      </c>
      <c r="C4277" s="2" t="s">
        <v>71</v>
      </c>
      <c r="D4277" s="2" t="s">
        <v>17</v>
      </c>
      <c r="E4277" s="5">
        <v>-28476</v>
      </c>
      <c r="F4277" s="3" t="s">
        <v>160</v>
      </c>
      <c r="G4277" s="3" t="s">
        <v>44</v>
      </c>
      <c r="H4277" s="2" t="s">
        <v>20</v>
      </c>
      <c r="I4277" s="2" t="s">
        <v>8626</v>
      </c>
      <c r="J4277" s="3" t="str">
        <f>HYPERLINK("https://www.boe.es/gazeta/dias/1822/01/12/pdfs/GMD-1822-12.pdf#page=1","Abrir facsímil")</f>
        <v>Abrir facsímil</v>
      </c>
      <c r="K4277" s="3" t="s">
        <v>22</v>
      </c>
    </row>
    <row r="4278" spans="1:11" ht="42" customHeight="1">
      <c r="A4278" s="2" t="s">
        <v>8627</v>
      </c>
      <c r="B4278" s="2" t="s">
        <v>8628</v>
      </c>
      <c r="C4278" s="2" t="s">
        <v>50</v>
      </c>
      <c r="D4278" s="2" t="s">
        <v>51</v>
      </c>
      <c r="E4278" s="5">
        <v>-28208</v>
      </c>
      <c r="F4278" s="3" t="s">
        <v>230</v>
      </c>
      <c r="G4278" s="3" t="s">
        <v>57</v>
      </c>
      <c r="H4278" s="2" t="s">
        <v>20</v>
      </c>
      <c r="I4278" s="2" t="s">
        <v>8629</v>
      </c>
      <c r="J4278" s="3" t="str">
        <f>HYPERLINK("https://www.boe.es/gazeta/dias/1822/10/07/pdfs/GMD-1822-293.pdf#page=4","Abrir facsímil")</f>
        <v>Abrir facsímil</v>
      </c>
      <c r="K4278" s="3" t="s">
        <v>22</v>
      </c>
    </row>
    <row r="4279" spans="1:11" ht="42" customHeight="1">
      <c r="A4279" s="2" t="s">
        <v>8630</v>
      </c>
      <c r="B4279" s="2" t="s">
        <v>8631</v>
      </c>
      <c r="C4279" s="2" t="s">
        <v>50</v>
      </c>
      <c r="D4279" s="2" t="s">
        <v>51</v>
      </c>
      <c r="E4279" s="5">
        <v>-28229</v>
      </c>
      <c r="F4279" s="3" t="s">
        <v>2310</v>
      </c>
      <c r="G4279" s="3" t="s">
        <v>35</v>
      </c>
      <c r="H4279" s="2" t="s">
        <v>20</v>
      </c>
      <c r="I4279" s="2" t="s">
        <v>8632</v>
      </c>
      <c r="J4279" s="3" t="str">
        <f>HYPERLINK("https://www.boe.es/gazeta/dias/1822/09/16/pdfs/GMD-1822-272.pdf#page=2","Abrir facsímil")</f>
        <v>Abrir facsímil</v>
      </c>
      <c r="K4279" s="3" t="s">
        <v>22</v>
      </c>
    </row>
    <row r="4280" spans="1:11" ht="42" customHeight="1">
      <c r="A4280" s="2" t="s">
        <v>8633</v>
      </c>
      <c r="B4280" s="2" t="s">
        <v>8634</v>
      </c>
      <c r="C4280" s="2" t="s">
        <v>42</v>
      </c>
      <c r="D4280" s="2" t="s">
        <v>17</v>
      </c>
      <c r="E4280" s="5">
        <v>-28168</v>
      </c>
      <c r="F4280" s="3" t="s">
        <v>3672</v>
      </c>
      <c r="G4280" s="3" t="s">
        <v>57</v>
      </c>
      <c r="H4280" s="2" t="s">
        <v>20</v>
      </c>
      <c r="I4280" s="2" t="s">
        <v>8635</v>
      </c>
      <c r="J4280" s="3" t="str">
        <f>HYPERLINK("https://www.boe.es/gazeta/dias/1822/11/16/pdfs/GMD-1822-336.pdf#page=4","Abrir facsímil")</f>
        <v>Abrir facsímil</v>
      </c>
      <c r="K4280" s="3" t="s">
        <v>22</v>
      </c>
    </row>
    <row r="4281" spans="1:11" ht="42" customHeight="1">
      <c r="A4281" s="2" t="s">
        <v>8636</v>
      </c>
      <c r="B4281" s="2" t="s">
        <v>8636</v>
      </c>
      <c r="C4281" s="2" t="s">
        <v>50</v>
      </c>
      <c r="D4281" s="2" t="s">
        <v>51</v>
      </c>
      <c r="E4281" s="5">
        <v>-28389</v>
      </c>
      <c r="F4281" s="3" t="s">
        <v>481</v>
      </c>
      <c r="G4281" s="3" t="s">
        <v>31</v>
      </c>
      <c r="H4281" s="2" t="s">
        <v>20</v>
      </c>
      <c r="I4281" s="2" t="s">
        <v>8637</v>
      </c>
      <c r="J4281" s="3" t="str">
        <f>HYPERLINK("https://www.boe.es/gazeta/dias/1822/04/09/pdfs/GMD-1822-101.pdf#page=3","Abrir facsímil")</f>
        <v>Abrir facsímil</v>
      </c>
      <c r="K4281" s="3" t="s">
        <v>22</v>
      </c>
    </row>
    <row r="4282" spans="1:11" ht="42" customHeight="1">
      <c r="A4282" s="2" t="s">
        <v>8638</v>
      </c>
      <c r="B4282" s="2" t="s">
        <v>8638</v>
      </c>
      <c r="C4282" s="2" t="s">
        <v>28</v>
      </c>
      <c r="D4282" s="2" t="s">
        <v>29</v>
      </c>
      <c r="E4282" s="5">
        <v>-28426</v>
      </c>
      <c r="F4282" s="3" t="s">
        <v>1178</v>
      </c>
      <c r="G4282" s="3" t="s">
        <v>57</v>
      </c>
      <c r="H4282" s="2" t="s">
        <v>20</v>
      </c>
      <c r="I4282" s="2" t="s">
        <v>8639</v>
      </c>
      <c r="J4282" s="3" t="str">
        <f>HYPERLINK("https://www.boe.es/gazeta/dias/1822/03/03/pdfs/GMD-1822-64.pdf#page=4","Abrir facsímil")</f>
        <v>Abrir facsímil</v>
      </c>
      <c r="K4282" s="3" t="s">
        <v>22</v>
      </c>
    </row>
    <row r="4283" spans="1:11" ht="42" customHeight="1">
      <c r="A4283" s="2" t="s">
        <v>8638</v>
      </c>
      <c r="B4283" s="2" t="s">
        <v>8638</v>
      </c>
      <c r="C4283" s="2" t="s">
        <v>28</v>
      </c>
      <c r="D4283" s="2" t="s">
        <v>29</v>
      </c>
      <c r="E4283" s="5">
        <v>-28416</v>
      </c>
      <c r="F4283" s="3" t="s">
        <v>97</v>
      </c>
      <c r="G4283" s="3" t="s">
        <v>63</v>
      </c>
      <c r="H4283" s="2" t="s">
        <v>20</v>
      </c>
      <c r="I4283" s="2" t="s">
        <v>8640</v>
      </c>
      <c r="J4283" s="3" t="str">
        <f>HYPERLINK("https://www.boe.es/gazeta/dias/1822/03/13/pdfs/GMD-1822-74.pdf#page=6","Abrir facsímil")</f>
        <v>Abrir facsímil</v>
      </c>
      <c r="K4283" s="3" t="s">
        <v>22</v>
      </c>
    </row>
    <row r="4284" spans="1:11" ht="42" customHeight="1">
      <c r="A4284" s="2" t="s">
        <v>8638</v>
      </c>
      <c r="B4284" s="2" t="s">
        <v>8638</v>
      </c>
      <c r="C4284" s="2" t="s">
        <v>42</v>
      </c>
      <c r="D4284" s="2" t="s">
        <v>17</v>
      </c>
      <c r="E4284" s="5">
        <v>-28411</v>
      </c>
      <c r="F4284" s="3" t="s">
        <v>1509</v>
      </c>
      <c r="G4284" s="3" t="s">
        <v>57</v>
      </c>
      <c r="H4284" s="2" t="s">
        <v>20</v>
      </c>
      <c r="I4284" s="2" t="s">
        <v>8641</v>
      </c>
      <c r="J4284" s="3" t="str">
        <f>HYPERLINK("https://www.boe.es/gazeta/dias/1822/03/18/pdfs/GMD-1822-79.pdf#page=4","Abrir facsímil")</f>
        <v>Abrir facsímil</v>
      </c>
      <c r="K4284" s="3" t="s">
        <v>22</v>
      </c>
    </row>
    <row r="4285" spans="1:11" ht="42" customHeight="1">
      <c r="A4285" s="2" t="s">
        <v>8638</v>
      </c>
      <c r="B4285" s="2" t="s">
        <v>8638</v>
      </c>
      <c r="C4285" s="2" t="s">
        <v>71</v>
      </c>
      <c r="D4285" s="2" t="s">
        <v>17</v>
      </c>
      <c r="E4285" s="5">
        <v>-28407</v>
      </c>
      <c r="F4285" s="3" t="s">
        <v>460</v>
      </c>
      <c r="G4285" s="3" t="s">
        <v>19</v>
      </c>
      <c r="H4285" s="2" t="s">
        <v>20</v>
      </c>
      <c r="I4285" s="2" t="s">
        <v>8642</v>
      </c>
      <c r="J4285" s="3" t="str">
        <f>HYPERLINK("https://www.boe.es/gazeta/dias/1822/03/22/pdfs/GMD-1822-83.pdf#page=5","Abrir facsímil")</f>
        <v>Abrir facsímil</v>
      </c>
      <c r="K4285" s="3" t="s">
        <v>22</v>
      </c>
    </row>
    <row r="4286" spans="1:11" ht="42" customHeight="1">
      <c r="A4286" s="2" t="s">
        <v>8638</v>
      </c>
      <c r="B4286" s="2" t="s">
        <v>8638</v>
      </c>
      <c r="C4286" s="2" t="s">
        <v>50</v>
      </c>
      <c r="D4286" s="2" t="s">
        <v>51</v>
      </c>
      <c r="E4286" s="5">
        <v>-28404</v>
      </c>
      <c r="F4286" s="3" t="s">
        <v>421</v>
      </c>
      <c r="G4286" s="3" t="s">
        <v>57</v>
      </c>
      <c r="H4286" s="2" t="s">
        <v>20</v>
      </c>
      <c r="I4286" s="2" t="s">
        <v>8643</v>
      </c>
      <c r="J4286" s="3" t="str">
        <f>HYPERLINK("https://www.boe.es/gazeta/dias/1822/03/25/pdfs/GMD-1822-86.pdf#page=4","Abrir facsímil")</f>
        <v>Abrir facsímil</v>
      </c>
      <c r="K4286" s="3" t="s">
        <v>22</v>
      </c>
    </row>
    <row r="4287" spans="1:11" ht="42" customHeight="1">
      <c r="A4287" s="2" t="s">
        <v>8638</v>
      </c>
      <c r="B4287" s="2" t="s">
        <v>8638</v>
      </c>
      <c r="C4287" s="2" t="s">
        <v>28</v>
      </c>
      <c r="D4287" s="2" t="s">
        <v>29</v>
      </c>
      <c r="E4287" s="5">
        <v>-28403</v>
      </c>
      <c r="F4287" s="3" t="s">
        <v>471</v>
      </c>
      <c r="G4287" s="3" t="s">
        <v>19</v>
      </c>
      <c r="H4287" s="2" t="s">
        <v>20</v>
      </c>
      <c r="I4287" s="2" t="s">
        <v>8644</v>
      </c>
      <c r="J4287" s="3" t="str">
        <f>HYPERLINK("https://www.boe.es/gazeta/dias/1822/03/26/pdfs/GMD-1822-87.pdf#page=5","Abrir facsímil")</f>
        <v>Abrir facsímil</v>
      </c>
      <c r="K4287" s="3" t="s">
        <v>22</v>
      </c>
    </row>
    <row r="4288" spans="1:11" ht="42" customHeight="1">
      <c r="A4288" s="2" t="s">
        <v>8638</v>
      </c>
      <c r="B4288" s="2" t="s">
        <v>8638</v>
      </c>
      <c r="C4288" s="2" t="s">
        <v>28</v>
      </c>
      <c r="D4288" s="2" t="s">
        <v>29</v>
      </c>
      <c r="E4288" s="5">
        <v>-28401</v>
      </c>
      <c r="F4288" s="3" t="s">
        <v>108</v>
      </c>
      <c r="G4288" s="3" t="s">
        <v>63</v>
      </c>
      <c r="H4288" s="2" t="s">
        <v>20</v>
      </c>
      <c r="I4288" s="2" t="s">
        <v>8645</v>
      </c>
      <c r="J4288" s="3" t="str">
        <f>HYPERLINK("https://www.boe.es/gazeta/dias/1822/03/28/pdfs/GMD-1822-89.pdf#page=6","Abrir facsímil")</f>
        <v>Abrir facsímil</v>
      </c>
      <c r="K4288" s="3" t="s">
        <v>22</v>
      </c>
    </row>
    <row r="4289" spans="1:11" ht="42" customHeight="1">
      <c r="A4289" s="2" t="s">
        <v>8638</v>
      </c>
      <c r="B4289" s="2" t="s">
        <v>8638</v>
      </c>
      <c r="C4289" s="2" t="s">
        <v>50</v>
      </c>
      <c r="D4289" s="2" t="s">
        <v>51</v>
      </c>
      <c r="E4289" s="5">
        <v>-28398</v>
      </c>
      <c r="F4289" s="3" t="s">
        <v>1961</v>
      </c>
      <c r="G4289" s="3" t="s">
        <v>2262</v>
      </c>
      <c r="H4289" s="2" t="s">
        <v>20</v>
      </c>
      <c r="I4289" s="2" t="s">
        <v>8646</v>
      </c>
      <c r="J4289" s="3" t="str">
        <f>HYPERLINK("https://www.boe.es/gazeta/dias/1822/03/31/pdfs/GMD-1822-92.pdf#page=4","Abrir facsímil")</f>
        <v>Abrir facsímil</v>
      </c>
      <c r="K4289" s="3" t="s">
        <v>22</v>
      </c>
    </row>
    <row r="4290" spans="1:11" ht="42" customHeight="1">
      <c r="A4290" s="2" t="s">
        <v>8638</v>
      </c>
      <c r="B4290" s="2" t="s">
        <v>8638</v>
      </c>
      <c r="C4290" s="2" t="s">
        <v>28</v>
      </c>
      <c r="D4290" s="2" t="s">
        <v>29</v>
      </c>
      <c r="E4290" s="5">
        <v>-28396</v>
      </c>
      <c r="F4290" s="3" t="s">
        <v>1138</v>
      </c>
      <c r="G4290" s="3" t="s">
        <v>63</v>
      </c>
      <c r="H4290" s="2" t="s">
        <v>20</v>
      </c>
      <c r="I4290" s="2" t="s">
        <v>8647</v>
      </c>
      <c r="J4290" s="3" t="str">
        <f>HYPERLINK("https://www.boe.es/gazeta/dias/1822/04/02/pdfs/GMD-1822-94.pdf#page=6","Abrir facsímil")</f>
        <v>Abrir facsímil</v>
      </c>
      <c r="K4290" s="3" t="s">
        <v>22</v>
      </c>
    </row>
    <row r="4291" spans="1:11" ht="42" customHeight="1">
      <c r="A4291" s="2" t="s">
        <v>8638</v>
      </c>
      <c r="B4291" s="2" t="s">
        <v>8638</v>
      </c>
      <c r="C4291" s="2" t="s">
        <v>42</v>
      </c>
      <c r="D4291" s="2" t="s">
        <v>17</v>
      </c>
      <c r="E4291" s="5">
        <v>-28390</v>
      </c>
      <c r="F4291" s="3" t="s">
        <v>665</v>
      </c>
      <c r="G4291" s="3" t="s">
        <v>31</v>
      </c>
      <c r="H4291" s="2" t="s">
        <v>20</v>
      </c>
      <c r="I4291" s="2" t="s">
        <v>8648</v>
      </c>
      <c r="J4291" s="3" t="str">
        <f>HYPERLINK("https://www.boe.es/gazeta/dias/1822/04/08/pdfs/GMD-1822-100.pdf#page=3","Abrir facsímil")</f>
        <v>Abrir facsímil</v>
      </c>
      <c r="K4291" s="3" t="s">
        <v>22</v>
      </c>
    </row>
    <row r="4292" spans="1:11" ht="42" customHeight="1">
      <c r="A4292" s="2" t="s">
        <v>8638</v>
      </c>
      <c r="B4292" s="2" t="s">
        <v>8638</v>
      </c>
      <c r="C4292" s="2" t="s">
        <v>71</v>
      </c>
      <c r="D4292" s="2" t="s">
        <v>17</v>
      </c>
      <c r="E4292" s="5">
        <v>-28373</v>
      </c>
      <c r="F4292" s="3" t="s">
        <v>614</v>
      </c>
      <c r="G4292" s="3" t="s">
        <v>35</v>
      </c>
      <c r="H4292" s="2" t="s">
        <v>20</v>
      </c>
      <c r="I4292" s="2" t="s">
        <v>8649</v>
      </c>
      <c r="J4292" s="3" t="str">
        <f>HYPERLINK("https://www.boe.es/gazeta/dias/1822/04/25/pdfs/GMD-1822-117.pdf#page=2","Abrir facsímil")</f>
        <v>Abrir facsímil</v>
      </c>
      <c r="K4292" s="3" t="s">
        <v>22</v>
      </c>
    </row>
    <row r="4293" spans="1:11" ht="42" customHeight="1">
      <c r="A4293" s="2" t="s">
        <v>8638</v>
      </c>
      <c r="B4293" s="2" t="s">
        <v>8638</v>
      </c>
      <c r="C4293" s="2" t="s">
        <v>16</v>
      </c>
      <c r="D4293" s="2" t="s">
        <v>17</v>
      </c>
      <c r="E4293" s="5">
        <v>-28365</v>
      </c>
      <c r="F4293" s="3" t="s">
        <v>506</v>
      </c>
      <c r="G4293" s="3" t="s">
        <v>19</v>
      </c>
      <c r="H4293" s="2" t="s">
        <v>20</v>
      </c>
      <c r="I4293" s="2" t="s">
        <v>8650</v>
      </c>
      <c r="J4293" s="3" t="str">
        <f>HYPERLINK("https://www.boe.es/gazeta/dias/1822/05/03/pdfs/GMD-1822-125.pdf#page=5","Abrir facsímil")</f>
        <v>Abrir facsímil</v>
      </c>
      <c r="K4293" s="3" t="s">
        <v>22</v>
      </c>
    </row>
    <row r="4294" spans="1:11" ht="42" customHeight="1">
      <c r="A4294" s="2" t="s">
        <v>8638</v>
      </c>
      <c r="B4294" s="2" t="s">
        <v>8638</v>
      </c>
      <c r="C4294" s="2" t="s">
        <v>50</v>
      </c>
      <c r="D4294" s="2" t="s">
        <v>51</v>
      </c>
      <c r="E4294" s="5">
        <v>-28364</v>
      </c>
      <c r="F4294" s="3" t="s">
        <v>509</v>
      </c>
      <c r="G4294" s="3" t="s">
        <v>63</v>
      </c>
      <c r="H4294" s="2" t="s">
        <v>20</v>
      </c>
      <c r="I4294" s="2" t="s">
        <v>8651</v>
      </c>
      <c r="J4294" s="3" t="str">
        <f>HYPERLINK("https://www.boe.es/gazeta/dias/1822/05/04/pdfs/GMD-1822-126.pdf#page=6","Abrir facsímil")</f>
        <v>Abrir facsímil</v>
      </c>
      <c r="K4294" s="3" t="s">
        <v>22</v>
      </c>
    </row>
    <row r="4295" spans="1:11" ht="42" customHeight="1">
      <c r="A4295" s="2" t="s">
        <v>8638</v>
      </c>
      <c r="B4295" s="2" t="s">
        <v>8638</v>
      </c>
      <c r="C4295" s="2" t="s">
        <v>16</v>
      </c>
      <c r="D4295" s="2" t="s">
        <v>17</v>
      </c>
      <c r="E4295" s="5">
        <v>-28358</v>
      </c>
      <c r="F4295" s="3" t="s">
        <v>211</v>
      </c>
      <c r="G4295" s="3" t="s">
        <v>57</v>
      </c>
      <c r="H4295" s="2" t="s">
        <v>20</v>
      </c>
      <c r="I4295" s="2" t="s">
        <v>8652</v>
      </c>
      <c r="J4295" s="3" t="str">
        <f>HYPERLINK("https://www.boe.es/gazeta/dias/1822/05/10/pdfs/GMD-1822-132.pdf#page=4","Abrir facsímil")</f>
        <v>Abrir facsímil</v>
      </c>
      <c r="K4295" s="3" t="s">
        <v>22</v>
      </c>
    </row>
    <row r="4296" spans="1:11" ht="42" customHeight="1">
      <c r="A4296" s="2" t="s">
        <v>8638</v>
      </c>
      <c r="B4296" s="2" t="s">
        <v>8638</v>
      </c>
      <c r="C4296" s="2" t="s">
        <v>42</v>
      </c>
      <c r="D4296" s="2" t="s">
        <v>17</v>
      </c>
      <c r="E4296" s="5">
        <v>-28347</v>
      </c>
      <c r="F4296" s="3" t="s">
        <v>520</v>
      </c>
      <c r="G4296" s="3" t="s">
        <v>35</v>
      </c>
      <c r="H4296" s="2" t="s">
        <v>20</v>
      </c>
      <c r="I4296" s="2" t="s">
        <v>8653</v>
      </c>
      <c r="J4296" s="3" t="str">
        <f>HYPERLINK("https://www.boe.es/gazeta/dias/1822/05/21/pdfs/GMD-1822-144.pdf#page=2","Abrir facsímil")</f>
        <v>Abrir facsímil</v>
      </c>
      <c r="K4296" s="3" t="s">
        <v>22</v>
      </c>
    </row>
    <row r="4297" spans="1:11" ht="42" customHeight="1">
      <c r="A4297" s="2" t="s">
        <v>8638</v>
      </c>
      <c r="B4297" s="2" t="s">
        <v>8638</v>
      </c>
      <c r="C4297" s="2" t="s">
        <v>42</v>
      </c>
      <c r="D4297" s="2" t="s">
        <v>17</v>
      </c>
      <c r="E4297" s="5">
        <v>-28344</v>
      </c>
      <c r="F4297" s="3" t="s">
        <v>524</v>
      </c>
      <c r="G4297" s="3" t="s">
        <v>1040</v>
      </c>
      <c r="H4297" s="2" t="s">
        <v>20</v>
      </c>
      <c r="I4297" s="2" t="s">
        <v>8654</v>
      </c>
      <c r="J4297" s="3" t="str">
        <f>HYPERLINK("https://www.boe.es/gazeta/dias/1822/05/24/pdfs/GMD-1822-148.pdf#page=2","Abrir facsímil")</f>
        <v>Abrir facsímil</v>
      </c>
      <c r="K4297" s="3" t="s">
        <v>22</v>
      </c>
    </row>
    <row r="4298" spans="1:11" ht="42" customHeight="1">
      <c r="A4298" s="2" t="s">
        <v>8638</v>
      </c>
      <c r="B4298" s="2" t="s">
        <v>8638</v>
      </c>
      <c r="C4298" s="2" t="s">
        <v>42</v>
      </c>
      <c r="D4298" s="2" t="s">
        <v>17</v>
      </c>
      <c r="E4298" s="5">
        <v>-28326</v>
      </c>
      <c r="F4298" s="3" t="s">
        <v>543</v>
      </c>
      <c r="G4298" s="3" t="s">
        <v>19</v>
      </c>
      <c r="H4298" s="2" t="s">
        <v>20</v>
      </c>
      <c r="I4298" s="2" t="s">
        <v>8655</v>
      </c>
      <c r="J4298" s="3" t="str">
        <f>HYPERLINK("https://www.boe.es/gazeta/dias/1822/06/11/pdfs/GMD-1822-168.pdf#page=5","Abrir facsímil")</f>
        <v>Abrir facsímil</v>
      </c>
      <c r="K4298" s="3" t="s">
        <v>22</v>
      </c>
    </row>
    <row r="4299" spans="1:11" ht="42" customHeight="1">
      <c r="A4299" s="2" t="s">
        <v>8638</v>
      </c>
      <c r="B4299" s="2" t="s">
        <v>8638</v>
      </c>
      <c r="C4299" s="2" t="s">
        <v>42</v>
      </c>
      <c r="D4299" s="2" t="s">
        <v>17</v>
      </c>
      <c r="E4299" s="5">
        <v>-28325</v>
      </c>
      <c r="F4299" s="3" t="s">
        <v>104</v>
      </c>
      <c r="G4299" s="3" t="s">
        <v>57</v>
      </c>
      <c r="H4299" s="2" t="s">
        <v>20</v>
      </c>
      <c r="I4299" s="2" t="s">
        <v>8656</v>
      </c>
      <c r="J4299" s="3" t="str">
        <f>HYPERLINK("https://www.boe.es/gazeta/dias/1822/06/12/pdfs/GMD-1822-169.pdf#page=4","Abrir facsímil")</f>
        <v>Abrir facsímil</v>
      </c>
      <c r="K4299" s="3" t="s">
        <v>22</v>
      </c>
    </row>
    <row r="4300" spans="1:11" ht="42" customHeight="1">
      <c r="A4300" s="2" t="s">
        <v>8638</v>
      </c>
      <c r="B4300" s="2" t="s">
        <v>8638</v>
      </c>
      <c r="C4300" s="2" t="s">
        <v>50</v>
      </c>
      <c r="D4300" s="2" t="s">
        <v>51</v>
      </c>
      <c r="E4300" s="5">
        <v>-28324</v>
      </c>
      <c r="F4300" s="3" t="s">
        <v>305</v>
      </c>
      <c r="G4300" s="3" t="s">
        <v>19</v>
      </c>
      <c r="H4300" s="2" t="s">
        <v>20</v>
      </c>
      <c r="I4300" s="2" t="s">
        <v>8657</v>
      </c>
      <c r="J4300" s="3" t="str">
        <f>HYPERLINK("https://www.boe.es/gazeta/dias/1822/06/13/pdfs/GMD-1822-170.pdf#page=5","Abrir facsímil")</f>
        <v>Abrir facsímil</v>
      </c>
      <c r="K4300" s="3" t="s">
        <v>22</v>
      </c>
    </row>
    <row r="4301" spans="1:11" ht="42" customHeight="1">
      <c r="A4301" s="2" t="s">
        <v>8638</v>
      </c>
      <c r="B4301" s="2" t="s">
        <v>8638</v>
      </c>
      <c r="C4301" s="2" t="s">
        <v>50</v>
      </c>
      <c r="D4301" s="2" t="s">
        <v>51</v>
      </c>
      <c r="E4301" s="5">
        <v>-28323</v>
      </c>
      <c r="F4301" s="3" t="s">
        <v>116</v>
      </c>
      <c r="G4301" s="3" t="s">
        <v>57</v>
      </c>
      <c r="H4301" s="2" t="s">
        <v>20</v>
      </c>
      <c r="I4301" s="2" t="s">
        <v>8658</v>
      </c>
      <c r="J4301" s="3" t="str">
        <f>HYPERLINK("https://www.boe.es/gazeta/dias/1822/06/14/pdfs/GMD-1822-171.pdf#page=4","Abrir facsímil")</f>
        <v>Abrir facsímil</v>
      </c>
      <c r="K4301" s="3" t="s">
        <v>22</v>
      </c>
    </row>
    <row r="4302" spans="1:11" ht="42" customHeight="1">
      <c r="A4302" s="2" t="s">
        <v>8638</v>
      </c>
      <c r="B4302" s="2" t="s">
        <v>8638</v>
      </c>
      <c r="C4302" s="2" t="s">
        <v>71</v>
      </c>
      <c r="D4302" s="2" t="s">
        <v>17</v>
      </c>
      <c r="E4302" s="5">
        <v>-28319</v>
      </c>
      <c r="F4302" s="3" t="s">
        <v>271</v>
      </c>
      <c r="G4302" s="3" t="s">
        <v>35</v>
      </c>
      <c r="H4302" s="2" t="s">
        <v>20</v>
      </c>
      <c r="I4302" s="2" t="s">
        <v>8659</v>
      </c>
      <c r="J4302" s="3" t="str">
        <f>HYPERLINK("https://www.boe.es/gazeta/dias/1822/06/18/pdfs/GMD-1822-175.pdf#page=2","Abrir facsímil")</f>
        <v>Abrir facsímil</v>
      </c>
      <c r="K4302" s="3" t="s">
        <v>22</v>
      </c>
    </row>
    <row r="4303" spans="1:11" ht="42" customHeight="1">
      <c r="A4303" s="2" t="s">
        <v>8638</v>
      </c>
      <c r="B4303" s="2" t="s">
        <v>8638</v>
      </c>
      <c r="C4303" s="2" t="s">
        <v>1141</v>
      </c>
      <c r="D4303" s="2" t="s">
        <v>29</v>
      </c>
      <c r="E4303" s="5">
        <v>-28315</v>
      </c>
      <c r="F4303" s="3" t="s">
        <v>1220</v>
      </c>
      <c r="G4303" s="3" t="s">
        <v>19</v>
      </c>
      <c r="H4303" s="2" t="s">
        <v>20</v>
      </c>
      <c r="I4303" s="2" t="s">
        <v>8660</v>
      </c>
      <c r="J4303" s="3" t="str">
        <f>HYPERLINK("https://www.boe.es/gazeta/dias/1822/06/22/pdfs/GMD-1822-180.pdf#page=5","Abrir facsímil")</f>
        <v>Abrir facsímil</v>
      </c>
      <c r="K4303" s="3" t="s">
        <v>22</v>
      </c>
    </row>
    <row r="4304" spans="1:11" ht="42" customHeight="1">
      <c r="A4304" s="2" t="s">
        <v>8638</v>
      </c>
      <c r="B4304" s="2" t="s">
        <v>8638</v>
      </c>
      <c r="C4304" s="2" t="s">
        <v>42</v>
      </c>
      <c r="D4304" s="2" t="s">
        <v>17</v>
      </c>
      <c r="E4304" s="5">
        <v>-28313</v>
      </c>
      <c r="F4304" s="3" t="s">
        <v>315</v>
      </c>
      <c r="G4304" s="3" t="s">
        <v>549</v>
      </c>
      <c r="H4304" s="2" t="s">
        <v>20</v>
      </c>
      <c r="I4304" s="2" t="s">
        <v>8661</v>
      </c>
      <c r="J4304" s="3" t="str">
        <f>HYPERLINK("https://www.boe.es/gazeta/dias/1822/06/24/pdfs/GMD-1822-182.pdf#page=6","Abrir facsímil")</f>
        <v>Abrir facsímil</v>
      </c>
      <c r="K4304" s="3" t="s">
        <v>22</v>
      </c>
    </row>
    <row r="4305" spans="1:11" ht="42" customHeight="1">
      <c r="A4305" s="2" t="s">
        <v>8638</v>
      </c>
      <c r="B4305" s="2" t="s">
        <v>8638</v>
      </c>
      <c r="C4305" s="2" t="s">
        <v>42</v>
      </c>
      <c r="D4305" s="2" t="s">
        <v>17</v>
      </c>
      <c r="E4305" s="5">
        <v>-28310</v>
      </c>
      <c r="F4305" s="3" t="s">
        <v>241</v>
      </c>
      <c r="G4305" s="3" t="s">
        <v>57</v>
      </c>
      <c r="H4305" s="2" t="s">
        <v>20</v>
      </c>
      <c r="I4305" s="2" t="s">
        <v>8662</v>
      </c>
      <c r="J4305" s="3" t="str">
        <f>HYPERLINK("https://www.boe.es/gazeta/dias/1822/06/27/pdfs/GMD-1822-185.pdf#page=4","Abrir facsímil")</f>
        <v>Abrir facsímil</v>
      </c>
      <c r="K4305" s="3" t="s">
        <v>22</v>
      </c>
    </row>
    <row r="4306" spans="1:11" ht="42" customHeight="1">
      <c r="A4306" s="2" t="s">
        <v>8638</v>
      </c>
      <c r="B4306" s="2" t="s">
        <v>8638</v>
      </c>
      <c r="C4306" s="2" t="s">
        <v>24</v>
      </c>
      <c r="D4306" s="2" t="s">
        <v>17</v>
      </c>
      <c r="E4306" s="5">
        <v>-28310</v>
      </c>
      <c r="F4306" s="3" t="s">
        <v>241</v>
      </c>
      <c r="G4306" s="3" t="s">
        <v>63</v>
      </c>
      <c r="H4306" s="2" t="s">
        <v>20</v>
      </c>
      <c r="I4306" s="2" t="s">
        <v>8663</v>
      </c>
      <c r="J4306" s="3" t="str">
        <f>HYPERLINK("https://www.boe.es/gazeta/dias/1822/06/27/pdfs/GMD-1822-185.pdf#page=6","Abrir facsímil")</f>
        <v>Abrir facsímil</v>
      </c>
      <c r="K4306" s="3" t="s">
        <v>22</v>
      </c>
    </row>
    <row r="4307" spans="1:11" ht="42" customHeight="1">
      <c r="A4307" s="2" t="s">
        <v>8638</v>
      </c>
      <c r="B4307" s="2" t="s">
        <v>8638</v>
      </c>
      <c r="C4307" s="2" t="s">
        <v>42</v>
      </c>
      <c r="D4307" s="2" t="s">
        <v>17</v>
      </c>
      <c r="E4307" s="5">
        <v>-28308</v>
      </c>
      <c r="F4307" s="3" t="s">
        <v>1050</v>
      </c>
      <c r="G4307" s="3" t="s">
        <v>35</v>
      </c>
      <c r="H4307" s="2" t="s">
        <v>20</v>
      </c>
      <c r="I4307" s="2" t="s">
        <v>8664</v>
      </c>
      <c r="J4307" s="3" t="str">
        <f>HYPERLINK("https://www.boe.es/gazeta/dias/1822/06/29/pdfs/GMD-1822-187.pdf#page=2","Abrir facsímil")</f>
        <v>Abrir facsímil</v>
      </c>
      <c r="K4307" s="3" t="s">
        <v>22</v>
      </c>
    </row>
    <row r="4308" spans="1:11" ht="42" customHeight="1">
      <c r="A4308" s="2" t="s">
        <v>8638</v>
      </c>
      <c r="B4308" s="2" t="s">
        <v>8638</v>
      </c>
      <c r="C4308" s="2" t="s">
        <v>28</v>
      </c>
      <c r="D4308" s="2" t="s">
        <v>29</v>
      </c>
      <c r="E4308" s="5">
        <v>-28269</v>
      </c>
      <c r="F4308" s="3" t="s">
        <v>5517</v>
      </c>
      <c r="G4308" s="3" t="s">
        <v>57</v>
      </c>
      <c r="H4308" s="2" t="s">
        <v>20</v>
      </c>
      <c r="I4308" s="2" t="s">
        <v>8665</v>
      </c>
      <c r="J4308" s="3" t="str">
        <f>HYPERLINK("https://www.boe.es/gazeta/dias/1822/08/07/pdfs/GMD-1822-231.pdf#page=4","Abrir facsímil")</f>
        <v>Abrir facsímil</v>
      </c>
      <c r="K4308" s="3" t="s">
        <v>22</v>
      </c>
    </row>
    <row r="4309" spans="1:11" ht="42" customHeight="1">
      <c r="A4309" s="2" t="s">
        <v>8638</v>
      </c>
      <c r="B4309" s="2" t="s">
        <v>8638</v>
      </c>
      <c r="C4309" s="2" t="s">
        <v>71</v>
      </c>
      <c r="D4309" s="2" t="s">
        <v>17</v>
      </c>
      <c r="E4309" s="5">
        <v>-28193</v>
      </c>
      <c r="F4309" s="3" t="s">
        <v>574</v>
      </c>
      <c r="G4309" s="3" t="s">
        <v>57</v>
      </c>
      <c r="H4309" s="2" t="s">
        <v>20</v>
      </c>
      <c r="I4309" s="2" t="s">
        <v>8666</v>
      </c>
      <c r="J4309" s="3" t="str">
        <f>HYPERLINK("https://www.boe.es/gazeta/dias/1822/10/22/pdfs/GMD-1822-309.pdf#page=4","Abrir facsímil")</f>
        <v>Abrir facsímil</v>
      </c>
      <c r="K4309" s="3" t="s">
        <v>22</v>
      </c>
    </row>
    <row r="4310" spans="1:11" ht="42" customHeight="1">
      <c r="A4310" s="2" t="s">
        <v>8638</v>
      </c>
      <c r="B4310" s="2" t="s">
        <v>8638</v>
      </c>
      <c r="C4310" s="2" t="s">
        <v>28</v>
      </c>
      <c r="D4310" s="2" t="s">
        <v>29</v>
      </c>
      <c r="E4310" s="5">
        <v>-28186</v>
      </c>
      <c r="F4310" s="3" t="s">
        <v>581</v>
      </c>
      <c r="G4310" s="3" t="s">
        <v>57</v>
      </c>
      <c r="H4310" s="2" t="s">
        <v>20</v>
      </c>
      <c r="I4310" s="2" t="s">
        <v>8667</v>
      </c>
      <c r="J4310" s="3" t="str">
        <f>HYPERLINK("https://www.boe.es/gazeta/dias/1822/10/29/pdfs/GMD-1822-316.pdf#page=4","Abrir facsímil")</f>
        <v>Abrir facsímil</v>
      </c>
      <c r="K4310" s="3" t="s">
        <v>22</v>
      </c>
    </row>
    <row r="4311" spans="1:11" ht="42" customHeight="1">
      <c r="A4311" s="2" t="s">
        <v>8638</v>
      </c>
      <c r="B4311" s="2" t="s">
        <v>8638</v>
      </c>
      <c r="C4311" s="2" t="s">
        <v>16</v>
      </c>
      <c r="D4311" s="2" t="s">
        <v>17</v>
      </c>
      <c r="E4311" s="5">
        <v>-28183</v>
      </c>
      <c r="F4311" s="3" t="s">
        <v>583</v>
      </c>
      <c r="G4311" s="3" t="s">
        <v>63</v>
      </c>
      <c r="H4311" s="2" t="s">
        <v>20</v>
      </c>
      <c r="I4311" s="2" t="s">
        <v>8668</v>
      </c>
      <c r="J4311" s="3" t="str">
        <f>HYPERLINK("https://www.boe.es/gazeta/dias/1822/11/01/pdfs/GMD-1822-319.pdf#page=6","Abrir facsímil")</f>
        <v>Abrir facsímil</v>
      </c>
      <c r="K4311" s="3" t="s">
        <v>22</v>
      </c>
    </row>
    <row r="4312" spans="1:11" ht="42" customHeight="1">
      <c r="A4312" s="2" t="s">
        <v>8638</v>
      </c>
      <c r="B4312" s="2" t="s">
        <v>8638</v>
      </c>
      <c r="C4312" s="2" t="s">
        <v>42</v>
      </c>
      <c r="D4312" s="2" t="s">
        <v>17</v>
      </c>
      <c r="E4312" s="5">
        <v>-28180</v>
      </c>
      <c r="F4312" s="3" t="s">
        <v>839</v>
      </c>
      <c r="G4312" s="3" t="s">
        <v>31</v>
      </c>
      <c r="H4312" s="2" t="s">
        <v>20</v>
      </c>
      <c r="I4312" s="2" t="s">
        <v>8669</v>
      </c>
      <c r="J4312" s="3" t="str">
        <f>HYPERLINK("https://www.boe.es/gazeta/dias/1822/11/04/pdfs/GMD-1822-323.pdf#page=3","Abrir facsímil")</f>
        <v>Abrir facsímil</v>
      </c>
      <c r="K4312" s="3" t="s">
        <v>22</v>
      </c>
    </row>
    <row r="4313" spans="1:11" ht="42" customHeight="1">
      <c r="A4313" s="2" t="s">
        <v>8638</v>
      </c>
      <c r="B4313" s="2" t="s">
        <v>8638</v>
      </c>
      <c r="C4313" s="2" t="s">
        <v>28</v>
      </c>
      <c r="D4313" s="2" t="s">
        <v>29</v>
      </c>
      <c r="E4313" s="5">
        <v>-28174</v>
      </c>
      <c r="F4313" s="3" t="s">
        <v>881</v>
      </c>
      <c r="G4313" s="3" t="s">
        <v>63</v>
      </c>
      <c r="H4313" s="2" t="s">
        <v>20</v>
      </c>
      <c r="I4313" s="2" t="s">
        <v>8670</v>
      </c>
      <c r="J4313" s="3" t="str">
        <f>HYPERLINK("https://www.boe.es/gazeta/dias/1822/11/10/pdfs/GMD-1822-330.pdf#page=6","Abrir facsímil")</f>
        <v>Abrir facsímil</v>
      </c>
      <c r="K4313" s="3" t="s">
        <v>22</v>
      </c>
    </row>
    <row r="4314" spans="1:11" ht="42" customHeight="1">
      <c r="A4314" s="2" t="s">
        <v>8638</v>
      </c>
      <c r="B4314" s="2" t="s">
        <v>8638</v>
      </c>
      <c r="C4314" s="2" t="s">
        <v>16</v>
      </c>
      <c r="D4314" s="2" t="s">
        <v>17</v>
      </c>
      <c r="E4314" s="5">
        <v>-28167</v>
      </c>
      <c r="F4314" s="3" t="s">
        <v>904</v>
      </c>
      <c r="G4314" s="3" t="s">
        <v>31</v>
      </c>
      <c r="H4314" s="2" t="s">
        <v>20</v>
      </c>
      <c r="I4314" s="2" t="s">
        <v>8671</v>
      </c>
      <c r="J4314" s="3" t="str">
        <f>HYPERLINK("https://www.boe.es/gazeta/dias/1822/11/17/pdfs/GMD-1822-337.pdf#page=3","Abrir facsímil")</f>
        <v>Abrir facsímil</v>
      </c>
      <c r="K4314" s="3" t="s">
        <v>22</v>
      </c>
    </row>
    <row r="4315" spans="1:11" ht="42" customHeight="1">
      <c r="A4315" s="2" t="s">
        <v>8638</v>
      </c>
      <c r="B4315" s="2" t="s">
        <v>8638</v>
      </c>
      <c r="C4315" s="2" t="s">
        <v>50</v>
      </c>
      <c r="D4315" s="2" t="s">
        <v>51</v>
      </c>
      <c r="E4315" s="5">
        <v>-28156</v>
      </c>
      <c r="F4315" s="3" t="s">
        <v>1568</v>
      </c>
      <c r="G4315" s="3" t="s">
        <v>19</v>
      </c>
      <c r="H4315" s="2" t="s">
        <v>20</v>
      </c>
      <c r="I4315" s="2" t="s">
        <v>8672</v>
      </c>
      <c r="J4315" s="3" t="str">
        <f>HYPERLINK("https://www.boe.es/gazeta/dias/1822/11/28/pdfs/GMD-1822-348.pdf#page=5","Abrir facsímil")</f>
        <v>Abrir facsímil</v>
      </c>
      <c r="K4315" s="3" t="s">
        <v>22</v>
      </c>
    </row>
    <row r="4316" spans="1:11" ht="42" customHeight="1">
      <c r="A4316" s="2" t="s">
        <v>8638</v>
      </c>
      <c r="B4316" s="2" t="s">
        <v>8638</v>
      </c>
      <c r="C4316" s="2" t="s">
        <v>28</v>
      </c>
      <c r="D4316" s="2" t="s">
        <v>29</v>
      </c>
      <c r="E4316" s="5">
        <v>-28146</v>
      </c>
      <c r="F4316" s="3" t="s">
        <v>180</v>
      </c>
      <c r="G4316" s="3" t="s">
        <v>44</v>
      </c>
      <c r="H4316" s="2" t="s">
        <v>20</v>
      </c>
      <c r="I4316" s="2" t="s">
        <v>8673</v>
      </c>
      <c r="J4316" s="3" t="str">
        <f>HYPERLINK("https://www.boe.es/gazeta/dias/1822/12/08/pdfs/GMD-1822-358.pdf#page=1","Abrir facsímil")</f>
        <v>Abrir facsímil</v>
      </c>
      <c r="K4316" s="3" t="s">
        <v>22</v>
      </c>
    </row>
    <row r="4317" spans="1:11" ht="42" customHeight="1">
      <c r="A4317" s="2" t="s">
        <v>8638</v>
      </c>
      <c r="B4317" s="2" t="s">
        <v>8638</v>
      </c>
      <c r="C4317" s="2" t="s">
        <v>50</v>
      </c>
      <c r="D4317" s="2" t="s">
        <v>51</v>
      </c>
      <c r="E4317" s="5">
        <v>-28143</v>
      </c>
      <c r="F4317" s="3" t="s">
        <v>2967</v>
      </c>
      <c r="G4317" s="3" t="s">
        <v>57</v>
      </c>
      <c r="H4317" s="2" t="s">
        <v>20</v>
      </c>
      <c r="I4317" s="2" t="s">
        <v>8674</v>
      </c>
      <c r="J4317" s="3" t="str">
        <f>HYPERLINK("https://www.boe.es/gazeta/dias/1822/12/11/pdfs/GMD-1822-361.pdf#page=4","Abrir facsímil")</f>
        <v>Abrir facsímil</v>
      </c>
      <c r="K4317" s="3" t="s">
        <v>22</v>
      </c>
    </row>
    <row r="4318" spans="1:11" ht="42" customHeight="1">
      <c r="A4318" s="2" t="s">
        <v>8638</v>
      </c>
      <c r="B4318" s="2" t="s">
        <v>8638</v>
      </c>
      <c r="C4318" s="2" t="s">
        <v>50</v>
      </c>
      <c r="D4318" s="2" t="s">
        <v>51</v>
      </c>
      <c r="E4318" s="5">
        <v>-28131</v>
      </c>
      <c r="F4318" s="3" t="s">
        <v>893</v>
      </c>
      <c r="G4318" s="3" t="s">
        <v>35</v>
      </c>
      <c r="H4318" s="2" t="s">
        <v>20</v>
      </c>
      <c r="I4318" s="2" t="s">
        <v>8675</v>
      </c>
      <c r="J4318" s="3" t="str">
        <f>HYPERLINK("https://www.boe.es/gazeta/dias/1822/12/23/pdfs/GMD-1822-373.pdf#page=2","Abrir facsímil")</f>
        <v>Abrir facsímil</v>
      </c>
      <c r="K4318" s="3" t="s">
        <v>22</v>
      </c>
    </row>
    <row r="4319" spans="1:11" ht="42" customHeight="1">
      <c r="A4319" s="2" t="s">
        <v>8638</v>
      </c>
      <c r="B4319" s="2" t="s">
        <v>8638</v>
      </c>
      <c r="C4319" s="2" t="s">
        <v>50</v>
      </c>
      <c r="D4319" s="2" t="s">
        <v>51</v>
      </c>
      <c r="E4319" s="5">
        <v>-28131</v>
      </c>
      <c r="F4319" s="3" t="s">
        <v>893</v>
      </c>
      <c r="G4319" s="3" t="s">
        <v>57</v>
      </c>
      <c r="H4319" s="2" t="s">
        <v>20</v>
      </c>
      <c r="I4319" s="2" t="s">
        <v>8676</v>
      </c>
      <c r="J4319" s="3" t="str">
        <f>HYPERLINK("https://www.boe.es/gazeta/dias/1822/12/23/pdfs/GMD-1822-373.pdf#page=4","Abrir facsímil")</f>
        <v>Abrir facsímil</v>
      </c>
      <c r="K4319" s="3" t="s">
        <v>22</v>
      </c>
    </row>
    <row r="4320" spans="1:11" ht="42" customHeight="1">
      <c r="A4320" s="2" t="s">
        <v>8638</v>
      </c>
      <c r="B4320" s="2" t="s">
        <v>8638</v>
      </c>
      <c r="C4320" s="2" t="s">
        <v>24</v>
      </c>
      <c r="D4320" s="2" t="s">
        <v>17</v>
      </c>
      <c r="E4320" s="5">
        <v>-28123</v>
      </c>
      <c r="F4320" s="3" t="s">
        <v>603</v>
      </c>
      <c r="G4320" s="3" t="s">
        <v>2642</v>
      </c>
      <c r="H4320" s="2" t="s">
        <v>20</v>
      </c>
      <c r="I4320" s="2" t="s">
        <v>8677</v>
      </c>
      <c r="J4320" s="3" t="str">
        <f>HYPERLINK("https://www.boe.es/gazeta/dias/1822/12/31/pdfs/GMD-1822-381.pdf#page=6","Abrir facsímil")</f>
        <v>Abrir facsímil</v>
      </c>
      <c r="K4320" s="3" t="s">
        <v>22</v>
      </c>
    </row>
    <row r="4321" spans="1:11" ht="42" customHeight="1">
      <c r="A4321" s="2" t="s">
        <v>8678</v>
      </c>
      <c r="B4321" s="2" t="s">
        <v>8678</v>
      </c>
      <c r="C4321" s="2" t="s">
        <v>42</v>
      </c>
      <c r="D4321" s="2" t="s">
        <v>17</v>
      </c>
      <c r="E4321" s="5">
        <v>-28342</v>
      </c>
      <c r="F4321" s="3" t="s">
        <v>2281</v>
      </c>
      <c r="G4321" s="3" t="s">
        <v>57</v>
      </c>
      <c r="H4321" s="2" t="s">
        <v>20</v>
      </c>
      <c r="I4321" s="2" t="s">
        <v>8679</v>
      </c>
      <c r="J4321" s="3" t="str">
        <f>HYPERLINK("https://www.boe.es/gazeta/dias/1822/05/26/pdfs/GMD-1822-151.pdf#page=4","Abrir facsímil")</f>
        <v>Abrir facsímil</v>
      </c>
      <c r="K4321" s="3" t="s">
        <v>22</v>
      </c>
    </row>
    <row r="4322" spans="1:11" ht="42" customHeight="1">
      <c r="A4322" s="2" t="s">
        <v>8680</v>
      </c>
      <c r="B4322" s="2" t="s">
        <v>8680</v>
      </c>
      <c r="C4322" s="2" t="s">
        <v>16</v>
      </c>
      <c r="D4322" s="2" t="s">
        <v>17</v>
      </c>
      <c r="E4322" s="5">
        <v>-28192</v>
      </c>
      <c r="F4322" s="3" t="s">
        <v>43</v>
      </c>
      <c r="G4322" s="3" t="s">
        <v>157</v>
      </c>
      <c r="H4322" s="2" t="s">
        <v>20</v>
      </c>
      <c r="I4322" s="2" t="s">
        <v>8681</v>
      </c>
      <c r="J4322" s="3" t="str">
        <f>HYPERLINK("https://www.boe.es/gazeta/dias/1822/10/23/pdfs/GMD-1822-310.pdf#page=8","Abrir facsímil")</f>
        <v>Abrir facsímil</v>
      </c>
      <c r="K4322" s="3" t="s">
        <v>22</v>
      </c>
    </row>
    <row r="4323" spans="1:11" ht="42" customHeight="1">
      <c r="A4323" s="2" t="s">
        <v>8682</v>
      </c>
      <c r="B4323" s="2" t="s">
        <v>8682</v>
      </c>
      <c r="C4323" s="2" t="s">
        <v>24</v>
      </c>
      <c r="D4323" s="2" t="s">
        <v>17</v>
      </c>
      <c r="E4323" s="5">
        <v>-28381</v>
      </c>
      <c r="F4323" s="3" t="s">
        <v>358</v>
      </c>
      <c r="G4323" s="3" t="s">
        <v>19</v>
      </c>
      <c r="H4323" s="2" t="s">
        <v>20</v>
      </c>
      <c r="I4323" s="2" t="s">
        <v>8683</v>
      </c>
      <c r="J4323" s="3" t="str">
        <f>HYPERLINK("https://www.boe.es/gazeta/dias/1822/04/17/pdfs/GMD-1822-109.pdf#page=5","Abrir facsímil")</f>
        <v>Abrir facsímil</v>
      </c>
      <c r="K4323" s="3" t="s">
        <v>22</v>
      </c>
    </row>
    <row r="4324" spans="1:11" ht="42" customHeight="1">
      <c r="A4324" s="2" t="s">
        <v>8684</v>
      </c>
      <c r="B4324" s="2" t="s">
        <v>8685</v>
      </c>
      <c r="C4324" s="2" t="s">
        <v>50</v>
      </c>
      <c r="D4324" s="2" t="s">
        <v>51</v>
      </c>
      <c r="E4324" s="5">
        <v>-28340</v>
      </c>
      <c r="F4324" s="3" t="s">
        <v>139</v>
      </c>
      <c r="G4324" s="3" t="s">
        <v>63</v>
      </c>
      <c r="H4324" s="2" t="s">
        <v>20</v>
      </c>
      <c r="I4324" s="2" t="s">
        <v>8686</v>
      </c>
      <c r="J4324" s="3" t="str">
        <f>HYPERLINK("https://www.boe.es/gazeta/dias/1822/05/28/pdfs/GMD-1822-153.pdf#page=6","Abrir facsímil")</f>
        <v>Abrir facsímil</v>
      </c>
      <c r="K4324" s="3" t="s">
        <v>22</v>
      </c>
    </row>
    <row r="4325" spans="1:11" ht="42" customHeight="1">
      <c r="A4325" s="2" t="s">
        <v>8687</v>
      </c>
      <c r="B4325" s="2" t="s">
        <v>8688</v>
      </c>
      <c r="C4325" s="2" t="s">
        <v>50</v>
      </c>
      <c r="D4325" s="2" t="s">
        <v>51</v>
      </c>
      <c r="E4325" s="5">
        <v>-28383</v>
      </c>
      <c r="F4325" s="3" t="s">
        <v>488</v>
      </c>
      <c r="G4325" s="3" t="s">
        <v>35</v>
      </c>
      <c r="H4325" s="2" t="s">
        <v>20</v>
      </c>
      <c r="I4325" s="2" t="s">
        <v>8689</v>
      </c>
      <c r="J4325" s="3" t="str">
        <f>HYPERLINK("https://www.boe.es/gazeta/dias/1822/04/15/pdfs/GMD-1822-107.pdf#page=2","Abrir facsímil")</f>
        <v>Abrir facsímil</v>
      </c>
      <c r="K4325" s="3" t="s">
        <v>22</v>
      </c>
    </row>
    <row r="4326" spans="1:11" ht="42" customHeight="1">
      <c r="A4326" s="2" t="s">
        <v>8690</v>
      </c>
      <c r="B4326" s="2" t="s">
        <v>8690</v>
      </c>
      <c r="C4326" s="2" t="s">
        <v>28</v>
      </c>
      <c r="D4326" s="2" t="s">
        <v>29</v>
      </c>
      <c r="E4326" s="5">
        <v>-28316</v>
      </c>
      <c r="F4326" s="3" t="s">
        <v>1144</v>
      </c>
      <c r="G4326" s="3" t="s">
        <v>57</v>
      </c>
      <c r="H4326" s="2" t="s">
        <v>20</v>
      </c>
      <c r="I4326" s="2" t="s">
        <v>8691</v>
      </c>
      <c r="J4326" s="3" t="str">
        <f>HYPERLINK("https://www.boe.es/gazeta/dias/1822/06/21/pdfs/GMD-1822-179.pdf#page=4","Abrir facsímil")</f>
        <v>Abrir facsímil</v>
      </c>
      <c r="K4326" s="3" t="s">
        <v>22</v>
      </c>
    </row>
    <row r="4327" spans="1:11" ht="42" customHeight="1">
      <c r="A4327" s="2" t="s">
        <v>8692</v>
      </c>
      <c r="B4327" s="2" t="s">
        <v>8693</v>
      </c>
      <c r="C4327" s="2" t="s">
        <v>50</v>
      </c>
      <c r="D4327" s="2" t="s">
        <v>51</v>
      </c>
      <c r="E4327" s="5">
        <v>-28287</v>
      </c>
      <c r="F4327" s="3" t="s">
        <v>1295</v>
      </c>
      <c r="G4327" s="3" t="s">
        <v>63</v>
      </c>
      <c r="H4327" s="2" t="s">
        <v>20</v>
      </c>
      <c r="I4327" s="2" t="s">
        <v>8694</v>
      </c>
      <c r="J4327" s="3" t="str">
        <f>HYPERLINK("https://www.boe.es/gazeta/dias/1822/07/20/pdfs/GMD-1822-212.pdf#page=6","Abrir facsímil")</f>
        <v>Abrir facsímil</v>
      </c>
      <c r="K4327" s="3" t="s">
        <v>22</v>
      </c>
    </row>
    <row r="4328" spans="1:11" ht="42" customHeight="1">
      <c r="A4328" s="2" t="s">
        <v>8695</v>
      </c>
      <c r="B4328" s="2" t="s">
        <v>8696</v>
      </c>
      <c r="C4328" s="2" t="s">
        <v>50</v>
      </c>
      <c r="D4328" s="2" t="s">
        <v>51</v>
      </c>
      <c r="E4328" s="5">
        <v>-28208</v>
      </c>
      <c r="F4328" s="3" t="s">
        <v>230</v>
      </c>
      <c r="G4328" s="3" t="s">
        <v>57</v>
      </c>
      <c r="H4328" s="2" t="s">
        <v>20</v>
      </c>
      <c r="I4328" s="2" t="s">
        <v>8697</v>
      </c>
      <c r="J4328" s="3" t="str">
        <f>HYPERLINK("https://www.boe.es/gazeta/dias/1822/10/07/pdfs/GMD-1822-293.pdf#page=4","Abrir facsímil")</f>
        <v>Abrir facsímil</v>
      </c>
      <c r="K4328" s="3" t="s">
        <v>22</v>
      </c>
    </row>
    <row r="4329" spans="1:11" ht="42" customHeight="1">
      <c r="A4329" s="2" t="s">
        <v>8698</v>
      </c>
      <c r="B4329" s="2" t="s">
        <v>8698</v>
      </c>
      <c r="C4329" s="2" t="s">
        <v>50</v>
      </c>
      <c r="D4329" s="2" t="s">
        <v>51</v>
      </c>
      <c r="E4329" s="5">
        <v>-28276</v>
      </c>
      <c r="F4329" s="3" t="s">
        <v>4746</v>
      </c>
      <c r="G4329" s="3" t="s">
        <v>57</v>
      </c>
      <c r="H4329" s="2" t="s">
        <v>20</v>
      </c>
      <c r="I4329" s="2" t="s">
        <v>8699</v>
      </c>
      <c r="J4329" s="3" t="str">
        <f>HYPERLINK("https://www.boe.es/gazeta/dias/1822/07/31/pdfs/GMD-1822-224.pdf#page=4","Abrir facsímil")</f>
        <v>Abrir facsímil</v>
      </c>
      <c r="K4329" s="3" t="s">
        <v>22</v>
      </c>
    </row>
    <row r="4330" spans="1:11" ht="42" customHeight="1">
      <c r="A4330" s="2" t="s">
        <v>8700</v>
      </c>
      <c r="B4330" s="2" t="s">
        <v>8701</v>
      </c>
      <c r="C4330" s="2" t="s">
        <v>50</v>
      </c>
      <c r="D4330" s="2" t="s">
        <v>51</v>
      </c>
      <c r="E4330" s="5">
        <v>-28410</v>
      </c>
      <c r="F4330" s="3" t="s">
        <v>966</v>
      </c>
      <c r="G4330" s="3" t="s">
        <v>57</v>
      </c>
      <c r="H4330" s="2" t="s">
        <v>20</v>
      </c>
      <c r="I4330" s="2" t="s">
        <v>8702</v>
      </c>
      <c r="J4330" s="3" t="str">
        <f>HYPERLINK("https://www.boe.es/gazeta/dias/1822/03/19/pdfs/GMD-1822-80.pdf#page=4","Abrir facsímil")</f>
        <v>Abrir facsímil</v>
      </c>
      <c r="K4330" s="3" t="s">
        <v>22</v>
      </c>
    </row>
    <row r="4331" spans="1:11" ht="42" customHeight="1">
      <c r="A4331" s="2" t="s">
        <v>8703</v>
      </c>
      <c r="B4331" s="2" t="s">
        <v>8704</v>
      </c>
      <c r="C4331" s="2" t="s">
        <v>50</v>
      </c>
      <c r="D4331" s="2" t="s">
        <v>51</v>
      </c>
      <c r="E4331" s="5">
        <v>-28313</v>
      </c>
      <c r="F4331" s="3" t="s">
        <v>315</v>
      </c>
      <c r="G4331" s="3" t="s">
        <v>157</v>
      </c>
      <c r="H4331" s="2" t="s">
        <v>20</v>
      </c>
      <c r="I4331" s="2" t="s">
        <v>8705</v>
      </c>
      <c r="J4331" s="3" t="str">
        <f>HYPERLINK("https://www.boe.es/gazeta/dias/1822/06/24/pdfs/GMD-1822-182.pdf#page=8","Abrir facsímil")</f>
        <v>Abrir facsímil</v>
      </c>
      <c r="K4331" s="3" t="s">
        <v>22</v>
      </c>
    </row>
    <row r="4332" spans="1:11" ht="42" customHeight="1">
      <c r="A4332" s="2" t="s">
        <v>8706</v>
      </c>
      <c r="B4332" s="2" t="s">
        <v>8707</v>
      </c>
      <c r="C4332" s="2" t="s">
        <v>50</v>
      </c>
      <c r="D4332" s="2" t="s">
        <v>51</v>
      </c>
      <c r="E4332" s="5">
        <v>-28228</v>
      </c>
      <c r="F4332" s="3" t="s">
        <v>718</v>
      </c>
      <c r="G4332" s="3" t="s">
        <v>719</v>
      </c>
      <c r="H4332" s="2" t="s">
        <v>20</v>
      </c>
      <c r="I4332" s="2" t="s">
        <v>8708</v>
      </c>
      <c r="J4332" s="3" t="str">
        <f>HYPERLINK("https://www.boe.es/gazeta/dias/1822/09/17/pdfs/GMD-1822-273.pdf#page=3","Abrir facsímil")</f>
        <v>Abrir facsímil</v>
      </c>
      <c r="K4332" s="3" t="s">
        <v>22</v>
      </c>
    </row>
    <row r="4333" spans="1:11" ht="42" customHeight="1">
      <c r="A4333" s="2" t="s">
        <v>8709</v>
      </c>
      <c r="B4333" s="2" t="s">
        <v>8709</v>
      </c>
      <c r="C4333" s="2" t="s">
        <v>71</v>
      </c>
      <c r="D4333" s="2" t="s">
        <v>17</v>
      </c>
      <c r="E4333" s="5">
        <v>-28405</v>
      </c>
      <c r="F4333" s="3" t="s">
        <v>466</v>
      </c>
      <c r="G4333" s="3" t="s">
        <v>44</v>
      </c>
      <c r="H4333" s="2" t="s">
        <v>20</v>
      </c>
      <c r="I4333" s="2" t="s">
        <v>8710</v>
      </c>
      <c r="J4333" s="3" t="str">
        <f>HYPERLINK("https://www.boe.es/gazeta/dias/1822/03/24/pdfs/GMD-1822-85.pdf#page=1","Abrir facsímil")</f>
        <v>Abrir facsímil</v>
      </c>
      <c r="K4333" s="3" t="s">
        <v>22</v>
      </c>
    </row>
    <row r="4334" spans="1:11" ht="42" customHeight="1">
      <c r="A4334" s="2" t="s">
        <v>8711</v>
      </c>
      <c r="B4334" s="2" t="s">
        <v>8711</v>
      </c>
      <c r="C4334" s="2" t="s">
        <v>50</v>
      </c>
      <c r="D4334" s="2" t="s">
        <v>51</v>
      </c>
      <c r="E4334" s="5">
        <v>-28375</v>
      </c>
      <c r="F4334" s="3" t="s">
        <v>2035</v>
      </c>
      <c r="G4334" s="3" t="s">
        <v>31</v>
      </c>
      <c r="H4334" s="2" t="s">
        <v>20</v>
      </c>
      <c r="I4334" s="2" t="s">
        <v>8712</v>
      </c>
      <c r="J4334" s="3" t="str">
        <f>HYPERLINK("https://www.boe.es/gazeta/dias/1822/04/23/pdfs/GMD-1822-115.pdf#page=3","Abrir facsímil")</f>
        <v>Abrir facsímil</v>
      </c>
      <c r="K4334" s="3" t="s">
        <v>22</v>
      </c>
    </row>
    <row r="4335" spans="1:11" ht="42" customHeight="1">
      <c r="A4335" s="2" t="s">
        <v>8713</v>
      </c>
      <c r="B4335" s="2" t="s">
        <v>8713</v>
      </c>
      <c r="C4335" s="2" t="s">
        <v>50</v>
      </c>
      <c r="D4335" s="2" t="s">
        <v>51</v>
      </c>
      <c r="E4335" s="5">
        <v>-28443</v>
      </c>
      <c r="F4335" s="3" t="s">
        <v>668</v>
      </c>
      <c r="G4335" s="3" t="s">
        <v>31</v>
      </c>
      <c r="H4335" s="2" t="s">
        <v>20</v>
      </c>
      <c r="I4335" s="2" t="s">
        <v>8714</v>
      </c>
      <c r="J4335" s="3" t="str">
        <f>HYPERLINK("https://www.boe.es/gazeta/dias/1822/02/14/pdfs/GMD-1822-45.pdf#page=3","Abrir facsímil")</f>
        <v>Abrir facsímil</v>
      </c>
      <c r="K4335" s="3" t="s">
        <v>22</v>
      </c>
    </row>
    <row r="4336" spans="1:11" ht="42" customHeight="1">
      <c r="A4336" s="2" t="s">
        <v>8715</v>
      </c>
      <c r="B4336" s="2" t="s">
        <v>8716</v>
      </c>
      <c r="C4336" s="2" t="s">
        <v>50</v>
      </c>
      <c r="D4336" s="2" t="s">
        <v>51</v>
      </c>
      <c r="E4336" s="5">
        <v>-28264</v>
      </c>
      <c r="F4336" s="3" t="s">
        <v>1329</v>
      </c>
      <c r="G4336" s="3" t="s">
        <v>57</v>
      </c>
      <c r="H4336" s="2" t="s">
        <v>20</v>
      </c>
      <c r="I4336" s="2" t="s">
        <v>8717</v>
      </c>
      <c r="J4336" s="3" t="str">
        <f>HYPERLINK("https://www.boe.es/gazeta/dias/1822/08/12/pdfs/GMD-1822-236.pdf#page=4","Abrir facsímil")</f>
        <v>Abrir facsímil</v>
      </c>
      <c r="K4336" s="3" t="s">
        <v>22</v>
      </c>
    </row>
    <row r="4337" spans="1:11" ht="42" customHeight="1">
      <c r="A4337" s="2" t="s">
        <v>8718</v>
      </c>
      <c r="B4337" s="2" t="s">
        <v>8719</v>
      </c>
      <c r="C4337" s="2" t="s">
        <v>50</v>
      </c>
      <c r="D4337" s="2" t="s">
        <v>51</v>
      </c>
      <c r="E4337" s="5">
        <v>-28295</v>
      </c>
      <c r="F4337" s="3" t="s">
        <v>81</v>
      </c>
      <c r="G4337" s="3" t="s">
        <v>57</v>
      </c>
      <c r="H4337" s="2" t="s">
        <v>20</v>
      </c>
      <c r="I4337" s="2" t="s">
        <v>8720</v>
      </c>
      <c r="J4337" s="3" t="str">
        <f>HYPERLINK("https://www.boe.es/gazeta/dias/1822/07/12/pdfs/GMD-1822-202.pdf#page=4","Abrir facsímil")</f>
        <v>Abrir facsímil</v>
      </c>
      <c r="K4337" s="3" t="s">
        <v>22</v>
      </c>
    </row>
    <row r="4338" spans="1:11" ht="42" customHeight="1">
      <c r="A4338" s="2" t="s">
        <v>8721</v>
      </c>
      <c r="B4338" s="2" t="s">
        <v>8722</v>
      </c>
      <c r="C4338" s="2" t="s">
        <v>61</v>
      </c>
      <c r="D4338" s="2" t="s">
        <v>17</v>
      </c>
      <c r="E4338" s="5">
        <v>-28136</v>
      </c>
      <c r="F4338" s="3" t="s">
        <v>948</v>
      </c>
      <c r="G4338" s="3" t="s">
        <v>63</v>
      </c>
      <c r="H4338" s="2" t="s">
        <v>20</v>
      </c>
      <c r="I4338" s="2" t="s">
        <v>8723</v>
      </c>
      <c r="J4338" s="3" t="str">
        <f>HYPERLINK("https://www.boe.es/gazeta/dias/1822/12/18/pdfs/GMD-1822-368.pdf#page=6","Abrir facsímil")</f>
        <v>Abrir facsímil</v>
      </c>
      <c r="K4338" s="3" t="s">
        <v>22</v>
      </c>
    </row>
    <row r="4339" spans="1:11" ht="42" customHeight="1">
      <c r="A4339" s="2" t="s">
        <v>8724</v>
      </c>
      <c r="B4339" s="2" t="s">
        <v>8725</v>
      </c>
      <c r="C4339" s="2" t="s">
        <v>50</v>
      </c>
      <c r="D4339" s="2" t="s">
        <v>51</v>
      </c>
      <c r="E4339" s="5">
        <v>-28334</v>
      </c>
      <c r="F4339" s="3" t="s">
        <v>532</v>
      </c>
      <c r="G4339" s="3" t="s">
        <v>44</v>
      </c>
      <c r="H4339" s="2" t="s">
        <v>20</v>
      </c>
      <c r="I4339" s="2" t="s">
        <v>8726</v>
      </c>
      <c r="J4339" s="3" t="str">
        <f>HYPERLINK("https://www.boe.es/gazeta/dias/1822/06/03/pdfs/GMD-1822-159.pdf#page=1","Abrir facsímil")</f>
        <v>Abrir facsímil</v>
      </c>
      <c r="K4339" s="3" t="s">
        <v>22</v>
      </c>
    </row>
    <row r="4340" spans="1:11" ht="42" customHeight="1">
      <c r="A4340" s="2" t="s">
        <v>8727</v>
      </c>
      <c r="B4340" s="2" t="s">
        <v>8727</v>
      </c>
      <c r="C4340" s="2" t="s">
        <v>50</v>
      </c>
      <c r="D4340" s="2" t="s">
        <v>51</v>
      </c>
      <c r="E4340" s="5">
        <v>-28251</v>
      </c>
      <c r="F4340" s="3" t="s">
        <v>1485</v>
      </c>
      <c r="G4340" s="3" t="s">
        <v>57</v>
      </c>
      <c r="H4340" s="2" t="s">
        <v>20</v>
      </c>
      <c r="I4340" s="2" t="s">
        <v>8728</v>
      </c>
      <c r="J4340" s="3" t="str">
        <f>HYPERLINK("https://www.boe.es/gazeta/dias/1822/08/25/pdfs/GMD-1822-249.pdf#page=4","Abrir facsímil")</f>
        <v>Abrir facsímil</v>
      </c>
      <c r="K4340" s="3" t="s">
        <v>22</v>
      </c>
    </row>
    <row r="4341" spans="1:11" ht="42" customHeight="1">
      <c r="A4341" s="2" t="s">
        <v>8729</v>
      </c>
      <c r="B4341" s="2" t="s">
        <v>8730</v>
      </c>
      <c r="C4341" s="2" t="s">
        <v>50</v>
      </c>
      <c r="D4341" s="2" t="s">
        <v>51</v>
      </c>
      <c r="E4341" s="5">
        <v>-28303</v>
      </c>
      <c r="F4341" s="3" t="s">
        <v>201</v>
      </c>
      <c r="G4341" s="3" t="s">
        <v>31</v>
      </c>
      <c r="H4341" s="2" t="s">
        <v>20</v>
      </c>
      <c r="I4341" s="2" t="s">
        <v>8731</v>
      </c>
      <c r="J4341" s="3" t="str">
        <f>HYPERLINK("https://www.boe.es/gazeta/dias/1822/07/04/pdfs/GMD-1822-193.pdf#page=3","Abrir facsímil")</f>
        <v>Abrir facsímil</v>
      </c>
      <c r="K4341" s="3" t="s">
        <v>22</v>
      </c>
    </row>
    <row r="4342" spans="1:11" ht="42" customHeight="1">
      <c r="A4342" s="2" t="s">
        <v>8732</v>
      </c>
      <c r="B4342" s="2" t="s">
        <v>8733</v>
      </c>
      <c r="C4342" s="2" t="s">
        <v>42</v>
      </c>
      <c r="D4342" s="2" t="s">
        <v>17</v>
      </c>
      <c r="E4342" s="5">
        <v>-28131</v>
      </c>
      <c r="F4342" s="3" t="s">
        <v>893</v>
      </c>
      <c r="G4342" s="3" t="s">
        <v>991</v>
      </c>
      <c r="H4342" s="2" t="s">
        <v>20</v>
      </c>
      <c r="I4342" s="2" t="s">
        <v>8734</v>
      </c>
      <c r="J4342" s="3" t="str">
        <f>HYPERLINK("https://www.boe.es/gazeta/dias/1822/12/23/pdfs/GMD-1822-373.pdf#page=6","Abrir facsímil")</f>
        <v>Abrir facsímil</v>
      </c>
      <c r="K4342" s="3" t="s">
        <v>22</v>
      </c>
    </row>
    <row r="4343" spans="1:11" ht="42" customHeight="1">
      <c r="A4343" s="2" t="s">
        <v>8735</v>
      </c>
      <c r="B4343" s="2" t="s">
        <v>8736</v>
      </c>
      <c r="C4343" s="2" t="s">
        <v>50</v>
      </c>
      <c r="D4343" s="2" t="s">
        <v>51</v>
      </c>
      <c r="E4343" s="5">
        <v>-28381</v>
      </c>
      <c r="F4343" s="3" t="s">
        <v>358</v>
      </c>
      <c r="G4343" s="3" t="s">
        <v>35</v>
      </c>
      <c r="H4343" s="2" t="s">
        <v>45</v>
      </c>
      <c r="I4343" s="2" t="s">
        <v>8737</v>
      </c>
      <c r="J4343" s="3" t="str">
        <f>HYPERLINK("https://www.boe.es/gazeta/dias/1822/04/17/pdfs/GMD-1822-109.pdf#page=2","Abrir facsímil")</f>
        <v>Abrir facsímil</v>
      </c>
      <c r="K4343" s="3" t="s">
        <v>47</v>
      </c>
    </row>
    <row r="4344" spans="1:11" ht="42" customHeight="1">
      <c r="A4344" s="2" t="s">
        <v>8738</v>
      </c>
      <c r="B4344" s="2" t="s">
        <v>8738</v>
      </c>
      <c r="C4344" s="2" t="s">
        <v>28</v>
      </c>
      <c r="D4344" s="2" t="s">
        <v>29</v>
      </c>
      <c r="E4344" s="5">
        <v>-28448</v>
      </c>
      <c r="F4344" s="3" t="s">
        <v>1670</v>
      </c>
      <c r="G4344" s="3" t="s">
        <v>31</v>
      </c>
      <c r="H4344" s="2" t="s">
        <v>20</v>
      </c>
      <c r="I4344" s="2" t="s">
        <v>8739</v>
      </c>
      <c r="J4344" s="3" t="str">
        <f>HYPERLINK("https://www.boe.es/gazeta/dias/1822/02/09/pdfs/GMD-1822-40.pdf#page=3","Abrir facsímil")</f>
        <v>Abrir facsímil</v>
      </c>
      <c r="K4344" s="3" t="s">
        <v>22</v>
      </c>
    </row>
    <row r="4345" spans="1:11" ht="42" customHeight="1">
      <c r="A4345" s="2" t="s">
        <v>8740</v>
      </c>
      <c r="B4345" s="2" t="s">
        <v>8740</v>
      </c>
      <c r="C4345" s="2" t="s">
        <v>24</v>
      </c>
      <c r="D4345" s="2" t="s">
        <v>17</v>
      </c>
      <c r="E4345" s="5">
        <v>-28142</v>
      </c>
      <c r="F4345" s="3" t="s">
        <v>290</v>
      </c>
      <c r="G4345" s="3" t="s">
        <v>57</v>
      </c>
      <c r="H4345" s="2" t="s">
        <v>20</v>
      </c>
      <c r="I4345" s="2" t="s">
        <v>8741</v>
      </c>
      <c r="J4345" s="3" t="str">
        <f>HYPERLINK("https://www.boe.es/gazeta/dias/1822/12/12/pdfs/GMD-1822-362.pdf#page=4","Abrir facsímil")</f>
        <v>Abrir facsímil</v>
      </c>
      <c r="K4345" s="3" t="s">
        <v>22</v>
      </c>
    </row>
    <row r="4346" spans="1:11" ht="42" customHeight="1">
      <c r="A4346" s="2" t="s">
        <v>8742</v>
      </c>
      <c r="B4346" s="2" t="s">
        <v>8742</v>
      </c>
      <c r="C4346" s="2" t="s">
        <v>50</v>
      </c>
      <c r="D4346" s="2" t="s">
        <v>51</v>
      </c>
      <c r="E4346" s="5">
        <v>-28450</v>
      </c>
      <c r="F4346" s="3" t="s">
        <v>1450</v>
      </c>
      <c r="G4346" s="3" t="s">
        <v>35</v>
      </c>
      <c r="H4346" s="2" t="s">
        <v>20</v>
      </c>
      <c r="I4346" s="2" t="s">
        <v>8743</v>
      </c>
      <c r="J4346" s="3" t="str">
        <f>HYPERLINK("https://www.boe.es/gazeta/dias/1822/02/07/pdfs/GMD-1822-38.pdf#page=2","Abrir facsímil")</f>
        <v>Abrir facsímil</v>
      </c>
      <c r="K4346" s="3" t="s">
        <v>22</v>
      </c>
    </row>
    <row r="4347" spans="1:11" ht="42" customHeight="1">
      <c r="A4347" s="2" t="s">
        <v>8744</v>
      </c>
      <c r="B4347" s="2" t="s">
        <v>8744</v>
      </c>
      <c r="C4347" s="2" t="s">
        <v>71</v>
      </c>
      <c r="D4347" s="2" t="s">
        <v>17</v>
      </c>
      <c r="E4347" s="5">
        <v>-28475</v>
      </c>
      <c r="F4347" s="3" t="s">
        <v>1205</v>
      </c>
      <c r="G4347" s="3" t="s">
        <v>907</v>
      </c>
      <c r="H4347" s="2" t="s">
        <v>20</v>
      </c>
      <c r="I4347" s="2" t="s">
        <v>8745</v>
      </c>
      <c r="J4347" s="3" t="str">
        <f>HYPERLINK("https://www.boe.es/gazeta/dias/1822/01/13/pdfs/GMD-1822-13.pdf#page=5","Abrir facsímil")</f>
        <v>Abrir facsímil</v>
      </c>
      <c r="K4347" s="3" t="s">
        <v>22</v>
      </c>
    </row>
    <row r="4348" spans="1:11" ht="42" customHeight="1">
      <c r="A4348" s="2" t="s">
        <v>8746</v>
      </c>
      <c r="B4348" s="2" t="s">
        <v>8746</v>
      </c>
      <c r="C4348" s="2" t="s">
        <v>61</v>
      </c>
      <c r="D4348" s="2" t="s">
        <v>17</v>
      </c>
      <c r="E4348" s="5">
        <v>-28482</v>
      </c>
      <c r="F4348" s="3" t="s">
        <v>850</v>
      </c>
      <c r="G4348" s="3" t="s">
        <v>31</v>
      </c>
      <c r="H4348" s="2" t="s">
        <v>20</v>
      </c>
      <c r="I4348" s="2" t="s">
        <v>8747</v>
      </c>
      <c r="J4348" s="3" t="str">
        <f>HYPERLINK("https://www.boe.es/gazeta/dias/1822/01/06/pdfs/GMD-1822-6.pdf#page=3","Abrir facsímil")</f>
        <v>Abrir facsímil</v>
      </c>
      <c r="K4348" s="3" t="s">
        <v>22</v>
      </c>
    </row>
    <row r="4349" spans="1:11" ht="42" customHeight="1">
      <c r="A4349" s="2" t="s">
        <v>8746</v>
      </c>
      <c r="B4349" s="2" t="s">
        <v>8746</v>
      </c>
      <c r="C4349" s="2" t="s">
        <v>362</v>
      </c>
      <c r="D4349" s="2" t="s">
        <v>17</v>
      </c>
      <c r="E4349" s="5">
        <v>-28463</v>
      </c>
      <c r="F4349" s="3" t="s">
        <v>25</v>
      </c>
      <c r="G4349" s="3" t="s">
        <v>31</v>
      </c>
      <c r="H4349" s="2" t="s">
        <v>20</v>
      </c>
      <c r="I4349" s="2" t="s">
        <v>8748</v>
      </c>
      <c r="J4349" s="3" t="str">
        <f>HYPERLINK("https://www.boe.es/gazeta/dias/1822/01/25/pdfs/GMD-1822-25.pdf#page=3","Abrir facsímil")</f>
        <v>Abrir facsímil</v>
      </c>
      <c r="K4349" s="3" t="s">
        <v>22</v>
      </c>
    </row>
    <row r="4350" spans="1:11" ht="42" customHeight="1">
      <c r="A4350" s="2" t="s">
        <v>8749</v>
      </c>
      <c r="B4350" s="2" t="s">
        <v>8749</v>
      </c>
      <c r="C4350" s="2" t="s">
        <v>42</v>
      </c>
      <c r="D4350" s="2" t="s">
        <v>17</v>
      </c>
      <c r="E4350" s="5">
        <v>-28460</v>
      </c>
      <c r="F4350" s="3" t="s">
        <v>112</v>
      </c>
      <c r="G4350" s="3" t="s">
        <v>63</v>
      </c>
      <c r="H4350" s="2" t="s">
        <v>20</v>
      </c>
      <c r="I4350" s="2" t="s">
        <v>8750</v>
      </c>
      <c r="J4350" s="3" t="str">
        <f>HYPERLINK("https://www.boe.es/gazeta/dias/1822/01/28/pdfs/GMD-1822-28.pdf#page=6","Abrir facsímil")</f>
        <v>Abrir facsímil</v>
      </c>
      <c r="K4350" s="3" t="s">
        <v>22</v>
      </c>
    </row>
    <row r="4351" spans="1:11" ht="42" customHeight="1">
      <c r="A4351" s="2" t="s">
        <v>8751</v>
      </c>
      <c r="B4351" s="2" t="s">
        <v>8751</v>
      </c>
      <c r="C4351" s="2" t="s">
        <v>50</v>
      </c>
      <c r="D4351" s="2" t="s">
        <v>51</v>
      </c>
      <c r="E4351" s="5">
        <v>-28460</v>
      </c>
      <c r="F4351" s="3" t="s">
        <v>112</v>
      </c>
      <c r="G4351" s="3" t="s">
        <v>63</v>
      </c>
      <c r="H4351" s="2" t="s">
        <v>20</v>
      </c>
      <c r="I4351" s="2" t="s">
        <v>8752</v>
      </c>
      <c r="J4351" s="3" t="str">
        <f>HYPERLINK("https://www.boe.es/gazeta/dias/1822/01/28/pdfs/GMD-1822-28.pdf#page=6","Abrir facsímil")</f>
        <v>Abrir facsímil</v>
      </c>
      <c r="K4351" s="3" t="s">
        <v>22</v>
      </c>
    </row>
    <row r="4352" spans="1:11" ht="42" customHeight="1">
      <c r="A4352" s="2" t="s">
        <v>8753</v>
      </c>
      <c r="B4352" s="2" t="s">
        <v>8754</v>
      </c>
      <c r="C4352" s="2" t="s">
        <v>71</v>
      </c>
      <c r="D4352" s="2" t="s">
        <v>17</v>
      </c>
      <c r="E4352" s="5">
        <v>-28414</v>
      </c>
      <c r="F4352" s="3" t="s">
        <v>187</v>
      </c>
      <c r="G4352" s="3" t="s">
        <v>63</v>
      </c>
      <c r="H4352" s="2" t="s">
        <v>20</v>
      </c>
      <c r="I4352" s="2" t="s">
        <v>8755</v>
      </c>
      <c r="J4352" s="3" t="str">
        <f>HYPERLINK("https://www.boe.es/gazeta/dias/1822/03/15/pdfs/GMD-1822-76.pdf#page=6","Abrir facsímil")</f>
        <v>Abrir facsímil</v>
      </c>
      <c r="K4352" s="3" t="s">
        <v>22</v>
      </c>
    </row>
    <row r="4353" spans="1:11" ht="42" customHeight="1">
      <c r="A4353" s="2" t="s">
        <v>8756</v>
      </c>
      <c r="B4353" s="2" t="s">
        <v>8756</v>
      </c>
      <c r="C4353" s="2" t="s">
        <v>42</v>
      </c>
      <c r="D4353" s="2" t="s">
        <v>17</v>
      </c>
      <c r="E4353" s="5">
        <v>-28131</v>
      </c>
      <c r="F4353" s="3" t="s">
        <v>893</v>
      </c>
      <c r="G4353" s="3" t="s">
        <v>991</v>
      </c>
      <c r="H4353" s="2" t="s">
        <v>20</v>
      </c>
      <c r="I4353" s="2" t="s">
        <v>8757</v>
      </c>
      <c r="J4353" s="3" t="str">
        <f>HYPERLINK("https://www.boe.es/gazeta/dias/1822/12/23/pdfs/GMD-1822-373.pdf#page=6","Abrir facsímil")</f>
        <v>Abrir facsímil</v>
      </c>
      <c r="K4353" s="3" t="s">
        <v>22</v>
      </c>
    </row>
    <row r="4354" spans="1:11" ht="42" customHeight="1">
      <c r="A4354" s="2" t="s">
        <v>8758</v>
      </c>
      <c r="B4354" s="2" t="s">
        <v>8759</v>
      </c>
      <c r="C4354" s="2" t="s">
        <v>42</v>
      </c>
      <c r="D4354" s="2" t="s">
        <v>17</v>
      </c>
      <c r="E4354" s="5">
        <v>-28381</v>
      </c>
      <c r="F4354" s="3" t="s">
        <v>358</v>
      </c>
      <c r="G4354" s="3" t="s">
        <v>63</v>
      </c>
      <c r="H4354" s="2" t="s">
        <v>20</v>
      </c>
      <c r="I4354" s="2" t="s">
        <v>8760</v>
      </c>
      <c r="J4354" s="3" t="str">
        <f>HYPERLINK("https://www.boe.es/gazeta/dias/1822/04/17/pdfs/GMD-1822-109.pdf#page=6","Abrir facsímil")</f>
        <v>Abrir facsímil</v>
      </c>
      <c r="K4354" s="3" t="s">
        <v>22</v>
      </c>
    </row>
    <row r="4355" spans="1:11" ht="42" customHeight="1">
      <c r="A4355" s="2" t="s">
        <v>8758</v>
      </c>
      <c r="B4355" s="2" t="s">
        <v>8759</v>
      </c>
      <c r="C4355" s="2" t="s">
        <v>28</v>
      </c>
      <c r="D4355" s="2" t="s">
        <v>29</v>
      </c>
      <c r="E4355" s="5">
        <v>-28378</v>
      </c>
      <c r="F4355" s="3" t="s">
        <v>496</v>
      </c>
      <c r="G4355" s="3" t="s">
        <v>57</v>
      </c>
      <c r="H4355" s="2" t="s">
        <v>20</v>
      </c>
      <c r="I4355" s="2" t="s">
        <v>8761</v>
      </c>
      <c r="J4355" s="3" t="str">
        <f>HYPERLINK("https://www.boe.es/gazeta/dias/1822/04/20/pdfs/GMD-1822-112.pdf#page=4","Abrir facsímil")</f>
        <v>Abrir facsímil</v>
      </c>
      <c r="K4355" s="3" t="s">
        <v>22</v>
      </c>
    </row>
    <row r="4356" spans="1:11" ht="42" customHeight="1">
      <c r="A4356" s="2" t="s">
        <v>8758</v>
      </c>
      <c r="B4356" s="2" t="s">
        <v>8759</v>
      </c>
      <c r="C4356" s="2" t="s">
        <v>16</v>
      </c>
      <c r="D4356" s="2" t="s">
        <v>17</v>
      </c>
      <c r="E4356" s="5">
        <v>-28272</v>
      </c>
      <c r="F4356" s="3" t="s">
        <v>52</v>
      </c>
      <c r="G4356" s="3" t="s">
        <v>57</v>
      </c>
      <c r="H4356" s="2" t="s">
        <v>20</v>
      </c>
      <c r="I4356" s="2" t="s">
        <v>8762</v>
      </c>
      <c r="J4356" s="3" t="str">
        <f>HYPERLINK("https://www.boe.es/gazeta/dias/1822/08/04/pdfs/GMD-1822-228.pdf#page=4","Abrir facsímil")</f>
        <v>Abrir facsímil</v>
      </c>
      <c r="K4356" s="3" t="s">
        <v>22</v>
      </c>
    </row>
    <row r="4357" spans="1:11" ht="42" customHeight="1">
      <c r="A4357" s="2" t="s">
        <v>8763</v>
      </c>
      <c r="B4357" s="2" t="s">
        <v>8763</v>
      </c>
      <c r="C4357" s="2" t="s">
        <v>50</v>
      </c>
      <c r="D4357" s="2" t="s">
        <v>51</v>
      </c>
      <c r="E4357" s="5">
        <v>-28366</v>
      </c>
      <c r="F4357" s="3" t="s">
        <v>120</v>
      </c>
      <c r="G4357" s="3" t="s">
        <v>35</v>
      </c>
      <c r="H4357" s="2" t="s">
        <v>20</v>
      </c>
      <c r="I4357" s="2" t="s">
        <v>8764</v>
      </c>
      <c r="J4357" s="3" t="str">
        <f>HYPERLINK("https://www.boe.es/gazeta/dias/1822/05/02/pdfs/GMD-1822-124.pdf#page=2","Abrir facsímil")</f>
        <v>Abrir facsímil</v>
      </c>
      <c r="K4357" s="3" t="s">
        <v>22</v>
      </c>
    </row>
    <row r="4358" spans="1:11" ht="42" customHeight="1">
      <c r="A4358" s="2" t="s">
        <v>8765</v>
      </c>
      <c r="B4358" s="2" t="s">
        <v>8765</v>
      </c>
      <c r="C4358" s="2" t="s">
        <v>42</v>
      </c>
      <c r="D4358" s="2" t="s">
        <v>17</v>
      </c>
      <c r="E4358" s="5">
        <v>-28211</v>
      </c>
      <c r="F4358" s="3" t="s">
        <v>273</v>
      </c>
      <c r="G4358" s="3" t="s">
        <v>57</v>
      </c>
      <c r="H4358" s="2" t="s">
        <v>20</v>
      </c>
      <c r="I4358" s="2" t="s">
        <v>8766</v>
      </c>
      <c r="J4358" s="3" t="str">
        <f>HYPERLINK("https://www.boe.es/gazeta/dias/1822/10/04/pdfs/GMD-1822-290.pdf#page=4","Abrir facsímil")</f>
        <v>Abrir facsímil</v>
      </c>
      <c r="K4358" s="3" t="s">
        <v>22</v>
      </c>
    </row>
    <row r="4359" spans="1:11" ht="42" customHeight="1">
      <c r="A4359" s="2" t="s">
        <v>8765</v>
      </c>
      <c r="B4359" s="2" t="s">
        <v>8765</v>
      </c>
      <c r="C4359" s="2" t="s">
        <v>50</v>
      </c>
      <c r="D4359" s="2" t="s">
        <v>51</v>
      </c>
      <c r="E4359" s="5">
        <v>-28138</v>
      </c>
      <c r="F4359" s="3" t="s">
        <v>3542</v>
      </c>
      <c r="G4359" s="3" t="s">
        <v>44</v>
      </c>
      <c r="H4359" s="2" t="s">
        <v>20</v>
      </c>
      <c r="I4359" s="2" t="s">
        <v>8767</v>
      </c>
      <c r="J4359" s="3" t="str">
        <f>HYPERLINK("https://www.boe.es/gazeta/dias/1822/12/16/pdfs/GMD-1822-366.pdf#page=1","Abrir facsímil")</f>
        <v>Abrir facsímil</v>
      </c>
      <c r="K4359" s="3" t="s">
        <v>22</v>
      </c>
    </row>
    <row r="4360" spans="1:11" ht="42" customHeight="1">
      <c r="A4360" s="2" t="s">
        <v>8768</v>
      </c>
      <c r="B4360" s="2" t="s">
        <v>8769</v>
      </c>
      <c r="C4360" s="2" t="s">
        <v>24</v>
      </c>
      <c r="D4360" s="2" t="s">
        <v>17</v>
      </c>
      <c r="E4360" s="5">
        <v>-28359</v>
      </c>
      <c r="F4360" s="3" t="s">
        <v>209</v>
      </c>
      <c r="G4360" s="3" t="s">
        <v>19</v>
      </c>
      <c r="H4360" s="2" t="s">
        <v>20</v>
      </c>
      <c r="I4360" s="2" t="s">
        <v>8770</v>
      </c>
      <c r="J4360" s="3" t="str">
        <f>HYPERLINK("https://www.boe.es/gazeta/dias/1822/05/09/pdfs/GMD-1822-131.pdf#page=5","Abrir facsímil")</f>
        <v>Abrir facsímil</v>
      </c>
      <c r="K4360" s="3" t="s">
        <v>22</v>
      </c>
    </row>
    <row r="4361" spans="1:11" ht="42" customHeight="1">
      <c r="A4361" s="2" t="s">
        <v>8771</v>
      </c>
      <c r="B4361" s="2" t="s">
        <v>8772</v>
      </c>
      <c r="C4361" s="2" t="s">
        <v>42</v>
      </c>
      <c r="D4361" s="2" t="s">
        <v>17</v>
      </c>
      <c r="E4361" s="5">
        <v>-28422</v>
      </c>
      <c r="F4361" s="3" t="s">
        <v>416</v>
      </c>
      <c r="G4361" s="3" t="s">
        <v>35</v>
      </c>
      <c r="H4361" s="2" t="s">
        <v>20</v>
      </c>
      <c r="I4361" s="2" t="s">
        <v>8773</v>
      </c>
      <c r="J4361" s="3" t="str">
        <f>HYPERLINK("https://www.boe.es/gazeta/dias/1822/03/07/pdfs/GMD-1822-68.pdf#page=2","Abrir facsímil")</f>
        <v>Abrir facsímil</v>
      </c>
      <c r="K4361" s="3" t="s">
        <v>22</v>
      </c>
    </row>
    <row r="4362" spans="1:11" ht="42" customHeight="1">
      <c r="A4362" s="2" t="s">
        <v>8774</v>
      </c>
      <c r="B4362" s="2" t="s">
        <v>8775</v>
      </c>
      <c r="C4362" s="2" t="s">
        <v>50</v>
      </c>
      <c r="D4362" s="2" t="s">
        <v>51</v>
      </c>
      <c r="E4362" s="5">
        <v>-28237</v>
      </c>
      <c r="F4362" s="3" t="s">
        <v>878</v>
      </c>
      <c r="G4362" s="3" t="s">
        <v>35</v>
      </c>
      <c r="H4362" s="2" t="s">
        <v>45</v>
      </c>
      <c r="I4362" s="2" t="s">
        <v>8776</v>
      </c>
      <c r="J4362" s="3" t="str">
        <f>HYPERLINK("https://www.boe.es/gazeta/dias/1822/09/08/pdfs/GMD-1822-264.pdf#page=2","Abrir facsímil")</f>
        <v>Abrir facsímil</v>
      </c>
      <c r="K4362" s="3" t="s">
        <v>47</v>
      </c>
    </row>
    <row r="4363" spans="1:11" ht="42" customHeight="1">
      <c r="A4363" s="2" t="s">
        <v>8777</v>
      </c>
      <c r="B4363" s="2" t="s">
        <v>8778</v>
      </c>
      <c r="C4363" s="2" t="s">
        <v>28</v>
      </c>
      <c r="D4363" s="2" t="s">
        <v>29</v>
      </c>
      <c r="E4363" s="5">
        <v>-28415</v>
      </c>
      <c r="F4363" s="3" t="s">
        <v>77</v>
      </c>
      <c r="G4363" s="3" t="s">
        <v>31</v>
      </c>
      <c r="H4363" s="2" t="s">
        <v>20</v>
      </c>
      <c r="I4363" s="2" t="s">
        <v>8779</v>
      </c>
      <c r="J4363" s="3" t="str">
        <f>HYPERLINK("https://www.boe.es/gazeta/dias/1822/03/14/pdfs/GMD-1822-75.pdf#page=3","Abrir facsímil")</f>
        <v>Abrir facsímil</v>
      </c>
      <c r="K4363" s="3" t="s">
        <v>22</v>
      </c>
    </row>
    <row r="4364" spans="1:11" ht="42" customHeight="1">
      <c r="A4364" s="2" t="s">
        <v>8780</v>
      </c>
      <c r="B4364" s="2" t="s">
        <v>8781</v>
      </c>
      <c r="C4364" s="2" t="s">
        <v>28</v>
      </c>
      <c r="D4364" s="2" t="s">
        <v>29</v>
      </c>
      <c r="E4364" s="5">
        <v>-28473</v>
      </c>
      <c r="F4364" s="3" t="s">
        <v>2337</v>
      </c>
      <c r="G4364" s="3" t="s">
        <v>167</v>
      </c>
      <c r="H4364" s="2" t="s">
        <v>20</v>
      </c>
      <c r="I4364" s="2" t="s">
        <v>8782</v>
      </c>
      <c r="J4364" s="3" t="str">
        <f>HYPERLINK("https://www.boe.es/gazeta/dias/1822/01/15/pdfs/GMD-1822-15.pdf#page=7","Abrir facsímil")</f>
        <v>Abrir facsímil</v>
      </c>
      <c r="K4364" s="3" t="s">
        <v>22</v>
      </c>
    </row>
    <row r="4365" spans="1:11" ht="42" customHeight="1">
      <c r="A4365" s="2" t="s">
        <v>8783</v>
      </c>
      <c r="B4365" s="2" t="s">
        <v>8784</v>
      </c>
      <c r="C4365" s="2" t="s">
        <v>28</v>
      </c>
      <c r="D4365" s="2" t="s">
        <v>29</v>
      </c>
      <c r="E4365" s="5">
        <v>-28436</v>
      </c>
      <c r="F4365" s="3" t="s">
        <v>431</v>
      </c>
      <c r="G4365" s="3" t="s">
        <v>57</v>
      </c>
      <c r="H4365" s="2" t="s">
        <v>20</v>
      </c>
      <c r="I4365" s="2" t="s">
        <v>8785</v>
      </c>
      <c r="J4365" s="3" t="str">
        <f>HYPERLINK("https://www.boe.es/gazeta/dias/1822/02/21/pdfs/GMD-1822-53.pdf#page=4","Abrir facsímil")</f>
        <v>Abrir facsímil</v>
      </c>
      <c r="K4365" s="3" t="s">
        <v>22</v>
      </c>
    </row>
    <row r="4366" spans="1:11" ht="42" customHeight="1">
      <c r="A4366" s="2" t="s">
        <v>8786</v>
      </c>
      <c r="B4366" s="2" t="s">
        <v>8786</v>
      </c>
      <c r="C4366" s="2" t="s">
        <v>50</v>
      </c>
      <c r="D4366" s="2" t="s">
        <v>51</v>
      </c>
      <c r="E4366" s="5">
        <v>-28414</v>
      </c>
      <c r="F4366" s="3" t="s">
        <v>187</v>
      </c>
      <c r="G4366" s="3" t="s">
        <v>31</v>
      </c>
      <c r="H4366" s="2" t="s">
        <v>20</v>
      </c>
      <c r="I4366" s="2" t="s">
        <v>8787</v>
      </c>
      <c r="J4366" s="3" t="str">
        <f>HYPERLINK("https://www.boe.es/gazeta/dias/1822/03/15/pdfs/GMD-1822-76.pdf#page=3","Abrir facsímil")</f>
        <v>Abrir facsímil</v>
      </c>
      <c r="K4366" s="3" t="s">
        <v>22</v>
      </c>
    </row>
    <row r="4367" spans="1:11" ht="42" customHeight="1">
      <c r="A4367" s="2" t="s">
        <v>8786</v>
      </c>
      <c r="B4367" s="2" t="s">
        <v>8786</v>
      </c>
      <c r="C4367" s="2" t="s">
        <v>28</v>
      </c>
      <c r="D4367" s="2" t="s">
        <v>29</v>
      </c>
      <c r="E4367" s="5">
        <v>-28380</v>
      </c>
      <c r="F4367" s="3" t="s">
        <v>492</v>
      </c>
      <c r="G4367" s="3" t="s">
        <v>63</v>
      </c>
      <c r="H4367" s="2" t="s">
        <v>20</v>
      </c>
      <c r="I4367" s="2" t="s">
        <v>8788</v>
      </c>
      <c r="J4367" s="3" t="str">
        <f>HYPERLINK("https://www.boe.es/gazeta/dias/1822/04/18/pdfs/GMD-1822-110.pdf#page=6","Abrir facsímil")</f>
        <v>Abrir facsímil</v>
      </c>
      <c r="K4367" s="3" t="s">
        <v>22</v>
      </c>
    </row>
    <row r="4368" spans="1:11" ht="42" customHeight="1">
      <c r="A4368" s="2" t="s">
        <v>8786</v>
      </c>
      <c r="B4368" s="2" t="s">
        <v>8786</v>
      </c>
      <c r="C4368" s="2" t="s">
        <v>42</v>
      </c>
      <c r="D4368" s="2" t="s">
        <v>17</v>
      </c>
      <c r="E4368" s="5">
        <v>-28346</v>
      </c>
      <c r="F4368" s="3" t="s">
        <v>191</v>
      </c>
      <c r="G4368" s="3" t="s">
        <v>63</v>
      </c>
      <c r="H4368" s="2" t="s">
        <v>20</v>
      </c>
      <c r="I4368" s="2" t="s">
        <v>8789</v>
      </c>
      <c r="J4368" s="3" t="str">
        <f>HYPERLINK("https://www.boe.es/gazeta/dias/1822/05/22/pdfs/GMD-1822-145.pdf#page=6","Abrir facsímil")</f>
        <v>Abrir facsímil</v>
      </c>
      <c r="K4368" s="3" t="s">
        <v>22</v>
      </c>
    </row>
    <row r="4369" spans="1:11" ht="42" customHeight="1">
      <c r="A4369" s="2" t="s">
        <v>8786</v>
      </c>
      <c r="B4369" s="2" t="s">
        <v>8786</v>
      </c>
      <c r="C4369" s="2" t="s">
        <v>50</v>
      </c>
      <c r="D4369" s="2" t="s">
        <v>51</v>
      </c>
      <c r="E4369" s="5">
        <v>-28127</v>
      </c>
      <c r="F4369" s="3" t="s">
        <v>409</v>
      </c>
      <c r="G4369" s="3" t="s">
        <v>5790</v>
      </c>
      <c r="H4369" s="2" t="s">
        <v>20</v>
      </c>
      <c r="I4369" s="2" t="s">
        <v>8790</v>
      </c>
      <c r="J4369" s="3" t="str">
        <f>HYPERLINK("https://www.boe.es/gazeta/dias/1822/12/27/pdfs/GMD-1822-377.pdf#page=6","Abrir facsímil")</f>
        <v>Abrir facsímil</v>
      </c>
      <c r="K4369" s="3" t="s">
        <v>22</v>
      </c>
    </row>
    <row r="4370" spans="1:11" ht="42" customHeight="1">
      <c r="A4370" s="2" t="s">
        <v>8791</v>
      </c>
      <c r="B4370" s="2" t="s">
        <v>8791</v>
      </c>
      <c r="C4370" s="2" t="s">
        <v>28</v>
      </c>
      <c r="D4370" s="2" t="s">
        <v>29</v>
      </c>
      <c r="E4370" s="5">
        <v>-28419</v>
      </c>
      <c r="F4370" s="3" t="s">
        <v>1392</v>
      </c>
      <c r="G4370" s="3" t="s">
        <v>63</v>
      </c>
      <c r="H4370" s="2" t="s">
        <v>20</v>
      </c>
      <c r="I4370" s="2" t="s">
        <v>8792</v>
      </c>
      <c r="J4370" s="3" t="str">
        <f>HYPERLINK("https://www.boe.es/gazeta/dias/1822/03/10/pdfs/GMD-1822-71.pdf#page=6","Abrir facsímil")</f>
        <v>Abrir facsímil</v>
      </c>
      <c r="K4370" s="3" t="s">
        <v>22</v>
      </c>
    </row>
    <row r="4371" spans="1:11" ht="42" customHeight="1">
      <c r="A4371" s="2" t="s">
        <v>8791</v>
      </c>
      <c r="B4371" s="2" t="s">
        <v>8791</v>
      </c>
      <c r="C4371" s="2" t="s">
        <v>16</v>
      </c>
      <c r="D4371" s="2" t="s">
        <v>17</v>
      </c>
      <c r="E4371" s="5">
        <v>-28382</v>
      </c>
      <c r="F4371" s="3" t="s">
        <v>973</v>
      </c>
      <c r="G4371" s="3" t="s">
        <v>63</v>
      </c>
      <c r="H4371" s="2" t="s">
        <v>20</v>
      </c>
      <c r="I4371" s="2" t="s">
        <v>8793</v>
      </c>
      <c r="J4371" s="3" t="str">
        <f>HYPERLINK("https://www.boe.es/gazeta/dias/1822/04/16/pdfs/GMD-1822-108.pdf#page=6","Abrir facsímil")</f>
        <v>Abrir facsímil</v>
      </c>
      <c r="K4371" s="3" t="s">
        <v>22</v>
      </c>
    </row>
    <row r="4372" spans="1:11" ht="42" customHeight="1">
      <c r="A4372" s="2" t="s">
        <v>8791</v>
      </c>
      <c r="B4372" s="2" t="s">
        <v>8791</v>
      </c>
      <c r="C4372" s="2" t="s">
        <v>42</v>
      </c>
      <c r="D4372" s="2" t="s">
        <v>17</v>
      </c>
      <c r="E4372" s="5">
        <v>-28301</v>
      </c>
      <c r="F4372" s="3" t="s">
        <v>2348</v>
      </c>
      <c r="G4372" s="3" t="s">
        <v>31</v>
      </c>
      <c r="H4372" s="2" t="s">
        <v>20</v>
      </c>
      <c r="I4372" s="2" t="s">
        <v>8794</v>
      </c>
      <c r="J4372" s="3" t="str">
        <f>HYPERLINK("https://www.boe.es/gazeta/dias/1822/07/06/pdfs/GMD-1822-195.pdf#page=3","Abrir facsímil")</f>
        <v>Abrir facsímil</v>
      </c>
      <c r="K4372" s="3" t="s">
        <v>22</v>
      </c>
    </row>
    <row r="4373" spans="1:11" ht="42" customHeight="1">
      <c r="A4373" s="2" t="s">
        <v>8791</v>
      </c>
      <c r="B4373" s="2" t="s">
        <v>8791</v>
      </c>
      <c r="C4373" s="2" t="s">
        <v>50</v>
      </c>
      <c r="D4373" s="2" t="s">
        <v>51</v>
      </c>
      <c r="E4373" s="5">
        <v>-28161</v>
      </c>
      <c r="F4373" s="3" t="s">
        <v>166</v>
      </c>
      <c r="G4373" s="3" t="s">
        <v>157</v>
      </c>
      <c r="H4373" s="2" t="s">
        <v>20</v>
      </c>
      <c r="I4373" s="2" t="s">
        <v>8795</v>
      </c>
      <c r="J4373" s="3" t="str">
        <f>HYPERLINK("https://www.boe.es/gazeta/dias/1822/11/23/pdfs/GMD-1822-343.pdf#page=8","Abrir facsímil")</f>
        <v>Abrir facsímil</v>
      </c>
      <c r="K4373" s="3" t="s">
        <v>22</v>
      </c>
    </row>
    <row r="4374" spans="1:11" ht="42" customHeight="1">
      <c r="A4374" s="2" t="s">
        <v>8796</v>
      </c>
      <c r="B4374" s="2" t="s">
        <v>8797</v>
      </c>
      <c r="C4374" s="2" t="s">
        <v>42</v>
      </c>
      <c r="D4374" s="2" t="s">
        <v>17</v>
      </c>
      <c r="E4374" s="5">
        <v>-28203</v>
      </c>
      <c r="F4374" s="3" t="s">
        <v>564</v>
      </c>
      <c r="G4374" s="3" t="s">
        <v>19</v>
      </c>
      <c r="H4374" s="2" t="s">
        <v>20</v>
      </c>
      <c r="I4374" s="2" t="s">
        <v>8798</v>
      </c>
      <c r="J4374" s="3" t="str">
        <f>HYPERLINK("https://www.boe.es/gazeta/dias/1822/10/12/pdfs/GMD-1822-299.pdf#page=5","Abrir facsímil")</f>
        <v>Abrir facsímil</v>
      </c>
      <c r="K4374" s="3" t="s">
        <v>22</v>
      </c>
    </row>
    <row r="4375" spans="1:11" ht="42" customHeight="1">
      <c r="A4375" s="2" t="s">
        <v>8799</v>
      </c>
      <c r="B4375" s="2" t="s">
        <v>8799</v>
      </c>
      <c r="C4375" s="2" t="s">
        <v>28</v>
      </c>
      <c r="D4375" s="2" t="s">
        <v>29</v>
      </c>
      <c r="E4375" s="5">
        <v>-28307</v>
      </c>
      <c r="F4375" s="3" t="s">
        <v>555</v>
      </c>
      <c r="G4375" s="3" t="s">
        <v>157</v>
      </c>
      <c r="H4375" s="2" t="s">
        <v>20</v>
      </c>
      <c r="I4375" s="2" t="s">
        <v>8800</v>
      </c>
      <c r="J4375" s="3" t="str">
        <f>HYPERLINK("https://www.boe.es/gazeta/dias/1822/06/30/pdfs/GMD-1822-188.pdf#page=8","Abrir facsímil")</f>
        <v>Abrir facsímil</v>
      </c>
      <c r="K4375" s="3" t="s">
        <v>22</v>
      </c>
    </row>
    <row r="4376" spans="1:11" ht="42" customHeight="1">
      <c r="A4376" s="2" t="s">
        <v>8801</v>
      </c>
      <c r="B4376" s="2" t="s">
        <v>8802</v>
      </c>
      <c r="C4376" s="2" t="s">
        <v>50</v>
      </c>
      <c r="D4376" s="2" t="s">
        <v>51</v>
      </c>
      <c r="E4376" s="5">
        <v>-28303</v>
      </c>
      <c r="F4376" s="3" t="s">
        <v>201</v>
      </c>
      <c r="G4376" s="3" t="s">
        <v>31</v>
      </c>
      <c r="H4376" s="2" t="s">
        <v>45</v>
      </c>
      <c r="I4376" s="2" t="s">
        <v>8803</v>
      </c>
      <c r="J4376" s="3" t="str">
        <f>HYPERLINK("https://www.boe.es/gazeta/dias/1822/07/04/pdfs/GMD-1822-193.pdf#page=3","Abrir facsímil")</f>
        <v>Abrir facsímil</v>
      </c>
      <c r="K4376" s="3" t="s">
        <v>47</v>
      </c>
    </row>
    <row r="4377" spans="1:11" ht="42" customHeight="1">
      <c r="A4377" s="2" t="s">
        <v>8804</v>
      </c>
      <c r="B4377" s="2" t="s">
        <v>8805</v>
      </c>
      <c r="C4377" s="2" t="s">
        <v>42</v>
      </c>
      <c r="D4377" s="2" t="s">
        <v>17</v>
      </c>
      <c r="E4377" s="5">
        <v>-28150</v>
      </c>
      <c r="F4377" s="3" t="s">
        <v>62</v>
      </c>
      <c r="G4377" s="3" t="s">
        <v>63</v>
      </c>
      <c r="H4377" s="2" t="s">
        <v>20</v>
      </c>
      <c r="I4377" s="2" t="s">
        <v>8806</v>
      </c>
      <c r="J4377" s="3" t="str">
        <f>HYPERLINK("https://www.boe.es/gazeta/dias/1822/12/04/pdfs/GMD-1822-354.pdf#page=6","Abrir facsímil")</f>
        <v>Abrir facsímil</v>
      </c>
      <c r="K4377" s="3" t="s">
        <v>22</v>
      </c>
    </row>
    <row r="4378" spans="1:11" ht="42" customHeight="1">
      <c r="A4378" s="2" t="s">
        <v>8807</v>
      </c>
      <c r="B4378" s="2" t="s">
        <v>8808</v>
      </c>
      <c r="C4378" s="2" t="s">
        <v>28</v>
      </c>
      <c r="D4378" s="2" t="s">
        <v>29</v>
      </c>
      <c r="E4378" s="5">
        <v>-28339</v>
      </c>
      <c r="F4378" s="3" t="s">
        <v>197</v>
      </c>
      <c r="G4378" s="3" t="s">
        <v>63</v>
      </c>
      <c r="H4378" s="2" t="s">
        <v>20</v>
      </c>
      <c r="I4378" s="2" t="s">
        <v>8809</v>
      </c>
      <c r="J4378" s="3" t="str">
        <f>HYPERLINK("https://www.boe.es/gazeta/dias/1822/05/29/pdfs/GMD-1822-154.pdf#page=6","Abrir facsímil")</f>
        <v>Abrir facsímil</v>
      </c>
      <c r="K4378" s="3" t="s">
        <v>22</v>
      </c>
    </row>
    <row r="4379" spans="1:11" ht="42" customHeight="1">
      <c r="A4379" s="2" t="s">
        <v>8810</v>
      </c>
      <c r="B4379" s="2" t="s">
        <v>8811</v>
      </c>
      <c r="C4379" s="2" t="s">
        <v>16</v>
      </c>
      <c r="D4379" s="2" t="s">
        <v>17</v>
      </c>
      <c r="E4379" s="5">
        <v>-28339</v>
      </c>
      <c r="F4379" s="3" t="s">
        <v>197</v>
      </c>
      <c r="G4379" s="3" t="s">
        <v>63</v>
      </c>
      <c r="H4379" s="2" t="s">
        <v>20</v>
      </c>
      <c r="I4379" s="2" t="s">
        <v>8812</v>
      </c>
      <c r="J4379" s="3" t="str">
        <f>HYPERLINK("https://www.boe.es/gazeta/dias/1822/05/29/pdfs/GMD-1822-154.pdf#page=6","Abrir facsímil")</f>
        <v>Abrir facsímil</v>
      </c>
      <c r="K4379" s="3" t="s">
        <v>22</v>
      </c>
    </row>
    <row r="4380" spans="1:11" ht="42" customHeight="1">
      <c r="A4380" s="2" t="s">
        <v>8810</v>
      </c>
      <c r="B4380" s="2" t="s">
        <v>8811</v>
      </c>
      <c r="C4380" s="2" t="s">
        <v>61</v>
      </c>
      <c r="D4380" s="2" t="s">
        <v>17</v>
      </c>
      <c r="E4380" s="5">
        <v>-28237</v>
      </c>
      <c r="F4380" s="3" t="s">
        <v>878</v>
      </c>
      <c r="G4380" s="3" t="s">
        <v>57</v>
      </c>
      <c r="H4380" s="2" t="s">
        <v>20</v>
      </c>
      <c r="I4380" s="2" t="s">
        <v>8813</v>
      </c>
      <c r="J4380" s="3" t="str">
        <f>HYPERLINK("https://www.boe.es/gazeta/dias/1822/09/08/pdfs/GMD-1822-264.pdf#page=4","Abrir facsímil")</f>
        <v>Abrir facsímil</v>
      </c>
      <c r="K4380" s="3" t="s">
        <v>22</v>
      </c>
    </row>
    <row r="4381" spans="1:11" ht="42" customHeight="1">
      <c r="A4381" s="2" t="s">
        <v>8814</v>
      </c>
      <c r="B4381" s="2" t="s">
        <v>8815</v>
      </c>
      <c r="C4381" s="2" t="s">
        <v>42</v>
      </c>
      <c r="D4381" s="2" t="s">
        <v>17</v>
      </c>
      <c r="E4381" s="5">
        <v>-28258</v>
      </c>
      <c r="F4381" s="3" t="s">
        <v>88</v>
      </c>
      <c r="G4381" s="3" t="s">
        <v>31</v>
      </c>
      <c r="H4381" s="2" t="s">
        <v>20</v>
      </c>
      <c r="I4381" s="2" t="s">
        <v>8816</v>
      </c>
      <c r="J4381" s="3" t="str">
        <f>HYPERLINK("https://www.boe.es/gazeta/dias/1822/08/18/pdfs/GMD-1822-242.pdf#page=3","Abrir facsímil")</f>
        <v>Abrir facsímil</v>
      </c>
      <c r="K4381" s="3" t="s">
        <v>22</v>
      </c>
    </row>
    <row r="4382" spans="1:11" ht="42" customHeight="1">
      <c r="A4382" s="2" t="s">
        <v>8817</v>
      </c>
      <c r="B4382" s="2" t="s">
        <v>8818</v>
      </c>
      <c r="C4382" s="2" t="s">
        <v>42</v>
      </c>
      <c r="D4382" s="2" t="s">
        <v>17</v>
      </c>
      <c r="E4382" s="5">
        <v>-28172</v>
      </c>
      <c r="F4382" s="3" t="s">
        <v>674</v>
      </c>
      <c r="G4382" s="3" t="s">
        <v>57</v>
      </c>
      <c r="H4382" s="2" t="s">
        <v>20</v>
      </c>
      <c r="I4382" s="2" t="s">
        <v>8819</v>
      </c>
      <c r="J4382" s="3" t="str">
        <f>HYPERLINK("https://www.boe.es/gazeta/dias/1822/11/12/pdfs/GMD-1822-332.pdf#page=4","Abrir facsímil")</f>
        <v>Abrir facsímil</v>
      </c>
      <c r="K4382" s="3" t="s">
        <v>22</v>
      </c>
    </row>
    <row r="4383" spans="1:11" ht="42" customHeight="1">
      <c r="A4383" s="2" t="s">
        <v>8820</v>
      </c>
      <c r="B4383" s="2" t="s">
        <v>8821</v>
      </c>
      <c r="C4383" s="2" t="s">
        <v>28</v>
      </c>
      <c r="D4383" s="2" t="s">
        <v>29</v>
      </c>
      <c r="E4383" s="5">
        <v>-28301</v>
      </c>
      <c r="F4383" s="3" t="s">
        <v>2348</v>
      </c>
      <c r="G4383" s="3" t="s">
        <v>57</v>
      </c>
      <c r="H4383" s="2" t="s">
        <v>20</v>
      </c>
      <c r="I4383" s="2" t="s">
        <v>8822</v>
      </c>
      <c r="J4383" s="3" t="str">
        <f>HYPERLINK("https://www.boe.es/gazeta/dias/1822/07/06/pdfs/GMD-1822-195.pdf#page=4","Abrir facsímil")</f>
        <v>Abrir facsímil</v>
      </c>
      <c r="K4383" s="3" t="s">
        <v>22</v>
      </c>
    </row>
    <row r="4384" spans="1:11" ht="42" customHeight="1">
      <c r="A4384" s="2" t="s">
        <v>8820</v>
      </c>
      <c r="B4384" s="2" t="s">
        <v>8821</v>
      </c>
      <c r="C4384" s="2" t="s">
        <v>28</v>
      </c>
      <c r="D4384" s="2" t="s">
        <v>29</v>
      </c>
      <c r="E4384" s="5">
        <v>-28287</v>
      </c>
      <c r="F4384" s="3" t="s">
        <v>1295</v>
      </c>
      <c r="G4384" s="3" t="s">
        <v>63</v>
      </c>
      <c r="H4384" s="2" t="s">
        <v>20</v>
      </c>
      <c r="I4384" s="2" t="s">
        <v>8823</v>
      </c>
      <c r="J4384" s="3" t="str">
        <f>HYPERLINK("https://www.boe.es/gazeta/dias/1822/07/20/pdfs/GMD-1822-212.pdf#page=6","Abrir facsímil")</f>
        <v>Abrir facsímil</v>
      </c>
      <c r="K4384" s="3" t="s">
        <v>22</v>
      </c>
    </row>
    <row r="4385" spans="1:11" ht="42" customHeight="1">
      <c r="A4385" s="2" t="s">
        <v>8824</v>
      </c>
      <c r="B4385" s="2" t="s">
        <v>8825</v>
      </c>
      <c r="C4385" s="2" t="s">
        <v>71</v>
      </c>
      <c r="D4385" s="2" t="s">
        <v>17</v>
      </c>
      <c r="E4385" s="5">
        <v>-28176</v>
      </c>
      <c r="F4385" s="3" t="s">
        <v>780</v>
      </c>
      <c r="G4385" s="3" t="s">
        <v>63</v>
      </c>
      <c r="H4385" s="2" t="s">
        <v>20</v>
      </c>
      <c r="I4385" s="2" t="s">
        <v>8826</v>
      </c>
      <c r="J4385" s="3" t="str">
        <f>HYPERLINK("https://www.boe.es/gazeta/dias/1822/11/08/pdfs/GMD-1822-328.pdf#page=6","Abrir facsímil")</f>
        <v>Abrir facsímil</v>
      </c>
      <c r="K4385" s="3" t="s">
        <v>22</v>
      </c>
    </row>
    <row r="4386" spans="1:11" ht="42" customHeight="1">
      <c r="A4386" s="2" t="s">
        <v>8827</v>
      </c>
      <c r="B4386" s="2" t="s">
        <v>8828</v>
      </c>
      <c r="C4386" s="2" t="s">
        <v>28</v>
      </c>
      <c r="D4386" s="2" t="s">
        <v>29</v>
      </c>
      <c r="E4386" s="5">
        <v>-28326</v>
      </c>
      <c r="F4386" s="3" t="s">
        <v>543</v>
      </c>
      <c r="G4386" s="3" t="s">
        <v>63</v>
      </c>
      <c r="H4386" s="2" t="s">
        <v>20</v>
      </c>
      <c r="I4386" s="2" t="s">
        <v>8829</v>
      </c>
      <c r="J4386" s="3" t="str">
        <f>HYPERLINK("https://www.boe.es/gazeta/dias/1822/06/11/pdfs/GMD-1822-168.pdf#page=6","Abrir facsímil")</f>
        <v>Abrir facsímil</v>
      </c>
      <c r="K4386" s="3" t="s">
        <v>22</v>
      </c>
    </row>
    <row r="4387" spans="1:11" ht="42" customHeight="1">
      <c r="A4387" s="2" t="s">
        <v>8830</v>
      </c>
      <c r="B4387" s="2" t="s">
        <v>8831</v>
      </c>
      <c r="C4387" s="2" t="s">
        <v>16</v>
      </c>
      <c r="D4387" s="2" t="s">
        <v>17</v>
      </c>
      <c r="E4387" s="5">
        <v>-28319</v>
      </c>
      <c r="F4387" s="3" t="s">
        <v>271</v>
      </c>
      <c r="G4387" s="3" t="s">
        <v>19</v>
      </c>
      <c r="H4387" s="2" t="s">
        <v>20</v>
      </c>
      <c r="I4387" s="2" t="s">
        <v>8832</v>
      </c>
      <c r="J4387" s="3" t="str">
        <f>HYPERLINK("https://www.boe.es/gazeta/dias/1822/06/18/pdfs/GMD-1822-175.pdf#page=5","Abrir facsímil")</f>
        <v>Abrir facsímil</v>
      </c>
      <c r="K4387" s="3" t="s">
        <v>22</v>
      </c>
    </row>
    <row r="4388" spans="1:11" ht="42" customHeight="1">
      <c r="A4388" s="2" t="s">
        <v>8833</v>
      </c>
      <c r="B4388" s="2" t="s">
        <v>8833</v>
      </c>
      <c r="C4388" s="2" t="s">
        <v>71</v>
      </c>
      <c r="D4388" s="2" t="s">
        <v>17</v>
      </c>
      <c r="E4388" s="5">
        <v>-28307</v>
      </c>
      <c r="F4388" s="3" t="s">
        <v>555</v>
      </c>
      <c r="G4388" s="3" t="s">
        <v>31</v>
      </c>
      <c r="H4388" s="2" t="s">
        <v>20</v>
      </c>
      <c r="I4388" s="2" t="s">
        <v>8834</v>
      </c>
      <c r="J4388" s="3" t="str">
        <f>HYPERLINK("https://www.boe.es/gazeta/dias/1822/06/30/pdfs/GMD-1822-188.pdf#page=3","Abrir facsímil")</f>
        <v>Abrir facsímil</v>
      </c>
      <c r="K4388" s="3" t="s">
        <v>22</v>
      </c>
    </row>
    <row r="4389" spans="1:11" ht="42" customHeight="1">
      <c r="A4389" s="2" t="s">
        <v>8835</v>
      </c>
      <c r="B4389" s="2" t="s">
        <v>8835</v>
      </c>
      <c r="C4389" s="2" t="s">
        <v>42</v>
      </c>
      <c r="D4389" s="2" t="s">
        <v>17</v>
      </c>
      <c r="E4389" s="5">
        <v>-28456</v>
      </c>
      <c r="F4389" s="3" t="s">
        <v>1104</v>
      </c>
      <c r="G4389" s="3" t="s">
        <v>35</v>
      </c>
      <c r="H4389" s="2" t="s">
        <v>20</v>
      </c>
      <c r="I4389" s="2" t="s">
        <v>8836</v>
      </c>
      <c r="J4389" s="3" t="str">
        <f>HYPERLINK("https://www.boe.es/gazeta/dias/1822/02/01/pdfs/GMD-1822-32.pdf#page=2","Abrir facsímil")</f>
        <v>Abrir facsímil</v>
      </c>
      <c r="K4389" s="3" t="s">
        <v>22</v>
      </c>
    </row>
    <row r="4390" spans="1:11" ht="42" customHeight="1">
      <c r="A4390" s="2" t="s">
        <v>8835</v>
      </c>
      <c r="B4390" s="2" t="s">
        <v>8835</v>
      </c>
      <c r="C4390" s="2" t="s">
        <v>71</v>
      </c>
      <c r="D4390" s="2" t="s">
        <v>17</v>
      </c>
      <c r="E4390" s="5">
        <v>-28416</v>
      </c>
      <c r="F4390" s="3" t="s">
        <v>97</v>
      </c>
      <c r="G4390" s="3" t="s">
        <v>63</v>
      </c>
      <c r="H4390" s="2" t="s">
        <v>20</v>
      </c>
      <c r="I4390" s="2" t="s">
        <v>8837</v>
      </c>
      <c r="J4390" s="3" t="str">
        <f>HYPERLINK("https://www.boe.es/gazeta/dias/1822/03/13/pdfs/GMD-1822-74.pdf#page=6","Abrir facsímil")</f>
        <v>Abrir facsímil</v>
      </c>
      <c r="K4390" s="3" t="s">
        <v>22</v>
      </c>
    </row>
    <row r="4391" spans="1:11" ht="42" customHeight="1">
      <c r="A4391" s="2" t="s">
        <v>8835</v>
      </c>
      <c r="B4391" s="2" t="s">
        <v>8835</v>
      </c>
      <c r="C4391" s="2" t="s">
        <v>28</v>
      </c>
      <c r="D4391" s="2" t="s">
        <v>29</v>
      </c>
      <c r="E4391" s="5">
        <v>-28395</v>
      </c>
      <c r="F4391" s="3" t="s">
        <v>237</v>
      </c>
      <c r="G4391" s="3" t="s">
        <v>57</v>
      </c>
      <c r="H4391" s="2" t="s">
        <v>20</v>
      </c>
      <c r="I4391" s="2" t="s">
        <v>8838</v>
      </c>
      <c r="J4391" s="3" t="str">
        <f>HYPERLINK("https://www.boe.es/gazeta/dias/1822/04/03/pdfs/GMD-1822-95.pdf#page=4","Abrir facsímil")</f>
        <v>Abrir facsímil</v>
      </c>
      <c r="K4391" s="3" t="s">
        <v>22</v>
      </c>
    </row>
    <row r="4392" spans="1:11" ht="42" customHeight="1">
      <c r="A4392" s="2" t="s">
        <v>8835</v>
      </c>
      <c r="B4392" s="2" t="s">
        <v>8835</v>
      </c>
      <c r="C4392" s="2" t="s">
        <v>28</v>
      </c>
      <c r="D4392" s="2" t="s">
        <v>29</v>
      </c>
      <c r="E4392" s="5">
        <v>-28381</v>
      </c>
      <c r="F4392" s="3" t="s">
        <v>358</v>
      </c>
      <c r="G4392" s="3" t="s">
        <v>35</v>
      </c>
      <c r="H4392" s="2" t="s">
        <v>20</v>
      </c>
      <c r="I4392" s="2" t="s">
        <v>8839</v>
      </c>
      <c r="J4392" s="3" t="str">
        <f>HYPERLINK("https://www.boe.es/gazeta/dias/1822/04/17/pdfs/GMD-1822-109.pdf#page=2","Abrir facsímil")</f>
        <v>Abrir facsímil</v>
      </c>
      <c r="K4392" s="3" t="s">
        <v>22</v>
      </c>
    </row>
    <row r="4393" spans="1:11" ht="42" customHeight="1">
      <c r="A4393" s="2" t="s">
        <v>8835</v>
      </c>
      <c r="B4393" s="2" t="s">
        <v>8835</v>
      </c>
      <c r="C4393" s="2" t="s">
        <v>28</v>
      </c>
      <c r="D4393" s="2" t="s">
        <v>29</v>
      </c>
      <c r="E4393" s="5">
        <v>-28352</v>
      </c>
      <c r="F4393" s="3" t="s">
        <v>1575</v>
      </c>
      <c r="G4393" s="3" t="s">
        <v>63</v>
      </c>
      <c r="H4393" s="2" t="s">
        <v>20</v>
      </c>
      <c r="I4393" s="2" t="s">
        <v>8840</v>
      </c>
      <c r="J4393" s="3" t="str">
        <f>HYPERLINK("https://www.boe.es/gazeta/dias/1822/05/16/pdfs/GMD-1822-138.pdf#page=6","Abrir facsímil")</f>
        <v>Abrir facsímil</v>
      </c>
      <c r="K4393" s="3" t="s">
        <v>22</v>
      </c>
    </row>
    <row r="4394" spans="1:11" ht="42" customHeight="1">
      <c r="A4394" s="2" t="s">
        <v>8835</v>
      </c>
      <c r="B4394" s="2" t="s">
        <v>8835</v>
      </c>
      <c r="C4394" s="2" t="s">
        <v>28</v>
      </c>
      <c r="D4394" s="2" t="s">
        <v>29</v>
      </c>
      <c r="E4394" s="5">
        <v>-28337</v>
      </c>
      <c r="F4394" s="3" t="s">
        <v>1836</v>
      </c>
      <c r="G4394" s="3" t="s">
        <v>4337</v>
      </c>
      <c r="H4394" s="2" t="s">
        <v>20</v>
      </c>
      <c r="I4394" s="2" t="s">
        <v>8841</v>
      </c>
      <c r="J4394" s="3" t="str">
        <f>HYPERLINK("https://www.boe.es/gazeta/dias/1822/05/31/pdfs/GMD-1822-156.pdf#page=6","Abrir facsímil")</f>
        <v>Abrir facsímil</v>
      </c>
      <c r="K4394" s="3" t="s">
        <v>22</v>
      </c>
    </row>
    <row r="4395" spans="1:11" ht="42" customHeight="1">
      <c r="A4395" s="2" t="s">
        <v>8835</v>
      </c>
      <c r="B4395" s="2" t="s">
        <v>8835</v>
      </c>
      <c r="C4395" s="2" t="s">
        <v>50</v>
      </c>
      <c r="D4395" s="2" t="s">
        <v>51</v>
      </c>
      <c r="E4395" s="5">
        <v>-28326</v>
      </c>
      <c r="F4395" s="3" t="s">
        <v>543</v>
      </c>
      <c r="G4395" s="3" t="s">
        <v>63</v>
      </c>
      <c r="H4395" s="2" t="s">
        <v>20</v>
      </c>
      <c r="I4395" s="2" t="s">
        <v>8842</v>
      </c>
      <c r="J4395" s="3" t="str">
        <f>HYPERLINK("https://www.boe.es/gazeta/dias/1822/06/11/pdfs/GMD-1822-168.pdf#page=6","Abrir facsímil")</f>
        <v>Abrir facsímil</v>
      </c>
      <c r="K4395" s="3" t="s">
        <v>22</v>
      </c>
    </row>
    <row r="4396" spans="1:11" ht="42" customHeight="1">
      <c r="A4396" s="2" t="s">
        <v>8835</v>
      </c>
      <c r="B4396" s="2" t="s">
        <v>8835</v>
      </c>
      <c r="C4396" s="2" t="s">
        <v>50</v>
      </c>
      <c r="D4396" s="2" t="s">
        <v>51</v>
      </c>
      <c r="E4396" s="5">
        <v>-28297</v>
      </c>
      <c r="F4396" s="3" t="s">
        <v>1972</v>
      </c>
      <c r="G4396" s="3" t="s">
        <v>57</v>
      </c>
      <c r="H4396" s="2" t="s">
        <v>20</v>
      </c>
      <c r="I4396" s="2" t="s">
        <v>8843</v>
      </c>
      <c r="J4396" s="3" t="str">
        <f>HYPERLINK("https://www.boe.es/gazeta/dias/1822/07/10/pdfs/GMD-1822-200.pdf#page=4","Abrir facsímil")</f>
        <v>Abrir facsímil</v>
      </c>
      <c r="K4396" s="3" t="s">
        <v>22</v>
      </c>
    </row>
    <row r="4397" spans="1:11" ht="42" customHeight="1">
      <c r="A4397" s="2" t="s">
        <v>8835</v>
      </c>
      <c r="B4397" s="2" t="s">
        <v>8835</v>
      </c>
      <c r="C4397" s="2" t="s">
        <v>50</v>
      </c>
      <c r="D4397" s="2" t="s">
        <v>51</v>
      </c>
      <c r="E4397" s="5">
        <v>-28290</v>
      </c>
      <c r="F4397" s="3" t="s">
        <v>706</v>
      </c>
      <c r="G4397" s="3" t="s">
        <v>57</v>
      </c>
      <c r="H4397" s="2" t="s">
        <v>20</v>
      </c>
      <c r="I4397" s="2" t="s">
        <v>8844</v>
      </c>
      <c r="J4397" s="3" t="str">
        <f>HYPERLINK("https://www.boe.es/gazeta/dias/1822/07/17/pdfs/GMD-1822-207.pdf#page=4","Abrir facsímil")</f>
        <v>Abrir facsímil</v>
      </c>
      <c r="K4397" s="3" t="s">
        <v>22</v>
      </c>
    </row>
    <row r="4398" spans="1:11" ht="42" customHeight="1">
      <c r="A4398" s="2" t="s">
        <v>8835</v>
      </c>
      <c r="B4398" s="2" t="s">
        <v>8835</v>
      </c>
      <c r="C4398" s="2" t="s">
        <v>28</v>
      </c>
      <c r="D4398" s="2" t="s">
        <v>29</v>
      </c>
      <c r="E4398" s="5">
        <v>-28283</v>
      </c>
      <c r="F4398" s="3" t="s">
        <v>1477</v>
      </c>
      <c r="G4398" s="3" t="s">
        <v>57</v>
      </c>
      <c r="H4398" s="2" t="s">
        <v>20</v>
      </c>
      <c r="I4398" s="2" t="s">
        <v>8845</v>
      </c>
      <c r="J4398" s="3" t="str">
        <f>HYPERLINK("https://www.boe.es/gazeta/dias/1822/07/24/pdfs/GMD-1822-217.pdf#page=4","Abrir facsímil")</f>
        <v>Abrir facsímil</v>
      </c>
      <c r="K4398" s="3" t="s">
        <v>22</v>
      </c>
    </row>
    <row r="4399" spans="1:11" ht="42" customHeight="1">
      <c r="A4399" s="2" t="s">
        <v>8835</v>
      </c>
      <c r="B4399" s="2" t="s">
        <v>8835</v>
      </c>
      <c r="C4399" s="2" t="s">
        <v>50</v>
      </c>
      <c r="D4399" s="2" t="s">
        <v>51</v>
      </c>
      <c r="E4399" s="5">
        <v>-28279</v>
      </c>
      <c r="F4399" s="3" t="s">
        <v>662</v>
      </c>
      <c r="G4399" s="3" t="s">
        <v>35</v>
      </c>
      <c r="H4399" s="2" t="s">
        <v>20</v>
      </c>
      <c r="I4399" s="2" t="s">
        <v>8846</v>
      </c>
      <c r="J4399" s="3" t="str">
        <f>HYPERLINK("https://www.boe.es/gazeta/dias/1822/07/28/pdfs/GMD-1822-221.pdf#page=2","Abrir facsímil")</f>
        <v>Abrir facsímil</v>
      </c>
      <c r="K4399" s="3" t="s">
        <v>22</v>
      </c>
    </row>
    <row r="4400" spans="1:11" ht="42" customHeight="1">
      <c r="A4400" s="2" t="s">
        <v>8835</v>
      </c>
      <c r="B4400" s="2" t="s">
        <v>8835</v>
      </c>
      <c r="C4400" s="2" t="s">
        <v>50</v>
      </c>
      <c r="D4400" s="2" t="s">
        <v>51</v>
      </c>
      <c r="E4400" s="5">
        <v>-28275</v>
      </c>
      <c r="F4400" s="3" t="s">
        <v>1297</v>
      </c>
      <c r="G4400" s="3" t="s">
        <v>35</v>
      </c>
      <c r="H4400" s="2" t="s">
        <v>20</v>
      </c>
      <c r="I4400" s="2" t="s">
        <v>8847</v>
      </c>
      <c r="J4400" s="3" t="str">
        <f>HYPERLINK("https://www.boe.es/gazeta/dias/1822/08/01/pdfs/GMD-1822-225.pdf#page=2","Abrir facsímil")</f>
        <v>Abrir facsímil</v>
      </c>
      <c r="K4400" s="3" t="s">
        <v>22</v>
      </c>
    </row>
    <row r="4401" spans="1:11" ht="42" customHeight="1">
      <c r="A4401" s="2" t="s">
        <v>8835</v>
      </c>
      <c r="B4401" s="2" t="s">
        <v>8835</v>
      </c>
      <c r="C4401" s="2" t="s">
        <v>71</v>
      </c>
      <c r="D4401" s="2" t="s">
        <v>17</v>
      </c>
      <c r="E4401" s="5">
        <v>-28268</v>
      </c>
      <c r="F4401" s="3" t="s">
        <v>7231</v>
      </c>
      <c r="G4401" s="3" t="s">
        <v>35</v>
      </c>
      <c r="H4401" s="2" t="s">
        <v>20</v>
      </c>
      <c r="I4401" s="2" t="s">
        <v>8848</v>
      </c>
      <c r="J4401" s="3" t="str">
        <f>HYPERLINK("https://www.boe.es/gazeta/dias/1822/08/08/pdfs/GMD-1822-232.pdf#page=2","Abrir facsímil")</f>
        <v>Abrir facsímil</v>
      </c>
      <c r="K4401" s="3" t="s">
        <v>22</v>
      </c>
    </row>
    <row r="4402" spans="1:11" ht="42" customHeight="1">
      <c r="A4402" s="2" t="s">
        <v>8835</v>
      </c>
      <c r="B4402" s="2" t="s">
        <v>8835</v>
      </c>
      <c r="C4402" s="2" t="s">
        <v>50</v>
      </c>
      <c r="D4402" s="2" t="s">
        <v>51</v>
      </c>
      <c r="E4402" s="5">
        <v>-28260</v>
      </c>
      <c r="F4402" s="3" t="s">
        <v>135</v>
      </c>
      <c r="G4402" s="3" t="s">
        <v>35</v>
      </c>
      <c r="H4402" s="2" t="s">
        <v>20</v>
      </c>
      <c r="I4402" s="2" t="s">
        <v>8849</v>
      </c>
      <c r="J4402" s="3" t="str">
        <f>HYPERLINK("https://www.boe.es/gazeta/dias/1822/08/16/pdfs/GMD-1822-240.pdf#page=2","Abrir facsímil")</f>
        <v>Abrir facsímil</v>
      </c>
      <c r="K4402" s="3" t="s">
        <v>22</v>
      </c>
    </row>
    <row r="4403" spans="1:11" ht="42" customHeight="1">
      <c r="A4403" s="2" t="s">
        <v>8835</v>
      </c>
      <c r="B4403" s="2" t="s">
        <v>8835</v>
      </c>
      <c r="C4403" s="2" t="s">
        <v>50</v>
      </c>
      <c r="D4403" s="2" t="s">
        <v>51</v>
      </c>
      <c r="E4403" s="5">
        <v>-28253</v>
      </c>
      <c r="F4403" s="3" t="s">
        <v>413</v>
      </c>
      <c r="G4403" s="3" t="s">
        <v>35</v>
      </c>
      <c r="H4403" s="2" t="s">
        <v>20</v>
      </c>
      <c r="I4403" s="2" t="s">
        <v>8850</v>
      </c>
      <c r="J4403" s="3" t="str">
        <f>HYPERLINK("https://www.boe.es/gazeta/dias/1822/08/23/pdfs/GMD-1822-247.pdf#page=2","Abrir facsímil")</f>
        <v>Abrir facsímil</v>
      </c>
      <c r="K4403" s="3" t="s">
        <v>22</v>
      </c>
    </row>
    <row r="4404" spans="1:11" ht="42" customHeight="1">
      <c r="A4404" s="2" t="s">
        <v>8835</v>
      </c>
      <c r="B4404" s="2" t="s">
        <v>8835</v>
      </c>
      <c r="C4404" s="2" t="s">
        <v>50</v>
      </c>
      <c r="D4404" s="2" t="s">
        <v>51</v>
      </c>
      <c r="E4404" s="5">
        <v>-28246</v>
      </c>
      <c r="F4404" s="3" t="s">
        <v>3246</v>
      </c>
      <c r="G4404" s="3" t="s">
        <v>3393</v>
      </c>
      <c r="H4404" s="2" t="s">
        <v>20</v>
      </c>
      <c r="I4404" s="2" t="s">
        <v>8851</v>
      </c>
      <c r="J4404" s="3" t="str">
        <f>HYPERLINK("https://www.boe.es/gazeta/dias/1822/08/30/pdfs/GMD-1822-254.pdf#page=3","Abrir facsímil")</f>
        <v>Abrir facsímil</v>
      </c>
      <c r="K4404" s="3" t="s">
        <v>22</v>
      </c>
    </row>
    <row r="4405" spans="1:11" ht="42" customHeight="1">
      <c r="A4405" s="2" t="s">
        <v>8835</v>
      </c>
      <c r="B4405" s="2" t="s">
        <v>8835</v>
      </c>
      <c r="C4405" s="2" t="s">
        <v>50</v>
      </c>
      <c r="D4405" s="2" t="s">
        <v>51</v>
      </c>
      <c r="E4405" s="5">
        <v>-28241</v>
      </c>
      <c r="F4405" s="3" t="s">
        <v>3068</v>
      </c>
      <c r="G4405" s="3" t="s">
        <v>35</v>
      </c>
      <c r="H4405" s="2" t="s">
        <v>20</v>
      </c>
      <c r="I4405" s="2" t="s">
        <v>8852</v>
      </c>
      <c r="J4405" s="3" t="str">
        <f>HYPERLINK("https://www.boe.es/gazeta/dias/1822/09/04/pdfs/GMD-1822-259.pdf#page=2","Abrir facsímil")</f>
        <v>Abrir facsímil</v>
      </c>
      <c r="K4405" s="3" t="s">
        <v>22</v>
      </c>
    </row>
    <row r="4406" spans="1:11" ht="42" customHeight="1">
      <c r="A4406" s="2" t="s">
        <v>8835</v>
      </c>
      <c r="B4406" s="2" t="s">
        <v>8835</v>
      </c>
      <c r="C4406" s="2" t="s">
        <v>50</v>
      </c>
      <c r="D4406" s="2" t="s">
        <v>51</v>
      </c>
      <c r="E4406" s="5">
        <v>-28234</v>
      </c>
      <c r="F4406" s="3" t="s">
        <v>1331</v>
      </c>
      <c r="G4406" s="3" t="s">
        <v>35</v>
      </c>
      <c r="H4406" s="2" t="s">
        <v>20</v>
      </c>
      <c r="I4406" s="2" t="s">
        <v>8853</v>
      </c>
      <c r="J4406" s="3" t="str">
        <f>HYPERLINK("https://www.boe.es/gazeta/dias/1822/09/11/pdfs/GMD-1822-267.pdf#page=2","Abrir facsímil")</f>
        <v>Abrir facsímil</v>
      </c>
      <c r="K4406" s="3" t="s">
        <v>22</v>
      </c>
    </row>
    <row r="4407" spans="1:11" ht="42" customHeight="1">
      <c r="A4407" s="2" t="s">
        <v>8835</v>
      </c>
      <c r="B4407" s="2" t="s">
        <v>8835</v>
      </c>
      <c r="C4407" s="2" t="s">
        <v>50</v>
      </c>
      <c r="D4407" s="2" t="s">
        <v>51</v>
      </c>
      <c r="E4407" s="5">
        <v>-28230</v>
      </c>
      <c r="F4407" s="3" t="s">
        <v>1735</v>
      </c>
      <c r="G4407" s="3" t="s">
        <v>57</v>
      </c>
      <c r="H4407" s="2" t="s">
        <v>20</v>
      </c>
      <c r="I4407" s="2" t="s">
        <v>8854</v>
      </c>
      <c r="J4407" s="3" t="str">
        <f>HYPERLINK("https://www.boe.es/gazeta/dias/1822/09/15/pdfs/GMD-1822-271.pdf#page=4","Abrir facsímil")</f>
        <v>Abrir facsímil</v>
      </c>
      <c r="K4407" s="3" t="s">
        <v>22</v>
      </c>
    </row>
    <row r="4408" spans="1:11" ht="42" customHeight="1">
      <c r="A4408" s="2" t="s">
        <v>8835</v>
      </c>
      <c r="B4408" s="2" t="s">
        <v>8835</v>
      </c>
      <c r="C4408" s="2" t="s">
        <v>50</v>
      </c>
      <c r="D4408" s="2" t="s">
        <v>51</v>
      </c>
      <c r="E4408" s="5">
        <v>-28220</v>
      </c>
      <c r="F4408" s="3" t="s">
        <v>1914</v>
      </c>
      <c r="G4408" s="3" t="s">
        <v>35</v>
      </c>
      <c r="H4408" s="2" t="s">
        <v>20</v>
      </c>
      <c r="I4408" s="2" t="s">
        <v>8855</v>
      </c>
      <c r="J4408" s="3" t="str">
        <f>HYPERLINK("https://www.boe.es/gazeta/dias/1822/09/25/pdfs/GMD-1822-281.pdf#page=2","Abrir facsímil")</f>
        <v>Abrir facsímil</v>
      </c>
      <c r="K4408" s="3" t="s">
        <v>22</v>
      </c>
    </row>
    <row r="4409" spans="1:11" ht="42" customHeight="1">
      <c r="A4409" s="2" t="s">
        <v>8835</v>
      </c>
      <c r="B4409" s="2" t="s">
        <v>8835</v>
      </c>
      <c r="C4409" s="2" t="s">
        <v>50</v>
      </c>
      <c r="D4409" s="2" t="s">
        <v>51</v>
      </c>
      <c r="E4409" s="5">
        <v>-28208</v>
      </c>
      <c r="F4409" s="3" t="s">
        <v>230</v>
      </c>
      <c r="G4409" s="3" t="s">
        <v>35</v>
      </c>
      <c r="H4409" s="2" t="s">
        <v>20</v>
      </c>
      <c r="I4409" s="2" t="s">
        <v>8856</v>
      </c>
      <c r="J4409" s="3" t="str">
        <f>HYPERLINK("https://www.boe.es/gazeta/dias/1822/10/07/pdfs/GMD-1822-293.pdf#page=2","Abrir facsímil")</f>
        <v>Abrir facsímil</v>
      </c>
      <c r="K4409" s="3" t="s">
        <v>22</v>
      </c>
    </row>
    <row r="4410" spans="1:11" ht="42" customHeight="1">
      <c r="A4410" s="2" t="s">
        <v>8835</v>
      </c>
      <c r="B4410" s="2" t="s">
        <v>8835</v>
      </c>
      <c r="C4410" s="2" t="s">
        <v>28</v>
      </c>
      <c r="D4410" s="2" t="s">
        <v>29</v>
      </c>
      <c r="E4410" s="5">
        <v>-28206</v>
      </c>
      <c r="F4410" s="3" t="s">
        <v>562</v>
      </c>
      <c r="G4410" s="3" t="s">
        <v>35</v>
      </c>
      <c r="H4410" s="2" t="s">
        <v>20</v>
      </c>
      <c r="I4410" s="2" t="s">
        <v>8857</v>
      </c>
      <c r="J4410" s="3" t="str">
        <f>HYPERLINK("https://www.boe.es/gazeta/dias/1822/10/09/pdfs/GMD-1822-296.pdf#page=2","Abrir facsímil")</f>
        <v>Abrir facsímil</v>
      </c>
      <c r="K4410" s="3" t="s">
        <v>22</v>
      </c>
    </row>
    <row r="4411" spans="1:11" ht="42" customHeight="1">
      <c r="A4411" s="2" t="s">
        <v>8835</v>
      </c>
      <c r="B4411" s="2" t="s">
        <v>8835</v>
      </c>
      <c r="C4411" s="2" t="s">
        <v>50</v>
      </c>
      <c r="D4411" s="2" t="s">
        <v>51</v>
      </c>
      <c r="E4411" s="5">
        <v>-28135</v>
      </c>
      <c r="F4411" s="3" t="s">
        <v>1030</v>
      </c>
      <c r="G4411" s="3" t="s">
        <v>57</v>
      </c>
      <c r="H4411" s="2" t="s">
        <v>20</v>
      </c>
      <c r="I4411" s="2" t="s">
        <v>8858</v>
      </c>
      <c r="J4411" s="3" t="str">
        <f>HYPERLINK("https://www.boe.es/gazeta/dias/1822/12/19/pdfs/GMD-1822-369.pdf#page=4","Abrir facsímil")</f>
        <v>Abrir facsímil</v>
      </c>
      <c r="K4411" s="3" t="s">
        <v>22</v>
      </c>
    </row>
    <row r="4412" spans="1:11" ht="42" customHeight="1">
      <c r="A4412" s="2" t="s">
        <v>8859</v>
      </c>
      <c r="B4412" s="2" t="s">
        <v>8859</v>
      </c>
      <c r="C4412" s="2" t="s">
        <v>50</v>
      </c>
      <c r="D4412" s="2" t="s">
        <v>51</v>
      </c>
      <c r="E4412" s="5">
        <v>-28176</v>
      </c>
      <c r="F4412" s="3" t="s">
        <v>780</v>
      </c>
      <c r="G4412" s="3" t="s">
        <v>44</v>
      </c>
      <c r="H4412" s="2" t="s">
        <v>20</v>
      </c>
      <c r="I4412" s="2" t="s">
        <v>8860</v>
      </c>
      <c r="J4412" s="3" t="str">
        <f>HYPERLINK("https://www.boe.es/gazeta/dias/1822/11/08/pdfs/GMD-1822-328.pdf#page=1","Abrir facsímil")</f>
        <v>Abrir facsímil</v>
      </c>
      <c r="K4412" s="3" t="s">
        <v>22</v>
      </c>
    </row>
    <row r="4413" spans="1:11" ht="42" customHeight="1">
      <c r="A4413" s="2" t="s">
        <v>8861</v>
      </c>
      <c r="B4413" s="2" t="s">
        <v>8862</v>
      </c>
      <c r="C4413" s="2" t="s">
        <v>71</v>
      </c>
      <c r="D4413" s="2" t="s">
        <v>17</v>
      </c>
      <c r="E4413" s="5">
        <v>-28330</v>
      </c>
      <c r="F4413" s="3" t="s">
        <v>896</v>
      </c>
      <c r="G4413" s="3" t="s">
        <v>57</v>
      </c>
      <c r="H4413" s="2" t="s">
        <v>20</v>
      </c>
      <c r="I4413" s="2" t="s">
        <v>8863</v>
      </c>
      <c r="J4413" s="3" t="str">
        <f>HYPERLINK("https://www.boe.es/gazeta/dias/1822/06/07/pdfs/GMD-1822-164.pdf#page=4","Abrir facsímil")</f>
        <v>Abrir facsímil</v>
      </c>
      <c r="K4413" s="3" t="s">
        <v>22</v>
      </c>
    </row>
    <row r="4414" spans="1:11" ht="42" customHeight="1">
      <c r="A4414" s="2" t="s">
        <v>8861</v>
      </c>
      <c r="B4414" s="2" t="s">
        <v>8862</v>
      </c>
      <c r="C4414" s="2" t="s">
        <v>50</v>
      </c>
      <c r="D4414" s="2" t="s">
        <v>51</v>
      </c>
      <c r="E4414" s="5">
        <v>-28329</v>
      </c>
      <c r="F4414" s="3" t="s">
        <v>354</v>
      </c>
      <c r="G4414" s="3" t="s">
        <v>63</v>
      </c>
      <c r="H4414" s="2" t="s">
        <v>20</v>
      </c>
      <c r="I4414" s="2" t="s">
        <v>8864</v>
      </c>
      <c r="J4414" s="3" t="str">
        <f>HYPERLINK("https://www.boe.es/gazeta/dias/1822/06/08/pdfs/GMD-1822-165.pdf#page=6","Abrir facsímil")</f>
        <v>Abrir facsímil</v>
      </c>
      <c r="K4414" s="3" t="s">
        <v>22</v>
      </c>
    </row>
    <row r="4415" spans="1:11" ht="42" customHeight="1">
      <c r="A4415" s="2" t="s">
        <v>8861</v>
      </c>
      <c r="B4415" s="2" t="s">
        <v>8862</v>
      </c>
      <c r="C4415" s="2" t="s">
        <v>50</v>
      </c>
      <c r="D4415" s="2" t="s">
        <v>51</v>
      </c>
      <c r="E4415" s="5">
        <v>-28149</v>
      </c>
      <c r="F4415" s="3" t="s">
        <v>1322</v>
      </c>
      <c r="G4415" s="3" t="s">
        <v>57</v>
      </c>
      <c r="H4415" s="2" t="s">
        <v>20</v>
      </c>
      <c r="I4415" s="2" t="s">
        <v>8865</v>
      </c>
      <c r="J4415" s="3" t="str">
        <f>HYPERLINK("https://www.boe.es/gazeta/dias/1822/12/05/pdfs/GMD-1822-355.pdf#page=4","Abrir facsímil")</f>
        <v>Abrir facsímil</v>
      </c>
      <c r="K4415" s="3" t="s">
        <v>22</v>
      </c>
    </row>
    <row r="4416" spans="1:11" ht="42" customHeight="1">
      <c r="A4416" s="2" t="s">
        <v>8866</v>
      </c>
      <c r="B4416" s="2" t="s">
        <v>8867</v>
      </c>
      <c r="C4416" s="2" t="s">
        <v>71</v>
      </c>
      <c r="D4416" s="2" t="s">
        <v>17</v>
      </c>
      <c r="E4416" s="5">
        <v>-28293</v>
      </c>
      <c r="F4416" s="3" t="s">
        <v>152</v>
      </c>
      <c r="G4416" s="3" t="s">
        <v>57</v>
      </c>
      <c r="H4416" s="2" t="s">
        <v>45</v>
      </c>
      <c r="I4416" s="2" t="s">
        <v>8868</v>
      </c>
      <c r="J4416" s="3" t="str">
        <f>HYPERLINK("https://www.boe.es/gazeta/dias/1822/07/14/pdfs/GMD-1822-204.pdf#page=4","Abrir facsímil")</f>
        <v>Abrir facsímil</v>
      </c>
      <c r="K4416" s="3" t="s">
        <v>47</v>
      </c>
    </row>
    <row r="4417" spans="1:11" ht="42" customHeight="1">
      <c r="A4417" s="2" t="s">
        <v>8869</v>
      </c>
      <c r="B4417" s="2" t="s">
        <v>8869</v>
      </c>
      <c r="C4417" s="2" t="s">
        <v>50</v>
      </c>
      <c r="D4417" s="2" t="s">
        <v>51</v>
      </c>
      <c r="E4417" s="5">
        <v>-28442</v>
      </c>
      <c r="F4417" s="3" t="s">
        <v>2250</v>
      </c>
      <c r="G4417" s="3" t="s">
        <v>44</v>
      </c>
      <c r="H4417" s="2" t="s">
        <v>20</v>
      </c>
      <c r="I4417" s="2" t="s">
        <v>8870</v>
      </c>
      <c r="J4417" s="3" t="str">
        <f>HYPERLINK("https://www.boe.es/gazeta/dias/1822/02/15/pdfs/GMD-1822-47.pdf#page=1","Abrir facsímil")</f>
        <v>Abrir facsímil</v>
      </c>
      <c r="K4417" s="3" t="s">
        <v>22</v>
      </c>
    </row>
    <row r="4418" spans="1:11" ht="42" customHeight="1">
      <c r="A4418" s="2" t="s">
        <v>8871</v>
      </c>
      <c r="B4418" s="2" t="s">
        <v>8871</v>
      </c>
      <c r="C4418" s="2" t="s">
        <v>50</v>
      </c>
      <c r="D4418" s="2" t="s">
        <v>51</v>
      </c>
      <c r="E4418" s="5">
        <v>-28442</v>
      </c>
      <c r="F4418" s="3" t="s">
        <v>2250</v>
      </c>
      <c r="G4418" s="3" t="s">
        <v>35</v>
      </c>
      <c r="H4418" s="2" t="s">
        <v>20</v>
      </c>
      <c r="I4418" s="2" t="s">
        <v>8872</v>
      </c>
      <c r="J4418" s="3" t="str">
        <f>HYPERLINK("https://www.boe.es/gazeta/dias/1822/02/15/pdfs/GMD-1822-47.pdf#page=2","Abrir facsímil")</f>
        <v>Abrir facsímil</v>
      </c>
      <c r="K4418" s="3" t="s">
        <v>22</v>
      </c>
    </row>
    <row r="4419" spans="1:11" ht="42" customHeight="1">
      <c r="A4419" s="2" t="s">
        <v>8871</v>
      </c>
      <c r="B4419" s="2" t="s">
        <v>8871</v>
      </c>
      <c r="C4419" s="2" t="s">
        <v>50</v>
      </c>
      <c r="D4419" s="2" t="s">
        <v>51</v>
      </c>
      <c r="E4419" s="5">
        <v>-28305</v>
      </c>
      <c r="F4419" s="3" t="s">
        <v>1337</v>
      </c>
      <c r="G4419" s="3" t="s">
        <v>31</v>
      </c>
      <c r="H4419" s="2" t="s">
        <v>20</v>
      </c>
      <c r="I4419" s="2" t="s">
        <v>8873</v>
      </c>
      <c r="J4419" s="3" t="str">
        <f>HYPERLINK("https://www.boe.es/gazeta/dias/1822/07/02/pdfs/GMD-1822-191.pdf#page=3","Abrir facsímil")</f>
        <v>Abrir facsímil</v>
      </c>
      <c r="K4419" s="3" t="s">
        <v>22</v>
      </c>
    </row>
    <row r="4420" spans="1:11" ht="42" customHeight="1">
      <c r="A4420" s="2" t="s">
        <v>8874</v>
      </c>
      <c r="B4420" s="2" t="s">
        <v>8875</v>
      </c>
      <c r="C4420" s="2" t="s">
        <v>42</v>
      </c>
      <c r="D4420" s="2" t="s">
        <v>17</v>
      </c>
      <c r="E4420" s="5">
        <v>-28214</v>
      </c>
      <c r="F4420" s="3" t="s">
        <v>814</v>
      </c>
      <c r="G4420" s="3" t="s">
        <v>31</v>
      </c>
      <c r="H4420" s="2" t="s">
        <v>45</v>
      </c>
      <c r="I4420" s="2" t="s">
        <v>8876</v>
      </c>
      <c r="J4420" s="3" t="str">
        <f>HYPERLINK("https://www.boe.es/gazeta/dias/1822/10/01/pdfs/GMD-1822-287.pdf#page=3","Abrir facsímil")</f>
        <v>Abrir facsímil</v>
      </c>
      <c r="K4420" s="3" t="s">
        <v>47</v>
      </c>
    </row>
    <row r="4421" spans="1:11" ht="42" customHeight="1">
      <c r="A4421" s="2" t="s">
        <v>8877</v>
      </c>
      <c r="B4421" s="2" t="s">
        <v>8878</v>
      </c>
      <c r="C4421" s="2" t="s">
        <v>50</v>
      </c>
      <c r="D4421" s="2" t="s">
        <v>51</v>
      </c>
      <c r="E4421" s="5">
        <v>-28303</v>
      </c>
      <c r="F4421" s="3" t="s">
        <v>201</v>
      </c>
      <c r="G4421" s="3" t="s">
        <v>31</v>
      </c>
      <c r="H4421" s="2" t="s">
        <v>20</v>
      </c>
      <c r="I4421" s="2" t="s">
        <v>8879</v>
      </c>
      <c r="J4421" s="3" t="str">
        <f>HYPERLINK("https://www.boe.es/gazeta/dias/1822/07/04/pdfs/GMD-1822-193.pdf#page=3","Abrir facsímil")</f>
        <v>Abrir facsímil</v>
      </c>
      <c r="K4421" s="3" t="s">
        <v>22</v>
      </c>
    </row>
    <row r="4422" spans="1:11" ht="42" customHeight="1">
      <c r="A4422" s="2" t="s">
        <v>8880</v>
      </c>
      <c r="B4422" s="2" t="s">
        <v>8880</v>
      </c>
      <c r="C4422" s="2" t="s">
        <v>50</v>
      </c>
      <c r="D4422" s="2" t="s">
        <v>51</v>
      </c>
      <c r="E4422" s="5">
        <v>-28396</v>
      </c>
      <c r="F4422" s="3" t="s">
        <v>1138</v>
      </c>
      <c r="G4422" s="3" t="s">
        <v>63</v>
      </c>
      <c r="H4422" s="2" t="s">
        <v>20</v>
      </c>
      <c r="I4422" s="2" t="s">
        <v>8881</v>
      </c>
      <c r="J4422" s="3" t="str">
        <f>HYPERLINK("https://www.boe.es/gazeta/dias/1822/04/02/pdfs/GMD-1822-94.pdf#page=6","Abrir facsímil")</f>
        <v>Abrir facsímil</v>
      </c>
      <c r="K4422" s="3" t="s">
        <v>22</v>
      </c>
    </row>
    <row r="4423" spans="1:11" ht="42" customHeight="1">
      <c r="A4423" s="2" t="s">
        <v>8882</v>
      </c>
      <c r="B4423" s="2" t="s">
        <v>8883</v>
      </c>
      <c r="C4423" s="2" t="s">
        <v>71</v>
      </c>
      <c r="D4423" s="2" t="s">
        <v>17</v>
      </c>
      <c r="E4423" s="5">
        <v>-28366</v>
      </c>
      <c r="F4423" s="3" t="s">
        <v>120</v>
      </c>
      <c r="G4423" s="3" t="s">
        <v>63</v>
      </c>
      <c r="H4423" s="2" t="s">
        <v>20</v>
      </c>
      <c r="I4423" s="2" t="s">
        <v>8884</v>
      </c>
      <c r="J4423" s="3" t="str">
        <f>HYPERLINK("https://www.boe.es/gazeta/dias/1822/05/02/pdfs/GMD-1822-124.pdf#page=6","Abrir facsímil")</f>
        <v>Abrir facsímil</v>
      </c>
      <c r="K4423" s="3" t="s">
        <v>22</v>
      </c>
    </row>
    <row r="4424" spans="1:11" ht="42" customHeight="1">
      <c r="A4424" s="2" t="s">
        <v>8885</v>
      </c>
      <c r="B4424" s="2" t="s">
        <v>8886</v>
      </c>
      <c r="C4424" s="2" t="s">
        <v>42</v>
      </c>
      <c r="D4424" s="2" t="s">
        <v>17</v>
      </c>
      <c r="E4424" s="5">
        <v>-28170</v>
      </c>
      <c r="F4424" s="3" t="s">
        <v>1457</v>
      </c>
      <c r="G4424" s="3" t="s">
        <v>44</v>
      </c>
      <c r="H4424" s="2" t="s">
        <v>20</v>
      </c>
      <c r="I4424" s="2" t="s">
        <v>8887</v>
      </c>
      <c r="J4424" s="3" t="str">
        <f>HYPERLINK("https://www.boe.es/gazeta/dias/1822/11/14/pdfs/GMD-1822-334.pdf#page=1","Abrir facsímil")</f>
        <v>Abrir facsímil</v>
      </c>
      <c r="K4424" s="3" t="s">
        <v>22</v>
      </c>
    </row>
    <row r="4425" spans="1:11" ht="42" customHeight="1">
      <c r="A4425" s="2" t="s">
        <v>8888</v>
      </c>
      <c r="B4425" s="2" t="s">
        <v>8889</v>
      </c>
      <c r="C4425" s="2" t="s">
        <v>50</v>
      </c>
      <c r="D4425" s="2" t="s">
        <v>51</v>
      </c>
      <c r="E4425" s="5">
        <v>-28228</v>
      </c>
      <c r="F4425" s="3" t="s">
        <v>718</v>
      </c>
      <c r="G4425" s="3" t="s">
        <v>719</v>
      </c>
      <c r="H4425" s="2" t="s">
        <v>20</v>
      </c>
      <c r="I4425" s="2" t="s">
        <v>8890</v>
      </c>
      <c r="J4425" s="3" t="str">
        <f>HYPERLINK("https://www.boe.es/gazeta/dias/1822/09/17/pdfs/GMD-1822-273.pdf#page=3","Abrir facsímil")</f>
        <v>Abrir facsímil</v>
      </c>
      <c r="K4425" s="3" t="s">
        <v>22</v>
      </c>
    </row>
    <row r="4426" spans="1:11" ht="42" customHeight="1">
      <c r="A4426" s="2" t="s">
        <v>8891</v>
      </c>
      <c r="B4426" s="2" t="s">
        <v>8892</v>
      </c>
      <c r="C4426" s="2" t="s">
        <v>362</v>
      </c>
      <c r="D4426" s="2" t="s">
        <v>17</v>
      </c>
      <c r="E4426" s="5">
        <v>-28473</v>
      </c>
      <c r="F4426" s="3" t="s">
        <v>2337</v>
      </c>
      <c r="G4426" s="3" t="s">
        <v>157</v>
      </c>
      <c r="H4426" s="2" t="s">
        <v>20</v>
      </c>
      <c r="I4426" s="2" t="s">
        <v>8893</v>
      </c>
      <c r="J4426" s="3" t="str">
        <f>HYPERLINK("https://www.boe.es/gazeta/dias/1822/01/15/pdfs/GMD-1822-15.pdf#page=8","Abrir facsímil")</f>
        <v>Abrir facsímil</v>
      </c>
      <c r="K4426" s="3" t="s">
        <v>22</v>
      </c>
    </row>
    <row r="4427" spans="1:11" ht="42" customHeight="1">
      <c r="A4427" s="2" t="s">
        <v>8894</v>
      </c>
      <c r="B4427" s="2" t="s">
        <v>8895</v>
      </c>
      <c r="C4427" s="2" t="s">
        <v>50</v>
      </c>
      <c r="D4427" s="2" t="s">
        <v>51</v>
      </c>
      <c r="E4427" s="5">
        <v>-28400</v>
      </c>
      <c r="F4427" s="3" t="s">
        <v>1937</v>
      </c>
      <c r="G4427" s="3" t="s">
        <v>35</v>
      </c>
      <c r="H4427" s="2" t="s">
        <v>20</v>
      </c>
      <c r="I4427" s="2" t="s">
        <v>8896</v>
      </c>
      <c r="J4427" s="3" t="str">
        <f>HYPERLINK("https://www.boe.es/gazeta/dias/1822/03/29/pdfs/GMD-1822-90.pdf#page=2","Abrir facsímil")</f>
        <v>Abrir facsímil</v>
      </c>
      <c r="K4427" s="3" t="s">
        <v>22</v>
      </c>
    </row>
    <row r="4428" spans="1:11" ht="42" customHeight="1">
      <c r="A4428" s="2" t="s">
        <v>8897</v>
      </c>
      <c r="B4428" s="2" t="s">
        <v>8897</v>
      </c>
      <c r="C4428" s="2" t="s">
        <v>71</v>
      </c>
      <c r="D4428" s="2" t="s">
        <v>17</v>
      </c>
      <c r="E4428" s="5">
        <v>-28469</v>
      </c>
      <c r="F4428" s="3" t="s">
        <v>1164</v>
      </c>
      <c r="G4428" s="3" t="s">
        <v>31</v>
      </c>
      <c r="H4428" s="2" t="s">
        <v>20</v>
      </c>
      <c r="I4428" s="2" t="s">
        <v>8898</v>
      </c>
      <c r="J4428" s="3" t="str">
        <f>HYPERLINK("https://www.boe.es/gazeta/dias/1822/01/19/pdfs/GMD-1822-19.pdf#page=3","Abrir facsímil")</f>
        <v>Abrir facsímil</v>
      </c>
      <c r="K4428" s="3" t="s">
        <v>22</v>
      </c>
    </row>
    <row r="4429" spans="1:11" ht="42" customHeight="1">
      <c r="A4429" s="2" t="s">
        <v>8899</v>
      </c>
      <c r="B4429" s="2" t="s">
        <v>8899</v>
      </c>
      <c r="C4429" s="2" t="s">
        <v>61</v>
      </c>
      <c r="D4429" s="2" t="s">
        <v>17</v>
      </c>
      <c r="E4429" s="5">
        <v>-28213</v>
      </c>
      <c r="F4429" s="3" t="s">
        <v>558</v>
      </c>
      <c r="G4429" s="3" t="s">
        <v>35</v>
      </c>
      <c r="H4429" s="2" t="s">
        <v>20</v>
      </c>
      <c r="I4429" s="2" t="s">
        <v>8900</v>
      </c>
      <c r="J4429" s="3" t="str">
        <f>HYPERLINK("https://www.boe.es/gazeta/dias/1822/10/02/pdfs/GMD-1822-288.pdf#page=2","Abrir facsímil")</f>
        <v>Abrir facsímil</v>
      </c>
      <c r="K4429" s="3" t="s">
        <v>22</v>
      </c>
    </row>
    <row r="4430" spans="1:11" ht="42" customHeight="1">
      <c r="A4430" s="2" t="s">
        <v>8901</v>
      </c>
      <c r="B4430" s="2" t="s">
        <v>8902</v>
      </c>
      <c r="C4430" s="2" t="s">
        <v>50</v>
      </c>
      <c r="D4430" s="2" t="s">
        <v>51</v>
      </c>
      <c r="E4430" s="5">
        <v>-28427</v>
      </c>
      <c r="F4430" s="3" t="s">
        <v>755</v>
      </c>
      <c r="G4430" s="3" t="s">
        <v>57</v>
      </c>
      <c r="H4430" s="2" t="s">
        <v>20</v>
      </c>
      <c r="I4430" s="2" t="s">
        <v>8903</v>
      </c>
      <c r="J4430" s="3" t="str">
        <f>HYPERLINK("https://www.boe.es/gazeta/dias/1822/03/02/pdfs/GMD-1822-63.pdf#page=4","Abrir facsímil")</f>
        <v>Abrir facsímil</v>
      </c>
      <c r="K4430" s="3" t="s">
        <v>22</v>
      </c>
    </row>
    <row r="4431" spans="1:11" ht="42" customHeight="1">
      <c r="A4431" s="2" t="s">
        <v>8904</v>
      </c>
      <c r="B4431" s="2" t="s">
        <v>8904</v>
      </c>
      <c r="C4431" s="2" t="s">
        <v>16</v>
      </c>
      <c r="D4431" s="2" t="s">
        <v>17</v>
      </c>
      <c r="E4431" s="5">
        <v>-28383</v>
      </c>
      <c r="F4431" s="3" t="s">
        <v>488</v>
      </c>
      <c r="G4431" s="3" t="s">
        <v>63</v>
      </c>
      <c r="H4431" s="2" t="s">
        <v>20</v>
      </c>
      <c r="I4431" s="2" t="s">
        <v>8905</v>
      </c>
      <c r="J4431" s="3" t="str">
        <f>HYPERLINK("https://www.boe.es/gazeta/dias/1822/04/15/pdfs/GMD-1822-107.pdf#page=6","Abrir facsímil")</f>
        <v>Abrir facsímil</v>
      </c>
      <c r="K4431" s="3" t="s">
        <v>22</v>
      </c>
    </row>
    <row r="4432" spans="1:11" ht="42" customHeight="1">
      <c r="A4432" s="2" t="s">
        <v>8906</v>
      </c>
      <c r="B4432" s="2" t="s">
        <v>8907</v>
      </c>
      <c r="C4432" s="2" t="s">
        <v>28</v>
      </c>
      <c r="D4432" s="2" t="s">
        <v>29</v>
      </c>
      <c r="E4432" s="5">
        <v>-28398</v>
      </c>
      <c r="F4432" s="3" t="s">
        <v>1961</v>
      </c>
      <c r="G4432" s="3" t="s">
        <v>35</v>
      </c>
      <c r="H4432" s="2" t="s">
        <v>45</v>
      </c>
      <c r="I4432" s="2" t="s">
        <v>8908</v>
      </c>
      <c r="J4432" s="3" t="str">
        <f>HYPERLINK("https://www.boe.es/gazeta/dias/1822/03/31/pdfs/GMD-1822-92.pdf#page=2","Abrir facsímil")</f>
        <v>Abrir facsímil</v>
      </c>
      <c r="K4432" s="3" t="s">
        <v>47</v>
      </c>
    </row>
    <row r="4433" spans="1:11" ht="42" customHeight="1">
      <c r="A4433" s="2" t="s">
        <v>8909</v>
      </c>
      <c r="B4433" s="2" t="s">
        <v>8910</v>
      </c>
      <c r="C4433" s="2" t="s">
        <v>28</v>
      </c>
      <c r="D4433" s="2" t="s">
        <v>29</v>
      </c>
      <c r="E4433" s="5">
        <v>-28293</v>
      </c>
      <c r="F4433" s="3" t="s">
        <v>152</v>
      </c>
      <c r="G4433" s="3" t="s">
        <v>57</v>
      </c>
      <c r="H4433" s="2" t="s">
        <v>20</v>
      </c>
      <c r="I4433" s="2" t="s">
        <v>8911</v>
      </c>
      <c r="J4433" s="3" t="str">
        <f>HYPERLINK("https://www.boe.es/gazeta/dias/1822/07/14/pdfs/GMD-1822-204.pdf#page=4","Abrir facsímil")</f>
        <v>Abrir facsímil</v>
      </c>
      <c r="K4433" s="3" t="s">
        <v>22</v>
      </c>
    </row>
    <row r="4434" spans="1:11" ht="42" customHeight="1">
      <c r="A4434" s="2" t="s">
        <v>8912</v>
      </c>
      <c r="B4434" s="2" t="s">
        <v>8912</v>
      </c>
      <c r="C4434" s="2" t="s">
        <v>28</v>
      </c>
      <c r="D4434" s="2" t="s">
        <v>29</v>
      </c>
      <c r="E4434" s="5">
        <v>-28427</v>
      </c>
      <c r="F4434" s="3" t="s">
        <v>755</v>
      </c>
      <c r="G4434" s="3" t="s">
        <v>35</v>
      </c>
      <c r="H4434" s="2" t="s">
        <v>20</v>
      </c>
      <c r="I4434" s="2" t="s">
        <v>8913</v>
      </c>
      <c r="J4434" s="3" t="str">
        <f>HYPERLINK("https://www.boe.es/gazeta/dias/1822/03/02/pdfs/GMD-1822-63.pdf#page=2","Abrir facsímil")</f>
        <v>Abrir facsímil</v>
      </c>
      <c r="K4434" s="3" t="s">
        <v>22</v>
      </c>
    </row>
    <row r="4435" spans="1:11" ht="42" customHeight="1">
      <c r="A4435" s="2" t="s">
        <v>8914</v>
      </c>
      <c r="B4435" s="2" t="s">
        <v>8914</v>
      </c>
      <c r="C4435" s="2" t="s">
        <v>42</v>
      </c>
      <c r="D4435" s="2" t="s">
        <v>17</v>
      </c>
      <c r="E4435" s="5">
        <v>-28138</v>
      </c>
      <c r="F4435" s="3" t="s">
        <v>3542</v>
      </c>
      <c r="G4435" s="3" t="s">
        <v>44</v>
      </c>
      <c r="H4435" s="2" t="s">
        <v>20</v>
      </c>
      <c r="I4435" s="2" t="s">
        <v>8915</v>
      </c>
      <c r="J4435" s="3" t="str">
        <f>HYPERLINK("https://www.boe.es/gazeta/dias/1822/12/16/pdfs/GMD-1822-366.pdf#page=1","Abrir facsímil")</f>
        <v>Abrir facsímil</v>
      </c>
      <c r="K4435" s="3" t="s">
        <v>22</v>
      </c>
    </row>
    <row r="4436" spans="1:11" ht="42" customHeight="1">
      <c r="A4436" s="2" t="s">
        <v>8916</v>
      </c>
      <c r="B4436" s="2" t="s">
        <v>8917</v>
      </c>
      <c r="C4436" s="2" t="s">
        <v>16</v>
      </c>
      <c r="D4436" s="2" t="s">
        <v>17</v>
      </c>
      <c r="E4436" s="5">
        <v>-28181</v>
      </c>
      <c r="F4436" s="3" t="s">
        <v>739</v>
      </c>
      <c r="G4436" s="3" t="s">
        <v>63</v>
      </c>
      <c r="H4436" s="2" t="s">
        <v>20</v>
      </c>
      <c r="I4436" s="2" t="s">
        <v>8918</v>
      </c>
      <c r="J4436" s="3" t="str">
        <f>HYPERLINK("https://www.boe.es/gazeta/dias/1822/11/03/pdfs/GMD-1822-321.pdf#page=6","Abrir facsímil")</f>
        <v>Abrir facsímil</v>
      </c>
      <c r="K4436" s="3" t="s">
        <v>22</v>
      </c>
    </row>
    <row r="4437" spans="1:11" ht="42" customHeight="1">
      <c r="A4437" s="2" t="s">
        <v>8919</v>
      </c>
      <c r="B4437" s="2" t="s">
        <v>8919</v>
      </c>
      <c r="C4437" s="2" t="s">
        <v>50</v>
      </c>
      <c r="D4437" s="2" t="s">
        <v>51</v>
      </c>
      <c r="E4437" s="5">
        <v>-28478</v>
      </c>
      <c r="F4437" s="3" t="s">
        <v>1093</v>
      </c>
      <c r="G4437" s="3" t="s">
        <v>57</v>
      </c>
      <c r="H4437" s="2" t="s">
        <v>20</v>
      </c>
      <c r="I4437" s="2" t="s">
        <v>8920</v>
      </c>
      <c r="J4437" s="3" t="str">
        <f>HYPERLINK("https://www.boe.es/gazeta/dias/1822/01/10/pdfs/GMD-1822-10.pdf#page=4","Abrir facsímil")</f>
        <v>Abrir facsímil</v>
      </c>
      <c r="K4437" s="3" t="s">
        <v>22</v>
      </c>
    </row>
    <row r="4438" spans="1:11" ht="42" customHeight="1">
      <c r="A4438" s="2" t="s">
        <v>8921</v>
      </c>
      <c r="B4438" s="2" t="s">
        <v>8922</v>
      </c>
      <c r="C4438" s="2" t="s">
        <v>50</v>
      </c>
      <c r="D4438" s="2" t="s">
        <v>51</v>
      </c>
      <c r="E4438" s="5">
        <v>-28469</v>
      </c>
      <c r="F4438" s="3" t="s">
        <v>1164</v>
      </c>
      <c r="G4438" s="3" t="s">
        <v>31</v>
      </c>
      <c r="H4438" s="2" t="s">
        <v>20</v>
      </c>
      <c r="I4438" s="2" t="s">
        <v>8923</v>
      </c>
      <c r="J4438" s="3" t="str">
        <f>HYPERLINK("https://www.boe.es/gazeta/dias/1822/01/19/pdfs/GMD-1822-19.pdf#page=3","Abrir facsímil")</f>
        <v>Abrir facsímil</v>
      </c>
      <c r="K4438" s="3" t="s">
        <v>22</v>
      </c>
    </row>
    <row r="4439" spans="1:11" ht="42" customHeight="1">
      <c r="A4439" s="2" t="s">
        <v>8924</v>
      </c>
      <c r="B4439" s="2" t="s">
        <v>8925</v>
      </c>
      <c r="C4439" s="2" t="s">
        <v>42</v>
      </c>
      <c r="D4439" s="2" t="s">
        <v>17</v>
      </c>
      <c r="E4439" s="5">
        <v>-28461</v>
      </c>
      <c r="F4439" s="3" t="s">
        <v>1801</v>
      </c>
      <c r="G4439" s="3" t="s">
        <v>35</v>
      </c>
      <c r="H4439" s="2" t="s">
        <v>20</v>
      </c>
      <c r="I4439" s="2" t="s">
        <v>8926</v>
      </c>
      <c r="J4439" s="3" t="str">
        <f>HYPERLINK("https://www.boe.es/gazeta/dias/1822/01/27/pdfs/GMD-1822-27.pdf#page=2","Abrir facsímil")</f>
        <v>Abrir facsímil</v>
      </c>
      <c r="K4439" s="3" t="s">
        <v>22</v>
      </c>
    </row>
    <row r="4440" spans="1:11" ht="42" customHeight="1">
      <c r="A4440" s="2" t="s">
        <v>8927</v>
      </c>
      <c r="B4440" s="2" t="s">
        <v>8928</v>
      </c>
      <c r="C4440" s="2" t="s">
        <v>42</v>
      </c>
      <c r="D4440" s="2" t="s">
        <v>17</v>
      </c>
      <c r="E4440" s="5">
        <v>-28315</v>
      </c>
      <c r="F4440" s="3" t="s">
        <v>1220</v>
      </c>
      <c r="G4440" s="3" t="s">
        <v>31</v>
      </c>
      <c r="H4440" s="2" t="s">
        <v>20</v>
      </c>
      <c r="I4440" s="2" t="s">
        <v>8929</v>
      </c>
      <c r="J4440" s="3" t="str">
        <f>HYPERLINK("https://www.boe.es/gazeta/dias/1822/06/22/pdfs/GMD-1822-180.pdf#page=3","Abrir facsímil")</f>
        <v>Abrir facsímil</v>
      </c>
      <c r="K4440" s="3" t="s">
        <v>22</v>
      </c>
    </row>
    <row r="4441" spans="1:11" ht="42" customHeight="1">
      <c r="A4441" s="2" t="s">
        <v>8930</v>
      </c>
      <c r="B4441" s="2" t="s">
        <v>8931</v>
      </c>
      <c r="C4441" s="2" t="s">
        <v>42</v>
      </c>
      <c r="D4441" s="2" t="s">
        <v>17</v>
      </c>
      <c r="E4441" s="5">
        <v>-28415</v>
      </c>
      <c r="F4441" s="3" t="s">
        <v>77</v>
      </c>
      <c r="G4441" s="3" t="s">
        <v>63</v>
      </c>
      <c r="H4441" s="2" t="s">
        <v>20</v>
      </c>
      <c r="I4441" s="2" t="s">
        <v>8932</v>
      </c>
      <c r="J4441" s="3" t="str">
        <f>HYPERLINK("https://www.boe.es/gazeta/dias/1822/03/14/pdfs/GMD-1822-75.pdf#page=6","Abrir facsímil")</f>
        <v>Abrir facsímil</v>
      </c>
      <c r="K4441" s="3" t="s">
        <v>22</v>
      </c>
    </row>
    <row r="4442" spans="1:11" ht="42" customHeight="1">
      <c r="A4442" s="2" t="s">
        <v>8933</v>
      </c>
      <c r="B4442" s="2" t="s">
        <v>8934</v>
      </c>
      <c r="C4442" s="2" t="s">
        <v>50</v>
      </c>
      <c r="D4442" s="2" t="s">
        <v>51</v>
      </c>
      <c r="E4442" s="5">
        <v>-28383</v>
      </c>
      <c r="F4442" s="3" t="s">
        <v>488</v>
      </c>
      <c r="G4442" s="3" t="s">
        <v>63</v>
      </c>
      <c r="H4442" s="2" t="s">
        <v>20</v>
      </c>
      <c r="I4442" s="2" t="s">
        <v>8935</v>
      </c>
      <c r="J4442" s="3" t="str">
        <f>HYPERLINK("https://www.boe.es/gazeta/dias/1822/04/15/pdfs/GMD-1822-107.pdf#page=6","Abrir facsímil")</f>
        <v>Abrir facsímil</v>
      </c>
      <c r="K4442" s="3" t="s">
        <v>22</v>
      </c>
    </row>
    <row r="4443" spans="1:11" ht="42" customHeight="1">
      <c r="A4443" s="2" t="s">
        <v>8936</v>
      </c>
      <c r="B4443" s="2" t="s">
        <v>8937</v>
      </c>
      <c r="C4443" s="2" t="s">
        <v>28</v>
      </c>
      <c r="D4443" s="2" t="s">
        <v>29</v>
      </c>
      <c r="E4443" s="5">
        <v>-28334</v>
      </c>
      <c r="F4443" s="3" t="s">
        <v>532</v>
      </c>
      <c r="G4443" s="3" t="s">
        <v>157</v>
      </c>
      <c r="H4443" s="2" t="s">
        <v>20</v>
      </c>
      <c r="I4443" s="2" t="s">
        <v>8938</v>
      </c>
      <c r="J4443" s="3" t="str">
        <f>HYPERLINK("https://www.boe.es/gazeta/dias/1822/06/03/pdfs/GMD-1822-159.pdf#page=8","Abrir facsímil")</f>
        <v>Abrir facsímil</v>
      </c>
      <c r="K4443" s="3" t="s">
        <v>22</v>
      </c>
    </row>
    <row r="4444" spans="1:11" ht="42" customHeight="1">
      <c r="A4444" s="2" t="s">
        <v>8936</v>
      </c>
      <c r="B4444" s="2" t="s">
        <v>8937</v>
      </c>
      <c r="C4444" s="2" t="s">
        <v>16</v>
      </c>
      <c r="D4444" s="2" t="s">
        <v>17</v>
      </c>
      <c r="E4444" s="5">
        <v>-28152</v>
      </c>
      <c r="F4444" s="3" t="s">
        <v>122</v>
      </c>
      <c r="G4444" s="3" t="s">
        <v>19</v>
      </c>
      <c r="H4444" s="2" t="s">
        <v>20</v>
      </c>
      <c r="I4444" s="2" t="s">
        <v>8939</v>
      </c>
      <c r="J4444" s="3" t="str">
        <f>HYPERLINK("https://www.boe.es/gazeta/dias/1822/12/02/pdfs/GMD-1822-352.pdf#page=5","Abrir facsímil")</f>
        <v>Abrir facsímil</v>
      </c>
      <c r="K4444" s="3" t="s">
        <v>22</v>
      </c>
    </row>
    <row r="4445" spans="1:11" ht="42" customHeight="1">
      <c r="A4445" s="2" t="s">
        <v>8940</v>
      </c>
      <c r="B4445" s="2" t="s">
        <v>8940</v>
      </c>
      <c r="C4445" s="2" t="s">
        <v>50</v>
      </c>
      <c r="D4445" s="2" t="s">
        <v>51</v>
      </c>
      <c r="E4445" s="5">
        <v>-28469</v>
      </c>
      <c r="F4445" s="3" t="s">
        <v>1164</v>
      </c>
      <c r="G4445" s="3" t="s">
        <v>44</v>
      </c>
      <c r="H4445" s="2" t="s">
        <v>20</v>
      </c>
      <c r="I4445" s="2" t="s">
        <v>8941</v>
      </c>
      <c r="J4445" s="3" t="str">
        <f>HYPERLINK("https://www.boe.es/gazeta/dias/1822/01/19/pdfs/GMD-1822-19.pdf#page=1","Abrir facsímil")</f>
        <v>Abrir facsímil</v>
      </c>
      <c r="K4445" s="3" t="s">
        <v>22</v>
      </c>
    </row>
    <row r="4446" spans="1:11" ht="42" customHeight="1">
      <c r="A4446" s="2" t="s">
        <v>8942</v>
      </c>
      <c r="B4446" s="2" t="s">
        <v>8942</v>
      </c>
      <c r="C4446" s="2" t="s">
        <v>28</v>
      </c>
      <c r="D4446" s="2" t="s">
        <v>29</v>
      </c>
      <c r="E4446" s="5">
        <v>-28268</v>
      </c>
      <c r="F4446" s="3" t="s">
        <v>7231</v>
      </c>
      <c r="G4446" s="3" t="s">
        <v>44</v>
      </c>
      <c r="H4446" s="2" t="s">
        <v>20</v>
      </c>
      <c r="I4446" s="2" t="s">
        <v>8943</v>
      </c>
      <c r="J4446" s="3" t="str">
        <f>HYPERLINK("https://www.boe.es/gazeta/dias/1822/08/08/pdfs/GMD-1822-232.pdf#page=1","Abrir facsímil")</f>
        <v>Abrir facsímil</v>
      </c>
      <c r="K4446" s="3" t="s">
        <v>22</v>
      </c>
    </row>
    <row r="4447" spans="1:11" ht="42" customHeight="1">
      <c r="A4447" s="2" t="s">
        <v>8944</v>
      </c>
      <c r="B4447" s="2" t="s">
        <v>8945</v>
      </c>
      <c r="C4447" s="2" t="s">
        <v>61</v>
      </c>
      <c r="D4447" s="2" t="s">
        <v>17</v>
      </c>
      <c r="E4447" s="5">
        <v>-28319</v>
      </c>
      <c r="F4447" s="3" t="s">
        <v>271</v>
      </c>
      <c r="G4447" s="3" t="s">
        <v>63</v>
      </c>
      <c r="H4447" s="2" t="s">
        <v>20</v>
      </c>
      <c r="I4447" s="2" t="s">
        <v>8946</v>
      </c>
      <c r="J4447" s="3" t="str">
        <f>HYPERLINK("https://www.boe.es/gazeta/dias/1822/06/18/pdfs/GMD-1822-175.pdf#page=6","Abrir facsímil")</f>
        <v>Abrir facsímil</v>
      </c>
      <c r="K4447" s="3" t="s">
        <v>22</v>
      </c>
    </row>
    <row r="4448" spans="1:11" ht="42" customHeight="1">
      <c r="A4448" s="2" t="s">
        <v>8947</v>
      </c>
      <c r="B4448" s="2" t="s">
        <v>8948</v>
      </c>
      <c r="C4448" s="2" t="s">
        <v>16</v>
      </c>
      <c r="D4448" s="2" t="s">
        <v>17</v>
      </c>
      <c r="E4448" s="5">
        <v>-28296</v>
      </c>
      <c r="F4448" s="3" t="s">
        <v>4121</v>
      </c>
      <c r="G4448" s="3" t="s">
        <v>57</v>
      </c>
      <c r="H4448" s="2" t="s">
        <v>20</v>
      </c>
      <c r="I4448" s="2" t="s">
        <v>8949</v>
      </c>
      <c r="J4448" s="3" t="str">
        <f>HYPERLINK("https://www.boe.es/gazeta/dias/1822/07/11/pdfs/GMD-1822-201.pdf#page=4","Abrir facsímil")</f>
        <v>Abrir facsímil</v>
      </c>
      <c r="K4448" s="3" t="s">
        <v>22</v>
      </c>
    </row>
    <row r="4449" spans="1:11" ht="42" customHeight="1">
      <c r="A4449" s="2" t="s">
        <v>8950</v>
      </c>
      <c r="B4449" s="2" t="s">
        <v>8951</v>
      </c>
      <c r="C4449" s="2" t="s">
        <v>50</v>
      </c>
      <c r="D4449" s="2" t="s">
        <v>51</v>
      </c>
      <c r="E4449" s="5">
        <v>-28137</v>
      </c>
      <c r="F4449" s="3" t="s">
        <v>312</v>
      </c>
      <c r="G4449" s="3" t="s">
        <v>63</v>
      </c>
      <c r="H4449" s="2" t="s">
        <v>20</v>
      </c>
      <c r="I4449" s="2" t="s">
        <v>8952</v>
      </c>
      <c r="J4449" s="3" t="str">
        <f>HYPERLINK("https://www.boe.es/gazeta/dias/1822/12/17/pdfs/GMD-1822-367.pdf#page=6","Abrir facsímil")</f>
        <v>Abrir facsímil</v>
      </c>
      <c r="K4449" s="3" t="s">
        <v>22</v>
      </c>
    </row>
    <row r="4450" spans="1:11" ht="42" customHeight="1">
      <c r="A4450" s="2" t="s">
        <v>8953</v>
      </c>
      <c r="B4450" s="2" t="s">
        <v>8954</v>
      </c>
      <c r="C4450" s="2" t="s">
        <v>28</v>
      </c>
      <c r="D4450" s="2" t="s">
        <v>29</v>
      </c>
      <c r="E4450" s="5">
        <v>-28432</v>
      </c>
      <c r="F4450" s="3" t="s">
        <v>195</v>
      </c>
      <c r="G4450" s="3" t="s">
        <v>57</v>
      </c>
      <c r="H4450" s="2" t="s">
        <v>20</v>
      </c>
      <c r="I4450" s="2" t="s">
        <v>8955</v>
      </c>
      <c r="J4450" s="3" t="str">
        <f>HYPERLINK("https://www.boe.es/gazeta/dias/1822/02/25/pdfs/GMD-1822-57.pdf#page=4","Abrir facsímil")</f>
        <v>Abrir facsímil</v>
      </c>
      <c r="K4450" s="3" t="s">
        <v>22</v>
      </c>
    </row>
    <row r="4451" spans="1:11" ht="42" customHeight="1">
      <c r="A4451" s="2" t="s">
        <v>8956</v>
      </c>
      <c r="B4451" s="2" t="s">
        <v>8957</v>
      </c>
      <c r="C4451" s="2" t="s">
        <v>50</v>
      </c>
      <c r="D4451" s="2" t="s">
        <v>51</v>
      </c>
      <c r="E4451" s="5">
        <v>-28258</v>
      </c>
      <c r="F4451" s="3" t="s">
        <v>88</v>
      </c>
      <c r="G4451" s="3" t="s">
        <v>57</v>
      </c>
      <c r="H4451" s="2" t="s">
        <v>20</v>
      </c>
      <c r="I4451" s="2" t="s">
        <v>8958</v>
      </c>
      <c r="J4451" s="3" t="str">
        <f>HYPERLINK("https://www.boe.es/gazeta/dias/1822/08/18/pdfs/GMD-1822-242.pdf#page=4","Abrir facsímil")</f>
        <v>Abrir facsímil</v>
      </c>
      <c r="K4451" s="3" t="s">
        <v>22</v>
      </c>
    </row>
    <row r="4452" spans="1:11" ht="42" customHeight="1">
      <c r="A4452" s="2" t="s">
        <v>8959</v>
      </c>
      <c r="B4452" s="2" t="s">
        <v>8960</v>
      </c>
      <c r="C4452" s="2" t="s">
        <v>42</v>
      </c>
      <c r="D4452" s="2" t="s">
        <v>17</v>
      </c>
      <c r="E4452" s="5">
        <v>-28131</v>
      </c>
      <c r="F4452" s="3" t="s">
        <v>893</v>
      </c>
      <c r="G4452" s="3" t="s">
        <v>991</v>
      </c>
      <c r="H4452" s="2" t="s">
        <v>20</v>
      </c>
      <c r="I4452" s="2" t="s">
        <v>8961</v>
      </c>
      <c r="J4452" s="3" t="str">
        <f>HYPERLINK("https://www.boe.es/gazeta/dias/1822/12/23/pdfs/GMD-1822-373.pdf#page=6","Abrir facsímil")</f>
        <v>Abrir facsímil</v>
      </c>
      <c r="K4452" s="3" t="s">
        <v>22</v>
      </c>
    </row>
    <row r="4453" spans="1:11" ht="42" customHeight="1">
      <c r="A4453" s="2" t="s">
        <v>8962</v>
      </c>
      <c r="B4453" s="2" t="s">
        <v>8963</v>
      </c>
      <c r="C4453" s="2" t="s">
        <v>50</v>
      </c>
      <c r="D4453" s="2" t="s">
        <v>51</v>
      </c>
      <c r="E4453" s="5">
        <v>-28296</v>
      </c>
      <c r="F4453" s="3" t="s">
        <v>4121</v>
      </c>
      <c r="G4453" s="3" t="s">
        <v>57</v>
      </c>
      <c r="H4453" s="2" t="s">
        <v>20</v>
      </c>
      <c r="I4453" s="2" t="s">
        <v>8964</v>
      </c>
      <c r="J4453" s="3" t="str">
        <f>HYPERLINK("https://www.boe.es/gazeta/dias/1822/07/11/pdfs/GMD-1822-201.pdf#page=4","Abrir facsímil")</f>
        <v>Abrir facsímil</v>
      </c>
      <c r="K4453" s="3" t="s">
        <v>22</v>
      </c>
    </row>
    <row r="4454" spans="1:11" ht="42" customHeight="1">
      <c r="A4454" s="2" t="s">
        <v>8965</v>
      </c>
      <c r="B4454" s="2" t="s">
        <v>8966</v>
      </c>
      <c r="C4454" s="2" t="s">
        <v>50</v>
      </c>
      <c r="D4454" s="2" t="s">
        <v>51</v>
      </c>
      <c r="E4454" s="5">
        <v>-28295</v>
      </c>
      <c r="F4454" s="3" t="s">
        <v>81</v>
      </c>
      <c r="G4454" s="3" t="s">
        <v>35</v>
      </c>
      <c r="H4454" s="2" t="s">
        <v>20</v>
      </c>
      <c r="I4454" s="2" t="s">
        <v>8967</v>
      </c>
      <c r="J4454" s="3" t="str">
        <f>HYPERLINK("https://www.boe.es/gazeta/dias/1822/07/12/pdfs/GMD-1822-202.pdf#page=2","Abrir facsímil")</f>
        <v>Abrir facsímil</v>
      </c>
      <c r="K4454" s="3" t="s">
        <v>22</v>
      </c>
    </row>
    <row r="4455" spans="1:11" ht="42" customHeight="1">
      <c r="A4455" s="2" t="s">
        <v>8968</v>
      </c>
      <c r="B4455" s="2" t="s">
        <v>8969</v>
      </c>
      <c r="C4455" s="2" t="s">
        <v>50</v>
      </c>
      <c r="D4455" s="2" t="s">
        <v>51</v>
      </c>
      <c r="E4455" s="5">
        <v>-28386</v>
      </c>
      <c r="F4455" s="3" t="s">
        <v>2993</v>
      </c>
      <c r="G4455" s="3" t="s">
        <v>35</v>
      </c>
      <c r="H4455" s="2" t="s">
        <v>20</v>
      </c>
      <c r="I4455" s="2" t="s">
        <v>8970</v>
      </c>
      <c r="J4455" s="3" t="str">
        <f>HYPERLINK("https://www.boe.es/gazeta/dias/1822/04/12/pdfs/GMD-1822-104.pdf#page=2","Abrir facsímil")</f>
        <v>Abrir facsímil</v>
      </c>
      <c r="K4455" s="3" t="s">
        <v>22</v>
      </c>
    </row>
    <row r="4456" spans="1:11" ht="42" customHeight="1">
      <c r="A4456" s="2" t="s">
        <v>8971</v>
      </c>
      <c r="B4456" s="2" t="s">
        <v>8972</v>
      </c>
      <c r="C4456" s="2" t="s">
        <v>16</v>
      </c>
      <c r="D4456" s="2" t="s">
        <v>17</v>
      </c>
      <c r="E4456" s="5">
        <v>-28142</v>
      </c>
      <c r="F4456" s="3" t="s">
        <v>290</v>
      </c>
      <c r="G4456" s="3" t="s">
        <v>57</v>
      </c>
      <c r="H4456" s="2" t="s">
        <v>20</v>
      </c>
      <c r="I4456" s="2" t="s">
        <v>8973</v>
      </c>
      <c r="J4456" s="3" t="str">
        <f>HYPERLINK("https://www.boe.es/gazeta/dias/1822/12/12/pdfs/GMD-1822-362.pdf#page=4","Abrir facsímil")</f>
        <v>Abrir facsímil</v>
      </c>
      <c r="K4456" s="3" t="s">
        <v>22</v>
      </c>
    </row>
    <row r="4457" spans="1:11" ht="42" customHeight="1">
      <c r="A4457" s="2" t="s">
        <v>8974</v>
      </c>
      <c r="B4457" s="2" t="s">
        <v>8975</v>
      </c>
      <c r="C4457" s="2" t="s">
        <v>28</v>
      </c>
      <c r="D4457" s="2" t="s">
        <v>29</v>
      </c>
      <c r="E4457" s="5">
        <v>-28346</v>
      </c>
      <c r="F4457" s="3" t="s">
        <v>191</v>
      </c>
      <c r="G4457" s="3" t="s">
        <v>63</v>
      </c>
      <c r="H4457" s="2" t="s">
        <v>45</v>
      </c>
      <c r="I4457" s="2" t="s">
        <v>8976</v>
      </c>
      <c r="J4457" s="3" t="str">
        <f>HYPERLINK("https://www.boe.es/gazeta/dias/1822/05/22/pdfs/GMD-1822-145.pdf#page=6","Abrir facsímil")</f>
        <v>Abrir facsímil</v>
      </c>
      <c r="K4457" s="3" t="s">
        <v>47</v>
      </c>
    </row>
    <row r="4458" spans="1:11" ht="42" customHeight="1">
      <c r="A4458" s="2" t="s">
        <v>8977</v>
      </c>
      <c r="B4458" s="2" t="s">
        <v>8978</v>
      </c>
      <c r="C4458" s="2" t="s">
        <v>50</v>
      </c>
      <c r="D4458" s="2" t="s">
        <v>51</v>
      </c>
      <c r="E4458" s="5">
        <v>-28381</v>
      </c>
      <c r="F4458" s="3" t="s">
        <v>358</v>
      </c>
      <c r="G4458" s="3" t="s">
        <v>63</v>
      </c>
      <c r="H4458" s="2" t="s">
        <v>45</v>
      </c>
      <c r="I4458" s="2" t="s">
        <v>8979</v>
      </c>
      <c r="J4458" s="3" t="str">
        <f>HYPERLINK("https://www.boe.es/gazeta/dias/1822/04/17/pdfs/GMD-1822-109.pdf#page=6","Abrir facsímil")</f>
        <v>Abrir facsímil</v>
      </c>
      <c r="K4458" s="3" t="s">
        <v>47</v>
      </c>
    </row>
    <row r="4459" spans="1:11" ht="42" customHeight="1">
      <c r="A4459" s="2" t="s">
        <v>8980</v>
      </c>
      <c r="B4459" s="2" t="s">
        <v>8981</v>
      </c>
      <c r="C4459" s="2" t="s">
        <v>28</v>
      </c>
      <c r="D4459" s="2" t="s">
        <v>29</v>
      </c>
      <c r="E4459" s="5">
        <v>-28250</v>
      </c>
      <c r="F4459" s="3" t="s">
        <v>1174</v>
      </c>
      <c r="G4459" s="3" t="s">
        <v>57</v>
      </c>
      <c r="H4459" s="2" t="s">
        <v>45</v>
      </c>
      <c r="I4459" s="2" t="s">
        <v>8982</v>
      </c>
      <c r="J4459" s="3" t="str">
        <f>HYPERLINK("https://www.boe.es/gazeta/dias/1822/08/26/pdfs/GMD-1822-250.pdf#page=4","Abrir facsímil")</f>
        <v>Abrir facsímil</v>
      </c>
      <c r="K4459" s="3" t="s">
        <v>47</v>
      </c>
    </row>
    <row r="4460" spans="1:11" ht="42" customHeight="1">
      <c r="A4460" s="2" t="s">
        <v>8983</v>
      </c>
      <c r="B4460" s="2" t="s">
        <v>8984</v>
      </c>
      <c r="C4460" s="2" t="s">
        <v>50</v>
      </c>
      <c r="D4460" s="2" t="s">
        <v>51</v>
      </c>
      <c r="E4460" s="5">
        <v>-28401</v>
      </c>
      <c r="F4460" s="3" t="s">
        <v>108</v>
      </c>
      <c r="G4460" s="3" t="s">
        <v>63</v>
      </c>
      <c r="H4460" s="2" t="s">
        <v>20</v>
      </c>
      <c r="I4460" s="2" t="s">
        <v>8985</v>
      </c>
      <c r="J4460" s="3" t="str">
        <f>HYPERLINK("https://www.boe.es/gazeta/dias/1822/03/28/pdfs/GMD-1822-89.pdf#page=6","Abrir facsímil")</f>
        <v>Abrir facsímil</v>
      </c>
      <c r="K4460" s="3" t="s">
        <v>22</v>
      </c>
    </row>
    <row r="4461" spans="1:11" ht="42" customHeight="1">
      <c r="A4461" s="2" t="s">
        <v>8983</v>
      </c>
      <c r="B4461" s="2" t="s">
        <v>8984</v>
      </c>
      <c r="C4461" s="2" t="s">
        <v>28</v>
      </c>
      <c r="D4461" s="2" t="s">
        <v>29</v>
      </c>
      <c r="E4461" s="5">
        <v>-28354</v>
      </c>
      <c r="F4461" s="3" t="s">
        <v>226</v>
      </c>
      <c r="G4461" s="3" t="s">
        <v>63</v>
      </c>
      <c r="H4461" s="2" t="s">
        <v>20</v>
      </c>
      <c r="I4461" s="2" t="s">
        <v>8986</v>
      </c>
      <c r="J4461" s="3" t="str">
        <f>HYPERLINK("https://www.boe.es/gazeta/dias/1822/05/14/pdfs/GMD-1822-136.pdf#page=6","Abrir facsímil")</f>
        <v>Abrir facsímil</v>
      </c>
      <c r="K4461" s="3" t="s">
        <v>22</v>
      </c>
    </row>
    <row r="4462" spans="1:11" ht="42" customHeight="1">
      <c r="A4462" s="2" t="s">
        <v>8987</v>
      </c>
      <c r="B4462" s="2" t="s">
        <v>8987</v>
      </c>
      <c r="C4462" s="2" t="s">
        <v>42</v>
      </c>
      <c r="D4462" s="2" t="s">
        <v>17</v>
      </c>
      <c r="E4462" s="5">
        <v>-28131</v>
      </c>
      <c r="F4462" s="3" t="s">
        <v>893</v>
      </c>
      <c r="G4462" s="3" t="s">
        <v>31</v>
      </c>
      <c r="H4462" s="2" t="s">
        <v>20</v>
      </c>
      <c r="I4462" s="2" t="s">
        <v>8988</v>
      </c>
      <c r="J4462" s="3" t="str">
        <f>HYPERLINK("https://www.boe.es/gazeta/dias/1822/12/23/pdfs/GMD-1822-373.pdf#page=3","Abrir facsímil")</f>
        <v>Abrir facsímil</v>
      </c>
      <c r="K4462" s="3" t="s">
        <v>22</v>
      </c>
    </row>
    <row r="4463" spans="1:11" ht="42" customHeight="1">
      <c r="A4463" s="2" t="s">
        <v>8989</v>
      </c>
      <c r="B4463" s="2" t="s">
        <v>8989</v>
      </c>
      <c r="C4463" s="2" t="s">
        <v>42</v>
      </c>
      <c r="D4463" s="2" t="s">
        <v>17</v>
      </c>
      <c r="E4463" s="5">
        <v>-28328</v>
      </c>
      <c r="F4463" s="3" t="s">
        <v>540</v>
      </c>
      <c r="G4463" s="3" t="s">
        <v>31</v>
      </c>
      <c r="H4463" s="2" t="s">
        <v>20</v>
      </c>
      <c r="I4463" s="2" t="s">
        <v>8990</v>
      </c>
      <c r="J4463" s="3" t="str">
        <f>HYPERLINK("https://www.boe.es/gazeta/dias/1822/06/09/pdfs/GMD-1822-166.pdf#page=3","Abrir facsímil")</f>
        <v>Abrir facsímil</v>
      </c>
      <c r="K4463" s="3" t="s">
        <v>22</v>
      </c>
    </row>
    <row r="4464" spans="1:11" ht="42" customHeight="1">
      <c r="A4464" s="2" t="s">
        <v>8991</v>
      </c>
      <c r="B4464" s="2" t="s">
        <v>8991</v>
      </c>
      <c r="C4464" s="2" t="s">
        <v>42</v>
      </c>
      <c r="D4464" s="2" t="s">
        <v>17</v>
      </c>
      <c r="E4464" s="5">
        <v>-28228</v>
      </c>
      <c r="F4464" s="3" t="s">
        <v>718</v>
      </c>
      <c r="G4464" s="3" t="s">
        <v>35</v>
      </c>
      <c r="H4464" s="2" t="s">
        <v>20</v>
      </c>
      <c r="I4464" s="2" t="s">
        <v>8992</v>
      </c>
      <c r="J4464" s="3" t="str">
        <f>HYPERLINK("https://www.boe.es/gazeta/dias/1822/09/17/pdfs/GMD-1822-273.pdf#page=2","Abrir facsímil")</f>
        <v>Abrir facsímil</v>
      </c>
      <c r="K4464" s="3" t="s">
        <v>22</v>
      </c>
    </row>
    <row r="4465" spans="1:11" ht="42" customHeight="1">
      <c r="A4465" s="2" t="s">
        <v>8993</v>
      </c>
      <c r="B4465" s="2" t="s">
        <v>8993</v>
      </c>
      <c r="C4465" s="2" t="s">
        <v>50</v>
      </c>
      <c r="D4465" s="2" t="s">
        <v>51</v>
      </c>
      <c r="E4465" s="5">
        <v>-28170</v>
      </c>
      <c r="F4465" s="3" t="s">
        <v>1457</v>
      </c>
      <c r="G4465" s="3" t="s">
        <v>19</v>
      </c>
      <c r="H4465" s="2" t="s">
        <v>20</v>
      </c>
      <c r="I4465" s="2" t="s">
        <v>8994</v>
      </c>
      <c r="J4465" s="3" t="str">
        <f>HYPERLINK("https://www.boe.es/gazeta/dias/1822/11/14/pdfs/GMD-1822-334.pdf#page=5","Abrir facsímil")</f>
        <v>Abrir facsímil</v>
      </c>
      <c r="K4465" s="3" t="s">
        <v>22</v>
      </c>
    </row>
    <row r="4466" spans="1:11" ht="42" customHeight="1">
      <c r="A4466" s="2" t="s">
        <v>8995</v>
      </c>
      <c r="B4466" s="2" t="s">
        <v>8995</v>
      </c>
      <c r="C4466" s="2" t="s">
        <v>28</v>
      </c>
      <c r="D4466" s="2" t="s">
        <v>29</v>
      </c>
      <c r="E4466" s="5">
        <v>-28171</v>
      </c>
      <c r="F4466" s="3" t="s">
        <v>1075</v>
      </c>
      <c r="G4466" s="3" t="s">
        <v>44</v>
      </c>
      <c r="H4466" s="2" t="s">
        <v>20</v>
      </c>
      <c r="I4466" s="2" t="s">
        <v>8996</v>
      </c>
      <c r="J4466" s="3" t="str">
        <f>HYPERLINK("https://www.boe.es/gazeta/dias/1822/11/13/pdfs/GMD-1822-333.pdf#page=1","Abrir facsímil")</f>
        <v>Abrir facsímil</v>
      </c>
      <c r="K4466" s="3" t="s">
        <v>22</v>
      </c>
    </row>
    <row r="4467" spans="1:11" ht="42" customHeight="1">
      <c r="A4467" s="2" t="s">
        <v>8997</v>
      </c>
      <c r="B4467" s="2" t="s">
        <v>8998</v>
      </c>
      <c r="C4467" s="2" t="s">
        <v>42</v>
      </c>
      <c r="D4467" s="2" t="s">
        <v>17</v>
      </c>
      <c r="E4467" s="5">
        <v>-28341</v>
      </c>
      <c r="F4467" s="3" t="s">
        <v>284</v>
      </c>
      <c r="G4467" s="3" t="s">
        <v>63</v>
      </c>
      <c r="H4467" s="2" t="s">
        <v>20</v>
      </c>
      <c r="I4467" s="2" t="s">
        <v>8999</v>
      </c>
      <c r="J4467" s="3" t="str">
        <f>HYPERLINK("https://www.boe.es/gazeta/dias/1822/05/27/pdfs/GMD-1822-152.pdf#page=6","Abrir facsímil")</f>
        <v>Abrir facsímil</v>
      </c>
      <c r="K4467" s="3" t="s">
        <v>22</v>
      </c>
    </row>
    <row r="4468" spans="1:11" ht="42" customHeight="1">
      <c r="A4468" s="2" t="s">
        <v>9000</v>
      </c>
      <c r="B4468" s="2" t="s">
        <v>9001</v>
      </c>
      <c r="C4468" s="2" t="s">
        <v>50</v>
      </c>
      <c r="D4468" s="2" t="s">
        <v>51</v>
      </c>
      <c r="E4468" s="5">
        <v>-28155</v>
      </c>
      <c r="F4468" s="3" t="s">
        <v>833</v>
      </c>
      <c r="G4468" s="3" t="s">
        <v>63</v>
      </c>
      <c r="H4468" s="2" t="s">
        <v>20</v>
      </c>
      <c r="I4468" s="2" t="s">
        <v>9002</v>
      </c>
      <c r="J4468" s="3" t="str">
        <f>HYPERLINK("https://www.boe.es/gazeta/dias/1822/11/29/pdfs/GMD-1822-349.pdf#page=6","Abrir facsímil")</f>
        <v>Abrir facsímil</v>
      </c>
      <c r="K4468" s="3" t="s">
        <v>22</v>
      </c>
    </row>
    <row r="4469" spans="1:11" ht="42" customHeight="1">
      <c r="A4469" s="2" t="s">
        <v>9003</v>
      </c>
      <c r="B4469" s="2" t="s">
        <v>9004</v>
      </c>
      <c r="C4469" s="2" t="s">
        <v>28</v>
      </c>
      <c r="D4469" s="2" t="s">
        <v>29</v>
      </c>
      <c r="E4469" s="5">
        <v>-28461</v>
      </c>
      <c r="F4469" s="3" t="s">
        <v>1801</v>
      </c>
      <c r="G4469" s="3" t="s">
        <v>35</v>
      </c>
      <c r="H4469" s="2" t="s">
        <v>20</v>
      </c>
      <c r="I4469" s="2" t="s">
        <v>9005</v>
      </c>
      <c r="J4469" s="3" t="str">
        <f>HYPERLINK("https://www.boe.es/gazeta/dias/1822/01/27/pdfs/GMD-1822-27.pdf#page=2","Abrir facsímil")</f>
        <v>Abrir facsímil</v>
      </c>
      <c r="K4469" s="3" t="s">
        <v>22</v>
      </c>
    </row>
    <row r="4470" spans="1:11" ht="42" customHeight="1">
      <c r="A4470" s="2" t="s">
        <v>9006</v>
      </c>
      <c r="B4470" s="2" t="s">
        <v>9007</v>
      </c>
      <c r="C4470" s="2" t="s">
        <v>61</v>
      </c>
      <c r="D4470" s="2" t="s">
        <v>17</v>
      </c>
      <c r="E4470" s="5">
        <v>-28384</v>
      </c>
      <c r="F4470" s="3" t="s">
        <v>258</v>
      </c>
      <c r="G4470" s="3" t="s">
        <v>63</v>
      </c>
      <c r="H4470" s="2" t="s">
        <v>20</v>
      </c>
      <c r="I4470" s="2" t="s">
        <v>9008</v>
      </c>
      <c r="J4470" s="3" t="str">
        <f>HYPERLINK("https://www.boe.es/gazeta/dias/1822/04/14/pdfs/GMD-1822-106.pdf#page=6","Abrir facsímil")</f>
        <v>Abrir facsímil</v>
      </c>
      <c r="K4470" s="3" t="s">
        <v>22</v>
      </c>
    </row>
    <row r="4471" spans="1:11" ht="42" customHeight="1">
      <c r="A4471" s="2" t="s">
        <v>9009</v>
      </c>
      <c r="B4471" s="2" t="s">
        <v>9010</v>
      </c>
      <c r="C4471" s="2" t="s">
        <v>28</v>
      </c>
      <c r="D4471" s="2" t="s">
        <v>29</v>
      </c>
      <c r="E4471" s="5">
        <v>-28396</v>
      </c>
      <c r="F4471" s="3" t="s">
        <v>1138</v>
      </c>
      <c r="G4471" s="3" t="s">
        <v>35</v>
      </c>
      <c r="H4471" s="2" t="s">
        <v>20</v>
      </c>
      <c r="I4471" s="2" t="s">
        <v>9011</v>
      </c>
      <c r="J4471" s="3" t="str">
        <f>HYPERLINK("https://www.boe.es/gazeta/dias/1822/04/02/pdfs/GMD-1822-94.pdf#page=2","Abrir facsímil")</f>
        <v>Abrir facsímil</v>
      </c>
      <c r="K4471" s="3" t="s">
        <v>22</v>
      </c>
    </row>
    <row r="4472" spans="1:11" ht="42" customHeight="1">
      <c r="A4472" s="2" t="s">
        <v>9012</v>
      </c>
      <c r="B4472" s="2" t="s">
        <v>9013</v>
      </c>
      <c r="C4472" s="2" t="s">
        <v>71</v>
      </c>
      <c r="D4472" s="2" t="s">
        <v>17</v>
      </c>
      <c r="E4472" s="5">
        <v>-28394</v>
      </c>
      <c r="F4472" s="3" t="s">
        <v>268</v>
      </c>
      <c r="G4472" s="3" t="s">
        <v>57</v>
      </c>
      <c r="H4472" s="2" t="s">
        <v>20</v>
      </c>
      <c r="I4472" s="2" t="s">
        <v>9014</v>
      </c>
      <c r="J4472" s="3" t="str">
        <f>HYPERLINK("https://www.boe.es/gazeta/dias/1822/04/04/pdfs/GMD-1822-96.pdf#page=4","Abrir facsímil")</f>
        <v>Abrir facsímil</v>
      </c>
      <c r="K4472" s="3" t="s">
        <v>22</v>
      </c>
    </row>
    <row r="4473" spans="1:11" ht="42" customHeight="1">
      <c r="A4473" s="2" t="s">
        <v>9015</v>
      </c>
      <c r="B4473" s="2" t="s">
        <v>9016</v>
      </c>
      <c r="C4473" s="2" t="s">
        <v>50</v>
      </c>
      <c r="D4473" s="2" t="s">
        <v>51</v>
      </c>
      <c r="E4473" s="5">
        <v>-28255</v>
      </c>
      <c r="F4473" s="3" t="s">
        <v>4826</v>
      </c>
      <c r="G4473" s="3" t="s">
        <v>31</v>
      </c>
      <c r="H4473" s="2" t="s">
        <v>20</v>
      </c>
      <c r="I4473" s="2" t="s">
        <v>9017</v>
      </c>
      <c r="J4473" s="3" t="str">
        <f>HYPERLINK("https://www.boe.es/gazeta/dias/1822/08/21/pdfs/GMD-1822-245.pdf#page=3","Abrir facsímil")</f>
        <v>Abrir facsímil</v>
      </c>
      <c r="K4473" s="3" t="s">
        <v>22</v>
      </c>
    </row>
    <row r="4474" spans="1:11" ht="42" customHeight="1">
      <c r="A4474" s="2" t="s">
        <v>9018</v>
      </c>
      <c r="B4474" s="2" t="s">
        <v>9019</v>
      </c>
      <c r="C4474" s="2" t="s">
        <v>42</v>
      </c>
      <c r="D4474" s="2" t="s">
        <v>17</v>
      </c>
      <c r="E4474" s="5">
        <v>-28339</v>
      </c>
      <c r="F4474" s="3" t="s">
        <v>197</v>
      </c>
      <c r="G4474" s="3" t="s">
        <v>44</v>
      </c>
      <c r="H4474" s="2" t="s">
        <v>20</v>
      </c>
      <c r="I4474" s="2" t="s">
        <v>9020</v>
      </c>
      <c r="J4474" s="3" t="str">
        <f>HYPERLINK("https://www.boe.es/gazeta/dias/1822/05/29/pdfs/GMD-1822-154.pdf#page=1","Abrir facsímil")</f>
        <v>Abrir facsímil</v>
      </c>
      <c r="K4474" s="3" t="s">
        <v>22</v>
      </c>
    </row>
    <row r="4475" spans="1:11" ht="42" customHeight="1">
      <c r="A4475" s="2" t="s">
        <v>9021</v>
      </c>
      <c r="B4475" s="2" t="s">
        <v>9022</v>
      </c>
      <c r="C4475" s="2" t="s">
        <v>42</v>
      </c>
      <c r="D4475" s="2" t="s">
        <v>17</v>
      </c>
      <c r="E4475" s="5">
        <v>-28184</v>
      </c>
      <c r="F4475" s="3" t="s">
        <v>1423</v>
      </c>
      <c r="G4475" s="3" t="s">
        <v>44</v>
      </c>
      <c r="H4475" s="2" t="s">
        <v>20</v>
      </c>
      <c r="I4475" s="2" t="s">
        <v>9023</v>
      </c>
      <c r="J4475" s="3" t="str">
        <f>HYPERLINK("https://www.boe.es/gazeta/dias/1822/10/31/pdfs/GMD-1822-318.pdf#page=1","Abrir facsímil")</f>
        <v>Abrir facsímil</v>
      </c>
      <c r="K4475" s="3" t="s">
        <v>22</v>
      </c>
    </row>
    <row r="4476" spans="1:11" ht="42" customHeight="1">
      <c r="A4476" s="2" t="s">
        <v>9024</v>
      </c>
      <c r="B4476" s="2" t="s">
        <v>9024</v>
      </c>
      <c r="C4476" s="2" t="s">
        <v>28</v>
      </c>
      <c r="D4476" s="2" t="s">
        <v>29</v>
      </c>
      <c r="E4476" s="5">
        <v>-28307</v>
      </c>
      <c r="F4476" s="3" t="s">
        <v>555</v>
      </c>
      <c r="G4476" s="3" t="s">
        <v>167</v>
      </c>
      <c r="H4476" s="2" t="s">
        <v>20</v>
      </c>
      <c r="I4476" s="2" t="s">
        <v>9025</v>
      </c>
      <c r="J4476" s="3" t="str">
        <f>HYPERLINK("https://www.boe.es/gazeta/dias/1822/06/30/pdfs/GMD-1822-188.pdf#page=7","Abrir facsímil")</f>
        <v>Abrir facsímil</v>
      </c>
      <c r="K4476" s="3" t="s">
        <v>22</v>
      </c>
    </row>
    <row r="4477" spans="1:11" ht="42" customHeight="1">
      <c r="A4477" s="2" t="s">
        <v>9026</v>
      </c>
      <c r="B4477" s="2" t="s">
        <v>9027</v>
      </c>
      <c r="C4477" s="2" t="s">
        <v>50</v>
      </c>
      <c r="D4477" s="2" t="s">
        <v>51</v>
      </c>
      <c r="E4477" s="5">
        <v>-28254</v>
      </c>
      <c r="F4477" s="3" t="s">
        <v>3557</v>
      </c>
      <c r="G4477" s="3" t="s">
        <v>35</v>
      </c>
      <c r="H4477" s="2" t="s">
        <v>20</v>
      </c>
      <c r="I4477" s="2" t="s">
        <v>9028</v>
      </c>
      <c r="J4477" s="3" t="str">
        <f>HYPERLINK("https://www.boe.es/gazeta/dias/1822/08/22/pdfs/GMD-1822-246.pdf#page=2","Abrir facsímil")</f>
        <v>Abrir facsímil</v>
      </c>
      <c r="K4477" s="3" t="s">
        <v>22</v>
      </c>
    </row>
    <row r="4478" spans="1:11" ht="42" customHeight="1">
      <c r="A4478" s="2" t="s">
        <v>9029</v>
      </c>
      <c r="B4478" s="2" t="s">
        <v>9029</v>
      </c>
      <c r="C4478" s="2" t="s">
        <v>42</v>
      </c>
      <c r="D4478" s="2" t="s">
        <v>17</v>
      </c>
      <c r="E4478" s="5">
        <v>-28485</v>
      </c>
      <c r="F4478" s="3" t="s">
        <v>1117</v>
      </c>
      <c r="G4478" s="3" t="s">
        <v>1118</v>
      </c>
      <c r="H4478" s="2" t="s">
        <v>20</v>
      </c>
      <c r="I4478" s="2" t="s">
        <v>9030</v>
      </c>
      <c r="J4478" s="3" t="str">
        <f>HYPERLINK("https://www.boe.es/gazeta/dias/1822/01/03/pdfs/GMD-1822-3.pdf#page=2","Abrir facsímil")</f>
        <v>Abrir facsímil</v>
      </c>
      <c r="K4478" s="3" t="s">
        <v>22</v>
      </c>
    </row>
    <row r="4479" spans="1:11" ht="42" customHeight="1">
      <c r="A4479" s="2" t="s">
        <v>9029</v>
      </c>
      <c r="B4479" s="2" t="s">
        <v>9029</v>
      </c>
      <c r="C4479" s="2" t="s">
        <v>71</v>
      </c>
      <c r="D4479" s="2" t="s">
        <v>17</v>
      </c>
      <c r="E4479" s="5">
        <v>-28481</v>
      </c>
      <c r="F4479" s="3" t="s">
        <v>1089</v>
      </c>
      <c r="G4479" s="3" t="s">
        <v>31</v>
      </c>
      <c r="H4479" s="2" t="s">
        <v>20</v>
      </c>
      <c r="I4479" s="2" t="s">
        <v>9031</v>
      </c>
      <c r="J4479" s="3" t="str">
        <f>HYPERLINK("https://www.boe.es/gazeta/dias/1822/01/07/pdfs/GMD-1822-7.pdf#page=3","Abrir facsímil")</f>
        <v>Abrir facsímil</v>
      </c>
      <c r="K4479" s="3" t="s">
        <v>22</v>
      </c>
    </row>
    <row r="4480" spans="1:11" ht="42" customHeight="1">
      <c r="A4480" s="2" t="s">
        <v>9029</v>
      </c>
      <c r="B4480" s="2" t="s">
        <v>9029</v>
      </c>
      <c r="C4480" s="2" t="s">
        <v>24</v>
      </c>
      <c r="D4480" s="2" t="s">
        <v>17</v>
      </c>
      <c r="E4480" s="5">
        <v>-28476</v>
      </c>
      <c r="F4480" s="3" t="s">
        <v>160</v>
      </c>
      <c r="G4480" s="3" t="s">
        <v>31</v>
      </c>
      <c r="H4480" s="2" t="s">
        <v>20</v>
      </c>
      <c r="I4480" s="2" t="s">
        <v>9032</v>
      </c>
      <c r="J4480" s="3" t="str">
        <f>HYPERLINK("https://www.boe.es/gazeta/dias/1822/01/12/pdfs/GMD-1822-12.pdf#page=3","Abrir facsímil")</f>
        <v>Abrir facsímil</v>
      </c>
      <c r="K4480" s="3" t="s">
        <v>22</v>
      </c>
    </row>
    <row r="4481" spans="1:11" ht="42" customHeight="1">
      <c r="A4481" s="2" t="s">
        <v>9029</v>
      </c>
      <c r="B4481" s="2" t="s">
        <v>9029</v>
      </c>
      <c r="C4481" s="2" t="s">
        <v>50</v>
      </c>
      <c r="D4481" s="2" t="s">
        <v>51</v>
      </c>
      <c r="E4481" s="5">
        <v>-28475</v>
      </c>
      <c r="F4481" s="3" t="s">
        <v>1205</v>
      </c>
      <c r="G4481" s="3" t="s">
        <v>31</v>
      </c>
      <c r="H4481" s="2" t="s">
        <v>20</v>
      </c>
      <c r="I4481" s="2" t="s">
        <v>9033</v>
      </c>
      <c r="J4481" s="3" t="str">
        <f>HYPERLINK("https://www.boe.es/gazeta/dias/1822/01/13/pdfs/GMD-1822-13.pdf#page=3","Abrir facsímil")</f>
        <v>Abrir facsímil</v>
      </c>
      <c r="K4481" s="3" t="s">
        <v>22</v>
      </c>
    </row>
    <row r="4482" spans="1:11" ht="42" customHeight="1">
      <c r="A4482" s="2" t="s">
        <v>9029</v>
      </c>
      <c r="B4482" s="2" t="s">
        <v>9029</v>
      </c>
      <c r="C4482" s="2" t="s">
        <v>42</v>
      </c>
      <c r="D4482" s="2" t="s">
        <v>17</v>
      </c>
      <c r="E4482" s="5">
        <v>-28472</v>
      </c>
      <c r="F4482" s="3" t="s">
        <v>5485</v>
      </c>
      <c r="G4482" s="3" t="s">
        <v>35</v>
      </c>
      <c r="H4482" s="2" t="s">
        <v>20</v>
      </c>
      <c r="I4482" s="2" t="s">
        <v>9034</v>
      </c>
      <c r="J4482" s="3" t="str">
        <f>HYPERLINK("https://www.boe.es/gazeta/dias/1822/01/16/pdfs/GMD-1822-16.pdf#page=2","Abrir facsímil")</f>
        <v>Abrir facsímil</v>
      </c>
      <c r="K4482" s="3" t="s">
        <v>22</v>
      </c>
    </row>
    <row r="4483" spans="1:11" ht="42" customHeight="1">
      <c r="A4483" s="2" t="s">
        <v>9029</v>
      </c>
      <c r="B4483" s="2" t="s">
        <v>9029</v>
      </c>
      <c r="C4483" s="2" t="s">
        <v>24</v>
      </c>
      <c r="D4483" s="2" t="s">
        <v>17</v>
      </c>
      <c r="E4483" s="5">
        <v>-28463</v>
      </c>
      <c r="F4483" s="3" t="s">
        <v>25</v>
      </c>
      <c r="G4483" s="3" t="s">
        <v>57</v>
      </c>
      <c r="H4483" s="2" t="s">
        <v>20</v>
      </c>
      <c r="I4483" s="2" t="s">
        <v>9035</v>
      </c>
      <c r="J4483" s="3" t="str">
        <f>HYPERLINK("https://www.boe.es/gazeta/dias/1822/01/25/pdfs/GMD-1822-25.pdf#page=4","Abrir facsímil")</f>
        <v>Abrir facsímil</v>
      </c>
      <c r="K4483" s="3" t="s">
        <v>22</v>
      </c>
    </row>
    <row r="4484" spans="1:11" ht="42" customHeight="1">
      <c r="A4484" s="2" t="s">
        <v>9029</v>
      </c>
      <c r="B4484" s="2" t="s">
        <v>9029</v>
      </c>
      <c r="C4484" s="2" t="s">
        <v>42</v>
      </c>
      <c r="D4484" s="2" t="s">
        <v>17</v>
      </c>
      <c r="E4484" s="5">
        <v>-28456</v>
      </c>
      <c r="F4484" s="3" t="s">
        <v>1104</v>
      </c>
      <c r="G4484" s="3" t="s">
        <v>1105</v>
      </c>
      <c r="H4484" s="2" t="s">
        <v>20</v>
      </c>
      <c r="I4484" s="2" t="s">
        <v>9036</v>
      </c>
      <c r="J4484" s="3" t="str">
        <f>HYPERLINK("https://www.boe.es/gazeta/dias/1822/02/01/pdfs/GMD-1822-32.pdf#page=4","Abrir facsímil")</f>
        <v>Abrir facsímil</v>
      </c>
      <c r="K4484" s="3" t="s">
        <v>22</v>
      </c>
    </row>
    <row r="4485" spans="1:11" ht="42" customHeight="1">
      <c r="A4485" s="2" t="s">
        <v>9029</v>
      </c>
      <c r="B4485" s="2" t="s">
        <v>9029</v>
      </c>
      <c r="C4485" s="2" t="s">
        <v>24</v>
      </c>
      <c r="D4485" s="2" t="s">
        <v>17</v>
      </c>
      <c r="E4485" s="5">
        <v>-28450</v>
      </c>
      <c r="F4485" s="3" t="s">
        <v>1450</v>
      </c>
      <c r="G4485" s="3" t="s">
        <v>44</v>
      </c>
      <c r="H4485" s="2" t="s">
        <v>20</v>
      </c>
      <c r="I4485" s="2" t="s">
        <v>9037</v>
      </c>
      <c r="J4485" s="3" t="str">
        <f>HYPERLINK("https://www.boe.es/gazeta/dias/1822/02/07/pdfs/GMD-1822-38.pdf#page=1","Abrir facsímil")</f>
        <v>Abrir facsímil</v>
      </c>
      <c r="K4485" s="3" t="s">
        <v>22</v>
      </c>
    </row>
    <row r="4486" spans="1:11" ht="42" customHeight="1">
      <c r="A4486" s="2" t="s">
        <v>9029</v>
      </c>
      <c r="B4486" s="2" t="s">
        <v>9029</v>
      </c>
      <c r="C4486" s="2" t="s">
        <v>42</v>
      </c>
      <c r="D4486" s="2" t="s">
        <v>17</v>
      </c>
      <c r="E4486" s="5">
        <v>-28342</v>
      </c>
      <c r="F4486" s="3" t="s">
        <v>2281</v>
      </c>
      <c r="G4486" s="3" t="s">
        <v>35</v>
      </c>
      <c r="H4486" s="2" t="s">
        <v>20</v>
      </c>
      <c r="I4486" s="2" t="s">
        <v>9038</v>
      </c>
      <c r="J4486" s="3" t="str">
        <f>HYPERLINK("https://www.boe.es/gazeta/dias/1822/05/26/pdfs/GMD-1822-151.pdf#page=2","Abrir facsímil")</f>
        <v>Abrir facsímil</v>
      </c>
      <c r="K4486" s="3" t="s">
        <v>22</v>
      </c>
    </row>
    <row r="4487" spans="1:11" ht="42" customHeight="1">
      <c r="A4487" s="2" t="s">
        <v>9039</v>
      </c>
      <c r="B4487" s="2" t="s">
        <v>9040</v>
      </c>
      <c r="C4487" s="2" t="s">
        <v>42</v>
      </c>
      <c r="D4487" s="2" t="s">
        <v>17</v>
      </c>
      <c r="E4487" s="5">
        <v>-28461</v>
      </c>
      <c r="F4487" s="3" t="s">
        <v>1801</v>
      </c>
      <c r="G4487" s="3" t="s">
        <v>35</v>
      </c>
      <c r="H4487" s="2" t="s">
        <v>20</v>
      </c>
      <c r="I4487" s="2" t="s">
        <v>9041</v>
      </c>
      <c r="J4487" s="3" t="str">
        <f>HYPERLINK("https://www.boe.es/gazeta/dias/1822/01/27/pdfs/GMD-1822-27.pdf#page=2","Abrir facsímil")</f>
        <v>Abrir facsímil</v>
      </c>
      <c r="K4487" s="3" t="s">
        <v>22</v>
      </c>
    </row>
    <row r="4488" spans="1:11" ht="42" customHeight="1">
      <c r="A4488" s="2" t="s">
        <v>9042</v>
      </c>
      <c r="B4488" s="2" t="s">
        <v>9042</v>
      </c>
      <c r="C4488" s="2" t="s">
        <v>42</v>
      </c>
      <c r="D4488" s="2" t="s">
        <v>17</v>
      </c>
      <c r="E4488" s="5">
        <v>-28466</v>
      </c>
      <c r="F4488" s="3" t="s">
        <v>4119</v>
      </c>
      <c r="G4488" s="3" t="s">
        <v>63</v>
      </c>
      <c r="H4488" s="2" t="s">
        <v>20</v>
      </c>
      <c r="I4488" s="2" t="s">
        <v>9043</v>
      </c>
      <c r="J4488" s="3" t="str">
        <f>HYPERLINK("https://www.boe.es/gazeta/dias/1822/01/22/pdfs/GMD-1822-22.pdf#page=6","Abrir facsímil")</f>
        <v>Abrir facsímil</v>
      </c>
      <c r="K4488" s="3" t="s">
        <v>22</v>
      </c>
    </row>
    <row r="4489" spans="1:11" ht="42" customHeight="1">
      <c r="A4489" s="2" t="s">
        <v>9044</v>
      </c>
      <c r="B4489" s="2" t="s">
        <v>9045</v>
      </c>
      <c r="C4489" s="2" t="s">
        <v>362</v>
      </c>
      <c r="D4489" s="2" t="s">
        <v>17</v>
      </c>
      <c r="E4489" s="5">
        <v>-28426</v>
      </c>
      <c r="F4489" s="3" t="s">
        <v>1178</v>
      </c>
      <c r="G4489" s="3" t="s">
        <v>35</v>
      </c>
      <c r="H4489" s="2" t="s">
        <v>20</v>
      </c>
      <c r="I4489" s="2" t="s">
        <v>9046</v>
      </c>
      <c r="J4489" s="3" t="str">
        <f>HYPERLINK("https://www.boe.es/gazeta/dias/1822/03/03/pdfs/GMD-1822-64.pdf#page=2","Abrir facsímil")</f>
        <v>Abrir facsímil</v>
      </c>
      <c r="K4489" s="3" t="s">
        <v>22</v>
      </c>
    </row>
    <row r="4490" spans="1:11" ht="42" customHeight="1">
      <c r="A4490" s="2" t="s">
        <v>9047</v>
      </c>
      <c r="B4490" s="2" t="s">
        <v>9048</v>
      </c>
      <c r="C4490" s="2" t="s">
        <v>61</v>
      </c>
      <c r="D4490" s="2" t="s">
        <v>17</v>
      </c>
      <c r="E4490" s="5">
        <v>-28423</v>
      </c>
      <c r="F4490" s="3" t="s">
        <v>441</v>
      </c>
      <c r="G4490" s="3" t="s">
        <v>31</v>
      </c>
      <c r="H4490" s="2" t="s">
        <v>20</v>
      </c>
      <c r="I4490" s="2" t="s">
        <v>9049</v>
      </c>
      <c r="J4490" s="3" t="str">
        <f>HYPERLINK("https://www.boe.es/gazeta/dias/1822/03/06/pdfs/GMD-1822-67.pdf#page=3","Abrir facsímil")</f>
        <v>Abrir facsímil</v>
      </c>
      <c r="K4490" s="3" t="s">
        <v>22</v>
      </c>
    </row>
    <row r="4491" spans="1:11" ht="42" customHeight="1">
      <c r="A4491" s="2" t="s">
        <v>9050</v>
      </c>
      <c r="B4491" s="2" t="s">
        <v>9050</v>
      </c>
      <c r="C4491" s="2" t="s">
        <v>42</v>
      </c>
      <c r="D4491" s="2" t="s">
        <v>17</v>
      </c>
      <c r="E4491" s="5">
        <v>-28210</v>
      </c>
      <c r="F4491" s="3" t="s">
        <v>218</v>
      </c>
      <c r="G4491" s="3" t="s">
        <v>19</v>
      </c>
      <c r="H4491" s="2" t="s">
        <v>20</v>
      </c>
      <c r="I4491" s="2" t="s">
        <v>9051</v>
      </c>
      <c r="J4491" s="3" t="str">
        <f>HYPERLINK("https://www.boe.es/gazeta/dias/1822/10/05/pdfs/GMD-1822-291.pdf#page=5","Abrir facsímil")</f>
        <v>Abrir facsímil</v>
      </c>
      <c r="K4491" s="3" t="s">
        <v>22</v>
      </c>
    </row>
    <row r="4492" spans="1:11" ht="42" customHeight="1">
      <c r="A4492" s="2" t="s">
        <v>9052</v>
      </c>
      <c r="B4492" s="2" t="s">
        <v>9052</v>
      </c>
      <c r="C4492" s="2" t="s">
        <v>50</v>
      </c>
      <c r="D4492" s="2" t="s">
        <v>51</v>
      </c>
      <c r="E4492" s="5">
        <v>-28406</v>
      </c>
      <c r="F4492" s="3" t="s">
        <v>462</v>
      </c>
      <c r="G4492" s="3" t="s">
        <v>57</v>
      </c>
      <c r="H4492" s="2" t="s">
        <v>20</v>
      </c>
      <c r="I4492" s="2" t="s">
        <v>9053</v>
      </c>
      <c r="J4492" s="3" t="str">
        <f>HYPERLINK("https://www.boe.es/gazeta/dias/1822/03/23/pdfs/GMD-1822-84.pdf#page=4","Abrir facsímil")</f>
        <v>Abrir facsímil</v>
      </c>
      <c r="K4492" s="3" t="s">
        <v>22</v>
      </c>
    </row>
    <row r="4493" spans="1:11" ht="42" customHeight="1">
      <c r="A4493" s="2" t="s">
        <v>9054</v>
      </c>
      <c r="B4493" s="2" t="s">
        <v>9055</v>
      </c>
      <c r="C4493" s="2" t="s">
        <v>50</v>
      </c>
      <c r="D4493" s="2" t="s">
        <v>51</v>
      </c>
      <c r="E4493" s="5">
        <v>-28213</v>
      </c>
      <c r="F4493" s="3" t="s">
        <v>558</v>
      </c>
      <c r="G4493" s="3" t="s">
        <v>35</v>
      </c>
      <c r="H4493" s="2" t="s">
        <v>20</v>
      </c>
      <c r="I4493" s="2" t="s">
        <v>9056</v>
      </c>
      <c r="J4493" s="3" t="str">
        <f>HYPERLINK("https://www.boe.es/gazeta/dias/1822/10/02/pdfs/GMD-1822-288.pdf#page=2","Abrir facsímil")</f>
        <v>Abrir facsímil</v>
      </c>
      <c r="K4493" s="3" t="s">
        <v>22</v>
      </c>
    </row>
    <row r="4494" spans="1:11" ht="42" customHeight="1">
      <c r="A4494" s="2" t="s">
        <v>9057</v>
      </c>
      <c r="B4494" s="2" t="s">
        <v>9058</v>
      </c>
      <c r="C4494" s="2" t="s">
        <v>50</v>
      </c>
      <c r="D4494" s="2" t="s">
        <v>51</v>
      </c>
      <c r="E4494" s="5">
        <v>-28137</v>
      </c>
      <c r="F4494" s="3" t="s">
        <v>312</v>
      </c>
      <c r="G4494" s="3" t="s">
        <v>63</v>
      </c>
      <c r="H4494" s="2" t="s">
        <v>20</v>
      </c>
      <c r="I4494" s="2" t="s">
        <v>9059</v>
      </c>
      <c r="J4494" s="3" t="str">
        <f>HYPERLINK("https://www.boe.es/gazeta/dias/1822/12/17/pdfs/GMD-1822-367.pdf#page=6","Abrir facsímil")</f>
        <v>Abrir facsímil</v>
      </c>
      <c r="K4494" s="3" t="s">
        <v>22</v>
      </c>
    </row>
    <row r="4495" spans="1:11" ht="42" customHeight="1">
      <c r="A4495" s="2" t="s">
        <v>9060</v>
      </c>
      <c r="B4495" s="2" t="s">
        <v>9061</v>
      </c>
      <c r="C4495" s="2" t="s">
        <v>42</v>
      </c>
      <c r="D4495" s="2" t="s">
        <v>17</v>
      </c>
      <c r="E4495" s="5">
        <v>-28208</v>
      </c>
      <c r="F4495" s="3" t="s">
        <v>230</v>
      </c>
      <c r="G4495" s="3" t="s">
        <v>57</v>
      </c>
      <c r="H4495" s="2" t="s">
        <v>20</v>
      </c>
      <c r="I4495" s="2" t="s">
        <v>9062</v>
      </c>
      <c r="J4495" s="3" t="str">
        <f>HYPERLINK("https://www.boe.es/gazeta/dias/1822/10/07/pdfs/GMD-1822-293.pdf#page=4","Abrir facsímil")</f>
        <v>Abrir facsímil</v>
      </c>
      <c r="K4495" s="3" t="s">
        <v>22</v>
      </c>
    </row>
    <row r="4496" spans="1:11" ht="42" customHeight="1">
      <c r="A4496" s="2" t="s">
        <v>9060</v>
      </c>
      <c r="B4496" s="2" t="s">
        <v>9061</v>
      </c>
      <c r="C4496" s="2" t="s">
        <v>50</v>
      </c>
      <c r="D4496" s="2" t="s">
        <v>51</v>
      </c>
      <c r="E4496" s="5">
        <v>-28169</v>
      </c>
      <c r="F4496" s="3" t="s">
        <v>2571</v>
      </c>
      <c r="G4496" s="3" t="s">
        <v>63</v>
      </c>
      <c r="H4496" s="2" t="s">
        <v>20</v>
      </c>
      <c r="I4496" s="2" t="s">
        <v>9063</v>
      </c>
      <c r="J4496" s="3" t="str">
        <f>HYPERLINK("https://www.boe.es/gazeta/dias/1822/11/15/pdfs/GMD-1822-335.pdf#page=6","Abrir facsímil")</f>
        <v>Abrir facsímil</v>
      </c>
      <c r="K4496" s="3" t="s">
        <v>22</v>
      </c>
    </row>
    <row r="4497" spans="1:11" ht="42" customHeight="1">
      <c r="A4497" s="2" t="s">
        <v>9060</v>
      </c>
      <c r="B4497" s="2" t="s">
        <v>9061</v>
      </c>
      <c r="C4497" s="2" t="s">
        <v>28</v>
      </c>
      <c r="D4497" s="2" t="s">
        <v>29</v>
      </c>
      <c r="E4497" s="5">
        <v>-28146</v>
      </c>
      <c r="F4497" s="3" t="s">
        <v>180</v>
      </c>
      <c r="G4497" s="3" t="s">
        <v>57</v>
      </c>
      <c r="H4497" s="2" t="s">
        <v>20</v>
      </c>
      <c r="I4497" s="2" t="s">
        <v>9064</v>
      </c>
      <c r="J4497" s="3" t="str">
        <f>HYPERLINK("https://www.boe.es/gazeta/dias/1822/12/08/pdfs/GMD-1822-358.pdf#page=4","Abrir facsímil")</f>
        <v>Abrir facsímil</v>
      </c>
      <c r="K4497" s="3" t="s">
        <v>22</v>
      </c>
    </row>
    <row r="4498" spans="1:11" ht="42" customHeight="1">
      <c r="A4498" s="2" t="s">
        <v>9065</v>
      </c>
      <c r="B4498" s="2" t="s">
        <v>9066</v>
      </c>
      <c r="C4498" s="2" t="s">
        <v>50</v>
      </c>
      <c r="D4498" s="2" t="s">
        <v>51</v>
      </c>
      <c r="E4498" s="5">
        <v>-28265</v>
      </c>
      <c r="F4498" s="3" t="s">
        <v>1263</v>
      </c>
      <c r="G4498" s="3" t="s">
        <v>31</v>
      </c>
      <c r="H4498" s="2" t="s">
        <v>20</v>
      </c>
      <c r="I4498" s="2" t="s">
        <v>9067</v>
      </c>
      <c r="J4498" s="3" t="str">
        <f>HYPERLINK("https://www.boe.es/gazeta/dias/1822/08/11/pdfs/GMD-1822-235.pdf#page=3","Abrir facsímil")</f>
        <v>Abrir facsímil</v>
      </c>
      <c r="K4498" s="3" t="s">
        <v>22</v>
      </c>
    </row>
    <row r="4499" spans="1:11" ht="42" customHeight="1">
      <c r="A4499" s="2" t="s">
        <v>9068</v>
      </c>
      <c r="B4499" s="2" t="s">
        <v>9068</v>
      </c>
      <c r="C4499" s="2" t="s">
        <v>50</v>
      </c>
      <c r="D4499" s="2" t="s">
        <v>51</v>
      </c>
      <c r="E4499" s="5">
        <v>-28231</v>
      </c>
      <c r="F4499" s="3" t="s">
        <v>2049</v>
      </c>
      <c r="G4499" s="3" t="s">
        <v>44</v>
      </c>
      <c r="H4499" s="2" t="s">
        <v>20</v>
      </c>
      <c r="I4499" s="2" t="s">
        <v>9069</v>
      </c>
      <c r="J4499" s="3" t="str">
        <f>HYPERLINK("https://www.boe.es/gazeta/dias/1822/09/14/pdfs/GMD-1822-270.pdf#page=1","Abrir facsímil")</f>
        <v>Abrir facsímil</v>
      </c>
      <c r="K4499" s="3" t="s">
        <v>22</v>
      </c>
    </row>
    <row r="4500" spans="1:11" ht="42" customHeight="1">
      <c r="A4500" s="2" t="s">
        <v>9070</v>
      </c>
      <c r="B4500" s="2" t="s">
        <v>9071</v>
      </c>
      <c r="C4500" s="2" t="s">
        <v>50</v>
      </c>
      <c r="D4500" s="2" t="s">
        <v>51</v>
      </c>
      <c r="E4500" s="5">
        <v>-28318</v>
      </c>
      <c r="F4500" s="3" t="s">
        <v>397</v>
      </c>
      <c r="G4500" s="3" t="s">
        <v>157</v>
      </c>
      <c r="H4500" s="2" t="s">
        <v>20</v>
      </c>
      <c r="I4500" s="2" t="s">
        <v>9072</v>
      </c>
      <c r="J4500" s="3" t="str">
        <f>HYPERLINK("https://www.boe.es/gazeta/dias/1822/06/19/pdfs/GMD-1822-176.pdf#page=8","Abrir facsímil")</f>
        <v>Abrir facsímil</v>
      </c>
      <c r="K4500" s="3" t="s">
        <v>22</v>
      </c>
    </row>
    <row r="4501" spans="1:11" ht="42" customHeight="1">
      <c r="A4501" s="2" t="s">
        <v>9073</v>
      </c>
      <c r="B4501" s="2" t="s">
        <v>9074</v>
      </c>
      <c r="C4501" s="2" t="s">
        <v>362</v>
      </c>
      <c r="D4501" s="2" t="s">
        <v>17</v>
      </c>
      <c r="E4501" s="5">
        <v>-28461</v>
      </c>
      <c r="F4501" s="3" t="s">
        <v>1801</v>
      </c>
      <c r="G4501" s="3" t="s">
        <v>35</v>
      </c>
      <c r="H4501" s="2" t="s">
        <v>20</v>
      </c>
      <c r="I4501" s="2" t="s">
        <v>9075</v>
      </c>
      <c r="J4501" s="3" t="str">
        <f>HYPERLINK("https://www.boe.es/gazeta/dias/1822/01/27/pdfs/GMD-1822-27.pdf#page=2","Abrir facsímil")</f>
        <v>Abrir facsímil</v>
      </c>
      <c r="K4501" s="3" t="s">
        <v>22</v>
      </c>
    </row>
    <row r="4502" spans="1:11" ht="42" customHeight="1">
      <c r="A4502" s="2" t="s">
        <v>9076</v>
      </c>
      <c r="B4502" s="2" t="s">
        <v>9077</v>
      </c>
      <c r="C4502" s="2" t="s">
        <v>50</v>
      </c>
      <c r="D4502" s="2" t="s">
        <v>51</v>
      </c>
      <c r="E4502" s="5">
        <v>-28349</v>
      </c>
      <c r="F4502" s="3" t="s">
        <v>518</v>
      </c>
      <c r="G4502" s="3" t="s">
        <v>57</v>
      </c>
      <c r="H4502" s="2" t="s">
        <v>20</v>
      </c>
      <c r="I4502" s="2" t="s">
        <v>9078</v>
      </c>
      <c r="J4502" s="3" t="str">
        <f>HYPERLINK("https://www.boe.es/gazeta/dias/1822/05/19/pdfs/GMD-1822-141.pdf#page=4","Abrir facsímil")</f>
        <v>Abrir facsímil</v>
      </c>
      <c r="K4502" s="3" t="s">
        <v>22</v>
      </c>
    </row>
    <row r="4503" spans="1:11" ht="42" customHeight="1">
      <c r="A4503" s="2" t="s">
        <v>9079</v>
      </c>
      <c r="B4503" s="2" t="s">
        <v>9080</v>
      </c>
      <c r="C4503" s="2" t="s">
        <v>50</v>
      </c>
      <c r="D4503" s="2" t="s">
        <v>51</v>
      </c>
      <c r="E4503" s="5">
        <v>-28294</v>
      </c>
      <c r="F4503" s="3" t="s">
        <v>2298</v>
      </c>
      <c r="G4503" s="3" t="s">
        <v>35</v>
      </c>
      <c r="H4503" s="2" t="s">
        <v>20</v>
      </c>
      <c r="I4503" s="2" t="s">
        <v>9081</v>
      </c>
      <c r="J4503" s="3" t="str">
        <f>HYPERLINK("https://www.boe.es/gazeta/dias/1822/07/13/pdfs/GMD-1822-203.pdf#page=2","Abrir facsímil")</f>
        <v>Abrir facsímil</v>
      </c>
      <c r="K4503" s="3" t="s">
        <v>22</v>
      </c>
    </row>
    <row r="4504" spans="1:11" ht="42" customHeight="1">
      <c r="A4504" s="2" t="s">
        <v>9082</v>
      </c>
      <c r="B4504" s="2" t="s">
        <v>9082</v>
      </c>
      <c r="C4504" s="2" t="s">
        <v>28</v>
      </c>
      <c r="D4504" s="2" t="s">
        <v>29</v>
      </c>
      <c r="E4504" s="5">
        <v>-28327</v>
      </c>
      <c r="F4504" s="3" t="s">
        <v>38</v>
      </c>
      <c r="G4504" s="3" t="s">
        <v>35</v>
      </c>
      <c r="H4504" s="2" t="s">
        <v>20</v>
      </c>
      <c r="I4504" s="2" t="s">
        <v>9083</v>
      </c>
      <c r="J4504" s="3" t="str">
        <f>HYPERLINK("https://www.boe.es/gazeta/dias/1822/06/10/pdfs/GMD-1822-167.pdf#page=2","Abrir facsímil")</f>
        <v>Abrir facsímil</v>
      </c>
      <c r="K4504" s="3" t="s">
        <v>22</v>
      </c>
    </row>
    <row r="4505" spans="1:11" ht="42" customHeight="1">
      <c r="A4505" s="2" t="s">
        <v>9084</v>
      </c>
      <c r="B4505" s="2" t="s">
        <v>9085</v>
      </c>
      <c r="C4505" s="2" t="s">
        <v>28</v>
      </c>
      <c r="D4505" s="2" t="s">
        <v>29</v>
      </c>
      <c r="E4505" s="5">
        <v>-28308</v>
      </c>
      <c r="F4505" s="3" t="s">
        <v>1050</v>
      </c>
      <c r="G4505" s="3" t="s">
        <v>35</v>
      </c>
      <c r="H4505" s="2" t="s">
        <v>20</v>
      </c>
      <c r="I4505" s="2" t="s">
        <v>9086</v>
      </c>
      <c r="J4505" s="3" t="str">
        <f>HYPERLINK("https://www.boe.es/gazeta/dias/1822/06/29/pdfs/GMD-1822-187.pdf#page=2","Abrir facsímil")</f>
        <v>Abrir facsímil</v>
      </c>
      <c r="K4505" s="3" t="s">
        <v>22</v>
      </c>
    </row>
    <row r="4506" spans="1:11" ht="42" customHeight="1">
      <c r="A4506" s="2" t="s">
        <v>9087</v>
      </c>
      <c r="B4506" s="2" t="s">
        <v>9088</v>
      </c>
      <c r="C4506" s="2" t="s">
        <v>42</v>
      </c>
      <c r="D4506" s="2" t="s">
        <v>17</v>
      </c>
      <c r="E4506" s="5">
        <v>-28258</v>
      </c>
      <c r="F4506" s="3" t="s">
        <v>88</v>
      </c>
      <c r="G4506" s="3" t="s">
        <v>31</v>
      </c>
      <c r="H4506" s="2" t="s">
        <v>20</v>
      </c>
      <c r="I4506" s="2" t="s">
        <v>9089</v>
      </c>
      <c r="J4506" s="3" t="str">
        <f>HYPERLINK("https://www.boe.es/gazeta/dias/1822/08/18/pdfs/GMD-1822-242.pdf#page=3","Abrir facsímil")</f>
        <v>Abrir facsímil</v>
      </c>
      <c r="K4506" s="3" t="s">
        <v>22</v>
      </c>
    </row>
    <row r="4507" spans="1:11" ht="42" customHeight="1">
      <c r="A4507" s="2" t="s">
        <v>9090</v>
      </c>
      <c r="B4507" s="2" t="s">
        <v>9091</v>
      </c>
      <c r="C4507" s="2" t="s">
        <v>71</v>
      </c>
      <c r="D4507" s="2" t="s">
        <v>17</v>
      </c>
      <c r="E4507" s="5">
        <v>-28346</v>
      </c>
      <c r="F4507" s="3" t="s">
        <v>191</v>
      </c>
      <c r="G4507" s="3" t="s">
        <v>35</v>
      </c>
      <c r="H4507" s="2" t="s">
        <v>20</v>
      </c>
      <c r="I4507" s="2" t="s">
        <v>9092</v>
      </c>
      <c r="J4507" s="3" t="str">
        <f>HYPERLINK("https://www.boe.es/gazeta/dias/1822/05/22/pdfs/GMD-1822-145.pdf#page=2","Abrir facsímil")</f>
        <v>Abrir facsímil</v>
      </c>
      <c r="K4507" s="3" t="s">
        <v>22</v>
      </c>
    </row>
    <row r="4508" spans="1:11" ht="42" customHeight="1">
      <c r="A4508" s="2" t="s">
        <v>9093</v>
      </c>
      <c r="B4508" s="2" t="s">
        <v>9093</v>
      </c>
      <c r="C4508" s="2" t="s">
        <v>24</v>
      </c>
      <c r="D4508" s="2" t="s">
        <v>17</v>
      </c>
      <c r="E4508" s="5">
        <v>-28359</v>
      </c>
      <c r="F4508" s="3" t="s">
        <v>209</v>
      </c>
      <c r="G4508" s="3" t="s">
        <v>31</v>
      </c>
      <c r="H4508" s="2" t="s">
        <v>20</v>
      </c>
      <c r="I4508" s="2" t="s">
        <v>9094</v>
      </c>
      <c r="J4508" s="3" t="str">
        <f>HYPERLINK("https://www.boe.es/gazeta/dias/1822/05/09/pdfs/GMD-1822-131.pdf#page=3","Abrir facsímil")</f>
        <v>Abrir facsímil</v>
      </c>
      <c r="K4508" s="3" t="s">
        <v>22</v>
      </c>
    </row>
    <row r="4509" spans="1:11" ht="42" customHeight="1">
      <c r="A4509" s="2" t="s">
        <v>9095</v>
      </c>
      <c r="B4509" s="2" t="s">
        <v>9096</v>
      </c>
      <c r="C4509" s="2" t="s">
        <v>16</v>
      </c>
      <c r="D4509" s="2" t="s">
        <v>17</v>
      </c>
      <c r="E4509" s="5">
        <v>-28161</v>
      </c>
      <c r="F4509" s="3" t="s">
        <v>166</v>
      </c>
      <c r="G4509" s="3" t="s">
        <v>157</v>
      </c>
      <c r="H4509" s="2" t="s">
        <v>20</v>
      </c>
      <c r="I4509" s="2" t="s">
        <v>9097</v>
      </c>
      <c r="J4509" s="3" t="str">
        <f>HYPERLINK("https://www.boe.es/gazeta/dias/1822/11/23/pdfs/GMD-1822-343.pdf#page=8","Abrir facsímil")</f>
        <v>Abrir facsímil</v>
      </c>
      <c r="K4509" s="3" t="s">
        <v>22</v>
      </c>
    </row>
    <row r="4510" spans="1:11" ht="42" customHeight="1">
      <c r="A4510" s="2" t="s">
        <v>9098</v>
      </c>
      <c r="B4510" s="2" t="s">
        <v>9099</v>
      </c>
      <c r="C4510" s="2" t="s">
        <v>28</v>
      </c>
      <c r="D4510" s="2" t="s">
        <v>29</v>
      </c>
      <c r="E4510" s="5">
        <v>-28195</v>
      </c>
      <c r="F4510" s="3" t="s">
        <v>770</v>
      </c>
      <c r="G4510" s="3" t="s">
        <v>63</v>
      </c>
      <c r="H4510" s="2" t="s">
        <v>20</v>
      </c>
      <c r="I4510" s="2" t="s">
        <v>9100</v>
      </c>
      <c r="J4510" s="3" t="str">
        <f>HYPERLINK("https://www.boe.es/gazeta/dias/1822/10/20/pdfs/GMD-1822-307.pdf#page=6","Abrir facsímil")</f>
        <v>Abrir facsímil</v>
      </c>
      <c r="K4510" s="3" t="s">
        <v>22</v>
      </c>
    </row>
    <row r="4511" spans="1:11" ht="42" customHeight="1">
      <c r="A4511" s="2" t="s">
        <v>9101</v>
      </c>
      <c r="B4511" s="2" t="s">
        <v>9101</v>
      </c>
      <c r="C4511" s="2" t="s">
        <v>50</v>
      </c>
      <c r="D4511" s="2" t="s">
        <v>51</v>
      </c>
      <c r="E4511" s="5">
        <v>-28259</v>
      </c>
      <c r="F4511" s="3" t="s">
        <v>1912</v>
      </c>
      <c r="G4511" s="3" t="s">
        <v>57</v>
      </c>
      <c r="H4511" s="2" t="s">
        <v>20</v>
      </c>
      <c r="I4511" s="2" t="s">
        <v>9102</v>
      </c>
      <c r="J4511" s="3" t="str">
        <f>HYPERLINK("https://www.boe.es/gazeta/dias/1822/08/17/pdfs/GMD-1822-241.pdf#page=4","Abrir facsímil")</f>
        <v>Abrir facsímil</v>
      </c>
      <c r="K4511" s="3" t="s">
        <v>22</v>
      </c>
    </row>
    <row r="4512" spans="1:11" ht="42" customHeight="1">
      <c r="A4512" s="2" t="s">
        <v>9101</v>
      </c>
      <c r="B4512" s="2" t="s">
        <v>9101</v>
      </c>
      <c r="C4512" s="2" t="s">
        <v>50</v>
      </c>
      <c r="D4512" s="2" t="s">
        <v>51</v>
      </c>
      <c r="E4512" s="5">
        <v>-28200</v>
      </c>
      <c r="F4512" s="3" t="s">
        <v>1037</v>
      </c>
      <c r="G4512" s="3" t="s">
        <v>35</v>
      </c>
      <c r="H4512" s="2" t="s">
        <v>20</v>
      </c>
      <c r="I4512" s="2" t="s">
        <v>9103</v>
      </c>
      <c r="J4512" s="3" t="str">
        <f>HYPERLINK("https://www.boe.es/gazeta/dias/1822/10/15/pdfs/GMD-1822-302.pdf#page=2","Abrir facsímil")</f>
        <v>Abrir facsímil</v>
      </c>
      <c r="K4512" s="3" t="s">
        <v>22</v>
      </c>
    </row>
    <row r="4513" spans="1:11" ht="42" customHeight="1">
      <c r="A4513" s="2" t="s">
        <v>9104</v>
      </c>
      <c r="B4513" s="2" t="s">
        <v>9104</v>
      </c>
      <c r="C4513" s="2" t="s">
        <v>50</v>
      </c>
      <c r="D4513" s="2" t="s">
        <v>51</v>
      </c>
      <c r="E4513" s="5">
        <v>-28405</v>
      </c>
      <c r="F4513" s="3" t="s">
        <v>466</v>
      </c>
      <c r="G4513" s="3" t="s">
        <v>57</v>
      </c>
      <c r="H4513" s="2" t="s">
        <v>20</v>
      </c>
      <c r="I4513" s="2" t="s">
        <v>9105</v>
      </c>
      <c r="J4513" s="3" t="str">
        <f>HYPERLINK("https://www.boe.es/gazeta/dias/1822/03/24/pdfs/GMD-1822-85.pdf#page=4","Abrir facsímil")</f>
        <v>Abrir facsímil</v>
      </c>
      <c r="K4513" s="3" t="s">
        <v>22</v>
      </c>
    </row>
    <row r="4514" spans="1:11" ht="42" customHeight="1">
      <c r="A4514" s="2" t="s">
        <v>9106</v>
      </c>
      <c r="B4514" s="2" t="s">
        <v>9106</v>
      </c>
      <c r="C4514" s="2" t="s">
        <v>28</v>
      </c>
      <c r="D4514" s="2" t="s">
        <v>29</v>
      </c>
      <c r="E4514" s="5">
        <v>-28421</v>
      </c>
      <c r="F4514" s="3" t="s">
        <v>446</v>
      </c>
      <c r="G4514" s="3" t="s">
        <v>57</v>
      </c>
      <c r="H4514" s="2" t="s">
        <v>20</v>
      </c>
      <c r="I4514" s="2" t="s">
        <v>9107</v>
      </c>
      <c r="J4514" s="3" t="str">
        <f>HYPERLINK("https://www.boe.es/gazeta/dias/1822/03/08/pdfs/GMD-1822-69.pdf#page=4","Abrir facsímil")</f>
        <v>Abrir facsímil</v>
      </c>
      <c r="K4514" s="3" t="s">
        <v>22</v>
      </c>
    </row>
    <row r="4515" spans="1:11" ht="42" customHeight="1">
      <c r="A4515" s="2" t="s">
        <v>9106</v>
      </c>
      <c r="B4515" s="2" t="s">
        <v>9106</v>
      </c>
      <c r="C4515" s="2" t="s">
        <v>16</v>
      </c>
      <c r="D4515" s="2" t="s">
        <v>17</v>
      </c>
      <c r="E4515" s="5">
        <v>-28379</v>
      </c>
      <c r="F4515" s="3" t="s">
        <v>494</v>
      </c>
      <c r="G4515" s="3" t="s">
        <v>35</v>
      </c>
      <c r="H4515" s="2" t="s">
        <v>20</v>
      </c>
      <c r="I4515" s="2" t="s">
        <v>9108</v>
      </c>
      <c r="J4515" s="3" t="str">
        <f>HYPERLINK("https://www.boe.es/gazeta/dias/1822/04/19/pdfs/GMD-1822-111.pdf#page=2","Abrir facsímil")</f>
        <v>Abrir facsímil</v>
      </c>
      <c r="K4515" s="3" t="s">
        <v>22</v>
      </c>
    </row>
    <row r="4516" spans="1:11" ht="42" customHeight="1">
      <c r="A4516" s="2" t="s">
        <v>9106</v>
      </c>
      <c r="B4516" s="2" t="s">
        <v>9106</v>
      </c>
      <c r="C4516" s="2" t="s">
        <v>28</v>
      </c>
      <c r="D4516" s="2" t="s">
        <v>29</v>
      </c>
      <c r="E4516" s="5">
        <v>-28347</v>
      </c>
      <c r="F4516" s="3" t="s">
        <v>520</v>
      </c>
      <c r="G4516" s="3" t="s">
        <v>63</v>
      </c>
      <c r="H4516" s="2" t="s">
        <v>20</v>
      </c>
      <c r="I4516" s="2" t="s">
        <v>9109</v>
      </c>
      <c r="J4516" s="3" t="str">
        <f>HYPERLINK("https://www.boe.es/gazeta/dias/1822/05/21/pdfs/GMD-1822-144.pdf#page=6","Abrir facsímil")</f>
        <v>Abrir facsímil</v>
      </c>
      <c r="K4516" s="3" t="s">
        <v>22</v>
      </c>
    </row>
    <row r="4517" spans="1:11" ht="42" customHeight="1">
      <c r="A4517" s="2" t="s">
        <v>9106</v>
      </c>
      <c r="B4517" s="2" t="s">
        <v>9106</v>
      </c>
      <c r="C4517" s="2" t="s">
        <v>28</v>
      </c>
      <c r="D4517" s="2" t="s">
        <v>29</v>
      </c>
      <c r="E4517" s="5">
        <v>-28326</v>
      </c>
      <c r="F4517" s="3" t="s">
        <v>543</v>
      </c>
      <c r="G4517" s="3" t="s">
        <v>19</v>
      </c>
      <c r="H4517" s="2" t="s">
        <v>20</v>
      </c>
      <c r="I4517" s="2" t="s">
        <v>9110</v>
      </c>
      <c r="J4517" s="3" t="str">
        <f>HYPERLINK("https://www.boe.es/gazeta/dias/1822/06/11/pdfs/GMD-1822-168.pdf#page=5","Abrir facsímil")</f>
        <v>Abrir facsímil</v>
      </c>
      <c r="K4517" s="3" t="s">
        <v>22</v>
      </c>
    </row>
    <row r="4518" spans="1:11" ht="42" customHeight="1">
      <c r="A4518" s="2" t="s">
        <v>9106</v>
      </c>
      <c r="B4518" s="2" t="s">
        <v>9106</v>
      </c>
      <c r="C4518" s="2" t="s">
        <v>16</v>
      </c>
      <c r="D4518" s="2" t="s">
        <v>17</v>
      </c>
      <c r="E4518" s="5">
        <v>-28307</v>
      </c>
      <c r="F4518" s="3" t="s">
        <v>555</v>
      </c>
      <c r="G4518" s="3" t="s">
        <v>31</v>
      </c>
      <c r="H4518" s="2" t="s">
        <v>20</v>
      </c>
      <c r="I4518" s="2" t="s">
        <v>9111</v>
      </c>
      <c r="J4518" s="3" t="str">
        <f>HYPERLINK("https://www.boe.es/gazeta/dias/1822/06/30/pdfs/GMD-1822-188.pdf#page=3","Abrir facsímil")</f>
        <v>Abrir facsímil</v>
      </c>
      <c r="K4518" s="3" t="s">
        <v>22</v>
      </c>
    </row>
    <row r="4519" spans="1:11" ht="42" customHeight="1">
      <c r="A4519" s="2" t="s">
        <v>9106</v>
      </c>
      <c r="B4519" s="2" t="s">
        <v>9106</v>
      </c>
      <c r="C4519" s="2" t="s">
        <v>28</v>
      </c>
      <c r="D4519" s="2" t="s">
        <v>29</v>
      </c>
      <c r="E4519" s="5">
        <v>-28197</v>
      </c>
      <c r="F4519" s="3" t="s">
        <v>568</v>
      </c>
      <c r="G4519" s="3" t="s">
        <v>35</v>
      </c>
      <c r="H4519" s="2" t="s">
        <v>20</v>
      </c>
      <c r="I4519" s="2" t="s">
        <v>9112</v>
      </c>
      <c r="J4519" s="3" t="str">
        <f>HYPERLINK("https://www.boe.es/gazeta/dias/1822/10/18/pdfs/GMD-1822-305.pdf#page=2","Abrir facsímil")</f>
        <v>Abrir facsímil</v>
      </c>
      <c r="K4519" s="3" t="s">
        <v>22</v>
      </c>
    </row>
    <row r="4520" spans="1:11" ht="42" customHeight="1">
      <c r="A4520" s="2" t="s">
        <v>9106</v>
      </c>
      <c r="B4520" s="2" t="s">
        <v>9106</v>
      </c>
      <c r="C4520" s="2" t="s">
        <v>28</v>
      </c>
      <c r="D4520" s="2" t="s">
        <v>29</v>
      </c>
      <c r="E4520" s="5">
        <v>-28193</v>
      </c>
      <c r="F4520" s="3" t="s">
        <v>574</v>
      </c>
      <c r="G4520" s="3" t="s">
        <v>57</v>
      </c>
      <c r="H4520" s="2" t="s">
        <v>20</v>
      </c>
      <c r="I4520" s="2" t="s">
        <v>9113</v>
      </c>
      <c r="J4520" s="3" t="str">
        <f>HYPERLINK("https://www.boe.es/gazeta/dias/1822/10/22/pdfs/GMD-1822-309.pdf#page=4","Abrir facsímil")</f>
        <v>Abrir facsímil</v>
      </c>
      <c r="K4520" s="3" t="s">
        <v>22</v>
      </c>
    </row>
    <row r="4521" spans="1:11" ht="42" customHeight="1">
      <c r="A4521" s="2" t="s">
        <v>9106</v>
      </c>
      <c r="B4521" s="2" t="s">
        <v>9106</v>
      </c>
      <c r="C4521" s="2" t="s">
        <v>28</v>
      </c>
      <c r="D4521" s="2" t="s">
        <v>29</v>
      </c>
      <c r="E4521" s="5">
        <v>-28192</v>
      </c>
      <c r="F4521" s="3" t="s">
        <v>43</v>
      </c>
      <c r="G4521" s="3" t="s">
        <v>63</v>
      </c>
      <c r="H4521" s="2" t="s">
        <v>20</v>
      </c>
      <c r="I4521" s="2" t="s">
        <v>9114</v>
      </c>
      <c r="J4521" s="3" t="str">
        <f>HYPERLINK("https://www.boe.es/gazeta/dias/1822/10/23/pdfs/GMD-1822-310.pdf#page=6","Abrir facsímil")</f>
        <v>Abrir facsímil</v>
      </c>
      <c r="K4521" s="3" t="s">
        <v>22</v>
      </c>
    </row>
    <row r="4522" spans="1:11" ht="42" customHeight="1">
      <c r="A4522" s="2" t="s">
        <v>9106</v>
      </c>
      <c r="B4522" s="2" t="s">
        <v>9106</v>
      </c>
      <c r="C4522" s="2" t="s">
        <v>42</v>
      </c>
      <c r="D4522" s="2" t="s">
        <v>17</v>
      </c>
      <c r="E4522" s="5">
        <v>-28191</v>
      </c>
      <c r="F4522" s="3" t="s">
        <v>710</v>
      </c>
      <c r="G4522" s="3" t="s">
        <v>63</v>
      </c>
      <c r="H4522" s="2" t="s">
        <v>20</v>
      </c>
      <c r="I4522" s="2" t="s">
        <v>9115</v>
      </c>
      <c r="J4522" s="3" t="str">
        <f>HYPERLINK("https://www.boe.es/gazeta/dias/1822/10/24/pdfs/GMD-1822-311.pdf#page=6","Abrir facsímil")</f>
        <v>Abrir facsímil</v>
      </c>
      <c r="K4522" s="3" t="s">
        <v>22</v>
      </c>
    </row>
    <row r="4523" spans="1:11" ht="42" customHeight="1">
      <c r="A4523" s="2" t="s">
        <v>9106</v>
      </c>
      <c r="B4523" s="2" t="s">
        <v>9106</v>
      </c>
      <c r="C4523" s="2" t="s">
        <v>50</v>
      </c>
      <c r="D4523" s="2" t="s">
        <v>51</v>
      </c>
      <c r="E4523" s="5">
        <v>-28183</v>
      </c>
      <c r="F4523" s="3" t="s">
        <v>583</v>
      </c>
      <c r="G4523" s="3" t="s">
        <v>63</v>
      </c>
      <c r="H4523" s="2" t="s">
        <v>20</v>
      </c>
      <c r="I4523" s="2" t="s">
        <v>9116</v>
      </c>
      <c r="J4523" s="3" t="str">
        <f>HYPERLINK("https://www.boe.es/gazeta/dias/1822/11/01/pdfs/GMD-1822-319.pdf#page=6","Abrir facsímil")</f>
        <v>Abrir facsímil</v>
      </c>
      <c r="K4523" s="3" t="s">
        <v>22</v>
      </c>
    </row>
    <row r="4524" spans="1:11" ht="42" customHeight="1">
      <c r="A4524" s="2" t="s">
        <v>9106</v>
      </c>
      <c r="B4524" s="2" t="s">
        <v>9106</v>
      </c>
      <c r="C4524" s="2" t="s">
        <v>42</v>
      </c>
      <c r="D4524" s="2" t="s">
        <v>17</v>
      </c>
      <c r="E4524" s="5">
        <v>-28167</v>
      </c>
      <c r="F4524" s="3" t="s">
        <v>904</v>
      </c>
      <c r="G4524" s="3" t="s">
        <v>31</v>
      </c>
      <c r="H4524" s="2" t="s">
        <v>20</v>
      </c>
      <c r="I4524" s="2" t="s">
        <v>9117</v>
      </c>
      <c r="J4524" s="3" t="str">
        <f>HYPERLINK("https://www.boe.es/gazeta/dias/1822/11/17/pdfs/GMD-1822-337.pdf#page=3","Abrir facsímil")</f>
        <v>Abrir facsímil</v>
      </c>
      <c r="K4524" s="3" t="s">
        <v>22</v>
      </c>
    </row>
    <row r="4525" spans="1:11" ht="42" customHeight="1">
      <c r="A4525" s="2" t="s">
        <v>9118</v>
      </c>
      <c r="B4525" s="2" t="s">
        <v>9119</v>
      </c>
      <c r="C4525" s="2" t="s">
        <v>50</v>
      </c>
      <c r="D4525" s="2" t="s">
        <v>51</v>
      </c>
      <c r="E4525" s="5">
        <v>-28418</v>
      </c>
      <c r="F4525" s="3" t="s">
        <v>205</v>
      </c>
      <c r="G4525" s="3" t="s">
        <v>63</v>
      </c>
      <c r="H4525" s="2" t="s">
        <v>20</v>
      </c>
      <c r="I4525" s="2" t="s">
        <v>9120</v>
      </c>
      <c r="J4525" s="3" t="str">
        <f>HYPERLINK("https://www.boe.es/gazeta/dias/1822/03/11/pdfs/GMD-1822-72.pdf#page=6","Abrir facsímil")</f>
        <v>Abrir facsímil</v>
      </c>
      <c r="K4525" s="3" t="s">
        <v>22</v>
      </c>
    </row>
    <row r="4526" spans="1:11" ht="42" customHeight="1">
      <c r="A4526" s="2" t="s">
        <v>9121</v>
      </c>
      <c r="B4526" s="2" t="s">
        <v>9122</v>
      </c>
      <c r="C4526" s="2" t="s">
        <v>24</v>
      </c>
      <c r="D4526" s="2" t="s">
        <v>17</v>
      </c>
      <c r="E4526" s="5">
        <v>-28313</v>
      </c>
      <c r="F4526" s="3" t="s">
        <v>315</v>
      </c>
      <c r="G4526" s="3" t="s">
        <v>157</v>
      </c>
      <c r="H4526" s="2" t="s">
        <v>20</v>
      </c>
      <c r="I4526" s="2" t="s">
        <v>9123</v>
      </c>
      <c r="J4526" s="3" t="str">
        <f>HYPERLINK("https://www.boe.es/gazeta/dias/1822/06/24/pdfs/GMD-1822-182.pdf#page=8","Abrir facsímil")</f>
        <v>Abrir facsímil</v>
      </c>
      <c r="K4526" s="3" t="s">
        <v>22</v>
      </c>
    </row>
    <row r="4527" spans="1:11" ht="42" customHeight="1">
      <c r="A4527" s="2" t="s">
        <v>9124</v>
      </c>
      <c r="B4527" s="2" t="s">
        <v>9125</v>
      </c>
      <c r="C4527" s="2" t="s">
        <v>28</v>
      </c>
      <c r="D4527" s="2" t="s">
        <v>29</v>
      </c>
      <c r="E4527" s="5">
        <v>-28307</v>
      </c>
      <c r="F4527" s="3" t="s">
        <v>555</v>
      </c>
      <c r="G4527" s="3" t="s">
        <v>157</v>
      </c>
      <c r="H4527" s="2" t="s">
        <v>20</v>
      </c>
      <c r="I4527" s="2" t="s">
        <v>9126</v>
      </c>
      <c r="J4527" s="3" t="str">
        <f>HYPERLINK("https://www.boe.es/gazeta/dias/1822/06/30/pdfs/GMD-1822-188.pdf#page=8","Abrir facsímil")</f>
        <v>Abrir facsímil</v>
      </c>
      <c r="K4527" s="3" t="s">
        <v>22</v>
      </c>
    </row>
    <row r="4528" spans="1:11" ht="42" customHeight="1">
      <c r="A4528" s="2" t="s">
        <v>9124</v>
      </c>
      <c r="B4528" s="2" t="s">
        <v>9125</v>
      </c>
      <c r="C4528" s="2" t="s">
        <v>50</v>
      </c>
      <c r="D4528" s="2" t="s">
        <v>51</v>
      </c>
      <c r="E4528" s="5">
        <v>-28265</v>
      </c>
      <c r="F4528" s="3" t="s">
        <v>1263</v>
      </c>
      <c r="G4528" s="3" t="s">
        <v>57</v>
      </c>
      <c r="H4528" s="2" t="s">
        <v>20</v>
      </c>
      <c r="I4528" s="2" t="s">
        <v>9127</v>
      </c>
      <c r="J4528" s="3" t="str">
        <f>HYPERLINK("https://www.boe.es/gazeta/dias/1822/08/11/pdfs/GMD-1822-235.pdf#page=4","Abrir facsímil")</f>
        <v>Abrir facsímil</v>
      </c>
      <c r="K4528" s="3" t="s">
        <v>22</v>
      </c>
    </row>
    <row r="4529" spans="1:11" ht="42" customHeight="1">
      <c r="A4529" s="2" t="s">
        <v>9128</v>
      </c>
      <c r="B4529" s="2" t="s">
        <v>9128</v>
      </c>
      <c r="C4529" s="2" t="s">
        <v>50</v>
      </c>
      <c r="D4529" s="2" t="s">
        <v>51</v>
      </c>
      <c r="E4529" s="5">
        <v>-28473</v>
      </c>
      <c r="F4529" s="3" t="s">
        <v>2337</v>
      </c>
      <c r="G4529" s="3" t="s">
        <v>157</v>
      </c>
      <c r="H4529" s="2" t="s">
        <v>20</v>
      </c>
      <c r="I4529" s="2" t="s">
        <v>9129</v>
      </c>
      <c r="J4529" s="3" t="str">
        <f>HYPERLINK("https://www.boe.es/gazeta/dias/1822/01/15/pdfs/GMD-1822-15.pdf#page=8","Abrir facsímil")</f>
        <v>Abrir facsímil</v>
      </c>
      <c r="K4529" s="3" t="s">
        <v>22</v>
      </c>
    </row>
    <row r="4530" spans="1:11" ht="42" customHeight="1">
      <c r="A4530" s="2" t="s">
        <v>9128</v>
      </c>
      <c r="B4530" s="2" t="s">
        <v>9128</v>
      </c>
      <c r="C4530" s="2" t="s">
        <v>50</v>
      </c>
      <c r="D4530" s="2" t="s">
        <v>51</v>
      </c>
      <c r="E4530" s="5">
        <v>-28418</v>
      </c>
      <c r="F4530" s="3" t="s">
        <v>205</v>
      </c>
      <c r="G4530" s="3" t="s">
        <v>31</v>
      </c>
      <c r="H4530" s="2" t="s">
        <v>20</v>
      </c>
      <c r="I4530" s="2" t="s">
        <v>9130</v>
      </c>
      <c r="J4530" s="3" t="str">
        <f>HYPERLINK("https://www.boe.es/gazeta/dias/1822/03/11/pdfs/GMD-1822-72.pdf#page=3","Abrir facsímil")</f>
        <v>Abrir facsímil</v>
      </c>
      <c r="K4530" s="3" t="s">
        <v>22</v>
      </c>
    </row>
    <row r="4531" spans="1:11" ht="42" customHeight="1">
      <c r="A4531" s="2" t="s">
        <v>9128</v>
      </c>
      <c r="B4531" s="2" t="s">
        <v>9128</v>
      </c>
      <c r="C4531" s="2" t="s">
        <v>50</v>
      </c>
      <c r="D4531" s="2" t="s">
        <v>51</v>
      </c>
      <c r="E4531" s="5">
        <v>-28418</v>
      </c>
      <c r="F4531" s="3" t="s">
        <v>205</v>
      </c>
      <c r="G4531" s="3" t="s">
        <v>57</v>
      </c>
      <c r="H4531" s="2" t="s">
        <v>20</v>
      </c>
      <c r="I4531" s="2" t="s">
        <v>9131</v>
      </c>
      <c r="J4531" s="3" t="str">
        <f>HYPERLINK("https://www.boe.es/gazeta/dias/1822/03/11/pdfs/GMD-1822-72.pdf#page=4","Abrir facsímil")</f>
        <v>Abrir facsímil</v>
      </c>
      <c r="K4531" s="3" t="s">
        <v>22</v>
      </c>
    </row>
    <row r="4532" spans="1:11" ht="42" customHeight="1">
      <c r="A4532" s="2" t="s">
        <v>9132</v>
      </c>
      <c r="B4532" s="2" t="s">
        <v>9132</v>
      </c>
      <c r="C4532" s="2" t="s">
        <v>50</v>
      </c>
      <c r="D4532" s="2" t="s">
        <v>51</v>
      </c>
      <c r="E4532" s="5">
        <v>-28333</v>
      </c>
      <c r="F4532" s="3" t="s">
        <v>1928</v>
      </c>
      <c r="G4532" s="3" t="s">
        <v>35</v>
      </c>
      <c r="H4532" s="2" t="s">
        <v>20</v>
      </c>
      <c r="I4532" s="2" t="s">
        <v>9133</v>
      </c>
      <c r="J4532" s="3" t="str">
        <f>HYPERLINK("https://www.boe.es/gazeta/dias/1822/06/04/pdfs/GMD-1822-161.pdf#page=2","Abrir facsímil")</f>
        <v>Abrir facsímil</v>
      </c>
      <c r="K4532" s="3" t="s">
        <v>22</v>
      </c>
    </row>
    <row r="4533" spans="1:11" ht="42" customHeight="1">
      <c r="A4533" s="2" t="s">
        <v>9132</v>
      </c>
      <c r="B4533" s="2" t="s">
        <v>9132</v>
      </c>
      <c r="C4533" s="2" t="s">
        <v>50</v>
      </c>
      <c r="D4533" s="2" t="s">
        <v>51</v>
      </c>
      <c r="E4533" s="5">
        <v>-28333</v>
      </c>
      <c r="F4533" s="3" t="s">
        <v>1928</v>
      </c>
      <c r="G4533" s="3" t="s">
        <v>31</v>
      </c>
      <c r="H4533" s="2" t="s">
        <v>20</v>
      </c>
      <c r="I4533" s="2" t="s">
        <v>9134</v>
      </c>
      <c r="J4533" s="3" t="str">
        <f>HYPERLINK("https://www.boe.es/gazeta/dias/1822/06/04/pdfs/GMD-1822-161.pdf#page=3","Abrir facsímil")</f>
        <v>Abrir facsímil</v>
      </c>
      <c r="K4533" s="3" t="s">
        <v>22</v>
      </c>
    </row>
    <row r="4534" spans="1:11" ht="42" customHeight="1">
      <c r="A4534" s="2" t="s">
        <v>9132</v>
      </c>
      <c r="B4534" s="2" t="s">
        <v>9132</v>
      </c>
      <c r="C4534" s="2" t="s">
        <v>50</v>
      </c>
      <c r="D4534" s="2" t="s">
        <v>51</v>
      </c>
      <c r="E4534" s="5">
        <v>-28322</v>
      </c>
      <c r="F4534" s="3" t="s">
        <v>2205</v>
      </c>
      <c r="G4534" s="3" t="s">
        <v>57</v>
      </c>
      <c r="H4534" s="2" t="s">
        <v>20</v>
      </c>
      <c r="I4534" s="2" t="s">
        <v>9135</v>
      </c>
      <c r="J4534" s="3" t="str">
        <f>HYPERLINK("https://www.boe.es/gazeta/dias/1822/06/15/pdfs/GMD-1822-172.pdf#page=4","Abrir facsímil")</f>
        <v>Abrir facsímil</v>
      </c>
      <c r="K4534" s="3" t="s">
        <v>22</v>
      </c>
    </row>
    <row r="4535" spans="1:11" ht="42" customHeight="1">
      <c r="A4535" s="2" t="s">
        <v>9136</v>
      </c>
      <c r="B4535" s="2" t="s">
        <v>9137</v>
      </c>
      <c r="C4535" s="2" t="s">
        <v>50</v>
      </c>
      <c r="D4535" s="2" t="s">
        <v>723</v>
      </c>
      <c r="E4535" s="5">
        <v>-28334</v>
      </c>
      <c r="F4535" s="3" t="s">
        <v>9138</v>
      </c>
      <c r="G4535" s="3" t="s">
        <v>44</v>
      </c>
      <c r="H4535" s="2" t="s">
        <v>20</v>
      </c>
      <c r="I4535" s="2" t="s">
        <v>9139</v>
      </c>
      <c r="J4535" s="3" t="str">
        <f>HYPERLINK("https://www.boe.es/gazeta/dias/1822/06/03/pdfs/GMD-1822-160E.pdf#page=1","Abrir facsímil")</f>
        <v>Abrir facsímil</v>
      </c>
      <c r="K4535" s="3" t="s">
        <v>22</v>
      </c>
    </row>
    <row r="4536" spans="1:11" ht="42" customHeight="1">
      <c r="A4536" s="2" t="s">
        <v>9140</v>
      </c>
      <c r="B4536" s="2" t="s">
        <v>9141</v>
      </c>
      <c r="C4536" s="2" t="s">
        <v>50</v>
      </c>
      <c r="D4536" s="2" t="s">
        <v>51</v>
      </c>
      <c r="E4536" s="5">
        <v>-28349</v>
      </c>
      <c r="F4536" s="3" t="s">
        <v>518</v>
      </c>
      <c r="G4536" s="3" t="s">
        <v>57</v>
      </c>
      <c r="H4536" s="2" t="s">
        <v>20</v>
      </c>
      <c r="I4536" s="2" t="s">
        <v>9142</v>
      </c>
      <c r="J4536" s="3" t="str">
        <f>HYPERLINK("https://www.boe.es/gazeta/dias/1822/05/19/pdfs/GMD-1822-141.pdf#page=4","Abrir facsímil")</f>
        <v>Abrir facsímil</v>
      </c>
      <c r="K4536" s="3" t="s">
        <v>22</v>
      </c>
    </row>
    <row r="4537" spans="1:11" ht="42" customHeight="1">
      <c r="A4537" s="2" t="s">
        <v>9143</v>
      </c>
      <c r="B4537" s="2" t="s">
        <v>9144</v>
      </c>
      <c r="C4537" s="2" t="s">
        <v>1141</v>
      </c>
      <c r="D4537" s="2" t="s">
        <v>29</v>
      </c>
      <c r="E4537" s="5">
        <v>-28221</v>
      </c>
      <c r="F4537" s="3" t="s">
        <v>2591</v>
      </c>
      <c r="G4537" s="3" t="s">
        <v>44</v>
      </c>
      <c r="H4537" s="2" t="s">
        <v>45</v>
      </c>
      <c r="I4537" s="2" t="s">
        <v>9145</v>
      </c>
      <c r="J4537" s="3" t="str">
        <f>HYPERLINK("https://www.boe.es/gazeta/dias/1822/09/24/pdfs/GMD-1822-280.pdf#page=1","Abrir facsímil")</f>
        <v>Abrir facsímil</v>
      </c>
      <c r="K4537" s="3" t="s">
        <v>47</v>
      </c>
    </row>
    <row r="4538" spans="1:11" ht="42" customHeight="1">
      <c r="A4538" s="2" t="s">
        <v>9146</v>
      </c>
      <c r="B4538" s="2" t="s">
        <v>9146</v>
      </c>
      <c r="C4538" s="2" t="s">
        <v>50</v>
      </c>
      <c r="D4538" s="2" t="s">
        <v>51</v>
      </c>
      <c r="E4538" s="5">
        <v>-28220</v>
      </c>
      <c r="F4538" s="3" t="s">
        <v>1914</v>
      </c>
      <c r="G4538" s="3" t="s">
        <v>1915</v>
      </c>
      <c r="H4538" s="2" t="s">
        <v>20</v>
      </c>
      <c r="I4538" s="2" t="s">
        <v>9147</v>
      </c>
      <c r="J4538" s="3" t="str">
        <f>HYPERLINK("https://www.boe.es/gazeta/dias/1822/09/25/pdfs/GMD-1822-281.pdf#page=3","Abrir facsímil")</f>
        <v>Abrir facsímil</v>
      </c>
      <c r="K4538" s="3" t="s">
        <v>22</v>
      </c>
    </row>
    <row r="4539" spans="1:11" ht="42" customHeight="1">
      <c r="A4539" s="2" t="s">
        <v>9148</v>
      </c>
      <c r="B4539" s="2" t="s">
        <v>9148</v>
      </c>
      <c r="C4539" s="2" t="s">
        <v>50</v>
      </c>
      <c r="D4539" s="2" t="s">
        <v>51</v>
      </c>
      <c r="E4539" s="5">
        <v>-28276</v>
      </c>
      <c r="F4539" s="3" t="s">
        <v>4746</v>
      </c>
      <c r="G4539" s="3" t="s">
        <v>44</v>
      </c>
      <c r="H4539" s="2" t="s">
        <v>20</v>
      </c>
      <c r="I4539" s="2" t="s">
        <v>9149</v>
      </c>
      <c r="J4539" s="3" t="str">
        <f>HYPERLINK("https://www.boe.es/gazeta/dias/1822/07/31/pdfs/GMD-1822-224.pdf#page=1","Abrir facsímil")</f>
        <v>Abrir facsímil</v>
      </c>
      <c r="K4539" s="3" t="s">
        <v>22</v>
      </c>
    </row>
    <row r="4540" spans="1:11" ht="42" customHeight="1">
      <c r="A4540" s="2" t="s">
        <v>9148</v>
      </c>
      <c r="B4540" s="2" t="s">
        <v>9148</v>
      </c>
      <c r="C4540" s="2" t="s">
        <v>50</v>
      </c>
      <c r="D4540" s="2" t="s">
        <v>51</v>
      </c>
      <c r="E4540" s="5">
        <v>-28252</v>
      </c>
      <c r="F4540" s="3" t="s">
        <v>4333</v>
      </c>
      <c r="G4540" s="3" t="s">
        <v>31</v>
      </c>
      <c r="H4540" s="2" t="s">
        <v>20</v>
      </c>
      <c r="I4540" s="2" t="s">
        <v>9150</v>
      </c>
      <c r="J4540" s="3" t="str">
        <f>HYPERLINK("https://www.boe.es/gazeta/dias/1822/08/24/pdfs/GMD-1822-248.pdf#page=3","Abrir facsímil")</f>
        <v>Abrir facsímil</v>
      </c>
      <c r="K4540" s="3" t="s">
        <v>22</v>
      </c>
    </row>
    <row r="4541" spans="1:11" ht="42" customHeight="1">
      <c r="A4541" s="2" t="s">
        <v>9151</v>
      </c>
      <c r="B4541" s="2" t="s">
        <v>9152</v>
      </c>
      <c r="C4541" s="2" t="s">
        <v>16</v>
      </c>
      <c r="D4541" s="2" t="s">
        <v>17</v>
      </c>
      <c r="E4541" s="5">
        <v>-28282</v>
      </c>
      <c r="F4541" s="3" t="s">
        <v>6600</v>
      </c>
      <c r="G4541" s="3" t="s">
        <v>6601</v>
      </c>
      <c r="H4541" s="2" t="s">
        <v>45</v>
      </c>
      <c r="I4541" s="2" t="s">
        <v>9153</v>
      </c>
      <c r="J4541" s="3" t="str">
        <f>HYPERLINK("https://www.boe.es/gazeta/dias/1822/07/25/pdfs/GMD-1822-218.pdf#page=4","Abrir facsímil")</f>
        <v>Abrir facsímil</v>
      </c>
      <c r="K4541" s="3" t="s">
        <v>47</v>
      </c>
    </row>
    <row r="4542" spans="1:11" ht="42" customHeight="1">
      <c r="A4542" s="2" t="s">
        <v>9154</v>
      </c>
      <c r="B4542" s="2" t="s">
        <v>9154</v>
      </c>
      <c r="C4542" s="2" t="s">
        <v>50</v>
      </c>
      <c r="D4542" s="2" t="s">
        <v>51</v>
      </c>
      <c r="E4542" s="5">
        <v>-28431</v>
      </c>
      <c r="F4542" s="3" t="s">
        <v>1258</v>
      </c>
      <c r="G4542" s="3" t="s">
        <v>57</v>
      </c>
      <c r="H4542" s="2" t="s">
        <v>20</v>
      </c>
      <c r="I4542" s="2" t="s">
        <v>9155</v>
      </c>
      <c r="J4542" s="3" t="str">
        <f>HYPERLINK("https://www.boe.es/gazeta/dias/1822/02/26/pdfs/GMD-1822-58.pdf#page=4","Abrir facsímil")</f>
        <v>Abrir facsímil</v>
      </c>
      <c r="K4542" s="3" t="s">
        <v>22</v>
      </c>
    </row>
    <row r="4543" spans="1:11" ht="42" customHeight="1">
      <c r="A4543" s="2" t="s">
        <v>9156</v>
      </c>
      <c r="B4543" s="2" t="s">
        <v>9157</v>
      </c>
      <c r="C4543" s="2" t="s">
        <v>71</v>
      </c>
      <c r="D4543" s="2" t="s">
        <v>17</v>
      </c>
      <c r="E4543" s="5">
        <v>-28325</v>
      </c>
      <c r="F4543" s="3" t="s">
        <v>104</v>
      </c>
      <c r="G4543" s="3" t="s">
        <v>44</v>
      </c>
      <c r="H4543" s="2" t="s">
        <v>20</v>
      </c>
      <c r="I4543" s="2" t="s">
        <v>9158</v>
      </c>
      <c r="J4543" s="3" t="str">
        <f>HYPERLINK("https://www.boe.es/gazeta/dias/1822/06/12/pdfs/GMD-1822-169.pdf#page=1","Abrir facsímil")</f>
        <v>Abrir facsímil</v>
      </c>
      <c r="K4543" s="3" t="s">
        <v>22</v>
      </c>
    </row>
    <row r="4544" spans="1:11" ht="42" customHeight="1">
      <c r="A4544" s="2" t="s">
        <v>9159</v>
      </c>
      <c r="B4544" s="2" t="s">
        <v>9160</v>
      </c>
      <c r="C4544" s="2" t="s">
        <v>50</v>
      </c>
      <c r="D4544" s="2" t="s">
        <v>51</v>
      </c>
      <c r="E4544" s="5">
        <v>-28292</v>
      </c>
      <c r="F4544" s="3" t="s">
        <v>222</v>
      </c>
      <c r="G4544" s="3" t="s">
        <v>31</v>
      </c>
      <c r="H4544" s="2" t="s">
        <v>20</v>
      </c>
      <c r="I4544" s="2" t="s">
        <v>9161</v>
      </c>
      <c r="J4544" s="3" t="str">
        <f>HYPERLINK("https://www.boe.es/gazeta/dias/1822/07/15/pdfs/GMD-1822-205.pdf#page=3","Abrir facsímil")</f>
        <v>Abrir facsímil</v>
      </c>
      <c r="K4544" s="3" t="s">
        <v>22</v>
      </c>
    </row>
    <row r="4545" spans="1:11" ht="42" customHeight="1">
      <c r="A4545" s="2" t="s">
        <v>9162</v>
      </c>
      <c r="B4545" s="2" t="s">
        <v>9162</v>
      </c>
      <c r="C4545" s="2" t="s">
        <v>71</v>
      </c>
      <c r="D4545" s="2" t="s">
        <v>17</v>
      </c>
      <c r="E4545" s="5">
        <v>-28365</v>
      </c>
      <c r="F4545" s="3" t="s">
        <v>506</v>
      </c>
      <c r="G4545" s="3" t="s">
        <v>31</v>
      </c>
      <c r="H4545" s="2" t="s">
        <v>20</v>
      </c>
      <c r="I4545" s="2" t="s">
        <v>9163</v>
      </c>
      <c r="J4545" s="3" t="str">
        <f>HYPERLINK("https://www.boe.es/gazeta/dias/1822/05/03/pdfs/GMD-1822-125.pdf#page=3","Abrir facsímil")</f>
        <v>Abrir facsímil</v>
      </c>
      <c r="K4545" s="3" t="s">
        <v>22</v>
      </c>
    </row>
    <row r="4546" spans="1:11" ht="42" customHeight="1">
      <c r="A4546" s="2" t="s">
        <v>9164</v>
      </c>
      <c r="B4546" s="2" t="s">
        <v>9165</v>
      </c>
      <c r="C4546" s="2" t="s">
        <v>50</v>
      </c>
      <c r="D4546" s="2" t="s">
        <v>51</v>
      </c>
      <c r="E4546" s="5">
        <v>-28265</v>
      </c>
      <c r="F4546" s="3" t="s">
        <v>1263</v>
      </c>
      <c r="G4546" s="3" t="s">
        <v>57</v>
      </c>
      <c r="H4546" s="2" t="s">
        <v>20</v>
      </c>
      <c r="I4546" s="2" t="s">
        <v>9166</v>
      </c>
      <c r="J4546" s="3" t="str">
        <f>HYPERLINK("https://www.boe.es/gazeta/dias/1822/08/11/pdfs/GMD-1822-235.pdf#page=4","Abrir facsímil")</f>
        <v>Abrir facsímil</v>
      </c>
      <c r="K4546" s="3" t="s">
        <v>22</v>
      </c>
    </row>
    <row r="4547" spans="1:11" ht="42" customHeight="1">
      <c r="A4547" s="2" t="s">
        <v>9167</v>
      </c>
      <c r="B4547" s="2" t="s">
        <v>9168</v>
      </c>
      <c r="C4547" s="2" t="s">
        <v>50</v>
      </c>
      <c r="D4547" s="2" t="s">
        <v>51</v>
      </c>
      <c r="E4547" s="5">
        <v>-28416</v>
      </c>
      <c r="F4547" s="3" t="s">
        <v>97</v>
      </c>
      <c r="G4547" s="3" t="s">
        <v>63</v>
      </c>
      <c r="H4547" s="2" t="s">
        <v>20</v>
      </c>
      <c r="I4547" s="2" t="s">
        <v>9169</v>
      </c>
      <c r="J4547" s="3" t="str">
        <f>HYPERLINK("https://www.boe.es/gazeta/dias/1822/03/13/pdfs/GMD-1822-74.pdf#page=6","Abrir facsímil")</f>
        <v>Abrir facsímil</v>
      </c>
      <c r="K4547" s="3" t="s">
        <v>22</v>
      </c>
    </row>
    <row r="4548" spans="1:11" ht="42" customHeight="1">
      <c r="A4548" s="2" t="s">
        <v>9170</v>
      </c>
      <c r="B4548" s="2" t="s">
        <v>9171</v>
      </c>
      <c r="C4548" s="2" t="s">
        <v>16</v>
      </c>
      <c r="D4548" s="2" t="s">
        <v>17</v>
      </c>
      <c r="E4548" s="5">
        <v>-28127</v>
      </c>
      <c r="F4548" s="3" t="s">
        <v>409</v>
      </c>
      <c r="G4548" s="3" t="s">
        <v>19</v>
      </c>
      <c r="H4548" s="2" t="s">
        <v>20</v>
      </c>
      <c r="I4548" s="2" t="s">
        <v>9172</v>
      </c>
      <c r="J4548" s="3" t="str">
        <f>HYPERLINK("https://www.boe.es/gazeta/dias/1822/12/27/pdfs/GMD-1822-377.pdf#page=5","Abrir facsímil")</f>
        <v>Abrir facsímil</v>
      </c>
      <c r="K4548" s="3" t="s">
        <v>22</v>
      </c>
    </row>
    <row r="4549" spans="1:11" ht="42" customHeight="1">
      <c r="A4549" s="2" t="s">
        <v>9173</v>
      </c>
      <c r="B4549" s="2" t="s">
        <v>9173</v>
      </c>
      <c r="C4549" s="2" t="s">
        <v>50</v>
      </c>
      <c r="D4549" s="2" t="s">
        <v>51</v>
      </c>
      <c r="E4549" s="5">
        <v>-28228</v>
      </c>
      <c r="F4549" s="3" t="s">
        <v>718</v>
      </c>
      <c r="G4549" s="3" t="s">
        <v>719</v>
      </c>
      <c r="H4549" s="2" t="s">
        <v>20</v>
      </c>
      <c r="I4549" s="2" t="s">
        <v>9174</v>
      </c>
      <c r="J4549" s="3" t="str">
        <f>HYPERLINK("https://www.boe.es/gazeta/dias/1822/09/17/pdfs/GMD-1822-273.pdf#page=3","Abrir facsímil")</f>
        <v>Abrir facsímil</v>
      </c>
      <c r="K4549" s="3" t="s">
        <v>22</v>
      </c>
    </row>
    <row r="4550" spans="1:11" ht="42" customHeight="1">
      <c r="A4550" s="2" t="s">
        <v>9175</v>
      </c>
      <c r="B4550" s="2" t="s">
        <v>9175</v>
      </c>
      <c r="C4550" s="2" t="s">
        <v>16</v>
      </c>
      <c r="D4550" s="2" t="s">
        <v>17</v>
      </c>
      <c r="E4550" s="5">
        <v>-28432</v>
      </c>
      <c r="F4550" s="3" t="s">
        <v>195</v>
      </c>
      <c r="G4550" s="3" t="s">
        <v>57</v>
      </c>
      <c r="H4550" s="2" t="s">
        <v>20</v>
      </c>
      <c r="I4550" s="2" t="s">
        <v>9176</v>
      </c>
      <c r="J4550" s="3" t="str">
        <f>HYPERLINK("https://www.boe.es/gazeta/dias/1822/02/25/pdfs/GMD-1822-57.pdf#page=4","Abrir facsímil")</f>
        <v>Abrir facsímil</v>
      </c>
      <c r="K4550" s="3" t="s">
        <v>22</v>
      </c>
    </row>
    <row r="4551" spans="1:11" ht="42" customHeight="1">
      <c r="A4551" s="2" t="s">
        <v>9177</v>
      </c>
      <c r="B4551" s="2" t="s">
        <v>9178</v>
      </c>
      <c r="C4551" s="2" t="s">
        <v>28</v>
      </c>
      <c r="D4551" s="2" t="s">
        <v>29</v>
      </c>
      <c r="E4551" s="5">
        <v>-28426</v>
      </c>
      <c r="F4551" s="3" t="s">
        <v>1178</v>
      </c>
      <c r="G4551" s="3" t="s">
        <v>35</v>
      </c>
      <c r="H4551" s="2" t="s">
        <v>20</v>
      </c>
      <c r="I4551" s="2" t="s">
        <v>9179</v>
      </c>
      <c r="J4551" s="3" t="str">
        <f>HYPERLINK("https://www.boe.es/gazeta/dias/1822/03/03/pdfs/GMD-1822-64.pdf#page=2","Abrir facsímil")</f>
        <v>Abrir facsímil</v>
      </c>
      <c r="K4551" s="3" t="s">
        <v>22</v>
      </c>
    </row>
    <row r="4552" spans="1:11" ht="42" customHeight="1">
      <c r="A4552" s="2" t="s">
        <v>9180</v>
      </c>
      <c r="B4552" s="2" t="s">
        <v>9180</v>
      </c>
      <c r="C4552" s="2" t="s">
        <v>50</v>
      </c>
      <c r="D4552" s="2" t="s">
        <v>51</v>
      </c>
      <c r="E4552" s="5">
        <v>-28486</v>
      </c>
      <c r="F4552" s="3" t="s">
        <v>1046</v>
      </c>
      <c r="G4552" s="3" t="s">
        <v>1085</v>
      </c>
      <c r="H4552" s="2" t="s">
        <v>20</v>
      </c>
      <c r="I4552" s="2" t="s">
        <v>9181</v>
      </c>
      <c r="J4552" s="3" t="str">
        <f>HYPERLINK("https://www.boe.es/gazeta/dias/1822/01/02/pdfs/GMD-1822-2.pdf#page=3","Abrir facsímil")</f>
        <v>Abrir facsímil</v>
      </c>
      <c r="K4552" s="3" t="s">
        <v>22</v>
      </c>
    </row>
    <row r="4553" spans="1:11" ht="42" customHeight="1">
      <c r="A4553" s="2" t="s">
        <v>9182</v>
      </c>
      <c r="B4553" s="2" t="s">
        <v>9183</v>
      </c>
      <c r="C4553" s="2" t="s">
        <v>50</v>
      </c>
      <c r="D4553" s="2" t="s">
        <v>51</v>
      </c>
      <c r="E4553" s="5">
        <v>-28197</v>
      </c>
      <c r="F4553" s="3" t="s">
        <v>568</v>
      </c>
      <c r="G4553" s="3" t="s">
        <v>19</v>
      </c>
      <c r="H4553" s="2" t="s">
        <v>20</v>
      </c>
      <c r="I4553" s="2" t="s">
        <v>9184</v>
      </c>
      <c r="J4553" s="3" t="str">
        <f>HYPERLINK("https://www.boe.es/gazeta/dias/1822/10/18/pdfs/GMD-1822-305.pdf#page=5","Abrir facsímil")</f>
        <v>Abrir facsímil</v>
      </c>
      <c r="K4553" s="3" t="s">
        <v>22</v>
      </c>
    </row>
    <row r="4554" spans="1:11" ht="42" customHeight="1">
      <c r="A4554" s="2" t="s">
        <v>9185</v>
      </c>
      <c r="B4554" s="2" t="s">
        <v>9186</v>
      </c>
      <c r="C4554" s="2" t="s">
        <v>28</v>
      </c>
      <c r="D4554" s="2" t="s">
        <v>29</v>
      </c>
      <c r="E4554" s="5">
        <v>-28404</v>
      </c>
      <c r="F4554" s="3" t="s">
        <v>421</v>
      </c>
      <c r="G4554" s="3" t="s">
        <v>44</v>
      </c>
      <c r="H4554" s="2" t="s">
        <v>20</v>
      </c>
      <c r="I4554" s="2" t="s">
        <v>9187</v>
      </c>
      <c r="J4554" s="3" t="str">
        <f>HYPERLINK("https://www.boe.es/gazeta/dias/1822/03/25/pdfs/GMD-1822-86.pdf#page=1","Abrir facsímil")</f>
        <v>Abrir facsímil</v>
      </c>
      <c r="K4554" s="3" t="s">
        <v>22</v>
      </c>
    </row>
    <row r="4555" spans="1:11" ht="42" customHeight="1">
      <c r="A4555" s="2" t="s">
        <v>9188</v>
      </c>
      <c r="B4555" s="2" t="s">
        <v>9188</v>
      </c>
      <c r="C4555" s="2" t="s">
        <v>42</v>
      </c>
      <c r="D4555" s="2" t="s">
        <v>17</v>
      </c>
      <c r="E4555" s="5">
        <v>-28131</v>
      </c>
      <c r="F4555" s="3" t="s">
        <v>893</v>
      </c>
      <c r="G4555" s="3" t="s">
        <v>991</v>
      </c>
      <c r="H4555" s="2" t="s">
        <v>20</v>
      </c>
      <c r="I4555" s="2" t="s">
        <v>9189</v>
      </c>
      <c r="J4555" s="3" t="str">
        <f>HYPERLINK("https://www.boe.es/gazeta/dias/1822/12/23/pdfs/GMD-1822-373.pdf#page=6","Abrir facsímil")</f>
        <v>Abrir facsímil</v>
      </c>
      <c r="K4555" s="3" t="s">
        <v>22</v>
      </c>
    </row>
    <row r="4556" spans="1:11" ht="42" customHeight="1">
      <c r="A4556" s="2" t="s">
        <v>9190</v>
      </c>
      <c r="B4556" s="2" t="s">
        <v>9191</v>
      </c>
      <c r="C4556" s="2" t="s">
        <v>71</v>
      </c>
      <c r="D4556" s="2" t="s">
        <v>17</v>
      </c>
      <c r="E4556" s="5">
        <v>-28161</v>
      </c>
      <c r="F4556" s="3" t="s">
        <v>166</v>
      </c>
      <c r="G4556" s="3" t="s">
        <v>157</v>
      </c>
      <c r="H4556" s="2" t="s">
        <v>20</v>
      </c>
      <c r="I4556" s="2" t="s">
        <v>9192</v>
      </c>
      <c r="J4556" s="3" t="str">
        <f>HYPERLINK("https://www.boe.es/gazeta/dias/1822/11/23/pdfs/GMD-1822-343.pdf#page=8","Abrir facsímil")</f>
        <v>Abrir facsímil</v>
      </c>
      <c r="K4556" s="3" t="s">
        <v>22</v>
      </c>
    </row>
    <row r="4557" spans="1:11" ht="42" customHeight="1">
      <c r="A4557" s="2" t="s">
        <v>9193</v>
      </c>
      <c r="B4557" s="2" t="s">
        <v>9194</v>
      </c>
      <c r="C4557" s="2" t="s">
        <v>50</v>
      </c>
      <c r="D4557" s="2" t="s">
        <v>51</v>
      </c>
      <c r="E4557" s="5">
        <v>-28168</v>
      </c>
      <c r="F4557" s="3" t="s">
        <v>3672</v>
      </c>
      <c r="G4557" s="3" t="s">
        <v>57</v>
      </c>
      <c r="H4557" s="2" t="s">
        <v>45</v>
      </c>
      <c r="I4557" s="2" t="s">
        <v>9195</v>
      </c>
      <c r="J4557" s="3" t="str">
        <f>HYPERLINK("https://www.boe.es/gazeta/dias/1822/11/16/pdfs/GMD-1822-336.pdf#page=4","Abrir facsímil")</f>
        <v>Abrir facsímil</v>
      </c>
      <c r="K4557" s="3" t="s">
        <v>47</v>
      </c>
    </row>
    <row r="4558" spans="1:11" ht="42" customHeight="1">
      <c r="A4558" s="2" t="s">
        <v>9196</v>
      </c>
      <c r="B4558" s="2" t="s">
        <v>9196</v>
      </c>
      <c r="C4558" s="2" t="s">
        <v>50</v>
      </c>
      <c r="D4558" s="2" t="s">
        <v>51</v>
      </c>
      <c r="E4558" s="5">
        <v>-28155</v>
      </c>
      <c r="F4558" s="3" t="s">
        <v>833</v>
      </c>
      <c r="G4558" s="3" t="s">
        <v>57</v>
      </c>
      <c r="H4558" s="2" t="s">
        <v>20</v>
      </c>
      <c r="I4558" s="2" t="s">
        <v>9197</v>
      </c>
      <c r="J4558" s="3" t="str">
        <f>HYPERLINK("https://www.boe.es/gazeta/dias/1822/11/29/pdfs/GMD-1822-349.pdf#page=4","Abrir facsímil")</f>
        <v>Abrir facsímil</v>
      </c>
      <c r="K4558" s="3" t="s">
        <v>22</v>
      </c>
    </row>
    <row r="4559" spans="1:11" ht="42" customHeight="1">
      <c r="A4559" s="2" t="s">
        <v>9198</v>
      </c>
      <c r="B4559" s="2" t="s">
        <v>9199</v>
      </c>
      <c r="C4559" s="2" t="s">
        <v>28</v>
      </c>
      <c r="D4559" s="2" t="s">
        <v>29</v>
      </c>
      <c r="E4559" s="5">
        <v>-28417</v>
      </c>
      <c r="F4559" s="3" t="s">
        <v>1394</v>
      </c>
      <c r="G4559" s="3" t="s">
        <v>31</v>
      </c>
      <c r="H4559" s="2" t="s">
        <v>20</v>
      </c>
      <c r="I4559" s="2" t="s">
        <v>9200</v>
      </c>
      <c r="J4559" s="3" t="str">
        <f>HYPERLINK("https://www.boe.es/gazeta/dias/1822/03/12/pdfs/GMD-1822-73.pdf#page=3","Abrir facsímil")</f>
        <v>Abrir facsímil</v>
      </c>
      <c r="K4559" s="3" t="s">
        <v>22</v>
      </c>
    </row>
    <row r="4560" spans="1:11" ht="42" customHeight="1">
      <c r="A4560" s="2" t="s">
        <v>9201</v>
      </c>
      <c r="B4560" s="2" t="s">
        <v>9201</v>
      </c>
      <c r="C4560" s="2" t="s">
        <v>24</v>
      </c>
      <c r="D4560" s="2" t="s">
        <v>17</v>
      </c>
      <c r="E4560" s="5">
        <v>-28295</v>
      </c>
      <c r="F4560" s="3" t="s">
        <v>81</v>
      </c>
      <c r="G4560" s="3" t="s">
        <v>44</v>
      </c>
      <c r="H4560" s="2" t="s">
        <v>20</v>
      </c>
      <c r="I4560" s="2" t="s">
        <v>9202</v>
      </c>
      <c r="J4560" s="3" t="str">
        <f>HYPERLINK("https://www.boe.es/gazeta/dias/1822/07/12/pdfs/GMD-1822-202.pdf#page=1","Abrir facsímil")</f>
        <v>Abrir facsímil</v>
      </c>
      <c r="K4560" s="3" t="s">
        <v>22</v>
      </c>
    </row>
    <row r="4561" spans="1:11" ht="42" customHeight="1">
      <c r="A4561" s="2" t="s">
        <v>9203</v>
      </c>
      <c r="B4561" s="2" t="s">
        <v>9204</v>
      </c>
      <c r="C4561" s="2" t="s">
        <v>50</v>
      </c>
      <c r="D4561" s="2" t="s">
        <v>51</v>
      </c>
      <c r="E4561" s="5">
        <v>-28192</v>
      </c>
      <c r="F4561" s="3" t="s">
        <v>43</v>
      </c>
      <c r="G4561" s="3" t="s">
        <v>44</v>
      </c>
      <c r="H4561" s="2" t="s">
        <v>20</v>
      </c>
      <c r="I4561" s="2" t="s">
        <v>9205</v>
      </c>
      <c r="J4561" s="3" t="str">
        <f>HYPERLINK("https://www.boe.es/gazeta/dias/1822/10/23/pdfs/GMD-1822-310.pdf#page=1","Abrir facsímil")</f>
        <v>Abrir facsímil</v>
      </c>
      <c r="K4561" s="3" t="s">
        <v>22</v>
      </c>
    </row>
    <row r="4562" spans="1:11" ht="42" customHeight="1">
      <c r="A4562" s="2" t="s">
        <v>9206</v>
      </c>
      <c r="B4562" s="2" t="s">
        <v>9207</v>
      </c>
      <c r="C4562" s="2" t="s">
        <v>16</v>
      </c>
      <c r="D4562" s="2" t="s">
        <v>17</v>
      </c>
      <c r="E4562" s="5">
        <v>-28382</v>
      </c>
      <c r="F4562" s="3" t="s">
        <v>973</v>
      </c>
      <c r="G4562" s="3" t="s">
        <v>63</v>
      </c>
      <c r="H4562" s="2" t="s">
        <v>20</v>
      </c>
      <c r="I4562" s="2" t="s">
        <v>9208</v>
      </c>
      <c r="J4562" s="3" t="str">
        <f>HYPERLINK("https://www.boe.es/gazeta/dias/1822/04/16/pdfs/GMD-1822-108.pdf#page=6","Abrir facsímil")</f>
        <v>Abrir facsímil</v>
      </c>
      <c r="K4562" s="3" t="s">
        <v>22</v>
      </c>
    </row>
    <row r="4563" spans="1:11" ht="42" customHeight="1">
      <c r="A4563" s="2" t="s">
        <v>9209</v>
      </c>
      <c r="B4563" s="2" t="s">
        <v>9210</v>
      </c>
      <c r="C4563" s="2" t="s">
        <v>50</v>
      </c>
      <c r="D4563" s="2" t="s">
        <v>51</v>
      </c>
      <c r="E4563" s="5">
        <v>-28370</v>
      </c>
      <c r="F4563" s="3" t="s">
        <v>207</v>
      </c>
      <c r="G4563" s="3" t="s">
        <v>63</v>
      </c>
      <c r="H4563" s="2" t="s">
        <v>20</v>
      </c>
      <c r="I4563" s="2" t="s">
        <v>9211</v>
      </c>
      <c r="J4563" s="3" t="str">
        <f>HYPERLINK("https://www.boe.es/gazeta/dias/1822/04/28/pdfs/GMD-1822-120.pdf#page=6","Abrir facsímil")</f>
        <v>Abrir facsímil</v>
      </c>
      <c r="K4563" s="3" t="s">
        <v>22</v>
      </c>
    </row>
    <row r="4564" spans="1:11" ht="42" customHeight="1">
      <c r="A4564" s="2" t="s">
        <v>9212</v>
      </c>
      <c r="B4564" s="2" t="s">
        <v>9213</v>
      </c>
      <c r="C4564" s="2" t="s">
        <v>50</v>
      </c>
      <c r="D4564" s="2" t="s">
        <v>51</v>
      </c>
      <c r="E4564" s="5">
        <v>-28401</v>
      </c>
      <c r="F4564" s="3" t="s">
        <v>108</v>
      </c>
      <c r="G4564" s="3" t="s">
        <v>57</v>
      </c>
      <c r="H4564" s="2" t="s">
        <v>20</v>
      </c>
      <c r="I4564" s="2" t="s">
        <v>9214</v>
      </c>
      <c r="J4564" s="3" t="str">
        <f>HYPERLINK("https://www.boe.es/gazeta/dias/1822/03/28/pdfs/GMD-1822-89.pdf#page=4","Abrir facsímil")</f>
        <v>Abrir facsímil</v>
      </c>
      <c r="K4564" s="3" t="s">
        <v>22</v>
      </c>
    </row>
    <row r="4565" spans="1:11" ht="42" customHeight="1">
      <c r="A4565" s="2" t="s">
        <v>9215</v>
      </c>
      <c r="B4565" s="2" t="s">
        <v>9216</v>
      </c>
      <c r="C4565" s="2" t="s">
        <v>50</v>
      </c>
      <c r="D4565" s="2" t="s">
        <v>51</v>
      </c>
      <c r="E4565" s="5">
        <v>-28256</v>
      </c>
      <c r="F4565" s="3" t="s">
        <v>1949</v>
      </c>
      <c r="G4565" s="3" t="s">
        <v>31</v>
      </c>
      <c r="H4565" s="2" t="s">
        <v>20</v>
      </c>
      <c r="I4565" s="2" t="s">
        <v>9217</v>
      </c>
      <c r="J4565" s="3" t="str">
        <f>HYPERLINK("https://www.boe.es/gazeta/dias/1822/08/20/pdfs/GMD-1822-244.pdf#page=3","Abrir facsímil")</f>
        <v>Abrir facsímil</v>
      </c>
      <c r="K4565" s="3" t="s">
        <v>22</v>
      </c>
    </row>
    <row r="4566" spans="1:11" ht="42" customHeight="1">
      <c r="A4566" s="2" t="s">
        <v>9218</v>
      </c>
      <c r="B4566" s="2" t="s">
        <v>9219</v>
      </c>
      <c r="C4566" s="2" t="s">
        <v>50</v>
      </c>
      <c r="D4566" s="2" t="s">
        <v>51</v>
      </c>
      <c r="E4566" s="5">
        <v>-28279</v>
      </c>
      <c r="F4566" s="3" t="s">
        <v>662</v>
      </c>
      <c r="G4566" s="3" t="s">
        <v>57</v>
      </c>
      <c r="H4566" s="2" t="s">
        <v>20</v>
      </c>
      <c r="I4566" s="2" t="s">
        <v>9220</v>
      </c>
      <c r="J4566" s="3" t="str">
        <f>HYPERLINK("https://www.boe.es/gazeta/dias/1822/07/28/pdfs/GMD-1822-221.pdf#page=4","Abrir facsímil")</f>
        <v>Abrir facsímil</v>
      </c>
      <c r="K4566" s="3" t="s">
        <v>22</v>
      </c>
    </row>
    <row r="4567" spans="1:11" ht="42" customHeight="1">
      <c r="A4567" s="2" t="s">
        <v>9221</v>
      </c>
      <c r="B4567" s="2" t="s">
        <v>9222</v>
      </c>
      <c r="C4567" s="2" t="s">
        <v>50</v>
      </c>
      <c r="D4567" s="2" t="s">
        <v>51</v>
      </c>
      <c r="E4567" s="5">
        <v>-28162</v>
      </c>
      <c r="F4567" s="3" t="s">
        <v>3949</v>
      </c>
      <c r="G4567" s="3" t="s">
        <v>57</v>
      </c>
      <c r="H4567" s="2" t="s">
        <v>20</v>
      </c>
      <c r="I4567" s="2" t="s">
        <v>9223</v>
      </c>
      <c r="J4567" s="3" t="str">
        <f>HYPERLINK("https://www.boe.es/gazeta/dias/1822/11/22/pdfs/GMD-1822-342.pdf#page=4","Abrir facsímil")</f>
        <v>Abrir facsímil</v>
      </c>
      <c r="K4567" s="3" t="s">
        <v>22</v>
      </c>
    </row>
    <row r="4568" spans="1:11" ht="42" customHeight="1">
      <c r="A4568" s="2" t="s">
        <v>9224</v>
      </c>
      <c r="B4568" s="2" t="s">
        <v>9225</v>
      </c>
      <c r="C4568" s="2" t="s">
        <v>71</v>
      </c>
      <c r="D4568" s="2" t="s">
        <v>17</v>
      </c>
      <c r="E4568" s="5">
        <v>-28320</v>
      </c>
      <c r="F4568" s="3" t="s">
        <v>700</v>
      </c>
      <c r="G4568" s="3" t="s">
        <v>31</v>
      </c>
      <c r="H4568" s="2" t="s">
        <v>20</v>
      </c>
      <c r="I4568" s="2" t="s">
        <v>9226</v>
      </c>
      <c r="J4568" s="3" t="str">
        <f>HYPERLINK("https://www.boe.es/gazeta/dias/1822/06/17/pdfs/GMD-1822-174.pdf#page=3","Abrir facsímil")</f>
        <v>Abrir facsímil</v>
      </c>
      <c r="K4568" s="3" t="s">
        <v>22</v>
      </c>
    </row>
    <row r="4569" spans="1:11" ht="42" customHeight="1">
      <c r="A4569" s="2" t="s">
        <v>9227</v>
      </c>
      <c r="B4569" s="2" t="s">
        <v>9228</v>
      </c>
      <c r="C4569" s="2" t="s">
        <v>42</v>
      </c>
      <c r="D4569" s="2" t="s">
        <v>17</v>
      </c>
      <c r="E4569" s="5">
        <v>-28317</v>
      </c>
      <c r="F4569" s="3" t="s">
        <v>546</v>
      </c>
      <c r="G4569" s="3" t="s">
        <v>35</v>
      </c>
      <c r="H4569" s="2" t="s">
        <v>20</v>
      </c>
      <c r="I4569" s="2" t="s">
        <v>9229</v>
      </c>
      <c r="J4569" s="3" t="str">
        <f>HYPERLINK("https://www.boe.es/gazeta/dias/1822/06/20/pdfs/GMD-1822-177.pdf#page=2","Abrir facsímil")</f>
        <v>Abrir facsímil</v>
      </c>
      <c r="K4569" s="3" t="s">
        <v>22</v>
      </c>
    </row>
    <row r="4570" spans="1:11" ht="42" customHeight="1">
      <c r="A4570" s="2" t="s">
        <v>9230</v>
      </c>
      <c r="B4570" s="2" t="s">
        <v>9231</v>
      </c>
      <c r="C4570" s="2" t="s">
        <v>28</v>
      </c>
      <c r="D4570" s="2" t="s">
        <v>29</v>
      </c>
      <c r="E4570" s="5">
        <v>-28312</v>
      </c>
      <c r="F4570" s="3" t="s">
        <v>92</v>
      </c>
      <c r="G4570" s="3" t="s">
        <v>35</v>
      </c>
      <c r="H4570" s="2" t="s">
        <v>20</v>
      </c>
      <c r="I4570" s="2" t="s">
        <v>9232</v>
      </c>
      <c r="J4570" s="3" t="str">
        <f>HYPERLINK("https://www.boe.es/gazeta/dias/1822/06/25/pdfs/GMD-1822-183.pdf#page=2","Abrir facsímil")</f>
        <v>Abrir facsímil</v>
      </c>
      <c r="K4570" s="3" t="s">
        <v>22</v>
      </c>
    </row>
    <row r="4571" spans="1:11" ht="42" customHeight="1">
      <c r="A4571" s="2" t="s">
        <v>9233</v>
      </c>
      <c r="B4571" s="2" t="s">
        <v>9234</v>
      </c>
      <c r="C4571" s="2" t="s">
        <v>28</v>
      </c>
      <c r="D4571" s="2" t="s">
        <v>29</v>
      </c>
      <c r="E4571" s="5">
        <v>-28351</v>
      </c>
      <c r="F4571" s="3" t="s">
        <v>282</v>
      </c>
      <c r="G4571" s="3" t="s">
        <v>35</v>
      </c>
      <c r="H4571" s="2" t="s">
        <v>20</v>
      </c>
      <c r="I4571" s="2" t="s">
        <v>9235</v>
      </c>
      <c r="J4571" s="3" t="str">
        <f>HYPERLINK("https://www.boe.es/gazeta/dias/1822/05/17/pdfs/GMD-1822-139.pdf#page=2","Abrir facsímil")</f>
        <v>Abrir facsímil</v>
      </c>
      <c r="K4571" s="3" t="s">
        <v>22</v>
      </c>
    </row>
    <row r="4572" spans="1:11" ht="42" customHeight="1">
      <c r="A4572" s="2" t="s">
        <v>9236</v>
      </c>
      <c r="B4572" s="2" t="s">
        <v>9237</v>
      </c>
      <c r="C4572" s="2" t="s">
        <v>61</v>
      </c>
      <c r="D4572" s="2" t="s">
        <v>17</v>
      </c>
      <c r="E4572" s="5">
        <v>-28159</v>
      </c>
      <c r="F4572" s="3" t="s">
        <v>67</v>
      </c>
      <c r="G4572" s="3" t="s">
        <v>57</v>
      </c>
      <c r="H4572" s="2" t="s">
        <v>20</v>
      </c>
      <c r="I4572" s="2" t="s">
        <v>9238</v>
      </c>
      <c r="J4572" s="3" t="str">
        <f>HYPERLINK("https://www.boe.es/gazeta/dias/1822/11/25/pdfs/GMD-1822-345.pdf#page=4","Abrir facsímil")</f>
        <v>Abrir facsímil</v>
      </c>
      <c r="K4572" s="3" t="s">
        <v>22</v>
      </c>
    </row>
    <row r="4573" spans="1:11" ht="42" customHeight="1">
      <c r="A4573" s="2" t="s">
        <v>9239</v>
      </c>
      <c r="B4573" s="2" t="s">
        <v>9240</v>
      </c>
      <c r="C4573" s="2" t="s">
        <v>28</v>
      </c>
      <c r="D4573" s="2" t="s">
        <v>29</v>
      </c>
      <c r="E4573" s="5">
        <v>-28418</v>
      </c>
      <c r="F4573" s="3" t="s">
        <v>205</v>
      </c>
      <c r="G4573" s="3" t="s">
        <v>157</v>
      </c>
      <c r="H4573" s="2" t="s">
        <v>20</v>
      </c>
      <c r="I4573" s="2" t="s">
        <v>9241</v>
      </c>
      <c r="J4573" s="3" t="str">
        <f>HYPERLINK("https://www.boe.es/gazeta/dias/1822/03/11/pdfs/GMD-1822-72.pdf#page=8","Abrir facsímil")</f>
        <v>Abrir facsímil</v>
      </c>
      <c r="K4573" s="3" t="s">
        <v>22</v>
      </c>
    </row>
    <row r="4574" spans="1:11" ht="42" customHeight="1">
      <c r="A4574" s="2" t="s">
        <v>9242</v>
      </c>
      <c r="B4574" s="2" t="s">
        <v>9243</v>
      </c>
      <c r="C4574" s="2" t="s">
        <v>28</v>
      </c>
      <c r="D4574" s="2" t="s">
        <v>29</v>
      </c>
      <c r="E4574" s="5">
        <v>-28424</v>
      </c>
      <c r="F4574" s="3" t="s">
        <v>439</v>
      </c>
      <c r="G4574" s="3" t="s">
        <v>31</v>
      </c>
      <c r="H4574" s="2" t="s">
        <v>20</v>
      </c>
      <c r="I4574" s="2" t="s">
        <v>9244</v>
      </c>
      <c r="J4574" s="3" t="str">
        <f>HYPERLINK("https://www.boe.es/gazeta/dias/1822/03/05/pdfs/GMD-1822-66.pdf#page=3","Abrir facsímil")</f>
        <v>Abrir facsímil</v>
      </c>
      <c r="K4574" s="3" t="s">
        <v>22</v>
      </c>
    </row>
    <row r="4575" spans="1:11" ht="42" customHeight="1">
      <c r="A4575" s="2" t="s">
        <v>9245</v>
      </c>
      <c r="B4575" s="2" t="s">
        <v>9246</v>
      </c>
      <c r="C4575" s="2" t="s">
        <v>50</v>
      </c>
      <c r="D4575" s="2" t="s">
        <v>51</v>
      </c>
      <c r="E4575" s="5">
        <v>-28363</v>
      </c>
      <c r="F4575" s="3" t="s">
        <v>72</v>
      </c>
      <c r="G4575" s="3" t="s">
        <v>57</v>
      </c>
      <c r="H4575" s="2" t="s">
        <v>45</v>
      </c>
      <c r="I4575" s="2" t="s">
        <v>9247</v>
      </c>
      <c r="J4575" s="3" t="str">
        <f>HYPERLINK("https://www.boe.es/gazeta/dias/1822/05/05/pdfs/GMD-1822-127.pdf#page=4","Abrir facsímil")</f>
        <v>Abrir facsímil</v>
      </c>
      <c r="K4575" s="3" t="s">
        <v>47</v>
      </c>
    </row>
    <row r="4576" spans="1:11" ht="42" customHeight="1">
      <c r="A4576" s="2" t="s">
        <v>9248</v>
      </c>
      <c r="B4576" s="2" t="s">
        <v>9248</v>
      </c>
      <c r="C4576" s="2" t="s">
        <v>28</v>
      </c>
      <c r="D4576" s="2" t="s">
        <v>29</v>
      </c>
      <c r="E4576" s="5">
        <v>-28444</v>
      </c>
      <c r="F4576" s="3" t="s">
        <v>681</v>
      </c>
      <c r="G4576" s="3" t="s">
        <v>35</v>
      </c>
      <c r="H4576" s="2" t="s">
        <v>20</v>
      </c>
      <c r="I4576" s="2" t="s">
        <v>9249</v>
      </c>
      <c r="J4576" s="3" t="str">
        <f>HYPERLINK("https://www.boe.es/gazeta/dias/1822/02/13/pdfs/GMD-1822-44.pdf#page=2","Abrir facsímil")</f>
        <v>Abrir facsímil</v>
      </c>
      <c r="K4576" s="3" t="s">
        <v>22</v>
      </c>
    </row>
    <row r="4577" spans="1:11" ht="42" customHeight="1">
      <c r="A4577" s="2" t="s">
        <v>9250</v>
      </c>
      <c r="B4577" s="2" t="s">
        <v>9251</v>
      </c>
      <c r="C4577" s="2" t="s">
        <v>50</v>
      </c>
      <c r="D4577" s="2" t="s">
        <v>51</v>
      </c>
      <c r="E4577" s="5">
        <v>-28415</v>
      </c>
      <c r="F4577" s="3" t="s">
        <v>77</v>
      </c>
      <c r="G4577" s="3" t="s">
        <v>19</v>
      </c>
      <c r="H4577" s="2" t="s">
        <v>20</v>
      </c>
      <c r="I4577" s="2" t="s">
        <v>9252</v>
      </c>
      <c r="J4577" s="3" t="str">
        <f>HYPERLINK("https://www.boe.es/gazeta/dias/1822/03/14/pdfs/GMD-1822-75.pdf#page=5","Abrir facsímil")</f>
        <v>Abrir facsímil</v>
      </c>
      <c r="K4577" s="3" t="s">
        <v>22</v>
      </c>
    </row>
    <row r="4578" spans="1:11" ht="42" customHeight="1">
      <c r="A4578" s="2" t="s">
        <v>9253</v>
      </c>
      <c r="B4578" s="2" t="s">
        <v>9254</v>
      </c>
      <c r="C4578" s="2" t="s">
        <v>28</v>
      </c>
      <c r="D4578" s="2" t="s">
        <v>29</v>
      </c>
      <c r="E4578" s="5">
        <v>-28470</v>
      </c>
      <c r="F4578" s="3" t="s">
        <v>1444</v>
      </c>
      <c r="G4578" s="3" t="s">
        <v>57</v>
      </c>
      <c r="H4578" s="2" t="s">
        <v>20</v>
      </c>
      <c r="I4578" s="2" t="s">
        <v>9255</v>
      </c>
      <c r="J4578" s="3" t="str">
        <f>HYPERLINK("https://www.boe.es/gazeta/dias/1822/01/18/pdfs/GMD-1822-18.pdf#page=4","Abrir facsímil")</f>
        <v>Abrir facsímil</v>
      </c>
      <c r="K4578" s="3" t="s">
        <v>22</v>
      </c>
    </row>
    <row r="4579" spans="1:11" ht="42" customHeight="1">
      <c r="A4579" s="2" t="s">
        <v>9256</v>
      </c>
      <c r="B4579" s="2" t="s">
        <v>9256</v>
      </c>
      <c r="C4579" s="2" t="s">
        <v>28</v>
      </c>
      <c r="D4579" s="2" t="s">
        <v>29</v>
      </c>
      <c r="E4579" s="5">
        <v>-28421</v>
      </c>
      <c r="F4579" s="3" t="s">
        <v>446</v>
      </c>
      <c r="G4579" s="3" t="s">
        <v>57</v>
      </c>
      <c r="H4579" s="2" t="s">
        <v>20</v>
      </c>
      <c r="I4579" s="2" t="s">
        <v>9257</v>
      </c>
      <c r="J4579" s="3" t="str">
        <f>HYPERLINK("https://www.boe.es/gazeta/dias/1822/03/08/pdfs/GMD-1822-69.pdf#page=4","Abrir facsímil")</f>
        <v>Abrir facsímil</v>
      </c>
      <c r="K4579" s="3" t="s">
        <v>22</v>
      </c>
    </row>
    <row r="4580" spans="1:11" ht="42" customHeight="1">
      <c r="A4580" s="2" t="s">
        <v>9258</v>
      </c>
      <c r="B4580" s="2" t="s">
        <v>9259</v>
      </c>
      <c r="C4580" s="2" t="s">
        <v>28</v>
      </c>
      <c r="D4580" s="2" t="s">
        <v>29</v>
      </c>
      <c r="E4580" s="5">
        <v>-28434</v>
      </c>
      <c r="F4580" s="3" t="s">
        <v>433</v>
      </c>
      <c r="G4580" s="3" t="s">
        <v>31</v>
      </c>
      <c r="H4580" s="2" t="s">
        <v>20</v>
      </c>
      <c r="I4580" s="2" t="s">
        <v>9260</v>
      </c>
      <c r="J4580" s="3" t="str">
        <f>HYPERLINK("https://www.boe.es/gazeta/dias/1822/02/23/pdfs/GMD-1822-55.pdf#page=3","Abrir facsímil")</f>
        <v>Abrir facsímil</v>
      </c>
      <c r="K4580" s="3" t="s">
        <v>22</v>
      </c>
    </row>
    <row r="4581" spans="1:11" ht="42" customHeight="1">
      <c r="A4581" s="2" t="s">
        <v>9261</v>
      </c>
      <c r="B4581" s="2" t="s">
        <v>9261</v>
      </c>
      <c r="C4581" s="2" t="s">
        <v>42</v>
      </c>
      <c r="D4581" s="2" t="s">
        <v>17</v>
      </c>
      <c r="E4581" s="5">
        <v>-28421</v>
      </c>
      <c r="F4581" s="3" t="s">
        <v>446</v>
      </c>
      <c r="G4581" s="3" t="s">
        <v>31</v>
      </c>
      <c r="H4581" s="2" t="s">
        <v>20</v>
      </c>
      <c r="I4581" s="2" t="s">
        <v>9262</v>
      </c>
      <c r="J4581" s="3" t="str">
        <f>HYPERLINK("https://www.boe.es/gazeta/dias/1822/03/08/pdfs/GMD-1822-69.pdf#page=3","Abrir facsímil")</f>
        <v>Abrir facsímil</v>
      </c>
      <c r="K4581" s="3" t="s">
        <v>22</v>
      </c>
    </row>
    <row r="4582" spans="1:11" ht="42" customHeight="1">
      <c r="A4582" s="2" t="s">
        <v>9263</v>
      </c>
      <c r="B4582" s="2" t="s">
        <v>9264</v>
      </c>
      <c r="C4582" s="2" t="s">
        <v>50</v>
      </c>
      <c r="D4582" s="2" t="s">
        <v>51</v>
      </c>
      <c r="E4582" s="5">
        <v>-28327</v>
      </c>
      <c r="F4582" s="3" t="s">
        <v>38</v>
      </c>
      <c r="G4582" s="3" t="s">
        <v>31</v>
      </c>
      <c r="H4582" s="2" t="s">
        <v>20</v>
      </c>
      <c r="I4582" s="2" t="s">
        <v>9265</v>
      </c>
      <c r="J4582" s="3" t="str">
        <f>HYPERLINK("https://www.boe.es/gazeta/dias/1822/06/10/pdfs/GMD-1822-167.pdf#page=3","Abrir facsímil")</f>
        <v>Abrir facsímil</v>
      </c>
      <c r="K4582" s="3" t="s">
        <v>22</v>
      </c>
    </row>
    <row r="4583" spans="1:11" ht="42" customHeight="1">
      <c r="A4583" s="2" t="s">
        <v>9266</v>
      </c>
      <c r="B4583" s="2" t="s">
        <v>9267</v>
      </c>
      <c r="C4583" s="2" t="s">
        <v>28</v>
      </c>
      <c r="D4583" s="2" t="s">
        <v>29</v>
      </c>
      <c r="E4583" s="5">
        <v>-28409</v>
      </c>
      <c r="F4583" s="3" t="s">
        <v>394</v>
      </c>
      <c r="G4583" s="3" t="s">
        <v>57</v>
      </c>
      <c r="H4583" s="2" t="s">
        <v>20</v>
      </c>
      <c r="I4583" s="2" t="s">
        <v>9268</v>
      </c>
      <c r="J4583" s="3" t="str">
        <f>HYPERLINK("https://www.boe.es/gazeta/dias/1822/03/20/pdfs/GMD-1822-81.pdf#page=4","Abrir facsímil")</f>
        <v>Abrir facsímil</v>
      </c>
      <c r="K4583" s="3" t="s">
        <v>22</v>
      </c>
    </row>
    <row r="4584" spans="1:11" ht="42" customHeight="1">
      <c r="A4584" s="2" t="s">
        <v>9269</v>
      </c>
      <c r="B4584" s="2" t="s">
        <v>9270</v>
      </c>
      <c r="C4584" s="2" t="s">
        <v>50</v>
      </c>
      <c r="D4584" s="2" t="s">
        <v>51</v>
      </c>
      <c r="E4584" s="5">
        <v>-28323</v>
      </c>
      <c r="F4584" s="3" t="s">
        <v>116</v>
      </c>
      <c r="G4584" s="3" t="s">
        <v>44</v>
      </c>
      <c r="H4584" s="2" t="s">
        <v>20</v>
      </c>
      <c r="I4584" s="2" t="s">
        <v>9271</v>
      </c>
      <c r="J4584" s="3" t="str">
        <f>HYPERLINK("https://www.boe.es/gazeta/dias/1822/06/14/pdfs/GMD-1822-171.pdf#page=1","Abrir facsímil")</f>
        <v>Abrir facsímil</v>
      </c>
      <c r="K4584" s="3" t="s">
        <v>22</v>
      </c>
    </row>
    <row r="4585" spans="1:11" ht="42" customHeight="1">
      <c r="A4585" s="2" t="s">
        <v>9272</v>
      </c>
      <c r="B4585" s="2" t="s">
        <v>9272</v>
      </c>
      <c r="C4585" s="2" t="s">
        <v>28</v>
      </c>
      <c r="D4585" s="2" t="s">
        <v>29</v>
      </c>
      <c r="E4585" s="5">
        <v>-28365</v>
      </c>
      <c r="F4585" s="3" t="s">
        <v>506</v>
      </c>
      <c r="G4585" s="3" t="s">
        <v>57</v>
      </c>
      <c r="H4585" s="2" t="s">
        <v>20</v>
      </c>
      <c r="I4585" s="2" t="s">
        <v>9273</v>
      </c>
      <c r="J4585" s="3" t="str">
        <f>HYPERLINK("https://www.boe.es/gazeta/dias/1822/05/03/pdfs/GMD-1822-125.pdf#page=4","Abrir facsímil")</f>
        <v>Abrir facsímil</v>
      </c>
      <c r="K4585" s="3" t="s">
        <v>22</v>
      </c>
    </row>
    <row r="4586" spans="1:11" ht="42" customHeight="1">
      <c r="A4586" s="2" t="s">
        <v>9274</v>
      </c>
      <c r="B4586" s="2" t="s">
        <v>9275</v>
      </c>
      <c r="C4586" s="2" t="s">
        <v>42</v>
      </c>
      <c r="D4586" s="2" t="s">
        <v>17</v>
      </c>
      <c r="E4586" s="5">
        <v>-28292</v>
      </c>
      <c r="F4586" s="3" t="s">
        <v>222</v>
      </c>
      <c r="G4586" s="3" t="s">
        <v>31</v>
      </c>
      <c r="H4586" s="2" t="s">
        <v>20</v>
      </c>
      <c r="I4586" s="2" t="s">
        <v>9276</v>
      </c>
      <c r="J4586" s="3" t="str">
        <f>HYPERLINK("https://www.boe.es/gazeta/dias/1822/07/15/pdfs/GMD-1822-205.pdf#page=3","Abrir facsímil")</f>
        <v>Abrir facsímil</v>
      </c>
      <c r="K4586" s="3" t="s">
        <v>22</v>
      </c>
    </row>
    <row r="4587" spans="1:11" ht="42" customHeight="1">
      <c r="A4587" s="2" t="s">
        <v>9277</v>
      </c>
      <c r="B4587" s="2" t="s">
        <v>9277</v>
      </c>
      <c r="C4587" s="2" t="s">
        <v>28</v>
      </c>
      <c r="D4587" s="2" t="s">
        <v>29</v>
      </c>
      <c r="E4587" s="5">
        <v>-28421</v>
      </c>
      <c r="F4587" s="3" t="s">
        <v>446</v>
      </c>
      <c r="G4587" s="3" t="s">
        <v>57</v>
      </c>
      <c r="H4587" s="2" t="s">
        <v>20</v>
      </c>
      <c r="I4587" s="2" t="s">
        <v>9278</v>
      </c>
      <c r="J4587" s="3" t="str">
        <f>HYPERLINK("https://www.boe.es/gazeta/dias/1822/03/08/pdfs/GMD-1822-69.pdf#page=4","Abrir facsímil")</f>
        <v>Abrir facsímil</v>
      </c>
      <c r="K4587" s="3" t="s">
        <v>22</v>
      </c>
    </row>
    <row r="4588" spans="1:11" ht="42" customHeight="1">
      <c r="A4588" s="2" t="s">
        <v>9279</v>
      </c>
      <c r="B4588" s="2" t="s">
        <v>9279</v>
      </c>
      <c r="C4588" s="2" t="s">
        <v>42</v>
      </c>
      <c r="D4588" s="2" t="s">
        <v>17</v>
      </c>
      <c r="E4588" s="5">
        <v>-28321</v>
      </c>
      <c r="F4588" s="3" t="s">
        <v>1142</v>
      </c>
      <c r="G4588" s="3" t="s">
        <v>31</v>
      </c>
      <c r="H4588" s="2" t="s">
        <v>20</v>
      </c>
      <c r="I4588" s="2" t="s">
        <v>9280</v>
      </c>
      <c r="J4588" s="3" t="str">
        <f>HYPERLINK("https://www.boe.es/gazeta/dias/1822/06/16/pdfs/GMD-1822-173.pdf#page=3","Abrir facsímil")</f>
        <v>Abrir facsímil</v>
      </c>
      <c r="K4588" s="3" t="s">
        <v>22</v>
      </c>
    </row>
    <row r="4589" spans="1:11" ht="42" customHeight="1">
      <c r="A4589" s="2" t="s">
        <v>9281</v>
      </c>
      <c r="B4589" s="2" t="s">
        <v>9281</v>
      </c>
      <c r="C4589" s="2" t="s">
        <v>50</v>
      </c>
      <c r="D4589" s="2" t="s">
        <v>51</v>
      </c>
      <c r="E4589" s="5">
        <v>-28421</v>
      </c>
      <c r="F4589" s="3" t="s">
        <v>446</v>
      </c>
      <c r="G4589" s="3" t="s">
        <v>31</v>
      </c>
      <c r="H4589" s="2" t="s">
        <v>20</v>
      </c>
      <c r="I4589" s="2" t="s">
        <v>9282</v>
      </c>
      <c r="J4589" s="3" t="str">
        <f>HYPERLINK("https://www.boe.es/gazeta/dias/1822/03/08/pdfs/GMD-1822-69.pdf#page=3","Abrir facsímil")</f>
        <v>Abrir facsímil</v>
      </c>
      <c r="K4589" s="3" t="s">
        <v>22</v>
      </c>
    </row>
    <row r="4590" spans="1:11" ht="42" customHeight="1">
      <c r="A4590" s="2" t="s">
        <v>9281</v>
      </c>
      <c r="B4590" s="2" t="s">
        <v>9281</v>
      </c>
      <c r="C4590" s="2" t="s">
        <v>71</v>
      </c>
      <c r="D4590" s="2" t="s">
        <v>17</v>
      </c>
      <c r="E4590" s="5">
        <v>-28421</v>
      </c>
      <c r="F4590" s="3" t="s">
        <v>446</v>
      </c>
      <c r="G4590" s="3" t="s">
        <v>57</v>
      </c>
      <c r="H4590" s="2" t="s">
        <v>20</v>
      </c>
      <c r="I4590" s="2" t="s">
        <v>9283</v>
      </c>
      <c r="J4590" s="3" t="str">
        <f>HYPERLINK("https://www.boe.es/gazeta/dias/1822/03/08/pdfs/GMD-1822-69.pdf#page=4","Abrir facsímil")</f>
        <v>Abrir facsímil</v>
      </c>
      <c r="K4590" s="3" t="s">
        <v>22</v>
      </c>
    </row>
    <row r="4591" spans="1:11" ht="42" customHeight="1">
      <c r="A4591" s="2" t="s">
        <v>9281</v>
      </c>
      <c r="B4591" s="2" t="s">
        <v>9281</v>
      </c>
      <c r="C4591" s="2" t="s">
        <v>28</v>
      </c>
      <c r="D4591" s="2" t="s">
        <v>29</v>
      </c>
      <c r="E4591" s="5">
        <v>-28365</v>
      </c>
      <c r="F4591" s="3" t="s">
        <v>506</v>
      </c>
      <c r="G4591" s="3" t="s">
        <v>31</v>
      </c>
      <c r="H4591" s="2" t="s">
        <v>20</v>
      </c>
      <c r="I4591" s="2" t="s">
        <v>9284</v>
      </c>
      <c r="J4591" s="3" t="str">
        <f>HYPERLINK("https://www.boe.es/gazeta/dias/1822/05/03/pdfs/GMD-1822-125.pdf#page=3","Abrir facsímil")</f>
        <v>Abrir facsímil</v>
      </c>
      <c r="K4591" s="3" t="s">
        <v>22</v>
      </c>
    </row>
    <row r="4592" spans="1:11" ht="42" customHeight="1">
      <c r="A4592" s="2" t="s">
        <v>9281</v>
      </c>
      <c r="B4592" s="2" t="s">
        <v>9281</v>
      </c>
      <c r="C4592" s="2" t="s">
        <v>28</v>
      </c>
      <c r="D4592" s="2" t="s">
        <v>29</v>
      </c>
      <c r="E4592" s="5">
        <v>-28365</v>
      </c>
      <c r="F4592" s="3" t="s">
        <v>506</v>
      </c>
      <c r="G4592" s="3" t="s">
        <v>57</v>
      </c>
      <c r="H4592" s="2" t="s">
        <v>20</v>
      </c>
      <c r="I4592" s="2" t="s">
        <v>9285</v>
      </c>
      <c r="J4592" s="3" t="str">
        <f>HYPERLINK("https://www.boe.es/gazeta/dias/1822/05/03/pdfs/GMD-1822-125.pdf#page=4","Abrir facsímil")</f>
        <v>Abrir facsímil</v>
      </c>
      <c r="K4592" s="3" t="s">
        <v>22</v>
      </c>
    </row>
    <row r="4593" spans="1:11" ht="42" customHeight="1">
      <c r="A4593" s="2" t="s">
        <v>9281</v>
      </c>
      <c r="B4593" s="2" t="s">
        <v>9281</v>
      </c>
      <c r="C4593" s="2" t="s">
        <v>28</v>
      </c>
      <c r="D4593" s="2" t="s">
        <v>29</v>
      </c>
      <c r="E4593" s="5">
        <v>-28365</v>
      </c>
      <c r="F4593" s="3" t="s">
        <v>506</v>
      </c>
      <c r="G4593" s="3" t="s">
        <v>19</v>
      </c>
      <c r="H4593" s="2" t="s">
        <v>20</v>
      </c>
      <c r="I4593" s="2" t="s">
        <v>9286</v>
      </c>
      <c r="J4593" s="3" t="str">
        <f>HYPERLINK("https://www.boe.es/gazeta/dias/1822/05/03/pdfs/GMD-1822-125.pdf#page=5","Abrir facsímil")</f>
        <v>Abrir facsímil</v>
      </c>
      <c r="K4593" s="3" t="s">
        <v>22</v>
      </c>
    </row>
    <row r="4594" spans="1:11" ht="42" customHeight="1">
      <c r="A4594" s="2" t="s">
        <v>9281</v>
      </c>
      <c r="B4594" s="2" t="s">
        <v>9281</v>
      </c>
      <c r="C4594" s="2" t="s">
        <v>28</v>
      </c>
      <c r="D4594" s="2" t="s">
        <v>29</v>
      </c>
      <c r="E4594" s="5">
        <v>-28342</v>
      </c>
      <c r="F4594" s="3" t="s">
        <v>2281</v>
      </c>
      <c r="G4594" s="3" t="s">
        <v>44</v>
      </c>
      <c r="H4594" s="2" t="s">
        <v>20</v>
      </c>
      <c r="I4594" s="2" t="s">
        <v>9287</v>
      </c>
      <c r="J4594" s="3" t="str">
        <f>HYPERLINK("https://www.boe.es/gazeta/dias/1822/05/26/pdfs/GMD-1822-151.pdf#page=1","Abrir facsímil")</f>
        <v>Abrir facsímil</v>
      </c>
      <c r="K4594" s="3" t="s">
        <v>22</v>
      </c>
    </row>
    <row r="4595" spans="1:11" ht="42" customHeight="1">
      <c r="A4595" s="2" t="s">
        <v>9281</v>
      </c>
      <c r="B4595" s="2" t="s">
        <v>9281</v>
      </c>
      <c r="C4595" s="2" t="s">
        <v>71</v>
      </c>
      <c r="D4595" s="2" t="s">
        <v>17</v>
      </c>
      <c r="E4595" s="5">
        <v>-28335</v>
      </c>
      <c r="F4595" s="3" t="s">
        <v>3346</v>
      </c>
      <c r="G4595" s="3" t="s">
        <v>31</v>
      </c>
      <c r="H4595" s="2" t="s">
        <v>20</v>
      </c>
      <c r="I4595" s="2" t="s">
        <v>9288</v>
      </c>
      <c r="J4595" s="3" t="str">
        <f>HYPERLINK("https://www.boe.es/gazeta/dias/1822/06/02/pdfs/GMD-1822-158.pdf#page=3","Abrir facsímil")</f>
        <v>Abrir facsímil</v>
      </c>
      <c r="K4595" s="3" t="s">
        <v>22</v>
      </c>
    </row>
    <row r="4596" spans="1:11" ht="42" customHeight="1">
      <c r="A4596" s="2" t="s">
        <v>9281</v>
      </c>
      <c r="B4596" s="2" t="s">
        <v>9281</v>
      </c>
      <c r="C4596" s="2" t="s">
        <v>28</v>
      </c>
      <c r="D4596" s="2" t="s">
        <v>29</v>
      </c>
      <c r="E4596" s="5">
        <v>-28333</v>
      </c>
      <c r="F4596" s="3" t="s">
        <v>1928</v>
      </c>
      <c r="G4596" s="3" t="s">
        <v>44</v>
      </c>
      <c r="H4596" s="2" t="s">
        <v>20</v>
      </c>
      <c r="I4596" s="2" t="s">
        <v>9289</v>
      </c>
      <c r="J4596" s="3" t="str">
        <f>HYPERLINK("https://www.boe.es/gazeta/dias/1822/06/04/pdfs/GMD-1822-161.pdf#page=1","Abrir facsímil")</f>
        <v>Abrir facsímil</v>
      </c>
      <c r="K4596" s="3" t="s">
        <v>22</v>
      </c>
    </row>
    <row r="4597" spans="1:11" ht="42" customHeight="1">
      <c r="A4597" s="2" t="s">
        <v>9290</v>
      </c>
      <c r="B4597" s="2" t="s">
        <v>9291</v>
      </c>
      <c r="C4597" s="2" t="s">
        <v>50</v>
      </c>
      <c r="D4597" s="2" t="s">
        <v>51</v>
      </c>
      <c r="E4597" s="5">
        <v>-28420</v>
      </c>
      <c r="F4597" s="3" t="s">
        <v>449</v>
      </c>
      <c r="G4597" s="3" t="s">
        <v>31</v>
      </c>
      <c r="H4597" s="2" t="s">
        <v>20</v>
      </c>
      <c r="I4597" s="2" t="s">
        <v>9292</v>
      </c>
      <c r="J4597" s="3" t="str">
        <f>HYPERLINK("https://www.boe.es/gazeta/dias/1822/03/09/pdfs/GMD-1822-70.pdf#page=3","Abrir facsímil")</f>
        <v>Abrir facsímil</v>
      </c>
      <c r="K4597" s="3" t="s">
        <v>22</v>
      </c>
    </row>
    <row r="4598" spans="1:11" ht="42" customHeight="1">
      <c r="A4598" s="2" t="s">
        <v>9290</v>
      </c>
      <c r="B4598" s="2" t="s">
        <v>9291</v>
      </c>
      <c r="C4598" s="2" t="s">
        <v>28</v>
      </c>
      <c r="D4598" s="2" t="s">
        <v>29</v>
      </c>
      <c r="E4598" s="5">
        <v>-28367</v>
      </c>
      <c r="F4598" s="3" t="s">
        <v>280</v>
      </c>
      <c r="G4598" s="3" t="s">
        <v>63</v>
      </c>
      <c r="H4598" s="2" t="s">
        <v>20</v>
      </c>
      <c r="I4598" s="2" t="s">
        <v>9293</v>
      </c>
      <c r="J4598" s="3" t="str">
        <f>HYPERLINK("https://www.boe.es/gazeta/dias/1822/05/01/pdfs/GMD-1822-123.pdf#page=6","Abrir facsímil")</f>
        <v>Abrir facsímil</v>
      </c>
      <c r="K4598" s="3" t="s">
        <v>22</v>
      </c>
    </row>
    <row r="4599" spans="1:11" ht="42" customHeight="1">
      <c r="A4599" s="2" t="s">
        <v>9294</v>
      </c>
      <c r="B4599" s="2" t="s">
        <v>9295</v>
      </c>
      <c r="C4599" s="2" t="s">
        <v>42</v>
      </c>
      <c r="D4599" s="2" t="s">
        <v>17</v>
      </c>
      <c r="E4599" s="5">
        <v>-28467</v>
      </c>
      <c r="F4599" s="3" t="s">
        <v>1096</v>
      </c>
      <c r="G4599" s="3" t="s">
        <v>57</v>
      </c>
      <c r="H4599" s="2" t="s">
        <v>20</v>
      </c>
      <c r="I4599" s="2" t="s">
        <v>9296</v>
      </c>
      <c r="J4599" s="3" t="str">
        <f>HYPERLINK("https://www.boe.es/gazeta/dias/1822/01/21/pdfs/GMD-1822-21.pdf#page=4","Abrir facsímil")</f>
        <v>Abrir facsímil</v>
      </c>
      <c r="K4599" s="3" t="s">
        <v>22</v>
      </c>
    </row>
    <row r="4600" spans="1:11" ht="42" customHeight="1">
      <c r="A4600" s="2" t="s">
        <v>9297</v>
      </c>
      <c r="B4600" s="2" t="s">
        <v>9298</v>
      </c>
      <c r="C4600" s="2" t="s">
        <v>16</v>
      </c>
      <c r="D4600" s="2" t="s">
        <v>17</v>
      </c>
      <c r="E4600" s="5">
        <v>-28225</v>
      </c>
      <c r="F4600" s="3" t="s">
        <v>177</v>
      </c>
      <c r="G4600" s="3" t="s">
        <v>178</v>
      </c>
      <c r="H4600" s="2" t="s">
        <v>20</v>
      </c>
      <c r="I4600" s="2" t="s">
        <v>9299</v>
      </c>
      <c r="J4600" s="3" t="str">
        <f>HYPERLINK("https://www.boe.es/gazeta/dias/1822/09/20/pdfs/GMD-1822-276.pdf#page=3","Abrir facsímil")</f>
        <v>Abrir facsímil</v>
      </c>
      <c r="K4600" s="3" t="s">
        <v>22</v>
      </c>
    </row>
    <row r="4601" spans="1:11" ht="42" customHeight="1">
      <c r="A4601" s="2" t="s">
        <v>9300</v>
      </c>
      <c r="B4601" s="2" t="s">
        <v>9301</v>
      </c>
      <c r="C4601" s="2" t="s">
        <v>50</v>
      </c>
      <c r="D4601" s="2" t="s">
        <v>51</v>
      </c>
      <c r="E4601" s="5">
        <v>-28478</v>
      </c>
      <c r="F4601" s="3" t="s">
        <v>1093</v>
      </c>
      <c r="G4601" s="3" t="s">
        <v>57</v>
      </c>
      <c r="H4601" s="2" t="s">
        <v>20</v>
      </c>
      <c r="I4601" s="2" t="s">
        <v>9302</v>
      </c>
      <c r="J4601" s="3" t="str">
        <f>HYPERLINK("https://www.boe.es/gazeta/dias/1822/01/10/pdfs/GMD-1822-10.pdf#page=4","Abrir facsímil")</f>
        <v>Abrir facsímil</v>
      </c>
      <c r="K4601" s="3" t="s">
        <v>22</v>
      </c>
    </row>
    <row r="4602" spans="1:11" ht="42" customHeight="1">
      <c r="A4602" s="2" t="s">
        <v>9300</v>
      </c>
      <c r="B4602" s="2" t="s">
        <v>9301</v>
      </c>
      <c r="C4602" s="2" t="s">
        <v>50</v>
      </c>
      <c r="D4602" s="2" t="s">
        <v>51</v>
      </c>
      <c r="E4602" s="5">
        <v>-28477</v>
      </c>
      <c r="F4602" s="3" t="s">
        <v>1668</v>
      </c>
      <c r="G4602" s="3" t="s">
        <v>19</v>
      </c>
      <c r="H4602" s="2" t="s">
        <v>20</v>
      </c>
      <c r="I4602" s="2" t="s">
        <v>9303</v>
      </c>
      <c r="J4602" s="3" t="str">
        <f>HYPERLINK("https://www.boe.es/gazeta/dias/1822/01/11/pdfs/GMD-1822-11.pdf#page=5","Abrir facsímil")</f>
        <v>Abrir facsímil</v>
      </c>
      <c r="K4602" s="3" t="s">
        <v>22</v>
      </c>
    </row>
    <row r="4603" spans="1:11" ht="42" customHeight="1">
      <c r="A4603" s="2" t="s">
        <v>9300</v>
      </c>
      <c r="B4603" s="2" t="s">
        <v>9301</v>
      </c>
      <c r="C4603" s="2" t="s">
        <v>28</v>
      </c>
      <c r="D4603" s="2" t="s">
        <v>29</v>
      </c>
      <c r="E4603" s="5">
        <v>-28468</v>
      </c>
      <c r="F4603" s="3" t="s">
        <v>1012</v>
      </c>
      <c r="G4603" s="3" t="s">
        <v>63</v>
      </c>
      <c r="H4603" s="2" t="s">
        <v>20</v>
      </c>
      <c r="I4603" s="2" t="s">
        <v>9304</v>
      </c>
      <c r="J4603" s="3" t="str">
        <f>HYPERLINK("https://www.boe.es/gazeta/dias/1822/01/20/pdfs/GMD-1822-20.pdf#page=6","Abrir facsímil")</f>
        <v>Abrir facsímil</v>
      </c>
      <c r="K4603" s="3" t="s">
        <v>22</v>
      </c>
    </row>
    <row r="4604" spans="1:11" ht="42" customHeight="1">
      <c r="A4604" s="2" t="s">
        <v>9305</v>
      </c>
      <c r="B4604" s="2" t="s">
        <v>9306</v>
      </c>
      <c r="C4604" s="2" t="s">
        <v>50</v>
      </c>
      <c r="D4604" s="2" t="s">
        <v>51</v>
      </c>
      <c r="E4604" s="5">
        <v>-28170</v>
      </c>
      <c r="F4604" s="3" t="s">
        <v>1457</v>
      </c>
      <c r="G4604" s="3" t="s">
        <v>44</v>
      </c>
      <c r="H4604" s="2" t="s">
        <v>20</v>
      </c>
      <c r="I4604" s="2" t="s">
        <v>9307</v>
      </c>
      <c r="J4604" s="3" t="str">
        <f>HYPERLINK("https://www.boe.es/gazeta/dias/1822/11/14/pdfs/GMD-1822-334.pdf#page=1","Abrir facsímil")</f>
        <v>Abrir facsímil</v>
      </c>
      <c r="K4604" s="3" t="s">
        <v>22</v>
      </c>
    </row>
    <row r="4605" spans="1:11" ht="42" customHeight="1">
      <c r="A4605" s="2" t="s">
        <v>9308</v>
      </c>
      <c r="B4605" s="2" t="s">
        <v>9309</v>
      </c>
      <c r="C4605" s="2" t="s">
        <v>28</v>
      </c>
      <c r="D4605" s="2" t="s">
        <v>29</v>
      </c>
      <c r="E4605" s="5">
        <v>-28434</v>
      </c>
      <c r="F4605" s="3" t="s">
        <v>433</v>
      </c>
      <c r="G4605" s="3" t="s">
        <v>35</v>
      </c>
      <c r="H4605" s="2" t="s">
        <v>20</v>
      </c>
      <c r="I4605" s="2" t="s">
        <v>9310</v>
      </c>
      <c r="J4605" s="3" t="str">
        <f>HYPERLINK("https://www.boe.es/gazeta/dias/1822/02/23/pdfs/GMD-1822-55.pdf#page=2","Abrir facsímil")</f>
        <v>Abrir facsímil</v>
      </c>
      <c r="K4605" s="3" t="s">
        <v>22</v>
      </c>
    </row>
    <row r="4606" spans="1:11" ht="42" customHeight="1">
      <c r="A4606" s="2" t="s">
        <v>9311</v>
      </c>
      <c r="B4606" s="2" t="s">
        <v>9311</v>
      </c>
      <c r="C4606" s="2" t="s">
        <v>24</v>
      </c>
      <c r="D4606" s="2" t="s">
        <v>17</v>
      </c>
      <c r="E4606" s="5">
        <v>-28314</v>
      </c>
      <c r="F4606" s="3" t="s">
        <v>309</v>
      </c>
      <c r="G4606" s="3" t="s">
        <v>35</v>
      </c>
      <c r="H4606" s="2" t="s">
        <v>20</v>
      </c>
      <c r="I4606" s="2" t="s">
        <v>9312</v>
      </c>
      <c r="J4606" s="3" t="str">
        <f>HYPERLINK("https://www.boe.es/gazeta/dias/1822/06/23/pdfs/GMD-1822-181.pdf#page=2","Abrir facsímil")</f>
        <v>Abrir facsímil</v>
      </c>
      <c r="K4606" s="3" t="s">
        <v>22</v>
      </c>
    </row>
    <row r="4607" spans="1:11" ht="42" customHeight="1">
      <c r="A4607" s="2" t="s">
        <v>9313</v>
      </c>
      <c r="B4607" s="2" t="s">
        <v>9314</v>
      </c>
      <c r="C4607" s="2" t="s">
        <v>50</v>
      </c>
      <c r="D4607" s="2" t="s">
        <v>51</v>
      </c>
      <c r="E4607" s="5">
        <v>-28208</v>
      </c>
      <c r="F4607" s="3" t="s">
        <v>230</v>
      </c>
      <c r="G4607" s="3" t="s">
        <v>57</v>
      </c>
      <c r="H4607" s="2" t="s">
        <v>45</v>
      </c>
      <c r="I4607" s="2" t="s">
        <v>9315</v>
      </c>
      <c r="J4607" s="3" t="str">
        <f>HYPERLINK("https://www.boe.es/gazeta/dias/1822/10/07/pdfs/GMD-1822-293.pdf#page=4","Abrir facsímil")</f>
        <v>Abrir facsímil</v>
      </c>
      <c r="K4607" s="3" t="s">
        <v>47</v>
      </c>
    </row>
    <row r="4608" spans="1:11" ht="42" customHeight="1">
      <c r="A4608" s="2" t="s">
        <v>9316</v>
      </c>
      <c r="B4608" s="2" t="s">
        <v>9317</v>
      </c>
      <c r="C4608" s="2" t="s">
        <v>28</v>
      </c>
      <c r="D4608" s="2" t="s">
        <v>29</v>
      </c>
      <c r="E4608" s="5">
        <v>-28255</v>
      </c>
      <c r="F4608" s="3" t="s">
        <v>4826</v>
      </c>
      <c r="G4608" s="3" t="s">
        <v>31</v>
      </c>
      <c r="H4608" s="2" t="s">
        <v>20</v>
      </c>
      <c r="I4608" s="2" t="s">
        <v>9318</v>
      </c>
      <c r="J4608" s="3" t="str">
        <f>HYPERLINK("https://www.boe.es/gazeta/dias/1822/08/21/pdfs/GMD-1822-245.pdf#page=3","Abrir facsímil")</f>
        <v>Abrir facsímil</v>
      </c>
      <c r="K4608" s="3" t="s">
        <v>22</v>
      </c>
    </row>
    <row r="4609" spans="1:11" ht="42" customHeight="1">
      <c r="A4609" s="2" t="s">
        <v>9319</v>
      </c>
      <c r="B4609" s="2" t="s">
        <v>9320</v>
      </c>
      <c r="C4609" s="2" t="s">
        <v>28</v>
      </c>
      <c r="D4609" s="2" t="s">
        <v>29</v>
      </c>
      <c r="E4609" s="5">
        <v>-28287</v>
      </c>
      <c r="F4609" s="3" t="s">
        <v>1295</v>
      </c>
      <c r="G4609" s="3" t="s">
        <v>63</v>
      </c>
      <c r="H4609" s="2" t="s">
        <v>20</v>
      </c>
      <c r="I4609" s="2" t="s">
        <v>9321</v>
      </c>
      <c r="J4609" s="3" t="str">
        <f>HYPERLINK("https://www.boe.es/gazeta/dias/1822/07/20/pdfs/GMD-1822-212.pdf#page=6","Abrir facsímil")</f>
        <v>Abrir facsímil</v>
      </c>
      <c r="K4609" s="3" t="s">
        <v>22</v>
      </c>
    </row>
    <row r="4610" spans="1:11" ht="42" customHeight="1">
      <c r="A4610" s="2" t="s">
        <v>9322</v>
      </c>
      <c r="B4610" s="2" t="s">
        <v>9323</v>
      </c>
      <c r="C4610" s="2" t="s">
        <v>42</v>
      </c>
      <c r="D4610" s="2" t="s">
        <v>17</v>
      </c>
      <c r="E4610" s="5">
        <v>-28307</v>
      </c>
      <c r="F4610" s="3" t="s">
        <v>555</v>
      </c>
      <c r="G4610" s="3" t="s">
        <v>157</v>
      </c>
      <c r="H4610" s="2" t="s">
        <v>20</v>
      </c>
      <c r="I4610" s="2" t="s">
        <v>9324</v>
      </c>
      <c r="J4610" s="3" t="str">
        <f>HYPERLINK("https://www.boe.es/gazeta/dias/1822/06/30/pdfs/GMD-1822-188.pdf#page=8","Abrir facsímil")</f>
        <v>Abrir facsímil</v>
      </c>
      <c r="K4610" s="3" t="s">
        <v>22</v>
      </c>
    </row>
    <row r="4611" spans="1:11" ht="42" customHeight="1">
      <c r="A4611" s="2" t="s">
        <v>9325</v>
      </c>
      <c r="B4611" s="2" t="s">
        <v>9326</v>
      </c>
      <c r="C4611" s="2" t="s">
        <v>28</v>
      </c>
      <c r="D4611" s="2" t="s">
        <v>29</v>
      </c>
      <c r="E4611" s="5">
        <v>-28333</v>
      </c>
      <c r="F4611" s="3" t="s">
        <v>1928</v>
      </c>
      <c r="G4611" s="3" t="s">
        <v>44</v>
      </c>
      <c r="H4611" s="2" t="s">
        <v>20</v>
      </c>
      <c r="I4611" s="2" t="s">
        <v>9327</v>
      </c>
      <c r="J4611" s="3" t="str">
        <f>HYPERLINK("https://www.boe.es/gazeta/dias/1822/06/04/pdfs/GMD-1822-161.pdf#page=1","Abrir facsímil")</f>
        <v>Abrir facsímil</v>
      </c>
      <c r="K4611" s="3" t="s">
        <v>22</v>
      </c>
    </row>
    <row r="4612" spans="1:11" ht="42" customHeight="1">
      <c r="A4612" s="2" t="s">
        <v>9328</v>
      </c>
      <c r="B4612" s="2" t="s">
        <v>9329</v>
      </c>
      <c r="C4612" s="2" t="s">
        <v>16</v>
      </c>
      <c r="D4612" s="2" t="s">
        <v>17</v>
      </c>
      <c r="E4612" s="5">
        <v>-28378</v>
      </c>
      <c r="F4612" s="3" t="s">
        <v>496</v>
      </c>
      <c r="G4612" s="3" t="s">
        <v>57</v>
      </c>
      <c r="H4612" s="2" t="s">
        <v>20</v>
      </c>
      <c r="I4612" s="2" t="s">
        <v>9330</v>
      </c>
      <c r="J4612" s="3" t="str">
        <f>HYPERLINK("https://www.boe.es/gazeta/dias/1822/04/20/pdfs/GMD-1822-112.pdf#page=4","Abrir facsímil")</f>
        <v>Abrir facsímil</v>
      </c>
      <c r="K4612" s="3" t="s">
        <v>22</v>
      </c>
    </row>
    <row r="4613" spans="1:11" ht="42" customHeight="1">
      <c r="A4613" s="2" t="s">
        <v>9331</v>
      </c>
      <c r="B4613" s="2" t="s">
        <v>9332</v>
      </c>
      <c r="C4613" s="2" t="s">
        <v>50</v>
      </c>
      <c r="D4613" s="2" t="s">
        <v>51</v>
      </c>
      <c r="E4613" s="5">
        <v>-28391</v>
      </c>
      <c r="F4613" s="3" t="s">
        <v>378</v>
      </c>
      <c r="G4613" s="3" t="s">
        <v>63</v>
      </c>
      <c r="H4613" s="2" t="s">
        <v>20</v>
      </c>
      <c r="I4613" s="2" t="s">
        <v>9333</v>
      </c>
      <c r="J4613" s="3" t="str">
        <f>HYPERLINK("https://www.boe.es/gazeta/dias/1822/04/07/pdfs/GMD-1822-99.pdf#page=6","Abrir facsímil")</f>
        <v>Abrir facsímil</v>
      </c>
      <c r="K4613" s="3" t="s">
        <v>22</v>
      </c>
    </row>
    <row r="4614" spans="1:11" ht="42" customHeight="1">
      <c r="A4614" s="2" t="s">
        <v>9331</v>
      </c>
      <c r="B4614" s="2" t="s">
        <v>9332</v>
      </c>
      <c r="C4614" s="2" t="s">
        <v>16</v>
      </c>
      <c r="D4614" s="2" t="s">
        <v>17</v>
      </c>
      <c r="E4614" s="5">
        <v>-28360</v>
      </c>
      <c r="F4614" s="3" t="s">
        <v>514</v>
      </c>
      <c r="G4614" s="3" t="s">
        <v>57</v>
      </c>
      <c r="H4614" s="2" t="s">
        <v>20</v>
      </c>
      <c r="I4614" s="2" t="s">
        <v>9334</v>
      </c>
      <c r="J4614" s="3" t="str">
        <f>HYPERLINK("https://www.boe.es/gazeta/dias/1822/05/08/pdfs/GMD-1822-130.pdf#page=4","Abrir facsímil")</f>
        <v>Abrir facsímil</v>
      </c>
      <c r="K4614" s="3" t="s">
        <v>22</v>
      </c>
    </row>
    <row r="4615" spans="1:11" ht="42" customHeight="1">
      <c r="A4615" s="2" t="s">
        <v>9331</v>
      </c>
      <c r="B4615" s="2" t="s">
        <v>9332</v>
      </c>
      <c r="C4615" s="2" t="s">
        <v>61</v>
      </c>
      <c r="D4615" s="2" t="s">
        <v>17</v>
      </c>
      <c r="E4615" s="5">
        <v>-28311</v>
      </c>
      <c r="F4615" s="3" t="s">
        <v>736</v>
      </c>
      <c r="G4615" s="3" t="s">
        <v>157</v>
      </c>
      <c r="H4615" s="2" t="s">
        <v>20</v>
      </c>
      <c r="I4615" s="2" t="s">
        <v>9335</v>
      </c>
      <c r="J4615" s="3" t="str">
        <f>HYPERLINK("https://www.boe.es/gazeta/dias/1822/06/26/pdfs/GMD-1822-184.pdf#page=8","Abrir facsímil")</f>
        <v>Abrir facsímil</v>
      </c>
      <c r="K4615" s="3" t="s">
        <v>22</v>
      </c>
    </row>
    <row r="4616" spans="1:11" ht="42" customHeight="1">
      <c r="A4616" s="2" t="s">
        <v>9331</v>
      </c>
      <c r="B4616" s="2" t="s">
        <v>9332</v>
      </c>
      <c r="C4616" s="2" t="s">
        <v>28</v>
      </c>
      <c r="D4616" s="2" t="s">
        <v>29</v>
      </c>
      <c r="E4616" s="5">
        <v>-28308</v>
      </c>
      <c r="F4616" s="3" t="s">
        <v>1050</v>
      </c>
      <c r="G4616" s="3" t="s">
        <v>157</v>
      </c>
      <c r="H4616" s="2" t="s">
        <v>20</v>
      </c>
      <c r="I4616" s="2" t="s">
        <v>9336</v>
      </c>
      <c r="J4616" s="3" t="str">
        <f>HYPERLINK("https://www.boe.es/gazeta/dias/1822/06/29/pdfs/GMD-1822-187.pdf#page=8","Abrir facsímil")</f>
        <v>Abrir facsímil</v>
      </c>
      <c r="K4616" s="3" t="s">
        <v>22</v>
      </c>
    </row>
    <row r="4617" spans="1:11" ht="42" customHeight="1">
      <c r="A4617" s="2" t="s">
        <v>9331</v>
      </c>
      <c r="B4617" s="2" t="s">
        <v>9332</v>
      </c>
      <c r="C4617" s="2" t="s">
        <v>42</v>
      </c>
      <c r="D4617" s="2" t="s">
        <v>17</v>
      </c>
      <c r="E4617" s="5">
        <v>-28266</v>
      </c>
      <c r="F4617" s="3" t="s">
        <v>1169</v>
      </c>
      <c r="G4617" s="3" t="s">
        <v>57</v>
      </c>
      <c r="H4617" s="2" t="s">
        <v>20</v>
      </c>
      <c r="I4617" s="2" t="s">
        <v>9337</v>
      </c>
      <c r="J4617" s="3" t="str">
        <f>HYPERLINK("https://www.boe.es/gazeta/dias/1822/08/10/pdfs/GMD-1822-234.pdf#page=4","Abrir facsímil")</f>
        <v>Abrir facsímil</v>
      </c>
      <c r="K4617" s="3" t="s">
        <v>22</v>
      </c>
    </row>
    <row r="4618" spans="1:11" ht="42" customHeight="1">
      <c r="A4618" s="2" t="s">
        <v>9338</v>
      </c>
      <c r="B4618" s="2" t="s">
        <v>9338</v>
      </c>
      <c r="C4618" s="2" t="s">
        <v>50</v>
      </c>
      <c r="D4618" s="2" t="s">
        <v>51</v>
      </c>
      <c r="E4618" s="5">
        <v>-28182</v>
      </c>
      <c r="F4618" s="3" t="s">
        <v>585</v>
      </c>
      <c r="G4618" s="3" t="s">
        <v>44</v>
      </c>
      <c r="H4618" s="2" t="s">
        <v>20</v>
      </c>
      <c r="I4618" s="2" t="s">
        <v>9339</v>
      </c>
      <c r="J4618" s="3" t="str">
        <f>HYPERLINK("https://www.boe.es/gazeta/dias/1822/11/02/pdfs/GMD-1822-320.pdf#page=1","Abrir facsímil")</f>
        <v>Abrir facsímil</v>
      </c>
      <c r="K4618" s="3" t="s">
        <v>22</v>
      </c>
    </row>
    <row r="4619" spans="1:11" ht="42" customHeight="1">
      <c r="A4619" s="2" t="s">
        <v>9340</v>
      </c>
      <c r="B4619" s="2" t="s">
        <v>9341</v>
      </c>
      <c r="C4619" s="2" t="s">
        <v>50</v>
      </c>
      <c r="D4619" s="2" t="s">
        <v>51</v>
      </c>
      <c r="E4619" s="5">
        <v>-28258</v>
      </c>
      <c r="F4619" s="3" t="s">
        <v>88</v>
      </c>
      <c r="G4619" s="3" t="s">
        <v>57</v>
      </c>
      <c r="H4619" s="2" t="s">
        <v>20</v>
      </c>
      <c r="I4619" s="2" t="s">
        <v>9342</v>
      </c>
      <c r="J4619" s="3" t="str">
        <f>HYPERLINK("https://www.boe.es/gazeta/dias/1822/08/18/pdfs/GMD-1822-242.pdf#page=4","Abrir facsímil")</f>
        <v>Abrir facsímil</v>
      </c>
      <c r="K4619" s="3" t="s">
        <v>22</v>
      </c>
    </row>
    <row r="4620" spans="1:11" ht="42" customHeight="1">
      <c r="A4620" s="2" t="s">
        <v>9343</v>
      </c>
      <c r="B4620" s="2" t="s">
        <v>9343</v>
      </c>
      <c r="C4620" s="2" t="s">
        <v>16</v>
      </c>
      <c r="D4620" s="2" t="s">
        <v>17</v>
      </c>
      <c r="E4620" s="5">
        <v>-28487</v>
      </c>
      <c r="F4620" s="3" t="s">
        <v>426</v>
      </c>
      <c r="G4620" s="3" t="s">
        <v>57</v>
      </c>
      <c r="H4620" s="2" t="s">
        <v>20</v>
      </c>
      <c r="I4620" s="2" t="s">
        <v>9344</v>
      </c>
      <c r="J4620" s="3" t="str">
        <f>HYPERLINK("https://www.boe.es/gazeta/dias/1822/01/01/pdfs/GMD-1822-1.pdf#page=4","Abrir facsímil")</f>
        <v>Abrir facsímil</v>
      </c>
      <c r="K4620" s="3" t="s">
        <v>22</v>
      </c>
    </row>
    <row r="4621" spans="1:11" ht="42" customHeight="1">
      <c r="A4621" s="2" t="s">
        <v>9343</v>
      </c>
      <c r="B4621" s="2" t="s">
        <v>9343</v>
      </c>
      <c r="C4621" s="2" t="s">
        <v>42</v>
      </c>
      <c r="D4621" s="2" t="s">
        <v>17</v>
      </c>
      <c r="E4621" s="5">
        <v>-28476</v>
      </c>
      <c r="F4621" s="3" t="s">
        <v>160</v>
      </c>
      <c r="G4621" s="3" t="s">
        <v>31</v>
      </c>
      <c r="H4621" s="2" t="s">
        <v>20</v>
      </c>
      <c r="I4621" s="2" t="s">
        <v>9345</v>
      </c>
      <c r="J4621" s="3" t="str">
        <f>HYPERLINK("https://www.boe.es/gazeta/dias/1822/01/12/pdfs/GMD-1822-12.pdf#page=3","Abrir facsímil")</f>
        <v>Abrir facsímil</v>
      </c>
      <c r="K4621" s="3" t="s">
        <v>22</v>
      </c>
    </row>
    <row r="4622" spans="1:11" ht="42" customHeight="1">
      <c r="A4622" s="2" t="s">
        <v>9343</v>
      </c>
      <c r="B4622" s="2" t="s">
        <v>9343</v>
      </c>
      <c r="C4622" s="2" t="s">
        <v>24</v>
      </c>
      <c r="D4622" s="2" t="s">
        <v>17</v>
      </c>
      <c r="E4622" s="5">
        <v>-28474</v>
      </c>
      <c r="F4622" s="3" t="s">
        <v>30</v>
      </c>
      <c r="G4622" s="3" t="s">
        <v>57</v>
      </c>
      <c r="H4622" s="2" t="s">
        <v>20</v>
      </c>
      <c r="I4622" s="2" t="s">
        <v>9346</v>
      </c>
      <c r="J4622" s="3" t="str">
        <f>HYPERLINK("https://www.boe.es/gazeta/dias/1822/01/14/pdfs/GMD-1822-14.pdf#page=4","Abrir facsímil")</f>
        <v>Abrir facsímil</v>
      </c>
      <c r="K4622" s="3" t="s">
        <v>22</v>
      </c>
    </row>
    <row r="4623" spans="1:11" ht="42" customHeight="1">
      <c r="A4623" s="2" t="s">
        <v>9347</v>
      </c>
      <c r="B4623" s="2" t="s">
        <v>9348</v>
      </c>
      <c r="C4623" s="2" t="s">
        <v>28</v>
      </c>
      <c r="D4623" s="2" t="s">
        <v>29</v>
      </c>
      <c r="E4623" s="5">
        <v>-28420</v>
      </c>
      <c r="F4623" s="3" t="s">
        <v>449</v>
      </c>
      <c r="G4623" s="3" t="s">
        <v>31</v>
      </c>
      <c r="H4623" s="2" t="s">
        <v>20</v>
      </c>
      <c r="I4623" s="2" t="s">
        <v>9349</v>
      </c>
      <c r="J4623" s="3" t="str">
        <f>HYPERLINK("https://www.boe.es/gazeta/dias/1822/03/09/pdfs/GMD-1822-70.pdf#page=3","Abrir facsímil")</f>
        <v>Abrir facsímil</v>
      </c>
      <c r="K4623" s="3" t="s">
        <v>22</v>
      </c>
    </row>
    <row r="4624" spans="1:11" ht="42" customHeight="1">
      <c r="A4624" s="2" t="s">
        <v>9350</v>
      </c>
      <c r="B4624" s="2" t="s">
        <v>9351</v>
      </c>
      <c r="C4624" s="2" t="s">
        <v>42</v>
      </c>
      <c r="D4624" s="2" t="s">
        <v>17</v>
      </c>
      <c r="E4624" s="5">
        <v>-28172</v>
      </c>
      <c r="F4624" s="3" t="s">
        <v>674</v>
      </c>
      <c r="G4624" s="3" t="s">
        <v>57</v>
      </c>
      <c r="H4624" s="2" t="s">
        <v>20</v>
      </c>
      <c r="I4624" s="2" t="s">
        <v>9352</v>
      </c>
      <c r="J4624" s="3" t="str">
        <f>HYPERLINK("https://www.boe.es/gazeta/dias/1822/11/12/pdfs/GMD-1822-332.pdf#page=4","Abrir facsímil")</f>
        <v>Abrir facsímil</v>
      </c>
      <c r="K4624" s="3" t="s">
        <v>22</v>
      </c>
    </row>
    <row r="4625" spans="1:11" ht="42" customHeight="1">
      <c r="A4625" s="2" t="s">
        <v>9353</v>
      </c>
      <c r="B4625" s="2" t="s">
        <v>9354</v>
      </c>
      <c r="C4625" s="2" t="s">
        <v>50</v>
      </c>
      <c r="D4625" s="2" t="s">
        <v>51</v>
      </c>
      <c r="E4625" s="5">
        <v>-28402</v>
      </c>
      <c r="F4625" s="3" t="s">
        <v>473</v>
      </c>
      <c r="G4625" s="3" t="s">
        <v>35</v>
      </c>
      <c r="H4625" s="2" t="s">
        <v>20</v>
      </c>
      <c r="I4625" s="2" t="s">
        <v>9355</v>
      </c>
      <c r="J4625" s="3" t="str">
        <f>HYPERLINK("https://www.boe.es/gazeta/dias/1822/03/27/pdfs/GMD-1822-88.pdf#page=2","Abrir facsímil")</f>
        <v>Abrir facsímil</v>
      </c>
      <c r="K4625" s="3" t="s">
        <v>22</v>
      </c>
    </row>
    <row r="4626" spans="1:11" ht="42" customHeight="1">
      <c r="A4626" s="2" t="s">
        <v>9356</v>
      </c>
      <c r="B4626" s="2" t="s">
        <v>9357</v>
      </c>
      <c r="C4626" s="2" t="s">
        <v>42</v>
      </c>
      <c r="D4626" s="2" t="s">
        <v>17</v>
      </c>
      <c r="E4626" s="5">
        <v>-28477</v>
      </c>
      <c r="F4626" s="3" t="s">
        <v>1668</v>
      </c>
      <c r="G4626" s="3" t="s">
        <v>19</v>
      </c>
      <c r="H4626" s="2" t="s">
        <v>20</v>
      </c>
      <c r="I4626" s="2" t="s">
        <v>9358</v>
      </c>
      <c r="J4626" s="3" t="str">
        <f>HYPERLINK("https://www.boe.es/gazeta/dias/1822/01/11/pdfs/GMD-1822-11.pdf#page=5","Abrir facsímil")</f>
        <v>Abrir facsímil</v>
      </c>
      <c r="K4626" s="3" t="s">
        <v>22</v>
      </c>
    </row>
    <row r="4627" spans="1:11" ht="42" customHeight="1">
      <c r="A4627" s="2" t="s">
        <v>9359</v>
      </c>
      <c r="B4627" s="2" t="s">
        <v>9360</v>
      </c>
      <c r="C4627" s="2" t="s">
        <v>28</v>
      </c>
      <c r="D4627" s="2" t="s">
        <v>29</v>
      </c>
      <c r="E4627" s="5">
        <v>-28361</v>
      </c>
      <c r="F4627" s="3" t="s">
        <v>374</v>
      </c>
      <c r="G4627" s="3" t="s">
        <v>63</v>
      </c>
      <c r="H4627" s="2" t="s">
        <v>20</v>
      </c>
      <c r="I4627" s="2" t="s">
        <v>9361</v>
      </c>
      <c r="J4627" s="3" t="str">
        <f>HYPERLINK("https://www.boe.es/gazeta/dias/1822/05/07/pdfs/GMD-1822-129.pdf#page=6","Abrir facsímil")</f>
        <v>Abrir facsímil</v>
      </c>
      <c r="K4627" s="3" t="s">
        <v>22</v>
      </c>
    </row>
    <row r="4628" spans="1:11" ht="42" customHeight="1">
      <c r="A4628" s="2" t="s">
        <v>9362</v>
      </c>
      <c r="B4628" s="2" t="s">
        <v>9363</v>
      </c>
      <c r="C4628" s="2" t="s">
        <v>28</v>
      </c>
      <c r="D4628" s="2" t="s">
        <v>29</v>
      </c>
      <c r="E4628" s="5">
        <v>-28378</v>
      </c>
      <c r="F4628" s="3" t="s">
        <v>496</v>
      </c>
      <c r="G4628" s="3" t="s">
        <v>57</v>
      </c>
      <c r="H4628" s="2" t="s">
        <v>20</v>
      </c>
      <c r="I4628" s="2" t="s">
        <v>9364</v>
      </c>
      <c r="J4628" s="3" t="str">
        <f>HYPERLINK("https://www.boe.es/gazeta/dias/1822/04/20/pdfs/GMD-1822-112.pdf#page=4","Abrir facsímil")</f>
        <v>Abrir facsímil</v>
      </c>
      <c r="K4628" s="3" t="s">
        <v>22</v>
      </c>
    </row>
    <row r="4629" spans="1:11" ht="42" customHeight="1">
      <c r="A4629" s="2" t="s">
        <v>9365</v>
      </c>
      <c r="B4629" s="2" t="s">
        <v>9366</v>
      </c>
      <c r="C4629" s="2" t="s">
        <v>42</v>
      </c>
      <c r="D4629" s="2" t="s">
        <v>17</v>
      </c>
      <c r="E4629" s="5">
        <v>-28417</v>
      </c>
      <c r="F4629" s="3" t="s">
        <v>1394</v>
      </c>
      <c r="G4629" s="3" t="s">
        <v>35</v>
      </c>
      <c r="H4629" s="2" t="s">
        <v>20</v>
      </c>
      <c r="I4629" s="2" t="s">
        <v>9367</v>
      </c>
      <c r="J4629" s="3" t="str">
        <f>HYPERLINK("https://www.boe.es/gazeta/dias/1822/03/12/pdfs/GMD-1822-73.pdf#page=2","Abrir facsímil")</f>
        <v>Abrir facsímil</v>
      </c>
      <c r="K4629" s="3" t="s">
        <v>22</v>
      </c>
    </row>
    <row r="4630" spans="1:11" ht="42" customHeight="1">
      <c r="A4630" s="2" t="s">
        <v>9368</v>
      </c>
      <c r="B4630" s="2" t="s">
        <v>9368</v>
      </c>
      <c r="C4630" s="2" t="s">
        <v>50</v>
      </c>
      <c r="D4630" s="2" t="s">
        <v>51</v>
      </c>
      <c r="E4630" s="5">
        <v>-28224</v>
      </c>
      <c r="F4630" s="3" t="s">
        <v>1902</v>
      </c>
      <c r="G4630" s="3" t="s">
        <v>35</v>
      </c>
      <c r="H4630" s="2" t="s">
        <v>20</v>
      </c>
      <c r="I4630" s="2" t="s">
        <v>9369</v>
      </c>
      <c r="J4630" s="3" t="str">
        <f>HYPERLINK("https://www.boe.es/gazeta/dias/1822/09/21/pdfs/GMD-1822-277.pdf#page=2","Abrir facsímil")</f>
        <v>Abrir facsímil</v>
      </c>
      <c r="K4630" s="3" t="s">
        <v>22</v>
      </c>
    </row>
    <row r="4631" spans="1:11" ht="42" customHeight="1">
      <c r="A4631" s="2" t="s">
        <v>9370</v>
      </c>
      <c r="B4631" s="2" t="s">
        <v>9370</v>
      </c>
      <c r="C4631" s="2" t="s">
        <v>50</v>
      </c>
      <c r="D4631" s="2" t="s">
        <v>51</v>
      </c>
      <c r="E4631" s="5">
        <v>-28413</v>
      </c>
      <c r="F4631" s="3" t="s">
        <v>458</v>
      </c>
      <c r="G4631" s="3" t="s">
        <v>63</v>
      </c>
      <c r="H4631" s="2" t="s">
        <v>20</v>
      </c>
      <c r="I4631" s="2" t="s">
        <v>9371</v>
      </c>
      <c r="J4631" s="3" t="str">
        <f>HYPERLINK("https://www.boe.es/gazeta/dias/1822/03/16/pdfs/GMD-1822-77.pdf#page=6","Abrir facsímil")</f>
        <v>Abrir facsímil</v>
      </c>
      <c r="K4631" s="3" t="s">
        <v>22</v>
      </c>
    </row>
    <row r="4632" spans="1:11" ht="42" customHeight="1">
      <c r="A4632" s="2" t="s">
        <v>9370</v>
      </c>
      <c r="B4632" s="2" t="s">
        <v>9370</v>
      </c>
      <c r="C4632" s="2" t="s">
        <v>50</v>
      </c>
      <c r="D4632" s="2" t="s">
        <v>51</v>
      </c>
      <c r="E4632" s="5">
        <v>-28246</v>
      </c>
      <c r="F4632" s="3" t="s">
        <v>3246</v>
      </c>
      <c r="G4632" s="3" t="s">
        <v>1085</v>
      </c>
      <c r="H4632" s="2" t="s">
        <v>20</v>
      </c>
      <c r="I4632" s="2" t="s">
        <v>9372</v>
      </c>
      <c r="J4632" s="3" t="str">
        <f>HYPERLINK("https://www.boe.es/gazeta/dias/1822/08/30/pdfs/GMD-1822-254.pdf#page=5","Abrir facsímil")</f>
        <v>Abrir facsímil</v>
      </c>
      <c r="K4632" s="3" t="s">
        <v>22</v>
      </c>
    </row>
    <row r="4633" spans="1:11" ht="42" customHeight="1">
      <c r="A4633" s="2" t="s">
        <v>9370</v>
      </c>
      <c r="B4633" s="2" t="s">
        <v>9370</v>
      </c>
      <c r="C4633" s="2" t="s">
        <v>50</v>
      </c>
      <c r="D4633" s="2" t="s">
        <v>51</v>
      </c>
      <c r="E4633" s="5">
        <v>-28220</v>
      </c>
      <c r="F4633" s="3" t="s">
        <v>1914</v>
      </c>
      <c r="G4633" s="3" t="s">
        <v>44</v>
      </c>
      <c r="H4633" s="2" t="s">
        <v>20</v>
      </c>
      <c r="I4633" s="2" t="s">
        <v>9373</v>
      </c>
      <c r="J4633" s="3" t="str">
        <f>HYPERLINK("https://www.boe.es/gazeta/dias/1822/09/25/pdfs/GMD-1822-281.pdf#page=1","Abrir facsímil")</f>
        <v>Abrir facsímil</v>
      </c>
      <c r="K4633" s="3" t="s">
        <v>22</v>
      </c>
    </row>
    <row r="4634" spans="1:11" ht="42" customHeight="1">
      <c r="A4634" s="2" t="s">
        <v>9370</v>
      </c>
      <c r="B4634" s="2" t="s">
        <v>9370</v>
      </c>
      <c r="C4634" s="2" t="s">
        <v>50</v>
      </c>
      <c r="D4634" s="2" t="s">
        <v>51</v>
      </c>
      <c r="E4634" s="5">
        <v>-28217</v>
      </c>
      <c r="F4634" s="3" t="s">
        <v>1892</v>
      </c>
      <c r="G4634" s="3" t="s">
        <v>57</v>
      </c>
      <c r="H4634" s="2" t="s">
        <v>20</v>
      </c>
      <c r="I4634" s="2" t="s">
        <v>9374</v>
      </c>
      <c r="J4634" s="3" t="str">
        <f>HYPERLINK("https://www.boe.es/gazeta/dias/1822/09/28/pdfs/GMD-1822-284.pdf#page=4","Abrir facsímil")</f>
        <v>Abrir facsímil</v>
      </c>
      <c r="K4634" s="3" t="s">
        <v>22</v>
      </c>
    </row>
    <row r="4635" spans="1:11" ht="42" customHeight="1">
      <c r="A4635" s="2" t="s">
        <v>9370</v>
      </c>
      <c r="B4635" s="2" t="s">
        <v>9370</v>
      </c>
      <c r="C4635" s="2" t="s">
        <v>50</v>
      </c>
      <c r="D4635" s="2" t="s">
        <v>51</v>
      </c>
      <c r="E4635" s="5">
        <v>-28210</v>
      </c>
      <c r="F4635" s="3" t="s">
        <v>218</v>
      </c>
      <c r="G4635" s="3" t="s">
        <v>31</v>
      </c>
      <c r="H4635" s="2" t="s">
        <v>20</v>
      </c>
      <c r="I4635" s="2" t="s">
        <v>9375</v>
      </c>
      <c r="J4635" s="3" t="str">
        <f>HYPERLINK("https://www.boe.es/gazeta/dias/1822/10/05/pdfs/GMD-1822-291.pdf#page=3","Abrir facsímil")</f>
        <v>Abrir facsímil</v>
      </c>
      <c r="K4635" s="3" t="s">
        <v>22</v>
      </c>
    </row>
    <row r="4636" spans="1:11" ht="42" customHeight="1">
      <c r="A4636" s="2" t="s">
        <v>9376</v>
      </c>
      <c r="B4636" s="2" t="s">
        <v>9377</v>
      </c>
      <c r="C4636" s="2" t="s">
        <v>50</v>
      </c>
      <c r="D4636" s="2" t="s">
        <v>51</v>
      </c>
      <c r="E4636" s="5">
        <v>-28158</v>
      </c>
      <c r="F4636" s="3" t="s">
        <v>590</v>
      </c>
      <c r="G4636" s="3" t="s">
        <v>63</v>
      </c>
      <c r="H4636" s="2" t="s">
        <v>20</v>
      </c>
      <c r="I4636" s="2" t="s">
        <v>9378</v>
      </c>
      <c r="J4636" s="3" t="str">
        <f>HYPERLINK("https://www.boe.es/gazeta/dias/1822/11/26/pdfs/GMD-1822-346.pdf#page=6","Abrir facsímil")</f>
        <v>Abrir facsímil</v>
      </c>
      <c r="K4636" s="3" t="s">
        <v>22</v>
      </c>
    </row>
    <row r="4637" spans="1:11" ht="42" customHeight="1">
      <c r="A4637" s="2" t="s">
        <v>9379</v>
      </c>
      <c r="B4637" s="2" t="s">
        <v>9380</v>
      </c>
      <c r="C4637" s="2" t="s">
        <v>28</v>
      </c>
      <c r="D4637" s="2" t="s">
        <v>29</v>
      </c>
      <c r="E4637" s="5">
        <v>-28231</v>
      </c>
      <c r="F4637" s="3" t="s">
        <v>2049</v>
      </c>
      <c r="G4637" s="3" t="s">
        <v>57</v>
      </c>
      <c r="H4637" s="2" t="s">
        <v>20</v>
      </c>
      <c r="I4637" s="2" t="s">
        <v>9381</v>
      </c>
      <c r="J4637" s="3" t="str">
        <f>HYPERLINK("https://www.boe.es/gazeta/dias/1822/09/14/pdfs/GMD-1822-270.pdf#page=4","Abrir facsímil")</f>
        <v>Abrir facsímil</v>
      </c>
      <c r="K4637" s="3" t="s">
        <v>22</v>
      </c>
    </row>
    <row r="4638" spans="1:11" ht="42" customHeight="1">
      <c r="A4638" s="2" t="s">
        <v>9382</v>
      </c>
      <c r="B4638" s="2" t="s">
        <v>9383</v>
      </c>
      <c r="C4638" s="2" t="s">
        <v>28</v>
      </c>
      <c r="D4638" s="2" t="s">
        <v>29</v>
      </c>
      <c r="E4638" s="5">
        <v>-28484</v>
      </c>
      <c r="F4638" s="3" t="s">
        <v>743</v>
      </c>
      <c r="G4638" s="3" t="s">
        <v>31</v>
      </c>
      <c r="H4638" s="2" t="s">
        <v>20</v>
      </c>
      <c r="I4638" s="2" t="s">
        <v>9384</v>
      </c>
      <c r="J4638" s="3" t="str">
        <f>HYPERLINK("https://www.boe.es/gazeta/dias/1822/01/04/pdfs/GMD-1822-4.pdf#page=3","Abrir facsímil")</f>
        <v>Abrir facsímil</v>
      </c>
      <c r="K4638" s="3" t="s">
        <v>22</v>
      </c>
    </row>
    <row r="4639" spans="1:11" ht="42" customHeight="1">
      <c r="A4639" s="2" t="s">
        <v>9382</v>
      </c>
      <c r="B4639" s="2" t="s">
        <v>9383</v>
      </c>
      <c r="C4639" s="2" t="s">
        <v>71</v>
      </c>
      <c r="D4639" s="2" t="s">
        <v>17</v>
      </c>
      <c r="E4639" s="5">
        <v>-28483</v>
      </c>
      <c r="F4639" s="3" t="s">
        <v>254</v>
      </c>
      <c r="G4639" s="3" t="s">
        <v>44</v>
      </c>
      <c r="H4639" s="2" t="s">
        <v>20</v>
      </c>
      <c r="I4639" s="2" t="s">
        <v>9385</v>
      </c>
      <c r="J4639" s="3" t="str">
        <f>HYPERLINK("https://www.boe.es/gazeta/dias/1822/01/05/pdfs/GMD-1822-5.pdf#page=1","Abrir facsímil")</f>
        <v>Abrir facsímil</v>
      </c>
      <c r="K4639" s="3" t="s">
        <v>22</v>
      </c>
    </row>
    <row r="4640" spans="1:11" ht="42" customHeight="1">
      <c r="A4640" s="2" t="s">
        <v>9386</v>
      </c>
      <c r="B4640" s="2" t="s">
        <v>9387</v>
      </c>
      <c r="C4640" s="2" t="s">
        <v>50</v>
      </c>
      <c r="D4640" s="2" t="s">
        <v>51</v>
      </c>
      <c r="E4640" s="5">
        <v>-28415</v>
      </c>
      <c r="F4640" s="3" t="s">
        <v>77</v>
      </c>
      <c r="G4640" s="3" t="s">
        <v>63</v>
      </c>
      <c r="H4640" s="2" t="s">
        <v>20</v>
      </c>
      <c r="I4640" s="2" t="s">
        <v>9388</v>
      </c>
      <c r="J4640" s="3" t="str">
        <f>HYPERLINK("https://www.boe.es/gazeta/dias/1822/03/14/pdfs/GMD-1822-75.pdf#page=6","Abrir facsímil")</f>
        <v>Abrir facsímil</v>
      </c>
      <c r="K4640" s="3" t="s">
        <v>22</v>
      </c>
    </row>
    <row r="4641" spans="1:11" ht="42" customHeight="1">
      <c r="A4641" s="2" t="s">
        <v>9389</v>
      </c>
      <c r="B4641" s="2" t="s">
        <v>9390</v>
      </c>
      <c r="C4641" s="2" t="s">
        <v>50</v>
      </c>
      <c r="D4641" s="2" t="s">
        <v>51</v>
      </c>
      <c r="E4641" s="5">
        <v>-28343</v>
      </c>
      <c r="F4641" s="3" t="s">
        <v>1019</v>
      </c>
      <c r="G4641" s="3" t="s">
        <v>44</v>
      </c>
      <c r="H4641" s="2" t="s">
        <v>45</v>
      </c>
      <c r="I4641" s="2" t="s">
        <v>9391</v>
      </c>
      <c r="J4641" s="3" t="str">
        <f>HYPERLINK("https://www.boe.es/gazeta/dias/1822/05/25/pdfs/GMD-1822-150.pdf#page=1","Abrir facsímil")</f>
        <v>Abrir facsímil</v>
      </c>
      <c r="K4641" s="3" t="s">
        <v>47</v>
      </c>
    </row>
    <row r="4642" spans="1:11" ht="42" customHeight="1">
      <c r="A4642" s="2" t="s">
        <v>9392</v>
      </c>
      <c r="B4642" s="2" t="s">
        <v>9393</v>
      </c>
      <c r="C4642" s="2" t="s">
        <v>28</v>
      </c>
      <c r="D4642" s="2" t="s">
        <v>29</v>
      </c>
      <c r="E4642" s="5">
        <v>-28293</v>
      </c>
      <c r="F4642" s="3" t="s">
        <v>152</v>
      </c>
      <c r="G4642" s="3" t="s">
        <v>57</v>
      </c>
      <c r="H4642" s="2" t="s">
        <v>20</v>
      </c>
      <c r="I4642" s="2" t="s">
        <v>9394</v>
      </c>
      <c r="J4642" s="3" t="str">
        <f>HYPERLINK("https://www.boe.es/gazeta/dias/1822/07/14/pdfs/GMD-1822-204.pdf#page=4","Abrir facsímil")</f>
        <v>Abrir facsímil</v>
      </c>
      <c r="K4642" s="3" t="s">
        <v>22</v>
      </c>
    </row>
    <row r="4643" spans="1:11" ht="42" customHeight="1">
      <c r="A4643" s="2" t="s">
        <v>9395</v>
      </c>
      <c r="B4643" s="2" t="s">
        <v>9396</v>
      </c>
      <c r="C4643" s="2" t="s">
        <v>16</v>
      </c>
      <c r="D4643" s="2" t="s">
        <v>17</v>
      </c>
      <c r="E4643" s="5">
        <v>-28246</v>
      </c>
      <c r="F4643" s="3" t="s">
        <v>3246</v>
      </c>
      <c r="G4643" s="3" t="s">
        <v>44</v>
      </c>
      <c r="H4643" s="2" t="s">
        <v>20</v>
      </c>
      <c r="I4643" s="2" t="s">
        <v>9397</v>
      </c>
      <c r="J4643" s="3" t="str">
        <f>HYPERLINK("https://www.boe.es/gazeta/dias/1822/08/30/pdfs/GMD-1822-254.pdf#page=1","Abrir facsímil")</f>
        <v>Abrir facsímil</v>
      </c>
      <c r="K4643" s="3" t="s">
        <v>22</v>
      </c>
    </row>
    <row r="4644" spans="1:11" ht="42" customHeight="1">
      <c r="A4644" s="2" t="s">
        <v>9398</v>
      </c>
      <c r="B4644" s="2" t="s">
        <v>9399</v>
      </c>
      <c r="C4644" s="2" t="s">
        <v>50</v>
      </c>
      <c r="D4644" s="2" t="s">
        <v>51</v>
      </c>
      <c r="E4644" s="5">
        <v>-28165</v>
      </c>
      <c r="F4644" s="3" t="s">
        <v>846</v>
      </c>
      <c r="G4644" s="3" t="s">
        <v>57</v>
      </c>
      <c r="H4644" s="2" t="s">
        <v>45</v>
      </c>
      <c r="I4644" s="2" t="s">
        <v>9400</v>
      </c>
      <c r="J4644" s="3" t="str">
        <f>HYPERLINK("https://www.boe.es/gazeta/dias/1822/11/19/pdfs/GMD-1822-339.pdf#page=4","Abrir facsímil")</f>
        <v>Abrir facsímil</v>
      </c>
      <c r="K4644" s="3" t="s">
        <v>47</v>
      </c>
    </row>
    <row r="4645" spans="1:11" ht="42" customHeight="1">
      <c r="A4645" s="2" t="s">
        <v>9401</v>
      </c>
      <c r="B4645" s="2" t="s">
        <v>9402</v>
      </c>
      <c r="C4645" s="2" t="s">
        <v>50</v>
      </c>
      <c r="D4645" s="2" t="s">
        <v>51</v>
      </c>
      <c r="E4645" s="5">
        <v>-28303</v>
      </c>
      <c r="F4645" s="3" t="s">
        <v>201</v>
      </c>
      <c r="G4645" s="3" t="s">
        <v>31</v>
      </c>
      <c r="H4645" s="2" t="s">
        <v>20</v>
      </c>
      <c r="I4645" s="2" t="s">
        <v>9403</v>
      </c>
      <c r="J4645" s="3" t="str">
        <f>HYPERLINK("https://www.boe.es/gazeta/dias/1822/07/04/pdfs/GMD-1822-193.pdf#page=3","Abrir facsímil")</f>
        <v>Abrir facsímil</v>
      </c>
      <c r="K4645" s="3" t="s">
        <v>22</v>
      </c>
    </row>
    <row r="4646" spans="1:11" ht="42" customHeight="1">
      <c r="A4646" s="2" t="s">
        <v>9404</v>
      </c>
      <c r="B4646" s="2" t="s">
        <v>9405</v>
      </c>
      <c r="C4646" s="2" t="s">
        <v>50</v>
      </c>
      <c r="D4646" s="2" t="s">
        <v>51</v>
      </c>
      <c r="E4646" s="5">
        <v>-28474</v>
      </c>
      <c r="F4646" s="3" t="s">
        <v>30</v>
      </c>
      <c r="G4646" s="3" t="s">
        <v>57</v>
      </c>
      <c r="H4646" s="2" t="s">
        <v>20</v>
      </c>
      <c r="I4646" s="2" t="s">
        <v>9406</v>
      </c>
      <c r="J4646" s="3" t="str">
        <f>HYPERLINK("https://www.boe.es/gazeta/dias/1822/01/14/pdfs/GMD-1822-14.pdf#page=4","Abrir facsímil")</f>
        <v>Abrir facsímil</v>
      </c>
      <c r="K4646" s="3" t="s">
        <v>22</v>
      </c>
    </row>
    <row r="4647" spans="1:11" ht="42" customHeight="1">
      <c r="A4647" s="2" t="s">
        <v>9404</v>
      </c>
      <c r="B4647" s="2" t="s">
        <v>9405</v>
      </c>
      <c r="C4647" s="2" t="s">
        <v>50</v>
      </c>
      <c r="D4647" s="2" t="s">
        <v>51</v>
      </c>
      <c r="E4647" s="5">
        <v>-28413</v>
      </c>
      <c r="F4647" s="3" t="s">
        <v>458</v>
      </c>
      <c r="G4647" s="3" t="s">
        <v>63</v>
      </c>
      <c r="H4647" s="2" t="s">
        <v>20</v>
      </c>
      <c r="I4647" s="2" t="s">
        <v>9407</v>
      </c>
      <c r="J4647" s="3" t="str">
        <f>HYPERLINK("https://www.boe.es/gazeta/dias/1822/03/16/pdfs/GMD-1822-77.pdf#page=6","Abrir facsímil")</f>
        <v>Abrir facsímil</v>
      </c>
      <c r="K4647" s="3" t="s">
        <v>22</v>
      </c>
    </row>
    <row r="4648" spans="1:11" ht="42" customHeight="1">
      <c r="A4648" s="2" t="s">
        <v>9404</v>
      </c>
      <c r="B4648" s="2" t="s">
        <v>9405</v>
      </c>
      <c r="C4648" s="2" t="s">
        <v>50</v>
      </c>
      <c r="D4648" s="2" t="s">
        <v>51</v>
      </c>
      <c r="E4648" s="5">
        <v>-28390</v>
      </c>
      <c r="F4648" s="3" t="s">
        <v>665</v>
      </c>
      <c r="G4648" s="3" t="s">
        <v>57</v>
      </c>
      <c r="H4648" s="2" t="s">
        <v>20</v>
      </c>
      <c r="I4648" s="2" t="s">
        <v>9408</v>
      </c>
      <c r="J4648" s="3" t="str">
        <f>HYPERLINK("https://www.boe.es/gazeta/dias/1822/04/08/pdfs/GMD-1822-100.pdf#page=4","Abrir facsímil")</f>
        <v>Abrir facsímil</v>
      </c>
      <c r="K4648" s="3" t="s">
        <v>22</v>
      </c>
    </row>
    <row r="4649" spans="1:11" ht="42" customHeight="1">
      <c r="A4649" s="2" t="s">
        <v>9404</v>
      </c>
      <c r="B4649" s="2" t="s">
        <v>9405</v>
      </c>
      <c r="C4649" s="2" t="s">
        <v>50</v>
      </c>
      <c r="D4649" s="2" t="s">
        <v>51</v>
      </c>
      <c r="E4649" s="5">
        <v>-28360</v>
      </c>
      <c r="F4649" s="3" t="s">
        <v>514</v>
      </c>
      <c r="G4649" s="3" t="s">
        <v>57</v>
      </c>
      <c r="H4649" s="2" t="s">
        <v>20</v>
      </c>
      <c r="I4649" s="2" t="s">
        <v>9409</v>
      </c>
      <c r="J4649" s="3" t="str">
        <f>HYPERLINK("https://www.boe.es/gazeta/dias/1822/05/08/pdfs/GMD-1822-130.pdf#page=4","Abrir facsímil")</f>
        <v>Abrir facsímil</v>
      </c>
      <c r="K4649" s="3" t="s">
        <v>22</v>
      </c>
    </row>
    <row r="4650" spans="1:11" ht="42" customHeight="1">
      <c r="A4650" s="2" t="s">
        <v>9404</v>
      </c>
      <c r="B4650" s="2" t="s">
        <v>9405</v>
      </c>
      <c r="C4650" s="2" t="s">
        <v>50</v>
      </c>
      <c r="D4650" s="2" t="s">
        <v>51</v>
      </c>
      <c r="E4650" s="5">
        <v>-28322</v>
      </c>
      <c r="F4650" s="3" t="s">
        <v>2205</v>
      </c>
      <c r="G4650" s="3" t="s">
        <v>57</v>
      </c>
      <c r="H4650" s="2" t="s">
        <v>20</v>
      </c>
      <c r="I4650" s="2" t="s">
        <v>9410</v>
      </c>
      <c r="J4650" s="3" t="str">
        <f>HYPERLINK("https://www.boe.es/gazeta/dias/1822/06/15/pdfs/GMD-1822-172.pdf#page=4","Abrir facsímil")</f>
        <v>Abrir facsímil</v>
      </c>
      <c r="K4650" s="3" t="s">
        <v>22</v>
      </c>
    </row>
    <row r="4651" spans="1:11" ht="42" customHeight="1">
      <c r="A4651" s="2" t="s">
        <v>9404</v>
      </c>
      <c r="B4651" s="2" t="s">
        <v>9405</v>
      </c>
      <c r="C4651" s="2" t="s">
        <v>50</v>
      </c>
      <c r="D4651" s="2" t="s">
        <v>51</v>
      </c>
      <c r="E4651" s="5">
        <v>-28270</v>
      </c>
      <c r="F4651" s="3" t="s">
        <v>130</v>
      </c>
      <c r="G4651" s="3" t="s">
        <v>131</v>
      </c>
      <c r="H4651" s="2" t="s">
        <v>20</v>
      </c>
      <c r="I4651" s="2" t="s">
        <v>9411</v>
      </c>
      <c r="J4651" s="3" t="str">
        <f>HYPERLINK("https://www.boe.es/gazeta/dias/1822/08/06/pdfs/GMD-1822-230.pdf#page=6","Abrir facsímil")</f>
        <v>Abrir facsímil</v>
      </c>
      <c r="K4651" s="3" t="s">
        <v>22</v>
      </c>
    </row>
    <row r="4652" spans="1:11" ht="42" customHeight="1">
      <c r="A4652" s="2" t="s">
        <v>9412</v>
      </c>
      <c r="B4652" s="2" t="s">
        <v>9413</v>
      </c>
      <c r="C4652" s="2" t="s">
        <v>16</v>
      </c>
      <c r="D4652" s="2" t="s">
        <v>17</v>
      </c>
      <c r="E4652" s="5">
        <v>-28258</v>
      </c>
      <c r="F4652" s="3" t="s">
        <v>88</v>
      </c>
      <c r="G4652" s="3" t="s">
        <v>57</v>
      </c>
      <c r="H4652" s="2" t="s">
        <v>20</v>
      </c>
      <c r="I4652" s="2" t="s">
        <v>9414</v>
      </c>
      <c r="J4652" s="3" t="str">
        <f>HYPERLINK("https://www.boe.es/gazeta/dias/1822/08/18/pdfs/GMD-1822-242.pdf#page=4","Abrir facsímil")</f>
        <v>Abrir facsímil</v>
      </c>
      <c r="K4652" s="3" t="s">
        <v>22</v>
      </c>
    </row>
    <row r="4653" spans="1:11" ht="42" customHeight="1">
      <c r="A4653" s="2" t="s">
        <v>9415</v>
      </c>
      <c r="B4653" s="2" t="s">
        <v>9416</v>
      </c>
      <c r="C4653" s="2" t="s">
        <v>50</v>
      </c>
      <c r="D4653" s="2" t="s">
        <v>51</v>
      </c>
      <c r="E4653" s="5">
        <v>-28218</v>
      </c>
      <c r="F4653" s="3" t="s">
        <v>405</v>
      </c>
      <c r="G4653" s="3" t="s">
        <v>31</v>
      </c>
      <c r="H4653" s="2" t="s">
        <v>20</v>
      </c>
      <c r="I4653" s="2" t="s">
        <v>9417</v>
      </c>
      <c r="J4653" s="3" t="str">
        <f>HYPERLINK("https://www.boe.es/gazeta/dias/1822/09/27/pdfs/GMD-1822-283.pdf#page=3","Abrir facsímil")</f>
        <v>Abrir facsímil</v>
      </c>
      <c r="K4653" s="3" t="s">
        <v>22</v>
      </c>
    </row>
    <row r="4654" spans="1:11" ht="42" customHeight="1">
      <c r="A4654" s="2" t="s">
        <v>9418</v>
      </c>
      <c r="B4654" s="2" t="s">
        <v>9419</v>
      </c>
      <c r="C4654" s="2" t="s">
        <v>24</v>
      </c>
      <c r="D4654" s="2" t="s">
        <v>17</v>
      </c>
      <c r="E4654" s="5">
        <v>-28230</v>
      </c>
      <c r="F4654" s="3" t="s">
        <v>1735</v>
      </c>
      <c r="G4654" s="3" t="s">
        <v>31</v>
      </c>
      <c r="H4654" s="2" t="s">
        <v>45</v>
      </c>
      <c r="I4654" s="2" t="s">
        <v>9420</v>
      </c>
      <c r="J4654" s="3" t="str">
        <f>HYPERLINK("https://www.boe.es/gazeta/dias/1822/09/15/pdfs/GMD-1822-271.pdf#page=3","Abrir facsímil")</f>
        <v>Abrir facsímil</v>
      </c>
      <c r="K4654" s="3" t="s">
        <v>47</v>
      </c>
    </row>
    <row r="4655" spans="1:11" ht="42" customHeight="1">
      <c r="A4655" s="2" t="s">
        <v>9421</v>
      </c>
      <c r="B4655" s="2" t="s">
        <v>9421</v>
      </c>
      <c r="C4655" s="2" t="s">
        <v>16</v>
      </c>
      <c r="D4655" s="2" t="s">
        <v>17</v>
      </c>
      <c r="E4655" s="5">
        <v>-28176</v>
      </c>
      <c r="F4655" s="3" t="s">
        <v>780</v>
      </c>
      <c r="G4655" s="3" t="s">
        <v>63</v>
      </c>
      <c r="H4655" s="2" t="s">
        <v>20</v>
      </c>
      <c r="I4655" s="2" t="s">
        <v>9422</v>
      </c>
      <c r="J4655" s="3" t="str">
        <f>HYPERLINK("https://www.boe.es/gazeta/dias/1822/11/08/pdfs/GMD-1822-328.pdf#page=6","Abrir facsímil")</f>
        <v>Abrir facsímil</v>
      </c>
      <c r="K4655" s="3" t="s">
        <v>22</v>
      </c>
    </row>
    <row r="4656" spans="1:11" ht="42" customHeight="1">
      <c r="A4656" s="2" t="s">
        <v>9423</v>
      </c>
      <c r="B4656" s="2" t="s">
        <v>9423</v>
      </c>
      <c r="C4656" s="2" t="s">
        <v>71</v>
      </c>
      <c r="D4656" s="2" t="s">
        <v>17</v>
      </c>
      <c r="E4656" s="5">
        <v>-28181</v>
      </c>
      <c r="F4656" s="3" t="s">
        <v>739</v>
      </c>
      <c r="G4656" s="3" t="s">
        <v>31</v>
      </c>
      <c r="H4656" s="2" t="s">
        <v>20</v>
      </c>
      <c r="I4656" s="2" t="s">
        <v>9424</v>
      </c>
      <c r="J4656" s="3" t="str">
        <f>HYPERLINK("https://www.boe.es/gazeta/dias/1822/11/03/pdfs/GMD-1822-321.pdf#page=3","Abrir facsímil")</f>
        <v>Abrir facsímil</v>
      </c>
      <c r="K4656" s="3" t="s">
        <v>22</v>
      </c>
    </row>
    <row r="4657" spans="1:11" ht="42" customHeight="1">
      <c r="A4657" s="2" t="s">
        <v>9425</v>
      </c>
      <c r="B4657" s="2" t="s">
        <v>9426</v>
      </c>
      <c r="C4657" s="2" t="s">
        <v>28</v>
      </c>
      <c r="D4657" s="2" t="s">
        <v>29</v>
      </c>
      <c r="E4657" s="5">
        <v>-28353</v>
      </c>
      <c r="F4657" s="3" t="s">
        <v>843</v>
      </c>
      <c r="G4657" s="3" t="s">
        <v>57</v>
      </c>
      <c r="H4657" s="2" t="s">
        <v>20</v>
      </c>
      <c r="I4657" s="2" t="s">
        <v>9427</v>
      </c>
      <c r="J4657" s="3" t="str">
        <f>HYPERLINK("https://www.boe.es/gazeta/dias/1822/05/15/pdfs/GMD-1822-137.pdf#page=4","Abrir facsímil")</f>
        <v>Abrir facsímil</v>
      </c>
      <c r="K4657" s="3" t="s">
        <v>22</v>
      </c>
    </row>
    <row r="4658" spans="1:11" ht="42" customHeight="1">
      <c r="A4658" s="2" t="s">
        <v>9428</v>
      </c>
      <c r="B4658" s="2" t="s">
        <v>9429</v>
      </c>
      <c r="C4658" s="2" t="s">
        <v>28</v>
      </c>
      <c r="D4658" s="2" t="s">
        <v>29</v>
      </c>
      <c r="E4658" s="5">
        <v>-28157</v>
      </c>
      <c r="F4658" s="3" t="s">
        <v>1492</v>
      </c>
      <c r="G4658" s="3" t="s">
        <v>63</v>
      </c>
      <c r="H4658" s="2" t="s">
        <v>20</v>
      </c>
      <c r="I4658" s="2" t="s">
        <v>9430</v>
      </c>
      <c r="J4658" s="3" t="str">
        <f>HYPERLINK("https://www.boe.es/gazeta/dias/1822/11/27/pdfs/GMD-1822-347.pdf#page=6","Abrir facsímil")</f>
        <v>Abrir facsímil</v>
      </c>
      <c r="K4658" s="3" t="s">
        <v>22</v>
      </c>
    </row>
    <row r="4659" spans="1:11" ht="42" customHeight="1">
      <c r="A4659" s="2" t="s">
        <v>9431</v>
      </c>
      <c r="B4659" s="2" t="s">
        <v>9432</v>
      </c>
      <c r="C4659" s="2" t="s">
        <v>50</v>
      </c>
      <c r="D4659" s="2" t="s">
        <v>51</v>
      </c>
      <c r="E4659" s="5">
        <v>-28233</v>
      </c>
      <c r="F4659" s="3" t="s">
        <v>810</v>
      </c>
      <c r="G4659" s="3" t="s">
        <v>35</v>
      </c>
      <c r="H4659" s="2" t="s">
        <v>20</v>
      </c>
      <c r="I4659" s="2" t="s">
        <v>9433</v>
      </c>
      <c r="J4659" s="3" t="str">
        <f>HYPERLINK("https://www.boe.es/gazeta/dias/1822/09/12/pdfs/GMD-1822-268.pdf#page=2","Abrir facsímil")</f>
        <v>Abrir facsímil</v>
      </c>
      <c r="K4659" s="3" t="s">
        <v>22</v>
      </c>
    </row>
    <row r="4660" spans="1:11" ht="42" customHeight="1">
      <c r="A4660" s="2" t="s">
        <v>9434</v>
      </c>
      <c r="B4660" s="2" t="s">
        <v>9435</v>
      </c>
      <c r="C4660" s="2" t="s">
        <v>50</v>
      </c>
      <c r="D4660" s="2" t="s">
        <v>51</v>
      </c>
      <c r="E4660" s="5">
        <v>-28323</v>
      </c>
      <c r="F4660" s="3" t="s">
        <v>116</v>
      </c>
      <c r="G4660" s="3" t="s">
        <v>63</v>
      </c>
      <c r="H4660" s="2" t="s">
        <v>20</v>
      </c>
      <c r="I4660" s="2" t="s">
        <v>9436</v>
      </c>
      <c r="J4660" s="3" t="str">
        <f>HYPERLINK("https://www.boe.es/gazeta/dias/1822/06/14/pdfs/GMD-1822-171.pdf#page=6","Abrir facsímil")</f>
        <v>Abrir facsímil</v>
      </c>
      <c r="K4660" s="3" t="s">
        <v>22</v>
      </c>
    </row>
    <row r="4661" spans="1:11" ht="42" customHeight="1">
      <c r="A4661" s="2" t="s">
        <v>9437</v>
      </c>
      <c r="B4661" s="2" t="s">
        <v>9437</v>
      </c>
      <c r="C4661" s="2" t="s">
        <v>50</v>
      </c>
      <c r="D4661" s="2" t="s">
        <v>51</v>
      </c>
      <c r="E4661" s="5">
        <v>-28419</v>
      </c>
      <c r="F4661" s="3" t="s">
        <v>1392</v>
      </c>
      <c r="G4661" s="3" t="s">
        <v>31</v>
      </c>
      <c r="H4661" s="2" t="s">
        <v>20</v>
      </c>
      <c r="I4661" s="2" t="s">
        <v>9438</v>
      </c>
      <c r="J4661" s="3" t="str">
        <f>HYPERLINK("https://www.boe.es/gazeta/dias/1822/03/10/pdfs/GMD-1822-71.pdf#page=3","Abrir facsímil")</f>
        <v>Abrir facsímil</v>
      </c>
      <c r="K4661" s="3" t="s">
        <v>22</v>
      </c>
    </row>
    <row r="4662" spans="1:11" ht="42" customHeight="1">
      <c r="A4662" s="2" t="s">
        <v>9439</v>
      </c>
      <c r="B4662" s="2" t="s">
        <v>9440</v>
      </c>
      <c r="C4662" s="2" t="s">
        <v>61</v>
      </c>
      <c r="D4662" s="2" t="s">
        <v>17</v>
      </c>
      <c r="E4662" s="5">
        <v>-28147</v>
      </c>
      <c r="F4662" s="3" t="s">
        <v>1611</v>
      </c>
      <c r="G4662" s="3" t="s">
        <v>63</v>
      </c>
      <c r="H4662" s="2" t="s">
        <v>20</v>
      </c>
      <c r="I4662" s="2" t="s">
        <v>9441</v>
      </c>
      <c r="J4662" s="3" t="str">
        <f>HYPERLINK("https://www.boe.es/gazeta/dias/1822/12/07/pdfs/GMD-1822-357.pdf#page=6","Abrir facsímil")</f>
        <v>Abrir facsímil</v>
      </c>
      <c r="K4662" s="3" t="s">
        <v>22</v>
      </c>
    </row>
    <row r="4663" spans="1:11" ht="42" customHeight="1">
      <c r="A4663" s="2" t="s">
        <v>9442</v>
      </c>
      <c r="B4663" s="2" t="s">
        <v>9443</v>
      </c>
      <c r="C4663" s="2" t="s">
        <v>28</v>
      </c>
      <c r="D4663" s="2" t="s">
        <v>29</v>
      </c>
      <c r="E4663" s="5">
        <v>-28474</v>
      </c>
      <c r="F4663" s="3" t="s">
        <v>30</v>
      </c>
      <c r="G4663" s="3" t="s">
        <v>57</v>
      </c>
      <c r="H4663" s="2" t="s">
        <v>45</v>
      </c>
      <c r="I4663" s="2" t="s">
        <v>9444</v>
      </c>
      <c r="J4663" s="3" t="str">
        <f>HYPERLINK("https://www.boe.es/gazeta/dias/1822/01/14/pdfs/GMD-1822-14.pdf#page=4","Abrir facsímil")</f>
        <v>Abrir facsímil</v>
      </c>
      <c r="K4663" s="3" t="s">
        <v>47</v>
      </c>
    </row>
    <row r="4664" spans="1:11" ht="42" customHeight="1">
      <c r="A4664" s="2" t="s">
        <v>9445</v>
      </c>
      <c r="B4664" s="2" t="s">
        <v>9446</v>
      </c>
      <c r="C4664" s="2" t="s">
        <v>71</v>
      </c>
      <c r="D4664" s="2" t="s">
        <v>17</v>
      </c>
      <c r="E4664" s="5">
        <v>-28275</v>
      </c>
      <c r="F4664" s="3" t="s">
        <v>1297</v>
      </c>
      <c r="G4664" s="3" t="s">
        <v>57</v>
      </c>
      <c r="H4664" s="2" t="s">
        <v>20</v>
      </c>
      <c r="I4664" s="2" t="s">
        <v>9447</v>
      </c>
      <c r="J4664" s="3" t="str">
        <f>HYPERLINK("https://www.boe.es/gazeta/dias/1822/08/01/pdfs/GMD-1822-225.pdf#page=4","Abrir facsímil")</f>
        <v>Abrir facsímil</v>
      </c>
      <c r="K4664" s="3" t="s">
        <v>22</v>
      </c>
    </row>
    <row r="4665" spans="1:11" ht="42" customHeight="1">
      <c r="A4665" s="2" t="s">
        <v>9448</v>
      </c>
      <c r="B4665" s="2" t="s">
        <v>9449</v>
      </c>
      <c r="C4665" s="2" t="s">
        <v>71</v>
      </c>
      <c r="D4665" s="2" t="s">
        <v>17</v>
      </c>
      <c r="E4665" s="5">
        <v>-28311</v>
      </c>
      <c r="F4665" s="3" t="s">
        <v>736</v>
      </c>
      <c r="G4665" s="3" t="s">
        <v>35</v>
      </c>
      <c r="H4665" s="2" t="s">
        <v>20</v>
      </c>
      <c r="I4665" s="2" t="s">
        <v>9450</v>
      </c>
      <c r="J4665" s="3" t="str">
        <f>HYPERLINK("https://www.boe.es/gazeta/dias/1822/06/26/pdfs/GMD-1822-184.pdf#page=2","Abrir facsímil")</f>
        <v>Abrir facsímil</v>
      </c>
      <c r="K4665" s="3" t="s">
        <v>22</v>
      </c>
    </row>
    <row r="4666" spans="1:11" ht="42" customHeight="1">
      <c r="A4666" s="2" t="s">
        <v>9451</v>
      </c>
      <c r="B4666" s="2" t="s">
        <v>9451</v>
      </c>
      <c r="C4666" s="2" t="s">
        <v>28</v>
      </c>
      <c r="D4666" s="2" t="s">
        <v>29</v>
      </c>
      <c r="E4666" s="5">
        <v>-28447</v>
      </c>
      <c r="F4666" s="3" t="s">
        <v>997</v>
      </c>
      <c r="G4666" s="3" t="s">
        <v>35</v>
      </c>
      <c r="H4666" s="2" t="s">
        <v>20</v>
      </c>
      <c r="I4666" s="2" t="s">
        <v>9452</v>
      </c>
      <c r="J4666" s="3" t="str">
        <f>HYPERLINK("https://www.boe.es/gazeta/dias/1822/02/10/pdfs/GMD-1822-41.pdf#page=2","Abrir facsímil")</f>
        <v>Abrir facsímil</v>
      </c>
      <c r="K4666" s="3" t="s">
        <v>22</v>
      </c>
    </row>
    <row r="4667" spans="1:11" ht="42" customHeight="1">
      <c r="A4667" s="2" t="s">
        <v>9453</v>
      </c>
      <c r="B4667" s="2" t="s">
        <v>9454</v>
      </c>
      <c r="C4667" s="2" t="s">
        <v>50</v>
      </c>
      <c r="D4667" s="2" t="s">
        <v>51</v>
      </c>
      <c r="E4667" s="5">
        <v>-28292</v>
      </c>
      <c r="F4667" s="3" t="s">
        <v>222</v>
      </c>
      <c r="G4667" s="3" t="s">
        <v>31</v>
      </c>
      <c r="H4667" s="2" t="s">
        <v>20</v>
      </c>
      <c r="I4667" s="2" t="s">
        <v>9455</v>
      </c>
      <c r="J4667" s="3" t="str">
        <f>HYPERLINK("https://www.boe.es/gazeta/dias/1822/07/15/pdfs/GMD-1822-205.pdf#page=3","Abrir facsímil")</f>
        <v>Abrir facsímil</v>
      </c>
      <c r="K4667" s="3" t="s">
        <v>22</v>
      </c>
    </row>
    <row r="4668" spans="1:11" ht="42" customHeight="1">
      <c r="A4668" s="2" t="s">
        <v>9456</v>
      </c>
      <c r="B4668" s="2" t="s">
        <v>9457</v>
      </c>
      <c r="C4668" s="2" t="s">
        <v>28</v>
      </c>
      <c r="D4668" s="2" t="s">
        <v>29</v>
      </c>
      <c r="E4668" s="5">
        <v>-28416</v>
      </c>
      <c r="F4668" s="3" t="s">
        <v>97</v>
      </c>
      <c r="G4668" s="3" t="s">
        <v>63</v>
      </c>
      <c r="H4668" s="2" t="s">
        <v>20</v>
      </c>
      <c r="I4668" s="2" t="s">
        <v>9458</v>
      </c>
      <c r="J4668" s="3" t="str">
        <f>HYPERLINK("https://www.boe.es/gazeta/dias/1822/03/13/pdfs/GMD-1822-74.pdf#page=6","Abrir facsímil")</f>
        <v>Abrir facsímil</v>
      </c>
      <c r="K4668" s="3" t="s">
        <v>22</v>
      </c>
    </row>
    <row r="4669" spans="1:11" ht="42" customHeight="1">
      <c r="A4669" s="2" t="s">
        <v>9459</v>
      </c>
      <c r="B4669" s="2" t="s">
        <v>9460</v>
      </c>
      <c r="C4669" s="2" t="s">
        <v>24</v>
      </c>
      <c r="D4669" s="2" t="s">
        <v>17</v>
      </c>
      <c r="E4669" s="5">
        <v>-28273</v>
      </c>
      <c r="F4669" s="3" t="s">
        <v>1063</v>
      </c>
      <c r="G4669" s="3" t="s">
        <v>57</v>
      </c>
      <c r="H4669" s="2" t="s">
        <v>20</v>
      </c>
      <c r="I4669" s="2" t="s">
        <v>9461</v>
      </c>
      <c r="J4669" s="3" t="str">
        <f>HYPERLINK("https://www.boe.es/gazeta/dias/1822/08/03/pdfs/GMD-1822-227.pdf#page=4","Abrir facsímil")</f>
        <v>Abrir facsímil</v>
      </c>
      <c r="K4669" s="3" t="s">
        <v>22</v>
      </c>
    </row>
    <row r="4670" spans="1:11" ht="42" customHeight="1">
      <c r="A4670" s="2" t="s">
        <v>9462</v>
      </c>
      <c r="B4670" s="2" t="s">
        <v>9463</v>
      </c>
      <c r="C4670" s="2" t="s">
        <v>50</v>
      </c>
      <c r="D4670" s="2" t="s">
        <v>51</v>
      </c>
      <c r="E4670" s="5">
        <v>-28174</v>
      </c>
      <c r="F4670" s="3" t="s">
        <v>881</v>
      </c>
      <c r="G4670" s="3" t="s">
        <v>31</v>
      </c>
      <c r="H4670" s="2" t="s">
        <v>20</v>
      </c>
      <c r="I4670" s="2" t="s">
        <v>9464</v>
      </c>
      <c r="J4670" s="3" t="str">
        <f>HYPERLINK("https://www.boe.es/gazeta/dias/1822/11/10/pdfs/GMD-1822-330.pdf#page=3","Abrir facsímil")</f>
        <v>Abrir facsímil</v>
      </c>
      <c r="K4670" s="3" t="s">
        <v>22</v>
      </c>
    </row>
    <row r="4671" spans="1:11" ht="42" customHeight="1">
      <c r="A4671" s="2" t="s">
        <v>9465</v>
      </c>
      <c r="B4671" s="2" t="s">
        <v>9466</v>
      </c>
      <c r="C4671" s="2" t="s">
        <v>50</v>
      </c>
      <c r="D4671" s="2" t="s">
        <v>51</v>
      </c>
      <c r="E4671" s="5">
        <v>-28289</v>
      </c>
      <c r="F4671" s="3" t="s">
        <v>390</v>
      </c>
      <c r="G4671" s="3" t="s">
        <v>35</v>
      </c>
      <c r="H4671" s="2" t="s">
        <v>20</v>
      </c>
      <c r="I4671" s="2" t="s">
        <v>9467</v>
      </c>
      <c r="J4671" s="3" t="str">
        <f>HYPERLINK("https://www.boe.es/gazeta/dias/1822/07/18/pdfs/GMD-1822-209.pdf#page=2","Abrir facsímil")</f>
        <v>Abrir facsímil</v>
      </c>
      <c r="K4671" s="3" t="s">
        <v>22</v>
      </c>
    </row>
    <row r="4672" spans="1:11" ht="42" customHeight="1">
      <c r="A4672" s="2" t="s">
        <v>9468</v>
      </c>
      <c r="B4672" s="2" t="s">
        <v>9469</v>
      </c>
      <c r="C4672" s="2" t="s">
        <v>42</v>
      </c>
      <c r="D4672" s="2" t="s">
        <v>17</v>
      </c>
      <c r="E4672" s="5">
        <v>-28384</v>
      </c>
      <c r="F4672" s="3" t="s">
        <v>258</v>
      </c>
      <c r="G4672" s="3" t="s">
        <v>63</v>
      </c>
      <c r="H4672" s="2" t="s">
        <v>20</v>
      </c>
      <c r="I4672" s="2" t="s">
        <v>9470</v>
      </c>
      <c r="J4672" s="3" t="str">
        <f>HYPERLINK("https://www.boe.es/gazeta/dias/1822/04/14/pdfs/GMD-1822-106.pdf#page=6","Abrir facsímil")</f>
        <v>Abrir facsímil</v>
      </c>
      <c r="K4672" s="3" t="s">
        <v>22</v>
      </c>
    </row>
    <row r="4673" spans="1:11" ht="42" customHeight="1">
      <c r="A4673" s="2" t="s">
        <v>9471</v>
      </c>
      <c r="B4673" s="2" t="s">
        <v>9472</v>
      </c>
      <c r="C4673" s="2" t="s">
        <v>16</v>
      </c>
      <c r="D4673" s="2" t="s">
        <v>17</v>
      </c>
      <c r="E4673" s="5">
        <v>-28237</v>
      </c>
      <c r="F4673" s="3" t="s">
        <v>878</v>
      </c>
      <c r="G4673" s="3" t="s">
        <v>57</v>
      </c>
      <c r="H4673" s="2" t="s">
        <v>20</v>
      </c>
      <c r="I4673" s="2" t="s">
        <v>9473</v>
      </c>
      <c r="J4673" s="3" t="str">
        <f>HYPERLINK("https://www.boe.es/gazeta/dias/1822/09/08/pdfs/GMD-1822-264.pdf#page=4","Abrir facsímil")</f>
        <v>Abrir facsímil</v>
      </c>
      <c r="K4673" s="3" t="s">
        <v>22</v>
      </c>
    </row>
    <row r="4674" spans="1:11" ht="42" customHeight="1">
      <c r="A4674" s="2" t="s">
        <v>9474</v>
      </c>
      <c r="B4674" s="2" t="s">
        <v>9475</v>
      </c>
      <c r="C4674" s="2" t="s">
        <v>42</v>
      </c>
      <c r="D4674" s="2" t="s">
        <v>17</v>
      </c>
      <c r="E4674" s="5">
        <v>-28407</v>
      </c>
      <c r="F4674" s="3" t="s">
        <v>460</v>
      </c>
      <c r="G4674" s="3" t="s">
        <v>35</v>
      </c>
      <c r="H4674" s="2" t="s">
        <v>20</v>
      </c>
      <c r="I4674" s="2" t="s">
        <v>9476</v>
      </c>
      <c r="J4674" s="3" t="str">
        <f>HYPERLINK("https://www.boe.es/gazeta/dias/1822/03/22/pdfs/GMD-1822-83.pdf#page=2","Abrir facsímil")</f>
        <v>Abrir facsímil</v>
      </c>
      <c r="K4674" s="3" t="s">
        <v>22</v>
      </c>
    </row>
    <row r="4675" spans="1:11" ht="42" customHeight="1">
      <c r="A4675" s="2" t="s">
        <v>9477</v>
      </c>
      <c r="B4675" s="2" t="s">
        <v>9478</v>
      </c>
      <c r="C4675" s="2" t="s">
        <v>50</v>
      </c>
      <c r="D4675" s="2" t="s">
        <v>51</v>
      </c>
      <c r="E4675" s="5">
        <v>-28289</v>
      </c>
      <c r="F4675" s="3" t="s">
        <v>390</v>
      </c>
      <c r="G4675" s="3" t="s">
        <v>35</v>
      </c>
      <c r="H4675" s="2" t="s">
        <v>45</v>
      </c>
      <c r="I4675" s="2" t="s">
        <v>9479</v>
      </c>
      <c r="J4675" s="3" t="str">
        <f>HYPERLINK("https://www.boe.es/gazeta/dias/1822/07/18/pdfs/GMD-1822-209.pdf#page=2","Abrir facsímil")</f>
        <v>Abrir facsímil</v>
      </c>
      <c r="K4675" s="3" t="s">
        <v>47</v>
      </c>
    </row>
    <row r="4676" spans="1:11" ht="42" customHeight="1">
      <c r="A4676" s="2" t="s">
        <v>9480</v>
      </c>
      <c r="B4676" s="2" t="s">
        <v>9481</v>
      </c>
      <c r="C4676" s="2" t="s">
        <v>16</v>
      </c>
      <c r="D4676" s="2" t="s">
        <v>17</v>
      </c>
      <c r="E4676" s="5">
        <v>-28178</v>
      </c>
      <c r="F4676" s="3" t="s">
        <v>318</v>
      </c>
      <c r="G4676" s="3" t="s">
        <v>63</v>
      </c>
      <c r="H4676" s="2" t="s">
        <v>20</v>
      </c>
      <c r="I4676" s="2" t="s">
        <v>9482</v>
      </c>
      <c r="J4676" s="3" t="str">
        <f>HYPERLINK("https://www.boe.es/gazeta/dias/1822/11/06/pdfs/GMD-1822-326.pdf#page=6","Abrir facsímil")</f>
        <v>Abrir facsímil</v>
      </c>
      <c r="K4676" s="3" t="s">
        <v>22</v>
      </c>
    </row>
    <row r="4677" spans="1:11" ht="42" customHeight="1">
      <c r="A4677" s="2" t="s">
        <v>9483</v>
      </c>
      <c r="B4677" s="2" t="s">
        <v>9484</v>
      </c>
      <c r="C4677" s="2" t="s">
        <v>50</v>
      </c>
      <c r="D4677" s="2" t="s">
        <v>51</v>
      </c>
      <c r="E4677" s="5">
        <v>-28477</v>
      </c>
      <c r="F4677" s="3" t="s">
        <v>1668</v>
      </c>
      <c r="G4677" s="3" t="s">
        <v>63</v>
      </c>
      <c r="H4677" s="2" t="s">
        <v>20</v>
      </c>
      <c r="I4677" s="2" t="s">
        <v>9485</v>
      </c>
      <c r="J4677" s="3" t="str">
        <f>HYPERLINK("https://www.boe.es/gazeta/dias/1822/01/11/pdfs/GMD-1822-11.pdf#page=6","Abrir facsímil")</f>
        <v>Abrir facsímil</v>
      </c>
      <c r="K4677" s="3" t="s">
        <v>22</v>
      </c>
    </row>
    <row r="4678" spans="1:11" ht="42" customHeight="1">
      <c r="A4678" s="2" t="s">
        <v>9486</v>
      </c>
      <c r="B4678" s="2" t="s">
        <v>9486</v>
      </c>
      <c r="C4678" s="2" t="s">
        <v>42</v>
      </c>
      <c r="D4678" s="2" t="s">
        <v>17</v>
      </c>
      <c r="E4678" s="5">
        <v>-28351</v>
      </c>
      <c r="F4678" s="3" t="s">
        <v>282</v>
      </c>
      <c r="G4678" s="3" t="s">
        <v>57</v>
      </c>
      <c r="H4678" s="2" t="s">
        <v>20</v>
      </c>
      <c r="I4678" s="2" t="s">
        <v>9487</v>
      </c>
      <c r="J4678" s="3" t="str">
        <f>HYPERLINK("https://www.boe.es/gazeta/dias/1822/05/17/pdfs/GMD-1822-139.pdf#page=4","Abrir facsímil")</f>
        <v>Abrir facsímil</v>
      </c>
      <c r="K4678" s="3" t="s">
        <v>22</v>
      </c>
    </row>
    <row r="4679" spans="1:11" ht="42" customHeight="1">
      <c r="A4679" s="2" t="s">
        <v>9488</v>
      </c>
      <c r="B4679" s="2" t="s">
        <v>9488</v>
      </c>
      <c r="C4679" s="2" t="s">
        <v>50</v>
      </c>
      <c r="D4679" s="2" t="s">
        <v>51</v>
      </c>
      <c r="E4679" s="5">
        <v>-28339</v>
      </c>
      <c r="F4679" s="3" t="s">
        <v>197</v>
      </c>
      <c r="G4679" s="3" t="s">
        <v>63</v>
      </c>
      <c r="H4679" s="2" t="s">
        <v>20</v>
      </c>
      <c r="I4679" s="2" t="s">
        <v>9489</v>
      </c>
      <c r="J4679" s="3" t="str">
        <f>HYPERLINK("https://www.boe.es/gazeta/dias/1822/05/29/pdfs/GMD-1822-154.pdf#page=6","Abrir facsímil")</f>
        <v>Abrir facsímil</v>
      </c>
      <c r="K4679" s="3" t="s">
        <v>22</v>
      </c>
    </row>
    <row r="4680" spans="1:11" ht="42" customHeight="1">
      <c r="A4680" s="2" t="s">
        <v>9490</v>
      </c>
      <c r="B4680" s="2" t="s">
        <v>9491</v>
      </c>
      <c r="C4680" s="2" t="s">
        <v>362</v>
      </c>
      <c r="D4680" s="2" t="s">
        <v>17</v>
      </c>
      <c r="E4680" s="5">
        <v>-28295</v>
      </c>
      <c r="F4680" s="3" t="s">
        <v>81</v>
      </c>
      <c r="G4680" s="3" t="s">
        <v>57</v>
      </c>
      <c r="H4680" s="2" t="s">
        <v>20</v>
      </c>
      <c r="I4680" s="2" t="s">
        <v>9492</v>
      </c>
      <c r="J4680" s="3" t="str">
        <f>HYPERLINK("https://www.boe.es/gazeta/dias/1822/07/12/pdfs/GMD-1822-202.pdf#page=4","Abrir facsímil")</f>
        <v>Abrir facsímil</v>
      </c>
      <c r="K4680" s="3" t="s">
        <v>22</v>
      </c>
    </row>
    <row r="4681" spans="1:11" ht="42" customHeight="1">
      <c r="A4681" s="2" t="s">
        <v>9493</v>
      </c>
      <c r="B4681" s="2" t="s">
        <v>9493</v>
      </c>
      <c r="C4681" s="2" t="s">
        <v>50</v>
      </c>
      <c r="D4681" s="2" t="s">
        <v>51</v>
      </c>
      <c r="E4681" s="5">
        <v>-28419</v>
      </c>
      <c r="F4681" s="3" t="s">
        <v>1392</v>
      </c>
      <c r="G4681" s="3" t="s">
        <v>57</v>
      </c>
      <c r="H4681" s="2" t="s">
        <v>20</v>
      </c>
      <c r="I4681" s="2" t="s">
        <v>9494</v>
      </c>
      <c r="J4681" s="3" t="str">
        <f>HYPERLINK("https://www.boe.es/gazeta/dias/1822/03/10/pdfs/GMD-1822-71.pdf#page=4","Abrir facsímil")</f>
        <v>Abrir facsímil</v>
      </c>
      <c r="K4681" s="3" t="s">
        <v>22</v>
      </c>
    </row>
    <row r="4682" spans="1:11" ht="42" customHeight="1">
      <c r="A4682" s="2" t="s">
        <v>9495</v>
      </c>
      <c r="B4682" s="2" t="s">
        <v>9496</v>
      </c>
      <c r="C4682" s="2" t="s">
        <v>42</v>
      </c>
      <c r="D4682" s="2" t="s">
        <v>17</v>
      </c>
      <c r="E4682" s="5">
        <v>-28211</v>
      </c>
      <c r="F4682" s="3" t="s">
        <v>273</v>
      </c>
      <c r="G4682" s="3" t="s">
        <v>31</v>
      </c>
      <c r="H4682" s="2" t="s">
        <v>20</v>
      </c>
      <c r="I4682" s="2" t="s">
        <v>9497</v>
      </c>
      <c r="J4682" s="3" t="str">
        <f>HYPERLINK("https://www.boe.es/gazeta/dias/1822/10/04/pdfs/GMD-1822-290.pdf#page=3","Abrir facsímil")</f>
        <v>Abrir facsímil</v>
      </c>
      <c r="K4682" s="3" t="s">
        <v>22</v>
      </c>
    </row>
    <row r="4683" spans="1:11" ht="42" customHeight="1">
      <c r="A4683" s="2" t="s">
        <v>9498</v>
      </c>
      <c r="B4683" s="2" t="s">
        <v>9498</v>
      </c>
      <c r="C4683" s="2" t="s">
        <v>50</v>
      </c>
      <c r="D4683" s="2" t="s">
        <v>51</v>
      </c>
      <c r="E4683" s="5">
        <v>-28339</v>
      </c>
      <c r="F4683" s="3" t="s">
        <v>197</v>
      </c>
      <c r="G4683" s="3" t="s">
        <v>63</v>
      </c>
      <c r="H4683" s="2" t="s">
        <v>20</v>
      </c>
      <c r="I4683" s="2" t="s">
        <v>9499</v>
      </c>
      <c r="J4683" s="3" t="str">
        <f>HYPERLINK("https://www.boe.es/gazeta/dias/1822/05/29/pdfs/GMD-1822-154.pdf#page=6","Abrir facsímil")</f>
        <v>Abrir facsímil</v>
      </c>
      <c r="K4683" s="3" t="s">
        <v>22</v>
      </c>
    </row>
    <row r="4684" spans="1:11" ht="42" customHeight="1">
      <c r="A4684" s="2" t="s">
        <v>9500</v>
      </c>
      <c r="B4684" s="2" t="s">
        <v>9500</v>
      </c>
      <c r="C4684" s="2" t="s">
        <v>50</v>
      </c>
      <c r="D4684" s="2" t="s">
        <v>51</v>
      </c>
      <c r="E4684" s="5">
        <v>-28229</v>
      </c>
      <c r="F4684" s="3" t="s">
        <v>2310</v>
      </c>
      <c r="G4684" s="3" t="s">
        <v>57</v>
      </c>
      <c r="H4684" s="2" t="s">
        <v>20</v>
      </c>
      <c r="I4684" s="2" t="s">
        <v>9501</v>
      </c>
      <c r="J4684" s="3" t="str">
        <f>HYPERLINK("https://www.boe.es/gazeta/dias/1822/09/16/pdfs/GMD-1822-272.pdf#page=4","Abrir facsímil")</f>
        <v>Abrir facsímil</v>
      </c>
      <c r="K4684" s="3" t="s">
        <v>22</v>
      </c>
    </row>
    <row r="4685" spans="1:11" ht="42" customHeight="1">
      <c r="A4685" s="2" t="s">
        <v>9502</v>
      </c>
      <c r="B4685" s="2" t="s">
        <v>9502</v>
      </c>
      <c r="C4685" s="2" t="s">
        <v>42</v>
      </c>
      <c r="D4685" s="2" t="s">
        <v>17</v>
      </c>
      <c r="E4685" s="5">
        <v>-28232</v>
      </c>
      <c r="F4685" s="3" t="s">
        <v>3875</v>
      </c>
      <c r="G4685" s="3" t="s">
        <v>57</v>
      </c>
      <c r="H4685" s="2" t="s">
        <v>20</v>
      </c>
      <c r="I4685" s="2" t="s">
        <v>9503</v>
      </c>
      <c r="J4685" s="3" t="str">
        <f>HYPERLINK("https://www.boe.es/gazeta/dias/1822/09/13/pdfs/GMD-1822-269.pdf#page=4","Abrir facsímil")</f>
        <v>Abrir facsímil</v>
      </c>
      <c r="K4685" s="3" t="s">
        <v>22</v>
      </c>
    </row>
    <row r="4686" spans="1:11" ht="42" customHeight="1">
      <c r="A4686" s="2" t="s">
        <v>9502</v>
      </c>
      <c r="B4686" s="2" t="s">
        <v>9502</v>
      </c>
      <c r="C4686" s="2" t="s">
        <v>28</v>
      </c>
      <c r="D4686" s="2" t="s">
        <v>29</v>
      </c>
      <c r="E4686" s="5">
        <v>-28198</v>
      </c>
      <c r="F4686" s="3" t="s">
        <v>981</v>
      </c>
      <c r="G4686" s="3" t="s">
        <v>57</v>
      </c>
      <c r="H4686" s="2" t="s">
        <v>20</v>
      </c>
      <c r="I4686" s="2" t="s">
        <v>9504</v>
      </c>
      <c r="J4686" s="3" t="str">
        <f>HYPERLINK("https://www.boe.es/gazeta/dias/1822/10/17/pdfs/GMD-1822-304.pdf#page=4","Abrir facsímil")</f>
        <v>Abrir facsímil</v>
      </c>
      <c r="K4686" s="3" t="s">
        <v>22</v>
      </c>
    </row>
    <row r="4687" spans="1:11" ht="42" customHeight="1">
      <c r="A4687" s="2" t="s">
        <v>9505</v>
      </c>
      <c r="B4687" s="2" t="s">
        <v>9506</v>
      </c>
      <c r="C4687" s="2" t="s">
        <v>42</v>
      </c>
      <c r="D4687" s="2" t="s">
        <v>17</v>
      </c>
      <c r="E4687" s="5">
        <v>-28288</v>
      </c>
      <c r="F4687" s="3" t="s">
        <v>970</v>
      </c>
      <c r="G4687" s="3" t="s">
        <v>31</v>
      </c>
      <c r="H4687" s="2" t="s">
        <v>20</v>
      </c>
      <c r="I4687" s="2" t="s">
        <v>9507</v>
      </c>
      <c r="J4687" s="3" t="str">
        <f>HYPERLINK("https://www.boe.es/gazeta/dias/1822/07/19/pdfs/GMD-1822-211.pdf#page=3","Abrir facsímil")</f>
        <v>Abrir facsímil</v>
      </c>
      <c r="K4687" s="3" t="s">
        <v>22</v>
      </c>
    </row>
    <row r="4688" spans="1:11" ht="42" customHeight="1">
      <c r="A4688" s="2" t="s">
        <v>9508</v>
      </c>
      <c r="B4688" s="2" t="s">
        <v>9508</v>
      </c>
      <c r="C4688" s="2" t="s">
        <v>28</v>
      </c>
      <c r="D4688" s="2" t="s">
        <v>29</v>
      </c>
      <c r="E4688" s="5">
        <v>-28421</v>
      </c>
      <c r="F4688" s="3" t="s">
        <v>446</v>
      </c>
      <c r="G4688" s="3" t="s">
        <v>19</v>
      </c>
      <c r="H4688" s="2" t="s">
        <v>20</v>
      </c>
      <c r="I4688" s="2" t="s">
        <v>9509</v>
      </c>
      <c r="J4688" s="3" t="str">
        <f>HYPERLINK("https://www.boe.es/gazeta/dias/1822/03/08/pdfs/GMD-1822-69.pdf#page=5","Abrir facsímil")</f>
        <v>Abrir facsímil</v>
      </c>
      <c r="K4688" s="3" t="s">
        <v>22</v>
      </c>
    </row>
    <row r="4689" spans="1:11" ht="42" customHeight="1">
      <c r="A4689" s="2" t="s">
        <v>9510</v>
      </c>
      <c r="B4689" s="2" t="s">
        <v>9510</v>
      </c>
      <c r="C4689" s="2" t="s">
        <v>50</v>
      </c>
      <c r="D4689" s="2" t="s">
        <v>51</v>
      </c>
      <c r="E4689" s="5">
        <v>-28168</v>
      </c>
      <c r="F4689" s="3" t="s">
        <v>3672</v>
      </c>
      <c r="G4689" s="3" t="s">
        <v>31</v>
      </c>
      <c r="H4689" s="2" t="s">
        <v>20</v>
      </c>
      <c r="I4689" s="2" t="s">
        <v>9511</v>
      </c>
      <c r="J4689" s="3" t="str">
        <f>HYPERLINK("https://www.boe.es/gazeta/dias/1822/11/16/pdfs/GMD-1822-336.pdf#page=3","Abrir facsímil")</f>
        <v>Abrir facsímil</v>
      </c>
      <c r="K4689" s="3" t="s">
        <v>22</v>
      </c>
    </row>
    <row r="4690" spans="1:11" ht="42" customHeight="1">
      <c r="A4690" s="2" t="s">
        <v>9512</v>
      </c>
      <c r="B4690" s="2" t="s">
        <v>9513</v>
      </c>
      <c r="C4690" s="2" t="s">
        <v>24</v>
      </c>
      <c r="D4690" s="2" t="s">
        <v>17</v>
      </c>
      <c r="E4690" s="5">
        <v>-28438</v>
      </c>
      <c r="F4690" s="3" t="s">
        <v>963</v>
      </c>
      <c r="G4690" s="3" t="s">
        <v>57</v>
      </c>
      <c r="H4690" s="2" t="s">
        <v>45</v>
      </c>
      <c r="I4690" s="2" t="s">
        <v>9514</v>
      </c>
      <c r="J4690" s="3" t="str">
        <f>HYPERLINK("https://www.boe.es/gazeta/dias/1822/02/19/pdfs/GMD-1822-51.pdf#page=4","Abrir facsímil")</f>
        <v>Abrir facsímil</v>
      </c>
      <c r="K4690" s="3" t="s">
        <v>47</v>
      </c>
    </row>
    <row r="4691" spans="1:11" ht="42" customHeight="1">
      <c r="A4691" s="2" t="s">
        <v>9515</v>
      </c>
      <c r="B4691" s="2" t="s">
        <v>9515</v>
      </c>
      <c r="C4691" s="2" t="s">
        <v>50</v>
      </c>
      <c r="D4691" s="2" t="s">
        <v>51</v>
      </c>
      <c r="E4691" s="5">
        <v>-28388</v>
      </c>
      <c r="F4691" s="3" t="s">
        <v>1268</v>
      </c>
      <c r="G4691" s="3" t="s">
        <v>44</v>
      </c>
      <c r="H4691" s="2" t="s">
        <v>20</v>
      </c>
      <c r="I4691" s="2" t="s">
        <v>9516</v>
      </c>
      <c r="J4691" s="3" t="str">
        <f>HYPERLINK("https://www.boe.es/gazeta/dias/1822/04/10/pdfs/GMD-1822-102.pdf#page=1","Abrir facsímil")</f>
        <v>Abrir facsímil</v>
      </c>
      <c r="K4691" s="3" t="s">
        <v>22</v>
      </c>
    </row>
    <row r="4692" spans="1:11" ht="42" customHeight="1">
      <c r="A4692" s="2" t="s">
        <v>9517</v>
      </c>
      <c r="B4692" s="2" t="s">
        <v>9517</v>
      </c>
      <c r="C4692" s="2" t="s">
        <v>42</v>
      </c>
      <c r="D4692" s="2" t="s">
        <v>17</v>
      </c>
      <c r="E4692" s="5">
        <v>-28407</v>
      </c>
      <c r="F4692" s="3" t="s">
        <v>460</v>
      </c>
      <c r="G4692" s="3" t="s">
        <v>63</v>
      </c>
      <c r="H4692" s="2" t="s">
        <v>20</v>
      </c>
      <c r="I4692" s="2" t="s">
        <v>9518</v>
      </c>
      <c r="J4692" s="3" t="str">
        <f>HYPERLINK("https://www.boe.es/gazeta/dias/1822/03/22/pdfs/GMD-1822-83.pdf#page=6","Abrir facsímil")</f>
        <v>Abrir facsímil</v>
      </c>
      <c r="K4692" s="3" t="s">
        <v>22</v>
      </c>
    </row>
    <row r="4693" spans="1:11" ht="42" customHeight="1">
      <c r="A4693" s="2" t="s">
        <v>9519</v>
      </c>
      <c r="B4693" s="2" t="s">
        <v>9519</v>
      </c>
      <c r="C4693" s="2" t="s">
        <v>28</v>
      </c>
      <c r="D4693" s="2" t="s">
        <v>29</v>
      </c>
      <c r="E4693" s="5">
        <v>-28407</v>
      </c>
      <c r="F4693" s="3" t="s">
        <v>460</v>
      </c>
      <c r="G4693" s="3" t="s">
        <v>63</v>
      </c>
      <c r="H4693" s="2" t="s">
        <v>20</v>
      </c>
      <c r="I4693" s="2" t="s">
        <v>9520</v>
      </c>
      <c r="J4693" s="3" t="str">
        <f>HYPERLINK("https://www.boe.es/gazeta/dias/1822/03/22/pdfs/GMD-1822-83.pdf#page=6","Abrir facsímil")</f>
        <v>Abrir facsímil</v>
      </c>
      <c r="K4693" s="3" t="s">
        <v>22</v>
      </c>
    </row>
    <row r="4694" spans="1:11" ht="42" customHeight="1">
      <c r="A4694" s="2" t="s">
        <v>9521</v>
      </c>
      <c r="B4694" s="2" t="s">
        <v>9521</v>
      </c>
      <c r="C4694" s="2" t="s">
        <v>50</v>
      </c>
      <c r="D4694" s="2" t="s">
        <v>51</v>
      </c>
      <c r="E4694" s="5">
        <v>-28253</v>
      </c>
      <c r="F4694" s="3" t="s">
        <v>413</v>
      </c>
      <c r="G4694" s="3" t="s">
        <v>31</v>
      </c>
      <c r="H4694" s="2" t="s">
        <v>20</v>
      </c>
      <c r="I4694" s="2" t="s">
        <v>9522</v>
      </c>
      <c r="J4694" s="3" t="str">
        <f>HYPERLINK("https://www.boe.es/gazeta/dias/1822/08/23/pdfs/GMD-1822-247.pdf#page=3","Abrir facsímil")</f>
        <v>Abrir facsímil</v>
      </c>
      <c r="K4694" s="3" t="s">
        <v>22</v>
      </c>
    </row>
    <row r="4695" spans="1:11" ht="42" customHeight="1">
      <c r="A4695" s="2" t="s">
        <v>9523</v>
      </c>
      <c r="B4695" s="2" t="s">
        <v>9523</v>
      </c>
      <c r="C4695" s="2" t="s">
        <v>50</v>
      </c>
      <c r="D4695" s="2" t="s">
        <v>51</v>
      </c>
      <c r="E4695" s="5">
        <v>-28383</v>
      </c>
      <c r="F4695" s="3" t="s">
        <v>488</v>
      </c>
      <c r="G4695" s="3" t="s">
        <v>35</v>
      </c>
      <c r="H4695" s="2" t="s">
        <v>20</v>
      </c>
      <c r="I4695" s="2" t="s">
        <v>9524</v>
      </c>
      <c r="J4695" s="3" t="str">
        <f>HYPERLINK("https://www.boe.es/gazeta/dias/1822/04/15/pdfs/GMD-1822-107.pdf#page=2","Abrir facsímil")</f>
        <v>Abrir facsímil</v>
      </c>
      <c r="K4695" s="3" t="s">
        <v>22</v>
      </c>
    </row>
    <row r="4696" spans="1:11" ht="42" customHeight="1">
      <c r="A4696" s="2" t="s">
        <v>9523</v>
      </c>
      <c r="B4696" s="2" t="s">
        <v>9523</v>
      </c>
      <c r="C4696" s="2" t="s">
        <v>50</v>
      </c>
      <c r="D4696" s="2" t="s">
        <v>51</v>
      </c>
      <c r="E4696" s="5">
        <v>-28383</v>
      </c>
      <c r="F4696" s="3" t="s">
        <v>488</v>
      </c>
      <c r="G4696" s="3" t="s">
        <v>31</v>
      </c>
      <c r="H4696" s="2" t="s">
        <v>20</v>
      </c>
      <c r="I4696" s="2" t="s">
        <v>9525</v>
      </c>
      <c r="J4696" s="3" t="str">
        <f>HYPERLINK("https://www.boe.es/gazeta/dias/1822/04/15/pdfs/GMD-1822-107.pdf#page=3","Abrir facsímil")</f>
        <v>Abrir facsímil</v>
      </c>
      <c r="K4696" s="3" t="s">
        <v>22</v>
      </c>
    </row>
    <row r="4697" spans="1:11" ht="42" customHeight="1">
      <c r="A4697" s="2" t="s">
        <v>9523</v>
      </c>
      <c r="B4697" s="2" t="s">
        <v>9523</v>
      </c>
      <c r="C4697" s="2" t="s">
        <v>50</v>
      </c>
      <c r="D4697" s="2" t="s">
        <v>51</v>
      </c>
      <c r="E4697" s="5">
        <v>-28279</v>
      </c>
      <c r="F4697" s="3" t="s">
        <v>662</v>
      </c>
      <c r="G4697" s="3" t="s">
        <v>35</v>
      </c>
      <c r="H4697" s="2" t="s">
        <v>20</v>
      </c>
      <c r="I4697" s="2" t="s">
        <v>9526</v>
      </c>
      <c r="J4697" s="3" t="str">
        <f>HYPERLINK("https://www.boe.es/gazeta/dias/1822/07/28/pdfs/GMD-1822-221.pdf#page=2","Abrir facsímil")</f>
        <v>Abrir facsímil</v>
      </c>
      <c r="K4697" s="3" t="s">
        <v>22</v>
      </c>
    </row>
    <row r="4698" spans="1:11" ht="42" customHeight="1">
      <c r="A4698" s="2" t="s">
        <v>9527</v>
      </c>
      <c r="B4698" s="2" t="s">
        <v>9528</v>
      </c>
      <c r="C4698" s="2" t="s">
        <v>50</v>
      </c>
      <c r="D4698" s="2" t="s">
        <v>51</v>
      </c>
      <c r="E4698" s="5">
        <v>-28214</v>
      </c>
      <c r="F4698" s="3" t="s">
        <v>814</v>
      </c>
      <c r="G4698" s="3" t="s">
        <v>35</v>
      </c>
      <c r="H4698" s="2" t="s">
        <v>20</v>
      </c>
      <c r="I4698" s="2" t="s">
        <v>9529</v>
      </c>
      <c r="J4698" s="3" t="str">
        <f>HYPERLINK("https://www.boe.es/gazeta/dias/1822/10/01/pdfs/GMD-1822-287.pdf#page=2","Abrir facsímil")</f>
        <v>Abrir facsímil</v>
      </c>
      <c r="K4698" s="3" t="s">
        <v>22</v>
      </c>
    </row>
    <row r="4699" spans="1:11" ht="42" customHeight="1">
      <c r="A4699" s="2" t="s">
        <v>9530</v>
      </c>
      <c r="B4699" s="2" t="s">
        <v>9530</v>
      </c>
      <c r="C4699" s="2" t="s">
        <v>71</v>
      </c>
      <c r="D4699" s="2" t="s">
        <v>17</v>
      </c>
      <c r="E4699" s="5">
        <v>-28250</v>
      </c>
      <c r="F4699" s="3" t="s">
        <v>1174</v>
      </c>
      <c r="G4699" s="3" t="s">
        <v>31</v>
      </c>
      <c r="H4699" s="2" t="s">
        <v>20</v>
      </c>
      <c r="I4699" s="2" t="s">
        <v>9531</v>
      </c>
      <c r="J4699" s="3" t="str">
        <f>HYPERLINK("https://www.boe.es/gazeta/dias/1822/08/26/pdfs/GMD-1822-250.pdf#page=3","Abrir facsímil")</f>
        <v>Abrir facsímil</v>
      </c>
      <c r="K4699" s="3" t="s">
        <v>22</v>
      </c>
    </row>
    <row r="4700" spans="1:11" ht="42" customHeight="1">
      <c r="A4700" s="2" t="s">
        <v>9532</v>
      </c>
      <c r="B4700" s="2" t="s">
        <v>9533</v>
      </c>
      <c r="C4700" s="2" t="s">
        <v>16</v>
      </c>
      <c r="D4700" s="2" t="s">
        <v>17</v>
      </c>
      <c r="E4700" s="5">
        <v>-28404</v>
      </c>
      <c r="F4700" s="3" t="s">
        <v>421</v>
      </c>
      <c r="G4700" s="3" t="s">
        <v>31</v>
      </c>
      <c r="H4700" s="2" t="s">
        <v>20</v>
      </c>
      <c r="I4700" s="2" t="s">
        <v>9534</v>
      </c>
      <c r="J4700" s="3" t="str">
        <f>HYPERLINK("https://www.boe.es/gazeta/dias/1822/03/25/pdfs/GMD-1822-86.pdf#page=3","Abrir facsímil")</f>
        <v>Abrir facsímil</v>
      </c>
      <c r="K4700" s="3" t="s">
        <v>22</v>
      </c>
    </row>
    <row r="4701" spans="1:11" ht="42" customHeight="1">
      <c r="A4701" s="2" t="s">
        <v>9535</v>
      </c>
      <c r="B4701" s="2" t="s">
        <v>9535</v>
      </c>
      <c r="C4701" s="2" t="s">
        <v>42</v>
      </c>
      <c r="D4701" s="2" t="s">
        <v>17</v>
      </c>
      <c r="E4701" s="5">
        <v>-28436</v>
      </c>
      <c r="F4701" s="3" t="s">
        <v>431</v>
      </c>
      <c r="G4701" s="3" t="s">
        <v>1428</v>
      </c>
      <c r="H4701" s="2" t="s">
        <v>20</v>
      </c>
      <c r="I4701" s="2" t="s">
        <v>9536</v>
      </c>
      <c r="J4701" s="3" t="str">
        <f>HYPERLINK("https://www.boe.es/gazeta/dias/1822/02/21/pdfs/GMD-1822-53.pdf#page=3","Abrir facsímil")</f>
        <v>Abrir facsímil</v>
      </c>
      <c r="K4701" s="3" t="s">
        <v>22</v>
      </c>
    </row>
    <row r="4702" spans="1:11" ht="42" customHeight="1">
      <c r="A4702" s="2" t="s">
        <v>9537</v>
      </c>
      <c r="B4702" s="2" t="s">
        <v>9537</v>
      </c>
      <c r="C4702" s="2" t="s">
        <v>71</v>
      </c>
      <c r="D4702" s="2" t="s">
        <v>17</v>
      </c>
      <c r="E4702" s="5">
        <v>-28486</v>
      </c>
      <c r="F4702" s="3" t="s">
        <v>1046</v>
      </c>
      <c r="G4702" s="3" t="s">
        <v>1085</v>
      </c>
      <c r="H4702" s="2" t="s">
        <v>20</v>
      </c>
      <c r="I4702" s="2" t="s">
        <v>9538</v>
      </c>
      <c r="J4702" s="3" t="str">
        <f>HYPERLINK("https://www.boe.es/gazeta/dias/1822/01/02/pdfs/GMD-1822-2.pdf#page=3","Abrir facsímil")</f>
        <v>Abrir facsímil</v>
      </c>
      <c r="K4702" s="3" t="s">
        <v>22</v>
      </c>
    </row>
    <row r="4703" spans="1:11" ht="42" customHeight="1">
      <c r="A4703" s="2" t="s">
        <v>9537</v>
      </c>
      <c r="B4703" s="2" t="s">
        <v>9537</v>
      </c>
      <c r="C4703" s="2" t="s">
        <v>71</v>
      </c>
      <c r="D4703" s="2" t="s">
        <v>17</v>
      </c>
      <c r="E4703" s="5">
        <v>-28481</v>
      </c>
      <c r="F4703" s="3" t="s">
        <v>1089</v>
      </c>
      <c r="G4703" s="3" t="s">
        <v>35</v>
      </c>
      <c r="H4703" s="2" t="s">
        <v>20</v>
      </c>
      <c r="I4703" s="2" t="s">
        <v>9539</v>
      </c>
      <c r="J4703" s="3" t="str">
        <f>HYPERLINK("https://www.boe.es/gazeta/dias/1822/01/07/pdfs/GMD-1822-7.pdf#page=2","Abrir facsímil")</f>
        <v>Abrir facsímil</v>
      </c>
      <c r="K4703" s="3" t="s">
        <v>22</v>
      </c>
    </row>
    <row r="4704" spans="1:11" ht="42" customHeight="1">
      <c r="A4704" s="2" t="s">
        <v>9537</v>
      </c>
      <c r="B4704" s="2" t="s">
        <v>9537</v>
      </c>
      <c r="C4704" s="2" t="s">
        <v>50</v>
      </c>
      <c r="D4704" s="2" t="s">
        <v>51</v>
      </c>
      <c r="E4704" s="5">
        <v>-28475</v>
      </c>
      <c r="F4704" s="3" t="s">
        <v>1205</v>
      </c>
      <c r="G4704" s="3" t="s">
        <v>1685</v>
      </c>
      <c r="H4704" s="2" t="s">
        <v>20</v>
      </c>
      <c r="I4704" s="2" t="s">
        <v>9540</v>
      </c>
      <c r="J4704" s="3" t="str">
        <f>HYPERLINK("https://www.boe.es/gazeta/dias/1822/01/13/pdfs/GMD-1822-13.pdf#page=4","Abrir facsímil")</f>
        <v>Abrir facsímil</v>
      </c>
      <c r="K4704" s="3" t="s">
        <v>22</v>
      </c>
    </row>
    <row r="4705" spans="1:11" ht="42" customHeight="1">
      <c r="A4705" s="2" t="s">
        <v>9537</v>
      </c>
      <c r="B4705" s="2" t="s">
        <v>9537</v>
      </c>
      <c r="C4705" s="2" t="s">
        <v>28</v>
      </c>
      <c r="D4705" s="2" t="s">
        <v>29</v>
      </c>
      <c r="E4705" s="5">
        <v>-28449</v>
      </c>
      <c r="F4705" s="3" t="s">
        <v>1342</v>
      </c>
      <c r="G4705" s="3" t="s">
        <v>31</v>
      </c>
      <c r="H4705" s="2" t="s">
        <v>20</v>
      </c>
      <c r="I4705" s="2" t="s">
        <v>9541</v>
      </c>
      <c r="J4705" s="3" t="str">
        <f>HYPERLINK("https://www.boe.es/gazeta/dias/1822/02/08/pdfs/GMD-1822-39.pdf#page=3","Abrir facsímil")</f>
        <v>Abrir facsímil</v>
      </c>
      <c r="K4705" s="3" t="s">
        <v>22</v>
      </c>
    </row>
    <row r="4706" spans="1:11" ht="42" customHeight="1">
      <c r="A4706" s="2" t="s">
        <v>9537</v>
      </c>
      <c r="B4706" s="2" t="s">
        <v>9537</v>
      </c>
      <c r="C4706" s="2" t="s">
        <v>50</v>
      </c>
      <c r="D4706" s="2" t="s">
        <v>51</v>
      </c>
      <c r="E4706" s="5">
        <v>-28447</v>
      </c>
      <c r="F4706" s="3" t="s">
        <v>997</v>
      </c>
      <c r="G4706" s="3" t="s">
        <v>35</v>
      </c>
      <c r="H4706" s="2" t="s">
        <v>20</v>
      </c>
      <c r="I4706" s="2" t="s">
        <v>9542</v>
      </c>
      <c r="J4706" s="3" t="str">
        <f>HYPERLINK("https://www.boe.es/gazeta/dias/1822/02/10/pdfs/GMD-1822-41.pdf#page=2","Abrir facsímil")</f>
        <v>Abrir facsímil</v>
      </c>
      <c r="K4706" s="3" t="s">
        <v>22</v>
      </c>
    </row>
    <row r="4707" spans="1:11" ht="42" customHeight="1">
      <c r="A4707" s="2" t="s">
        <v>9537</v>
      </c>
      <c r="B4707" s="2" t="s">
        <v>9537</v>
      </c>
      <c r="C4707" s="2" t="s">
        <v>28</v>
      </c>
      <c r="D4707" s="2" t="s">
        <v>29</v>
      </c>
      <c r="E4707" s="5">
        <v>-28446</v>
      </c>
      <c r="F4707" s="3" t="s">
        <v>773</v>
      </c>
      <c r="G4707" s="3" t="s">
        <v>19</v>
      </c>
      <c r="H4707" s="2" t="s">
        <v>20</v>
      </c>
      <c r="I4707" s="2" t="s">
        <v>9543</v>
      </c>
      <c r="J4707" s="3" t="str">
        <f>HYPERLINK("https://www.boe.es/gazeta/dias/1822/02/11/pdfs/GMD-1822-42.pdf#page=5","Abrir facsímil")</f>
        <v>Abrir facsímil</v>
      </c>
      <c r="K4707" s="3" t="s">
        <v>22</v>
      </c>
    </row>
    <row r="4708" spans="1:11" ht="42" customHeight="1">
      <c r="A4708" s="2" t="s">
        <v>9544</v>
      </c>
      <c r="B4708" s="2" t="s">
        <v>9545</v>
      </c>
      <c r="C4708" s="2" t="s">
        <v>42</v>
      </c>
      <c r="D4708" s="2" t="s">
        <v>17</v>
      </c>
      <c r="E4708" s="5">
        <v>-28240</v>
      </c>
      <c r="F4708" s="3" t="s">
        <v>678</v>
      </c>
      <c r="G4708" s="3" t="s">
        <v>57</v>
      </c>
      <c r="H4708" s="2" t="s">
        <v>20</v>
      </c>
      <c r="I4708" s="2" t="s">
        <v>9546</v>
      </c>
      <c r="J4708" s="3" t="str">
        <f>HYPERLINK("https://www.boe.es/gazeta/dias/1822/09/05/pdfs/GMD-1822-260.pdf#page=4","Abrir facsímil")</f>
        <v>Abrir facsímil</v>
      </c>
      <c r="K4708" s="3" t="s">
        <v>22</v>
      </c>
    </row>
    <row r="4709" spans="1:11" ht="42" customHeight="1">
      <c r="A4709" s="2" t="s">
        <v>9547</v>
      </c>
      <c r="B4709" s="2" t="s">
        <v>9548</v>
      </c>
      <c r="C4709" s="2" t="s">
        <v>42</v>
      </c>
      <c r="D4709" s="2" t="s">
        <v>17</v>
      </c>
      <c r="E4709" s="5">
        <v>-28160</v>
      </c>
      <c r="F4709" s="3" t="s">
        <v>148</v>
      </c>
      <c r="G4709" s="3" t="s">
        <v>19</v>
      </c>
      <c r="H4709" s="2" t="s">
        <v>20</v>
      </c>
      <c r="I4709" s="2" t="s">
        <v>9549</v>
      </c>
      <c r="J4709" s="3" t="str">
        <f>HYPERLINK("https://www.boe.es/gazeta/dias/1822/11/24/pdfs/GMD-1822-344.pdf#page=5","Abrir facsímil")</f>
        <v>Abrir facsímil</v>
      </c>
      <c r="K4709" s="3" t="s">
        <v>22</v>
      </c>
    </row>
    <row r="4710" spans="1:11" ht="42" customHeight="1">
      <c r="A4710" s="2" t="s">
        <v>9550</v>
      </c>
      <c r="B4710" s="2" t="s">
        <v>9550</v>
      </c>
      <c r="C4710" s="2" t="s">
        <v>42</v>
      </c>
      <c r="D4710" s="2" t="s">
        <v>17</v>
      </c>
      <c r="E4710" s="5">
        <v>-28334</v>
      </c>
      <c r="F4710" s="3" t="s">
        <v>532</v>
      </c>
      <c r="G4710" s="3" t="s">
        <v>167</v>
      </c>
      <c r="H4710" s="2" t="s">
        <v>20</v>
      </c>
      <c r="I4710" s="2" t="s">
        <v>9551</v>
      </c>
      <c r="J4710" s="3" t="str">
        <f>HYPERLINK("https://www.boe.es/gazeta/dias/1822/06/03/pdfs/GMD-1822-159.pdf#page=7","Abrir facsímil")</f>
        <v>Abrir facsímil</v>
      </c>
      <c r="K4710" s="3" t="s">
        <v>22</v>
      </c>
    </row>
    <row r="4711" spans="1:11" ht="42" customHeight="1">
      <c r="A4711" s="2" t="s">
        <v>9552</v>
      </c>
      <c r="B4711" s="2" t="s">
        <v>9552</v>
      </c>
      <c r="C4711" s="2" t="s">
        <v>42</v>
      </c>
      <c r="D4711" s="2" t="s">
        <v>17</v>
      </c>
      <c r="E4711" s="5">
        <v>-28192</v>
      </c>
      <c r="F4711" s="3" t="s">
        <v>43</v>
      </c>
      <c r="G4711" s="3" t="s">
        <v>31</v>
      </c>
      <c r="H4711" s="2" t="s">
        <v>20</v>
      </c>
      <c r="I4711" s="2" t="s">
        <v>9553</v>
      </c>
      <c r="J4711" s="3" t="str">
        <f>HYPERLINK("https://www.boe.es/gazeta/dias/1822/10/23/pdfs/GMD-1822-310.pdf#page=3","Abrir facsímil")</f>
        <v>Abrir facsímil</v>
      </c>
      <c r="K4711" s="3" t="s">
        <v>22</v>
      </c>
    </row>
    <row r="4712" spans="1:11" ht="42" customHeight="1">
      <c r="A4712" s="2" t="s">
        <v>9554</v>
      </c>
      <c r="B4712" s="2" t="s">
        <v>9555</v>
      </c>
      <c r="C4712" s="2" t="s">
        <v>28</v>
      </c>
      <c r="D4712" s="2" t="s">
        <v>29</v>
      </c>
      <c r="E4712" s="5">
        <v>-28296</v>
      </c>
      <c r="F4712" s="3" t="s">
        <v>4121</v>
      </c>
      <c r="G4712" s="3" t="s">
        <v>35</v>
      </c>
      <c r="H4712" s="2" t="s">
        <v>20</v>
      </c>
      <c r="I4712" s="2" t="s">
        <v>9556</v>
      </c>
      <c r="J4712" s="3" t="str">
        <f>HYPERLINK("https://www.boe.es/gazeta/dias/1822/07/11/pdfs/GMD-1822-201.pdf#page=2","Abrir facsímil")</f>
        <v>Abrir facsímil</v>
      </c>
      <c r="K4712" s="3" t="s">
        <v>22</v>
      </c>
    </row>
    <row r="4713" spans="1:11" ht="42" customHeight="1">
      <c r="A4713" s="2" t="s">
        <v>9557</v>
      </c>
      <c r="B4713" s="2" t="s">
        <v>9557</v>
      </c>
      <c r="C4713" s="2" t="s">
        <v>24</v>
      </c>
      <c r="D4713" s="2" t="s">
        <v>17</v>
      </c>
      <c r="E4713" s="5">
        <v>-28152</v>
      </c>
      <c r="F4713" s="3" t="s">
        <v>122</v>
      </c>
      <c r="G4713" s="3" t="s">
        <v>8236</v>
      </c>
      <c r="H4713" s="2" t="s">
        <v>20</v>
      </c>
      <c r="I4713" s="2" t="s">
        <v>9558</v>
      </c>
      <c r="J4713" s="3" t="str">
        <f>HYPERLINK("https://www.boe.es/gazeta/dias/1822/12/02/pdfs/GMD-1822-352.pdf#page=6","Abrir facsímil")</f>
        <v>Abrir facsímil</v>
      </c>
      <c r="K4713" s="3" t="s">
        <v>22</v>
      </c>
    </row>
    <row r="4714" spans="1:11" ht="42" customHeight="1">
      <c r="A4714" s="2" t="s">
        <v>9559</v>
      </c>
      <c r="B4714" s="2" t="s">
        <v>9559</v>
      </c>
      <c r="C4714" s="2" t="s">
        <v>71</v>
      </c>
      <c r="D4714" s="2" t="s">
        <v>17</v>
      </c>
      <c r="E4714" s="5">
        <v>-28328</v>
      </c>
      <c r="F4714" s="3" t="s">
        <v>540</v>
      </c>
      <c r="G4714" s="3" t="s">
        <v>63</v>
      </c>
      <c r="H4714" s="2" t="s">
        <v>20</v>
      </c>
      <c r="I4714" s="2" t="s">
        <v>9560</v>
      </c>
      <c r="J4714" s="3" t="str">
        <f>HYPERLINK("https://www.boe.es/gazeta/dias/1822/06/09/pdfs/GMD-1822-166.pdf#page=6","Abrir facsímil")</f>
        <v>Abrir facsímil</v>
      </c>
      <c r="K4714" s="3" t="s">
        <v>22</v>
      </c>
    </row>
    <row r="4715" spans="1:11" ht="42" customHeight="1">
      <c r="A4715" s="2" t="s">
        <v>9561</v>
      </c>
      <c r="B4715" s="2" t="s">
        <v>9561</v>
      </c>
      <c r="C4715" s="2" t="s">
        <v>71</v>
      </c>
      <c r="D4715" s="2" t="s">
        <v>17</v>
      </c>
      <c r="E4715" s="5">
        <v>-28415</v>
      </c>
      <c r="F4715" s="3" t="s">
        <v>77</v>
      </c>
      <c r="G4715" s="3" t="s">
        <v>19</v>
      </c>
      <c r="H4715" s="2" t="s">
        <v>20</v>
      </c>
      <c r="I4715" s="2" t="s">
        <v>9562</v>
      </c>
      <c r="J4715" s="3" t="str">
        <f>HYPERLINK("https://www.boe.es/gazeta/dias/1822/03/14/pdfs/GMD-1822-75.pdf#page=5","Abrir facsímil")</f>
        <v>Abrir facsímil</v>
      </c>
      <c r="K4715" s="3" t="s">
        <v>22</v>
      </c>
    </row>
    <row r="4716" spans="1:11" ht="42" customHeight="1">
      <c r="A4716" s="2" t="s">
        <v>9563</v>
      </c>
      <c r="B4716" s="2" t="s">
        <v>9564</v>
      </c>
      <c r="C4716" s="2" t="s">
        <v>71</v>
      </c>
      <c r="D4716" s="2" t="s">
        <v>17</v>
      </c>
      <c r="E4716" s="5">
        <v>-28138</v>
      </c>
      <c r="F4716" s="3" t="s">
        <v>3542</v>
      </c>
      <c r="G4716" s="3" t="s">
        <v>57</v>
      </c>
      <c r="H4716" s="2" t="s">
        <v>45</v>
      </c>
      <c r="I4716" s="2" t="s">
        <v>9565</v>
      </c>
      <c r="J4716" s="3" t="str">
        <f>HYPERLINK("https://www.boe.es/gazeta/dias/1822/12/16/pdfs/GMD-1822-366.pdf#page=4","Abrir facsímil")</f>
        <v>Abrir facsímil</v>
      </c>
      <c r="K4716" s="3" t="s">
        <v>47</v>
      </c>
    </row>
    <row r="4717" spans="1:11" ht="42" customHeight="1">
      <c r="A4717" s="2" t="s">
        <v>9566</v>
      </c>
      <c r="B4717" s="2" t="s">
        <v>9567</v>
      </c>
      <c r="C4717" s="2" t="s">
        <v>50</v>
      </c>
      <c r="D4717" s="2" t="s">
        <v>51</v>
      </c>
      <c r="E4717" s="5">
        <v>-28276</v>
      </c>
      <c r="F4717" s="3" t="s">
        <v>4746</v>
      </c>
      <c r="G4717" s="3" t="s">
        <v>31</v>
      </c>
      <c r="H4717" s="2" t="s">
        <v>45</v>
      </c>
      <c r="I4717" s="2" t="s">
        <v>9568</v>
      </c>
      <c r="J4717" s="3" t="str">
        <f>HYPERLINK("https://www.boe.es/gazeta/dias/1822/07/31/pdfs/GMD-1822-224.pdf#page=3","Abrir facsímil")</f>
        <v>Abrir facsímil</v>
      </c>
      <c r="K4717" s="3" t="s">
        <v>47</v>
      </c>
    </row>
    <row r="4718" spans="1:11" ht="42" customHeight="1">
      <c r="A4718" s="2" t="s">
        <v>9569</v>
      </c>
      <c r="B4718" s="2" t="s">
        <v>9570</v>
      </c>
      <c r="C4718" s="2" t="s">
        <v>50</v>
      </c>
      <c r="D4718" s="2" t="s">
        <v>51</v>
      </c>
      <c r="E4718" s="5">
        <v>-28258</v>
      </c>
      <c r="F4718" s="3" t="s">
        <v>88</v>
      </c>
      <c r="G4718" s="3" t="s">
        <v>57</v>
      </c>
      <c r="H4718" s="2" t="s">
        <v>45</v>
      </c>
      <c r="I4718" s="2" t="s">
        <v>9571</v>
      </c>
      <c r="J4718" s="3" t="str">
        <f>HYPERLINK("https://www.boe.es/gazeta/dias/1822/08/18/pdfs/GMD-1822-242.pdf#page=4","Abrir facsímil")</f>
        <v>Abrir facsímil</v>
      </c>
      <c r="K4718" s="3" t="s">
        <v>47</v>
      </c>
    </row>
    <row r="4719" spans="1:11" ht="42" customHeight="1">
      <c r="A4719" s="2" t="s">
        <v>9569</v>
      </c>
      <c r="B4719" s="2" t="s">
        <v>9570</v>
      </c>
      <c r="C4719" s="2" t="s">
        <v>42</v>
      </c>
      <c r="D4719" s="2" t="s">
        <v>17</v>
      </c>
      <c r="E4719" s="5">
        <v>-28125</v>
      </c>
      <c r="F4719" s="3" t="s">
        <v>322</v>
      </c>
      <c r="G4719" s="3" t="s">
        <v>63</v>
      </c>
      <c r="H4719" s="2" t="s">
        <v>45</v>
      </c>
      <c r="I4719" s="2" t="s">
        <v>9572</v>
      </c>
      <c r="J4719" s="3" t="str">
        <f>HYPERLINK("https://www.boe.es/gazeta/dias/1822/12/29/pdfs/GMD-1822-379.pdf#page=6","Abrir facsímil")</f>
        <v>Abrir facsímil</v>
      </c>
      <c r="K4719" s="3" t="s">
        <v>47</v>
      </c>
    </row>
    <row r="4720" spans="1:11" ht="42" customHeight="1">
      <c r="A4720" s="2" t="s">
        <v>9573</v>
      </c>
      <c r="B4720" s="2" t="s">
        <v>9574</v>
      </c>
      <c r="C4720" s="2" t="s">
        <v>16</v>
      </c>
      <c r="D4720" s="2" t="s">
        <v>17</v>
      </c>
      <c r="E4720" s="5">
        <v>-28297</v>
      </c>
      <c r="F4720" s="3" t="s">
        <v>1972</v>
      </c>
      <c r="G4720" s="3" t="s">
        <v>31</v>
      </c>
      <c r="H4720" s="2" t="s">
        <v>45</v>
      </c>
      <c r="I4720" s="2" t="s">
        <v>9575</v>
      </c>
      <c r="J4720" s="3" t="str">
        <f>HYPERLINK("https://www.boe.es/gazeta/dias/1822/07/10/pdfs/GMD-1822-200.pdf#page=3","Abrir facsímil")</f>
        <v>Abrir facsímil</v>
      </c>
      <c r="K4720" s="3" t="s">
        <v>47</v>
      </c>
    </row>
    <row r="4721" spans="1:11" ht="42" customHeight="1">
      <c r="A4721" s="2" t="s">
        <v>9576</v>
      </c>
      <c r="B4721" s="2" t="s">
        <v>9577</v>
      </c>
      <c r="C4721" s="2" t="s">
        <v>50</v>
      </c>
      <c r="D4721" s="2" t="s">
        <v>51</v>
      </c>
      <c r="E4721" s="5">
        <v>-28387</v>
      </c>
      <c r="F4721" s="3" t="s">
        <v>2874</v>
      </c>
      <c r="G4721" s="3" t="s">
        <v>63</v>
      </c>
      <c r="H4721" s="2" t="s">
        <v>45</v>
      </c>
      <c r="I4721" s="2" t="s">
        <v>9578</v>
      </c>
      <c r="J4721" s="3" t="str">
        <f>HYPERLINK("https://www.boe.es/gazeta/dias/1822/04/11/pdfs/GMD-1822-103.pdf#page=6","Abrir facsímil")</f>
        <v>Abrir facsímil</v>
      </c>
      <c r="K4721" s="3" t="s">
        <v>47</v>
      </c>
    </row>
    <row r="4722" spans="1:11" ht="42" customHeight="1">
      <c r="A4722" s="2" t="s">
        <v>9579</v>
      </c>
      <c r="B4722" s="2" t="s">
        <v>9580</v>
      </c>
      <c r="C4722" s="2" t="s">
        <v>50</v>
      </c>
      <c r="D4722" s="2" t="s">
        <v>51</v>
      </c>
      <c r="E4722" s="5">
        <v>-28234</v>
      </c>
      <c r="F4722" s="3" t="s">
        <v>1331</v>
      </c>
      <c r="G4722" s="3" t="s">
        <v>35</v>
      </c>
      <c r="H4722" s="2" t="s">
        <v>45</v>
      </c>
      <c r="I4722" s="2" t="s">
        <v>9581</v>
      </c>
      <c r="J4722" s="3" t="str">
        <f>HYPERLINK("https://www.boe.es/gazeta/dias/1822/09/11/pdfs/GMD-1822-267.pdf#page=2","Abrir facsímil")</f>
        <v>Abrir facsímil</v>
      </c>
      <c r="K4722" s="3" t="s">
        <v>47</v>
      </c>
    </row>
    <row r="4723" spans="1:11" ht="42" customHeight="1">
      <c r="A4723" s="2" t="s">
        <v>9582</v>
      </c>
      <c r="B4723" s="2" t="s">
        <v>9583</v>
      </c>
      <c r="C4723" s="2" t="s">
        <v>42</v>
      </c>
      <c r="D4723" s="2" t="s">
        <v>17</v>
      </c>
      <c r="E4723" s="5">
        <v>-28153</v>
      </c>
      <c r="F4723" s="3" t="s">
        <v>946</v>
      </c>
      <c r="G4723" s="3" t="s">
        <v>19</v>
      </c>
      <c r="H4723" s="2" t="s">
        <v>45</v>
      </c>
      <c r="I4723" s="2" t="s">
        <v>9584</v>
      </c>
      <c r="J4723" s="3" t="str">
        <f>HYPERLINK("https://www.boe.es/gazeta/dias/1822/12/01/pdfs/GMD-1822-351.pdf#page=5","Abrir facsímil")</f>
        <v>Abrir facsímil</v>
      </c>
      <c r="K4723" s="3" t="s">
        <v>47</v>
      </c>
    </row>
    <row r="4724" spans="1:11" ht="42" customHeight="1">
      <c r="A4724" s="2" t="s">
        <v>9585</v>
      </c>
      <c r="B4724" s="2" t="s">
        <v>9586</v>
      </c>
      <c r="C4724" s="2" t="s">
        <v>50</v>
      </c>
      <c r="D4724" s="2" t="s">
        <v>51</v>
      </c>
      <c r="E4724" s="5">
        <v>-28367</v>
      </c>
      <c r="F4724" s="3" t="s">
        <v>280</v>
      </c>
      <c r="G4724" s="3" t="s">
        <v>63</v>
      </c>
      <c r="H4724" s="2" t="s">
        <v>45</v>
      </c>
      <c r="I4724" s="2" t="s">
        <v>9587</v>
      </c>
      <c r="J4724" s="3" t="str">
        <f>HYPERLINK("https://www.boe.es/gazeta/dias/1822/05/01/pdfs/GMD-1822-123.pdf#page=6","Abrir facsímil")</f>
        <v>Abrir facsímil</v>
      </c>
      <c r="K4724" s="3" t="s">
        <v>47</v>
      </c>
    </row>
    <row r="4725" spans="1:11" ht="42" customHeight="1">
      <c r="A4725" s="2" t="s">
        <v>9588</v>
      </c>
      <c r="B4725" s="2" t="s">
        <v>9588</v>
      </c>
      <c r="C4725" s="2" t="s">
        <v>71</v>
      </c>
      <c r="D4725" s="2" t="s">
        <v>17</v>
      </c>
      <c r="E4725" s="5">
        <v>-28342</v>
      </c>
      <c r="F4725" s="3" t="s">
        <v>2281</v>
      </c>
      <c r="G4725" s="3" t="s">
        <v>35</v>
      </c>
      <c r="H4725" s="2" t="s">
        <v>20</v>
      </c>
      <c r="I4725" s="2" t="s">
        <v>9589</v>
      </c>
      <c r="J4725" s="3" t="str">
        <f>HYPERLINK("https://www.boe.es/gazeta/dias/1822/05/26/pdfs/GMD-1822-151.pdf#page=2","Abrir facsímil")</f>
        <v>Abrir facsímil</v>
      </c>
      <c r="K4725" s="3" t="s">
        <v>22</v>
      </c>
    </row>
    <row r="4726" spans="1:11" ht="42" customHeight="1">
      <c r="A4726" s="2" t="s">
        <v>9590</v>
      </c>
      <c r="B4726" s="2" t="s">
        <v>9591</v>
      </c>
      <c r="C4726" s="2" t="s">
        <v>50</v>
      </c>
      <c r="D4726" s="2" t="s">
        <v>51</v>
      </c>
      <c r="E4726" s="5">
        <v>-28483</v>
      </c>
      <c r="F4726" s="3" t="s">
        <v>254</v>
      </c>
      <c r="G4726" s="3" t="s">
        <v>44</v>
      </c>
      <c r="H4726" s="2" t="s">
        <v>20</v>
      </c>
      <c r="I4726" s="2" t="s">
        <v>9592</v>
      </c>
      <c r="J4726" s="3" t="str">
        <f>HYPERLINK("https://www.boe.es/gazeta/dias/1822/01/05/pdfs/GMD-1822-5.pdf#page=1","Abrir facsímil")</f>
        <v>Abrir facsímil</v>
      </c>
      <c r="K4726" s="3" t="s">
        <v>22</v>
      </c>
    </row>
    <row r="4727" spans="1:11" ht="42" customHeight="1">
      <c r="A4727" s="2" t="s">
        <v>9593</v>
      </c>
      <c r="B4727" s="2" t="s">
        <v>9593</v>
      </c>
      <c r="C4727" s="2" t="s">
        <v>28</v>
      </c>
      <c r="D4727" s="2" t="s">
        <v>29</v>
      </c>
      <c r="E4727" s="5">
        <v>-28358</v>
      </c>
      <c r="F4727" s="3" t="s">
        <v>211</v>
      </c>
      <c r="G4727" s="3" t="s">
        <v>684</v>
      </c>
      <c r="H4727" s="2" t="s">
        <v>20</v>
      </c>
      <c r="I4727" s="2" t="s">
        <v>9594</v>
      </c>
      <c r="J4727" s="3" t="str">
        <f>HYPERLINK("https://www.boe.es/gazeta/dias/1822/05/10/pdfs/GMD-1822-132.pdf#page=5","Abrir facsímil")</f>
        <v>Abrir facsímil</v>
      </c>
      <c r="K4727" s="3" t="s">
        <v>22</v>
      </c>
    </row>
    <row r="4728" spans="1:11" ht="42" customHeight="1">
      <c r="A4728" s="2" t="s">
        <v>9593</v>
      </c>
      <c r="B4728" s="2" t="s">
        <v>9593</v>
      </c>
      <c r="C4728" s="2" t="s">
        <v>24</v>
      </c>
      <c r="D4728" s="2" t="s">
        <v>17</v>
      </c>
      <c r="E4728" s="5">
        <v>-28309</v>
      </c>
      <c r="F4728" s="3" t="s">
        <v>553</v>
      </c>
      <c r="G4728" s="3" t="s">
        <v>19</v>
      </c>
      <c r="H4728" s="2" t="s">
        <v>20</v>
      </c>
      <c r="I4728" s="2" t="s">
        <v>9595</v>
      </c>
      <c r="J4728" s="3" t="str">
        <f>HYPERLINK("https://www.boe.es/gazeta/dias/1822/06/28/pdfs/GMD-1822-186.pdf#page=5","Abrir facsímil")</f>
        <v>Abrir facsímil</v>
      </c>
      <c r="K4728" s="3" t="s">
        <v>22</v>
      </c>
    </row>
    <row r="4729" spans="1:11" ht="42" customHeight="1">
      <c r="A4729" s="2" t="s">
        <v>9593</v>
      </c>
      <c r="B4729" s="2" t="s">
        <v>9593</v>
      </c>
      <c r="C4729" s="2" t="s">
        <v>71</v>
      </c>
      <c r="D4729" s="2" t="s">
        <v>17</v>
      </c>
      <c r="E4729" s="5">
        <v>-28194</v>
      </c>
      <c r="F4729" s="3" t="s">
        <v>18</v>
      </c>
      <c r="G4729" s="3" t="s">
        <v>44</v>
      </c>
      <c r="H4729" s="2" t="s">
        <v>20</v>
      </c>
      <c r="I4729" s="2" t="s">
        <v>9596</v>
      </c>
      <c r="J4729" s="3" t="str">
        <f>HYPERLINK("https://www.boe.es/gazeta/dias/1822/10/21/pdfs/GMD-1822-308.pdf#page=1","Abrir facsímil")</f>
        <v>Abrir facsímil</v>
      </c>
      <c r="K4729" s="3" t="s">
        <v>22</v>
      </c>
    </row>
    <row r="4730" spans="1:11" ht="42" customHeight="1">
      <c r="A4730" s="2" t="s">
        <v>9593</v>
      </c>
      <c r="B4730" s="2" t="s">
        <v>9593</v>
      </c>
      <c r="C4730" s="2" t="s">
        <v>24</v>
      </c>
      <c r="D4730" s="2" t="s">
        <v>17</v>
      </c>
      <c r="E4730" s="5">
        <v>-28192</v>
      </c>
      <c r="F4730" s="3" t="s">
        <v>43</v>
      </c>
      <c r="G4730" s="3" t="s">
        <v>19</v>
      </c>
      <c r="H4730" s="2" t="s">
        <v>20</v>
      </c>
      <c r="I4730" s="2" t="s">
        <v>9597</v>
      </c>
      <c r="J4730" s="3" t="str">
        <f>HYPERLINK("https://www.boe.es/gazeta/dias/1822/10/23/pdfs/GMD-1822-310.pdf#page=5","Abrir facsímil")</f>
        <v>Abrir facsímil</v>
      </c>
      <c r="K4730" s="3" t="s">
        <v>22</v>
      </c>
    </row>
    <row r="4731" spans="1:11" ht="42" customHeight="1">
      <c r="A4731" s="2" t="s">
        <v>9598</v>
      </c>
      <c r="B4731" s="2" t="s">
        <v>9598</v>
      </c>
      <c r="C4731" s="2" t="s">
        <v>42</v>
      </c>
      <c r="D4731" s="2" t="s">
        <v>17</v>
      </c>
      <c r="E4731" s="5">
        <v>-28412</v>
      </c>
      <c r="F4731" s="3" t="s">
        <v>825</v>
      </c>
      <c r="G4731" s="3" t="s">
        <v>31</v>
      </c>
      <c r="H4731" s="2" t="s">
        <v>20</v>
      </c>
      <c r="I4731" s="2" t="s">
        <v>9599</v>
      </c>
      <c r="J4731" s="3" t="str">
        <f>HYPERLINK("https://www.boe.es/gazeta/dias/1822/03/17/pdfs/GMD-1822-78.pdf#page=3","Abrir facsímil")</f>
        <v>Abrir facsímil</v>
      </c>
      <c r="K4731" s="3" t="s">
        <v>22</v>
      </c>
    </row>
    <row r="4732" spans="1:11" ht="42" customHeight="1">
      <c r="A4732" s="2" t="s">
        <v>9600</v>
      </c>
      <c r="B4732" s="2" t="s">
        <v>9600</v>
      </c>
      <c r="C4732" s="2" t="s">
        <v>28</v>
      </c>
      <c r="D4732" s="2" t="s">
        <v>29</v>
      </c>
      <c r="E4732" s="5">
        <v>-28422</v>
      </c>
      <c r="F4732" s="3" t="s">
        <v>416</v>
      </c>
      <c r="G4732" s="3" t="s">
        <v>35</v>
      </c>
      <c r="H4732" s="2" t="s">
        <v>20</v>
      </c>
      <c r="I4732" s="2" t="s">
        <v>9601</v>
      </c>
      <c r="J4732" s="3" t="str">
        <f>HYPERLINK("https://www.boe.es/gazeta/dias/1822/03/07/pdfs/GMD-1822-68.pdf#page=2","Abrir facsímil")</f>
        <v>Abrir facsímil</v>
      </c>
      <c r="K4732" s="3" t="s">
        <v>22</v>
      </c>
    </row>
    <row r="4733" spans="1:11" ht="42" customHeight="1">
      <c r="A4733" s="2" t="s">
        <v>9602</v>
      </c>
      <c r="B4733" s="2" t="s">
        <v>9603</v>
      </c>
      <c r="C4733" s="2" t="s">
        <v>71</v>
      </c>
      <c r="D4733" s="2" t="s">
        <v>17</v>
      </c>
      <c r="E4733" s="5">
        <v>-28397</v>
      </c>
      <c r="F4733" s="3" t="s">
        <v>1401</v>
      </c>
      <c r="G4733" s="3" t="s">
        <v>57</v>
      </c>
      <c r="H4733" s="2" t="s">
        <v>20</v>
      </c>
      <c r="I4733" s="2" t="s">
        <v>9604</v>
      </c>
      <c r="J4733" s="3" t="str">
        <f>HYPERLINK("https://www.boe.es/gazeta/dias/1822/04/01/pdfs/GMD-1822-93.pdf#page=4","Abrir facsímil")</f>
        <v>Abrir facsímil</v>
      </c>
      <c r="K4733" s="3" t="s">
        <v>22</v>
      </c>
    </row>
    <row r="4734" spans="1:11" ht="42" customHeight="1">
      <c r="A4734" s="2" t="s">
        <v>9605</v>
      </c>
      <c r="B4734" s="2" t="s">
        <v>9606</v>
      </c>
      <c r="C4734" s="2" t="s">
        <v>28</v>
      </c>
      <c r="D4734" s="2" t="s">
        <v>29</v>
      </c>
      <c r="E4734" s="5">
        <v>-28208</v>
      </c>
      <c r="F4734" s="3" t="s">
        <v>230</v>
      </c>
      <c r="G4734" s="3" t="s">
        <v>57</v>
      </c>
      <c r="H4734" s="2" t="s">
        <v>20</v>
      </c>
      <c r="I4734" s="2" t="s">
        <v>9607</v>
      </c>
      <c r="J4734" s="3" t="str">
        <f>HYPERLINK("https://www.boe.es/gazeta/dias/1822/10/07/pdfs/GMD-1822-293.pdf#page=4","Abrir facsímil")</f>
        <v>Abrir facsímil</v>
      </c>
      <c r="K4734" s="3" t="s">
        <v>22</v>
      </c>
    </row>
    <row r="4735" spans="1:11" ht="42" customHeight="1">
      <c r="A4735" s="2" t="s">
        <v>9608</v>
      </c>
      <c r="B4735" s="2" t="s">
        <v>9608</v>
      </c>
      <c r="C4735" s="2" t="s">
        <v>50</v>
      </c>
      <c r="D4735" s="2" t="s">
        <v>51</v>
      </c>
      <c r="E4735" s="5">
        <v>-28211</v>
      </c>
      <c r="F4735" s="3" t="s">
        <v>273</v>
      </c>
      <c r="G4735" s="3" t="s">
        <v>35</v>
      </c>
      <c r="H4735" s="2" t="s">
        <v>20</v>
      </c>
      <c r="I4735" s="2" t="s">
        <v>9609</v>
      </c>
      <c r="J4735" s="3" t="str">
        <f>HYPERLINK("https://www.boe.es/gazeta/dias/1822/10/04/pdfs/GMD-1822-290.pdf#page=2","Abrir facsímil")</f>
        <v>Abrir facsímil</v>
      </c>
      <c r="K4735" s="3" t="s">
        <v>22</v>
      </c>
    </row>
    <row r="4736" spans="1:11" ht="42" customHeight="1">
      <c r="A4736" s="2" t="s">
        <v>9610</v>
      </c>
      <c r="B4736" s="2" t="s">
        <v>9611</v>
      </c>
      <c r="C4736" s="2" t="s">
        <v>50</v>
      </c>
      <c r="D4736" s="2" t="s">
        <v>51</v>
      </c>
      <c r="E4736" s="5">
        <v>-28264</v>
      </c>
      <c r="F4736" s="3" t="s">
        <v>1329</v>
      </c>
      <c r="G4736" s="3" t="s">
        <v>57</v>
      </c>
      <c r="H4736" s="2" t="s">
        <v>20</v>
      </c>
      <c r="I4736" s="2" t="s">
        <v>9612</v>
      </c>
      <c r="J4736" s="3" t="str">
        <f>HYPERLINK("https://www.boe.es/gazeta/dias/1822/08/12/pdfs/GMD-1822-236.pdf#page=4","Abrir facsímil")</f>
        <v>Abrir facsímil</v>
      </c>
      <c r="K4736" s="3" t="s">
        <v>22</v>
      </c>
    </row>
    <row r="4737" spans="1:11" ht="42" customHeight="1">
      <c r="A4737" s="2" t="s">
        <v>9613</v>
      </c>
      <c r="B4737" s="2" t="s">
        <v>9614</v>
      </c>
      <c r="C4737" s="2" t="s">
        <v>50</v>
      </c>
      <c r="D4737" s="2" t="s">
        <v>51</v>
      </c>
      <c r="E4737" s="5">
        <v>-28289</v>
      </c>
      <c r="F4737" s="3" t="s">
        <v>390</v>
      </c>
      <c r="G4737" s="3" t="s">
        <v>35</v>
      </c>
      <c r="H4737" s="2" t="s">
        <v>20</v>
      </c>
      <c r="I4737" s="2" t="s">
        <v>9615</v>
      </c>
      <c r="J4737" s="3" t="str">
        <f>HYPERLINK("https://www.boe.es/gazeta/dias/1822/07/18/pdfs/GMD-1822-209.pdf#page=2","Abrir facsímil")</f>
        <v>Abrir facsímil</v>
      </c>
      <c r="K4737" s="3" t="s">
        <v>22</v>
      </c>
    </row>
    <row r="4738" spans="1:11" ht="42" customHeight="1">
      <c r="A4738" s="2" t="s">
        <v>9616</v>
      </c>
      <c r="B4738" s="2" t="s">
        <v>9616</v>
      </c>
      <c r="C4738" s="2" t="s">
        <v>61</v>
      </c>
      <c r="D4738" s="2" t="s">
        <v>17</v>
      </c>
      <c r="E4738" s="5">
        <v>-28194</v>
      </c>
      <c r="F4738" s="3" t="s">
        <v>18</v>
      </c>
      <c r="G4738" s="3" t="s">
        <v>44</v>
      </c>
      <c r="H4738" s="2" t="s">
        <v>20</v>
      </c>
      <c r="I4738" s="2" t="s">
        <v>9617</v>
      </c>
      <c r="J4738" s="3" t="str">
        <f>HYPERLINK("https://www.boe.es/gazeta/dias/1822/10/21/pdfs/GMD-1822-308.pdf#page=1","Abrir facsímil")</f>
        <v>Abrir facsímil</v>
      </c>
      <c r="K4738" s="3" t="s">
        <v>22</v>
      </c>
    </row>
    <row r="4739" spans="1:11" ht="42" customHeight="1">
      <c r="A4739" s="2" t="s">
        <v>9618</v>
      </c>
      <c r="B4739" s="2" t="s">
        <v>9618</v>
      </c>
      <c r="C4739" s="2" t="s">
        <v>50</v>
      </c>
      <c r="D4739" s="2" t="s">
        <v>51</v>
      </c>
      <c r="E4739" s="5">
        <v>-28288</v>
      </c>
      <c r="F4739" s="3" t="s">
        <v>970</v>
      </c>
      <c r="G4739" s="3" t="s">
        <v>31</v>
      </c>
      <c r="H4739" s="2" t="s">
        <v>20</v>
      </c>
      <c r="I4739" s="2" t="s">
        <v>9619</v>
      </c>
      <c r="J4739" s="3" t="str">
        <f>HYPERLINK("https://www.boe.es/gazeta/dias/1822/07/19/pdfs/GMD-1822-211.pdf#page=3","Abrir facsímil")</f>
        <v>Abrir facsímil</v>
      </c>
      <c r="K4739" s="3" t="s">
        <v>22</v>
      </c>
    </row>
    <row r="4740" spans="1:11" ht="42" customHeight="1">
      <c r="A4740" s="2" t="s">
        <v>9620</v>
      </c>
      <c r="B4740" s="2" t="s">
        <v>9621</v>
      </c>
      <c r="C4740" s="2" t="s">
        <v>28</v>
      </c>
      <c r="D4740" s="2" t="s">
        <v>29</v>
      </c>
      <c r="E4740" s="5">
        <v>-28395</v>
      </c>
      <c r="F4740" s="3" t="s">
        <v>237</v>
      </c>
      <c r="G4740" s="3" t="s">
        <v>31</v>
      </c>
      <c r="H4740" s="2" t="s">
        <v>20</v>
      </c>
      <c r="I4740" s="2" t="s">
        <v>9622</v>
      </c>
      <c r="J4740" s="3" t="str">
        <f>HYPERLINK("https://www.boe.es/gazeta/dias/1822/04/03/pdfs/GMD-1822-95.pdf#page=3","Abrir facsímil")</f>
        <v>Abrir facsímil</v>
      </c>
      <c r="K4740" s="3" t="s">
        <v>22</v>
      </c>
    </row>
    <row r="4741" spans="1:11" ht="42" customHeight="1">
      <c r="A4741" s="2" t="s">
        <v>9623</v>
      </c>
      <c r="B4741" s="2" t="s">
        <v>9624</v>
      </c>
      <c r="C4741" s="2" t="s">
        <v>71</v>
      </c>
      <c r="D4741" s="2" t="s">
        <v>17</v>
      </c>
      <c r="E4741" s="5">
        <v>-28360</v>
      </c>
      <c r="F4741" s="3" t="s">
        <v>514</v>
      </c>
      <c r="G4741" s="3" t="s">
        <v>57</v>
      </c>
      <c r="H4741" s="2" t="s">
        <v>20</v>
      </c>
      <c r="I4741" s="2" t="s">
        <v>9625</v>
      </c>
      <c r="J4741" s="3" t="str">
        <f>HYPERLINK("https://www.boe.es/gazeta/dias/1822/05/08/pdfs/GMD-1822-130.pdf#page=4","Abrir facsímil")</f>
        <v>Abrir facsímil</v>
      </c>
      <c r="K4741" s="3" t="s">
        <v>22</v>
      </c>
    </row>
    <row r="4742" spans="1:11" ht="42" customHeight="1">
      <c r="A4742" s="2" t="s">
        <v>9626</v>
      </c>
      <c r="B4742" s="2" t="s">
        <v>9626</v>
      </c>
      <c r="C4742" s="2" t="s">
        <v>42</v>
      </c>
      <c r="D4742" s="2" t="s">
        <v>17</v>
      </c>
      <c r="E4742" s="5">
        <v>-28486</v>
      </c>
      <c r="F4742" s="3" t="s">
        <v>1046</v>
      </c>
      <c r="G4742" s="3" t="s">
        <v>1085</v>
      </c>
      <c r="H4742" s="2" t="s">
        <v>20</v>
      </c>
      <c r="I4742" s="2" t="s">
        <v>9627</v>
      </c>
      <c r="J4742" s="3" t="str">
        <f>HYPERLINK("https://www.boe.es/gazeta/dias/1822/01/02/pdfs/GMD-1822-2.pdf#page=3","Abrir facsímil")</f>
        <v>Abrir facsímil</v>
      </c>
      <c r="K4742" s="3" t="s">
        <v>22</v>
      </c>
    </row>
    <row r="4743" spans="1:11" ht="42" customHeight="1">
      <c r="A4743" s="2" t="s">
        <v>9628</v>
      </c>
      <c r="B4743" s="2" t="s">
        <v>9628</v>
      </c>
      <c r="C4743" s="2" t="s">
        <v>42</v>
      </c>
      <c r="D4743" s="2" t="s">
        <v>17</v>
      </c>
      <c r="E4743" s="5">
        <v>-28192</v>
      </c>
      <c r="F4743" s="3" t="s">
        <v>43</v>
      </c>
      <c r="G4743" s="3" t="s">
        <v>63</v>
      </c>
      <c r="H4743" s="2" t="s">
        <v>20</v>
      </c>
      <c r="I4743" s="2" t="s">
        <v>9629</v>
      </c>
      <c r="J4743" s="3" t="str">
        <f>HYPERLINK("https://www.boe.es/gazeta/dias/1822/10/23/pdfs/GMD-1822-310.pdf#page=6","Abrir facsímil")</f>
        <v>Abrir facsímil</v>
      </c>
      <c r="K4743" s="3" t="s">
        <v>22</v>
      </c>
    </row>
    <row r="4744" spans="1:11" ht="42" customHeight="1">
      <c r="A4744" s="2" t="s">
        <v>9630</v>
      </c>
      <c r="B4744" s="2" t="s">
        <v>9631</v>
      </c>
      <c r="C4744" s="2" t="s">
        <v>28</v>
      </c>
      <c r="D4744" s="2" t="s">
        <v>29</v>
      </c>
      <c r="E4744" s="5">
        <v>-28432</v>
      </c>
      <c r="F4744" s="3" t="s">
        <v>195</v>
      </c>
      <c r="G4744" s="3" t="s">
        <v>57</v>
      </c>
      <c r="H4744" s="2" t="s">
        <v>20</v>
      </c>
      <c r="I4744" s="2" t="s">
        <v>9632</v>
      </c>
      <c r="J4744" s="3" t="str">
        <f>HYPERLINK("https://www.boe.es/gazeta/dias/1822/02/25/pdfs/GMD-1822-57.pdf#page=4","Abrir facsímil")</f>
        <v>Abrir facsímil</v>
      </c>
      <c r="K4744" s="3" t="s">
        <v>22</v>
      </c>
    </row>
    <row r="4745" spans="1:11" ht="42" customHeight="1">
      <c r="A4745" s="2" t="s">
        <v>9633</v>
      </c>
      <c r="B4745" s="2" t="s">
        <v>9634</v>
      </c>
      <c r="C4745" s="2" t="s">
        <v>42</v>
      </c>
      <c r="D4745" s="2" t="s">
        <v>17</v>
      </c>
      <c r="E4745" s="5">
        <v>-28192</v>
      </c>
      <c r="F4745" s="3" t="s">
        <v>43</v>
      </c>
      <c r="G4745" s="3" t="s">
        <v>63</v>
      </c>
      <c r="H4745" s="2" t="s">
        <v>20</v>
      </c>
      <c r="I4745" s="2" t="s">
        <v>9635</v>
      </c>
      <c r="J4745" s="3" t="str">
        <f>HYPERLINK("https://www.boe.es/gazeta/dias/1822/10/23/pdfs/GMD-1822-310.pdf#page=6","Abrir facsímil")</f>
        <v>Abrir facsímil</v>
      </c>
      <c r="K4745" s="3" t="s">
        <v>22</v>
      </c>
    </row>
    <row r="4746" spans="1:11" ht="42" customHeight="1">
      <c r="A4746" s="2" t="s">
        <v>9636</v>
      </c>
      <c r="B4746" s="2" t="s">
        <v>9637</v>
      </c>
      <c r="C4746" s="2" t="s">
        <v>28</v>
      </c>
      <c r="D4746" s="2" t="s">
        <v>29</v>
      </c>
      <c r="E4746" s="5">
        <v>-28240</v>
      </c>
      <c r="F4746" s="3" t="s">
        <v>678</v>
      </c>
      <c r="G4746" s="3" t="s">
        <v>31</v>
      </c>
      <c r="H4746" s="2" t="s">
        <v>20</v>
      </c>
      <c r="I4746" s="2" t="s">
        <v>9638</v>
      </c>
      <c r="J4746" s="3" t="str">
        <f>HYPERLINK("https://www.boe.es/gazeta/dias/1822/09/05/pdfs/GMD-1822-260.pdf#page=3","Abrir facsímil")</f>
        <v>Abrir facsímil</v>
      </c>
      <c r="K4746" s="3" t="s">
        <v>22</v>
      </c>
    </row>
    <row r="4747" spans="1:11" ht="42" customHeight="1">
      <c r="A4747" s="2" t="s">
        <v>9639</v>
      </c>
      <c r="B4747" s="2" t="s">
        <v>9640</v>
      </c>
      <c r="C4747" s="2" t="s">
        <v>50</v>
      </c>
      <c r="D4747" s="2" t="s">
        <v>51</v>
      </c>
      <c r="E4747" s="5">
        <v>-28149</v>
      </c>
      <c r="F4747" s="3" t="s">
        <v>1322</v>
      </c>
      <c r="G4747" s="3" t="s">
        <v>57</v>
      </c>
      <c r="H4747" s="2" t="s">
        <v>20</v>
      </c>
      <c r="I4747" s="2" t="s">
        <v>9641</v>
      </c>
      <c r="J4747" s="3" t="str">
        <f>HYPERLINK("https://www.boe.es/gazeta/dias/1822/12/05/pdfs/GMD-1822-355.pdf#page=4","Abrir facsímil")</f>
        <v>Abrir facsímil</v>
      </c>
      <c r="K4747" s="3" t="s">
        <v>22</v>
      </c>
    </row>
    <row r="4748" spans="1:11" ht="42" customHeight="1">
      <c r="A4748" s="2" t="s">
        <v>9642</v>
      </c>
      <c r="B4748" s="2" t="s">
        <v>9642</v>
      </c>
      <c r="C4748" s="2" t="s">
        <v>42</v>
      </c>
      <c r="D4748" s="2" t="s">
        <v>17</v>
      </c>
      <c r="E4748" s="5">
        <v>-28360</v>
      </c>
      <c r="F4748" s="3" t="s">
        <v>514</v>
      </c>
      <c r="G4748" s="3" t="s">
        <v>31</v>
      </c>
      <c r="H4748" s="2" t="s">
        <v>20</v>
      </c>
      <c r="I4748" s="2" t="s">
        <v>9643</v>
      </c>
      <c r="J4748" s="3" t="str">
        <f>HYPERLINK("https://www.boe.es/gazeta/dias/1822/05/08/pdfs/GMD-1822-130.pdf#page=3","Abrir facsímil")</f>
        <v>Abrir facsímil</v>
      </c>
      <c r="K4748" s="3" t="s">
        <v>22</v>
      </c>
    </row>
    <row r="4749" spans="1:11" ht="42" customHeight="1">
      <c r="A4749" s="2" t="s">
        <v>9642</v>
      </c>
      <c r="B4749" s="2" t="s">
        <v>9642</v>
      </c>
      <c r="C4749" s="2" t="s">
        <v>42</v>
      </c>
      <c r="D4749" s="2" t="s">
        <v>17</v>
      </c>
      <c r="E4749" s="5">
        <v>-28167</v>
      </c>
      <c r="F4749" s="3" t="s">
        <v>904</v>
      </c>
      <c r="G4749" s="3" t="s">
        <v>31</v>
      </c>
      <c r="H4749" s="2" t="s">
        <v>20</v>
      </c>
      <c r="I4749" s="2" t="s">
        <v>9644</v>
      </c>
      <c r="J4749" s="3" t="str">
        <f>HYPERLINK("https://www.boe.es/gazeta/dias/1822/11/17/pdfs/GMD-1822-337.pdf#page=3","Abrir facsímil")</f>
        <v>Abrir facsímil</v>
      </c>
      <c r="K4749" s="3" t="s">
        <v>22</v>
      </c>
    </row>
    <row r="4750" spans="1:11" ht="42" customHeight="1">
      <c r="A4750" s="2" t="s">
        <v>9645</v>
      </c>
      <c r="B4750" s="2" t="s">
        <v>9646</v>
      </c>
      <c r="C4750" s="2" t="s">
        <v>28</v>
      </c>
      <c r="D4750" s="2" t="s">
        <v>29</v>
      </c>
      <c r="E4750" s="5">
        <v>-28159</v>
      </c>
      <c r="F4750" s="3" t="s">
        <v>67</v>
      </c>
      <c r="G4750" s="3" t="s">
        <v>31</v>
      </c>
      <c r="H4750" s="2" t="s">
        <v>20</v>
      </c>
      <c r="I4750" s="2" t="s">
        <v>9647</v>
      </c>
      <c r="J4750" s="3" t="str">
        <f>HYPERLINK("https://www.boe.es/gazeta/dias/1822/11/25/pdfs/GMD-1822-345.pdf#page=3","Abrir facsímil")</f>
        <v>Abrir facsímil</v>
      </c>
      <c r="K4750" s="3" t="s">
        <v>22</v>
      </c>
    </row>
    <row r="4751" spans="1:11" ht="42" customHeight="1">
      <c r="A4751" s="2" t="s">
        <v>9648</v>
      </c>
      <c r="B4751" s="2" t="s">
        <v>9649</v>
      </c>
      <c r="C4751" s="2" t="s">
        <v>50</v>
      </c>
      <c r="D4751" s="2" t="s">
        <v>51</v>
      </c>
      <c r="E4751" s="5">
        <v>-28358</v>
      </c>
      <c r="F4751" s="3" t="s">
        <v>211</v>
      </c>
      <c r="G4751" s="3" t="s">
        <v>157</v>
      </c>
      <c r="H4751" s="2" t="s">
        <v>20</v>
      </c>
      <c r="I4751" s="2" t="s">
        <v>9650</v>
      </c>
      <c r="J4751" s="3" t="str">
        <f>HYPERLINK("https://www.boe.es/gazeta/dias/1822/05/10/pdfs/GMD-1822-132.pdf#page=8","Abrir facsímil")</f>
        <v>Abrir facsímil</v>
      </c>
      <c r="K4751" s="3" t="s">
        <v>22</v>
      </c>
    </row>
    <row r="4752" spans="1:11" ht="42" customHeight="1">
      <c r="A4752" s="2" t="s">
        <v>9651</v>
      </c>
      <c r="B4752" s="2" t="s">
        <v>9651</v>
      </c>
      <c r="C4752" s="2" t="s">
        <v>42</v>
      </c>
      <c r="D4752" s="2" t="s">
        <v>17</v>
      </c>
      <c r="E4752" s="5">
        <v>-28434</v>
      </c>
      <c r="F4752" s="3" t="s">
        <v>433</v>
      </c>
      <c r="G4752" s="3" t="s">
        <v>31</v>
      </c>
      <c r="H4752" s="2" t="s">
        <v>20</v>
      </c>
      <c r="I4752" s="2" t="s">
        <v>9652</v>
      </c>
      <c r="J4752" s="3" t="str">
        <f>HYPERLINK("https://www.boe.es/gazeta/dias/1822/02/23/pdfs/GMD-1822-55.pdf#page=3","Abrir facsímil")</f>
        <v>Abrir facsímil</v>
      </c>
      <c r="K4752" s="3" t="s">
        <v>22</v>
      </c>
    </row>
    <row r="4753" spans="1:11" ht="42" customHeight="1">
      <c r="A4753" s="2" t="s">
        <v>9651</v>
      </c>
      <c r="B4753" s="2" t="s">
        <v>9651</v>
      </c>
      <c r="C4753" s="2" t="s">
        <v>50</v>
      </c>
      <c r="D4753" s="2" t="s">
        <v>51</v>
      </c>
      <c r="E4753" s="5">
        <v>-28432</v>
      </c>
      <c r="F4753" s="3" t="s">
        <v>195</v>
      </c>
      <c r="G4753" s="3" t="s">
        <v>31</v>
      </c>
      <c r="H4753" s="2" t="s">
        <v>20</v>
      </c>
      <c r="I4753" s="2" t="s">
        <v>9653</v>
      </c>
      <c r="J4753" s="3" t="str">
        <f>HYPERLINK("https://www.boe.es/gazeta/dias/1822/02/25/pdfs/GMD-1822-57.pdf#page=3","Abrir facsímil")</f>
        <v>Abrir facsímil</v>
      </c>
      <c r="K4753" s="3" t="s">
        <v>22</v>
      </c>
    </row>
    <row r="4754" spans="1:11" ht="42" customHeight="1">
      <c r="A4754" s="2" t="s">
        <v>9651</v>
      </c>
      <c r="B4754" s="2" t="s">
        <v>9651</v>
      </c>
      <c r="C4754" s="2" t="s">
        <v>28</v>
      </c>
      <c r="D4754" s="2" t="s">
        <v>29</v>
      </c>
      <c r="E4754" s="5">
        <v>-28426</v>
      </c>
      <c r="F4754" s="3" t="s">
        <v>1178</v>
      </c>
      <c r="G4754" s="3" t="s">
        <v>31</v>
      </c>
      <c r="H4754" s="2" t="s">
        <v>20</v>
      </c>
      <c r="I4754" s="2" t="s">
        <v>9654</v>
      </c>
      <c r="J4754" s="3" t="str">
        <f>HYPERLINK("https://www.boe.es/gazeta/dias/1822/03/03/pdfs/GMD-1822-64.pdf#page=3","Abrir facsímil")</f>
        <v>Abrir facsímil</v>
      </c>
      <c r="K4754" s="3" t="s">
        <v>22</v>
      </c>
    </row>
    <row r="4755" spans="1:11" ht="42" customHeight="1">
      <c r="A4755" s="2" t="s">
        <v>9651</v>
      </c>
      <c r="B4755" s="2" t="s">
        <v>9651</v>
      </c>
      <c r="C4755" s="2" t="s">
        <v>28</v>
      </c>
      <c r="D4755" s="2" t="s">
        <v>29</v>
      </c>
      <c r="E4755" s="5">
        <v>-28422</v>
      </c>
      <c r="F4755" s="3" t="s">
        <v>416</v>
      </c>
      <c r="G4755" s="3" t="s">
        <v>35</v>
      </c>
      <c r="H4755" s="2" t="s">
        <v>20</v>
      </c>
      <c r="I4755" s="2" t="s">
        <v>9655</v>
      </c>
      <c r="J4755" s="3" t="str">
        <f>HYPERLINK("https://www.boe.es/gazeta/dias/1822/03/07/pdfs/GMD-1822-68.pdf#page=2","Abrir facsímil")</f>
        <v>Abrir facsímil</v>
      </c>
      <c r="K4755" s="3" t="s">
        <v>22</v>
      </c>
    </row>
    <row r="4756" spans="1:11" ht="42" customHeight="1">
      <c r="A4756" s="2" t="s">
        <v>9651</v>
      </c>
      <c r="B4756" s="2" t="s">
        <v>9651</v>
      </c>
      <c r="C4756" s="2" t="s">
        <v>71</v>
      </c>
      <c r="D4756" s="2" t="s">
        <v>17</v>
      </c>
      <c r="E4756" s="5">
        <v>-28421</v>
      </c>
      <c r="F4756" s="3" t="s">
        <v>446</v>
      </c>
      <c r="G4756" s="3" t="s">
        <v>19</v>
      </c>
      <c r="H4756" s="2" t="s">
        <v>20</v>
      </c>
      <c r="I4756" s="2" t="s">
        <v>9656</v>
      </c>
      <c r="J4756" s="3" t="str">
        <f>HYPERLINK("https://www.boe.es/gazeta/dias/1822/03/08/pdfs/GMD-1822-69.pdf#page=5","Abrir facsímil")</f>
        <v>Abrir facsímil</v>
      </c>
      <c r="K4756" s="3" t="s">
        <v>22</v>
      </c>
    </row>
    <row r="4757" spans="1:11" ht="42" customHeight="1">
      <c r="A4757" s="2" t="s">
        <v>9651</v>
      </c>
      <c r="B4757" s="2" t="s">
        <v>9651</v>
      </c>
      <c r="C4757" s="2" t="s">
        <v>71</v>
      </c>
      <c r="D4757" s="2" t="s">
        <v>17</v>
      </c>
      <c r="E4757" s="5">
        <v>-28421</v>
      </c>
      <c r="F4757" s="3" t="s">
        <v>446</v>
      </c>
      <c r="G4757" s="3" t="s">
        <v>63</v>
      </c>
      <c r="H4757" s="2" t="s">
        <v>20</v>
      </c>
      <c r="I4757" s="2" t="s">
        <v>9657</v>
      </c>
      <c r="J4757" s="3" t="str">
        <f>HYPERLINK("https://www.boe.es/gazeta/dias/1822/03/08/pdfs/GMD-1822-69.pdf#page=6","Abrir facsímil")</f>
        <v>Abrir facsímil</v>
      </c>
      <c r="K4757" s="3" t="s">
        <v>22</v>
      </c>
    </row>
    <row r="4758" spans="1:11" ht="42" customHeight="1">
      <c r="A4758" s="2" t="s">
        <v>9658</v>
      </c>
      <c r="B4758" s="2" t="s">
        <v>9658</v>
      </c>
      <c r="C4758" s="2" t="s">
        <v>71</v>
      </c>
      <c r="D4758" s="2" t="s">
        <v>17</v>
      </c>
      <c r="E4758" s="5">
        <v>-28419</v>
      </c>
      <c r="F4758" s="3" t="s">
        <v>1392</v>
      </c>
      <c r="G4758" s="3" t="s">
        <v>19</v>
      </c>
      <c r="H4758" s="2" t="s">
        <v>20</v>
      </c>
      <c r="I4758" s="2" t="s">
        <v>9659</v>
      </c>
      <c r="J4758" s="3" t="str">
        <f>HYPERLINK("https://www.boe.es/gazeta/dias/1822/03/10/pdfs/GMD-1822-71.pdf#page=5","Abrir facsímil")</f>
        <v>Abrir facsímil</v>
      </c>
      <c r="K4758" s="3" t="s">
        <v>22</v>
      </c>
    </row>
    <row r="4759" spans="1:11" ht="42" customHeight="1">
      <c r="A4759" s="2" t="s">
        <v>9651</v>
      </c>
      <c r="B4759" s="2" t="s">
        <v>9651</v>
      </c>
      <c r="C4759" s="2" t="s">
        <v>28</v>
      </c>
      <c r="D4759" s="2" t="s">
        <v>29</v>
      </c>
      <c r="E4759" s="5">
        <v>-28419</v>
      </c>
      <c r="F4759" s="3" t="s">
        <v>1392</v>
      </c>
      <c r="G4759" s="3" t="s">
        <v>63</v>
      </c>
      <c r="H4759" s="2" t="s">
        <v>20</v>
      </c>
      <c r="I4759" s="2" t="s">
        <v>9660</v>
      </c>
      <c r="J4759" s="3" t="str">
        <f>HYPERLINK("https://www.boe.es/gazeta/dias/1822/03/10/pdfs/GMD-1822-71.pdf#page=6","Abrir facsímil")</f>
        <v>Abrir facsímil</v>
      </c>
      <c r="K4759" s="3" t="s">
        <v>22</v>
      </c>
    </row>
    <row r="4760" spans="1:11" ht="42" customHeight="1">
      <c r="A4760" s="2" t="s">
        <v>9651</v>
      </c>
      <c r="B4760" s="2" t="s">
        <v>9651</v>
      </c>
      <c r="C4760" s="2" t="s">
        <v>42</v>
      </c>
      <c r="D4760" s="2" t="s">
        <v>17</v>
      </c>
      <c r="E4760" s="5">
        <v>-28416</v>
      </c>
      <c r="F4760" s="3" t="s">
        <v>97</v>
      </c>
      <c r="G4760" s="3" t="s">
        <v>31</v>
      </c>
      <c r="H4760" s="2" t="s">
        <v>20</v>
      </c>
      <c r="I4760" s="2" t="s">
        <v>9661</v>
      </c>
      <c r="J4760" s="3" t="str">
        <f>HYPERLINK("https://www.boe.es/gazeta/dias/1822/03/13/pdfs/GMD-1822-74.pdf#page=3","Abrir facsímil")</f>
        <v>Abrir facsímil</v>
      </c>
      <c r="K4760" s="3" t="s">
        <v>22</v>
      </c>
    </row>
    <row r="4761" spans="1:11" ht="42" customHeight="1">
      <c r="A4761" s="2" t="s">
        <v>9651</v>
      </c>
      <c r="B4761" s="2" t="s">
        <v>9651</v>
      </c>
      <c r="C4761" s="2" t="s">
        <v>71</v>
      </c>
      <c r="D4761" s="2" t="s">
        <v>17</v>
      </c>
      <c r="E4761" s="5">
        <v>-28416</v>
      </c>
      <c r="F4761" s="3" t="s">
        <v>97</v>
      </c>
      <c r="G4761" s="3" t="s">
        <v>57</v>
      </c>
      <c r="H4761" s="2" t="s">
        <v>20</v>
      </c>
      <c r="I4761" s="2" t="s">
        <v>9662</v>
      </c>
      <c r="J4761" s="3" t="str">
        <f>HYPERLINK("https://www.boe.es/gazeta/dias/1822/03/13/pdfs/GMD-1822-74.pdf#page=4","Abrir facsímil")</f>
        <v>Abrir facsímil</v>
      </c>
      <c r="K4761" s="3" t="s">
        <v>22</v>
      </c>
    </row>
    <row r="4762" spans="1:11" ht="42" customHeight="1">
      <c r="A4762" s="2" t="s">
        <v>9651</v>
      </c>
      <c r="B4762" s="2" t="s">
        <v>9651</v>
      </c>
      <c r="C4762" s="2" t="s">
        <v>71</v>
      </c>
      <c r="D4762" s="2" t="s">
        <v>17</v>
      </c>
      <c r="E4762" s="5">
        <v>-28416</v>
      </c>
      <c r="F4762" s="3" t="s">
        <v>97</v>
      </c>
      <c r="G4762" s="3" t="s">
        <v>19</v>
      </c>
      <c r="H4762" s="2" t="s">
        <v>20</v>
      </c>
      <c r="I4762" s="2" t="s">
        <v>9663</v>
      </c>
      <c r="J4762" s="3" t="str">
        <f>HYPERLINK("https://www.boe.es/gazeta/dias/1822/03/13/pdfs/GMD-1822-74.pdf#page=5","Abrir facsímil")</f>
        <v>Abrir facsímil</v>
      </c>
      <c r="K4762" s="3" t="s">
        <v>22</v>
      </c>
    </row>
    <row r="4763" spans="1:11" ht="42" customHeight="1">
      <c r="A4763" s="2" t="s">
        <v>9651</v>
      </c>
      <c r="B4763" s="2" t="s">
        <v>9651</v>
      </c>
      <c r="C4763" s="2" t="s">
        <v>28</v>
      </c>
      <c r="D4763" s="2" t="s">
        <v>29</v>
      </c>
      <c r="E4763" s="5">
        <v>-28415</v>
      </c>
      <c r="F4763" s="3" t="s">
        <v>77</v>
      </c>
      <c r="G4763" s="3" t="s">
        <v>35</v>
      </c>
      <c r="H4763" s="2" t="s">
        <v>20</v>
      </c>
      <c r="I4763" s="2" t="s">
        <v>9664</v>
      </c>
      <c r="J4763" s="3" t="str">
        <f>HYPERLINK("https://www.boe.es/gazeta/dias/1822/03/14/pdfs/GMD-1822-75.pdf#page=2","Abrir facsímil")</f>
        <v>Abrir facsímil</v>
      </c>
      <c r="K4763" s="3" t="s">
        <v>22</v>
      </c>
    </row>
    <row r="4764" spans="1:11" ht="42" customHeight="1">
      <c r="A4764" s="2" t="s">
        <v>9651</v>
      </c>
      <c r="B4764" s="2" t="s">
        <v>9651</v>
      </c>
      <c r="C4764" s="2" t="s">
        <v>16</v>
      </c>
      <c r="D4764" s="2" t="s">
        <v>17</v>
      </c>
      <c r="E4764" s="5">
        <v>-28412</v>
      </c>
      <c r="F4764" s="3" t="s">
        <v>825</v>
      </c>
      <c r="G4764" s="3" t="s">
        <v>31</v>
      </c>
      <c r="H4764" s="2" t="s">
        <v>20</v>
      </c>
      <c r="I4764" s="2" t="s">
        <v>9665</v>
      </c>
      <c r="J4764" s="3" t="str">
        <f>HYPERLINK("https://www.boe.es/gazeta/dias/1822/03/17/pdfs/GMD-1822-78.pdf#page=3","Abrir facsímil")</f>
        <v>Abrir facsímil</v>
      </c>
      <c r="K4764" s="3" t="s">
        <v>22</v>
      </c>
    </row>
    <row r="4765" spans="1:11" ht="42" customHeight="1">
      <c r="A4765" s="2" t="s">
        <v>9651</v>
      </c>
      <c r="B4765" s="2" t="s">
        <v>9651</v>
      </c>
      <c r="C4765" s="2" t="s">
        <v>42</v>
      </c>
      <c r="D4765" s="2" t="s">
        <v>17</v>
      </c>
      <c r="E4765" s="5">
        <v>-28412</v>
      </c>
      <c r="F4765" s="3" t="s">
        <v>825</v>
      </c>
      <c r="G4765" s="3" t="s">
        <v>57</v>
      </c>
      <c r="H4765" s="2" t="s">
        <v>20</v>
      </c>
      <c r="I4765" s="2" t="s">
        <v>9666</v>
      </c>
      <c r="J4765" s="3" t="str">
        <f>HYPERLINK("https://www.boe.es/gazeta/dias/1822/03/17/pdfs/GMD-1822-78.pdf#page=4","Abrir facsímil")</f>
        <v>Abrir facsímil</v>
      </c>
      <c r="K4765" s="3" t="s">
        <v>22</v>
      </c>
    </row>
    <row r="4766" spans="1:11" ht="42" customHeight="1">
      <c r="A4766" s="2" t="s">
        <v>9651</v>
      </c>
      <c r="B4766" s="2" t="s">
        <v>9651</v>
      </c>
      <c r="C4766" s="2" t="s">
        <v>71</v>
      </c>
      <c r="D4766" s="2" t="s">
        <v>17</v>
      </c>
      <c r="E4766" s="5">
        <v>-28410</v>
      </c>
      <c r="F4766" s="3" t="s">
        <v>966</v>
      </c>
      <c r="G4766" s="3" t="s">
        <v>31</v>
      </c>
      <c r="H4766" s="2" t="s">
        <v>20</v>
      </c>
      <c r="I4766" s="2" t="s">
        <v>9667</v>
      </c>
      <c r="J4766" s="3" t="str">
        <f>HYPERLINK("https://www.boe.es/gazeta/dias/1822/03/19/pdfs/GMD-1822-80.pdf#page=3","Abrir facsímil")</f>
        <v>Abrir facsímil</v>
      </c>
      <c r="K4766" s="3" t="s">
        <v>22</v>
      </c>
    </row>
    <row r="4767" spans="1:11" ht="42" customHeight="1">
      <c r="A4767" s="2" t="s">
        <v>9651</v>
      </c>
      <c r="B4767" s="2" t="s">
        <v>9651</v>
      </c>
      <c r="C4767" s="2" t="s">
        <v>1141</v>
      </c>
      <c r="D4767" s="2" t="s">
        <v>29</v>
      </c>
      <c r="E4767" s="5">
        <v>-28402</v>
      </c>
      <c r="F4767" s="3" t="s">
        <v>473</v>
      </c>
      <c r="G4767" s="3" t="s">
        <v>35</v>
      </c>
      <c r="H4767" s="2" t="s">
        <v>20</v>
      </c>
      <c r="I4767" s="2" t="s">
        <v>9668</v>
      </c>
      <c r="J4767" s="3" t="str">
        <f>HYPERLINK("https://www.boe.es/gazeta/dias/1822/03/27/pdfs/GMD-1822-88.pdf#page=2","Abrir facsímil")</f>
        <v>Abrir facsímil</v>
      </c>
      <c r="K4767" s="3" t="s">
        <v>22</v>
      </c>
    </row>
    <row r="4768" spans="1:11" ht="42" customHeight="1">
      <c r="A4768" s="2" t="s">
        <v>9651</v>
      </c>
      <c r="B4768" s="2" t="s">
        <v>9651</v>
      </c>
      <c r="C4768" s="2" t="s">
        <v>50</v>
      </c>
      <c r="D4768" s="2" t="s">
        <v>51</v>
      </c>
      <c r="E4768" s="5">
        <v>-28399</v>
      </c>
      <c r="F4768" s="3" t="s">
        <v>476</v>
      </c>
      <c r="G4768" s="3" t="s">
        <v>35</v>
      </c>
      <c r="H4768" s="2" t="s">
        <v>20</v>
      </c>
      <c r="I4768" s="2" t="s">
        <v>9669</v>
      </c>
      <c r="J4768" s="3" t="str">
        <f>HYPERLINK("https://www.boe.es/gazeta/dias/1822/03/30/pdfs/GMD-1822-91.pdf#page=2","Abrir facsímil")</f>
        <v>Abrir facsímil</v>
      </c>
      <c r="K4768" s="3" t="s">
        <v>22</v>
      </c>
    </row>
    <row r="4769" spans="1:11" ht="42" customHeight="1">
      <c r="A4769" s="2" t="s">
        <v>9651</v>
      </c>
      <c r="B4769" s="2" t="s">
        <v>9651</v>
      </c>
      <c r="C4769" s="2" t="s">
        <v>24</v>
      </c>
      <c r="D4769" s="2" t="s">
        <v>17</v>
      </c>
      <c r="E4769" s="5">
        <v>-28396</v>
      </c>
      <c r="F4769" s="3" t="s">
        <v>1138</v>
      </c>
      <c r="G4769" s="3" t="s">
        <v>35</v>
      </c>
      <c r="H4769" s="2" t="s">
        <v>20</v>
      </c>
      <c r="I4769" s="2" t="s">
        <v>9670</v>
      </c>
      <c r="J4769" s="3" t="str">
        <f>HYPERLINK("https://www.boe.es/gazeta/dias/1822/04/02/pdfs/GMD-1822-94.pdf#page=2","Abrir facsímil")</f>
        <v>Abrir facsímil</v>
      </c>
      <c r="K4769" s="3" t="s">
        <v>22</v>
      </c>
    </row>
    <row r="4770" spans="1:11" ht="42" customHeight="1">
      <c r="A4770" s="2" t="s">
        <v>9651</v>
      </c>
      <c r="B4770" s="2" t="s">
        <v>9651</v>
      </c>
      <c r="C4770" s="2" t="s">
        <v>50</v>
      </c>
      <c r="D4770" s="2" t="s">
        <v>51</v>
      </c>
      <c r="E4770" s="5">
        <v>-28396</v>
      </c>
      <c r="F4770" s="3" t="s">
        <v>1138</v>
      </c>
      <c r="G4770" s="3" t="s">
        <v>19</v>
      </c>
      <c r="H4770" s="2" t="s">
        <v>20</v>
      </c>
      <c r="I4770" s="2" t="s">
        <v>9671</v>
      </c>
      <c r="J4770" s="3" t="str">
        <f>HYPERLINK("https://www.boe.es/gazeta/dias/1822/04/02/pdfs/GMD-1822-94.pdf#page=5","Abrir facsímil")</f>
        <v>Abrir facsímil</v>
      </c>
      <c r="K4770" s="3" t="s">
        <v>22</v>
      </c>
    </row>
    <row r="4771" spans="1:11" ht="42" customHeight="1">
      <c r="A4771" s="2" t="s">
        <v>9651</v>
      </c>
      <c r="B4771" s="2" t="s">
        <v>9651</v>
      </c>
      <c r="C4771" s="2" t="s">
        <v>50</v>
      </c>
      <c r="D4771" s="2" t="s">
        <v>51</v>
      </c>
      <c r="E4771" s="5">
        <v>-28395</v>
      </c>
      <c r="F4771" s="3" t="s">
        <v>237</v>
      </c>
      <c r="G4771" s="3" t="s">
        <v>57</v>
      </c>
      <c r="H4771" s="2" t="s">
        <v>20</v>
      </c>
      <c r="I4771" s="2" t="s">
        <v>9672</v>
      </c>
      <c r="J4771" s="3" t="str">
        <f>HYPERLINK("https://www.boe.es/gazeta/dias/1822/04/03/pdfs/GMD-1822-95.pdf#page=4","Abrir facsímil")</f>
        <v>Abrir facsímil</v>
      </c>
      <c r="K4771" s="3" t="s">
        <v>22</v>
      </c>
    </row>
    <row r="4772" spans="1:11" ht="42" customHeight="1">
      <c r="A4772" s="2" t="s">
        <v>9651</v>
      </c>
      <c r="B4772" s="2" t="s">
        <v>9651</v>
      </c>
      <c r="C4772" s="2" t="s">
        <v>71</v>
      </c>
      <c r="D4772" s="2" t="s">
        <v>17</v>
      </c>
      <c r="E4772" s="5">
        <v>-28391</v>
      </c>
      <c r="F4772" s="3" t="s">
        <v>378</v>
      </c>
      <c r="G4772" s="3" t="s">
        <v>35</v>
      </c>
      <c r="H4772" s="2" t="s">
        <v>20</v>
      </c>
      <c r="I4772" s="2" t="s">
        <v>9673</v>
      </c>
      <c r="J4772" s="3" t="str">
        <f>HYPERLINK("https://www.boe.es/gazeta/dias/1822/04/07/pdfs/GMD-1822-99.pdf#page=2","Abrir facsímil")</f>
        <v>Abrir facsímil</v>
      </c>
      <c r="K4772" s="3" t="s">
        <v>22</v>
      </c>
    </row>
    <row r="4773" spans="1:11" ht="42" customHeight="1">
      <c r="A4773" s="2" t="s">
        <v>9651</v>
      </c>
      <c r="B4773" s="2" t="s">
        <v>9651</v>
      </c>
      <c r="C4773" s="2" t="s">
        <v>61</v>
      </c>
      <c r="D4773" s="2" t="s">
        <v>17</v>
      </c>
      <c r="E4773" s="5">
        <v>-28388</v>
      </c>
      <c r="F4773" s="3" t="s">
        <v>1268</v>
      </c>
      <c r="G4773" s="3" t="s">
        <v>31</v>
      </c>
      <c r="H4773" s="2" t="s">
        <v>20</v>
      </c>
      <c r="I4773" s="2" t="s">
        <v>9674</v>
      </c>
      <c r="J4773" s="3" t="str">
        <f>HYPERLINK("https://www.boe.es/gazeta/dias/1822/04/10/pdfs/GMD-1822-102.pdf#page=3","Abrir facsímil")</f>
        <v>Abrir facsímil</v>
      </c>
      <c r="K4773" s="3" t="s">
        <v>22</v>
      </c>
    </row>
    <row r="4774" spans="1:11" ht="42" customHeight="1">
      <c r="A4774" s="2" t="s">
        <v>9651</v>
      </c>
      <c r="B4774" s="2" t="s">
        <v>9651</v>
      </c>
      <c r="C4774" s="2" t="s">
        <v>24</v>
      </c>
      <c r="D4774" s="2" t="s">
        <v>17</v>
      </c>
      <c r="E4774" s="5">
        <v>-28387</v>
      </c>
      <c r="F4774" s="3" t="s">
        <v>2874</v>
      </c>
      <c r="G4774" s="3" t="s">
        <v>31</v>
      </c>
      <c r="H4774" s="2" t="s">
        <v>20</v>
      </c>
      <c r="I4774" s="2" t="s">
        <v>9675</v>
      </c>
      <c r="J4774" s="3" t="str">
        <f>HYPERLINK("https://www.boe.es/gazeta/dias/1822/04/11/pdfs/GMD-1822-103.pdf#page=3","Abrir facsímil")</f>
        <v>Abrir facsímil</v>
      </c>
      <c r="K4774" s="3" t="s">
        <v>22</v>
      </c>
    </row>
    <row r="4775" spans="1:11" ht="42" customHeight="1">
      <c r="A4775" s="2" t="s">
        <v>9651</v>
      </c>
      <c r="B4775" s="2" t="s">
        <v>9651</v>
      </c>
      <c r="C4775" s="2" t="s">
        <v>42</v>
      </c>
      <c r="D4775" s="2" t="s">
        <v>17</v>
      </c>
      <c r="E4775" s="5">
        <v>-28386</v>
      </c>
      <c r="F4775" s="3" t="s">
        <v>2993</v>
      </c>
      <c r="G4775" s="3" t="s">
        <v>31</v>
      </c>
      <c r="H4775" s="2" t="s">
        <v>20</v>
      </c>
      <c r="I4775" s="2" t="s">
        <v>9676</v>
      </c>
      <c r="J4775" s="3" t="str">
        <f>HYPERLINK("https://www.boe.es/gazeta/dias/1822/04/12/pdfs/GMD-1822-104.pdf#page=3","Abrir facsímil")</f>
        <v>Abrir facsímil</v>
      </c>
      <c r="K4775" s="3" t="s">
        <v>22</v>
      </c>
    </row>
    <row r="4776" spans="1:11" ht="42" customHeight="1">
      <c r="A4776" s="2" t="s">
        <v>9651</v>
      </c>
      <c r="B4776" s="2" t="s">
        <v>9651</v>
      </c>
      <c r="C4776" s="2" t="s">
        <v>24</v>
      </c>
      <c r="D4776" s="2" t="s">
        <v>17</v>
      </c>
      <c r="E4776" s="5">
        <v>-28381</v>
      </c>
      <c r="F4776" s="3" t="s">
        <v>358</v>
      </c>
      <c r="G4776" s="3" t="s">
        <v>2269</v>
      </c>
      <c r="H4776" s="2" t="s">
        <v>20</v>
      </c>
      <c r="I4776" s="2" t="s">
        <v>9677</v>
      </c>
      <c r="J4776" s="3" t="str">
        <f>HYPERLINK("https://www.boe.es/gazeta/dias/1822/04/17/pdfs/GMD-1822-109.pdf#page=3","Abrir facsímil")</f>
        <v>Abrir facsímil</v>
      </c>
      <c r="K4776" s="3" t="s">
        <v>22</v>
      </c>
    </row>
    <row r="4777" spans="1:11" ht="42" customHeight="1">
      <c r="A4777" s="2" t="s">
        <v>9651</v>
      </c>
      <c r="B4777" s="2" t="s">
        <v>9651</v>
      </c>
      <c r="C4777" s="2" t="s">
        <v>16</v>
      </c>
      <c r="D4777" s="2" t="s">
        <v>17</v>
      </c>
      <c r="E4777" s="5">
        <v>-28380</v>
      </c>
      <c r="F4777" s="3" t="s">
        <v>492</v>
      </c>
      <c r="G4777" s="3" t="s">
        <v>35</v>
      </c>
      <c r="H4777" s="2" t="s">
        <v>20</v>
      </c>
      <c r="I4777" s="2" t="s">
        <v>9678</v>
      </c>
      <c r="J4777" s="3" t="str">
        <f>HYPERLINK("https://www.boe.es/gazeta/dias/1822/04/18/pdfs/GMD-1822-110.pdf#page=2","Abrir facsímil")</f>
        <v>Abrir facsímil</v>
      </c>
      <c r="K4777" s="3" t="s">
        <v>22</v>
      </c>
    </row>
    <row r="4778" spans="1:11" ht="42" customHeight="1">
      <c r="A4778" s="2" t="s">
        <v>9651</v>
      </c>
      <c r="B4778" s="2" t="s">
        <v>9651</v>
      </c>
      <c r="C4778" s="2" t="s">
        <v>50</v>
      </c>
      <c r="D4778" s="2" t="s">
        <v>51</v>
      </c>
      <c r="E4778" s="5">
        <v>-28374</v>
      </c>
      <c r="F4778" s="3" t="s">
        <v>171</v>
      </c>
      <c r="G4778" s="3" t="s">
        <v>31</v>
      </c>
      <c r="H4778" s="2" t="s">
        <v>20</v>
      </c>
      <c r="I4778" s="2" t="s">
        <v>9679</v>
      </c>
      <c r="J4778" s="3" t="str">
        <f>HYPERLINK("https://www.boe.es/gazeta/dias/1822/04/24/pdfs/GMD-1822-116.pdf#page=3","Abrir facsímil")</f>
        <v>Abrir facsímil</v>
      </c>
      <c r="K4778" s="3" t="s">
        <v>22</v>
      </c>
    </row>
    <row r="4779" spans="1:11" ht="42" customHeight="1">
      <c r="A4779" s="2" t="s">
        <v>9651</v>
      </c>
      <c r="B4779" s="2" t="s">
        <v>9651</v>
      </c>
      <c r="C4779" s="2" t="s">
        <v>28</v>
      </c>
      <c r="D4779" s="2" t="s">
        <v>29</v>
      </c>
      <c r="E4779" s="5">
        <v>-28371</v>
      </c>
      <c r="F4779" s="3" t="s">
        <v>401</v>
      </c>
      <c r="G4779" s="3" t="s">
        <v>35</v>
      </c>
      <c r="H4779" s="2" t="s">
        <v>20</v>
      </c>
      <c r="I4779" s="2" t="s">
        <v>9680</v>
      </c>
      <c r="J4779" s="3" t="str">
        <f>HYPERLINK("https://www.boe.es/gazeta/dias/1822/04/27/pdfs/GMD-1822-119.pdf#page=2","Abrir facsímil")</f>
        <v>Abrir facsímil</v>
      </c>
      <c r="K4779" s="3" t="s">
        <v>22</v>
      </c>
    </row>
    <row r="4780" spans="1:11" ht="42" customHeight="1">
      <c r="A4780" s="2" t="s">
        <v>9651</v>
      </c>
      <c r="B4780" s="2" t="s">
        <v>9651</v>
      </c>
      <c r="C4780" s="2" t="s">
        <v>61</v>
      </c>
      <c r="D4780" s="2" t="s">
        <v>17</v>
      </c>
      <c r="E4780" s="5">
        <v>-28371</v>
      </c>
      <c r="F4780" s="3" t="s">
        <v>401</v>
      </c>
      <c r="G4780" s="3" t="s">
        <v>31</v>
      </c>
      <c r="H4780" s="2" t="s">
        <v>20</v>
      </c>
      <c r="I4780" s="2" t="s">
        <v>9681</v>
      </c>
      <c r="J4780" s="3" t="str">
        <f>HYPERLINK("https://www.boe.es/gazeta/dias/1822/04/27/pdfs/GMD-1822-119.pdf#page=3","Abrir facsímil")</f>
        <v>Abrir facsímil</v>
      </c>
      <c r="K4780" s="3" t="s">
        <v>22</v>
      </c>
    </row>
    <row r="4781" spans="1:11" ht="42" customHeight="1">
      <c r="A4781" s="2" t="s">
        <v>9651</v>
      </c>
      <c r="B4781" s="2" t="s">
        <v>9651</v>
      </c>
      <c r="C4781" s="2" t="s">
        <v>71</v>
      </c>
      <c r="D4781" s="2" t="s">
        <v>17</v>
      </c>
      <c r="E4781" s="5">
        <v>-28364</v>
      </c>
      <c r="F4781" s="3" t="s">
        <v>509</v>
      </c>
      <c r="G4781" s="3" t="s">
        <v>19</v>
      </c>
      <c r="H4781" s="2" t="s">
        <v>20</v>
      </c>
      <c r="I4781" s="2" t="s">
        <v>9682</v>
      </c>
      <c r="J4781" s="3" t="str">
        <f>HYPERLINK("https://www.boe.es/gazeta/dias/1822/05/04/pdfs/GMD-1822-126.pdf#page=5","Abrir facsímil")</f>
        <v>Abrir facsímil</v>
      </c>
      <c r="K4781" s="3" t="s">
        <v>22</v>
      </c>
    </row>
    <row r="4782" spans="1:11" ht="42" customHeight="1">
      <c r="A4782" s="2" t="s">
        <v>9651</v>
      </c>
      <c r="B4782" s="2" t="s">
        <v>9651</v>
      </c>
      <c r="C4782" s="2" t="s">
        <v>28</v>
      </c>
      <c r="D4782" s="2" t="s">
        <v>29</v>
      </c>
      <c r="E4782" s="5">
        <v>-28359</v>
      </c>
      <c r="F4782" s="3" t="s">
        <v>209</v>
      </c>
      <c r="G4782" s="3" t="s">
        <v>19</v>
      </c>
      <c r="H4782" s="2" t="s">
        <v>20</v>
      </c>
      <c r="I4782" s="2" t="s">
        <v>9683</v>
      </c>
      <c r="J4782" s="3" t="str">
        <f>HYPERLINK("https://www.boe.es/gazeta/dias/1822/05/09/pdfs/GMD-1822-131.pdf#page=5","Abrir facsímil")</f>
        <v>Abrir facsímil</v>
      </c>
      <c r="K4782" s="3" t="s">
        <v>22</v>
      </c>
    </row>
    <row r="4783" spans="1:11" ht="42" customHeight="1">
      <c r="A4783" s="2" t="s">
        <v>9658</v>
      </c>
      <c r="B4783" s="2" t="s">
        <v>9658</v>
      </c>
      <c r="C4783" s="2" t="s">
        <v>61</v>
      </c>
      <c r="D4783" s="2" t="s">
        <v>17</v>
      </c>
      <c r="E4783" s="5">
        <v>-28358</v>
      </c>
      <c r="F4783" s="3" t="s">
        <v>211</v>
      </c>
      <c r="G4783" s="3" t="s">
        <v>35</v>
      </c>
      <c r="H4783" s="2" t="s">
        <v>20</v>
      </c>
      <c r="I4783" s="2" t="s">
        <v>9684</v>
      </c>
      <c r="J4783" s="3" t="str">
        <f>HYPERLINK("https://www.boe.es/gazeta/dias/1822/05/10/pdfs/GMD-1822-132.pdf#page=2","Abrir facsímil")</f>
        <v>Abrir facsímil</v>
      </c>
      <c r="K4783" s="3" t="s">
        <v>22</v>
      </c>
    </row>
    <row r="4784" spans="1:11" ht="42" customHeight="1">
      <c r="A4784" s="2" t="s">
        <v>9651</v>
      </c>
      <c r="B4784" s="2" t="s">
        <v>9651</v>
      </c>
      <c r="C4784" s="2" t="s">
        <v>28</v>
      </c>
      <c r="D4784" s="2" t="s">
        <v>29</v>
      </c>
      <c r="E4784" s="5">
        <v>-28358</v>
      </c>
      <c r="F4784" s="3" t="s">
        <v>211</v>
      </c>
      <c r="G4784" s="3" t="s">
        <v>31</v>
      </c>
      <c r="H4784" s="2" t="s">
        <v>20</v>
      </c>
      <c r="I4784" s="2" t="s">
        <v>9685</v>
      </c>
      <c r="J4784" s="3" t="str">
        <f>HYPERLINK("https://www.boe.es/gazeta/dias/1822/05/10/pdfs/GMD-1822-132.pdf#page=3","Abrir facsímil")</f>
        <v>Abrir facsímil</v>
      </c>
      <c r="K4784" s="3" t="s">
        <v>22</v>
      </c>
    </row>
    <row r="4785" spans="1:11" ht="42" customHeight="1">
      <c r="A4785" s="2" t="s">
        <v>9651</v>
      </c>
      <c r="B4785" s="2" t="s">
        <v>9651</v>
      </c>
      <c r="C4785" s="2" t="s">
        <v>16</v>
      </c>
      <c r="D4785" s="2" t="s">
        <v>17</v>
      </c>
      <c r="E4785" s="5">
        <v>-28357</v>
      </c>
      <c r="F4785" s="3" t="s">
        <v>690</v>
      </c>
      <c r="G4785" s="3" t="s">
        <v>35</v>
      </c>
      <c r="H4785" s="2" t="s">
        <v>20</v>
      </c>
      <c r="I4785" s="2" t="s">
        <v>9686</v>
      </c>
      <c r="J4785" s="3" t="str">
        <f>HYPERLINK("https://www.boe.es/gazeta/dias/1822/05/11/pdfs/GMD-1822-133.pdf#page=2","Abrir facsímil")</f>
        <v>Abrir facsímil</v>
      </c>
      <c r="K4785" s="3" t="s">
        <v>22</v>
      </c>
    </row>
    <row r="4786" spans="1:11" ht="42" customHeight="1">
      <c r="A4786" s="2" t="s">
        <v>9651</v>
      </c>
      <c r="B4786" s="2" t="s">
        <v>9651</v>
      </c>
      <c r="C4786" s="2" t="s">
        <v>42</v>
      </c>
      <c r="D4786" s="2" t="s">
        <v>17</v>
      </c>
      <c r="E4786" s="5">
        <v>-28351</v>
      </c>
      <c r="F4786" s="3" t="s">
        <v>282</v>
      </c>
      <c r="G4786" s="3" t="s">
        <v>44</v>
      </c>
      <c r="H4786" s="2" t="s">
        <v>20</v>
      </c>
      <c r="I4786" s="2" t="s">
        <v>9687</v>
      </c>
      <c r="J4786" s="3" t="str">
        <f>HYPERLINK("https://www.boe.es/gazeta/dias/1822/05/17/pdfs/GMD-1822-139.pdf#page=1","Abrir facsímil")</f>
        <v>Abrir facsímil</v>
      </c>
      <c r="K4786" s="3" t="s">
        <v>22</v>
      </c>
    </row>
    <row r="4787" spans="1:11" ht="42" customHeight="1">
      <c r="A4787" s="2" t="s">
        <v>9651</v>
      </c>
      <c r="B4787" s="2" t="s">
        <v>9651</v>
      </c>
      <c r="C4787" s="2" t="s">
        <v>50</v>
      </c>
      <c r="D4787" s="2" t="s">
        <v>51</v>
      </c>
      <c r="E4787" s="5">
        <v>-28350</v>
      </c>
      <c r="F4787" s="3" t="s">
        <v>352</v>
      </c>
      <c r="G4787" s="3" t="s">
        <v>35</v>
      </c>
      <c r="H4787" s="2" t="s">
        <v>20</v>
      </c>
      <c r="I4787" s="2" t="s">
        <v>9688</v>
      </c>
      <c r="J4787" s="3" t="str">
        <f>HYPERLINK("https://www.boe.es/gazeta/dias/1822/05/18/pdfs/GMD-1822-140.pdf#page=2","Abrir facsímil")</f>
        <v>Abrir facsímil</v>
      </c>
      <c r="K4787" s="3" t="s">
        <v>22</v>
      </c>
    </row>
    <row r="4788" spans="1:11" ht="42" customHeight="1">
      <c r="A4788" s="2" t="s">
        <v>9651</v>
      </c>
      <c r="B4788" s="2" t="s">
        <v>9651</v>
      </c>
      <c r="C4788" s="2" t="s">
        <v>71</v>
      </c>
      <c r="D4788" s="2" t="s">
        <v>17</v>
      </c>
      <c r="E4788" s="5">
        <v>-28350</v>
      </c>
      <c r="F4788" s="3" t="s">
        <v>352</v>
      </c>
      <c r="G4788" s="3" t="s">
        <v>31</v>
      </c>
      <c r="H4788" s="2" t="s">
        <v>20</v>
      </c>
      <c r="I4788" s="2" t="s">
        <v>9689</v>
      </c>
      <c r="J4788" s="3" t="str">
        <f>HYPERLINK("https://www.boe.es/gazeta/dias/1822/05/18/pdfs/GMD-1822-140.pdf#page=3","Abrir facsímil")</f>
        <v>Abrir facsímil</v>
      </c>
      <c r="K4788" s="3" t="s">
        <v>22</v>
      </c>
    </row>
    <row r="4789" spans="1:11" ht="42" customHeight="1">
      <c r="A4789" s="2" t="s">
        <v>9651</v>
      </c>
      <c r="B4789" s="2" t="s">
        <v>9651</v>
      </c>
      <c r="C4789" s="2" t="s">
        <v>28</v>
      </c>
      <c r="D4789" s="2" t="s">
        <v>29</v>
      </c>
      <c r="E4789" s="5">
        <v>-28350</v>
      </c>
      <c r="F4789" s="3" t="s">
        <v>352</v>
      </c>
      <c r="G4789" s="3" t="s">
        <v>57</v>
      </c>
      <c r="H4789" s="2" t="s">
        <v>20</v>
      </c>
      <c r="I4789" s="2" t="s">
        <v>9690</v>
      </c>
      <c r="J4789" s="3" t="str">
        <f>HYPERLINK("https://www.boe.es/gazeta/dias/1822/05/18/pdfs/GMD-1822-140.pdf#page=4","Abrir facsímil")</f>
        <v>Abrir facsímil</v>
      </c>
      <c r="K4789" s="3" t="s">
        <v>22</v>
      </c>
    </row>
    <row r="4790" spans="1:11" ht="42" customHeight="1">
      <c r="A4790" s="2" t="s">
        <v>9651</v>
      </c>
      <c r="B4790" s="2" t="s">
        <v>9651</v>
      </c>
      <c r="C4790" s="2" t="s">
        <v>42</v>
      </c>
      <c r="D4790" s="2" t="s">
        <v>17</v>
      </c>
      <c r="E4790" s="5">
        <v>-28343</v>
      </c>
      <c r="F4790" s="3" t="s">
        <v>1019</v>
      </c>
      <c r="G4790" s="3" t="s">
        <v>57</v>
      </c>
      <c r="H4790" s="2" t="s">
        <v>20</v>
      </c>
      <c r="I4790" s="2" t="s">
        <v>9691</v>
      </c>
      <c r="J4790" s="3" t="str">
        <f>HYPERLINK("https://www.boe.es/gazeta/dias/1822/05/25/pdfs/GMD-1822-150.pdf#page=4","Abrir facsímil")</f>
        <v>Abrir facsímil</v>
      </c>
      <c r="K4790" s="3" t="s">
        <v>22</v>
      </c>
    </row>
    <row r="4791" spans="1:11" ht="42" customHeight="1">
      <c r="A4791" s="2" t="s">
        <v>9651</v>
      </c>
      <c r="B4791" s="2" t="s">
        <v>9651</v>
      </c>
      <c r="C4791" s="2" t="s">
        <v>28</v>
      </c>
      <c r="D4791" s="2" t="s">
        <v>29</v>
      </c>
      <c r="E4791" s="5">
        <v>-28343</v>
      </c>
      <c r="F4791" s="3" t="s">
        <v>1019</v>
      </c>
      <c r="G4791" s="3" t="s">
        <v>19</v>
      </c>
      <c r="H4791" s="2" t="s">
        <v>20</v>
      </c>
      <c r="I4791" s="2" t="s">
        <v>9692</v>
      </c>
      <c r="J4791" s="3" t="str">
        <f>HYPERLINK("https://www.boe.es/gazeta/dias/1822/05/25/pdfs/GMD-1822-150.pdf#page=5","Abrir facsímil")</f>
        <v>Abrir facsímil</v>
      </c>
      <c r="K4791" s="3" t="s">
        <v>22</v>
      </c>
    </row>
    <row r="4792" spans="1:11" ht="42" customHeight="1">
      <c r="A4792" s="2" t="s">
        <v>9651</v>
      </c>
      <c r="B4792" s="2" t="s">
        <v>9651</v>
      </c>
      <c r="C4792" s="2" t="s">
        <v>71</v>
      </c>
      <c r="D4792" s="2" t="s">
        <v>17</v>
      </c>
      <c r="E4792" s="5">
        <v>-28342</v>
      </c>
      <c r="F4792" s="3" t="s">
        <v>2281</v>
      </c>
      <c r="G4792" s="3" t="s">
        <v>57</v>
      </c>
      <c r="H4792" s="2" t="s">
        <v>20</v>
      </c>
      <c r="I4792" s="2" t="s">
        <v>9693</v>
      </c>
      <c r="J4792" s="3" t="str">
        <f>HYPERLINK("https://www.boe.es/gazeta/dias/1822/05/26/pdfs/GMD-1822-151.pdf#page=4","Abrir facsímil")</f>
        <v>Abrir facsímil</v>
      </c>
      <c r="K4792" s="3" t="s">
        <v>22</v>
      </c>
    </row>
    <row r="4793" spans="1:11" ht="42" customHeight="1">
      <c r="A4793" s="2" t="s">
        <v>9651</v>
      </c>
      <c r="B4793" s="2" t="s">
        <v>9651</v>
      </c>
      <c r="C4793" s="2" t="s">
        <v>71</v>
      </c>
      <c r="D4793" s="2" t="s">
        <v>17</v>
      </c>
      <c r="E4793" s="5">
        <v>-28336</v>
      </c>
      <c r="F4793" s="3" t="s">
        <v>156</v>
      </c>
      <c r="G4793" s="3" t="s">
        <v>529</v>
      </c>
      <c r="H4793" s="2" t="s">
        <v>20</v>
      </c>
      <c r="I4793" s="2" t="s">
        <v>9694</v>
      </c>
      <c r="J4793" s="3" t="str">
        <f>HYPERLINK("https://www.boe.es/gazeta/dias/1822/06/01/pdfs/GMD-1822-157.pdf#page=4","Abrir facsímil")</f>
        <v>Abrir facsímil</v>
      </c>
      <c r="K4793" s="3" t="s">
        <v>22</v>
      </c>
    </row>
    <row r="4794" spans="1:11" ht="42" customHeight="1">
      <c r="A4794" s="2" t="s">
        <v>9651</v>
      </c>
      <c r="B4794" s="2" t="s">
        <v>9651</v>
      </c>
      <c r="C4794" s="2" t="s">
        <v>71</v>
      </c>
      <c r="D4794" s="2" t="s">
        <v>17</v>
      </c>
      <c r="E4794" s="5">
        <v>-28336</v>
      </c>
      <c r="F4794" s="3" t="s">
        <v>156</v>
      </c>
      <c r="G4794" s="3" t="s">
        <v>31</v>
      </c>
      <c r="H4794" s="2" t="s">
        <v>20</v>
      </c>
      <c r="I4794" s="2" t="s">
        <v>9695</v>
      </c>
      <c r="J4794" s="3" t="str">
        <f>HYPERLINK("https://www.boe.es/gazeta/dias/1822/06/01/pdfs/GMD-1822-157.pdf#page=3","Abrir facsímil")</f>
        <v>Abrir facsímil</v>
      </c>
      <c r="K4794" s="3" t="s">
        <v>22</v>
      </c>
    </row>
    <row r="4795" spans="1:11" ht="42" customHeight="1">
      <c r="A4795" s="2" t="s">
        <v>9651</v>
      </c>
      <c r="B4795" s="2" t="s">
        <v>9651</v>
      </c>
      <c r="C4795" s="2" t="s">
        <v>50</v>
      </c>
      <c r="D4795" s="2" t="s">
        <v>51</v>
      </c>
      <c r="E4795" s="5">
        <v>-28331</v>
      </c>
      <c r="F4795" s="3" t="s">
        <v>537</v>
      </c>
      <c r="G4795" s="3" t="s">
        <v>35</v>
      </c>
      <c r="H4795" s="2" t="s">
        <v>20</v>
      </c>
      <c r="I4795" s="2" t="s">
        <v>9696</v>
      </c>
      <c r="J4795" s="3" t="str">
        <f>HYPERLINK("https://www.boe.es/gazeta/dias/1822/06/06/pdfs/GMD-1822-163.pdf#page=2","Abrir facsímil")</f>
        <v>Abrir facsímil</v>
      </c>
      <c r="K4795" s="3" t="s">
        <v>22</v>
      </c>
    </row>
    <row r="4796" spans="1:11" ht="42" customHeight="1">
      <c r="A4796" s="2" t="s">
        <v>9651</v>
      </c>
      <c r="B4796" s="2" t="s">
        <v>9651</v>
      </c>
      <c r="C4796" s="2" t="s">
        <v>42</v>
      </c>
      <c r="D4796" s="2" t="s">
        <v>17</v>
      </c>
      <c r="E4796" s="5">
        <v>-28326</v>
      </c>
      <c r="F4796" s="3" t="s">
        <v>543</v>
      </c>
      <c r="G4796" s="3" t="s">
        <v>57</v>
      </c>
      <c r="H4796" s="2" t="s">
        <v>20</v>
      </c>
      <c r="I4796" s="2" t="s">
        <v>9697</v>
      </c>
      <c r="J4796" s="3" t="str">
        <f>HYPERLINK("https://www.boe.es/gazeta/dias/1822/06/11/pdfs/GMD-1822-168.pdf#page=4","Abrir facsímil")</f>
        <v>Abrir facsímil</v>
      </c>
      <c r="K4796" s="3" t="s">
        <v>22</v>
      </c>
    </row>
    <row r="4797" spans="1:11" ht="42" customHeight="1">
      <c r="A4797" s="2" t="s">
        <v>9651</v>
      </c>
      <c r="B4797" s="2" t="s">
        <v>9651</v>
      </c>
      <c r="C4797" s="2" t="s">
        <v>71</v>
      </c>
      <c r="D4797" s="2" t="s">
        <v>17</v>
      </c>
      <c r="E4797" s="5">
        <v>-28326</v>
      </c>
      <c r="F4797" s="3" t="s">
        <v>543</v>
      </c>
      <c r="G4797" s="3" t="s">
        <v>19</v>
      </c>
      <c r="H4797" s="2" t="s">
        <v>20</v>
      </c>
      <c r="I4797" s="2" t="s">
        <v>9698</v>
      </c>
      <c r="J4797" s="3" t="str">
        <f>HYPERLINK("https://www.boe.es/gazeta/dias/1822/06/11/pdfs/GMD-1822-168.pdf#page=5","Abrir facsímil")</f>
        <v>Abrir facsímil</v>
      </c>
      <c r="K4797" s="3" t="s">
        <v>22</v>
      </c>
    </row>
    <row r="4798" spans="1:11" ht="42" customHeight="1">
      <c r="A4798" s="2" t="s">
        <v>9651</v>
      </c>
      <c r="B4798" s="2" t="s">
        <v>9651</v>
      </c>
      <c r="C4798" s="2" t="s">
        <v>16</v>
      </c>
      <c r="D4798" s="2" t="s">
        <v>17</v>
      </c>
      <c r="E4798" s="5">
        <v>-28324</v>
      </c>
      <c r="F4798" s="3" t="s">
        <v>305</v>
      </c>
      <c r="G4798" s="3" t="s">
        <v>57</v>
      </c>
      <c r="H4798" s="2" t="s">
        <v>20</v>
      </c>
      <c r="I4798" s="2" t="s">
        <v>9699</v>
      </c>
      <c r="J4798" s="3" t="str">
        <f>HYPERLINK("https://www.boe.es/gazeta/dias/1822/06/13/pdfs/GMD-1822-170.pdf#page=4","Abrir facsímil")</f>
        <v>Abrir facsímil</v>
      </c>
      <c r="K4798" s="3" t="s">
        <v>22</v>
      </c>
    </row>
    <row r="4799" spans="1:11" ht="42" customHeight="1">
      <c r="A4799" s="2" t="s">
        <v>9651</v>
      </c>
      <c r="B4799" s="2" t="s">
        <v>9651</v>
      </c>
      <c r="C4799" s="2" t="s">
        <v>42</v>
      </c>
      <c r="D4799" s="2" t="s">
        <v>17</v>
      </c>
      <c r="E4799" s="5">
        <v>-28317</v>
      </c>
      <c r="F4799" s="3" t="s">
        <v>546</v>
      </c>
      <c r="G4799" s="3" t="s">
        <v>35</v>
      </c>
      <c r="H4799" s="2" t="s">
        <v>20</v>
      </c>
      <c r="I4799" s="2" t="s">
        <v>9700</v>
      </c>
      <c r="J4799" s="3" t="str">
        <f>HYPERLINK("https://www.boe.es/gazeta/dias/1822/06/20/pdfs/GMD-1822-177.pdf#page=2","Abrir facsímil")</f>
        <v>Abrir facsímil</v>
      </c>
      <c r="K4799" s="3" t="s">
        <v>22</v>
      </c>
    </row>
    <row r="4800" spans="1:11" ht="42" customHeight="1">
      <c r="A4800" s="2" t="s">
        <v>9651</v>
      </c>
      <c r="B4800" s="2" t="s">
        <v>9651</v>
      </c>
      <c r="C4800" s="2" t="s">
        <v>16</v>
      </c>
      <c r="D4800" s="2" t="s">
        <v>17</v>
      </c>
      <c r="E4800" s="5">
        <v>-28313</v>
      </c>
      <c r="F4800" s="3" t="s">
        <v>315</v>
      </c>
      <c r="G4800" s="3" t="s">
        <v>19</v>
      </c>
      <c r="H4800" s="2" t="s">
        <v>20</v>
      </c>
      <c r="I4800" s="2" t="s">
        <v>9701</v>
      </c>
      <c r="J4800" s="3" t="str">
        <f>HYPERLINK("https://www.boe.es/gazeta/dias/1822/06/24/pdfs/GMD-1822-182.pdf#page=5","Abrir facsímil")</f>
        <v>Abrir facsímil</v>
      </c>
      <c r="K4800" s="3" t="s">
        <v>22</v>
      </c>
    </row>
    <row r="4801" spans="1:11" ht="42" customHeight="1">
      <c r="A4801" s="2" t="s">
        <v>9651</v>
      </c>
      <c r="B4801" s="2" t="s">
        <v>9651</v>
      </c>
      <c r="C4801" s="2" t="s">
        <v>71</v>
      </c>
      <c r="D4801" s="2" t="s">
        <v>17</v>
      </c>
      <c r="E4801" s="5">
        <v>-28311</v>
      </c>
      <c r="F4801" s="3" t="s">
        <v>736</v>
      </c>
      <c r="G4801" s="3" t="s">
        <v>57</v>
      </c>
      <c r="H4801" s="2" t="s">
        <v>20</v>
      </c>
      <c r="I4801" s="2" t="s">
        <v>9702</v>
      </c>
      <c r="J4801" s="3" t="str">
        <f>HYPERLINK("https://www.boe.es/gazeta/dias/1822/06/26/pdfs/GMD-1822-184.pdf#page=4","Abrir facsímil")</f>
        <v>Abrir facsímil</v>
      </c>
      <c r="K4801" s="3" t="s">
        <v>22</v>
      </c>
    </row>
    <row r="4802" spans="1:11" ht="42" customHeight="1">
      <c r="A4802" s="2" t="s">
        <v>9651</v>
      </c>
      <c r="B4802" s="2" t="s">
        <v>9651</v>
      </c>
      <c r="C4802" s="2" t="s">
        <v>50</v>
      </c>
      <c r="D4802" s="2" t="s">
        <v>51</v>
      </c>
      <c r="E4802" s="5">
        <v>-28311</v>
      </c>
      <c r="F4802" s="3" t="s">
        <v>736</v>
      </c>
      <c r="G4802" s="3" t="s">
        <v>19</v>
      </c>
      <c r="H4802" s="2" t="s">
        <v>20</v>
      </c>
      <c r="I4802" s="2" t="s">
        <v>9703</v>
      </c>
      <c r="J4802" s="3" t="str">
        <f>HYPERLINK("https://www.boe.es/gazeta/dias/1822/06/26/pdfs/GMD-1822-184.pdf#page=5","Abrir facsímil")</f>
        <v>Abrir facsímil</v>
      </c>
      <c r="K4802" s="3" t="s">
        <v>22</v>
      </c>
    </row>
    <row r="4803" spans="1:11" ht="42" customHeight="1">
      <c r="A4803" s="2" t="s">
        <v>9651</v>
      </c>
      <c r="B4803" s="2" t="s">
        <v>9651</v>
      </c>
      <c r="C4803" s="2" t="s">
        <v>61</v>
      </c>
      <c r="D4803" s="2" t="s">
        <v>17</v>
      </c>
      <c r="E4803" s="5">
        <v>-28310</v>
      </c>
      <c r="F4803" s="3" t="s">
        <v>241</v>
      </c>
      <c r="G4803" s="3" t="s">
        <v>44</v>
      </c>
      <c r="H4803" s="2" t="s">
        <v>20</v>
      </c>
      <c r="I4803" s="2" t="s">
        <v>9704</v>
      </c>
      <c r="J4803" s="3" t="str">
        <f>HYPERLINK("https://www.boe.es/gazeta/dias/1822/06/27/pdfs/GMD-1822-185.pdf#page=1","Abrir facsímil")</f>
        <v>Abrir facsímil</v>
      </c>
      <c r="K4803" s="3" t="s">
        <v>22</v>
      </c>
    </row>
    <row r="4804" spans="1:11" ht="42" customHeight="1">
      <c r="A4804" s="2" t="s">
        <v>9651</v>
      </c>
      <c r="B4804" s="2" t="s">
        <v>9651</v>
      </c>
      <c r="C4804" s="2" t="s">
        <v>50</v>
      </c>
      <c r="D4804" s="2" t="s">
        <v>51</v>
      </c>
      <c r="E4804" s="5">
        <v>-28309</v>
      </c>
      <c r="F4804" s="3" t="s">
        <v>553</v>
      </c>
      <c r="G4804" s="3" t="s">
        <v>63</v>
      </c>
      <c r="H4804" s="2" t="s">
        <v>20</v>
      </c>
      <c r="I4804" s="2" t="s">
        <v>9705</v>
      </c>
      <c r="J4804" s="3" t="str">
        <f>HYPERLINK("https://www.boe.es/gazeta/dias/1822/06/28/pdfs/GMD-1822-186.pdf#page=6","Abrir facsímil")</f>
        <v>Abrir facsímil</v>
      </c>
      <c r="K4804" s="3" t="s">
        <v>22</v>
      </c>
    </row>
    <row r="4805" spans="1:11" ht="42" customHeight="1">
      <c r="A4805" s="2" t="s">
        <v>9651</v>
      </c>
      <c r="B4805" s="2" t="s">
        <v>9651</v>
      </c>
      <c r="C4805" s="2" t="s">
        <v>42</v>
      </c>
      <c r="D4805" s="2" t="s">
        <v>17</v>
      </c>
      <c r="E4805" s="5">
        <v>-28307</v>
      </c>
      <c r="F4805" s="3" t="s">
        <v>555</v>
      </c>
      <c r="G4805" s="3" t="s">
        <v>871</v>
      </c>
      <c r="H4805" s="2" t="s">
        <v>20</v>
      </c>
      <c r="I4805" s="2" t="s">
        <v>9706</v>
      </c>
      <c r="J4805" s="3" t="str">
        <f>HYPERLINK("https://www.boe.es/gazeta/dias/1822/06/30/pdfs/GMD-1822-188.pdf#page=4","Abrir facsímil")</f>
        <v>Abrir facsímil</v>
      </c>
      <c r="K4805" s="3" t="s">
        <v>22</v>
      </c>
    </row>
    <row r="4806" spans="1:11" ht="42" customHeight="1">
      <c r="A4806" s="2" t="s">
        <v>9651</v>
      </c>
      <c r="B4806" s="2" t="s">
        <v>9651</v>
      </c>
      <c r="C4806" s="2" t="s">
        <v>71</v>
      </c>
      <c r="D4806" s="2" t="s">
        <v>17</v>
      </c>
      <c r="E4806" s="5">
        <v>-28307</v>
      </c>
      <c r="F4806" s="3" t="s">
        <v>555</v>
      </c>
      <c r="G4806" s="3" t="s">
        <v>35</v>
      </c>
      <c r="H4806" s="2" t="s">
        <v>20</v>
      </c>
      <c r="I4806" s="2" t="s">
        <v>9707</v>
      </c>
      <c r="J4806" s="3" t="str">
        <f>HYPERLINK("https://www.boe.es/gazeta/dias/1822/06/30/pdfs/GMD-1822-188.pdf#page=2","Abrir facsímil")</f>
        <v>Abrir facsímil</v>
      </c>
      <c r="K4806" s="3" t="s">
        <v>22</v>
      </c>
    </row>
    <row r="4807" spans="1:11" ht="42" customHeight="1">
      <c r="A4807" s="2" t="s">
        <v>9651</v>
      </c>
      <c r="B4807" s="2" t="s">
        <v>9651</v>
      </c>
      <c r="C4807" s="2" t="s">
        <v>42</v>
      </c>
      <c r="D4807" s="2" t="s">
        <v>17</v>
      </c>
      <c r="E4807" s="5">
        <v>-28199</v>
      </c>
      <c r="F4807" s="3" t="s">
        <v>656</v>
      </c>
      <c r="G4807" s="3" t="s">
        <v>31</v>
      </c>
      <c r="H4807" s="2" t="s">
        <v>20</v>
      </c>
      <c r="I4807" s="2" t="s">
        <v>9708</v>
      </c>
      <c r="J4807" s="3" t="str">
        <f>HYPERLINK("https://www.boe.es/gazeta/dias/1822/10/16/pdfs/GMD-1822-303.pdf#page=3","Abrir facsímil")</f>
        <v>Abrir facsímil</v>
      </c>
      <c r="K4807" s="3" t="s">
        <v>22</v>
      </c>
    </row>
    <row r="4808" spans="1:11" ht="42" customHeight="1">
      <c r="A4808" s="2" t="s">
        <v>9651</v>
      </c>
      <c r="B4808" s="2" t="s">
        <v>9651</v>
      </c>
      <c r="C4808" s="2" t="s">
        <v>42</v>
      </c>
      <c r="D4808" s="2" t="s">
        <v>17</v>
      </c>
      <c r="E4808" s="5">
        <v>-28199</v>
      </c>
      <c r="F4808" s="3" t="s">
        <v>656</v>
      </c>
      <c r="G4808" s="3" t="s">
        <v>57</v>
      </c>
      <c r="H4808" s="2" t="s">
        <v>20</v>
      </c>
      <c r="I4808" s="2" t="s">
        <v>9709</v>
      </c>
      <c r="J4808" s="3" t="str">
        <f>HYPERLINK("https://www.boe.es/gazeta/dias/1822/10/16/pdfs/GMD-1822-303.pdf#page=4","Abrir facsímil")</f>
        <v>Abrir facsímil</v>
      </c>
      <c r="K4808" s="3" t="s">
        <v>22</v>
      </c>
    </row>
    <row r="4809" spans="1:11" ht="42" customHeight="1">
      <c r="A4809" s="2" t="s">
        <v>9651</v>
      </c>
      <c r="B4809" s="2" t="s">
        <v>9651</v>
      </c>
      <c r="C4809" s="2" t="s">
        <v>71</v>
      </c>
      <c r="D4809" s="2" t="s">
        <v>17</v>
      </c>
      <c r="E4809" s="5">
        <v>-28198</v>
      </c>
      <c r="F4809" s="3" t="s">
        <v>981</v>
      </c>
      <c r="G4809" s="3" t="s">
        <v>44</v>
      </c>
      <c r="H4809" s="2" t="s">
        <v>20</v>
      </c>
      <c r="I4809" s="2" t="s">
        <v>9710</v>
      </c>
      <c r="J4809" s="3" t="str">
        <f>HYPERLINK("https://www.boe.es/gazeta/dias/1822/10/17/pdfs/GMD-1822-304.pdf#page=1","Abrir facsímil")</f>
        <v>Abrir facsímil</v>
      </c>
      <c r="K4809" s="3" t="s">
        <v>22</v>
      </c>
    </row>
    <row r="4810" spans="1:11" ht="42" customHeight="1">
      <c r="A4810" s="2" t="s">
        <v>9651</v>
      </c>
      <c r="B4810" s="2" t="s">
        <v>9651</v>
      </c>
      <c r="C4810" s="2" t="s">
        <v>28</v>
      </c>
      <c r="D4810" s="2" t="s">
        <v>29</v>
      </c>
      <c r="E4810" s="5">
        <v>-28196</v>
      </c>
      <c r="F4810" s="3" t="s">
        <v>570</v>
      </c>
      <c r="G4810" s="3" t="s">
        <v>35</v>
      </c>
      <c r="H4810" s="2" t="s">
        <v>20</v>
      </c>
      <c r="I4810" s="2" t="s">
        <v>9711</v>
      </c>
      <c r="J4810" s="3" t="str">
        <f>HYPERLINK("https://www.boe.es/gazeta/dias/1822/10/19/pdfs/GMD-1822-306.pdf#page=2","Abrir facsímil")</f>
        <v>Abrir facsímil</v>
      </c>
      <c r="K4810" s="3" t="s">
        <v>22</v>
      </c>
    </row>
    <row r="4811" spans="1:11" ht="42" customHeight="1">
      <c r="A4811" s="2" t="s">
        <v>9651</v>
      </c>
      <c r="B4811" s="2" t="s">
        <v>9651</v>
      </c>
      <c r="C4811" s="2" t="s">
        <v>71</v>
      </c>
      <c r="D4811" s="2" t="s">
        <v>17</v>
      </c>
      <c r="E4811" s="5">
        <v>-28193</v>
      </c>
      <c r="F4811" s="3" t="s">
        <v>574</v>
      </c>
      <c r="G4811" s="3" t="s">
        <v>31</v>
      </c>
      <c r="H4811" s="2" t="s">
        <v>20</v>
      </c>
      <c r="I4811" s="2" t="s">
        <v>9712</v>
      </c>
      <c r="J4811" s="3" t="str">
        <f>HYPERLINK("https://www.boe.es/gazeta/dias/1822/10/22/pdfs/GMD-1822-309.pdf#page=3","Abrir facsímil")</f>
        <v>Abrir facsímil</v>
      </c>
      <c r="K4811" s="3" t="s">
        <v>22</v>
      </c>
    </row>
    <row r="4812" spans="1:11" ht="42" customHeight="1">
      <c r="A4812" s="2" t="s">
        <v>9651</v>
      </c>
      <c r="B4812" s="2" t="s">
        <v>9651</v>
      </c>
      <c r="C4812" s="2" t="s">
        <v>16</v>
      </c>
      <c r="D4812" s="2" t="s">
        <v>17</v>
      </c>
      <c r="E4812" s="5">
        <v>-28183</v>
      </c>
      <c r="F4812" s="3" t="s">
        <v>583</v>
      </c>
      <c r="G4812" s="3" t="s">
        <v>2953</v>
      </c>
      <c r="H4812" s="2" t="s">
        <v>20</v>
      </c>
      <c r="I4812" s="2" t="s">
        <v>9713</v>
      </c>
      <c r="J4812" s="3" t="str">
        <f>HYPERLINK("https://www.boe.es/gazeta/dias/1822/11/01/pdfs/GMD-1822-319.pdf#page=3","Abrir facsímil")</f>
        <v>Abrir facsímil</v>
      </c>
      <c r="K4812" s="3" t="s">
        <v>22</v>
      </c>
    </row>
    <row r="4813" spans="1:11" ht="42" customHeight="1">
      <c r="A4813" s="2" t="s">
        <v>9651</v>
      </c>
      <c r="B4813" s="2" t="s">
        <v>9651</v>
      </c>
      <c r="C4813" s="2" t="s">
        <v>42</v>
      </c>
      <c r="D4813" s="2" t="s">
        <v>17</v>
      </c>
      <c r="E4813" s="5">
        <v>-28183</v>
      </c>
      <c r="F4813" s="3" t="s">
        <v>583</v>
      </c>
      <c r="G4813" s="3" t="s">
        <v>35</v>
      </c>
      <c r="H4813" s="2" t="s">
        <v>20</v>
      </c>
      <c r="I4813" s="2" t="s">
        <v>9714</v>
      </c>
      <c r="J4813" s="3" t="str">
        <f>HYPERLINK("https://www.boe.es/gazeta/dias/1822/11/01/pdfs/GMD-1822-319.pdf#page=2","Abrir facsímil")</f>
        <v>Abrir facsímil</v>
      </c>
      <c r="K4813" s="3" t="s">
        <v>22</v>
      </c>
    </row>
    <row r="4814" spans="1:11" ht="42" customHeight="1">
      <c r="A4814" s="2" t="s">
        <v>9651</v>
      </c>
      <c r="B4814" s="2" t="s">
        <v>9651</v>
      </c>
      <c r="C4814" s="2" t="s">
        <v>50</v>
      </c>
      <c r="D4814" s="2" t="s">
        <v>51</v>
      </c>
      <c r="E4814" s="5">
        <v>-28178</v>
      </c>
      <c r="F4814" s="3" t="s">
        <v>318</v>
      </c>
      <c r="G4814" s="3" t="s">
        <v>35</v>
      </c>
      <c r="H4814" s="2" t="s">
        <v>20</v>
      </c>
      <c r="I4814" s="2" t="s">
        <v>9715</v>
      </c>
      <c r="J4814" s="3" t="str">
        <f>HYPERLINK("https://www.boe.es/gazeta/dias/1822/11/06/pdfs/GMD-1822-326.pdf#page=2","Abrir facsímil")</f>
        <v>Abrir facsímil</v>
      </c>
      <c r="K4814" s="3" t="s">
        <v>22</v>
      </c>
    </row>
    <row r="4815" spans="1:11" ht="42" customHeight="1">
      <c r="A4815" s="2" t="s">
        <v>9651</v>
      </c>
      <c r="B4815" s="2" t="s">
        <v>9651</v>
      </c>
      <c r="C4815" s="2" t="s">
        <v>50</v>
      </c>
      <c r="D4815" s="2" t="s">
        <v>51</v>
      </c>
      <c r="E4815" s="5">
        <v>-28175</v>
      </c>
      <c r="F4815" s="3" t="s">
        <v>341</v>
      </c>
      <c r="G4815" s="3" t="s">
        <v>31</v>
      </c>
      <c r="H4815" s="2" t="s">
        <v>20</v>
      </c>
      <c r="I4815" s="2" t="s">
        <v>9716</v>
      </c>
      <c r="J4815" s="3" t="str">
        <f>HYPERLINK("https://www.boe.es/gazeta/dias/1822/11/09/pdfs/GMD-1822-329.pdf#page=3","Abrir facsímil")</f>
        <v>Abrir facsímil</v>
      </c>
      <c r="K4815" s="3" t="s">
        <v>22</v>
      </c>
    </row>
    <row r="4816" spans="1:11" ht="42" customHeight="1">
      <c r="A4816" s="2" t="s">
        <v>9651</v>
      </c>
      <c r="B4816" s="2" t="s">
        <v>9651</v>
      </c>
      <c r="C4816" s="2" t="s">
        <v>28</v>
      </c>
      <c r="D4816" s="2" t="s">
        <v>29</v>
      </c>
      <c r="E4816" s="5">
        <v>-28174</v>
      </c>
      <c r="F4816" s="3" t="s">
        <v>881</v>
      </c>
      <c r="G4816" s="3" t="s">
        <v>57</v>
      </c>
      <c r="H4816" s="2" t="s">
        <v>20</v>
      </c>
      <c r="I4816" s="2" t="s">
        <v>9717</v>
      </c>
      <c r="J4816" s="3" t="str">
        <f>HYPERLINK("https://www.boe.es/gazeta/dias/1822/11/10/pdfs/GMD-1822-330.pdf#page=4","Abrir facsímil")</f>
        <v>Abrir facsímil</v>
      </c>
      <c r="K4816" s="3" t="s">
        <v>22</v>
      </c>
    </row>
    <row r="4817" spans="1:11" ht="42" customHeight="1">
      <c r="A4817" s="2" t="s">
        <v>9651</v>
      </c>
      <c r="B4817" s="2" t="s">
        <v>9651</v>
      </c>
      <c r="C4817" s="2" t="s">
        <v>50</v>
      </c>
      <c r="D4817" s="2" t="s">
        <v>51</v>
      </c>
      <c r="E4817" s="5">
        <v>-28169</v>
      </c>
      <c r="F4817" s="3" t="s">
        <v>2571</v>
      </c>
      <c r="G4817" s="3" t="s">
        <v>19</v>
      </c>
      <c r="H4817" s="2" t="s">
        <v>20</v>
      </c>
      <c r="I4817" s="2" t="s">
        <v>9718</v>
      </c>
      <c r="J4817" s="3" t="str">
        <f>HYPERLINK("https://www.boe.es/gazeta/dias/1822/11/15/pdfs/GMD-1822-335.pdf#page=5","Abrir facsímil")</f>
        <v>Abrir facsímil</v>
      </c>
      <c r="K4817" s="3" t="s">
        <v>22</v>
      </c>
    </row>
    <row r="4818" spans="1:11" ht="42" customHeight="1">
      <c r="A4818" s="2" t="s">
        <v>9651</v>
      </c>
      <c r="B4818" s="2" t="s">
        <v>9651</v>
      </c>
      <c r="C4818" s="2" t="s">
        <v>16</v>
      </c>
      <c r="D4818" s="2" t="s">
        <v>17</v>
      </c>
      <c r="E4818" s="5">
        <v>-28169</v>
      </c>
      <c r="F4818" s="3" t="s">
        <v>2571</v>
      </c>
      <c r="G4818" s="3" t="s">
        <v>63</v>
      </c>
      <c r="H4818" s="2" t="s">
        <v>20</v>
      </c>
      <c r="I4818" s="2" t="s">
        <v>9719</v>
      </c>
      <c r="J4818" s="3" t="str">
        <f>HYPERLINK("https://www.boe.es/gazeta/dias/1822/11/15/pdfs/GMD-1822-335.pdf#page=6","Abrir facsímil")</f>
        <v>Abrir facsímil</v>
      </c>
      <c r="K4818" s="3" t="s">
        <v>22</v>
      </c>
    </row>
    <row r="4819" spans="1:11" ht="42" customHeight="1">
      <c r="A4819" s="2" t="s">
        <v>9651</v>
      </c>
      <c r="B4819" s="2" t="s">
        <v>9651</v>
      </c>
      <c r="C4819" s="2" t="s">
        <v>50</v>
      </c>
      <c r="D4819" s="2" t="s">
        <v>51</v>
      </c>
      <c r="E4819" s="5">
        <v>-28168</v>
      </c>
      <c r="F4819" s="3" t="s">
        <v>3672</v>
      </c>
      <c r="G4819" s="3" t="s">
        <v>35</v>
      </c>
      <c r="H4819" s="2" t="s">
        <v>20</v>
      </c>
      <c r="I4819" s="2" t="s">
        <v>9720</v>
      </c>
      <c r="J4819" s="3" t="str">
        <f>HYPERLINK("https://www.boe.es/gazeta/dias/1822/11/16/pdfs/GMD-1822-336.pdf#page=2","Abrir facsímil")</f>
        <v>Abrir facsímil</v>
      </c>
      <c r="K4819" s="3" t="s">
        <v>22</v>
      </c>
    </row>
    <row r="4820" spans="1:11" ht="42" customHeight="1">
      <c r="A4820" s="2" t="s">
        <v>9651</v>
      </c>
      <c r="B4820" s="2" t="s">
        <v>9651</v>
      </c>
      <c r="C4820" s="2" t="s">
        <v>42</v>
      </c>
      <c r="D4820" s="2" t="s">
        <v>17</v>
      </c>
      <c r="E4820" s="5">
        <v>-28167</v>
      </c>
      <c r="F4820" s="3" t="s">
        <v>904</v>
      </c>
      <c r="G4820" s="3" t="s">
        <v>31</v>
      </c>
      <c r="H4820" s="2" t="s">
        <v>20</v>
      </c>
      <c r="I4820" s="2" t="s">
        <v>9721</v>
      </c>
      <c r="J4820" s="3" t="str">
        <f>HYPERLINK("https://www.boe.es/gazeta/dias/1822/11/17/pdfs/GMD-1822-337.pdf#page=3","Abrir facsímil")</f>
        <v>Abrir facsímil</v>
      </c>
      <c r="K4820" s="3" t="s">
        <v>22</v>
      </c>
    </row>
    <row r="4821" spans="1:11" ht="42" customHeight="1">
      <c r="A4821" s="2" t="s">
        <v>9651</v>
      </c>
      <c r="B4821" s="2" t="s">
        <v>9651</v>
      </c>
      <c r="C4821" s="2" t="s">
        <v>71</v>
      </c>
      <c r="D4821" s="2" t="s">
        <v>17</v>
      </c>
      <c r="E4821" s="5">
        <v>-28158</v>
      </c>
      <c r="F4821" s="3" t="s">
        <v>590</v>
      </c>
      <c r="G4821" s="3" t="s">
        <v>35</v>
      </c>
      <c r="H4821" s="2" t="s">
        <v>20</v>
      </c>
      <c r="I4821" s="2" t="s">
        <v>9722</v>
      </c>
      <c r="J4821" s="3" t="str">
        <f>HYPERLINK("https://www.boe.es/gazeta/dias/1822/11/26/pdfs/GMD-1822-346.pdf#page=2","Abrir facsímil")</f>
        <v>Abrir facsímil</v>
      </c>
      <c r="K4821" s="3" t="s">
        <v>22</v>
      </c>
    </row>
    <row r="4822" spans="1:11" ht="42" customHeight="1">
      <c r="A4822" s="2" t="s">
        <v>9658</v>
      </c>
      <c r="B4822" s="2" t="s">
        <v>9658</v>
      </c>
      <c r="C4822" s="2" t="s">
        <v>71</v>
      </c>
      <c r="D4822" s="2" t="s">
        <v>17</v>
      </c>
      <c r="E4822" s="5">
        <v>-28158</v>
      </c>
      <c r="F4822" s="3" t="s">
        <v>590</v>
      </c>
      <c r="G4822" s="3" t="s">
        <v>31</v>
      </c>
      <c r="H4822" s="2" t="s">
        <v>20</v>
      </c>
      <c r="I4822" s="2" t="s">
        <v>9723</v>
      </c>
      <c r="J4822" s="3" t="str">
        <f>HYPERLINK("https://www.boe.es/gazeta/dias/1822/11/26/pdfs/GMD-1822-346.pdf#page=3","Abrir facsímil")</f>
        <v>Abrir facsímil</v>
      </c>
      <c r="K4822" s="3" t="s">
        <v>22</v>
      </c>
    </row>
    <row r="4823" spans="1:11" ht="42" customHeight="1">
      <c r="A4823" s="2" t="s">
        <v>9651</v>
      </c>
      <c r="B4823" s="2" t="s">
        <v>9651</v>
      </c>
      <c r="C4823" s="2" t="s">
        <v>24</v>
      </c>
      <c r="D4823" s="2" t="s">
        <v>17</v>
      </c>
      <c r="E4823" s="5">
        <v>-28154</v>
      </c>
      <c r="F4823" s="3" t="s">
        <v>2321</v>
      </c>
      <c r="G4823" s="3" t="s">
        <v>44</v>
      </c>
      <c r="H4823" s="2" t="s">
        <v>20</v>
      </c>
      <c r="I4823" s="2" t="s">
        <v>9724</v>
      </c>
      <c r="J4823" s="3" t="str">
        <f>HYPERLINK("https://www.boe.es/gazeta/dias/1822/11/30/pdfs/GMD-1822-350.pdf#page=1","Abrir facsímil")</f>
        <v>Abrir facsímil</v>
      </c>
      <c r="K4823" s="3" t="s">
        <v>22</v>
      </c>
    </row>
    <row r="4824" spans="1:11" ht="42" customHeight="1">
      <c r="A4824" s="2" t="s">
        <v>9651</v>
      </c>
      <c r="B4824" s="2" t="s">
        <v>9651</v>
      </c>
      <c r="C4824" s="2" t="s">
        <v>24</v>
      </c>
      <c r="D4824" s="2" t="s">
        <v>17</v>
      </c>
      <c r="E4824" s="5">
        <v>-28153</v>
      </c>
      <c r="F4824" s="3" t="s">
        <v>946</v>
      </c>
      <c r="G4824" s="3" t="s">
        <v>31</v>
      </c>
      <c r="H4824" s="2" t="s">
        <v>20</v>
      </c>
      <c r="I4824" s="2" t="s">
        <v>9725</v>
      </c>
      <c r="J4824" s="3" t="str">
        <f>HYPERLINK("https://www.boe.es/gazeta/dias/1822/12/01/pdfs/GMD-1822-351.pdf#page=3","Abrir facsímil")</f>
        <v>Abrir facsímil</v>
      </c>
      <c r="K4824" s="3" t="s">
        <v>22</v>
      </c>
    </row>
    <row r="4825" spans="1:11" ht="42" customHeight="1">
      <c r="A4825" s="2" t="s">
        <v>9651</v>
      </c>
      <c r="B4825" s="2" t="s">
        <v>9651</v>
      </c>
      <c r="C4825" s="2" t="s">
        <v>71</v>
      </c>
      <c r="D4825" s="2" t="s">
        <v>17</v>
      </c>
      <c r="E4825" s="5">
        <v>-28138</v>
      </c>
      <c r="F4825" s="3" t="s">
        <v>3542</v>
      </c>
      <c r="G4825" s="3" t="s">
        <v>31</v>
      </c>
      <c r="H4825" s="2" t="s">
        <v>20</v>
      </c>
      <c r="I4825" s="2" t="s">
        <v>9726</v>
      </c>
      <c r="J4825" s="3" t="str">
        <f>HYPERLINK("https://www.boe.es/gazeta/dias/1822/12/16/pdfs/GMD-1822-366.pdf#page=3","Abrir facsímil")</f>
        <v>Abrir facsímil</v>
      </c>
      <c r="K4825" s="3" t="s">
        <v>22</v>
      </c>
    </row>
    <row r="4826" spans="1:11" ht="42" customHeight="1">
      <c r="A4826" s="2" t="s">
        <v>9651</v>
      </c>
      <c r="B4826" s="2" t="s">
        <v>9651</v>
      </c>
      <c r="C4826" s="2" t="s">
        <v>16</v>
      </c>
      <c r="D4826" s="2" t="s">
        <v>17</v>
      </c>
      <c r="E4826" s="5">
        <v>-28137</v>
      </c>
      <c r="F4826" s="3" t="s">
        <v>312</v>
      </c>
      <c r="G4826" s="3" t="s">
        <v>35</v>
      </c>
      <c r="H4826" s="2" t="s">
        <v>20</v>
      </c>
      <c r="I4826" s="2" t="s">
        <v>9727</v>
      </c>
      <c r="J4826" s="3" t="str">
        <f>HYPERLINK("https://www.boe.es/gazeta/dias/1822/12/17/pdfs/GMD-1822-367.pdf#page=2","Abrir facsímil")</f>
        <v>Abrir facsímil</v>
      </c>
      <c r="K4826" s="3" t="s">
        <v>22</v>
      </c>
    </row>
    <row r="4827" spans="1:11" ht="42" customHeight="1">
      <c r="A4827" s="2" t="s">
        <v>9651</v>
      </c>
      <c r="B4827" s="2" t="s">
        <v>9651</v>
      </c>
      <c r="C4827" s="2" t="s">
        <v>42</v>
      </c>
      <c r="D4827" s="2" t="s">
        <v>17</v>
      </c>
      <c r="E4827" s="5">
        <v>-28136</v>
      </c>
      <c r="F4827" s="3" t="s">
        <v>948</v>
      </c>
      <c r="G4827" s="3" t="s">
        <v>19</v>
      </c>
      <c r="H4827" s="2" t="s">
        <v>20</v>
      </c>
      <c r="I4827" s="2" t="s">
        <v>9728</v>
      </c>
      <c r="J4827" s="3" t="str">
        <f>HYPERLINK("https://www.boe.es/gazeta/dias/1822/12/18/pdfs/GMD-1822-368.pdf#page=5","Abrir facsímil")</f>
        <v>Abrir facsímil</v>
      </c>
      <c r="K4827" s="3" t="s">
        <v>22</v>
      </c>
    </row>
    <row r="4828" spans="1:11" ht="42" customHeight="1">
      <c r="A4828" s="2" t="s">
        <v>9651</v>
      </c>
      <c r="B4828" s="2" t="s">
        <v>9651</v>
      </c>
      <c r="C4828" s="2" t="s">
        <v>42</v>
      </c>
      <c r="D4828" s="2" t="s">
        <v>17</v>
      </c>
      <c r="E4828" s="5">
        <v>-28131</v>
      </c>
      <c r="F4828" s="3" t="s">
        <v>893</v>
      </c>
      <c r="G4828" s="3" t="s">
        <v>19</v>
      </c>
      <c r="H4828" s="2" t="s">
        <v>20</v>
      </c>
      <c r="I4828" s="2" t="s">
        <v>9729</v>
      </c>
      <c r="J4828" s="3" t="str">
        <f>HYPERLINK("https://www.boe.es/gazeta/dias/1822/12/23/pdfs/GMD-1822-373.pdf#page=5","Abrir facsímil")</f>
        <v>Abrir facsímil</v>
      </c>
      <c r="K4828" s="3" t="s">
        <v>22</v>
      </c>
    </row>
    <row r="4829" spans="1:11" ht="42" customHeight="1">
      <c r="A4829" s="2" t="s">
        <v>9651</v>
      </c>
      <c r="B4829" s="2" t="s">
        <v>9651</v>
      </c>
      <c r="C4829" s="2" t="s">
        <v>71</v>
      </c>
      <c r="D4829" s="2" t="s">
        <v>17</v>
      </c>
      <c r="E4829" s="5">
        <v>-28130</v>
      </c>
      <c r="F4829" s="3" t="s">
        <v>34</v>
      </c>
      <c r="G4829" s="3" t="s">
        <v>35</v>
      </c>
      <c r="H4829" s="2" t="s">
        <v>20</v>
      </c>
      <c r="I4829" s="2" t="s">
        <v>9730</v>
      </c>
      <c r="J4829" s="3" t="str">
        <f>HYPERLINK("https://www.boe.es/gazeta/dias/1822/12/24/pdfs/GMD-1822-374.pdf#page=2","Abrir facsímil")</f>
        <v>Abrir facsímil</v>
      </c>
      <c r="K4829" s="3" t="s">
        <v>22</v>
      </c>
    </row>
    <row r="4830" spans="1:11" ht="42" customHeight="1">
      <c r="A4830" s="2" t="s">
        <v>9651</v>
      </c>
      <c r="B4830" s="2" t="s">
        <v>9651</v>
      </c>
      <c r="C4830" s="2" t="s">
        <v>42</v>
      </c>
      <c r="D4830" s="2" t="s">
        <v>17</v>
      </c>
      <c r="E4830" s="5">
        <v>-28130</v>
      </c>
      <c r="F4830" s="3" t="s">
        <v>34</v>
      </c>
      <c r="G4830" s="3" t="s">
        <v>31</v>
      </c>
      <c r="H4830" s="2" t="s">
        <v>20</v>
      </c>
      <c r="I4830" s="2" t="s">
        <v>9731</v>
      </c>
      <c r="J4830" s="3" t="str">
        <f>HYPERLINK("https://www.boe.es/gazeta/dias/1822/12/24/pdfs/GMD-1822-374.pdf#page=3","Abrir facsímil")</f>
        <v>Abrir facsímil</v>
      </c>
      <c r="K4830" s="3" t="s">
        <v>22</v>
      </c>
    </row>
    <row r="4831" spans="1:11" ht="42" customHeight="1">
      <c r="A4831" s="2" t="s">
        <v>9651</v>
      </c>
      <c r="B4831" s="2" t="s">
        <v>9651</v>
      </c>
      <c r="C4831" s="2" t="s">
        <v>50</v>
      </c>
      <c r="D4831" s="2" t="s">
        <v>51</v>
      </c>
      <c r="E4831" s="5">
        <v>-28125</v>
      </c>
      <c r="F4831" s="3" t="s">
        <v>322</v>
      </c>
      <c r="G4831" s="3" t="s">
        <v>57</v>
      </c>
      <c r="H4831" s="2" t="s">
        <v>20</v>
      </c>
      <c r="I4831" s="2" t="s">
        <v>9732</v>
      </c>
      <c r="J4831" s="3" t="str">
        <f>HYPERLINK("https://www.boe.es/gazeta/dias/1822/12/29/pdfs/GMD-1822-379.pdf#page=4","Abrir facsímil")</f>
        <v>Abrir facsímil</v>
      </c>
      <c r="K4831" s="3" t="s">
        <v>22</v>
      </c>
    </row>
    <row r="4832" spans="1:11" ht="42" customHeight="1">
      <c r="A4832" s="2" t="s">
        <v>9651</v>
      </c>
      <c r="B4832" s="2" t="s">
        <v>9651</v>
      </c>
      <c r="C4832" s="2" t="s">
        <v>71</v>
      </c>
      <c r="D4832" s="2" t="s">
        <v>17</v>
      </c>
      <c r="E4832" s="5">
        <v>-28124</v>
      </c>
      <c r="F4832" s="3" t="s">
        <v>301</v>
      </c>
      <c r="G4832" s="3" t="s">
        <v>31</v>
      </c>
      <c r="H4832" s="2" t="s">
        <v>20</v>
      </c>
      <c r="I4832" s="2" t="s">
        <v>9733</v>
      </c>
      <c r="J4832" s="3" t="str">
        <f>HYPERLINK("https://www.boe.es/gazeta/dias/1822/12/30/pdfs/GMD-1822-380.pdf#page=3","Abrir facsímil")</f>
        <v>Abrir facsímil</v>
      </c>
      <c r="K4832" s="3" t="s">
        <v>22</v>
      </c>
    </row>
    <row r="4833" spans="1:11" ht="42" customHeight="1">
      <c r="A4833" s="2" t="s">
        <v>9734</v>
      </c>
      <c r="B4833" s="2" t="s">
        <v>9735</v>
      </c>
      <c r="C4833" s="2" t="s">
        <v>50</v>
      </c>
      <c r="D4833" s="2" t="s">
        <v>51</v>
      </c>
      <c r="E4833" s="5">
        <v>-28399</v>
      </c>
      <c r="F4833" s="3" t="s">
        <v>476</v>
      </c>
      <c r="G4833" s="3" t="s">
        <v>44</v>
      </c>
      <c r="H4833" s="2" t="s">
        <v>20</v>
      </c>
      <c r="I4833" s="2" t="s">
        <v>9736</v>
      </c>
      <c r="J4833" s="3" t="str">
        <f>HYPERLINK("https://www.boe.es/gazeta/dias/1822/03/30/pdfs/GMD-1822-91.pdf#page=1","Abrir facsímil")</f>
        <v>Abrir facsímil</v>
      </c>
      <c r="K4833" s="3" t="s">
        <v>22</v>
      </c>
    </row>
    <row r="4834" spans="1:11" ht="42" customHeight="1">
      <c r="A4834" s="2" t="s">
        <v>9737</v>
      </c>
      <c r="B4834" s="2" t="s">
        <v>9737</v>
      </c>
      <c r="C4834" s="2" t="s">
        <v>50</v>
      </c>
      <c r="D4834" s="2" t="s">
        <v>51</v>
      </c>
      <c r="E4834" s="5">
        <v>-28172</v>
      </c>
      <c r="F4834" s="3" t="s">
        <v>674</v>
      </c>
      <c r="G4834" s="3" t="s">
        <v>35</v>
      </c>
      <c r="H4834" s="2" t="s">
        <v>20</v>
      </c>
      <c r="I4834" s="2" t="s">
        <v>9738</v>
      </c>
      <c r="J4834" s="3" t="str">
        <f>HYPERLINK("https://www.boe.es/gazeta/dias/1822/11/12/pdfs/GMD-1822-332.pdf#page=2","Abrir facsímil")</f>
        <v>Abrir facsímil</v>
      </c>
      <c r="K4834" s="3" t="s">
        <v>22</v>
      </c>
    </row>
    <row r="4835" spans="1:11" ht="42" customHeight="1">
      <c r="A4835" s="2" t="s">
        <v>9737</v>
      </c>
      <c r="B4835" s="2" t="s">
        <v>9737</v>
      </c>
      <c r="C4835" s="2" t="s">
        <v>50</v>
      </c>
      <c r="D4835" s="2" t="s">
        <v>51</v>
      </c>
      <c r="E4835" s="5">
        <v>-28164</v>
      </c>
      <c r="F4835" s="3" t="s">
        <v>2172</v>
      </c>
      <c r="G4835" s="3" t="s">
        <v>35</v>
      </c>
      <c r="H4835" s="2" t="s">
        <v>20</v>
      </c>
      <c r="I4835" s="2" t="s">
        <v>9739</v>
      </c>
      <c r="J4835" s="3" t="str">
        <f>HYPERLINK("https://www.boe.es/gazeta/dias/1822/11/20/pdfs/GMD-1822-340.pdf#page=2","Abrir facsímil")</f>
        <v>Abrir facsímil</v>
      </c>
      <c r="K4835" s="3" t="s">
        <v>22</v>
      </c>
    </row>
    <row r="4836" spans="1:11" ht="42" customHeight="1">
      <c r="A4836" s="2" t="s">
        <v>9737</v>
      </c>
      <c r="B4836" s="2" t="s">
        <v>9737</v>
      </c>
      <c r="C4836" s="2" t="s">
        <v>50</v>
      </c>
      <c r="D4836" s="2" t="s">
        <v>51</v>
      </c>
      <c r="E4836" s="5">
        <v>-28162</v>
      </c>
      <c r="F4836" s="3" t="s">
        <v>3949</v>
      </c>
      <c r="G4836" s="3" t="s">
        <v>35</v>
      </c>
      <c r="H4836" s="2" t="s">
        <v>20</v>
      </c>
      <c r="I4836" s="2" t="s">
        <v>9740</v>
      </c>
      <c r="J4836" s="3" t="str">
        <f>HYPERLINK("https://www.boe.es/gazeta/dias/1822/11/22/pdfs/GMD-1822-342.pdf#page=2","Abrir facsímil")</f>
        <v>Abrir facsímil</v>
      </c>
      <c r="K4836" s="3" t="s">
        <v>22</v>
      </c>
    </row>
    <row r="4837" spans="1:11" ht="42" customHeight="1">
      <c r="A4837" s="2" t="s">
        <v>9741</v>
      </c>
      <c r="B4837" s="2" t="s">
        <v>9742</v>
      </c>
      <c r="C4837" s="2" t="s">
        <v>50</v>
      </c>
      <c r="D4837" s="2" t="s">
        <v>51</v>
      </c>
      <c r="E4837" s="5">
        <v>-28265</v>
      </c>
      <c r="F4837" s="3" t="s">
        <v>1263</v>
      </c>
      <c r="G4837" s="3" t="s">
        <v>57</v>
      </c>
      <c r="H4837" s="2" t="s">
        <v>20</v>
      </c>
      <c r="I4837" s="2" t="s">
        <v>9743</v>
      </c>
      <c r="J4837" s="3" t="str">
        <f>HYPERLINK("https://www.boe.es/gazeta/dias/1822/08/11/pdfs/GMD-1822-235.pdf#page=4","Abrir facsímil")</f>
        <v>Abrir facsímil</v>
      </c>
      <c r="K4837" s="3" t="s">
        <v>22</v>
      </c>
    </row>
    <row r="4838" spans="1:11" ht="42" customHeight="1">
      <c r="A4838" s="2" t="s">
        <v>9741</v>
      </c>
      <c r="B4838" s="2" t="s">
        <v>9742</v>
      </c>
      <c r="C4838" s="2" t="s">
        <v>50</v>
      </c>
      <c r="D4838" s="2" t="s">
        <v>51</v>
      </c>
      <c r="E4838" s="5">
        <v>-28241</v>
      </c>
      <c r="F4838" s="3" t="s">
        <v>3068</v>
      </c>
      <c r="G4838" s="3" t="s">
        <v>57</v>
      </c>
      <c r="H4838" s="2" t="s">
        <v>20</v>
      </c>
      <c r="I4838" s="2" t="s">
        <v>9744</v>
      </c>
      <c r="J4838" s="3" t="str">
        <f>HYPERLINK("https://www.boe.es/gazeta/dias/1822/09/04/pdfs/GMD-1822-259.pdf#page=4","Abrir facsímil")</f>
        <v>Abrir facsímil</v>
      </c>
      <c r="K4838" s="3" t="s">
        <v>22</v>
      </c>
    </row>
    <row r="4839" spans="1:11" ht="42" customHeight="1">
      <c r="A4839" s="2" t="s">
        <v>9745</v>
      </c>
      <c r="B4839" s="2" t="s">
        <v>9746</v>
      </c>
      <c r="C4839" s="2" t="s">
        <v>50</v>
      </c>
      <c r="D4839" s="2" t="s">
        <v>51</v>
      </c>
      <c r="E4839" s="5">
        <v>-28348</v>
      </c>
      <c r="F4839" s="3" t="s">
        <v>2903</v>
      </c>
      <c r="G4839" s="3" t="s">
        <v>31</v>
      </c>
      <c r="H4839" s="2" t="s">
        <v>20</v>
      </c>
      <c r="I4839" s="2" t="s">
        <v>9747</v>
      </c>
      <c r="J4839" s="3" t="str">
        <f>HYPERLINK("https://www.boe.es/gazeta/dias/1822/05/20/pdfs/GMD-1822-143.pdf#page=3","Abrir facsímil")</f>
        <v>Abrir facsímil</v>
      </c>
      <c r="K4839" s="3" t="s">
        <v>22</v>
      </c>
    </row>
    <row r="4840" spans="1:11" ht="42" customHeight="1">
      <c r="A4840" s="2" t="s">
        <v>9745</v>
      </c>
      <c r="B4840" s="2" t="s">
        <v>9746</v>
      </c>
      <c r="C4840" s="2" t="s">
        <v>42</v>
      </c>
      <c r="D4840" s="2" t="s">
        <v>17</v>
      </c>
      <c r="E4840" s="5">
        <v>-28348</v>
      </c>
      <c r="F4840" s="3" t="s">
        <v>2903</v>
      </c>
      <c r="G4840" s="3" t="s">
        <v>19</v>
      </c>
      <c r="H4840" s="2" t="s">
        <v>20</v>
      </c>
      <c r="I4840" s="2" t="s">
        <v>9748</v>
      </c>
      <c r="J4840" s="3" t="str">
        <f>HYPERLINK("https://www.boe.es/gazeta/dias/1822/05/20/pdfs/GMD-1822-143.pdf#page=5","Abrir facsímil")</f>
        <v>Abrir facsímil</v>
      </c>
      <c r="K4840" s="3" t="s">
        <v>22</v>
      </c>
    </row>
    <row r="4841" spans="1:11" ht="42" customHeight="1">
      <c r="A4841" s="2" t="s">
        <v>9745</v>
      </c>
      <c r="B4841" s="2" t="s">
        <v>9746</v>
      </c>
      <c r="C4841" s="2" t="s">
        <v>50</v>
      </c>
      <c r="D4841" s="2" t="s">
        <v>51</v>
      </c>
      <c r="E4841" s="5">
        <v>-28172</v>
      </c>
      <c r="F4841" s="3" t="s">
        <v>674</v>
      </c>
      <c r="G4841" s="3" t="s">
        <v>35</v>
      </c>
      <c r="H4841" s="2" t="s">
        <v>20</v>
      </c>
      <c r="I4841" s="2" t="s">
        <v>9749</v>
      </c>
      <c r="J4841" s="3" t="str">
        <f>HYPERLINK("https://www.boe.es/gazeta/dias/1822/11/12/pdfs/GMD-1822-332.pdf#page=2","Abrir facsímil")</f>
        <v>Abrir facsímil</v>
      </c>
      <c r="K4841" s="3" t="s">
        <v>22</v>
      </c>
    </row>
    <row r="4842" spans="1:11" ht="42" customHeight="1">
      <c r="A4842" s="2" t="s">
        <v>9745</v>
      </c>
      <c r="B4842" s="2" t="s">
        <v>9746</v>
      </c>
      <c r="C4842" s="2" t="s">
        <v>24</v>
      </c>
      <c r="D4842" s="2" t="s">
        <v>17</v>
      </c>
      <c r="E4842" s="5">
        <v>-28159</v>
      </c>
      <c r="F4842" s="3" t="s">
        <v>67</v>
      </c>
      <c r="G4842" s="3" t="s">
        <v>35</v>
      </c>
      <c r="H4842" s="2" t="s">
        <v>20</v>
      </c>
      <c r="I4842" s="2" t="s">
        <v>9750</v>
      </c>
      <c r="J4842" s="3" t="str">
        <f>HYPERLINK("https://www.boe.es/gazeta/dias/1822/11/25/pdfs/GMD-1822-345.pdf#page=2","Abrir facsímil")</f>
        <v>Abrir facsímil</v>
      </c>
      <c r="K4842" s="3" t="s">
        <v>22</v>
      </c>
    </row>
    <row r="4843" spans="1:11" ht="42" customHeight="1">
      <c r="A4843" s="2" t="s">
        <v>9751</v>
      </c>
      <c r="B4843" s="2" t="s">
        <v>9752</v>
      </c>
      <c r="C4843" s="2" t="s">
        <v>50</v>
      </c>
      <c r="D4843" s="2" t="s">
        <v>51</v>
      </c>
      <c r="E4843" s="5">
        <v>-28348</v>
      </c>
      <c r="F4843" s="3" t="s">
        <v>2903</v>
      </c>
      <c r="G4843" s="3" t="s">
        <v>35</v>
      </c>
      <c r="H4843" s="2" t="s">
        <v>20</v>
      </c>
      <c r="I4843" s="2" t="s">
        <v>9753</v>
      </c>
      <c r="J4843" s="3" t="str">
        <f>HYPERLINK("https://www.boe.es/gazeta/dias/1822/05/20/pdfs/GMD-1822-143.pdf#page=2","Abrir facsímil")</f>
        <v>Abrir facsímil</v>
      </c>
      <c r="K4843" s="3" t="s">
        <v>22</v>
      </c>
    </row>
    <row r="4844" spans="1:11" ht="42" customHeight="1">
      <c r="A4844" s="2" t="s">
        <v>9754</v>
      </c>
      <c r="B4844" s="2" t="s">
        <v>9754</v>
      </c>
      <c r="C4844" s="2" t="s">
        <v>28</v>
      </c>
      <c r="D4844" s="2" t="s">
        <v>29</v>
      </c>
      <c r="E4844" s="5">
        <v>-28271</v>
      </c>
      <c r="F4844" s="3" t="s">
        <v>4942</v>
      </c>
      <c r="G4844" s="3" t="s">
        <v>31</v>
      </c>
      <c r="H4844" s="2" t="s">
        <v>20</v>
      </c>
      <c r="I4844" s="2" t="s">
        <v>9755</v>
      </c>
      <c r="J4844" s="3" t="str">
        <f>HYPERLINK("https://www.boe.es/gazeta/dias/1822/08/05/pdfs/GMD-1822-229.pdf#page=3","Abrir facsímil")</f>
        <v>Abrir facsímil</v>
      </c>
      <c r="K4844" s="3" t="s">
        <v>22</v>
      </c>
    </row>
    <row r="4845" spans="1:11" ht="42" customHeight="1">
      <c r="A4845" s="2" t="s">
        <v>9756</v>
      </c>
      <c r="B4845" s="2" t="s">
        <v>9757</v>
      </c>
      <c r="C4845" s="2" t="s">
        <v>50</v>
      </c>
      <c r="D4845" s="2" t="s">
        <v>51</v>
      </c>
      <c r="E4845" s="5">
        <v>-28397</v>
      </c>
      <c r="F4845" s="3" t="s">
        <v>1401</v>
      </c>
      <c r="G4845" s="3" t="s">
        <v>57</v>
      </c>
      <c r="H4845" s="2" t="s">
        <v>20</v>
      </c>
      <c r="I4845" s="2" t="s">
        <v>9758</v>
      </c>
      <c r="J4845" s="3" t="str">
        <f>HYPERLINK("https://www.boe.es/gazeta/dias/1822/04/01/pdfs/GMD-1822-93.pdf#page=4","Abrir facsímil")</f>
        <v>Abrir facsímil</v>
      </c>
      <c r="K4845" s="3" t="s">
        <v>22</v>
      </c>
    </row>
    <row r="4846" spans="1:11" ht="42" customHeight="1">
      <c r="A4846" s="2" t="s">
        <v>9759</v>
      </c>
      <c r="B4846" s="2" t="s">
        <v>9760</v>
      </c>
      <c r="C4846" s="2" t="s">
        <v>42</v>
      </c>
      <c r="D4846" s="2" t="s">
        <v>17</v>
      </c>
      <c r="E4846" s="5">
        <v>-28307</v>
      </c>
      <c r="F4846" s="3" t="s">
        <v>555</v>
      </c>
      <c r="G4846" s="3" t="s">
        <v>167</v>
      </c>
      <c r="H4846" s="2" t="s">
        <v>45</v>
      </c>
      <c r="I4846" s="2" t="s">
        <v>9761</v>
      </c>
      <c r="J4846" s="3" t="str">
        <f>HYPERLINK("https://www.boe.es/gazeta/dias/1822/06/30/pdfs/GMD-1822-188.pdf#page=7","Abrir facsímil")</f>
        <v>Abrir facsímil</v>
      </c>
      <c r="K4846" s="3" t="s">
        <v>47</v>
      </c>
    </row>
    <row r="4847" spans="1:11" ht="42" customHeight="1">
      <c r="A4847" s="2" t="s">
        <v>9762</v>
      </c>
      <c r="B4847" s="2" t="s">
        <v>9762</v>
      </c>
      <c r="C4847" s="2" t="s">
        <v>61</v>
      </c>
      <c r="D4847" s="2" t="s">
        <v>17</v>
      </c>
      <c r="E4847" s="5">
        <v>-28286</v>
      </c>
      <c r="F4847" s="3" t="s">
        <v>1853</v>
      </c>
      <c r="G4847" s="3" t="s">
        <v>57</v>
      </c>
      <c r="H4847" s="2" t="s">
        <v>20</v>
      </c>
      <c r="I4847" s="2" t="s">
        <v>9763</v>
      </c>
      <c r="J4847" s="3" t="str">
        <f>HYPERLINK("https://www.boe.es/gazeta/dias/1822/07/21/pdfs/GMD-1822-213.pdf#page=4","Abrir facsímil")</f>
        <v>Abrir facsímil</v>
      </c>
      <c r="K4847" s="3" t="s">
        <v>22</v>
      </c>
    </row>
    <row r="4848" spans="1:11" ht="42" customHeight="1">
      <c r="A4848" s="2" t="s">
        <v>9764</v>
      </c>
      <c r="B4848" s="2" t="s">
        <v>9765</v>
      </c>
      <c r="C4848" s="2" t="s">
        <v>50</v>
      </c>
      <c r="D4848" s="2" t="s">
        <v>51</v>
      </c>
      <c r="E4848" s="5">
        <v>-28210</v>
      </c>
      <c r="F4848" s="3" t="s">
        <v>218</v>
      </c>
      <c r="G4848" s="3" t="s">
        <v>19</v>
      </c>
      <c r="H4848" s="2" t="s">
        <v>45</v>
      </c>
      <c r="I4848" s="2" t="s">
        <v>9766</v>
      </c>
      <c r="J4848" s="3" t="str">
        <f>HYPERLINK("https://www.boe.es/gazeta/dias/1822/10/05/pdfs/GMD-1822-291.pdf#page=5","Abrir facsímil")</f>
        <v>Abrir facsímil</v>
      </c>
      <c r="K4848" s="3" t="s">
        <v>47</v>
      </c>
    </row>
    <row r="4849" spans="1:11" ht="42" customHeight="1">
      <c r="A4849" s="2" t="s">
        <v>9767</v>
      </c>
      <c r="B4849" s="2" t="s">
        <v>9768</v>
      </c>
      <c r="C4849" s="2" t="s">
        <v>42</v>
      </c>
      <c r="D4849" s="2" t="s">
        <v>17</v>
      </c>
      <c r="E4849" s="5">
        <v>-28222</v>
      </c>
      <c r="F4849" s="3" t="s">
        <v>2027</v>
      </c>
      <c r="G4849" s="3" t="s">
        <v>31</v>
      </c>
      <c r="H4849" s="2" t="s">
        <v>20</v>
      </c>
      <c r="I4849" s="2" t="s">
        <v>9769</v>
      </c>
      <c r="J4849" s="3" t="str">
        <f>HYPERLINK("https://www.boe.es/gazeta/dias/1822/09/23/pdfs/GMD-1822-279.pdf#page=3","Abrir facsímil")</f>
        <v>Abrir facsímil</v>
      </c>
      <c r="K4849" s="3" t="s">
        <v>22</v>
      </c>
    </row>
    <row r="4850" spans="1:11" ht="42" customHeight="1">
      <c r="A4850" s="2" t="s">
        <v>9770</v>
      </c>
      <c r="B4850" s="2" t="s">
        <v>9770</v>
      </c>
      <c r="C4850" s="2" t="s">
        <v>71</v>
      </c>
      <c r="D4850" s="2" t="s">
        <v>17</v>
      </c>
      <c r="E4850" s="5">
        <v>-28192</v>
      </c>
      <c r="F4850" s="3" t="s">
        <v>43</v>
      </c>
      <c r="G4850" s="3" t="s">
        <v>19</v>
      </c>
      <c r="H4850" s="2" t="s">
        <v>20</v>
      </c>
      <c r="I4850" s="2" t="s">
        <v>9771</v>
      </c>
      <c r="J4850" s="3" t="str">
        <f>HYPERLINK("https://www.boe.es/gazeta/dias/1822/10/23/pdfs/GMD-1822-310.pdf#page=5","Abrir facsímil")</f>
        <v>Abrir facsímil</v>
      </c>
      <c r="K4850" s="3" t="s">
        <v>22</v>
      </c>
    </row>
    <row r="4851" spans="1:11" ht="42" customHeight="1">
      <c r="A4851" s="2" t="s">
        <v>9772</v>
      </c>
      <c r="B4851" s="2" t="s">
        <v>9773</v>
      </c>
      <c r="C4851" s="2" t="s">
        <v>42</v>
      </c>
      <c r="D4851" s="2" t="s">
        <v>17</v>
      </c>
      <c r="E4851" s="5">
        <v>-28209</v>
      </c>
      <c r="F4851" s="3" t="s">
        <v>748</v>
      </c>
      <c r="G4851" s="3" t="s">
        <v>31</v>
      </c>
      <c r="H4851" s="2" t="s">
        <v>20</v>
      </c>
      <c r="I4851" s="2" t="s">
        <v>9774</v>
      </c>
      <c r="J4851" s="3" t="str">
        <f>HYPERLINK("https://www.boe.es/gazeta/dias/1822/10/06/pdfs/GMD-1822-292.pdf#page=3","Abrir facsímil")</f>
        <v>Abrir facsímil</v>
      </c>
      <c r="K4851" s="3" t="s">
        <v>22</v>
      </c>
    </row>
    <row r="4852" spans="1:11" ht="42" customHeight="1">
      <c r="A4852" s="2" t="s">
        <v>9775</v>
      </c>
      <c r="B4852" s="2" t="s">
        <v>9775</v>
      </c>
      <c r="C4852" s="2" t="s">
        <v>71</v>
      </c>
      <c r="D4852" s="2" t="s">
        <v>17</v>
      </c>
      <c r="E4852" s="5">
        <v>-28182</v>
      </c>
      <c r="F4852" s="3" t="s">
        <v>585</v>
      </c>
      <c r="G4852" s="3" t="s">
        <v>44</v>
      </c>
      <c r="H4852" s="2" t="s">
        <v>20</v>
      </c>
      <c r="I4852" s="2" t="s">
        <v>9776</v>
      </c>
      <c r="J4852" s="3" t="str">
        <f>HYPERLINK("https://www.boe.es/gazeta/dias/1822/11/02/pdfs/GMD-1822-320.pdf#page=1","Abrir facsímil")</f>
        <v>Abrir facsímil</v>
      </c>
      <c r="K4852" s="3" t="s">
        <v>22</v>
      </c>
    </row>
    <row r="4853" spans="1:11" ht="42" customHeight="1">
      <c r="A4853" s="2" t="s">
        <v>9777</v>
      </c>
      <c r="B4853" s="2" t="s">
        <v>9777</v>
      </c>
      <c r="C4853" s="2" t="s">
        <v>50</v>
      </c>
      <c r="D4853" s="2" t="s">
        <v>51</v>
      </c>
      <c r="E4853" s="5">
        <v>-28170</v>
      </c>
      <c r="F4853" s="3" t="s">
        <v>1457</v>
      </c>
      <c r="G4853" s="3" t="s">
        <v>44</v>
      </c>
      <c r="H4853" s="2" t="s">
        <v>20</v>
      </c>
      <c r="I4853" s="2" t="s">
        <v>9778</v>
      </c>
      <c r="J4853" s="3" t="str">
        <f>HYPERLINK("https://www.boe.es/gazeta/dias/1822/11/14/pdfs/GMD-1822-334.pdf#page=1","Abrir facsímil")</f>
        <v>Abrir facsímil</v>
      </c>
      <c r="K4853" s="3" t="s">
        <v>22</v>
      </c>
    </row>
    <row r="4854" spans="1:11" ht="42" customHeight="1">
      <c r="A4854" s="2" t="s">
        <v>9779</v>
      </c>
      <c r="B4854" s="2" t="s">
        <v>9780</v>
      </c>
      <c r="C4854" s="2" t="s">
        <v>24</v>
      </c>
      <c r="D4854" s="2" t="s">
        <v>17</v>
      </c>
      <c r="E4854" s="5">
        <v>-28486</v>
      </c>
      <c r="F4854" s="3" t="s">
        <v>1046</v>
      </c>
      <c r="G4854" s="3" t="s">
        <v>57</v>
      </c>
      <c r="H4854" s="2" t="s">
        <v>20</v>
      </c>
      <c r="I4854" s="2" t="s">
        <v>9781</v>
      </c>
      <c r="J4854" s="3" t="str">
        <f>HYPERLINK("https://www.boe.es/gazeta/dias/1822/01/02/pdfs/GMD-1822-2.pdf#page=4","Abrir facsímil")</f>
        <v>Abrir facsímil</v>
      </c>
      <c r="K4854" s="3" t="s">
        <v>22</v>
      </c>
    </row>
    <row r="4855" spans="1:11" ht="42" customHeight="1">
      <c r="A4855" s="2" t="s">
        <v>9782</v>
      </c>
      <c r="B4855" s="2" t="s">
        <v>9783</v>
      </c>
      <c r="C4855" s="2" t="s">
        <v>71</v>
      </c>
      <c r="D4855" s="2" t="s">
        <v>17</v>
      </c>
      <c r="E4855" s="5">
        <v>-28293</v>
      </c>
      <c r="F4855" s="3" t="s">
        <v>152</v>
      </c>
      <c r="G4855" s="3" t="s">
        <v>57</v>
      </c>
      <c r="H4855" s="2" t="s">
        <v>45</v>
      </c>
      <c r="I4855" s="2" t="s">
        <v>9784</v>
      </c>
      <c r="J4855" s="3" t="str">
        <f>HYPERLINK("https://www.boe.es/gazeta/dias/1822/07/14/pdfs/GMD-1822-204.pdf#page=4","Abrir facsímil")</f>
        <v>Abrir facsímil</v>
      </c>
      <c r="K4855" s="3" t="s">
        <v>47</v>
      </c>
    </row>
    <row r="4856" spans="1:11" ht="42" customHeight="1">
      <c r="A4856" s="2" t="s">
        <v>9785</v>
      </c>
      <c r="B4856" s="2" t="s">
        <v>9786</v>
      </c>
      <c r="C4856" s="2" t="s">
        <v>28</v>
      </c>
      <c r="D4856" s="2" t="s">
        <v>29</v>
      </c>
      <c r="E4856" s="5">
        <v>-28394</v>
      </c>
      <c r="F4856" s="3" t="s">
        <v>268</v>
      </c>
      <c r="G4856" s="3" t="s">
        <v>57</v>
      </c>
      <c r="H4856" s="2" t="s">
        <v>20</v>
      </c>
      <c r="I4856" s="2" t="s">
        <v>9787</v>
      </c>
      <c r="J4856" s="3" t="str">
        <f>HYPERLINK("https://www.boe.es/gazeta/dias/1822/04/04/pdfs/GMD-1822-96.pdf#page=4","Abrir facsímil")</f>
        <v>Abrir facsímil</v>
      </c>
      <c r="K4856" s="3" t="s">
        <v>22</v>
      </c>
    </row>
    <row r="4857" spans="1:11" ht="42" customHeight="1">
      <c r="A4857" s="2" t="s">
        <v>9788</v>
      </c>
      <c r="B4857" s="2" t="s">
        <v>9788</v>
      </c>
      <c r="C4857" s="2" t="s">
        <v>42</v>
      </c>
      <c r="D4857" s="2" t="s">
        <v>17</v>
      </c>
      <c r="E4857" s="5">
        <v>-28372</v>
      </c>
      <c r="F4857" s="3" t="s">
        <v>503</v>
      </c>
      <c r="G4857" s="3" t="s">
        <v>35</v>
      </c>
      <c r="H4857" s="2" t="s">
        <v>20</v>
      </c>
      <c r="I4857" s="2" t="s">
        <v>9789</v>
      </c>
      <c r="J4857" s="3" t="str">
        <f>HYPERLINK("https://www.boe.es/gazeta/dias/1822/04/26/pdfs/GMD-1822-118.pdf#page=2","Abrir facsímil")</f>
        <v>Abrir facsímil</v>
      </c>
      <c r="K4857" s="3" t="s">
        <v>22</v>
      </c>
    </row>
    <row r="4858" spans="1:11" ht="42" customHeight="1">
      <c r="A4858" s="2" t="s">
        <v>9790</v>
      </c>
      <c r="B4858" s="2" t="s">
        <v>9791</v>
      </c>
      <c r="C4858" s="2" t="s">
        <v>71</v>
      </c>
      <c r="D4858" s="2" t="s">
        <v>17</v>
      </c>
      <c r="E4858" s="5">
        <v>-28125</v>
      </c>
      <c r="F4858" s="3" t="s">
        <v>322</v>
      </c>
      <c r="G4858" s="3" t="s">
        <v>63</v>
      </c>
      <c r="H4858" s="2" t="s">
        <v>20</v>
      </c>
      <c r="I4858" s="2" t="s">
        <v>9792</v>
      </c>
      <c r="J4858" s="3" t="str">
        <f>HYPERLINK("https://www.boe.es/gazeta/dias/1822/12/29/pdfs/GMD-1822-379.pdf#page=6","Abrir facsímil")</f>
        <v>Abrir facsímil</v>
      </c>
      <c r="K4858" s="3" t="s">
        <v>22</v>
      </c>
    </row>
    <row r="4859" spans="1:11" ht="42" customHeight="1">
      <c r="A4859" s="2" t="s">
        <v>9793</v>
      </c>
      <c r="B4859" s="2" t="s">
        <v>9793</v>
      </c>
      <c r="C4859" s="2" t="s">
        <v>16</v>
      </c>
      <c r="D4859" s="2" t="s">
        <v>17</v>
      </c>
      <c r="E4859" s="5">
        <v>-28276</v>
      </c>
      <c r="F4859" s="3" t="s">
        <v>4746</v>
      </c>
      <c r="G4859" s="3" t="s">
        <v>31</v>
      </c>
      <c r="H4859" s="2" t="s">
        <v>20</v>
      </c>
      <c r="I4859" s="2" t="s">
        <v>9794</v>
      </c>
      <c r="J4859" s="3" t="str">
        <f>HYPERLINK("https://www.boe.es/gazeta/dias/1822/07/31/pdfs/GMD-1822-224.pdf#page=3","Abrir facsímil")</f>
        <v>Abrir facsímil</v>
      </c>
      <c r="K4859" s="3" t="s">
        <v>22</v>
      </c>
    </row>
    <row r="4860" spans="1:11" ht="42" customHeight="1">
      <c r="A4860" s="2" t="s">
        <v>9795</v>
      </c>
      <c r="B4860" s="2" t="s">
        <v>9795</v>
      </c>
      <c r="C4860" s="2" t="s">
        <v>16</v>
      </c>
      <c r="D4860" s="2" t="s">
        <v>17</v>
      </c>
      <c r="E4860" s="5">
        <v>-28351</v>
      </c>
      <c r="F4860" s="3" t="s">
        <v>282</v>
      </c>
      <c r="G4860" s="3" t="s">
        <v>31</v>
      </c>
      <c r="H4860" s="2" t="s">
        <v>20</v>
      </c>
      <c r="I4860" s="2" t="s">
        <v>9796</v>
      </c>
      <c r="J4860" s="3" t="str">
        <f>HYPERLINK("https://www.boe.es/gazeta/dias/1822/05/17/pdfs/GMD-1822-139.pdf#page=3","Abrir facsímil")</f>
        <v>Abrir facsímil</v>
      </c>
      <c r="K4860" s="3" t="s">
        <v>22</v>
      </c>
    </row>
    <row r="4861" spans="1:11" ht="42" customHeight="1">
      <c r="A4861" s="2" t="s">
        <v>9797</v>
      </c>
      <c r="B4861" s="2" t="s">
        <v>9797</v>
      </c>
      <c r="C4861" s="2" t="s">
        <v>42</v>
      </c>
      <c r="D4861" s="2" t="s">
        <v>17</v>
      </c>
      <c r="E4861" s="5">
        <v>-28415</v>
      </c>
      <c r="F4861" s="3" t="s">
        <v>77</v>
      </c>
      <c r="G4861" s="3" t="s">
        <v>35</v>
      </c>
      <c r="H4861" s="2" t="s">
        <v>20</v>
      </c>
      <c r="I4861" s="2" t="s">
        <v>9798</v>
      </c>
      <c r="J4861" s="3" t="str">
        <f>HYPERLINK("https://www.boe.es/gazeta/dias/1822/03/14/pdfs/GMD-1822-75.pdf#page=2","Abrir facsímil")</f>
        <v>Abrir facsímil</v>
      </c>
      <c r="K4861" s="3" t="s">
        <v>22</v>
      </c>
    </row>
    <row r="4862" spans="1:11" ht="42" customHeight="1">
      <c r="A4862" s="2" t="s">
        <v>9797</v>
      </c>
      <c r="B4862" s="2" t="s">
        <v>9797</v>
      </c>
      <c r="C4862" s="2" t="s">
        <v>28</v>
      </c>
      <c r="D4862" s="2" t="s">
        <v>29</v>
      </c>
      <c r="E4862" s="5">
        <v>-28335</v>
      </c>
      <c r="F4862" s="3" t="s">
        <v>3346</v>
      </c>
      <c r="G4862" s="3" t="s">
        <v>57</v>
      </c>
      <c r="H4862" s="2" t="s">
        <v>20</v>
      </c>
      <c r="I4862" s="2" t="s">
        <v>9799</v>
      </c>
      <c r="J4862" s="3" t="str">
        <f>HYPERLINK("https://www.boe.es/gazeta/dias/1822/06/02/pdfs/GMD-1822-158.pdf#page=4","Abrir facsímil")</f>
        <v>Abrir facsímil</v>
      </c>
      <c r="K4862" s="3" t="s">
        <v>22</v>
      </c>
    </row>
    <row r="4863" spans="1:11" ht="42" customHeight="1">
      <c r="A4863" s="2" t="s">
        <v>9797</v>
      </c>
      <c r="B4863" s="2" t="s">
        <v>9797</v>
      </c>
      <c r="C4863" s="2" t="s">
        <v>50</v>
      </c>
      <c r="D4863" s="2" t="s">
        <v>51</v>
      </c>
      <c r="E4863" s="5">
        <v>-28187</v>
      </c>
      <c r="F4863" s="3" t="s">
        <v>929</v>
      </c>
      <c r="G4863" s="3" t="s">
        <v>57</v>
      </c>
      <c r="H4863" s="2" t="s">
        <v>20</v>
      </c>
      <c r="I4863" s="2" t="s">
        <v>9800</v>
      </c>
      <c r="J4863" s="3" t="str">
        <f>HYPERLINK("https://www.boe.es/gazeta/dias/1822/10/28/pdfs/GMD-1822-315.pdf#page=4","Abrir facsímil")</f>
        <v>Abrir facsímil</v>
      </c>
      <c r="K4863" s="3" t="s">
        <v>22</v>
      </c>
    </row>
    <row r="4864" spans="1:11" ht="42" customHeight="1">
      <c r="A4864" s="2" t="s">
        <v>9797</v>
      </c>
      <c r="B4864" s="2" t="s">
        <v>9797</v>
      </c>
      <c r="C4864" s="2" t="s">
        <v>28</v>
      </c>
      <c r="D4864" s="2" t="s">
        <v>29</v>
      </c>
      <c r="E4864" s="5">
        <v>-28175</v>
      </c>
      <c r="F4864" s="3" t="s">
        <v>341</v>
      </c>
      <c r="G4864" s="3" t="s">
        <v>57</v>
      </c>
      <c r="H4864" s="2" t="s">
        <v>20</v>
      </c>
      <c r="I4864" s="2" t="s">
        <v>9801</v>
      </c>
      <c r="J4864" s="3" t="str">
        <f>HYPERLINK("https://www.boe.es/gazeta/dias/1822/11/09/pdfs/GMD-1822-329.pdf#page=4","Abrir facsímil")</f>
        <v>Abrir facsímil</v>
      </c>
      <c r="K4864" s="3" t="s">
        <v>22</v>
      </c>
    </row>
    <row r="4865" spans="1:11" ht="42" customHeight="1">
      <c r="A4865" s="2" t="s">
        <v>9802</v>
      </c>
      <c r="B4865" s="2" t="s">
        <v>9802</v>
      </c>
      <c r="C4865" s="2" t="s">
        <v>28</v>
      </c>
      <c r="D4865" s="2" t="s">
        <v>29</v>
      </c>
      <c r="E4865" s="5">
        <v>-28398</v>
      </c>
      <c r="F4865" s="3" t="s">
        <v>1961</v>
      </c>
      <c r="G4865" s="3" t="s">
        <v>35</v>
      </c>
      <c r="H4865" s="2" t="s">
        <v>20</v>
      </c>
      <c r="I4865" s="2" t="s">
        <v>9803</v>
      </c>
      <c r="J4865" s="3" t="str">
        <f>HYPERLINK("https://www.boe.es/gazeta/dias/1822/03/31/pdfs/GMD-1822-92.pdf#page=2","Abrir facsímil")</f>
        <v>Abrir facsímil</v>
      </c>
      <c r="K4865" s="3" t="s">
        <v>22</v>
      </c>
    </row>
    <row r="4866" spans="1:11" ht="42" customHeight="1">
      <c r="A4866" s="2" t="s">
        <v>9804</v>
      </c>
      <c r="B4866" s="2" t="s">
        <v>9804</v>
      </c>
      <c r="C4866" s="2" t="s">
        <v>24</v>
      </c>
      <c r="D4866" s="2" t="s">
        <v>17</v>
      </c>
      <c r="E4866" s="5">
        <v>-28392</v>
      </c>
      <c r="F4866" s="3" t="s">
        <v>2003</v>
      </c>
      <c r="G4866" s="3" t="s">
        <v>57</v>
      </c>
      <c r="H4866" s="2" t="s">
        <v>20</v>
      </c>
      <c r="I4866" s="2" t="s">
        <v>9805</v>
      </c>
      <c r="J4866" s="3" t="str">
        <f>HYPERLINK("https://www.boe.es/gazeta/dias/1822/04/06/pdfs/GMD-1822-98.pdf#page=4","Abrir facsímil")</f>
        <v>Abrir facsímil</v>
      </c>
      <c r="K4866" s="3" t="s">
        <v>22</v>
      </c>
    </row>
    <row r="4867" spans="1:11" ht="42" customHeight="1">
      <c r="A4867" s="2" t="s">
        <v>9804</v>
      </c>
      <c r="B4867" s="2" t="s">
        <v>9804</v>
      </c>
      <c r="C4867" s="2" t="s">
        <v>50</v>
      </c>
      <c r="D4867" s="2" t="s">
        <v>51</v>
      </c>
      <c r="E4867" s="5">
        <v>-28292</v>
      </c>
      <c r="F4867" s="3" t="s">
        <v>222</v>
      </c>
      <c r="G4867" s="3" t="s">
        <v>35</v>
      </c>
      <c r="H4867" s="2" t="s">
        <v>20</v>
      </c>
      <c r="I4867" s="2" t="s">
        <v>9806</v>
      </c>
      <c r="J4867" s="3" t="str">
        <f>HYPERLINK("https://www.boe.es/gazeta/dias/1822/07/15/pdfs/GMD-1822-205.pdf#page=2","Abrir facsímil")</f>
        <v>Abrir facsímil</v>
      </c>
      <c r="K4867" s="3" t="s">
        <v>22</v>
      </c>
    </row>
    <row r="4868" spans="1:11" ht="42" customHeight="1">
      <c r="A4868" s="2" t="s">
        <v>9804</v>
      </c>
      <c r="B4868" s="2" t="s">
        <v>9804</v>
      </c>
      <c r="C4868" s="2" t="s">
        <v>42</v>
      </c>
      <c r="D4868" s="2" t="s">
        <v>17</v>
      </c>
      <c r="E4868" s="5">
        <v>-28282</v>
      </c>
      <c r="F4868" s="3" t="s">
        <v>6600</v>
      </c>
      <c r="G4868" s="3" t="s">
        <v>6601</v>
      </c>
      <c r="H4868" s="2" t="s">
        <v>20</v>
      </c>
      <c r="I4868" s="2" t="s">
        <v>9807</v>
      </c>
      <c r="J4868" s="3" t="str">
        <f>HYPERLINK("https://www.boe.es/gazeta/dias/1822/07/25/pdfs/GMD-1822-218.pdf#page=4","Abrir facsímil")</f>
        <v>Abrir facsímil</v>
      </c>
      <c r="K4868" s="3" t="s">
        <v>22</v>
      </c>
    </row>
    <row r="4869" spans="1:11" ht="42" customHeight="1">
      <c r="A4869" s="2" t="s">
        <v>9802</v>
      </c>
      <c r="B4869" s="2" t="s">
        <v>9802</v>
      </c>
      <c r="C4869" s="2" t="s">
        <v>28</v>
      </c>
      <c r="D4869" s="2" t="s">
        <v>29</v>
      </c>
      <c r="E4869" s="5">
        <v>-28212</v>
      </c>
      <c r="F4869" s="3" t="s">
        <v>560</v>
      </c>
      <c r="G4869" s="3" t="s">
        <v>31</v>
      </c>
      <c r="H4869" s="2" t="s">
        <v>20</v>
      </c>
      <c r="I4869" s="2" t="s">
        <v>9808</v>
      </c>
      <c r="J4869" s="3" t="str">
        <f>HYPERLINK("https://www.boe.es/gazeta/dias/1822/10/03/pdfs/GMD-1822-289.pdf#page=3","Abrir facsímil")</f>
        <v>Abrir facsímil</v>
      </c>
      <c r="K4869" s="3" t="s">
        <v>22</v>
      </c>
    </row>
    <row r="4870" spans="1:11" ht="42" customHeight="1">
      <c r="A4870" s="2" t="s">
        <v>9804</v>
      </c>
      <c r="B4870" s="2" t="s">
        <v>9804</v>
      </c>
      <c r="C4870" s="2" t="s">
        <v>50</v>
      </c>
      <c r="D4870" s="2" t="s">
        <v>51</v>
      </c>
      <c r="E4870" s="5">
        <v>-28168</v>
      </c>
      <c r="F4870" s="3" t="s">
        <v>3672</v>
      </c>
      <c r="G4870" s="3" t="s">
        <v>31</v>
      </c>
      <c r="H4870" s="2" t="s">
        <v>20</v>
      </c>
      <c r="I4870" s="2" t="s">
        <v>9809</v>
      </c>
      <c r="J4870" s="3" t="str">
        <f>HYPERLINK("https://www.boe.es/gazeta/dias/1822/11/16/pdfs/GMD-1822-336.pdf#page=3","Abrir facsímil")</f>
        <v>Abrir facsímil</v>
      </c>
      <c r="K4870" s="3" t="s">
        <v>22</v>
      </c>
    </row>
    <row r="4871" spans="1:11" ht="42" customHeight="1">
      <c r="A4871" s="2" t="s">
        <v>9810</v>
      </c>
      <c r="B4871" s="2" t="s">
        <v>9810</v>
      </c>
      <c r="C4871" s="2" t="s">
        <v>50</v>
      </c>
      <c r="D4871" s="2" t="s">
        <v>51</v>
      </c>
      <c r="E4871" s="5">
        <v>-28224</v>
      </c>
      <c r="F4871" s="3" t="s">
        <v>1902</v>
      </c>
      <c r="G4871" s="3" t="s">
        <v>31</v>
      </c>
      <c r="H4871" s="2" t="s">
        <v>20</v>
      </c>
      <c r="I4871" s="2" t="s">
        <v>9811</v>
      </c>
      <c r="J4871" s="3" t="str">
        <f>HYPERLINK("https://www.boe.es/gazeta/dias/1822/09/21/pdfs/GMD-1822-277.pdf#page=3","Abrir facsímil")</f>
        <v>Abrir facsímil</v>
      </c>
      <c r="K4871" s="3" t="s">
        <v>22</v>
      </c>
    </row>
    <row r="4872" spans="1:11" ht="42" customHeight="1">
      <c r="A4872" s="2" t="s">
        <v>9812</v>
      </c>
      <c r="B4872" s="2" t="s">
        <v>9813</v>
      </c>
      <c r="C4872" s="2" t="s">
        <v>42</v>
      </c>
      <c r="D4872" s="2" t="s">
        <v>17</v>
      </c>
      <c r="E4872" s="5">
        <v>-28210</v>
      </c>
      <c r="F4872" s="3" t="s">
        <v>218</v>
      </c>
      <c r="G4872" s="3" t="s">
        <v>19</v>
      </c>
      <c r="H4872" s="2" t="s">
        <v>20</v>
      </c>
      <c r="I4872" s="2" t="s">
        <v>9814</v>
      </c>
      <c r="J4872" s="3" t="str">
        <f>HYPERLINK("https://www.boe.es/gazeta/dias/1822/10/05/pdfs/GMD-1822-291.pdf#page=5","Abrir facsímil")</f>
        <v>Abrir facsímil</v>
      </c>
      <c r="K4872" s="3" t="s">
        <v>22</v>
      </c>
    </row>
    <row r="4873" spans="1:11" ht="42" customHeight="1">
      <c r="A4873" s="2" t="s">
        <v>9815</v>
      </c>
      <c r="B4873" s="2" t="s">
        <v>9815</v>
      </c>
      <c r="C4873" s="2" t="s">
        <v>61</v>
      </c>
      <c r="D4873" s="2" t="s">
        <v>17</v>
      </c>
      <c r="E4873" s="5">
        <v>-28264</v>
      </c>
      <c r="F4873" s="3" t="s">
        <v>1329</v>
      </c>
      <c r="G4873" s="3" t="s">
        <v>31</v>
      </c>
      <c r="H4873" s="2" t="s">
        <v>20</v>
      </c>
      <c r="I4873" s="2" t="s">
        <v>9816</v>
      </c>
      <c r="J4873" s="3" t="str">
        <f>HYPERLINK("https://www.boe.es/gazeta/dias/1822/08/12/pdfs/GMD-1822-236.pdf#page=3","Abrir facsímil")</f>
        <v>Abrir facsímil</v>
      </c>
      <c r="K4873" s="3" t="s">
        <v>22</v>
      </c>
    </row>
    <row r="4874" spans="1:11" ht="42" customHeight="1">
      <c r="A4874" s="2" t="s">
        <v>9817</v>
      </c>
      <c r="B4874" s="2" t="s">
        <v>9817</v>
      </c>
      <c r="C4874" s="2" t="s">
        <v>50</v>
      </c>
      <c r="D4874" s="2" t="s">
        <v>51</v>
      </c>
      <c r="E4874" s="5">
        <v>-28172</v>
      </c>
      <c r="F4874" s="3" t="s">
        <v>674</v>
      </c>
      <c r="G4874" s="3" t="s">
        <v>35</v>
      </c>
      <c r="H4874" s="2" t="s">
        <v>20</v>
      </c>
      <c r="I4874" s="2" t="s">
        <v>9818</v>
      </c>
      <c r="J4874" s="3" t="str">
        <f>HYPERLINK("https://www.boe.es/gazeta/dias/1822/11/12/pdfs/GMD-1822-332.pdf#page=2","Abrir facsímil")</f>
        <v>Abrir facsímil</v>
      </c>
      <c r="K4874" s="3" t="s">
        <v>22</v>
      </c>
    </row>
    <row r="4875" spans="1:11" ht="42" customHeight="1">
      <c r="A4875" s="2" t="s">
        <v>9819</v>
      </c>
      <c r="B4875" s="2" t="s">
        <v>9820</v>
      </c>
      <c r="C4875" s="2" t="s">
        <v>50</v>
      </c>
      <c r="D4875" s="2" t="s">
        <v>51</v>
      </c>
      <c r="E4875" s="5">
        <v>-28238</v>
      </c>
      <c r="F4875" s="3" t="s">
        <v>2077</v>
      </c>
      <c r="G4875" s="3" t="s">
        <v>35</v>
      </c>
      <c r="H4875" s="2" t="s">
        <v>20</v>
      </c>
      <c r="I4875" s="2" t="s">
        <v>9821</v>
      </c>
      <c r="J4875" s="3" t="str">
        <f>HYPERLINK("https://www.boe.es/gazeta/dias/1822/09/07/pdfs/GMD-1822-262.pdf#page=2","Abrir facsímil")</f>
        <v>Abrir facsímil</v>
      </c>
      <c r="K4875" s="3" t="s">
        <v>22</v>
      </c>
    </row>
    <row r="4876" spans="1:11" ht="42" customHeight="1">
      <c r="A4876" s="2" t="s">
        <v>9822</v>
      </c>
      <c r="B4876" s="2" t="s">
        <v>9823</v>
      </c>
      <c r="C4876" s="2" t="s">
        <v>50</v>
      </c>
      <c r="D4876" s="2" t="s">
        <v>51</v>
      </c>
      <c r="E4876" s="5">
        <v>-28240</v>
      </c>
      <c r="F4876" s="3" t="s">
        <v>678</v>
      </c>
      <c r="G4876" s="3" t="s">
        <v>44</v>
      </c>
      <c r="H4876" s="2" t="s">
        <v>20</v>
      </c>
      <c r="I4876" s="2" t="s">
        <v>9824</v>
      </c>
      <c r="J4876" s="3" t="str">
        <f>HYPERLINK("https://www.boe.es/gazeta/dias/1822/09/05/pdfs/GMD-1822-260.pdf#page=1","Abrir facsímil")</f>
        <v>Abrir facsímil</v>
      </c>
      <c r="K4876" s="3" t="s">
        <v>22</v>
      </c>
    </row>
    <row r="4877" spans="1:11" ht="42" customHeight="1">
      <c r="A4877" s="2" t="s">
        <v>9825</v>
      </c>
      <c r="B4877" s="2" t="s">
        <v>9825</v>
      </c>
      <c r="C4877" s="2" t="s">
        <v>42</v>
      </c>
      <c r="D4877" s="2" t="s">
        <v>17</v>
      </c>
      <c r="E4877" s="5">
        <v>-28125</v>
      </c>
      <c r="F4877" s="3" t="s">
        <v>322</v>
      </c>
      <c r="G4877" s="3" t="s">
        <v>31</v>
      </c>
      <c r="H4877" s="2" t="s">
        <v>20</v>
      </c>
      <c r="I4877" s="2" t="s">
        <v>9826</v>
      </c>
      <c r="J4877" s="3" t="str">
        <f>HYPERLINK("https://www.boe.es/gazeta/dias/1822/12/29/pdfs/GMD-1822-379.pdf#page=3","Abrir facsímil")</f>
        <v>Abrir facsímil</v>
      </c>
      <c r="K4877" s="3" t="s">
        <v>22</v>
      </c>
    </row>
    <row r="4878" spans="1:11" ht="42" customHeight="1">
      <c r="A4878" s="2" t="s">
        <v>9827</v>
      </c>
      <c r="B4878" s="2" t="s">
        <v>9828</v>
      </c>
      <c r="C4878" s="2" t="s">
        <v>71</v>
      </c>
      <c r="D4878" s="2" t="s">
        <v>17</v>
      </c>
      <c r="E4878" s="5">
        <v>-28216</v>
      </c>
      <c r="F4878" s="3" t="s">
        <v>4661</v>
      </c>
      <c r="G4878" s="3" t="s">
        <v>35</v>
      </c>
      <c r="H4878" s="2" t="s">
        <v>20</v>
      </c>
      <c r="I4878" s="2" t="s">
        <v>9829</v>
      </c>
      <c r="J4878" s="3" t="str">
        <f>HYPERLINK("https://www.boe.es/gazeta/dias/1822/09/29/pdfs/GMD-1822-285.pdf#page=2","Abrir facsímil")</f>
        <v>Abrir facsímil</v>
      </c>
      <c r="K4878" s="3" t="s">
        <v>22</v>
      </c>
    </row>
    <row r="4879" spans="1:11" ht="42" customHeight="1">
      <c r="A4879" s="2" t="s">
        <v>9830</v>
      </c>
      <c r="B4879" s="2" t="s">
        <v>9830</v>
      </c>
      <c r="C4879" s="2" t="s">
        <v>42</v>
      </c>
      <c r="D4879" s="2" t="s">
        <v>17</v>
      </c>
      <c r="E4879" s="5">
        <v>-28201</v>
      </c>
      <c r="F4879" s="3" t="s">
        <v>163</v>
      </c>
      <c r="G4879" s="3" t="s">
        <v>19</v>
      </c>
      <c r="H4879" s="2" t="s">
        <v>20</v>
      </c>
      <c r="I4879" s="2" t="s">
        <v>9831</v>
      </c>
      <c r="J4879" s="3" t="str">
        <f>HYPERLINK("https://www.boe.es/gazeta/dias/1822/10/14/pdfs/GMD-1822-301.pdf#page=5","Abrir facsímil")</f>
        <v>Abrir facsímil</v>
      </c>
      <c r="K4879" s="3" t="s">
        <v>22</v>
      </c>
    </row>
    <row r="4880" spans="1:11" ht="42" customHeight="1">
      <c r="A4880" s="2" t="s">
        <v>9832</v>
      </c>
      <c r="B4880" s="2" t="s">
        <v>9833</v>
      </c>
      <c r="C4880" s="2" t="s">
        <v>50</v>
      </c>
      <c r="D4880" s="2" t="s">
        <v>51</v>
      </c>
      <c r="E4880" s="5">
        <v>-28262</v>
      </c>
      <c r="F4880" s="3" t="s">
        <v>1771</v>
      </c>
      <c r="G4880" s="3" t="s">
        <v>57</v>
      </c>
      <c r="H4880" s="2" t="s">
        <v>20</v>
      </c>
      <c r="I4880" s="2" t="s">
        <v>9834</v>
      </c>
      <c r="J4880" s="3" t="str">
        <f>HYPERLINK("https://www.boe.es/gazeta/dias/1822/08/14/pdfs/GMD-1822-238.pdf#page=4","Abrir facsímil")</f>
        <v>Abrir facsímil</v>
      </c>
      <c r="K4880" s="3" t="s">
        <v>22</v>
      </c>
    </row>
    <row r="4881" spans="1:11" ht="42" customHeight="1">
      <c r="A4881" s="2" t="s">
        <v>9835</v>
      </c>
      <c r="B4881" s="2" t="s">
        <v>9836</v>
      </c>
      <c r="C4881" s="2" t="s">
        <v>50</v>
      </c>
      <c r="D4881" s="2" t="s">
        <v>51</v>
      </c>
      <c r="E4881" s="5">
        <v>-28171</v>
      </c>
      <c r="F4881" s="3" t="s">
        <v>1075</v>
      </c>
      <c r="G4881" s="3" t="s">
        <v>31</v>
      </c>
      <c r="H4881" s="2" t="s">
        <v>20</v>
      </c>
      <c r="I4881" s="2" t="s">
        <v>9837</v>
      </c>
      <c r="J4881" s="3" t="str">
        <f>HYPERLINK("https://www.boe.es/gazeta/dias/1822/11/13/pdfs/GMD-1822-333.pdf#page=3","Abrir facsímil")</f>
        <v>Abrir facsímil</v>
      </c>
      <c r="K4881" s="3" t="s">
        <v>22</v>
      </c>
    </row>
    <row r="4882" spans="1:11" ht="42" customHeight="1">
      <c r="A4882" s="2" t="s">
        <v>9838</v>
      </c>
      <c r="B4882" s="2" t="s">
        <v>9838</v>
      </c>
      <c r="C4882" s="2" t="s">
        <v>71</v>
      </c>
      <c r="D4882" s="2" t="s">
        <v>17</v>
      </c>
      <c r="E4882" s="5">
        <v>-28335</v>
      </c>
      <c r="F4882" s="3" t="s">
        <v>3346</v>
      </c>
      <c r="G4882" s="3" t="s">
        <v>44</v>
      </c>
      <c r="H4882" s="2" t="s">
        <v>20</v>
      </c>
      <c r="I4882" s="2" t="s">
        <v>9839</v>
      </c>
      <c r="J4882" s="3" t="str">
        <f>HYPERLINK("https://www.boe.es/gazeta/dias/1822/06/02/pdfs/GMD-1822-158.pdf#page=1","Abrir facsímil")</f>
        <v>Abrir facsímil</v>
      </c>
      <c r="K4882" s="3" t="s">
        <v>22</v>
      </c>
    </row>
    <row r="4883" spans="1:11" ht="42" customHeight="1">
      <c r="A4883" s="2" t="s">
        <v>9840</v>
      </c>
      <c r="B4883" s="2" t="s">
        <v>9840</v>
      </c>
      <c r="C4883" s="2" t="s">
        <v>42</v>
      </c>
      <c r="D4883" s="2" t="s">
        <v>17</v>
      </c>
      <c r="E4883" s="5">
        <v>-28454</v>
      </c>
      <c r="F4883" s="3" t="s">
        <v>2033</v>
      </c>
      <c r="G4883" s="3" t="s">
        <v>31</v>
      </c>
      <c r="H4883" s="2" t="s">
        <v>20</v>
      </c>
      <c r="I4883" s="2" t="s">
        <v>9841</v>
      </c>
      <c r="J4883" s="3" t="str">
        <f>HYPERLINK("https://www.boe.es/gazeta/dias/1822/02/03/pdfs/GMD-1822-34.pdf#page=3","Abrir facsímil")</f>
        <v>Abrir facsímil</v>
      </c>
      <c r="K4883" s="3" t="s">
        <v>22</v>
      </c>
    </row>
    <row r="4884" spans="1:11" ht="42" customHeight="1">
      <c r="A4884" s="2" t="s">
        <v>9842</v>
      </c>
      <c r="B4884" s="2" t="s">
        <v>9842</v>
      </c>
      <c r="C4884" s="2" t="s">
        <v>50</v>
      </c>
      <c r="D4884" s="2" t="s">
        <v>51</v>
      </c>
      <c r="E4884" s="5">
        <v>-28446</v>
      </c>
      <c r="F4884" s="3" t="s">
        <v>773</v>
      </c>
      <c r="G4884" s="3" t="s">
        <v>31</v>
      </c>
      <c r="H4884" s="2" t="s">
        <v>20</v>
      </c>
      <c r="I4884" s="2" t="s">
        <v>9843</v>
      </c>
      <c r="J4884" s="3" t="str">
        <f>HYPERLINK("https://www.boe.es/gazeta/dias/1822/02/11/pdfs/GMD-1822-42.pdf#page=3","Abrir facsímil")</f>
        <v>Abrir facsímil</v>
      </c>
      <c r="K4884" s="3" t="s">
        <v>22</v>
      </c>
    </row>
    <row r="4885" spans="1:11" ht="42" customHeight="1">
      <c r="A4885" s="2" t="s">
        <v>9842</v>
      </c>
      <c r="B4885" s="2" t="s">
        <v>9842</v>
      </c>
      <c r="C4885" s="2" t="s">
        <v>28</v>
      </c>
      <c r="D4885" s="2" t="s">
        <v>29</v>
      </c>
      <c r="E4885" s="5">
        <v>-28361</v>
      </c>
      <c r="F4885" s="3" t="s">
        <v>374</v>
      </c>
      <c r="G4885" s="3" t="s">
        <v>63</v>
      </c>
      <c r="H4885" s="2" t="s">
        <v>20</v>
      </c>
      <c r="I4885" s="2" t="s">
        <v>9844</v>
      </c>
      <c r="J4885" s="3" t="str">
        <f>HYPERLINK("https://www.boe.es/gazeta/dias/1822/05/07/pdfs/GMD-1822-129.pdf#page=6","Abrir facsímil")</f>
        <v>Abrir facsímil</v>
      </c>
      <c r="K4885" s="3" t="s">
        <v>22</v>
      </c>
    </row>
    <row r="4886" spans="1:11" ht="42" customHeight="1">
      <c r="A4886" s="2" t="s">
        <v>9842</v>
      </c>
      <c r="B4886" s="2" t="s">
        <v>9842</v>
      </c>
      <c r="C4886" s="2" t="s">
        <v>50</v>
      </c>
      <c r="D4886" s="2" t="s">
        <v>51</v>
      </c>
      <c r="E4886" s="5">
        <v>-28239</v>
      </c>
      <c r="F4886" s="3" t="s">
        <v>3154</v>
      </c>
      <c r="G4886" s="3" t="s">
        <v>57</v>
      </c>
      <c r="H4886" s="2" t="s">
        <v>20</v>
      </c>
      <c r="I4886" s="2" t="s">
        <v>9845</v>
      </c>
      <c r="J4886" s="3" t="str">
        <f>HYPERLINK("https://www.boe.es/gazeta/dias/1822/09/06/pdfs/GMD-1822-261.pdf#page=4","Abrir facsímil")</f>
        <v>Abrir facsímil</v>
      </c>
      <c r="K4886" s="3" t="s">
        <v>22</v>
      </c>
    </row>
    <row r="4887" spans="1:11" ht="42" customHeight="1">
      <c r="A4887" s="2" t="s">
        <v>9846</v>
      </c>
      <c r="B4887" s="2" t="s">
        <v>9847</v>
      </c>
      <c r="C4887" s="2" t="s">
        <v>61</v>
      </c>
      <c r="D4887" s="2" t="s">
        <v>17</v>
      </c>
      <c r="E4887" s="5">
        <v>-28216</v>
      </c>
      <c r="F4887" s="3" t="s">
        <v>4661</v>
      </c>
      <c r="G4887" s="3" t="s">
        <v>31</v>
      </c>
      <c r="H4887" s="2" t="s">
        <v>20</v>
      </c>
      <c r="I4887" s="2" t="s">
        <v>9848</v>
      </c>
      <c r="J4887" s="3" t="str">
        <f>HYPERLINK("https://www.boe.es/gazeta/dias/1822/09/29/pdfs/GMD-1822-285.pdf#page=3","Abrir facsímil")</f>
        <v>Abrir facsímil</v>
      </c>
      <c r="K4887" s="3" t="s">
        <v>22</v>
      </c>
    </row>
    <row r="4888" spans="1:11" ht="42" customHeight="1">
      <c r="A4888" s="2" t="s">
        <v>9849</v>
      </c>
      <c r="B4888" s="2" t="s">
        <v>9849</v>
      </c>
      <c r="C4888" s="2" t="s">
        <v>50</v>
      </c>
      <c r="D4888" s="2" t="s">
        <v>51</v>
      </c>
      <c r="E4888" s="5">
        <v>-28454</v>
      </c>
      <c r="F4888" s="3" t="s">
        <v>2033</v>
      </c>
      <c r="G4888" s="3" t="s">
        <v>57</v>
      </c>
      <c r="H4888" s="2" t="s">
        <v>20</v>
      </c>
      <c r="I4888" s="2" t="s">
        <v>9850</v>
      </c>
      <c r="J4888" s="3" t="str">
        <f>HYPERLINK("https://www.boe.es/gazeta/dias/1822/02/03/pdfs/GMD-1822-34.pdf#page=4","Abrir facsímil")</f>
        <v>Abrir facsímil</v>
      </c>
      <c r="K4888" s="3" t="s">
        <v>22</v>
      </c>
    </row>
    <row r="4889" spans="1:11" ht="42" customHeight="1">
      <c r="A4889" s="2" t="s">
        <v>9849</v>
      </c>
      <c r="B4889" s="2" t="s">
        <v>9849</v>
      </c>
      <c r="C4889" s="2" t="s">
        <v>50</v>
      </c>
      <c r="D4889" s="2" t="s">
        <v>51</v>
      </c>
      <c r="E4889" s="5">
        <v>-28453</v>
      </c>
      <c r="F4889" s="3" t="s">
        <v>2039</v>
      </c>
      <c r="G4889" s="3" t="s">
        <v>57</v>
      </c>
      <c r="H4889" s="2" t="s">
        <v>20</v>
      </c>
      <c r="I4889" s="2" t="s">
        <v>9851</v>
      </c>
      <c r="J4889" s="3" t="str">
        <f>HYPERLINK("https://www.boe.es/gazeta/dias/1822/02/04/pdfs/GMD-1822-35.pdf#page=4","Abrir facsímil")</f>
        <v>Abrir facsímil</v>
      </c>
      <c r="K4889" s="3" t="s">
        <v>22</v>
      </c>
    </row>
    <row r="4890" spans="1:11" ht="42" customHeight="1">
      <c r="A4890" s="2" t="s">
        <v>9849</v>
      </c>
      <c r="B4890" s="2" t="s">
        <v>9849</v>
      </c>
      <c r="C4890" s="2" t="s">
        <v>50</v>
      </c>
      <c r="D4890" s="2" t="s">
        <v>51</v>
      </c>
      <c r="E4890" s="5">
        <v>-28451</v>
      </c>
      <c r="F4890" s="3" t="s">
        <v>1674</v>
      </c>
      <c r="G4890" s="3" t="s">
        <v>63</v>
      </c>
      <c r="H4890" s="2" t="s">
        <v>20</v>
      </c>
      <c r="I4890" s="2" t="s">
        <v>9852</v>
      </c>
      <c r="J4890" s="3" t="str">
        <f>HYPERLINK("https://www.boe.es/gazeta/dias/1822/02/06/pdfs/GMD-1822-37.pdf#page=6","Abrir facsímil")</f>
        <v>Abrir facsímil</v>
      </c>
      <c r="K4890" s="3" t="s">
        <v>22</v>
      </c>
    </row>
    <row r="4891" spans="1:11" ht="42" customHeight="1">
      <c r="A4891" s="2" t="s">
        <v>9849</v>
      </c>
      <c r="B4891" s="2" t="s">
        <v>9849</v>
      </c>
      <c r="C4891" s="2" t="s">
        <v>42</v>
      </c>
      <c r="D4891" s="2" t="s">
        <v>17</v>
      </c>
      <c r="E4891" s="5">
        <v>-28450</v>
      </c>
      <c r="F4891" s="3" t="s">
        <v>1450</v>
      </c>
      <c r="G4891" s="3" t="s">
        <v>31</v>
      </c>
      <c r="H4891" s="2" t="s">
        <v>20</v>
      </c>
      <c r="I4891" s="2" t="s">
        <v>9853</v>
      </c>
      <c r="J4891" s="3" t="str">
        <f>HYPERLINK("https://www.boe.es/gazeta/dias/1822/02/07/pdfs/GMD-1822-38.pdf#page=3","Abrir facsímil")</f>
        <v>Abrir facsímil</v>
      </c>
      <c r="K4891" s="3" t="s">
        <v>22</v>
      </c>
    </row>
    <row r="4892" spans="1:11" ht="42" customHeight="1">
      <c r="A4892" s="2" t="s">
        <v>9849</v>
      </c>
      <c r="B4892" s="2" t="s">
        <v>9849</v>
      </c>
      <c r="C4892" s="2" t="s">
        <v>50</v>
      </c>
      <c r="D4892" s="2" t="s">
        <v>51</v>
      </c>
      <c r="E4892" s="5">
        <v>-28449</v>
      </c>
      <c r="F4892" s="3" t="s">
        <v>1342</v>
      </c>
      <c r="G4892" s="3" t="s">
        <v>35</v>
      </c>
      <c r="H4892" s="2" t="s">
        <v>20</v>
      </c>
      <c r="I4892" s="2" t="s">
        <v>9854</v>
      </c>
      <c r="J4892" s="3" t="str">
        <f>HYPERLINK("https://www.boe.es/gazeta/dias/1822/02/08/pdfs/GMD-1822-39.pdf#page=2","Abrir facsímil")</f>
        <v>Abrir facsímil</v>
      </c>
      <c r="K4892" s="3" t="s">
        <v>22</v>
      </c>
    </row>
    <row r="4893" spans="1:11" ht="42" customHeight="1">
      <c r="A4893" s="2" t="s">
        <v>9849</v>
      </c>
      <c r="B4893" s="2" t="s">
        <v>9849</v>
      </c>
      <c r="C4893" s="2" t="s">
        <v>24</v>
      </c>
      <c r="D4893" s="2" t="s">
        <v>17</v>
      </c>
      <c r="E4893" s="5">
        <v>-28448</v>
      </c>
      <c r="F4893" s="3" t="s">
        <v>1670</v>
      </c>
      <c r="G4893" s="3" t="s">
        <v>35</v>
      </c>
      <c r="H4893" s="2" t="s">
        <v>20</v>
      </c>
      <c r="I4893" s="2" t="s">
        <v>9855</v>
      </c>
      <c r="J4893" s="3" t="str">
        <f>HYPERLINK("https://www.boe.es/gazeta/dias/1822/02/09/pdfs/GMD-1822-40.pdf#page=2","Abrir facsímil")</f>
        <v>Abrir facsímil</v>
      </c>
      <c r="K4893" s="3" t="s">
        <v>22</v>
      </c>
    </row>
    <row r="4894" spans="1:11" ht="42" customHeight="1">
      <c r="A4894" s="2" t="s">
        <v>9849</v>
      </c>
      <c r="B4894" s="2" t="s">
        <v>9849</v>
      </c>
      <c r="C4894" s="2" t="s">
        <v>16</v>
      </c>
      <c r="D4894" s="2" t="s">
        <v>17</v>
      </c>
      <c r="E4894" s="5">
        <v>-28448</v>
      </c>
      <c r="F4894" s="3" t="s">
        <v>1670</v>
      </c>
      <c r="G4894" s="3" t="s">
        <v>31</v>
      </c>
      <c r="H4894" s="2" t="s">
        <v>20</v>
      </c>
      <c r="I4894" s="2" t="s">
        <v>9856</v>
      </c>
      <c r="J4894" s="3" t="str">
        <f>HYPERLINK("https://www.boe.es/gazeta/dias/1822/02/09/pdfs/GMD-1822-40.pdf#page=3","Abrir facsímil")</f>
        <v>Abrir facsímil</v>
      </c>
      <c r="K4894" s="3" t="s">
        <v>22</v>
      </c>
    </row>
    <row r="4895" spans="1:11" ht="42" customHeight="1">
      <c r="A4895" s="2" t="s">
        <v>9849</v>
      </c>
      <c r="B4895" s="2" t="s">
        <v>9849</v>
      </c>
      <c r="C4895" s="2" t="s">
        <v>50</v>
      </c>
      <c r="D4895" s="2" t="s">
        <v>51</v>
      </c>
      <c r="E4895" s="5">
        <v>-28447</v>
      </c>
      <c r="F4895" s="3" t="s">
        <v>997</v>
      </c>
      <c r="G4895" s="3" t="s">
        <v>35</v>
      </c>
      <c r="H4895" s="2" t="s">
        <v>20</v>
      </c>
      <c r="I4895" s="2" t="s">
        <v>9857</v>
      </c>
      <c r="J4895" s="3" t="str">
        <f>HYPERLINK("https://www.boe.es/gazeta/dias/1822/02/10/pdfs/GMD-1822-41.pdf#page=2","Abrir facsímil")</f>
        <v>Abrir facsímil</v>
      </c>
      <c r="K4895" s="3" t="s">
        <v>22</v>
      </c>
    </row>
    <row r="4896" spans="1:11" ht="42" customHeight="1">
      <c r="A4896" s="2" t="s">
        <v>9849</v>
      </c>
      <c r="B4896" s="2" t="s">
        <v>9849</v>
      </c>
      <c r="C4896" s="2" t="s">
        <v>24</v>
      </c>
      <c r="D4896" s="2" t="s">
        <v>17</v>
      </c>
      <c r="E4896" s="5">
        <v>-28443</v>
      </c>
      <c r="F4896" s="3" t="s">
        <v>668</v>
      </c>
      <c r="G4896" s="3" t="s">
        <v>35</v>
      </c>
      <c r="H4896" s="2" t="s">
        <v>20</v>
      </c>
      <c r="I4896" s="2" t="s">
        <v>9858</v>
      </c>
      <c r="J4896" s="3" t="str">
        <f>HYPERLINK("https://www.boe.es/gazeta/dias/1822/02/14/pdfs/GMD-1822-45.pdf#page=2","Abrir facsímil")</f>
        <v>Abrir facsímil</v>
      </c>
      <c r="K4896" s="3" t="s">
        <v>22</v>
      </c>
    </row>
    <row r="4897" spans="1:11" ht="42" customHeight="1">
      <c r="A4897" s="2" t="s">
        <v>9849</v>
      </c>
      <c r="B4897" s="2" t="s">
        <v>9849</v>
      </c>
      <c r="C4897" s="2" t="s">
        <v>362</v>
      </c>
      <c r="D4897" s="2" t="s">
        <v>17</v>
      </c>
      <c r="E4897" s="5">
        <v>-28398</v>
      </c>
      <c r="F4897" s="3" t="s">
        <v>1961</v>
      </c>
      <c r="G4897" s="3" t="s">
        <v>2262</v>
      </c>
      <c r="H4897" s="2" t="s">
        <v>20</v>
      </c>
      <c r="I4897" s="2" t="s">
        <v>9859</v>
      </c>
      <c r="J4897" s="3" t="str">
        <f>HYPERLINK("https://www.boe.es/gazeta/dias/1822/03/31/pdfs/GMD-1822-92.pdf#page=4","Abrir facsímil")</f>
        <v>Abrir facsímil</v>
      </c>
      <c r="K4897" s="3" t="s">
        <v>22</v>
      </c>
    </row>
    <row r="4898" spans="1:11" ht="42" customHeight="1">
      <c r="A4898" s="2" t="s">
        <v>9849</v>
      </c>
      <c r="B4898" s="2" t="s">
        <v>9849</v>
      </c>
      <c r="C4898" s="2" t="s">
        <v>28</v>
      </c>
      <c r="D4898" s="2" t="s">
        <v>29</v>
      </c>
      <c r="E4898" s="5">
        <v>-28347</v>
      </c>
      <c r="F4898" s="3" t="s">
        <v>520</v>
      </c>
      <c r="G4898" s="3" t="s">
        <v>44</v>
      </c>
      <c r="H4898" s="2" t="s">
        <v>20</v>
      </c>
      <c r="I4898" s="2" t="s">
        <v>9860</v>
      </c>
      <c r="J4898" s="3" t="str">
        <f>HYPERLINK("https://www.boe.es/gazeta/dias/1822/05/21/pdfs/GMD-1822-144.pdf#page=1","Abrir facsímil")</f>
        <v>Abrir facsímil</v>
      </c>
      <c r="K4898" s="3" t="s">
        <v>22</v>
      </c>
    </row>
    <row r="4899" spans="1:11" ht="42" customHeight="1">
      <c r="A4899" s="2" t="s">
        <v>9849</v>
      </c>
      <c r="B4899" s="2" t="s">
        <v>9849</v>
      </c>
      <c r="C4899" s="2" t="s">
        <v>28</v>
      </c>
      <c r="D4899" s="2" t="s">
        <v>29</v>
      </c>
      <c r="E4899" s="5">
        <v>-28345</v>
      </c>
      <c r="F4899" s="3" t="s">
        <v>294</v>
      </c>
      <c r="G4899" s="3" t="s">
        <v>19</v>
      </c>
      <c r="H4899" s="2" t="s">
        <v>20</v>
      </c>
      <c r="I4899" s="2" t="s">
        <v>9861</v>
      </c>
      <c r="J4899" s="3" t="str">
        <f>HYPERLINK("https://www.boe.es/gazeta/dias/1822/05/23/pdfs/GMD-1822-147.pdf#page=5","Abrir facsímil")</f>
        <v>Abrir facsímil</v>
      </c>
      <c r="K4899" s="3" t="s">
        <v>22</v>
      </c>
    </row>
    <row r="4900" spans="1:11" ht="42" customHeight="1">
      <c r="A4900" s="2" t="s">
        <v>9849</v>
      </c>
      <c r="B4900" s="2" t="s">
        <v>9849</v>
      </c>
      <c r="C4900" s="2" t="s">
        <v>28</v>
      </c>
      <c r="D4900" s="2" t="s">
        <v>29</v>
      </c>
      <c r="E4900" s="5">
        <v>-28339</v>
      </c>
      <c r="F4900" s="3" t="s">
        <v>197</v>
      </c>
      <c r="G4900" s="3" t="s">
        <v>19</v>
      </c>
      <c r="H4900" s="2" t="s">
        <v>20</v>
      </c>
      <c r="I4900" s="2" t="s">
        <v>9862</v>
      </c>
      <c r="J4900" s="3" t="str">
        <f>HYPERLINK("https://www.boe.es/gazeta/dias/1822/05/29/pdfs/GMD-1822-154.pdf#page=5","Abrir facsímil")</f>
        <v>Abrir facsímil</v>
      </c>
      <c r="K4900" s="3" t="s">
        <v>22</v>
      </c>
    </row>
    <row r="4901" spans="1:11" ht="42" customHeight="1">
      <c r="A4901" s="2" t="s">
        <v>9849</v>
      </c>
      <c r="B4901" s="2" t="s">
        <v>9849</v>
      </c>
      <c r="C4901" s="2" t="s">
        <v>362</v>
      </c>
      <c r="D4901" s="2" t="s">
        <v>17</v>
      </c>
      <c r="E4901" s="5">
        <v>-28330</v>
      </c>
      <c r="F4901" s="3" t="s">
        <v>896</v>
      </c>
      <c r="G4901" s="3" t="s">
        <v>57</v>
      </c>
      <c r="H4901" s="2" t="s">
        <v>20</v>
      </c>
      <c r="I4901" s="2" t="s">
        <v>9863</v>
      </c>
      <c r="J4901" s="3" t="str">
        <f>HYPERLINK("https://www.boe.es/gazeta/dias/1822/06/07/pdfs/GMD-1822-164.pdf#page=4","Abrir facsímil")</f>
        <v>Abrir facsímil</v>
      </c>
      <c r="K4901" s="3" t="s">
        <v>22</v>
      </c>
    </row>
    <row r="4902" spans="1:11" ht="42" customHeight="1">
      <c r="A4902" s="2" t="s">
        <v>9849</v>
      </c>
      <c r="B4902" s="2" t="s">
        <v>9849</v>
      </c>
      <c r="C4902" s="2" t="s">
        <v>42</v>
      </c>
      <c r="D4902" s="2" t="s">
        <v>17</v>
      </c>
      <c r="E4902" s="5">
        <v>-28291</v>
      </c>
      <c r="F4902" s="3" t="s">
        <v>363</v>
      </c>
      <c r="G4902" s="3" t="s">
        <v>57</v>
      </c>
      <c r="H4902" s="2" t="s">
        <v>20</v>
      </c>
      <c r="I4902" s="2" t="s">
        <v>9864</v>
      </c>
      <c r="J4902" s="3" t="str">
        <f>HYPERLINK("https://www.boe.es/gazeta/dias/1822/07/16/pdfs/GMD-1822-206.pdf#page=4","Abrir facsímil")</f>
        <v>Abrir facsímil</v>
      </c>
      <c r="K4902" s="3" t="s">
        <v>22</v>
      </c>
    </row>
    <row r="4903" spans="1:11" ht="42" customHeight="1">
      <c r="A4903" s="2" t="s">
        <v>9849</v>
      </c>
      <c r="B4903" s="2" t="s">
        <v>9849</v>
      </c>
      <c r="C4903" s="2" t="s">
        <v>61</v>
      </c>
      <c r="D4903" s="2" t="s">
        <v>17</v>
      </c>
      <c r="E4903" s="5">
        <v>-28284</v>
      </c>
      <c r="F4903" s="3" t="s">
        <v>6484</v>
      </c>
      <c r="G4903" s="3" t="s">
        <v>57</v>
      </c>
      <c r="H4903" s="2" t="s">
        <v>20</v>
      </c>
      <c r="I4903" s="2" t="s">
        <v>9865</v>
      </c>
      <c r="J4903" s="3" t="str">
        <f>HYPERLINK("https://www.boe.es/gazeta/dias/1822/07/23/pdfs/GMD-1822-216.pdf#page=4","Abrir facsímil")</f>
        <v>Abrir facsímil</v>
      </c>
      <c r="K4903" s="3" t="s">
        <v>22</v>
      </c>
    </row>
    <row r="4904" spans="1:11" ht="42" customHeight="1">
      <c r="A4904" s="2" t="s">
        <v>9849</v>
      </c>
      <c r="B4904" s="2" t="s">
        <v>9849</v>
      </c>
      <c r="C4904" s="2" t="s">
        <v>42</v>
      </c>
      <c r="D4904" s="2" t="s">
        <v>17</v>
      </c>
      <c r="E4904" s="5">
        <v>-28281</v>
      </c>
      <c r="F4904" s="3" t="s">
        <v>3310</v>
      </c>
      <c r="G4904" s="3" t="s">
        <v>57</v>
      </c>
      <c r="H4904" s="2" t="s">
        <v>20</v>
      </c>
      <c r="I4904" s="2" t="s">
        <v>9866</v>
      </c>
      <c r="J4904" s="3" t="str">
        <f>HYPERLINK("https://www.boe.es/gazeta/dias/1822/07/26/pdfs/GMD-1822-219.pdf#page=4","Abrir facsímil")</f>
        <v>Abrir facsímil</v>
      </c>
      <c r="K4904" s="3" t="s">
        <v>22</v>
      </c>
    </row>
    <row r="4905" spans="1:11" ht="42" customHeight="1">
      <c r="A4905" s="2" t="s">
        <v>9849</v>
      </c>
      <c r="B4905" s="2" t="s">
        <v>9849</v>
      </c>
      <c r="C4905" s="2" t="s">
        <v>50</v>
      </c>
      <c r="D4905" s="2" t="s">
        <v>51</v>
      </c>
      <c r="E4905" s="5">
        <v>-28278</v>
      </c>
      <c r="F4905" s="3" t="s">
        <v>368</v>
      </c>
      <c r="G4905" s="3" t="s">
        <v>57</v>
      </c>
      <c r="H4905" s="2" t="s">
        <v>20</v>
      </c>
      <c r="I4905" s="2" t="s">
        <v>9867</v>
      </c>
      <c r="J4905" s="3" t="str">
        <f>HYPERLINK("https://www.boe.es/gazeta/dias/1822/07/29/pdfs/GMD-1822-222.pdf#page=4","Abrir facsímil")</f>
        <v>Abrir facsímil</v>
      </c>
      <c r="K4905" s="3" t="s">
        <v>22</v>
      </c>
    </row>
    <row r="4906" spans="1:11" ht="42" customHeight="1">
      <c r="A4906" s="2" t="s">
        <v>9849</v>
      </c>
      <c r="B4906" s="2" t="s">
        <v>9849</v>
      </c>
      <c r="C4906" s="2" t="s">
        <v>28</v>
      </c>
      <c r="D4906" s="2" t="s">
        <v>29</v>
      </c>
      <c r="E4906" s="5">
        <v>-28275</v>
      </c>
      <c r="F4906" s="3" t="s">
        <v>1297</v>
      </c>
      <c r="G4906" s="3" t="s">
        <v>31</v>
      </c>
      <c r="H4906" s="2" t="s">
        <v>20</v>
      </c>
      <c r="I4906" s="2" t="s">
        <v>9868</v>
      </c>
      <c r="J4906" s="3" t="str">
        <f>HYPERLINK("https://www.boe.es/gazeta/dias/1822/08/01/pdfs/GMD-1822-225.pdf#page=3","Abrir facsímil")</f>
        <v>Abrir facsímil</v>
      </c>
      <c r="K4906" s="3" t="s">
        <v>22</v>
      </c>
    </row>
    <row r="4907" spans="1:11" ht="42" customHeight="1">
      <c r="A4907" s="2" t="s">
        <v>9849</v>
      </c>
      <c r="B4907" s="2" t="s">
        <v>9849</v>
      </c>
      <c r="C4907" s="2" t="s">
        <v>50</v>
      </c>
      <c r="D4907" s="2" t="s">
        <v>51</v>
      </c>
      <c r="E4907" s="5">
        <v>-28275</v>
      </c>
      <c r="F4907" s="3" t="s">
        <v>1297</v>
      </c>
      <c r="G4907" s="3" t="s">
        <v>57</v>
      </c>
      <c r="H4907" s="2" t="s">
        <v>20</v>
      </c>
      <c r="I4907" s="2" t="s">
        <v>9869</v>
      </c>
      <c r="J4907" s="3" t="str">
        <f>HYPERLINK("https://www.boe.es/gazeta/dias/1822/08/01/pdfs/GMD-1822-225.pdf#page=4","Abrir facsímil")</f>
        <v>Abrir facsímil</v>
      </c>
      <c r="K4907" s="3" t="s">
        <v>22</v>
      </c>
    </row>
    <row r="4908" spans="1:11" ht="42" customHeight="1">
      <c r="A4908" s="2" t="s">
        <v>9849</v>
      </c>
      <c r="B4908" s="2" t="s">
        <v>9849</v>
      </c>
      <c r="C4908" s="2" t="s">
        <v>28</v>
      </c>
      <c r="D4908" s="2" t="s">
        <v>29</v>
      </c>
      <c r="E4908" s="5">
        <v>-28269</v>
      </c>
      <c r="F4908" s="3" t="s">
        <v>5517</v>
      </c>
      <c r="G4908" s="3" t="s">
        <v>57</v>
      </c>
      <c r="H4908" s="2" t="s">
        <v>20</v>
      </c>
      <c r="I4908" s="2" t="s">
        <v>9870</v>
      </c>
      <c r="J4908" s="3" t="str">
        <f>HYPERLINK("https://www.boe.es/gazeta/dias/1822/08/07/pdfs/GMD-1822-231.pdf#page=4","Abrir facsímil")</f>
        <v>Abrir facsímil</v>
      </c>
      <c r="K4908" s="3" t="s">
        <v>22</v>
      </c>
    </row>
    <row r="4909" spans="1:11" ht="42" customHeight="1">
      <c r="A4909" s="2" t="s">
        <v>9849</v>
      </c>
      <c r="B4909" s="2" t="s">
        <v>9849</v>
      </c>
      <c r="C4909" s="2" t="s">
        <v>42</v>
      </c>
      <c r="D4909" s="2" t="s">
        <v>17</v>
      </c>
      <c r="E4909" s="5">
        <v>-28268</v>
      </c>
      <c r="F4909" s="3" t="s">
        <v>7231</v>
      </c>
      <c r="G4909" s="3" t="s">
        <v>57</v>
      </c>
      <c r="H4909" s="2" t="s">
        <v>20</v>
      </c>
      <c r="I4909" s="2" t="s">
        <v>9871</v>
      </c>
      <c r="J4909" s="3" t="str">
        <f>HYPERLINK("https://www.boe.es/gazeta/dias/1822/08/08/pdfs/GMD-1822-232.pdf#page=4","Abrir facsímil")</f>
        <v>Abrir facsímil</v>
      </c>
      <c r="K4909" s="3" t="s">
        <v>22</v>
      </c>
    </row>
    <row r="4910" spans="1:11" ht="42" customHeight="1">
      <c r="A4910" s="2" t="s">
        <v>9849</v>
      </c>
      <c r="B4910" s="2" t="s">
        <v>9849</v>
      </c>
      <c r="C4910" s="2" t="s">
        <v>61</v>
      </c>
      <c r="D4910" s="2" t="s">
        <v>17</v>
      </c>
      <c r="E4910" s="5">
        <v>-28261</v>
      </c>
      <c r="F4910" s="3" t="s">
        <v>5685</v>
      </c>
      <c r="G4910" s="3" t="s">
        <v>57</v>
      </c>
      <c r="H4910" s="2" t="s">
        <v>20</v>
      </c>
      <c r="I4910" s="2" t="s">
        <v>9872</v>
      </c>
      <c r="J4910" s="3" t="str">
        <f>HYPERLINK("https://www.boe.es/gazeta/dias/1822/08/15/pdfs/GMD-1822-239.pdf#page=4","Abrir facsímil")</f>
        <v>Abrir facsímil</v>
      </c>
      <c r="K4910" s="3" t="s">
        <v>22</v>
      </c>
    </row>
    <row r="4911" spans="1:11" ht="42" customHeight="1">
      <c r="A4911" s="2" t="s">
        <v>9849</v>
      </c>
      <c r="B4911" s="2" t="s">
        <v>9849</v>
      </c>
      <c r="C4911" s="2" t="s">
        <v>50</v>
      </c>
      <c r="D4911" s="2" t="s">
        <v>51</v>
      </c>
      <c r="E4911" s="5">
        <v>-28234</v>
      </c>
      <c r="F4911" s="3" t="s">
        <v>1331</v>
      </c>
      <c r="G4911" s="3" t="s">
        <v>35</v>
      </c>
      <c r="H4911" s="2" t="s">
        <v>20</v>
      </c>
      <c r="I4911" s="2" t="s">
        <v>9873</v>
      </c>
      <c r="J4911" s="3" t="str">
        <f>HYPERLINK("https://www.boe.es/gazeta/dias/1822/09/11/pdfs/GMD-1822-267.pdf#page=2","Abrir facsímil")</f>
        <v>Abrir facsímil</v>
      </c>
      <c r="K4911" s="3" t="s">
        <v>22</v>
      </c>
    </row>
    <row r="4912" spans="1:11" ht="42" customHeight="1">
      <c r="A4912" s="2" t="s">
        <v>9849</v>
      </c>
      <c r="B4912" s="2" t="s">
        <v>9849</v>
      </c>
      <c r="C4912" s="2" t="s">
        <v>50</v>
      </c>
      <c r="D4912" s="2" t="s">
        <v>51</v>
      </c>
      <c r="E4912" s="5">
        <v>-28165</v>
      </c>
      <c r="F4912" s="3" t="s">
        <v>846</v>
      </c>
      <c r="G4912" s="3" t="s">
        <v>57</v>
      </c>
      <c r="H4912" s="2" t="s">
        <v>20</v>
      </c>
      <c r="I4912" s="2" t="s">
        <v>9874</v>
      </c>
      <c r="J4912" s="3" t="str">
        <f>HYPERLINK("https://www.boe.es/gazeta/dias/1822/11/19/pdfs/GMD-1822-339.pdf#page=4","Abrir facsímil")</f>
        <v>Abrir facsímil</v>
      </c>
      <c r="K4912" s="3" t="s">
        <v>22</v>
      </c>
    </row>
    <row r="4913" spans="1:11" ht="42" customHeight="1">
      <c r="A4913" s="2" t="s">
        <v>9875</v>
      </c>
      <c r="B4913" s="2" t="s">
        <v>9875</v>
      </c>
      <c r="C4913" s="2" t="s">
        <v>28</v>
      </c>
      <c r="D4913" s="2" t="s">
        <v>29</v>
      </c>
      <c r="E4913" s="5">
        <v>-28416</v>
      </c>
      <c r="F4913" s="3" t="s">
        <v>97</v>
      </c>
      <c r="G4913" s="3" t="s">
        <v>63</v>
      </c>
      <c r="H4913" s="2" t="s">
        <v>20</v>
      </c>
      <c r="I4913" s="2" t="s">
        <v>9876</v>
      </c>
      <c r="J4913" s="3" t="str">
        <f>HYPERLINK("https://www.boe.es/gazeta/dias/1822/03/13/pdfs/GMD-1822-74.pdf#page=6","Abrir facsímil")</f>
        <v>Abrir facsímil</v>
      </c>
      <c r="K4913" s="3" t="s">
        <v>22</v>
      </c>
    </row>
    <row r="4914" spans="1:11" ht="42" customHeight="1">
      <c r="A4914" s="2" t="s">
        <v>9877</v>
      </c>
      <c r="B4914" s="2" t="s">
        <v>9877</v>
      </c>
      <c r="C4914" s="2" t="s">
        <v>28</v>
      </c>
      <c r="D4914" s="2" t="s">
        <v>29</v>
      </c>
      <c r="E4914" s="5">
        <v>-28309</v>
      </c>
      <c r="F4914" s="3" t="s">
        <v>553</v>
      </c>
      <c r="G4914" s="3" t="s">
        <v>57</v>
      </c>
      <c r="H4914" s="2" t="s">
        <v>20</v>
      </c>
      <c r="I4914" s="2" t="s">
        <v>9878</v>
      </c>
      <c r="J4914" s="3" t="str">
        <f>HYPERLINK("https://www.boe.es/gazeta/dias/1822/06/28/pdfs/GMD-1822-186.pdf#page=4","Abrir facsímil")</f>
        <v>Abrir facsímil</v>
      </c>
      <c r="K4914" s="3" t="s">
        <v>22</v>
      </c>
    </row>
    <row r="4915" spans="1:11" ht="42" customHeight="1">
      <c r="A4915" s="2" t="s">
        <v>9879</v>
      </c>
      <c r="B4915" s="2" t="s">
        <v>9880</v>
      </c>
      <c r="C4915" s="2" t="s">
        <v>28</v>
      </c>
      <c r="D4915" s="2" t="s">
        <v>29</v>
      </c>
      <c r="E4915" s="5">
        <v>-28416</v>
      </c>
      <c r="F4915" s="3" t="s">
        <v>97</v>
      </c>
      <c r="G4915" s="3" t="s">
        <v>63</v>
      </c>
      <c r="H4915" s="2" t="s">
        <v>20</v>
      </c>
      <c r="I4915" s="2" t="s">
        <v>9881</v>
      </c>
      <c r="J4915" s="3" t="str">
        <f>HYPERLINK("https://www.boe.es/gazeta/dias/1822/03/13/pdfs/GMD-1822-74.pdf#page=6","Abrir facsímil")</f>
        <v>Abrir facsímil</v>
      </c>
      <c r="K4915" s="3" t="s">
        <v>22</v>
      </c>
    </row>
    <row r="4916" spans="1:11" ht="42" customHeight="1">
      <c r="A4916" s="2" t="s">
        <v>9879</v>
      </c>
      <c r="B4916" s="2" t="s">
        <v>9880</v>
      </c>
      <c r="C4916" s="2" t="s">
        <v>16</v>
      </c>
      <c r="D4916" s="2" t="s">
        <v>17</v>
      </c>
      <c r="E4916" s="5">
        <v>-28415</v>
      </c>
      <c r="F4916" s="3" t="s">
        <v>77</v>
      </c>
      <c r="G4916" s="3" t="s">
        <v>35</v>
      </c>
      <c r="H4916" s="2" t="s">
        <v>20</v>
      </c>
      <c r="I4916" s="2" t="s">
        <v>9882</v>
      </c>
      <c r="J4916" s="3" t="str">
        <f>HYPERLINK("https://www.boe.es/gazeta/dias/1822/03/14/pdfs/GMD-1822-75.pdf#page=2","Abrir facsímil")</f>
        <v>Abrir facsímil</v>
      </c>
      <c r="K4916" s="3" t="s">
        <v>22</v>
      </c>
    </row>
    <row r="4917" spans="1:11" ht="42" customHeight="1">
      <c r="A4917" s="2" t="s">
        <v>9879</v>
      </c>
      <c r="B4917" s="2" t="s">
        <v>9880</v>
      </c>
      <c r="C4917" s="2" t="s">
        <v>28</v>
      </c>
      <c r="D4917" s="2" t="s">
        <v>29</v>
      </c>
      <c r="E4917" s="5">
        <v>-28409</v>
      </c>
      <c r="F4917" s="3" t="s">
        <v>394</v>
      </c>
      <c r="G4917" s="3" t="s">
        <v>31</v>
      </c>
      <c r="H4917" s="2" t="s">
        <v>20</v>
      </c>
      <c r="I4917" s="2" t="s">
        <v>9883</v>
      </c>
      <c r="J4917" s="3" t="str">
        <f>HYPERLINK("https://www.boe.es/gazeta/dias/1822/03/20/pdfs/GMD-1822-81.pdf#page=3","Abrir facsímil")</f>
        <v>Abrir facsímil</v>
      </c>
      <c r="K4917" s="3" t="s">
        <v>22</v>
      </c>
    </row>
    <row r="4918" spans="1:11" ht="42" customHeight="1">
      <c r="A4918" s="2" t="s">
        <v>9879</v>
      </c>
      <c r="B4918" s="2" t="s">
        <v>9880</v>
      </c>
      <c r="C4918" s="2" t="s">
        <v>50</v>
      </c>
      <c r="D4918" s="2" t="s">
        <v>51</v>
      </c>
      <c r="E4918" s="5">
        <v>-28252</v>
      </c>
      <c r="F4918" s="3" t="s">
        <v>4333</v>
      </c>
      <c r="G4918" s="3" t="s">
        <v>57</v>
      </c>
      <c r="H4918" s="2" t="s">
        <v>20</v>
      </c>
      <c r="I4918" s="2" t="s">
        <v>9884</v>
      </c>
      <c r="J4918" s="3" t="str">
        <f>HYPERLINK("https://www.boe.es/gazeta/dias/1822/08/24/pdfs/GMD-1822-248.pdf#page=4","Abrir facsímil")</f>
        <v>Abrir facsímil</v>
      </c>
      <c r="K4918" s="3" t="s">
        <v>22</v>
      </c>
    </row>
    <row r="4919" spans="1:11" ht="42" customHeight="1">
      <c r="A4919" s="2" t="s">
        <v>9879</v>
      </c>
      <c r="B4919" s="2" t="s">
        <v>9880</v>
      </c>
      <c r="C4919" s="2" t="s">
        <v>50</v>
      </c>
      <c r="D4919" s="2" t="s">
        <v>51</v>
      </c>
      <c r="E4919" s="5">
        <v>-28158</v>
      </c>
      <c r="F4919" s="3" t="s">
        <v>590</v>
      </c>
      <c r="G4919" s="3" t="s">
        <v>63</v>
      </c>
      <c r="H4919" s="2" t="s">
        <v>20</v>
      </c>
      <c r="I4919" s="2" t="s">
        <v>9885</v>
      </c>
      <c r="J4919" s="3" t="str">
        <f>HYPERLINK("https://www.boe.es/gazeta/dias/1822/11/26/pdfs/GMD-1822-346.pdf#page=6","Abrir facsímil")</f>
        <v>Abrir facsímil</v>
      </c>
      <c r="K4919" s="3" t="s">
        <v>22</v>
      </c>
    </row>
    <row r="4920" spans="1:11" ht="42" customHeight="1">
      <c r="A4920" s="2" t="s">
        <v>9886</v>
      </c>
      <c r="B4920" s="2" t="s">
        <v>9886</v>
      </c>
      <c r="C4920" s="2" t="s">
        <v>24</v>
      </c>
      <c r="D4920" s="2" t="s">
        <v>17</v>
      </c>
      <c r="E4920" s="5">
        <v>-28450</v>
      </c>
      <c r="F4920" s="3" t="s">
        <v>1450</v>
      </c>
      <c r="G4920" s="3" t="s">
        <v>2247</v>
      </c>
      <c r="H4920" s="2" t="s">
        <v>20</v>
      </c>
      <c r="I4920" s="2" t="s">
        <v>9887</v>
      </c>
      <c r="J4920" s="3" t="str">
        <f>HYPERLINK("https://www.boe.es/gazeta/dias/1822/02/07/pdfs/GMD-1822-38.pdf#page=6","Abrir facsímil")</f>
        <v>Abrir facsímil</v>
      </c>
      <c r="K4920" s="3" t="s">
        <v>22</v>
      </c>
    </row>
    <row r="4921" spans="1:11" ht="42" customHeight="1">
      <c r="A4921" s="2" t="s">
        <v>9888</v>
      </c>
      <c r="B4921" s="2" t="s">
        <v>9888</v>
      </c>
      <c r="C4921" s="2" t="s">
        <v>28</v>
      </c>
      <c r="D4921" s="2" t="s">
        <v>29</v>
      </c>
      <c r="E4921" s="5">
        <v>-28308</v>
      </c>
      <c r="F4921" s="3" t="s">
        <v>1050</v>
      </c>
      <c r="G4921" s="3" t="s">
        <v>35</v>
      </c>
      <c r="H4921" s="2" t="s">
        <v>20</v>
      </c>
      <c r="I4921" s="2" t="s">
        <v>9889</v>
      </c>
      <c r="J4921" s="3" t="str">
        <f>HYPERLINK("https://www.boe.es/gazeta/dias/1822/06/29/pdfs/GMD-1822-187.pdf#page=2","Abrir facsímil")</f>
        <v>Abrir facsímil</v>
      </c>
      <c r="K4921" s="3" t="s">
        <v>22</v>
      </c>
    </row>
    <row r="4922" spans="1:11" ht="42" customHeight="1">
      <c r="A4922" s="2" t="s">
        <v>9890</v>
      </c>
      <c r="B4922" s="2" t="s">
        <v>9890</v>
      </c>
      <c r="C4922" s="2" t="s">
        <v>28</v>
      </c>
      <c r="D4922" s="2" t="s">
        <v>29</v>
      </c>
      <c r="E4922" s="5">
        <v>-28339</v>
      </c>
      <c r="F4922" s="3" t="s">
        <v>197</v>
      </c>
      <c r="G4922" s="3" t="s">
        <v>19</v>
      </c>
      <c r="H4922" s="2" t="s">
        <v>20</v>
      </c>
      <c r="I4922" s="2" t="s">
        <v>9891</v>
      </c>
      <c r="J4922" s="3" t="str">
        <f>HYPERLINK("https://www.boe.es/gazeta/dias/1822/05/29/pdfs/GMD-1822-154.pdf#page=5","Abrir facsímil")</f>
        <v>Abrir facsímil</v>
      </c>
      <c r="K4922" s="3" t="s">
        <v>22</v>
      </c>
    </row>
    <row r="4923" spans="1:11" ht="42" customHeight="1">
      <c r="A4923" s="2" t="s">
        <v>9890</v>
      </c>
      <c r="B4923" s="2" t="s">
        <v>9890</v>
      </c>
      <c r="C4923" s="2" t="s">
        <v>71</v>
      </c>
      <c r="D4923" s="2" t="s">
        <v>17</v>
      </c>
      <c r="E4923" s="5">
        <v>-28336</v>
      </c>
      <c r="F4923" s="3" t="s">
        <v>156</v>
      </c>
      <c r="G4923" s="3" t="s">
        <v>167</v>
      </c>
      <c r="H4923" s="2" t="s">
        <v>20</v>
      </c>
      <c r="I4923" s="2" t="s">
        <v>9892</v>
      </c>
      <c r="J4923" s="3" t="str">
        <f>HYPERLINK("https://www.boe.es/gazeta/dias/1822/06/01/pdfs/GMD-1822-157.pdf#page=7","Abrir facsímil")</f>
        <v>Abrir facsímil</v>
      </c>
      <c r="K4923" s="3" t="s">
        <v>22</v>
      </c>
    </row>
    <row r="4924" spans="1:11" ht="42" customHeight="1">
      <c r="A4924" s="2" t="s">
        <v>9890</v>
      </c>
      <c r="B4924" s="2" t="s">
        <v>9890</v>
      </c>
      <c r="C4924" s="2" t="s">
        <v>24</v>
      </c>
      <c r="D4924" s="2" t="s">
        <v>17</v>
      </c>
      <c r="E4924" s="5">
        <v>-28293</v>
      </c>
      <c r="F4924" s="3" t="s">
        <v>152</v>
      </c>
      <c r="G4924" s="3" t="s">
        <v>31</v>
      </c>
      <c r="H4924" s="2" t="s">
        <v>20</v>
      </c>
      <c r="I4924" s="2" t="s">
        <v>9893</v>
      </c>
      <c r="J4924" s="3" t="str">
        <f>HYPERLINK("https://www.boe.es/gazeta/dias/1822/07/14/pdfs/GMD-1822-204.pdf#page=3","Abrir facsímil")</f>
        <v>Abrir facsímil</v>
      </c>
      <c r="K4924" s="3" t="s">
        <v>22</v>
      </c>
    </row>
    <row r="4925" spans="1:11" ht="42" customHeight="1">
      <c r="A4925" s="2" t="s">
        <v>9890</v>
      </c>
      <c r="B4925" s="2" t="s">
        <v>9890</v>
      </c>
      <c r="C4925" s="2" t="s">
        <v>61</v>
      </c>
      <c r="D4925" s="2" t="s">
        <v>17</v>
      </c>
      <c r="E4925" s="5">
        <v>-28284</v>
      </c>
      <c r="F4925" s="3" t="s">
        <v>6484</v>
      </c>
      <c r="G4925" s="3" t="s">
        <v>57</v>
      </c>
      <c r="H4925" s="2" t="s">
        <v>20</v>
      </c>
      <c r="I4925" s="2" t="s">
        <v>9894</v>
      </c>
      <c r="J4925" s="3" t="str">
        <f>HYPERLINK("https://www.boe.es/gazeta/dias/1822/07/23/pdfs/GMD-1822-216.pdf#page=4","Abrir facsímil")</f>
        <v>Abrir facsímil</v>
      </c>
      <c r="K4925" s="3" t="s">
        <v>22</v>
      </c>
    </row>
    <row r="4926" spans="1:11" ht="42" customHeight="1">
      <c r="A4926" s="2" t="s">
        <v>9890</v>
      </c>
      <c r="B4926" s="2" t="s">
        <v>9890</v>
      </c>
      <c r="C4926" s="2" t="s">
        <v>16</v>
      </c>
      <c r="D4926" s="2" t="s">
        <v>17</v>
      </c>
      <c r="E4926" s="5">
        <v>-28149</v>
      </c>
      <c r="F4926" s="3" t="s">
        <v>1322</v>
      </c>
      <c r="G4926" s="3" t="s">
        <v>57</v>
      </c>
      <c r="H4926" s="2" t="s">
        <v>20</v>
      </c>
      <c r="I4926" s="2" t="s">
        <v>9895</v>
      </c>
      <c r="J4926" s="3" t="str">
        <f>HYPERLINK("https://www.boe.es/gazeta/dias/1822/12/05/pdfs/GMD-1822-355.pdf#page=4","Abrir facsímil")</f>
        <v>Abrir facsímil</v>
      </c>
      <c r="K4926" s="3" t="s">
        <v>22</v>
      </c>
    </row>
    <row r="4927" spans="1:11" ht="42" customHeight="1">
      <c r="A4927" s="2" t="s">
        <v>9896</v>
      </c>
      <c r="B4927" s="2" t="s">
        <v>9896</v>
      </c>
      <c r="C4927" s="2" t="s">
        <v>16</v>
      </c>
      <c r="D4927" s="2" t="s">
        <v>17</v>
      </c>
      <c r="E4927" s="5">
        <v>-28485</v>
      </c>
      <c r="F4927" s="3" t="s">
        <v>1117</v>
      </c>
      <c r="G4927" s="3" t="s">
        <v>57</v>
      </c>
      <c r="H4927" s="2" t="s">
        <v>20</v>
      </c>
      <c r="I4927" s="2" t="s">
        <v>9897</v>
      </c>
      <c r="J4927" s="3" t="str">
        <f>HYPERLINK("https://www.boe.es/gazeta/dias/1822/01/03/pdfs/GMD-1822-3.pdf#page=4","Abrir facsímil")</f>
        <v>Abrir facsímil</v>
      </c>
      <c r="K4927" s="3" t="s">
        <v>22</v>
      </c>
    </row>
    <row r="4928" spans="1:11" ht="42" customHeight="1">
      <c r="A4928" s="2" t="s">
        <v>9898</v>
      </c>
      <c r="B4928" s="2" t="s">
        <v>9898</v>
      </c>
      <c r="C4928" s="2" t="s">
        <v>16</v>
      </c>
      <c r="D4928" s="2" t="s">
        <v>17</v>
      </c>
      <c r="E4928" s="5">
        <v>-28287</v>
      </c>
      <c r="F4928" s="3" t="s">
        <v>1295</v>
      </c>
      <c r="G4928" s="3" t="s">
        <v>19</v>
      </c>
      <c r="H4928" s="2" t="s">
        <v>20</v>
      </c>
      <c r="I4928" s="2" t="s">
        <v>9899</v>
      </c>
      <c r="J4928" s="3" t="str">
        <f>HYPERLINK("https://www.boe.es/gazeta/dias/1822/07/20/pdfs/GMD-1822-212.pdf#page=5","Abrir facsímil")</f>
        <v>Abrir facsímil</v>
      </c>
      <c r="K4928" s="3" t="s">
        <v>22</v>
      </c>
    </row>
    <row r="4929" spans="1:11" ht="42" customHeight="1">
      <c r="A4929" s="2" t="s">
        <v>9900</v>
      </c>
      <c r="B4929" s="2" t="s">
        <v>9901</v>
      </c>
      <c r="C4929" s="2" t="s">
        <v>71</v>
      </c>
      <c r="D4929" s="2" t="s">
        <v>17</v>
      </c>
      <c r="E4929" s="5">
        <v>-28374</v>
      </c>
      <c r="F4929" s="3" t="s">
        <v>171</v>
      </c>
      <c r="G4929" s="3" t="s">
        <v>35</v>
      </c>
      <c r="H4929" s="2" t="s">
        <v>20</v>
      </c>
      <c r="I4929" s="2" t="s">
        <v>9902</v>
      </c>
      <c r="J4929" s="3" t="str">
        <f>HYPERLINK("https://www.boe.es/gazeta/dias/1822/04/24/pdfs/GMD-1822-116.pdf#page=2","Abrir facsímil")</f>
        <v>Abrir facsímil</v>
      </c>
      <c r="K4929" s="3" t="s">
        <v>22</v>
      </c>
    </row>
    <row r="4930" spans="1:11" ht="42" customHeight="1">
      <c r="A4930" s="2" t="s">
        <v>9903</v>
      </c>
      <c r="B4930" s="2" t="s">
        <v>9903</v>
      </c>
      <c r="C4930" s="2" t="s">
        <v>16</v>
      </c>
      <c r="D4930" s="2" t="s">
        <v>17</v>
      </c>
      <c r="E4930" s="5">
        <v>-28363</v>
      </c>
      <c r="F4930" s="3" t="s">
        <v>72</v>
      </c>
      <c r="G4930" s="3" t="s">
        <v>31</v>
      </c>
      <c r="H4930" s="2" t="s">
        <v>20</v>
      </c>
      <c r="I4930" s="2" t="s">
        <v>9904</v>
      </c>
      <c r="J4930" s="3" t="str">
        <f>HYPERLINK("https://www.boe.es/gazeta/dias/1822/05/05/pdfs/GMD-1822-127.pdf#page=3","Abrir facsímil")</f>
        <v>Abrir facsímil</v>
      </c>
      <c r="K4930" s="3" t="s">
        <v>22</v>
      </c>
    </row>
    <row r="4931" spans="1:11" ht="42" customHeight="1">
      <c r="A4931" s="2" t="s">
        <v>9903</v>
      </c>
      <c r="B4931" s="2" t="s">
        <v>9903</v>
      </c>
      <c r="C4931" s="2" t="s">
        <v>71</v>
      </c>
      <c r="D4931" s="2" t="s">
        <v>17</v>
      </c>
      <c r="E4931" s="5">
        <v>-28349</v>
      </c>
      <c r="F4931" s="3" t="s">
        <v>518</v>
      </c>
      <c r="G4931" s="3" t="s">
        <v>35</v>
      </c>
      <c r="H4931" s="2" t="s">
        <v>20</v>
      </c>
      <c r="I4931" s="2" t="s">
        <v>9905</v>
      </c>
      <c r="J4931" s="3" t="str">
        <f>HYPERLINK("https://www.boe.es/gazeta/dias/1822/05/19/pdfs/GMD-1822-141.pdf#page=2","Abrir facsímil")</f>
        <v>Abrir facsímil</v>
      </c>
      <c r="K4931" s="3" t="s">
        <v>22</v>
      </c>
    </row>
    <row r="4932" spans="1:11" ht="42" customHeight="1">
      <c r="A4932" s="2" t="s">
        <v>9903</v>
      </c>
      <c r="B4932" s="2" t="s">
        <v>9903</v>
      </c>
      <c r="C4932" s="2" t="s">
        <v>50</v>
      </c>
      <c r="D4932" s="2" t="s">
        <v>51</v>
      </c>
      <c r="E4932" s="5">
        <v>-28330</v>
      </c>
      <c r="F4932" s="3" t="s">
        <v>896</v>
      </c>
      <c r="G4932" s="3" t="s">
        <v>57</v>
      </c>
      <c r="H4932" s="2" t="s">
        <v>20</v>
      </c>
      <c r="I4932" s="2" t="s">
        <v>9906</v>
      </c>
      <c r="J4932" s="3" t="str">
        <f>HYPERLINK("https://www.boe.es/gazeta/dias/1822/06/07/pdfs/GMD-1822-164.pdf#page=4","Abrir facsímil")</f>
        <v>Abrir facsímil</v>
      </c>
      <c r="K4932" s="3" t="s">
        <v>22</v>
      </c>
    </row>
    <row r="4933" spans="1:11" ht="42" customHeight="1">
      <c r="A4933" s="2" t="s">
        <v>9903</v>
      </c>
      <c r="B4933" s="2" t="s">
        <v>9903</v>
      </c>
      <c r="C4933" s="2" t="s">
        <v>42</v>
      </c>
      <c r="D4933" s="2" t="s">
        <v>17</v>
      </c>
      <c r="E4933" s="5">
        <v>-28251</v>
      </c>
      <c r="F4933" s="3" t="s">
        <v>1485</v>
      </c>
      <c r="G4933" s="3" t="s">
        <v>35</v>
      </c>
      <c r="H4933" s="2" t="s">
        <v>20</v>
      </c>
      <c r="I4933" s="2" t="s">
        <v>9907</v>
      </c>
      <c r="J4933" s="3" t="str">
        <f>HYPERLINK("https://www.boe.es/gazeta/dias/1822/08/25/pdfs/GMD-1822-249.pdf#page=2","Abrir facsímil")</f>
        <v>Abrir facsímil</v>
      </c>
      <c r="K4933" s="3" t="s">
        <v>22</v>
      </c>
    </row>
    <row r="4934" spans="1:11" ht="42" customHeight="1">
      <c r="A4934" s="2" t="s">
        <v>9908</v>
      </c>
      <c r="B4934" s="2" t="s">
        <v>9909</v>
      </c>
      <c r="C4934" s="2" t="s">
        <v>71</v>
      </c>
      <c r="D4934" s="2" t="s">
        <v>17</v>
      </c>
      <c r="E4934" s="5">
        <v>-28389</v>
      </c>
      <c r="F4934" s="3" t="s">
        <v>481</v>
      </c>
      <c r="G4934" s="3" t="s">
        <v>35</v>
      </c>
      <c r="H4934" s="2" t="s">
        <v>20</v>
      </c>
      <c r="I4934" s="2" t="s">
        <v>9910</v>
      </c>
      <c r="J4934" s="3" t="str">
        <f>HYPERLINK("https://www.boe.es/gazeta/dias/1822/04/09/pdfs/GMD-1822-101.pdf#page=2","Abrir facsímil")</f>
        <v>Abrir facsímil</v>
      </c>
      <c r="K4934" s="3" t="s">
        <v>22</v>
      </c>
    </row>
    <row r="4935" spans="1:11" ht="42" customHeight="1">
      <c r="A4935" s="2" t="s">
        <v>9911</v>
      </c>
      <c r="B4935" s="2" t="s">
        <v>9912</v>
      </c>
      <c r="C4935" s="2" t="s">
        <v>28</v>
      </c>
      <c r="D4935" s="2" t="s">
        <v>29</v>
      </c>
      <c r="E4935" s="5">
        <v>-28417</v>
      </c>
      <c r="F4935" s="3" t="s">
        <v>1394</v>
      </c>
      <c r="G4935" s="3" t="s">
        <v>35</v>
      </c>
      <c r="H4935" s="2" t="s">
        <v>20</v>
      </c>
      <c r="I4935" s="2" t="s">
        <v>9913</v>
      </c>
      <c r="J4935" s="3" t="str">
        <f>HYPERLINK("https://www.boe.es/gazeta/dias/1822/03/12/pdfs/GMD-1822-73.pdf#page=2","Abrir facsímil")</f>
        <v>Abrir facsímil</v>
      </c>
      <c r="K4935" s="3" t="s">
        <v>22</v>
      </c>
    </row>
    <row r="4936" spans="1:11" ht="42" customHeight="1">
      <c r="A4936" s="2" t="s">
        <v>9914</v>
      </c>
      <c r="B4936" s="2" t="s">
        <v>9915</v>
      </c>
      <c r="C4936" s="2" t="s">
        <v>50</v>
      </c>
      <c r="D4936" s="2" t="s">
        <v>51</v>
      </c>
      <c r="E4936" s="5">
        <v>-28177</v>
      </c>
      <c r="F4936" s="3" t="s">
        <v>587</v>
      </c>
      <c r="G4936" s="3" t="s">
        <v>63</v>
      </c>
      <c r="H4936" s="2" t="s">
        <v>20</v>
      </c>
      <c r="I4936" s="2" t="s">
        <v>9916</v>
      </c>
      <c r="J4936" s="3" t="str">
        <f>HYPERLINK("https://www.boe.es/gazeta/dias/1822/11/07/pdfs/GMD-1822-327.pdf#page=6","Abrir facsímil")</f>
        <v>Abrir facsímil</v>
      </c>
      <c r="K4936" s="3" t="s">
        <v>22</v>
      </c>
    </row>
    <row r="4937" spans="1:11" ht="42" customHeight="1">
      <c r="A4937" s="2" t="s">
        <v>9917</v>
      </c>
      <c r="B4937" s="2" t="s">
        <v>9918</v>
      </c>
      <c r="C4937" s="2" t="s">
        <v>50</v>
      </c>
      <c r="D4937" s="2" t="s">
        <v>51</v>
      </c>
      <c r="E4937" s="5">
        <v>-28409</v>
      </c>
      <c r="F4937" s="3" t="s">
        <v>394</v>
      </c>
      <c r="G4937" s="3" t="s">
        <v>31</v>
      </c>
      <c r="H4937" s="2" t="s">
        <v>20</v>
      </c>
      <c r="I4937" s="2" t="s">
        <v>9919</v>
      </c>
      <c r="J4937" s="3" t="str">
        <f>HYPERLINK("https://www.boe.es/gazeta/dias/1822/03/20/pdfs/GMD-1822-81.pdf#page=3","Abrir facsímil")</f>
        <v>Abrir facsímil</v>
      </c>
      <c r="K4937" s="3" t="s">
        <v>22</v>
      </c>
    </row>
    <row r="4938" spans="1:11" ht="42" customHeight="1">
      <c r="A4938" s="2" t="s">
        <v>9920</v>
      </c>
      <c r="B4938" s="2" t="s">
        <v>9921</v>
      </c>
      <c r="C4938" s="2" t="s">
        <v>24</v>
      </c>
      <c r="D4938" s="2" t="s">
        <v>17</v>
      </c>
      <c r="E4938" s="5">
        <v>-28374</v>
      </c>
      <c r="F4938" s="3" t="s">
        <v>171</v>
      </c>
      <c r="G4938" s="3" t="s">
        <v>57</v>
      </c>
      <c r="H4938" s="2" t="s">
        <v>20</v>
      </c>
      <c r="I4938" s="2" t="s">
        <v>9922</v>
      </c>
      <c r="J4938" s="3" t="str">
        <f>HYPERLINK("https://www.boe.es/gazeta/dias/1822/04/24/pdfs/GMD-1822-116.pdf#page=4","Abrir facsímil")</f>
        <v>Abrir facsímil</v>
      </c>
      <c r="K4938" s="3" t="s">
        <v>22</v>
      </c>
    </row>
    <row r="4939" spans="1:11" ht="42" customHeight="1">
      <c r="A4939" s="2" t="s">
        <v>9920</v>
      </c>
      <c r="B4939" s="2" t="s">
        <v>9921</v>
      </c>
      <c r="C4939" s="2" t="s">
        <v>28</v>
      </c>
      <c r="D4939" s="2" t="s">
        <v>29</v>
      </c>
      <c r="E4939" s="5">
        <v>-28353</v>
      </c>
      <c r="F4939" s="3" t="s">
        <v>843</v>
      </c>
      <c r="G4939" s="3" t="s">
        <v>19</v>
      </c>
      <c r="H4939" s="2" t="s">
        <v>20</v>
      </c>
      <c r="I4939" s="2" t="s">
        <v>9923</v>
      </c>
      <c r="J4939" s="3" t="str">
        <f>HYPERLINK("https://www.boe.es/gazeta/dias/1822/05/15/pdfs/GMD-1822-137.pdf#page=5","Abrir facsímil")</f>
        <v>Abrir facsímil</v>
      </c>
      <c r="K4939" s="3" t="s">
        <v>22</v>
      </c>
    </row>
    <row r="4940" spans="1:11" ht="42" customHeight="1">
      <c r="A4940" s="2" t="s">
        <v>9920</v>
      </c>
      <c r="B4940" s="2" t="s">
        <v>9921</v>
      </c>
      <c r="C4940" s="2" t="s">
        <v>50</v>
      </c>
      <c r="D4940" s="2" t="s">
        <v>51</v>
      </c>
      <c r="E4940" s="5">
        <v>-28340</v>
      </c>
      <c r="F4940" s="3" t="s">
        <v>139</v>
      </c>
      <c r="G4940" s="3" t="s">
        <v>63</v>
      </c>
      <c r="H4940" s="2" t="s">
        <v>20</v>
      </c>
      <c r="I4940" s="2" t="s">
        <v>9924</v>
      </c>
      <c r="J4940" s="3" t="str">
        <f>HYPERLINK("https://www.boe.es/gazeta/dias/1822/05/28/pdfs/GMD-1822-153.pdf#page=6","Abrir facsímil")</f>
        <v>Abrir facsímil</v>
      </c>
      <c r="K4940" s="3" t="s">
        <v>22</v>
      </c>
    </row>
    <row r="4941" spans="1:11" ht="42" customHeight="1">
      <c r="A4941" s="2" t="s">
        <v>9925</v>
      </c>
      <c r="B4941" s="2" t="s">
        <v>9926</v>
      </c>
      <c r="C4941" s="2" t="s">
        <v>50</v>
      </c>
      <c r="D4941" s="2" t="s">
        <v>51</v>
      </c>
      <c r="E4941" s="5">
        <v>-28292</v>
      </c>
      <c r="F4941" s="3" t="s">
        <v>222</v>
      </c>
      <c r="G4941" s="3" t="s">
        <v>31</v>
      </c>
      <c r="H4941" s="2" t="s">
        <v>20</v>
      </c>
      <c r="I4941" s="2" t="s">
        <v>9927</v>
      </c>
      <c r="J4941" s="3" t="str">
        <f>HYPERLINK("https://www.boe.es/gazeta/dias/1822/07/15/pdfs/GMD-1822-205.pdf#page=3","Abrir facsímil")</f>
        <v>Abrir facsímil</v>
      </c>
      <c r="K4941" s="3" t="s">
        <v>22</v>
      </c>
    </row>
    <row r="4942" spans="1:11" ht="42" customHeight="1">
      <c r="A4942" s="2" t="s">
        <v>9928</v>
      </c>
      <c r="B4942" s="2" t="s">
        <v>9929</v>
      </c>
      <c r="C4942" s="2" t="s">
        <v>28</v>
      </c>
      <c r="D4942" s="2" t="s">
        <v>29</v>
      </c>
      <c r="E4942" s="5">
        <v>-28328</v>
      </c>
      <c r="F4942" s="3" t="s">
        <v>540</v>
      </c>
      <c r="G4942" s="3" t="s">
        <v>541</v>
      </c>
      <c r="H4942" s="2" t="s">
        <v>20</v>
      </c>
      <c r="I4942" s="2" t="s">
        <v>9930</v>
      </c>
      <c r="J4942" s="3" t="str">
        <f>HYPERLINK("https://www.boe.es/gazeta/dias/1822/06/09/pdfs/GMD-1822-166.pdf#page=4","Abrir facsímil")</f>
        <v>Abrir facsímil</v>
      </c>
      <c r="K4942" s="3" t="s">
        <v>22</v>
      </c>
    </row>
    <row r="4943" spans="1:11" ht="42" customHeight="1">
      <c r="A4943" s="2" t="s">
        <v>9931</v>
      </c>
      <c r="B4943" s="2" t="s">
        <v>9931</v>
      </c>
      <c r="C4943" s="2" t="s">
        <v>42</v>
      </c>
      <c r="D4943" s="2" t="s">
        <v>17</v>
      </c>
      <c r="E4943" s="5">
        <v>-28180</v>
      </c>
      <c r="F4943" s="3" t="s">
        <v>839</v>
      </c>
      <c r="G4943" s="3" t="s">
        <v>31</v>
      </c>
      <c r="H4943" s="2" t="s">
        <v>20</v>
      </c>
      <c r="I4943" s="2" t="s">
        <v>9932</v>
      </c>
      <c r="J4943" s="3" t="str">
        <f>HYPERLINK("https://www.boe.es/gazeta/dias/1822/11/04/pdfs/GMD-1822-323.pdf#page=3","Abrir facsímil")</f>
        <v>Abrir facsímil</v>
      </c>
      <c r="K4943" s="3" t="s">
        <v>22</v>
      </c>
    </row>
    <row r="4944" spans="1:11" ht="42" customHeight="1">
      <c r="A4944" s="2" t="s">
        <v>9933</v>
      </c>
      <c r="B4944" s="2" t="s">
        <v>9933</v>
      </c>
      <c r="C4944" s="2" t="s">
        <v>28</v>
      </c>
      <c r="D4944" s="2" t="s">
        <v>29</v>
      </c>
      <c r="E4944" s="5">
        <v>-28321</v>
      </c>
      <c r="F4944" s="3" t="s">
        <v>1142</v>
      </c>
      <c r="G4944" s="3" t="s">
        <v>63</v>
      </c>
      <c r="H4944" s="2" t="s">
        <v>20</v>
      </c>
      <c r="I4944" s="2" t="s">
        <v>9934</v>
      </c>
      <c r="J4944" s="3" t="str">
        <f>HYPERLINK("https://www.boe.es/gazeta/dias/1822/06/16/pdfs/GMD-1822-173.pdf#page=6","Abrir facsímil")</f>
        <v>Abrir facsímil</v>
      </c>
      <c r="K4944" s="3" t="s">
        <v>22</v>
      </c>
    </row>
    <row r="4945" spans="1:11" ht="42" customHeight="1">
      <c r="A4945" s="2" t="s">
        <v>9935</v>
      </c>
      <c r="B4945" s="2" t="s">
        <v>9936</v>
      </c>
      <c r="C4945" s="2" t="s">
        <v>24</v>
      </c>
      <c r="D4945" s="2" t="s">
        <v>17</v>
      </c>
      <c r="E4945" s="5">
        <v>-28300</v>
      </c>
      <c r="F4945" s="3" t="s">
        <v>6533</v>
      </c>
      <c r="G4945" s="3" t="s">
        <v>57</v>
      </c>
      <c r="H4945" s="2" t="s">
        <v>45</v>
      </c>
      <c r="I4945" s="2" t="s">
        <v>9937</v>
      </c>
      <c r="J4945" s="3" t="str">
        <f>HYPERLINK("https://www.boe.es/gazeta/dias/1822/07/07/pdfs/GMD-1822-196.pdf#page=4","Abrir facsímil")</f>
        <v>Abrir facsímil</v>
      </c>
      <c r="K4945" s="3" t="s">
        <v>47</v>
      </c>
    </row>
    <row r="4946" spans="1:11" ht="42" customHeight="1">
      <c r="A4946" s="2" t="s">
        <v>9938</v>
      </c>
      <c r="B4946" s="2" t="s">
        <v>9939</v>
      </c>
      <c r="C4946" s="2" t="s">
        <v>50</v>
      </c>
      <c r="D4946" s="2" t="s">
        <v>51</v>
      </c>
      <c r="E4946" s="5">
        <v>-28262</v>
      </c>
      <c r="F4946" s="3" t="s">
        <v>1771</v>
      </c>
      <c r="G4946" s="3" t="s">
        <v>57</v>
      </c>
      <c r="H4946" s="2" t="s">
        <v>20</v>
      </c>
      <c r="I4946" s="2" t="s">
        <v>9940</v>
      </c>
      <c r="J4946" s="3" t="str">
        <f>HYPERLINK("https://www.boe.es/gazeta/dias/1822/08/14/pdfs/GMD-1822-238.pdf#page=4","Abrir facsímil")</f>
        <v>Abrir facsímil</v>
      </c>
      <c r="K4946" s="3" t="s">
        <v>22</v>
      </c>
    </row>
    <row r="4947" spans="1:11" ht="42" customHeight="1">
      <c r="A4947" s="2" t="s">
        <v>9941</v>
      </c>
      <c r="B4947" s="2" t="s">
        <v>9941</v>
      </c>
      <c r="C4947" s="2" t="s">
        <v>50</v>
      </c>
      <c r="D4947" s="2" t="s">
        <v>51</v>
      </c>
      <c r="E4947" s="5">
        <v>-28308</v>
      </c>
      <c r="F4947" s="3" t="s">
        <v>1050</v>
      </c>
      <c r="G4947" s="3" t="s">
        <v>19</v>
      </c>
      <c r="H4947" s="2" t="s">
        <v>20</v>
      </c>
      <c r="I4947" s="2" t="s">
        <v>9942</v>
      </c>
      <c r="J4947" s="3" t="str">
        <f>HYPERLINK("https://www.boe.es/gazeta/dias/1822/06/29/pdfs/GMD-1822-187.pdf#page=5","Abrir facsímil")</f>
        <v>Abrir facsímil</v>
      </c>
      <c r="K4947" s="3" t="s">
        <v>22</v>
      </c>
    </row>
    <row r="4948" spans="1:11" ht="42" customHeight="1">
      <c r="A4948" s="2" t="s">
        <v>9943</v>
      </c>
      <c r="B4948" s="2" t="s">
        <v>9943</v>
      </c>
      <c r="C4948" s="2" t="s">
        <v>50</v>
      </c>
      <c r="D4948" s="2" t="s">
        <v>51</v>
      </c>
      <c r="E4948" s="5">
        <v>-28366</v>
      </c>
      <c r="F4948" s="3" t="s">
        <v>120</v>
      </c>
      <c r="G4948" s="3" t="s">
        <v>63</v>
      </c>
      <c r="H4948" s="2" t="s">
        <v>20</v>
      </c>
      <c r="I4948" s="2" t="s">
        <v>9944</v>
      </c>
      <c r="J4948" s="3" t="str">
        <f>HYPERLINK("https://www.boe.es/gazeta/dias/1822/05/02/pdfs/GMD-1822-124.pdf#page=6","Abrir facsímil")</f>
        <v>Abrir facsímil</v>
      </c>
      <c r="K4948" s="3" t="s">
        <v>22</v>
      </c>
    </row>
    <row r="4949" spans="1:11" ht="42" customHeight="1">
      <c r="A4949" s="2" t="s">
        <v>9943</v>
      </c>
      <c r="B4949" s="2" t="s">
        <v>9943</v>
      </c>
      <c r="C4949" s="2" t="s">
        <v>50</v>
      </c>
      <c r="D4949" s="2" t="s">
        <v>51</v>
      </c>
      <c r="E4949" s="5">
        <v>-28335</v>
      </c>
      <c r="F4949" s="3" t="s">
        <v>3346</v>
      </c>
      <c r="G4949" s="3" t="s">
        <v>63</v>
      </c>
      <c r="H4949" s="2" t="s">
        <v>20</v>
      </c>
      <c r="I4949" s="2" t="s">
        <v>9945</v>
      </c>
      <c r="J4949" s="3" t="str">
        <f>HYPERLINK("https://www.boe.es/gazeta/dias/1822/06/02/pdfs/GMD-1822-158.pdf#page=6","Abrir facsímil")</f>
        <v>Abrir facsímil</v>
      </c>
      <c r="K4949" s="3" t="s">
        <v>22</v>
      </c>
    </row>
    <row r="4950" spans="1:11" ht="42" customHeight="1">
      <c r="A4950" s="2" t="s">
        <v>9943</v>
      </c>
      <c r="B4950" s="2" t="s">
        <v>9943</v>
      </c>
      <c r="C4950" s="2" t="s">
        <v>50</v>
      </c>
      <c r="D4950" s="2" t="s">
        <v>51</v>
      </c>
      <c r="E4950" s="5">
        <v>-28264</v>
      </c>
      <c r="F4950" s="3" t="s">
        <v>1329</v>
      </c>
      <c r="G4950" s="3" t="s">
        <v>57</v>
      </c>
      <c r="H4950" s="2" t="s">
        <v>20</v>
      </c>
      <c r="I4950" s="2" t="s">
        <v>9946</v>
      </c>
      <c r="J4950" s="3" t="str">
        <f>HYPERLINK("https://www.boe.es/gazeta/dias/1822/08/12/pdfs/GMD-1822-236.pdf#page=4","Abrir facsímil")</f>
        <v>Abrir facsímil</v>
      </c>
      <c r="K4950" s="3" t="s">
        <v>22</v>
      </c>
    </row>
    <row r="4951" spans="1:11" ht="42" customHeight="1">
      <c r="A4951" s="2" t="s">
        <v>9943</v>
      </c>
      <c r="B4951" s="2" t="s">
        <v>9943</v>
      </c>
      <c r="C4951" s="2" t="s">
        <v>42</v>
      </c>
      <c r="D4951" s="2" t="s">
        <v>17</v>
      </c>
      <c r="E4951" s="5">
        <v>-28224</v>
      </c>
      <c r="F4951" s="3" t="s">
        <v>1902</v>
      </c>
      <c r="G4951" s="3" t="s">
        <v>35</v>
      </c>
      <c r="H4951" s="2" t="s">
        <v>20</v>
      </c>
      <c r="I4951" s="2" t="s">
        <v>9947</v>
      </c>
      <c r="J4951" s="3" t="str">
        <f>HYPERLINK("https://www.boe.es/gazeta/dias/1822/09/21/pdfs/GMD-1822-277.pdf#page=2","Abrir facsímil")</f>
        <v>Abrir facsímil</v>
      </c>
      <c r="K4951" s="3" t="s">
        <v>22</v>
      </c>
    </row>
    <row r="4952" spans="1:11" ht="42" customHeight="1">
      <c r="A4952" s="2" t="s">
        <v>9948</v>
      </c>
      <c r="B4952" s="2" t="s">
        <v>9948</v>
      </c>
      <c r="C4952" s="2" t="s">
        <v>50</v>
      </c>
      <c r="D4952" s="2" t="s">
        <v>51</v>
      </c>
      <c r="E4952" s="5">
        <v>-28331</v>
      </c>
      <c r="F4952" s="3" t="s">
        <v>537</v>
      </c>
      <c r="G4952" s="3" t="s">
        <v>44</v>
      </c>
      <c r="H4952" s="2" t="s">
        <v>20</v>
      </c>
      <c r="I4952" s="2" t="s">
        <v>9949</v>
      </c>
      <c r="J4952" s="3" t="str">
        <f>HYPERLINK("https://www.boe.es/gazeta/dias/1822/06/06/pdfs/GMD-1822-163.pdf#page=1","Abrir facsímil")</f>
        <v>Abrir facsímil</v>
      </c>
      <c r="K4952" s="3" t="s">
        <v>22</v>
      </c>
    </row>
    <row r="4953" spans="1:11" ht="42" customHeight="1">
      <c r="A4953" s="2" t="s">
        <v>9950</v>
      </c>
      <c r="B4953" s="2" t="s">
        <v>9950</v>
      </c>
      <c r="C4953" s="2" t="s">
        <v>28</v>
      </c>
      <c r="D4953" s="2" t="s">
        <v>29</v>
      </c>
      <c r="E4953" s="5">
        <v>-28396</v>
      </c>
      <c r="F4953" s="3" t="s">
        <v>1138</v>
      </c>
      <c r="G4953" s="3" t="s">
        <v>157</v>
      </c>
      <c r="H4953" s="2" t="s">
        <v>20</v>
      </c>
      <c r="I4953" s="2" t="s">
        <v>9951</v>
      </c>
      <c r="J4953" s="3" t="str">
        <f>HYPERLINK("https://www.boe.es/gazeta/dias/1822/04/02/pdfs/GMD-1822-94.pdf#page=8","Abrir facsímil")</f>
        <v>Abrir facsímil</v>
      </c>
      <c r="K4953" s="3" t="s">
        <v>22</v>
      </c>
    </row>
    <row r="4954" spans="1:11" ht="42" customHeight="1">
      <c r="A4954" s="2" t="s">
        <v>9950</v>
      </c>
      <c r="B4954" s="2" t="s">
        <v>9950</v>
      </c>
      <c r="C4954" s="2" t="s">
        <v>50</v>
      </c>
      <c r="D4954" s="2" t="s">
        <v>51</v>
      </c>
      <c r="E4954" s="5">
        <v>-28263</v>
      </c>
      <c r="F4954" s="3" t="s">
        <v>7233</v>
      </c>
      <c r="G4954" s="3" t="s">
        <v>35</v>
      </c>
      <c r="H4954" s="2" t="s">
        <v>20</v>
      </c>
      <c r="I4954" s="2" t="s">
        <v>9952</v>
      </c>
      <c r="J4954" s="3" t="str">
        <f>HYPERLINK("https://www.boe.es/gazeta/dias/1822/08/13/pdfs/GMD-1822-237.pdf#page=2","Abrir facsímil")</f>
        <v>Abrir facsímil</v>
      </c>
      <c r="K4954" s="3" t="s">
        <v>22</v>
      </c>
    </row>
    <row r="4955" spans="1:11" ht="42" customHeight="1">
      <c r="A4955" s="2" t="s">
        <v>9950</v>
      </c>
      <c r="B4955" s="2" t="s">
        <v>9950</v>
      </c>
      <c r="C4955" s="2" t="s">
        <v>61</v>
      </c>
      <c r="D4955" s="2" t="s">
        <v>17</v>
      </c>
      <c r="E4955" s="5">
        <v>-28123</v>
      </c>
      <c r="F4955" s="3" t="s">
        <v>603</v>
      </c>
      <c r="G4955" s="3" t="s">
        <v>35</v>
      </c>
      <c r="H4955" s="2" t="s">
        <v>20</v>
      </c>
      <c r="I4955" s="2" t="s">
        <v>9953</v>
      </c>
      <c r="J4955" s="3" t="str">
        <f>HYPERLINK("https://www.boe.es/gazeta/dias/1822/12/31/pdfs/GMD-1822-381.pdf#page=2","Abrir facsímil")</f>
        <v>Abrir facsímil</v>
      </c>
      <c r="K4955" s="3" t="s">
        <v>22</v>
      </c>
    </row>
    <row r="4956" spans="1:11" ht="42" customHeight="1">
      <c r="A4956" s="2" t="s">
        <v>9954</v>
      </c>
      <c r="B4956" s="2" t="s">
        <v>9955</v>
      </c>
      <c r="C4956" s="2" t="s">
        <v>50</v>
      </c>
      <c r="D4956" s="2" t="s">
        <v>51</v>
      </c>
      <c r="E4956" s="5">
        <v>-28147</v>
      </c>
      <c r="F4956" s="3" t="s">
        <v>1611</v>
      </c>
      <c r="G4956" s="3" t="s">
        <v>63</v>
      </c>
      <c r="H4956" s="2" t="s">
        <v>20</v>
      </c>
      <c r="I4956" s="2" t="s">
        <v>9956</v>
      </c>
      <c r="J4956" s="3" t="str">
        <f>HYPERLINK("https://www.boe.es/gazeta/dias/1822/12/07/pdfs/GMD-1822-357.pdf#page=6","Abrir facsímil")</f>
        <v>Abrir facsímil</v>
      </c>
      <c r="K4956" s="3" t="s">
        <v>22</v>
      </c>
    </row>
    <row r="4957" spans="1:11" ht="42" customHeight="1">
      <c r="A4957" s="2" t="s">
        <v>9957</v>
      </c>
      <c r="B4957" s="2" t="s">
        <v>9958</v>
      </c>
      <c r="C4957" s="2" t="s">
        <v>16</v>
      </c>
      <c r="D4957" s="2" t="s">
        <v>17</v>
      </c>
      <c r="E4957" s="5">
        <v>-28219</v>
      </c>
      <c r="F4957" s="3" t="s">
        <v>1082</v>
      </c>
      <c r="G4957" s="3" t="s">
        <v>31</v>
      </c>
      <c r="H4957" s="2" t="s">
        <v>20</v>
      </c>
      <c r="I4957" s="2" t="s">
        <v>9959</v>
      </c>
      <c r="J4957" s="3" t="str">
        <f>HYPERLINK("https://www.boe.es/gazeta/dias/1822/09/26/pdfs/GMD-1822-282.pdf#page=3","Abrir facsímil")</f>
        <v>Abrir facsímil</v>
      </c>
      <c r="K4957" s="3" t="s">
        <v>22</v>
      </c>
    </row>
    <row r="4958" spans="1:11" ht="42" customHeight="1">
      <c r="A4958" s="2" t="s">
        <v>9960</v>
      </c>
      <c r="B4958" s="2" t="s">
        <v>9961</v>
      </c>
      <c r="C4958" s="2" t="s">
        <v>50</v>
      </c>
      <c r="D4958" s="2" t="s">
        <v>51</v>
      </c>
      <c r="E4958" s="5">
        <v>-28130</v>
      </c>
      <c r="F4958" s="3" t="s">
        <v>34</v>
      </c>
      <c r="G4958" s="3" t="s">
        <v>19</v>
      </c>
      <c r="H4958" s="2" t="s">
        <v>20</v>
      </c>
      <c r="I4958" s="2" t="s">
        <v>9962</v>
      </c>
      <c r="J4958" s="3" t="str">
        <f>HYPERLINK("https://www.boe.es/gazeta/dias/1822/12/24/pdfs/GMD-1822-374.pdf#page=5","Abrir facsímil")</f>
        <v>Abrir facsímil</v>
      </c>
      <c r="K4958" s="3" t="s">
        <v>22</v>
      </c>
    </row>
    <row r="4959" spans="1:11" ht="42" customHeight="1">
      <c r="A4959" s="2" t="s">
        <v>9963</v>
      </c>
      <c r="B4959" s="2" t="s">
        <v>9964</v>
      </c>
      <c r="C4959" s="2" t="s">
        <v>50</v>
      </c>
      <c r="D4959" s="2" t="s">
        <v>51</v>
      </c>
      <c r="E4959" s="5">
        <v>-28214</v>
      </c>
      <c r="F4959" s="3" t="s">
        <v>814</v>
      </c>
      <c r="G4959" s="3" t="s">
        <v>35</v>
      </c>
      <c r="H4959" s="2" t="s">
        <v>20</v>
      </c>
      <c r="I4959" s="2" t="s">
        <v>9965</v>
      </c>
      <c r="J4959" s="3" t="str">
        <f>HYPERLINK("https://www.boe.es/gazeta/dias/1822/10/01/pdfs/GMD-1822-287.pdf#page=2","Abrir facsímil")</f>
        <v>Abrir facsímil</v>
      </c>
      <c r="K4959" s="3" t="s">
        <v>22</v>
      </c>
    </row>
    <row r="4960" spans="1:11" ht="42" customHeight="1">
      <c r="A4960" s="2" t="s">
        <v>9966</v>
      </c>
      <c r="B4960" s="2" t="s">
        <v>9967</v>
      </c>
      <c r="C4960" s="2" t="s">
        <v>28</v>
      </c>
      <c r="D4960" s="2" t="s">
        <v>29</v>
      </c>
      <c r="E4960" s="5">
        <v>-28161</v>
      </c>
      <c r="F4960" s="3" t="s">
        <v>166</v>
      </c>
      <c r="G4960" s="3" t="s">
        <v>157</v>
      </c>
      <c r="H4960" s="2" t="s">
        <v>20</v>
      </c>
      <c r="I4960" s="2" t="s">
        <v>9968</v>
      </c>
      <c r="J4960" s="3" t="str">
        <f>HYPERLINK("https://www.boe.es/gazeta/dias/1822/11/23/pdfs/GMD-1822-343.pdf#page=8","Abrir facsímil")</f>
        <v>Abrir facsímil</v>
      </c>
      <c r="K4960" s="3" t="s">
        <v>22</v>
      </c>
    </row>
    <row r="4961" spans="1:11" ht="42" customHeight="1">
      <c r="A4961" s="2" t="s">
        <v>9969</v>
      </c>
      <c r="B4961" s="2" t="s">
        <v>9969</v>
      </c>
      <c r="C4961" s="2" t="s">
        <v>71</v>
      </c>
      <c r="D4961" s="2" t="s">
        <v>17</v>
      </c>
      <c r="E4961" s="5">
        <v>-28417</v>
      </c>
      <c r="F4961" s="3" t="s">
        <v>1394</v>
      </c>
      <c r="G4961" s="3" t="s">
        <v>57</v>
      </c>
      <c r="H4961" s="2" t="s">
        <v>20</v>
      </c>
      <c r="I4961" s="2" t="s">
        <v>9970</v>
      </c>
      <c r="J4961" s="3" t="str">
        <f>HYPERLINK("https://www.boe.es/gazeta/dias/1822/03/12/pdfs/GMD-1822-73.pdf#page=4","Abrir facsímil")</f>
        <v>Abrir facsímil</v>
      </c>
      <c r="K4961" s="3" t="s">
        <v>22</v>
      </c>
    </row>
    <row r="4962" spans="1:11" ht="42" customHeight="1">
      <c r="A4962" s="2" t="s">
        <v>9969</v>
      </c>
      <c r="B4962" s="2" t="s">
        <v>9969</v>
      </c>
      <c r="C4962" s="2" t="s">
        <v>71</v>
      </c>
      <c r="D4962" s="2" t="s">
        <v>17</v>
      </c>
      <c r="E4962" s="5">
        <v>-28345</v>
      </c>
      <c r="F4962" s="3" t="s">
        <v>294</v>
      </c>
      <c r="G4962" s="3" t="s">
        <v>44</v>
      </c>
      <c r="H4962" s="2" t="s">
        <v>20</v>
      </c>
      <c r="I4962" s="2" t="s">
        <v>9971</v>
      </c>
      <c r="J4962" s="3" t="str">
        <f>HYPERLINK("https://www.boe.es/gazeta/dias/1822/05/23/pdfs/GMD-1822-147.pdf#page=1","Abrir facsímil")</f>
        <v>Abrir facsímil</v>
      </c>
      <c r="K4962" s="3" t="s">
        <v>22</v>
      </c>
    </row>
    <row r="4963" spans="1:11" ht="42" customHeight="1">
      <c r="A4963" s="2" t="s">
        <v>9969</v>
      </c>
      <c r="B4963" s="2" t="s">
        <v>9969</v>
      </c>
      <c r="C4963" s="2" t="s">
        <v>50</v>
      </c>
      <c r="D4963" s="2" t="s">
        <v>51</v>
      </c>
      <c r="E4963" s="5">
        <v>-28284</v>
      </c>
      <c r="F4963" s="3" t="s">
        <v>6484</v>
      </c>
      <c r="G4963" s="3" t="s">
        <v>44</v>
      </c>
      <c r="H4963" s="2" t="s">
        <v>20</v>
      </c>
      <c r="I4963" s="2" t="s">
        <v>9972</v>
      </c>
      <c r="J4963" s="3" t="str">
        <f>HYPERLINK("https://www.boe.es/gazeta/dias/1822/07/23/pdfs/GMD-1822-216.pdf#page=1","Abrir facsímil")</f>
        <v>Abrir facsímil</v>
      </c>
      <c r="K4963" s="3" t="s">
        <v>22</v>
      </c>
    </row>
    <row r="4964" spans="1:11" ht="42" customHeight="1">
      <c r="A4964" s="2" t="s">
        <v>9969</v>
      </c>
      <c r="B4964" s="2" t="s">
        <v>9969</v>
      </c>
      <c r="C4964" s="2" t="s">
        <v>50</v>
      </c>
      <c r="D4964" s="2" t="s">
        <v>51</v>
      </c>
      <c r="E4964" s="5">
        <v>-28277</v>
      </c>
      <c r="F4964" s="3" t="s">
        <v>296</v>
      </c>
      <c r="G4964" s="3" t="s">
        <v>63</v>
      </c>
      <c r="H4964" s="2" t="s">
        <v>20</v>
      </c>
      <c r="I4964" s="2" t="s">
        <v>9973</v>
      </c>
      <c r="J4964" s="3" t="str">
        <f>HYPERLINK("https://www.boe.es/gazeta/dias/1822/07/30/pdfs/GMD-1822-223.pdf#page=6","Abrir facsímil")</f>
        <v>Abrir facsímil</v>
      </c>
      <c r="K4964" s="3" t="s">
        <v>22</v>
      </c>
    </row>
    <row r="4965" spans="1:11" ht="42" customHeight="1">
      <c r="A4965" s="2" t="s">
        <v>9969</v>
      </c>
      <c r="B4965" s="2" t="s">
        <v>9969</v>
      </c>
      <c r="C4965" s="2" t="s">
        <v>50</v>
      </c>
      <c r="D4965" s="2" t="s">
        <v>51</v>
      </c>
      <c r="E4965" s="5">
        <v>-28214</v>
      </c>
      <c r="F4965" s="3" t="s">
        <v>814</v>
      </c>
      <c r="G4965" s="3" t="s">
        <v>35</v>
      </c>
      <c r="H4965" s="2" t="s">
        <v>20</v>
      </c>
      <c r="I4965" s="2" t="s">
        <v>9974</v>
      </c>
      <c r="J4965" s="3" t="str">
        <f>HYPERLINK("https://www.boe.es/gazeta/dias/1822/10/01/pdfs/GMD-1822-287.pdf#page=2","Abrir facsímil")</f>
        <v>Abrir facsímil</v>
      </c>
      <c r="K4965" s="3" t="s">
        <v>22</v>
      </c>
    </row>
    <row r="4966" spans="1:11" ht="42" customHeight="1">
      <c r="A4966" s="2" t="s">
        <v>9969</v>
      </c>
      <c r="B4966" s="2" t="s">
        <v>9969</v>
      </c>
      <c r="C4966" s="2" t="s">
        <v>50</v>
      </c>
      <c r="D4966" s="2" t="s">
        <v>51</v>
      </c>
      <c r="E4966" s="5">
        <v>-28190</v>
      </c>
      <c r="F4966" s="3" t="s">
        <v>576</v>
      </c>
      <c r="G4966" s="3" t="s">
        <v>19</v>
      </c>
      <c r="H4966" s="2" t="s">
        <v>20</v>
      </c>
      <c r="I4966" s="2" t="s">
        <v>9975</v>
      </c>
      <c r="J4966" s="3" t="str">
        <f>HYPERLINK("https://www.boe.es/gazeta/dias/1822/10/25/pdfs/GMD-1822-312.pdf#page=5","Abrir facsímil")</f>
        <v>Abrir facsímil</v>
      </c>
      <c r="K4966" s="3" t="s">
        <v>22</v>
      </c>
    </row>
    <row r="4967" spans="1:11" ht="42" customHeight="1">
      <c r="A4967" s="2" t="s">
        <v>9969</v>
      </c>
      <c r="B4967" s="2" t="s">
        <v>9969</v>
      </c>
      <c r="C4967" s="2" t="s">
        <v>50</v>
      </c>
      <c r="D4967" s="2" t="s">
        <v>51</v>
      </c>
      <c r="E4967" s="5">
        <v>-28182</v>
      </c>
      <c r="F4967" s="3" t="s">
        <v>585</v>
      </c>
      <c r="G4967" s="3" t="s">
        <v>57</v>
      </c>
      <c r="H4967" s="2" t="s">
        <v>20</v>
      </c>
      <c r="I4967" s="2" t="s">
        <v>9976</v>
      </c>
      <c r="J4967" s="3" t="str">
        <f>HYPERLINK("https://www.boe.es/gazeta/dias/1822/11/02/pdfs/GMD-1822-320.pdf#page=4","Abrir facsímil")</f>
        <v>Abrir facsímil</v>
      </c>
      <c r="K4967" s="3" t="s">
        <v>22</v>
      </c>
    </row>
    <row r="4968" spans="1:11" ht="42" customHeight="1">
      <c r="A4968" s="2" t="s">
        <v>9969</v>
      </c>
      <c r="B4968" s="2" t="s">
        <v>9969</v>
      </c>
      <c r="C4968" s="2" t="s">
        <v>50</v>
      </c>
      <c r="D4968" s="2" t="s">
        <v>51</v>
      </c>
      <c r="E4968" s="5">
        <v>-28169</v>
      </c>
      <c r="F4968" s="3" t="s">
        <v>2571</v>
      </c>
      <c r="G4968" s="3" t="s">
        <v>44</v>
      </c>
      <c r="H4968" s="2" t="s">
        <v>20</v>
      </c>
      <c r="I4968" s="2" t="s">
        <v>9977</v>
      </c>
      <c r="J4968" s="3" t="str">
        <f>HYPERLINK("https://www.boe.es/gazeta/dias/1822/11/15/pdfs/GMD-1822-335.pdf#page=1","Abrir facsímil")</f>
        <v>Abrir facsímil</v>
      </c>
      <c r="K4968" s="3" t="s">
        <v>22</v>
      </c>
    </row>
    <row r="4969" spans="1:11" ht="42" customHeight="1">
      <c r="A4969" s="2" t="s">
        <v>9969</v>
      </c>
      <c r="B4969" s="2" t="s">
        <v>9969</v>
      </c>
      <c r="C4969" s="2" t="s">
        <v>50</v>
      </c>
      <c r="D4969" s="2" t="s">
        <v>51</v>
      </c>
      <c r="E4969" s="5">
        <v>-28156</v>
      </c>
      <c r="F4969" s="3" t="s">
        <v>1568</v>
      </c>
      <c r="G4969" s="3" t="s">
        <v>57</v>
      </c>
      <c r="H4969" s="2" t="s">
        <v>20</v>
      </c>
      <c r="I4969" s="2" t="s">
        <v>9978</v>
      </c>
      <c r="J4969" s="3" t="str">
        <f>HYPERLINK("https://www.boe.es/gazeta/dias/1822/11/28/pdfs/GMD-1822-348.pdf#page=4","Abrir facsímil")</f>
        <v>Abrir facsímil</v>
      </c>
      <c r="K4969" s="3" t="s">
        <v>22</v>
      </c>
    </row>
    <row r="4970" spans="1:11" ht="42" customHeight="1">
      <c r="A4970" s="2" t="s">
        <v>9979</v>
      </c>
      <c r="B4970" s="2" t="s">
        <v>9980</v>
      </c>
      <c r="C4970" s="2" t="s">
        <v>28</v>
      </c>
      <c r="D4970" s="2" t="s">
        <v>29</v>
      </c>
      <c r="E4970" s="5">
        <v>-28382</v>
      </c>
      <c r="F4970" s="3" t="s">
        <v>973</v>
      </c>
      <c r="G4970" s="3" t="s">
        <v>63</v>
      </c>
      <c r="H4970" s="2" t="s">
        <v>20</v>
      </c>
      <c r="I4970" s="2" t="s">
        <v>9981</v>
      </c>
      <c r="J4970" s="3" t="str">
        <f>HYPERLINK("https://www.boe.es/gazeta/dias/1822/04/16/pdfs/GMD-1822-108.pdf#page=6","Abrir facsímil")</f>
        <v>Abrir facsímil</v>
      </c>
      <c r="K4970" s="3" t="s">
        <v>22</v>
      </c>
    </row>
    <row r="4971" spans="1:11" ht="42" customHeight="1">
      <c r="A4971" s="2" t="s">
        <v>9982</v>
      </c>
      <c r="B4971" s="2" t="s">
        <v>9983</v>
      </c>
      <c r="C4971" s="2" t="s">
        <v>28</v>
      </c>
      <c r="D4971" s="2" t="s">
        <v>29</v>
      </c>
      <c r="E4971" s="5">
        <v>-28360</v>
      </c>
      <c r="F4971" s="3" t="s">
        <v>514</v>
      </c>
      <c r="G4971" s="3" t="s">
        <v>35</v>
      </c>
      <c r="H4971" s="2" t="s">
        <v>20</v>
      </c>
      <c r="I4971" s="2" t="s">
        <v>9984</v>
      </c>
      <c r="J4971" s="3" t="str">
        <f>HYPERLINK("https://www.boe.es/gazeta/dias/1822/05/08/pdfs/GMD-1822-130.pdf#page=2","Abrir facsímil")</f>
        <v>Abrir facsímil</v>
      </c>
      <c r="K4971" s="3" t="s">
        <v>22</v>
      </c>
    </row>
    <row r="4972" spans="1:11" ht="42" customHeight="1">
      <c r="A4972" s="2" t="s">
        <v>9985</v>
      </c>
      <c r="B4972" s="2" t="s">
        <v>9986</v>
      </c>
      <c r="C4972" s="2" t="s">
        <v>28</v>
      </c>
      <c r="D4972" s="2" t="s">
        <v>29</v>
      </c>
      <c r="E4972" s="5">
        <v>-28464</v>
      </c>
      <c r="F4972" s="3" t="s">
        <v>1447</v>
      </c>
      <c r="G4972" s="3" t="s">
        <v>57</v>
      </c>
      <c r="H4972" s="2" t="s">
        <v>20</v>
      </c>
      <c r="I4972" s="2" t="s">
        <v>9987</v>
      </c>
      <c r="J4972" s="3" t="str">
        <f>HYPERLINK("https://www.boe.es/gazeta/dias/1822/01/24/pdfs/GMD-1822-24.pdf#page=4","Abrir facsímil")</f>
        <v>Abrir facsímil</v>
      </c>
      <c r="K4972" s="3" t="s">
        <v>22</v>
      </c>
    </row>
    <row r="4973" spans="1:11" ht="42" customHeight="1">
      <c r="A4973" s="2" t="s">
        <v>9985</v>
      </c>
      <c r="B4973" s="2" t="s">
        <v>9986</v>
      </c>
      <c r="C4973" s="2" t="s">
        <v>28</v>
      </c>
      <c r="D4973" s="2" t="s">
        <v>29</v>
      </c>
      <c r="E4973" s="5">
        <v>-28453</v>
      </c>
      <c r="F4973" s="3" t="s">
        <v>2039</v>
      </c>
      <c r="G4973" s="3" t="s">
        <v>57</v>
      </c>
      <c r="H4973" s="2" t="s">
        <v>20</v>
      </c>
      <c r="I4973" s="2" t="s">
        <v>9988</v>
      </c>
      <c r="J4973" s="3" t="str">
        <f>HYPERLINK("https://www.boe.es/gazeta/dias/1822/02/04/pdfs/GMD-1822-35.pdf#page=4","Abrir facsímil")</f>
        <v>Abrir facsímil</v>
      </c>
      <c r="K4973" s="3" t="s">
        <v>22</v>
      </c>
    </row>
    <row r="4974" spans="1:11" ht="42" customHeight="1">
      <c r="A4974" s="2" t="s">
        <v>9985</v>
      </c>
      <c r="B4974" s="2" t="s">
        <v>9986</v>
      </c>
      <c r="C4974" s="2" t="s">
        <v>42</v>
      </c>
      <c r="D4974" s="2" t="s">
        <v>17</v>
      </c>
      <c r="E4974" s="5">
        <v>-28448</v>
      </c>
      <c r="F4974" s="3" t="s">
        <v>1670</v>
      </c>
      <c r="G4974" s="3" t="s">
        <v>57</v>
      </c>
      <c r="H4974" s="2" t="s">
        <v>20</v>
      </c>
      <c r="I4974" s="2" t="s">
        <v>9989</v>
      </c>
      <c r="J4974" s="3" t="str">
        <f>HYPERLINK("https://www.boe.es/gazeta/dias/1822/02/09/pdfs/GMD-1822-40.pdf#page=4","Abrir facsímil")</f>
        <v>Abrir facsímil</v>
      </c>
      <c r="K4974" s="3" t="s">
        <v>22</v>
      </c>
    </row>
    <row r="4975" spans="1:11" ht="42" customHeight="1">
      <c r="A4975" s="2" t="s">
        <v>9985</v>
      </c>
      <c r="B4975" s="2" t="s">
        <v>9986</v>
      </c>
      <c r="C4975" s="2" t="s">
        <v>50</v>
      </c>
      <c r="D4975" s="2" t="s">
        <v>51</v>
      </c>
      <c r="E4975" s="5">
        <v>-28442</v>
      </c>
      <c r="F4975" s="3" t="s">
        <v>2250</v>
      </c>
      <c r="G4975" s="3" t="s">
        <v>2251</v>
      </c>
      <c r="H4975" s="2" t="s">
        <v>20</v>
      </c>
      <c r="I4975" s="2" t="s">
        <v>9990</v>
      </c>
      <c r="J4975" s="3" t="str">
        <f>HYPERLINK("https://www.boe.es/gazeta/dias/1822/02/15/pdfs/GMD-1822-47.pdf#page=4","Abrir facsímil")</f>
        <v>Abrir facsímil</v>
      </c>
      <c r="K4975" s="3" t="s">
        <v>22</v>
      </c>
    </row>
    <row r="4976" spans="1:11" ht="42" customHeight="1">
      <c r="A4976" s="2" t="s">
        <v>9985</v>
      </c>
      <c r="B4976" s="2" t="s">
        <v>9986</v>
      </c>
      <c r="C4976" s="2" t="s">
        <v>50</v>
      </c>
      <c r="D4976" s="2" t="s">
        <v>51</v>
      </c>
      <c r="E4976" s="5">
        <v>-28438</v>
      </c>
      <c r="F4976" s="3" t="s">
        <v>963</v>
      </c>
      <c r="G4976" s="3" t="s">
        <v>57</v>
      </c>
      <c r="H4976" s="2" t="s">
        <v>20</v>
      </c>
      <c r="I4976" s="2" t="s">
        <v>9991</v>
      </c>
      <c r="J4976" s="3" t="str">
        <f>HYPERLINK("https://www.boe.es/gazeta/dias/1822/02/19/pdfs/GMD-1822-51.pdf#page=4","Abrir facsímil")</f>
        <v>Abrir facsímil</v>
      </c>
      <c r="K4976" s="3" t="s">
        <v>22</v>
      </c>
    </row>
    <row r="4977" spans="1:11" ht="42" customHeight="1">
      <c r="A4977" s="2" t="s">
        <v>9985</v>
      </c>
      <c r="B4977" s="2" t="s">
        <v>9986</v>
      </c>
      <c r="C4977" s="2" t="s">
        <v>28</v>
      </c>
      <c r="D4977" s="2" t="s">
        <v>29</v>
      </c>
      <c r="E4977" s="5">
        <v>-28433</v>
      </c>
      <c r="F4977" s="3" t="s">
        <v>3663</v>
      </c>
      <c r="G4977" s="3" t="s">
        <v>57</v>
      </c>
      <c r="H4977" s="2" t="s">
        <v>20</v>
      </c>
      <c r="I4977" s="2" t="s">
        <v>9992</v>
      </c>
      <c r="J4977" s="3" t="str">
        <f>HYPERLINK("https://www.boe.es/gazeta/dias/1822/02/24/pdfs/GMD-1822-56.pdf#page=4","Abrir facsímil")</f>
        <v>Abrir facsímil</v>
      </c>
      <c r="K4977" s="3" t="s">
        <v>22</v>
      </c>
    </row>
    <row r="4978" spans="1:11" ht="42" customHeight="1">
      <c r="A4978" s="2" t="s">
        <v>9985</v>
      </c>
      <c r="B4978" s="2" t="s">
        <v>9986</v>
      </c>
      <c r="C4978" s="2" t="s">
        <v>28</v>
      </c>
      <c r="D4978" s="2" t="s">
        <v>29</v>
      </c>
      <c r="E4978" s="5">
        <v>-28414</v>
      </c>
      <c r="F4978" s="3" t="s">
        <v>187</v>
      </c>
      <c r="G4978" s="3" t="s">
        <v>63</v>
      </c>
      <c r="H4978" s="2" t="s">
        <v>20</v>
      </c>
      <c r="I4978" s="2" t="s">
        <v>9993</v>
      </c>
      <c r="J4978" s="3" t="str">
        <f>HYPERLINK("https://www.boe.es/gazeta/dias/1822/03/15/pdfs/GMD-1822-76.pdf#page=6","Abrir facsímil")</f>
        <v>Abrir facsímil</v>
      </c>
      <c r="K4978" s="3" t="s">
        <v>22</v>
      </c>
    </row>
    <row r="4979" spans="1:11" ht="42" customHeight="1">
      <c r="A4979" s="2" t="s">
        <v>9985</v>
      </c>
      <c r="B4979" s="2" t="s">
        <v>9986</v>
      </c>
      <c r="C4979" s="2" t="s">
        <v>28</v>
      </c>
      <c r="D4979" s="2" t="s">
        <v>29</v>
      </c>
      <c r="E4979" s="5">
        <v>-28402</v>
      </c>
      <c r="F4979" s="3" t="s">
        <v>473</v>
      </c>
      <c r="G4979" s="3" t="s">
        <v>63</v>
      </c>
      <c r="H4979" s="2" t="s">
        <v>20</v>
      </c>
      <c r="I4979" s="2" t="s">
        <v>9994</v>
      </c>
      <c r="J4979" s="3" t="str">
        <f>HYPERLINK("https://www.boe.es/gazeta/dias/1822/03/27/pdfs/GMD-1822-88.pdf#page=6","Abrir facsímil")</f>
        <v>Abrir facsímil</v>
      </c>
      <c r="K4979" s="3" t="s">
        <v>22</v>
      </c>
    </row>
    <row r="4980" spans="1:11" ht="42" customHeight="1">
      <c r="A4980" s="2" t="s">
        <v>9985</v>
      </c>
      <c r="B4980" s="2" t="s">
        <v>9986</v>
      </c>
      <c r="C4980" s="2" t="s">
        <v>50</v>
      </c>
      <c r="D4980" s="2" t="s">
        <v>51</v>
      </c>
      <c r="E4980" s="5">
        <v>-28398</v>
      </c>
      <c r="F4980" s="3" t="s">
        <v>1961</v>
      </c>
      <c r="G4980" s="3" t="s">
        <v>2262</v>
      </c>
      <c r="H4980" s="2" t="s">
        <v>20</v>
      </c>
      <c r="I4980" s="2" t="s">
        <v>9995</v>
      </c>
      <c r="J4980" s="3" t="str">
        <f>HYPERLINK("https://www.boe.es/gazeta/dias/1822/03/31/pdfs/GMD-1822-92.pdf#page=4","Abrir facsímil")</f>
        <v>Abrir facsímil</v>
      </c>
      <c r="K4980" s="3" t="s">
        <v>22</v>
      </c>
    </row>
    <row r="4981" spans="1:11" ht="42" customHeight="1">
      <c r="A4981" s="2" t="s">
        <v>9985</v>
      </c>
      <c r="B4981" s="2" t="s">
        <v>9986</v>
      </c>
      <c r="C4981" s="2" t="s">
        <v>16</v>
      </c>
      <c r="D4981" s="2" t="s">
        <v>17</v>
      </c>
      <c r="E4981" s="5">
        <v>-28393</v>
      </c>
      <c r="F4981" s="3" t="s">
        <v>326</v>
      </c>
      <c r="G4981" s="3" t="s">
        <v>57</v>
      </c>
      <c r="H4981" s="2" t="s">
        <v>20</v>
      </c>
      <c r="I4981" s="2" t="s">
        <v>9996</v>
      </c>
      <c r="J4981" s="3" t="str">
        <f>HYPERLINK("https://www.boe.es/gazeta/dias/1822/04/05/pdfs/GMD-1822-97.pdf#page=4","Abrir facsímil")</f>
        <v>Abrir facsímil</v>
      </c>
      <c r="K4981" s="3" t="s">
        <v>22</v>
      </c>
    </row>
    <row r="4982" spans="1:11" ht="42" customHeight="1">
      <c r="A4982" s="2" t="s">
        <v>9985</v>
      </c>
      <c r="B4982" s="2" t="s">
        <v>9986</v>
      </c>
      <c r="C4982" s="2" t="s">
        <v>28</v>
      </c>
      <c r="D4982" s="2" t="s">
        <v>29</v>
      </c>
      <c r="E4982" s="5">
        <v>-28390</v>
      </c>
      <c r="F4982" s="3" t="s">
        <v>665</v>
      </c>
      <c r="G4982" s="3" t="s">
        <v>57</v>
      </c>
      <c r="H4982" s="2" t="s">
        <v>20</v>
      </c>
      <c r="I4982" s="2" t="s">
        <v>9997</v>
      </c>
      <c r="J4982" s="3" t="str">
        <f>HYPERLINK("https://www.boe.es/gazeta/dias/1822/04/08/pdfs/GMD-1822-100.pdf#page=4","Abrir facsímil")</f>
        <v>Abrir facsímil</v>
      </c>
      <c r="K4982" s="3" t="s">
        <v>22</v>
      </c>
    </row>
    <row r="4983" spans="1:11" ht="42" customHeight="1">
      <c r="A4983" s="2" t="s">
        <v>9985</v>
      </c>
      <c r="B4983" s="2" t="s">
        <v>9986</v>
      </c>
      <c r="C4983" s="2" t="s">
        <v>28</v>
      </c>
      <c r="D4983" s="2" t="s">
        <v>29</v>
      </c>
      <c r="E4983" s="5">
        <v>-28384</v>
      </c>
      <c r="F4983" s="3" t="s">
        <v>258</v>
      </c>
      <c r="G4983" s="3" t="s">
        <v>63</v>
      </c>
      <c r="H4983" s="2" t="s">
        <v>20</v>
      </c>
      <c r="I4983" s="2" t="s">
        <v>9998</v>
      </c>
      <c r="J4983" s="3" t="str">
        <f>HYPERLINK("https://www.boe.es/gazeta/dias/1822/04/14/pdfs/GMD-1822-106.pdf#page=6","Abrir facsímil")</f>
        <v>Abrir facsímil</v>
      </c>
      <c r="K4983" s="3" t="s">
        <v>22</v>
      </c>
    </row>
    <row r="4984" spans="1:11" ht="42" customHeight="1">
      <c r="A4984" s="2" t="s">
        <v>9985</v>
      </c>
      <c r="B4984" s="2" t="s">
        <v>9986</v>
      </c>
      <c r="C4984" s="2" t="s">
        <v>28</v>
      </c>
      <c r="D4984" s="2" t="s">
        <v>29</v>
      </c>
      <c r="E4984" s="5">
        <v>-28383</v>
      </c>
      <c r="F4984" s="3" t="s">
        <v>488</v>
      </c>
      <c r="G4984" s="3" t="s">
        <v>63</v>
      </c>
      <c r="H4984" s="2" t="s">
        <v>20</v>
      </c>
      <c r="I4984" s="2" t="s">
        <v>9999</v>
      </c>
      <c r="J4984" s="3" t="str">
        <f>HYPERLINK("https://www.boe.es/gazeta/dias/1822/04/15/pdfs/GMD-1822-107.pdf#page=6","Abrir facsímil")</f>
        <v>Abrir facsímil</v>
      </c>
      <c r="K4984" s="3" t="s">
        <v>22</v>
      </c>
    </row>
    <row r="4985" spans="1:11" ht="42" customHeight="1">
      <c r="A4985" s="2" t="s">
        <v>9985</v>
      </c>
      <c r="B4985" s="2" t="s">
        <v>9986</v>
      </c>
      <c r="C4985" s="2" t="s">
        <v>28</v>
      </c>
      <c r="D4985" s="2" t="s">
        <v>29</v>
      </c>
      <c r="E4985" s="5">
        <v>-28378</v>
      </c>
      <c r="F4985" s="3" t="s">
        <v>496</v>
      </c>
      <c r="G4985" s="3" t="s">
        <v>57</v>
      </c>
      <c r="H4985" s="2" t="s">
        <v>20</v>
      </c>
      <c r="I4985" s="2" t="s">
        <v>10000</v>
      </c>
      <c r="J4985" s="3" t="str">
        <f>HYPERLINK("https://www.boe.es/gazeta/dias/1822/04/20/pdfs/GMD-1822-112.pdf#page=4","Abrir facsímil")</f>
        <v>Abrir facsímil</v>
      </c>
      <c r="K4985" s="3" t="s">
        <v>22</v>
      </c>
    </row>
    <row r="4986" spans="1:11" ht="42" customHeight="1">
      <c r="A4986" s="2" t="s">
        <v>9985</v>
      </c>
      <c r="B4986" s="2" t="s">
        <v>9986</v>
      </c>
      <c r="C4986" s="2" t="s">
        <v>50</v>
      </c>
      <c r="D4986" s="2" t="s">
        <v>51</v>
      </c>
      <c r="E4986" s="5">
        <v>-28367</v>
      </c>
      <c r="F4986" s="3" t="s">
        <v>280</v>
      </c>
      <c r="G4986" s="3" t="s">
        <v>63</v>
      </c>
      <c r="H4986" s="2" t="s">
        <v>20</v>
      </c>
      <c r="I4986" s="2" t="s">
        <v>10001</v>
      </c>
      <c r="J4986" s="3" t="str">
        <f>HYPERLINK("https://www.boe.es/gazeta/dias/1822/05/01/pdfs/GMD-1822-123.pdf#page=6","Abrir facsímil")</f>
        <v>Abrir facsímil</v>
      </c>
      <c r="K4986" s="3" t="s">
        <v>22</v>
      </c>
    </row>
    <row r="4987" spans="1:11" ht="42" customHeight="1">
      <c r="A4987" s="2" t="s">
        <v>9985</v>
      </c>
      <c r="B4987" s="2" t="s">
        <v>9986</v>
      </c>
      <c r="C4987" s="2" t="s">
        <v>28</v>
      </c>
      <c r="D4987" s="2" t="s">
        <v>29</v>
      </c>
      <c r="E4987" s="5">
        <v>-28353</v>
      </c>
      <c r="F4987" s="3" t="s">
        <v>843</v>
      </c>
      <c r="G4987" s="3" t="s">
        <v>63</v>
      </c>
      <c r="H4987" s="2" t="s">
        <v>20</v>
      </c>
      <c r="I4987" s="2" t="s">
        <v>10002</v>
      </c>
      <c r="J4987" s="3" t="str">
        <f>HYPERLINK("https://www.boe.es/gazeta/dias/1822/05/15/pdfs/GMD-1822-137.pdf#page=6","Abrir facsímil")</f>
        <v>Abrir facsímil</v>
      </c>
      <c r="K4987" s="3" t="s">
        <v>22</v>
      </c>
    </row>
    <row r="4988" spans="1:11" ht="42" customHeight="1">
      <c r="A4988" s="2" t="s">
        <v>9985</v>
      </c>
      <c r="B4988" s="2" t="s">
        <v>9986</v>
      </c>
      <c r="C4988" s="2" t="s">
        <v>28</v>
      </c>
      <c r="D4988" s="2" t="s">
        <v>29</v>
      </c>
      <c r="E4988" s="5">
        <v>-28330</v>
      </c>
      <c r="F4988" s="3" t="s">
        <v>896</v>
      </c>
      <c r="G4988" s="3" t="s">
        <v>57</v>
      </c>
      <c r="H4988" s="2" t="s">
        <v>20</v>
      </c>
      <c r="I4988" s="2" t="s">
        <v>10003</v>
      </c>
      <c r="J4988" s="3" t="str">
        <f>HYPERLINK("https://www.boe.es/gazeta/dias/1822/06/07/pdfs/GMD-1822-164.pdf#page=4","Abrir facsímil")</f>
        <v>Abrir facsímil</v>
      </c>
      <c r="K4988" s="3" t="s">
        <v>22</v>
      </c>
    </row>
    <row r="4989" spans="1:11" ht="42" customHeight="1">
      <c r="A4989" s="2" t="s">
        <v>9985</v>
      </c>
      <c r="B4989" s="2" t="s">
        <v>9986</v>
      </c>
      <c r="C4989" s="2" t="s">
        <v>28</v>
      </c>
      <c r="D4989" s="2" t="s">
        <v>29</v>
      </c>
      <c r="E4989" s="5">
        <v>-28327</v>
      </c>
      <c r="F4989" s="3" t="s">
        <v>38</v>
      </c>
      <c r="G4989" s="3" t="s">
        <v>63</v>
      </c>
      <c r="H4989" s="2" t="s">
        <v>20</v>
      </c>
      <c r="I4989" s="2" t="s">
        <v>10004</v>
      </c>
      <c r="J4989" s="3" t="str">
        <f>HYPERLINK("https://www.boe.es/gazeta/dias/1822/06/10/pdfs/GMD-1822-167.pdf#page=6","Abrir facsímil")</f>
        <v>Abrir facsímil</v>
      </c>
      <c r="K4989" s="3" t="s">
        <v>22</v>
      </c>
    </row>
    <row r="4990" spans="1:11" ht="42" customHeight="1">
      <c r="A4990" s="2" t="s">
        <v>9985</v>
      </c>
      <c r="B4990" s="2" t="s">
        <v>9986</v>
      </c>
      <c r="C4990" s="2" t="s">
        <v>28</v>
      </c>
      <c r="D4990" s="2" t="s">
        <v>29</v>
      </c>
      <c r="E4990" s="5">
        <v>-28295</v>
      </c>
      <c r="F4990" s="3" t="s">
        <v>81</v>
      </c>
      <c r="G4990" s="3" t="s">
        <v>57</v>
      </c>
      <c r="H4990" s="2" t="s">
        <v>20</v>
      </c>
      <c r="I4990" s="2" t="s">
        <v>10005</v>
      </c>
      <c r="J4990" s="3" t="str">
        <f>HYPERLINK("https://www.boe.es/gazeta/dias/1822/07/12/pdfs/GMD-1822-202.pdf#page=4","Abrir facsímil")</f>
        <v>Abrir facsímil</v>
      </c>
      <c r="K4990" s="3" t="s">
        <v>22</v>
      </c>
    </row>
    <row r="4991" spans="1:11" ht="42" customHeight="1">
      <c r="A4991" s="2" t="s">
        <v>9985</v>
      </c>
      <c r="B4991" s="2" t="s">
        <v>9986</v>
      </c>
      <c r="C4991" s="2" t="s">
        <v>28</v>
      </c>
      <c r="D4991" s="2" t="s">
        <v>29</v>
      </c>
      <c r="E4991" s="5">
        <v>-28289</v>
      </c>
      <c r="F4991" s="3" t="s">
        <v>390</v>
      </c>
      <c r="G4991" s="3" t="s">
        <v>57</v>
      </c>
      <c r="H4991" s="2" t="s">
        <v>20</v>
      </c>
      <c r="I4991" s="2" t="s">
        <v>10006</v>
      </c>
      <c r="J4991" s="3" t="str">
        <f>HYPERLINK("https://www.boe.es/gazeta/dias/1822/07/18/pdfs/GMD-1822-209.pdf#page=4","Abrir facsímil")</f>
        <v>Abrir facsímil</v>
      </c>
      <c r="K4991" s="3" t="s">
        <v>22</v>
      </c>
    </row>
    <row r="4992" spans="1:11" ht="42" customHeight="1">
      <c r="A4992" s="2" t="s">
        <v>9985</v>
      </c>
      <c r="B4992" s="2" t="s">
        <v>9986</v>
      </c>
      <c r="C4992" s="2" t="s">
        <v>42</v>
      </c>
      <c r="D4992" s="2" t="s">
        <v>17</v>
      </c>
      <c r="E4992" s="5">
        <v>-28285</v>
      </c>
      <c r="F4992" s="3" t="s">
        <v>4539</v>
      </c>
      <c r="G4992" s="3" t="s">
        <v>57</v>
      </c>
      <c r="H4992" s="2" t="s">
        <v>20</v>
      </c>
      <c r="I4992" s="2" t="s">
        <v>10007</v>
      </c>
      <c r="J4992" s="3" t="str">
        <f>HYPERLINK("https://www.boe.es/gazeta/dias/1822/07/22/pdfs/GMD-1822-215.pdf#page=4","Abrir facsímil")</f>
        <v>Abrir facsímil</v>
      </c>
      <c r="K4992" s="3" t="s">
        <v>22</v>
      </c>
    </row>
    <row r="4993" spans="1:11" ht="42" customHeight="1">
      <c r="A4993" s="2" t="s">
        <v>9985</v>
      </c>
      <c r="B4993" s="2" t="s">
        <v>9986</v>
      </c>
      <c r="C4993" s="2" t="s">
        <v>28</v>
      </c>
      <c r="D4993" s="2" t="s">
        <v>29</v>
      </c>
      <c r="E4993" s="5">
        <v>-28284</v>
      </c>
      <c r="F4993" s="3" t="s">
        <v>6484</v>
      </c>
      <c r="G4993" s="3" t="s">
        <v>57</v>
      </c>
      <c r="H4993" s="2" t="s">
        <v>20</v>
      </c>
      <c r="I4993" s="2" t="s">
        <v>10008</v>
      </c>
      <c r="J4993" s="3" t="str">
        <f>HYPERLINK("https://www.boe.es/gazeta/dias/1822/07/23/pdfs/GMD-1822-216.pdf#page=4","Abrir facsímil")</f>
        <v>Abrir facsímil</v>
      </c>
      <c r="K4993" s="3" t="s">
        <v>22</v>
      </c>
    </row>
    <row r="4994" spans="1:11" ht="42" customHeight="1">
      <c r="A4994" s="2" t="s">
        <v>9985</v>
      </c>
      <c r="B4994" s="2" t="s">
        <v>9986</v>
      </c>
      <c r="C4994" s="2" t="s">
        <v>28</v>
      </c>
      <c r="D4994" s="2" t="s">
        <v>29</v>
      </c>
      <c r="E4994" s="5">
        <v>-28250</v>
      </c>
      <c r="F4994" s="3" t="s">
        <v>1174</v>
      </c>
      <c r="G4994" s="3" t="s">
        <v>57</v>
      </c>
      <c r="H4994" s="2" t="s">
        <v>20</v>
      </c>
      <c r="I4994" s="2" t="s">
        <v>10009</v>
      </c>
      <c r="J4994" s="3" t="str">
        <f>HYPERLINK("https://www.boe.es/gazeta/dias/1822/08/26/pdfs/GMD-1822-250.pdf#page=4","Abrir facsímil")</f>
        <v>Abrir facsímil</v>
      </c>
      <c r="K4994" s="3" t="s">
        <v>22</v>
      </c>
    </row>
    <row r="4995" spans="1:11" ht="42" customHeight="1">
      <c r="A4995" s="2" t="s">
        <v>9985</v>
      </c>
      <c r="B4995" s="2" t="s">
        <v>9986</v>
      </c>
      <c r="C4995" s="2" t="s">
        <v>28</v>
      </c>
      <c r="D4995" s="2" t="s">
        <v>29</v>
      </c>
      <c r="E4995" s="5">
        <v>-28216</v>
      </c>
      <c r="F4995" s="3" t="s">
        <v>4661</v>
      </c>
      <c r="G4995" s="3" t="s">
        <v>57</v>
      </c>
      <c r="H4995" s="2" t="s">
        <v>20</v>
      </c>
      <c r="I4995" s="2" t="s">
        <v>10010</v>
      </c>
      <c r="J4995" s="3" t="str">
        <f>HYPERLINK("https://www.boe.es/gazeta/dias/1822/09/29/pdfs/GMD-1822-285.pdf#page=4","Abrir facsímil")</f>
        <v>Abrir facsímil</v>
      </c>
      <c r="K4995" s="3" t="s">
        <v>22</v>
      </c>
    </row>
    <row r="4996" spans="1:11" ht="42" customHeight="1">
      <c r="A4996" s="2" t="s">
        <v>9985</v>
      </c>
      <c r="B4996" s="2" t="s">
        <v>9986</v>
      </c>
      <c r="C4996" s="2" t="s">
        <v>28</v>
      </c>
      <c r="D4996" s="2" t="s">
        <v>29</v>
      </c>
      <c r="E4996" s="5">
        <v>-28199</v>
      </c>
      <c r="F4996" s="3" t="s">
        <v>656</v>
      </c>
      <c r="G4996" s="3" t="s">
        <v>63</v>
      </c>
      <c r="H4996" s="2" t="s">
        <v>20</v>
      </c>
      <c r="I4996" s="2" t="s">
        <v>10011</v>
      </c>
      <c r="J4996" s="3" t="str">
        <f>HYPERLINK("https://www.boe.es/gazeta/dias/1822/10/16/pdfs/GMD-1822-303.pdf#page=6","Abrir facsímil")</f>
        <v>Abrir facsímil</v>
      </c>
      <c r="K4996" s="3" t="s">
        <v>22</v>
      </c>
    </row>
    <row r="4997" spans="1:11" ht="42" customHeight="1">
      <c r="A4997" s="2" t="s">
        <v>9985</v>
      </c>
      <c r="B4997" s="2" t="s">
        <v>9986</v>
      </c>
      <c r="C4997" s="2" t="s">
        <v>28</v>
      </c>
      <c r="D4997" s="2" t="s">
        <v>29</v>
      </c>
      <c r="E4997" s="5">
        <v>-28182</v>
      </c>
      <c r="F4997" s="3" t="s">
        <v>585</v>
      </c>
      <c r="G4997" s="3" t="s">
        <v>63</v>
      </c>
      <c r="H4997" s="2" t="s">
        <v>20</v>
      </c>
      <c r="I4997" s="2" t="s">
        <v>10012</v>
      </c>
      <c r="J4997" s="3" t="str">
        <f>HYPERLINK("https://www.boe.es/gazeta/dias/1822/11/02/pdfs/GMD-1822-320.pdf#page=6","Abrir facsímil")</f>
        <v>Abrir facsímil</v>
      </c>
      <c r="K4997" s="3" t="s">
        <v>22</v>
      </c>
    </row>
    <row r="4998" spans="1:11" ht="42" customHeight="1">
      <c r="A4998" s="2" t="s">
        <v>9985</v>
      </c>
      <c r="B4998" s="2" t="s">
        <v>9986</v>
      </c>
      <c r="C4998" s="2" t="s">
        <v>42</v>
      </c>
      <c r="D4998" s="2" t="s">
        <v>17</v>
      </c>
      <c r="E4998" s="5">
        <v>-28181</v>
      </c>
      <c r="F4998" s="3" t="s">
        <v>739</v>
      </c>
      <c r="G4998" s="3" t="s">
        <v>63</v>
      </c>
      <c r="H4998" s="2" t="s">
        <v>20</v>
      </c>
      <c r="I4998" s="2" t="s">
        <v>10013</v>
      </c>
      <c r="J4998" s="3" t="str">
        <f>HYPERLINK("https://www.boe.es/gazeta/dias/1822/11/03/pdfs/GMD-1822-321.pdf#page=6","Abrir facsímil")</f>
        <v>Abrir facsímil</v>
      </c>
      <c r="K4998" s="3" t="s">
        <v>22</v>
      </c>
    </row>
    <row r="4999" spans="1:11" ht="42" customHeight="1">
      <c r="A4999" s="2" t="s">
        <v>9985</v>
      </c>
      <c r="B4999" s="2" t="s">
        <v>9986</v>
      </c>
      <c r="C4999" s="2" t="s">
        <v>28</v>
      </c>
      <c r="D4999" s="2" t="s">
        <v>29</v>
      </c>
      <c r="E4999" s="5">
        <v>-28171</v>
      </c>
      <c r="F4999" s="3" t="s">
        <v>1075</v>
      </c>
      <c r="G4999" s="3" t="s">
        <v>57</v>
      </c>
      <c r="H4999" s="2" t="s">
        <v>20</v>
      </c>
      <c r="I4999" s="2" t="s">
        <v>10014</v>
      </c>
      <c r="J4999" s="3" t="str">
        <f>HYPERLINK("https://www.boe.es/gazeta/dias/1822/11/13/pdfs/GMD-1822-333.pdf#page=4","Abrir facsímil")</f>
        <v>Abrir facsímil</v>
      </c>
      <c r="K4999" s="3" t="s">
        <v>22</v>
      </c>
    </row>
    <row r="5000" spans="1:11" ht="42" customHeight="1">
      <c r="A5000" s="2" t="s">
        <v>9985</v>
      </c>
      <c r="B5000" s="2" t="s">
        <v>9986</v>
      </c>
      <c r="C5000" s="2" t="s">
        <v>28</v>
      </c>
      <c r="D5000" s="2" t="s">
        <v>29</v>
      </c>
      <c r="E5000" s="5">
        <v>-28170</v>
      </c>
      <c r="F5000" s="3" t="s">
        <v>1457</v>
      </c>
      <c r="G5000" s="3" t="s">
        <v>63</v>
      </c>
      <c r="H5000" s="2" t="s">
        <v>20</v>
      </c>
      <c r="I5000" s="2" t="s">
        <v>10015</v>
      </c>
      <c r="J5000" s="3" t="str">
        <f>HYPERLINK("https://www.boe.es/gazeta/dias/1822/11/14/pdfs/GMD-1822-334.pdf#page=6","Abrir facsímil")</f>
        <v>Abrir facsímil</v>
      </c>
      <c r="K5000" s="3" t="s">
        <v>22</v>
      </c>
    </row>
    <row r="5001" spans="1:11" ht="42" customHeight="1">
      <c r="A5001" s="2" t="s">
        <v>9985</v>
      </c>
      <c r="B5001" s="2" t="s">
        <v>9986</v>
      </c>
      <c r="C5001" s="2" t="s">
        <v>50</v>
      </c>
      <c r="D5001" s="2" t="s">
        <v>51</v>
      </c>
      <c r="E5001" s="5">
        <v>-28166</v>
      </c>
      <c r="F5001" s="3" t="s">
        <v>942</v>
      </c>
      <c r="G5001" s="3" t="s">
        <v>1277</v>
      </c>
      <c r="H5001" s="2" t="s">
        <v>20</v>
      </c>
      <c r="I5001" s="2" t="s">
        <v>10016</v>
      </c>
      <c r="J5001" s="3" t="str">
        <f>HYPERLINK("https://www.boe.es/gazeta/dias/1822/11/18/pdfs/GMD-1822-338.pdf#page=6","Abrir facsímil")</f>
        <v>Abrir facsímil</v>
      </c>
      <c r="K5001" s="3" t="s">
        <v>22</v>
      </c>
    </row>
    <row r="5002" spans="1:11" ht="42" customHeight="1">
      <c r="A5002" s="2" t="s">
        <v>9985</v>
      </c>
      <c r="B5002" s="2" t="s">
        <v>9986</v>
      </c>
      <c r="C5002" s="2" t="s">
        <v>50</v>
      </c>
      <c r="D5002" s="2" t="s">
        <v>51</v>
      </c>
      <c r="E5002" s="5">
        <v>-28156</v>
      </c>
      <c r="F5002" s="3" t="s">
        <v>1568</v>
      </c>
      <c r="G5002" s="3" t="s">
        <v>63</v>
      </c>
      <c r="H5002" s="2" t="s">
        <v>20</v>
      </c>
      <c r="I5002" s="2" t="s">
        <v>10017</v>
      </c>
      <c r="J5002" s="3" t="str">
        <f>HYPERLINK("https://www.boe.es/gazeta/dias/1822/11/28/pdfs/GMD-1822-348.pdf#page=6","Abrir facsímil")</f>
        <v>Abrir facsímil</v>
      </c>
      <c r="K5002" s="3" t="s">
        <v>22</v>
      </c>
    </row>
    <row r="5003" spans="1:11" ht="42" customHeight="1">
      <c r="A5003" s="2" t="s">
        <v>9985</v>
      </c>
      <c r="B5003" s="2" t="s">
        <v>9986</v>
      </c>
      <c r="C5003" s="2" t="s">
        <v>50</v>
      </c>
      <c r="D5003" s="2" t="s">
        <v>51</v>
      </c>
      <c r="E5003" s="5">
        <v>-28147</v>
      </c>
      <c r="F5003" s="3" t="s">
        <v>1611</v>
      </c>
      <c r="G5003" s="3" t="s">
        <v>63</v>
      </c>
      <c r="H5003" s="2" t="s">
        <v>20</v>
      </c>
      <c r="I5003" s="2" t="s">
        <v>10018</v>
      </c>
      <c r="J5003" s="3" t="str">
        <f>HYPERLINK("https://www.boe.es/gazeta/dias/1822/12/07/pdfs/GMD-1822-357.pdf#page=6","Abrir facsímil")</f>
        <v>Abrir facsímil</v>
      </c>
      <c r="K5003" s="3" t="s">
        <v>22</v>
      </c>
    </row>
    <row r="5004" spans="1:11" ht="42" customHeight="1">
      <c r="A5004" s="2" t="s">
        <v>9985</v>
      </c>
      <c r="B5004" s="2" t="s">
        <v>9986</v>
      </c>
      <c r="C5004" s="2" t="s">
        <v>50</v>
      </c>
      <c r="D5004" s="2" t="s">
        <v>51</v>
      </c>
      <c r="E5004" s="5">
        <v>-28142</v>
      </c>
      <c r="F5004" s="3" t="s">
        <v>290</v>
      </c>
      <c r="G5004" s="3" t="s">
        <v>57</v>
      </c>
      <c r="H5004" s="2" t="s">
        <v>20</v>
      </c>
      <c r="I5004" s="2" t="s">
        <v>10019</v>
      </c>
      <c r="J5004" s="3" t="str">
        <f>HYPERLINK("https://www.boe.es/gazeta/dias/1822/12/12/pdfs/GMD-1822-362.pdf#page=4","Abrir facsímil")</f>
        <v>Abrir facsímil</v>
      </c>
      <c r="K5004" s="3" t="s">
        <v>22</v>
      </c>
    </row>
    <row r="5005" spans="1:11" ht="42" customHeight="1">
      <c r="A5005" s="2" t="s">
        <v>9985</v>
      </c>
      <c r="B5005" s="2" t="s">
        <v>9986</v>
      </c>
      <c r="C5005" s="2" t="s">
        <v>16</v>
      </c>
      <c r="D5005" s="2" t="s">
        <v>17</v>
      </c>
      <c r="E5005" s="5">
        <v>-28139</v>
      </c>
      <c r="F5005" s="3" t="s">
        <v>143</v>
      </c>
      <c r="G5005" s="3" t="s">
        <v>144</v>
      </c>
      <c r="H5005" s="2" t="s">
        <v>20</v>
      </c>
      <c r="I5005" s="2" t="s">
        <v>10020</v>
      </c>
      <c r="J5005" s="3" t="str">
        <f>HYPERLINK("https://www.boe.es/gazeta/dias/1822/12/15/pdfs/GMD-1822-365.pdf#page=4","Abrir facsímil")</f>
        <v>Abrir facsímil</v>
      </c>
      <c r="K5005" s="3" t="s">
        <v>22</v>
      </c>
    </row>
    <row r="5006" spans="1:11" ht="42" customHeight="1">
      <c r="A5006" s="2" t="s">
        <v>9985</v>
      </c>
      <c r="B5006" s="2" t="s">
        <v>9986</v>
      </c>
      <c r="C5006" s="2" t="s">
        <v>42</v>
      </c>
      <c r="D5006" s="2" t="s">
        <v>17</v>
      </c>
      <c r="E5006" s="5">
        <v>-28138</v>
      </c>
      <c r="F5006" s="3" t="s">
        <v>3542</v>
      </c>
      <c r="G5006" s="3" t="s">
        <v>57</v>
      </c>
      <c r="H5006" s="2" t="s">
        <v>20</v>
      </c>
      <c r="I5006" s="2" t="s">
        <v>10021</v>
      </c>
      <c r="J5006" s="3" t="str">
        <f>HYPERLINK("https://www.boe.es/gazeta/dias/1822/12/16/pdfs/GMD-1822-366.pdf#page=4","Abrir facsímil")</f>
        <v>Abrir facsímil</v>
      </c>
      <c r="K5006" s="3" t="s">
        <v>22</v>
      </c>
    </row>
    <row r="5007" spans="1:11" ht="42" customHeight="1">
      <c r="A5007" s="2" t="s">
        <v>9985</v>
      </c>
      <c r="B5007" s="2" t="s">
        <v>9986</v>
      </c>
      <c r="C5007" s="2" t="s">
        <v>16</v>
      </c>
      <c r="D5007" s="2" t="s">
        <v>17</v>
      </c>
      <c r="E5007" s="5">
        <v>-28134</v>
      </c>
      <c r="F5007" s="3" t="s">
        <v>620</v>
      </c>
      <c r="G5007" s="3" t="s">
        <v>57</v>
      </c>
      <c r="H5007" s="2" t="s">
        <v>20</v>
      </c>
      <c r="I5007" s="2" t="s">
        <v>10022</v>
      </c>
      <c r="J5007" s="3" t="str">
        <f>HYPERLINK("https://www.boe.es/gazeta/dias/1822/12/20/pdfs/GMD-1822-370.pdf#page=4","Abrir facsímil")</f>
        <v>Abrir facsímil</v>
      </c>
      <c r="K5007" s="3" t="s">
        <v>22</v>
      </c>
    </row>
    <row r="5008" spans="1:11" ht="42" customHeight="1">
      <c r="A5008" s="2" t="s">
        <v>10023</v>
      </c>
      <c r="B5008" s="2" t="s">
        <v>10024</v>
      </c>
      <c r="C5008" s="2" t="s">
        <v>71</v>
      </c>
      <c r="D5008" s="2" t="s">
        <v>17</v>
      </c>
      <c r="E5008" s="5">
        <v>-28325</v>
      </c>
      <c r="F5008" s="3" t="s">
        <v>104</v>
      </c>
      <c r="G5008" s="3" t="s">
        <v>31</v>
      </c>
      <c r="H5008" s="2" t="s">
        <v>20</v>
      </c>
      <c r="I5008" s="2" t="s">
        <v>10025</v>
      </c>
      <c r="J5008" s="3" t="str">
        <f>HYPERLINK("https://www.boe.es/gazeta/dias/1822/06/12/pdfs/GMD-1822-169.pdf#page=3","Abrir facsímil")</f>
        <v>Abrir facsímil</v>
      </c>
      <c r="K5008" s="3" t="s">
        <v>22</v>
      </c>
    </row>
    <row r="5009" spans="1:11" ht="42" customHeight="1">
      <c r="A5009" s="2" t="s">
        <v>10026</v>
      </c>
      <c r="B5009" s="2" t="s">
        <v>10027</v>
      </c>
      <c r="C5009" s="2" t="s">
        <v>42</v>
      </c>
      <c r="D5009" s="2" t="s">
        <v>17</v>
      </c>
      <c r="E5009" s="5">
        <v>-28258</v>
      </c>
      <c r="F5009" s="3" t="s">
        <v>88</v>
      </c>
      <c r="G5009" s="3" t="s">
        <v>31</v>
      </c>
      <c r="H5009" s="2" t="s">
        <v>20</v>
      </c>
      <c r="I5009" s="2" t="s">
        <v>10028</v>
      </c>
      <c r="J5009" s="3" t="str">
        <f>HYPERLINK("https://www.boe.es/gazeta/dias/1822/08/18/pdfs/GMD-1822-242.pdf#page=3","Abrir facsímil")</f>
        <v>Abrir facsímil</v>
      </c>
      <c r="K5009" s="3" t="s">
        <v>22</v>
      </c>
    </row>
    <row r="5010" spans="1:11" ht="42" customHeight="1">
      <c r="A5010" s="2" t="s">
        <v>10029</v>
      </c>
      <c r="B5010" s="2" t="s">
        <v>10030</v>
      </c>
      <c r="C5010" s="2" t="s">
        <v>28</v>
      </c>
      <c r="D5010" s="2" t="s">
        <v>29</v>
      </c>
      <c r="E5010" s="5">
        <v>-28486</v>
      </c>
      <c r="F5010" s="3" t="s">
        <v>1046</v>
      </c>
      <c r="G5010" s="3" t="s">
        <v>57</v>
      </c>
      <c r="H5010" s="2" t="s">
        <v>20</v>
      </c>
      <c r="I5010" s="2" t="s">
        <v>10031</v>
      </c>
      <c r="J5010" s="3" t="str">
        <f>HYPERLINK("https://www.boe.es/gazeta/dias/1822/01/02/pdfs/GMD-1822-2.pdf#page=4","Abrir facsímil")</f>
        <v>Abrir facsímil</v>
      </c>
      <c r="K5010" s="3" t="s">
        <v>22</v>
      </c>
    </row>
    <row r="5011" spans="1:11" ht="42" customHeight="1">
      <c r="A5011" s="2" t="s">
        <v>10032</v>
      </c>
      <c r="B5011" s="2" t="s">
        <v>10033</v>
      </c>
      <c r="C5011" s="2" t="s">
        <v>50</v>
      </c>
      <c r="D5011" s="2" t="s">
        <v>51</v>
      </c>
      <c r="E5011" s="5">
        <v>-28292</v>
      </c>
      <c r="F5011" s="3" t="s">
        <v>222</v>
      </c>
      <c r="G5011" s="3" t="s">
        <v>31</v>
      </c>
      <c r="H5011" s="2" t="s">
        <v>20</v>
      </c>
      <c r="I5011" s="2" t="s">
        <v>10034</v>
      </c>
      <c r="J5011" s="3" t="str">
        <f>HYPERLINK("https://www.boe.es/gazeta/dias/1822/07/15/pdfs/GMD-1822-205.pdf#page=3","Abrir facsímil")</f>
        <v>Abrir facsímil</v>
      </c>
      <c r="K5011" s="3" t="s">
        <v>22</v>
      </c>
    </row>
    <row r="5012" spans="1:11" ht="42" customHeight="1">
      <c r="A5012" s="2" t="s">
        <v>10035</v>
      </c>
      <c r="B5012" s="2" t="s">
        <v>10036</v>
      </c>
      <c r="C5012" s="2" t="s">
        <v>28</v>
      </c>
      <c r="D5012" s="2" t="s">
        <v>29</v>
      </c>
      <c r="E5012" s="5">
        <v>-28411</v>
      </c>
      <c r="F5012" s="3" t="s">
        <v>1509</v>
      </c>
      <c r="G5012" s="3" t="s">
        <v>57</v>
      </c>
      <c r="H5012" s="2" t="s">
        <v>20</v>
      </c>
      <c r="I5012" s="2" t="s">
        <v>10037</v>
      </c>
      <c r="J5012" s="3" t="str">
        <f>HYPERLINK("https://www.boe.es/gazeta/dias/1822/03/18/pdfs/GMD-1822-79.pdf#page=4","Abrir facsímil")</f>
        <v>Abrir facsímil</v>
      </c>
      <c r="K5012" s="3" t="s">
        <v>22</v>
      </c>
    </row>
    <row r="5013" spans="1:11" ht="42" customHeight="1">
      <c r="A5013" s="2" t="s">
        <v>10035</v>
      </c>
      <c r="B5013" s="2" t="s">
        <v>10036</v>
      </c>
      <c r="C5013" s="2" t="s">
        <v>50</v>
      </c>
      <c r="D5013" s="2" t="s">
        <v>51</v>
      </c>
      <c r="E5013" s="5">
        <v>-28342</v>
      </c>
      <c r="F5013" s="3" t="s">
        <v>2281</v>
      </c>
      <c r="G5013" s="3" t="s">
        <v>35</v>
      </c>
      <c r="H5013" s="2" t="s">
        <v>20</v>
      </c>
      <c r="I5013" s="2" t="s">
        <v>10038</v>
      </c>
      <c r="J5013" s="3" t="str">
        <f>HYPERLINK("https://www.boe.es/gazeta/dias/1822/05/26/pdfs/GMD-1822-151.pdf#page=2","Abrir facsímil")</f>
        <v>Abrir facsímil</v>
      </c>
      <c r="K5013" s="3" t="s">
        <v>22</v>
      </c>
    </row>
    <row r="5014" spans="1:11" ht="42" customHeight="1">
      <c r="A5014" s="2" t="s">
        <v>10039</v>
      </c>
      <c r="B5014" s="2" t="s">
        <v>10040</v>
      </c>
      <c r="C5014" s="2" t="s">
        <v>50</v>
      </c>
      <c r="D5014" s="2" t="s">
        <v>51</v>
      </c>
      <c r="E5014" s="5">
        <v>-28407</v>
      </c>
      <c r="F5014" s="3" t="s">
        <v>460</v>
      </c>
      <c r="G5014" s="3" t="s">
        <v>35</v>
      </c>
      <c r="H5014" s="2" t="s">
        <v>20</v>
      </c>
      <c r="I5014" s="2" t="s">
        <v>10041</v>
      </c>
      <c r="J5014" s="3" t="str">
        <f>HYPERLINK("https://www.boe.es/gazeta/dias/1822/03/22/pdfs/GMD-1822-83.pdf#page=2","Abrir facsímil")</f>
        <v>Abrir facsímil</v>
      </c>
      <c r="K5014" s="3" t="s">
        <v>22</v>
      </c>
    </row>
    <row r="5015" spans="1:11" ht="42" customHeight="1">
      <c r="A5015" s="2" t="s">
        <v>10039</v>
      </c>
      <c r="B5015" s="2" t="s">
        <v>10040</v>
      </c>
      <c r="C5015" s="2" t="s">
        <v>24</v>
      </c>
      <c r="D5015" s="2" t="s">
        <v>17</v>
      </c>
      <c r="E5015" s="5">
        <v>-28388</v>
      </c>
      <c r="F5015" s="3" t="s">
        <v>1268</v>
      </c>
      <c r="G5015" s="3" t="s">
        <v>44</v>
      </c>
      <c r="H5015" s="2" t="s">
        <v>20</v>
      </c>
      <c r="I5015" s="2" t="s">
        <v>10042</v>
      </c>
      <c r="J5015" s="3" t="str">
        <f>HYPERLINK("https://www.boe.es/gazeta/dias/1822/04/10/pdfs/GMD-1822-102.pdf#page=1","Abrir facsímil")</f>
        <v>Abrir facsímil</v>
      </c>
      <c r="K5015" s="3" t="s">
        <v>22</v>
      </c>
    </row>
    <row r="5016" spans="1:11" ht="42" customHeight="1">
      <c r="A5016" s="2" t="s">
        <v>10039</v>
      </c>
      <c r="B5016" s="2" t="s">
        <v>10040</v>
      </c>
      <c r="C5016" s="2" t="s">
        <v>42</v>
      </c>
      <c r="D5016" s="2" t="s">
        <v>17</v>
      </c>
      <c r="E5016" s="5">
        <v>-28361</v>
      </c>
      <c r="F5016" s="3" t="s">
        <v>374</v>
      </c>
      <c r="G5016" s="3" t="s">
        <v>63</v>
      </c>
      <c r="H5016" s="2" t="s">
        <v>20</v>
      </c>
      <c r="I5016" s="2" t="s">
        <v>10043</v>
      </c>
      <c r="J5016" s="3" t="str">
        <f>HYPERLINK("https://www.boe.es/gazeta/dias/1822/05/07/pdfs/GMD-1822-129.pdf#page=6","Abrir facsímil")</f>
        <v>Abrir facsímil</v>
      </c>
      <c r="K5016" s="3" t="s">
        <v>22</v>
      </c>
    </row>
    <row r="5017" spans="1:11" ht="42" customHeight="1">
      <c r="A5017" s="2" t="s">
        <v>10044</v>
      </c>
      <c r="B5017" s="2" t="s">
        <v>10045</v>
      </c>
      <c r="C5017" s="2" t="s">
        <v>50</v>
      </c>
      <c r="D5017" s="2" t="s">
        <v>51</v>
      </c>
      <c r="E5017" s="5">
        <v>-28415</v>
      </c>
      <c r="F5017" s="3" t="s">
        <v>77</v>
      </c>
      <c r="G5017" s="3" t="s">
        <v>63</v>
      </c>
      <c r="H5017" s="2" t="s">
        <v>20</v>
      </c>
      <c r="I5017" s="2" t="s">
        <v>10046</v>
      </c>
      <c r="J5017" s="3" t="str">
        <f>HYPERLINK("https://www.boe.es/gazeta/dias/1822/03/14/pdfs/GMD-1822-75.pdf#page=6","Abrir facsímil")</f>
        <v>Abrir facsímil</v>
      </c>
      <c r="K5017" s="3" t="s">
        <v>22</v>
      </c>
    </row>
    <row r="5018" spans="1:11" ht="42" customHeight="1">
      <c r="A5018" s="2" t="s">
        <v>10047</v>
      </c>
      <c r="B5018" s="2" t="s">
        <v>10048</v>
      </c>
      <c r="C5018" s="2" t="s">
        <v>50</v>
      </c>
      <c r="D5018" s="2" t="s">
        <v>51</v>
      </c>
      <c r="E5018" s="5">
        <v>-28265</v>
      </c>
      <c r="F5018" s="3" t="s">
        <v>1263</v>
      </c>
      <c r="G5018" s="3" t="s">
        <v>57</v>
      </c>
      <c r="H5018" s="2" t="s">
        <v>20</v>
      </c>
      <c r="I5018" s="2" t="s">
        <v>10049</v>
      </c>
      <c r="J5018" s="3" t="str">
        <f>HYPERLINK("https://www.boe.es/gazeta/dias/1822/08/11/pdfs/GMD-1822-235.pdf#page=4","Abrir facsímil")</f>
        <v>Abrir facsímil</v>
      </c>
      <c r="K5018" s="3" t="s">
        <v>22</v>
      </c>
    </row>
    <row r="5019" spans="1:11" ht="42" customHeight="1">
      <c r="A5019" s="2" t="s">
        <v>10047</v>
      </c>
      <c r="B5019" s="2" t="s">
        <v>10048</v>
      </c>
      <c r="C5019" s="2" t="s">
        <v>50</v>
      </c>
      <c r="D5019" s="2" t="s">
        <v>723</v>
      </c>
      <c r="E5019" s="5">
        <v>-28238</v>
      </c>
      <c r="F5019" s="3" t="s">
        <v>3584</v>
      </c>
      <c r="G5019" s="3" t="s">
        <v>44</v>
      </c>
      <c r="H5019" s="2" t="s">
        <v>20</v>
      </c>
      <c r="I5019" s="2" t="s">
        <v>10050</v>
      </c>
      <c r="J5019" s="3" t="str">
        <f>HYPERLINK("https://www.boe.es/gazeta/dias/1822/09/07/pdfs/GMD-1822-263E.pdf#page=1","Abrir facsímil")</f>
        <v>Abrir facsímil</v>
      </c>
      <c r="K5019" s="3" t="s">
        <v>22</v>
      </c>
    </row>
    <row r="5020" spans="1:11" ht="42" customHeight="1">
      <c r="A5020" s="2" t="s">
        <v>10047</v>
      </c>
      <c r="B5020" s="2" t="s">
        <v>10048</v>
      </c>
      <c r="C5020" s="2" t="s">
        <v>50</v>
      </c>
      <c r="D5020" s="2" t="s">
        <v>51</v>
      </c>
      <c r="E5020" s="5">
        <v>-28234</v>
      </c>
      <c r="F5020" s="3" t="s">
        <v>1331</v>
      </c>
      <c r="G5020" s="3" t="s">
        <v>35</v>
      </c>
      <c r="H5020" s="2" t="s">
        <v>20</v>
      </c>
      <c r="I5020" s="2" t="s">
        <v>10051</v>
      </c>
      <c r="J5020" s="3" t="str">
        <f>HYPERLINK("https://www.boe.es/gazeta/dias/1822/09/11/pdfs/GMD-1822-267.pdf#page=2","Abrir facsímil")</f>
        <v>Abrir facsímil</v>
      </c>
      <c r="K5020" s="3" t="s">
        <v>22</v>
      </c>
    </row>
    <row r="5021" spans="1:11" ht="42" customHeight="1">
      <c r="A5021" s="2" t="s">
        <v>10047</v>
      </c>
      <c r="B5021" s="2" t="s">
        <v>10048</v>
      </c>
      <c r="C5021" s="2" t="s">
        <v>42</v>
      </c>
      <c r="D5021" s="2" t="s">
        <v>17</v>
      </c>
      <c r="E5021" s="5">
        <v>-28156</v>
      </c>
      <c r="F5021" s="3" t="s">
        <v>1568</v>
      </c>
      <c r="G5021" s="3" t="s">
        <v>63</v>
      </c>
      <c r="H5021" s="2" t="s">
        <v>20</v>
      </c>
      <c r="I5021" s="2" t="s">
        <v>10052</v>
      </c>
      <c r="J5021" s="3" t="str">
        <f>HYPERLINK("https://www.boe.es/gazeta/dias/1822/11/28/pdfs/GMD-1822-348.pdf#page=6","Abrir facsímil")</f>
        <v>Abrir facsímil</v>
      </c>
      <c r="K5021" s="3" t="s">
        <v>22</v>
      </c>
    </row>
    <row r="5022" spans="1:11" ht="42" customHeight="1">
      <c r="A5022" s="2" t="s">
        <v>10053</v>
      </c>
      <c r="B5022" s="2" t="s">
        <v>10054</v>
      </c>
      <c r="C5022" s="2" t="s">
        <v>42</v>
      </c>
      <c r="D5022" s="2" t="s">
        <v>17</v>
      </c>
      <c r="E5022" s="5">
        <v>-28237</v>
      </c>
      <c r="F5022" s="3" t="s">
        <v>878</v>
      </c>
      <c r="G5022" s="3" t="s">
        <v>31</v>
      </c>
      <c r="H5022" s="2" t="s">
        <v>20</v>
      </c>
      <c r="I5022" s="2" t="s">
        <v>10055</v>
      </c>
      <c r="J5022" s="3" t="str">
        <f>HYPERLINK("https://www.boe.es/gazeta/dias/1822/09/08/pdfs/GMD-1822-264.pdf#page=3","Abrir facsímil")</f>
        <v>Abrir facsímil</v>
      </c>
      <c r="K5022" s="3" t="s">
        <v>22</v>
      </c>
    </row>
    <row r="5023" spans="1:11" ht="42" customHeight="1">
      <c r="A5023" s="2" t="s">
        <v>10056</v>
      </c>
      <c r="B5023" s="2" t="s">
        <v>10057</v>
      </c>
      <c r="C5023" s="2" t="s">
        <v>61</v>
      </c>
      <c r="D5023" s="2" t="s">
        <v>17</v>
      </c>
      <c r="E5023" s="5">
        <v>-28258</v>
      </c>
      <c r="F5023" s="3" t="s">
        <v>88</v>
      </c>
      <c r="G5023" s="3" t="s">
        <v>31</v>
      </c>
      <c r="H5023" s="2" t="s">
        <v>20</v>
      </c>
      <c r="I5023" s="2" t="s">
        <v>10058</v>
      </c>
      <c r="J5023" s="3" t="str">
        <f>HYPERLINK("https://www.boe.es/gazeta/dias/1822/08/18/pdfs/GMD-1822-242.pdf#page=3","Abrir facsímil")</f>
        <v>Abrir facsímil</v>
      </c>
      <c r="K5023" s="3" t="s">
        <v>22</v>
      </c>
    </row>
    <row r="5024" spans="1:11" ht="42" customHeight="1">
      <c r="A5024" s="2" t="s">
        <v>10059</v>
      </c>
      <c r="B5024" s="2" t="s">
        <v>10060</v>
      </c>
      <c r="C5024" s="2" t="s">
        <v>50</v>
      </c>
      <c r="D5024" s="2" t="s">
        <v>51</v>
      </c>
      <c r="E5024" s="5">
        <v>-28265</v>
      </c>
      <c r="F5024" s="3" t="s">
        <v>1263</v>
      </c>
      <c r="G5024" s="3" t="s">
        <v>57</v>
      </c>
      <c r="H5024" s="2" t="s">
        <v>20</v>
      </c>
      <c r="I5024" s="2" t="s">
        <v>10061</v>
      </c>
      <c r="J5024" s="3" t="str">
        <f>HYPERLINK("https://www.boe.es/gazeta/dias/1822/08/11/pdfs/GMD-1822-235.pdf#page=4","Abrir facsímil")</f>
        <v>Abrir facsímil</v>
      </c>
      <c r="K5024" s="3" t="s">
        <v>22</v>
      </c>
    </row>
    <row r="5025" spans="1:11" ht="42" customHeight="1">
      <c r="A5025" s="2" t="s">
        <v>10062</v>
      </c>
      <c r="B5025" s="2" t="s">
        <v>10063</v>
      </c>
      <c r="C5025" s="2" t="s">
        <v>28</v>
      </c>
      <c r="D5025" s="2" t="s">
        <v>29</v>
      </c>
      <c r="E5025" s="5">
        <v>-28145</v>
      </c>
      <c r="F5025" s="3" t="s">
        <v>1350</v>
      </c>
      <c r="G5025" s="3" t="s">
        <v>63</v>
      </c>
      <c r="H5025" s="2" t="s">
        <v>20</v>
      </c>
      <c r="I5025" s="2" t="s">
        <v>10064</v>
      </c>
      <c r="J5025" s="3" t="str">
        <f>HYPERLINK("https://www.boe.es/gazeta/dias/1822/12/09/pdfs/GMD-1822-359.pdf#page=6","Abrir facsímil")</f>
        <v>Abrir facsímil</v>
      </c>
      <c r="K5025" s="3" t="s">
        <v>22</v>
      </c>
    </row>
    <row r="5026" spans="1:11" ht="42" customHeight="1">
      <c r="A5026" s="2" t="s">
        <v>10065</v>
      </c>
      <c r="B5026" s="2" t="s">
        <v>10066</v>
      </c>
      <c r="C5026" s="2" t="s">
        <v>28</v>
      </c>
      <c r="D5026" s="2" t="s">
        <v>29</v>
      </c>
      <c r="E5026" s="5">
        <v>-28223</v>
      </c>
      <c r="F5026" s="3" t="s">
        <v>2374</v>
      </c>
      <c r="G5026" s="3" t="s">
        <v>57</v>
      </c>
      <c r="H5026" s="2" t="s">
        <v>20</v>
      </c>
      <c r="I5026" s="2" t="s">
        <v>10067</v>
      </c>
      <c r="J5026" s="3" t="str">
        <f>HYPERLINK("https://www.boe.es/gazeta/dias/1822/09/22/pdfs/GMD-1822-278.pdf#page=4","Abrir facsímil")</f>
        <v>Abrir facsímil</v>
      </c>
      <c r="K5026" s="3" t="s">
        <v>22</v>
      </c>
    </row>
    <row r="5027" spans="1:11" ht="42" customHeight="1">
      <c r="A5027" s="2" t="s">
        <v>10068</v>
      </c>
      <c r="B5027" s="2" t="s">
        <v>10069</v>
      </c>
      <c r="C5027" s="2" t="s">
        <v>71</v>
      </c>
      <c r="D5027" s="2" t="s">
        <v>17</v>
      </c>
      <c r="E5027" s="5">
        <v>-28384</v>
      </c>
      <c r="F5027" s="3" t="s">
        <v>258</v>
      </c>
      <c r="G5027" s="3" t="s">
        <v>19</v>
      </c>
      <c r="H5027" s="2" t="s">
        <v>20</v>
      </c>
      <c r="I5027" s="2" t="s">
        <v>10070</v>
      </c>
      <c r="J5027" s="3" t="str">
        <f>HYPERLINK("https://www.boe.es/gazeta/dias/1822/04/14/pdfs/GMD-1822-106.pdf#page=5","Abrir facsímil")</f>
        <v>Abrir facsímil</v>
      </c>
      <c r="K5027" s="3" t="s">
        <v>22</v>
      </c>
    </row>
    <row r="5028" spans="1:11" ht="42" customHeight="1">
      <c r="A5028" s="2" t="s">
        <v>10071</v>
      </c>
      <c r="B5028" s="2" t="s">
        <v>10072</v>
      </c>
      <c r="C5028" s="2" t="s">
        <v>28</v>
      </c>
      <c r="D5028" s="2" t="s">
        <v>29</v>
      </c>
      <c r="E5028" s="5">
        <v>-28468</v>
      </c>
      <c r="F5028" s="3" t="s">
        <v>1012</v>
      </c>
      <c r="G5028" s="3" t="s">
        <v>44</v>
      </c>
      <c r="H5028" s="2" t="s">
        <v>20</v>
      </c>
      <c r="I5028" s="2" t="s">
        <v>10073</v>
      </c>
      <c r="J5028" s="3" t="str">
        <f>HYPERLINK("https://www.boe.es/gazeta/dias/1822/01/20/pdfs/GMD-1822-20.pdf#page=1","Abrir facsímil")</f>
        <v>Abrir facsímil</v>
      </c>
      <c r="K5028" s="3" t="s">
        <v>22</v>
      </c>
    </row>
    <row r="5029" spans="1:11" ht="42" customHeight="1">
      <c r="A5029" s="2" t="s">
        <v>10074</v>
      </c>
      <c r="B5029" s="2" t="s">
        <v>10075</v>
      </c>
      <c r="C5029" s="2" t="s">
        <v>24</v>
      </c>
      <c r="D5029" s="2" t="s">
        <v>17</v>
      </c>
      <c r="E5029" s="5">
        <v>-28412</v>
      </c>
      <c r="F5029" s="3" t="s">
        <v>825</v>
      </c>
      <c r="G5029" s="3" t="s">
        <v>35</v>
      </c>
      <c r="H5029" s="2" t="s">
        <v>20</v>
      </c>
      <c r="I5029" s="2" t="s">
        <v>10076</v>
      </c>
      <c r="J5029" s="3" t="str">
        <f>HYPERLINK("https://www.boe.es/gazeta/dias/1822/03/17/pdfs/GMD-1822-78.pdf#page=2","Abrir facsímil")</f>
        <v>Abrir facsímil</v>
      </c>
      <c r="K5029" s="3" t="s">
        <v>22</v>
      </c>
    </row>
    <row r="5030" spans="1:11" ht="42" customHeight="1">
      <c r="A5030" s="2" t="s">
        <v>10074</v>
      </c>
      <c r="B5030" s="2" t="s">
        <v>10075</v>
      </c>
      <c r="C5030" s="2" t="s">
        <v>50</v>
      </c>
      <c r="D5030" s="2" t="s">
        <v>51</v>
      </c>
      <c r="E5030" s="5">
        <v>-28384</v>
      </c>
      <c r="F5030" s="3" t="s">
        <v>258</v>
      </c>
      <c r="G5030" s="3" t="s">
        <v>19</v>
      </c>
      <c r="H5030" s="2" t="s">
        <v>20</v>
      </c>
      <c r="I5030" s="2" t="s">
        <v>10077</v>
      </c>
      <c r="J5030" s="3" t="str">
        <f>HYPERLINK("https://www.boe.es/gazeta/dias/1822/04/14/pdfs/GMD-1822-106.pdf#page=5","Abrir facsímil")</f>
        <v>Abrir facsímil</v>
      </c>
      <c r="K5030" s="3" t="s">
        <v>22</v>
      </c>
    </row>
    <row r="5031" spans="1:11" ht="42" customHeight="1">
      <c r="A5031" s="2" t="s">
        <v>10074</v>
      </c>
      <c r="B5031" s="2" t="s">
        <v>10075</v>
      </c>
      <c r="C5031" s="2" t="s">
        <v>28</v>
      </c>
      <c r="D5031" s="2" t="s">
        <v>723</v>
      </c>
      <c r="E5031" s="5">
        <v>-28238</v>
      </c>
      <c r="F5031" s="3" t="s">
        <v>3584</v>
      </c>
      <c r="G5031" s="3" t="s">
        <v>44</v>
      </c>
      <c r="H5031" s="2" t="s">
        <v>20</v>
      </c>
      <c r="I5031" s="2" t="s">
        <v>10078</v>
      </c>
      <c r="J5031" s="3" t="str">
        <f>HYPERLINK("https://www.boe.es/gazeta/dias/1822/09/07/pdfs/GMD-1822-263E.pdf#page=1","Abrir facsímil")</f>
        <v>Abrir facsímil</v>
      </c>
      <c r="K5031" s="3" t="s">
        <v>22</v>
      </c>
    </row>
    <row r="5032" spans="1:11" ht="42" customHeight="1">
      <c r="A5032" s="2" t="s">
        <v>10074</v>
      </c>
      <c r="B5032" s="2" t="s">
        <v>10075</v>
      </c>
      <c r="C5032" s="2" t="s">
        <v>28</v>
      </c>
      <c r="D5032" s="2" t="s">
        <v>29</v>
      </c>
      <c r="E5032" s="5">
        <v>-28234</v>
      </c>
      <c r="F5032" s="3" t="s">
        <v>1331</v>
      </c>
      <c r="G5032" s="3" t="s">
        <v>35</v>
      </c>
      <c r="H5032" s="2" t="s">
        <v>20</v>
      </c>
      <c r="I5032" s="2" t="s">
        <v>10079</v>
      </c>
      <c r="J5032" s="3" t="str">
        <f>HYPERLINK("https://www.boe.es/gazeta/dias/1822/09/11/pdfs/GMD-1822-267.pdf#page=2","Abrir facsímil")</f>
        <v>Abrir facsímil</v>
      </c>
      <c r="K5032" s="3" t="s">
        <v>22</v>
      </c>
    </row>
    <row r="5033" spans="1:11" ht="42" customHeight="1">
      <c r="A5033" s="2" t="s">
        <v>10080</v>
      </c>
      <c r="B5033" s="2" t="s">
        <v>10081</v>
      </c>
      <c r="C5033" s="2" t="s">
        <v>50</v>
      </c>
      <c r="D5033" s="2" t="s">
        <v>51</v>
      </c>
      <c r="E5033" s="5">
        <v>-28417</v>
      </c>
      <c r="F5033" s="3" t="s">
        <v>1394</v>
      </c>
      <c r="G5033" s="3" t="s">
        <v>31</v>
      </c>
      <c r="H5033" s="2" t="s">
        <v>20</v>
      </c>
      <c r="I5033" s="2" t="s">
        <v>10082</v>
      </c>
      <c r="J5033" s="3" t="str">
        <f>HYPERLINK("https://www.boe.es/gazeta/dias/1822/03/12/pdfs/GMD-1822-73.pdf#page=3","Abrir facsímil")</f>
        <v>Abrir facsímil</v>
      </c>
      <c r="K5033" s="3" t="s">
        <v>22</v>
      </c>
    </row>
    <row r="5034" spans="1:11" ht="42" customHeight="1">
      <c r="A5034" s="2" t="s">
        <v>10080</v>
      </c>
      <c r="B5034" s="2" t="s">
        <v>10081</v>
      </c>
      <c r="C5034" s="2" t="s">
        <v>50</v>
      </c>
      <c r="D5034" s="2" t="s">
        <v>51</v>
      </c>
      <c r="E5034" s="5">
        <v>-28300</v>
      </c>
      <c r="F5034" s="3" t="s">
        <v>6533</v>
      </c>
      <c r="G5034" s="3" t="s">
        <v>35</v>
      </c>
      <c r="H5034" s="2" t="s">
        <v>20</v>
      </c>
      <c r="I5034" s="2" t="s">
        <v>10083</v>
      </c>
      <c r="J5034" s="3" t="str">
        <f>HYPERLINK("https://www.boe.es/gazeta/dias/1822/07/07/pdfs/GMD-1822-196.pdf#page=2","Abrir facsímil")</f>
        <v>Abrir facsímil</v>
      </c>
      <c r="K5034" s="3" t="s">
        <v>22</v>
      </c>
    </row>
    <row r="5035" spans="1:11" ht="42" customHeight="1">
      <c r="A5035" s="2" t="s">
        <v>10084</v>
      </c>
      <c r="B5035" s="2" t="s">
        <v>10085</v>
      </c>
      <c r="C5035" s="2" t="s">
        <v>28</v>
      </c>
      <c r="D5035" s="2" t="s">
        <v>29</v>
      </c>
      <c r="E5035" s="5">
        <v>-28417</v>
      </c>
      <c r="F5035" s="3" t="s">
        <v>1394</v>
      </c>
      <c r="G5035" s="3" t="s">
        <v>31</v>
      </c>
      <c r="H5035" s="2" t="s">
        <v>20</v>
      </c>
      <c r="I5035" s="2" t="s">
        <v>10086</v>
      </c>
      <c r="J5035" s="3" t="str">
        <f>HYPERLINK("https://www.boe.es/gazeta/dias/1822/03/12/pdfs/GMD-1822-73.pdf#page=3","Abrir facsímil")</f>
        <v>Abrir facsímil</v>
      </c>
      <c r="K5035" s="3" t="s">
        <v>22</v>
      </c>
    </row>
    <row r="5036" spans="1:11" ht="42" customHeight="1">
      <c r="A5036" s="2" t="s">
        <v>10087</v>
      </c>
      <c r="B5036" s="2" t="s">
        <v>10088</v>
      </c>
      <c r="C5036" s="2" t="s">
        <v>71</v>
      </c>
      <c r="D5036" s="2" t="s">
        <v>17</v>
      </c>
      <c r="E5036" s="5">
        <v>-28385</v>
      </c>
      <c r="F5036" s="3" t="s">
        <v>484</v>
      </c>
      <c r="G5036" s="3" t="s">
        <v>31</v>
      </c>
      <c r="H5036" s="2" t="s">
        <v>20</v>
      </c>
      <c r="I5036" s="2" t="s">
        <v>10089</v>
      </c>
      <c r="J5036" s="3" t="str">
        <f>HYPERLINK("https://www.boe.es/gazeta/dias/1822/04/13/pdfs/GMD-1822-105.pdf#page=3","Abrir facsímil")</f>
        <v>Abrir facsímil</v>
      </c>
      <c r="K5036" s="3" t="s">
        <v>22</v>
      </c>
    </row>
    <row r="5037" spans="1:11" ht="42" customHeight="1">
      <c r="A5037" s="2" t="s">
        <v>10090</v>
      </c>
      <c r="B5037" s="2" t="s">
        <v>10091</v>
      </c>
      <c r="C5037" s="2" t="s">
        <v>71</v>
      </c>
      <c r="D5037" s="2" t="s">
        <v>17</v>
      </c>
      <c r="E5037" s="5">
        <v>-28200</v>
      </c>
      <c r="F5037" s="3" t="s">
        <v>1037</v>
      </c>
      <c r="G5037" s="3" t="s">
        <v>35</v>
      </c>
      <c r="H5037" s="2" t="s">
        <v>45</v>
      </c>
      <c r="I5037" s="2" t="s">
        <v>10092</v>
      </c>
      <c r="J5037" s="3" t="str">
        <f>HYPERLINK("https://www.boe.es/gazeta/dias/1822/10/15/pdfs/GMD-1822-302.pdf#page=2","Abrir facsímil")</f>
        <v>Abrir facsímil</v>
      </c>
      <c r="K5037" s="3" t="s">
        <v>47</v>
      </c>
    </row>
    <row r="5038" spans="1:11" ht="42" customHeight="1">
      <c r="A5038" s="2" t="s">
        <v>10093</v>
      </c>
      <c r="B5038" s="2" t="s">
        <v>10094</v>
      </c>
      <c r="C5038" s="2" t="s">
        <v>50</v>
      </c>
      <c r="D5038" s="2" t="s">
        <v>51</v>
      </c>
      <c r="E5038" s="5">
        <v>-28264</v>
      </c>
      <c r="F5038" s="3" t="s">
        <v>1329</v>
      </c>
      <c r="G5038" s="3" t="s">
        <v>57</v>
      </c>
      <c r="H5038" s="2" t="s">
        <v>20</v>
      </c>
      <c r="I5038" s="2" t="s">
        <v>10095</v>
      </c>
      <c r="J5038" s="3" t="str">
        <f>HYPERLINK("https://www.boe.es/gazeta/dias/1822/08/12/pdfs/GMD-1822-236.pdf#page=4","Abrir facsímil")</f>
        <v>Abrir facsímil</v>
      </c>
      <c r="K5038" s="3" t="s">
        <v>22</v>
      </c>
    </row>
    <row r="5039" spans="1:11" ht="42" customHeight="1">
      <c r="A5039" s="2" t="s">
        <v>10093</v>
      </c>
      <c r="B5039" s="2" t="s">
        <v>10094</v>
      </c>
      <c r="C5039" s="2" t="s">
        <v>16</v>
      </c>
      <c r="D5039" s="2" t="s">
        <v>17</v>
      </c>
      <c r="E5039" s="5">
        <v>-28210</v>
      </c>
      <c r="F5039" s="3" t="s">
        <v>218</v>
      </c>
      <c r="G5039" s="3" t="s">
        <v>19</v>
      </c>
      <c r="H5039" s="2" t="s">
        <v>20</v>
      </c>
      <c r="I5039" s="2" t="s">
        <v>10096</v>
      </c>
      <c r="J5039" s="3" t="str">
        <f>HYPERLINK("https://www.boe.es/gazeta/dias/1822/10/05/pdfs/GMD-1822-291.pdf#page=5","Abrir facsímil")</f>
        <v>Abrir facsímil</v>
      </c>
      <c r="K5039" s="3" t="s">
        <v>22</v>
      </c>
    </row>
    <row r="5040" spans="1:11" ht="42" customHeight="1">
      <c r="A5040" s="2" t="s">
        <v>10097</v>
      </c>
      <c r="B5040" s="2" t="s">
        <v>10098</v>
      </c>
      <c r="C5040" s="2" t="s">
        <v>42</v>
      </c>
      <c r="D5040" s="2" t="s">
        <v>17</v>
      </c>
      <c r="E5040" s="5">
        <v>-28412</v>
      </c>
      <c r="F5040" s="3" t="s">
        <v>825</v>
      </c>
      <c r="G5040" s="3" t="s">
        <v>35</v>
      </c>
      <c r="H5040" s="2" t="s">
        <v>20</v>
      </c>
      <c r="I5040" s="2" t="s">
        <v>10099</v>
      </c>
      <c r="J5040" s="3" t="str">
        <f>HYPERLINK("https://www.boe.es/gazeta/dias/1822/03/17/pdfs/GMD-1822-78.pdf#page=2","Abrir facsímil")</f>
        <v>Abrir facsímil</v>
      </c>
      <c r="K5040" s="3" t="s">
        <v>22</v>
      </c>
    </row>
    <row r="5041" spans="1:11" ht="42" customHeight="1">
      <c r="A5041" s="2" t="s">
        <v>10100</v>
      </c>
      <c r="B5041" s="2" t="s">
        <v>10101</v>
      </c>
      <c r="C5041" s="2" t="s">
        <v>50</v>
      </c>
      <c r="D5041" s="2" t="s">
        <v>51</v>
      </c>
      <c r="E5041" s="5">
        <v>-28292</v>
      </c>
      <c r="F5041" s="3" t="s">
        <v>222</v>
      </c>
      <c r="G5041" s="3" t="s">
        <v>31</v>
      </c>
      <c r="H5041" s="2" t="s">
        <v>20</v>
      </c>
      <c r="I5041" s="2" t="s">
        <v>10102</v>
      </c>
      <c r="J5041" s="3" t="str">
        <f>HYPERLINK("https://www.boe.es/gazeta/dias/1822/07/15/pdfs/GMD-1822-205.pdf#page=3","Abrir facsímil")</f>
        <v>Abrir facsímil</v>
      </c>
      <c r="K5041" s="3" t="s">
        <v>22</v>
      </c>
    </row>
    <row r="5042" spans="1:11" ht="42" customHeight="1">
      <c r="A5042" s="2" t="s">
        <v>10103</v>
      </c>
      <c r="B5042" s="2" t="s">
        <v>10104</v>
      </c>
      <c r="C5042" s="2" t="s">
        <v>16</v>
      </c>
      <c r="D5042" s="2" t="s">
        <v>17</v>
      </c>
      <c r="E5042" s="5">
        <v>-28182</v>
      </c>
      <c r="F5042" s="3" t="s">
        <v>585</v>
      </c>
      <c r="G5042" s="3" t="s">
        <v>63</v>
      </c>
      <c r="H5042" s="2" t="s">
        <v>20</v>
      </c>
      <c r="I5042" s="2" t="s">
        <v>10105</v>
      </c>
      <c r="J5042" s="3" t="str">
        <f>HYPERLINK("https://www.boe.es/gazeta/dias/1822/11/02/pdfs/GMD-1822-320.pdf#page=6","Abrir facsímil")</f>
        <v>Abrir facsímil</v>
      </c>
      <c r="K5042" s="3" t="s">
        <v>22</v>
      </c>
    </row>
    <row r="5043" spans="1:11" ht="42" customHeight="1">
      <c r="A5043" s="2" t="s">
        <v>10106</v>
      </c>
      <c r="B5043" s="2" t="s">
        <v>10107</v>
      </c>
      <c r="C5043" s="2" t="s">
        <v>50</v>
      </c>
      <c r="D5043" s="2" t="s">
        <v>51</v>
      </c>
      <c r="E5043" s="5">
        <v>-28277</v>
      </c>
      <c r="F5043" s="3" t="s">
        <v>296</v>
      </c>
      <c r="G5043" s="3" t="s">
        <v>63</v>
      </c>
      <c r="H5043" s="2" t="s">
        <v>20</v>
      </c>
      <c r="I5043" s="2" t="s">
        <v>10108</v>
      </c>
      <c r="J5043" s="3" t="str">
        <f>HYPERLINK("https://www.boe.es/gazeta/dias/1822/07/30/pdfs/GMD-1822-223.pdf#page=6","Abrir facsímil")</f>
        <v>Abrir facsímil</v>
      </c>
      <c r="K5043" s="3" t="s">
        <v>22</v>
      </c>
    </row>
    <row r="5044" spans="1:11" ht="42" customHeight="1">
      <c r="A5044" s="2" t="s">
        <v>10106</v>
      </c>
      <c r="B5044" s="2" t="s">
        <v>10107</v>
      </c>
      <c r="C5044" s="2" t="s">
        <v>50</v>
      </c>
      <c r="D5044" s="2" t="s">
        <v>51</v>
      </c>
      <c r="E5044" s="5">
        <v>-28246</v>
      </c>
      <c r="F5044" s="3" t="s">
        <v>3246</v>
      </c>
      <c r="G5044" s="3" t="s">
        <v>1085</v>
      </c>
      <c r="H5044" s="2" t="s">
        <v>20</v>
      </c>
      <c r="I5044" s="2" t="s">
        <v>10109</v>
      </c>
      <c r="J5044" s="3" t="str">
        <f>HYPERLINK("https://www.boe.es/gazeta/dias/1822/08/30/pdfs/GMD-1822-254.pdf#page=5","Abrir facsímil")</f>
        <v>Abrir facsímil</v>
      </c>
      <c r="K5044" s="3" t="s">
        <v>22</v>
      </c>
    </row>
    <row r="5045" spans="1:11" ht="42" customHeight="1">
      <c r="A5045" s="2" t="s">
        <v>10110</v>
      </c>
      <c r="B5045" s="2" t="s">
        <v>10111</v>
      </c>
      <c r="C5045" s="2" t="s">
        <v>42</v>
      </c>
      <c r="D5045" s="2" t="s">
        <v>723</v>
      </c>
      <c r="E5045" s="5">
        <v>-28181</v>
      </c>
      <c r="F5045" s="3" t="s">
        <v>724</v>
      </c>
      <c r="G5045" s="3" t="s">
        <v>35</v>
      </c>
      <c r="H5045" s="2" t="s">
        <v>20</v>
      </c>
      <c r="I5045" s="2" t="s">
        <v>10112</v>
      </c>
      <c r="J5045" s="3" t="str">
        <f>HYPERLINK("https://www.boe.es/gazeta/dias/1822/11/03/pdfs/GMD-1822-322E.pdf#page=2","Abrir facsímil")</f>
        <v>Abrir facsímil</v>
      </c>
      <c r="K5045" s="3" t="s">
        <v>22</v>
      </c>
    </row>
    <row r="5046" spans="1:11" ht="42" customHeight="1">
      <c r="A5046" s="2" t="s">
        <v>10113</v>
      </c>
      <c r="B5046" s="2" t="s">
        <v>10114</v>
      </c>
      <c r="C5046" s="2" t="s">
        <v>50</v>
      </c>
      <c r="D5046" s="2" t="s">
        <v>51</v>
      </c>
      <c r="E5046" s="5">
        <v>-28400</v>
      </c>
      <c r="F5046" s="3" t="s">
        <v>1937</v>
      </c>
      <c r="G5046" s="3" t="s">
        <v>35</v>
      </c>
      <c r="H5046" s="2" t="s">
        <v>20</v>
      </c>
      <c r="I5046" s="2" t="s">
        <v>10115</v>
      </c>
      <c r="J5046" s="3" t="str">
        <f>HYPERLINK("https://www.boe.es/gazeta/dias/1822/03/29/pdfs/GMD-1822-90.pdf#page=2","Abrir facsímil")</f>
        <v>Abrir facsímil</v>
      </c>
      <c r="K5046" s="3" t="s">
        <v>22</v>
      </c>
    </row>
    <row r="5047" spans="1:11" ht="42" customHeight="1">
      <c r="A5047" s="2" t="s">
        <v>10116</v>
      </c>
      <c r="B5047" s="2" t="s">
        <v>10117</v>
      </c>
      <c r="C5047" s="2" t="s">
        <v>42</v>
      </c>
      <c r="D5047" s="2" t="s">
        <v>17</v>
      </c>
      <c r="E5047" s="5">
        <v>-28138</v>
      </c>
      <c r="F5047" s="3" t="s">
        <v>3542</v>
      </c>
      <c r="G5047" s="3" t="s">
        <v>57</v>
      </c>
      <c r="H5047" s="2" t="s">
        <v>20</v>
      </c>
      <c r="I5047" s="2" t="s">
        <v>10118</v>
      </c>
      <c r="J5047" s="3" t="str">
        <f>HYPERLINK("https://www.boe.es/gazeta/dias/1822/12/16/pdfs/GMD-1822-366.pdf#page=4","Abrir facsímil")</f>
        <v>Abrir facsímil</v>
      </c>
      <c r="K5047" s="3" t="s">
        <v>22</v>
      </c>
    </row>
    <row r="5048" spans="1:11" ht="42" customHeight="1">
      <c r="A5048" s="2" t="s">
        <v>10119</v>
      </c>
      <c r="B5048" s="2" t="s">
        <v>10120</v>
      </c>
      <c r="C5048" s="2" t="s">
        <v>24</v>
      </c>
      <c r="D5048" s="2" t="s">
        <v>17</v>
      </c>
      <c r="E5048" s="5">
        <v>-28395</v>
      </c>
      <c r="F5048" s="3" t="s">
        <v>237</v>
      </c>
      <c r="G5048" s="3" t="s">
        <v>57</v>
      </c>
      <c r="H5048" s="2" t="s">
        <v>20</v>
      </c>
      <c r="I5048" s="2" t="s">
        <v>10121</v>
      </c>
      <c r="J5048" s="3" t="str">
        <f>HYPERLINK("https://www.boe.es/gazeta/dias/1822/04/03/pdfs/GMD-1822-95.pdf#page=4","Abrir facsímil")</f>
        <v>Abrir facsímil</v>
      </c>
      <c r="K5048" s="3" t="s">
        <v>22</v>
      </c>
    </row>
    <row r="5049" spans="1:11" ht="42" customHeight="1">
      <c r="A5049" s="2" t="s">
        <v>10122</v>
      </c>
      <c r="B5049" s="2" t="s">
        <v>10122</v>
      </c>
      <c r="C5049" s="2" t="s">
        <v>24</v>
      </c>
      <c r="D5049" s="2" t="s">
        <v>17</v>
      </c>
      <c r="E5049" s="5">
        <v>-28486</v>
      </c>
      <c r="F5049" s="3" t="s">
        <v>1046</v>
      </c>
      <c r="G5049" s="3" t="s">
        <v>57</v>
      </c>
      <c r="H5049" s="2" t="s">
        <v>20</v>
      </c>
      <c r="I5049" s="2" t="s">
        <v>10123</v>
      </c>
      <c r="J5049" s="3" t="str">
        <f>HYPERLINK("https://www.boe.es/gazeta/dias/1822/01/02/pdfs/GMD-1822-2.pdf#page=4","Abrir facsímil")</f>
        <v>Abrir facsímil</v>
      </c>
      <c r="K5049" s="3" t="s">
        <v>22</v>
      </c>
    </row>
    <row r="5050" spans="1:11" ht="42" customHeight="1">
      <c r="A5050" s="2" t="s">
        <v>10122</v>
      </c>
      <c r="B5050" s="2" t="s">
        <v>10122</v>
      </c>
      <c r="C5050" s="2" t="s">
        <v>16</v>
      </c>
      <c r="D5050" s="2" t="s">
        <v>17</v>
      </c>
      <c r="E5050" s="5">
        <v>-28483</v>
      </c>
      <c r="F5050" s="3" t="s">
        <v>254</v>
      </c>
      <c r="G5050" s="3" t="s">
        <v>57</v>
      </c>
      <c r="H5050" s="2" t="s">
        <v>20</v>
      </c>
      <c r="I5050" s="2" t="s">
        <v>10124</v>
      </c>
      <c r="J5050" s="3" t="str">
        <f>HYPERLINK("https://www.boe.es/gazeta/dias/1822/01/05/pdfs/GMD-1822-5.pdf#page=4","Abrir facsímil")</f>
        <v>Abrir facsímil</v>
      </c>
      <c r="K5050" s="3" t="s">
        <v>22</v>
      </c>
    </row>
    <row r="5051" spans="1:11" ht="42" customHeight="1">
      <c r="A5051" s="2" t="s">
        <v>10122</v>
      </c>
      <c r="B5051" s="2" t="s">
        <v>10122</v>
      </c>
      <c r="C5051" s="2" t="s">
        <v>71</v>
      </c>
      <c r="D5051" s="2" t="s">
        <v>17</v>
      </c>
      <c r="E5051" s="5">
        <v>-28482</v>
      </c>
      <c r="F5051" s="3" t="s">
        <v>850</v>
      </c>
      <c r="G5051" s="3" t="s">
        <v>57</v>
      </c>
      <c r="H5051" s="2" t="s">
        <v>20</v>
      </c>
      <c r="I5051" s="2" t="s">
        <v>10125</v>
      </c>
      <c r="J5051" s="3" t="str">
        <f>HYPERLINK("https://www.boe.es/gazeta/dias/1822/01/06/pdfs/GMD-1822-6.pdf#page=4","Abrir facsímil")</f>
        <v>Abrir facsímil</v>
      </c>
      <c r="K5051" s="3" t="s">
        <v>22</v>
      </c>
    </row>
    <row r="5052" spans="1:11" ht="42" customHeight="1">
      <c r="A5052" s="2" t="s">
        <v>10122</v>
      </c>
      <c r="B5052" s="2" t="s">
        <v>10122</v>
      </c>
      <c r="C5052" s="2" t="s">
        <v>16</v>
      </c>
      <c r="D5052" s="2" t="s">
        <v>17</v>
      </c>
      <c r="E5052" s="5">
        <v>-28481</v>
      </c>
      <c r="F5052" s="3" t="s">
        <v>1089</v>
      </c>
      <c r="G5052" s="3" t="s">
        <v>31</v>
      </c>
      <c r="H5052" s="2" t="s">
        <v>20</v>
      </c>
      <c r="I5052" s="2" t="s">
        <v>10126</v>
      </c>
      <c r="J5052" s="3" t="str">
        <f>HYPERLINK("https://www.boe.es/gazeta/dias/1822/01/07/pdfs/GMD-1822-7.pdf#page=3","Abrir facsímil")</f>
        <v>Abrir facsímil</v>
      </c>
      <c r="K5052" s="3" t="s">
        <v>22</v>
      </c>
    </row>
    <row r="5053" spans="1:11" ht="42" customHeight="1">
      <c r="A5053" s="2" t="s">
        <v>10122</v>
      </c>
      <c r="B5053" s="2" t="s">
        <v>10122</v>
      </c>
      <c r="C5053" s="2" t="s">
        <v>16</v>
      </c>
      <c r="D5053" s="2" t="s">
        <v>17</v>
      </c>
      <c r="E5053" s="5">
        <v>-28480</v>
      </c>
      <c r="F5053" s="3" t="s">
        <v>995</v>
      </c>
      <c r="G5053" s="3" t="s">
        <v>63</v>
      </c>
      <c r="H5053" s="2" t="s">
        <v>20</v>
      </c>
      <c r="I5053" s="2" t="s">
        <v>10127</v>
      </c>
      <c r="J5053" s="3" t="str">
        <f>HYPERLINK("https://www.boe.es/gazeta/dias/1822/01/08/pdfs/GMD-1822-8.pdf#page=6","Abrir facsímil")</f>
        <v>Abrir facsímil</v>
      </c>
      <c r="K5053" s="3" t="s">
        <v>22</v>
      </c>
    </row>
    <row r="5054" spans="1:11" ht="42" customHeight="1">
      <c r="A5054" s="2" t="s">
        <v>10122</v>
      </c>
      <c r="B5054" s="2" t="s">
        <v>10122</v>
      </c>
      <c r="C5054" s="2" t="s">
        <v>16</v>
      </c>
      <c r="D5054" s="2" t="s">
        <v>17</v>
      </c>
      <c r="E5054" s="5">
        <v>-28475</v>
      </c>
      <c r="F5054" s="3" t="s">
        <v>1205</v>
      </c>
      <c r="G5054" s="3" t="s">
        <v>907</v>
      </c>
      <c r="H5054" s="2" t="s">
        <v>20</v>
      </c>
      <c r="I5054" s="2" t="s">
        <v>10128</v>
      </c>
      <c r="J5054" s="3" t="str">
        <f>HYPERLINK("https://www.boe.es/gazeta/dias/1822/01/13/pdfs/GMD-1822-13.pdf#page=5","Abrir facsímil")</f>
        <v>Abrir facsímil</v>
      </c>
      <c r="K5054" s="3" t="s">
        <v>22</v>
      </c>
    </row>
    <row r="5055" spans="1:11" ht="42" customHeight="1">
      <c r="A5055" s="2" t="s">
        <v>10122</v>
      </c>
      <c r="B5055" s="2" t="s">
        <v>10122</v>
      </c>
      <c r="C5055" s="2" t="s">
        <v>362</v>
      </c>
      <c r="D5055" s="2" t="s">
        <v>17</v>
      </c>
      <c r="E5055" s="5">
        <v>-28475</v>
      </c>
      <c r="F5055" s="3" t="s">
        <v>1205</v>
      </c>
      <c r="G5055" s="3" t="s">
        <v>63</v>
      </c>
      <c r="H5055" s="2" t="s">
        <v>20</v>
      </c>
      <c r="I5055" s="2" t="s">
        <v>10129</v>
      </c>
      <c r="J5055" s="3" t="str">
        <f>HYPERLINK("https://www.boe.es/gazeta/dias/1822/01/13/pdfs/GMD-1822-13.pdf#page=6","Abrir facsímil")</f>
        <v>Abrir facsímil</v>
      </c>
      <c r="K5055" s="3" t="s">
        <v>22</v>
      </c>
    </row>
    <row r="5056" spans="1:11" ht="42" customHeight="1">
      <c r="A5056" s="2" t="s">
        <v>10122</v>
      </c>
      <c r="B5056" s="2" t="s">
        <v>10122</v>
      </c>
      <c r="C5056" s="2" t="s">
        <v>50</v>
      </c>
      <c r="D5056" s="2" t="s">
        <v>51</v>
      </c>
      <c r="E5056" s="5">
        <v>-28473</v>
      </c>
      <c r="F5056" s="3" t="s">
        <v>2337</v>
      </c>
      <c r="G5056" s="3" t="s">
        <v>19</v>
      </c>
      <c r="H5056" s="2" t="s">
        <v>20</v>
      </c>
      <c r="I5056" s="2" t="s">
        <v>10130</v>
      </c>
      <c r="J5056" s="3" t="str">
        <f>HYPERLINK("https://www.boe.es/gazeta/dias/1822/01/15/pdfs/GMD-1822-15.pdf#page=5","Abrir facsímil")</f>
        <v>Abrir facsímil</v>
      </c>
      <c r="K5056" s="3" t="s">
        <v>22</v>
      </c>
    </row>
    <row r="5057" spans="1:11" ht="42" customHeight="1">
      <c r="A5057" s="2" t="s">
        <v>10122</v>
      </c>
      <c r="B5057" s="2" t="s">
        <v>10122</v>
      </c>
      <c r="C5057" s="2" t="s">
        <v>50</v>
      </c>
      <c r="D5057" s="2" t="s">
        <v>51</v>
      </c>
      <c r="E5057" s="5">
        <v>-28473</v>
      </c>
      <c r="F5057" s="3" t="s">
        <v>2337</v>
      </c>
      <c r="G5057" s="3" t="s">
        <v>63</v>
      </c>
      <c r="H5057" s="2" t="s">
        <v>20</v>
      </c>
      <c r="I5057" s="2" t="s">
        <v>10131</v>
      </c>
      <c r="J5057" s="3" t="str">
        <f>HYPERLINK("https://www.boe.es/gazeta/dias/1822/01/15/pdfs/GMD-1822-15.pdf#page=6","Abrir facsímil")</f>
        <v>Abrir facsímil</v>
      </c>
      <c r="K5057" s="3" t="s">
        <v>22</v>
      </c>
    </row>
    <row r="5058" spans="1:11" ht="42" customHeight="1">
      <c r="A5058" s="2" t="s">
        <v>10122</v>
      </c>
      <c r="B5058" s="2" t="s">
        <v>10122</v>
      </c>
      <c r="C5058" s="2" t="s">
        <v>16</v>
      </c>
      <c r="D5058" s="2" t="s">
        <v>17</v>
      </c>
      <c r="E5058" s="5">
        <v>-28471</v>
      </c>
      <c r="F5058" s="3" t="s">
        <v>1436</v>
      </c>
      <c r="G5058" s="3" t="s">
        <v>63</v>
      </c>
      <c r="H5058" s="2" t="s">
        <v>20</v>
      </c>
      <c r="I5058" s="2" t="s">
        <v>10132</v>
      </c>
      <c r="J5058" s="3" t="str">
        <f>HYPERLINK("https://www.boe.es/gazeta/dias/1822/01/17/pdfs/GMD-1822-17.pdf#page=6","Abrir facsímil")</f>
        <v>Abrir facsímil</v>
      </c>
      <c r="K5058" s="3" t="s">
        <v>22</v>
      </c>
    </row>
    <row r="5059" spans="1:11" ht="42" customHeight="1">
      <c r="A5059" s="2" t="s">
        <v>10122</v>
      </c>
      <c r="B5059" s="2" t="s">
        <v>10122</v>
      </c>
      <c r="C5059" s="2" t="s">
        <v>71</v>
      </c>
      <c r="D5059" s="2" t="s">
        <v>17</v>
      </c>
      <c r="E5059" s="5">
        <v>-28464</v>
      </c>
      <c r="F5059" s="3" t="s">
        <v>1447</v>
      </c>
      <c r="G5059" s="3" t="s">
        <v>31</v>
      </c>
      <c r="H5059" s="2" t="s">
        <v>20</v>
      </c>
      <c r="I5059" s="2" t="s">
        <v>10133</v>
      </c>
      <c r="J5059" s="3" t="str">
        <f>HYPERLINK("https://www.boe.es/gazeta/dias/1822/01/24/pdfs/GMD-1822-24.pdf#page=3","Abrir facsímil")</f>
        <v>Abrir facsímil</v>
      </c>
      <c r="K5059" s="3" t="s">
        <v>22</v>
      </c>
    </row>
    <row r="5060" spans="1:11" ht="42" customHeight="1">
      <c r="A5060" s="2" t="s">
        <v>10122</v>
      </c>
      <c r="B5060" s="2" t="s">
        <v>10122</v>
      </c>
      <c r="C5060" s="2" t="s">
        <v>71</v>
      </c>
      <c r="D5060" s="2" t="s">
        <v>17</v>
      </c>
      <c r="E5060" s="5">
        <v>-28462</v>
      </c>
      <c r="F5060" s="3" t="s">
        <v>1099</v>
      </c>
      <c r="G5060" s="3" t="s">
        <v>57</v>
      </c>
      <c r="H5060" s="2" t="s">
        <v>20</v>
      </c>
      <c r="I5060" s="2" t="s">
        <v>10134</v>
      </c>
      <c r="J5060" s="3" t="str">
        <f>HYPERLINK("https://www.boe.es/gazeta/dias/1822/01/26/pdfs/GMD-1822-26.pdf#page=4","Abrir facsímil")</f>
        <v>Abrir facsímil</v>
      </c>
      <c r="K5060" s="3" t="s">
        <v>22</v>
      </c>
    </row>
    <row r="5061" spans="1:11" ht="42" customHeight="1">
      <c r="A5061" s="2" t="s">
        <v>10122</v>
      </c>
      <c r="B5061" s="2" t="s">
        <v>10122</v>
      </c>
      <c r="C5061" s="2" t="s">
        <v>42</v>
      </c>
      <c r="D5061" s="2" t="s">
        <v>17</v>
      </c>
      <c r="E5061" s="5">
        <v>-28461</v>
      </c>
      <c r="F5061" s="3" t="s">
        <v>1801</v>
      </c>
      <c r="G5061" s="3" t="s">
        <v>57</v>
      </c>
      <c r="H5061" s="2" t="s">
        <v>20</v>
      </c>
      <c r="I5061" s="2" t="s">
        <v>10135</v>
      </c>
      <c r="J5061" s="3" t="str">
        <f>HYPERLINK("https://www.boe.es/gazeta/dias/1822/01/27/pdfs/GMD-1822-27.pdf#page=4","Abrir facsímil")</f>
        <v>Abrir facsímil</v>
      </c>
      <c r="K5061" s="3" t="s">
        <v>22</v>
      </c>
    </row>
    <row r="5062" spans="1:11" ht="42" customHeight="1">
      <c r="A5062" s="2" t="s">
        <v>10122</v>
      </c>
      <c r="B5062" s="2" t="s">
        <v>10122</v>
      </c>
      <c r="C5062" s="2" t="s">
        <v>71</v>
      </c>
      <c r="D5062" s="2" t="s">
        <v>17</v>
      </c>
      <c r="E5062" s="5">
        <v>-28460</v>
      </c>
      <c r="F5062" s="3" t="s">
        <v>112</v>
      </c>
      <c r="G5062" s="3" t="s">
        <v>63</v>
      </c>
      <c r="H5062" s="2" t="s">
        <v>20</v>
      </c>
      <c r="I5062" s="2" t="s">
        <v>10136</v>
      </c>
      <c r="J5062" s="3" t="str">
        <f>HYPERLINK("https://www.boe.es/gazeta/dias/1822/01/28/pdfs/GMD-1822-28.pdf#page=6","Abrir facsímil")</f>
        <v>Abrir facsímil</v>
      </c>
      <c r="K5062" s="3" t="s">
        <v>22</v>
      </c>
    </row>
    <row r="5063" spans="1:11" ht="42" customHeight="1">
      <c r="A5063" s="2" t="s">
        <v>10122</v>
      </c>
      <c r="B5063" s="2" t="s">
        <v>10122</v>
      </c>
      <c r="C5063" s="2" t="s">
        <v>16</v>
      </c>
      <c r="D5063" s="2" t="s">
        <v>17</v>
      </c>
      <c r="E5063" s="5">
        <v>-28459</v>
      </c>
      <c r="F5063" s="3" t="s">
        <v>1102</v>
      </c>
      <c r="G5063" s="3" t="s">
        <v>31</v>
      </c>
      <c r="H5063" s="2" t="s">
        <v>20</v>
      </c>
      <c r="I5063" s="2" t="s">
        <v>10137</v>
      </c>
      <c r="J5063" s="3" t="str">
        <f>HYPERLINK("https://www.boe.es/gazeta/dias/1822/01/29/pdfs/GMD-1822-29.pdf#page=3","Abrir facsímil")</f>
        <v>Abrir facsímil</v>
      </c>
      <c r="K5063" s="3" t="s">
        <v>22</v>
      </c>
    </row>
    <row r="5064" spans="1:11" ht="42" customHeight="1">
      <c r="A5064" s="2" t="s">
        <v>10122</v>
      </c>
      <c r="B5064" s="2" t="s">
        <v>10122</v>
      </c>
      <c r="C5064" s="2" t="s">
        <v>71</v>
      </c>
      <c r="D5064" s="2" t="s">
        <v>17</v>
      </c>
      <c r="E5064" s="5">
        <v>-28451</v>
      </c>
      <c r="F5064" s="3" t="s">
        <v>1674</v>
      </c>
      <c r="G5064" s="3" t="s">
        <v>63</v>
      </c>
      <c r="H5064" s="2" t="s">
        <v>20</v>
      </c>
      <c r="I5064" s="2" t="s">
        <v>10138</v>
      </c>
      <c r="J5064" s="3" t="str">
        <f>HYPERLINK("https://www.boe.es/gazeta/dias/1822/02/06/pdfs/GMD-1822-37.pdf#page=6","Abrir facsímil")</f>
        <v>Abrir facsímil</v>
      </c>
      <c r="K5064" s="3" t="s">
        <v>22</v>
      </c>
    </row>
    <row r="5065" spans="1:11" ht="42" customHeight="1">
      <c r="A5065" s="2" t="s">
        <v>10122</v>
      </c>
      <c r="B5065" s="2" t="s">
        <v>10122</v>
      </c>
      <c r="C5065" s="2" t="s">
        <v>71</v>
      </c>
      <c r="D5065" s="2" t="s">
        <v>17</v>
      </c>
      <c r="E5065" s="5">
        <v>-28449</v>
      </c>
      <c r="F5065" s="3" t="s">
        <v>1342</v>
      </c>
      <c r="G5065" s="3" t="s">
        <v>57</v>
      </c>
      <c r="H5065" s="2" t="s">
        <v>20</v>
      </c>
      <c r="I5065" s="2" t="s">
        <v>10139</v>
      </c>
      <c r="J5065" s="3" t="str">
        <f>HYPERLINK("https://www.boe.es/gazeta/dias/1822/02/08/pdfs/GMD-1822-39.pdf#page=4","Abrir facsímil")</f>
        <v>Abrir facsímil</v>
      </c>
      <c r="K5065" s="3" t="s">
        <v>22</v>
      </c>
    </row>
    <row r="5066" spans="1:11" ht="42" customHeight="1">
      <c r="A5066" s="2" t="s">
        <v>10122</v>
      </c>
      <c r="B5066" s="2" t="s">
        <v>10122</v>
      </c>
      <c r="C5066" s="2" t="s">
        <v>28</v>
      </c>
      <c r="D5066" s="2" t="s">
        <v>29</v>
      </c>
      <c r="E5066" s="5">
        <v>-28448</v>
      </c>
      <c r="F5066" s="3" t="s">
        <v>1670</v>
      </c>
      <c r="G5066" s="3" t="s">
        <v>31</v>
      </c>
      <c r="H5066" s="2" t="s">
        <v>20</v>
      </c>
      <c r="I5066" s="2" t="s">
        <v>10140</v>
      </c>
      <c r="J5066" s="3" t="str">
        <f>HYPERLINK("https://www.boe.es/gazeta/dias/1822/02/09/pdfs/GMD-1822-40.pdf#page=3","Abrir facsímil")</f>
        <v>Abrir facsímil</v>
      </c>
      <c r="K5066" s="3" t="s">
        <v>22</v>
      </c>
    </row>
    <row r="5067" spans="1:11" ht="42" customHeight="1">
      <c r="A5067" s="2" t="s">
        <v>10122</v>
      </c>
      <c r="B5067" s="2" t="s">
        <v>10122</v>
      </c>
      <c r="C5067" s="2" t="s">
        <v>42</v>
      </c>
      <c r="D5067" s="2" t="s">
        <v>17</v>
      </c>
      <c r="E5067" s="5">
        <v>-28448</v>
      </c>
      <c r="F5067" s="3" t="s">
        <v>1670</v>
      </c>
      <c r="G5067" s="3" t="s">
        <v>57</v>
      </c>
      <c r="H5067" s="2" t="s">
        <v>20</v>
      </c>
      <c r="I5067" s="2" t="s">
        <v>10141</v>
      </c>
      <c r="J5067" s="3" t="str">
        <f>HYPERLINK("https://www.boe.es/gazeta/dias/1822/02/09/pdfs/GMD-1822-40.pdf#page=4","Abrir facsímil")</f>
        <v>Abrir facsímil</v>
      </c>
      <c r="K5067" s="3" t="s">
        <v>22</v>
      </c>
    </row>
    <row r="5068" spans="1:11" ht="42" customHeight="1">
      <c r="A5068" s="2" t="s">
        <v>10122</v>
      </c>
      <c r="B5068" s="2" t="s">
        <v>10122</v>
      </c>
      <c r="C5068" s="2" t="s">
        <v>16</v>
      </c>
      <c r="D5068" s="2" t="s">
        <v>17</v>
      </c>
      <c r="E5068" s="5">
        <v>-28446</v>
      </c>
      <c r="F5068" s="3" t="s">
        <v>773</v>
      </c>
      <c r="G5068" s="3" t="s">
        <v>19</v>
      </c>
      <c r="H5068" s="2" t="s">
        <v>20</v>
      </c>
      <c r="I5068" s="2" t="s">
        <v>10142</v>
      </c>
      <c r="J5068" s="3" t="str">
        <f>HYPERLINK("https://www.boe.es/gazeta/dias/1822/02/11/pdfs/GMD-1822-42.pdf#page=5","Abrir facsímil")</f>
        <v>Abrir facsímil</v>
      </c>
      <c r="K5068" s="3" t="s">
        <v>22</v>
      </c>
    </row>
    <row r="5069" spans="1:11" ht="42" customHeight="1">
      <c r="A5069" s="2" t="s">
        <v>10122</v>
      </c>
      <c r="B5069" s="2" t="s">
        <v>10122</v>
      </c>
      <c r="C5069" s="2" t="s">
        <v>28</v>
      </c>
      <c r="D5069" s="2" t="s">
        <v>29</v>
      </c>
      <c r="E5069" s="5">
        <v>-28442</v>
      </c>
      <c r="F5069" s="3" t="s">
        <v>2250</v>
      </c>
      <c r="G5069" s="3" t="s">
        <v>2251</v>
      </c>
      <c r="H5069" s="2" t="s">
        <v>20</v>
      </c>
      <c r="I5069" s="2" t="s">
        <v>10143</v>
      </c>
      <c r="J5069" s="3" t="str">
        <f>HYPERLINK("https://www.boe.es/gazeta/dias/1822/02/15/pdfs/GMD-1822-47.pdf#page=4","Abrir facsímil")</f>
        <v>Abrir facsímil</v>
      </c>
      <c r="K5069" s="3" t="s">
        <v>22</v>
      </c>
    </row>
    <row r="5070" spans="1:11" ht="42" customHeight="1">
      <c r="A5070" s="2" t="s">
        <v>10122</v>
      </c>
      <c r="B5070" s="2" t="s">
        <v>10122</v>
      </c>
      <c r="C5070" s="2" t="s">
        <v>28</v>
      </c>
      <c r="D5070" s="2" t="s">
        <v>29</v>
      </c>
      <c r="E5070" s="5">
        <v>-28441</v>
      </c>
      <c r="F5070" s="3" t="s">
        <v>429</v>
      </c>
      <c r="G5070" s="3" t="s">
        <v>31</v>
      </c>
      <c r="H5070" s="2" t="s">
        <v>20</v>
      </c>
      <c r="I5070" s="2" t="s">
        <v>10144</v>
      </c>
      <c r="J5070" s="3" t="str">
        <f>HYPERLINK("https://www.boe.es/gazeta/dias/1822/02/16/pdfs/GMD-1822-48.pdf#page=3","Abrir facsímil")</f>
        <v>Abrir facsímil</v>
      </c>
      <c r="K5070" s="3" t="s">
        <v>22</v>
      </c>
    </row>
    <row r="5071" spans="1:11" ht="42" customHeight="1">
      <c r="A5071" s="2" t="s">
        <v>10122</v>
      </c>
      <c r="B5071" s="2" t="s">
        <v>10122</v>
      </c>
      <c r="C5071" s="2" t="s">
        <v>16</v>
      </c>
      <c r="D5071" s="2" t="s">
        <v>17</v>
      </c>
      <c r="E5071" s="5">
        <v>-28439</v>
      </c>
      <c r="F5071" s="3" t="s">
        <v>2752</v>
      </c>
      <c r="G5071" s="3" t="s">
        <v>31</v>
      </c>
      <c r="H5071" s="2" t="s">
        <v>20</v>
      </c>
      <c r="I5071" s="2" t="s">
        <v>10145</v>
      </c>
      <c r="J5071" s="3" t="str">
        <f>HYPERLINK("https://www.boe.es/gazeta/dias/1822/02/18/pdfs/GMD-1822-50.pdf#page=3","Abrir facsímil")</f>
        <v>Abrir facsímil</v>
      </c>
      <c r="K5071" s="3" t="s">
        <v>22</v>
      </c>
    </row>
    <row r="5072" spans="1:11" ht="42" customHeight="1">
      <c r="A5072" s="2" t="s">
        <v>10122</v>
      </c>
      <c r="B5072" s="2" t="s">
        <v>10122</v>
      </c>
      <c r="C5072" s="2" t="s">
        <v>16</v>
      </c>
      <c r="D5072" s="2" t="s">
        <v>17</v>
      </c>
      <c r="E5072" s="5">
        <v>-28438</v>
      </c>
      <c r="F5072" s="3" t="s">
        <v>963</v>
      </c>
      <c r="G5072" s="3" t="s">
        <v>31</v>
      </c>
      <c r="H5072" s="2" t="s">
        <v>20</v>
      </c>
      <c r="I5072" s="2" t="s">
        <v>10146</v>
      </c>
      <c r="J5072" s="3" t="str">
        <f>HYPERLINK("https://www.boe.es/gazeta/dias/1822/02/19/pdfs/GMD-1822-51.pdf#page=3","Abrir facsímil")</f>
        <v>Abrir facsímil</v>
      </c>
      <c r="K5072" s="3" t="s">
        <v>22</v>
      </c>
    </row>
    <row r="5073" spans="1:11" ht="42" customHeight="1">
      <c r="A5073" s="2" t="s">
        <v>10122</v>
      </c>
      <c r="B5073" s="2" t="s">
        <v>10122</v>
      </c>
      <c r="C5073" s="2" t="s">
        <v>16</v>
      </c>
      <c r="D5073" s="2" t="s">
        <v>17</v>
      </c>
      <c r="E5073" s="5">
        <v>-28435</v>
      </c>
      <c r="F5073" s="3" t="s">
        <v>1710</v>
      </c>
      <c r="G5073" s="3" t="s">
        <v>31</v>
      </c>
      <c r="H5073" s="2" t="s">
        <v>20</v>
      </c>
      <c r="I5073" s="2" t="s">
        <v>10147</v>
      </c>
      <c r="J5073" s="3" t="str">
        <f>HYPERLINK("https://www.boe.es/gazeta/dias/1822/02/22/pdfs/GMD-1822-54.pdf#page=3","Abrir facsímil")</f>
        <v>Abrir facsímil</v>
      </c>
      <c r="K5073" s="3" t="s">
        <v>22</v>
      </c>
    </row>
    <row r="5074" spans="1:11" ht="42" customHeight="1">
      <c r="A5074" s="2" t="s">
        <v>10122</v>
      </c>
      <c r="B5074" s="2" t="s">
        <v>10122</v>
      </c>
      <c r="C5074" s="2" t="s">
        <v>28</v>
      </c>
      <c r="D5074" s="2" t="s">
        <v>29</v>
      </c>
      <c r="E5074" s="5">
        <v>-28433</v>
      </c>
      <c r="F5074" s="3" t="s">
        <v>3663</v>
      </c>
      <c r="G5074" s="3" t="s">
        <v>31</v>
      </c>
      <c r="H5074" s="2" t="s">
        <v>20</v>
      </c>
      <c r="I5074" s="2" t="s">
        <v>10148</v>
      </c>
      <c r="J5074" s="3" t="str">
        <f>HYPERLINK("https://www.boe.es/gazeta/dias/1822/02/24/pdfs/GMD-1822-56.pdf#page=3","Abrir facsímil")</f>
        <v>Abrir facsímil</v>
      </c>
      <c r="K5074" s="3" t="s">
        <v>22</v>
      </c>
    </row>
    <row r="5075" spans="1:11" ht="42" customHeight="1">
      <c r="A5075" s="2" t="s">
        <v>10122</v>
      </c>
      <c r="B5075" s="2" t="s">
        <v>10122</v>
      </c>
      <c r="C5075" s="2" t="s">
        <v>28</v>
      </c>
      <c r="D5075" s="2" t="s">
        <v>29</v>
      </c>
      <c r="E5075" s="5">
        <v>-28430</v>
      </c>
      <c r="F5075" s="3" t="s">
        <v>3437</v>
      </c>
      <c r="G5075" s="3" t="s">
        <v>57</v>
      </c>
      <c r="H5075" s="2" t="s">
        <v>20</v>
      </c>
      <c r="I5075" s="2" t="s">
        <v>10149</v>
      </c>
      <c r="J5075" s="3" t="str">
        <f>HYPERLINK("https://www.boe.es/gazeta/dias/1822/02/27/pdfs/GMD-1822-59.pdf#page=4","Abrir facsímil")</f>
        <v>Abrir facsímil</v>
      </c>
      <c r="K5075" s="3" t="s">
        <v>22</v>
      </c>
    </row>
    <row r="5076" spans="1:11" ht="42" customHeight="1">
      <c r="A5076" s="2" t="s">
        <v>10122</v>
      </c>
      <c r="B5076" s="2" t="s">
        <v>10122</v>
      </c>
      <c r="C5076" s="2" t="s">
        <v>28</v>
      </c>
      <c r="D5076" s="2" t="s">
        <v>29</v>
      </c>
      <c r="E5076" s="5">
        <v>-28429</v>
      </c>
      <c r="F5076" s="3" t="s">
        <v>2397</v>
      </c>
      <c r="G5076" s="3" t="s">
        <v>57</v>
      </c>
      <c r="H5076" s="2" t="s">
        <v>20</v>
      </c>
      <c r="I5076" s="2" t="s">
        <v>10150</v>
      </c>
      <c r="J5076" s="3" t="str">
        <f>HYPERLINK("https://www.boe.es/gazeta/dias/1822/02/28/pdfs/GMD-1822-60.pdf#page=4","Abrir facsímil")</f>
        <v>Abrir facsímil</v>
      </c>
      <c r="K5076" s="3" t="s">
        <v>22</v>
      </c>
    </row>
    <row r="5077" spans="1:11" ht="42" customHeight="1">
      <c r="A5077" s="2" t="s">
        <v>10122</v>
      </c>
      <c r="B5077" s="2" t="s">
        <v>10122</v>
      </c>
      <c r="C5077" s="2" t="s">
        <v>50</v>
      </c>
      <c r="D5077" s="2" t="s">
        <v>51</v>
      </c>
      <c r="E5077" s="5">
        <v>-28425</v>
      </c>
      <c r="F5077" s="3" t="s">
        <v>419</v>
      </c>
      <c r="G5077" s="3" t="s">
        <v>31</v>
      </c>
      <c r="H5077" s="2" t="s">
        <v>20</v>
      </c>
      <c r="I5077" s="2" t="s">
        <v>10151</v>
      </c>
      <c r="J5077" s="3" t="str">
        <f>HYPERLINK("https://www.boe.es/gazeta/dias/1822/03/04/pdfs/GMD-1822-65.pdf#page=3","Abrir facsímil")</f>
        <v>Abrir facsímil</v>
      </c>
      <c r="K5077" s="3" t="s">
        <v>22</v>
      </c>
    </row>
    <row r="5078" spans="1:11" ht="42" customHeight="1">
      <c r="A5078" s="2" t="s">
        <v>10122</v>
      </c>
      <c r="B5078" s="2" t="s">
        <v>10122</v>
      </c>
      <c r="C5078" s="2" t="s">
        <v>50</v>
      </c>
      <c r="D5078" s="2" t="s">
        <v>51</v>
      </c>
      <c r="E5078" s="5">
        <v>-28423</v>
      </c>
      <c r="F5078" s="3" t="s">
        <v>441</v>
      </c>
      <c r="G5078" s="3" t="s">
        <v>63</v>
      </c>
      <c r="H5078" s="2" t="s">
        <v>20</v>
      </c>
      <c r="I5078" s="2" t="s">
        <v>10152</v>
      </c>
      <c r="J5078" s="3" t="str">
        <f>HYPERLINK("https://www.boe.es/gazeta/dias/1822/03/06/pdfs/GMD-1822-67.pdf#page=6","Abrir facsímil")</f>
        <v>Abrir facsímil</v>
      </c>
      <c r="K5078" s="3" t="s">
        <v>22</v>
      </c>
    </row>
    <row r="5079" spans="1:11" ht="42" customHeight="1">
      <c r="A5079" s="2" t="s">
        <v>10122</v>
      </c>
      <c r="B5079" s="2" t="s">
        <v>10122</v>
      </c>
      <c r="C5079" s="2" t="s">
        <v>28</v>
      </c>
      <c r="D5079" s="2" t="s">
        <v>29</v>
      </c>
      <c r="E5079" s="5">
        <v>-28415</v>
      </c>
      <c r="F5079" s="3" t="s">
        <v>77</v>
      </c>
      <c r="G5079" s="3" t="s">
        <v>19</v>
      </c>
      <c r="H5079" s="2" t="s">
        <v>20</v>
      </c>
      <c r="I5079" s="2" t="s">
        <v>10153</v>
      </c>
      <c r="J5079" s="3" t="str">
        <f>HYPERLINK("https://www.boe.es/gazeta/dias/1822/03/14/pdfs/GMD-1822-75.pdf#page=5","Abrir facsímil")</f>
        <v>Abrir facsímil</v>
      </c>
      <c r="K5079" s="3" t="s">
        <v>22</v>
      </c>
    </row>
    <row r="5080" spans="1:11" ht="42" customHeight="1">
      <c r="A5080" s="2" t="s">
        <v>10122</v>
      </c>
      <c r="B5080" s="2" t="s">
        <v>10122</v>
      </c>
      <c r="C5080" s="2" t="s">
        <v>16</v>
      </c>
      <c r="D5080" s="2" t="s">
        <v>17</v>
      </c>
      <c r="E5080" s="5">
        <v>-28411</v>
      </c>
      <c r="F5080" s="3" t="s">
        <v>1509</v>
      </c>
      <c r="G5080" s="3" t="s">
        <v>57</v>
      </c>
      <c r="H5080" s="2" t="s">
        <v>20</v>
      </c>
      <c r="I5080" s="2" t="s">
        <v>10154</v>
      </c>
      <c r="J5080" s="3" t="str">
        <f>HYPERLINK("https://www.boe.es/gazeta/dias/1822/03/18/pdfs/GMD-1822-79.pdf#page=4","Abrir facsímil")</f>
        <v>Abrir facsímil</v>
      </c>
      <c r="K5080" s="3" t="s">
        <v>22</v>
      </c>
    </row>
    <row r="5081" spans="1:11" ht="42" customHeight="1">
      <c r="A5081" s="2" t="s">
        <v>10122</v>
      </c>
      <c r="B5081" s="2" t="s">
        <v>10122</v>
      </c>
      <c r="C5081" s="2" t="s">
        <v>16</v>
      </c>
      <c r="D5081" s="2" t="s">
        <v>17</v>
      </c>
      <c r="E5081" s="5">
        <v>-28409</v>
      </c>
      <c r="F5081" s="3" t="s">
        <v>394</v>
      </c>
      <c r="G5081" s="3" t="s">
        <v>19</v>
      </c>
      <c r="H5081" s="2" t="s">
        <v>20</v>
      </c>
      <c r="I5081" s="2" t="s">
        <v>10155</v>
      </c>
      <c r="J5081" s="3" t="str">
        <f>HYPERLINK("https://www.boe.es/gazeta/dias/1822/03/20/pdfs/GMD-1822-81.pdf#page=5","Abrir facsímil")</f>
        <v>Abrir facsímil</v>
      </c>
      <c r="K5081" s="3" t="s">
        <v>22</v>
      </c>
    </row>
    <row r="5082" spans="1:11" ht="42" customHeight="1">
      <c r="A5082" s="2" t="s">
        <v>10122</v>
      </c>
      <c r="B5082" s="2" t="s">
        <v>10122</v>
      </c>
      <c r="C5082" s="2" t="s">
        <v>28</v>
      </c>
      <c r="D5082" s="2" t="s">
        <v>29</v>
      </c>
      <c r="E5082" s="5">
        <v>-28403</v>
      </c>
      <c r="F5082" s="3" t="s">
        <v>471</v>
      </c>
      <c r="G5082" s="3" t="s">
        <v>19</v>
      </c>
      <c r="H5082" s="2" t="s">
        <v>20</v>
      </c>
      <c r="I5082" s="2" t="s">
        <v>10156</v>
      </c>
      <c r="J5082" s="3" t="str">
        <f>HYPERLINK("https://www.boe.es/gazeta/dias/1822/03/26/pdfs/GMD-1822-87.pdf#page=5","Abrir facsímil")</f>
        <v>Abrir facsímil</v>
      </c>
      <c r="K5082" s="3" t="s">
        <v>22</v>
      </c>
    </row>
    <row r="5083" spans="1:11" ht="42" customHeight="1">
      <c r="A5083" s="2" t="s">
        <v>10122</v>
      </c>
      <c r="B5083" s="2" t="s">
        <v>10122</v>
      </c>
      <c r="C5083" s="2" t="s">
        <v>28</v>
      </c>
      <c r="D5083" s="2" t="s">
        <v>29</v>
      </c>
      <c r="E5083" s="5">
        <v>-28394</v>
      </c>
      <c r="F5083" s="3" t="s">
        <v>268</v>
      </c>
      <c r="G5083" s="3" t="s">
        <v>57</v>
      </c>
      <c r="H5083" s="2" t="s">
        <v>20</v>
      </c>
      <c r="I5083" s="2" t="s">
        <v>10157</v>
      </c>
      <c r="J5083" s="3" t="str">
        <f>HYPERLINK("https://www.boe.es/gazeta/dias/1822/04/04/pdfs/GMD-1822-96.pdf#page=4","Abrir facsímil")</f>
        <v>Abrir facsímil</v>
      </c>
      <c r="K5083" s="3" t="s">
        <v>22</v>
      </c>
    </row>
    <row r="5084" spans="1:11" ht="42" customHeight="1">
      <c r="A5084" s="2" t="s">
        <v>10122</v>
      </c>
      <c r="B5084" s="2" t="s">
        <v>10122</v>
      </c>
      <c r="C5084" s="2" t="s">
        <v>50</v>
      </c>
      <c r="D5084" s="2" t="s">
        <v>51</v>
      </c>
      <c r="E5084" s="5">
        <v>-28391</v>
      </c>
      <c r="F5084" s="3" t="s">
        <v>378</v>
      </c>
      <c r="G5084" s="3" t="s">
        <v>19</v>
      </c>
      <c r="H5084" s="2" t="s">
        <v>20</v>
      </c>
      <c r="I5084" s="2" t="s">
        <v>10158</v>
      </c>
      <c r="J5084" s="3" t="str">
        <f>HYPERLINK("https://www.boe.es/gazeta/dias/1822/04/07/pdfs/GMD-1822-99.pdf#page=5","Abrir facsímil")</f>
        <v>Abrir facsímil</v>
      </c>
      <c r="K5084" s="3" t="s">
        <v>22</v>
      </c>
    </row>
    <row r="5085" spans="1:11" ht="42" customHeight="1">
      <c r="A5085" s="2" t="s">
        <v>10122</v>
      </c>
      <c r="B5085" s="2" t="s">
        <v>10122</v>
      </c>
      <c r="C5085" s="2" t="s">
        <v>16</v>
      </c>
      <c r="D5085" s="2" t="s">
        <v>17</v>
      </c>
      <c r="E5085" s="5">
        <v>-28387</v>
      </c>
      <c r="F5085" s="3" t="s">
        <v>2874</v>
      </c>
      <c r="G5085" s="3" t="s">
        <v>63</v>
      </c>
      <c r="H5085" s="2" t="s">
        <v>20</v>
      </c>
      <c r="I5085" s="2" t="s">
        <v>10159</v>
      </c>
      <c r="J5085" s="3" t="str">
        <f>HYPERLINK("https://www.boe.es/gazeta/dias/1822/04/11/pdfs/GMD-1822-103.pdf#page=6","Abrir facsímil")</f>
        <v>Abrir facsímil</v>
      </c>
      <c r="K5085" s="3" t="s">
        <v>22</v>
      </c>
    </row>
    <row r="5086" spans="1:11" ht="42" customHeight="1">
      <c r="A5086" s="2" t="s">
        <v>10122</v>
      </c>
      <c r="B5086" s="2" t="s">
        <v>10122</v>
      </c>
      <c r="C5086" s="2" t="s">
        <v>50</v>
      </c>
      <c r="D5086" s="2" t="s">
        <v>51</v>
      </c>
      <c r="E5086" s="5">
        <v>-28384</v>
      </c>
      <c r="F5086" s="3" t="s">
        <v>258</v>
      </c>
      <c r="G5086" s="3" t="s">
        <v>35</v>
      </c>
      <c r="H5086" s="2" t="s">
        <v>20</v>
      </c>
      <c r="I5086" s="2" t="s">
        <v>10160</v>
      </c>
      <c r="J5086" s="3" t="str">
        <f>HYPERLINK("https://www.boe.es/gazeta/dias/1822/04/14/pdfs/GMD-1822-106.pdf#page=2","Abrir facsímil")</f>
        <v>Abrir facsímil</v>
      </c>
      <c r="K5086" s="3" t="s">
        <v>22</v>
      </c>
    </row>
    <row r="5087" spans="1:11" ht="42" customHeight="1">
      <c r="A5087" s="2" t="s">
        <v>10122</v>
      </c>
      <c r="B5087" s="2" t="s">
        <v>10122</v>
      </c>
      <c r="C5087" s="2" t="s">
        <v>42</v>
      </c>
      <c r="D5087" s="2" t="s">
        <v>17</v>
      </c>
      <c r="E5087" s="5">
        <v>-28383</v>
      </c>
      <c r="F5087" s="3" t="s">
        <v>488</v>
      </c>
      <c r="G5087" s="3" t="s">
        <v>35</v>
      </c>
      <c r="H5087" s="2" t="s">
        <v>20</v>
      </c>
      <c r="I5087" s="2" t="s">
        <v>10161</v>
      </c>
      <c r="J5087" s="3" t="str">
        <f>HYPERLINK("https://www.boe.es/gazeta/dias/1822/04/15/pdfs/GMD-1822-107.pdf#page=2","Abrir facsímil")</f>
        <v>Abrir facsímil</v>
      </c>
      <c r="K5087" s="3" t="s">
        <v>22</v>
      </c>
    </row>
    <row r="5088" spans="1:11" ht="42" customHeight="1">
      <c r="A5088" s="2" t="s">
        <v>10122</v>
      </c>
      <c r="B5088" s="2" t="s">
        <v>10122</v>
      </c>
      <c r="C5088" s="2" t="s">
        <v>42</v>
      </c>
      <c r="D5088" s="2" t="s">
        <v>17</v>
      </c>
      <c r="E5088" s="5">
        <v>-28376</v>
      </c>
      <c r="F5088" s="3" t="s">
        <v>500</v>
      </c>
      <c r="G5088" s="3" t="s">
        <v>35</v>
      </c>
      <c r="H5088" s="2" t="s">
        <v>20</v>
      </c>
      <c r="I5088" s="2" t="s">
        <v>10162</v>
      </c>
      <c r="J5088" s="3" t="str">
        <f>HYPERLINK("https://www.boe.es/gazeta/dias/1822/04/22/pdfs/GMD-1822-114.pdf#page=2","Abrir facsímil")</f>
        <v>Abrir facsímil</v>
      </c>
      <c r="K5088" s="3" t="s">
        <v>22</v>
      </c>
    </row>
    <row r="5089" spans="1:11" ht="42" customHeight="1">
      <c r="A5089" s="2" t="s">
        <v>10122</v>
      </c>
      <c r="B5089" s="2" t="s">
        <v>10122</v>
      </c>
      <c r="C5089" s="2" t="s">
        <v>28</v>
      </c>
      <c r="D5089" s="2" t="s">
        <v>29</v>
      </c>
      <c r="E5089" s="5">
        <v>-28371</v>
      </c>
      <c r="F5089" s="3" t="s">
        <v>401</v>
      </c>
      <c r="G5089" s="3" t="s">
        <v>19</v>
      </c>
      <c r="H5089" s="2" t="s">
        <v>20</v>
      </c>
      <c r="I5089" s="2" t="s">
        <v>10163</v>
      </c>
      <c r="J5089" s="3" t="str">
        <f>HYPERLINK("https://www.boe.es/gazeta/dias/1822/04/27/pdfs/GMD-1822-119.pdf#page=5","Abrir facsímil")</f>
        <v>Abrir facsímil</v>
      </c>
      <c r="K5089" s="3" t="s">
        <v>22</v>
      </c>
    </row>
    <row r="5090" spans="1:11" ht="42" customHeight="1">
      <c r="A5090" s="2" t="s">
        <v>10122</v>
      </c>
      <c r="B5090" s="2" t="s">
        <v>10122</v>
      </c>
      <c r="C5090" s="2" t="s">
        <v>16</v>
      </c>
      <c r="D5090" s="2" t="s">
        <v>17</v>
      </c>
      <c r="E5090" s="5">
        <v>-28367</v>
      </c>
      <c r="F5090" s="3" t="s">
        <v>280</v>
      </c>
      <c r="G5090" s="3" t="s">
        <v>19</v>
      </c>
      <c r="H5090" s="2" t="s">
        <v>20</v>
      </c>
      <c r="I5090" s="2" t="s">
        <v>10164</v>
      </c>
      <c r="J5090" s="3" t="str">
        <f>HYPERLINK("https://www.boe.es/gazeta/dias/1822/05/01/pdfs/GMD-1822-123.pdf#page=5","Abrir facsímil")</f>
        <v>Abrir facsímil</v>
      </c>
      <c r="K5090" s="3" t="s">
        <v>22</v>
      </c>
    </row>
    <row r="5091" spans="1:11" ht="42" customHeight="1">
      <c r="A5091" s="2" t="s">
        <v>10122</v>
      </c>
      <c r="B5091" s="2" t="s">
        <v>10122</v>
      </c>
      <c r="C5091" s="2" t="s">
        <v>16</v>
      </c>
      <c r="D5091" s="2" t="s">
        <v>17</v>
      </c>
      <c r="E5091" s="5">
        <v>-28345</v>
      </c>
      <c r="F5091" s="3" t="s">
        <v>294</v>
      </c>
      <c r="G5091" s="3" t="s">
        <v>57</v>
      </c>
      <c r="H5091" s="2" t="s">
        <v>20</v>
      </c>
      <c r="I5091" s="2" t="s">
        <v>10165</v>
      </c>
      <c r="J5091" s="3" t="str">
        <f>HYPERLINK("https://www.boe.es/gazeta/dias/1822/05/23/pdfs/GMD-1822-147.pdf#page=4","Abrir facsímil")</f>
        <v>Abrir facsímil</v>
      </c>
      <c r="K5091" s="3" t="s">
        <v>22</v>
      </c>
    </row>
    <row r="5092" spans="1:11" ht="42" customHeight="1">
      <c r="A5092" s="2" t="s">
        <v>10122</v>
      </c>
      <c r="B5092" s="2" t="s">
        <v>10122</v>
      </c>
      <c r="C5092" s="2" t="s">
        <v>71</v>
      </c>
      <c r="D5092" s="2" t="s">
        <v>17</v>
      </c>
      <c r="E5092" s="5">
        <v>-28342</v>
      </c>
      <c r="F5092" s="3" t="s">
        <v>2281</v>
      </c>
      <c r="G5092" s="3" t="s">
        <v>35</v>
      </c>
      <c r="H5092" s="2" t="s">
        <v>20</v>
      </c>
      <c r="I5092" s="2" t="s">
        <v>10166</v>
      </c>
      <c r="J5092" s="3" t="str">
        <f>HYPERLINK("https://www.boe.es/gazeta/dias/1822/05/26/pdfs/GMD-1822-151.pdf#page=2","Abrir facsímil")</f>
        <v>Abrir facsímil</v>
      </c>
      <c r="K5092" s="3" t="s">
        <v>22</v>
      </c>
    </row>
    <row r="5093" spans="1:11" ht="42" customHeight="1">
      <c r="A5093" s="2" t="s">
        <v>10122</v>
      </c>
      <c r="B5093" s="2" t="s">
        <v>10122</v>
      </c>
      <c r="C5093" s="2" t="s">
        <v>16</v>
      </c>
      <c r="D5093" s="2" t="s">
        <v>17</v>
      </c>
      <c r="E5093" s="5">
        <v>-28342</v>
      </c>
      <c r="F5093" s="3" t="s">
        <v>2281</v>
      </c>
      <c r="G5093" s="3" t="s">
        <v>63</v>
      </c>
      <c r="H5093" s="2" t="s">
        <v>20</v>
      </c>
      <c r="I5093" s="2" t="s">
        <v>10167</v>
      </c>
      <c r="J5093" s="3" t="str">
        <f>HYPERLINK("https://www.boe.es/gazeta/dias/1822/05/26/pdfs/GMD-1822-151.pdf#page=6","Abrir facsímil")</f>
        <v>Abrir facsímil</v>
      </c>
      <c r="K5093" s="3" t="s">
        <v>22</v>
      </c>
    </row>
    <row r="5094" spans="1:11" ht="42" customHeight="1">
      <c r="A5094" s="2" t="s">
        <v>10122</v>
      </c>
      <c r="B5094" s="2" t="s">
        <v>10122</v>
      </c>
      <c r="C5094" s="2" t="s">
        <v>71</v>
      </c>
      <c r="D5094" s="2" t="s">
        <v>17</v>
      </c>
      <c r="E5094" s="5">
        <v>-28341</v>
      </c>
      <c r="F5094" s="3" t="s">
        <v>284</v>
      </c>
      <c r="G5094" s="3" t="s">
        <v>63</v>
      </c>
      <c r="H5094" s="2" t="s">
        <v>20</v>
      </c>
      <c r="I5094" s="2" t="s">
        <v>10168</v>
      </c>
      <c r="J5094" s="3" t="str">
        <f>HYPERLINK("https://www.boe.es/gazeta/dias/1822/05/27/pdfs/GMD-1822-152.pdf#page=6","Abrir facsímil")</f>
        <v>Abrir facsímil</v>
      </c>
      <c r="K5094" s="3" t="s">
        <v>22</v>
      </c>
    </row>
    <row r="5095" spans="1:11" ht="42" customHeight="1">
      <c r="A5095" s="2" t="s">
        <v>10122</v>
      </c>
      <c r="B5095" s="2" t="s">
        <v>10122</v>
      </c>
      <c r="C5095" s="2" t="s">
        <v>28</v>
      </c>
      <c r="D5095" s="2" t="s">
        <v>29</v>
      </c>
      <c r="E5095" s="5">
        <v>-28340</v>
      </c>
      <c r="F5095" s="3" t="s">
        <v>139</v>
      </c>
      <c r="G5095" s="3" t="s">
        <v>19</v>
      </c>
      <c r="H5095" s="2" t="s">
        <v>20</v>
      </c>
      <c r="I5095" s="2" t="s">
        <v>10169</v>
      </c>
      <c r="J5095" s="3" t="str">
        <f>HYPERLINK("https://www.boe.es/gazeta/dias/1822/05/28/pdfs/GMD-1822-153.pdf#page=5","Abrir facsímil")</f>
        <v>Abrir facsímil</v>
      </c>
      <c r="K5095" s="3" t="s">
        <v>22</v>
      </c>
    </row>
    <row r="5096" spans="1:11" ht="42" customHeight="1">
      <c r="A5096" s="2" t="s">
        <v>10122</v>
      </c>
      <c r="B5096" s="2" t="s">
        <v>10122</v>
      </c>
      <c r="C5096" s="2" t="s">
        <v>16</v>
      </c>
      <c r="D5096" s="2" t="s">
        <v>17</v>
      </c>
      <c r="E5096" s="5">
        <v>-28339</v>
      </c>
      <c r="F5096" s="3" t="s">
        <v>197</v>
      </c>
      <c r="G5096" s="3" t="s">
        <v>57</v>
      </c>
      <c r="H5096" s="2" t="s">
        <v>20</v>
      </c>
      <c r="I5096" s="2" t="s">
        <v>10170</v>
      </c>
      <c r="J5096" s="3" t="str">
        <f>HYPERLINK("https://www.boe.es/gazeta/dias/1822/05/29/pdfs/GMD-1822-154.pdf#page=4","Abrir facsímil")</f>
        <v>Abrir facsímil</v>
      </c>
      <c r="K5096" s="3" t="s">
        <v>22</v>
      </c>
    </row>
    <row r="5097" spans="1:11" ht="42" customHeight="1">
      <c r="A5097" s="2" t="s">
        <v>10122</v>
      </c>
      <c r="B5097" s="2" t="s">
        <v>10122</v>
      </c>
      <c r="C5097" s="2" t="s">
        <v>16</v>
      </c>
      <c r="D5097" s="2" t="s">
        <v>17</v>
      </c>
      <c r="E5097" s="5">
        <v>-28334</v>
      </c>
      <c r="F5097" s="3" t="s">
        <v>532</v>
      </c>
      <c r="G5097" s="3" t="s">
        <v>167</v>
      </c>
      <c r="H5097" s="2" t="s">
        <v>20</v>
      </c>
      <c r="I5097" s="2" t="s">
        <v>10171</v>
      </c>
      <c r="J5097" s="3" t="str">
        <f>HYPERLINK("https://www.boe.es/gazeta/dias/1822/06/03/pdfs/GMD-1822-159.pdf#page=7","Abrir facsímil")</f>
        <v>Abrir facsímil</v>
      </c>
      <c r="K5097" s="3" t="s">
        <v>22</v>
      </c>
    </row>
    <row r="5098" spans="1:11" ht="42" customHeight="1">
      <c r="A5098" s="2" t="s">
        <v>10122</v>
      </c>
      <c r="B5098" s="2" t="s">
        <v>10122</v>
      </c>
      <c r="C5098" s="2" t="s">
        <v>50</v>
      </c>
      <c r="D5098" s="2" t="s">
        <v>51</v>
      </c>
      <c r="E5098" s="5">
        <v>-28333</v>
      </c>
      <c r="F5098" s="3" t="s">
        <v>1928</v>
      </c>
      <c r="G5098" s="3" t="s">
        <v>63</v>
      </c>
      <c r="H5098" s="2" t="s">
        <v>20</v>
      </c>
      <c r="I5098" s="2" t="s">
        <v>10172</v>
      </c>
      <c r="J5098" s="3" t="str">
        <f>HYPERLINK("https://www.boe.es/gazeta/dias/1822/06/04/pdfs/GMD-1822-161.pdf#page=6","Abrir facsímil")</f>
        <v>Abrir facsímil</v>
      </c>
      <c r="K5098" s="3" t="s">
        <v>22</v>
      </c>
    </row>
    <row r="5099" spans="1:11" ht="42" customHeight="1">
      <c r="A5099" s="2" t="s">
        <v>10122</v>
      </c>
      <c r="B5099" s="2" t="s">
        <v>10122</v>
      </c>
      <c r="C5099" s="2" t="s">
        <v>28</v>
      </c>
      <c r="D5099" s="2" t="s">
        <v>29</v>
      </c>
      <c r="E5099" s="5">
        <v>-28329</v>
      </c>
      <c r="F5099" s="3" t="s">
        <v>354</v>
      </c>
      <c r="G5099" s="3" t="s">
        <v>57</v>
      </c>
      <c r="H5099" s="2" t="s">
        <v>20</v>
      </c>
      <c r="I5099" s="2" t="s">
        <v>10173</v>
      </c>
      <c r="J5099" s="3" t="str">
        <f>HYPERLINK("https://www.boe.es/gazeta/dias/1822/06/08/pdfs/GMD-1822-165.pdf#page=4","Abrir facsímil")</f>
        <v>Abrir facsímil</v>
      </c>
      <c r="K5099" s="3" t="s">
        <v>22</v>
      </c>
    </row>
    <row r="5100" spans="1:11" ht="42" customHeight="1">
      <c r="A5100" s="2" t="s">
        <v>10122</v>
      </c>
      <c r="B5100" s="2" t="s">
        <v>10122</v>
      </c>
      <c r="C5100" s="2" t="s">
        <v>16</v>
      </c>
      <c r="D5100" s="2" t="s">
        <v>17</v>
      </c>
      <c r="E5100" s="5">
        <v>-28328</v>
      </c>
      <c r="F5100" s="3" t="s">
        <v>540</v>
      </c>
      <c r="G5100" s="3" t="s">
        <v>63</v>
      </c>
      <c r="H5100" s="2" t="s">
        <v>20</v>
      </c>
      <c r="I5100" s="2" t="s">
        <v>10174</v>
      </c>
      <c r="J5100" s="3" t="str">
        <f>HYPERLINK("https://www.boe.es/gazeta/dias/1822/06/09/pdfs/GMD-1822-166.pdf#page=6","Abrir facsímil")</f>
        <v>Abrir facsímil</v>
      </c>
      <c r="K5100" s="3" t="s">
        <v>22</v>
      </c>
    </row>
    <row r="5101" spans="1:11" ht="42" customHeight="1">
      <c r="A5101" s="2" t="s">
        <v>10122</v>
      </c>
      <c r="B5101" s="2" t="s">
        <v>10122</v>
      </c>
      <c r="C5101" s="2" t="s">
        <v>71</v>
      </c>
      <c r="D5101" s="2" t="s">
        <v>17</v>
      </c>
      <c r="E5101" s="5">
        <v>-28327</v>
      </c>
      <c r="F5101" s="3" t="s">
        <v>38</v>
      </c>
      <c r="G5101" s="3" t="s">
        <v>31</v>
      </c>
      <c r="H5101" s="2" t="s">
        <v>20</v>
      </c>
      <c r="I5101" s="2" t="s">
        <v>10175</v>
      </c>
      <c r="J5101" s="3" t="str">
        <f>HYPERLINK("https://www.boe.es/gazeta/dias/1822/06/10/pdfs/GMD-1822-167.pdf#page=3","Abrir facsímil")</f>
        <v>Abrir facsímil</v>
      </c>
      <c r="K5101" s="3" t="s">
        <v>22</v>
      </c>
    </row>
    <row r="5102" spans="1:11" ht="42" customHeight="1">
      <c r="A5102" s="2" t="s">
        <v>10122</v>
      </c>
      <c r="B5102" s="2" t="s">
        <v>10122</v>
      </c>
      <c r="C5102" s="2" t="s">
        <v>50</v>
      </c>
      <c r="D5102" s="2" t="s">
        <v>51</v>
      </c>
      <c r="E5102" s="5">
        <v>-28322</v>
      </c>
      <c r="F5102" s="3" t="s">
        <v>2205</v>
      </c>
      <c r="G5102" s="3" t="s">
        <v>57</v>
      </c>
      <c r="H5102" s="2" t="s">
        <v>20</v>
      </c>
      <c r="I5102" s="2" t="s">
        <v>10176</v>
      </c>
      <c r="J5102" s="3" t="str">
        <f>HYPERLINK("https://www.boe.es/gazeta/dias/1822/06/15/pdfs/GMD-1822-172.pdf#page=4","Abrir facsímil")</f>
        <v>Abrir facsímil</v>
      </c>
      <c r="K5102" s="3" t="s">
        <v>22</v>
      </c>
    </row>
    <row r="5103" spans="1:11" ht="42" customHeight="1">
      <c r="A5103" s="2" t="s">
        <v>10122</v>
      </c>
      <c r="B5103" s="2" t="s">
        <v>10122</v>
      </c>
      <c r="C5103" s="2" t="s">
        <v>16</v>
      </c>
      <c r="D5103" s="2" t="s">
        <v>17</v>
      </c>
      <c r="E5103" s="5">
        <v>-28321</v>
      </c>
      <c r="F5103" s="3" t="s">
        <v>1142</v>
      </c>
      <c r="G5103" s="3" t="s">
        <v>63</v>
      </c>
      <c r="H5103" s="2" t="s">
        <v>20</v>
      </c>
      <c r="I5103" s="2" t="s">
        <v>10177</v>
      </c>
      <c r="J5103" s="3" t="str">
        <f>HYPERLINK("https://www.boe.es/gazeta/dias/1822/06/16/pdfs/GMD-1822-173.pdf#page=6","Abrir facsímil")</f>
        <v>Abrir facsímil</v>
      </c>
      <c r="K5103" s="3" t="s">
        <v>22</v>
      </c>
    </row>
    <row r="5104" spans="1:11" ht="42" customHeight="1">
      <c r="A5104" s="2" t="s">
        <v>10122</v>
      </c>
      <c r="B5104" s="2" t="s">
        <v>10122</v>
      </c>
      <c r="C5104" s="2" t="s">
        <v>42</v>
      </c>
      <c r="D5104" s="2" t="s">
        <v>17</v>
      </c>
      <c r="E5104" s="5">
        <v>-28319</v>
      </c>
      <c r="F5104" s="3" t="s">
        <v>271</v>
      </c>
      <c r="G5104" s="3" t="s">
        <v>19</v>
      </c>
      <c r="H5104" s="2" t="s">
        <v>20</v>
      </c>
      <c r="I5104" s="2" t="s">
        <v>10178</v>
      </c>
      <c r="J5104" s="3" t="str">
        <f>HYPERLINK("https://www.boe.es/gazeta/dias/1822/06/18/pdfs/GMD-1822-175.pdf#page=5","Abrir facsímil")</f>
        <v>Abrir facsímil</v>
      </c>
      <c r="K5104" s="3" t="s">
        <v>22</v>
      </c>
    </row>
    <row r="5105" spans="1:11" ht="42" customHeight="1">
      <c r="A5105" s="2" t="s">
        <v>10122</v>
      </c>
      <c r="B5105" s="2" t="s">
        <v>10122</v>
      </c>
      <c r="C5105" s="2" t="s">
        <v>16</v>
      </c>
      <c r="D5105" s="2" t="s">
        <v>17</v>
      </c>
      <c r="E5105" s="5">
        <v>-28315</v>
      </c>
      <c r="F5105" s="3" t="s">
        <v>1220</v>
      </c>
      <c r="G5105" s="3" t="s">
        <v>63</v>
      </c>
      <c r="H5105" s="2" t="s">
        <v>20</v>
      </c>
      <c r="I5105" s="2" t="s">
        <v>10179</v>
      </c>
      <c r="J5105" s="3" t="str">
        <f>HYPERLINK("https://www.boe.es/gazeta/dias/1822/06/22/pdfs/GMD-1822-180.pdf#page=6","Abrir facsímil")</f>
        <v>Abrir facsímil</v>
      </c>
      <c r="K5105" s="3" t="s">
        <v>22</v>
      </c>
    </row>
    <row r="5106" spans="1:11" ht="42" customHeight="1">
      <c r="A5106" s="2" t="s">
        <v>10122</v>
      </c>
      <c r="B5106" s="2" t="s">
        <v>10122</v>
      </c>
      <c r="C5106" s="2" t="s">
        <v>28</v>
      </c>
      <c r="D5106" s="2" t="s">
        <v>29</v>
      </c>
      <c r="E5106" s="5">
        <v>-28313</v>
      </c>
      <c r="F5106" s="3" t="s">
        <v>315</v>
      </c>
      <c r="G5106" s="3" t="s">
        <v>167</v>
      </c>
      <c r="H5106" s="2" t="s">
        <v>20</v>
      </c>
      <c r="I5106" s="2" t="s">
        <v>10180</v>
      </c>
      <c r="J5106" s="3" t="str">
        <f>HYPERLINK("https://www.boe.es/gazeta/dias/1822/06/24/pdfs/GMD-1822-182.pdf#page=7","Abrir facsímil")</f>
        <v>Abrir facsímil</v>
      </c>
      <c r="K5106" s="3" t="s">
        <v>22</v>
      </c>
    </row>
    <row r="5107" spans="1:11" ht="42" customHeight="1">
      <c r="A5107" s="2" t="s">
        <v>10122</v>
      </c>
      <c r="B5107" s="2" t="s">
        <v>10122</v>
      </c>
      <c r="C5107" s="2" t="s">
        <v>50</v>
      </c>
      <c r="D5107" s="2" t="s">
        <v>51</v>
      </c>
      <c r="E5107" s="5">
        <v>-28313</v>
      </c>
      <c r="F5107" s="3" t="s">
        <v>315</v>
      </c>
      <c r="G5107" s="3" t="s">
        <v>157</v>
      </c>
      <c r="H5107" s="2" t="s">
        <v>20</v>
      </c>
      <c r="I5107" s="2" t="s">
        <v>10181</v>
      </c>
      <c r="J5107" s="3" t="str">
        <f>HYPERLINK("https://www.boe.es/gazeta/dias/1822/06/24/pdfs/GMD-1822-182.pdf#page=8","Abrir facsímil")</f>
        <v>Abrir facsímil</v>
      </c>
      <c r="K5107" s="3" t="s">
        <v>22</v>
      </c>
    </row>
    <row r="5108" spans="1:11" ht="42" customHeight="1">
      <c r="A5108" s="2" t="s">
        <v>10122</v>
      </c>
      <c r="B5108" s="2" t="s">
        <v>10122</v>
      </c>
      <c r="C5108" s="2" t="s">
        <v>16</v>
      </c>
      <c r="D5108" s="2" t="s">
        <v>17</v>
      </c>
      <c r="E5108" s="5">
        <v>-28311</v>
      </c>
      <c r="F5108" s="3" t="s">
        <v>736</v>
      </c>
      <c r="G5108" s="3" t="s">
        <v>63</v>
      </c>
      <c r="H5108" s="2" t="s">
        <v>20</v>
      </c>
      <c r="I5108" s="2" t="s">
        <v>10182</v>
      </c>
      <c r="J5108" s="3" t="str">
        <f>HYPERLINK("https://www.boe.es/gazeta/dias/1822/06/26/pdfs/GMD-1822-184.pdf#page=6","Abrir facsímil")</f>
        <v>Abrir facsímil</v>
      </c>
      <c r="K5108" s="3" t="s">
        <v>22</v>
      </c>
    </row>
    <row r="5109" spans="1:11" ht="42" customHeight="1">
      <c r="A5109" s="2" t="s">
        <v>10122</v>
      </c>
      <c r="B5109" s="2" t="s">
        <v>10122</v>
      </c>
      <c r="C5109" s="2" t="s">
        <v>42</v>
      </c>
      <c r="D5109" s="2" t="s">
        <v>17</v>
      </c>
      <c r="E5109" s="5">
        <v>-28311</v>
      </c>
      <c r="F5109" s="3" t="s">
        <v>736</v>
      </c>
      <c r="G5109" s="3" t="s">
        <v>167</v>
      </c>
      <c r="H5109" s="2" t="s">
        <v>20</v>
      </c>
      <c r="I5109" s="2" t="s">
        <v>10183</v>
      </c>
      <c r="J5109" s="3" t="str">
        <f>HYPERLINK("https://www.boe.es/gazeta/dias/1822/06/26/pdfs/GMD-1822-184.pdf#page=7","Abrir facsímil")</f>
        <v>Abrir facsímil</v>
      </c>
      <c r="K5109" s="3" t="s">
        <v>22</v>
      </c>
    </row>
    <row r="5110" spans="1:11" ht="42" customHeight="1">
      <c r="A5110" s="2" t="s">
        <v>10122</v>
      </c>
      <c r="B5110" s="2" t="s">
        <v>10122</v>
      </c>
      <c r="C5110" s="2" t="s">
        <v>16</v>
      </c>
      <c r="D5110" s="2" t="s">
        <v>17</v>
      </c>
      <c r="E5110" s="5">
        <v>-28307</v>
      </c>
      <c r="F5110" s="3" t="s">
        <v>555</v>
      </c>
      <c r="G5110" s="3" t="s">
        <v>167</v>
      </c>
      <c r="H5110" s="2" t="s">
        <v>20</v>
      </c>
      <c r="I5110" s="2" t="s">
        <v>10184</v>
      </c>
      <c r="J5110" s="3" t="str">
        <f>HYPERLINK("https://www.boe.es/gazeta/dias/1822/06/30/pdfs/GMD-1822-188.pdf#page=7","Abrir facsímil")</f>
        <v>Abrir facsímil</v>
      </c>
      <c r="K5110" s="3" t="s">
        <v>22</v>
      </c>
    </row>
    <row r="5111" spans="1:11" ht="42" customHeight="1">
      <c r="A5111" s="2" t="s">
        <v>10122</v>
      </c>
      <c r="B5111" s="2" t="s">
        <v>10122</v>
      </c>
      <c r="C5111" s="2" t="s">
        <v>24</v>
      </c>
      <c r="D5111" s="2" t="s">
        <v>17</v>
      </c>
      <c r="E5111" s="5">
        <v>-28307</v>
      </c>
      <c r="F5111" s="3" t="s">
        <v>555</v>
      </c>
      <c r="G5111" s="3" t="s">
        <v>157</v>
      </c>
      <c r="H5111" s="2" t="s">
        <v>20</v>
      </c>
      <c r="I5111" s="2" t="s">
        <v>10185</v>
      </c>
      <c r="J5111" s="3" t="str">
        <f>HYPERLINK("https://www.boe.es/gazeta/dias/1822/06/30/pdfs/GMD-1822-188.pdf#page=8","Abrir facsímil")</f>
        <v>Abrir facsímil</v>
      </c>
      <c r="K5111" s="3" t="s">
        <v>22</v>
      </c>
    </row>
    <row r="5112" spans="1:11" ht="42" customHeight="1">
      <c r="A5112" s="2" t="s">
        <v>10122</v>
      </c>
      <c r="B5112" s="2" t="s">
        <v>10122</v>
      </c>
      <c r="C5112" s="2" t="s">
        <v>28</v>
      </c>
      <c r="D5112" s="2" t="s">
        <v>29</v>
      </c>
      <c r="E5112" s="5">
        <v>-28302</v>
      </c>
      <c r="F5112" s="3" t="s">
        <v>791</v>
      </c>
      <c r="G5112" s="3" t="s">
        <v>57</v>
      </c>
      <c r="H5112" s="2" t="s">
        <v>20</v>
      </c>
      <c r="I5112" s="2" t="s">
        <v>10186</v>
      </c>
      <c r="J5112" s="3" t="str">
        <f>HYPERLINK("https://www.boe.es/gazeta/dias/1822/07/05/pdfs/GMD-1822-194.pdf#page=4","Abrir facsímil")</f>
        <v>Abrir facsímil</v>
      </c>
      <c r="K5112" s="3" t="s">
        <v>22</v>
      </c>
    </row>
    <row r="5113" spans="1:11" ht="42" customHeight="1">
      <c r="A5113" s="2" t="s">
        <v>10122</v>
      </c>
      <c r="B5113" s="2" t="s">
        <v>10122</v>
      </c>
      <c r="C5113" s="2" t="s">
        <v>16</v>
      </c>
      <c r="D5113" s="2" t="s">
        <v>17</v>
      </c>
      <c r="E5113" s="5">
        <v>-28301</v>
      </c>
      <c r="F5113" s="3" t="s">
        <v>2348</v>
      </c>
      <c r="G5113" s="3" t="s">
        <v>31</v>
      </c>
      <c r="H5113" s="2" t="s">
        <v>20</v>
      </c>
      <c r="I5113" s="2" t="s">
        <v>10187</v>
      </c>
      <c r="J5113" s="3" t="str">
        <f>HYPERLINK("https://www.boe.es/gazeta/dias/1822/07/06/pdfs/GMD-1822-195.pdf#page=3","Abrir facsímil")</f>
        <v>Abrir facsímil</v>
      </c>
      <c r="K5113" s="3" t="s">
        <v>22</v>
      </c>
    </row>
    <row r="5114" spans="1:11" ht="42" customHeight="1">
      <c r="A5114" s="2" t="s">
        <v>10122</v>
      </c>
      <c r="B5114" s="2" t="s">
        <v>10122</v>
      </c>
      <c r="C5114" s="2" t="s">
        <v>28</v>
      </c>
      <c r="D5114" s="2" t="s">
        <v>29</v>
      </c>
      <c r="E5114" s="5">
        <v>-28300</v>
      </c>
      <c r="F5114" s="3" t="s">
        <v>6533</v>
      </c>
      <c r="G5114" s="3" t="s">
        <v>31</v>
      </c>
      <c r="H5114" s="2" t="s">
        <v>20</v>
      </c>
      <c r="I5114" s="2" t="s">
        <v>10188</v>
      </c>
      <c r="J5114" s="3" t="str">
        <f>HYPERLINK("https://www.boe.es/gazeta/dias/1822/07/07/pdfs/GMD-1822-196.pdf#page=3","Abrir facsímil")</f>
        <v>Abrir facsímil</v>
      </c>
      <c r="K5114" s="3" t="s">
        <v>22</v>
      </c>
    </row>
    <row r="5115" spans="1:11" ht="42" customHeight="1">
      <c r="A5115" s="2" t="s">
        <v>10122</v>
      </c>
      <c r="B5115" s="2" t="s">
        <v>10122</v>
      </c>
      <c r="C5115" s="2" t="s">
        <v>16</v>
      </c>
      <c r="D5115" s="2" t="s">
        <v>17</v>
      </c>
      <c r="E5115" s="5">
        <v>-28299</v>
      </c>
      <c r="F5115" s="3" t="s">
        <v>423</v>
      </c>
      <c r="G5115" s="3" t="s">
        <v>31</v>
      </c>
      <c r="H5115" s="2" t="s">
        <v>20</v>
      </c>
      <c r="I5115" s="2" t="s">
        <v>10189</v>
      </c>
      <c r="J5115" s="3" t="str">
        <f>HYPERLINK("https://www.boe.es/gazeta/dias/1822/07/08/pdfs/GMD-1822-197.pdf#page=3","Abrir facsímil")</f>
        <v>Abrir facsímil</v>
      </c>
      <c r="K5115" s="3" t="s">
        <v>22</v>
      </c>
    </row>
    <row r="5116" spans="1:11" ht="42" customHeight="1">
      <c r="A5116" s="2" t="s">
        <v>10122</v>
      </c>
      <c r="B5116" s="2" t="s">
        <v>10122</v>
      </c>
      <c r="C5116" s="2" t="s">
        <v>16</v>
      </c>
      <c r="D5116" s="2" t="s">
        <v>17</v>
      </c>
      <c r="E5116" s="5">
        <v>-28295</v>
      </c>
      <c r="F5116" s="3" t="s">
        <v>81</v>
      </c>
      <c r="G5116" s="3" t="s">
        <v>57</v>
      </c>
      <c r="H5116" s="2" t="s">
        <v>20</v>
      </c>
      <c r="I5116" s="2" t="s">
        <v>10190</v>
      </c>
      <c r="J5116" s="3" t="str">
        <f>HYPERLINK("https://www.boe.es/gazeta/dias/1822/07/12/pdfs/GMD-1822-202.pdf#page=4","Abrir facsímil")</f>
        <v>Abrir facsímil</v>
      </c>
      <c r="K5116" s="3" t="s">
        <v>22</v>
      </c>
    </row>
    <row r="5117" spans="1:11" ht="42" customHeight="1">
      <c r="A5117" s="2" t="s">
        <v>10122</v>
      </c>
      <c r="B5117" s="2" t="s">
        <v>10122</v>
      </c>
      <c r="C5117" s="2" t="s">
        <v>42</v>
      </c>
      <c r="D5117" s="2" t="s">
        <v>17</v>
      </c>
      <c r="E5117" s="5">
        <v>-28294</v>
      </c>
      <c r="F5117" s="3" t="s">
        <v>2298</v>
      </c>
      <c r="G5117" s="3" t="s">
        <v>31</v>
      </c>
      <c r="H5117" s="2" t="s">
        <v>20</v>
      </c>
      <c r="I5117" s="2" t="s">
        <v>10191</v>
      </c>
      <c r="J5117" s="3" t="str">
        <f>HYPERLINK("https://www.boe.es/gazeta/dias/1822/07/13/pdfs/GMD-1822-203.pdf#page=3","Abrir facsímil")</f>
        <v>Abrir facsímil</v>
      </c>
      <c r="K5117" s="3" t="s">
        <v>22</v>
      </c>
    </row>
    <row r="5118" spans="1:11" ht="42" customHeight="1">
      <c r="A5118" s="2" t="s">
        <v>10122</v>
      </c>
      <c r="B5118" s="2" t="s">
        <v>10122</v>
      </c>
      <c r="C5118" s="2" t="s">
        <v>42</v>
      </c>
      <c r="D5118" s="2" t="s">
        <v>17</v>
      </c>
      <c r="E5118" s="5">
        <v>-28294</v>
      </c>
      <c r="F5118" s="3" t="s">
        <v>2298</v>
      </c>
      <c r="G5118" s="3" t="s">
        <v>57</v>
      </c>
      <c r="H5118" s="2" t="s">
        <v>20</v>
      </c>
      <c r="I5118" s="2" t="s">
        <v>10192</v>
      </c>
      <c r="J5118" s="3" t="str">
        <f>HYPERLINK("https://www.boe.es/gazeta/dias/1822/07/13/pdfs/GMD-1822-203.pdf#page=4","Abrir facsímil")</f>
        <v>Abrir facsímil</v>
      </c>
      <c r="K5118" s="3" t="s">
        <v>22</v>
      </c>
    </row>
    <row r="5119" spans="1:11" ht="42" customHeight="1">
      <c r="A5119" s="2" t="s">
        <v>10122</v>
      </c>
      <c r="B5119" s="2" t="s">
        <v>10122</v>
      </c>
      <c r="C5119" s="2" t="s">
        <v>71</v>
      </c>
      <c r="D5119" s="2" t="s">
        <v>17</v>
      </c>
      <c r="E5119" s="5">
        <v>-28292</v>
      </c>
      <c r="F5119" s="3" t="s">
        <v>222</v>
      </c>
      <c r="G5119" s="3" t="s">
        <v>57</v>
      </c>
      <c r="H5119" s="2" t="s">
        <v>20</v>
      </c>
      <c r="I5119" s="2" t="s">
        <v>10193</v>
      </c>
      <c r="J5119" s="3" t="str">
        <f>HYPERLINK("https://www.boe.es/gazeta/dias/1822/07/15/pdfs/GMD-1822-205.pdf#page=4","Abrir facsímil")</f>
        <v>Abrir facsímil</v>
      </c>
      <c r="K5119" s="3" t="s">
        <v>22</v>
      </c>
    </row>
    <row r="5120" spans="1:11" ht="42" customHeight="1">
      <c r="A5120" s="2" t="s">
        <v>10122</v>
      </c>
      <c r="B5120" s="2" t="s">
        <v>10122</v>
      </c>
      <c r="C5120" s="2" t="s">
        <v>16</v>
      </c>
      <c r="D5120" s="2" t="s">
        <v>17</v>
      </c>
      <c r="E5120" s="5">
        <v>-28291</v>
      </c>
      <c r="F5120" s="3" t="s">
        <v>363</v>
      </c>
      <c r="G5120" s="3" t="s">
        <v>57</v>
      </c>
      <c r="H5120" s="2" t="s">
        <v>20</v>
      </c>
      <c r="I5120" s="2" t="s">
        <v>10194</v>
      </c>
      <c r="J5120" s="3" t="str">
        <f>HYPERLINK("https://www.boe.es/gazeta/dias/1822/07/16/pdfs/GMD-1822-206.pdf#page=4","Abrir facsímil")</f>
        <v>Abrir facsímil</v>
      </c>
      <c r="K5120" s="3" t="s">
        <v>22</v>
      </c>
    </row>
    <row r="5121" spans="1:11" ht="42" customHeight="1">
      <c r="A5121" s="2" t="s">
        <v>10122</v>
      </c>
      <c r="B5121" s="2" t="s">
        <v>10122</v>
      </c>
      <c r="C5121" s="2" t="s">
        <v>16</v>
      </c>
      <c r="D5121" s="2" t="s">
        <v>17</v>
      </c>
      <c r="E5121" s="5">
        <v>-28287</v>
      </c>
      <c r="F5121" s="3" t="s">
        <v>1295</v>
      </c>
      <c r="G5121" s="3" t="s">
        <v>57</v>
      </c>
      <c r="H5121" s="2" t="s">
        <v>20</v>
      </c>
      <c r="I5121" s="2" t="s">
        <v>10195</v>
      </c>
      <c r="J5121" s="3" t="str">
        <f>HYPERLINK("https://www.boe.es/gazeta/dias/1822/07/20/pdfs/GMD-1822-212.pdf#page=4","Abrir facsímil")</f>
        <v>Abrir facsímil</v>
      </c>
      <c r="K5121" s="3" t="s">
        <v>22</v>
      </c>
    </row>
    <row r="5122" spans="1:11" ht="42" customHeight="1">
      <c r="A5122" s="2" t="s">
        <v>10122</v>
      </c>
      <c r="B5122" s="2" t="s">
        <v>10122</v>
      </c>
      <c r="C5122" s="2" t="s">
        <v>42</v>
      </c>
      <c r="D5122" s="2" t="s">
        <v>17</v>
      </c>
      <c r="E5122" s="5">
        <v>-28287</v>
      </c>
      <c r="F5122" s="3" t="s">
        <v>1295</v>
      </c>
      <c r="G5122" s="3" t="s">
        <v>19</v>
      </c>
      <c r="H5122" s="2" t="s">
        <v>20</v>
      </c>
      <c r="I5122" s="2" t="s">
        <v>10196</v>
      </c>
      <c r="J5122" s="3" t="str">
        <f>HYPERLINK("https://www.boe.es/gazeta/dias/1822/07/20/pdfs/GMD-1822-212.pdf#page=5","Abrir facsímil")</f>
        <v>Abrir facsímil</v>
      </c>
      <c r="K5122" s="3" t="s">
        <v>22</v>
      </c>
    </row>
    <row r="5123" spans="1:11" ht="42" customHeight="1">
      <c r="A5123" s="2" t="s">
        <v>10122</v>
      </c>
      <c r="B5123" s="2" t="s">
        <v>10122</v>
      </c>
      <c r="C5123" s="2" t="s">
        <v>50</v>
      </c>
      <c r="D5123" s="2" t="s">
        <v>51</v>
      </c>
      <c r="E5123" s="5">
        <v>-28286</v>
      </c>
      <c r="F5123" s="3" t="s">
        <v>1853</v>
      </c>
      <c r="G5123" s="3" t="s">
        <v>57</v>
      </c>
      <c r="H5123" s="2" t="s">
        <v>20</v>
      </c>
      <c r="I5123" s="2" t="s">
        <v>10197</v>
      </c>
      <c r="J5123" s="3" t="str">
        <f>HYPERLINK("https://www.boe.es/gazeta/dias/1822/07/21/pdfs/GMD-1822-213.pdf#page=4","Abrir facsímil")</f>
        <v>Abrir facsímil</v>
      </c>
      <c r="K5123" s="3" t="s">
        <v>22</v>
      </c>
    </row>
    <row r="5124" spans="1:11" ht="42" customHeight="1">
      <c r="A5124" s="2" t="s">
        <v>10122</v>
      </c>
      <c r="B5124" s="2" t="s">
        <v>10122</v>
      </c>
      <c r="C5124" s="2" t="s">
        <v>50</v>
      </c>
      <c r="D5124" s="2" t="s">
        <v>51</v>
      </c>
      <c r="E5124" s="5">
        <v>-28285</v>
      </c>
      <c r="F5124" s="3" t="s">
        <v>4539</v>
      </c>
      <c r="G5124" s="3" t="s">
        <v>31</v>
      </c>
      <c r="H5124" s="2" t="s">
        <v>20</v>
      </c>
      <c r="I5124" s="2" t="s">
        <v>10198</v>
      </c>
      <c r="J5124" s="3" t="str">
        <f>HYPERLINK("https://www.boe.es/gazeta/dias/1822/07/22/pdfs/GMD-1822-215.pdf#page=3","Abrir facsímil")</f>
        <v>Abrir facsímil</v>
      </c>
      <c r="K5124" s="3" t="s">
        <v>22</v>
      </c>
    </row>
    <row r="5125" spans="1:11" ht="42" customHeight="1">
      <c r="A5125" s="2" t="s">
        <v>10122</v>
      </c>
      <c r="B5125" s="2" t="s">
        <v>10122</v>
      </c>
      <c r="C5125" s="2" t="s">
        <v>28</v>
      </c>
      <c r="D5125" s="2" t="s">
        <v>29</v>
      </c>
      <c r="E5125" s="5">
        <v>-28284</v>
      </c>
      <c r="F5125" s="3" t="s">
        <v>6484</v>
      </c>
      <c r="G5125" s="3" t="s">
        <v>57</v>
      </c>
      <c r="H5125" s="2" t="s">
        <v>20</v>
      </c>
      <c r="I5125" s="2" t="s">
        <v>10199</v>
      </c>
      <c r="J5125" s="3" t="str">
        <f>HYPERLINK("https://www.boe.es/gazeta/dias/1822/07/23/pdfs/GMD-1822-216.pdf#page=4","Abrir facsímil")</f>
        <v>Abrir facsímil</v>
      </c>
      <c r="K5125" s="3" t="s">
        <v>22</v>
      </c>
    </row>
    <row r="5126" spans="1:11" ht="42" customHeight="1">
      <c r="A5126" s="2" t="s">
        <v>10122</v>
      </c>
      <c r="B5126" s="2" t="s">
        <v>10122</v>
      </c>
      <c r="C5126" s="2" t="s">
        <v>42</v>
      </c>
      <c r="D5126" s="2" t="s">
        <v>17</v>
      </c>
      <c r="E5126" s="5">
        <v>-28282</v>
      </c>
      <c r="F5126" s="3" t="s">
        <v>6600</v>
      </c>
      <c r="G5126" s="3" t="s">
        <v>7397</v>
      </c>
      <c r="H5126" s="2" t="s">
        <v>20</v>
      </c>
      <c r="I5126" s="2" t="s">
        <v>10200</v>
      </c>
      <c r="J5126" s="3" t="str">
        <f>HYPERLINK("https://www.boe.es/gazeta/dias/1822/07/25/pdfs/GMD-1822-218.pdf#page=3","Abrir facsímil")</f>
        <v>Abrir facsímil</v>
      </c>
      <c r="K5126" s="3" t="s">
        <v>22</v>
      </c>
    </row>
    <row r="5127" spans="1:11" ht="42" customHeight="1">
      <c r="A5127" s="2" t="s">
        <v>10122</v>
      </c>
      <c r="B5127" s="2" t="s">
        <v>10122</v>
      </c>
      <c r="C5127" s="2" t="s">
        <v>16</v>
      </c>
      <c r="D5127" s="2" t="s">
        <v>17</v>
      </c>
      <c r="E5127" s="5">
        <v>-28282</v>
      </c>
      <c r="F5127" s="3" t="s">
        <v>6600</v>
      </c>
      <c r="G5127" s="3" t="s">
        <v>6601</v>
      </c>
      <c r="H5127" s="2" t="s">
        <v>20</v>
      </c>
      <c r="I5127" s="2" t="s">
        <v>10201</v>
      </c>
      <c r="J5127" s="3" t="str">
        <f>HYPERLINK("https://www.boe.es/gazeta/dias/1822/07/25/pdfs/GMD-1822-218.pdf#page=4","Abrir facsímil")</f>
        <v>Abrir facsímil</v>
      </c>
      <c r="K5127" s="3" t="s">
        <v>22</v>
      </c>
    </row>
    <row r="5128" spans="1:11" ht="42" customHeight="1">
      <c r="A5128" s="2" t="s">
        <v>10122</v>
      </c>
      <c r="B5128" s="2" t="s">
        <v>10122</v>
      </c>
      <c r="C5128" s="2" t="s">
        <v>16</v>
      </c>
      <c r="D5128" s="2" t="s">
        <v>17</v>
      </c>
      <c r="E5128" s="5">
        <v>-28281</v>
      </c>
      <c r="F5128" s="3" t="s">
        <v>3310</v>
      </c>
      <c r="G5128" s="3" t="s">
        <v>57</v>
      </c>
      <c r="H5128" s="2" t="s">
        <v>20</v>
      </c>
      <c r="I5128" s="2" t="s">
        <v>10202</v>
      </c>
      <c r="J5128" s="3" t="str">
        <f>HYPERLINK("https://www.boe.es/gazeta/dias/1822/07/26/pdfs/GMD-1822-219.pdf#page=4","Abrir facsímil")</f>
        <v>Abrir facsímil</v>
      </c>
      <c r="K5128" s="3" t="s">
        <v>22</v>
      </c>
    </row>
    <row r="5129" spans="1:11" ht="42" customHeight="1">
      <c r="A5129" s="2" t="s">
        <v>10122</v>
      </c>
      <c r="B5129" s="2" t="s">
        <v>10122</v>
      </c>
      <c r="C5129" s="2" t="s">
        <v>16</v>
      </c>
      <c r="D5129" s="2" t="s">
        <v>17</v>
      </c>
      <c r="E5129" s="5">
        <v>-28280</v>
      </c>
      <c r="F5129" s="3" t="s">
        <v>56</v>
      </c>
      <c r="G5129" s="3" t="s">
        <v>31</v>
      </c>
      <c r="H5129" s="2" t="s">
        <v>20</v>
      </c>
      <c r="I5129" s="2" t="s">
        <v>10203</v>
      </c>
      <c r="J5129" s="3" t="str">
        <f>HYPERLINK("https://www.boe.es/gazeta/dias/1822/07/27/pdfs/GMD-1822-220.pdf#page=3","Abrir facsímil")</f>
        <v>Abrir facsímil</v>
      </c>
      <c r="K5129" s="3" t="s">
        <v>22</v>
      </c>
    </row>
    <row r="5130" spans="1:11" ht="42" customHeight="1">
      <c r="A5130" s="2" t="s">
        <v>10122</v>
      </c>
      <c r="B5130" s="2" t="s">
        <v>10122</v>
      </c>
      <c r="C5130" s="2" t="s">
        <v>24</v>
      </c>
      <c r="D5130" s="2" t="s">
        <v>17</v>
      </c>
      <c r="E5130" s="5">
        <v>-28279</v>
      </c>
      <c r="F5130" s="3" t="s">
        <v>662</v>
      </c>
      <c r="G5130" s="3" t="s">
        <v>31</v>
      </c>
      <c r="H5130" s="2" t="s">
        <v>20</v>
      </c>
      <c r="I5130" s="2" t="s">
        <v>10204</v>
      </c>
      <c r="J5130" s="3" t="str">
        <f>HYPERLINK("https://www.boe.es/gazeta/dias/1822/07/28/pdfs/GMD-1822-221.pdf#page=3","Abrir facsímil")</f>
        <v>Abrir facsímil</v>
      </c>
      <c r="K5130" s="3" t="s">
        <v>22</v>
      </c>
    </row>
    <row r="5131" spans="1:11" ht="42" customHeight="1">
      <c r="A5131" s="2" t="s">
        <v>10122</v>
      </c>
      <c r="B5131" s="2" t="s">
        <v>10122</v>
      </c>
      <c r="C5131" s="2" t="s">
        <v>362</v>
      </c>
      <c r="D5131" s="2" t="s">
        <v>17</v>
      </c>
      <c r="E5131" s="5">
        <v>-28278</v>
      </c>
      <c r="F5131" s="3" t="s">
        <v>368</v>
      </c>
      <c r="G5131" s="3" t="s">
        <v>57</v>
      </c>
      <c r="H5131" s="2" t="s">
        <v>20</v>
      </c>
      <c r="I5131" s="2" t="s">
        <v>10205</v>
      </c>
      <c r="J5131" s="3" t="str">
        <f>HYPERLINK("https://www.boe.es/gazeta/dias/1822/07/29/pdfs/GMD-1822-222.pdf#page=4","Abrir facsímil")</f>
        <v>Abrir facsímil</v>
      </c>
      <c r="K5131" s="3" t="s">
        <v>22</v>
      </c>
    </row>
    <row r="5132" spans="1:11" ht="42" customHeight="1">
      <c r="A5132" s="2" t="s">
        <v>10122</v>
      </c>
      <c r="B5132" s="2" t="s">
        <v>10122</v>
      </c>
      <c r="C5132" s="2" t="s">
        <v>16</v>
      </c>
      <c r="D5132" s="2" t="s">
        <v>17</v>
      </c>
      <c r="E5132" s="5">
        <v>-28277</v>
      </c>
      <c r="F5132" s="3" t="s">
        <v>296</v>
      </c>
      <c r="G5132" s="3" t="s">
        <v>57</v>
      </c>
      <c r="H5132" s="2" t="s">
        <v>20</v>
      </c>
      <c r="I5132" s="2" t="s">
        <v>10206</v>
      </c>
      <c r="J5132" s="3" t="str">
        <f>HYPERLINK("https://www.boe.es/gazeta/dias/1822/07/30/pdfs/GMD-1822-223.pdf#page=4","Abrir facsímil")</f>
        <v>Abrir facsímil</v>
      </c>
      <c r="K5132" s="3" t="s">
        <v>22</v>
      </c>
    </row>
    <row r="5133" spans="1:11" ht="42" customHeight="1">
      <c r="A5133" s="2" t="s">
        <v>10122</v>
      </c>
      <c r="B5133" s="2" t="s">
        <v>10122</v>
      </c>
      <c r="C5133" s="2" t="s">
        <v>50</v>
      </c>
      <c r="D5133" s="2" t="s">
        <v>51</v>
      </c>
      <c r="E5133" s="5">
        <v>-28276</v>
      </c>
      <c r="F5133" s="3" t="s">
        <v>4746</v>
      </c>
      <c r="G5133" s="3" t="s">
        <v>31</v>
      </c>
      <c r="H5133" s="2" t="s">
        <v>20</v>
      </c>
      <c r="I5133" s="2" t="s">
        <v>10207</v>
      </c>
      <c r="J5133" s="3" t="str">
        <f>HYPERLINK("https://www.boe.es/gazeta/dias/1822/07/31/pdfs/GMD-1822-224.pdf#page=3","Abrir facsímil")</f>
        <v>Abrir facsímil</v>
      </c>
      <c r="K5133" s="3" t="s">
        <v>22</v>
      </c>
    </row>
    <row r="5134" spans="1:11" ht="42" customHeight="1">
      <c r="A5134" s="2" t="s">
        <v>10122</v>
      </c>
      <c r="B5134" s="2" t="s">
        <v>10122</v>
      </c>
      <c r="C5134" s="2" t="s">
        <v>71</v>
      </c>
      <c r="D5134" s="2" t="s">
        <v>17</v>
      </c>
      <c r="E5134" s="5">
        <v>-28275</v>
      </c>
      <c r="F5134" s="3" t="s">
        <v>1297</v>
      </c>
      <c r="G5134" s="3" t="s">
        <v>35</v>
      </c>
      <c r="H5134" s="2" t="s">
        <v>20</v>
      </c>
      <c r="I5134" s="2" t="s">
        <v>10208</v>
      </c>
      <c r="J5134" s="3" t="str">
        <f>HYPERLINK("https://www.boe.es/gazeta/dias/1822/08/01/pdfs/GMD-1822-225.pdf#page=2","Abrir facsímil")</f>
        <v>Abrir facsímil</v>
      </c>
      <c r="K5134" s="3" t="s">
        <v>22</v>
      </c>
    </row>
    <row r="5135" spans="1:11" ht="42" customHeight="1">
      <c r="A5135" s="2" t="s">
        <v>10122</v>
      </c>
      <c r="B5135" s="2" t="s">
        <v>10122</v>
      </c>
      <c r="C5135" s="2" t="s">
        <v>16</v>
      </c>
      <c r="D5135" s="2" t="s">
        <v>17</v>
      </c>
      <c r="E5135" s="5">
        <v>-28274</v>
      </c>
      <c r="F5135" s="3" t="s">
        <v>3371</v>
      </c>
      <c r="G5135" s="3" t="s">
        <v>31</v>
      </c>
      <c r="H5135" s="2" t="s">
        <v>20</v>
      </c>
      <c r="I5135" s="2" t="s">
        <v>10209</v>
      </c>
      <c r="J5135" s="3" t="str">
        <f>HYPERLINK("https://www.boe.es/gazeta/dias/1822/08/02/pdfs/GMD-1822-226.pdf#page=3","Abrir facsímil")</f>
        <v>Abrir facsímil</v>
      </c>
      <c r="K5135" s="3" t="s">
        <v>22</v>
      </c>
    </row>
    <row r="5136" spans="1:11" ht="42" customHeight="1">
      <c r="A5136" s="2" t="s">
        <v>10122</v>
      </c>
      <c r="B5136" s="2" t="s">
        <v>10122</v>
      </c>
      <c r="C5136" s="2" t="s">
        <v>50</v>
      </c>
      <c r="D5136" s="2" t="s">
        <v>51</v>
      </c>
      <c r="E5136" s="5">
        <v>-28273</v>
      </c>
      <c r="F5136" s="3" t="s">
        <v>1063</v>
      </c>
      <c r="G5136" s="3" t="s">
        <v>57</v>
      </c>
      <c r="H5136" s="2" t="s">
        <v>20</v>
      </c>
      <c r="I5136" s="2" t="s">
        <v>10210</v>
      </c>
      <c r="J5136" s="3" t="str">
        <f>HYPERLINK("https://www.boe.es/gazeta/dias/1822/08/03/pdfs/GMD-1822-227.pdf#page=4","Abrir facsímil")</f>
        <v>Abrir facsímil</v>
      </c>
      <c r="K5136" s="3" t="s">
        <v>22</v>
      </c>
    </row>
    <row r="5137" spans="1:11" ht="42" customHeight="1">
      <c r="A5137" s="2" t="s">
        <v>10122</v>
      </c>
      <c r="B5137" s="2" t="s">
        <v>10122</v>
      </c>
      <c r="C5137" s="2" t="s">
        <v>50</v>
      </c>
      <c r="D5137" s="2" t="s">
        <v>51</v>
      </c>
      <c r="E5137" s="5">
        <v>-28272</v>
      </c>
      <c r="F5137" s="3" t="s">
        <v>52</v>
      </c>
      <c r="G5137" s="3" t="s">
        <v>31</v>
      </c>
      <c r="H5137" s="2" t="s">
        <v>20</v>
      </c>
      <c r="I5137" s="2" t="s">
        <v>10211</v>
      </c>
      <c r="J5137" s="3" t="str">
        <f>HYPERLINK("https://www.boe.es/gazeta/dias/1822/08/04/pdfs/GMD-1822-228.pdf#page=3","Abrir facsímil")</f>
        <v>Abrir facsímil</v>
      </c>
      <c r="K5137" s="3" t="s">
        <v>22</v>
      </c>
    </row>
    <row r="5138" spans="1:11" ht="42" customHeight="1">
      <c r="A5138" s="2" t="s">
        <v>10122</v>
      </c>
      <c r="B5138" s="2" t="s">
        <v>10122</v>
      </c>
      <c r="C5138" s="2" t="s">
        <v>42</v>
      </c>
      <c r="D5138" s="2" t="s">
        <v>17</v>
      </c>
      <c r="E5138" s="5">
        <v>-28272</v>
      </c>
      <c r="F5138" s="3" t="s">
        <v>52</v>
      </c>
      <c r="G5138" s="3" t="s">
        <v>57</v>
      </c>
      <c r="H5138" s="2" t="s">
        <v>20</v>
      </c>
      <c r="I5138" s="2" t="s">
        <v>10212</v>
      </c>
      <c r="J5138" s="3" t="str">
        <f>HYPERLINK("https://www.boe.es/gazeta/dias/1822/08/04/pdfs/GMD-1822-228.pdf#page=4","Abrir facsímil")</f>
        <v>Abrir facsímil</v>
      </c>
      <c r="K5138" s="3" t="s">
        <v>22</v>
      </c>
    </row>
    <row r="5139" spans="1:11" ht="42" customHeight="1">
      <c r="A5139" s="2" t="s">
        <v>10122</v>
      </c>
      <c r="B5139" s="2" t="s">
        <v>10122</v>
      </c>
      <c r="C5139" s="2" t="s">
        <v>50</v>
      </c>
      <c r="D5139" s="2" t="s">
        <v>51</v>
      </c>
      <c r="E5139" s="5">
        <v>-28271</v>
      </c>
      <c r="F5139" s="3" t="s">
        <v>4942</v>
      </c>
      <c r="G5139" s="3" t="s">
        <v>31</v>
      </c>
      <c r="H5139" s="2" t="s">
        <v>20</v>
      </c>
      <c r="I5139" s="2" t="s">
        <v>10213</v>
      </c>
      <c r="J5139" s="3" t="str">
        <f>HYPERLINK("https://www.boe.es/gazeta/dias/1822/08/05/pdfs/GMD-1822-229.pdf#page=3","Abrir facsímil")</f>
        <v>Abrir facsímil</v>
      </c>
      <c r="K5139" s="3" t="s">
        <v>22</v>
      </c>
    </row>
    <row r="5140" spans="1:11" ht="42" customHeight="1">
      <c r="A5140" s="2" t="s">
        <v>10122</v>
      </c>
      <c r="B5140" s="2" t="s">
        <v>10122</v>
      </c>
      <c r="C5140" s="2" t="s">
        <v>16</v>
      </c>
      <c r="D5140" s="2" t="s">
        <v>17</v>
      </c>
      <c r="E5140" s="5">
        <v>-28268</v>
      </c>
      <c r="F5140" s="3" t="s">
        <v>7231</v>
      </c>
      <c r="G5140" s="3" t="s">
        <v>31</v>
      </c>
      <c r="H5140" s="2" t="s">
        <v>20</v>
      </c>
      <c r="I5140" s="2" t="s">
        <v>10214</v>
      </c>
      <c r="J5140" s="3" t="str">
        <f>HYPERLINK("https://www.boe.es/gazeta/dias/1822/08/08/pdfs/GMD-1822-232.pdf#page=3","Abrir facsímil")</f>
        <v>Abrir facsímil</v>
      </c>
      <c r="K5140" s="3" t="s">
        <v>22</v>
      </c>
    </row>
    <row r="5141" spans="1:11" ht="42" customHeight="1">
      <c r="A5141" s="2" t="s">
        <v>10122</v>
      </c>
      <c r="B5141" s="2" t="s">
        <v>10122</v>
      </c>
      <c r="C5141" s="2" t="s">
        <v>42</v>
      </c>
      <c r="D5141" s="2" t="s">
        <v>17</v>
      </c>
      <c r="E5141" s="5">
        <v>-28268</v>
      </c>
      <c r="F5141" s="3" t="s">
        <v>7231</v>
      </c>
      <c r="G5141" s="3" t="s">
        <v>57</v>
      </c>
      <c r="H5141" s="2" t="s">
        <v>20</v>
      </c>
      <c r="I5141" s="2" t="s">
        <v>10215</v>
      </c>
      <c r="J5141" s="3" t="str">
        <f>HYPERLINK("https://www.boe.es/gazeta/dias/1822/08/08/pdfs/GMD-1822-232.pdf#page=4","Abrir facsímil")</f>
        <v>Abrir facsímil</v>
      </c>
      <c r="K5141" s="3" t="s">
        <v>22</v>
      </c>
    </row>
    <row r="5142" spans="1:11" ht="42" customHeight="1">
      <c r="A5142" s="2" t="s">
        <v>10122</v>
      </c>
      <c r="B5142" s="2" t="s">
        <v>10122</v>
      </c>
      <c r="C5142" s="2" t="s">
        <v>16</v>
      </c>
      <c r="D5142" s="2" t="s">
        <v>17</v>
      </c>
      <c r="E5142" s="5">
        <v>-28267</v>
      </c>
      <c r="F5142" s="3" t="s">
        <v>1270</v>
      </c>
      <c r="G5142" s="3" t="s">
        <v>57</v>
      </c>
      <c r="H5142" s="2" t="s">
        <v>20</v>
      </c>
      <c r="I5142" s="2" t="s">
        <v>10216</v>
      </c>
      <c r="J5142" s="3" t="str">
        <f>HYPERLINK("https://www.boe.es/gazeta/dias/1822/08/09/pdfs/GMD-1822-233.pdf#page=4","Abrir facsímil")</f>
        <v>Abrir facsímil</v>
      </c>
      <c r="K5142" s="3" t="s">
        <v>22</v>
      </c>
    </row>
    <row r="5143" spans="1:11" ht="42" customHeight="1">
      <c r="A5143" s="2" t="s">
        <v>10122</v>
      </c>
      <c r="B5143" s="2" t="s">
        <v>10122</v>
      </c>
      <c r="C5143" s="2" t="s">
        <v>42</v>
      </c>
      <c r="D5143" s="2" t="s">
        <v>17</v>
      </c>
      <c r="E5143" s="5">
        <v>-28266</v>
      </c>
      <c r="F5143" s="3" t="s">
        <v>1169</v>
      </c>
      <c r="G5143" s="3" t="s">
        <v>31</v>
      </c>
      <c r="H5143" s="2" t="s">
        <v>20</v>
      </c>
      <c r="I5143" s="2" t="s">
        <v>10217</v>
      </c>
      <c r="J5143" s="3" t="str">
        <f>HYPERLINK("https://www.boe.es/gazeta/dias/1822/08/10/pdfs/GMD-1822-234.pdf#page=3","Abrir facsímil")</f>
        <v>Abrir facsímil</v>
      </c>
      <c r="K5143" s="3" t="s">
        <v>22</v>
      </c>
    </row>
    <row r="5144" spans="1:11" ht="42" customHeight="1">
      <c r="A5144" s="2" t="s">
        <v>10122</v>
      </c>
      <c r="B5144" s="2" t="s">
        <v>10122</v>
      </c>
      <c r="C5144" s="2" t="s">
        <v>28</v>
      </c>
      <c r="D5144" s="2" t="s">
        <v>29</v>
      </c>
      <c r="E5144" s="5">
        <v>-28265</v>
      </c>
      <c r="F5144" s="3" t="s">
        <v>1263</v>
      </c>
      <c r="G5144" s="3" t="s">
        <v>31</v>
      </c>
      <c r="H5144" s="2" t="s">
        <v>20</v>
      </c>
      <c r="I5144" s="2" t="s">
        <v>10218</v>
      </c>
      <c r="J5144" s="3" t="str">
        <f>HYPERLINK("https://www.boe.es/gazeta/dias/1822/08/11/pdfs/GMD-1822-235.pdf#page=3","Abrir facsímil")</f>
        <v>Abrir facsímil</v>
      </c>
      <c r="K5144" s="3" t="s">
        <v>22</v>
      </c>
    </row>
    <row r="5145" spans="1:11" ht="42" customHeight="1">
      <c r="A5145" s="2" t="s">
        <v>10122</v>
      </c>
      <c r="B5145" s="2" t="s">
        <v>10122</v>
      </c>
      <c r="C5145" s="2" t="s">
        <v>16</v>
      </c>
      <c r="D5145" s="2" t="s">
        <v>17</v>
      </c>
      <c r="E5145" s="5">
        <v>-28264</v>
      </c>
      <c r="F5145" s="3" t="s">
        <v>1329</v>
      </c>
      <c r="G5145" s="3" t="s">
        <v>35</v>
      </c>
      <c r="H5145" s="2" t="s">
        <v>20</v>
      </c>
      <c r="I5145" s="2" t="s">
        <v>10219</v>
      </c>
      <c r="J5145" s="3" t="str">
        <f>HYPERLINK("https://www.boe.es/gazeta/dias/1822/08/12/pdfs/GMD-1822-236.pdf#page=2","Abrir facsímil")</f>
        <v>Abrir facsímil</v>
      </c>
      <c r="K5145" s="3" t="s">
        <v>22</v>
      </c>
    </row>
    <row r="5146" spans="1:11" ht="42" customHeight="1">
      <c r="A5146" s="2" t="s">
        <v>10122</v>
      </c>
      <c r="B5146" s="2" t="s">
        <v>10122</v>
      </c>
      <c r="C5146" s="2" t="s">
        <v>50</v>
      </c>
      <c r="D5146" s="2" t="s">
        <v>51</v>
      </c>
      <c r="E5146" s="5">
        <v>-28262</v>
      </c>
      <c r="F5146" s="3" t="s">
        <v>1771</v>
      </c>
      <c r="G5146" s="3" t="s">
        <v>35</v>
      </c>
      <c r="H5146" s="2" t="s">
        <v>20</v>
      </c>
      <c r="I5146" s="2" t="s">
        <v>10220</v>
      </c>
      <c r="J5146" s="3" t="str">
        <f>HYPERLINK("https://www.boe.es/gazeta/dias/1822/08/14/pdfs/GMD-1822-238.pdf#page=2","Abrir facsímil")</f>
        <v>Abrir facsímil</v>
      </c>
      <c r="K5146" s="3" t="s">
        <v>22</v>
      </c>
    </row>
    <row r="5147" spans="1:11" ht="42" customHeight="1">
      <c r="A5147" s="2" t="s">
        <v>10122</v>
      </c>
      <c r="B5147" s="2" t="s">
        <v>10122</v>
      </c>
      <c r="C5147" s="2" t="s">
        <v>42</v>
      </c>
      <c r="D5147" s="2" t="s">
        <v>17</v>
      </c>
      <c r="E5147" s="5">
        <v>-28253</v>
      </c>
      <c r="F5147" s="3" t="s">
        <v>413</v>
      </c>
      <c r="G5147" s="3" t="s">
        <v>57</v>
      </c>
      <c r="H5147" s="2" t="s">
        <v>20</v>
      </c>
      <c r="I5147" s="2" t="s">
        <v>10221</v>
      </c>
      <c r="J5147" s="3" t="str">
        <f>HYPERLINK("https://www.boe.es/gazeta/dias/1822/08/23/pdfs/GMD-1822-247.pdf#page=4","Abrir facsímil")</f>
        <v>Abrir facsímil</v>
      </c>
      <c r="K5147" s="3" t="s">
        <v>22</v>
      </c>
    </row>
    <row r="5148" spans="1:11" ht="42" customHeight="1">
      <c r="A5148" s="2" t="s">
        <v>10122</v>
      </c>
      <c r="B5148" s="2" t="s">
        <v>10122</v>
      </c>
      <c r="C5148" s="2" t="s">
        <v>28</v>
      </c>
      <c r="D5148" s="2" t="s">
        <v>29</v>
      </c>
      <c r="E5148" s="5">
        <v>-28241</v>
      </c>
      <c r="F5148" s="3" t="s">
        <v>3068</v>
      </c>
      <c r="G5148" s="3" t="s">
        <v>57</v>
      </c>
      <c r="H5148" s="2" t="s">
        <v>20</v>
      </c>
      <c r="I5148" s="2" t="s">
        <v>10222</v>
      </c>
      <c r="J5148" s="3" t="str">
        <f>HYPERLINK("https://www.boe.es/gazeta/dias/1822/09/04/pdfs/GMD-1822-259.pdf#page=4","Abrir facsímil")</f>
        <v>Abrir facsímil</v>
      </c>
      <c r="K5148" s="3" t="s">
        <v>22</v>
      </c>
    </row>
    <row r="5149" spans="1:11" ht="42" customHeight="1">
      <c r="A5149" s="2" t="s">
        <v>10122</v>
      </c>
      <c r="B5149" s="2" t="s">
        <v>10122</v>
      </c>
      <c r="C5149" s="2" t="s">
        <v>24</v>
      </c>
      <c r="D5149" s="2" t="s">
        <v>17</v>
      </c>
      <c r="E5149" s="5">
        <v>-28225</v>
      </c>
      <c r="F5149" s="3" t="s">
        <v>177</v>
      </c>
      <c r="G5149" s="3" t="s">
        <v>3273</v>
      </c>
      <c r="H5149" s="2" t="s">
        <v>20</v>
      </c>
      <c r="I5149" s="2" t="s">
        <v>10223</v>
      </c>
      <c r="J5149" s="3" t="str">
        <f>HYPERLINK("https://www.boe.es/gazeta/dias/1822/09/20/pdfs/GMD-1822-276.pdf#page=4","Abrir facsímil")</f>
        <v>Abrir facsímil</v>
      </c>
      <c r="K5149" s="3" t="s">
        <v>22</v>
      </c>
    </row>
    <row r="5150" spans="1:11" ht="42" customHeight="1">
      <c r="A5150" s="2" t="s">
        <v>10122</v>
      </c>
      <c r="B5150" s="2" t="s">
        <v>10122</v>
      </c>
      <c r="C5150" s="2" t="s">
        <v>50</v>
      </c>
      <c r="D5150" s="2" t="s">
        <v>51</v>
      </c>
      <c r="E5150" s="5">
        <v>-28221</v>
      </c>
      <c r="F5150" s="3" t="s">
        <v>2591</v>
      </c>
      <c r="G5150" s="3" t="s">
        <v>57</v>
      </c>
      <c r="H5150" s="2" t="s">
        <v>20</v>
      </c>
      <c r="I5150" s="2" t="s">
        <v>10224</v>
      </c>
      <c r="J5150" s="3" t="str">
        <f>HYPERLINK("https://www.boe.es/gazeta/dias/1822/09/24/pdfs/GMD-1822-280.pdf#page=4","Abrir facsímil")</f>
        <v>Abrir facsímil</v>
      </c>
      <c r="K5150" s="3" t="s">
        <v>22</v>
      </c>
    </row>
    <row r="5151" spans="1:11" ht="42" customHeight="1">
      <c r="A5151" s="2" t="s">
        <v>10122</v>
      </c>
      <c r="B5151" s="2" t="s">
        <v>10122</v>
      </c>
      <c r="C5151" s="2" t="s">
        <v>28</v>
      </c>
      <c r="D5151" s="2" t="s">
        <v>29</v>
      </c>
      <c r="E5151" s="5">
        <v>-28190</v>
      </c>
      <c r="F5151" s="3" t="s">
        <v>576</v>
      </c>
      <c r="G5151" s="3" t="s">
        <v>63</v>
      </c>
      <c r="H5151" s="2" t="s">
        <v>20</v>
      </c>
      <c r="I5151" s="2" t="s">
        <v>10225</v>
      </c>
      <c r="J5151" s="3" t="str">
        <f>HYPERLINK("https://www.boe.es/gazeta/dias/1822/10/25/pdfs/GMD-1822-312.pdf#page=6","Abrir facsímil")</f>
        <v>Abrir facsímil</v>
      </c>
      <c r="K5151" s="3" t="s">
        <v>22</v>
      </c>
    </row>
    <row r="5152" spans="1:11" ht="42" customHeight="1">
      <c r="A5152" s="2" t="s">
        <v>10122</v>
      </c>
      <c r="B5152" s="2" t="s">
        <v>10122</v>
      </c>
      <c r="C5152" s="2" t="s">
        <v>42</v>
      </c>
      <c r="D5152" s="2" t="s">
        <v>17</v>
      </c>
      <c r="E5152" s="5">
        <v>-28188</v>
      </c>
      <c r="F5152" s="3" t="s">
        <v>578</v>
      </c>
      <c r="G5152" s="3" t="s">
        <v>157</v>
      </c>
      <c r="H5152" s="2" t="s">
        <v>20</v>
      </c>
      <c r="I5152" s="2" t="s">
        <v>10226</v>
      </c>
      <c r="J5152" s="3" t="str">
        <f>HYPERLINK("https://www.boe.es/gazeta/dias/1822/10/27/pdfs/GMD-1822-314.pdf#page=8","Abrir facsímil")</f>
        <v>Abrir facsímil</v>
      </c>
      <c r="K5152" s="3" t="s">
        <v>22</v>
      </c>
    </row>
    <row r="5153" spans="1:11" ht="42" customHeight="1">
      <c r="A5153" s="2" t="s">
        <v>10122</v>
      </c>
      <c r="B5153" s="2" t="s">
        <v>10122</v>
      </c>
      <c r="C5153" s="2" t="s">
        <v>16</v>
      </c>
      <c r="D5153" s="2" t="s">
        <v>17</v>
      </c>
      <c r="E5153" s="5">
        <v>-28178</v>
      </c>
      <c r="F5153" s="3" t="s">
        <v>318</v>
      </c>
      <c r="G5153" s="3" t="s">
        <v>19</v>
      </c>
      <c r="H5153" s="2" t="s">
        <v>20</v>
      </c>
      <c r="I5153" s="2" t="s">
        <v>10227</v>
      </c>
      <c r="J5153" s="3" t="str">
        <f>HYPERLINK("https://www.boe.es/gazeta/dias/1822/11/06/pdfs/GMD-1822-326.pdf#page=5","Abrir facsímil")</f>
        <v>Abrir facsímil</v>
      </c>
      <c r="K5153" s="3" t="s">
        <v>22</v>
      </c>
    </row>
    <row r="5154" spans="1:11" ht="42" customHeight="1">
      <c r="A5154" s="2" t="s">
        <v>10122</v>
      </c>
      <c r="B5154" s="2" t="s">
        <v>10122</v>
      </c>
      <c r="C5154" s="2" t="s">
        <v>16</v>
      </c>
      <c r="D5154" s="2" t="s">
        <v>17</v>
      </c>
      <c r="E5154" s="5">
        <v>-28176</v>
      </c>
      <c r="F5154" s="3" t="s">
        <v>780</v>
      </c>
      <c r="G5154" s="3" t="s">
        <v>63</v>
      </c>
      <c r="H5154" s="2" t="s">
        <v>20</v>
      </c>
      <c r="I5154" s="2" t="s">
        <v>10228</v>
      </c>
      <c r="J5154" s="3" t="str">
        <f>HYPERLINK("https://www.boe.es/gazeta/dias/1822/11/08/pdfs/GMD-1822-328.pdf#page=6","Abrir facsímil")</f>
        <v>Abrir facsímil</v>
      </c>
      <c r="K5154" s="3" t="s">
        <v>22</v>
      </c>
    </row>
    <row r="5155" spans="1:11" ht="42" customHeight="1">
      <c r="A5155" s="2" t="s">
        <v>10122</v>
      </c>
      <c r="B5155" s="2" t="s">
        <v>10122</v>
      </c>
      <c r="C5155" s="2" t="s">
        <v>42</v>
      </c>
      <c r="D5155" s="2" t="s">
        <v>17</v>
      </c>
      <c r="E5155" s="5">
        <v>-28169</v>
      </c>
      <c r="F5155" s="3" t="s">
        <v>2571</v>
      </c>
      <c r="G5155" s="3" t="s">
        <v>19</v>
      </c>
      <c r="H5155" s="2" t="s">
        <v>20</v>
      </c>
      <c r="I5155" s="2" t="s">
        <v>10229</v>
      </c>
      <c r="J5155" s="3" t="str">
        <f>HYPERLINK("https://www.boe.es/gazeta/dias/1822/11/15/pdfs/GMD-1822-335.pdf#page=5","Abrir facsímil")</f>
        <v>Abrir facsímil</v>
      </c>
      <c r="K5155" s="3" t="s">
        <v>22</v>
      </c>
    </row>
    <row r="5156" spans="1:11" ht="42" customHeight="1">
      <c r="A5156" s="2" t="s">
        <v>10122</v>
      </c>
      <c r="B5156" s="2" t="s">
        <v>10122</v>
      </c>
      <c r="C5156" s="2" t="s">
        <v>16</v>
      </c>
      <c r="D5156" s="2" t="s">
        <v>17</v>
      </c>
      <c r="E5156" s="5">
        <v>-28169</v>
      </c>
      <c r="F5156" s="3" t="s">
        <v>2571</v>
      </c>
      <c r="G5156" s="3" t="s">
        <v>63</v>
      </c>
      <c r="H5156" s="2" t="s">
        <v>20</v>
      </c>
      <c r="I5156" s="2" t="s">
        <v>10230</v>
      </c>
      <c r="J5156" s="3" t="str">
        <f>HYPERLINK("https://www.boe.es/gazeta/dias/1822/11/15/pdfs/GMD-1822-335.pdf#page=6","Abrir facsímil")</f>
        <v>Abrir facsímil</v>
      </c>
      <c r="K5156" s="3" t="s">
        <v>22</v>
      </c>
    </row>
    <row r="5157" spans="1:11" ht="42" customHeight="1">
      <c r="A5157" s="2" t="s">
        <v>10122</v>
      </c>
      <c r="B5157" s="2" t="s">
        <v>10122</v>
      </c>
      <c r="C5157" s="2" t="s">
        <v>16</v>
      </c>
      <c r="D5157" s="2" t="s">
        <v>17</v>
      </c>
      <c r="E5157" s="5">
        <v>-28163</v>
      </c>
      <c r="F5157" s="3" t="s">
        <v>891</v>
      </c>
      <c r="G5157" s="3" t="s">
        <v>19</v>
      </c>
      <c r="H5157" s="2" t="s">
        <v>20</v>
      </c>
      <c r="I5157" s="2" t="s">
        <v>10231</v>
      </c>
      <c r="J5157" s="3" t="str">
        <f>HYPERLINK("https://www.boe.es/gazeta/dias/1822/11/21/pdfs/GMD-1822-341.pdf#page=5","Abrir facsímil")</f>
        <v>Abrir facsímil</v>
      </c>
      <c r="K5157" s="3" t="s">
        <v>22</v>
      </c>
    </row>
    <row r="5158" spans="1:11" ht="42" customHeight="1">
      <c r="A5158" s="2" t="s">
        <v>10122</v>
      </c>
      <c r="B5158" s="2" t="s">
        <v>10122</v>
      </c>
      <c r="C5158" s="2" t="s">
        <v>50</v>
      </c>
      <c r="D5158" s="2" t="s">
        <v>51</v>
      </c>
      <c r="E5158" s="5">
        <v>-28161</v>
      </c>
      <c r="F5158" s="3" t="s">
        <v>166</v>
      </c>
      <c r="G5158" s="3" t="s">
        <v>167</v>
      </c>
      <c r="H5158" s="2" t="s">
        <v>20</v>
      </c>
      <c r="I5158" s="2" t="s">
        <v>10232</v>
      </c>
      <c r="J5158" s="3" t="str">
        <f>HYPERLINK("https://www.boe.es/gazeta/dias/1822/11/23/pdfs/GMD-1822-343.pdf#page=7","Abrir facsímil")</f>
        <v>Abrir facsímil</v>
      </c>
      <c r="K5158" s="3" t="s">
        <v>22</v>
      </c>
    </row>
    <row r="5159" spans="1:11" ht="42" customHeight="1">
      <c r="A5159" s="2" t="s">
        <v>10122</v>
      </c>
      <c r="B5159" s="2" t="s">
        <v>10122</v>
      </c>
      <c r="C5159" s="2" t="s">
        <v>16</v>
      </c>
      <c r="D5159" s="2" t="s">
        <v>17</v>
      </c>
      <c r="E5159" s="5">
        <v>-28156</v>
      </c>
      <c r="F5159" s="3" t="s">
        <v>1568</v>
      </c>
      <c r="G5159" s="3" t="s">
        <v>63</v>
      </c>
      <c r="H5159" s="2" t="s">
        <v>20</v>
      </c>
      <c r="I5159" s="2" t="s">
        <v>10233</v>
      </c>
      <c r="J5159" s="3" t="str">
        <f>HYPERLINK("https://www.boe.es/gazeta/dias/1822/11/28/pdfs/GMD-1822-348.pdf#page=6","Abrir facsímil")</f>
        <v>Abrir facsímil</v>
      </c>
      <c r="K5159" s="3" t="s">
        <v>22</v>
      </c>
    </row>
    <row r="5160" spans="1:11" ht="42" customHeight="1">
      <c r="A5160" s="2" t="s">
        <v>10122</v>
      </c>
      <c r="B5160" s="2" t="s">
        <v>10122</v>
      </c>
      <c r="C5160" s="2" t="s">
        <v>50</v>
      </c>
      <c r="D5160" s="2" t="s">
        <v>51</v>
      </c>
      <c r="E5160" s="5">
        <v>-28152</v>
      </c>
      <c r="F5160" s="3" t="s">
        <v>122</v>
      </c>
      <c r="G5160" s="3" t="s">
        <v>57</v>
      </c>
      <c r="H5160" s="2" t="s">
        <v>20</v>
      </c>
      <c r="I5160" s="2" t="s">
        <v>10234</v>
      </c>
      <c r="J5160" s="3" t="str">
        <f>HYPERLINK("https://www.boe.es/gazeta/dias/1822/12/02/pdfs/GMD-1822-352.pdf#page=4","Abrir facsímil")</f>
        <v>Abrir facsímil</v>
      </c>
      <c r="K5160" s="3" t="s">
        <v>22</v>
      </c>
    </row>
    <row r="5161" spans="1:11" ht="42" customHeight="1">
      <c r="A5161" s="2" t="s">
        <v>10122</v>
      </c>
      <c r="B5161" s="2" t="s">
        <v>10122</v>
      </c>
      <c r="C5161" s="2" t="s">
        <v>16</v>
      </c>
      <c r="D5161" s="2" t="s">
        <v>17</v>
      </c>
      <c r="E5161" s="5">
        <v>-28146</v>
      </c>
      <c r="F5161" s="3" t="s">
        <v>180</v>
      </c>
      <c r="G5161" s="3" t="s">
        <v>57</v>
      </c>
      <c r="H5161" s="2" t="s">
        <v>20</v>
      </c>
      <c r="I5161" s="2" t="s">
        <v>10235</v>
      </c>
      <c r="J5161" s="3" t="str">
        <f>HYPERLINK("https://www.boe.es/gazeta/dias/1822/12/08/pdfs/GMD-1822-358.pdf#page=4","Abrir facsímil")</f>
        <v>Abrir facsímil</v>
      </c>
      <c r="K5161" s="3" t="s">
        <v>22</v>
      </c>
    </row>
    <row r="5162" spans="1:11" ht="42" customHeight="1">
      <c r="A5162" s="2" t="s">
        <v>10122</v>
      </c>
      <c r="B5162" s="2" t="s">
        <v>10122</v>
      </c>
      <c r="C5162" s="2" t="s">
        <v>28</v>
      </c>
      <c r="D5162" s="2" t="s">
        <v>29</v>
      </c>
      <c r="E5162" s="5">
        <v>-28140</v>
      </c>
      <c r="F5162" s="3" t="s">
        <v>84</v>
      </c>
      <c r="G5162" s="3" t="s">
        <v>31</v>
      </c>
      <c r="H5162" s="2" t="s">
        <v>20</v>
      </c>
      <c r="I5162" s="2" t="s">
        <v>10236</v>
      </c>
      <c r="J5162" s="3" t="str">
        <f>HYPERLINK("https://www.boe.es/gazeta/dias/1822/12/14/pdfs/GMD-1822-364.pdf#page=3","Abrir facsímil")</f>
        <v>Abrir facsímil</v>
      </c>
      <c r="K5162" s="3" t="s">
        <v>22</v>
      </c>
    </row>
    <row r="5163" spans="1:11" ht="42" customHeight="1">
      <c r="A5163" s="2" t="s">
        <v>10122</v>
      </c>
      <c r="B5163" s="2" t="s">
        <v>10122</v>
      </c>
      <c r="C5163" s="2" t="s">
        <v>42</v>
      </c>
      <c r="D5163" s="2" t="s">
        <v>17</v>
      </c>
      <c r="E5163" s="5">
        <v>-28138</v>
      </c>
      <c r="F5163" s="3" t="s">
        <v>3542</v>
      </c>
      <c r="G5163" s="3" t="s">
        <v>31</v>
      </c>
      <c r="H5163" s="2" t="s">
        <v>20</v>
      </c>
      <c r="I5163" s="2" t="s">
        <v>10237</v>
      </c>
      <c r="J5163" s="3" t="str">
        <f>HYPERLINK("https://www.boe.es/gazeta/dias/1822/12/16/pdfs/GMD-1822-366.pdf#page=3","Abrir facsímil")</f>
        <v>Abrir facsímil</v>
      </c>
      <c r="K5163" s="3" t="s">
        <v>22</v>
      </c>
    </row>
    <row r="5164" spans="1:11" ht="42" customHeight="1">
      <c r="A5164" s="2" t="s">
        <v>10122</v>
      </c>
      <c r="B5164" s="2" t="s">
        <v>10122</v>
      </c>
      <c r="C5164" s="2" t="s">
        <v>50</v>
      </c>
      <c r="D5164" s="2" t="s">
        <v>51</v>
      </c>
      <c r="E5164" s="5">
        <v>-28137</v>
      </c>
      <c r="F5164" s="3" t="s">
        <v>312</v>
      </c>
      <c r="G5164" s="3" t="s">
        <v>19</v>
      </c>
      <c r="H5164" s="2" t="s">
        <v>20</v>
      </c>
      <c r="I5164" s="2" t="s">
        <v>10238</v>
      </c>
      <c r="J5164" s="3" t="str">
        <f>HYPERLINK("https://www.boe.es/gazeta/dias/1822/12/17/pdfs/GMD-1822-367.pdf#page=5","Abrir facsímil")</f>
        <v>Abrir facsímil</v>
      </c>
      <c r="K5164" s="3" t="s">
        <v>22</v>
      </c>
    </row>
    <row r="5165" spans="1:11" ht="42" customHeight="1">
      <c r="A5165" s="2" t="s">
        <v>10122</v>
      </c>
      <c r="B5165" s="2" t="s">
        <v>10122</v>
      </c>
      <c r="C5165" s="2" t="s">
        <v>28</v>
      </c>
      <c r="D5165" s="2" t="s">
        <v>29</v>
      </c>
      <c r="E5165" s="5">
        <v>-28136</v>
      </c>
      <c r="F5165" s="3" t="s">
        <v>948</v>
      </c>
      <c r="G5165" s="3" t="s">
        <v>63</v>
      </c>
      <c r="H5165" s="2" t="s">
        <v>20</v>
      </c>
      <c r="I5165" s="2" t="s">
        <v>10239</v>
      </c>
      <c r="J5165" s="3" t="str">
        <f>HYPERLINK("https://www.boe.es/gazeta/dias/1822/12/18/pdfs/GMD-1822-368.pdf#page=6","Abrir facsímil")</f>
        <v>Abrir facsímil</v>
      </c>
      <c r="K5165" s="3" t="s">
        <v>22</v>
      </c>
    </row>
    <row r="5166" spans="1:11" ht="42" customHeight="1">
      <c r="A5166" s="2" t="s">
        <v>10122</v>
      </c>
      <c r="B5166" s="2" t="s">
        <v>10122</v>
      </c>
      <c r="C5166" s="2" t="s">
        <v>28</v>
      </c>
      <c r="D5166" s="2" t="s">
        <v>29</v>
      </c>
      <c r="E5166" s="5">
        <v>-28130</v>
      </c>
      <c r="F5166" s="3" t="s">
        <v>34</v>
      </c>
      <c r="G5166" s="3" t="s">
        <v>35</v>
      </c>
      <c r="H5166" s="2" t="s">
        <v>20</v>
      </c>
      <c r="I5166" s="2" t="s">
        <v>10240</v>
      </c>
      <c r="J5166" s="3" t="str">
        <f>HYPERLINK("https://www.boe.es/gazeta/dias/1822/12/24/pdfs/GMD-1822-374.pdf#page=2","Abrir facsímil")</f>
        <v>Abrir facsímil</v>
      </c>
      <c r="K5166" s="3" t="s">
        <v>22</v>
      </c>
    </row>
    <row r="5167" spans="1:11" ht="42" customHeight="1">
      <c r="A5167" s="2" t="s">
        <v>10122</v>
      </c>
      <c r="B5167" s="2" t="s">
        <v>10122</v>
      </c>
      <c r="C5167" s="2" t="s">
        <v>16</v>
      </c>
      <c r="D5167" s="2" t="s">
        <v>17</v>
      </c>
      <c r="E5167" s="5">
        <v>-28128</v>
      </c>
      <c r="F5167" s="3" t="s">
        <v>4731</v>
      </c>
      <c r="G5167" s="3" t="s">
        <v>31</v>
      </c>
      <c r="H5167" s="2" t="s">
        <v>20</v>
      </c>
      <c r="I5167" s="2" t="s">
        <v>10241</v>
      </c>
      <c r="J5167" s="3" t="str">
        <f>HYPERLINK("https://www.boe.es/gazeta/dias/1822/12/26/pdfs/GMD-1822-376.pdf#page=3","Abrir facsímil")</f>
        <v>Abrir facsímil</v>
      </c>
      <c r="K5167" s="3" t="s">
        <v>22</v>
      </c>
    </row>
    <row r="5168" spans="1:11" ht="42" customHeight="1">
      <c r="A5168" s="2" t="s">
        <v>10242</v>
      </c>
      <c r="B5168" s="2" t="s">
        <v>10243</v>
      </c>
      <c r="C5168" s="2" t="s">
        <v>50</v>
      </c>
      <c r="D5168" s="2" t="s">
        <v>51</v>
      </c>
      <c r="E5168" s="5">
        <v>-28291</v>
      </c>
      <c r="F5168" s="3" t="s">
        <v>363</v>
      </c>
      <c r="G5168" s="3" t="s">
        <v>31</v>
      </c>
      <c r="H5168" s="2" t="s">
        <v>45</v>
      </c>
      <c r="I5168" s="2" t="s">
        <v>10244</v>
      </c>
      <c r="J5168" s="3" t="str">
        <f>HYPERLINK("https://www.boe.es/gazeta/dias/1822/07/16/pdfs/GMD-1822-206.pdf#page=3","Abrir facsímil")</f>
        <v>Abrir facsímil</v>
      </c>
      <c r="K5168" s="3" t="s">
        <v>47</v>
      </c>
    </row>
    <row r="5169" spans="1:11" ht="42" customHeight="1">
      <c r="A5169" s="2" t="s">
        <v>10245</v>
      </c>
      <c r="B5169" s="2" t="s">
        <v>10246</v>
      </c>
      <c r="C5169" s="2" t="s">
        <v>61</v>
      </c>
      <c r="D5169" s="2" t="s">
        <v>17</v>
      </c>
      <c r="E5169" s="5">
        <v>-28404</v>
      </c>
      <c r="F5169" s="3" t="s">
        <v>421</v>
      </c>
      <c r="G5169" s="3" t="s">
        <v>57</v>
      </c>
      <c r="H5169" s="2" t="s">
        <v>45</v>
      </c>
      <c r="I5169" s="2" t="s">
        <v>10247</v>
      </c>
      <c r="J5169" s="3" t="str">
        <f>HYPERLINK("https://www.boe.es/gazeta/dias/1822/03/25/pdfs/GMD-1822-86.pdf#page=4","Abrir facsímil")</f>
        <v>Abrir facsímil</v>
      </c>
      <c r="K5169" s="3" t="s">
        <v>47</v>
      </c>
    </row>
    <row r="5170" spans="1:11" ht="42" customHeight="1">
      <c r="A5170" s="2" t="s">
        <v>10248</v>
      </c>
      <c r="B5170" s="2" t="s">
        <v>10249</v>
      </c>
      <c r="C5170" s="2" t="s">
        <v>71</v>
      </c>
      <c r="D5170" s="2" t="s">
        <v>17</v>
      </c>
      <c r="E5170" s="5">
        <v>-28354</v>
      </c>
      <c r="F5170" s="3" t="s">
        <v>226</v>
      </c>
      <c r="G5170" s="3" t="s">
        <v>44</v>
      </c>
      <c r="H5170" s="2" t="s">
        <v>20</v>
      </c>
      <c r="I5170" s="2" t="s">
        <v>10250</v>
      </c>
      <c r="J5170" s="3" t="str">
        <f>HYPERLINK("https://www.boe.es/gazeta/dias/1822/05/14/pdfs/GMD-1822-136.pdf#page=1","Abrir facsímil")</f>
        <v>Abrir facsímil</v>
      </c>
      <c r="K5170" s="3" t="s">
        <v>22</v>
      </c>
    </row>
    <row r="5171" spans="1:11" ht="42" customHeight="1">
      <c r="A5171" s="2" t="s">
        <v>10251</v>
      </c>
      <c r="B5171" s="2" t="s">
        <v>10251</v>
      </c>
      <c r="C5171" s="2" t="s">
        <v>71</v>
      </c>
      <c r="D5171" s="2" t="s">
        <v>17</v>
      </c>
      <c r="E5171" s="5">
        <v>-28395</v>
      </c>
      <c r="F5171" s="3" t="s">
        <v>237</v>
      </c>
      <c r="G5171" s="3" t="s">
        <v>35</v>
      </c>
      <c r="H5171" s="2" t="s">
        <v>20</v>
      </c>
      <c r="I5171" s="2" t="s">
        <v>10252</v>
      </c>
      <c r="J5171" s="3" t="str">
        <f>HYPERLINK("https://www.boe.es/gazeta/dias/1822/04/03/pdfs/GMD-1822-95.pdf#page=2","Abrir facsímil")</f>
        <v>Abrir facsímil</v>
      </c>
      <c r="K5171" s="3" t="s">
        <v>22</v>
      </c>
    </row>
    <row r="5172" spans="1:11" ht="42" customHeight="1">
      <c r="A5172" s="2" t="s">
        <v>10251</v>
      </c>
      <c r="B5172" s="2" t="s">
        <v>10251</v>
      </c>
      <c r="C5172" s="2" t="s">
        <v>71</v>
      </c>
      <c r="D5172" s="2" t="s">
        <v>17</v>
      </c>
      <c r="E5172" s="5">
        <v>-28384</v>
      </c>
      <c r="F5172" s="3" t="s">
        <v>258</v>
      </c>
      <c r="G5172" s="3" t="s">
        <v>57</v>
      </c>
      <c r="H5172" s="2" t="s">
        <v>20</v>
      </c>
      <c r="I5172" s="2" t="s">
        <v>10253</v>
      </c>
      <c r="J5172" s="3" t="str">
        <f>HYPERLINK("https://www.boe.es/gazeta/dias/1822/04/14/pdfs/GMD-1822-106.pdf#page=4","Abrir facsímil")</f>
        <v>Abrir facsímil</v>
      </c>
      <c r="K5172" s="3" t="s">
        <v>22</v>
      </c>
    </row>
    <row r="5173" spans="1:11" ht="42" customHeight="1">
      <c r="A5173" s="2" t="s">
        <v>10251</v>
      </c>
      <c r="B5173" s="2" t="s">
        <v>10251</v>
      </c>
      <c r="C5173" s="2" t="s">
        <v>50</v>
      </c>
      <c r="D5173" s="2" t="s">
        <v>51</v>
      </c>
      <c r="E5173" s="5">
        <v>-28374</v>
      </c>
      <c r="F5173" s="3" t="s">
        <v>171</v>
      </c>
      <c r="G5173" s="3" t="s">
        <v>35</v>
      </c>
      <c r="H5173" s="2" t="s">
        <v>20</v>
      </c>
      <c r="I5173" s="2" t="s">
        <v>10254</v>
      </c>
      <c r="J5173" s="3" t="str">
        <f>HYPERLINK("https://www.boe.es/gazeta/dias/1822/04/24/pdfs/GMD-1822-116.pdf#page=2","Abrir facsímil")</f>
        <v>Abrir facsímil</v>
      </c>
      <c r="K5173" s="3" t="s">
        <v>22</v>
      </c>
    </row>
    <row r="5174" spans="1:11" ht="42" customHeight="1">
      <c r="A5174" s="2" t="s">
        <v>10251</v>
      </c>
      <c r="B5174" s="2" t="s">
        <v>10251</v>
      </c>
      <c r="C5174" s="2" t="s">
        <v>50</v>
      </c>
      <c r="D5174" s="2" t="s">
        <v>51</v>
      </c>
      <c r="E5174" s="5">
        <v>-28351</v>
      </c>
      <c r="F5174" s="3" t="s">
        <v>282</v>
      </c>
      <c r="G5174" s="3" t="s">
        <v>31</v>
      </c>
      <c r="H5174" s="2" t="s">
        <v>20</v>
      </c>
      <c r="I5174" s="2" t="s">
        <v>10255</v>
      </c>
      <c r="J5174" s="3" t="str">
        <f>HYPERLINK("https://www.boe.es/gazeta/dias/1822/05/17/pdfs/GMD-1822-139.pdf#page=3","Abrir facsímil")</f>
        <v>Abrir facsímil</v>
      </c>
      <c r="K5174" s="3" t="s">
        <v>22</v>
      </c>
    </row>
    <row r="5175" spans="1:11" ht="42" customHeight="1">
      <c r="A5175" s="2" t="s">
        <v>10251</v>
      </c>
      <c r="B5175" s="2" t="s">
        <v>10251</v>
      </c>
      <c r="C5175" s="2" t="s">
        <v>28</v>
      </c>
      <c r="D5175" s="2" t="s">
        <v>29</v>
      </c>
      <c r="E5175" s="5">
        <v>-28349</v>
      </c>
      <c r="F5175" s="3" t="s">
        <v>518</v>
      </c>
      <c r="G5175" s="3" t="s">
        <v>35</v>
      </c>
      <c r="H5175" s="2" t="s">
        <v>20</v>
      </c>
      <c r="I5175" s="2" t="s">
        <v>10256</v>
      </c>
      <c r="J5175" s="3" t="str">
        <f>HYPERLINK("https://www.boe.es/gazeta/dias/1822/05/19/pdfs/GMD-1822-141.pdf#page=2","Abrir facsímil")</f>
        <v>Abrir facsímil</v>
      </c>
      <c r="K5175" s="3" t="s">
        <v>22</v>
      </c>
    </row>
    <row r="5176" spans="1:11" ht="42" customHeight="1">
      <c r="A5176" s="2" t="s">
        <v>10251</v>
      </c>
      <c r="B5176" s="2" t="s">
        <v>10251</v>
      </c>
      <c r="C5176" s="2" t="s">
        <v>50</v>
      </c>
      <c r="D5176" s="2" t="s">
        <v>51</v>
      </c>
      <c r="E5176" s="5">
        <v>-28334</v>
      </c>
      <c r="F5176" s="3" t="s">
        <v>532</v>
      </c>
      <c r="G5176" s="3" t="s">
        <v>31</v>
      </c>
      <c r="H5176" s="2" t="s">
        <v>20</v>
      </c>
      <c r="I5176" s="2" t="s">
        <v>10257</v>
      </c>
      <c r="J5176" s="3" t="str">
        <f>HYPERLINK("https://www.boe.es/gazeta/dias/1822/06/03/pdfs/GMD-1822-159.pdf#page=3","Abrir facsímil")</f>
        <v>Abrir facsímil</v>
      </c>
      <c r="K5176" s="3" t="s">
        <v>22</v>
      </c>
    </row>
    <row r="5177" spans="1:11" ht="42" customHeight="1">
      <c r="A5177" s="2" t="s">
        <v>10251</v>
      </c>
      <c r="B5177" s="2" t="s">
        <v>10251</v>
      </c>
      <c r="C5177" s="2" t="s">
        <v>28</v>
      </c>
      <c r="D5177" s="2" t="s">
        <v>29</v>
      </c>
      <c r="E5177" s="5">
        <v>-28329</v>
      </c>
      <c r="F5177" s="3" t="s">
        <v>354</v>
      </c>
      <c r="G5177" s="3" t="s">
        <v>35</v>
      </c>
      <c r="H5177" s="2" t="s">
        <v>20</v>
      </c>
      <c r="I5177" s="2" t="s">
        <v>10258</v>
      </c>
      <c r="J5177" s="3" t="str">
        <f>HYPERLINK("https://www.boe.es/gazeta/dias/1822/06/08/pdfs/GMD-1822-165.pdf#page=2","Abrir facsímil")</f>
        <v>Abrir facsímil</v>
      </c>
      <c r="K5177" s="3" t="s">
        <v>22</v>
      </c>
    </row>
    <row r="5178" spans="1:11" ht="42" customHeight="1">
      <c r="A5178" s="2" t="s">
        <v>10251</v>
      </c>
      <c r="B5178" s="2" t="s">
        <v>10251</v>
      </c>
      <c r="C5178" s="2" t="s">
        <v>50</v>
      </c>
      <c r="D5178" s="2" t="s">
        <v>51</v>
      </c>
      <c r="E5178" s="5">
        <v>-28244</v>
      </c>
      <c r="F5178" s="3" t="s">
        <v>6163</v>
      </c>
      <c r="G5178" s="3" t="s">
        <v>44</v>
      </c>
      <c r="H5178" s="2" t="s">
        <v>20</v>
      </c>
      <c r="I5178" s="2" t="s">
        <v>10259</v>
      </c>
      <c r="J5178" s="3" t="str">
        <f>HYPERLINK("https://www.boe.es/gazeta/dias/1822/09/01/pdfs/GMD-1822-256.pdf#page=1","Abrir facsímil")</f>
        <v>Abrir facsímil</v>
      </c>
      <c r="K5178" s="3" t="s">
        <v>22</v>
      </c>
    </row>
    <row r="5179" spans="1:11" ht="42" customHeight="1">
      <c r="A5179" s="2" t="s">
        <v>10251</v>
      </c>
      <c r="B5179" s="2" t="s">
        <v>10251</v>
      </c>
      <c r="C5179" s="2" t="s">
        <v>42</v>
      </c>
      <c r="D5179" s="2" t="s">
        <v>17</v>
      </c>
      <c r="E5179" s="5">
        <v>-28185</v>
      </c>
      <c r="F5179" s="3" t="s">
        <v>933</v>
      </c>
      <c r="G5179" s="3" t="s">
        <v>31</v>
      </c>
      <c r="H5179" s="2" t="s">
        <v>20</v>
      </c>
      <c r="I5179" s="2" t="s">
        <v>10260</v>
      </c>
      <c r="J5179" s="3" t="str">
        <f>HYPERLINK("https://www.boe.es/gazeta/dias/1822/10/30/pdfs/GMD-1822-317.pdf#page=3","Abrir facsímil")</f>
        <v>Abrir facsímil</v>
      </c>
      <c r="K5179" s="3" t="s">
        <v>22</v>
      </c>
    </row>
    <row r="5180" spans="1:11" ht="42" customHeight="1">
      <c r="A5180" s="2" t="s">
        <v>10261</v>
      </c>
      <c r="B5180" s="2" t="s">
        <v>10262</v>
      </c>
      <c r="C5180" s="2" t="s">
        <v>50</v>
      </c>
      <c r="D5180" s="2" t="s">
        <v>51</v>
      </c>
      <c r="E5180" s="5">
        <v>-28260</v>
      </c>
      <c r="F5180" s="3" t="s">
        <v>135</v>
      </c>
      <c r="G5180" s="3" t="s">
        <v>57</v>
      </c>
      <c r="H5180" s="2" t="s">
        <v>20</v>
      </c>
      <c r="I5180" s="2" t="s">
        <v>10263</v>
      </c>
      <c r="J5180" s="3" t="str">
        <f>HYPERLINK("https://www.boe.es/gazeta/dias/1822/08/16/pdfs/GMD-1822-240.pdf#page=4","Abrir facsímil")</f>
        <v>Abrir facsímil</v>
      </c>
      <c r="K5180" s="3" t="s">
        <v>22</v>
      </c>
    </row>
    <row r="5181" spans="1:11" ht="42" customHeight="1">
      <c r="A5181" s="2" t="s">
        <v>10264</v>
      </c>
      <c r="B5181" s="2" t="s">
        <v>10265</v>
      </c>
      <c r="C5181" s="2" t="s">
        <v>71</v>
      </c>
      <c r="D5181" s="2" t="s">
        <v>17</v>
      </c>
      <c r="E5181" s="5">
        <v>-28401</v>
      </c>
      <c r="F5181" s="3" t="s">
        <v>108</v>
      </c>
      <c r="G5181" s="3" t="s">
        <v>57</v>
      </c>
      <c r="H5181" s="2" t="s">
        <v>20</v>
      </c>
      <c r="I5181" s="2" t="s">
        <v>10266</v>
      </c>
      <c r="J5181" s="3" t="str">
        <f>HYPERLINK("https://www.boe.es/gazeta/dias/1822/03/28/pdfs/GMD-1822-89.pdf#page=4","Abrir facsímil")</f>
        <v>Abrir facsímil</v>
      </c>
      <c r="K5181" s="3" t="s">
        <v>22</v>
      </c>
    </row>
    <row r="5182" spans="1:11" ht="42" customHeight="1">
      <c r="A5182" s="2" t="s">
        <v>10267</v>
      </c>
      <c r="B5182" s="2" t="s">
        <v>10268</v>
      </c>
      <c r="C5182" s="2" t="s">
        <v>50</v>
      </c>
      <c r="D5182" s="2" t="s">
        <v>51</v>
      </c>
      <c r="E5182" s="5">
        <v>-28296</v>
      </c>
      <c r="F5182" s="3" t="s">
        <v>4121</v>
      </c>
      <c r="G5182" s="3" t="s">
        <v>35</v>
      </c>
      <c r="H5182" s="2" t="s">
        <v>20</v>
      </c>
      <c r="I5182" s="2" t="s">
        <v>10269</v>
      </c>
      <c r="J5182" s="3" t="str">
        <f>HYPERLINK("https://www.boe.es/gazeta/dias/1822/07/11/pdfs/GMD-1822-201.pdf#page=2","Abrir facsímil")</f>
        <v>Abrir facsímil</v>
      </c>
      <c r="K5182" s="3" t="s">
        <v>22</v>
      </c>
    </row>
    <row r="5183" spans="1:11" ht="42" customHeight="1">
      <c r="A5183" s="2" t="s">
        <v>10270</v>
      </c>
      <c r="B5183" s="2" t="s">
        <v>10270</v>
      </c>
      <c r="C5183" s="2" t="s">
        <v>71</v>
      </c>
      <c r="D5183" s="2" t="s">
        <v>17</v>
      </c>
      <c r="E5183" s="5">
        <v>-28325</v>
      </c>
      <c r="F5183" s="3" t="s">
        <v>104</v>
      </c>
      <c r="G5183" s="3" t="s">
        <v>35</v>
      </c>
      <c r="H5183" s="2" t="s">
        <v>20</v>
      </c>
      <c r="I5183" s="2" t="s">
        <v>10271</v>
      </c>
      <c r="J5183" s="3" t="str">
        <f>HYPERLINK("https://www.boe.es/gazeta/dias/1822/06/12/pdfs/GMD-1822-169.pdf#page=2","Abrir facsímil")</f>
        <v>Abrir facsímil</v>
      </c>
      <c r="K5183" s="3" t="s">
        <v>22</v>
      </c>
    </row>
    <row r="5184" spans="1:11" ht="42" customHeight="1">
      <c r="A5184" s="2" t="s">
        <v>10270</v>
      </c>
      <c r="B5184" s="2" t="s">
        <v>10270</v>
      </c>
      <c r="C5184" s="2" t="s">
        <v>28</v>
      </c>
      <c r="D5184" s="2" t="s">
        <v>29</v>
      </c>
      <c r="E5184" s="5">
        <v>-28313</v>
      </c>
      <c r="F5184" s="3" t="s">
        <v>315</v>
      </c>
      <c r="G5184" s="3" t="s">
        <v>57</v>
      </c>
      <c r="H5184" s="2" t="s">
        <v>20</v>
      </c>
      <c r="I5184" s="2" t="s">
        <v>10272</v>
      </c>
      <c r="J5184" s="3" t="str">
        <f>HYPERLINK("https://www.boe.es/gazeta/dias/1822/06/24/pdfs/GMD-1822-182.pdf#page=4","Abrir facsímil")</f>
        <v>Abrir facsímil</v>
      </c>
      <c r="K5184" s="3" t="s">
        <v>22</v>
      </c>
    </row>
    <row r="5185" spans="1:11" ht="42" customHeight="1">
      <c r="A5185" s="2" t="s">
        <v>10270</v>
      </c>
      <c r="B5185" s="2" t="s">
        <v>10270</v>
      </c>
      <c r="C5185" s="2" t="s">
        <v>71</v>
      </c>
      <c r="D5185" s="2" t="s">
        <v>17</v>
      </c>
      <c r="E5185" s="5">
        <v>-28159</v>
      </c>
      <c r="F5185" s="3" t="s">
        <v>67</v>
      </c>
      <c r="G5185" s="3" t="s">
        <v>35</v>
      </c>
      <c r="H5185" s="2" t="s">
        <v>20</v>
      </c>
      <c r="I5185" s="2" t="s">
        <v>10273</v>
      </c>
      <c r="J5185" s="3" t="str">
        <f>HYPERLINK("https://www.boe.es/gazeta/dias/1822/11/25/pdfs/GMD-1822-345.pdf#page=2","Abrir facsímil")</f>
        <v>Abrir facsímil</v>
      </c>
      <c r="K5185" s="3" t="s">
        <v>22</v>
      </c>
    </row>
    <row r="5186" spans="1:11" ht="42" customHeight="1">
      <c r="A5186" s="2" t="s">
        <v>10270</v>
      </c>
      <c r="B5186" s="2" t="s">
        <v>10270</v>
      </c>
      <c r="C5186" s="2" t="s">
        <v>42</v>
      </c>
      <c r="D5186" s="2" t="s">
        <v>17</v>
      </c>
      <c r="E5186" s="5">
        <v>-28150</v>
      </c>
      <c r="F5186" s="3" t="s">
        <v>62</v>
      </c>
      <c r="G5186" s="3" t="s">
        <v>57</v>
      </c>
      <c r="H5186" s="2" t="s">
        <v>20</v>
      </c>
      <c r="I5186" s="2" t="s">
        <v>10274</v>
      </c>
      <c r="J5186" s="3" t="str">
        <f>HYPERLINK("https://www.boe.es/gazeta/dias/1822/12/04/pdfs/GMD-1822-354.pdf#page=4","Abrir facsímil")</f>
        <v>Abrir facsímil</v>
      </c>
      <c r="K5186" s="3" t="s">
        <v>22</v>
      </c>
    </row>
    <row r="5187" spans="1:11" ht="42" customHeight="1">
      <c r="A5187" s="2" t="s">
        <v>10275</v>
      </c>
      <c r="B5187" s="2" t="s">
        <v>10275</v>
      </c>
      <c r="C5187" s="2" t="s">
        <v>28</v>
      </c>
      <c r="D5187" s="2" t="s">
        <v>29</v>
      </c>
      <c r="E5187" s="5">
        <v>-28353</v>
      </c>
      <c r="F5187" s="3" t="s">
        <v>843</v>
      </c>
      <c r="G5187" s="3" t="s">
        <v>44</v>
      </c>
      <c r="H5187" s="2" t="s">
        <v>20</v>
      </c>
      <c r="I5187" s="2" t="s">
        <v>10276</v>
      </c>
      <c r="J5187" s="3" t="str">
        <f>HYPERLINK("https://www.boe.es/gazeta/dias/1822/05/15/pdfs/GMD-1822-137.pdf#page=1","Abrir facsímil")</f>
        <v>Abrir facsímil</v>
      </c>
      <c r="K5187" s="3" t="s">
        <v>22</v>
      </c>
    </row>
    <row r="5188" spans="1:11" ht="42" customHeight="1">
      <c r="A5188" s="2" t="s">
        <v>10277</v>
      </c>
      <c r="B5188" s="2" t="s">
        <v>10277</v>
      </c>
      <c r="C5188" s="2" t="s">
        <v>42</v>
      </c>
      <c r="D5188" s="2" t="s">
        <v>17</v>
      </c>
      <c r="E5188" s="5">
        <v>-28436</v>
      </c>
      <c r="F5188" s="3" t="s">
        <v>431</v>
      </c>
      <c r="G5188" s="3" t="s">
        <v>57</v>
      </c>
      <c r="H5188" s="2" t="s">
        <v>20</v>
      </c>
      <c r="I5188" s="2" t="s">
        <v>10278</v>
      </c>
      <c r="J5188" s="3" t="str">
        <f>HYPERLINK("https://www.boe.es/gazeta/dias/1822/02/21/pdfs/GMD-1822-53.pdf#page=4","Abrir facsímil")</f>
        <v>Abrir facsímil</v>
      </c>
      <c r="K5188" s="3" t="s">
        <v>22</v>
      </c>
    </row>
    <row r="5189" spans="1:11" ht="42" customHeight="1">
      <c r="A5189" s="2" t="s">
        <v>10277</v>
      </c>
      <c r="B5189" s="2" t="s">
        <v>10277</v>
      </c>
      <c r="C5189" s="2" t="s">
        <v>28</v>
      </c>
      <c r="D5189" s="2" t="s">
        <v>29</v>
      </c>
      <c r="E5189" s="5">
        <v>-28431</v>
      </c>
      <c r="F5189" s="3" t="s">
        <v>1258</v>
      </c>
      <c r="G5189" s="3" t="s">
        <v>31</v>
      </c>
      <c r="H5189" s="2" t="s">
        <v>20</v>
      </c>
      <c r="I5189" s="2" t="s">
        <v>10279</v>
      </c>
      <c r="J5189" s="3" t="str">
        <f>HYPERLINK("https://www.boe.es/gazeta/dias/1822/02/26/pdfs/GMD-1822-58.pdf#page=3","Abrir facsímil")</f>
        <v>Abrir facsímil</v>
      </c>
      <c r="K5189" s="3" t="s">
        <v>22</v>
      </c>
    </row>
    <row r="5190" spans="1:11" ht="42" customHeight="1">
      <c r="A5190" s="2" t="s">
        <v>10277</v>
      </c>
      <c r="B5190" s="2" t="s">
        <v>10277</v>
      </c>
      <c r="C5190" s="2" t="s">
        <v>71</v>
      </c>
      <c r="D5190" s="2" t="s">
        <v>17</v>
      </c>
      <c r="E5190" s="5">
        <v>-28423</v>
      </c>
      <c r="F5190" s="3" t="s">
        <v>441</v>
      </c>
      <c r="G5190" s="3" t="s">
        <v>31</v>
      </c>
      <c r="H5190" s="2" t="s">
        <v>20</v>
      </c>
      <c r="I5190" s="2" t="s">
        <v>10280</v>
      </c>
      <c r="J5190" s="3" t="str">
        <f>HYPERLINK("https://www.boe.es/gazeta/dias/1822/03/06/pdfs/GMD-1822-67.pdf#page=3","Abrir facsímil")</f>
        <v>Abrir facsímil</v>
      </c>
      <c r="K5190" s="3" t="s">
        <v>22</v>
      </c>
    </row>
    <row r="5191" spans="1:11" ht="42" customHeight="1">
      <c r="A5191" s="2" t="s">
        <v>10277</v>
      </c>
      <c r="B5191" s="2" t="s">
        <v>10277</v>
      </c>
      <c r="C5191" s="2" t="s">
        <v>28</v>
      </c>
      <c r="D5191" s="2" t="s">
        <v>29</v>
      </c>
      <c r="E5191" s="5">
        <v>-28423</v>
      </c>
      <c r="F5191" s="3" t="s">
        <v>441</v>
      </c>
      <c r="G5191" s="3" t="s">
        <v>57</v>
      </c>
      <c r="H5191" s="2" t="s">
        <v>20</v>
      </c>
      <c r="I5191" s="2" t="s">
        <v>10281</v>
      </c>
      <c r="J5191" s="3" t="str">
        <f>HYPERLINK("https://www.boe.es/gazeta/dias/1822/03/06/pdfs/GMD-1822-67.pdf#page=4","Abrir facsímil")</f>
        <v>Abrir facsímil</v>
      </c>
      <c r="K5191" s="3" t="s">
        <v>22</v>
      </c>
    </row>
    <row r="5192" spans="1:11" ht="42" customHeight="1">
      <c r="A5192" s="2" t="s">
        <v>10277</v>
      </c>
      <c r="B5192" s="2" t="s">
        <v>10277</v>
      </c>
      <c r="C5192" s="2" t="s">
        <v>50</v>
      </c>
      <c r="D5192" s="2" t="s">
        <v>51</v>
      </c>
      <c r="E5192" s="5">
        <v>-28417</v>
      </c>
      <c r="F5192" s="3" t="s">
        <v>1394</v>
      </c>
      <c r="G5192" s="3" t="s">
        <v>57</v>
      </c>
      <c r="H5192" s="2" t="s">
        <v>20</v>
      </c>
      <c r="I5192" s="2" t="s">
        <v>10282</v>
      </c>
      <c r="J5192" s="3" t="str">
        <f>HYPERLINK("https://www.boe.es/gazeta/dias/1822/03/12/pdfs/GMD-1822-73.pdf#page=4","Abrir facsímil")</f>
        <v>Abrir facsímil</v>
      </c>
      <c r="K5192" s="3" t="s">
        <v>22</v>
      </c>
    </row>
    <row r="5193" spans="1:11" ht="42" customHeight="1">
      <c r="A5193" s="2" t="s">
        <v>10277</v>
      </c>
      <c r="B5193" s="2" t="s">
        <v>10277</v>
      </c>
      <c r="C5193" s="2" t="s">
        <v>42</v>
      </c>
      <c r="D5193" s="2" t="s">
        <v>17</v>
      </c>
      <c r="E5193" s="5">
        <v>-28415</v>
      </c>
      <c r="F5193" s="3" t="s">
        <v>77</v>
      </c>
      <c r="G5193" s="3" t="s">
        <v>35</v>
      </c>
      <c r="H5193" s="2" t="s">
        <v>20</v>
      </c>
      <c r="I5193" s="2" t="s">
        <v>10283</v>
      </c>
      <c r="J5193" s="3" t="str">
        <f>HYPERLINK("https://www.boe.es/gazeta/dias/1822/03/14/pdfs/GMD-1822-75.pdf#page=2","Abrir facsímil")</f>
        <v>Abrir facsímil</v>
      </c>
      <c r="K5193" s="3" t="s">
        <v>22</v>
      </c>
    </row>
    <row r="5194" spans="1:11" ht="42" customHeight="1">
      <c r="A5194" s="2" t="s">
        <v>10277</v>
      </c>
      <c r="B5194" s="2" t="s">
        <v>10277</v>
      </c>
      <c r="C5194" s="2" t="s">
        <v>50</v>
      </c>
      <c r="D5194" s="2" t="s">
        <v>51</v>
      </c>
      <c r="E5194" s="5">
        <v>-28413</v>
      </c>
      <c r="F5194" s="3" t="s">
        <v>458</v>
      </c>
      <c r="G5194" s="3" t="s">
        <v>19</v>
      </c>
      <c r="H5194" s="2" t="s">
        <v>20</v>
      </c>
      <c r="I5194" s="2" t="s">
        <v>10284</v>
      </c>
      <c r="J5194" s="3" t="str">
        <f>HYPERLINK("https://www.boe.es/gazeta/dias/1822/03/16/pdfs/GMD-1822-77.pdf#page=5","Abrir facsímil")</f>
        <v>Abrir facsímil</v>
      </c>
      <c r="K5194" s="3" t="s">
        <v>22</v>
      </c>
    </row>
    <row r="5195" spans="1:11" ht="42" customHeight="1">
      <c r="A5195" s="2" t="s">
        <v>10277</v>
      </c>
      <c r="B5195" s="2" t="s">
        <v>10277</v>
      </c>
      <c r="C5195" s="2" t="s">
        <v>28</v>
      </c>
      <c r="D5195" s="2" t="s">
        <v>29</v>
      </c>
      <c r="E5195" s="5">
        <v>-28408</v>
      </c>
      <c r="F5195" s="3" t="s">
        <v>2561</v>
      </c>
      <c r="G5195" s="3" t="s">
        <v>57</v>
      </c>
      <c r="H5195" s="2" t="s">
        <v>20</v>
      </c>
      <c r="I5195" s="2" t="s">
        <v>10285</v>
      </c>
      <c r="J5195" s="3" t="str">
        <f>HYPERLINK("https://www.boe.es/gazeta/dias/1822/03/21/pdfs/GMD-1822-82.pdf#page=4","Abrir facsímil")</f>
        <v>Abrir facsímil</v>
      </c>
      <c r="K5195" s="3" t="s">
        <v>22</v>
      </c>
    </row>
    <row r="5196" spans="1:11" ht="42" customHeight="1">
      <c r="A5196" s="2" t="s">
        <v>10277</v>
      </c>
      <c r="B5196" s="2" t="s">
        <v>10277</v>
      </c>
      <c r="C5196" s="2" t="s">
        <v>50</v>
      </c>
      <c r="D5196" s="2" t="s">
        <v>51</v>
      </c>
      <c r="E5196" s="5">
        <v>-28408</v>
      </c>
      <c r="F5196" s="3" t="s">
        <v>2561</v>
      </c>
      <c r="G5196" s="3" t="s">
        <v>63</v>
      </c>
      <c r="H5196" s="2" t="s">
        <v>20</v>
      </c>
      <c r="I5196" s="2" t="s">
        <v>10286</v>
      </c>
      <c r="J5196" s="3" t="str">
        <f>HYPERLINK("https://www.boe.es/gazeta/dias/1822/03/21/pdfs/GMD-1822-82.pdf#page=6","Abrir facsímil")</f>
        <v>Abrir facsímil</v>
      </c>
      <c r="K5196" s="3" t="s">
        <v>22</v>
      </c>
    </row>
    <row r="5197" spans="1:11" ht="42" customHeight="1">
      <c r="A5197" s="2" t="s">
        <v>10277</v>
      </c>
      <c r="B5197" s="2" t="s">
        <v>10277</v>
      </c>
      <c r="C5197" s="2" t="s">
        <v>71</v>
      </c>
      <c r="D5197" s="2" t="s">
        <v>17</v>
      </c>
      <c r="E5197" s="5">
        <v>-28403</v>
      </c>
      <c r="F5197" s="3" t="s">
        <v>471</v>
      </c>
      <c r="G5197" s="3" t="s">
        <v>2829</v>
      </c>
      <c r="H5197" s="2" t="s">
        <v>20</v>
      </c>
      <c r="I5197" s="2" t="s">
        <v>10287</v>
      </c>
      <c r="J5197" s="3" t="str">
        <f>HYPERLINK("https://www.boe.es/gazeta/dias/1822/03/26/pdfs/GMD-1822-87.pdf#page=4","Abrir facsímil")</f>
        <v>Abrir facsímil</v>
      </c>
      <c r="K5197" s="3" t="s">
        <v>22</v>
      </c>
    </row>
    <row r="5198" spans="1:11" ht="42" customHeight="1">
      <c r="A5198" s="2" t="s">
        <v>10277</v>
      </c>
      <c r="B5198" s="2" t="s">
        <v>10277</v>
      </c>
      <c r="C5198" s="2" t="s">
        <v>71</v>
      </c>
      <c r="D5198" s="2" t="s">
        <v>17</v>
      </c>
      <c r="E5198" s="5">
        <v>-28403</v>
      </c>
      <c r="F5198" s="3" t="s">
        <v>471</v>
      </c>
      <c r="G5198" s="3" t="s">
        <v>19</v>
      </c>
      <c r="H5198" s="2" t="s">
        <v>20</v>
      </c>
      <c r="I5198" s="2" t="s">
        <v>10288</v>
      </c>
      <c r="J5198" s="3" t="str">
        <f>HYPERLINK("https://www.boe.es/gazeta/dias/1822/03/26/pdfs/GMD-1822-87.pdf#page=5","Abrir facsímil")</f>
        <v>Abrir facsímil</v>
      </c>
      <c r="K5198" s="3" t="s">
        <v>22</v>
      </c>
    </row>
    <row r="5199" spans="1:11" ht="42" customHeight="1">
      <c r="A5199" s="2" t="s">
        <v>10277</v>
      </c>
      <c r="B5199" s="2" t="s">
        <v>10277</v>
      </c>
      <c r="C5199" s="2" t="s">
        <v>71</v>
      </c>
      <c r="D5199" s="2" t="s">
        <v>17</v>
      </c>
      <c r="E5199" s="5">
        <v>-28402</v>
      </c>
      <c r="F5199" s="3" t="s">
        <v>473</v>
      </c>
      <c r="G5199" s="3" t="s">
        <v>35</v>
      </c>
      <c r="H5199" s="2" t="s">
        <v>20</v>
      </c>
      <c r="I5199" s="2" t="s">
        <v>10289</v>
      </c>
      <c r="J5199" s="3" t="str">
        <f>HYPERLINK("https://www.boe.es/gazeta/dias/1822/03/27/pdfs/GMD-1822-88.pdf#page=2","Abrir facsímil")</f>
        <v>Abrir facsímil</v>
      </c>
      <c r="K5199" s="3" t="s">
        <v>22</v>
      </c>
    </row>
    <row r="5200" spans="1:11" ht="42" customHeight="1">
      <c r="A5200" s="2" t="s">
        <v>10277</v>
      </c>
      <c r="B5200" s="2" t="s">
        <v>10277</v>
      </c>
      <c r="C5200" s="2" t="s">
        <v>16</v>
      </c>
      <c r="D5200" s="2" t="s">
        <v>17</v>
      </c>
      <c r="E5200" s="5">
        <v>-28402</v>
      </c>
      <c r="F5200" s="3" t="s">
        <v>473</v>
      </c>
      <c r="G5200" s="3" t="s">
        <v>19</v>
      </c>
      <c r="H5200" s="2" t="s">
        <v>20</v>
      </c>
      <c r="I5200" s="2" t="s">
        <v>10290</v>
      </c>
      <c r="J5200" s="3" t="str">
        <f>HYPERLINK("https://www.boe.es/gazeta/dias/1822/03/27/pdfs/GMD-1822-88.pdf#page=5","Abrir facsímil")</f>
        <v>Abrir facsímil</v>
      </c>
      <c r="K5200" s="3" t="s">
        <v>22</v>
      </c>
    </row>
    <row r="5201" spans="1:11" ht="42" customHeight="1">
      <c r="A5201" s="2" t="s">
        <v>10277</v>
      </c>
      <c r="B5201" s="2" t="s">
        <v>10277</v>
      </c>
      <c r="C5201" s="2" t="s">
        <v>28</v>
      </c>
      <c r="D5201" s="2" t="s">
        <v>29</v>
      </c>
      <c r="E5201" s="5">
        <v>-28396</v>
      </c>
      <c r="F5201" s="3" t="s">
        <v>1138</v>
      </c>
      <c r="G5201" s="3" t="s">
        <v>167</v>
      </c>
      <c r="H5201" s="2" t="s">
        <v>20</v>
      </c>
      <c r="I5201" s="2" t="s">
        <v>10291</v>
      </c>
      <c r="J5201" s="3" t="str">
        <f>HYPERLINK("https://www.boe.es/gazeta/dias/1822/04/02/pdfs/GMD-1822-94.pdf#page=7","Abrir facsímil")</f>
        <v>Abrir facsímil</v>
      </c>
      <c r="K5201" s="3" t="s">
        <v>22</v>
      </c>
    </row>
    <row r="5202" spans="1:11" ht="42" customHeight="1">
      <c r="A5202" s="2" t="s">
        <v>10277</v>
      </c>
      <c r="B5202" s="2" t="s">
        <v>10277</v>
      </c>
      <c r="C5202" s="2" t="s">
        <v>24</v>
      </c>
      <c r="D5202" s="2" t="s">
        <v>17</v>
      </c>
      <c r="E5202" s="5">
        <v>-28396</v>
      </c>
      <c r="F5202" s="3" t="s">
        <v>1138</v>
      </c>
      <c r="G5202" s="3" t="s">
        <v>157</v>
      </c>
      <c r="H5202" s="2" t="s">
        <v>20</v>
      </c>
      <c r="I5202" s="2" t="s">
        <v>10292</v>
      </c>
      <c r="J5202" s="3" t="str">
        <f>HYPERLINK("https://www.boe.es/gazeta/dias/1822/04/02/pdfs/GMD-1822-94.pdf#page=8","Abrir facsímil")</f>
        <v>Abrir facsímil</v>
      </c>
      <c r="K5202" s="3" t="s">
        <v>22</v>
      </c>
    </row>
    <row r="5203" spans="1:11" ht="42" customHeight="1">
      <c r="A5203" s="2" t="s">
        <v>10277</v>
      </c>
      <c r="B5203" s="2" t="s">
        <v>10277</v>
      </c>
      <c r="C5203" s="2" t="s">
        <v>28</v>
      </c>
      <c r="D5203" s="2" t="s">
        <v>29</v>
      </c>
      <c r="E5203" s="5">
        <v>-28394</v>
      </c>
      <c r="F5203" s="3" t="s">
        <v>268</v>
      </c>
      <c r="G5203" s="3" t="s">
        <v>35</v>
      </c>
      <c r="H5203" s="2" t="s">
        <v>20</v>
      </c>
      <c r="I5203" s="2" t="s">
        <v>10293</v>
      </c>
      <c r="J5203" s="3" t="str">
        <f>HYPERLINK("https://www.boe.es/gazeta/dias/1822/04/04/pdfs/GMD-1822-96.pdf#page=2","Abrir facsímil")</f>
        <v>Abrir facsímil</v>
      </c>
      <c r="K5203" s="3" t="s">
        <v>22</v>
      </c>
    </row>
    <row r="5204" spans="1:11" ht="42" customHeight="1">
      <c r="A5204" s="2" t="s">
        <v>10277</v>
      </c>
      <c r="B5204" s="2" t="s">
        <v>10277</v>
      </c>
      <c r="C5204" s="2" t="s">
        <v>71</v>
      </c>
      <c r="D5204" s="2" t="s">
        <v>17</v>
      </c>
      <c r="E5204" s="5">
        <v>-28388</v>
      </c>
      <c r="F5204" s="3" t="s">
        <v>1268</v>
      </c>
      <c r="G5204" s="3" t="s">
        <v>57</v>
      </c>
      <c r="H5204" s="2" t="s">
        <v>20</v>
      </c>
      <c r="I5204" s="2" t="s">
        <v>10294</v>
      </c>
      <c r="J5204" s="3" t="str">
        <f>HYPERLINK("https://www.boe.es/gazeta/dias/1822/04/10/pdfs/GMD-1822-102.pdf#page=4","Abrir facsímil")</f>
        <v>Abrir facsímil</v>
      </c>
      <c r="K5204" s="3" t="s">
        <v>22</v>
      </c>
    </row>
    <row r="5205" spans="1:11" ht="42" customHeight="1">
      <c r="A5205" s="2" t="s">
        <v>10277</v>
      </c>
      <c r="B5205" s="2" t="s">
        <v>10277</v>
      </c>
      <c r="C5205" s="2" t="s">
        <v>71</v>
      </c>
      <c r="D5205" s="2" t="s">
        <v>17</v>
      </c>
      <c r="E5205" s="5">
        <v>-28386</v>
      </c>
      <c r="F5205" s="3" t="s">
        <v>2993</v>
      </c>
      <c r="G5205" s="3" t="s">
        <v>35</v>
      </c>
      <c r="H5205" s="2" t="s">
        <v>20</v>
      </c>
      <c r="I5205" s="2" t="s">
        <v>10295</v>
      </c>
      <c r="J5205" s="3" t="str">
        <f>HYPERLINK("https://www.boe.es/gazeta/dias/1822/04/12/pdfs/GMD-1822-104.pdf#page=2","Abrir facsímil")</f>
        <v>Abrir facsímil</v>
      </c>
      <c r="K5205" s="3" t="s">
        <v>22</v>
      </c>
    </row>
    <row r="5206" spans="1:11" ht="42" customHeight="1">
      <c r="A5206" s="2" t="s">
        <v>10277</v>
      </c>
      <c r="B5206" s="2" t="s">
        <v>10277</v>
      </c>
      <c r="C5206" s="2" t="s">
        <v>50</v>
      </c>
      <c r="D5206" s="2" t="s">
        <v>51</v>
      </c>
      <c r="E5206" s="5">
        <v>-28386</v>
      </c>
      <c r="F5206" s="3" t="s">
        <v>2993</v>
      </c>
      <c r="G5206" s="3" t="s">
        <v>31</v>
      </c>
      <c r="H5206" s="2" t="s">
        <v>20</v>
      </c>
      <c r="I5206" s="2" t="s">
        <v>10296</v>
      </c>
      <c r="J5206" s="3" t="str">
        <f>HYPERLINK("https://www.boe.es/gazeta/dias/1822/04/12/pdfs/GMD-1822-104.pdf#page=3","Abrir facsímil")</f>
        <v>Abrir facsímil</v>
      </c>
      <c r="K5206" s="3" t="s">
        <v>22</v>
      </c>
    </row>
    <row r="5207" spans="1:11" ht="42" customHeight="1">
      <c r="A5207" s="2" t="s">
        <v>10277</v>
      </c>
      <c r="B5207" s="2" t="s">
        <v>10277</v>
      </c>
      <c r="C5207" s="2" t="s">
        <v>42</v>
      </c>
      <c r="D5207" s="2" t="s">
        <v>17</v>
      </c>
      <c r="E5207" s="5">
        <v>-28374</v>
      </c>
      <c r="F5207" s="3" t="s">
        <v>171</v>
      </c>
      <c r="G5207" s="3" t="s">
        <v>35</v>
      </c>
      <c r="H5207" s="2" t="s">
        <v>20</v>
      </c>
      <c r="I5207" s="2" t="s">
        <v>10297</v>
      </c>
      <c r="J5207" s="3" t="str">
        <f>HYPERLINK("https://www.boe.es/gazeta/dias/1822/04/24/pdfs/GMD-1822-116.pdf#page=2","Abrir facsímil")</f>
        <v>Abrir facsímil</v>
      </c>
      <c r="K5207" s="3" t="s">
        <v>22</v>
      </c>
    </row>
    <row r="5208" spans="1:11" ht="42" customHeight="1">
      <c r="A5208" s="2" t="s">
        <v>10277</v>
      </c>
      <c r="B5208" s="2" t="s">
        <v>10277</v>
      </c>
      <c r="C5208" s="2" t="s">
        <v>71</v>
      </c>
      <c r="D5208" s="2" t="s">
        <v>17</v>
      </c>
      <c r="E5208" s="5">
        <v>-28372</v>
      </c>
      <c r="F5208" s="3" t="s">
        <v>503</v>
      </c>
      <c r="G5208" s="3" t="s">
        <v>35</v>
      </c>
      <c r="H5208" s="2" t="s">
        <v>20</v>
      </c>
      <c r="I5208" s="2" t="s">
        <v>10298</v>
      </c>
      <c r="J5208" s="3" t="str">
        <f>HYPERLINK("https://www.boe.es/gazeta/dias/1822/04/26/pdfs/GMD-1822-118.pdf#page=2","Abrir facsímil")</f>
        <v>Abrir facsímil</v>
      </c>
      <c r="K5208" s="3" t="s">
        <v>22</v>
      </c>
    </row>
    <row r="5209" spans="1:11" ht="42" customHeight="1">
      <c r="A5209" s="2" t="s">
        <v>10277</v>
      </c>
      <c r="B5209" s="2" t="s">
        <v>10277</v>
      </c>
      <c r="C5209" s="2" t="s">
        <v>28</v>
      </c>
      <c r="D5209" s="2" t="s">
        <v>29</v>
      </c>
      <c r="E5209" s="5">
        <v>-28368</v>
      </c>
      <c r="F5209" s="3" t="s">
        <v>126</v>
      </c>
      <c r="G5209" s="3" t="s">
        <v>31</v>
      </c>
      <c r="H5209" s="2" t="s">
        <v>20</v>
      </c>
      <c r="I5209" s="2" t="s">
        <v>10299</v>
      </c>
      <c r="J5209" s="3" t="str">
        <f>HYPERLINK("https://www.boe.es/gazeta/dias/1822/04/30/pdfs/GMD-1822-122.pdf#page=3","Abrir facsímil")</f>
        <v>Abrir facsímil</v>
      </c>
      <c r="K5209" s="3" t="s">
        <v>22</v>
      </c>
    </row>
    <row r="5210" spans="1:11" ht="42" customHeight="1">
      <c r="A5210" s="2" t="s">
        <v>10277</v>
      </c>
      <c r="B5210" s="2" t="s">
        <v>10277</v>
      </c>
      <c r="C5210" s="2" t="s">
        <v>50</v>
      </c>
      <c r="D5210" s="2" t="s">
        <v>51</v>
      </c>
      <c r="E5210" s="5">
        <v>-28367</v>
      </c>
      <c r="F5210" s="3" t="s">
        <v>280</v>
      </c>
      <c r="G5210" s="3" t="s">
        <v>44</v>
      </c>
      <c r="H5210" s="2" t="s">
        <v>20</v>
      </c>
      <c r="I5210" s="2" t="s">
        <v>10300</v>
      </c>
      <c r="J5210" s="3" t="str">
        <f>HYPERLINK("https://www.boe.es/gazeta/dias/1822/05/01/pdfs/GMD-1822-123.pdf#page=1","Abrir facsímil")</f>
        <v>Abrir facsímil</v>
      </c>
      <c r="K5210" s="3" t="s">
        <v>22</v>
      </c>
    </row>
    <row r="5211" spans="1:11" ht="42" customHeight="1">
      <c r="A5211" s="2" t="s">
        <v>10277</v>
      </c>
      <c r="B5211" s="2" t="s">
        <v>10277</v>
      </c>
      <c r="C5211" s="2" t="s">
        <v>61</v>
      </c>
      <c r="D5211" s="2" t="s">
        <v>17</v>
      </c>
      <c r="E5211" s="5">
        <v>-28367</v>
      </c>
      <c r="F5211" s="3" t="s">
        <v>280</v>
      </c>
      <c r="G5211" s="3" t="s">
        <v>31</v>
      </c>
      <c r="H5211" s="2" t="s">
        <v>20</v>
      </c>
      <c r="I5211" s="2" t="s">
        <v>10301</v>
      </c>
      <c r="J5211" s="3" t="str">
        <f>HYPERLINK("https://www.boe.es/gazeta/dias/1822/05/01/pdfs/GMD-1822-123.pdf#page=3","Abrir facsímil")</f>
        <v>Abrir facsímil</v>
      </c>
      <c r="K5211" s="3" t="s">
        <v>22</v>
      </c>
    </row>
    <row r="5212" spans="1:11" ht="42" customHeight="1">
      <c r="A5212" s="2" t="s">
        <v>10277</v>
      </c>
      <c r="B5212" s="2" t="s">
        <v>10277</v>
      </c>
      <c r="C5212" s="2" t="s">
        <v>71</v>
      </c>
      <c r="D5212" s="2" t="s">
        <v>17</v>
      </c>
      <c r="E5212" s="5">
        <v>-28365</v>
      </c>
      <c r="F5212" s="3" t="s">
        <v>506</v>
      </c>
      <c r="G5212" s="3" t="s">
        <v>44</v>
      </c>
      <c r="H5212" s="2" t="s">
        <v>20</v>
      </c>
      <c r="I5212" s="2" t="s">
        <v>10302</v>
      </c>
      <c r="J5212" s="3" t="str">
        <f>HYPERLINK("https://www.boe.es/gazeta/dias/1822/05/03/pdfs/GMD-1822-125.pdf#page=1","Abrir facsímil")</f>
        <v>Abrir facsímil</v>
      </c>
      <c r="K5212" s="3" t="s">
        <v>22</v>
      </c>
    </row>
    <row r="5213" spans="1:11" ht="42" customHeight="1">
      <c r="A5213" s="2" t="s">
        <v>10277</v>
      </c>
      <c r="B5213" s="2" t="s">
        <v>10277</v>
      </c>
      <c r="C5213" s="2" t="s">
        <v>28</v>
      </c>
      <c r="D5213" s="2" t="s">
        <v>29</v>
      </c>
      <c r="E5213" s="5">
        <v>-28365</v>
      </c>
      <c r="F5213" s="3" t="s">
        <v>506</v>
      </c>
      <c r="G5213" s="3" t="s">
        <v>35</v>
      </c>
      <c r="H5213" s="2" t="s">
        <v>20</v>
      </c>
      <c r="I5213" s="2" t="s">
        <v>10303</v>
      </c>
      <c r="J5213" s="3" t="str">
        <f>HYPERLINK("https://www.boe.es/gazeta/dias/1822/05/03/pdfs/GMD-1822-125.pdf#page=2","Abrir facsímil")</f>
        <v>Abrir facsímil</v>
      </c>
      <c r="K5213" s="3" t="s">
        <v>22</v>
      </c>
    </row>
    <row r="5214" spans="1:11" ht="42" customHeight="1">
      <c r="A5214" s="2" t="s">
        <v>10277</v>
      </c>
      <c r="B5214" s="2" t="s">
        <v>10277</v>
      </c>
      <c r="C5214" s="2" t="s">
        <v>61</v>
      </c>
      <c r="D5214" s="2" t="s">
        <v>17</v>
      </c>
      <c r="E5214" s="5">
        <v>-28363</v>
      </c>
      <c r="F5214" s="3" t="s">
        <v>72</v>
      </c>
      <c r="G5214" s="3" t="s">
        <v>35</v>
      </c>
      <c r="H5214" s="2" t="s">
        <v>20</v>
      </c>
      <c r="I5214" s="2" t="s">
        <v>10304</v>
      </c>
      <c r="J5214" s="3" t="str">
        <f>HYPERLINK("https://www.boe.es/gazeta/dias/1822/05/05/pdfs/GMD-1822-127.pdf#page=2","Abrir facsímil")</f>
        <v>Abrir facsímil</v>
      </c>
      <c r="K5214" s="3" t="s">
        <v>22</v>
      </c>
    </row>
    <row r="5215" spans="1:11" ht="42" customHeight="1">
      <c r="A5215" s="2" t="s">
        <v>10277</v>
      </c>
      <c r="B5215" s="2" t="s">
        <v>10277</v>
      </c>
      <c r="C5215" s="2" t="s">
        <v>24</v>
      </c>
      <c r="D5215" s="2" t="s">
        <v>17</v>
      </c>
      <c r="E5215" s="5">
        <v>-28362</v>
      </c>
      <c r="F5215" s="3" t="s">
        <v>511</v>
      </c>
      <c r="G5215" s="3" t="s">
        <v>35</v>
      </c>
      <c r="H5215" s="2" t="s">
        <v>20</v>
      </c>
      <c r="I5215" s="2" t="s">
        <v>10305</v>
      </c>
      <c r="J5215" s="3" t="str">
        <f>HYPERLINK("https://www.boe.es/gazeta/dias/1822/05/06/pdfs/GMD-1822-128.pdf#page=2","Abrir facsímil")</f>
        <v>Abrir facsímil</v>
      </c>
      <c r="K5215" s="3" t="s">
        <v>22</v>
      </c>
    </row>
    <row r="5216" spans="1:11" ht="42" customHeight="1">
      <c r="A5216" s="2" t="s">
        <v>10277</v>
      </c>
      <c r="B5216" s="2" t="s">
        <v>10277</v>
      </c>
      <c r="C5216" s="2" t="s">
        <v>50</v>
      </c>
      <c r="D5216" s="2" t="s">
        <v>51</v>
      </c>
      <c r="E5216" s="5">
        <v>-28359</v>
      </c>
      <c r="F5216" s="3" t="s">
        <v>209</v>
      </c>
      <c r="G5216" s="3" t="s">
        <v>57</v>
      </c>
      <c r="H5216" s="2" t="s">
        <v>20</v>
      </c>
      <c r="I5216" s="2" t="s">
        <v>10306</v>
      </c>
      <c r="J5216" s="3" t="str">
        <f>HYPERLINK("https://www.boe.es/gazeta/dias/1822/05/09/pdfs/GMD-1822-131.pdf#page=4","Abrir facsímil")</f>
        <v>Abrir facsímil</v>
      </c>
      <c r="K5216" s="3" t="s">
        <v>22</v>
      </c>
    </row>
    <row r="5217" spans="1:11" ht="42" customHeight="1">
      <c r="A5217" s="2" t="s">
        <v>10277</v>
      </c>
      <c r="B5217" s="2" t="s">
        <v>10277</v>
      </c>
      <c r="C5217" s="2" t="s">
        <v>24</v>
      </c>
      <c r="D5217" s="2" t="s">
        <v>17</v>
      </c>
      <c r="E5217" s="5">
        <v>-28356</v>
      </c>
      <c r="F5217" s="3" t="s">
        <v>4170</v>
      </c>
      <c r="G5217" s="3" t="s">
        <v>35</v>
      </c>
      <c r="H5217" s="2" t="s">
        <v>20</v>
      </c>
      <c r="I5217" s="2" t="s">
        <v>10307</v>
      </c>
      <c r="J5217" s="3" t="str">
        <f>HYPERLINK("https://www.boe.es/gazeta/dias/1822/05/12/pdfs/GMD-1822-134.pdf#page=2","Abrir facsímil")</f>
        <v>Abrir facsímil</v>
      </c>
      <c r="K5217" s="3" t="s">
        <v>22</v>
      </c>
    </row>
    <row r="5218" spans="1:11" ht="42" customHeight="1">
      <c r="A5218" s="2" t="s">
        <v>10277</v>
      </c>
      <c r="B5218" s="2" t="s">
        <v>10277</v>
      </c>
      <c r="C5218" s="2" t="s">
        <v>71</v>
      </c>
      <c r="D5218" s="2" t="s">
        <v>17</v>
      </c>
      <c r="E5218" s="5">
        <v>-28355</v>
      </c>
      <c r="F5218" s="3" t="s">
        <v>692</v>
      </c>
      <c r="G5218" s="3" t="s">
        <v>44</v>
      </c>
      <c r="H5218" s="2" t="s">
        <v>20</v>
      </c>
      <c r="I5218" s="2" t="s">
        <v>10308</v>
      </c>
      <c r="J5218" s="3" t="str">
        <f>HYPERLINK("https://www.boe.es/gazeta/dias/1822/05/13/pdfs/GMD-1822-135.pdf#page=1","Abrir facsímil")</f>
        <v>Abrir facsímil</v>
      </c>
      <c r="K5218" s="3" t="s">
        <v>22</v>
      </c>
    </row>
    <row r="5219" spans="1:11" ht="42" customHeight="1">
      <c r="A5219" s="2" t="s">
        <v>10277</v>
      </c>
      <c r="B5219" s="2" t="s">
        <v>10277</v>
      </c>
      <c r="C5219" s="2" t="s">
        <v>61</v>
      </c>
      <c r="D5219" s="2" t="s">
        <v>17</v>
      </c>
      <c r="E5219" s="5">
        <v>-28355</v>
      </c>
      <c r="F5219" s="3" t="s">
        <v>692</v>
      </c>
      <c r="G5219" s="3" t="s">
        <v>57</v>
      </c>
      <c r="H5219" s="2" t="s">
        <v>20</v>
      </c>
      <c r="I5219" s="2" t="s">
        <v>10309</v>
      </c>
      <c r="J5219" s="3" t="str">
        <f>HYPERLINK("https://www.boe.es/gazeta/dias/1822/05/13/pdfs/GMD-1822-135.pdf#page=4","Abrir facsímil")</f>
        <v>Abrir facsímil</v>
      </c>
      <c r="K5219" s="3" t="s">
        <v>22</v>
      </c>
    </row>
    <row r="5220" spans="1:11" ht="42" customHeight="1">
      <c r="A5220" s="2" t="s">
        <v>10277</v>
      </c>
      <c r="B5220" s="2" t="s">
        <v>10277</v>
      </c>
      <c r="C5220" s="2" t="s">
        <v>28</v>
      </c>
      <c r="D5220" s="2" t="s">
        <v>29</v>
      </c>
      <c r="E5220" s="5">
        <v>-28349</v>
      </c>
      <c r="F5220" s="3" t="s">
        <v>518</v>
      </c>
      <c r="G5220" s="3" t="s">
        <v>35</v>
      </c>
      <c r="H5220" s="2" t="s">
        <v>20</v>
      </c>
      <c r="I5220" s="2" t="s">
        <v>10310</v>
      </c>
      <c r="J5220" s="3" t="str">
        <f>HYPERLINK("https://www.boe.es/gazeta/dias/1822/05/19/pdfs/GMD-1822-141.pdf#page=2","Abrir facsímil")</f>
        <v>Abrir facsímil</v>
      </c>
      <c r="K5220" s="3" t="s">
        <v>22</v>
      </c>
    </row>
    <row r="5221" spans="1:11" ht="42" customHeight="1">
      <c r="A5221" s="2" t="s">
        <v>10277</v>
      </c>
      <c r="B5221" s="2" t="s">
        <v>10277</v>
      </c>
      <c r="C5221" s="2" t="s">
        <v>42</v>
      </c>
      <c r="D5221" s="2" t="s">
        <v>17</v>
      </c>
      <c r="E5221" s="5">
        <v>-28348</v>
      </c>
      <c r="F5221" s="3" t="s">
        <v>2903</v>
      </c>
      <c r="G5221" s="3" t="s">
        <v>35</v>
      </c>
      <c r="H5221" s="2" t="s">
        <v>20</v>
      </c>
      <c r="I5221" s="2" t="s">
        <v>10311</v>
      </c>
      <c r="J5221" s="3" t="str">
        <f>HYPERLINK("https://www.boe.es/gazeta/dias/1822/05/20/pdfs/GMD-1822-143.pdf#page=2","Abrir facsímil")</f>
        <v>Abrir facsímil</v>
      </c>
      <c r="K5221" s="3" t="s">
        <v>22</v>
      </c>
    </row>
    <row r="5222" spans="1:11" ht="42" customHeight="1">
      <c r="A5222" s="2" t="s">
        <v>10277</v>
      </c>
      <c r="B5222" s="2" t="s">
        <v>10277</v>
      </c>
      <c r="C5222" s="2" t="s">
        <v>71</v>
      </c>
      <c r="D5222" s="2" t="s">
        <v>17</v>
      </c>
      <c r="E5222" s="5">
        <v>-28348</v>
      </c>
      <c r="F5222" s="3" t="s">
        <v>2903</v>
      </c>
      <c r="G5222" s="3" t="s">
        <v>31</v>
      </c>
      <c r="H5222" s="2" t="s">
        <v>20</v>
      </c>
      <c r="I5222" s="2" t="s">
        <v>10312</v>
      </c>
      <c r="J5222" s="3" t="str">
        <f>HYPERLINK("https://www.boe.es/gazeta/dias/1822/05/20/pdfs/GMD-1822-143.pdf#page=3","Abrir facsímil")</f>
        <v>Abrir facsímil</v>
      </c>
      <c r="K5222" s="3" t="s">
        <v>22</v>
      </c>
    </row>
    <row r="5223" spans="1:11" ht="42" customHeight="1">
      <c r="A5223" s="2" t="s">
        <v>10277</v>
      </c>
      <c r="B5223" s="2" t="s">
        <v>10277</v>
      </c>
      <c r="C5223" s="2" t="s">
        <v>50</v>
      </c>
      <c r="D5223" s="2" t="s">
        <v>51</v>
      </c>
      <c r="E5223" s="5">
        <v>-28348</v>
      </c>
      <c r="F5223" s="3" t="s">
        <v>2903</v>
      </c>
      <c r="G5223" s="3" t="s">
        <v>57</v>
      </c>
      <c r="H5223" s="2" t="s">
        <v>20</v>
      </c>
      <c r="I5223" s="2" t="s">
        <v>10313</v>
      </c>
      <c r="J5223" s="3" t="str">
        <f>HYPERLINK("https://www.boe.es/gazeta/dias/1822/05/20/pdfs/GMD-1822-143.pdf#page=4","Abrir facsímil")</f>
        <v>Abrir facsímil</v>
      </c>
      <c r="K5223" s="3" t="s">
        <v>22</v>
      </c>
    </row>
    <row r="5224" spans="1:11" ht="42" customHeight="1">
      <c r="A5224" s="2" t="s">
        <v>10277</v>
      </c>
      <c r="B5224" s="2" t="s">
        <v>10277</v>
      </c>
      <c r="C5224" s="2" t="s">
        <v>50</v>
      </c>
      <c r="D5224" s="2" t="s">
        <v>51</v>
      </c>
      <c r="E5224" s="5">
        <v>-28348</v>
      </c>
      <c r="F5224" s="3" t="s">
        <v>2903</v>
      </c>
      <c r="G5224" s="3" t="s">
        <v>19</v>
      </c>
      <c r="H5224" s="2" t="s">
        <v>20</v>
      </c>
      <c r="I5224" s="2" t="s">
        <v>10314</v>
      </c>
      <c r="J5224" s="3" t="str">
        <f>HYPERLINK("https://www.boe.es/gazeta/dias/1822/05/20/pdfs/GMD-1822-143.pdf#page=5","Abrir facsímil")</f>
        <v>Abrir facsímil</v>
      </c>
      <c r="K5224" s="3" t="s">
        <v>22</v>
      </c>
    </row>
    <row r="5225" spans="1:11" ht="42" customHeight="1">
      <c r="A5225" s="2" t="s">
        <v>10277</v>
      </c>
      <c r="B5225" s="2" t="s">
        <v>10277</v>
      </c>
      <c r="C5225" s="2" t="s">
        <v>28</v>
      </c>
      <c r="D5225" s="2" t="s">
        <v>29</v>
      </c>
      <c r="E5225" s="5">
        <v>-28346</v>
      </c>
      <c r="F5225" s="3" t="s">
        <v>191</v>
      </c>
      <c r="G5225" s="3" t="s">
        <v>31</v>
      </c>
      <c r="H5225" s="2" t="s">
        <v>20</v>
      </c>
      <c r="I5225" s="2" t="s">
        <v>10315</v>
      </c>
      <c r="J5225" s="3" t="str">
        <f>HYPERLINK("https://www.boe.es/gazeta/dias/1822/05/22/pdfs/GMD-1822-145.pdf#page=3","Abrir facsímil")</f>
        <v>Abrir facsímil</v>
      </c>
      <c r="K5225" s="3" t="s">
        <v>22</v>
      </c>
    </row>
    <row r="5226" spans="1:11" ht="42" customHeight="1">
      <c r="A5226" s="2" t="s">
        <v>10277</v>
      </c>
      <c r="B5226" s="2" t="s">
        <v>10277</v>
      </c>
      <c r="C5226" s="2" t="s">
        <v>24</v>
      </c>
      <c r="D5226" s="2" t="s">
        <v>17</v>
      </c>
      <c r="E5226" s="5">
        <v>-28344</v>
      </c>
      <c r="F5226" s="3" t="s">
        <v>524</v>
      </c>
      <c r="G5226" s="3" t="s">
        <v>57</v>
      </c>
      <c r="H5226" s="2" t="s">
        <v>20</v>
      </c>
      <c r="I5226" s="2" t="s">
        <v>10316</v>
      </c>
      <c r="J5226" s="3" t="str">
        <f>HYPERLINK("https://www.boe.es/gazeta/dias/1822/05/24/pdfs/GMD-1822-148.pdf#page=4","Abrir facsímil")</f>
        <v>Abrir facsímil</v>
      </c>
      <c r="K5226" s="3" t="s">
        <v>22</v>
      </c>
    </row>
    <row r="5227" spans="1:11" ht="42" customHeight="1">
      <c r="A5227" s="2" t="s">
        <v>10277</v>
      </c>
      <c r="B5227" s="2" t="s">
        <v>10277</v>
      </c>
      <c r="C5227" s="2" t="s">
        <v>42</v>
      </c>
      <c r="D5227" s="2" t="s">
        <v>17</v>
      </c>
      <c r="E5227" s="5">
        <v>-28343</v>
      </c>
      <c r="F5227" s="3" t="s">
        <v>1019</v>
      </c>
      <c r="G5227" s="3" t="s">
        <v>35</v>
      </c>
      <c r="H5227" s="2" t="s">
        <v>20</v>
      </c>
      <c r="I5227" s="2" t="s">
        <v>10317</v>
      </c>
      <c r="J5227" s="3" t="str">
        <f>HYPERLINK("https://www.boe.es/gazeta/dias/1822/05/25/pdfs/GMD-1822-150.pdf#page=2","Abrir facsímil")</f>
        <v>Abrir facsímil</v>
      </c>
      <c r="K5227" s="3" t="s">
        <v>22</v>
      </c>
    </row>
    <row r="5228" spans="1:11" ht="42" customHeight="1">
      <c r="A5228" s="2" t="s">
        <v>10277</v>
      </c>
      <c r="B5228" s="2" t="s">
        <v>10277</v>
      </c>
      <c r="C5228" s="2" t="s">
        <v>50</v>
      </c>
      <c r="D5228" s="2" t="s">
        <v>51</v>
      </c>
      <c r="E5228" s="5">
        <v>-28337</v>
      </c>
      <c r="F5228" s="3" t="s">
        <v>1836</v>
      </c>
      <c r="G5228" s="3" t="s">
        <v>57</v>
      </c>
      <c r="H5228" s="2" t="s">
        <v>20</v>
      </c>
      <c r="I5228" s="2" t="s">
        <v>10318</v>
      </c>
      <c r="J5228" s="3" t="str">
        <f>HYPERLINK("https://www.boe.es/gazeta/dias/1822/05/31/pdfs/GMD-1822-156.pdf#page=4","Abrir facsímil")</f>
        <v>Abrir facsímil</v>
      </c>
      <c r="K5228" s="3" t="s">
        <v>22</v>
      </c>
    </row>
    <row r="5229" spans="1:11" ht="42" customHeight="1">
      <c r="A5229" s="2" t="s">
        <v>10277</v>
      </c>
      <c r="B5229" s="2" t="s">
        <v>10277</v>
      </c>
      <c r="C5229" s="2" t="s">
        <v>50</v>
      </c>
      <c r="D5229" s="2" t="s">
        <v>51</v>
      </c>
      <c r="E5229" s="5">
        <v>-28337</v>
      </c>
      <c r="F5229" s="3" t="s">
        <v>1836</v>
      </c>
      <c r="G5229" s="3" t="s">
        <v>19</v>
      </c>
      <c r="H5229" s="2" t="s">
        <v>20</v>
      </c>
      <c r="I5229" s="2" t="s">
        <v>10319</v>
      </c>
      <c r="J5229" s="3" t="str">
        <f>HYPERLINK("https://www.boe.es/gazeta/dias/1822/05/31/pdfs/GMD-1822-156.pdf#page=5","Abrir facsímil")</f>
        <v>Abrir facsímil</v>
      </c>
      <c r="K5229" s="3" t="s">
        <v>22</v>
      </c>
    </row>
    <row r="5230" spans="1:11" ht="42" customHeight="1">
      <c r="A5230" s="2" t="s">
        <v>10277</v>
      </c>
      <c r="B5230" s="2" t="s">
        <v>10277</v>
      </c>
      <c r="C5230" s="2" t="s">
        <v>362</v>
      </c>
      <c r="D5230" s="2" t="s">
        <v>17</v>
      </c>
      <c r="E5230" s="5">
        <v>-28335</v>
      </c>
      <c r="F5230" s="3" t="s">
        <v>3346</v>
      </c>
      <c r="G5230" s="3" t="s">
        <v>31</v>
      </c>
      <c r="H5230" s="2" t="s">
        <v>20</v>
      </c>
      <c r="I5230" s="2" t="s">
        <v>10320</v>
      </c>
      <c r="J5230" s="3" t="str">
        <f>HYPERLINK("https://www.boe.es/gazeta/dias/1822/06/02/pdfs/GMD-1822-158.pdf#page=3","Abrir facsímil")</f>
        <v>Abrir facsímil</v>
      </c>
      <c r="K5230" s="3" t="s">
        <v>22</v>
      </c>
    </row>
    <row r="5231" spans="1:11" ht="42" customHeight="1">
      <c r="A5231" s="2" t="s">
        <v>10277</v>
      </c>
      <c r="B5231" s="2" t="s">
        <v>10277</v>
      </c>
      <c r="C5231" s="2" t="s">
        <v>28</v>
      </c>
      <c r="D5231" s="2" t="s">
        <v>29</v>
      </c>
      <c r="E5231" s="5">
        <v>-28335</v>
      </c>
      <c r="F5231" s="3" t="s">
        <v>3346</v>
      </c>
      <c r="G5231" s="3" t="s">
        <v>57</v>
      </c>
      <c r="H5231" s="2" t="s">
        <v>20</v>
      </c>
      <c r="I5231" s="2" t="s">
        <v>10321</v>
      </c>
      <c r="J5231" s="3" t="str">
        <f>HYPERLINK("https://www.boe.es/gazeta/dias/1822/06/02/pdfs/GMD-1822-158.pdf#page=4","Abrir facsímil")</f>
        <v>Abrir facsímil</v>
      </c>
      <c r="K5231" s="3" t="s">
        <v>22</v>
      </c>
    </row>
    <row r="5232" spans="1:11" ht="42" customHeight="1">
      <c r="A5232" s="2" t="s">
        <v>10277</v>
      </c>
      <c r="B5232" s="2" t="s">
        <v>10277</v>
      </c>
      <c r="C5232" s="2" t="s">
        <v>71</v>
      </c>
      <c r="D5232" s="2" t="s">
        <v>17</v>
      </c>
      <c r="E5232" s="5">
        <v>-28335</v>
      </c>
      <c r="F5232" s="3" t="s">
        <v>3346</v>
      </c>
      <c r="G5232" s="3" t="s">
        <v>19</v>
      </c>
      <c r="H5232" s="2" t="s">
        <v>20</v>
      </c>
      <c r="I5232" s="2" t="s">
        <v>10322</v>
      </c>
      <c r="J5232" s="3" t="str">
        <f>HYPERLINK("https://www.boe.es/gazeta/dias/1822/06/02/pdfs/GMD-1822-158.pdf#page=5","Abrir facsímil")</f>
        <v>Abrir facsímil</v>
      </c>
      <c r="K5232" s="3" t="s">
        <v>22</v>
      </c>
    </row>
    <row r="5233" spans="1:11" ht="42" customHeight="1">
      <c r="A5233" s="2" t="s">
        <v>10277</v>
      </c>
      <c r="B5233" s="2" t="s">
        <v>10277</v>
      </c>
      <c r="C5233" s="2" t="s">
        <v>61</v>
      </c>
      <c r="D5233" s="2" t="s">
        <v>17</v>
      </c>
      <c r="E5233" s="5">
        <v>-28334</v>
      </c>
      <c r="F5233" s="3" t="s">
        <v>532</v>
      </c>
      <c r="G5233" s="3" t="s">
        <v>63</v>
      </c>
      <c r="H5233" s="2" t="s">
        <v>20</v>
      </c>
      <c r="I5233" s="2" t="s">
        <v>10323</v>
      </c>
      <c r="J5233" s="3" t="str">
        <f>HYPERLINK("https://www.boe.es/gazeta/dias/1822/06/03/pdfs/GMD-1822-159.pdf#page=6","Abrir facsímil")</f>
        <v>Abrir facsímil</v>
      </c>
      <c r="K5233" s="3" t="s">
        <v>22</v>
      </c>
    </row>
    <row r="5234" spans="1:11" ht="42" customHeight="1">
      <c r="A5234" s="2" t="s">
        <v>10277</v>
      </c>
      <c r="B5234" s="2" t="s">
        <v>10277</v>
      </c>
      <c r="C5234" s="2" t="s">
        <v>28</v>
      </c>
      <c r="D5234" s="2" t="s">
        <v>29</v>
      </c>
      <c r="E5234" s="5">
        <v>-28331</v>
      </c>
      <c r="F5234" s="3" t="s">
        <v>537</v>
      </c>
      <c r="G5234" s="3" t="s">
        <v>31</v>
      </c>
      <c r="H5234" s="2" t="s">
        <v>20</v>
      </c>
      <c r="I5234" s="2" t="s">
        <v>10324</v>
      </c>
      <c r="J5234" s="3" t="str">
        <f>HYPERLINK("https://www.boe.es/gazeta/dias/1822/06/06/pdfs/GMD-1822-163.pdf#page=3","Abrir facsímil")</f>
        <v>Abrir facsímil</v>
      </c>
      <c r="K5234" s="3" t="s">
        <v>22</v>
      </c>
    </row>
    <row r="5235" spans="1:11" ht="42" customHeight="1">
      <c r="A5235" s="2" t="s">
        <v>10277</v>
      </c>
      <c r="B5235" s="2" t="s">
        <v>10277</v>
      </c>
      <c r="C5235" s="2" t="s">
        <v>42</v>
      </c>
      <c r="D5235" s="2" t="s">
        <v>17</v>
      </c>
      <c r="E5235" s="5">
        <v>-28329</v>
      </c>
      <c r="F5235" s="3" t="s">
        <v>354</v>
      </c>
      <c r="G5235" s="3" t="s">
        <v>57</v>
      </c>
      <c r="H5235" s="2" t="s">
        <v>20</v>
      </c>
      <c r="I5235" s="2" t="s">
        <v>10325</v>
      </c>
      <c r="J5235" s="3" t="str">
        <f>HYPERLINK("https://www.boe.es/gazeta/dias/1822/06/08/pdfs/GMD-1822-165.pdf#page=4","Abrir facsímil")</f>
        <v>Abrir facsímil</v>
      </c>
      <c r="K5235" s="3" t="s">
        <v>22</v>
      </c>
    </row>
    <row r="5236" spans="1:11" ht="42" customHeight="1">
      <c r="A5236" s="2" t="s">
        <v>10277</v>
      </c>
      <c r="B5236" s="2" t="s">
        <v>10277</v>
      </c>
      <c r="C5236" s="2" t="s">
        <v>71</v>
      </c>
      <c r="D5236" s="2" t="s">
        <v>17</v>
      </c>
      <c r="E5236" s="5">
        <v>-28328</v>
      </c>
      <c r="F5236" s="3" t="s">
        <v>540</v>
      </c>
      <c r="G5236" s="3" t="s">
        <v>31</v>
      </c>
      <c r="H5236" s="2" t="s">
        <v>20</v>
      </c>
      <c r="I5236" s="2" t="s">
        <v>10326</v>
      </c>
      <c r="J5236" s="3" t="str">
        <f>HYPERLINK("https://www.boe.es/gazeta/dias/1822/06/09/pdfs/GMD-1822-166.pdf#page=3","Abrir facsímil")</f>
        <v>Abrir facsímil</v>
      </c>
      <c r="K5236" s="3" t="s">
        <v>22</v>
      </c>
    </row>
    <row r="5237" spans="1:11" ht="42" customHeight="1">
      <c r="A5237" s="2" t="s">
        <v>10277</v>
      </c>
      <c r="B5237" s="2" t="s">
        <v>10277</v>
      </c>
      <c r="C5237" s="2" t="s">
        <v>42</v>
      </c>
      <c r="D5237" s="2" t="s">
        <v>17</v>
      </c>
      <c r="E5237" s="5">
        <v>-28328</v>
      </c>
      <c r="F5237" s="3" t="s">
        <v>540</v>
      </c>
      <c r="G5237" s="3" t="s">
        <v>19</v>
      </c>
      <c r="H5237" s="2" t="s">
        <v>20</v>
      </c>
      <c r="I5237" s="2" t="s">
        <v>10327</v>
      </c>
      <c r="J5237" s="3" t="str">
        <f>HYPERLINK("https://www.boe.es/gazeta/dias/1822/06/09/pdfs/GMD-1822-166.pdf#page=5","Abrir facsímil")</f>
        <v>Abrir facsímil</v>
      </c>
      <c r="K5237" s="3" t="s">
        <v>22</v>
      </c>
    </row>
    <row r="5238" spans="1:11" ht="42" customHeight="1">
      <c r="A5238" s="2" t="s">
        <v>10277</v>
      </c>
      <c r="B5238" s="2" t="s">
        <v>10277</v>
      </c>
      <c r="C5238" s="2" t="s">
        <v>50</v>
      </c>
      <c r="D5238" s="2" t="s">
        <v>51</v>
      </c>
      <c r="E5238" s="5">
        <v>-28327</v>
      </c>
      <c r="F5238" s="3" t="s">
        <v>38</v>
      </c>
      <c r="G5238" s="3" t="s">
        <v>35</v>
      </c>
      <c r="H5238" s="2" t="s">
        <v>20</v>
      </c>
      <c r="I5238" s="2" t="s">
        <v>10328</v>
      </c>
      <c r="J5238" s="3" t="str">
        <f>HYPERLINK("https://www.boe.es/gazeta/dias/1822/06/10/pdfs/GMD-1822-167.pdf#page=2","Abrir facsímil")</f>
        <v>Abrir facsímil</v>
      </c>
      <c r="K5238" s="3" t="s">
        <v>22</v>
      </c>
    </row>
    <row r="5239" spans="1:11" ht="42" customHeight="1">
      <c r="A5239" s="2" t="s">
        <v>10277</v>
      </c>
      <c r="B5239" s="2" t="s">
        <v>10277</v>
      </c>
      <c r="C5239" s="2" t="s">
        <v>42</v>
      </c>
      <c r="D5239" s="2" t="s">
        <v>17</v>
      </c>
      <c r="E5239" s="5">
        <v>-28325</v>
      </c>
      <c r="F5239" s="3" t="s">
        <v>104</v>
      </c>
      <c r="G5239" s="3" t="s">
        <v>35</v>
      </c>
      <c r="H5239" s="2" t="s">
        <v>20</v>
      </c>
      <c r="I5239" s="2" t="s">
        <v>10329</v>
      </c>
      <c r="J5239" s="3" t="str">
        <f>HYPERLINK("https://www.boe.es/gazeta/dias/1822/06/12/pdfs/GMD-1822-169.pdf#page=2","Abrir facsímil")</f>
        <v>Abrir facsímil</v>
      </c>
      <c r="K5239" s="3" t="s">
        <v>22</v>
      </c>
    </row>
    <row r="5240" spans="1:11" ht="42" customHeight="1">
      <c r="A5240" s="2" t="s">
        <v>10277</v>
      </c>
      <c r="B5240" s="2" t="s">
        <v>10277</v>
      </c>
      <c r="C5240" s="2" t="s">
        <v>42</v>
      </c>
      <c r="D5240" s="2" t="s">
        <v>17</v>
      </c>
      <c r="E5240" s="5">
        <v>-28323</v>
      </c>
      <c r="F5240" s="3" t="s">
        <v>116</v>
      </c>
      <c r="G5240" s="3" t="s">
        <v>57</v>
      </c>
      <c r="H5240" s="2" t="s">
        <v>20</v>
      </c>
      <c r="I5240" s="2" t="s">
        <v>10330</v>
      </c>
      <c r="J5240" s="3" t="str">
        <f>HYPERLINK("https://www.boe.es/gazeta/dias/1822/06/14/pdfs/GMD-1822-171.pdf#page=4","Abrir facsímil")</f>
        <v>Abrir facsímil</v>
      </c>
      <c r="K5240" s="3" t="s">
        <v>22</v>
      </c>
    </row>
    <row r="5241" spans="1:11" ht="42" customHeight="1">
      <c r="A5241" s="2" t="s">
        <v>10277</v>
      </c>
      <c r="B5241" s="2" t="s">
        <v>10277</v>
      </c>
      <c r="C5241" s="2" t="s">
        <v>28</v>
      </c>
      <c r="D5241" s="2" t="s">
        <v>29</v>
      </c>
      <c r="E5241" s="5">
        <v>-28321</v>
      </c>
      <c r="F5241" s="3" t="s">
        <v>1142</v>
      </c>
      <c r="G5241" s="3" t="s">
        <v>35</v>
      </c>
      <c r="H5241" s="2" t="s">
        <v>20</v>
      </c>
      <c r="I5241" s="2" t="s">
        <v>10331</v>
      </c>
      <c r="J5241" s="3" t="str">
        <f>HYPERLINK("https://www.boe.es/gazeta/dias/1822/06/16/pdfs/GMD-1822-173.pdf#page=2","Abrir facsímil")</f>
        <v>Abrir facsímil</v>
      </c>
      <c r="K5241" s="3" t="s">
        <v>22</v>
      </c>
    </row>
    <row r="5242" spans="1:11" ht="42" customHeight="1">
      <c r="A5242" s="2" t="s">
        <v>10277</v>
      </c>
      <c r="B5242" s="2" t="s">
        <v>10277</v>
      </c>
      <c r="C5242" s="2" t="s">
        <v>50</v>
      </c>
      <c r="D5242" s="2" t="s">
        <v>51</v>
      </c>
      <c r="E5242" s="5">
        <v>-28321</v>
      </c>
      <c r="F5242" s="3" t="s">
        <v>1142</v>
      </c>
      <c r="G5242" s="3" t="s">
        <v>31</v>
      </c>
      <c r="H5242" s="2" t="s">
        <v>20</v>
      </c>
      <c r="I5242" s="2" t="s">
        <v>10332</v>
      </c>
      <c r="J5242" s="3" t="str">
        <f>HYPERLINK("https://www.boe.es/gazeta/dias/1822/06/16/pdfs/GMD-1822-173.pdf#page=3","Abrir facsímil")</f>
        <v>Abrir facsímil</v>
      </c>
      <c r="K5242" s="3" t="s">
        <v>22</v>
      </c>
    </row>
    <row r="5243" spans="1:11" ht="42" customHeight="1">
      <c r="A5243" s="2" t="s">
        <v>10277</v>
      </c>
      <c r="B5243" s="2" t="s">
        <v>10277</v>
      </c>
      <c r="C5243" s="2" t="s">
        <v>24</v>
      </c>
      <c r="D5243" s="2" t="s">
        <v>17</v>
      </c>
      <c r="E5243" s="5">
        <v>-28320</v>
      </c>
      <c r="F5243" s="3" t="s">
        <v>700</v>
      </c>
      <c r="G5243" s="3" t="s">
        <v>63</v>
      </c>
      <c r="H5243" s="2" t="s">
        <v>20</v>
      </c>
      <c r="I5243" s="2" t="s">
        <v>10333</v>
      </c>
      <c r="J5243" s="3" t="str">
        <f>HYPERLINK("https://www.boe.es/gazeta/dias/1822/06/17/pdfs/GMD-1822-174.pdf#page=6","Abrir facsímil")</f>
        <v>Abrir facsímil</v>
      </c>
      <c r="K5243" s="3" t="s">
        <v>22</v>
      </c>
    </row>
    <row r="5244" spans="1:11" ht="42" customHeight="1">
      <c r="A5244" s="2" t="s">
        <v>10277</v>
      </c>
      <c r="B5244" s="2" t="s">
        <v>10277</v>
      </c>
      <c r="C5244" s="2" t="s">
        <v>28</v>
      </c>
      <c r="D5244" s="2" t="s">
        <v>29</v>
      </c>
      <c r="E5244" s="5">
        <v>-28319</v>
      </c>
      <c r="F5244" s="3" t="s">
        <v>271</v>
      </c>
      <c r="G5244" s="3" t="s">
        <v>31</v>
      </c>
      <c r="H5244" s="2" t="s">
        <v>20</v>
      </c>
      <c r="I5244" s="2" t="s">
        <v>10334</v>
      </c>
      <c r="J5244" s="3" t="str">
        <f>HYPERLINK("https://www.boe.es/gazeta/dias/1822/06/18/pdfs/GMD-1822-175.pdf#page=3","Abrir facsímil")</f>
        <v>Abrir facsímil</v>
      </c>
      <c r="K5244" s="3" t="s">
        <v>22</v>
      </c>
    </row>
    <row r="5245" spans="1:11" ht="42" customHeight="1">
      <c r="A5245" s="2" t="s">
        <v>10277</v>
      </c>
      <c r="B5245" s="2" t="s">
        <v>10277</v>
      </c>
      <c r="C5245" s="2" t="s">
        <v>50</v>
      </c>
      <c r="D5245" s="2" t="s">
        <v>51</v>
      </c>
      <c r="E5245" s="5">
        <v>-28318</v>
      </c>
      <c r="F5245" s="3" t="s">
        <v>397</v>
      </c>
      <c r="G5245" s="3" t="s">
        <v>31</v>
      </c>
      <c r="H5245" s="2" t="s">
        <v>20</v>
      </c>
      <c r="I5245" s="2" t="s">
        <v>10335</v>
      </c>
      <c r="J5245" s="3" t="str">
        <f>HYPERLINK("https://www.boe.es/gazeta/dias/1822/06/19/pdfs/GMD-1822-176.pdf#page=3","Abrir facsímil")</f>
        <v>Abrir facsímil</v>
      </c>
      <c r="K5245" s="3" t="s">
        <v>22</v>
      </c>
    </row>
    <row r="5246" spans="1:11" ht="42" customHeight="1">
      <c r="A5246" s="2" t="s">
        <v>10277</v>
      </c>
      <c r="B5246" s="2" t="s">
        <v>10277</v>
      </c>
      <c r="C5246" s="2" t="s">
        <v>1141</v>
      </c>
      <c r="D5246" s="2" t="s">
        <v>29</v>
      </c>
      <c r="E5246" s="5">
        <v>-28318</v>
      </c>
      <c r="F5246" s="3" t="s">
        <v>397</v>
      </c>
      <c r="G5246" s="3" t="s">
        <v>19</v>
      </c>
      <c r="H5246" s="2" t="s">
        <v>20</v>
      </c>
      <c r="I5246" s="2" t="s">
        <v>10336</v>
      </c>
      <c r="J5246" s="3" t="str">
        <f>HYPERLINK("https://www.boe.es/gazeta/dias/1822/06/19/pdfs/GMD-1822-176.pdf#page=5","Abrir facsímil")</f>
        <v>Abrir facsímil</v>
      </c>
      <c r="K5246" s="3" t="s">
        <v>22</v>
      </c>
    </row>
    <row r="5247" spans="1:11" ht="42" customHeight="1">
      <c r="A5247" s="2" t="s">
        <v>10277</v>
      </c>
      <c r="B5247" s="2" t="s">
        <v>10277</v>
      </c>
      <c r="C5247" s="2" t="s">
        <v>28</v>
      </c>
      <c r="D5247" s="2" t="s">
        <v>29</v>
      </c>
      <c r="E5247" s="5">
        <v>-28318</v>
      </c>
      <c r="F5247" s="3" t="s">
        <v>397</v>
      </c>
      <c r="G5247" s="3" t="s">
        <v>63</v>
      </c>
      <c r="H5247" s="2" t="s">
        <v>20</v>
      </c>
      <c r="I5247" s="2" t="s">
        <v>10337</v>
      </c>
      <c r="J5247" s="3" t="str">
        <f>HYPERLINK("https://www.boe.es/gazeta/dias/1822/06/19/pdfs/GMD-1822-176.pdf#page=6","Abrir facsímil")</f>
        <v>Abrir facsímil</v>
      </c>
      <c r="K5247" s="3" t="s">
        <v>22</v>
      </c>
    </row>
    <row r="5248" spans="1:11" ht="42" customHeight="1">
      <c r="A5248" s="2" t="s">
        <v>10277</v>
      </c>
      <c r="B5248" s="2" t="s">
        <v>10277</v>
      </c>
      <c r="C5248" s="2" t="s">
        <v>28</v>
      </c>
      <c r="D5248" s="2" t="s">
        <v>29</v>
      </c>
      <c r="E5248" s="5">
        <v>-28317</v>
      </c>
      <c r="F5248" s="3" t="s">
        <v>546</v>
      </c>
      <c r="G5248" s="3" t="s">
        <v>35</v>
      </c>
      <c r="H5248" s="2" t="s">
        <v>20</v>
      </c>
      <c r="I5248" s="2" t="s">
        <v>10338</v>
      </c>
      <c r="J5248" s="3" t="str">
        <f>HYPERLINK("https://www.boe.es/gazeta/dias/1822/06/20/pdfs/GMD-1822-177.pdf#page=2","Abrir facsímil")</f>
        <v>Abrir facsímil</v>
      </c>
      <c r="K5248" s="3" t="s">
        <v>22</v>
      </c>
    </row>
    <row r="5249" spans="1:11" ht="42" customHeight="1">
      <c r="A5249" s="2" t="s">
        <v>10277</v>
      </c>
      <c r="B5249" s="2" t="s">
        <v>10277</v>
      </c>
      <c r="C5249" s="2" t="s">
        <v>24</v>
      </c>
      <c r="D5249" s="2" t="s">
        <v>17</v>
      </c>
      <c r="E5249" s="5">
        <v>-28316</v>
      </c>
      <c r="F5249" s="3" t="s">
        <v>1144</v>
      </c>
      <c r="G5249" s="3" t="s">
        <v>63</v>
      </c>
      <c r="H5249" s="2" t="s">
        <v>20</v>
      </c>
      <c r="I5249" s="2" t="s">
        <v>10339</v>
      </c>
      <c r="J5249" s="3" t="str">
        <f>HYPERLINK("https://www.boe.es/gazeta/dias/1822/06/21/pdfs/GMD-1822-179.pdf#page=6","Abrir facsímil")</f>
        <v>Abrir facsímil</v>
      </c>
      <c r="K5249" s="3" t="s">
        <v>22</v>
      </c>
    </row>
    <row r="5250" spans="1:11" ht="42" customHeight="1">
      <c r="A5250" s="2" t="s">
        <v>10277</v>
      </c>
      <c r="B5250" s="2" t="s">
        <v>10277</v>
      </c>
      <c r="C5250" s="2" t="s">
        <v>42</v>
      </c>
      <c r="D5250" s="2" t="s">
        <v>17</v>
      </c>
      <c r="E5250" s="5">
        <v>-28315</v>
      </c>
      <c r="F5250" s="3" t="s">
        <v>1220</v>
      </c>
      <c r="G5250" s="3" t="s">
        <v>19</v>
      </c>
      <c r="H5250" s="2" t="s">
        <v>20</v>
      </c>
      <c r="I5250" s="2" t="s">
        <v>10340</v>
      </c>
      <c r="J5250" s="3" t="str">
        <f>HYPERLINK("https://www.boe.es/gazeta/dias/1822/06/22/pdfs/GMD-1822-180.pdf#page=5","Abrir facsímil")</f>
        <v>Abrir facsímil</v>
      </c>
      <c r="K5250" s="3" t="s">
        <v>22</v>
      </c>
    </row>
    <row r="5251" spans="1:11" ht="42" customHeight="1">
      <c r="A5251" s="2" t="s">
        <v>10277</v>
      </c>
      <c r="B5251" s="2" t="s">
        <v>10277</v>
      </c>
      <c r="C5251" s="2" t="s">
        <v>42</v>
      </c>
      <c r="D5251" s="2" t="s">
        <v>17</v>
      </c>
      <c r="E5251" s="5">
        <v>-28314</v>
      </c>
      <c r="F5251" s="3" t="s">
        <v>309</v>
      </c>
      <c r="G5251" s="3" t="s">
        <v>19</v>
      </c>
      <c r="H5251" s="2" t="s">
        <v>20</v>
      </c>
      <c r="I5251" s="2" t="s">
        <v>10341</v>
      </c>
      <c r="J5251" s="3" t="str">
        <f>HYPERLINK("https://www.boe.es/gazeta/dias/1822/06/23/pdfs/GMD-1822-181.pdf#page=5","Abrir facsímil")</f>
        <v>Abrir facsímil</v>
      </c>
      <c r="K5251" s="3" t="s">
        <v>22</v>
      </c>
    </row>
    <row r="5252" spans="1:11" ht="42" customHeight="1">
      <c r="A5252" s="2" t="s">
        <v>10277</v>
      </c>
      <c r="B5252" s="2" t="s">
        <v>10277</v>
      </c>
      <c r="C5252" s="2" t="s">
        <v>28</v>
      </c>
      <c r="D5252" s="2" t="s">
        <v>29</v>
      </c>
      <c r="E5252" s="5">
        <v>-28311</v>
      </c>
      <c r="F5252" s="3" t="s">
        <v>736</v>
      </c>
      <c r="G5252" s="3" t="s">
        <v>35</v>
      </c>
      <c r="H5252" s="2" t="s">
        <v>20</v>
      </c>
      <c r="I5252" s="2" t="s">
        <v>10342</v>
      </c>
      <c r="J5252" s="3" t="str">
        <f>HYPERLINK("https://www.boe.es/gazeta/dias/1822/06/26/pdfs/GMD-1822-184.pdf#page=2","Abrir facsímil")</f>
        <v>Abrir facsímil</v>
      </c>
      <c r="K5252" s="3" t="s">
        <v>22</v>
      </c>
    </row>
    <row r="5253" spans="1:11" ht="42" customHeight="1">
      <c r="A5253" s="2" t="s">
        <v>10277</v>
      </c>
      <c r="B5253" s="2" t="s">
        <v>10277</v>
      </c>
      <c r="C5253" s="2" t="s">
        <v>71</v>
      </c>
      <c r="D5253" s="2" t="s">
        <v>17</v>
      </c>
      <c r="E5253" s="5">
        <v>-28310</v>
      </c>
      <c r="F5253" s="3" t="s">
        <v>241</v>
      </c>
      <c r="G5253" s="3" t="s">
        <v>31</v>
      </c>
      <c r="H5253" s="2" t="s">
        <v>20</v>
      </c>
      <c r="I5253" s="2" t="s">
        <v>10343</v>
      </c>
      <c r="J5253" s="3" t="str">
        <f>HYPERLINK("https://www.boe.es/gazeta/dias/1822/06/27/pdfs/GMD-1822-185.pdf#page=3","Abrir facsímil")</f>
        <v>Abrir facsímil</v>
      </c>
      <c r="K5253" s="3" t="s">
        <v>22</v>
      </c>
    </row>
    <row r="5254" spans="1:11" ht="42" customHeight="1">
      <c r="A5254" s="2" t="s">
        <v>10277</v>
      </c>
      <c r="B5254" s="2" t="s">
        <v>10277</v>
      </c>
      <c r="C5254" s="2" t="s">
        <v>71</v>
      </c>
      <c r="D5254" s="2" t="s">
        <v>17</v>
      </c>
      <c r="E5254" s="5">
        <v>-28310</v>
      </c>
      <c r="F5254" s="3" t="s">
        <v>241</v>
      </c>
      <c r="G5254" s="3" t="s">
        <v>19</v>
      </c>
      <c r="H5254" s="2" t="s">
        <v>20</v>
      </c>
      <c r="I5254" s="2" t="s">
        <v>10344</v>
      </c>
      <c r="J5254" s="3" t="str">
        <f>HYPERLINK("https://www.boe.es/gazeta/dias/1822/06/27/pdfs/GMD-1822-185.pdf#page=5","Abrir facsímil")</f>
        <v>Abrir facsímil</v>
      </c>
      <c r="K5254" s="3" t="s">
        <v>22</v>
      </c>
    </row>
    <row r="5255" spans="1:11" ht="42" customHeight="1">
      <c r="A5255" s="2" t="s">
        <v>10277</v>
      </c>
      <c r="B5255" s="2" t="s">
        <v>10277</v>
      </c>
      <c r="C5255" s="2" t="s">
        <v>71</v>
      </c>
      <c r="D5255" s="2" t="s">
        <v>17</v>
      </c>
      <c r="E5255" s="5">
        <v>-28310</v>
      </c>
      <c r="F5255" s="3" t="s">
        <v>241</v>
      </c>
      <c r="G5255" s="3" t="s">
        <v>63</v>
      </c>
      <c r="H5255" s="2" t="s">
        <v>20</v>
      </c>
      <c r="I5255" s="2" t="s">
        <v>10345</v>
      </c>
      <c r="J5255" s="3" t="str">
        <f>HYPERLINK("https://www.boe.es/gazeta/dias/1822/06/27/pdfs/GMD-1822-185.pdf#page=6","Abrir facsímil")</f>
        <v>Abrir facsímil</v>
      </c>
      <c r="K5255" s="3" t="s">
        <v>22</v>
      </c>
    </row>
    <row r="5256" spans="1:11" ht="42" customHeight="1">
      <c r="A5256" s="2" t="s">
        <v>10277</v>
      </c>
      <c r="B5256" s="2" t="s">
        <v>10277</v>
      </c>
      <c r="C5256" s="2" t="s">
        <v>28</v>
      </c>
      <c r="D5256" s="2" t="s">
        <v>29</v>
      </c>
      <c r="E5256" s="5">
        <v>-28308</v>
      </c>
      <c r="F5256" s="3" t="s">
        <v>1050</v>
      </c>
      <c r="G5256" s="3" t="s">
        <v>35</v>
      </c>
      <c r="H5256" s="2" t="s">
        <v>20</v>
      </c>
      <c r="I5256" s="2" t="s">
        <v>10346</v>
      </c>
      <c r="J5256" s="3" t="str">
        <f>HYPERLINK("https://www.boe.es/gazeta/dias/1822/06/29/pdfs/GMD-1822-187.pdf#page=2","Abrir facsímil")</f>
        <v>Abrir facsímil</v>
      </c>
      <c r="K5256" s="3" t="s">
        <v>22</v>
      </c>
    </row>
    <row r="5257" spans="1:11" ht="42" customHeight="1">
      <c r="A5257" s="2" t="s">
        <v>10277</v>
      </c>
      <c r="B5257" s="2" t="s">
        <v>10277</v>
      </c>
      <c r="C5257" s="2" t="s">
        <v>50</v>
      </c>
      <c r="D5257" s="2" t="s">
        <v>51</v>
      </c>
      <c r="E5257" s="5">
        <v>-28308</v>
      </c>
      <c r="F5257" s="3" t="s">
        <v>1050</v>
      </c>
      <c r="G5257" s="3" t="s">
        <v>19</v>
      </c>
      <c r="H5257" s="2" t="s">
        <v>20</v>
      </c>
      <c r="I5257" s="2" t="s">
        <v>10347</v>
      </c>
      <c r="J5257" s="3" t="str">
        <f>HYPERLINK("https://www.boe.es/gazeta/dias/1822/06/29/pdfs/GMD-1822-187.pdf#page=5","Abrir facsímil")</f>
        <v>Abrir facsímil</v>
      </c>
      <c r="K5257" s="3" t="s">
        <v>22</v>
      </c>
    </row>
    <row r="5258" spans="1:11" ht="42" customHeight="1">
      <c r="A5258" s="2" t="s">
        <v>10277</v>
      </c>
      <c r="B5258" s="2" t="s">
        <v>10277</v>
      </c>
      <c r="C5258" s="2" t="s">
        <v>42</v>
      </c>
      <c r="D5258" s="2" t="s">
        <v>17</v>
      </c>
      <c r="E5258" s="5">
        <v>-28307</v>
      </c>
      <c r="F5258" s="3" t="s">
        <v>555</v>
      </c>
      <c r="G5258" s="3" t="s">
        <v>63</v>
      </c>
      <c r="H5258" s="2" t="s">
        <v>20</v>
      </c>
      <c r="I5258" s="2" t="s">
        <v>10348</v>
      </c>
      <c r="J5258" s="3" t="str">
        <f>HYPERLINK("https://www.boe.es/gazeta/dias/1822/06/30/pdfs/GMD-1822-188.pdf#page=6","Abrir facsímil")</f>
        <v>Abrir facsímil</v>
      </c>
      <c r="K5258" s="3" t="s">
        <v>22</v>
      </c>
    </row>
    <row r="5259" spans="1:11" ht="42" customHeight="1">
      <c r="A5259" s="2" t="s">
        <v>10349</v>
      </c>
      <c r="B5259" s="2" t="s">
        <v>10349</v>
      </c>
      <c r="C5259" s="2" t="s">
        <v>24</v>
      </c>
      <c r="D5259" s="2" t="s">
        <v>17</v>
      </c>
      <c r="E5259" s="5">
        <v>-28205</v>
      </c>
      <c r="F5259" s="3" t="s">
        <v>806</v>
      </c>
      <c r="G5259" s="3" t="s">
        <v>31</v>
      </c>
      <c r="H5259" s="2" t="s">
        <v>20</v>
      </c>
      <c r="I5259" s="2" t="s">
        <v>10350</v>
      </c>
      <c r="J5259" s="3" t="str">
        <f>HYPERLINK("https://www.boe.es/gazeta/dias/1822/10/10/pdfs/GMD-1822-297.pdf#page=3","Abrir facsímil")</f>
        <v>Abrir facsímil</v>
      </c>
      <c r="K5259" s="3" t="s">
        <v>22</v>
      </c>
    </row>
    <row r="5260" spans="1:11" ht="42" customHeight="1">
      <c r="A5260" s="2" t="s">
        <v>10277</v>
      </c>
      <c r="B5260" s="2" t="s">
        <v>10277</v>
      </c>
      <c r="C5260" s="2" t="s">
        <v>24</v>
      </c>
      <c r="D5260" s="2" t="s">
        <v>17</v>
      </c>
      <c r="E5260" s="5">
        <v>-28197</v>
      </c>
      <c r="F5260" s="3" t="s">
        <v>568</v>
      </c>
      <c r="G5260" s="3" t="s">
        <v>31</v>
      </c>
      <c r="H5260" s="2" t="s">
        <v>20</v>
      </c>
      <c r="I5260" s="2" t="s">
        <v>10351</v>
      </c>
      <c r="J5260" s="3" t="str">
        <f>HYPERLINK("https://www.boe.es/gazeta/dias/1822/10/18/pdfs/GMD-1822-305.pdf#page=3","Abrir facsímil")</f>
        <v>Abrir facsímil</v>
      </c>
      <c r="K5260" s="3" t="s">
        <v>22</v>
      </c>
    </row>
    <row r="5261" spans="1:11" ht="42" customHeight="1">
      <c r="A5261" s="2" t="s">
        <v>10277</v>
      </c>
      <c r="B5261" s="2" t="s">
        <v>10277</v>
      </c>
      <c r="C5261" s="2" t="s">
        <v>42</v>
      </c>
      <c r="D5261" s="2" t="s">
        <v>17</v>
      </c>
      <c r="E5261" s="5">
        <v>-28197</v>
      </c>
      <c r="F5261" s="3" t="s">
        <v>568</v>
      </c>
      <c r="G5261" s="3" t="s">
        <v>57</v>
      </c>
      <c r="H5261" s="2" t="s">
        <v>20</v>
      </c>
      <c r="I5261" s="2" t="s">
        <v>10352</v>
      </c>
      <c r="J5261" s="3" t="str">
        <f>HYPERLINK("https://www.boe.es/gazeta/dias/1822/10/18/pdfs/GMD-1822-305.pdf#page=4","Abrir facsímil")</f>
        <v>Abrir facsímil</v>
      </c>
      <c r="K5261" s="3" t="s">
        <v>22</v>
      </c>
    </row>
    <row r="5262" spans="1:11" ht="42" customHeight="1">
      <c r="A5262" s="2" t="s">
        <v>10277</v>
      </c>
      <c r="B5262" s="2" t="s">
        <v>10277</v>
      </c>
      <c r="C5262" s="2" t="s">
        <v>42</v>
      </c>
      <c r="D5262" s="2" t="s">
        <v>17</v>
      </c>
      <c r="E5262" s="5">
        <v>-28197</v>
      </c>
      <c r="F5262" s="3" t="s">
        <v>568</v>
      </c>
      <c r="G5262" s="3" t="s">
        <v>19</v>
      </c>
      <c r="H5262" s="2" t="s">
        <v>20</v>
      </c>
      <c r="I5262" s="2" t="s">
        <v>10353</v>
      </c>
      <c r="J5262" s="3" t="str">
        <f>HYPERLINK("https://www.boe.es/gazeta/dias/1822/10/18/pdfs/GMD-1822-305.pdf#page=5","Abrir facsímil")</f>
        <v>Abrir facsímil</v>
      </c>
      <c r="K5262" s="3" t="s">
        <v>22</v>
      </c>
    </row>
    <row r="5263" spans="1:11" ht="42" customHeight="1">
      <c r="A5263" s="2" t="s">
        <v>10277</v>
      </c>
      <c r="B5263" s="2" t="s">
        <v>10277</v>
      </c>
      <c r="C5263" s="2" t="s">
        <v>28</v>
      </c>
      <c r="D5263" s="2" t="s">
        <v>29</v>
      </c>
      <c r="E5263" s="5">
        <v>-28196</v>
      </c>
      <c r="F5263" s="3" t="s">
        <v>570</v>
      </c>
      <c r="G5263" s="3" t="s">
        <v>35</v>
      </c>
      <c r="H5263" s="2" t="s">
        <v>20</v>
      </c>
      <c r="I5263" s="2" t="s">
        <v>10354</v>
      </c>
      <c r="J5263" s="3" t="str">
        <f>HYPERLINK("https://www.boe.es/gazeta/dias/1822/10/19/pdfs/GMD-1822-306.pdf#page=2","Abrir facsímil")</f>
        <v>Abrir facsímil</v>
      </c>
      <c r="K5263" s="3" t="s">
        <v>22</v>
      </c>
    </row>
    <row r="5264" spans="1:11" ht="42" customHeight="1">
      <c r="A5264" s="2" t="s">
        <v>10277</v>
      </c>
      <c r="B5264" s="2" t="s">
        <v>10277</v>
      </c>
      <c r="C5264" s="2" t="s">
        <v>71</v>
      </c>
      <c r="D5264" s="2" t="s">
        <v>17</v>
      </c>
      <c r="E5264" s="5">
        <v>-28187</v>
      </c>
      <c r="F5264" s="3" t="s">
        <v>929</v>
      </c>
      <c r="G5264" s="3" t="s">
        <v>44</v>
      </c>
      <c r="H5264" s="2" t="s">
        <v>20</v>
      </c>
      <c r="I5264" s="2" t="s">
        <v>10355</v>
      </c>
      <c r="J5264" s="3" t="str">
        <f>HYPERLINK("https://www.boe.es/gazeta/dias/1822/10/28/pdfs/GMD-1822-315.pdf#page=1","Abrir facsímil")</f>
        <v>Abrir facsímil</v>
      </c>
      <c r="K5264" s="3" t="s">
        <v>22</v>
      </c>
    </row>
    <row r="5265" spans="1:11" ht="42" customHeight="1">
      <c r="A5265" s="2" t="s">
        <v>10277</v>
      </c>
      <c r="B5265" s="2" t="s">
        <v>10277</v>
      </c>
      <c r="C5265" s="2" t="s">
        <v>50</v>
      </c>
      <c r="D5265" s="2" t="s">
        <v>51</v>
      </c>
      <c r="E5265" s="5">
        <v>-28187</v>
      </c>
      <c r="F5265" s="3" t="s">
        <v>929</v>
      </c>
      <c r="G5265" s="3" t="s">
        <v>57</v>
      </c>
      <c r="H5265" s="2" t="s">
        <v>20</v>
      </c>
      <c r="I5265" s="2" t="s">
        <v>10356</v>
      </c>
      <c r="J5265" s="3" t="str">
        <f>HYPERLINK("https://www.boe.es/gazeta/dias/1822/10/28/pdfs/GMD-1822-315.pdf#page=4","Abrir facsímil")</f>
        <v>Abrir facsímil</v>
      </c>
      <c r="K5265" s="3" t="s">
        <v>22</v>
      </c>
    </row>
    <row r="5266" spans="1:11" ht="42" customHeight="1">
      <c r="A5266" s="2" t="s">
        <v>10277</v>
      </c>
      <c r="B5266" s="2" t="s">
        <v>10277</v>
      </c>
      <c r="C5266" s="2" t="s">
        <v>50</v>
      </c>
      <c r="D5266" s="2" t="s">
        <v>51</v>
      </c>
      <c r="E5266" s="5">
        <v>-28179</v>
      </c>
      <c r="F5266" s="3" t="s">
        <v>935</v>
      </c>
      <c r="G5266" s="3" t="s">
        <v>35</v>
      </c>
      <c r="H5266" s="2" t="s">
        <v>20</v>
      </c>
      <c r="I5266" s="2" t="s">
        <v>10357</v>
      </c>
      <c r="J5266" s="3" t="str">
        <f>HYPERLINK("https://www.boe.es/gazeta/dias/1822/11/05/pdfs/GMD-1822-325.pdf#page=2","Abrir facsímil")</f>
        <v>Abrir facsímil</v>
      </c>
      <c r="K5266" s="3" t="s">
        <v>22</v>
      </c>
    </row>
    <row r="5267" spans="1:11" ht="42" customHeight="1">
      <c r="A5267" s="2" t="s">
        <v>10277</v>
      </c>
      <c r="B5267" s="2" t="s">
        <v>10277</v>
      </c>
      <c r="C5267" s="2" t="s">
        <v>42</v>
      </c>
      <c r="D5267" s="2" t="s">
        <v>17</v>
      </c>
      <c r="E5267" s="5">
        <v>-28178</v>
      </c>
      <c r="F5267" s="3" t="s">
        <v>318</v>
      </c>
      <c r="G5267" s="3" t="s">
        <v>31</v>
      </c>
      <c r="H5267" s="2" t="s">
        <v>20</v>
      </c>
      <c r="I5267" s="2" t="s">
        <v>10358</v>
      </c>
      <c r="J5267" s="3" t="str">
        <f>HYPERLINK("https://www.boe.es/gazeta/dias/1822/11/06/pdfs/GMD-1822-326.pdf#page=3","Abrir facsímil")</f>
        <v>Abrir facsímil</v>
      </c>
      <c r="K5267" s="3" t="s">
        <v>22</v>
      </c>
    </row>
    <row r="5268" spans="1:11" ht="42" customHeight="1">
      <c r="A5268" s="2" t="s">
        <v>10277</v>
      </c>
      <c r="B5268" s="2" t="s">
        <v>10277</v>
      </c>
      <c r="C5268" s="2" t="s">
        <v>28</v>
      </c>
      <c r="D5268" s="2" t="s">
        <v>29</v>
      </c>
      <c r="E5268" s="5">
        <v>-28177</v>
      </c>
      <c r="F5268" s="3" t="s">
        <v>587</v>
      </c>
      <c r="G5268" s="3" t="s">
        <v>35</v>
      </c>
      <c r="H5268" s="2" t="s">
        <v>20</v>
      </c>
      <c r="I5268" s="2" t="s">
        <v>10359</v>
      </c>
      <c r="J5268" s="3" t="str">
        <f>HYPERLINK("https://www.boe.es/gazeta/dias/1822/11/07/pdfs/GMD-1822-327.pdf#page=2","Abrir facsímil")</f>
        <v>Abrir facsímil</v>
      </c>
      <c r="K5268" s="3" t="s">
        <v>22</v>
      </c>
    </row>
    <row r="5269" spans="1:11" ht="42" customHeight="1">
      <c r="A5269" s="2" t="s">
        <v>10277</v>
      </c>
      <c r="B5269" s="2" t="s">
        <v>10277</v>
      </c>
      <c r="C5269" s="2" t="s">
        <v>71</v>
      </c>
      <c r="D5269" s="2" t="s">
        <v>17</v>
      </c>
      <c r="E5269" s="5">
        <v>-28177</v>
      </c>
      <c r="F5269" s="3" t="s">
        <v>587</v>
      </c>
      <c r="G5269" s="3" t="s">
        <v>31</v>
      </c>
      <c r="H5269" s="2" t="s">
        <v>20</v>
      </c>
      <c r="I5269" s="2" t="s">
        <v>10360</v>
      </c>
      <c r="J5269" s="3" t="str">
        <f>HYPERLINK("https://www.boe.es/gazeta/dias/1822/11/07/pdfs/GMD-1822-327.pdf#page=3","Abrir facsímil")</f>
        <v>Abrir facsímil</v>
      </c>
      <c r="K5269" s="3" t="s">
        <v>22</v>
      </c>
    </row>
    <row r="5270" spans="1:11" ht="42" customHeight="1">
      <c r="A5270" s="2" t="s">
        <v>10277</v>
      </c>
      <c r="B5270" s="2" t="s">
        <v>10277</v>
      </c>
      <c r="C5270" s="2" t="s">
        <v>42</v>
      </c>
      <c r="D5270" s="2" t="s">
        <v>17</v>
      </c>
      <c r="E5270" s="5">
        <v>-28176</v>
      </c>
      <c r="F5270" s="3" t="s">
        <v>780</v>
      </c>
      <c r="G5270" s="3" t="s">
        <v>5014</v>
      </c>
      <c r="H5270" s="2" t="s">
        <v>20</v>
      </c>
      <c r="I5270" s="2" t="s">
        <v>10361</v>
      </c>
      <c r="J5270" s="3" t="str">
        <f>HYPERLINK("https://www.boe.es/gazeta/dias/1822/11/08/pdfs/GMD-1822-328.pdf#page=4","Abrir facsímil")</f>
        <v>Abrir facsímil</v>
      </c>
      <c r="K5270" s="3" t="s">
        <v>22</v>
      </c>
    </row>
    <row r="5271" spans="1:11" ht="42" customHeight="1">
      <c r="A5271" s="2" t="s">
        <v>10277</v>
      </c>
      <c r="B5271" s="2" t="s">
        <v>10277</v>
      </c>
      <c r="C5271" s="2" t="s">
        <v>50</v>
      </c>
      <c r="D5271" s="2" t="s">
        <v>51</v>
      </c>
      <c r="E5271" s="5">
        <v>-28175</v>
      </c>
      <c r="F5271" s="3" t="s">
        <v>341</v>
      </c>
      <c r="G5271" s="3" t="s">
        <v>35</v>
      </c>
      <c r="H5271" s="2" t="s">
        <v>20</v>
      </c>
      <c r="I5271" s="2" t="s">
        <v>10362</v>
      </c>
      <c r="J5271" s="3" t="str">
        <f>HYPERLINK("https://www.boe.es/gazeta/dias/1822/11/09/pdfs/GMD-1822-329.pdf#page=2","Abrir facsímil")</f>
        <v>Abrir facsímil</v>
      </c>
      <c r="K5271" s="3" t="s">
        <v>22</v>
      </c>
    </row>
    <row r="5272" spans="1:11" ht="42" customHeight="1">
      <c r="A5272" s="2" t="s">
        <v>10277</v>
      </c>
      <c r="B5272" s="2" t="s">
        <v>10277</v>
      </c>
      <c r="C5272" s="2" t="s">
        <v>50</v>
      </c>
      <c r="D5272" s="2" t="s">
        <v>51</v>
      </c>
      <c r="E5272" s="5">
        <v>-28175</v>
      </c>
      <c r="F5272" s="3" t="s">
        <v>341</v>
      </c>
      <c r="G5272" s="3" t="s">
        <v>63</v>
      </c>
      <c r="H5272" s="2" t="s">
        <v>20</v>
      </c>
      <c r="I5272" s="2" t="s">
        <v>10363</v>
      </c>
      <c r="J5272" s="3" t="str">
        <f>HYPERLINK("https://www.boe.es/gazeta/dias/1822/11/09/pdfs/GMD-1822-329.pdf#page=6","Abrir facsímil")</f>
        <v>Abrir facsímil</v>
      </c>
      <c r="K5272" s="3" t="s">
        <v>22</v>
      </c>
    </row>
    <row r="5273" spans="1:11" ht="42" customHeight="1">
      <c r="A5273" s="2" t="s">
        <v>10277</v>
      </c>
      <c r="B5273" s="2" t="s">
        <v>10277</v>
      </c>
      <c r="C5273" s="2" t="s">
        <v>42</v>
      </c>
      <c r="D5273" s="2" t="s">
        <v>17</v>
      </c>
      <c r="E5273" s="5">
        <v>-28173</v>
      </c>
      <c r="F5273" s="3" t="s">
        <v>2959</v>
      </c>
      <c r="G5273" s="3" t="s">
        <v>57</v>
      </c>
      <c r="H5273" s="2" t="s">
        <v>20</v>
      </c>
      <c r="I5273" s="2" t="s">
        <v>10364</v>
      </c>
      <c r="J5273" s="3" t="str">
        <f>HYPERLINK("https://www.boe.es/gazeta/dias/1822/11/11/pdfs/GMD-1822-331.pdf#page=4","Abrir facsímil")</f>
        <v>Abrir facsímil</v>
      </c>
      <c r="K5273" s="3" t="s">
        <v>22</v>
      </c>
    </row>
    <row r="5274" spans="1:11" ht="42" customHeight="1">
      <c r="A5274" s="2" t="s">
        <v>10277</v>
      </c>
      <c r="B5274" s="2" t="s">
        <v>10277</v>
      </c>
      <c r="C5274" s="2" t="s">
        <v>50</v>
      </c>
      <c r="D5274" s="2" t="s">
        <v>51</v>
      </c>
      <c r="E5274" s="5">
        <v>-28171</v>
      </c>
      <c r="F5274" s="3" t="s">
        <v>1075</v>
      </c>
      <c r="G5274" s="3" t="s">
        <v>57</v>
      </c>
      <c r="H5274" s="2" t="s">
        <v>20</v>
      </c>
      <c r="I5274" s="2" t="s">
        <v>10365</v>
      </c>
      <c r="J5274" s="3" t="str">
        <f>HYPERLINK("https://www.boe.es/gazeta/dias/1822/11/13/pdfs/GMD-1822-333.pdf#page=4","Abrir facsímil")</f>
        <v>Abrir facsímil</v>
      </c>
      <c r="K5274" s="3" t="s">
        <v>22</v>
      </c>
    </row>
    <row r="5275" spans="1:11" ht="42" customHeight="1">
      <c r="A5275" s="2" t="s">
        <v>10277</v>
      </c>
      <c r="B5275" s="2" t="s">
        <v>10277</v>
      </c>
      <c r="C5275" s="2" t="s">
        <v>50</v>
      </c>
      <c r="D5275" s="2" t="s">
        <v>51</v>
      </c>
      <c r="E5275" s="5">
        <v>-28164</v>
      </c>
      <c r="F5275" s="3" t="s">
        <v>2172</v>
      </c>
      <c r="G5275" s="3" t="s">
        <v>35</v>
      </c>
      <c r="H5275" s="2" t="s">
        <v>20</v>
      </c>
      <c r="I5275" s="2" t="s">
        <v>10366</v>
      </c>
      <c r="J5275" s="3" t="str">
        <f>HYPERLINK("https://www.boe.es/gazeta/dias/1822/11/20/pdfs/GMD-1822-340.pdf#page=2","Abrir facsímil")</f>
        <v>Abrir facsímil</v>
      </c>
      <c r="K5275" s="3" t="s">
        <v>22</v>
      </c>
    </row>
    <row r="5276" spans="1:11" ht="42" customHeight="1">
      <c r="A5276" s="2" t="s">
        <v>10277</v>
      </c>
      <c r="B5276" s="2" t="s">
        <v>10277</v>
      </c>
      <c r="C5276" s="2" t="s">
        <v>50</v>
      </c>
      <c r="D5276" s="2" t="s">
        <v>51</v>
      </c>
      <c r="E5276" s="5">
        <v>-28159</v>
      </c>
      <c r="F5276" s="3" t="s">
        <v>67</v>
      </c>
      <c r="G5276" s="3" t="s">
        <v>35</v>
      </c>
      <c r="H5276" s="2" t="s">
        <v>20</v>
      </c>
      <c r="I5276" s="2" t="s">
        <v>10367</v>
      </c>
      <c r="J5276" s="3" t="str">
        <f>HYPERLINK("https://www.boe.es/gazeta/dias/1822/11/25/pdfs/GMD-1822-345.pdf#page=2","Abrir facsímil")</f>
        <v>Abrir facsímil</v>
      </c>
      <c r="K5276" s="3" t="s">
        <v>22</v>
      </c>
    </row>
    <row r="5277" spans="1:11" ht="42" customHeight="1">
      <c r="A5277" s="2" t="s">
        <v>10277</v>
      </c>
      <c r="B5277" s="2" t="s">
        <v>10277</v>
      </c>
      <c r="C5277" s="2" t="s">
        <v>50</v>
      </c>
      <c r="D5277" s="2" t="s">
        <v>51</v>
      </c>
      <c r="E5277" s="5">
        <v>-28155</v>
      </c>
      <c r="F5277" s="3" t="s">
        <v>833</v>
      </c>
      <c r="G5277" s="3" t="s">
        <v>44</v>
      </c>
      <c r="H5277" s="2" t="s">
        <v>20</v>
      </c>
      <c r="I5277" s="2" t="s">
        <v>10368</v>
      </c>
      <c r="J5277" s="3" t="str">
        <f>HYPERLINK("https://www.boe.es/gazeta/dias/1822/11/29/pdfs/GMD-1822-349.pdf#page=1","Abrir facsímil")</f>
        <v>Abrir facsímil</v>
      </c>
      <c r="K5277" s="3" t="s">
        <v>22</v>
      </c>
    </row>
    <row r="5278" spans="1:11" ht="42" customHeight="1">
      <c r="A5278" s="2" t="s">
        <v>10277</v>
      </c>
      <c r="B5278" s="2" t="s">
        <v>10277</v>
      </c>
      <c r="C5278" s="2" t="s">
        <v>50</v>
      </c>
      <c r="D5278" s="2" t="s">
        <v>51</v>
      </c>
      <c r="E5278" s="5">
        <v>-28153</v>
      </c>
      <c r="F5278" s="3" t="s">
        <v>946</v>
      </c>
      <c r="G5278" s="3" t="s">
        <v>31</v>
      </c>
      <c r="H5278" s="2" t="s">
        <v>20</v>
      </c>
      <c r="I5278" s="2" t="s">
        <v>10369</v>
      </c>
      <c r="J5278" s="3" t="str">
        <f>HYPERLINK("https://www.boe.es/gazeta/dias/1822/12/01/pdfs/GMD-1822-351.pdf#page=3","Abrir facsímil")</f>
        <v>Abrir facsímil</v>
      </c>
      <c r="K5278" s="3" t="s">
        <v>22</v>
      </c>
    </row>
    <row r="5279" spans="1:11" ht="42" customHeight="1">
      <c r="A5279" s="2" t="s">
        <v>10277</v>
      </c>
      <c r="B5279" s="2" t="s">
        <v>10277</v>
      </c>
      <c r="C5279" s="2" t="s">
        <v>28</v>
      </c>
      <c r="D5279" s="2" t="s">
        <v>29</v>
      </c>
      <c r="E5279" s="5">
        <v>-28152</v>
      </c>
      <c r="F5279" s="3" t="s">
        <v>122</v>
      </c>
      <c r="G5279" s="3" t="s">
        <v>35</v>
      </c>
      <c r="H5279" s="2" t="s">
        <v>20</v>
      </c>
      <c r="I5279" s="2" t="s">
        <v>10370</v>
      </c>
      <c r="J5279" s="3" t="str">
        <f>HYPERLINK("https://www.boe.es/gazeta/dias/1822/12/02/pdfs/GMD-1822-352.pdf#page=2","Abrir facsímil")</f>
        <v>Abrir facsímil</v>
      </c>
      <c r="K5279" s="3" t="s">
        <v>22</v>
      </c>
    </row>
    <row r="5280" spans="1:11" ht="42" customHeight="1">
      <c r="A5280" s="2" t="s">
        <v>10277</v>
      </c>
      <c r="B5280" s="2" t="s">
        <v>10277</v>
      </c>
      <c r="C5280" s="2" t="s">
        <v>42</v>
      </c>
      <c r="D5280" s="2" t="s">
        <v>17</v>
      </c>
      <c r="E5280" s="5">
        <v>-28147</v>
      </c>
      <c r="F5280" s="3" t="s">
        <v>1611</v>
      </c>
      <c r="G5280" s="3" t="s">
        <v>31</v>
      </c>
      <c r="H5280" s="2" t="s">
        <v>20</v>
      </c>
      <c r="I5280" s="2" t="s">
        <v>10371</v>
      </c>
      <c r="J5280" s="3" t="str">
        <f>HYPERLINK("https://www.boe.es/gazeta/dias/1822/12/07/pdfs/GMD-1822-357.pdf#page=3","Abrir facsímil")</f>
        <v>Abrir facsímil</v>
      </c>
      <c r="K5280" s="3" t="s">
        <v>22</v>
      </c>
    </row>
    <row r="5281" spans="1:11" ht="42" customHeight="1">
      <c r="A5281" s="2" t="s">
        <v>10277</v>
      </c>
      <c r="B5281" s="2" t="s">
        <v>10277</v>
      </c>
      <c r="C5281" s="2" t="s">
        <v>61</v>
      </c>
      <c r="D5281" s="2" t="s">
        <v>17</v>
      </c>
      <c r="E5281" s="5">
        <v>-28143</v>
      </c>
      <c r="F5281" s="3" t="s">
        <v>2967</v>
      </c>
      <c r="G5281" s="3" t="s">
        <v>6049</v>
      </c>
      <c r="H5281" s="2" t="s">
        <v>20</v>
      </c>
      <c r="I5281" s="2" t="s">
        <v>10372</v>
      </c>
      <c r="J5281" s="3" t="str">
        <f>HYPERLINK("https://www.boe.es/gazeta/dias/1822/12/11/pdfs/GMD-1822-361.pdf#page=3","Abrir facsímil")</f>
        <v>Abrir facsímil</v>
      </c>
      <c r="K5281" s="3" t="s">
        <v>22</v>
      </c>
    </row>
    <row r="5282" spans="1:11" ht="42" customHeight="1">
      <c r="A5282" s="2" t="s">
        <v>10277</v>
      </c>
      <c r="B5282" s="2" t="s">
        <v>10277</v>
      </c>
      <c r="C5282" s="2" t="s">
        <v>28</v>
      </c>
      <c r="D5282" s="2" t="s">
        <v>29</v>
      </c>
      <c r="E5282" s="5">
        <v>-28132</v>
      </c>
      <c r="F5282" s="3" t="s">
        <v>820</v>
      </c>
      <c r="G5282" s="3" t="s">
        <v>35</v>
      </c>
      <c r="H5282" s="2" t="s">
        <v>20</v>
      </c>
      <c r="I5282" s="2" t="s">
        <v>10373</v>
      </c>
      <c r="J5282" s="3" t="str">
        <f>HYPERLINK("https://www.boe.es/gazeta/dias/1822/12/22/pdfs/GMD-1822-372.pdf#page=2","Abrir facsímil")</f>
        <v>Abrir facsímil</v>
      </c>
      <c r="K5282" s="3" t="s">
        <v>22</v>
      </c>
    </row>
    <row r="5283" spans="1:11" ht="42" customHeight="1">
      <c r="A5283" s="2" t="s">
        <v>10277</v>
      </c>
      <c r="B5283" s="2" t="s">
        <v>10277</v>
      </c>
      <c r="C5283" s="2" t="s">
        <v>71</v>
      </c>
      <c r="D5283" s="2" t="s">
        <v>17</v>
      </c>
      <c r="E5283" s="5">
        <v>-28132</v>
      </c>
      <c r="F5283" s="3" t="s">
        <v>820</v>
      </c>
      <c r="G5283" s="3" t="s">
        <v>31</v>
      </c>
      <c r="H5283" s="2" t="s">
        <v>20</v>
      </c>
      <c r="I5283" s="2" t="s">
        <v>10374</v>
      </c>
      <c r="J5283" s="3" t="str">
        <f>HYPERLINK("https://www.boe.es/gazeta/dias/1822/12/22/pdfs/GMD-1822-372.pdf#page=3","Abrir facsímil")</f>
        <v>Abrir facsímil</v>
      </c>
      <c r="K5283" s="3" t="s">
        <v>22</v>
      </c>
    </row>
    <row r="5284" spans="1:11" ht="42" customHeight="1">
      <c r="A5284" s="2" t="s">
        <v>10375</v>
      </c>
      <c r="B5284" s="2" t="s">
        <v>10376</v>
      </c>
      <c r="C5284" s="2" t="s">
        <v>28</v>
      </c>
      <c r="D5284" s="2" t="s">
        <v>29</v>
      </c>
      <c r="E5284" s="5">
        <v>-28426</v>
      </c>
      <c r="F5284" s="3" t="s">
        <v>1178</v>
      </c>
      <c r="G5284" s="3" t="s">
        <v>35</v>
      </c>
      <c r="H5284" s="2" t="s">
        <v>20</v>
      </c>
      <c r="I5284" s="2" t="s">
        <v>10377</v>
      </c>
      <c r="J5284" s="3" t="str">
        <f>HYPERLINK("https://www.boe.es/gazeta/dias/1822/03/03/pdfs/GMD-1822-64.pdf#page=2","Abrir facsímil")</f>
        <v>Abrir facsímil</v>
      </c>
      <c r="K5284" s="3" t="s">
        <v>22</v>
      </c>
    </row>
    <row r="5285" spans="1:11" ht="42" customHeight="1">
      <c r="A5285" s="2" t="s">
        <v>10375</v>
      </c>
      <c r="B5285" s="2" t="s">
        <v>10376</v>
      </c>
      <c r="C5285" s="2" t="s">
        <v>50</v>
      </c>
      <c r="D5285" s="2" t="s">
        <v>51</v>
      </c>
      <c r="E5285" s="5">
        <v>-28414</v>
      </c>
      <c r="F5285" s="3" t="s">
        <v>187</v>
      </c>
      <c r="G5285" s="3" t="s">
        <v>31</v>
      </c>
      <c r="H5285" s="2" t="s">
        <v>20</v>
      </c>
      <c r="I5285" s="2" t="s">
        <v>10378</v>
      </c>
      <c r="J5285" s="3" t="str">
        <f>HYPERLINK("https://www.boe.es/gazeta/dias/1822/03/15/pdfs/GMD-1822-76.pdf#page=3","Abrir facsímil")</f>
        <v>Abrir facsímil</v>
      </c>
      <c r="K5285" s="3" t="s">
        <v>22</v>
      </c>
    </row>
    <row r="5286" spans="1:11" ht="42" customHeight="1">
      <c r="A5286" s="2" t="s">
        <v>10375</v>
      </c>
      <c r="B5286" s="2" t="s">
        <v>10376</v>
      </c>
      <c r="C5286" s="2" t="s">
        <v>28</v>
      </c>
      <c r="D5286" s="2" t="s">
        <v>29</v>
      </c>
      <c r="E5286" s="5">
        <v>-28410</v>
      </c>
      <c r="F5286" s="3" t="s">
        <v>966</v>
      </c>
      <c r="G5286" s="3" t="s">
        <v>35</v>
      </c>
      <c r="H5286" s="2" t="s">
        <v>20</v>
      </c>
      <c r="I5286" s="2" t="s">
        <v>10379</v>
      </c>
      <c r="J5286" s="3" t="str">
        <f>HYPERLINK("https://www.boe.es/gazeta/dias/1822/03/19/pdfs/GMD-1822-80.pdf#page=2","Abrir facsímil")</f>
        <v>Abrir facsímil</v>
      </c>
      <c r="K5286" s="3" t="s">
        <v>22</v>
      </c>
    </row>
    <row r="5287" spans="1:11" ht="42" customHeight="1">
      <c r="A5287" s="2" t="s">
        <v>10375</v>
      </c>
      <c r="B5287" s="2" t="s">
        <v>10376</v>
      </c>
      <c r="C5287" s="2" t="s">
        <v>50</v>
      </c>
      <c r="D5287" s="2" t="s">
        <v>51</v>
      </c>
      <c r="E5287" s="5">
        <v>-28213</v>
      </c>
      <c r="F5287" s="3" t="s">
        <v>558</v>
      </c>
      <c r="G5287" s="3" t="s">
        <v>35</v>
      </c>
      <c r="H5287" s="2" t="s">
        <v>20</v>
      </c>
      <c r="I5287" s="2" t="s">
        <v>10380</v>
      </c>
      <c r="J5287" s="3" t="str">
        <f>HYPERLINK("https://www.boe.es/gazeta/dias/1822/10/02/pdfs/GMD-1822-288.pdf#page=2","Abrir facsímil")</f>
        <v>Abrir facsímil</v>
      </c>
      <c r="K5287" s="3" t="s">
        <v>22</v>
      </c>
    </row>
    <row r="5288" spans="1:11" ht="42" customHeight="1">
      <c r="A5288" s="2" t="s">
        <v>10381</v>
      </c>
      <c r="B5288" s="2" t="s">
        <v>10382</v>
      </c>
      <c r="C5288" s="2" t="s">
        <v>28</v>
      </c>
      <c r="D5288" s="2" t="s">
        <v>29</v>
      </c>
      <c r="E5288" s="5">
        <v>-28436</v>
      </c>
      <c r="F5288" s="3" t="s">
        <v>431</v>
      </c>
      <c r="G5288" s="3" t="s">
        <v>1428</v>
      </c>
      <c r="H5288" s="2" t="s">
        <v>20</v>
      </c>
      <c r="I5288" s="2" t="s">
        <v>10383</v>
      </c>
      <c r="J5288" s="3" t="str">
        <f>HYPERLINK("https://www.boe.es/gazeta/dias/1822/02/21/pdfs/GMD-1822-53.pdf#page=3","Abrir facsímil")</f>
        <v>Abrir facsímil</v>
      </c>
      <c r="K5288" s="3" t="s">
        <v>22</v>
      </c>
    </row>
    <row r="5289" spans="1:11" ht="42" customHeight="1">
      <c r="A5289" s="2" t="s">
        <v>10384</v>
      </c>
      <c r="B5289" s="2" t="s">
        <v>10385</v>
      </c>
      <c r="C5289" s="2" t="s">
        <v>50</v>
      </c>
      <c r="D5289" s="2" t="s">
        <v>51</v>
      </c>
      <c r="E5289" s="5">
        <v>-28223</v>
      </c>
      <c r="F5289" s="3" t="s">
        <v>2374</v>
      </c>
      <c r="G5289" s="3" t="s">
        <v>35</v>
      </c>
      <c r="H5289" s="2" t="s">
        <v>20</v>
      </c>
      <c r="I5289" s="2" t="s">
        <v>10386</v>
      </c>
      <c r="J5289" s="3" t="str">
        <f>HYPERLINK("https://www.boe.es/gazeta/dias/1822/09/22/pdfs/GMD-1822-278.pdf#page=2","Abrir facsímil")</f>
        <v>Abrir facsímil</v>
      </c>
      <c r="K5289" s="3" t="s">
        <v>22</v>
      </c>
    </row>
    <row r="5290" spans="1:11" ht="42" customHeight="1">
      <c r="A5290" s="2" t="s">
        <v>10387</v>
      </c>
      <c r="B5290" s="2" t="s">
        <v>10387</v>
      </c>
      <c r="C5290" s="2" t="s">
        <v>50</v>
      </c>
      <c r="D5290" s="2" t="s">
        <v>51</v>
      </c>
      <c r="E5290" s="5">
        <v>-28354</v>
      </c>
      <c r="F5290" s="3" t="s">
        <v>226</v>
      </c>
      <c r="G5290" s="3" t="s">
        <v>57</v>
      </c>
      <c r="H5290" s="2" t="s">
        <v>20</v>
      </c>
      <c r="I5290" s="2" t="s">
        <v>10388</v>
      </c>
      <c r="J5290" s="3" t="str">
        <f>HYPERLINK("https://www.boe.es/gazeta/dias/1822/05/14/pdfs/GMD-1822-136.pdf#page=4","Abrir facsímil")</f>
        <v>Abrir facsímil</v>
      </c>
      <c r="K5290" s="3" t="s">
        <v>22</v>
      </c>
    </row>
    <row r="5291" spans="1:11" ht="42" customHeight="1">
      <c r="A5291" s="2" t="s">
        <v>10389</v>
      </c>
      <c r="B5291" s="2" t="s">
        <v>10389</v>
      </c>
      <c r="C5291" s="2" t="s">
        <v>42</v>
      </c>
      <c r="D5291" s="2" t="s">
        <v>17</v>
      </c>
      <c r="E5291" s="5">
        <v>-28390</v>
      </c>
      <c r="F5291" s="3" t="s">
        <v>665</v>
      </c>
      <c r="G5291" s="3" t="s">
        <v>35</v>
      </c>
      <c r="H5291" s="2" t="s">
        <v>20</v>
      </c>
      <c r="I5291" s="2" t="s">
        <v>10390</v>
      </c>
      <c r="J5291" s="3" t="str">
        <f>HYPERLINK("https://www.boe.es/gazeta/dias/1822/04/08/pdfs/GMD-1822-100.pdf#page=2","Abrir facsímil")</f>
        <v>Abrir facsímil</v>
      </c>
      <c r="K5291" s="3" t="s">
        <v>22</v>
      </c>
    </row>
    <row r="5292" spans="1:11" ht="42" customHeight="1">
      <c r="A5292" s="2" t="s">
        <v>10391</v>
      </c>
      <c r="B5292" s="2" t="s">
        <v>10391</v>
      </c>
      <c r="C5292" s="2" t="s">
        <v>50</v>
      </c>
      <c r="D5292" s="2" t="s">
        <v>51</v>
      </c>
      <c r="E5292" s="5">
        <v>-28365</v>
      </c>
      <c r="F5292" s="3" t="s">
        <v>506</v>
      </c>
      <c r="G5292" s="3" t="s">
        <v>44</v>
      </c>
      <c r="H5292" s="2" t="s">
        <v>20</v>
      </c>
      <c r="I5292" s="2" t="s">
        <v>10392</v>
      </c>
      <c r="J5292" s="3" t="str">
        <f>HYPERLINK("https://www.boe.es/gazeta/dias/1822/05/03/pdfs/GMD-1822-125.pdf#page=1","Abrir facsímil")</f>
        <v>Abrir facsímil</v>
      </c>
      <c r="K5292" s="3" t="s">
        <v>22</v>
      </c>
    </row>
    <row r="5293" spans="1:11" ht="42" customHeight="1">
      <c r="A5293" s="2" t="s">
        <v>10393</v>
      </c>
      <c r="B5293" s="2" t="s">
        <v>10394</v>
      </c>
      <c r="C5293" s="2" t="s">
        <v>28</v>
      </c>
      <c r="D5293" s="2" t="s">
        <v>29</v>
      </c>
      <c r="E5293" s="5">
        <v>-28358</v>
      </c>
      <c r="F5293" s="3" t="s">
        <v>211</v>
      </c>
      <c r="G5293" s="3" t="s">
        <v>157</v>
      </c>
      <c r="H5293" s="2" t="s">
        <v>45</v>
      </c>
      <c r="I5293" s="2" t="s">
        <v>10395</v>
      </c>
      <c r="J5293" s="3" t="str">
        <f>HYPERLINK("https://www.boe.es/gazeta/dias/1822/05/10/pdfs/GMD-1822-132.pdf#page=8","Abrir facsímil")</f>
        <v>Abrir facsímil</v>
      </c>
      <c r="K5293" s="3" t="s">
        <v>47</v>
      </c>
    </row>
    <row r="5294" spans="1:11" ht="42" customHeight="1">
      <c r="A5294" s="2" t="s">
        <v>10396</v>
      </c>
      <c r="B5294" s="2" t="s">
        <v>10396</v>
      </c>
      <c r="C5294" s="2" t="s">
        <v>61</v>
      </c>
      <c r="D5294" s="2" t="s">
        <v>17</v>
      </c>
      <c r="E5294" s="5">
        <v>-28363</v>
      </c>
      <c r="F5294" s="3" t="s">
        <v>72</v>
      </c>
      <c r="G5294" s="3" t="s">
        <v>35</v>
      </c>
      <c r="H5294" s="2" t="s">
        <v>20</v>
      </c>
      <c r="I5294" s="2" t="s">
        <v>10397</v>
      </c>
      <c r="J5294" s="3" t="str">
        <f>HYPERLINK("https://www.boe.es/gazeta/dias/1822/05/05/pdfs/GMD-1822-127.pdf#page=2","Abrir facsímil")</f>
        <v>Abrir facsímil</v>
      </c>
      <c r="K5294" s="3" t="s">
        <v>22</v>
      </c>
    </row>
    <row r="5295" spans="1:11" ht="42" customHeight="1">
      <c r="A5295" s="2" t="s">
        <v>10398</v>
      </c>
      <c r="B5295" s="2" t="s">
        <v>10398</v>
      </c>
      <c r="C5295" s="2" t="s">
        <v>28</v>
      </c>
      <c r="D5295" s="2" t="s">
        <v>29</v>
      </c>
      <c r="E5295" s="5">
        <v>-28381</v>
      </c>
      <c r="F5295" s="3" t="s">
        <v>358</v>
      </c>
      <c r="G5295" s="3" t="s">
        <v>2269</v>
      </c>
      <c r="H5295" s="2" t="s">
        <v>20</v>
      </c>
      <c r="I5295" s="2" t="s">
        <v>10399</v>
      </c>
      <c r="J5295" s="3" t="str">
        <f>HYPERLINK("https://www.boe.es/gazeta/dias/1822/04/17/pdfs/GMD-1822-109.pdf#page=3","Abrir facsímil")</f>
        <v>Abrir facsímil</v>
      </c>
      <c r="K5295" s="3" t="s">
        <v>22</v>
      </c>
    </row>
    <row r="5296" spans="1:11" ht="42" customHeight="1">
      <c r="A5296" s="2" t="s">
        <v>10400</v>
      </c>
      <c r="B5296" s="2" t="s">
        <v>10401</v>
      </c>
      <c r="C5296" s="2" t="s">
        <v>42</v>
      </c>
      <c r="D5296" s="2" t="s">
        <v>17</v>
      </c>
      <c r="E5296" s="5">
        <v>-28265</v>
      </c>
      <c r="F5296" s="3" t="s">
        <v>1263</v>
      </c>
      <c r="G5296" s="3" t="s">
        <v>57</v>
      </c>
      <c r="H5296" s="2" t="s">
        <v>20</v>
      </c>
      <c r="I5296" s="2" t="s">
        <v>10402</v>
      </c>
      <c r="J5296" s="3" t="str">
        <f>HYPERLINK("https://www.boe.es/gazeta/dias/1822/08/11/pdfs/GMD-1822-235.pdf#page=4","Abrir facsímil")</f>
        <v>Abrir facsímil</v>
      </c>
      <c r="K5296" s="3" t="s">
        <v>22</v>
      </c>
    </row>
    <row r="5297" spans="1:11" ht="42" customHeight="1">
      <c r="A5297" s="2" t="s">
        <v>10403</v>
      </c>
      <c r="B5297" s="2" t="s">
        <v>10403</v>
      </c>
      <c r="C5297" s="2" t="s">
        <v>50</v>
      </c>
      <c r="D5297" s="2" t="s">
        <v>51</v>
      </c>
      <c r="E5297" s="5">
        <v>-28187</v>
      </c>
      <c r="F5297" s="3" t="s">
        <v>929</v>
      </c>
      <c r="G5297" s="3" t="s">
        <v>19</v>
      </c>
      <c r="H5297" s="2" t="s">
        <v>20</v>
      </c>
      <c r="I5297" s="2" t="s">
        <v>10404</v>
      </c>
      <c r="J5297" s="3" t="str">
        <f>HYPERLINK("https://www.boe.es/gazeta/dias/1822/10/28/pdfs/GMD-1822-315.pdf#page=5","Abrir facsímil")</f>
        <v>Abrir facsímil</v>
      </c>
      <c r="K5297" s="3" t="s">
        <v>22</v>
      </c>
    </row>
    <row r="5298" spans="1:11" ht="42" customHeight="1">
      <c r="A5298" s="2" t="s">
        <v>10405</v>
      </c>
      <c r="B5298" s="2" t="s">
        <v>10405</v>
      </c>
      <c r="C5298" s="2" t="s">
        <v>28</v>
      </c>
      <c r="D5298" s="2" t="s">
        <v>29</v>
      </c>
      <c r="E5298" s="5">
        <v>-28150</v>
      </c>
      <c r="F5298" s="3" t="s">
        <v>62</v>
      </c>
      <c r="G5298" s="3" t="s">
        <v>57</v>
      </c>
      <c r="H5298" s="2" t="s">
        <v>20</v>
      </c>
      <c r="I5298" s="2" t="s">
        <v>10406</v>
      </c>
      <c r="J5298" s="3" t="str">
        <f>HYPERLINK("https://www.boe.es/gazeta/dias/1822/12/04/pdfs/GMD-1822-354.pdf#page=4","Abrir facsímil")</f>
        <v>Abrir facsímil</v>
      </c>
      <c r="K5298" s="3" t="s">
        <v>22</v>
      </c>
    </row>
    <row r="5299" spans="1:11" ht="42" customHeight="1">
      <c r="A5299" s="2" t="s">
        <v>10407</v>
      </c>
      <c r="B5299" s="2" t="s">
        <v>10408</v>
      </c>
      <c r="C5299" s="2" t="s">
        <v>28</v>
      </c>
      <c r="D5299" s="2" t="s">
        <v>29</v>
      </c>
      <c r="E5299" s="5">
        <v>-28365</v>
      </c>
      <c r="F5299" s="3" t="s">
        <v>506</v>
      </c>
      <c r="G5299" s="3" t="s">
        <v>31</v>
      </c>
      <c r="H5299" s="2" t="s">
        <v>20</v>
      </c>
      <c r="I5299" s="2" t="s">
        <v>10409</v>
      </c>
      <c r="J5299" s="3" t="str">
        <f>HYPERLINK("https://www.boe.es/gazeta/dias/1822/05/03/pdfs/GMD-1822-125.pdf#page=3","Abrir facsímil")</f>
        <v>Abrir facsímil</v>
      </c>
      <c r="K5299" s="3" t="s">
        <v>22</v>
      </c>
    </row>
    <row r="5300" spans="1:11" ht="42" customHeight="1">
      <c r="A5300" s="2" t="s">
        <v>10410</v>
      </c>
      <c r="B5300" s="2" t="s">
        <v>10410</v>
      </c>
      <c r="C5300" s="2" t="s">
        <v>50</v>
      </c>
      <c r="D5300" s="2" t="s">
        <v>51</v>
      </c>
      <c r="E5300" s="5">
        <v>-28349</v>
      </c>
      <c r="F5300" s="3" t="s">
        <v>518</v>
      </c>
      <c r="G5300" s="3" t="s">
        <v>57</v>
      </c>
      <c r="H5300" s="2" t="s">
        <v>20</v>
      </c>
      <c r="I5300" s="2" t="s">
        <v>10411</v>
      </c>
      <c r="J5300" s="3" t="str">
        <f>HYPERLINK("https://www.boe.es/gazeta/dias/1822/05/19/pdfs/GMD-1822-141.pdf#page=4","Abrir facsímil")</f>
        <v>Abrir facsímil</v>
      </c>
      <c r="K5300" s="3" t="s">
        <v>22</v>
      </c>
    </row>
    <row r="5301" spans="1:11" ht="42" customHeight="1">
      <c r="A5301" s="2" t="s">
        <v>10412</v>
      </c>
      <c r="B5301" s="2" t="s">
        <v>10413</v>
      </c>
      <c r="C5301" s="2" t="s">
        <v>42</v>
      </c>
      <c r="D5301" s="2" t="s">
        <v>17</v>
      </c>
      <c r="E5301" s="5">
        <v>-28435</v>
      </c>
      <c r="F5301" s="3" t="s">
        <v>1710</v>
      </c>
      <c r="G5301" s="3" t="s">
        <v>35</v>
      </c>
      <c r="H5301" s="2" t="s">
        <v>20</v>
      </c>
      <c r="I5301" s="2" t="s">
        <v>10414</v>
      </c>
      <c r="J5301" s="3" t="str">
        <f>HYPERLINK("https://www.boe.es/gazeta/dias/1822/02/22/pdfs/GMD-1822-54.pdf#page=2","Abrir facsímil")</f>
        <v>Abrir facsímil</v>
      </c>
      <c r="K5301" s="3" t="s">
        <v>22</v>
      </c>
    </row>
    <row r="5302" spans="1:11" ht="42" customHeight="1">
      <c r="A5302" s="2" t="s">
        <v>10415</v>
      </c>
      <c r="B5302" s="2" t="s">
        <v>10415</v>
      </c>
      <c r="C5302" s="2" t="s">
        <v>28</v>
      </c>
      <c r="D5302" s="2" t="s">
        <v>29</v>
      </c>
      <c r="E5302" s="5">
        <v>-28150</v>
      </c>
      <c r="F5302" s="3" t="s">
        <v>62</v>
      </c>
      <c r="G5302" s="3" t="s">
        <v>57</v>
      </c>
      <c r="H5302" s="2" t="s">
        <v>20</v>
      </c>
      <c r="I5302" s="2" t="s">
        <v>10416</v>
      </c>
      <c r="J5302" s="3" t="str">
        <f>HYPERLINK("https://www.boe.es/gazeta/dias/1822/12/04/pdfs/GMD-1822-354.pdf#page=4","Abrir facsímil")</f>
        <v>Abrir facsímil</v>
      </c>
      <c r="K5302" s="3" t="s">
        <v>22</v>
      </c>
    </row>
    <row r="5303" spans="1:11" ht="42" customHeight="1">
      <c r="A5303" s="2" t="s">
        <v>10417</v>
      </c>
      <c r="B5303" s="2" t="s">
        <v>10418</v>
      </c>
      <c r="C5303" s="2" t="s">
        <v>50</v>
      </c>
      <c r="D5303" s="2" t="s">
        <v>51</v>
      </c>
      <c r="E5303" s="5">
        <v>-28254</v>
      </c>
      <c r="F5303" s="3" t="s">
        <v>3557</v>
      </c>
      <c r="G5303" s="3" t="s">
        <v>31</v>
      </c>
      <c r="H5303" s="2" t="s">
        <v>20</v>
      </c>
      <c r="I5303" s="2" t="s">
        <v>10419</v>
      </c>
      <c r="J5303" s="3" t="str">
        <f>HYPERLINK("https://www.boe.es/gazeta/dias/1822/08/22/pdfs/GMD-1822-246.pdf#page=3","Abrir facsímil")</f>
        <v>Abrir facsímil</v>
      </c>
      <c r="K5303" s="3" t="s">
        <v>22</v>
      </c>
    </row>
    <row r="5304" spans="1:11" ht="42" customHeight="1">
      <c r="A5304" s="2" t="s">
        <v>10420</v>
      </c>
      <c r="B5304" s="2" t="s">
        <v>10420</v>
      </c>
      <c r="C5304" s="2" t="s">
        <v>42</v>
      </c>
      <c r="D5304" s="2" t="s">
        <v>17</v>
      </c>
      <c r="E5304" s="5">
        <v>-28415</v>
      </c>
      <c r="F5304" s="3" t="s">
        <v>77</v>
      </c>
      <c r="G5304" s="3" t="s">
        <v>63</v>
      </c>
      <c r="H5304" s="2" t="s">
        <v>20</v>
      </c>
      <c r="I5304" s="2" t="s">
        <v>10421</v>
      </c>
      <c r="J5304" s="3" t="str">
        <f>HYPERLINK("https://www.boe.es/gazeta/dias/1822/03/14/pdfs/GMD-1822-75.pdf#page=6","Abrir facsímil")</f>
        <v>Abrir facsímil</v>
      </c>
      <c r="K5304" s="3" t="s">
        <v>22</v>
      </c>
    </row>
    <row r="5305" spans="1:11" ht="42" customHeight="1">
      <c r="A5305" s="2" t="s">
        <v>10422</v>
      </c>
      <c r="B5305" s="2" t="s">
        <v>10423</v>
      </c>
      <c r="C5305" s="2" t="s">
        <v>71</v>
      </c>
      <c r="D5305" s="2" t="s">
        <v>17</v>
      </c>
      <c r="E5305" s="5">
        <v>-28402</v>
      </c>
      <c r="F5305" s="3" t="s">
        <v>473</v>
      </c>
      <c r="G5305" s="3" t="s">
        <v>19</v>
      </c>
      <c r="H5305" s="2" t="s">
        <v>20</v>
      </c>
      <c r="I5305" s="2" t="s">
        <v>10424</v>
      </c>
      <c r="J5305" s="3" t="str">
        <f>HYPERLINK("https://www.boe.es/gazeta/dias/1822/03/27/pdfs/GMD-1822-88.pdf#page=5","Abrir facsímil")</f>
        <v>Abrir facsímil</v>
      </c>
      <c r="K5305" s="3" t="s">
        <v>22</v>
      </c>
    </row>
    <row r="5306" spans="1:11" ht="42" customHeight="1">
      <c r="A5306" s="2" t="s">
        <v>10425</v>
      </c>
      <c r="B5306" s="2" t="s">
        <v>10425</v>
      </c>
      <c r="C5306" s="2" t="s">
        <v>50</v>
      </c>
      <c r="D5306" s="2" t="s">
        <v>51</v>
      </c>
      <c r="E5306" s="5">
        <v>-28252</v>
      </c>
      <c r="F5306" s="3" t="s">
        <v>4333</v>
      </c>
      <c r="G5306" s="3" t="s">
        <v>31</v>
      </c>
      <c r="H5306" s="2" t="s">
        <v>20</v>
      </c>
      <c r="I5306" s="2" t="s">
        <v>10426</v>
      </c>
      <c r="J5306" s="3" t="str">
        <f>HYPERLINK("https://www.boe.es/gazeta/dias/1822/08/24/pdfs/GMD-1822-248.pdf#page=3","Abrir facsímil")</f>
        <v>Abrir facsímil</v>
      </c>
      <c r="K5306" s="3" t="s">
        <v>22</v>
      </c>
    </row>
    <row r="5307" spans="1:11" ht="42" customHeight="1">
      <c r="A5307" s="2" t="s">
        <v>10427</v>
      </c>
      <c r="B5307" s="2" t="s">
        <v>10427</v>
      </c>
      <c r="C5307" s="2" t="s">
        <v>50</v>
      </c>
      <c r="D5307" s="2" t="s">
        <v>51</v>
      </c>
      <c r="E5307" s="5">
        <v>-28137</v>
      </c>
      <c r="F5307" s="3" t="s">
        <v>312</v>
      </c>
      <c r="G5307" s="3" t="s">
        <v>63</v>
      </c>
      <c r="H5307" s="2" t="s">
        <v>20</v>
      </c>
      <c r="I5307" s="2" t="s">
        <v>10428</v>
      </c>
      <c r="J5307" s="3" t="str">
        <f>HYPERLINK("https://www.boe.es/gazeta/dias/1822/12/17/pdfs/GMD-1822-367.pdf#page=6","Abrir facsímil")</f>
        <v>Abrir facsímil</v>
      </c>
      <c r="K5307" s="3" t="s">
        <v>22</v>
      </c>
    </row>
    <row r="5308" spans="1:11" ht="42" customHeight="1">
      <c r="A5308" s="2" t="s">
        <v>10429</v>
      </c>
      <c r="B5308" s="2" t="s">
        <v>10430</v>
      </c>
      <c r="C5308" s="2" t="s">
        <v>42</v>
      </c>
      <c r="D5308" s="2" t="s">
        <v>17</v>
      </c>
      <c r="E5308" s="5">
        <v>-28221</v>
      </c>
      <c r="F5308" s="3" t="s">
        <v>2591</v>
      </c>
      <c r="G5308" s="3" t="s">
        <v>57</v>
      </c>
      <c r="H5308" s="2" t="s">
        <v>20</v>
      </c>
      <c r="I5308" s="2" t="s">
        <v>10431</v>
      </c>
      <c r="J5308" s="3" t="str">
        <f>HYPERLINK("https://www.boe.es/gazeta/dias/1822/09/24/pdfs/GMD-1822-280.pdf#page=4","Abrir facsímil")</f>
        <v>Abrir facsímil</v>
      </c>
      <c r="K5308" s="3" t="s">
        <v>22</v>
      </c>
    </row>
    <row r="5309" spans="1:11" ht="42" customHeight="1">
      <c r="A5309" s="2" t="s">
        <v>10432</v>
      </c>
      <c r="B5309" s="2" t="s">
        <v>10432</v>
      </c>
      <c r="C5309" s="2" t="s">
        <v>42</v>
      </c>
      <c r="D5309" s="2" t="s">
        <v>17</v>
      </c>
      <c r="E5309" s="5">
        <v>-28258</v>
      </c>
      <c r="F5309" s="3" t="s">
        <v>88</v>
      </c>
      <c r="G5309" s="3" t="s">
        <v>31</v>
      </c>
      <c r="H5309" s="2" t="s">
        <v>20</v>
      </c>
      <c r="I5309" s="2" t="s">
        <v>10433</v>
      </c>
      <c r="J5309" s="3" t="str">
        <f>HYPERLINK("https://www.boe.es/gazeta/dias/1822/08/18/pdfs/GMD-1822-242.pdf#page=3","Abrir facsímil")</f>
        <v>Abrir facsímil</v>
      </c>
      <c r="K5309" s="3" t="s">
        <v>22</v>
      </c>
    </row>
    <row r="5310" spans="1:11" ht="42" customHeight="1">
      <c r="A5310" s="2" t="s">
        <v>10434</v>
      </c>
      <c r="B5310" s="2" t="s">
        <v>10434</v>
      </c>
      <c r="C5310" s="2" t="s">
        <v>50</v>
      </c>
      <c r="D5310" s="2" t="s">
        <v>51</v>
      </c>
      <c r="E5310" s="5">
        <v>-28295</v>
      </c>
      <c r="F5310" s="3" t="s">
        <v>81</v>
      </c>
      <c r="G5310" s="3" t="s">
        <v>57</v>
      </c>
      <c r="H5310" s="2" t="s">
        <v>20</v>
      </c>
      <c r="I5310" s="2" t="s">
        <v>10435</v>
      </c>
      <c r="J5310" s="3" t="str">
        <f>HYPERLINK("https://www.boe.es/gazeta/dias/1822/07/12/pdfs/GMD-1822-202.pdf#page=4","Abrir facsímil")</f>
        <v>Abrir facsímil</v>
      </c>
      <c r="K5310" s="3" t="s">
        <v>22</v>
      </c>
    </row>
    <row r="5311" spans="1:11" ht="42" customHeight="1">
      <c r="A5311" s="2" t="s">
        <v>10436</v>
      </c>
      <c r="B5311" s="2" t="s">
        <v>10436</v>
      </c>
      <c r="C5311" s="2" t="s">
        <v>16</v>
      </c>
      <c r="D5311" s="2" t="s">
        <v>17</v>
      </c>
      <c r="E5311" s="5">
        <v>-28421</v>
      </c>
      <c r="F5311" s="3" t="s">
        <v>446</v>
      </c>
      <c r="G5311" s="3" t="s">
        <v>31</v>
      </c>
      <c r="H5311" s="2" t="s">
        <v>20</v>
      </c>
      <c r="I5311" s="2" t="s">
        <v>10437</v>
      </c>
      <c r="J5311" s="3" t="str">
        <f>HYPERLINK("https://www.boe.es/gazeta/dias/1822/03/08/pdfs/GMD-1822-69.pdf#page=3","Abrir facsímil")</f>
        <v>Abrir facsímil</v>
      </c>
      <c r="K5311" s="3" t="s">
        <v>22</v>
      </c>
    </row>
    <row r="5312" spans="1:11" ht="42" customHeight="1">
      <c r="A5312" s="2" t="s">
        <v>10438</v>
      </c>
      <c r="B5312" s="2" t="s">
        <v>10438</v>
      </c>
      <c r="C5312" s="2" t="s">
        <v>42</v>
      </c>
      <c r="D5312" s="2" t="s">
        <v>17</v>
      </c>
      <c r="E5312" s="5">
        <v>-28186</v>
      </c>
      <c r="F5312" s="3" t="s">
        <v>581</v>
      </c>
      <c r="G5312" s="3" t="s">
        <v>35</v>
      </c>
      <c r="H5312" s="2" t="s">
        <v>20</v>
      </c>
      <c r="I5312" s="2" t="s">
        <v>10439</v>
      </c>
      <c r="J5312" s="3" t="str">
        <f>HYPERLINK("https://www.boe.es/gazeta/dias/1822/10/29/pdfs/GMD-1822-316.pdf#page=2","Abrir facsímil")</f>
        <v>Abrir facsímil</v>
      </c>
      <c r="K5312" s="3" t="s">
        <v>22</v>
      </c>
    </row>
    <row r="5313" spans="1:11" ht="42" customHeight="1">
      <c r="A5313" s="2" t="s">
        <v>10440</v>
      </c>
      <c r="B5313" s="2" t="s">
        <v>10441</v>
      </c>
      <c r="C5313" s="2" t="s">
        <v>28</v>
      </c>
      <c r="D5313" s="2" t="s">
        <v>29</v>
      </c>
      <c r="E5313" s="5">
        <v>-28384</v>
      </c>
      <c r="F5313" s="3" t="s">
        <v>258</v>
      </c>
      <c r="G5313" s="3" t="s">
        <v>31</v>
      </c>
      <c r="H5313" s="2" t="s">
        <v>20</v>
      </c>
      <c r="I5313" s="2" t="s">
        <v>10442</v>
      </c>
      <c r="J5313" s="3" t="str">
        <f>HYPERLINK("https://www.boe.es/gazeta/dias/1822/04/14/pdfs/GMD-1822-106.pdf#page=3","Abrir facsímil")</f>
        <v>Abrir facsímil</v>
      </c>
      <c r="K5313" s="3" t="s">
        <v>22</v>
      </c>
    </row>
    <row r="5314" spans="1:11" ht="42" customHeight="1">
      <c r="A5314" s="2" t="s">
        <v>10443</v>
      </c>
      <c r="B5314" s="2" t="s">
        <v>10443</v>
      </c>
      <c r="C5314" s="2" t="s">
        <v>42</v>
      </c>
      <c r="D5314" s="2" t="s">
        <v>17</v>
      </c>
      <c r="E5314" s="5">
        <v>-28163</v>
      </c>
      <c r="F5314" s="3" t="s">
        <v>891</v>
      </c>
      <c r="G5314" s="3" t="s">
        <v>35</v>
      </c>
      <c r="H5314" s="2" t="s">
        <v>20</v>
      </c>
      <c r="I5314" s="2" t="s">
        <v>10444</v>
      </c>
      <c r="J5314" s="3" t="str">
        <f>HYPERLINK("https://www.boe.es/gazeta/dias/1822/11/21/pdfs/GMD-1822-341.pdf#page=2","Abrir facsímil")</f>
        <v>Abrir facsímil</v>
      </c>
      <c r="K5314" s="3" t="s">
        <v>22</v>
      </c>
    </row>
    <row r="5315" spans="1:11" ht="42" customHeight="1">
      <c r="A5315" s="2" t="s">
        <v>10445</v>
      </c>
      <c r="B5315" s="2" t="s">
        <v>10445</v>
      </c>
      <c r="C5315" s="2" t="s">
        <v>50</v>
      </c>
      <c r="D5315" s="2" t="s">
        <v>51</v>
      </c>
      <c r="E5315" s="5">
        <v>-28130</v>
      </c>
      <c r="F5315" s="3" t="s">
        <v>34</v>
      </c>
      <c r="G5315" s="3" t="s">
        <v>44</v>
      </c>
      <c r="H5315" s="2" t="s">
        <v>20</v>
      </c>
      <c r="I5315" s="2" t="s">
        <v>10446</v>
      </c>
      <c r="J5315" s="3" t="str">
        <f>HYPERLINK("https://www.boe.es/gazeta/dias/1822/12/24/pdfs/GMD-1822-374.pdf#page=1","Abrir facsímil")</f>
        <v>Abrir facsímil</v>
      </c>
      <c r="K5315" s="3" t="s">
        <v>22</v>
      </c>
    </row>
    <row r="5316" spans="1:11" ht="42" customHeight="1">
      <c r="A5316" s="2" t="s">
        <v>10447</v>
      </c>
      <c r="B5316" s="2" t="s">
        <v>10448</v>
      </c>
      <c r="C5316" s="2" t="s">
        <v>24</v>
      </c>
      <c r="D5316" s="2" t="s">
        <v>17</v>
      </c>
      <c r="E5316" s="5">
        <v>-28446</v>
      </c>
      <c r="F5316" s="3" t="s">
        <v>773</v>
      </c>
      <c r="G5316" s="3" t="s">
        <v>35</v>
      </c>
      <c r="H5316" s="2" t="s">
        <v>20</v>
      </c>
      <c r="I5316" s="2" t="s">
        <v>10449</v>
      </c>
      <c r="J5316" s="3" t="str">
        <f>HYPERLINK("https://www.boe.es/gazeta/dias/1822/02/11/pdfs/GMD-1822-42.pdf#page=2","Abrir facsímil")</f>
        <v>Abrir facsímil</v>
      </c>
      <c r="K5316" s="3" t="s">
        <v>22</v>
      </c>
    </row>
    <row r="5317" spans="1:11" ht="42" customHeight="1">
      <c r="A5317" s="2" t="s">
        <v>10450</v>
      </c>
      <c r="B5317" s="2" t="s">
        <v>10450</v>
      </c>
      <c r="C5317" s="2" t="s">
        <v>50</v>
      </c>
      <c r="D5317" s="2" t="s">
        <v>51</v>
      </c>
      <c r="E5317" s="5">
        <v>-28349</v>
      </c>
      <c r="F5317" s="3" t="s">
        <v>518</v>
      </c>
      <c r="G5317" s="3" t="s">
        <v>57</v>
      </c>
      <c r="H5317" s="2" t="s">
        <v>20</v>
      </c>
      <c r="I5317" s="2" t="s">
        <v>10451</v>
      </c>
      <c r="J5317" s="3" t="str">
        <f>HYPERLINK("https://www.boe.es/gazeta/dias/1822/05/19/pdfs/GMD-1822-141.pdf#page=4","Abrir facsímil")</f>
        <v>Abrir facsímil</v>
      </c>
      <c r="K5317" s="3" t="s">
        <v>22</v>
      </c>
    </row>
    <row r="5318" spans="1:11" ht="42" customHeight="1">
      <c r="A5318" s="2" t="s">
        <v>10452</v>
      </c>
      <c r="B5318" s="2" t="s">
        <v>10453</v>
      </c>
      <c r="C5318" s="2" t="s">
        <v>42</v>
      </c>
      <c r="D5318" s="2" t="s">
        <v>17</v>
      </c>
      <c r="E5318" s="5">
        <v>-28161</v>
      </c>
      <c r="F5318" s="3" t="s">
        <v>166</v>
      </c>
      <c r="G5318" s="3" t="s">
        <v>157</v>
      </c>
      <c r="H5318" s="2" t="s">
        <v>20</v>
      </c>
      <c r="I5318" s="2" t="s">
        <v>10454</v>
      </c>
      <c r="J5318" s="3" t="str">
        <f>HYPERLINK("https://www.boe.es/gazeta/dias/1822/11/23/pdfs/GMD-1822-343.pdf#page=8","Abrir facsímil")</f>
        <v>Abrir facsímil</v>
      </c>
      <c r="K5318" s="3" t="s">
        <v>22</v>
      </c>
    </row>
    <row r="5319" spans="1:11" ht="42" customHeight="1">
      <c r="A5319" s="2" t="s">
        <v>10455</v>
      </c>
      <c r="B5319" s="2" t="s">
        <v>10456</v>
      </c>
      <c r="C5319" s="2" t="s">
        <v>71</v>
      </c>
      <c r="D5319" s="2" t="s">
        <v>17</v>
      </c>
      <c r="E5319" s="5">
        <v>-28410</v>
      </c>
      <c r="F5319" s="3" t="s">
        <v>966</v>
      </c>
      <c r="G5319" s="3" t="s">
        <v>31</v>
      </c>
      <c r="H5319" s="2" t="s">
        <v>20</v>
      </c>
      <c r="I5319" s="2" t="s">
        <v>10457</v>
      </c>
      <c r="J5319" s="3" t="str">
        <f>HYPERLINK("https://www.boe.es/gazeta/dias/1822/03/19/pdfs/GMD-1822-80.pdf#page=3","Abrir facsímil")</f>
        <v>Abrir facsímil</v>
      </c>
      <c r="K5319" s="3" t="s">
        <v>22</v>
      </c>
    </row>
    <row r="5320" spans="1:11" ht="42" customHeight="1">
      <c r="A5320" s="2" t="s">
        <v>10458</v>
      </c>
      <c r="B5320" s="2" t="s">
        <v>10459</v>
      </c>
      <c r="C5320" s="2" t="s">
        <v>24</v>
      </c>
      <c r="D5320" s="2" t="s">
        <v>17</v>
      </c>
      <c r="E5320" s="5">
        <v>-28270</v>
      </c>
      <c r="F5320" s="3" t="s">
        <v>130</v>
      </c>
      <c r="G5320" s="3" t="s">
        <v>131</v>
      </c>
      <c r="H5320" s="2" t="s">
        <v>20</v>
      </c>
      <c r="I5320" s="2" t="s">
        <v>10460</v>
      </c>
      <c r="J5320" s="3" t="str">
        <f>HYPERLINK("https://www.boe.es/gazeta/dias/1822/08/06/pdfs/GMD-1822-230.pdf#page=6","Abrir facsímil")</f>
        <v>Abrir facsímil</v>
      </c>
      <c r="K5320" s="3" t="s">
        <v>22</v>
      </c>
    </row>
    <row r="5321" spans="1:11" ht="42" customHeight="1">
      <c r="A5321" s="2" t="s">
        <v>10461</v>
      </c>
      <c r="B5321" s="2" t="s">
        <v>10461</v>
      </c>
      <c r="C5321" s="2" t="s">
        <v>24</v>
      </c>
      <c r="D5321" s="2" t="s">
        <v>17</v>
      </c>
      <c r="E5321" s="5">
        <v>-28291</v>
      </c>
      <c r="F5321" s="3" t="s">
        <v>363</v>
      </c>
      <c r="G5321" s="3" t="s">
        <v>57</v>
      </c>
      <c r="H5321" s="2" t="s">
        <v>20</v>
      </c>
      <c r="I5321" s="2" t="s">
        <v>10462</v>
      </c>
      <c r="J5321" s="3" t="str">
        <f>HYPERLINK("https://www.boe.es/gazeta/dias/1822/07/16/pdfs/GMD-1822-206.pdf#page=4","Abrir facsímil")</f>
        <v>Abrir facsímil</v>
      </c>
      <c r="K5321" s="3" t="s">
        <v>22</v>
      </c>
    </row>
    <row r="5322" spans="1:11" ht="42" customHeight="1">
      <c r="A5322" s="2" t="s">
        <v>10463</v>
      </c>
      <c r="B5322" s="2" t="s">
        <v>10463</v>
      </c>
      <c r="C5322" s="2" t="s">
        <v>71</v>
      </c>
      <c r="D5322" s="2" t="s">
        <v>17</v>
      </c>
      <c r="E5322" s="5">
        <v>-28443</v>
      </c>
      <c r="F5322" s="3" t="s">
        <v>668</v>
      </c>
      <c r="G5322" s="3" t="s">
        <v>57</v>
      </c>
      <c r="H5322" s="2" t="s">
        <v>20</v>
      </c>
      <c r="I5322" s="2" t="s">
        <v>10464</v>
      </c>
      <c r="J5322" s="3" t="str">
        <f>HYPERLINK("https://www.boe.es/gazeta/dias/1822/02/14/pdfs/GMD-1822-45.pdf#page=4","Abrir facsímil")</f>
        <v>Abrir facsímil</v>
      </c>
      <c r="K5322" s="3" t="s">
        <v>22</v>
      </c>
    </row>
    <row r="5323" spans="1:11" ht="42" customHeight="1">
      <c r="A5323" s="2" t="s">
        <v>10465</v>
      </c>
      <c r="B5323" s="2" t="s">
        <v>10466</v>
      </c>
      <c r="C5323" s="2" t="s">
        <v>28</v>
      </c>
      <c r="D5323" s="2" t="s">
        <v>29</v>
      </c>
      <c r="E5323" s="5">
        <v>-28370</v>
      </c>
      <c r="F5323" s="3" t="s">
        <v>207</v>
      </c>
      <c r="G5323" s="3" t="s">
        <v>63</v>
      </c>
      <c r="H5323" s="2" t="s">
        <v>20</v>
      </c>
      <c r="I5323" s="2" t="s">
        <v>10467</v>
      </c>
      <c r="J5323" s="3" t="str">
        <f>HYPERLINK("https://www.boe.es/gazeta/dias/1822/04/28/pdfs/GMD-1822-120.pdf#page=6","Abrir facsímil")</f>
        <v>Abrir facsímil</v>
      </c>
      <c r="K5323" s="3" t="s">
        <v>22</v>
      </c>
    </row>
    <row r="5324" spans="1:11" ht="42" customHeight="1">
      <c r="A5324" s="2" t="s">
        <v>10465</v>
      </c>
      <c r="B5324" s="2" t="s">
        <v>10466</v>
      </c>
      <c r="C5324" s="2" t="s">
        <v>24</v>
      </c>
      <c r="D5324" s="2" t="s">
        <v>17</v>
      </c>
      <c r="E5324" s="5">
        <v>-28324</v>
      </c>
      <c r="F5324" s="3" t="s">
        <v>305</v>
      </c>
      <c r="G5324" s="3" t="s">
        <v>63</v>
      </c>
      <c r="H5324" s="2" t="s">
        <v>20</v>
      </c>
      <c r="I5324" s="2" t="s">
        <v>10468</v>
      </c>
      <c r="J5324" s="3" t="str">
        <f>HYPERLINK("https://www.boe.es/gazeta/dias/1822/06/13/pdfs/GMD-1822-170.pdf#page=6","Abrir facsímil")</f>
        <v>Abrir facsímil</v>
      </c>
      <c r="K5324" s="3" t="s">
        <v>22</v>
      </c>
    </row>
    <row r="5325" spans="1:11" ht="42" customHeight="1">
      <c r="A5325" s="2" t="s">
        <v>10465</v>
      </c>
      <c r="B5325" s="2" t="s">
        <v>10466</v>
      </c>
      <c r="C5325" s="2" t="s">
        <v>24</v>
      </c>
      <c r="D5325" s="2" t="s">
        <v>17</v>
      </c>
      <c r="E5325" s="5">
        <v>-28276</v>
      </c>
      <c r="F5325" s="3" t="s">
        <v>4746</v>
      </c>
      <c r="G5325" s="3" t="s">
        <v>57</v>
      </c>
      <c r="H5325" s="2" t="s">
        <v>20</v>
      </c>
      <c r="I5325" s="2" t="s">
        <v>10469</v>
      </c>
      <c r="J5325" s="3" t="str">
        <f>HYPERLINK("https://www.boe.es/gazeta/dias/1822/07/31/pdfs/GMD-1822-224.pdf#page=4","Abrir facsímil")</f>
        <v>Abrir facsímil</v>
      </c>
      <c r="K5325" s="3" t="s">
        <v>22</v>
      </c>
    </row>
    <row r="5326" spans="1:11" ht="42" customHeight="1">
      <c r="A5326" s="2" t="s">
        <v>10465</v>
      </c>
      <c r="B5326" s="2" t="s">
        <v>10466</v>
      </c>
      <c r="C5326" s="2" t="s">
        <v>28</v>
      </c>
      <c r="D5326" s="2" t="s">
        <v>29</v>
      </c>
      <c r="E5326" s="5">
        <v>-28239</v>
      </c>
      <c r="F5326" s="3" t="s">
        <v>3154</v>
      </c>
      <c r="G5326" s="3" t="s">
        <v>57</v>
      </c>
      <c r="H5326" s="2" t="s">
        <v>20</v>
      </c>
      <c r="I5326" s="2" t="s">
        <v>10470</v>
      </c>
      <c r="J5326" s="3" t="str">
        <f>HYPERLINK("https://www.boe.es/gazeta/dias/1822/09/06/pdfs/GMD-1822-261.pdf#page=4","Abrir facsímil")</f>
        <v>Abrir facsímil</v>
      </c>
      <c r="K5326" s="3" t="s">
        <v>22</v>
      </c>
    </row>
    <row r="5327" spans="1:11" ht="42" customHeight="1">
      <c r="A5327" s="2" t="s">
        <v>10465</v>
      </c>
      <c r="B5327" s="2" t="s">
        <v>10466</v>
      </c>
      <c r="C5327" s="2" t="s">
        <v>28</v>
      </c>
      <c r="D5327" s="2" t="s">
        <v>29</v>
      </c>
      <c r="E5327" s="5">
        <v>-28222</v>
      </c>
      <c r="F5327" s="3" t="s">
        <v>2027</v>
      </c>
      <c r="G5327" s="3" t="s">
        <v>57</v>
      </c>
      <c r="H5327" s="2" t="s">
        <v>20</v>
      </c>
      <c r="I5327" s="2" t="s">
        <v>10471</v>
      </c>
      <c r="J5327" s="3" t="str">
        <f>HYPERLINK("https://www.boe.es/gazeta/dias/1822/09/23/pdfs/GMD-1822-279.pdf#page=4","Abrir facsímil")</f>
        <v>Abrir facsímil</v>
      </c>
      <c r="K5327" s="3" t="s">
        <v>22</v>
      </c>
    </row>
    <row r="5328" spans="1:11" ht="42" customHeight="1">
      <c r="A5328" s="2" t="s">
        <v>10465</v>
      </c>
      <c r="B5328" s="2" t="s">
        <v>10466</v>
      </c>
      <c r="C5328" s="2" t="s">
        <v>50</v>
      </c>
      <c r="D5328" s="2" t="s">
        <v>51</v>
      </c>
      <c r="E5328" s="5">
        <v>-28197</v>
      </c>
      <c r="F5328" s="3" t="s">
        <v>568</v>
      </c>
      <c r="G5328" s="3" t="s">
        <v>63</v>
      </c>
      <c r="H5328" s="2" t="s">
        <v>20</v>
      </c>
      <c r="I5328" s="2" t="s">
        <v>10472</v>
      </c>
      <c r="J5328" s="3" t="str">
        <f>HYPERLINK("https://www.boe.es/gazeta/dias/1822/10/18/pdfs/GMD-1822-305.pdf#page=6","Abrir facsímil")</f>
        <v>Abrir facsímil</v>
      </c>
      <c r="K5328" s="3" t="s">
        <v>22</v>
      </c>
    </row>
    <row r="5329" spans="1:11" ht="42" customHeight="1">
      <c r="A5329" s="2" t="s">
        <v>10465</v>
      </c>
      <c r="B5329" s="2" t="s">
        <v>10466</v>
      </c>
      <c r="C5329" s="2" t="s">
        <v>24</v>
      </c>
      <c r="D5329" s="2" t="s">
        <v>17</v>
      </c>
      <c r="E5329" s="5">
        <v>-28183</v>
      </c>
      <c r="F5329" s="3" t="s">
        <v>583</v>
      </c>
      <c r="G5329" s="3" t="s">
        <v>63</v>
      </c>
      <c r="H5329" s="2" t="s">
        <v>20</v>
      </c>
      <c r="I5329" s="2" t="s">
        <v>10473</v>
      </c>
      <c r="J5329" s="3" t="str">
        <f>HYPERLINK("https://www.boe.es/gazeta/dias/1822/11/01/pdfs/GMD-1822-319.pdf#page=6","Abrir facsímil")</f>
        <v>Abrir facsímil</v>
      </c>
      <c r="K5329" s="3" t="s">
        <v>22</v>
      </c>
    </row>
    <row r="5330" spans="1:11" ht="42" customHeight="1">
      <c r="A5330" s="2" t="s">
        <v>10474</v>
      </c>
      <c r="B5330" s="2" t="s">
        <v>10475</v>
      </c>
      <c r="C5330" s="2" t="s">
        <v>42</v>
      </c>
      <c r="D5330" s="2" t="s">
        <v>17</v>
      </c>
      <c r="E5330" s="5">
        <v>-28310</v>
      </c>
      <c r="F5330" s="3" t="s">
        <v>241</v>
      </c>
      <c r="G5330" s="3" t="s">
        <v>35</v>
      </c>
      <c r="H5330" s="2" t="s">
        <v>20</v>
      </c>
      <c r="I5330" s="2" t="s">
        <v>10476</v>
      </c>
      <c r="J5330" s="3" t="str">
        <f>HYPERLINK("https://www.boe.es/gazeta/dias/1822/06/27/pdfs/GMD-1822-185.pdf#page=2","Abrir facsímil")</f>
        <v>Abrir facsímil</v>
      </c>
      <c r="K5330" s="3" t="s">
        <v>22</v>
      </c>
    </row>
    <row r="5331" spans="1:11" ht="42" customHeight="1">
      <c r="A5331" s="2" t="s">
        <v>10477</v>
      </c>
      <c r="B5331" s="2" t="s">
        <v>10477</v>
      </c>
      <c r="C5331" s="2" t="s">
        <v>42</v>
      </c>
      <c r="D5331" s="2" t="s">
        <v>17</v>
      </c>
      <c r="E5331" s="5">
        <v>-28315</v>
      </c>
      <c r="F5331" s="3" t="s">
        <v>1220</v>
      </c>
      <c r="G5331" s="3" t="s">
        <v>63</v>
      </c>
      <c r="H5331" s="2" t="s">
        <v>20</v>
      </c>
      <c r="I5331" s="2" t="s">
        <v>10478</v>
      </c>
      <c r="J5331" s="3" t="str">
        <f>HYPERLINK("https://www.boe.es/gazeta/dias/1822/06/22/pdfs/GMD-1822-180.pdf#page=6","Abrir facsímil")</f>
        <v>Abrir facsímil</v>
      </c>
      <c r="K5331" s="3" t="s">
        <v>22</v>
      </c>
    </row>
    <row r="5332" spans="1:11" ht="42" customHeight="1">
      <c r="A5332" s="2" t="s">
        <v>10479</v>
      </c>
      <c r="B5332" s="2" t="s">
        <v>10480</v>
      </c>
      <c r="C5332" s="2" t="s">
        <v>28</v>
      </c>
      <c r="D5332" s="2" t="s">
        <v>29</v>
      </c>
      <c r="E5332" s="5">
        <v>-28435</v>
      </c>
      <c r="F5332" s="3" t="s">
        <v>1710</v>
      </c>
      <c r="G5332" s="3" t="s">
        <v>57</v>
      </c>
      <c r="H5332" s="2" t="s">
        <v>20</v>
      </c>
      <c r="I5332" s="2" t="s">
        <v>10481</v>
      </c>
      <c r="J5332" s="3" t="str">
        <f>HYPERLINK("https://www.boe.es/gazeta/dias/1822/02/22/pdfs/GMD-1822-54.pdf#page=4","Abrir facsímil")</f>
        <v>Abrir facsímil</v>
      </c>
      <c r="K5332" s="3" t="s">
        <v>22</v>
      </c>
    </row>
    <row r="5333" spans="1:11" ht="42" customHeight="1">
      <c r="A5333" s="2" t="s">
        <v>10482</v>
      </c>
      <c r="B5333" s="2" t="s">
        <v>10482</v>
      </c>
      <c r="C5333" s="2" t="s">
        <v>42</v>
      </c>
      <c r="D5333" s="2" t="s">
        <v>17</v>
      </c>
      <c r="E5333" s="5">
        <v>-28259</v>
      </c>
      <c r="F5333" s="3" t="s">
        <v>1912</v>
      </c>
      <c r="G5333" s="3" t="s">
        <v>44</v>
      </c>
      <c r="H5333" s="2" t="s">
        <v>20</v>
      </c>
      <c r="I5333" s="2" t="s">
        <v>10483</v>
      </c>
      <c r="J5333" s="3" t="str">
        <f>HYPERLINK("https://www.boe.es/gazeta/dias/1822/08/17/pdfs/GMD-1822-241.pdf#page=1","Abrir facsímil")</f>
        <v>Abrir facsímil</v>
      </c>
      <c r="K5333" s="3" t="s">
        <v>22</v>
      </c>
    </row>
    <row r="5334" spans="1:11" ht="42" customHeight="1">
      <c r="A5334" s="2" t="s">
        <v>10484</v>
      </c>
      <c r="B5334" s="2" t="s">
        <v>10485</v>
      </c>
      <c r="C5334" s="2" t="s">
        <v>61</v>
      </c>
      <c r="D5334" s="2" t="s">
        <v>17</v>
      </c>
      <c r="E5334" s="5">
        <v>-28358</v>
      </c>
      <c r="F5334" s="3" t="s">
        <v>211</v>
      </c>
      <c r="G5334" s="3" t="s">
        <v>35</v>
      </c>
      <c r="H5334" s="2" t="s">
        <v>20</v>
      </c>
      <c r="I5334" s="2" t="s">
        <v>10486</v>
      </c>
      <c r="J5334" s="3" t="str">
        <f>HYPERLINK("https://www.boe.es/gazeta/dias/1822/05/10/pdfs/GMD-1822-132.pdf#page=2","Abrir facsímil")</f>
        <v>Abrir facsímil</v>
      </c>
      <c r="K5334" s="3" t="s">
        <v>22</v>
      </c>
    </row>
    <row r="5335" spans="1:11" ht="42" customHeight="1">
      <c r="A5335" s="2" t="s">
        <v>10487</v>
      </c>
      <c r="B5335" s="2" t="s">
        <v>10488</v>
      </c>
      <c r="C5335" s="2" t="s">
        <v>42</v>
      </c>
      <c r="D5335" s="2" t="s">
        <v>17</v>
      </c>
      <c r="E5335" s="5">
        <v>-28283</v>
      </c>
      <c r="F5335" s="3" t="s">
        <v>1477</v>
      </c>
      <c r="G5335" s="3" t="s">
        <v>35</v>
      </c>
      <c r="H5335" s="2" t="s">
        <v>20</v>
      </c>
      <c r="I5335" s="2" t="s">
        <v>10489</v>
      </c>
      <c r="J5335" s="3" t="str">
        <f>HYPERLINK("https://www.boe.es/gazeta/dias/1822/07/24/pdfs/GMD-1822-217.pdf#page=2","Abrir facsímil")</f>
        <v>Abrir facsímil</v>
      </c>
      <c r="K5335" s="3" t="s">
        <v>22</v>
      </c>
    </row>
    <row r="5336" spans="1:11" ht="42" customHeight="1">
      <c r="A5336" s="2" t="s">
        <v>10490</v>
      </c>
      <c r="B5336" s="2" t="s">
        <v>10491</v>
      </c>
      <c r="C5336" s="2" t="s">
        <v>50</v>
      </c>
      <c r="D5336" s="2" t="s">
        <v>51</v>
      </c>
      <c r="E5336" s="5">
        <v>-28259</v>
      </c>
      <c r="F5336" s="3" t="s">
        <v>1912</v>
      </c>
      <c r="G5336" s="3" t="s">
        <v>44</v>
      </c>
      <c r="H5336" s="2" t="s">
        <v>45</v>
      </c>
      <c r="I5336" s="2" t="s">
        <v>10492</v>
      </c>
      <c r="J5336" s="3" t="str">
        <f>HYPERLINK("https://www.boe.es/gazeta/dias/1822/08/17/pdfs/GMD-1822-241.pdf#page=1","Abrir facsímil")</f>
        <v>Abrir facsímil</v>
      </c>
      <c r="K5336" s="3" t="s">
        <v>47</v>
      </c>
    </row>
    <row r="5337" spans="1:11" ht="42" customHeight="1">
      <c r="A5337" s="2" t="s">
        <v>10493</v>
      </c>
      <c r="B5337" s="2" t="s">
        <v>10493</v>
      </c>
      <c r="C5337" s="2" t="s">
        <v>28</v>
      </c>
      <c r="D5337" s="2" t="s">
        <v>29</v>
      </c>
      <c r="E5337" s="5">
        <v>-28202</v>
      </c>
      <c r="F5337" s="3" t="s">
        <v>922</v>
      </c>
      <c r="G5337" s="3" t="s">
        <v>19</v>
      </c>
      <c r="H5337" s="2" t="s">
        <v>20</v>
      </c>
      <c r="I5337" s="2" t="s">
        <v>10494</v>
      </c>
      <c r="J5337" s="3" t="str">
        <f>HYPERLINK("https://www.boe.es/gazeta/dias/1822/10/13/pdfs/GMD-1822-300.pdf#page=5","Abrir facsímil")</f>
        <v>Abrir facsímil</v>
      </c>
      <c r="K5337" s="3" t="s">
        <v>22</v>
      </c>
    </row>
    <row r="5338" spans="1:11" ht="42" customHeight="1">
      <c r="A5338" s="2" t="s">
        <v>10495</v>
      </c>
      <c r="B5338" s="2" t="s">
        <v>10495</v>
      </c>
      <c r="C5338" s="2" t="s">
        <v>50</v>
      </c>
      <c r="D5338" s="2" t="s">
        <v>51</v>
      </c>
      <c r="E5338" s="5">
        <v>-28441</v>
      </c>
      <c r="F5338" s="3" t="s">
        <v>429</v>
      </c>
      <c r="G5338" s="3" t="s">
        <v>44</v>
      </c>
      <c r="H5338" s="2" t="s">
        <v>20</v>
      </c>
      <c r="I5338" s="2" t="s">
        <v>10496</v>
      </c>
      <c r="J5338" s="3" t="str">
        <f>HYPERLINK("https://www.boe.es/gazeta/dias/1822/02/16/pdfs/GMD-1822-48.pdf#page=1","Abrir facsímil")</f>
        <v>Abrir facsímil</v>
      </c>
      <c r="K5338" s="3" t="s">
        <v>22</v>
      </c>
    </row>
    <row r="5339" spans="1:11" ht="42" customHeight="1">
      <c r="A5339" s="2" t="s">
        <v>10497</v>
      </c>
      <c r="B5339" s="2" t="s">
        <v>10498</v>
      </c>
      <c r="C5339" s="2" t="s">
        <v>28</v>
      </c>
      <c r="D5339" s="2" t="s">
        <v>29</v>
      </c>
      <c r="E5339" s="5">
        <v>-28200</v>
      </c>
      <c r="F5339" s="3" t="s">
        <v>1037</v>
      </c>
      <c r="G5339" s="3" t="s">
        <v>63</v>
      </c>
      <c r="H5339" s="2" t="s">
        <v>20</v>
      </c>
      <c r="I5339" s="2" t="s">
        <v>10499</v>
      </c>
      <c r="J5339" s="3" t="str">
        <f>HYPERLINK("https://www.boe.es/gazeta/dias/1822/10/15/pdfs/GMD-1822-302.pdf#page=6","Abrir facsímil")</f>
        <v>Abrir facsímil</v>
      </c>
      <c r="K5339" s="3" t="s">
        <v>22</v>
      </c>
    </row>
    <row r="5340" spans="1:11" ht="42" customHeight="1">
      <c r="A5340" s="2" t="s">
        <v>10500</v>
      </c>
      <c r="B5340" s="2" t="s">
        <v>10501</v>
      </c>
      <c r="C5340" s="2" t="s">
        <v>42</v>
      </c>
      <c r="D5340" s="2" t="s">
        <v>17</v>
      </c>
      <c r="E5340" s="5">
        <v>-28230</v>
      </c>
      <c r="F5340" s="3" t="s">
        <v>1735</v>
      </c>
      <c r="G5340" s="3" t="s">
        <v>31</v>
      </c>
      <c r="H5340" s="2" t="s">
        <v>20</v>
      </c>
      <c r="I5340" s="2" t="s">
        <v>10502</v>
      </c>
      <c r="J5340" s="3" t="str">
        <f>HYPERLINK("https://www.boe.es/gazeta/dias/1822/09/15/pdfs/GMD-1822-271.pdf#page=3","Abrir facsímil")</f>
        <v>Abrir facsímil</v>
      </c>
      <c r="K5340" s="3" t="s">
        <v>22</v>
      </c>
    </row>
    <row r="5341" spans="1:11" ht="42" customHeight="1">
      <c r="A5341" s="2" t="s">
        <v>10503</v>
      </c>
      <c r="B5341" s="2" t="s">
        <v>10504</v>
      </c>
      <c r="C5341" s="2" t="s">
        <v>50</v>
      </c>
      <c r="D5341" s="2" t="s">
        <v>51</v>
      </c>
      <c r="E5341" s="5">
        <v>-28449</v>
      </c>
      <c r="F5341" s="3" t="s">
        <v>1342</v>
      </c>
      <c r="G5341" s="3" t="s">
        <v>35</v>
      </c>
      <c r="H5341" s="2" t="s">
        <v>20</v>
      </c>
      <c r="I5341" s="2" t="s">
        <v>10505</v>
      </c>
      <c r="J5341" s="3" t="str">
        <f>HYPERLINK("https://www.boe.es/gazeta/dias/1822/02/08/pdfs/GMD-1822-39.pdf#page=2","Abrir facsímil")</f>
        <v>Abrir facsímil</v>
      </c>
      <c r="K5341" s="3" t="s">
        <v>22</v>
      </c>
    </row>
    <row r="5342" spans="1:11" ht="42" customHeight="1">
      <c r="A5342" s="2" t="s">
        <v>10506</v>
      </c>
      <c r="B5342" s="2" t="s">
        <v>10507</v>
      </c>
      <c r="C5342" s="2" t="s">
        <v>28</v>
      </c>
      <c r="D5342" s="2" t="s">
        <v>29</v>
      </c>
      <c r="E5342" s="5">
        <v>-28387</v>
      </c>
      <c r="F5342" s="3" t="s">
        <v>2874</v>
      </c>
      <c r="G5342" s="3" t="s">
        <v>63</v>
      </c>
      <c r="H5342" s="2" t="s">
        <v>20</v>
      </c>
      <c r="I5342" s="2" t="s">
        <v>10508</v>
      </c>
      <c r="J5342" s="3" t="str">
        <f>HYPERLINK("https://www.boe.es/gazeta/dias/1822/04/11/pdfs/GMD-1822-103.pdf#page=6","Abrir facsímil")</f>
        <v>Abrir facsímil</v>
      </c>
      <c r="K5342" s="3" t="s">
        <v>22</v>
      </c>
    </row>
    <row r="5343" spans="1:11" ht="42" customHeight="1">
      <c r="A5343" s="2" t="s">
        <v>10509</v>
      </c>
      <c r="B5343" s="2" t="s">
        <v>10510</v>
      </c>
      <c r="C5343" s="2" t="s">
        <v>362</v>
      </c>
      <c r="D5343" s="2" t="s">
        <v>17</v>
      </c>
      <c r="E5343" s="5">
        <v>-28437</v>
      </c>
      <c r="F5343" s="3" t="s">
        <v>2192</v>
      </c>
      <c r="G5343" s="3" t="s">
        <v>57</v>
      </c>
      <c r="H5343" s="2" t="s">
        <v>20</v>
      </c>
      <c r="I5343" s="2" t="s">
        <v>10511</v>
      </c>
      <c r="J5343" s="3" t="str">
        <f>HYPERLINK("https://www.boe.es/gazeta/dias/1822/02/20/pdfs/GMD-1822-52.pdf#page=4","Abrir facsímil")</f>
        <v>Abrir facsímil</v>
      </c>
      <c r="K5343" s="3" t="s">
        <v>22</v>
      </c>
    </row>
    <row r="5344" spans="1:11" ht="42" customHeight="1">
      <c r="A5344" s="2" t="s">
        <v>10509</v>
      </c>
      <c r="B5344" s="2" t="s">
        <v>10510</v>
      </c>
      <c r="C5344" s="2" t="s">
        <v>61</v>
      </c>
      <c r="D5344" s="2" t="s">
        <v>17</v>
      </c>
      <c r="E5344" s="5">
        <v>-28150</v>
      </c>
      <c r="F5344" s="3" t="s">
        <v>62</v>
      </c>
      <c r="G5344" s="3" t="s">
        <v>63</v>
      </c>
      <c r="H5344" s="2" t="s">
        <v>20</v>
      </c>
      <c r="I5344" s="2" t="s">
        <v>10512</v>
      </c>
      <c r="J5344" s="3" t="str">
        <f>HYPERLINK("https://www.boe.es/gazeta/dias/1822/12/04/pdfs/GMD-1822-354.pdf#page=6","Abrir facsímil")</f>
        <v>Abrir facsímil</v>
      </c>
      <c r="K5344" s="3" t="s">
        <v>22</v>
      </c>
    </row>
    <row r="5345" spans="1:11" ht="42" customHeight="1">
      <c r="A5345" s="2" t="s">
        <v>10513</v>
      </c>
      <c r="B5345" s="2" t="s">
        <v>10514</v>
      </c>
      <c r="C5345" s="2" t="s">
        <v>50</v>
      </c>
      <c r="D5345" s="2" t="s">
        <v>51</v>
      </c>
      <c r="E5345" s="5">
        <v>-28228</v>
      </c>
      <c r="F5345" s="3" t="s">
        <v>718</v>
      </c>
      <c r="G5345" s="3" t="s">
        <v>57</v>
      </c>
      <c r="H5345" s="2" t="s">
        <v>20</v>
      </c>
      <c r="I5345" s="2" t="s">
        <v>10515</v>
      </c>
      <c r="J5345" s="3" t="str">
        <f>HYPERLINK("https://www.boe.es/gazeta/dias/1822/09/17/pdfs/GMD-1822-273.pdf#page=4","Abrir facsímil")</f>
        <v>Abrir facsímil</v>
      </c>
      <c r="K5345" s="3" t="s">
        <v>22</v>
      </c>
    </row>
    <row r="5346" spans="1:11" ht="42" customHeight="1">
      <c r="A5346" s="2" t="s">
        <v>10516</v>
      </c>
      <c r="B5346" s="2" t="s">
        <v>10516</v>
      </c>
      <c r="C5346" s="2" t="s">
        <v>24</v>
      </c>
      <c r="D5346" s="2" t="s">
        <v>17</v>
      </c>
      <c r="E5346" s="5">
        <v>-28274</v>
      </c>
      <c r="F5346" s="3" t="s">
        <v>3371</v>
      </c>
      <c r="G5346" s="3" t="s">
        <v>44</v>
      </c>
      <c r="H5346" s="2" t="s">
        <v>20</v>
      </c>
      <c r="I5346" s="2" t="s">
        <v>10517</v>
      </c>
      <c r="J5346" s="3" t="str">
        <f>HYPERLINK("https://www.boe.es/gazeta/dias/1822/08/02/pdfs/GMD-1822-226.pdf#page=1","Abrir facsímil")</f>
        <v>Abrir facsímil</v>
      </c>
      <c r="K5346" s="3" t="s">
        <v>22</v>
      </c>
    </row>
    <row r="5347" spans="1:11" ht="42" customHeight="1">
      <c r="A5347" s="2" t="s">
        <v>10518</v>
      </c>
      <c r="B5347" s="2" t="s">
        <v>10519</v>
      </c>
      <c r="C5347" s="2" t="s">
        <v>28</v>
      </c>
      <c r="D5347" s="2" t="s">
        <v>29</v>
      </c>
      <c r="E5347" s="5">
        <v>-28385</v>
      </c>
      <c r="F5347" s="3" t="s">
        <v>484</v>
      </c>
      <c r="G5347" s="3" t="s">
        <v>31</v>
      </c>
      <c r="H5347" s="2" t="s">
        <v>20</v>
      </c>
      <c r="I5347" s="2" t="s">
        <v>10520</v>
      </c>
      <c r="J5347" s="3" t="str">
        <f>HYPERLINK("https://www.boe.es/gazeta/dias/1822/04/13/pdfs/GMD-1822-105.pdf#page=3","Abrir facsímil")</f>
        <v>Abrir facsímil</v>
      </c>
      <c r="K5347" s="3" t="s">
        <v>22</v>
      </c>
    </row>
    <row r="5348" spans="1:11" ht="42" customHeight="1">
      <c r="A5348" s="2" t="s">
        <v>10521</v>
      </c>
      <c r="B5348" s="2" t="s">
        <v>10521</v>
      </c>
      <c r="C5348" s="2" t="s">
        <v>71</v>
      </c>
      <c r="D5348" s="2" t="s">
        <v>17</v>
      </c>
      <c r="E5348" s="5">
        <v>-28335</v>
      </c>
      <c r="F5348" s="3" t="s">
        <v>3346</v>
      </c>
      <c r="G5348" s="3" t="s">
        <v>31</v>
      </c>
      <c r="H5348" s="2" t="s">
        <v>20</v>
      </c>
      <c r="I5348" s="2" t="s">
        <v>10522</v>
      </c>
      <c r="J5348" s="3" t="str">
        <f>HYPERLINK("https://www.boe.es/gazeta/dias/1822/06/02/pdfs/GMD-1822-158.pdf#page=3","Abrir facsímil")</f>
        <v>Abrir facsímil</v>
      </c>
      <c r="K5348" s="3" t="s">
        <v>22</v>
      </c>
    </row>
    <row r="5349" spans="1:11" ht="42" customHeight="1">
      <c r="A5349" s="2" t="s">
        <v>10521</v>
      </c>
      <c r="B5349" s="2" t="s">
        <v>10521</v>
      </c>
      <c r="C5349" s="2" t="s">
        <v>42</v>
      </c>
      <c r="D5349" s="2" t="s">
        <v>17</v>
      </c>
      <c r="E5349" s="5">
        <v>-28314</v>
      </c>
      <c r="F5349" s="3" t="s">
        <v>309</v>
      </c>
      <c r="G5349" s="3" t="s">
        <v>35</v>
      </c>
      <c r="H5349" s="2" t="s">
        <v>20</v>
      </c>
      <c r="I5349" s="2" t="s">
        <v>10523</v>
      </c>
      <c r="J5349" s="3" t="str">
        <f>HYPERLINK("https://www.boe.es/gazeta/dias/1822/06/23/pdfs/GMD-1822-181.pdf#page=2","Abrir facsímil")</f>
        <v>Abrir facsímil</v>
      </c>
      <c r="K5349" s="3" t="s">
        <v>22</v>
      </c>
    </row>
    <row r="5350" spans="1:11" ht="42" customHeight="1">
      <c r="A5350" s="2" t="s">
        <v>10521</v>
      </c>
      <c r="B5350" s="2" t="s">
        <v>10521</v>
      </c>
      <c r="C5350" s="2" t="s">
        <v>50</v>
      </c>
      <c r="D5350" s="2" t="s">
        <v>51</v>
      </c>
      <c r="E5350" s="5">
        <v>-28211</v>
      </c>
      <c r="F5350" s="3" t="s">
        <v>273</v>
      </c>
      <c r="G5350" s="3" t="s">
        <v>57</v>
      </c>
      <c r="H5350" s="2" t="s">
        <v>20</v>
      </c>
      <c r="I5350" s="2" t="s">
        <v>10524</v>
      </c>
      <c r="J5350" s="3" t="str">
        <f>HYPERLINK("https://www.boe.es/gazeta/dias/1822/10/04/pdfs/GMD-1822-290.pdf#page=4","Abrir facsímil")</f>
        <v>Abrir facsímil</v>
      </c>
      <c r="K5350" s="3" t="s">
        <v>22</v>
      </c>
    </row>
    <row r="5351" spans="1:11" ht="42" customHeight="1">
      <c r="A5351" s="2" t="s">
        <v>10521</v>
      </c>
      <c r="B5351" s="2" t="s">
        <v>10521</v>
      </c>
      <c r="C5351" s="2" t="s">
        <v>42</v>
      </c>
      <c r="D5351" s="2" t="s">
        <v>17</v>
      </c>
      <c r="E5351" s="5">
        <v>-28160</v>
      </c>
      <c r="F5351" s="3" t="s">
        <v>148</v>
      </c>
      <c r="G5351" s="3" t="s">
        <v>19</v>
      </c>
      <c r="H5351" s="2" t="s">
        <v>20</v>
      </c>
      <c r="I5351" s="2" t="s">
        <v>10525</v>
      </c>
      <c r="J5351" s="3" t="str">
        <f>HYPERLINK("https://www.boe.es/gazeta/dias/1822/11/24/pdfs/GMD-1822-344.pdf#page=5","Abrir facsímil")</f>
        <v>Abrir facsímil</v>
      </c>
      <c r="K5351" s="3" t="s">
        <v>22</v>
      </c>
    </row>
    <row r="5352" spans="1:11" ht="42" customHeight="1">
      <c r="A5352" s="2" t="s">
        <v>10526</v>
      </c>
      <c r="B5352" s="2" t="s">
        <v>10526</v>
      </c>
      <c r="C5352" s="2" t="s">
        <v>28</v>
      </c>
      <c r="D5352" s="2" t="s">
        <v>29</v>
      </c>
      <c r="E5352" s="5">
        <v>-28166</v>
      </c>
      <c r="F5352" s="3" t="s">
        <v>942</v>
      </c>
      <c r="G5352" s="3" t="s">
        <v>35</v>
      </c>
      <c r="H5352" s="2" t="s">
        <v>20</v>
      </c>
      <c r="I5352" s="2" t="s">
        <v>10527</v>
      </c>
      <c r="J5352" s="3" t="str">
        <f>HYPERLINK("https://www.boe.es/gazeta/dias/1822/11/18/pdfs/GMD-1822-338.pdf#page=2","Abrir facsímil")</f>
        <v>Abrir facsímil</v>
      </c>
      <c r="K5352" s="3" t="s">
        <v>22</v>
      </c>
    </row>
    <row r="5353" spans="1:11" ht="42" customHeight="1">
      <c r="A5353" s="2" t="s">
        <v>10528</v>
      </c>
      <c r="B5353" s="2" t="s">
        <v>10528</v>
      </c>
      <c r="C5353" s="2" t="s">
        <v>50</v>
      </c>
      <c r="D5353" s="2" t="s">
        <v>51</v>
      </c>
      <c r="E5353" s="5">
        <v>-28274</v>
      </c>
      <c r="F5353" s="3" t="s">
        <v>3371</v>
      </c>
      <c r="G5353" s="3" t="s">
        <v>44</v>
      </c>
      <c r="H5353" s="2" t="s">
        <v>20</v>
      </c>
      <c r="I5353" s="2" t="s">
        <v>10529</v>
      </c>
      <c r="J5353" s="3" t="str">
        <f>HYPERLINK("https://www.boe.es/gazeta/dias/1822/08/02/pdfs/GMD-1822-226.pdf#page=1","Abrir facsímil")</f>
        <v>Abrir facsímil</v>
      </c>
      <c r="K5353" s="3" t="s">
        <v>22</v>
      </c>
    </row>
    <row r="5354" spans="1:11" ht="42" customHeight="1">
      <c r="A5354" s="2" t="s">
        <v>10528</v>
      </c>
      <c r="B5354" s="2" t="s">
        <v>10528</v>
      </c>
      <c r="C5354" s="2" t="s">
        <v>50</v>
      </c>
      <c r="D5354" s="2" t="s">
        <v>51</v>
      </c>
      <c r="E5354" s="5">
        <v>-28162</v>
      </c>
      <c r="F5354" s="3" t="s">
        <v>3949</v>
      </c>
      <c r="G5354" s="3" t="s">
        <v>19</v>
      </c>
      <c r="H5354" s="2" t="s">
        <v>20</v>
      </c>
      <c r="I5354" s="2" t="s">
        <v>10530</v>
      </c>
      <c r="J5354" s="3" t="str">
        <f>HYPERLINK("https://www.boe.es/gazeta/dias/1822/11/22/pdfs/GMD-1822-342.pdf#page=5","Abrir facsímil")</f>
        <v>Abrir facsímil</v>
      </c>
      <c r="K5354" s="3" t="s">
        <v>22</v>
      </c>
    </row>
    <row r="5355" spans="1:11" ht="42" customHeight="1">
      <c r="A5355" s="2" t="s">
        <v>10531</v>
      </c>
      <c r="B5355" s="2" t="s">
        <v>10532</v>
      </c>
      <c r="C5355" s="2" t="s">
        <v>28</v>
      </c>
      <c r="D5355" s="2" t="s">
        <v>29</v>
      </c>
      <c r="E5355" s="5">
        <v>-28379</v>
      </c>
      <c r="F5355" s="3" t="s">
        <v>494</v>
      </c>
      <c r="G5355" s="3" t="s">
        <v>63</v>
      </c>
      <c r="H5355" s="2" t="s">
        <v>20</v>
      </c>
      <c r="I5355" s="2" t="s">
        <v>10533</v>
      </c>
      <c r="J5355" s="3" t="str">
        <f>HYPERLINK("https://www.boe.es/gazeta/dias/1822/04/19/pdfs/GMD-1822-111.pdf#page=6","Abrir facsímil")</f>
        <v>Abrir facsímil</v>
      </c>
      <c r="K5355" s="3" t="s">
        <v>22</v>
      </c>
    </row>
    <row r="5356" spans="1:11" ht="42" customHeight="1">
      <c r="A5356" s="2" t="s">
        <v>10531</v>
      </c>
      <c r="B5356" s="2" t="s">
        <v>10532</v>
      </c>
      <c r="C5356" s="2" t="s">
        <v>42</v>
      </c>
      <c r="D5356" s="2" t="s">
        <v>17</v>
      </c>
      <c r="E5356" s="5">
        <v>-28149</v>
      </c>
      <c r="F5356" s="3" t="s">
        <v>1322</v>
      </c>
      <c r="G5356" s="3" t="s">
        <v>57</v>
      </c>
      <c r="H5356" s="2" t="s">
        <v>20</v>
      </c>
      <c r="I5356" s="2" t="s">
        <v>10534</v>
      </c>
      <c r="J5356" s="3" t="str">
        <f>HYPERLINK("https://www.boe.es/gazeta/dias/1822/12/05/pdfs/GMD-1822-355.pdf#page=4","Abrir facsímil")</f>
        <v>Abrir facsímil</v>
      </c>
      <c r="K5356" s="3" t="s">
        <v>22</v>
      </c>
    </row>
    <row r="5357" spans="1:11" ht="42" customHeight="1">
      <c r="A5357" s="2" t="s">
        <v>10535</v>
      </c>
      <c r="B5357" s="2" t="s">
        <v>10536</v>
      </c>
      <c r="C5357" s="2" t="s">
        <v>42</v>
      </c>
      <c r="D5357" s="2" t="s">
        <v>17</v>
      </c>
      <c r="E5357" s="5">
        <v>-28366</v>
      </c>
      <c r="F5357" s="3" t="s">
        <v>120</v>
      </c>
      <c r="G5357" s="3" t="s">
        <v>63</v>
      </c>
      <c r="H5357" s="2" t="s">
        <v>20</v>
      </c>
      <c r="I5357" s="2" t="s">
        <v>10537</v>
      </c>
      <c r="J5357" s="3" t="str">
        <f>HYPERLINK("https://www.boe.es/gazeta/dias/1822/05/02/pdfs/GMD-1822-124.pdf#page=6","Abrir facsímil")</f>
        <v>Abrir facsímil</v>
      </c>
      <c r="K5357" s="3" t="s">
        <v>22</v>
      </c>
    </row>
    <row r="5358" spans="1:11" ht="42" customHeight="1">
      <c r="A5358" s="2" t="s">
        <v>10538</v>
      </c>
      <c r="B5358" s="2" t="s">
        <v>10539</v>
      </c>
      <c r="C5358" s="2" t="s">
        <v>50</v>
      </c>
      <c r="D5358" s="2" t="s">
        <v>51</v>
      </c>
      <c r="E5358" s="5">
        <v>-28350</v>
      </c>
      <c r="F5358" s="3" t="s">
        <v>352</v>
      </c>
      <c r="G5358" s="3" t="s">
        <v>63</v>
      </c>
      <c r="H5358" s="2" t="s">
        <v>20</v>
      </c>
      <c r="I5358" s="2" t="s">
        <v>10540</v>
      </c>
      <c r="J5358" s="3" t="str">
        <f>HYPERLINK("https://www.boe.es/gazeta/dias/1822/05/18/pdfs/GMD-1822-140.pdf#page=6","Abrir facsímil")</f>
        <v>Abrir facsímil</v>
      </c>
      <c r="K5358" s="3" t="s">
        <v>22</v>
      </c>
    </row>
    <row r="5359" spans="1:11" ht="42" customHeight="1">
      <c r="A5359" s="2" t="s">
        <v>10541</v>
      </c>
      <c r="B5359" s="2" t="s">
        <v>10542</v>
      </c>
      <c r="C5359" s="2" t="s">
        <v>71</v>
      </c>
      <c r="D5359" s="2" t="s">
        <v>17</v>
      </c>
      <c r="E5359" s="5">
        <v>-28325</v>
      </c>
      <c r="F5359" s="3" t="s">
        <v>104</v>
      </c>
      <c r="G5359" s="3" t="s">
        <v>57</v>
      </c>
      <c r="H5359" s="2" t="s">
        <v>20</v>
      </c>
      <c r="I5359" s="2" t="s">
        <v>10543</v>
      </c>
      <c r="J5359" s="3" t="str">
        <f>HYPERLINK("https://www.boe.es/gazeta/dias/1822/06/12/pdfs/GMD-1822-169.pdf#page=4","Abrir facsímil")</f>
        <v>Abrir facsímil</v>
      </c>
      <c r="K5359" s="3" t="s">
        <v>22</v>
      </c>
    </row>
    <row r="5360" spans="1:11" ht="42" customHeight="1">
      <c r="A5360" s="2" t="s">
        <v>10544</v>
      </c>
      <c r="B5360" s="2" t="s">
        <v>10544</v>
      </c>
      <c r="C5360" s="2" t="s">
        <v>1141</v>
      </c>
      <c r="D5360" s="2" t="s">
        <v>29</v>
      </c>
      <c r="E5360" s="5">
        <v>-28373</v>
      </c>
      <c r="F5360" s="3" t="s">
        <v>614</v>
      </c>
      <c r="G5360" s="3" t="s">
        <v>31</v>
      </c>
      <c r="H5360" s="2" t="s">
        <v>20</v>
      </c>
      <c r="I5360" s="2" t="s">
        <v>10545</v>
      </c>
      <c r="J5360" s="3" t="str">
        <f>HYPERLINK("https://www.boe.es/gazeta/dias/1822/04/25/pdfs/GMD-1822-117.pdf#page=3","Abrir facsímil")</f>
        <v>Abrir facsímil</v>
      </c>
      <c r="K5360" s="3" t="s">
        <v>22</v>
      </c>
    </row>
    <row r="5361" spans="1:11" ht="42" customHeight="1">
      <c r="A5361" s="2" t="s">
        <v>10546</v>
      </c>
      <c r="B5361" s="2" t="s">
        <v>10546</v>
      </c>
      <c r="C5361" s="2" t="s">
        <v>24</v>
      </c>
      <c r="D5361" s="2" t="s">
        <v>17</v>
      </c>
      <c r="E5361" s="5">
        <v>-28345</v>
      </c>
      <c r="F5361" s="3" t="s">
        <v>294</v>
      </c>
      <c r="G5361" s="3" t="s">
        <v>63</v>
      </c>
      <c r="H5361" s="2" t="s">
        <v>20</v>
      </c>
      <c r="I5361" s="2" t="s">
        <v>10547</v>
      </c>
      <c r="J5361" s="3" t="str">
        <f>HYPERLINK("https://www.boe.es/gazeta/dias/1822/05/23/pdfs/GMD-1822-147.pdf#page=6","Abrir facsímil")</f>
        <v>Abrir facsímil</v>
      </c>
      <c r="K5361" s="3" t="s">
        <v>22</v>
      </c>
    </row>
    <row r="5362" spans="1:11" ht="42" customHeight="1">
      <c r="A5362" s="2" t="s">
        <v>10548</v>
      </c>
      <c r="B5362" s="2" t="s">
        <v>10548</v>
      </c>
      <c r="C5362" s="2" t="s">
        <v>50</v>
      </c>
      <c r="D5362" s="2" t="s">
        <v>51</v>
      </c>
      <c r="E5362" s="5">
        <v>-28433</v>
      </c>
      <c r="F5362" s="3" t="s">
        <v>3663</v>
      </c>
      <c r="G5362" s="3" t="s">
        <v>35</v>
      </c>
      <c r="H5362" s="2" t="s">
        <v>20</v>
      </c>
      <c r="I5362" s="2" t="s">
        <v>10549</v>
      </c>
      <c r="J5362" s="3" t="str">
        <f>HYPERLINK("https://www.boe.es/gazeta/dias/1822/02/24/pdfs/GMD-1822-56.pdf#page=2","Abrir facsímil")</f>
        <v>Abrir facsímil</v>
      </c>
      <c r="K5362" s="3" t="s">
        <v>22</v>
      </c>
    </row>
    <row r="5363" spans="1:11" ht="42" customHeight="1">
      <c r="A5363" s="2" t="s">
        <v>10550</v>
      </c>
      <c r="B5363" s="2" t="s">
        <v>10551</v>
      </c>
      <c r="C5363" s="2" t="s">
        <v>50</v>
      </c>
      <c r="D5363" s="2" t="s">
        <v>51</v>
      </c>
      <c r="E5363" s="5">
        <v>-28260</v>
      </c>
      <c r="F5363" s="3" t="s">
        <v>135</v>
      </c>
      <c r="G5363" s="3" t="s">
        <v>35</v>
      </c>
      <c r="H5363" s="2" t="s">
        <v>45</v>
      </c>
      <c r="I5363" s="2" t="s">
        <v>10552</v>
      </c>
      <c r="J5363" s="3" t="str">
        <f>HYPERLINK("https://www.boe.es/gazeta/dias/1822/08/16/pdfs/GMD-1822-240.pdf#page=2","Abrir facsímil")</f>
        <v>Abrir facsímil</v>
      </c>
      <c r="K5363" s="3" t="s">
        <v>47</v>
      </c>
    </row>
    <row r="5364" spans="1:11" ht="42" customHeight="1">
      <c r="A5364" s="2" t="s">
        <v>10553</v>
      </c>
      <c r="B5364" s="2" t="s">
        <v>10554</v>
      </c>
      <c r="C5364" s="2" t="s">
        <v>28</v>
      </c>
      <c r="D5364" s="2" t="s">
        <v>29</v>
      </c>
      <c r="E5364" s="5">
        <v>-28230</v>
      </c>
      <c r="F5364" s="3" t="s">
        <v>1735</v>
      </c>
      <c r="G5364" s="3" t="s">
        <v>57</v>
      </c>
      <c r="H5364" s="2" t="s">
        <v>20</v>
      </c>
      <c r="I5364" s="2" t="s">
        <v>10555</v>
      </c>
      <c r="J5364" s="3" t="str">
        <f>HYPERLINK("https://www.boe.es/gazeta/dias/1822/09/15/pdfs/GMD-1822-271.pdf#page=4","Abrir facsímil")</f>
        <v>Abrir facsímil</v>
      </c>
      <c r="K5364" s="3" t="s">
        <v>22</v>
      </c>
    </row>
    <row r="5365" spans="1:11" ht="42" customHeight="1">
      <c r="A5365" s="2" t="s">
        <v>10556</v>
      </c>
      <c r="B5365" s="2" t="s">
        <v>10557</v>
      </c>
      <c r="C5365" s="2" t="s">
        <v>28</v>
      </c>
      <c r="D5365" s="2" t="s">
        <v>29</v>
      </c>
      <c r="E5365" s="5">
        <v>-28258</v>
      </c>
      <c r="F5365" s="3" t="s">
        <v>88</v>
      </c>
      <c r="G5365" s="3" t="s">
        <v>31</v>
      </c>
      <c r="H5365" s="2" t="s">
        <v>20</v>
      </c>
      <c r="I5365" s="2" t="s">
        <v>10558</v>
      </c>
      <c r="J5365" s="3" t="str">
        <f>HYPERLINK("https://www.boe.es/gazeta/dias/1822/08/18/pdfs/GMD-1822-242.pdf#page=3","Abrir facsímil")</f>
        <v>Abrir facsímil</v>
      </c>
      <c r="K5365" s="3" t="s">
        <v>22</v>
      </c>
    </row>
    <row r="5366" spans="1:11" ht="42" customHeight="1">
      <c r="A5366" s="2" t="s">
        <v>10559</v>
      </c>
      <c r="B5366" s="2" t="s">
        <v>10560</v>
      </c>
      <c r="C5366" s="2" t="s">
        <v>50</v>
      </c>
      <c r="D5366" s="2" t="s">
        <v>51</v>
      </c>
      <c r="E5366" s="5">
        <v>-28438</v>
      </c>
      <c r="F5366" s="3" t="s">
        <v>963</v>
      </c>
      <c r="G5366" s="3" t="s">
        <v>57</v>
      </c>
      <c r="H5366" s="2" t="s">
        <v>20</v>
      </c>
      <c r="I5366" s="2" t="s">
        <v>10561</v>
      </c>
      <c r="J5366" s="3" t="str">
        <f>HYPERLINK("https://www.boe.es/gazeta/dias/1822/02/19/pdfs/GMD-1822-51.pdf#page=4","Abrir facsímil")</f>
        <v>Abrir facsímil</v>
      </c>
      <c r="K5366" s="3" t="s">
        <v>22</v>
      </c>
    </row>
    <row r="5367" spans="1:11" ht="42" customHeight="1">
      <c r="A5367" s="2" t="s">
        <v>10562</v>
      </c>
      <c r="B5367" s="2" t="s">
        <v>10563</v>
      </c>
      <c r="C5367" s="2" t="s">
        <v>28</v>
      </c>
      <c r="D5367" s="2" t="s">
        <v>29</v>
      </c>
      <c r="E5367" s="5">
        <v>-28374</v>
      </c>
      <c r="F5367" s="3" t="s">
        <v>171</v>
      </c>
      <c r="G5367" s="3" t="s">
        <v>57</v>
      </c>
      <c r="H5367" s="2" t="s">
        <v>20</v>
      </c>
      <c r="I5367" s="2" t="s">
        <v>10564</v>
      </c>
      <c r="J5367" s="3" t="str">
        <f>HYPERLINK("https://www.boe.es/gazeta/dias/1822/04/24/pdfs/GMD-1822-116.pdf#page=4","Abrir facsímil")</f>
        <v>Abrir facsímil</v>
      </c>
      <c r="K5367" s="3" t="s">
        <v>22</v>
      </c>
    </row>
    <row r="5368" spans="1:11" ht="42" customHeight="1">
      <c r="A5368" s="2" t="s">
        <v>10565</v>
      </c>
      <c r="B5368" s="2" t="s">
        <v>10566</v>
      </c>
      <c r="C5368" s="2" t="s">
        <v>50</v>
      </c>
      <c r="D5368" s="2" t="s">
        <v>51</v>
      </c>
      <c r="E5368" s="5">
        <v>-28125</v>
      </c>
      <c r="F5368" s="3" t="s">
        <v>322</v>
      </c>
      <c r="G5368" s="3" t="s">
        <v>19</v>
      </c>
      <c r="H5368" s="2" t="s">
        <v>20</v>
      </c>
      <c r="I5368" s="2" t="s">
        <v>10567</v>
      </c>
      <c r="J5368" s="3" t="str">
        <f>HYPERLINK("https://www.boe.es/gazeta/dias/1822/12/29/pdfs/GMD-1822-379.pdf#page=5","Abrir facsímil")</f>
        <v>Abrir facsímil</v>
      </c>
      <c r="K5368" s="3" t="s">
        <v>22</v>
      </c>
    </row>
    <row r="5369" spans="1:11" ht="42" customHeight="1">
      <c r="A5369" s="2" t="s">
        <v>10568</v>
      </c>
      <c r="B5369" s="2" t="s">
        <v>10569</v>
      </c>
      <c r="C5369" s="2" t="s">
        <v>42</v>
      </c>
      <c r="D5369" s="2" t="s">
        <v>17</v>
      </c>
      <c r="E5369" s="5">
        <v>-28297</v>
      </c>
      <c r="F5369" s="3" t="s">
        <v>1972</v>
      </c>
      <c r="G5369" s="3" t="s">
        <v>31</v>
      </c>
      <c r="H5369" s="2" t="s">
        <v>20</v>
      </c>
      <c r="I5369" s="2" t="s">
        <v>10570</v>
      </c>
      <c r="J5369" s="3" t="str">
        <f>HYPERLINK("https://www.boe.es/gazeta/dias/1822/07/10/pdfs/GMD-1822-200.pdf#page=3","Abrir facsímil")</f>
        <v>Abrir facsímil</v>
      </c>
      <c r="K5369" s="3" t="s">
        <v>22</v>
      </c>
    </row>
    <row r="5370" spans="1:11" ht="42" customHeight="1">
      <c r="A5370" s="2" t="s">
        <v>10571</v>
      </c>
      <c r="B5370" s="2" t="s">
        <v>10572</v>
      </c>
      <c r="C5370" s="2" t="s">
        <v>50</v>
      </c>
      <c r="D5370" s="2" t="s">
        <v>51</v>
      </c>
      <c r="E5370" s="5">
        <v>-28438</v>
      </c>
      <c r="F5370" s="3" t="s">
        <v>963</v>
      </c>
      <c r="G5370" s="3" t="s">
        <v>35</v>
      </c>
      <c r="H5370" s="2" t="s">
        <v>20</v>
      </c>
      <c r="I5370" s="2" t="s">
        <v>10573</v>
      </c>
      <c r="J5370" s="3" t="str">
        <f>HYPERLINK("https://www.boe.es/gazeta/dias/1822/02/19/pdfs/GMD-1822-51.pdf#page=2","Abrir facsímil")</f>
        <v>Abrir facsímil</v>
      </c>
      <c r="K5370" s="3" t="s">
        <v>22</v>
      </c>
    </row>
    <row r="5371" spans="1:11" ht="42" customHeight="1">
      <c r="A5371" s="2" t="s">
        <v>10574</v>
      </c>
      <c r="B5371" s="2" t="s">
        <v>10575</v>
      </c>
      <c r="C5371" s="2" t="s">
        <v>28</v>
      </c>
      <c r="D5371" s="2" t="s">
        <v>29</v>
      </c>
      <c r="E5371" s="5">
        <v>-28380</v>
      </c>
      <c r="F5371" s="3" t="s">
        <v>492</v>
      </c>
      <c r="G5371" s="3" t="s">
        <v>63</v>
      </c>
      <c r="H5371" s="2" t="s">
        <v>20</v>
      </c>
      <c r="I5371" s="2" t="s">
        <v>10576</v>
      </c>
      <c r="J5371" s="3" t="str">
        <f>HYPERLINK("https://www.boe.es/gazeta/dias/1822/04/18/pdfs/GMD-1822-110.pdf#page=6","Abrir facsímil")</f>
        <v>Abrir facsímil</v>
      </c>
      <c r="K5371" s="3" t="s">
        <v>22</v>
      </c>
    </row>
    <row r="5372" spans="1:11" ht="42" customHeight="1">
      <c r="A5372" s="2" t="s">
        <v>10574</v>
      </c>
      <c r="B5372" s="2" t="s">
        <v>10575</v>
      </c>
      <c r="C5372" s="2" t="s">
        <v>28</v>
      </c>
      <c r="D5372" s="2" t="s">
        <v>29</v>
      </c>
      <c r="E5372" s="5">
        <v>-28275</v>
      </c>
      <c r="F5372" s="3" t="s">
        <v>1297</v>
      </c>
      <c r="G5372" s="3" t="s">
        <v>57</v>
      </c>
      <c r="H5372" s="2" t="s">
        <v>20</v>
      </c>
      <c r="I5372" s="2" t="s">
        <v>10577</v>
      </c>
      <c r="J5372" s="3" t="str">
        <f>HYPERLINK("https://www.boe.es/gazeta/dias/1822/08/01/pdfs/GMD-1822-225.pdf#page=4","Abrir facsímil")</f>
        <v>Abrir facsímil</v>
      </c>
      <c r="K5372" s="3" t="s">
        <v>22</v>
      </c>
    </row>
    <row r="5373" spans="1:11" ht="42" customHeight="1">
      <c r="A5373" s="2" t="s">
        <v>10578</v>
      </c>
      <c r="B5373" s="2" t="s">
        <v>10578</v>
      </c>
      <c r="C5373" s="2" t="s">
        <v>50</v>
      </c>
      <c r="D5373" s="2" t="s">
        <v>51</v>
      </c>
      <c r="E5373" s="5">
        <v>-28211</v>
      </c>
      <c r="F5373" s="3" t="s">
        <v>273</v>
      </c>
      <c r="G5373" s="3" t="s">
        <v>35</v>
      </c>
      <c r="H5373" s="2" t="s">
        <v>20</v>
      </c>
      <c r="I5373" s="2" t="s">
        <v>10579</v>
      </c>
      <c r="J5373" s="3" t="str">
        <f>HYPERLINK("https://www.boe.es/gazeta/dias/1822/10/04/pdfs/GMD-1822-290.pdf#page=2","Abrir facsímil")</f>
        <v>Abrir facsímil</v>
      </c>
      <c r="K5373" s="3" t="s">
        <v>22</v>
      </c>
    </row>
    <row r="5374" spans="1:11" ht="42" customHeight="1">
      <c r="A5374" s="2" t="s">
        <v>10580</v>
      </c>
      <c r="B5374" s="2" t="s">
        <v>10581</v>
      </c>
      <c r="C5374" s="2" t="s">
        <v>50</v>
      </c>
      <c r="D5374" s="2" t="s">
        <v>51</v>
      </c>
      <c r="E5374" s="5">
        <v>-28211</v>
      </c>
      <c r="F5374" s="3" t="s">
        <v>273</v>
      </c>
      <c r="G5374" s="3" t="s">
        <v>35</v>
      </c>
      <c r="H5374" s="2" t="s">
        <v>45</v>
      </c>
      <c r="I5374" s="2" t="s">
        <v>10582</v>
      </c>
      <c r="J5374" s="3" t="str">
        <f>HYPERLINK("https://www.boe.es/gazeta/dias/1822/10/04/pdfs/GMD-1822-290.pdf#page=2","Abrir facsímil")</f>
        <v>Abrir facsímil</v>
      </c>
      <c r="K5374" s="3" t="s">
        <v>47</v>
      </c>
    </row>
    <row r="5375" spans="1:11" ht="42" customHeight="1">
      <c r="A5375" s="2" t="s">
        <v>10583</v>
      </c>
      <c r="B5375" s="2" t="s">
        <v>10583</v>
      </c>
      <c r="C5375" s="2" t="s">
        <v>50</v>
      </c>
      <c r="D5375" s="2" t="s">
        <v>723</v>
      </c>
      <c r="E5375" s="5">
        <v>-28181</v>
      </c>
      <c r="F5375" s="3" t="s">
        <v>724</v>
      </c>
      <c r="G5375" s="3" t="s">
        <v>44</v>
      </c>
      <c r="H5375" s="2" t="s">
        <v>20</v>
      </c>
      <c r="I5375" s="2" t="s">
        <v>10584</v>
      </c>
      <c r="J5375" s="3" t="str">
        <f>HYPERLINK("https://www.boe.es/gazeta/dias/1822/11/03/pdfs/GMD-1822-322E.pdf#page=1","Abrir facsímil")</f>
        <v>Abrir facsímil</v>
      </c>
      <c r="K5375" s="3" t="s">
        <v>22</v>
      </c>
    </row>
    <row r="5376" spans="1:11" ht="42" customHeight="1">
      <c r="A5376" s="2" t="s">
        <v>10585</v>
      </c>
      <c r="B5376" s="2" t="s">
        <v>10586</v>
      </c>
      <c r="C5376" s="2" t="s">
        <v>16</v>
      </c>
      <c r="D5376" s="2" t="s">
        <v>17</v>
      </c>
      <c r="E5376" s="5">
        <v>-28445</v>
      </c>
      <c r="F5376" s="3" t="s">
        <v>1622</v>
      </c>
      <c r="G5376" s="3" t="s">
        <v>57</v>
      </c>
      <c r="H5376" s="2" t="s">
        <v>20</v>
      </c>
      <c r="I5376" s="2" t="s">
        <v>10587</v>
      </c>
      <c r="J5376" s="3" t="str">
        <f>HYPERLINK("https://www.boe.es/gazeta/dias/1822/02/12/pdfs/GMD-1822-43.pdf#page=4","Abrir facsímil")</f>
        <v>Abrir facsímil</v>
      </c>
      <c r="K5376" s="3" t="s">
        <v>22</v>
      </c>
    </row>
    <row r="5377" spans="1:11" ht="42" customHeight="1">
      <c r="A5377" s="2" t="s">
        <v>10588</v>
      </c>
      <c r="B5377" s="2" t="s">
        <v>10589</v>
      </c>
      <c r="C5377" s="2" t="s">
        <v>50</v>
      </c>
      <c r="D5377" s="2" t="s">
        <v>51</v>
      </c>
      <c r="E5377" s="5">
        <v>-28279</v>
      </c>
      <c r="F5377" s="3" t="s">
        <v>662</v>
      </c>
      <c r="G5377" s="3" t="s">
        <v>44</v>
      </c>
      <c r="H5377" s="2" t="s">
        <v>20</v>
      </c>
      <c r="I5377" s="2" t="s">
        <v>10590</v>
      </c>
      <c r="J5377" s="3" t="str">
        <f>HYPERLINK("https://www.boe.es/gazeta/dias/1822/07/28/pdfs/GMD-1822-221.pdf#page=1","Abrir facsímil")</f>
        <v>Abrir facsímil</v>
      </c>
      <c r="K5377" s="3" t="s">
        <v>22</v>
      </c>
    </row>
    <row r="5378" spans="1:11" ht="42" customHeight="1">
      <c r="A5378" s="2" t="s">
        <v>10591</v>
      </c>
      <c r="B5378" s="2" t="s">
        <v>10592</v>
      </c>
      <c r="C5378" s="2" t="s">
        <v>50</v>
      </c>
      <c r="D5378" s="2" t="s">
        <v>51</v>
      </c>
      <c r="E5378" s="5">
        <v>-28213</v>
      </c>
      <c r="F5378" s="3" t="s">
        <v>558</v>
      </c>
      <c r="G5378" s="3" t="s">
        <v>35</v>
      </c>
      <c r="H5378" s="2" t="s">
        <v>20</v>
      </c>
      <c r="I5378" s="2" t="s">
        <v>10593</v>
      </c>
      <c r="J5378" s="3" t="str">
        <f>HYPERLINK("https://www.boe.es/gazeta/dias/1822/10/02/pdfs/GMD-1822-288.pdf#page=2","Abrir facsímil")</f>
        <v>Abrir facsímil</v>
      </c>
      <c r="K5378" s="3" t="s">
        <v>22</v>
      </c>
    </row>
    <row r="5379" spans="1:11" ht="42" customHeight="1">
      <c r="A5379" s="2" t="s">
        <v>10594</v>
      </c>
      <c r="B5379" s="2" t="s">
        <v>10595</v>
      </c>
      <c r="C5379" s="2" t="s">
        <v>50</v>
      </c>
      <c r="D5379" s="2" t="s">
        <v>51</v>
      </c>
      <c r="E5379" s="5">
        <v>-28208</v>
      </c>
      <c r="F5379" s="3" t="s">
        <v>230</v>
      </c>
      <c r="G5379" s="3" t="s">
        <v>57</v>
      </c>
      <c r="H5379" s="2" t="s">
        <v>20</v>
      </c>
      <c r="I5379" s="2" t="s">
        <v>10596</v>
      </c>
      <c r="J5379" s="3" t="str">
        <f>HYPERLINK("https://www.boe.es/gazeta/dias/1822/10/07/pdfs/GMD-1822-293.pdf#page=4","Abrir facsímil")</f>
        <v>Abrir facsímil</v>
      </c>
      <c r="K5379" s="3" t="s">
        <v>22</v>
      </c>
    </row>
    <row r="5380" spans="1:11" ht="42" customHeight="1">
      <c r="A5380" s="2" t="s">
        <v>10597</v>
      </c>
      <c r="B5380" s="2" t="s">
        <v>10598</v>
      </c>
      <c r="C5380" s="2" t="s">
        <v>50</v>
      </c>
      <c r="D5380" s="2" t="s">
        <v>51</v>
      </c>
      <c r="E5380" s="5">
        <v>-28265</v>
      </c>
      <c r="F5380" s="3" t="s">
        <v>1263</v>
      </c>
      <c r="G5380" s="3" t="s">
        <v>57</v>
      </c>
      <c r="H5380" s="2" t="s">
        <v>20</v>
      </c>
      <c r="I5380" s="2" t="s">
        <v>10599</v>
      </c>
      <c r="J5380" s="3" t="str">
        <f>HYPERLINK("https://www.boe.es/gazeta/dias/1822/08/11/pdfs/GMD-1822-235.pdf#page=4","Abrir facsímil")</f>
        <v>Abrir facsímil</v>
      </c>
      <c r="K5380" s="3" t="s">
        <v>22</v>
      </c>
    </row>
    <row r="5381" spans="1:11" ht="42" customHeight="1">
      <c r="A5381" s="2" t="s">
        <v>10600</v>
      </c>
      <c r="B5381" s="2" t="s">
        <v>10601</v>
      </c>
      <c r="C5381" s="2" t="s">
        <v>71</v>
      </c>
      <c r="D5381" s="2" t="s">
        <v>17</v>
      </c>
      <c r="E5381" s="5">
        <v>-28334</v>
      </c>
      <c r="F5381" s="3" t="s">
        <v>532</v>
      </c>
      <c r="G5381" s="3" t="s">
        <v>57</v>
      </c>
      <c r="H5381" s="2" t="s">
        <v>20</v>
      </c>
      <c r="I5381" s="2" t="s">
        <v>10602</v>
      </c>
      <c r="J5381" s="3" t="str">
        <f>HYPERLINK("https://www.boe.es/gazeta/dias/1822/06/03/pdfs/GMD-1822-159.pdf#page=4","Abrir facsímil")</f>
        <v>Abrir facsímil</v>
      </c>
      <c r="K5381" s="3" t="s">
        <v>22</v>
      </c>
    </row>
    <row r="5382" spans="1:11" ht="42" customHeight="1">
      <c r="A5382" s="2" t="s">
        <v>10603</v>
      </c>
      <c r="B5382" s="2" t="s">
        <v>10604</v>
      </c>
      <c r="C5382" s="2" t="s">
        <v>42</v>
      </c>
      <c r="D5382" s="2" t="s">
        <v>17</v>
      </c>
      <c r="E5382" s="5">
        <v>-28248</v>
      </c>
      <c r="F5382" s="3" t="s">
        <v>4807</v>
      </c>
      <c r="G5382" s="3" t="s">
        <v>31</v>
      </c>
      <c r="H5382" s="2" t="s">
        <v>20</v>
      </c>
      <c r="I5382" s="2" t="s">
        <v>10605</v>
      </c>
      <c r="J5382" s="3" t="str">
        <f>HYPERLINK("https://www.boe.es/gazeta/dias/1822/08/28/pdfs/GMD-1822-252.pdf#page=3","Abrir facsímil")</f>
        <v>Abrir facsímil</v>
      </c>
      <c r="K5382" s="3" t="s">
        <v>22</v>
      </c>
    </row>
    <row r="5383" spans="1:11" ht="42" customHeight="1">
      <c r="A5383" s="2" t="s">
        <v>10606</v>
      </c>
      <c r="B5383" s="2" t="s">
        <v>10606</v>
      </c>
      <c r="C5383" s="2" t="s">
        <v>50</v>
      </c>
      <c r="D5383" s="2" t="s">
        <v>51</v>
      </c>
      <c r="E5383" s="5">
        <v>-28267</v>
      </c>
      <c r="F5383" s="3" t="s">
        <v>1270</v>
      </c>
      <c r="G5383" s="3" t="s">
        <v>35</v>
      </c>
      <c r="H5383" s="2" t="s">
        <v>20</v>
      </c>
      <c r="I5383" s="2" t="s">
        <v>10607</v>
      </c>
      <c r="J5383" s="3" t="str">
        <f>HYPERLINK("https://www.boe.es/gazeta/dias/1822/08/09/pdfs/GMD-1822-233.pdf#page=2","Abrir facsímil")</f>
        <v>Abrir facsímil</v>
      </c>
      <c r="K5383" s="3" t="s">
        <v>22</v>
      </c>
    </row>
    <row r="5384" spans="1:11" ht="42" customHeight="1">
      <c r="A5384" s="2" t="s">
        <v>10608</v>
      </c>
      <c r="B5384" s="2" t="s">
        <v>10609</v>
      </c>
      <c r="C5384" s="2" t="s">
        <v>50</v>
      </c>
      <c r="D5384" s="2" t="s">
        <v>51</v>
      </c>
      <c r="E5384" s="5">
        <v>-28241</v>
      </c>
      <c r="F5384" s="3" t="s">
        <v>3068</v>
      </c>
      <c r="G5384" s="3" t="s">
        <v>57</v>
      </c>
      <c r="H5384" s="2" t="s">
        <v>20</v>
      </c>
      <c r="I5384" s="2" t="s">
        <v>10610</v>
      </c>
      <c r="J5384" s="3" t="str">
        <f>HYPERLINK("https://www.boe.es/gazeta/dias/1822/09/04/pdfs/GMD-1822-259.pdf#page=4","Abrir facsímil")</f>
        <v>Abrir facsímil</v>
      </c>
      <c r="K5384" s="3" t="s">
        <v>22</v>
      </c>
    </row>
    <row r="5385" spans="1:11" ht="42" customHeight="1">
      <c r="A5385" s="2" t="s">
        <v>10611</v>
      </c>
      <c r="B5385" s="2" t="s">
        <v>10612</v>
      </c>
      <c r="C5385" s="2" t="s">
        <v>28</v>
      </c>
      <c r="D5385" s="2" t="s">
        <v>29</v>
      </c>
      <c r="E5385" s="5">
        <v>-28431</v>
      </c>
      <c r="F5385" s="3" t="s">
        <v>1258</v>
      </c>
      <c r="G5385" s="3" t="s">
        <v>31</v>
      </c>
      <c r="H5385" s="2" t="s">
        <v>20</v>
      </c>
      <c r="I5385" s="2" t="s">
        <v>10613</v>
      </c>
      <c r="J5385" s="3" t="str">
        <f>HYPERLINK("https://www.boe.es/gazeta/dias/1822/02/26/pdfs/GMD-1822-58.pdf#page=3","Abrir facsímil")</f>
        <v>Abrir facsímil</v>
      </c>
      <c r="K5385" s="3" t="s">
        <v>22</v>
      </c>
    </row>
    <row r="5386" spans="1:11" ht="42" customHeight="1">
      <c r="A5386" s="2" t="s">
        <v>10611</v>
      </c>
      <c r="B5386" s="2" t="s">
        <v>10612</v>
      </c>
      <c r="C5386" s="2" t="s">
        <v>50</v>
      </c>
      <c r="D5386" s="2" t="s">
        <v>51</v>
      </c>
      <c r="E5386" s="5">
        <v>-28401</v>
      </c>
      <c r="F5386" s="3" t="s">
        <v>108</v>
      </c>
      <c r="G5386" s="3" t="s">
        <v>35</v>
      </c>
      <c r="H5386" s="2" t="s">
        <v>20</v>
      </c>
      <c r="I5386" s="2" t="s">
        <v>10614</v>
      </c>
      <c r="J5386" s="3" t="str">
        <f>HYPERLINK("https://www.boe.es/gazeta/dias/1822/03/28/pdfs/GMD-1822-89.pdf#page=2","Abrir facsímil")</f>
        <v>Abrir facsímil</v>
      </c>
      <c r="K5386" s="3" t="s">
        <v>22</v>
      </c>
    </row>
    <row r="5387" spans="1:11" ht="42" customHeight="1">
      <c r="A5387" s="2" t="s">
        <v>10611</v>
      </c>
      <c r="B5387" s="2" t="s">
        <v>10612</v>
      </c>
      <c r="C5387" s="2" t="s">
        <v>28</v>
      </c>
      <c r="D5387" s="2" t="s">
        <v>29</v>
      </c>
      <c r="E5387" s="5">
        <v>-28340</v>
      </c>
      <c r="F5387" s="3" t="s">
        <v>139</v>
      </c>
      <c r="G5387" s="3" t="s">
        <v>35</v>
      </c>
      <c r="H5387" s="2" t="s">
        <v>20</v>
      </c>
      <c r="I5387" s="2" t="s">
        <v>10615</v>
      </c>
      <c r="J5387" s="3" t="str">
        <f>HYPERLINK("https://www.boe.es/gazeta/dias/1822/05/28/pdfs/GMD-1822-153.pdf#page=2","Abrir facsímil")</f>
        <v>Abrir facsímil</v>
      </c>
      <c r="K5387" s="3" t="s">
        <v>22</v>
      </c>
    </row>
    <row r="5388" spans="1:11" ht="42" customHeight="1">
      <c r="A5388" s="2" t="s">
        <v>10616</v>
      </c>
      <c r="B5388" s="2" t="s">
        <v>10617</v>
      </c>
      <c r="C5388" s="2" t="s">
        <v>42</v>
      </c>
      <c r="D5388" s="2" t="s">
        <v>17</v>
      </c>
      <c r="E5388" s="5">
        <v>-28277</v>
      </c>
      <c r="F5388" s="3" t="s">
        <v>296</v>
      </c>
      <c r="G5388" s="3" t="s">
        <v>44</v>
      </c>
      <c r="H5388" s="2" t="s">
        <v>20</v>
      </c>
      <c r="I5388" s="2" t="s">
        <v>10618</v>
      </c>
      <c r="J5388" s="3" t="str">
        <f>HYPERLINK("https://www.boe.es/gazeta/dias/1822/07/30/pdfs/GMD-1822-223.pdf#page=1","Abrir facsímil")</f>
        <v>Abrir facsímil</v>
      </c>
      <c r="K5388" s="3" t="s">
        <v>22</v>
      </c>
    </row>
    <row r="5389" spans="1:11" ht="42" customHeight="1">
      <c r="A5389" s="2" t="s">
        <v>10619</v>
      </c>
      <c r="B5389" s="2" t="s">
        <v>10619</v>
      </c>
      <c r="C5389" s="2" t="s">
        <v>71</v>
      </c>
      <c r="D5389" s="2" t="s">
        <v>17</v>
      </c>
      <c r="E5389" s="5">
        <v>-28171</v>
      </c>
      <c r="F5389" s="3" t="s">
        <v>1075</v>
      </c>
      <c r="G5389" s="3" t="s">
        <v>31</v>
      </c>
      <c r="H5389" s="2" t="s">
        <v>20</v>
      </c>
      <c r="I5389" s="2" t="s">
        <v>10620</v>
      </c>
      <c r="J5389" s="3" t="str">
        <f>HYPERLINK("https://www.boe.es/gazeta/dias/1822/11/13/pdfs/GMD-1822-333.pdf#page=3","Abrir facsímil")</f>
        <v>Abrir facsímil</v>
      </c>
      <c r="K5389" s="3" t="s">
        <v>22</v>
      </c>
    </row>
    <row r="5390" spans="1:11" ht="42" customHeight="1">
      <c r="A5390" s="2" t="s">
        <v>10621</v>
      </c>
      <c r="B5390" s="2" t="s">
        <v>10622</v>
      </c>
      <c r="C5390" s="2" t="s">
        <v>71</v>
      </c>
      <c r="D5390" s="2" t="s">
        <v>17</v>
      </c>
      <c r="E5390" s="5">
        <v>-28145</v>
      </c>
      <c r="F5390" s="3" t="s">
        <v>1350</v>
      </c>
      <c r="G5390" s="3" t="s">
        <v>35</v>
      </c>
      <c r="H5390" s="2" t="s">
        <v>20</v>
      </c>
      <c r="I5390" s="2" t="s">
        <v>10623</v>
      </c>
      <c r="J5390" s="3" t="str">
        <f>HYPERLINK("https://www.boe.es/gazeta/dias/1822/12/09/pdfs/GMD-1822-359.pdf#page=2","Abrir facsímil")</f>
        <v>Abrir facsímil</v>
      </c>
      <c r="K5390" s="3" t="s">
        <v>22</v>
      </c>
    </row>
    <row r="5391" spans="1:11" ht="42" customHeight="1">
      <c r="A5391" s="2" t="s">
        <v>10624</v>
      </c>
      <c r="B5391" s="2" t="s">
        <v>10625</v>
      </c>
      <c r="C5391" s="2" t="s">
        <v>28</v>
      </c>
      <c r="D5391" s="2" t="s">
        <v>29</v>
      </c>
      <c r="E5391" s="5">
        <v>-28434</v>
      </c>
      <c r="F5391" s="3" t="s">
        <v>433</v>
      </c>
      <c r="G5391" s="3" t="s">
        <v>57</v>
      </c>
      <c r="H5391" s="2" t="s">
        <v>20</v>
      </c>
      <c r="I5391" s="2" t="s">
        <v>10626</v>
      </c>
      <c r="J5391" s="3" t="str">
        <f>HYPERLINK("https://www.boe.es/gazeta/dias/1822/02/23/pdfs/GMD-1822-55.pdf#page=4","Abrir facsímil")</f>
        <v>Abrir facsímil</v>
      </c>
      <c r="K5391" s="3" t="s">
        <v>22</v>
      </c>
    </row>
    <row r="5392" spans="1:11" ht="42" customHeight="1">
      <c r="A5392" s="2" t="s">
        <v>10627</v>
      </c>
      <c r="B5392" s="2" t="s">
        <v>10628</v>
      </c>
      <c r="C5392" s="2" t="s">
        <v>42</v>
      </c>
      <c r="D5392" s="2" t="s">
        <v>17</v>
      </c>
      <c r="E5392" s="5">
        <v>-28260</v>
      </c>
      <c r="F5392" s="3" t="s">
        <v>135</v>
      </c>
      <c r="G5392" s="3" t="s">
        <v>31</v>
      </c>
      <c r="H5392" s="2" t="s">
        <v>20</v>
      </c>
      <c r="I5392" s="2" t="s">
        <v>10629</v>
      </c>
      <c r="J5392" s="3" t="str">
        <f>HYPERLINK("https://www.boe.es/gazeta/dias/1822/08/16/pdfs/GMD-1822-240.pdf#page=3","Abrir facsímil")</f>
        <v>Abrir facsímil</v>
      </c>
      <c r="K5392" s="3" t="s">
        <v>22</v>
      </c>
    </row>
    <row r="5393" spans="1:11" ht="42" customHeight="1">
      <c r="A5393" s="2" t="s">
        <v>10630</v>
      </c>
      <c r="B5393" s="2" t="s">
        <v>10631</v>
      </c>
      <c r="C5393" s="2" t="s">
        <v>50</v>
      </c>
      <c r="D5393" s="2" t="s">
        <v>51</v>
      </c>
      <c r="E5393" s="5">
        <v>-28230</v>
      </c>
      <c r="F5393" s="3" t="s">
        <v>1735</v>
      </c>
      <c r="G5393" s="3" t="s">
        <v>31</v>
      </c>
      <c r="H5393" s="2" t="s">
        <v>20</v>
      </c>
      <c r="I5393" s="2" t="s">
        <v>10632</v>
      </c>
      <c r="J5393" s="3" t="str">
        <f>HYPERLINK("https://www.boe.es/gazeta/dias/1822/09/15/pdfs/GMD-1822-271.pdf#page=3","Abrir facsímil")</f>
        <v>Abrir facsímil</v>
      </c>
      <c r="K5393" s="3" t="s">
        <v>22</v>
      </c>
    </row>
    <row r="5394" spans="1:11" ht="42" customHeight="1">
      <c r="A5394" s="2" t="s">
        <v>10633</v>
      </c>
      <c r="B5394" s="2" t="s">
        <v>10633</v>
      </c>
      <c r="C5394" s="2" t="s">
        <v>50</v>
      </c>
      <c r="D5394" s="2" t="s">
        <v>51</v>
      </c>
      <c r="E5394" s="5">
        <v>-28435</v>
      </c>
      <c r="F5394" s="3" t="s">
        <v>1710</v>
      </c>
      <c r="G5394" s="3" t="s">
        <v>44</v>
      </c>
      <c r="H5394" s="2" t="s">
        <v>20</v>
      </c>
      <c r="I5394" s="2" t="s">
        <v>10634</v>
      </c>
      <c r="J5394" s="3" t="str">
        <f>HYPERLINK("https://www.boe.es/gazeta/dias/1822/02/22/pdfs/GMD-1822-54.pdf#page=1","Abrir facsímil")</f>
        <v>Abrir facsímil</v>
      </c>
      <c r="K5394" s="3" t="s">
        <v>22</v>
      </c>
    </row>
    <row r="5395" spans="1:11" ht="42" customHeight="1">
      <c r="A5395" s="2" t="s">
        <v>10635</v>
      </c>
      <c r="B5395" s="2" t="s">
        <v>10635</v>
      </c>
      <c r="C5395" s="2" t="s">
        <v>50</v>
      </c>
      <c r="D5395" s="2" t="s">
        <v>51</v>
      </c>
      <c r="E5395" s="5">
        <v>-28439</v>
      </c>
      <c r="F5395" s="3" t="s">
        <v>2752</v>
      </c>
      <c r="G5395" s="3" t="s">
        <v>4031</v>
      </c>
      <c r="H5395" s="2" t="s">
        <v>20</v>
      </c>
      <c r="I5395" s="2" t="s">
        <v>10636</v>
      </c>
      <c r="J5395" s="3" t="str">
        <f>HYPERLINK("https://www.boe.es/gazeta/dias/1822/02/18/pdfs/GMD-1822-50.pdf#page=2","Abrir facsímil")</f>
        <v>Abrir facsímil</v>
      </c>
      <c r="K5395" s="3" t="s">
        <v>22</v>
      </c>
    </row>
    <row r="5396" spans="1:11" ht="42" customHeight="1">
      <c r="A5396" s="2" t="s">
        <v>10635</v>
      </c>
      <c r="B5396" s="2" t="s">
        <v>10635</v>
      </c>
      <c r="C5396" s="2" t="s">
        <v>50</v>
      </c>
      <c r="D5396" s="2" t="s">
        <v>51</v>
      </c>
      <c r="E5396" s="5">
        <v>-28436</v>
      </c>
      <c r="F5396" s="3" t="s">
        <v>431</v>
      </c>
      <c r="G5396" s="3" t="s">
        <v>44</v>
      </c>
      <c r="H5396" s="2" t="s">
        <v>20</v>
      </c>
      <c r="I5396" s="2" t="s">
        <v>10637</v>
      </c>
      <c r="J5396" s="3" t="str">
        <f>HYPERLINK("https://www.boe.es/gazeta/dias/1822/02/21/pdfs/GMD-1822-53.pdf#page=1","Abrir facsímil")</f>
        <v>Abrir facsímil</v>
      </c>
      <c r="K5396" s="3" t="s">
        <v>22</v>
      </c>
    </row>
    <row r="5397" spans="1:11" ht="42" customHeight="1">
      <c r="A5397" s="2" t="s">
        <v>10635</v>
      </c>
      <c r="B5397" s="2" t="s">
        <v>10635</v>
      </c>
      <c r="C5397" s="2" t="s">
        <v>50</v>
      </c>
      <c r="D5397" s="2" t="s">
        <v>51</v>
      </c>
      <c r="E5397" s="5">
        <v>-28436</v>
      </c>
      <c r="F5397" s="3" t="s">
        <v>431</v>
      </c>
      <c r="G5397" s="3" t="s">
        <v>35</v>
      </c>
      <c r="H5397" s="2" t="s">
        <v>20</v>
      </c>
      <c r="I5397" s="2" t="s">
        <v>10638</v>
      </c>
      <c r="J5397" s="3" t="str">
        <f>HYPERLINK("https://www.boe.es/gazeta/dias/1822/02/21/pdfs/GMD-1822-53.pdf#page=2","Abrir facsímil")</f>
        <v>Abrir facsímil</v>
      </c>
      <c r="K5397" s="3" t="s">
        <v>22</v>
      </c>
    </row>
    <row r="5398" spans="1:11" ht="42" customHeight="1">
      <c r="A5398" s="2" t="s">
        <v>10635</v>
      </c>
      <c r="B5398" s="2" t="s">
        <v>10635</v>
      </c>
      <c r="C5398" s="2" t="s">
        <v>50</v>
      </c>
      <c r="D5398" s="2" t="s">
        <v>51</v>
      </c>
      <c r="E5398" s="5">
        <v>-28435</v>
      </c>
      <c r="F5398" s="3" t="s">
        <v>1710</v>
      </c>
      <c r="G5398" s="3" t="s">
        <v>35</v>
      </c>
      <c r="H5398" s="2" t="s">
        <v>20</v>
      </c>
      <c r="I5398" s="2" t="s">
        <v>10639</v>
      </c>
      <c r="J5398" s="3" t="str">
        <f>HYPERLINK("https://www.boe.es/gazeta/dias/1822/02/22/pdfs/GMD-1822-54.pdf#page=2","Abrir facsímil")</f>
        <v>Abrir facsímil</v>
      </c>
      <c r="K5398" s="3" t="s">
        <v>22</v>
      </c>
    </row>
    <row r="5399" spans="1:11" ht="42" customHeight="1">
      <c r="A5399" s="2" t="s">
        <v>10635</v>
      </c>
      <c r="B5399" s="2" t="s">
        <v>10635</v>
      </c>
      <c r="C5399" s="2" t="s">
        <v>50</v>
      </c>
      <c r="D5399" s="2" t="s">
        <v>51</v>
      </c>
      <c r="E5399" s="5">
        <v>-28433</v>
      </c>
      <c r="F5399" s="3" t="s">
        <v>3663</v>
      </c>
      <c r="G5399" s="3" t="s">
        <v>35</v>
      </c>
      <c r="H5399" s="2" t="s">
        <v>20</v>
      </c>
      <c r="I5399" s="2" t="s">
        <v>10640</v>
      </c>
      <c r="J5399" s="3" t="str">
        <f>HYPERLINK("https://www.boe.es/gazeta/dias/1822/02/24/pdfs/GMD-1822-56.pdf#page=2","Abrir facsímil")</f>
        <v>Abrir facsímil</v>
      </c>
      <c r="K5399" s="3" t="s">
        <v>22</v>
      </c>
    </row>
    <row r="5400" spans="1:11" ht="42" customHeight="1">
      <c r="A5400" s="2" t="s">
        <v>10635</v>
      </c>
      <c r="B5400" s="2" t="s">
        <v>10635</v>
      </c>
      <c r="C5400" s="2" t="s">
        <v>50</v>
      </c>
      <c r="D5400" s="2" t="s">
        <v>51</v>
      </c>
      <c r="E5400" s="5">
        <v>-28432</v>
      </c>
      <c r="F5400" s="3" t="s">
        <v>195</v>
      </c>
      <c r="G5400" s="3" t="s">
        <v>44</v>
      </c>
      <c r="H5400" s="2" t="s">
        <v>20</v>
      </c>
      <c r="I5400" s="2" t="s">
        <v>10641</v>
      </c>
      <c r="J5400" s="3" t="str">
        <f>HYPERLINK("https://www.boe.es/gazeta/dias/1822/02/25/pdfs/GMD-1822-57.pdf#page=1","Abrir facsímil")</f>
        <v>Abrir facsímil</v>
      </c>
      <c r="K5400" s="3" t="s">
        <v>22</v>
      </c>
    </row>
    <row r="5401" spans="1:11" ht="42" customHeight="1">
      <c r="A5401" s="2" t="s">
        <v>10635</v>
      </c>
      <c r="B5401" s="2" t="s">
        <v>10635</v>
      </c>
      <c r="C5401" s="2" t="s">
        <v>50</v>
      </c>
      <c r="D5401" s="2" t="s">
        <v>51</v>
      </c>
      <c r="E5401" s="5">
        <v>-28269</v>
      </c>
      <c r="F5401" s="3" t="s">
        <v>5517</v>
      </c>
      <c r="G5401" s="3" t="s">
        <v>44</v>
      </c>
      <c r="H5401" s="2" t="s">
        <v>20</v>
      </c>
      <c r="I5401" s="2" t="s">
        <v>10642</v>
      </c>
      <c r="J5401" s="3" t="str">
        <f>HYPERLINK("https://www.boe.es/gazeta/dias/1822/08/07/pdfs/GMD-1822-231.pdf#page=1","Abrir facsímil")</f>
        <v>Abrir facsímil</v>
      </c>
      <c r="K5401" s="3" t="s">
        <v>22</v>
      </c>
    </row>
    <row r="5402" spans="1:11" ht="42" customHeight="1">
      <c r="A5402" s="2" t="s">
        <v>10635</v>
      </c>
      <c r="B5402" s="2" t="s">
        <v>10635</v>
      </c>
      <c r="C5402" s="2" t="s">
        <v>50</v>
      </c>
      <c r="D5402" s="2" t="s">
        <v>51</v>
      </c>
      <c r="E5402" s="5">
        <v>-28269</v>
      </c>
      <c r="F5402" s="3" t="s">
        <v>5517</v>
      </c>
      <c r="G5402" s="3" t="s">
        <v>35</v>
      </c>
      <c r="H5402" s="2" t="s">
        <v>20</v>
      </c>
      <c r="I5402" s="2" t="s">
        <v>10643</v>
      </c>
      <c r="J5402" s="3" t="str">
        <f>HYPERLINK("https://www.boe.es/gazeta/dias/1822/08/07/pdfs/GMD-1822-231.pdf#page=2","Abrir facsímil")</f>
        <v>Abrir facsímil</v>
      </c>
      <c r="K5402" s="3" t="s">
        <v>22</v>
      </c>
    </row>
    <row r="5403" spans="1:11" ht="42" customHeight="1">
      <c r="A5403" s="2" t="s">
        <v>10635</v>
      </c>
      <c r="B5403" s="2" t="s">
        <v>10635</v>
      </c>
      <c r="C5403" s="2" t="s">
        <v>28</v>
      </c>
      <c r="D5403" s="2" t="s">
        <v>29</v>
      </c>
      <c r="E5403" s="5">
        <v>-28268</v>
      </c>
      <c r="F5403" s="3" t="s">
        <v>7231</v>
      </c>
      <c r="G5403" s="3" t="s">
        <v>44</v>
      </c>
      <c r="H5403" s="2" t="s">
        <v>20</v>
      </c>
      <c r="I5403" s="2" t="s">
        <v>10644</v>
      </c>
      <c r="J5403" s="3" t="str">
        <f>HYPERLINK("https://www.boe.es/gazeta/dias/1822/08/08/pdfs/GMD-1822-232.pdf#page=1","Abrir facsímil")</f>
        <v>Abrir facsímil</v>
      </c>
      <c r="K5403" s="3" t="s">
        <v>22</v>
      </c>
    </row>
    <row r="5404" spans="1:11" ht="42" customHeight="1">
      <c r="A5404" s="2" t="s">
        <v>10635</v>
      </c>
      <c r="B5404" s="2" t="s">
        <v>10635</v>
      </c>
      <c r="C5404" s="2" t="s">
        <v>50</v>
      </c>
      <c r="D5404" s="2" t="s">
        <v>51</v>
      </c>
      <c r="E5404" s="5">
        <v>-28261</v>
      </c>
      <c r="F5404" s="3" t="s">
        <v>5685</v>
      </c>
      <c r="G5404" s="3" t="s">
        <v>44</v>
      </c>
      <c r="H5404" s="2" t="s">
        <v>20</v>
      </c>
      <c r="I5404" s="2" t="s">
        <v>10645</v>
      </c>
      <c r="J5404" s="3" t="str">
        <f>HYPERLINK("https://www.boe.es/gazeta/dias/1822/08/15/pdfs/GMD-1822-239.pdf#page=1","Abrir facsímil")</f>
        <v>Abrir facsímil</v>
      </c>
      <c r="K5404" s="3" t="s">
        <v>22</v>
      </c>
    </row>
    <row r="5405" spans="1:11" ht="42" customHeight="1">
      <c r="A5405" s="2" t="s">
        <v>10635</v>
      </c>
      <c r="B5405" s="2" t="s">
        <v>10635</v>
      </c>
      <c r="C5405" s="2" t="s">
        <v>50</v>
      </c>
      <c r="D5405" s="2" t="s">
        <v>51</v>
      </c>
      <c r="E5405" s="5">
        <v>-28260</v>
      </c>
      <c r="F5405" s="3" t="s">
        <v>135</v>
      </c>
      <c r="G5405" s="3" t="s">
        <v>35</v>
      </c>
      <c r="H5405" s="2" t="s">
        <v>20</v>
      </c>
      <c r="I5405" s="2" t="s">
        <v>10646</v>
      </c>
      <c r="J5405" s="3" t="str">
        <f>HYPERLINK("https://www.boe.es/gazeta/dias/1822/08/16/pdfs/GMD-1822-240.pdf#page=2","Abrir facsímil")</f>
        <v>Abrir facsímil</v>
      </c>
      <c r="K5405" s="3" t="s">
        <v>22</v>
      </c>
    </row>
    <row r="5406" spans="1:11" ht="42" customHeight="1">
      <c r="A5406" s="2" t="s">
        <v>10647</v>
      </c>
      <c r="B5406" s="2" t="s">
        <v>10647</v>
      </c>
      <c r="C5406" s="2" t="s">
        <v>42</v>
      </c>
      <c r="D5406" s="2" t="s">
        <v>17</v>
      </c>
      <c r="E5406" s="5">
        <v>-28246</v>
      </c>
      <c r="F5406" s="3" t="s">
        <v>3246</v>
      </c>
      <c r="G5406" s="3" t="s">
        <v>3393</v>
      </c>
      <c r="H5406" s="2" t="s">
        <v>20</v>
      </c>
      <c r="I5406" s="2" t="s">
        <v>10648</v>
      </c>
      <c r="J5406" s="3" t="str">
        <f>HYPERLINK("https://www.boe.es/gazeta/dias/1822/08/30/pdfs/GMD-1822-254.pdf#page=3","Abrir facsímil")</f>
        <v>Abrir facsímil</v>
      </c>
      <c r="K5406" s="3" t="s">
        <v>22</v>
      </c>
    </row>
    <row r="5407" spans="1:11" ht="42" customHeight="1">
      <c r="A5407" s="2" t="s">
        <v>10649</v>
      </c>
      <c r="B5407" s="2" t="s">
        <v>10649</v>
      </c>
      <c r="C5407" s="2" t="s">
        <v>16</v>
      </c>
      <c r="D5407" s="2" t="s">
        <v>17</v>
      </c>
      <c r="E5407" s="5">
        <v>-28446</v>
      </c>
      <c r="F5407" s="3" t="s">
        <v>773</v>
      </c>
      <c r="G5407" s="3" t="s">
        <v>19</v>
      </c>
      <c r="H5407" s="2" t="s">
        <v>20</v>
      </c>
      <c r="I5407" s="2" t="s">
        <v>10650</v>
      </c>
      <c r="J5407" s="3" t="str">
        <f>HYPERLINK("https://www.boe.es/gazeta/dias/1822/02/11/pdfs/GMD-1822-42.pdf#page=5","Abrir facsímil")</f>
        <v>Abrir facsímil</v>
      </c>
      <c r="K5407" s="3" t="s">
        <v>22</v>
      </c>
    </row>
    <row r="5408" spans="1:11" ht="42" customHeight="1">
      <c r="A5408" s="2" t="s">
        <v>10649</v>
      </c>
      <c r="B5408" s="2" t="s">
        <v>10649</v>
      </c>
      <c r="C5408" s="2" t="s">
        <v>16</v>
      </c>
      <c r="D5408" s="2" t="s">
        <v>17</v>
      </c>
      <c r="E5408" s="5">
        <v>-28426</v>
      </c>
      <c r="F5408" s="3" t="s">
        <v>1178</v>
      </c>
      <c r="G5408" s="3" t="s">
        <v>35</v>
      </c>
      <c r="H5408" s="2" t="s">
        <v>20</v>
      </c>
      <c r="I5408" s="2" t="s">
        <v>10651</v>
      </c>
      <c r="J5408" s="3" t="str">
        <f>HYPERLINK("https://www.boe.es/gazeta/dias/1822/03/03/pdfs/GMD-1822-64.pdf#page=2","Abrir facsímil")</f>
        <v>Abrir facsímil</v>
      </c>
      <c r="K5408" s="3" t="s">
        <v>22</v>
      </c>
    </row>
    <row r="5409" spans="1:11" ht="42" customHeight="1">
      <c r="A5409" s="2" t="s">
        <v>10649</v>
      </c>
      <c r="B5409" s="2" t="s">
        <v>10649</v>
      </c>
      <c r="C5409" s="2" t="s">
        <v>50</v>
      </c>
      <c r="D5409" s="2" t="s">
        <v>51</v>
      </c>
      <c r="E5409" s="5">
        <v>-28368</v>
      </c>
      <c r="F5409" s="3" t="s">
        <v>126</v>
      </c>
      <c r="G5409" s="3" t="s">
        <v>57</v>
      </c>
      <c r="H5409" s="2" t="s">
        <v>20</v>
      </c>
      <c r="I5409" s="2" t="s">
        <v>10652</v>
      </c>
      <c r="J5409" s="3" t="str">
        <f>HYPERLINK("https://www.boe.es/gazeta/dias/1822/04/30/pdfs/GMD-1822-122.pdf#page=4","Abrir facsímil")</f>
        <v>Abrir facsímil</v>
      </c>
      <c r="K5409" s="3" t="s">
        <v>22</v>
      </c>
    </row>
    <row r="5410" spans="1:11" ht="42" customHeight="1">
      <c r="A5410" s="2" t="s">
        <v>10649</v>
      </c>
      <c r="B5410" s="2" t="s">
        <v>10649</v>
      </c>
      <c r="C5410" s="2" t="s">
        <v>28</v>
      </c>
      <c r="D5410" s="2" t="s">
        <v>29</v>
      </c>
      <c r="E5410" s="5">
        <v>-28269</v>
      </c>
      <c r="F5410" s="3" t="s">
        <v>5517</v>
      </c>
      <c r="G5410" s="3" t="s">
        <v>31</v>
      </c>
      <c r="H5410" s="2" t="s">
        <v>20</v>
      </c>
      <c r="I5410" s="2" t="s">
        <v>10653</v>
      </c>
      <c r="J5410" s="3" t="str">
        <f>HYPERLINK("https://www.boe.es/gazeta/dias/1822/08/07/pdfs/GMD-1822-231.pdf#page=3","Abrir facsímil")</f>
        <v>Abrir facsímil</v>
      </c>
      <c r="K5410" s="3" t="s">
        <v>22</v>
      </c>
    </row>
    <row r="5411" spans="1:11" ht="42" customHeight="1">
      <c r="A5411" s="2" t="s">
        <v>10654</v>
      </c>
      <c r="B5411" s="2" t="s">
        <v>10654</v>
      </c>
      <c r="C5411" s="2" t="s">
        <v>42</v>
      </c>
      <c r="D5411" s="2" t="s">
        <v>17</v>
      </c>
      <c r="E5411" s="5">
        <v>-28333</v>
      </c>
      <c r="F5411" s="3" t="s">
        <v>1928</v>
      </c>
      <c r="G5411" s="3" t="s">
        <v>44</v>
      </c>
      <c r="H5411" s="2" t="s">
        <v>20</v>
      </c>
      <c r="I5411" s="2" t="s">
        <v>10655</v>
      </c>
      <c r="J5411" s="3" t="str">
        <f>HYPERLINK("https://www.boe.es/gazeta/dias/1822/06/04/pdfs/GMD-1822-161.pdf#page=1","Abrir facsímil")</f>
        <v>Abrir facsímil</v>
      </c>
      <c r="K5411" s="3" t="s">
        <v>22</v>
      </c>
    </row>
    <row r="5412" spans="1:11" ht="42" customHeight="1">
      <c r="A5412" s="2" t="s">
        <v>10656</v>
      </c>
      <c r="B5412" s="2" t="s">
        <v>10656</v>
      </c>
      <c r="C5412" s="2" t="s">
        <v>50</v>
      </c>
      <c r="D5412" s="2" t="s">
        <v>51</v>
      </c>
      <c r="E5412" s="5">
        <v>-28359</v>
      </c>
      <c r="F5412" s="3" t="s">
        <v>209</v>
      </c>
      <c r="G5412" s="3" t="s">
        <v>63</v>
      </c>
      <c r="H5412" s="2" t="s">
        <v>20</v>
      </c>
      <c r="I5412" s="2" t="s">
        <v>10657</v>
      </c>
      <c r="J5412" s="3" t="str">
        <f>HYPERLINK("https://www.boe.es/gazeta/dias/1822/05/09/pdfs/GMD-1822-131.pdf#page=6","Abrir facsímil")</f>
        <v>Abrir facsímil</v>
      </c>
      <c r="K5412" s="3" t="s">
        <v>22</v>
      </c>
    </row>
    <row r="5413" spans="1:11" ht="42" customHeight="1">
      <c r="A5413" s="2" t="s">
        <v>10658</v>
      </c>
      <c r="B5413" s="2" t="s">
        <v>10659</v>
      </c>
      <c r="C5413" s="2" t="s">
        <v>71</v>
      </c>
      <c r="D5413" s="2" t="s">
        <v>17</v>
      </c>
      <c r="E5413" s="5">
        <v>-28322</v>
      </c>
      <c r="F5413" s="3" t="s">
        <v>2205</v>
      </c>
      <c r="G5413" s="3" t="s">
        <v>31</v>
      </c>
      <c r="H5413" s="2" t="s">
        <v>20</v>
      </c>
      <c r="I5413" s="2" t="s">
        <v>10660</v>
      </c>
      <c r="J5413" s="3" t="str">
        <f>HYPERLINK("https://www.boe.es/gazeta/dias/1822/06/15/pdfs/GMD-1822-172.pdf#page=3","Abrir facsímil")</f>
        <v>Abrir facsímil</v>
      </c>
      <c r="K5413" s="3" t="s">
        <v>22</v>
      </c>
    </row>
    <row r="5414" spans="1:11" ht="42" customHeight="1">
      <c r="A5414" s="2" t="s">
        <v>10661</v>
      </c>
      <c r="B5414" s="2" t="s">
        <v>10661</v>
      </c>
      <c r="C5414" s="2" t="s">
        <v>28</v>
      </c>
      <c r="D5414" s="2" t="s">
        <v>29</v>
      </c>
      <c r="E5414" s="5">
        <v>-28479</v>
      </c>
      <c r="F5414" s="3" t="s">
        <v>1091</v>
      </c>
      <c r="G5414" s="3" t="s">
        <v>31</v>
      </c>
      <c r="H5414" s="2" t="s">
        <v>20</v>
      </c>
      <c r="I5414" s="2" t="s">
        <v>10662</v>
      </c>
      <c r="J5414" s="3" t="str">
        <f>HYPERLINK("https://www.boe.es/gazeta/dias/1822/01/09/pdfs/GMD-1822-9.pdf#page=3","Abrir facsímil")</f>
        <v>Abrir facsímil</v>
      </c>
      <c r="K5414" s="3" t="s">
        <v>22</v>
      </c>
    </row>
    <row r="5415" spans="1:11" ht="42" customHeight="1">
      <c r="A5415" s="2" t="s">
        <v>10661</v>
      </c>
      <c r="B5415" s="2" t="s">
        <v>10661</v>
      </c>
      <c r="C5415" s="2" t="s">
        <v>28</v>
      </c>
      <c r="D5415" s="2" t="s">
        <v>29</v>
      </c>
      <c r="E5415" s="5">
        <v>-28476</v>
      </c>
      <c r="F5415" s="3" t="s">
        <v>160</v>
      </c>
      <c r="G5415" s="3" t="s">
        <v>35</v>
      </c>
      <c r="H5415" s="2" t="s">
        <v>20</v>
      </c>
      <c r="I5415" s="2" t="s">
        <v>10663</v>
      </c>
      <c r="J5415" s="3" t="str">
        <f>HYPERLINK("https://www.boe.es/gazeta/dias/1822/01/12/pdfs/GMD-1822-12.pdf#page=2","Abrir facsímil")</f>
        <v>Abrir facsímil</v>
      </c>
      <c r="K5415" s="3" t="s">
        <v>22</v>
      </c>
    </row>
    <row r="5416" spans="1:11" ht="42" customHeight="1">
      <c r="A5416" s="2" t="s">
        <v>10661</v>
      </c>
      <c r="B5416" s="2" t="s">
        <v>10661</v>
      </c>
      <c r="C5416" s="2" t="s">
        <v>50</v>
      </c>
      <c r="D5416" s="2" t="s">
        <v>51</v>
      </c>
      <c r="E5416" s="5">
        <v>-28475</v>
      </c>
      <c r="F5416" s="3" t="s">
        <v>1205</v>
      </c>
      <c r="G5416" s="3" t="s">
        <v>1685</v>
      </c>
      <c r="H5416" s="2" t="s">
        <v>20</v>
      </c>
      <c r="I5416" s="2" t="s">
        <v>10664</v>
      </c>
      <c r="J5416" s="3" t="str">
        <f>HYPERLINK("https://www.boe.es/gazeta/dias/1822/01/13/pdfs/GMD-1822-13.pdf#page=4","Abrir facsímil")</f>
        <v>Abrir facsímil</v>
      </c>
      <c r="K5416" s="3" t="s">
        <v>22</v>
      </c>
    </row>
    <row r="5417" spans="1:11" ht="42" customHeight="1">
      <c r="A5417" s="2" t="s">
        <v>10661</v>
      </c>
      <c r="B5417" s="2" t="s">
        <v>10661</v>
      </c>
      <c r="C5417" s="2" t="s">
        <v>71</v>
      </c>
      <c r="D5417" s="2" t="s">
        <v>17</v>
      </c>
      <c r="E5417" s="5">
        <v>-28475</v>
      </c>
      <c r="F5417" s="3" t="s">
        <v>1205</v>
      </c>
      <c r="G5417" s="3" t="s">
        <v>907</v>
      </c>
      <c r="H5417" s="2" t="s">
        <v>20</v>
      </c>
      <c r="I5417" s="2" t="s">
        <v>10665</v>
      </c>
      <c r="J5417" s="3" t="str">
        <f>HYPERLINK("https://www.boe.es/gazeta/dias/1822/01/13/pdfs/GMD-1822-13.pdf#page=5","Abrir facsímil")</f>
        <v>Abrir facsímil</v>
      </c>
      <c r="K5417" s="3" t="s">
        <v>22</v>
      </c>
    </row>
    <row r="5418" spans="1:11" ht="42" customHeight="1">
      <c r="A5418" s="2" t="s">
        <v>10661</v>
      </c>
      <c r="B5418" s="2" t="s">
        <v>10661</v>
      </c>
      <c r="C5418" s="2" t="s">
        <v>42</v>
      </c>
      <c r="D5418" s="2" t="s">
        <v>17</v>
      </c>
      <c r="E5418" s="5">
        <v>-28471</v>
      </c>
      <c r="F5418" s="3" t="s">
        <v>1436</v>
      </c>
      <c r="G5418" s="3" t="s">
        <v>57</v>
      </c>
      <c r="H5418" s="2" t="s">
        <v>20</v>
      </c>
      <c r="I5418" s="2" t="s">
        <v>10666</v>
      </c>
      <c r="J5418" s="3" t="str">
        <f>HYPERLINK("https://www.boe.es/gazeta/dias/1822/01/17/pdfs/GMD-1822-17.pdf#page=4","Abrir facsímil")</f>
        <v>Abrir facsímil</v>
      </c>
      <c r="K5418" s="3" t="s">
        <v>22</v>
      </c>
    </row>
    <row r="5419" spans="1:11" ht="42" customHeight="1">
      <c r="A5419" s="2" t="s">
        <v>10661</v>
      </c>
      <c r="B5419" s="2" t="s">
        <v>10661</v>
      </c>
      <c r="C5419" s="2" t="s">
        <v>42</v>
      </c>
      <c r="D5419" s="2" t="s">
        <v>17</v>
      </c>
      <c r="E5419" s="5">
        <v>-28452</v>
      </c>
      <c r="F5419" s="3" t="s">
        <v>7772</v>
      </c>
      <c r="G5419" s="3" t="s">
        <v>57</v>
      </c>
      <c r="H5419" s="2" t="s">
        <v>20</v>
      </c>
      <c r="I5419" s="2" t="s">
        <v>10667</v>
      </c>
      <c r="J5419" s="3" t="str">
        <f>HYPERLINK("https://www.boe.es/gazeta/dias/1822/02/05/pdfs/GMD-1822-36.pdf#page=4","Abrir facsímil")</f>
        <v>Abrir facsímil</v>
      </c>
      <c r="K5419" s="3" t="s">
        <v>22</v>
      </c>
    </row>
    <row r="5420" spans="1:11" ht="42" customHeight="1">
      <c r="A5420" s="2" t="s">
        <v>10668</v>
      </c>
      <c r="B5420" s="2" t="s">
        <v>10668</v>
      </c>
      <c r="C5420" s="2" t="s">
        <v>61</v>
      </c>
      <c r="D5420" s="2" t="s">
        <v>17</v>
      </c>
      <c r="E5420" s="5">
        <v>-28423</v>
      </c>
      <c r="F5420" s="3" t="s">
        <v>441</v>
      </c>
      <c r="G5420" s="3" t="s">
        <v>31</v>
      </c>
      <c r="H5420" s="2" t="s">
        <v>20</v>
      </c>
      <c r="I5420" s="2" t="s">
        <v>10669</v>
      </c>
      <c r="J5420" s="3" t="str">
        <f>HYPERLINK("https://www.boe.es/gazeta/dias/1822/03/06/pdfs/GMD-1822-67.pdf#page=3","Abrir facsímil")</f>
        <v>Abrir facsímil</v>
      </c>
      <c r="K5420" s="3" t="s">
        <v>22</v>
      </c>
    </row>
    <row r="5421" spans="1:11" ht="42" customHeight="1">
      <c r="A5421" s="2" t="s">
        <v>10668</v>
      </c>
      <c r="B5421" s="2" t="s">
        <v>10668</v>
      </c>
      <c r="C5421" s="2" t="s">
        <v>50</v>
      </c>
      <c r="D5421" s="2" t="s">
        <v>51</v>
      </c>
      <c r="E5421" s="5">
        <v>-28415</v>
      </c>
      <c r="F5421" s="3" t="s">
        <v>77</v>
      </c>
      <c r="G5421" s="3" t="s">
        <v>35</v>
      </c>
      <c r="H5421" s="2" t="s">
        <v>20</v>
      </c>
      <c r="I5421" s="2" t="s">
        <v>10670</v>
      </c>
      <c r="J5421" s="3" t="str">
        <f>HYPERLINK("https://www.boe.es/gazeta/dias/1822/03/14/pdfs/GMD-1822-75.pdf#page=2","Abrir facsímil")</f>
        <v>Abrir facsímil</v>
      </c>
      <c r="K5421" s="3" t="s">
        <v>22</v>
      </c>
    </row>
    <row r="5422" spans="1:11" ht="42" customHeight="1">
      <c r="A5422" s="2" t="s">
        <v>10668</v>
      </c>
      <c r="B5422" s="2" t="s">
        <v>10668</v>
      </c>
      <c r="C5422" s="2" t="s">
        <v>28</v>
      </c>
      <c r="D5422" s="2" t="s">
        <v>29</v>
      </c>
      <c r="E5422" s="5">
        <v>-28405</v>
      </c>
      <c r="F5422" s="3" t="s">
        <v>466</v>
      </c>
      <c r="G5422" s="3" t="s">
        <v>35</v>
      </c>
      <c r="H5422" s="2" t="s">
        <v>20</v>
      </c>
      <c r="I5422" s="2" t="s">
        <v>10671</v>
      </c>
      <c r="J5422" s="3" t="str">
        <f>HYPERLINK("https://www.boe.es/gazeta/dias/1822/03/24/pdfs/GMD-1822-85.pdf#page=2","Abrir facsímil")</f>
        <v>Abrir facsímil</v>
      </c>
      <c r="K5422" s="3" t="s">
        <v>22</v>
      </c>
    </row>
    <row r="5423" spans="1:11" ht="42" customHeight="1">
      <c r="A5423" s="2" t="s">
        <v>10668</v>
      </c>
      <c r="B5423" s="2" t="s">
        <v>10668</v>
      </c>
      <c r="C5423" s="2" t="s">
        <v>50</v>
      </c>
      <c r="D5423" s="2" t="s">
        <v>51</v>
      </c>
      <c r="E5423" s="5">
        <v>-28390</v>
      </c>
      <c r="F5423" s="3" t="s">
        <v>665</v>
      </c>
      <c r="G5423" s="3" t="s">
        <v>57</v>
      </c>
      <c r="H5423" s="2" t="s">
        <v>20</v>
      </c>
      <c r="I5423" s="2" t="s">
        <v>10672</v>
      </c>
      <c r="J5423" s="3" t="str">
        <f>HYPERLINK("https://www.boe.es/gazeta/dias/1822/04/08/pdfs/GMD-1822-100.pdf#page=4","Abrir facsímil")</f>
        <v>Abrir facsímil</v>
      </c>
      <c r="K5423" s="3" t="s">
        <v>22</v>
      </c>
    </row>
    <row r="5424" spans="1:11" ht="42" customHeight="1">
      <c r="A5424" s="2" t="s">
        <v>10668</v>
      </c>
      <c r="B5424" s="2" t="s">
        <v>10668</v>
      </c>
      <c r="C5424" s="2" t="s">
        <v>50</v>
      </c>
      <c r="D5424" s="2" t="s">
        <v>51</v>
      </c>
      <c r="E5424" s="5">
        <v>-28374</v>
      </c>
      <c r="F5424" s="3" t="s">
        <v>171</v>
      </c>
      <c r="G5424" s="3" t="s">
        <v>35</v>
      </c>
      <c r="H5424" s="2" t="s">
        <v>20</v>
      </c>
      <c r="I5424" s="2" t="s">
        <v>10673</v>
      </c>
      <c r="J5424" s="3" t="str">
        <f>HYPERLINK("https://www.boe.es/gazeta/dias/1822/04/24/pdfs/GMD-1822-116.pdf#page=2","Abrir facsímil")</f>
        <v>Abrir facsímil</v>
      </c>
      <c r="K5424" s="3" t="s">
        <v>22</v>
      </c>
    </row>
    <row r="5425" spans="1:11" ht="42" customHeight="1">
      <c r="A5425" s="2" t="s">
        <v>10668</v>
      </c>
      <c r="B5425" s="2" t="s">
        <v>10668</v>
      </c>
      <c r="C5425" s="2" t="s">
        <v>42</v>
      </c>
      <c r="D5425" s="2" t="s">
        <v>17</v>
      </c>
      <c r="E5425" s="5">
        <v>-28345</v>
      </c>
      <c r="F5425" s="3" t="s">
        <v>294</v>
      </c>
      <c r="G5425" s="3" t="s">
        <v>63</v>
      </c>
      <c r="H5425" s="2" t="s">
        <v>20</v>
      </c>
      <c r="I5425" s="2" t="s">
        <v>10674</v>
      </c>
      <c r="J5425" s="3" t="str">
        <f>HYPERLINK("https://www.boe.es/gazeta/dias/1822/05/23/pdfs/GMD-1822-147.pdf#page=6","Abrir facsímil")</f>
        <v>Abrir facsímil</v>
      </c>
      <c r="K5425" s="3" t="s">
        <v>22</v>
      </c>
    </row>
    <row r="5426" spans="1:11" ht="42" customHeight="1">
      <c r="A5426" s="2" t="s">
        <v>10668</v>
      </c>
      <c r="B5426" s="2" t="s">
        <v>10668</v>
      </c>
      <c r="C5426" s="2" t="s">
        <v>71</v>
      </c>
      <c r="D5426" s="2" t="s">
        <v>17</v>
      </c>
      <c r="E5426" s="5">
        <v>-28341</v>
      </c>
      <c r="F5426" s="3" t="s">
        <v>284</v>
      </c>
      <c r="G5426" s="3" t="s">
        <v>44</v>
      </c>
      <c r="H5426" s="2" t="s">
        <v>20</v>
      </c>
      <c r="I5426" s="2" t="s">
        <v>10675</v>
      </c>
      <c r="J5426" s="3" t="str">
        <f>HYPERLINK("https://www.boe.es/gazeta/dias/1822/05/27/pdfs/GMD-1822-152.pdf#page=1","Abrir facsímil")</f>
        <v>Abrir facsímil</v>
      </c>
      <c r="K5426" s="3" t="s">
        <v>22</v>
      </c>
    </row>
    <row r="5427" spans="1:11" ht="42" customHeight="1">
      <c r="A5427" s="2" t="s">
        <v>10668</v>
      </c>
      <c r="B5427" s="2" t="s">
        <v>10668</v>
      </c>
      <c r="C5427" s="2" t="s">
        <v>28</v>
      </c>
      <c r="D5427" s="2" t="s">
        <v>29</v>
      </c>
      <c r="E5427" s="5">
        <v>-28322</v>
      </c>
      <c r="F5427" s="3" t="s">
        <v>2205</v>
      </c>
      <c r="G5427" s="3" t="s">
        <v>3031</v>
      </c>
      <c r="H5427" s="2" t="s">
        <v>20</v>
      </c>
      <c r="I5427" s="2" t="s">
        <v>10676</v>
      </c>
      <c r="J5427" s="3" t="str">
        <f>HYPERLINK("https://www.boe.es/gazeta/dias/1822/06/15/pdfs/GMD-1822-172.pdf#page=2","Abrir facsímil")</f>
        <v>Abrir facsímil</v>
      </c>
      <c r="K5427" s="3" t="s">
        <v>22</v>
      </c>
    </row>
    <row r="5428" spans="1:11" ht="42" customHeight="1">
      <c r="A5428" s="2" t="s">
        <v>10668</v>
      </c>
      <c r="B5428" s="2" t="s">
        <v>10668</v>
      </c>
      <c r="C5428" s="2" t="s">
        <v>42</v>
      </c>
      <c r="D5428" s="2" t="s">
        <v>17</v>
      </c>
      <c r="E5428" s="5">
        <v>-28321</v>
      </c>
      <c r="F5428" s="3" t="s">
        <v>1142</v>
      </c>
      <c r="G5428" s="3" t="s">
        <v>35</v>
      </c>
      <c r="H5428" s="2" t="s">
        <v>20</v>
      </c>
      <c r="I5428" s="2" t="s">
        <v>10677</v>
      </c>
      <c r="J5428" s="3" t="str">
        <f>HYPERLINK("https://www.boe.es/gazeta/dias/1822/06/16/pdfs/GMD-1822-173.pdf#page=2","Abrir facsímil")</f>
        <v>Abrir facsímil</v>
      </c>
      <c r="K5428" s="3" t="s">
        <v>22</v>
      </c>
    </row>
    <row r="5429" spans="1:11" ht="42" customHeight="1">
      <c r="A5429" s="2" t="s">
        <v>10668</v>
      </c>
      <c r="B5429" s="2" t="s">
        <v>10668</v>
      </c>
      <c r="C5429" s="2" t="s">
        <v>50</v>
      </c>
      <c r="D5429" s="2" t="s">
        <v>51</v>
      </c>
      <c r="E5429" s="5">
        <v>-28321</v>
      </c>
      <c r="F5429" s="3" t="s">
        <v>1142</v>
      </c>
      <c r="G5429" s="3" t="s">
        <v>63</v>
      </c>
      <c r="H5429" s="2" t="s">
        <v>20</v>
      </c>
      <c r="I5429" s="2" t="s">
        <v>10678</v>
      </c>
      <c r="J5429" s="3" t="str">
        <f>HYPERLINK("https://www.boe.es/gazeta/dias/1822/06/16/pdfs/GMD-1822-173.pdf#page=6","Abrir facsímil")</f>
        <v>Abrir facsímil</v>
      </c>
      <c r="K5429" s="3" t="s">
        <v>22</v>
      </c>
    </row>
    <row r="5430" spans="1:11" ht="42" customHeight="1">
      <c r="A5430" s="2" t="s">
        <v>10668</v>
      </c>
      <c r="B5430" s="2" t="s">
        <v>10668</v>
      </c>
      <c r="C5430" s="2" t="s">
        <v>16</v>
      </c>
      <c r="D5430" s="2" t="s">
        <v>17</v>
      </c>
      <c r="E5430" s="5">
        <v>-28241</v>
      </c>
      <c r="F5430" s="3" t="s">
        <v>3068</v>
      </c>
      <c r="G5430" s="3" t="s">
        <v>57</v>
      </c>
      <c r="H5430" s="2" t="s">
        <v>20</v>
      </c>
      <c r="I5430" s="2" t="s">
        <v>10679</v>
      </c>
      <c r="J5430" s="3" t="str">
        <f>HYPERLINK("https://www.boe.es/gazeta/dias/1822/09/04/pdfs/GMD-1822-259.pdf#page=4","Abrir facsímil")</f>
        <v>Abrir facsímil</v>
      </c>
      <c r="K5430" s="3" t="s">
        <v>22</v>
      </c>
    </row>
    <row r="5431" spans="1:11" ht="42" customHeight="1">
      <c r="A5431" s="2" t="s">
        <v>10668</v>
      </c>
      <c r="B5431" s="2" t="s">
        <v>10668</v>
      </c>
      <c r="C5431" s="2" t="s">
        <v>42</v>
      </c>
      <c r="D5431" s="2" t="s">
        <v>17</v>
      </c>
      <c r="E5431" s="5">
        <v>-28219</v>
      </c>
      <c r="F5431" s="3" t="s">
        <v>1082</v>
      </c>
      <c r="G5431" s="3" t="s">
        <v>31</v>
      </c>
      <c r="H5431" s="2" t="s">
        <v>20</v>
      </c>
      <c r="I5431" s="2" t="s">
        <v>10680</v>
      </c>
      <c r="J5431" s="3" t="str">
        <f>HYPERLINK("https://www.boe.es/gazeta/dias/1822/09/26/pdfs/GMD-1822-282.pdf#page=3","Abrir facsímil")</f>
        <v>Abrir facsímil</v>
      </c>
      <c r="K5431" s="3" t="s">
        <v>22</v>
      </c>
    </row>
    <row r="5432" spans="1:11" ht="42" customHeight="1">
      <c r="A5432" s="2" t="s">
        <v>10668</v>
      </c>
      <c r="B5432" s="2" t="s">
        <v>10668</v>
      </c>
      <c r="C5432" s="2" t="s">
        <v>50</v>
      </c>
      <c r="D5432" s="2" t="s">
        <v>51</v>
      </c>
      <c r="E5432" s="5">
        <v>-28157</v>
      </c>
      <c r="F5432" s="3" t="s">
        <v>1492</v>
      </c>
      <c r="G5432" s="3" t="s">
        <v>63</v>
      </c>
      <c r="H5432" s="2" t="s">
        <v>20</v>
      </c>
      <c r="I5432" s="2" t="s">
        <v>10681</v>
      </c>
      <c r="J5432" s="3" t="str">
        <f>HYPERLINK("https://www.boe.es/gazeta/dias/1822/11/27/pdfs/GMD-1822-347.pdf#page=6","Abrir facsímil")</f>
        <v>Abrir facsímil</v>
      </c>
      <c r="K5432" s="3" t="s">
        <v>22</v>
      </c>
    </row>
    <row r="5433" spans="1:11" ht="42" customHeight="1">
      <c r="A5433" s="2" t="s">
        <v>10668</v>
      </c>
      <c r="B5433" s="2" t="s">
        <v>10668</v>
      </c>
      <c r="C5433" s="2" t="s">
        <v>42</v>
      </c>
      <c r="D5433" s="2" t="s">
        <v>17</v>
      </c>
      <c r="E5433" s="5">
        <v>-28152</v>
      </c>
      <c r="F5433" s="3" t="s">
        <v>122</v>
      </c>
      <c r="G5433" s="3" t="s">
        <v>57</v>
      </c>
      <c r="H5433" s="2" t="s">
        <v>20</v>
      </c>
      <c r="I5433" s="2" t="s">
        <v>10682</v>
      </c>
      <c r="J5433" s="3" t="str">
        <f>HYPERLINK("https://www.boe.es/gazeta/dias/1822/12/02/pdfs/GMD-1822-352.pdf#page=4","Abrir facsímil")</f>
        <v>Abrir facsímil</v>
      </c>
      <c r="K5433" s="3" t="s">
        <v>22</v>
      </c>
    </row>
    <row r="5434" spans="1:11" ht="42" customHeight="1">
      <c r="A5434" s="2" t="s">
        <v>10668</v>
      </c>
      <c r="B5434" s="2" t="s">
        <v>10668</v>
      </c>
      <c r="C5434" s="2" t="s">
        <v>28</v>
      </c>
      <c r="D5434" s="2" t="s">
        <v>29</v>
      </c>
      <c r="E5434" s="5">
        <v>-28130</v>
      </c>
      <c r="F5434" s="3" t="s">
        <v>34</v>
      </c>
      <c r="G5434" s="3" t="s">
        <v>63</v>
      </c>
      <c r="H5434" s="2" t="s">
        <v>20</v>
      </c>
      <c r="I5434" s="2" t="s">
        <v>10683</v>
      </c>
      <c r="J5434" s="3" t="str">
        <f>HYPERLINK("https://www.boe.es/gazeta/dias/1822/12/24/pdfs/GMD-1822-374.pdf#page=6","Abrir facsímil")</f>
        <v>Abrir facsímil</v>
      </c>
      <c r="K5434" s="3" t="s">
        <v>22</v>
      </c>
    </row>
    <row r="5435" spans="1:11" ht="42" customHeight="1">
      <c r="A5435" s="2" t="s">
        <v>10684</v>
      </c>
      <c r="B5435" s="2" t="s">
        <v>10685</v>
      </c>
      <c r="C5435" s="2" t="s">
        <v>50</v>
      </c>
      <c r="D5435" s="2" t="s">
        <v>51</v>
      </c>
      <c r="E5435" s="5">
        <v>-28415</v>
      </c>
      <c r="F5435" s="3" t="s">
        <v>77</v>
      </c>
      <c r="G5435" s="3" t="s">
        <v>19</v>
      </c>
      <c r="H5435" s="2" t="s">
        <v>45</v>
      </c>
      <c r="I5435" s="2" t="s">
        <v>10686</v>
      </c>
      <c r="J5435" s="3" t="str">
        <f>HYPERLINK("https://www.boe.es/gazeta/dias/1822/03/14/pdfs/GMD-1822-75.pdf#page=5","Abrir facsímil")</f>
        <v>Abrir facsímil</v>
      </c>
      <c r="K5435" s="3" t="s">
        <v>47</v>
      </c>
    </row>
    <row r="5436" spans="1:11" ht="42" customHeight="1">
      <c r="A5436" s="2" t="s">
        <v>10687</v>
      </c>
      <c r="B5436" s="2" t="s">
        <v>10688</v>
      </c>
      <c r="C5436" s="2" t="s">
        <v>42</v>
      </c>
      <c r="D5436" s="2" t="s">
        <v>17</v>
      </c>
      <c r="E5436" s="5">
        <v>-28429</v>
      </c>
      <c r="F5436" s="3" t="s">
        <v>2397</v>
      </c>
      <c r="G5436" s="3" t="s">
        <v>31</v>
      </c>
      <c r="H5436" s="2" t="s">
        <v>20</v>
      </c>
      <c r="I5436" s="2" t="s">
        <v>10689</v>
      </c>
      <c r="J5436" s="3" t="str">
        <f>HYPERLINK("https://www.boe.es/gazeta/dias/1822/02/28/pdfs/GMD-1822-60.pdf#page=3","Abrir facsímil")</f>
        <v>Abrir facsímil</v>
      </c>
      <c r="K5436" s="3" t="s">
        <v>22</v>
      </c>
    </row>
    <row r="5437" spans="1:11" ht="42" customHeight="1">
      <c r="A5437" s="2" t="s">
        <v>10690</v>
      </c>
      <c r="B5437" s="2" t="s">
        <v>10691</v>
      </c>
      <c r="C5437" s="2" t="s">
        <v>16</v>
      </c>
      <c r="D5437" s="2" t="s">
        <v>17</v>
      </c>
      <c r="E5437" s="5">
        <v>-28321</v>
      </c>
      <c r="F5437" s="3" t="s">
        <v>1142</v>
      </c>
      <c r="G5437" s="3" t="s">
        <v>63</v>
      </c>
      <c r="H5437" s="2" t="s">
        <v>20</v>
      </c>
      <c r="I5437" s="2" t="s">
        <v>10692</v>
      </c>
      <c r="J5437" s="3" t="str">
        <f>HYPERLINK("https://www.boe.es/gazeta/dias/1822/06/16/pdfs/GMD-1822-173.pdf#page=6","Abrir facsímil")</f>
        <v>Abrir facsímil</v>
      </c>
      <c r="K5437" s="3" t="s">
        <v>22</v>
      </c>
    </row>
    <row r="5438" spans="1:11" ht="42" customHeight="1">
      <c r="A5438" s="2" t="s">
        <v>10693</v>
      </c>
      <c r="B5438" s="2" t="s">
        <v>10693</v>
      </c>
      <c r="C5438" s="2" t="s">
        <v>42</v>
      </c>
      <c r="D5438" s="2" t="s">
        <v>17</v>
      </c>
      <c r="E5438" s="5">
        <v>-28436</v>
      </c>
      <c r="F5438" s="3" t="s">
        <v>431</v>
      </c>
      <c r="G5438" s="3" t="s">
        <v>1428</v>
      </c>
      <c r="H5438" s="2" t="s">
        <v>20</v>
      </c>
      <c r="I5438" s="2" t="s">
        <v>10694</v>
      </c>
      <c r="J5438" s="3" t="str">
        <f>HYPERLINK("https://www.boe.es/gazeta/dias/1822/02/21/pdfs/GMD-1822-53.pdf#page=3","Abrir facsímil")</f>
        <v>Abrir facsímil</v>
      </c>
      <c r="K5438" s="3" t="s">
        <v>22</v>
      </c>
    </row>
    <row r="5439" spans="1:11" ht="42" customHeight="1">
      <c r="A5439" s="2" t="s">
        <v>10693</v>
      </c>
      <c r="B5439" s="2" t="s">
        <v>10693</v>
      </c>
      <c r="C5439" s="2" t="s">
        <v>50</v>
      </c>
      <c r="D5439" s="2" t="s">
        <v>51</v>
      </c>
      <c r="E5439" s="5">
        <v>-28368</v>
      </c>
      <c r="F5439" s="3" t="s">
        <v>126</v>
      </c>
      <c r="G5439" s="3" t="s">
        <v>44</v>
      </c>
      <c r="H5439" s="2" t="s">
        <v>20</v>
      </c>
      <c r="I5439" s="2" t="s">
        <v>10695</v>
      </c>
      <c r="J5439" s="3" t="str">
        <f>HYPERLINK("https://www.boe.es/gazeta/dias/1822/04/30/pdfs/GMD-1822-122.pdf#page=1","Abrir facsímil")</f>
        <v>Abrir facsímil</v>
      </c>
      <c r="K5439" s="3" t="s">
        <v>22</v>
      </c>
    </row>
    <row r="5440" spans="1:11" ht="42" customHeight="1">
      <c r="A5440" s="2" t="s">
        <v>10693</v>
      </c>
      <c r="B5440" s="2" t="s">
        <v>10693</v>
      </c>
      <c r="C5440" s="2" t="s">
        <v>50</v>
      </c>
      <c r="D5440" s="2" t="s">
        <v>51</v>
      </c>
      <c r="E5440" s="5">
        <v>-28303</v>
      </c>
      <c r="F5440" s="3" t="s">
        <v>201</v>
      </c>
      <c r="G5440" s="3" t="s">
        <v>31</v>
      </c>
      <c r="H5440" s="2" t="s">
        <v>20</v>
      </c>
      <c r="I5440" s="2" t="s">
        <v>10696</v>
      </c>
      <c r="J5440" s="3" t="str">
        <f>HYPERLINK("https://www.boe.es/gazeta/dias/1822/07/04/pdfs/GMD-1822-193.pdf#page=3","Abrir facsímil")</f>
        <v>Abrir facsímil</v>
      </c>
      <c r="K5440" s="3" t="s">
        <v>22</v>
      </c>
    </row>
    <row r="5441" spans="1:11" ht="42" customHeight="1">
      <c r="A5441" s="2" t="s">
        <v>10693</v>
      </c>
      <c r="B5441" s="2" t="s">
        <v>10693</v>
      </c>
      <c r="C5441" s="2" t="s">
        <v>362</v>
      </c>
      <c r="D5441" s="2" t="s">
        <v>17</v>
      </c>
      <c r="E5441" s="5">
        <v>-28236</v>
      </c>
      <c r="F5441" s="3" t="s">
        <v>714</v>
      </c>
      <c r="G5441" s="3" t="s">
        <v>57</v>
      </c>
      <c r="H5441" s="2" t="s">
        <v>20</v>
      </c>
      <c r="I5441" s="2" t="s">
        <v>10697</v>
      </c>
      <c r="J5441" s="3" t="str">
        <f>HYPERLINK("https://www.boe.es/gazeta/dias/1822/09/09/pdfs/GMD-1822-265.pdf#page=4","Abrir facsímil")</f>
        <v>Abrir facsímil</v>
      </c>
      <c r="K5441" s="3" t="s">
        <v>22</v>
      </c>
    </row>
    <row r="5442" spans="1:11" ht="42" customHeight="1">
      <c r="A5442" s="2" t="s">
        <v>10693</v>
      </c>
      <c r="B5442" s="2" t="s">
        <v>10693</v>
      </c>
      <c r="C5442" s="2" t="s">
        <v>50</v>
      </c>
      <c r="D5442" s="2" t="s">
        <v>51</v>
      </c>
      <c r="E5442" s="5">
        <v>-28197</v>
      </c>
      <c r="F5442" s="3" t="s">
        <v>568</v>
      </c>
      <c r="G5442" s="3" t="s">
        <v>19</v>
      </c>
      <c r="H5442" s="2" t="s">
        <v>20</v>
      </c>
      <c r="I5442" s="2" t="s">
        <v>10698</v>
      </c>
      <c r="J5442" s="3" t="str">
        <f>HYPERLINK("https://www.boe.es/gazeta/dias/1822/10/18/pdfs/GMD-1822-305.pdf#page=5","Abrir facsímil")</f>
        <v>Abrir facsímil</v>
      </c>
      <c r="K5442" s="3" t="s">
        <v>22</v>
      </c>
    </row>
    <row r="5443" spans="1:11" ht="42" customHeight="1">
      <c r="A5443" s="2" t="s">
        <v>10699</v>
      </c>
      <c r="B5443" s="2" t="s">
        <v>10700</v>
      </c>
      <c r="C5443" s="2" t="s">
        <v>71</v>
      </c>
      <c r="D5443" s="2" t="s">
        <v>17</v>
      </c>
      <c r="E5443" s="5">
        <v>-28468</v>
      </c>
      <c r="F5443" s="3" t="s">
        <v>1012</v>
      </c>
      <c r="G5443" s="3" t="s">
        <v>35</v>
      </c>
      <c r="H5443" s="2" t="s">
        <v>20</v>
      </c>
      <c r="I5443" s="2" t="s">
        <v>10701</v>
      </c>
      <c r="J5443" s="3" t="str">
        <f>HYPERLINK("https://www.boe.es/gazeta/dias/1822/01/20/pdfs/GMD-1822-20.pdf#page=2","Abrir facsímil")</f>
        <v>Abrir facsímil</v>
      </c>
      <c r="K5443" s="3" t="s">
        <v>22</v>
      </c>
    </row>
    <row r="5444" spans="1:11" ht="42" customHeight="1">
      <c r="A5444" s="2" t="s">
        <v>10702</v>
      </c>
      <c r="B5444" s="2" t="s">
        <v>10703</v>
      </c>
      <c r="C5444" s="2" t="s">
        <v>50</v>
      </c>
      <c r="D5444" s="2" t="s">
        <v>51</v>
      </c>
      <c r="E5444" s="5">
        <v>-28221</v>
      </c>
      <c r="F5444" s="3" t="s">
        <v>2591</v>
      </c>
      <c r="G5444" s="3" t="s">
        <v>44</v>
      </c>
      <c r="H5444" s="2" t="s">
        <v>45</v>
      </c>
      <c r="I5444" s="2" t="s">
        <v>10704</v>
      </c>
      <c r="J5444" s="3" t="str">
        <f>HYPERLINK("https://www.boe.es/gazeta/dias/1822/09/24/pdfs/GMD-1822-280.pdf#page=1","Abrir facsímil")</f>
        <v>Abrir facsímil</v>
      </c>
      <c r="K5444" s="3" t="s">
        <v>47</v>
      </c>
    </row>
    <row r="5445" spans="1:11" ht="42" customHeight="1">
      <c r="A5445" s="2" t="s">
        <v>10705</v>
      </c>
      <c r="B5445" s="2" t="s">
        <v>10706</v>
      </c>
      <c r="C5445" s="2" t="s">
        <v>50</v>
      </c>
      <c r="D5445" s="2" t="s">
        <v>51</v>
      </c>
      <c r="E5445" s="5">
        <v>-28345</v>
      </c>
      <c r="F5445" s="3" t="s">
        <v>294</v>
      </c>
      <c r="G5445" s="3" t="s">
        <v>44</v>
      </c>
      <c r="H5445" s="2" t="s">
        <v>45</v>
      </c>
      <c r="I5445" s="2" t="s">
        <v>10707</v>
      </c>
      <c r="J5445" s="3" t="str">
        <f>HYPERLINK("https://www.boe.es/gazeta/dias/1822/05/23/pdfs/GMD-1822-147.pdf#page=1","Abrir facsímil")</f>
        <v>Abrir facsímil</v>
      </c>
      <c r="K5445" s="3" t="s">
        <v>47</v>
      </c>
    </row>
    <row r="5446" spans="1:11" ht="42" customHeight="1">
      <c r="A5446" s="2" t="s">
        <v>10708</v>
      </c>
      <c r="B5446" s="2" t="s">
        <v>10708</v>
      </c>
      <c r="C5446" s="2" t="s">
        <v>28</v>
      </c>
      <c r="D5446" s="2" t="s">
        <v>29</v>
      </c>
      <c r="E5446" s="5">
        <v>-28458</v>
      </c>
      <c r="F5446" s="3" t="s">
        <v>1151</v>
      </c>
      <c r="G5446" s="3" t="s">
        <v>44</v>
      </c>
      <c r="H5446" s="2" t="s">
        <v>20</v>
      </c>
      <c r="I5446" s="2" t="s">
        <v>10709</v>
      </c>
      <c r="J5446" s="3" t="str">
        <f>HYPERLINK("https://www.boe.es/gazeta/dias/1822/01/30/pdfs/GMD-1822-30.pdf#page=1","Abrir facsímil")</f>
        <v>Abrir facsímil</v>
      </c>
      <c r="K5446" s="3" t="s">
        <v>22</v>
      </c>
    </row>
    <row r="5447" spans="1:11" ht="42" customHeight="1">
      <c r="A5447" s="2" t="s">
        <v>10710</v>
      </c>
      <c r="B5447" s="2" t="s">
        <v>10710</v>
      </c>
      <c r="C5447" s="2" t="s">
        <v>50</v>
      </c>
      <c r="D5447" s="2" t="s">
        <v>51</v>
      </c>
      <c r="E5447" s="5">
        <v>-28136</v>
      </c>
      <c r="F5447" s="3" t="s">
        <v>948</v>
      </c>
      <c r="G5447" s="3" t="s">
        <v>44</v>
      </c>
      <c r="H5447" s="2" t="s">
        <v>20</v>
      </c>
      <c r="I5447" s="2" t="s">
        <v>10711</v>
      </c>
      <c r="J5447" s="3" t="str">
        <f>HYPERLINK("https://www.boe.es/gazeta/dias/1822/12/18/pdfs/GMD-1822-368.pdf#page=1","Abrir facsímil")</f>
        <v>Abrir facsímil</v>
      </c>
      <c r="K5447" s="3" t="s">
        <v>22</v>
      </c>
    </row>
    <row r="5448" spans="1:11" ht="42" customHeight="1">
      <c r="A5448" s="2" t="s">
        <v>10712</v>
      </c>
      <c r="B5448" s="2" t="s">
        <v>10712</v>
      </c>
      <c r="C5448" s="2" t="s">
        <v>16</v>
      </c>
      <c r="D5448" s="2" t="s">
        <v>17</v>
      </c>
      <c r="E5448" s="5">
        <v>-28282</v>
      </c>
      <c r="F5448" s="3" t="s">
        <v>6600</v>
      </c>
      <c r="G5448" s="3" t="s">
        <v>6601</v>
      </c>
      <c r="H5448" s="2" t="s">
        <v>20</v>
      </c>
      <c r="I5448" s="2" t="s">
        <v>10713</v>
      </c>
      <c r="J5448" s="3" t="str">
        <f>HYPERLINK("https://www.boe.es/gazeta/dias/1822/07/25/pdfs/GMD-1822-218.pdf#page=4","Abrir facsímil")</f>
        <v>Abrir facsímil</v>
      </c>
      <c r="K5448" s="3" t="s">
        <v>22</v>
      </c>
    </row>
    <row r="5449" spans="1:11" ht="42" customHeight="1">
      <c r="A5449" s="2" t="s">
        <v>10712</v>
      </c>
      <c r="B5449" s="2" t="s">
        <v>10712</v>
      </c>
      <c r="C5449" s="2" t="s">
        <v>16</v>
      </c>
      <c r="D5449" s="2" t="s">
        <v>17</v>
      </c>
      <c r="E5449" s="5">
        <v>-28237</v>
      </c>
      <c r="F5449" s="3" t="s">
        <v>878</v>
      </c>
      <c r="G5449" s="3" t="s">
        <v>57</v>
      </c>
      <c r="H5449" s="2" t="s">
        <v>20</v>
      </c>
      <c r="I5449" s="2" t="s">
        <v>10714</v>
      </c>
      <c r="J5449" s="3" t="str">
        <f>HYPERLINK("https://www.boe.es/gazeta/dias/1822/09/08/pdfs/GMD-1822-264.pdf#page=4","Abrir facsímil")</f>
        <v>Abrir facsímil</v>
      </c>
      <c r="K5449" s="3" t="s">
        <v>22</v>
      </c>
    </row>
    <row r="5450" spans="1:11" ht="42" customHeight="1">
      <c r="A5450" s="2" t="s">
        <v>10712</v>
      </c>
      <c r="B5450" s="2" t="s">
        <v>10712</v>
      </c>
      <c r="C5450" s="2" t="s">
        <v>28</v>
      </c>
      <c r="D5450" s="2" t="s">
        <v>29</v>
      </c>
      <c r="E5450" s="5">
        <v>-28165</v>
      </c>
      <c r="F5450" s="3" t="s">
        <v>846</v>
      </c>
      <c r="G5450" s="3" t="s">
        <v>57</v>
      </c>
      <c r="H5450" s="2" t="s">
        <v>20</v>
      </c>
      <c r="I5450" s="2" t="s">
        <v>10715</v>
      </c>
      <c r="J5450" s="3" t="str">
        <f>HYPERLINK("https://www.boe.es/gazeta/dias/1822/11/19/pdfs/GMD-1822-339.pdf#page=4","Abrir facsímil")</f>
        <v>Abrir facsímil</v>
      </c>
      <c r="K5450" s="3" t="s">
        <v>22</v>
      </c>
    </row>
    <row r="5451" spans="1:11" ht="42" customHeight="1">
      <c r="A5451" s="2" t="s">
        <v>10716</v>
      </c>
      <c r="B5451" s="2" t="s">
        <v>10717</v>
      </c>
      <c r="C5451" s="2" t="s">
        <v>28</v>
      </c>
      <c r="D5451" s="2" t="s">
        <v>29</v>
      </c>
      <c r="E5451" s="5">
        <v>-28390</v>
      </c>
      <c r="F5451" s="3" t="s">
        <v>665</v>
      </c>
      <c r="G5451" s="3" t="s">
        <v>35</v>
      </c>
      <c r="H5451" s="2" t="s">
        <v>20</v>
      </c>
      <c r="I5451" s="2" t="s">
        <v>10718</v>
      </c>
      <c r="J5451" s="3" t="str">
        <f>HYPERLINK("https://www.boe.es/gazeta/dias/1822/04/08/pdfs/GMD-1822-100.pdf#page=2","Abrir facsímil")</f>
        <v>Abrir facsímil</v>
      </c>
      <c r="K5451" s="3" t="s">
        <v>22</v>
      </c>
    </row>
    <row r="5452" spans="1:11" ht="42" customHeight="1">
      <c r="A5452" s="2" t="s">
        <v>10716</v>
      </c>
      <c r="B5452" s="2" t="s">
        <v>10717</v>
      </c>
      <c r="C5452" s="2" t="s">
        <v>28</v>
      </c>
      <c r="D5452" s="2" t="s">
        <v>29</v>
      </c>
      <c r="E5452" s="5">
        <v>-28352</v>
      </c>
      <c r="F5452" s="3" t="s">
        <v>1575</v>
      </c>
      <c r="G5452" s="3" t="s">
        <v>19</v>
      </c>
      <c r="H5452" s="2" t="s">
        <v>20</v>
      </c>
      <c r="I5452" s="2" t="s">
        <v>10719</v>
      </c>
      <c r="J5452" s="3" t="str">
        <f>HYPERLINK("https://www.boe.es/gazeta/dias/1822/05/16/pdfs/GMD-1822-138.pdf#page=5","Abrir facsímil")</f>
        <v>Abrir facsímil</v>
      </c>
      <c r="K5452" s="3" t="s">
        <v>22</v>
      </c>
    </row>
    <row r="5453" spans="1:11" ht="42" customHeight="1">
      <c r="A5453" s="2" t="s">
        <v>10716</v>
      </c>
      <c r="B5453" s="2" t="s">
        <v>10717</v>
      </c>
      <c r="C5453" s="2" t="s">
        <v>50</v>
      </c>
      <c r="D5453" s="2" t="s">
        <v>51</v>
      </c>
      <c r="E5453" s="5">
        <v>-28351</v>
      </c>
      <c r="F5453" s="3" t="s">
        <v>282</v>
      </c>
      <c r="G5453" s="3" t="s">
        <v>57</v>
      </c>
      <c r="H5453" s="2" t="s">
        <v>20</v>
      </c>
      <c r="I5453" s="2" t="s">
        <v>10720</v>
      </c>
      <c r="J5453" s="3" t="str">
        <f>HYPERLINK("https://www.boe.es/gazeta/dias/1822/05/17/pdfs/GMD-1822-139.pdf#page=4","Abrir facsímil")</f>
        <v>Abrir facsímil</v>
      </c>
      <c r="K5453" s="3" t="s">
        <v>22</v>
      </c>
    </row>
    <row r="5454" spans="1:11" ht="42" customHeight="1">
      <c r="A5454" s="2" t="s">
        <v>10721</v>
      </c>
      <c r="B5454" s="2" t="s">
        <v>10722</v>
      </c>
      <c r="C5454" s="2" t="s">
        <v>16</v>
      </c>
      <c r="D5454" s="2" t="s">
        <v>17</v>
      </c>
      <c r="E5454" s="5">
        <v>-28328</v>
      </c>
      <c r="F5454" s="3" t="s">
        <v>540</v>
      </c>
      <c r="G5454" s="3" t="s">
        <v>63</v>
      </c>
      <c r="H5454" s="2" t="s">
        <v>20</v>
      </c>
      <c r="I5454" s="2" t="s">
        <v>10723</v>
      </c>
      <c r="J5454" s="3" t="str">
        <f>HYPERLINK("https://www.boe.es/gazeta/dias/1822/06/09/pdfs/GMD-1822-166.pdf#page=6","Abrir facsímil")</f>
        <v>Abrir facsímil</v>
      </c>
      <c r="K5454" s="3" t="s">
        <v>22</v>
      </c>
    </row>
    <row r="5455" spans="1:11" ht="42" customHeight="1">
      <c r="A5455" s="2" t="s">
        <v>10716</v>
      </c>
      <c r="B5455" s="2" t="s">
        <v>10717</v>
      </c>
      <c r="C5455" s="2" t="s">
        <v>42</v>
      </c>
      <c r="D5455" s="2" t="s">
        <v>17</v>
      </c>
      <c r="E5455" s="5">
        <v>-28326</v>
      </c>
      <c r="F5455" s="3" t="s">
        <v>543</v>
      </c>
      <c r="G5455" s="3" t="s">
        <v>19</v>
      </c>
      <c r="H5455" s="2" t="s">
        <v>20</v>
      </c>
      <c r="I5455" s="2" t="s">
        <v>10724</v>
      </c>
      <c r="J5455" s="3" t="str">
        <f>HYPERLINK("https://www.boe.es/gazeta/dias/1822/06/11/pdfs/GMD-1822-168.pdf#page=5","Abrir facsímil")</f>
        <v>Abrir facsímil</v>
      </c>
      <c r="K5455" s="3" t="s">
        <v>22</v>
      </c>
    </row>
    <row r="5456" spans="1:11" ht="42" customHeight="1">
      <c r="A5456" s="2" t="s">
        <v>10716</v>
      </c>
      <c r="B5456" s="2" t="s">
        <v>10717</v>
      </c>
      <c r="C5456" s="2" t="s">
        <v>71</v>
      </c>
      <c r="D5456" s="2" t="s">
        <v>17</v>
      </c>
      <c r="E5456" s="5">
        <v>-28325</v>
      </c>
      <c r="F5456" s="3" t="s">
        <v>104</v>
      </c>
      <c r="G5456" s="3" t="s">
        <v>57</v>
      </c>
      <c r="H5456" s="2" t="s">
        <v>20</v>
      </c>
      <c r="I5456" s="2" t="s">
        <v>10725</v>
      </c>
      <c r="J5456" s="3" t="str">
        <f>HYPERLINK("https://www.boe.es/gazeta/dias/1822/06/12/pdfs/GMD-1822-169.pdf#page=4","Abrir facsímil")</f>
        <v>Abrir facsímil</v>
      </c>
      <c r="K5456" s="3" t="s">
        <v>22</v>
      </c>
    </row>
    <row r="5457" spans="1:11" ht="42" customHeight="1">
      <c r="A5457" s="2" t="s">
        <v>10716</v>
      </c>
      <c r="B5457" s="2" t="s">
        <v>10717</v>
      </c>
      <c r="C5457" s="2" t="s">
        <v>50</v>
      </c>
      <c r="D5457" s="2" t="s">
        <v>51</v>
      </c>
      <c r="E5457" s="5">
        <v>-28323</v>
      </c>
      <c r="F5457" s="3" t="s">
        <v>116</v>
      </c>
      <c r="G5457" s="3" t="s">
        <v>63</v>
      </c>
      <c r="H5457" s="2" t="s">
        <v>20</v>
      </c>
      <c r="I5457" s="2" t="s">
        <v>10726</v>
      </c>
      <c r="J5457" s="3" t="str">
        <f>HYPERLINK("https://www.boe.es/gazeta/dias/1822/06/14/pdfs/GMD-1822-171.pdf#page=6","Abrir facsímil")</f>
        <v>Abrir facsímil</v>
      </c>
      <c r="K5457" s="3" t="s">
        <v>22</v>
      </c>
    </row>
    <row r="5458" spans="1:11" ht="42" customHeight="1">
      <c r="A5458" s="2" t="s">
        <v>10716</v>
      </c>
      <c r="B5458" s="2" t="s">
        <v>10717</v>
      </c>
      <c r="C5458" s="2" t="s">
        <v>16</v>
      </c>
      <c r="D5458" s="2" t="s">
        <v>17</v>
      </c>
      <c r="E5458" s="5">
        <v>-28321</v>
      </c>
      <c r="F5458" s="3" t="s">
        <v>1142</v>
      </c>
      <c r="G5458" s="3" t="s">
        <v>63</v>
      </c>
      <c r="H5458" s="2" t="s">
        <v>20</v>
      </c>
      <c r="I5458" s="2" t="s">
        <v>10727</v>
      </c>
      <c r="J5458" s="3" t="str">
        <f>HYPERLINK("https://www.boe.es/gazeta/dias/1822/06/16/pdfs/GMD-1822-173.pdf#page=6","Abrir facsímil")</f>
        <v>Abrir facsímil</v>
      </c>
      <c r="K5458" s="3" t="s">
        <v>22</v>
      </c>
    </row>
    <row r="5459" spans="1:11" ht="42" customHeight="1">
      <c r="A5459" s="2" t="s">
        <v>10716</v>
      </c>
      <c r="B5459" s="2" t="s">
        <v>10717</v>
      </c>
      <c r="C5459" s="2" t="s">
        <v>28</v>
      </c>
      <c r="D5459" s="2" t="s">
        <v>29</v>
      </c>
      <c r="E5459" s="5">
        <v>-28320</v>
      </c>
      <c r="F5459" s="3" t="s">
        <v>700</v>
      </c>
      <c r="G5459" s="3" t="s">
        <v>63</v>
      </c>
      <c r="H5459" s="2" t="s">
        <v>20</v>
      </c>
      <c r="I5459" s="2" t="s">
        <v>10728</v>
      </c>
      <c r="J5459" s="3" t="str">
        <f>HYPERLINK("https://www.boe.es/gazeta/dias/1822/06/17/pdfs/GMD-1822-174.pdf#page=6","Abrir facsímil")</f>
        <v>Abrir facsímil</v>
      </c>
      <c r="K5459" s="3" t="s">
        <v>22</v>
      </c>
    </row>
    <row r="5460" spans="1:11" ht="42" customHeight="1">
      <c r="A5460" s="2" t="s">
        <v>10716</v>
      </c>
      <c r="B5460" s="2" t="s">
        <v>10717</v>
      </c>
      <c r="C5460" s="2" t="s">
        <v>50</v>
      </c>
      <c r="D5460" s="2" t="s">
        <v>51</v>
      </c>
      <c r="E5460" s="5">
        <v>-28319</v>
      </c>
      <c r="F5460" s="3" t="s">
        <v>271</v>
      </c>
      <c r="G5460" s="3" t="s">
        <v>19</v>
      </c>
      <c r="H5460" s="2" t="s">
        <v>20</v>
      </c>
      <c r="I5460" s="2" t="s">
        <v>10729</v>
      </c>
      <c r="J5460" s="3" t="str">
        <f>HYPERLINK("https://www.boe.es/gazeta/dias/1822/06/18/pdfs/GMD-1822-175.pdf#page=5","Abrir facsímil")</f>
        <v>Abrir facsímil</v>
      </c>
      <c r="K5460" s="3" t="s">
        <v>22</v>
      </c>
    </row>
    <row r="5461" spans="1:11" ht="42" customHeight="1">
      <c r="A5461" s="2" t="s">
        <v>10716</v>
      </c>
      <c r="B5461" s="2" t="s">
        <v>10717</v>
      </c>
      <c r="C5461" s="2" t="s">
        <v>1141</v>
      </c>
      <c r="D5461" s="2" t="s">
        <v>29</v>
      </c>
      <c r="E5461" s="5">
        <v>-28318</v>
      </c>
      <c r="F5461" s="3" t="s">
        <v>397</v>
      </c>
      <c r="G5461" s="3" t="s">
        <v>63</v>
      </c>
      <c r="H5461" s="2" t="s">
        <v>20</v>
      </c>
      <c r="I5461" s="2" t="s">
        <v>10730</v>
      </c>
      <c r="J5461" s="3" t="str">
        <f>HYPERLINK("https://www.boe.es/gazeta/dias/1822/06/19/pdfs/GMD-1822-176.pdf#page=6","Abrir facsímil")</f>
        <v>Abrir facsímil</v>
      </c>
      <c r="K5461" s="3" t="s">
        <v>22</v>
      </c>
    </row>
    <row r="5462" spans="1:11" ht="42" customHeight="1">
      <c r="A5462" s="2" t="s">
        <v>10716</v>
      </c>
      <c r="B5462" s="2" t="s">
        <v>10717</v>
      </c>
      <c r="C5462" s="2" t="s">
        <v>71</v>
      </c>
      <c r="D5462" s="2" t="s">
        <v>17</v>
      </c>
      <c r="E5462" s="5">
        <v>-28270</v>
      </c>
      <c r="F5462" s="3" t="s">
        <v>130</v>
      </c>
      <c r="G5462" s="3" t="s">
        <v>6347</v>
      </c>
      <c r="H5462" s="2" t="s">
        <v>20</v>
      </c>
      <c r="I5462" s="2" t="s">
        <v>10731</v>
      </c>
      <c r="J5462" s="3" t="str">
        <f>HYPERLINK("https://www.boe.es/gazeta/dias/1822/08/06/pdfs/GMD-1822-230.pdf#page=4","Abrir facsímil")</f>
        <v>Abrir facsímil</v>
      </c>
      <c r="K5462" s="3" t="s">
        <v>22</v>
      </c>
    </row>
    <row r="5463" spans="1:11" ht="42" customHeight="1">
      <c r="A5463" s="2" t="s">
        <v>10732</v>
      </c>
      <c r="B5463" s="2" t="s">
        <v>10732</v>
      </c>
      <c r="C5463" s="2" t="s">
        <v>28</v>
      </c>
      <c r="D5463" s="2" t="s">
        <v>29</v>
      </c>
      <c r="E5463" s="5">
        <v>-28452</v>
      </c>
      <c r="F5463" s="3" t="s">
        <v>7772</v>
      </c>
      <c r="G5463" s="3" t="s">
        <v>57</v>
      </c>
      <c r="H5463" s="2" t="s">
        <v>20</v>
      </c>
      <c r="I5463" s="2" t="s">
        <v>10733</v>
      </c>
      <c r="J5463" s="3" t="str">
        <f>HYPERLINK("https://www.boe.es/gazeta/dias/1822/02/05/pdfs/GMD-1822-36.pdf#page=4","Abrir facsímil")</f>
        <v>Abrir facsímil</v>
      </c>
      <c r="K5463" s="3" t="s">
        <v>22</v>
      </c>
    </row>
    <row r="5464" spans="1:11" ht="42" customHeight="1">
      <c r="A5464" s="2" t="s">
        <v>10732</v>
      </c>
      <c r="B5464" s="2" t="s">
        <v>10732</v>
      </c>
      <c r="C5464" s="2" t="s">
        <v>362</v>
      </c>
      <c r="D5464" s="2" t="s">
        <v>17</v>
      </c>
      <c r="E5464" s="5">
        <v>-28436</v>
      </c>
      <c r="F5464" s="3" t="s">
        <v>431</v>
      </c>
      <c r="G5464" s="3" t="s">
        <v>35</v>
      </c>
      <c r="H5464" s="2" t="s">
        <v>20</v>
      </c>
      <c r="I5464" s="2" t="s">
        <v>10734</v>
      </c>
      <c r="J5464" s="3" t="str">
        <f>HYPERLINK("https://www.boe.es/gazeta/dias/1822/02/21/pdfs/GMD-1822-53.pdf#page=2","Abrir facsímil")</f>
        <v>Abrir facsímil</v>
      </c>
      <c r="K5464" s="3" t="s">
        <v>22</v>
      </c>
    </row>
    <row r="5465" spans="1:11" ht="42" customHeight="1">
      <c r="A5465" s="2" t="s">
        <v>10732</v>
      </c>
      <c r="B5465" s="2" t="s">
        <v>10732</v>
      </c>
      <c r="C5465" s="2" t="s">
        <v>42</v>
      </c>
      <c r="D5465" s="2" t="s">
        <v>17</v>
      </c>
      <c r="E5465" s="5">
        <v>-28435</v>
      </c>
      <c r="F5465" s="3" t="s">
        <v>1710</v>
      </c>
      <c r="G5465" s="3" t="s">
        <v>35</v>
      </c>
      <c r="H5465" s="2" t="s">
        <v>20</v>
      </c>
      <c r="I5465" s="2" t="s">
        <v>10735</v>
      </c>
      <c r="J5465" s="3" t="str">
        <f>HYPERLINK("https://www.boe.es/gazeta/dias/1822/02/22/pdfs/GMD-1822-54.pdf#page=2","Abrir facsímil")</f>
        <v>Abrir facsímil</v>
      </c>
      <c r="K5465" s="3" t="s">
        <v>22</v>
      </c>
    </row>
    <row r="5466" spans="1:11" ht="42" customHeight="1">
      <c r="A5466" s="2" t="s">
        <v>10732</v>
      </c>
      <c r="B5466" s="2" t="s">
        <v>10732</v>
      </c>
      <c r="C5466" s="2" t="s">
        <v>28</v>
      </c>
      <c r="D5466" s="2" t="s">
        <v>29</v>
      </c>
      <c r="E5466" s="5">
        <v>-28427</v>
      </c>
      <c r="F5466" s="3" t="s">
        <v>755</v>
      </c>
      <c r="G5466" s="3" t="s">
        <v>31</v>
      </c>
      <c r="H5466" s="2" t="s">
        <v>20</v>
      </c>
      <c r="I5466" s="2" t="s">
        <v>10736</v>
      </c>
      <c r="J5466" s="3" t="str">
        <f>HYPERLINK("https://www.boe.es/gazeta/dias/1822/03/02/pdfs/GMD-1822-63.pdf#page=3","Abrir facsímil")</f>
        <v>Abrir facsímil</v>
      </c>
      <c r="K5466" s="3" t="s">
        <v>22</v>
      </c>
    </row>
    <row r="5467" spans="1:11" ht="42" customHeight="1">
      <c r="A5467" s="2" t="s">
        <v>10732</v>
      </c>
      <c r="B5467" s="2" t="s">
        <v>10732</v>
      </c>
      <c r="C5467" s="2" t="s">
        <v>28</v>
      </c>
      <c r="D5467" s="2" t="s">
        <v>29</v>
      </c>
      <c r="E5467" s="5">
        <v>-28427</v>
      </c>
      <c r="F5467" s="3" t="s">
        <v>755</v>
      </c>
      <c r="G5467" s="3" t="s">
        <v>57</v>
      </c>
      <c r="H5467" s="2" t="s">
        <v>20</v>
      </c>
      <c r="I5467" s="2" t="s">
        <v>10737</v>
      </c>
      <c r="J5467" s="3" t="str">
        <f>HYPERLINK("https://www.boe.es/gazeta/dias/1822/03/02/pdfs/GMD-1822-63.pdf#page=4","Abrir facsímil")</f>
        <v>Abrir facsímil</v>
      </c>
      <c r="K5467" s="3" t="s">
        <v>22</v>
      </c>
    </row>
    <row r="5468" spans="1:11" ht="42" customHeight="1">
      <c r="A5468" s="2" t="s">
        <v>10732</v>
      </c>
      <c r="B5468" s="2" t="s">
        <v>10732</v>
      </c>
      <c r="C5468" s="2" t="s">
        <v>71</v>
      </c>
      <c r="D5468" s="2" t="s">
        <v>17</v>
      </c>
      <c r="E5468" s="5">
        <v>-28423</v>
      </c>
      <c r="F5468" s="3" t="s">
        <v>441</v>
      </c>
      <c r="G5468" s="3" t="s">
        <v>35</v>
      </c>
      <c r="H5468" s="2" t="s">
        <v>20</v>
      </c>
      <c r="I5468" s="2" t="s">
        <v>10738</v>
      </c>
      <c r="J5468" s="3" t="str">
        <f>HYPERLINK("https://www.boe.es/gazeta/dias/1822/03/06/pdfs/GMD-1822-67.pdf#page=2","Abrir facsímil")</f>
        <v>Abrir facsímil</v>
      </c>
      <c r="K5468" s="3" t="s">
        <v>22</v>
      </c>
    </row>
    <row r="5469" spans="1:11" ht="42" customHeight="1">
      <c r="A5469" s="2" t="s">
        <v>10732</v>
      </c>
      <c r="B5469" s="2" t="s">
        <v>10732</v>
      </c>
      <c r="C5469" s="2" t="s">
        <v>50</v>
      </c>
      <c r="D5469" s="2" t="s">
        <v>51</v>
      </c>
      <c r="E5469" s="5">
        <v>-28417</v>
      </c>
      <c r="F5469" s="3" t="s">
        <v>1394</v>
      </c>
      <c r="G5469" s="3" t="s">
        <v>31</v>
      </c>
      <c r="H5469" s="2" t="s">
        <v>20</v>
      </c>
      <c r="I5469" s="2" t="s">
        <v>10739</v>
      </c>
      <c r="J5469" s="3" t="str">
        <f>HYPERLINK("https://www.boe.es/gazeta/dias/1822/03/12/pdfs/GMD-1822-73.pdf#page=3","Abrir facsímil")</f>
        <v>Abrir facsímil</v>
      </c>
      <c r="K5469" s="3" t="s">
        <v>22</v>
      </c>
    </row>
    <row r="5470" spans="1:11" ht="42" customHeight="1">
      <c r="A5470" s="2" t="s">
        <v>10732</v>
      </c>
      <c r="B5470" s="2" t="s">
        <v>10732</v>
      </c>
      <c r="C5470" s="2" t="s">
        <v>50</v>
      </c>
      <c r="D5470" s="2" t="s">
        <v>51</v>
      </c>
      <c r="E5470" s="5">
        <v>-28409</v>
      </c>
      <c r="F5470" s="3" t="s">
        <v>394</v>
      </c>
      <c r="G5470" s="3" t="s">
        <v>31</v>
      </c>
      <c r="H5470" s="2" t="s">
        <v>20</v>
      </c>
      <c r="I5470" s="2" t="s">
        <v>10740</v>
      </c>
      <c r="J5470" s="3" t="str">
        <f>HYPERLINK("https://www.boe.es/gazeta/dias/1822/03/20/pdfs/GMD-1822-81.pdf#page=3","Abrir facsímil")</f>
        <v>Abrir facsímil</v>
      </c>
      <c r="K5470" s="3" t="s">
        <v>22</v>
      </c>
    </row>
    <row r="5471" spans="1:11" ht="42" customHeight="1">
      <c r="A5471" s="2" t="s">
        <v>10732</v>
      </c>
      <c r="B5471" s="2" t="s">
        <v>10732</v>
      </c>
      <c r="C5471" s="2" t="s">
        <v>24</v>
      </c>
      <c r="D5471" s="2" t="s">
        <v>17</v>
      </c>
      <c r="E5471" s="5">
        <v>-28408</v>
      </c>
      <c r="F5471" s="3" t="s">
        <v>2561</v>
      </c>
      <c r="G5471" s="3" t="s">
        <v>35</v>
      </c>
      <c r="H5471" s="2" t="s">
        <v>20</v>
      </c>
      <c r="I5471" s="2" t="s">
        <v>10741</v>
      </c>
      <c r="J5471" s="3" t="str">
        <f>HYPERLINK("https://www.boe.es/gazeta/dias/1822/03/21/pdfs/GMD-1822-82.pdf#page=2","Abrir facsímil")</f>
        <v>Abrir facsímil</v>
      </c>
      <c r="K5471" s="3" t="s">
        <v>22</v>
      </c>
    </row>
    <row r="5472" spans="1:11" ht="42" customHeight="1">
      <c r="A5472" s="2" t="s">
        <v>10732</v>
      </c>
      <c r="B5472" s="2" t="s">
        <v>10732</v>
      </c>
      <c r="C5472" s="2" t="s">
        <v>50</v>
      </c>
      <c r="D5472" s="2" t="s">
        <v>51</v>
      </c>
      <c r="E5472" s="5">
        <v>-28402</v>
      </c>
      <c r="F5472" s="3" t="s">
        <v>473</v>
      </c>
      <c r="G5472" s="3" t="s">
        <v>35</v>
      </c>
      <c r="H5472" s="2" t="s">
        <v>20</v>
      </c>
      <c r="I5472" s="2" t="s">
        <v>10742</v>
      </c>
      <c r="J5472" s="3" t="str">
        <f>HYPERLINK("https://www.boe.es/gazeta/dias/1822/03/27/pdfs/GMD-1822-88.pdf#page=2","Abrir facsímil")</f>
        <v>Abrir facsímil</v>
      </c>
      <c r="K5472" s="3" t="s">
        <v>22</v>
      </c>
    </row>
    <row r="5473" spans="1:11" ht="42" customHeight="1">
      <c r="A5473" s="2" t="s">
        <v>10732</v>
      </c>
      <c r="B5473" s="2" t="s">
        <v>10732</v>
      </c>
      <c r="C5473" s="2" t="s">
        <v>24</v>
      </c>
      <c r="D5473" s="2" t="s">
        <v>17</v>
      </c>
      <c r="E5473" s="5">
        <v>-28398</v>
      </c>
      <c r="F5473" s="3" t="s">
        <v>1961</v>
      </c>
      <c r="G5473" s="3" t="s">
        <v>31</v>
      </c>
      <c r="H5473" s="2" t="s">
        <v>20</v>
      </c>
      <c r="I5473" s="2" t="s">
        <v>10743</v>
      </c>
      <c r="J5473" s="3" t="str">
        <f>HYPERLINK("https://www.boe.es/gazeta/dias/1822/03/31/pdfs/GMD-1822-92.pdf#page=3","Abrir facsímil")</f>
        <v>Abrir facsímil</v>
      </c>
      <c r="K5473" s="3" t="s">
        <v>22</v>
      </c>
    </row>
    <row r="5474" spans="1:11" ht="42" customHeight="1">
      <c r="A5474" s="2" t="s">
        <v>10732</v>
      </c>
      <c r="B5474" s="2" t="s">
        <v>10732</v>
      </c>
      <c r="C5474" s="2" t="s">
        <v>50</v>
      </c>
      <c r="D5474" s="2" t="s">
        <v>51</v>
      </c>
      <c r="E5474" s="5">
        <v>-28392</v>
      </c>
      <c r="F5474" s="3" t="s">
        <v>2003</v>
      </c>
      <c r="G5474" s="3" t="s">
        <v>57</v>
      </c>
      <c r="H5474" s="2" t="s">
        <v>20</v>
      </c>
      <c r="I5474" s="2" t="s">
        <v>10744</v>
      </c>
      <c r="J5474" s="3" t="str">
        <f>HYPERLINK("https://www.boe.es/gazeta/dias/1822/04/06/pdfs/GMD-1822-98.pdf#page=4","Abrir facsímil")</f>
        <v>Abrir facsímil</v>
      </c>
      <c r="K5474" s="3" t="s">
        <v>22</v>
      </c>
    </row>
    <row r="5475" spans="1:11" ht="42" customHeight="1">
      <c r="A5475" s="2" t="s">
        <v>10732</v>
      </c>
      <c r="B5475" s="2" t="s">
        <v>10732</v>
      </c>
      <c r="C5475" s="2" t="s">
        <v>24</v>
      </c>
      <c r="D5475" s="2" t="s">
        <v>17</v>
      </c>
      <c r="E5475" s="5">
        <v>-28391</v>
      </c>
      <c r="F5475" s="3" t="s">
        <v>378</v>
      </c>
      <c r="G5475" s="3" t="s">
        <v>63</v>
      </c>
      <c r="H5475" s="2" t="s">
        <v>20</v>
      </c>
      <c r="I5475" s="2" t="s">
        <v>10745</v>
      </c>
      <c r="J5475" s="3" t="str">
        <f>HYPERLINK("https://www.boe.es/gazeta/dias/1822/04/07/pdfs/GMD-1822-99.pdf#page=6","Abrir facsímil")</f>
        <v>Abrir facsímil</v>
      </c>
      <c r="K5475" s="3" t="s">
        <v>22</v>
      </c>
    </row>
    <row r="5476" spans="1:11" ht="42" customHeight="1">
      <c r="A5476" s="2" t="s">
        <v>10732</v>
      </c>
      <c r="B5476" s="2" t="s">
        <v>10732</v>
      </c>
      <c r="C5476" s="2" t="s">
        <v>42</v>
      </c>
      <c r="D5476" s="2" t="s">
        <v>17</v>
      </c>
      <c r="E5476" s="5">
        <v>-28388</v>
      </c>
      <c r="F5476" s="3" t="s">
        <v>1268</v>
      </c>
      <c r="G5476" s="3" t="s">
        <v>57</v>
      </c>
      <c r="H5476" s="2" t="s">
        <v>20</v>
      </c>
      <c r="I5476" s="2" t="s">
        <v>10746</v>
      </c>
      <c r="J5476" s="3" t="str">
        <f>HYPERLINK("https://www.boe.es/gazeta/dias/1822/04/10/pdfs/GMD-1822-102.pdf#page=4","Abrir facsímil")</f>
        <v>Abrir facsímil</v>
      </c>
      <c r="K5476" s="3" t="s">
        <v>22</v>
      </c>
    </row>
    <row r="5477" spans="1:11" ht="42" customHeight="1">
      <c r="A5477" s="2" t="s">
        <v>10732</v>
      </c>
      <c r="B5477" s="2" t="s">
        <v>10732</v>
      </c>
      <c r="C5477" s="2" t="s">
        <v>28</v>
      </c>
      <c r="D5477" s="2" t="s">
        <v>29</v>
      </c>
      <c r="E5477" s="5">
        <v>-28384</v>
      </c>
      <c r="F5477" s="3" t="s">
        <v>258</v>
      </c>
      <c r="G5477" s="3" t="s">
        <v>63</v>
      </c>
      <c r="H5477" s="2" t="s">
        <v>20</v>
      </c>
      <c r="I5477" s="2" t="s">
        <v>10747</v>
      </c>
      <c r="J5477" s="3" t="str">
        <f>HYPERLINK("https://www.boe.es/gazeta/dias/1822/04/14/pdfs/GMD-1822-106.pdf#page=6","Abrir facsímil")</f>
        <v>Abrir facsímil</v>
      </c>
      <c r="K5477" s="3" t="s">
        <v>22</v>
      </c>
    </row>
    <row r="5478" spans="1:11" ht="42" customHeight="1">
      <c r="A5478" s="2" t="s">
        <v>10732</v>
      </c>
      <c r="B5478" s="2" t="s">
        <v>10732</v>
      </c>
      <c r="C5478" s="2" t="s">
        <v>42</v>
      </c>
      <c r="D5478" s="2" t="s">
        <v>17</v>
      </c>
      <c r="E5478" s="5">
        <v>-28381</v>
      </c>
      <c r="F5478" s="3" t="s">
        <v>358</v>
      </c>
      <c r="G5478" s="3" t="s">
        <v>63</v>
      </c>
      <c r="H5478" s="2" t="s">
        <v>20</v>
      </c>
      <c r="I5478" s="2" t="s">
        <v>10748</v>
      </c>
      <c r="J5478" s="3" t="str">
        <f>HYPERLINK("https://www.boe.es/gazeta/dias/1822/04/17/pdfs/GMD-1822-109.pdf#page=6","Abrir facsímil")</f>
        <v>Abrir facsímil</v>
      </c>
      <c r="K5478" s="3" t="s">
        <v>22</v>
      </c>
    </row>
    <row r="5479" spans="1:11" ht="42" customHeight="1">
      <c r="A5479" s="2" t="s">
        <v>10732</v>
      </c>
      <c r="B5479" s="2" t="s">
        <v>10732</v>
      </c>
      <c r="C5479" s="2" t="s">
        <v>28</v>
      </c>
      <c r="D5479" s="2" t="s">
        <v>29</v>
      </c>
      <c r="E5479" s="5">
        <v>-28378</v>
      </c>
      <c r="F5479" s="3" t="s">
        <v>496</v>
      </c>
      <c r="G5479" s="3" t="s">
        <v>57</v>
      </c>
      <c r="H5479" s="2" t="s">
        <v>20</v>
      </c>
      <c r="I5479" s="2" t="s">
        <v>10749</v>
      </c>
      <c r="J5479" s="3" t="str">
        <f>HYPERLINK("https://www.boe.es/gazeta/dias/1822/04/20/pdfs/GMD-1822-112.pdf#page=4","Abrir facsímil")</f>
        <v>Abrir facsímil</v>
      </c>
      <c r="K5479" s="3" t="s">
        <v>22</v>
      </c>
    </row>
    <row r="5480" spans="1:11" ht="42" customHeight="1">
      <c r="A5480" s="2" t="s">
        <v>10732</v>
      </c>
      <c r="B5480" s="2" t="s">
        <v>10732</v>
      </c>
      <c r="C5480" s="2" t="s">
        <v>50</v>
      </c>
      <c r="D5480" s="2" t="s">
        <v>51</v>
      </c>
      <c r="E5480" s="5">
        <v>-28376</v>
      </c>
      <c r="F5480" s="3" t="s">
        <v>500</v>
      </c>
      <c r="G5480" s="3" t="s">
        <v>35</v>
      </c>
      <c r="H5480" s="2" t="s">
        <v>20</v>
      </c>
      <c r="I5480" s="2" t="s">
        <v>10750</v>
      </c>
      <c r="J5480" s="3" t="str">
        <f>HYPERLINK("https://www.boe.es/gazeta/dias/1822/04/22/pdfs/GMD-1822-114.pdf#page=2","Abrir facsímil")</f>
        <v>Abrir facsímil</v>
      </c>
      <c r="K5480" s="3" t="s">
        <v>22</v>
      </c>
    </row>
    <row r="5481" spans="1:11" ht="42" customHeight="1">
      <c r="A5481" s="2" t="s">
        <v>10732</v>
      </c>
      <c r="B5481" s="2" t="s">
        <v>10732</v>
      </c>
      <c r="C5481" s="2" t="s">
        <v>24</v>
      </c>
      <c r="D5481" s="2" t="s">
        <v>17</v>
      </c>
      <c r="E5481" s="5">
        <v>-28370</v>
      </c>
      <c r="F5481" s="3" t="s">
        <v>207</v>
      </c>
      <c r="G5481" s="3" t="s">
        <v>35</v>
      </c>
      <c r="H5481" s="2" t="s">
        <v>20</v>
      </c>
      <c r="I5481" s="2" t="s">
        <v>10751</v>
      </c>
      <c r="J5481" s="3" t="str">
        <f>HYPERLINK("https://www.boe.es/gazeta/dias/1822/04/28/pdfs/GMD-1822-120.pdf#page=2","Abrir facsímil")</f>
        <v>Abrir facsímil</v>
      </c>
      <c r="K5481" s="3" t="s">
        <v>22</v>
      </c>
    </row>
    <row r="5482" spans="1:11" ht="42" customHeight="1">
      <c r="A5482" s="2" t="s">
        <v>10732</v>
      </c>
      <c r="B5482" s="2" t="s">
        <v>10732</v>
      </c>
      <c r="C5482" s="2" t="s">
        <v>61</v>
      </c>
      <c r="D5482" s="2" t="s">
        <v>17</v>
      </c>
      <c r="E5482" s="5">
        <v>-28367</v>
      </c>
      <c r="F5482" s="3" t="s">
        <v>280</v>
      </c>
      <c r="G5482" s="3" t="s">
        <v>63</v>
      </c>
      <c r="H5482" s="2" t="s">
        <v>20</v>
      </c>
      <c r="I5482" s="2" t="s">
        <v>10752</v>
      </c>
      <c r="J5482" s="3" t="str">
        <f>HYPERLINK("https://www.boe.es/gazeta/dias/1822/05/01/pdfs/GMD-1822-123.pdf#page=6","Abrir facsímil")</f>
        <v>Abrir facsímil</v>
      </c>
      <c r="K5482" s="3" t="s">
        <v>22</v>
      </c>
    </row>
    <row r="5483" spans="1:11" ht="42" customHeight="1">
      <c r="A5483" s="2" t="s">
        <v>10732</v>
      </c>
      <c r="B5483" s="2" t="s">
        <v>10732</v>
      </c>
      <c r="C5483" s="2" t="s">
        <v>50</v>
      </c>
      <c r="D5483" s="2" t="s">
        <v>51</v>
      </c>
      <c r="E5483" s="5">
        <v>-28350</v>
      </c>
      <c r="F5483" s="3" t="s">
        <v>352</v>
      </c>
      <c r="G5483" s="3" t="s">
        <v>44</v>
      </c>
      <c r="H5483" s="2" t="s">
        <v>20</v>
      </c>
      <c r="I5483" s="2" t="s">
        <v>10753</v>
      </c>
      <c r="J5483" s="3" t="str">
        <f>HYPERLINK("https://www.boe.es/gazeta/dias/1822/05/18/pdfs/GMD-1822-140.pdf#page=1","Abrir facsímil")</f>
        <v>Abrir facsímil</v>
      </c>
      <c r="K5483" s="3" t="s">
        <v>22</v>
      </c>
    </row>
    <row r="5484" spans="1:11" ht="42" customHeight="1">
      <c r="A5484" s="2" t="s">
        <v>10732</v>
      </c>
      <c r="B5484" s="2" t="s">
        <v>10732</v>
      </c>
      <c r="C5484" s="2" t="s">
        <v>42</v>
      </c>
      <c r="D5484" s="2" t="s">
        <v>17</v>
      </c>
      <c r="E5484" s="5">
        <v>-28341</v>
      </c>
      <c r="F5484" s="3" t="s">
        <v>284</v>
      </c>
      <c r="G5484" s="3" t="s">
        <v>31</v>
      </c>
      <c r="H5484" s="2" t="s">
        <v>20</v>
      </c>
      <c r="I5484" s="2" t="s">
        <v>10754</v>
      </c>
      <c r="J5484" s="3" t="str">
        <f>HYPERLINK("https://www.boe.es/gazeta/dias/1822/05/27/pdfs/GMD-1822-152.pdf#page=3","Abrir facsímil")</f>
        <v>Abrir facsímil</v>
      </c>
      <c r="K5484" s="3" t="s">
        <v>22</v>
      </c>
    </row>
    <row r="5485" spans="1:11" ht="42" customHeight="1">
      <c r="A5485" s="2" t="s">
        <v>10732</v>
      </c>
      <c r="B5485" s="2" t="s">
        <v>10732</v>
      </c>
      <c r="C5485" s="2" t="s">
        <v>16</v>
      </c>
      <c r="D5485" s="2" t="s">
        <v>17</v>
      </c>
      <c r="E5485" s="5">
        <v>-28339</v>
      </c>
      <c r="F5485" s="3" t="s">
        <v>197</v>
      </c>
      <c r="G5485" s="3" t="s">
        <v>63</v>
      </c>
      <c r="H5485" s="2" t="s">
        <v>20</v>
      </c>
      <c r="I5485" s="2" t="s">
        <v>10755</v>
      </c>
      <c r="J5485" s="3" t="str">
        <f>HYPERLINK("https://www.boe.es/gazeta/dias/1822/05/29/pdfs/GMD-1822-154.pdf#page=6","Abrir facsímil")</f>
        <v>Abrir facsímil</v>
      </c>
      <c r="K5485" s="3" t="s">
        <v>22</v>
      </c>
    </row>
    <row r="5486" spans="1:11" ht="42" customHeight="1">
      <c r="A5486" s="2" t="s">
        <v>10732</v>
      </c>
      <c r="B5486" s="2" t="s">
        <v>10732</v>
      </c>
      <c r="C5486" s="2" t="s">
        <v>24</v>
      </c>
      <c r="D5486" s="2" t="s">
        <v>17</v>
      </c>
      <c r="E5486" s="5">
        <v>-28337</v>
      </c>
      <c r="F5486" s="3" t="s">
        <v>1836</v>
      </c>
      <c r="G5486" s="3" t="s">
        <v>4337</v>
      </c>
      <c r="H5486" s="2" t="s">
        <v>20</v>
      </c>
      <c r="I5486" s="2" t="s">
        <v>10756</v>
      </c>
      <c r="J5486" s="3" t="str">
        <f>HYPERLINK("https://www.boe.es/gazeta/dias/1822/05/31/pdfs/GMD-1822-156.pdf#page=6","Abrir facsímil")</f>
        <v>Abrir facsímil</v>
      </c>
      <c r="K5486" s="3" t="s">
        <v>22</v>
      </c>
    </row>
    <row r="5487" spans="1:11" ht="42" customHeight="1">
      <c r="A5487" s="2" t="s">
        <v>10732</v>
      </c>
      <c r="B5487" s="2" t="s">
        <v>10732</v>
      </c>
      <c r="C5487" s="2" t="s">
        <v>50</v>
      </c>
      <c r="D5487" s="2" t="s">
        <v>51</v>
      </c>
      <c r="E5487" s="5">
        <v>-28323</v>
      </c>
      <c r="F5487" s="3" t="s">
        <v>116</v>
      </c>
      <c r="G5487" s="3" t="s">
        <v>31</v>
      </c>
      <c r="H5487" s="2" t="s">
        <v>20</v>
      </c>
      <c r="I5487" s="2" t="s">
        <v>10757</v>
      </c>
      <c r="J5487" s="3" t="str">
        <f>HYPERLINK("https://www.boe.es/gazeta/dias/1822/06/14/pdfs/GMD-1822-171.pdf#page=3","Abrir facsímil")</f>
        <v>Abrir facsímil</v>
      </c>
      <c r="K5487" s="3" t="s">
        <v>22</v>
      </c>
    </row>
    <row r="5488" spans="1:11" ht="42" customHeight="1">
      <c r="A5488" s="2" t="s">
        <v>10732</v>
      </c>
      <c r="B5488" s="2" t="s">
        <v>10732</v>
      </c>
      <c r="C5488" s="2" t="s">
        <v>61</v>
      </c>
      <c r="D5488" s="2" t="s">
        <v>17</v>
      </c>
      <c r="E5488" s="5">
        <v>-28319</v>
      </c>
      <c r="F5488" s="3" t="s">
        <v>271</v>
      </c>
      <c r="G5488" s="3" t="s">
        <v>63</v>
      </c>
      <c r="H5488" s="2" t="s">
        <v>20</v>
      </c>
      <c r="I5488" s="2" t="s">
        <v>10758</v>
      </c>
      <c r="J5488" s="3" t="str">
        <f>HYPERLINK("https://www.boe.es/gazeta/dias/1822/06/18/pdfs/GMD-1822-175.pdf#page=6","Abrir facsímil")</f>
        <v>Abrir facsímil</v>
      </c>
      <c r="K5488" s="3" t="s">
        <v>22</v>
      </c>
    </row>
    <row r="5489" spans="1:11" ht="42" customHeight="1">
      <c r="A5489" s="2" t="s">
        <v>10732</v>
      </c>
      <c r="B5489" s="2" t="s">
        <v>10732</v>
      </c>
      <c r="C5489" s="2" t="s">
        <v>24</v>
      </c>
      <c r="D5489" s="2" t="s">
        <v>17</v>
      </c>
      <c r="E5489" s="5">
        <v>-28313</v>
      </c>
      <c r="F5489" s="3" t="s">
        <v>315</v>
      </c>
      <c r="G5489" s="3" t="s">
        <v>157</v>
      </c>
      <c r="H5489" s="2" t="s">
        <v>20</v>
      </c>
      <c r="I5489" s="2" t="s">
        <v>10759</v>
      </c>
      <c r="J5489" s="3" t="str">
        <f>HYPERLINK("https://www.boe.es/gazeta/dias/1822/06/24/pdfs/GMD-1822-182.pdf#page=8","Abrir facsímil")</f>
        <v>Abrir facsímil</v>
      </c>
      <c r="K5489" s="3" t="s">
        <v>22</v>
      </c>
    </row>
    <row r="5490" spans="1:11" ht="42" customHeight="1">
      <c r="A5490" s="2" t="s">
        <v>10732</v>
      </c>
      <c r="B5490" s="2" t="s">
        <v>10732</v>
      </c>
      <c r="C5490" s="2" t="s">
        <v>50</v>
      </c>
      <c r="D5490" s="2" t="s">
        <v>51</v>
      </c>
      <c r="E5490" s="5">
        <v>-28296</v>
      </c>
      <c r="F5490" s="3" t="s">
        <v>4121</v>
      </c>
      <c r="G5490" s="3" t="s">
        <v>57</v>
      </c>
      <c r="H5490" s="2" t="s">
        <v>20</v>
      </c>
      <c r="I5490" s="2" t="s">
        <v>10760</v>
      </c>
      <c r="J5490" s="3" t="str">
        <f>HYPERLINK("https://www.boe.es/gazeta/dias/1822/07/11/pdfs/GMD-1822-201.pdf#page=4","Abrir facsímil")</f>
        <v>Abrir facsímil</v>
      </c>
      <c r="K5490" s="3" t="s">
        <v>22</v>
      </c>
    </row>
    <row r="5491" spans="1:11" ht="42" customHeight="1">
      <c r="A5491" s="2" t="s">
        <v>10732</v>
      </c>
      <c r="B5491" s="2" t="s">
        <v>10732</v>
      </c>
      <c r="C5491" s="2" t="s">
        <v>42</v>
      </c>
      <c r="D5491" s="2" t="s">
        <v>17</v>
      </c>
      <c r="E5491" s="5">
        <v>-28287</v>
      </c>
      <c r="F5491" s="3" t="s">
        <v>1295</v>
      </c>
      <c r="G5491" s="3" t="s">
        <v>63</v>
      </c>
      <c r="H5491" s="2" t="s">
        <v>20</v>
      </c>
      <c r="I5491" s="2" t="s">
        <v>10761</v>
      </c>
      <c r="J5491" s="3" t="str">
        <f>HYPERLINK("https://www.boe.es/gazeta/dias/1822/07/20/pdfs/GMD-1822-212.pdf#page=6","Abrir facsímil")</f>
        <v>Abrir facsímil</v>
      </c>
      <c r="K5491" s="3" t="s">
        <v>22</v>
      </c>
    </row>
    <row r="5492" spans="1:11" ht="42" customHeight="1">
      <c r="A5492" s="2" t="s">
        <v>10732</v>
      </c>
      <c r="B5492" s="2" t="s">
        <v>10732</v>
      </c>
      <c r="C5492" s="2" t="s">
        <v>16</v>
      </c>
      <c r="D5492" s="2" t="s">
        <v>17</v>
      </c>
      <c r="E5492" s="5">
        <v>-28286</v>
      </c>
      <c r="F5492" s="3" t="s">
        <v>1853</v>
      </c>
      <c r="G5492" s="3" t="s">
        <v>35</v>
      </c>
      <c r="H5492" s="2" t="s">
        <v>20</v>
      </c>
      <c r="I5492" s="2" t="s">
        <v>10762</v>
      </c>
      <c r="J5492" s="3" t="str">
        <f>HYPERLINK("https://www.boe.es/gazeta/dias/1822/07/21/pdfs/GMD-1822-213.pdf#page=2","Abrir facsímil")</f>
        <v>Abrir facsímil</v>
      </c>
      <c r="K5492" s="3" t="s">
        <v>22</v>
      </c>
    </row>
    <row r="5493" spans="1:11" ht="42" customHeight="1">
      <c r="A5493" s="2" t="s">
        <v>10732</v>
      </c>
      <c r="B5493" s="2" t="s">
        <v>10732</v>
      </c>
      <c r="C5493" s="2" t="s">
        <v>42</v>
      </c>
      <c r="D5493" s="2" t="s">
        <v>17</v>
      </c>
      <c r="E5493" s="5">
        <v>-28284</v>
      </c>
      <c r="F5493" s="3" t="s">
        <v>6484</v>
      </c>
      <c r="G5493" s="3" t="s">
        <v>31</v>
      </c>
      <c r="H5493" s="2" t="s">
        <v>20</v>
      </c>
      <c r="I5493" s="2" t="s">
        <v>10763</v>
      </c>
      <c r="J5493" s="3" t="str">
        <f>HYPERLINK("https://www.boe.es/gazeta/dias/1822/07/23/pdfs/GMD-1822-216.pdf#page=3","Abrir facsímil")</f>
        <v>Abrir facsímil</v>
      </c>
      <c r="K5493" s="3" t="s">
        <v>22</v>
      </c>
    </row>
    <row r="5494" spans="1:11" ht="42" customHeight="1">
      <c r="A5494" s="2" t="s">
        <v>10732</v>
      </c>
      <c r="B5494" s="2" t="s">
        <v>10732</v>
      </c>
      <c r="C5494" s="2" t="s">
        <v>24</v>
      </c>
      <c r="D5494" s="2" t="s">
        <v>17</v>
      </c>
      <c r="E5494" s="5">
        <v>-28274</v>
      </c>
      <c r="F5494" s="3" t="s">
        <v>3371</v>
      </c>
      <c r="G5494" s="3" t="s">
        <v>44</v>
      </c>
      <c r="H5494" s="2" t="s">
        <v>20</v>
      </c>
      <c r="I5494" s="2" t="s">
        <v>10764</v>
      </c>
      <c r="J5494" s="3" t="str">
        <f>HYPERLINK("https://www.boe.es/gazeta/dias/1822/08/02/pdfs/GMD-1822-226.pdf#page=1","Abrir facsímil")</f>
        <v>Abrir facsímil</v>
      </c>
      <c r="K5494" s="3" t="s">
        <v>22</v>
      </c>
    </row>
    <row r="5495" spans="1:11" ht="42" customHeight="1">
      <c r="A5495" s="2" t="s">
        <v>10732</v>
      </c>
      <c r="B5495" s="2" t="s">
        <v>10732</v>
      </c>
      <c r="C5495" s="2" t="s">
        <v>28</v>
      </c>
      <c r="D5495" s="2" t="s">
        <v>29</v>
      </c>
      <c r="E5495" s="5">
        <v>-28259</v>
      </c>
      <c r="F5495" s="3" t="s">
        <v>1912</v>
      </c>
      <c r="G5495" s="3" t="s">
        <v>57</v>
      </c>
      <c r="H5495" s="2" t="s">
        <v>20</v>
      </c>
      <c r="I5495" s="2" t="s">
        <v>10765</v>
      </c>
      <c r="J5495" s="3" t="str">
        <f>HYPERLINK("https://www.boe.es/gazeta/dias/1822/08/17/pdfs/GMD-1822-241.pdf#page=4","Abrir facsímil")</f>
        <v>Abrir facsímil</v>
      </c>
      <c r="K5495" s="3" t="s">
        <v>22</v>
      </c>
    </row>
    <row r="5496" spans="1:11" ht="42" customHeight="1">
      <c r="A5496" s="2" t="s">
        <v>10732</v>
      </c>
      <c r="B5496" s="2" t="s">
        <v>10732</v>
      </c>
      <c r="C5496" s="2" t="s">
        <v>50</v>
      </c>
      <c r="D5496" s="2" t="s">
        <v>51</v>
      </c>
      <c r="E5496" s="5">
        <v>-28243</v>
      </c>
      <c r="F5496" s="3" t="s">
        <v>1829</v>
      </c>
      <c r="G5496" s="3" t="s">
        <v>57</v>
      </c>
      <c r="H5496" s="2" t="s">
        <v>20</v>
      </c>
      <c r="I5496" s="2" t="s">
        <v>10766</v>
      </c>
      <c r="J5496" s="3" t="str">
        <f>HYPERLINK("https://www.boe.es/gazeta/dias/1822/09/02/pdfs/GMD-1822-257.pdf#page=4","Abrir facsímil")</f>
        <v>Abrir facsímil</v>
      </c>
      <c r="K5496" s="3" t="s">
        <v>22</v>
      </c>
    </row>
    <row r="5497" spans="1:11" ht="42" customHeight="1">
      <c r="A5497" s="2" t="s">
        <v>10732</v>
      </c>
      <c r="B5497" s="2" t="s">
        <v>10732</v>
      </c>
      <c r="C5497" s="2" t="s">
        <v>50</v>
      </c>
      <c r="D5497" s="2" t="s">
        <v>51</v>
      </c>
      <c r="E5497" s="5">
        <v>-28230</v>
      </c>
      <c r="F5497" s="3" t="s">
        <v>1735</v>
      </c>
      <c r="G5497" s="3" t="s">
        <v>31</v>
      </c>
      <c r="H5497" s="2" t="s">
        <v>20</v>
      </c>
      <c r="I5497" s="2" t="s">
        <v>10767</v>
      </c>
      <c r="J5497" s="3" t="str">
        <f>HYPERLINK("https://www.boe.es/gazeta/dias/1822/09/15/pdfs/GMD-1822-271.pdf#page=3","Abrir facsímil")</f>
        <v>Abrir facsímil</v>
      </c>
      <c r="K5497" s="3" t="s">
        <v>22</v>
      </c>
    </row>
    <row r="5498" spans="1:11" ht="42" customHeight="1">
      <c r="A5498" s="2" t="s">
        <v>10732</v>
      </c>
      <c r="B5498" s="2" t="s">
        <v>10732</v>
      </c>
      <c r="C5498" s="2" t="s">
        <v>28</v>
      </c>
      <c r="D5498" s="2" t="s">
        <v>29</v>
      </c>
      <c r="E5498" s="5">
        <v>-28224</v>
      </c>
      <c r="F5498" s="3" t="s">
        <v>1902</v>
      </c>
      <c r="G5498" s="3" t="s">
        <v>57</v>
      </c>
      <c r="H5498" s="2" t="s">
        <v>20</v>
      </c>
      <c r="I5498" s="2" t="s">
        <v>10768</v>
      </c>
      <c r="J5498" s="3" t="str">
        <f>HYPERLINK("https://www.boe.es/gazeta/dias/1822/09/21/pdfs/GMD-1822-277.pdf#page=4","Abrir facsímil")</f>
        <v>Abrir facsímil</v>
      </c>
      <c r="K5498" s="3" t="s">
        <v>22</v>
      </c>
    </row>
    <row r="5499" spans="1:11" ht="42" customHeight="1">
      <c r="A5499" s="2" t="s">
        <v>10732</v>
      </c>
      <c r="B5499" s="2" t="s">
        <v>10732</v>
      </c>
      <c r="C5499" s="2" t="s">
        <v>50</v>
      </c>
      <c r="D5499" s="2" t="s">
        <v>51</v>
      </c>
      <c r="E5499" s="5">
        <v>-28220</v>
      </c>
      <c r="F5499" s="3" t="s">
        <v>1914</v>
      </c>
      <c r="G5499" s="3" t="s">
        <v>35</v>
      </c>
      <c r="H5499" s="2" t="s">
        <v>20</v>
      </c>
      <c r="I5499" s="2" t="s">
        <v>10769</v>
      </c>
      <c r="J5499" s="3" t="str">
        <f>HYPERLINK("https://www.boe.es/gazeta/dias/1822/09/25/pdfs/GMD-1822-281.pdf#page=2","Abrir facsímil")</f>
        <v>Abrir facsímil</v>
      </c>
      <c r="K5499" s="3" t="s">
        <v>22</v>
      </c>
    </row>
    <row r="5500" spans="1:11" ht="42" customHeight="1">
      <c r="A5500" s="2" t="s">
        <v>10732</v>
      </c>
      <c r="B5500" s="2" t="s">
        <v>10732</v>
      </c>
      <c r="C5500" s="2" t="s">
        <v>42</v>
      </c>
      <c r="D5500" s="2" t="s">
        <v>17</v>
      </c>
      <c r="E5500" s="5">
        <v>-28217</v>
      </c>
      <c r="F5500" s="3" t="s">
        <v>1892</v>
      </c>
      <c r="G5500" s="3" t="s">
        <v>57</v>
      </c>
      <c r="H5500" s="2" t="s">
        <v>20</v>
      </c>
      <c r="I5500" s="2" t="s">
        <v>10770</v>
      </c>
      <c r="J5500" s="3" t="str">
        <f>HYPERLINK("https://www.boe.es/gazeta/dias/1822/09/28/pdfs/GMD-1822-284.pdf#page=4","Abrir facsímil")</f>
        <v>Abrir facsímil</v>
      </c>
      <c r="K5500" s="3" t="s">
        <v>22</v>
      </c>
    </row>
    <row r="5501" spans="1:11" ht="42" customHeight="1">
      <c r="A5501" s="2" t="s">
        <v>10732</v>
      </c>
      <c r="B5501" s="2" t="s">
        <v>10732</v>
      </c>
      <c r="C5501" s="2" t="s">
        <v>71</v>
      </c>
      <c r="D5501" s="2" t="s">
        <v>17</v>
      </c>
      <c r="E5501" s="5">
        <v>-28170</v>
      </c>
      <c r="F5501" s="3" t="s">
        <v>1457</v>
      </c>
      <c r="G5501" s="3" t="s">
        <v>35</v>
      </c>
      <c r="H5501" s="2" t="s">
        <v>20</v>
      </c>
      <c r="I5501" s="2" t="s">
        <v>10771</v>
      </c>
      <c r="J5501" s="3" t="str">
        <f>HYPERLINK("https://www.boe.es/gazeta/dias/1822/11/14/pdfs/GMD-1822-334.pdf#page=2","Abrir facsímil")</f>
        <v>Abrir facsímil</v>
      </c>
      <c r="K5501" s="3" t="s">
        <v>22</v>
      </c>
    </row>
    <row r="5502" spans="1:11" ht="42" customHeight="1">
      <c r="A5502" s="2" t="s">
        <v>10732</v>
      </c>
      <c r="B5502" s="2" t="s">
        <v>10732</v>
      </c>
      <c r="C5502" s="2" t="s">
        <v>50</v>
      </c>
      <c r="D5502" s="2" t="s">
        <v>51</v>
      </c>
      <c r="E5502" s="5">
        <v>-28158</v>
      </c>
      <c r="F5502" s="3" t="s">
        <v>590</v>
      </c>
      <c r="G5502" s="3" t="s">
        <v>63</v>
      </c>
      <c r="H5502" s="2" t="s">
        <v>20</v>
      </c>
      <c r="I5502" s="2" t="s">
        <v>10772</v>
      </c>
      <c r="J5502" s="3" t="str">
        <f>HYPERLINK("https://www.boe.es/gazeta/dias/1822/11/26/pdfs/GMD-1822-346.pdf#page=6","Abrir facsímil")</f>
        <v>Abrir facsímil</v>
      </c>
      <c r="K5502" s="3" t="s">
        <v>22</v>
      </c>
    </row>
    <row r="5503" spans="1:11" ht="42" customHeight="1">
      <c r="A5503" s="2" t="s">
        <v>10732</v>
      </c>
      <c r="B5503" s="2" t="s">
        <v>10732</v>
      </c>
      <c r="C5503" s="2" t="s">
        <v>50</v>
      </c>
      <c r="D5503" s="2" t="s">
        <v>51</v>
      </c>
      <c r="E5503" s="5">
        <v>-28148</v>
      </c>
      <c r="F5503" s="3" t="s">
        <v>1909</v>
      </c>
      <c r="G5503" s="3" t="s">
        <v>63</v>
      </c>
      <c r="H5503" s="2" t="s">
        <v>20</v>
      </c>
      <c r="I5503" s="2" t="s">
        <v>10773</v>
      </c>
      <c r="J5503" s="3" t="str">
        <f>HYPERLINK("https://www.boe.es/gazeta/dias/1822/12/06/pdfs/GMD-1822-356.pdf#page=6","Abrir facsímil")</f>
        <v>Abrir facsímil</v>
      </c>
      <c r="K5503" s="3" t="s">
        <v>22</v>
      </c>
    </row>
    <row r="5504" spans="1:11" ht="42" customHeight="1">
      <c r="A5504" s="2" t="s">
        <v>10732</v>
      </c>
      <c r="B5504" s="2" t="s">
        <v>10732</v>
      </c>
      <c r="C5504" s="2" t="s">
        <v>50</v>
      </c>
      <c r="D5504" s="2" t="s">
        <v>51</v>
      </c>
      <c r="E5504" s="5">
        <v>-28144</v>
      </c>
      <c r="F5504" s="3" t="s">
        <v>288</v>
      </c>
      <c r="G5504" s="3" t="s">
        <v>44</v>
      </c>
      <c r="H5504" s="2" t="s">
        <v>20</v>
      </c>
      <c r="I5504" s="2" t="s">
        <v>10774</v>
      </c>
      <c r="J5504" s="3" t="str">
        <f>HYPERLINK("https://www.boe.es/gazeta/dias/1822/12/10/pdfs/GMD-1822-360.pdf#page=1","Abrir facsímil")</f>
        <v>Abrir facsímil</v>
      </c>
      <c r="K5504" s="3" t="s">
        <v>22</v>
      </c>
    </row>
    <row r="5505" spans="1:11" ht="42" customHeight="1">
      <c r="A5505" s="2" t="s">
        <v>10775</v>
      </c>
      <c r="B5505" s="2" t="s">
        <v>10776</v>
      </c>
      <c r="C5505" s="2" t="s">
        <v>42</v>
      </c>
      <c r="D5505" s="2" t="s">
        <v>17</v>
      </c>
      <c r="E5505" s="5">
        <v>-28450</v>
      </c>
      <c r="F5505" s="3" t="s">
        <v>1450</v>
      </c>
      <c r="G5505" s="3" t="s">
        <v>6340</v>
      </c>
      <c r="H5505" s="2" t="s">
        <v>45</v>
      </c>
      <c r="I5505" s="2" t="s">
        <v>10777</v>
      </c>
      <c r="J5505" s="3" t="str">
        <f>HYPERLINK("https://www.boe.es/gazeta/dias/1822/02/07/pdfs/GMD-1822-38.pdf#page=5","Abrir facsímil")</f>
        <v>Abrir facsímil</v>
      </c>
      <c r="K5505" s="3" t="s">
        <v>47</v>
      </c>
    </row>
    <row r="5506" spans="1:11" ht="42" customHeight="1">
      <c r="A5506" s="2" t="s">
        <v>10778</v>
      </c>
      <c r="B5506" s="2" t="s">
        <v>10779</v>
      </c>
      <c r="C5506" s="2" t="s">
        <v>28</v>
      </c>
      <c r="D5506" s="2" t="s">
        <v>29</v>
      </c>
      <c r="E5506" s="5">
        <v>-28345</v>
      </c>
      <c r="F5506" s="3" t="s">
        <v>294</v>
      </c>
      <c r="G5506" s="3" t="s">
        <v>63</v>
      </c>
      <c r="H5506" s="2" t="s">
        <v>20</v>
      </c>
      <c r="I5506" s="2" t="s">
        <v>10780</v>
      </c>
      <c r="J5506" s="3" t="str">
        <f>HYPERLINK("https://www.boe.es/gazeta/dias/1822/05/23/pdfs/GMD-1822-147.pdf#page=6","Abrir facsímil")</f>
        <v>Abrir facsímil</v>
      </c>
      <c r="K5506" s="3" t="s">
        <v>22</v>
      </c>
    </row>
    <row r="5507" spans="1:11" ht="42" customHeight="1">
      <c r="A5507" s="2" t="s">
        <v>10778</v>
      </c>
      <c r="B5507" s="2" t="s">
        <v>10779</v>
      </c>
      <c r="C5507" s="2" t="s">
        <v>71</v>
      </c>
      <c r="D5507" s="2" t="s">
        <v>17</v>
      </c>
      <c r="E5507" s="5">
        <v>-28225</v>
      </c>
      <c r="F5507" s="3" t="s">
        <v>177</v>
      </c>
      <c r="G5507" s="3" t="s">
        <v>178</v>
      </c>
      <c r="H5507" s="2" t="s">
        <v>20</v>
      </c>
      <c r="I5507" s="2" t="s">
        <v>10781</v>
      </c>
      <c r="J5507" s="3" t="str">
        <f>HYPERLINK("https://www.boe.es/gazeta/dias/1822/09/20/pdfs/GMD-1822-276.pdf#page=3","Abrir facsímil")</f>
        <v>Abrir facsímil</v>
      </c>
      <c r="K5507" s="3" t="s">
        <v>22</v>
      </c>
    </row>
    <row r="5508" spans="1:11" ht="42" customHeight="1">
      <c r="A5508" s="2" t="s">
        <v>10782</v>
      </c>
      <c r="B5508" s="2" t="s">
        <v>10783</v>
      </c>
      <c r="C5508" s="2" t="s">
        <v>42</v>
      </c>
      <c r="D5508" s="2" t="s">
        <v>17</v>
      </c>
      <c r="E5508" s="5">
        <v>-28474</v>
      </c>
      <c r="F5508" s="3" t="s">
        <v>30</v>
      </c>
      <c r="G5508" s="3" t="s">
        <v>31</v>
      </c>
      <c r="H5508" s="2" t="s">
        <v>20</v>
      </c>
      <c r="I5508" s="2" t="s">
        <v>10784</v>
      </c>
      <c r="J5508" s="3" t="str">
        <f>HYPERLINK("https://www.boe.es/gazeta/dias/1822/01/14/pdfs/GMD-1822-14.pdf#page=3","Abrir facsímil")</f>
        <v>Abrir facsímil</v>
      </c>
      <c r="K5508" s="3" t="s">
        <v>22</v>
      </c>
    </row>
    <row r="5509" spans="1:11" ht="42" customHeight="1">
      <c r="A5509" s="2" t="s">
        <v>10785</v>
      </c>
      <c r="B5509" s="2" t="s">
        <v>10786</v>
      </c>
      <c r="C5509" s="2" t="s">
        <v>42</v>
      </c>
      <c r="D5509" s="2" t="s">
        <v>17</v>
      </c>
      <c r="E5509" s="5">
        <v>-28376</v>
      </c>
      <c r="F5509" s="3" t="s">
        <v>500</v>
      </c>
      <c r="G5509" s="3" t="s">
        <v>35</v>
      </c>
      <c r="H5509" s="2" t="s">
        <v>20</v>
      </c>
      <c r="I5509" s="2" t="s">
        <v>10787</v>
      </c>
      <c r="J5509" s="3" t="str">
        <f>HYPERLINK("https://www.boe.es/gazeta/dias/1822/04/22/pdfs/GMD-1822-114.pdf#page=2","Abrir facsímil")</f>
        <v>Abrir facsímil</v>
      </c>
      <c r="K5509" s="3" t="s">
        <v>22</v>
      </c>
    </row>
    <row r="5510" spans="1:11" ht="42" customHeight="1">
      <c r="A5510" s="2" t="s">
        <v>10788</v>
      </c>
      <c r="B5510" s="2" t="s">
        <v>10789</v>
      </c>
      <c r="C5510" s="2" t="s">
        <v>50</v>
      </c>
      <c r="D5510" s="2" t="s">
        <v>51</v>
      </c>
      <c r="E5510" s="5">
        <v>-28297</v>
      </c>
      <c r="F5510" s="3" t="s">
        <v>1972</v>
      </c>
      <c r="G5510" s="3" t="s">
        <v>57</v>
      </c>
      <c r="H5510" s="2" t="s">
        <v>20</v>
      </c>
      <c r="I5510" s="2" t="s">
        <v>10790</v>
      </c>
      <c r="J5510" s="3" t="str">
        <f>HYPERLINK("https://www.boe.es/gazeta/dias/1822/07/10/pdfs/GMD-1822-200.pdf#page=4","Abrir facsímil")</f>
        <v>Abrir facsímil</v>
      </c>
      <c r="K5510" s="3" t="s">
        <v>22</v>
      </c>
    </row>
    <row r="5511" spans="1:11" ht="42" customHeight="1">
      <c r="A5511" s="2" t="s">
        <v>10791</v>
      </c>
      <c r="B5511" s="2" t="s">
        <v>10792</v>
      </c>
      <c r="C5511" s="2" t="s">
        <v>71</v>
      </c>
      <c r="D5511" s="2" t="s">
        <v>17</v>
      </c>
      <c r="E5511" s="5">
        <v>-28322</v>
      </c>
      <c r="F5511" s="3" t="s">
        <v>2205</v>
      </c>
      <c r="G5511" s="3" t="s">
        <v>3031</v>
      </c>
      <c r="H5511" s="2" t="s">
        <v>20</v>
      </c>
      <c r="I5511" s="2" t="s">
        <v>10793</v>
      </c>
      <c r="J5511" s="3" t="str">
        <f>HYPERLINK("https://www.boe.es/gazeta/dias/1822/06/15/pdfs/GMD-1822-172.pdf#page=2","Abrir facsímil")</f>
        <v>Abrir facsímil</v>
      </c>
      <c r="K5511" s="3" t="s">
        <v>22</v>
      </c>
    </row>
    <row r="5512" spans="1:11" ht="42" customHeight="1">
      <c r="A5512" s="2" t="s">
        <v>10794</v>
      </c>
      <c r="B5512" s="2" t="s">
        <v>10795</v>
      </c>
      <c r="C5512" s="2" t="s">
        <v>50</v>
      </c>
      <c r="D5512" s="2" t="s">
        <v>51</v>
      </c>
      <c r="E5512" s="5">
        <v>-28395</v>
      </c>
      <c r="F5512" s="3" t="s">
        <v>237</v>
      </c>
      <c r="G5512" s="3" t="s">
        <v>57</v>
      </c>
      <c r="H5512" s="2" t="s">
        <v>20</v>
      </c>
      <c r="I5512" s="2" t="s">
        <v>10796</v>
      </c>
      <c r="J5512" s="3" t="str">
        <f>HYPERLINK("https://www.boe.es/gazeta/dias/1822/04/03/pdfs/GMD-1822-95.pdf#page=4","Abrir facsímil")</f>
        <v>Abrir facsímil</v>
      </c>
      <c r="K5512" s="3" t="s">
        <v>22</v>
      </c>
    </row>
    <row r="5513" spans="1:11" ht="42" customHeight="1">
      <c r="A5513" s="2" t="s">
        <v>10797</v>
      </c>
      <c r="B5513" s="2" t="s">
        <v>10798</v>
      </c>
      <c r="C5513" s="2" t="s">
        <v>50</v>
      </c>
      <c r="D5513" s="2" t="s">
        <v>51</v>
      </c>
      <c r="E5513" s="5">
        <v>-28221</v>
      </c>
      <c r="F5513" s="3" t="s">
        <v>2591</v>
      </c>
      <c r="G5513" s="3" t="s">
        <v>44</v>
      </c>
      <c r="H5513" s="2" t="s">
        <v>20</v>
      </c>
      <c r="I5513" s="2" t="s">
        <v>10799</v>
      </c>
      <c r="J5513" s="3" t="str">
        <f>HYPERLINK("https://www.boe.es/gazeta/dias/1822/09/24/pdfs/GMD-1822-280.pdf#page=1","Abrir facsímil")</f>
        <v>Abrir facsímil</v>
      </c>
      <c r="K5513" s="3" t="s">
        <v>22</v>
      </c>
    </row>
    <row r="5514" spans="1:11" ht="42" customHeight="1">
      <c r="A5514" s="2" t="s">
        <v>10797</v>
      </c>
      <c r="B5514" s="2" t="s">
        <v>10798</v>
      </c>
      <c r="C5514" s="2" t="s">
        <v>50</v>
      </c>
      <c r="D5514" s="2" t="s">
        <v>51</v>
      </c>
      <c r="E5514" s="5">
        <v>-28199</v>
      </c>
      <c r="F5514" s="3" t="s">
        <v>656</v>
      </c>
      <c r="G5514" s="3" t="s">
        <v>44</v>
      </c>
      <c r="H5514" s="2" t="s">
        <v>20</v>
      </c>
      <c r="I5514" s="2" t="s">
        <v>10800</v>
      </c>
      <c r="J5514" s="3" t="str">
        <f>HYPERLINK("https://www.boe.es/gazeta/dias/1822/10/16/pdfs/GMD-1822-303.pdf#page=1","Abrir facsímil")</f>
        <v>Abrir facsímil</v>
      </c>
      <c r="K5514" s="3" t="s">
        <v>22</v>
      </c>
    </row>
    <row r="5515" spans="1:11" ht="42" customHeight="1">
      <c r="A5515" s="2" t="s">
        <v>10801</v>
      </c>
      <c r="B5515" s="2" t="s">
        <v>10802</v>
      </c>
      <c r="C5515" s="2" t="s">
        <v>61</v>
      </c>
      <c r="D5515" s="2" t="s">
        <v>17</v>
      </c>
      <c r="E5515" s="5">
        <v>-28273</v>
      </c>
      <c r="F5515" s="3" t="s">
        <v>1063</v>
      </c>
      <c r="G5515" s="3" t="s">
        <v>35</v>
      </c>
      <c r="H5515" s="2" t="s">
        <v>20</v>
      </c>
      <c r="I5515" s="2" t="s">
        <v>10803</v>
      </c>
      <c r="J5515" s="3" t="str">
        <f>HYPERLINK("https://www.boe.es/gazeta/dias/1822/08/03/pdfs/GMD-1822-227.pdf#page=2","Abrir facsímil")</f>
        <v>Abrir facsímil</v>
      </c>
      <c r="K5515" s="3" t="s">
        <v>22</v>
      </c>
    </row>
    <row r="5516" spans="1:11" ht="42" customHeight="1">
      <c r="A5516" s="2" t="s">
        <v>10804</v>
      </c>
      <c r="B5516" s="2" t="s">
        <v>10805</v>
      </c>
      <c r="C5516" s="2" t="s">
        <v>50</v>
      </c>
      <c r="D5516" s="2" t="s">
        <v>51</v>
      </c>
      <c r="E5516" s="5">
        <v>-28349</v>
      </c>
      <c r="F5516" s="3" t="s">
        <v>518</v>
      </c>
      <c r="G5516" s="3" t="s">
        <v>57</v>
      </c>
      <c r="H5516" s="2" t="s">
        <v>20</v>
      </c>
      <c r="I5516" s="2" t="s">
        <v>10806</v>
      </c>
      <c r="J5516" s="3" t="str">
        <f>HYPERLINK("https://www.boe.es/gazeta/dias/1822/05/19/pdfs/GMD-1822-141.pdf#page=4","Abrir facsímil")</f>
        <v>Abrir facsímil</v>
      </c>
      <c r="K5516" s="3" t="s">
        <v>22</v>
      </c>
    </row>
    <row r="5517" spans="1:11" ht="42" customHeight="1">
      <c r="A5517" s="2" t="s">
        <v>10807</v>
      </c>
      <c r="B5517" s="2" t="s">
        <v>10807</v>
      </c>
      <c r="C5517" s="2" t="s">
        <v>24</v>
      </c>
      <c r="D5517" s="2" t="s">
        <v>17</v>
      </c>
      <c r="E5517" s="5">
        <v>-28274</v>
      </c>
      <c r="F5517" s="3" t="s">
        <v>3371</v>
      </c>
      <c r="G5517" s="3" t="s">
        <v>44</v>
      </c>
      <c r="H5517" s="2" t="s">
        <v>20</v>
      </c>
      <c r="I5517" s="2" t="s">
        <v>10808</v>
      </c>
      <c r="J5517" s="3" t="str">
        <f>HYPERLINK("https://www.boe.es/gazeta/dias/1822/08/02/pdfs/GMD-1822-226.pdf#page=1","Abrir facsímil")</f>
        <v>Abrir facsímil</v>
      </c>
      <c r="K5517" s="3" t="s">
        <v>22</v>
      </c>
    </row>
    <row r="5518" spans="1:11" ht="42" customHeight="1">
      <c r="A5518" s="2" t="s">
        <v>10809</v>
      </c>
      <c r="B5518" s="2" t="s">
        <v>10810</v>
      </c>
      <c r="C5518" s="2" t="s">
        <v>28</v>
      </c>
      <c r="D5518" s="2" t="s">
        <v>29</v>
      </c>
      <c r="E5518" s="5">
        <v>-28340</v>
      </c>
      <c r="F5518" s="3" t="s">
        <v>139</v>
      </c>
      <c r="G5518" s="3" t="s">
        <v>35</v>
      </c>
      <c r="H5518" s="2" t="s">
        <v>20</v>
      </c>
      <c r="I5518" s="2" t="s">
        <v>10811</v>
      </c>
      <c r="J5518" s="3" t="str">
        <f>HYPERLINK("https://www.boe.es/gazeta/dias/1822/05/28/pdfs/GMD-1822-153.pdf#page=2","Abrir facsímil")</f>
        <v>Abrir facsímil</v>
      </c>
      <c r="K5518" s="3" t="s">
        <v>22</v>
      </c>
    </row>
    <row r="5519" spans="1:11" ht="42" customHeight="1">
      <c r="A5519" s="2" t="s">
        <v>10812</v>
      </c>
      <c r="B5519" s="2" t="s">
        <v>10813</v>
      </c>
      <c r="C5519" s="2" t="s">
        <v>50</v>
      </c>
      <c r="D5519" s="2" t="s">
        <v>51</v>
      </c>
      <c r="E5519" s="5">
        <v>-28163</v>
      </c>
      <c r="F5519" s="3" t="s">
        <v>891</v>
      </c>
      <c r="G5519" s="3" t="s">
        <v>63</v>
      </c>
      <c r="H5519" s="2" t="s">
        <v>20</v>
      </c>
      <c r="I5519" s="2" t="s">
        <v>10814</v>
      </c>
      <c r="J5519" s="3" t="str">
        <f>HYPERLINK("https://www.boe.es/gazeta/dias/1822/11/21/pdfs/GMD-1822-341.pdf#page=6","Abrir facsímil")</f>
        <v>Abrir facsímil</v>
      </c>
      <c r="K5519" s="3" t="s">
        <v>22</v>
      </c>
    </row>
    <row r="5520" spans="1:11" ht="42" customHeight="1">
      <c r="A5520" s="2" t="s">
        <v>10812</v>
      </c>
      <c r="B5520" s="2" t="s">
        <v>10813</v>
      </c>
      <c r="C5520" s="2" t="s">
        <v>71</v>
      </c>
      <c r="D5520" s="2" t="s">
        <v>17</v>
      </c>
      <c r="E5520" s="5">
        <v>-28139</v>
      </c>
      <c r="F5520" s="3" t="s">
        <v>143</v>
      </c>
      <c r="G5520" s="3" t="s">
        <v>144</v>
      </c>
      <c r="H5520" s="2" t="s">
        <v>20</v>
      </c>
      <c r="I5520" s="2" t="s">
        <v>10815</v>
      </c>
      <c r="J5520" s="3" t="str">
        <f>HYPERLINK("https://www.boe.es/gazeta/dias/1822/12/15/pdfs/GMD-1822-365.pdf#page=4","Abrir facsímil")</f>
        <v>Abrir facsímil</v>
      </c>
      <c r="K5520" s="3" t="s">
        <v>22</v>
      </c>
    </row>
    <row r="5521" spans="1:11" ht="42" customHeight="1">
      <c r="A5521" s="2" t="s">
        <v>10816</v>
      </c>
      <c r="B5521" s="2" t="s">
        <v>10816</v>
      </c>
      <c r="C5521" s="2" t="s">
        <v>42</v>
      </c>
      <c r="D5521" s="2" t="s">
        <v>17</v>
      </c>
      <c r="E5521" s="5">
        <v>-28320</v>
      </c>
      <c r="F5521" s="3" t="s">
        <v>700</v>
      </c>
      <c r="G5521" s="3" t="s">
        <v>44</v>
      </c>
      <c r="H5521" s="2" t="s">
        <v>20</v>
      </c>
      <c r="I5521" s="2" t="s">
        <v>10817</v>
      </c>
      <c r="J5521" s="3" t="str">
        <f>HYPERLINK("https://www.boe.es/gazeta/dias/1822/06/17/pdfs/GMD-1822-174.pdf#page=1","Abrir facsímil")</f>
        <v>Abrir facsímil</v>
      </c>
      <c r="K5521" s="3" t="s">
        <v>22</v>
      </c>
    </row>
    <row r="5522" spans="1:11" ht="42" customHeight="1">
      <c r="A5522" s="2" t="s">
        <v>10818</v>
      </c>
      <c r="B5522" s="2" t="s">
        <v>10818</v>
      </c>
      <c r="C5522" s="2" t="s">
        <v>24</v>
      </c>
      <c r="D5522" s="2" t="s">
        <v>17</v>
      </c>
      <c r="E5522" s="5">
        <v>-28236</v>
      </c>
      <c r="F5522" s="3" t="s">
        <v>714</v>
      </c>
      <c r="G5522" s="3" t="s">
        <v>57</v>
      </c>
      <c r="H5522" s="2" t="s">
        <v>20</v>
      </c>
      <c r="I5522" s="2" t="s">
        <v>10819</v>
      </c>
      <c r="J5522" s="3" t="str">
        <f>HYPERLINK("https://www.boe.es/gazeta/dias/1822/09/09/pdfs/GMD-1822-265.pdf#page=4","Abrir facsímil")</f>
        <v>Abrir facsímil</v>
      </c>
      <c r="K5522" s="3" t="s">
        <v>22</v>
      </c>
    </row>
    <row r="5523" spans="1:11" ht="42" customHeight="1">
      <c r="A5523" s="2" t="s">
        <v>10820</v>
      </c>
      <c r="B5523" s="2" t="s">
        <v>10820</v>
      </c>
      <c r="C5523" s="2" t="s">
        <v>42</v>
      </c>
      <c r="D5523" s="2" t="s">
        <v>17</v>
      </c>
      <c r="E5523" s="5">
        <v>-28152</v>
      </c>
      <c r="F5523" s="3" t="s">
        <v>122</v>
      </c>
      <c r="G5523" s="3" t="s">
        <v>8236</v>
      </c>
      <c r="H5523" s="2" t="s">
        <v>20</v>
      </c>
      <c r="I5523" s="2" t="s">
        <v>10821</v>
      </c>
      <c r="J5523" s="3" t="str">
        <f>HYPERLINK("https://www.boe.es/gazeta/dias/1822/12/02/pdfs/GMD-1822-352.pdf#page=6","Abrir facsímil")</f>
        <v>Abrir facsímil</v>
      </c>
      <c r="K5523" s="3" t="s">
        <v>22</v>
      </c>
    </row>
    <row r="5524" spans="1:11" ht="42" customHeight="1">
      <c r="A5524" s="2" t="s">
        <v>10822</v>
      </c>
      <c r="B5524" s="2" t="s">
        <v>10823</v>
      </c>
      <c r="C5524" s="2" t="s">
        <v>50</v>
      </c>
      <c r="D5524" s="2" t="s">
        <v>51</v>
      </c>
      <c r="E5524" s="5">
        <v>-28264</v>
      </c>
      <c r="F5524" s="3" t="s">
        <v>1329</v>
      </c>
      <c r="G5524" s="3" t="s">
        <v>31</v>
      </c>
      <c r="H5524" s="2" t="s">
        <v>20</v>
      </c>
      <c r="I5524" s="2" t="s">
        <v>10824</v>
      </c>
      <c r="J5524" s="3" t="str">
        <f>HYPERLINK("https://www.boe.es/gazeta/dias/1822/08/12/pdfs/GMD-1822-236.pdf#page=3","Abrir facsímil")</f>
        <v>Abrir facsímil</v>
      </c>
      <c r="K5524" s="3" t="s">
        <v>22</v>
      </c>
    </row>
    <row r="5525" spans="1:11" ht="42" customHeight="1">
      <c r="A5525" s="2" t="s">
        <v>10825</v>
      </c>
      <c r="B5525" s="2" t="s">
        <v>10825</v>
      </c>
      <c r="C5525" s="2" t="s">
        <v>61</v>
      </c>
      <c r="D5525" s="2" t="s">
        <v>17</v>
      </c>
      <c r="E5525" s="5">
        <v>-28297</v>
      </c>
      <c r="F5525" s="3" t="s">
        <v>1972</v>
      </c>
      <c r="G5525" s="3" t="s">
        <v>31</v>
      </c>
      <c r="H5525" s="2" t="s">
        <v>20</v>
      </c>
      <c r="I5525" s="2" t="s">
        <v>10826</v>
      </c>
      <c r="J5525" s="3" t="str">
        <f>HYPERLINK("https://www.boe.es/gazeta/dias/1822/07/10/pdfs/GMD-1822-200.pdf#page=3","Abrir facsímil")</f>
        <v>Abrir facsímil</v>
      </c>
      <c r="K5525" s="3" t="s">
        <v>22</v>
      </c>
    </row>
    <row r="5526" spans="1:11" ht="42" customHeight="1">
      <c r="A5526" s="2" t="s">
        <v>10827</v>
      </c>
      <c r="B5526" s="2" t="s">
        <v>10828</v>
      </c>
      <c r="C5526" s="2" t="s">
        <v>61</v>
      </c>
      <c r="D5526" s="2" t="s">
        <v>17</v>
      </c>
      <c r="E5526" s="5">
        <v>-28423</v>
      </c>
      <c r="F5526" s="3" t="s">
        <v>441</v>
      </c>
      <c r="G5526" s="3" t="s">
        <v>31</v>
      </c>
      <c r="H5526" s="2" t="s">
        <v>20</v>
      </c>
      <c r="I5526" s="2" t="s">
        <v>10829</v>
      </c>
      <c r="J5526" s="3" t="str">
        <f>HYPERLINK("https://www.boe.es/gazeta/dias/1822/03/06/pdfs/GMD-1822-67.pdf#page=3","Abrir facsímil")</f>
        <v>Abrir facsímil</v>
      </c>
      <c r="K5526" s="3" t="s">
        <v>22</v>
      </c>
    </row>
    <row r="5527" spans="1:11" ht="42" customHeight="1">
      <c r="A5527" s="2" t="s">
        <v>10830</v>
      </c>
      <c r="B5527" s="2" t="s">
        <v>10830</v>
      </c>
      <c r="C5527" s="2" t="s">
        <v>28</v>
      </c>
      <c r="D5527" s="2" t="s">
        <v>29</v>
      </c>
      <c r="E5527" s="5">
        <v>-28365</v>
      </c>
      <c r="F5527" s="3" t="s">
        <v>506</v>
      </c>
      <c r="G5527" s="3" t="s">
        <v>31</v>
      </c>
      <c r="H5527" s="2" t="s">
        <v>20</v>
      </c>
      <c r="I5527" s="2" t="s">
        <v>10831</v>
      </c>
      <c r="J5527" s="3" t="str">
        <f>HYPERLINK("https://www.boe.es/gazeta/dias/1822/05/03/pdfs/GMD-1822-125.pdf#page=3","Abrir facsímil")</f>
        <v>Abrir facsímil</v>
      </c>
      <c r="K5527" s="3" t="s">
        <v>22</v>
      </c>
    </row>
    <row r="5528" spans="1:11" ht="42" customHeight="1">
      <c r="A5528" s="2" t="s">
        <v>10830</v>
      </c>
      <c r="B5528" s="2" t="s">
        <v>10830</v>
      </c>
      <c r="C5528" s="2" t="s">
        <v>28</v>
      </c>
      <c r="D5528" s="2" t="s">
        <v>29</v>
      </c>
      <c r="E5528" s="5">
        <v>-28337</v>
      </c>
      <c r="F5528" s="3" t="s">
        <v>1836</v>
      </c>
      <c r="G5528" s="3" t="s">
        <v>31</v>
      </c>
      <c r="H5528" s="2" t="s">
        <v>20</v>
      </c>
      <c r="I5528" s="2" t="s">
        <v>10832</v>
      </c>
      <c r="J5528" s="3" t="str">
        <f>HYPERLINK("https://www.boe.es/gazeta/dias/1822/05/31/pdfs/GMD-1822-156.pdf#page=3","Abrir facsímil")</f>
        <v>Abrir facsímil</v>
      </c>
      <c r="K5528" s="3" t="s">
        <v>22</v>
      </c>
    </row>
    <row r="5529" spans="1:11" ht="42" customHeight="1">
      <c r="A5529" s="2" t="s">
        <v>10833</v>
      </c>
      <c r="B5529" s="2" t="s">
        <v>10833</v>
      </c>
      <c r="C5529" s="2" t="s">
        <v>42</v>
      </c>
      <c r="D5529" s="2" t="s">
        <v>17</v>
      </c>
      <c r="E5529" s="5">
        <v>-28421</v>
      </c>
      <c r="F5529" s="3" t="s">
        <v>446</v>
      </c>
      <c r="G5529" s="3" t="s">
        <v>44</v>
      </c>
      <c r="H5529" s="2" t="s">
        <v>20</v>
      </c>
      <c r="I5529" s="2" t="s">
        <v>10834</v>
      </c>
      <c r="J5529" s="3" t="str">
        <f>HYPERLINK("https://www.boe.es/gazeta/dias/1822/03/08/pdfs/GMD-1822-69.pdf#page=1","Abrir facsímil")</f>
        <v>Abrir facsímil</v>
      </c>
      <c r="K5529" s="3" t="s">
        <v>22</v>
      </c>
    </row>
    <row r="5530" spans="1:11" ht="42" customHeight="1">
      <c r="A5530" s="2" t="s">
        <v>10835</v>
      </c>
      <c r="B5530" s="2" t="s">
        <v>10835</v>
      </c>
      <c r="C5530" s="2" t="s">
        <v>28</v>
      </c>
      <c r="D5530" s="2" t="s">
        <v>29</v>
      </c>
      <c r="E5530" s="5">
        <v>-28295</v>
      </c>
      <c r="F5530" s="3" t="s">
        <v>81</v>
      </c>
      <c r="G5530" s="3" t="s">
        <v>35</v>
      </c>
      <c r="H5530" s="2" t="s">
        <v>20</v>
      </c>
      <c r="I5530" s="2" t="s">
        <v>10836</v>
      </c>
      <c r="J5530" s="3" t="str">
        <f>HYPERLINK("https://www.boe.es/gazeta/dias/1822/07/12/pdfs/GMD-1822-202.pdf#page=2","Abrir facsímil")</f>
        <v>Abrir facsímil</v>
      </c>
      <c r="K5530" s="3" t="s">
        <v>22</v>
      </c>
    </row>
    <row r="5531" spans="1:11" ht="42" customHeight="1">
      <c r="A5531" s="2" t="s">
        <v>10837</v>
      </c>
      <c r="B5531" s="2" t="s">
        <v>10838</v>
      </c>
      <c r="C5531" s="2" t="s">
        <v>71</v>
      </c>
      <c r="D5531" s="2" t="s">
        <v>17</v>
      </c>
      <c r="E5531" s="5">
        <v>-28338</v>
      </c>
      <c r="F5531" s="3" t="s">
        <v>527</v>
      </c>
      <c r="G5531" s="3" t="s">
        <v>31</v>
      </c>
      <c r="H5531" s="2" t="s">
        <v>20</v>
      </c>
      <c r="I5531" s="2" t="s">
        <v>10839</v>
      </c>
      <c r="J5531" s="3" t="str">
        <f>HYPERLINK("https://www.boe.es/gazeta/dias/1822/05/30/pdfs/GMD-1822-155.pdf#page=3","Abrir facsímil")</f>
        <v>Abrir facsímil</v>
      </c>
      <c r="K5531" s="3" t="s">
        <v>22</v>
      </c>
    </row>
    <row r="5532" spans="1:11" ht="42" customHeight="1">
      <c r="A5532" s="2" t="s">
        <v>10840</v>
      </c>
      <c r="B5532" s="2" t="s">
        <v>10840</v>
      </c>
      <c r="C5532" s="2" t="s">
        <v>71</v>
      </c>
      <c r="D5532" s="2" t="s">
        <v>17</v>
      </c>
      <c r="E5532" s="5">
        <v>-28393</v>
      </c>
      <c r="F5532" s="3" t="s">
        <v>326</v>
      </c>
      <c r="G5532" s="3" t="s">
        <v>44</v>
      </c>
      <c r="H5532" s="2" t="s">
        <v>20</v>
      </c>
      <c r="I5532" s="2" t="s">
        <v>10841</v>
      </c>
      <c r="J5532" s="3" t="str">
        <f>HYPERLINK("https://www.boe.es/gazeta/dias/1822/04/05/pdfs/GMD-1822-97.pdf#page=1","Abrir facsímil")</f>
        <v>Abrir facsímil</v>
      </c>
      <c r="K5532" s="3" t="s">
        <v>22</v>
      </c>
    </row>
    <row r="5533" spans="1:11" ht="42" customHeight="1">
      <c r="A5533" s="2" t="s">
        <v>10842</v>
      </c>
      <c r="B5533" s="2" t="s">
        <v>10842</v>
      </c>
      <c r="C5533" s="2" t="s">
        <v>28</v>
      </c>
      <c r="D5533" s="2" t="s">
        <v>29</v>
      </c>
      <c r="E5533" s="5">
        <v>-28487</v>
      </c>
      <c r="F5533" s="3" t="s">
        <v>426</v>
      </c>
      <c r="G5533" s="3" t="s">
        <v>57</v>
      </c>
      <c r="H5533" s="2" t="s">
        <v>20</v>
      </c>
      <c r="I5533" s="2" t="s">
        <v>10843</v>
      </c>
      <c r="J5533" s="3" t="str">
        <f>HYPERLINK("https://www.boe.es/gazeta/dias/1822/01/01/pdfs/GMD-1822-1.pdf#page=4","Abrir facsímil")</f>
        <v>Abrir facsímil</v>
      </c>
      <c r="K5533" s="3" t="s">
        <v>22</v>
      </c>
    </row>
    <row r="5534" spans="1:11" ht="42" customHeight="1">
      <c r="A5534" s="2" t="s">
        <v>10844</v>
      </c>
      <c r="B5534" s="2" t="s">
        <v>10845</v>
      </c>
      <c r="C5534" s="2" t="s">
        <v>16</v>
      </c>
      <c r="D5534" s="2" t="s">
        <v>17</v>
      </c>
      <c r="E5534" s="5">
        <v>-28466</v>
      </c>
      <c r="F5534" s="3" t="s">
        <v>4119</v>
      </c>
      <c r="G5534" s="3" t="s">
        <v>63</v>
      </c>
      <c r="H5534" s="2" t="s">
        <v>20</v>
      </c>
      <c r="I5534" s="2" t="s">
        <v>10846</v>
      </c>
      <c r="J5534" s="3" t="str">
        <f>HYPERLINK("https://www.boe.es/gazeta/dias/1822/01/22/pdfs/GMD-1822-22.pdf#page=6","Abrir facsímil")</f>
        <v>Abrir facsímil</v>
      </c>
      <c r="K5534" s="3" t="s">
        <v>22</v>
      </c>
    </row>
    <row r="5535" spans="1:11" ht="42" customHeight="1">
      <c r="A5535" s="2" t="s">
        <v>10847</v>
      </c>
      <c r="B5535" s="2" t="s">
        <v>10847</v>
      </c>
      <c r="C5535" s="2" t="s">
        <v>50</v>
      </c>
      <c r="D5535" s="2" t="s">
        <v>51</v>
      </c>
      <c r="E5535" s="5">
        <v>-28399</v>
      </c>
      <c r="F5535" s="3" t="s">
        <v>476</v>
      </c>
      <c r="G5535" s="3" t="s">
        <v>44</v>
      </c>
      <c r="H5535" s="2" t="s">
        <v>20</v>
      </c>
      <c r="I5535" s="2" t="s">
        <v>10848</v>
      </c>
      <c r="J5535" s="3" t="str">
        <f>HYPERLINK("https://www.boe.es/gazeta/dias/1822/03/30/pdfs/GMD-1822-91.pdf#page=1","Abrir facsímil")</f>
        <v>Abrir facsímil</v>
      </c>
      <c r="K5535" s="3" t="s">
        <v>22</v>
      </c>
    </row>
    <row r="5536" spans="1:11" ht="42" customHeight="1">
      <c r="A5536" s="2" t="s">
        <v>10849</v>
      </c>
      <c r="B5536" s="2" t="s">
        <v>10850</v>
      </c>
      <c r="C5536" s="2" t="s">
        <v>28</v>
      </c>
      <c r="D5536" s="2" t="s">
        <v>29</v>
      </c>
      <c r="E5536" s="5">
        <v>-28266</v>
      </c>
      <c r="F5536" s="3" t="s">
        <v>1169</v>
      </c>
      <c r="G5536" s="3" t="s">
        <v>57</v>
      </c>
      <c r="H5536" s="2" t="s">
        <v>20</v>
      </c>
      <c r="I5536" s="2" t="s">
        <v>10851</v>
      </c>
      <c r="J5536" s="3" t="str">
        <f>HYPERLINK("https://www.boe.es/gazeta/dias/1822/08/10/pdfs/GMD-1822-234.pdf#page=4","Abrir facsímil")</f>
        <v>Abrir facsímil</v>
      </c>
      <c r="K5536" s="3" t="s">
        <v>22</v>
      </c>
    </row>
    <row r="5537" spans="1:11" ht="42" customHeight="1">
      <c r="A5537" s="2" t="s">
        <v>10852</v>
      </c>
      <c r="B5537" s="2" t="s">
        <v>10853</v>
      </c>
      <c r="C5537" s="2" t="s">
        <v>362</v>
      </c>
      <c r="D5537" s="2" t="s">
        <v>17</v>
      </c>
      <c r="E5537" s="5">
        <v>-28378</v>
      </c>
      <c r="F5537" s="3" t="s">
        <v>496</v>
      </c>
      <c r="G5537" s="3" t="s">
        <v>57</v>
      </c>
      <c r="H5537" s="2" t="s">
        <v>20</v>
      </c>
      <c r="I5537" s="2" t="s">
        <v>10854</v>
      </c>
      <c r="J5537" s="3" t="str">
        <f>HYPERLINK("https://www.boe.es/gazeta/dias/1822/04/20/pdfs/GMD-1822-112.pdf#page=4","Abrir facsímil")</f>
        <v>Abrir facsímil</v>
      </c>
      <c r="K5537" s="3" t="s">
        <v>22</v>
      </c>
    </row>
    <row r="5538" spans="1:11" ht="42" customHeight="1">
      <c r="A5538" s="2" t="s">
        <v>10855</v>
      </c>
      <c r="B5538" s="2" t="s">
        <v>10856</v>
      </c>
      <c r="C5538" s="2" t="s">
        <v>16</v>
      </c>
      <c r="D5538" s="2" t="s">
        <v>17</v>
      </c>
      <c r="E5538" s="5">
        <v>-28178</v>
      </c>
      <c r="F5538" s="3" t="s">
        <v>318</v>
      </c>
      <c r="G5538" s="3" t="s">
        <v>63</v>
      </c>
      <c r="H5538" s="2" t="s">
        <v>20</v>
      </c>
      <c r="I5538" s="2" t="s">
        <v>10857</v>
      </c>
      <c r="J5538" s="3" t="str">
        <f>HYPERLINK("https://www.boe.es/gazeta/dias/1822/11/06/pdfs/GMD-1822-326.pdf#page=6","Abrir facsímil")</f>
        <v>Abrir facsímil</v>
      </c>
      <c r="K5538" s="3" t="s">
        <v>22</v>
      </c>
    </row>
    <row r="5539" spans="1:11" ht="42" customHeight="1">
      <c r="A5539" s="2" t="s">
        <v>10858</v>
      </c>
      <c r="B5539" s="2" t="s">
        <v>10859</v>
      </c>
      <c r="C5539" s="2" t="s">
        <v>16</v>
      </c>
      <c r="D5539" s="2" t="s">
        <v>17</v>
      </c>
      <c r="E5539" s="5">
        <v>-28463</v>
      </c>
      <c r="F5539" s="3" t="s">
        <v>25</v>
      </c>
      <c r="G5539" s="3" t="s">
        <v>63</v>
      </c>
      <c r="H5539" s="2" t="s">
        <v>20</v>
      </c>
      <c r="I5539" s="2" t="s">
        <v>10860</v>
      </c>
      <c r="J5539" s="3" t="str">
        <f>HYPERLINK("https://www.boe.es/gazeta/dias/1822/01/25/pdfs/GMD-1822-25.pdf#page=6","Abrir facsímil")</f>
        <v>Abrir facsímil</v>
      </c>
      <c r="K5539" s="3" t="s">
        <v>22</v>
      </c>
    </row>
    <row r="5540" spans="1:11" ht="42" customHeight="1">
      <c r="A5540" s="2" t="s">
        <v>10858</v>
      </c>
      <c r="B5540" s="2" t="s">
        <v>10859</v>
      </c>
      <c r="C5540" s="2" t="s">
        <v>24</v>
      </c>
      <c r="D5540" s="2" t="s">
        <v>17</v>
      </c>
      <c r="E5540" s="5">
        <v>-28393</v>
      </c>
      <c r="F5540" s="3" t="s">
        <v>326</v>
      </c>
      <c r="G5540" s="3" t="s">
        <v>57</v>
      </c>
      <c r="H5540" s="2" t="s">
        <v>20</v>
      </c>
      <c r="I5540" s="2" t="s">
        <v>10861</v>
      </c>
      <c r="J5540" s="3" t="str">
        <f>HYPERLINK("https://www.boe.es/gazeta/dias/1822/04/05/pdfs/GMD-1822-97.pdf#page=4","Abrir facsímil")</f>
        <v>Abrir facsímil</v>
      </c>
      <c r="K5540" s="3" t="s">
        <v>22</v>
      </c>
    </row>
    <row r="5541" spans="1:11" ht="42" customHeight="1">
      <c r="A5541" s="2" t="s">
        <v>10862</v>
      </c>
      <c r="B5541" s="2" t="s">
        <v>10863</v>
      </c>
      <c r="C5541" s="2" t="s">
        <v>28</v>
      </c>
      <c r="D5541" s="2" t="s">
        <v>29</v>
      </c>
      <c r="E5541" s="5">
        <v>-28395</v>
      </c>
      <c r="F5541" s="3" t="s">
        <v>237</v>
      </c>
      <c r="G5541" s="3" t="s">
        <v>57</v>
      </c>
      <c r="H5541" s="2" t="s">
        <v>20</v>
      </c>
      <c r="I5541" s="2" t="s">
        <v>10864</v>
      </c>
      <c r="J5541" s="3" t="str">
        <f>HYPERLINK("https://www.boe.es/gazeta/dias/1822/04/03/pdfs/GMD-1822-95.pdf#page=4","Abrir facsímil")</f>
        <v>Abrir facsímil</v>
      </c>
      <c r="K5541" s="3" t="s">
        <v>22</v>
      </c>
    </row>
    <row r="5542" spans="1:11" ht="42" customHeight="1">
      <c r="A5542" s="2" t="s">
        <v>10865</v>
      </c>
      <c r="B5542" s="2" t="s">
        <v>10866</v>
      </c>
      <c r="C5542" s="2" t="s">
        <v>28</v>
      </c>
      <c r="D5542" s="2" t="s">
        <v>29</v>
      </c>
      <c r="E5542" s="5">
        <v>-28326</v>
      </c>
      <c r="F5542" s="3" t="s">
        <v>543</v>
      </c>
      <c r="G5542" s="3" t="s">
        <v>63</v>
      </c>
      <c r="H5542" s="2" t="s">
        <v>20</v>
      </c>
      <c r="I5542" s="2" t="s">
        <v>10867</v>
      </c>
      <c r="J5542" s="3" t="str">
        <f>HYPERLINK("https://www.boe.es/gazeta/dias/1822/06/11/pdfs/GMD-1822-168.pdf#page=6","Abrir facsímil")</f>
        <v>Abrir facsímil</v>
      </c>
      <c r="K5542" s="3" t="s">
        <v>22</v>
      </c>
    </row>
    <row r="5543" spans="1:11" ht="42" customHeight="1">
      <c r="A5543" s="2" t="s">
        <v>10868</v>
      </c>
      <c r="B5543" s="2" t="s">
        <v>10868</v>
      </c>
      <c r="C5543" s="2" t="s">
        <v>28</v>
      </c>
      <c r="D5543" s="2" t="s">
        <v>29</v>
      </c>
      <c r="E5543" s="5">
        <v>-28327</v>
      </c>
      <c r="F5543" s="3" t="s">
        <v>38</v>
      </c>
      <c r="G5543" s="3" t="s">
        <v>19</v>
      </c>
      <c r="H5543" s="2" t="s">
        <v>20</v>
      </c>
      <c r="I5543" s="2" t="s">
        <v>10869</v>
      </c>
      <c r="J5543" s="3" t="str">
        <f>HYPERLINK("https://www.boe.es/gazeta/dias/1822/06/10/pdfs/GMD-1822-167.pdf#page=5","Abrir facsímil")</f>
        <v>Abrir facsímil</v>
      </c>
      <c r="K5543" s="3" t="s">
        <v>22</v>
      </c>
    </row>
    <row r="5544" spans="1:11" ht="42" customHeight="1">
      <c r="A5544" s="2" t="s">
        <v>10870</v>
      </c>
      <c r="B5544" s="2" t="s">
        <v>10871</v>
      </c>
      <c r="C5544" s="2" t="s">
        <v>50</v>
      </c>
      <c r="D5544" s="2" t="s">
        <v>51</v>
      </c>
      <c r="E5544" s="5">
        <v>-28219</v>
      </c>
      <c r="F5544" s="3" t="s">
        <v>1082</v>
      </c>
      <c r="G5544" s="3" t="s">
        <v>57</v>
      </c>
      <c r="H5544" s="2" t="s">
        <v>20</v>
      </c>
      <c r="I5544" s="2" t="s">
        <v>10872</v>
      </c>
      <c r="J5544" s="3" t="str">
        <f>HYPERLINK("https://www.boe.es/gazeta/dias/1822/09/26/pdfs/GMD-1822-282.pdf#page=4","Abrir facsímil")</f>
        <v>Abrir facsímil</v>
      </c>
      <c r="K5544" s="3" t="s">
        <v>22</v>
      </c>
    </row>
    <row r="5545" spans="1:11" ht="42" customHeight="1">
      <c r="A5545" s="2" t="s">
        <v>10873</v>
      </c>
      <c r="B5545" s="2" t="s">
        <v>10873</v>
      </c>
      <c r="C5545" s="2" t="s">
        <v>50</v>
      </c>
      <c r="D5545" s="2" t="s">
        <v>51</v>
      </c>
      <c r="E5545" s="5">
        <v>-28480</v>
      </c>
      <c r="F5545" s="3" t="s">
        <v>995</v>
      </c>
      <c r="G5545" s="3" t="s">
        <v>35</v>
      </c>
      <c r="H5545" s="2" t="s">
        <v>20</v>
      </c>
      <c r="I5545" s="2" t="s">
        <v>10874</v>
      </c>
      <c r="J5545" s="3" t="str">
        <f>HYPERLINK("https://www.boe.es/gazeta/dias/1822/01/08/pdfs/GMD-1822-8.pdf#page=2","Abrir facsímil")</f>
        <v>Abrir facsímil</v>
      </c>
      <c r="K5545" s="3" t="s">
        <v>22</v>
      </c>
    </row>
    <row r="5546" spans="1:11" ht="42" customHeight="1">
      <c r="A5546" s="2" t="s">
        <v>10873</v>
      </c>
      <c r="B5546" s="2" t="s">
        <v>10873</v>
      </c>
      <c r="C5546" s="2" t="s">
        <v>50</v>
      </c>
      <c r="D5546" s="2" t="s">
        <v>51</v>
      </c>
      <c r="E5546" s="5">
        <v>-28379</v>
      </c>
      <c r="F5546" s="3" t="s">
        <v>494</v>
      </c>
      <c r="G5546" s="3" t="s">
        <v>44</v>
      </c>
      <c r="H5546" s="2" t="s">
        <v>20</v>
      </c>
      <c r="I5546" s="2" t="s">
        <v>10875</v>
      </c>
      <c r="J5546" s="3" t="str">
        <f>HYPERLINK("https://www.boe.es/gazeta/dias/1822/04/19/pdfs/GMD-1822-111.pdf#page=1","Abrir facsímil")</f>
        <v>Abrir facsímil</v>
      </c>
      <c r="K5546" s="3" t="s">
        <v>22</v>
      </c>
    </row>
    <row r="5547" spans="1:11" ht="42" customHeight="1">
      <c r="A5547" s="2" t="s">
        <v>10873</v>
      </c>
      <c r="B5547" s="2" t="s">
        <v>10873</v>
      </c>
      <c r="C5547" s="2" t="s">
        <v>50</v>
      </c>
      <c r="D5547" s="2" t="s">
        <v>51</v>
      </c>
      <c r="E5547" s="5">
        <v>-28375</v>
      </c>
      <c r="F5547" s="3" t="s">
        <v>2035</v>
      </c>
      <c r="G5547" s="3" t="s">
        <v>44</v>
      </c>
      <c r="H5547" s="2" t="s">
        <v>20</v>
      </c>
      <c r="I5547" s="2" t="s">
        <v>10876</v>
      </c>
      <c r="J5547" s="3" t="str">
        <f>HYPERLINK("https://www.boe.es/gazeta/dias/1822/04/23/pdfs/GMD-1822-115.pdf#page=1","Abrir facsímil")</f>
        <v>Abrir facsímil</v>
      </c>
      <c r="K5547" s="3" t="s">
        <v>22</v>
      </c>
    </row>
    <row r="5548" spans="1:11" ht="42" customHeight="1">
      <c r="A5548" s="2" t="s">
        <v>10877</v>
      </c>
      <c r="B5548" s="2" t="s">
        <v>10877</v>
      </c>
      <c r="C5548" s="2" t="s">
        <v>50</v>
      </c>
      <c r="D5548" s="2" t="s">
        <v>51</v>
      </c>
      <c r="E5548" s="5">
        <v>-28176</v>
      </c>
      <c r="F5548" s="3" t="s">
        <v>780</v>
      </c>
      <c r="G5548" s="3" t="s">
        <v>19</v>
      </c>
      <c r="H5548" s="2" t="s">
        <v>20</v>
      </c>
      <c r="I5548" s="2" t="s">
        <v>10878</v>
      </c>
      <c r="J5548" s="3" t="str">
        <f>HYPERLINK("https://www.boe.es/gazeta/dias/1822/11/08/pdfs/GMD-1822-328.pdf#page=5","Abrir facsímil")</f>
        <v>Abrir facsímil</v>
      </c>
      <c r="K5548" s="3" t="s">
        <v>22</v>
      </c>
    </row>
    <row r="5549" spans="1:11" ht="42" customHeight="1">
      <c r="A5549" s="2" t="s">
        <v>10879</v>
      </c>
      <c r="B5549" s="2" t="s">
        <v>10879</v>
      </c>
      <c r="C5549" s="2" t="s">
        <v>50</v>
      </c>
      <c r="D5549" s="2" t="s">
        <v>51</v>
      </c>
      <c r="E5549" s="5">
        <v>-28236</v>
      </c>
      <c r="F5549" s="3" t="s">
        <v>714</v>
      </c>
      <c r="G5549" s="3" t="s">
        <v>57</v>
      </c>
      <c r="H5549" s="2" t="s">
        <v>20</v>
      </c>
      <c r="I5549" s="2" t="s">
        <v>10880</v>
      </c>
      <c r="J5549" s="3" t="str">
        <f>HYPERLINK("https://www.boe.es/gazeta/dias/1822/09/09/pdfs/GMD-1822-265.pdf#page=4","Abrir facsímil")</f>
        <v>Abrir facsímil</v>
      </c>
      <c r="K5549" s="3" t="s">
        <v>22</v>
      </c>
    </row>
    <row r="5550" spans="1:11" ht="42" customHeight="1">
      <c r="A5550" s="2" t="s">
        <v>10881</v>
      </c>
      <c r="B5550" s="2" t="s">
        <v>10882</v>
      </c>
      <c r="C5550" s="2" t="s">
        <v>28</v>
      </c>
      <c r="D5550" s="2" t="s">
        <v>29</v>
      </c>
      <c r="E5550" s="5">
        <v>-28438</v>
      </c>
      <c r="F5550" s="3" t="s">
        <v>963</v>
      </c>
      <c r="G5550" s="3" t="s">
        <v>57</v>
      </c>
      <c r="H5550" s="2" t="s">
        <v>20</v>
      </c>
      <c r="I5550" s="2" t="s">
        <v>10883</v>
      </c>
      <c r="J5550" s="3" t="str">
        <f>HYPERLINK("https://www.boe.es/gazeta/dias/1822/02/19/pdfs/GMD-1822-51.pdf#page=4","Abrir facsímil")</f>
        <v>Abrir facsímil</v>
      </c>
      <c r="K5550" s="3" t="s">
        <v>22</v>
      </c>
    </row>
    <row r="5551" spans="1:11" ht="42" customHeight="1">
      <c r="A5551" s="2" t="s">
        <v>10884</v>
      </c>
      <c r="B5551" s="2" t="s">
        <v>10884</v>
      </c>
      <c r="C5551" s="2" t="s">
        <v>71</v>
      </c>
      <c r="D5551" s="2" t="s">
        <v>17</v>
      </c>
      <c r="E5551" s="5">
        <v>-28173</v>
      </c>
      <c r="F5551" s="3" t="s">
        <v>2959</v>
      </c>
      <c r="G5551" s="3" t="s">
        <v>57</v>
      </c>
      <c r="H5551" s="2" t="s">
        <v>20</v>
      </c>
      <c r="I5551" s="2" t="s">
        <v>10885</v>
      </c>
      <c r="J5551" s="3" t="str">
        <f>HYPERLINK("https://www.boe.es/gazeta/dias/1822/11/11/pdfs/GMD-1822-331.pdf#page=4","Abrir facsímil")</f>
        <v>Abrir facsímil</v>
      </c>
      <c r="K5551" s="3" t="s">
        <v>22</v>
      </c>
    </row>
    <row r="5552" spans="1:11" ht="42" customHeight="1">
      <c r="A5552" s="2" t="s">
        <v>10886</v>
      </c>
      <c r="B5552" s="2" t="s">
        <v>10886</v>
      </c>
      <c r="C5552" s="2" t="s">
        <v>50</v>
      </c>
      <c r="D5552" s="2" t="s">
        <v>51</v>
      </c>
      <c r="E5552" s="5">
        <v>-28289</v>
      </c>
      <c r="F5552" s="3" t="s">
        <v>390</v>
      </c>
      <c r="G5552" s="3" t="s">
        <v>35</v>
      </c>
      <c r="H5552" s="2" t="s">
        <v>20</v>
      </c>
      <c r="I5552" s="2" t="s">
        <v>10887</v>
      </c>
      <c r="J5552" s="3" t="str">
        <f>HYPERLINK("https://www.boe.es/gazeta/dias/1822/07/18/pdfs/GMD-1822-209.pdf#page=2","Abrir facsímil")</f>
        <v>Abrir facsímil</v>
      </c>
      <c r="K5552" s="3" t="s">
        <v>22</v>
      </c>
    </row>
    <row r="5553" spans="1:11" ht="42" customHeight="1">
      <c r="A5553" s="2" t="s">
        <v>10888</v>
      </c>
      <c r="B5553" s="2" t="s">
        <v>10888</v>
      </c>
      <c r="C5553" s="2" t="s">
        <v>28</v>
      </c>
      <c r="D5553" s="2" t="s">
        <v>29</v>
      </c>
      <c r="E5553" s="5">
        <v>-28334</v>
      </c>
      <c r="F5553" s="3" t="s">
        <v>532</v>
      </c>
      <c r="G5553" s="3" t="s">
        <v>44</v>
      </c>
      <c r="H5553" s="2" t="s">
        <v>20</v>
      </c>
      <c r="I5553" s="2" t="s">
        <v>10889</v>
      </c>
      <c r="J5553" s="3" t="str">
        <f>HYPERLINK("https://www.boe.es/gazeta/dias/1822/06/03/pdfs/GMD-1822-159.pdf#page=1","Abrir facsímil")</f>
        <v>Abrir facsímil</v>
      </c>
      <c r="K5553" s="3" t="s">
        <v>22</v>
      </c>
    </row>
    <row r="5554" spans="1:11" ht="42" customHeight="1">
      <c r="A5554" s="2" t="s">
        <v>10890</v>
      </c>
      <c r="B5554" s="2" t="s">
        <v>10891</v>
      </c>
      <c r="C5554" s="2" t="s">
        <v>28</v>
      </c>
      <c r="D5554" s="2" t="s">
        <v>29</v>
      </c>
      <c r="E5554" s="5">
        <v>-28446</v>
      </c>
      <c r="F5554" s="3" t="s">
        <v>773</v>
      </c>
      <c r="G5554" s="3" t="s">
        <v>63</v>
      </c>
      <c r="H5554" s="2" t="s">
        <v>20</v>
      </c>
      <c r="I5554" s="2" t="s">
        <v>10892</v>
      </c>
      <c r="J5554" s="3" t="str">
        <f>HYPERLINK("https://www.boe.es/gazeta/dias/1822/02/11/pdfs/GMD-1822-42.pdf#page=6","Abrir facsímil")</f>
        <v>Abrir facsímil</v>
      </c>
      <c r="K5554" s="3" t="s">
        <v>22</v>
      </c>
    </row>
    <row r="5555" spans="1:11" ht="42" customHeight="1">
      <c r="A5555" s="2" t="s">
        <v>10893</v>
      </c>
      <c r="B5555" s="2" t="s">
        <v>10893</v>
      </c>
      <c r="C5555" s="2" t="s">
        <v>42</v>
      </c>
      <c r="D5555" s="2" t="s">
        <v>17</v>
      </c>
      <c r="E5555" s="5">
        <v>-28347</v>
      </c>
      <c r="F5555" s="3" t="s">
        <v>520</v>
      </c>
      <c r="G5555" s="3" t="s">
        <v>35</v>
      </c>
      <c r="H5555" s="2" t="s">
        <v>20</v>
      </c>
      <c r="I5555" s="2" t="s">
        <v>10894</v>
      </c>
      <c r="J5555" s="3" t="str">
        <f>HYPERLINK("https://www.boe.es/gazeta/dias/1822/05/21/pdfs/GMD-1822-144.pdf#page=2","Abrir facsímil")</f>
        <v>Abrir facsímil</v>
      </c>
      <c r="K5555" s="3" t="s">
        <v>22</v>
      </c>
    </row>
    <row r="5556" spans="1:11" ht="42" customHeight="1">
      <c r="A5556" s="2" t="s">
        <v>10895</v>
      </c>
      <c r="B5556" s="2" t="s">
        <v>10895</v>
      </c>
      <c r="C5556" s="2" t="s">
        <v>42</v>
      </c>
      <c r="D5556" s="2" t="s">
        <v>17</v>
      </c>
      <c r="E5556" s="5">
        <v>-28421</v>
      </c>
      <c r="F5556" s="3" t="s">
        <v>446</v>
      </c>
      <c r="G5556" s="3" t="s">
        <v>31</v>
      </c>
      <c r="H5556" s="2" t="s">
        <v>20</v>
      </c>
      <c r="I5556" s="2" t="s">
        <v>10896</v>
      </c>
      <c r="J5556" s="3" t="str">
        <f>HYPERLINK("https://www.boe.es/gazeta/dias/1822/03/08/pdfs/GMD-1822-69.pdf#page=3","Abrir facsímil")</f>
        <v>Abrir facsímil</v>
      </c>
      <c r="K5556" s="3" t="s">
        <v>22</v>
      </c>
    </row>
    <row r="5557" spans="1:11" ht="42" customHeight="1">
      <c r="A5557" s="2" t="s">
        <v>10897</v>
      </c>
      <c r="B5557" s="2" t="s">
        <v>10898</v>
      </c>
      <c r="C5557" s="2" t="s">
        <v>50</v>
      </c>
      <c r="D5557" s="2" t="s">
        <v>51</v>
      </c>
      <c r="E5557" s="5">
        <v>-28208</v>
      </c>
      <c r="F5557" s="3" t="s">
        <v>230</v>
      </c>
      <c r="G5557" s="3" t="s">
        <v>57</v>
      </c>
      <c r="H5557" s="2" t="s">
        <v>20</v>
      </c>
      <c r="I5557" s="2" t="s">
        <v>10899</v>
      </c>
      <c r="J5557" s="3" t="str">
        <f>HYPERLINK("https://www.boe.es/gazeta/dias/1822/10/07/pdfs/GMD-1822-293.pdf#page=4","Abrir facsímil")</f>
        <v>Abrir facsímil</v>
      </c>
      <c r="K5557" s="3" t="s">
        <v>22</v>
      </c>
    </row>
    <row r="5558" spans="1:11" ht="42" customHeight="1">
      <c r="A5558" s="2" t="s">
        <v>10900</v>
      </c>
      <c r="B5558" s="2" t="s">
        <v>10900</v>
      </c>
      <c r="C5558" s="2" t="s">
        <v>50</v>
      </c>
      <c r="D5558" s="2" t="s">
        <v>51</v>
      </c>
      <c r="E5558" s="5">
        <v>-28274</v>
      </c>
      <c r="F5558" s="3" t="s">
        <v>3371</v>
      </c>
      <c r="G5558" s="3" t="s">
        <v>35</v>
      </c>
      <c r="H5558" s="2" t="s">
        <v>20</v>
      </c>
      <c r="I5558" s="2" t="s">
        <v>10901</v>
      </c>
      <c r="J5558" s="3" t="str">
        <f>HYPERLINK("https://www.boe.es/gazeta/dias/1822/08/02/pdfs/GMD-1822-226.pdf#page=2","Abrir facsímil")</f>
        <v>Abrir facsímil</v>
      </c>
      <c r="K5558" s="3" t="s">
        <v>22</v>
      </c>
    </row>
    <row r="5559" spans="1:11" ht="42" customHeight="1">
      <c r="A5559" s="2" t="s">
        <v>10902</v>
      </c>
      <c r="B5559" s="2" t="s">
        <v>10902</v>
      </c>
      <c r="C5559" s="2" t="s">
        <v>42</v>
      </c>
      <c r="D5559" s="2" t="s">
        <v>17</v>
      </c>
      <c r="E5559" s="5">
        <v>-28295</v>
      </c>
      <c r="F5559" s="3" t="s">
        <v>81</v>
      </c>
      <c r="G5559" s="3" t="s">
        <v>57</v>
      </c>
      <c r="H5559" s="2" t="s">
        <v>20</v>
      </c>
      <c r="I5559" s="2" t="s">
        <v>10903</v>
      </c>
      <c r="J5559" s="3" t="str">
        <f>HYPERLINK("https://www.boe.es/gazeta/dias/1822/07/12/pdfs/GMD-1822-202.pdf#page=4","Abrir facsímil")</f>
        <v>Abrir facsímil</v>
      </c>
      <c r="K5559" s="3" t="s">
        <v>22</v>
      </c>
    </row>
    <row r="5560" spans="1:11" ht="42" customHeight="1">
      <c r="A5560" s="2" t="s">
        <v>10904</v>
      </c>
      <c r="B5560" s="2" t="s">
        <v>10904</v>
      </c>
      <c r="C5560" s="2" t="s">
        <v>42</v>
      </c>
      <c r="D5560" s="2" t="s">
        <v>17</v>
      </c>
      <c r="E5560" s="5">
        <v>-28384</v>
      </c>
      <c r="F5560" s="3" t="s">
        <v>258</v>
      </c>
      <c r="G5560" s="3" t="s">
        <v>63</v>
      </c>
      <c r="H5560" s="2" t="s">
        <v>20</v>
      </c>
      <c r="I5560" s="2" t="s">
        <v>10905</v>
      </c>
      <c r="J5560" s="3" t="str">
        <f>HYPERLINK("https://www.boe.es/gazeta/dias/1822/04/14/pdfs/GMD-1822-106.pdf#page=6","Abrir facsímil")</f>
        <v>Abrir facsímil</v>
      </c>
      <c r="K5560" s="3" t="s">
        <v>22</v>
      </c>
    </row>
    <row r="5561" spans="1:11" ht="42" customHeight="1">
      <c r="A5561" s="2" t="s">
        <v>10906</v>
      </c>
      <c r="B5561" s="2" t="s">
        <v>10907</v>
      </c>
      <c r="C5561" s="2" t="s">
        <v>50</v>
      </c>
      <c r="D5561" s="2" t="s">
        <v>51</v>
      </c>
      <c r="E5561" s="5">
        <v>-28473</v>
      </c>
      <c r="F5561" s="3" t="s">
        <v>2337</v>
      </c>
      <c r="G5561" s="3" t="s">
        <v>63</v>
      </c>
      <c r="H5561" s="2" t="s">
        <v>20</v>
      </c>
      <c r="I5561" s="2" t="s">
        <v>10908</v>
      </c>
      <c r="J5561" s="3" t="str">
        <f>HYPERLINK("https://www.boe.es/gazeta/dias/1822/01/15/pdfs/GMD-1822-15.pdf#page=6","Abrir facsímil")</f>
        <v>Abrir facsímil</v>
      </c>
      <c r="K5561" s="3" t="s">
        <v>22</v>
      </c>
    </row>
    <row r="5562" spans="1:11" ht="42" customHeight="1">
      <c r="A5562" s="2" t="s">
        <v>10909</v>
      </c>
      <c r="B5562" s="2" t="s">
        <v>10910</v>
      </c>
      <c r="C5562" s="2" t="s">
        <v>50</v>
      </c>
      <c r="D5562" s="2" t="s">
        <v>51</v>
      </c>
      <c r="E5562" s="5">
        <v>-28167</v>
      </c>
      <c r="F5562" s="3" t="s">
        <v>904</v>
      </c>
      <c r="G5562" s="3" t="s">
        <v>57</v>
      </c>
      <c r="H5562" s="2" t="s">
        <v>20</v>
      </c>
      <c r="I5562" s="2" t="s">
        <v>10911</v>
      </c>
      <c r="J5562" s="3" t="str">
        <f>HYPERLINK("https://www.boe.es/gazeta/dias/1822/11/17/pdfs/GMD-1822-337.pdf#page=4","Abrir facsímil")</f>
        <v>Abrir facsímil</v>
      </c>
      <c r="K5562" s="3" t="s">
        <v>22</v>
      </c>
    </row>
    <row r="5563" spans="1:11" ht="42" customHeight="1">
      <c r="A5563" s="2" t="s">
        <v>10912</v>
      </c>
      <c r="B5563" s="2" t="s">
        <v>10912</v>
      </c>
      <c r="C5563" s="2" t="s">
        <v>61</v>
      </c>
      <c r="D5563" s="2" t="s">
        <v>17</v>
      </c>
      <c r="E5563" s="5">
        <v>-28252</v>
      </c>
      <c r="F5563" s="3" t="s">
        <v>4333</v>
      </c>
      <c r="G5563" s="3" t="s">
        <v>57</v>
      </c>
      <c r="H5563" s="2" t="s">
        <v>20</v>
      </c>
      <c r="I5563" s="2" t="s">
        <v>10913</v>
      </c>
      <c r="J5563" s="3" t="str">
        <f>HYPERLINK("https://www.boe.es/gazeta/dias/1822/08/24/pdfs/GMD-1822-248.pdf#page=4","Abrir facsímil")</f>
        <v>Abrir facsímil</v>
      </c>
      <c r="K5563" s="3" t="s">
        <v>22</v>
      </c>
    </row>
    <row r="5564" spans="1:11" ht="42" customHeight="1">
      <c r="A5564" s="2" t="s">
        <v>10914</v>
      </c>
      <c r="B5564" s="2" t="s">
        <v>10914</v>
      </c>
      <c r="C5564" s="2" t="s">
        <v>42</v>
      </c>
      <c r="D5564" s="2" t="s">
        <v>17</v>
      </c>
      <c r="E5564" s="5">
        <v>-28479</v>
      </c>
      <c r="F5564" s="3" t="s">
        <v>1091</v>
      </c>
      <c r="G5564" s="3" t="s">
        <v>57</v>
      </c>
      <c r="H5564" s="2" t="s">
        <v>20</v>
      </c>
      <c r="I5564" s="2" t="s">
        <v>10915</v>
      </c>
      <c r="J5564" s="3" t="str">
        <f>HYPERLINK("https://www.boe.es/gazeta/dias/1822/01/09/pdfs/GMD-1822-9.pdf#page=4","Abrir facsímil")</f>
        <v>Abrir facsímil</v>
      </c>
      <c r="K5564" s="3" t="s">
        <v>22</v>
      </c>
    </row>
    <row r="5565" spans="1:11" ht="42" customHeight="1">
      <c r="A5565" s="2" t="s">
        <v>10916</v>
      </c>
      <c r="B5565" s="2" t="s">
        <v>10916</v>
      </c>
      <c r="C5565" s="2" t="s">
        <v>42</v>
      </c>
      <c r="D5565" s="2" t="s">
        <v>17</v>
      </c>
      <c r="E5565" s="5">
        <v>-28300</v>
      </c>
      <c r="F5565" s="3" t="s">
        <v>6533</v>
      </c>
      <c r="G5565" s="3" t="s">
        <v>44</v>
      </c>
      <c r="H5565" s="2" t="s">
        <v>20</v>
      </c>
      <c r="I5565" s="2" t="s">
        <v>10917</v>
      </c>
      <c r="J5565" s="3" t="str">
        <f>HYPERLINK("https://www.boe.es/gazeta/dias/1822/07/07/pdfs/GMD-1822-196.pdf#page=1","Abrir facsímil")</f>
        <v>Abrir facsímil</v>
      </c>
      <c r="K5565" s="3" t="s">
        <v>22</v>
      </c>
    </row>
    <row r="5566" spans="1:11" ht="42" customHeight="1">
      <c r="A5566" s="2" t="s">
        <v>10918</v>
      </c>
      <c r="B5566" s="2" t="s">
        <v>10918</v>
      </c>
      <c r="C5566" s="2" t="s">
        <v>71</v>
      </c>
      <c r="D5566" s="2" t="s">
        <v>17</v>
      </c>
      <c r="E5566" s="5">
        <v>-28327</v>
      </c>
      <c r="F5566" s="3" t="s">
        <v>38</v>
      </c>
      <c r="G5566" s="3" t="s">
        <v>19</v>
      </c>
      <c r="H5566" s="2" t="s">
        <v>20</v>
      </c>
      <c r="I5566" s="2" t="s">
        <v>10919</v>
      </c>
      <c r="J5566" s="3" t="str">
        <f>HYPERLINK("https://www.boe.es/gazeta/dias/1822/06/10/pdfs/GMD-1822-167.pdf#page=5","Abrir facsímil")</f>
        <v>Abrir facsímil</v>
      </c>
      <c r="K5566" s="3" t="s">
        <v>22</v>
      </c>
    </row>
    <row r="5567" spans="1:11" ht="42" customHeight="1">
      <c r="A5567" s="2" t="s">
        <v>10920</v>
      </c>
      <c r="B5567" s="2" t="s">
        <v>10921</v>
      </c>
      <c r="C5567" s="2" t="s">
        <v>42</v>
      </c>
      <c r="D5567" s="2" t="s">
        <v>17</v>
      </c>
      <c r="E5567" s="5">
        <v>-28213</v>
      </c>
      <c r="F5567" s="3" t="s">
        <v>558</v>
      </c>
      <c r="G5567" s="3" t="s">
        <v>57</v>
      </c>
      <c r="H5567" s="2" t="s">
        <v>20</v>
      </c>
      <c r="I5567" s="2" t="s">
        <v>10922</v>
      </c>
      <c r="J5567" s="3" t="str">
        <f>HYPERLINK("https://www.boe.es/gazeta/dias/1822/10/02/pdfs/GMD-1822-288.pdf#page=4","Abrir facsímil")</f>
        <v>Abrir facsímil</v>
      </c>
      <c r="K5567" s="3" t="s">
        <v>22</v>
      </c>
    </row>
    <row r="5568" spans="1:11" ht="42" customHeight="1">
      <c r="A5568" s="2" t="s">
        <v>10923</v>
      </c>
      <c r="B5568" s="2" t="s">
        <v>10924</v>
      </c>
      <c r="C5568" s="2" t="s">
        <v>42</v>
      </c>
      <c r="D5568" s="2" t="s">
        <v>17</v>
      </c>
      <c r="E5568" s="5">
        <v>-28463</v>
      </c>
      <c r="F5568" s="3" t="s">
        <v>25</v>
      </c>
      <c r="G5568" s="3" t="s">
        <v>63</v>
      </c>
      <c r="H5568" s="2" t="s">
        <v>20</v>
      </c>
      <c r="I5568" s="2" t="s">
        <v>10925</v>
      </c>
      <c r="J5568" s="3" t="str">
        <f>HYPERLINK("https://www.boe.es/gazeta/dias/1822/01/25/pdfs/GMD-1822-25.pdf#page=6","Abrir facsímil")</f>
        <v>Abrir facsímil</v>
      </c>
      <c r="K5568" s="3" t="s">
        <v>22</v>
      </c>
    </row>
    <row r="5569" spans="1:11" ht="42" customHeight="1">
      <c r="A5569" s="2" t="s">
        <v>10926</v>
      </c>
      <c r="B5569" s="2" t="s">
        <v>10927</v>
      </c>
      <c r="C5569" s="2" t="s">
        <v>42</v>
      </c>
      <c r="D5569" s="2" t="s">
        <v>17</v>
      </c>
      <c r="E5569" s="5">
        <v>-28391</v>
      </c>
      <c r="F5569" s="3" t="s">
        <v>378</v>
      </c>
      <c r="G5569" s="3" t="s">
        <v>63</v>
      </c>
      <c r="H5569" s="2" t="s">
        <v>20</v>
      </c>
      <c r="I5569" s="2" t="s">
        <v>10928</v>
      </c>
      <c r="J5569" s="3" t="str">
        <f>HYPERLINK("https://www.boe.es/gazeta/dias/1822/04/07/pdfs/GMD-1822-99.pdf#page=6","Abrir facsímil")</f>
        <v>Abrir facsímil</v>
      </c>
      <c r="K5569" s="3" t="s">
        <v>22</v>
      </c>
    </row>
    <row r="5570" spans="1:11" ht="42" customHeight="1">
      <c r="A5570" s="2" t="s">
        <v>10929</v>
      </c>
      <c r="B5570" s="2" t="s">
        <v>10930</v>
      </c>
      <c r="C5570" s="2" t="s">
        <v>28</v>
      </c>
      <c r="D5570" s="2" t="s">
        <v>29</v>
      </c>
      <c r="E5570" s="5">
        <v>-28330</v>
      </c>
      <c r="F5570" s="3" t="s">
        <v>896</v>
      </c>
      <c r="G5570" s="3" t="s">
        <v>57</v>
      </c>
      <c r="H5570" s="2" t="s">
        <v>20</v>
      </c>
      <c r="I5570" s="2" t="s">
        <v>10931</v>
      </c>
      <c r="J5570" s="3" t="str">
        <f>HYPERLINK("https://www.boe.es/gazeta/dias/1822/06/07/pdfs/GMD-1822-164.pdf#page=4","Abrir facsímil")</f>
        <v>Abrir facsímil</v>
      </c>
      <c r="K5570" s="3" t="s">
        <v>22</v>
      </c>
    </row>
    <row r="5571" spans="1:11" ht="42" customHeight="1">
      <c r="A5571" s="2" t="s">
        <v>10932</v>
      </c>
      <c r="B5571" s="2" t="s">
        <v>10932</v>
      </c>
      <c r="C5571" s="2" t="s">
        <v>42</v>
      </c>
      <c r="D5571" s="2" t="s">
        <v>17</v>
      </c>
      <c r="E5571" s="5">
        <v>-28356</v>
      </c>
      <c r="F5571" s="3" t="s">
        <v>4170</v>
      </c>
      <c r="G5571" s="3" t="s">
        <v>31</v>
      </c>
      <c r="H5571" s="2" t="s">
        <v>20</v>
      </c>
      <c r="I5571" s="2" t="s">
        <v>10933</v>
      </c>
      <c r="J5571" s="3" t="str">
        <f>HYPERLINK("https://www.boe.es/gazeta/dias/1822/05/12/pdfs/GMD-1822-134.pdf#page=3","Abrir facsímil")</f>
        <v>Abrir facsímil</v>
      </c>
      <c r="K5571" s="3" t="s">
        <v>22</v>
      </c>
    </row>
    <row r="5572" spans="1:11" ht="42" customHeight="1">
      <c r="A5572" s="2" t="s">
        <v>10934</v>
      </c>
      <c r="B5572" s="2" t="s">
        <v>10935</v>
      </c>
      <c r="C5572" s="2" t="s">
        <v>50</v>
      </c>
      <c r="D5572" s="2" t="s">
        <v>51</v>
      </c>
      <c r="E5572" s="5">
        <v>-28290</v>
      </c>
      <c r="F5572" s="3" t="s">
        <v>706</v>
      </c>
      <c r="G5572" s="3" t="s">
        <v>57</v>
      </c>
      <c r="H5572" s="2" t="s">
        <v>20</v>
      </c>
      <c r="I5572" s="2" t="s">
        <v>10936</v>
      </c>
      <c r="J5572" s="3" t="str">
        <f>HYPERLINK("https://www.boe.es/gazeta/dias/1822/07/17/pdfs/GMD-1822-207.pdf#page=4","Abrir facsímil")</f>
        <v>Abrir facsímil</v>
      </c>
      <c r="K5572" s="3" t="s">
        <v>22</v>
      </c>
    </row>
    <row r="5573" spans="1:11" ht="42" customHeight="1">
      <c r="A5573" s="2" t="s">
        <v>10937</v>
      </c>
      <c r="B5573" s="2" t="s">
        <v>10938</v>
      </c>
      <c r="C5573" s="2" t="s">
        <v>16</v>
      </c>
      <c r="D5573" s="2" t="s">
        <v>17</v>
      </c>
      <c r="E5573" s="5">
        <v>-28427</v>
      </c>
      <c r="F5573" s="3" t="s">
        <v>755</v>
      </c>
      <c r="G5573" s="3" t="s">
        <v>57</v>
      </c>
      <c r="H5573" s="2" t="s">
        <v>20</v>
      </c>
      <c r="I5573" s="2" t="s">
        <v>10939</v>
      </c>
      <c r="J5573" s="3" t="str">
        <f>HYPERLINK("https://www.boe.es/gazeta/dias/1822/03/02/pdfs/GMD-1822-63.pdf#page=4","Abrir facsímil")</f>
        <v>Abrir facsímil</v>
      </c>
      <c r="K5573" s="3" t="s">
        <v>22</v>
      </c>
    </row>
    <row r="5574" spans="1:11" ht="42" customHeight="1">
      <c r="A5574" s="2" t="s">
        <v>10937</v>
      </c>
      <c r="B5574" s="2" t="s">
        <v>10938</v>
      </c>
      <c r="C5574" s="2" t="s">
        <v>71</v>
      </c>
      <c r="D5574" s="2" t="s">
        <v>17</v>
      </c>
      <c r="E5574" s="5">
        <v>-28297</v>
      </c>
      <c r="F5574" s="3" t="s">
        <v>1972</v>
      </c>
      <c r="G5574" s="3" t="s">
        <v>57</v>
      </c>
      <c r="H5574" s="2" t="s">
        <v>20</v>
      </c>
      <c r="I5574" s="2" t="s">
        <v>10940</v>
      </c>
      <c r="J5574" s="3" t="str">
        <f>HYPERLINK("https://www.boe.es/gazeta/dias/1822/07/10/pdfs/GMD-1822-200.pdf#page=4","Abrir facsímil")</f>
        <v>Abrir facsímil</v>
      </c>
      <c r="K5574" s="3" t="s">
        <v>22</v>
      </c>
    </row>
    <row r="5575" spans="1:11" ht="42" customHeight="1">
      <c r="A5575" s="2" t="s">
        <v>10941</v>
      </c>
      <c r="B5575" s="2" t="s">
        <v>10942</v>
      </c>
      <c r="C5575" s="2" t="s">
        <v>50</v>
      </c>
      <c r="D5575" s="2" t="s">
        <v>51</v>
      </c>
      <c r="E5575" s="5">
        <v>-28240</v>
      </c>
      <c r="F5575" s="3" t="s">
        <v>678</v>
      </c>
      <c r="G5575" s="3" t="s">
        <v>57</v>
      </c>
      <c r="H5575" s="2" t="s">
        <v>20</v>
      </c>
      <c r="I5575" s="2" t="s">
        <v>10943</v>
      </c>
      <c r="J5575" s="3" t="str">
        <f>HYPERLINK("https://www.boe.es/gazeta/dias/1822/09/05/pdfs/GMD-1822-260.pdf#page=4","Abrir facsímil")</f>
        <v>Abrir facsímil</v>
      </c>
      <c r="K5575" s="3" t="s">
        <v>22</v>
      </c>
    </row>
    <row r="5576" spans="1:11" ht="42" customHeight="1">
      <c r="A5576" s="2" t="s">
        <v>10941</v>
      </c>
      <c r="B5576" s="2" t="s">
        <v>10942</v>
      </c>
      <c r="C5576" s="2" t="s">
        <v>50</v>
      </c>
      <c r="D5576" s="2" t="s">
        <v>51</v>
      </c>
      <c r="E5576" s="5">
        <v>-28221</v>
      </c>
      <c r="F5576" s="3" t="s">
        <v>2591</v>
      </c>
      <c r="G5576" s="3" t="s">
        <v>57</v>
      </c>
      <c r="H5576" s="2" t="s">
        <v>20</v>
      </c>
      <c r="I5576" s="2" t="s">
        <v>10944</v>
      </c>
      <c r="J5576" s="3" t="str">
        <f>HYPERLINK("https://www.boe.es/gazeta/dias/1822/09/24/pdfs/GMD-1822-280.pdf#page=4","Abrir facsímil")</f>
        <v>Abrir facsímil</v>
      </c>
      <c r="K5576" s="3" t="s">
        <v>22</v>
      </c>
    </row>
    <row r="5577" spans="1:11" ht="42" customHeight="1">
      <c r="A5577" s="2" t="s">
        <v>10941</v>
      </c>
      <c r="B5577" s="2" t="s">
        <v>10942</v>
      </c>
      <c r="C5577" s="2" t="s">
        <v>42</v>
      </c>
      <c r="D5577" s="2" t="s">
        <v>17</v>
      </c>
      <c r="E5577" s="5">
        <v>-28195</v>
      </c>
      <c r="F5577" s="3" t="s">
        <v>770</v>
      </c>
      <c r="G5577" s="3" t="s">
        <v>63</v>
      </c>
      <c r="H5577" s="2" t="s">
        <v>20</v>
      </c>
      <c r="I5577" s="2" t="s">
        <v>10945</v>
      </c>
      <c r="J5577" s="3" t="str">
        <f>HYPERLINK("https://www.boe.es/gazeta/dias/1822/10/20/pdfs/GMD-1822-307.pdf#page=6","Abrir facsímil")</f>
        <v>Abrir facsímil</v>
      </c>
      <c r="K5577" s="3" t="s">
        <v>22</v>
      </c>
    </row>
    <row r="5578" spans="1:11" ht="42" customHeight="1">
      <c r="A5578" s="2" t="s">
        <v>10946</v>
      </c>
      <c r="B5578" s="2" t="s">
        <v>10947</v>
      </c>
      <c r="C5578" s="2" t="s">
        <v>42</v>
      </c>
      <c r="D5578" s="2" t="s">
        <v>17</v>
      </c>
      <c r="E5578" s="5">
        <v>-28368</v>
      </c>
      <c r="F5578" s="3" t="s">
        <v>126</v>
      </c>
      <c r="G5578" s="3" t="s">
        <v>44</v>
      </c>
      <c r="H5578" s="2" t="s">
        <v>20</v>
      </c>
      <c r="I5578" s="2" t="s">
        <v>10948</v>
      </c>
      <c r="J5578" s="3" t="str">
        <f>HYPERLINK("https://www.boe.es/gazeta/dias/1822/04/30/pdfs/GMD-1822-122.pdf#page=1","Abrir facsímil")</f>
        <v>Abrir facsímil</v>
      </c>
      <c r="K5578" s="3" t="s">
        <v>22</v>
      </c>
    </row>
    <row r="5579" spans="1:11" ht="42" customHeight="1">
      <c r="A5579" s="2" t="s">
        <v>10949</v>
      </c>
      <c r="B5579" s="2" t="s">
        <v>10950</v>
      </c>
      <c r="C5579" s="2" t="s">
        <v>50</v>
      </c>
      <c r="D5579" s="2" t="s">
        <v>51</v>
      </c>
      <c r="E5579" s="5">
        <v>-28208</v>
      </c>
      <c r="F5579" s="3" t="s">
        <v>230</v>
      </c>
      <c r="G5579" s="3" t="s">
        <v>31</v>
      </c>
      <c r="H5579" s="2" t="s">
        <v>20</v>
      </c>
      <c r="I5579" s="2" t="s">
        <v>10951</v>
      </c>
      <c r="J5579" s="3" t="str">
        <f>HYPERLINK("https://www.boe.es/gazeta/dias/1822/10/07/pdfs/GMD-1822-293.pdf#page=3","Abrir facsímil")</f>
        <v>Abrir facsímil</v>
      </c>
      <c r="K5579" s="3" t="s">
        <v>22</v>
      </c>
    </row>
    <row r="5580" spans="1:11" ht="42" customHeight="1">
      <c r="A5580" s="2" t="s">
        <v>10952</v>
      </c>
      <c r="B5580" s="2" t="s">
        <v>10953</v>
      </c>
      <c r="C5580" s="2" t="s">
        <v>16</v>
      </c>
      <c r="D5580" s="2" t="s">
        <v>17</v>
      </c>
      <c r="E5580" s="5">
        <v>-28383</v>
      </c>
      <c r="F5580" s="3" t="s">
        <v>488</v>
      </c>
      <c r="G5580" s="3" t="s">
        <v>63</v>
      </c>
      <c r="H5580" s="2" t="s">
        <v>45</v>
      </c>
      <c r="I5580" s="2" t="s">
        <v>10954</v>
      </c>
      <c r="J5580" s="3" t="str">
        <f>HYPERLINK("https://www.boe.es/gazeta/dias/1822/04/15/pdfs/GMD-1822-107.pdf#page=6","Abrir facsímil")</f>
        <v>Abrir facsímil</v>
      </c>
      <c r="K5580" s="3" t="s">
        <v>47</v>
      </c>
    </row>
    <row r="5581" spans="1:11" ht="42" customHeight="1">
      <c r="A5581" s="2" t="s">
        <v>10955</v>
      </c>
      <c r="B5581" s="2" t="s">
        <v>10956</v>
      </c>
      <c r="C5581" s="2" t="s">
        <v>28</v>
      </c>
      <c r="D5581" s="2" t="s">
        <v>29</v>
      </c>
      <c r="E5581" s="5">
        <v>-28230</v>
      </c>
      <c r="F5581" s="3" t="s">
        <v>1735</v>
      </c>
      <c r="G5581" s="3" t="s">
        <v>57</v>
      </c>
      <c r="H5581" s="2" t="s">
        <v>20</v>
      </c>
      <c r="I5581" s="2" t="s">
        <v>10957</v>
      </c>
      <c r="J5581" s="3" t="str">
        <f>HYPERLINK("https://www.boe.es/gazeta/dias/1822/09/15/pdfs/GMD-1822-271.pdf#page=4","Abrir facsímil")</f>
        <v>Abrir facsímil</v>
      </c>
      <c r="K5581" s="3" t="s">
        <v>22</v>
      </c>
    </row>
    <row r="5582" spans="1:11" ht="42" customHeight="1">
      <c r="A5582" s="2" t="s">
        <v>10958</v>
      </c>
      <c r="B5582" s="2" t="s">
        <v>10959</v>
      </c>
      <c r="C5582" s="2" t="s">
        <v>50</v>
      </c>
      <c r="D5582" s="2" t="s">
        <v>51</v>
      </c>
      <c r="E5582" s="5">
        <v>-28262</v>
      </c>
      <c r="F5582" s="3" t="s">
        <v>1771</v>
      </c>
      <c r="G5582" s="3" t="s">
        <v>57</v>
      </c>
      <c r="H5582" s="2" t="s">
        <v>20</v>
      </c>
      <c r="I5582" s="2" t="s">
        <v>10960</v>
      </c>
      <c r="J5582" s="3" t="str">
        <f>HYPERLINK("https://www.boe.es/gazeta/dias/1822/08/14/pdfs/GMD-1822-238.pdf#page=4","Abrir facsímil")</f>
        <v>Abrir facsímil</v>
      </c>
      <c r="K5582" s="3" t="s">
        <v>22</v>
      </c>
    </row>
    <row r="5583" spans="1:11" ht="42" customHeight="1">
      <c r="A5583" s="2" t="s">
        <v>10961</v>
      </c>
      <c r="B5583" s="2" t="s">
        <v>10962</v>
      </c>
      <c r="C5583" s="2" t="s">
        <v>50</v>
      </c>
      <c r="D5583" s="2" t="s">
        <v>51</v>
      </c>
      <c r="E5583" s="5">
        <v>-28202</v>
      </c>
      <c r="F5583" s="3" t="s">
        <v>922</v>
      </c>
      <c r="G5583" s="3" t="s">
        <v>63</v>
      </c>
      <c r="H5583" s="2" t="s">
        <v>20</v>
      </c>
      <c r="I5583" s="2" t="s">
        <v>10963</v>
      </c>
      <c r="J5583" s="3" t="str">
        <f>HYPERLINK("https://www.boe.es/gazeta/dias/1822/10/13/pdfs/GMD-1822-300.pdf#page=6","Abrir facsímil")</f>
        <v>Abrir facsímil</v>
      </c>
      <c r="K5583" s="3" t="s">
        <v>22</v>
      </c>
    </row>
    <row r="5584" spans="1:11" ht="42" customHeight="1">
      <c r="A5584" s="2" t="s">
        <v>10964</v>
      </c>
      <c r="B5584" s="2" t="s">
        <v>10965</v>
      </c>
      <c r="C5584" s="2" t="s">
        <v>50</v>
      </c>
      <c r="D5584" s="2" t="s">
        <v>51</v>
      </c>
      <c r="E5584" s="5">
        <v>-28311</v>
      </c>
      <c r="F5584" s="3" t="s">
        <v>736</v>
      </c>
      <c r="G5584" s="3" t="s">
        <v>157</v>
      </c>
      <c r="H5584" s="2" t="s">
        <v>20</v>
      </c>
      <c r="I5584" s="2" t="s">
        <v>10966</v>
      </c>
      <c r="J5584" s="3" t="str">
        <f>HYPERLINK("https://www.boe.es/gazeta/dias/1822/06/26/pdfs/GMD-1822-184.pdf#page=8","Abrir facsímil")</f>
        <v>Abrir facsímil</v>
      </c>
      <c r="K5584" s="3" t="s">
        <v>22</v>
      </c>
    </row>
    <row r="5585" spans="1:11" ht="42" customHeight="1">
      <c r="A5585" s="2" t="s">
        <v>10967</v>
      </c>
      <c r="B5585" s="2" t="s">
        <v>10968</v>
      </c>
      <c r="C5585" s="2" t="s">
        <v>50</v>
      </c>
      <c r="D5585" s="2" t="s">
        <v>51</v>
      </c>
      <c r="E5585" s="5">
        <v>-28142</v>
      </c>
      <c r="F5585" s="3" t="s">
        <v>290</v>
      </c>
      <c r="G5585" s="3" t="s">
        <v>57</v>
      </c>
      <c r="H5585" s="2" t="s">
        <v>20</v>
      </c>
      <c r="I5585" s="2" t="s">
        <v>10969</v>
      </c>
      <c r="J5585" s="3" t="str">
        <f>HYPERLINK("https://www.boe.es/gazeta/dias/1822/12/12/pdfs/GMD-1822-362.pdf#page=4","Abrir facsímil")</f>
        <v>Abrir facsímil</v>
      </c>
      <c r="K5585" s="3" t="s">
        <v>22</v>
      </c>
    </row>
    <row r="5586" spans="1:11" ht="42" customHeight="1">
      <c r="A5586" s="2" t="s">
        <v>10970</v>
      </c>
      <c r="B5586" s="2" t="s">
        <v>10971</v>
      </c>
      <c r="C5586" s="2" t="s">
        <v>50</v>
      </c>
      <c r="D5586" s="2" t="s">
        <v>51</v>
      </c>
      <c r="E5586" s="5">
        <v>-28318</v>
      </c>
      <c r="F5586" s="3" t="s">
        <v>397</v>
      </c>
      <c r="G5586" s="3" t="s">
        <v>167</v>
      </c>
      <c r="H5586" s="2" t="s">
        <v>45</v>
      </c>
      <c r="I5586" s="2" t="s">
        <v>10972</v>
      </c>
      <c r="J5586" s="3" t="str">
        <f>HYPERLINK("https://www.boe.es/gazeta/dias/1822/06/19/pdfs/GMD-1822-176.pdf#page=7","Abrir facsímil")</f>
        <v>Abrir facsímil</v>
      </c>
      <c r="K5586" s="3" t="s">
        <v>47</v>
      </c>
    </row>
    <row r="5587" spans="1:11" ht="42" customHeight="1">
      <c r="A5587" s="2" t="s">
        <v>10973</v>
      </c>
      <c r="B5587" s="2" t="s">
        <v>10974</v>
      </c>
      <c r="C5587" s="2" t="s">
        <v>16</v>
      </c>
      <c r="D5587" s="2" t="s">
        <v>17</v>
      </c>
      <c r="E5587" s="5">
        <v>-28357</v>
      </c>
      <c r="F5587" s="3" t="s">
        <v>690</v>
      </c>
      <c r="G5587" s="3" t="s">
        <v>31</v>
      </c>
      <c r="H5587" s="2" t="s">
        <v>20</v>
      </c>
      <c r="I5587" s="2" t="s">
        <v>10975</v>
      </c>
      <c r="J5587" s="3" t="str">
        <f>HYPERLINK("https://www.boe.es/gazeta/dias/1822/05/11/pdfs/GMD-1822-133.pdf#page=3","Abrir facsímil")</f>
        <v>Abrir facsímil</v>
      </c>
      <c r="K5587" s="3" t="s">
        <v>22</v>
      </c>
    </row>
    <row r="5588" spans="1:11" ht="42" customHeight="1">
      <c r="A5588" s="2" t="s">
        <v>10976</v>
      </c>
      <c r="B5588" s="2" t="s">
        <v>10976</v>
      </c>
      <c r="C5588" s="2" t="s">
        <v>50</v>
      </c>
      <c r="D5588" s="2" t="s">
        <v>51</v>
      </c>
      <c r="E5588" s="5">
        <v>-28288</v>
      </c>
      <c r="F5588" s="3" t="s">
        <v>970</v>
      </c>
      <c r="G5588" s="3" t="s">
        <v>35</v>
      </c>
      <c r="H5588" s="2" t="s">
        <v>20</v>
      </c>
      <c r="I5588" s="2" t="s">
        <v>10977</v>
      </c>
      <c r="J5588" s="3" t="str">
        <f>HYPERLINK("https://www.boe.es/gazeta/dias/1822/07/19/pdfs/GMD-1822-211.pdf#page=2","Abrir facsímil")</f>
        <v>Abrir facsímil</v>
      </c>
      <c r="K5588" s="3" t="s">
        <v>22</v>
      </c>
    </row>
    <row r="5589" spans="1:11" ht="42" customHeight="1">
      <c r="A5589" s="2" t="s">
        <v>10978</v>
      </c>
      <c r="B5589" s="2" t="s">
        <v>10978</v>
      </c>
      <c r="C5589" s="2" t="s">
        <v>42</v>
      </c>
      <c r="D5589" s="2" t="s">
        <v>17</v>
      </c>
      <c r="E5589" s="5">
        <v>-28178</v>
      </c>
      <c r="F5589" s="3" t="s">
        <v>318</v>
      </c>
      <c r="G5589" s="3" t="s">
        <v>19</v>
      </c>
      <c r="H5589" s="2" t="s">
        <v>20</v>
      </c>
      <c r="I5589" s="2" t="s">
        <v>10979</v>
      </c>
      <c r="J5589" s="3" t="str">
        <f>HYPERLINK("https://www.boe.es/gazeta/dias/1822/11/06/pdfs/GMD-1822-326.pdf#page=5","Abrir facsímil")</f>
        <v>Abrir facsímil</v>
      </c>
      <c r="K5589" s="3" t="s">
        <v>22</v>
      </c>
    </row>
    <row r="5590" spans="1:11" ht="42" customHeight="1">
      <c r="A5590" s="2" t="s">
        <v>10980</v>
      </c>
      <c r="B5590" s="2" t="s">
        <v>10981</v>
      </c>
      <c r="C5590" s="2" t="s">
        <v>16</v>
      </c>
      <c r="D5590" s="2" t="s">
        <v>17</v>
      </c>
      <c r="E5590" s="5">
        <v>-28405</v>
      </c>
      <c r="F5590" s="3" t="s">
        <v>466</v>
      </c>
      <c r="G5590" s="3" t="s">
        <v>19</v>
      </c>
      <c r="H5590" s="2" t="s">
        <v>45</v>
      </c>
      <c r="I5590" s="2" t="s">
        <v>10982</v>
      </c>
      <c r="J5590" s="3" t="str">
        <f>HYPERLINK("https://www.boe.es/gazeta/dias/1822/03/24/pdfs/GMD-1822-85.pdf#page=5","Abrir facsímil")</f>
        <v>Abrir facsímil</v>
      </c>
      <c r="K5590" s="3" t="s">
        <v>47</v>
      </c>
    </row>
    <row r="5591" spans="1:11" ht="42" customHeight="1">
      <c r="A5591" s="2" t="s">
        <v>10980</v>
      </c>
      <c r="B5591" s="2" t="s">
        <v>10981</v>
      </c>
      <c r="C5591" s="2" t="s">
        <v>28</v>
      </c>
      <c r="D5591" s="2" t="s">
        <v>29</v>
      </c>
      <c r="E5591" s="5">
        <v>-28354</v>
      </c>
      <c r="F5591" s="3" t="s">
        <v>226</v>
      </c>
      <c r="G5591" s="3" t="s">
        <v>31</v>
      </c>
      <c r="H5591" s="2" t="s">
        <v>45</v>
      </c>
      <c r="I5591" s="2" t="s">
        <v>10983</v>
      </c>
      <c r="J5591" s="3" t="str">
        <f>HYPERLINK("https://www.boe.es/gazeta/dias/1822/05/14/pdfs/GMD-1822-136.pdf#page=3","Abrir facsímil")</f>
        <v>Abrir facsímil</v>
      </c>
      <c r="K5591" s="3" t="s">
        <v>47</v>
      </c>
    </row>
    <row r="5592" spans="1:11" ht="42" customHeight="1">
      <c r="A5592" s="2" t="s">
        <v>10980</v>
      </c>
      <c r="B5592" s="2" t="s">
        <v>10981</v>
      </c>
      <c r="C5592" s="2" t="s">
        <v>24</v>
      </c>
      <c r="D5592" s="2" t="s">
        <v>17</v>
      </c>
      <c r="E5592" s="5">
        <v>-28331</v>
      </c>
      <c r="F5592" s="3" t="s">
        <v>537</v>
      </c>
      <c r="G5592" s="3" t="s">
        <v>31</v>
      </c>
      <c r="H5592" s="2" t="s">
        <v>45</v>
      </c>
      <c r="I5592" s="2" t="s">
        <v>10984</v>
      </c>
      <c r="J5592" s="3" t="str">
        <f>HYPERLINK("https://www.boe.es/gazeta/dias/1822/06/06/pdfs/GMD-1822-163.pdf#page=3","Abrir facsímil")</f>
        <v>Abrir facsímil</v>
      </c>
      <c r="K5592" s="3" t="s">
        <v>47</v>
      </c>
    </row>
    <row r="5593" spans="1:11" ht="42" customHeight="1">
      <c r="A5593" s="2" t="s">
        <v>10980</v>
      </c>
      <c r="B5593" s="2" t="s">
        <v>10981</v>
      </c>
      <c r="C5593" s="2" t="s">
        <v>42</v>
      </c>
      <c r="D5593" s="2" t="s">
        <v>17</v>
      </c>
      <c r="E5593" s="5">
        <v>-28325</v>
      </c>
      <c r="F5593" s="3" t="s">
        <v>104</v>
      </c>
      <c r="G5593" s="3" t="s">
        <v>31</v>
      </c>
      <c r="H5593" s="2" t="s">
        <v>45</v>
      </c>
      <c r="I5593" s="2" t="s">
        <v>10985</v>
      </c>
      <c r="J5593" s="3" t="str">
        <f>HYPERLINK("https://www.boe.es/gazeta/dias/1822/06/12/pdfs/GMD-1822-169.pdf#page=3","Abrir facsímil")</f>
        <v>Abrir facsímil</v>
      </c>
      <c r="K5593" s="3" t="s">
        <v>47</v>
      </c>
    </row>
    <row r="5594" spans="1:11" ht="42" customHeight="1">
      <c r="A5594" s="2" t="s">
        <v>10986</v>
      </c>
      <c r="B5594" s="2" t="s">
        <v>10987</v>
      </c>
      <c r="C5594" s="2" t="s">
        <v>362</v>
      </c>
      <c r="D5594" s="2" t="s">
        <v>17</v>
      </c>
      <c r="E5594" s="5">
        <v>-28275</v>
      </c>
      <c r="F5594" s="3" t="s">
        <v>1297</v>
      </c>
      <c r="G5594" s="3" t="s">
        <v>31</v>
      </c>
      <c r="H5594" s="2" t="s">
        <v>45</v>
      </c>
      <c r="I5594" s="2" t="s">
        <v>10988</v>
      </c>
      <c r="J5594" s="3" t="str">
        <f>HYPERLINK("https://www.boe.es/gazeta/dias/1822/08/01/pdfs/GMD-1822-225.pdf#page=3","Abrir facsímil")</f>
        <v>Abrir facsímil</v>
      </c>
      <c r="K5594" s="3" t="s">
        <v>47</v>
      </c>
    </row>
    <row r="5595" spans="1:11" ht="42" customHeight="1">
      <c r="A5595" s="2" t="s">
        <v>10989</v>
      </c>
      <c r="B5595" s="2" t="s">
        <v>10990</v>
      </c>
      <c r="C5595" s="2" t="s">
        <v>71</v>
      </c>
      <c r="D5595" s="2" t="s">
        <v>17</v>
      </c>
      <c r="E5595" s="5">
        <v>-28354</v>
      </c>
      <c r="F5595" s="3" t="s">
        <v>226</v>
      </c>
      <c r="G5595" s="3" t="s">
        <v>44</v>
      </c>
      <c r="H5595" s="2" t="s">
        <v>45</v>
      </c>
      <c r="I5595" s="2" t="s">
        <v>10991</v>
      </c>
      <c r="J5595" s="3" t="str">
        <f>HYPERLINK("https://www.boe.es/gazeta/dias/1822/05/14/pdfs/GMD-1822-136.pdf#page=1","Abrir facsímil")</f>
        <v>Abrir facsímil</v>
      </c>
      <c r="K5595" s="3" t="s">
        <v>47</v>
      </c>
    </row>
    <row r="5596" spans="1:11" ht="42" customHeight="1">
      <c r="A5596" s="2" t="s">
        <v>10992</v>
      </c>
      <c r="B5596" s="2" t="s">
        <v>10993</v>
      </c>
      <c r="C5596" s="2" t="s">
        <v>362</v>
      </c>
      <c r="D5596" s="2" t="s">
        <v>17</v>
      </c>
      <c r="E5596" s="5">
        <v>-28205</v>
      </c>
      <c r="F5596" s="3" t="s">
        <v>806</v>
      </c>
      <c r="G5596" s="3" t="s">
        <v>63</v>
      </c>
      <c r="H5596" s="2" t="s">
        <v>45</v>
      </c>
      <c r="I5596" s="2" t="s">
        <v>10994</v>
      </c>
      <c r="J5596" s="3" t="str">
        <f>HYPERLINK("https://www.boe.es/gazeta/dias/1822/10/10/pdfs/GMD-1822-297.pdf#page=6","Abrir facsímil")</f>
        <v>Abrir facsímil</v>
      </c>
      <c r="K5596" s="3" t="s">
        <v>47</v>
      </c>
    </row>
    <row r="5597" spans="1:11" ht="42" customHeight="1">
      <c r="A5597" s="2" t="s">
        <v>10995</v>
      </c>
      <c r="B5597" s="2" t="s">
        <v>10996</v>
      </c>
      <c r="C5597" s="2" t="s">
        <v>50</v>
      </c>
      <c r="D5597" s="2" t="s">
        <v>51</v>
      </c>
      <c r="E5597" s="5">
        <v>-28258</v>
      </c>
      <c r="F5597" s="3" t="s">
        <v>88</v>
      </c>
      <c r="G5597" s="3" t="s">
        <v>31</v>
      </c>
      <c r="H5597" s="2" t="s">
        <v>45</v>
      </c>
      <c r="I5597" s="2" t="s">
        <v>10997</v>
      </c>
      <c r="J5597" s="3" t="str">
        <f>HYPERLINK("https://www.boe.es/gazeta/dias/1822/08/18/pdfs/GMD-1822-242.pdf#page=3","Abrir facsímil")</f>
        <v>Abrir facsímil</v>
      </c>
      <c r="K5597" s="3" t="s">
        <v>47</v>
      </c>
    </row>
    <row r="5598" spans="1:11" ht="42" customHeight="1">
      <c r="A5598" s="2" t="s">
        <v>10998</v>
      </c>
      <c r="B5598" s="2" t="s">
        <v>10999</v>
      </c>
      <c r="C5598" s="2" t="s">
        <v>71</v>
      </c>
      <c r="D5598" s="2" t="s">
        <v>17</v>
      </c>
      <c r="E5598" s="5">
        <v>-28359</v>
      </c>
      <c r="F5598" s="3" t="s">
        <v>209</v>
      </c>
      <c r="G5598" s="3" t="s">
        <v>31</v>
      </c>
      <c r="H5598" s="2" t="s">
        <v>45</v>
      </c>
      <c r="I5598" s="2" t="s">
        <v>11000</v>
      </c>
      <c r="J5598" s="3" t="str">
        <f>HYPERLINK("https://www.boe.es/gazeta/dias/1822/05/09/pdfs/GMD-1822-131.pdf#page=3","Abrir facsímil")</f>
        <v>Abrir facsímil</v>
      </c>
      <c r="K5598" s="3" t="s">
        <v>47</v>
      </c>
    </row>
    <row r="5599" spans="1:11" ht="42" customHeight="1">
      <c r="A5599" s="2" t="s">
        <v>11001</v>
      </c>
      <c r="B5599" s="2" t="s">
        <v>11002</v>
      </c>
      <c r="C5599" s="2" t="s">
        <v>28</v>
      </c>
      <c r="D5599" s="2" t="s">
        <v>29</v>
      </c>
      <c r="E5599" s="5">
        <v>-28160</v>
      </c>
      <c r="F5599" s="3" t="s">
        <v>148</v>
      </c>
      <c r="G5599" s="3" t="s">
        <v>63</v>
      </c>
      <c r="H5599" s="2" t="s">
        <v>45</v>
      </c>
      <c r="I5599" s="2" t="s">
        <v>11003</v>
      </c>
      <c r="J5599" s="3" t="str">
        <f>HYPERLINK("https://www.boe.es/gazeta/dias/1822/11/24/pdfs/GMD-1822-344.pdf#page=6","Abrir facsímil")</f>
        <v>Abrir facsímil</v>
      </c>
      <c r="K5599" s="3" t="s">
        <v>47</v>
      </c>
    </row>
    <row r="5600" spans="1:11" ht="42" customHeight="1">
      <c r="A5600" s="2" t="s">
        <v>11004</v>
      </c>
      <c r="B5600" s="2" t="s">
        <v>11005</v>
      </c>
      <c r="C5600" s="2" t="s">
        <v>42</v>
      </c>
      <c r="D5600" s="2" t="s">
        <v>17</v>
      </c>
      <c r="E5600" s="5">
        <v>-28246</v>
      </c>
      <c r="F5600" s="3" t="s">
        <v>3246</v>
      </c>
      <c r="G5600" s="3" t="s">
        <v>1085</v>
      </c>
      <c r="H5600" s="2" t="s">
        <v>45</v>
      </c>
      <c r="I5600" s="2" t="s">
        <v>11006</v>
      </c>
      <c r="J5600" s="3" t="str">
        <f>HYPERLINK("https://www.boe.es/gazeta/dias/1822/08/30/pdfs/GMD-1822-254.pdf#page=5","Abrir facsímil")</f>
        <v>Abrir facsímil</v>
      </c>
      <c r="K5600" s="3" t="s">
        <v>47</v>
      </c>
    </row>
    <row r="5601" spans="1:11" ht="42" customHeight="1">
      <c r="A5601" s="2" t="s">
        <v>11007</v>
      </c>
      <c r="B5601" s="2" t="s">
        <v>11008</v>
      </c>
      <c r="C5601" s="2" t="s">
        <v>28</v>
      </c>
      <c r="D5601" s="2" t="s">
        <v>29</v>
      </c>
      <c r="E5601" s="5">
        <v>-28406</v>
      </c>
      <c r="F5601" s="3" t="s">
        <v>462</v>
      </c>
      <c r="G5601" s="3" t="s">
        <v>157</v>
      </c>
      <c r="H5601" s="2" t="s">
        <v>45</v>
      </c>
      <c r="I5601" s="2" t="s">
        <v>11009</v>
      </c>
      <c r="J5601" s="3" t="str">
        <f>HYPERLINK("https://www.boe.es/gazeta/dias/1822/03/23/pdfs/GMD-1822-84.pdf#page=8","Abrir facsímil")</f>
        <v>Abrir facsímil</v>
      </c>
      <c r="K5601" s="3" t="s">
        <v>47</v>
      </c>
    </row>
    <row r="5602" spans="1:11" ht="42" customHeight="1">
      <c r="A5602" s="2" t="s">
        <v>11010</v>
      </c>
      <c r="B5602" s="2" t="s">
        <v>11011</v>
      </c>
      <c r="C5602" s="2" t="s">
        <v>42</v>
      </c>
      <c r="D5602" s="2" t="s">
        <v>17</v>
      </c>
      <c r="E5602" s="5">
        <v>-28166</v>
      </c>
      <c r="F5602" s="3" t="s">
        <v>942</v>
      </c>
      <c r="G5602" s="3" t="s">
        <v>19</v>
      </c>
      <c r="H5602" s="2" t="s">
        <v>20</v>
      </c>
      <c r="I5602" s="2" t="s">
        <v>11012</v>
      </c>
      <c r="J5602" s="3" t="str">
        <f>HYPERLINK("https://www.boe.es/gazeta/dias/1822/11/18/pdfs/GMD-1822-338.pdf#page=5","Abrir facsímil")</f>
        <v>Abrir facsímil</v>
      </c>
      <c r="K5602" s="3" t="s">
        <v>22</v>
      </c>
    </row>
    <row r="5603" spans="1:11" ht="42" customHeight="1">
      <c r="A5603" s="2" t="s">
        <v>11013</v>
      </c>
      <c r="B5603" s="2" t="s">
        <v>11013</v>
      </c>
      <c r="C5603" s="2" t="s">
        <v>28</v>
      </c>
      <c r="D5603" s="2" t="s">
        <v>29</v>
      </c>
      <c r="E5603" s="5">
        <v>-28343</v>
      </c>
      <c r="F5603" s="3" t="s">
        <v>1019</v>
      </c>
      <c r="G5603" s="3" t="s">
        <v>57</v>
      </c>
      <c r="H5603" s="2" t="s">
        <v>20</v>
      </c>
      <c r="I5603" s="2" t="s">
        <v>11014</v>
      </c>
      <c r="J5603" s="3" t="str">
        <f>HYPERLINK("https://www.boe.es/gazeta/dias/1822/05/25/pdfs/GMD-1822-150.pdf#page=4","Abrir facsímil")</f>
        <v>Abrir facsímil</v>
      </c>
      <c r="K5603" s="3" t="s">
        <v>22</v>
      </c>
    </row>
    <row r="5604" spans="1:11" ht="42" customHeight="1">
      <c r="A5604" s="2" t="s">
        <v>11015</v>
      </c>
      <c r="B5604" s="2" t="s">
        <v>11016</v>
      </c>
      <c r="C5604" s="2" t="s">
        <v>24</v>
      </c>
      <c r="D5604" s="2" t="s">
        <v>17</v>
      </c>
      <c r="E5604" s="5">
        <v>-28451</v>
      </c>
      <c r="F5604" s="3" t="s">
        <v>1674</v>
      </c>
      <c r="G5604" s="3" t="s">
        <v>63</v>
      </c>
      <c r="H5604" s="2" t="s">
        <v>45</v>
      </c>
      <c r="I5604" s="2" t="s">
        <v>11017</v>
      </c>
      <c r="J5604" s="3" t="str">
        <f>HYPERLINK("https://www.boe.es/gazeta/dias/1822/02/06/pdfs/GMD-1822-37.pdf#page=6","Abrir facsímil")</f>
        <v>Abrir facsímil</v>
      </c>
      <c r="K5604" s="3" t="s">
        <v>47</v>
      </c>
    </row>
    <row r="5605" spans="1:11" ht="42" customHeight="1">
      <c r="A5605" s="2" t="s">
        <v>11018</v>
      </c>
      <c r="B5605" s="2" t="s">
        <v>11018</v>
      </c>
      <c r="C5605" s="2" t="s">
        <v>16</v>
      </c>
      <c r="D5605" s="2" t="s">
        <v>17</v>
      </c>
      <c r="E5605" s="5">
        <v>-28421</v>
      </c>
      <c r="F5605" s="3" t="s">
        <v>446</v>
      </c>
      <c r="G5605" s="3" t="s">
        <v>19</v>
      </c>
      <c r="H5605" s="2" t="s">
        <v>20</v>
      </c>
      <c r="I5605" s="2" t="s">
        <v>11019</v>
      </c>
      <c r="J5605" s="3" t="str">
        <f>HYPERLINK("https://www.boe.es/gazeta/dias/1822/03/08/pdfs/GMD-1822-69.pdf#page=5","Abrir facsímil")</f>
        <v>Abrir facsímil</v>
      </c>
      <c r="K5605" s="3" t="s">
        <v>22</v>
      </c>
    </row>
    <row r="5606" spans="1:11" ht="42" customHeight="1">
      <c r="A5606" s="2" t="s">
        <v>11018</v>
      </c>
      <c r="B5606" s="2" t="s">
        <v>11018</v>
      </c>
      <c r="C5606" s="2" t="s">
        <v>42</v>
      </c>
      <c r="D5606" s="2" t="s">
        <v>17</v>
      </c>
      <c r="E5606" s="5">
        <v>-28395</v>
      </c>
      <c r="F5606" s="3" t="s">
        <v>237</v>
      </c>
      <c r="G5606" s="3" t="s">
        <v>31</v>
      </c>
      <c r="H5606" s="2" t="s">
        <v>20</v>
      </c>
      <c r="I5606" s="2" t="s">
        <v>11020</v>
      </c>
      <c r="J5606" s="3" t="str">
        <f>HYPERLINK("https://www.boe.es/gazeta/dias/1822/04/03/pdfs/GMD-1822-95.pdf#page=3","Abrir facsímil")</f>
        <v>Abrir facsímil</v>
      </c>
      <c r="K5606" s="3" t="s">
        <v>22</v>
      </c>
    </row>
    <row r="5607" spans="1:11" ht="42" customHeight="1">
      <c r="A5607" s="2" t="s">
        <v>11018</v>
      </c>
      <c r="B5607" s="2" t="s">
        <v>11018</v>
      </c>
      <c r="C5607" s="2" t="s">
        <v>71</v>
      </c>
      <c r="D5607" s="2" t="s">
        <v>17</v>
      </c>
      <c r="E5607" s="5">
        <v>-28176</v>
      </c>
      <c r="F5607" s="3" t="s">
        <v>780</v>
      </c>
      <c r="G5607" s="3" t="s">
        <v>63</v>
      </c>
      <c r="H5607" s="2" t="s">
        <v>20</v>
      </c>
      <c r="I5607" s="2" t="s">
        <v>11021</v>
      </c>
      <c r="J5607" s="3" t="str">
        <f>HYPERLINK("https://www.boe.es/gazeta/dias/1822/11/08/pdfs/GMD-1822-328.pdf#page=6","Abrir facsímil")</f>
        <v>Abrir facsímil</v>
      </c>
      <c r="K5607" s="3" t="s">
        <v>22</v>
      </c>
    </row>
    <row r="5608" spans="1:11" ht="42" customHeight="1">
      <c r="A5608" s="2" t="s">
        <v>11018</v>
      </c>
      <c r="B5608" s="2" t="s">
        <v>11018</v>
      </c>
      <c r="C5608" s="2" t="s">
        <v>28</v>
      </c>
      <c r="D5608" s="2" t="s">
        <v>29</v>
      </c>
      <c r="E5608" s="5">
        <v>-28174</v>
      </c>
      <c r="F5608" s="3" t="s">
        <v>881</v>
      </c>
      <c r="G5608" s="3" t="s">
        <v>57</v>
      </c>
      <c r="H5608" s="2" t="s">
        <v>20</v>
      </c>
      <c r="I5608" s="2" t="s">
        <v>11022</v>
      </c>
      <c r="J5608" s="3" t="str">
        <f>HYPERLINK("https://www.boe.es/gazeta/dias/1822/11/10/pdfs/GMD-1822-330.pdf#page=4","Abrir facsímil")</f>
        <v>Abrir facsímil</v>
      </c>
      <c r="K5608" s="3" t="s">
        <v>22</v>
      </c>
    </row>
    <row r="5609" spans="1:11" ht="42" customHeight="1">
      <c r="A5609" s="2" t="s">
        <v>11018</v>
      </c>
      <c r="B5609" s="2" t="s">
        <v>11018</v>
      </c>
      <c r="C5609" s="2" t="s">
        <v>28</v>
      </c>
      <c r="D5609" s="2" t="s">
        <v>29</v>
      </c>
      <c r="E5609" s="5">
        <v>-28174</v>
      </c>
      <c r="F5609" s="3" t="s">
        <v>881</v>
      </c>
      <c r="G5609" s="3" t="s">
        <v>63</v>
      </c>
      <c r="H5609" s="2" t="s">
        <v>20</v>
      </c>
      <c r="I5609" s="2" t="s">
        <v>11023</v>
      </c>
      <c r="J5609" s="3" t="str">
        <f>HYPERLINK("https://www.boe.es/gazeta/dias/1822/11/10/pdfs/GMD-1822-330.pdf#page=6","Abrir facsímil")</f>
        <v>Abrir facsímil</v>
      </c>
      <c r="K5609" s="3" t="s">
        <v>22</v>
      </c>
    </row>
    <row r="5610" spans="1:11" ht="42" customHeight="1">
      <c r="A5610" s="2" t="s">
        <v>11024</v>
      </c>
      <c r="B5610" s="2" t="s">
        <v>11025</v>
      </c>
      <c r="C5610" s="2" t="s">
        <v>42</v>
      </c>
      <c r="D5610" s="2" t="s">
        <v>17</v>
      </c>
      <c r="E5610" s="5">
        <v>-28221</v>
      </c>
      <c r="F5610" s="3" t="s">
        <v>2591</v>
      </c>
      <c r="G5610" s="3" t="s">
        <v>57</v>
      </c>
      <c r="H5610" s="2" t="s">
        <v>20</v>
      </c>
      <c r="I5610" s="2" t="s">
        <v>11026</v>
      </c>
      <c r="J5610" s="3" t="str">
        <f>HYPERLINK("https://www.boe.es/gazeta/dias/1822/09/24/pdfs/GMD-1822-280.pdf#page=4","Abrir facsímil")</f>
        <v>Abrir facsímil</v>
      </c>
      <c r="K5610" s="3" t="s">
        <v>22</v>
      </c>
    </row>
    <row r="5611" spans="1:11" ht="42" customHeight="1">
      <c r="A5611" s="2" t="s">
        <v>11027</v>
      </c>
      <c r="B5611" s="2" t="s">
        <v>11028</v>
      </c>
      <c r="C5611" s="2" t="s">
        <v>42</v>
      </c>
      <c r="D5611" s="2" t="s">
        <v>17</v>
      </c>
      <c r="E5611" s="5">
        <v>-28124</v>
      </c>
      <c r="F5611" s="3" t="s">
        <v>301</v>
      </c>
      <c r="G5611" s="3" t="s">
        <v>63</v>
      </c>
      <c r="H5611" s="2" t="s">
        <v>20</v>
      </c>
      <c r="I5611" s="2" t="s">
        <v>11029</v>
      </c>
      <c r="J5611" s="3" t="str">
        <f>HYPERLINK("https://www.boe.es/gazeta/dias/1822/12/30/pdfs/GMD-1822-380.pdf#page=6","Abrir facsímil")</f>
        <v>Abrir facsímil</v>
      </c>
      <c r="K5611" s="3" t="s">
        <v>22</v>
      </c>
    </row>
    <row r="5612" spans="1:11" ht="42" customHeight="1">
      <c r="A5612" s="2" t="s">
        <v>11030</v>
      </c>
      <c r="B5612" s="2" t="s">
        <v>11031</v>
      </c>
      <c r="C5612" s="2" t="s">
        <v>16</v>
      </c>
      <c r="D5612" s="2" t="s">
        <v>17</v>
      </c>
      <c r="E5612" s="5">
        <v>-28191</v>
      </c>
      <c r="F5612" s="3" t="s">
        <v>710</v>
      </c>
      <c r="G5612" s="3" t="s">
        <v>5038</v>
      </c>
      <c r="H5612" s="2" t="s">
        <v>20</v>
      </c>
      <c r="I5612" s="2" t="s">
        <v>11032</v>
      </c>
      <c r="J5612" s="3" t="str">
        <f>HYPERLINK("https://www.boe.es/gazeta/dias/1822/10/24/pdfs/GMD-1822-311.pdf#page=8","Abrir facsímil")</f>
        <v>Abrir facsímil</v>
      </c>
      <c r="K5612" s="3" t="s">
        <v>22</v>
      </c>
    </row>
    <row r="5613" spans="1:11" ht="42" customHeight="1">
      <c r="A5613" s="2" t="s">
        <v>11033</v>
      </c>
      <c r="B5613" s="2" t="s">
        <v>11034</v>
      </c>
      <c r="C5613" s="2" t="s">
        <v>50</v>
      </c>
      <c r="D5613" s="2" t="s">
        <v>51</v>
      </c>
      <c r="E5613" s="5">
        <v>-28409</v>
      </c>
      <c r="F5613" s="3" t="s">
        <v>394</v>
      </c>
      <c r="G5613" s="3" t="s">
        <v>57</v>
      </c>
      <c r="H5613" s="2" t="s">
        <v>20</v>
      </c>
      <c r="I5613" s="2" t="s">
        <v>11035</v>
      </c>
      <c r="J5613" s="3" t="str">
        <f>HYPERLINK("https://www.boe.es/gazeta/dias/1822/03/20/pdfs/GMD-1822-81.pdf#page=4","Abrir facsímil")</f>
        <v>Abrir facsímil</v>
      </c>
      <c r="K5613" s="3" t="s">
        <v>22</v>
      </c>
    </row>
    <row r="5614" spans="1:11" ht="42" customHeight="1">
      <c r="A5614" s="2" t="s">
        <v>11036</v>
      </c>
      <c r="B5614" s="2" t="s">
        <v>11037</v>
      </c>
      <c r="C5614" s="2" t="s">
        <v>16</v>
      </c>
      <c r="D5614" s="2" t="s">
        <v>17</v>
      </c>
      <c r="E5614" s="5">
        <v>-28466</v>
      </c>
      <c r="F5614" s="3" t="s">
        <v>4119</v>
      </c>
      <c r="G5614" s="3" t="s">
        <v>63</v>
      </c>
      <c r="H5614" s="2" t="s">
        <v>20</v>
      </c>
      <c r="I5614" s="2" t="s">
        <v>11038</v>
      </c>
      <c r="J5614" s="3" t="str">
        <f>HYPERLINK("https://www.boe.es/gazeta/dias/1822/01/22/pdfs/GMD-1822-22.pdf#page=6","Abrir facsímil")</f>
        <v>Abrir facsímil</v>
      </c>
      <c r="K5614" s="3" t="s">
        <v>22</v>
      </c>
    </row>
    <row r="5615" spans="1:11" ht="42" customHeight="1">
      <c r="A5615" s="2" t="s">
        <v>11039</v>
      </c>
      <c r="B5615" s="2" t="s">
        <v>11040</v>
      </c>
      <c r="C5615" s="2" t="s">
        <v>50</v>
      </c>
      <c r="D5615" s="2" t="s">
        <v>51</v>
      </c>
      <c r="E5615" s="5">
        <v>-28127</v>
      </c>
      <c r="F5615" s="3" t="s">
        <v>409</v>
      </c>
      <c r="G5615" s="3" t="s">
        <v>5790</v>
      </c>
      <c r="H5615" s="2" t="s">
        <v>20</v>
      </c>
      <c r="I5615" s="2" t="s">
        <v>11041</v>
      </c>
      <c r="J5615" s="3" t="str">
        <f>HYPERLINK("https://www.boe.es/gazeta/dias/1822/12/27/pdfs/GMD-1822-377.pdf#page=6","Abrir facsímil")</f>
        <v>Abrir facsímil</v>
      </c>
      <c r="K5615" s="3" t="s">
        <v>22</v>
      </c>
    </row>
    <row r="5616" spans="1:11" ht="42" customHeight="1">
      <c r="A5616" s="2" t="s">
        <v>11042</v>
      </c>
      <c r="B5616" s="2" t="s">
        <v>11042</v>
      </c>
      <c r="C5616" s="2" t="s">
        <v>28</v>
      </c>
      <c r="D5616" s="2" t="s">
        <v>29</v>
      </c>
      <c r="E5616" s="5">
        <v>-28194</v>
      </c>
      <c r="F5616" s="3" t="s">
        <v>18</v>
      </c>
      <c r="G5616" s="3" t="s">
        <v>31</v>
      </c>
      <c r="H5616" s="2" t="s">
        <v>20</v>
      </c>
      <c r="I5616" s="2" t="s">
        <v>11043</v>
      </c>
      <c r="J5616" s="3" t="str">
        <f>HYPERLINK("https://www.boe.es/gazeta/dias/1822/10/21/pdfs/GMD-1822-308.pdf#page=3","Abrir facsímil")</f>
        <v>Abrir facsímil</v>
      </c>
      <c r="K5616" s="3" t="s">
        <v>22</v>
      </c>
    </row>
    <row r="5617" spans="1:11" ht="42" customHeight="1">
      <c r="A5617" s="2" t="s">
        <v>11042</v>
      </c>
      <c r="B5617" s="2" t="s">
        <v>11042</v>
      </c>
      <c r="C5617" s="2" t="s">
        <v>71</v>
      </c>
      <c r="D5617" s="2" t="s">
        <v>17</v>
      </c>
      <c r="E5617" s="5">
        <v>-28167</v>
      </c>
      <c r="F5617" s="3" t="s">
        <v>904</v>
      </c>
      <c r="G5617" s="3" t="s">
        <v>35</v>
      </c>
      <c r="H5617" s="2" t="s">
        <v>20</v>
      </c>
      <c r="I5617" s="2" t="s">
        <v>11044</v>
      </c>
      <c r="J5617" s="3" t="str">
        <f>HYPERLINK("https://www.boe.es/gazeta/dias/1822/11/17/pdfs/GMD-1822-337.pdf#page=2","Abrir facsímil")</f>
        <v>Abrir facsímil</v>
      </c>
      <c r="K5617" s="3" t="s">
        <v>22</v>
      </c>
    </row>
    <row r="5618" spans="1:11" ht="42" customHeight="1">
      <c r="A5618" s="2" t="s">
        <v>11045</v>
      </c>
      <c r="B5618" s="2" t="s">
        <v>11045</v>
      </c>
      <c r="C5618" s="2" t="s">
        <v>42</v>
      </c>
      <c r="D5618" s="2" t="s">
        <v>17</v>
      </c>
      <c r="E5618" s="5">
        <v>-28194</v>
      </c>
      <c r="F5618" s="3" t="s">
        <v>18</v>
      </c>
      <c r="G5618" s="3" t="s">
        <v>35</v>
      </c>
      <c r="H5618" s="2" t="s">
        <v>20</v>
      </c>
      <c r="I5618" s="2" t="s">
        <v>11046</v>
      </c>
      <c r="J5618" s="3" t="str">
        <f>HYPERLINK("https://www.boe.es/gazeta/dias/1822/10/21/pdfs/GMD-1822-308.pdf#page=2","Abrir facsímil")</f>
        <v>Abrir facsímil</v>
      </c>
      <c r="K5618" s="3" t="s">
        <v>22</v>
      </c>
    </row>
    <row r="5619" spans="1:11" ht="42" customHeight="1">
      <c r="A5619" s="2" t="s">
        <v>11047</v>
      </c>
      <c r="B5619" s="2" t="s">
        <v>11047</v>
      </c>
      <c r="C5619" s="2" t="s">
        <v>42</v>
      </c>
      <c r="D5619" s="2" t="s">
        <v>17</v>
      </c>
      <c r="E5619" s="5">
        <v>-28413</v>
      </c>
      <c r="F5619" s="3" t="s">
        <v>458</v>
      </c>
      <c r="G5619" s="3" t="s">
        <v>19</v>
      </c>
      <c r="H5619" s="2" t="s">
        <v>20</v>
      </c>
      <c r="I5619" s="2" t="s">
        <v>11048</v>
      </c>
      <c r="J5619" s="3" t="str">
        <f>HYPERLINK("https://www.boe.es/gazeta/dias/1822/03/16/pdfs/GMD-1822-77.pdf#page=5","Abrir facsímil")</f>
        <v>Abrir facsímil</v>
      </c>
      <c r="K5619" s="3" t="s">
        <v>22</v>
      </c>
    </row>
    <row r="5620" spans="1:11" ht="42" customHeight="1">
      <c r="A5620" s="2" t="s">
        <v>11049</v>
      </c>
      <c r="B5620" s="2" t="s">
        <v>11049</v>
      </c>
      <c r="C5620" s="2" t="s">
        <v>50</v>
      </c>
      <c r="D5620" s="2" t="s">
        <v>51</v>
      </c>
      <c r="E5620" s="5">
        <v>-28372</v>
      </c>
      <c r="F5620" s="3" t="s">
        <v>503</v>
      </c>
      <c r="G5620" s="3" t="s">
        <v>63</v>
      </c>
      <c r="H5620" s="2" t="s">
        <v>20</v>
      </c>
      <c r="I5620" s="2" t="s">
        <v>11050</v>
      </c>
      <c r="J5620" s="3" t="str">
        <f>HYPERLINK("https://www.boe.es/gazeta/dias/1822/04/26/pdfs/GMD-1822-118.pdf#page=6","Abrir facsímil")</f>
        <v>Abrir facsímil</v>
      </c>
      <c r="K5620" s="3" t="s">
        <v>22</v>
      </c>
    </row>
    <row r="5621" spans="1:11" ht="42" customHeight="1">
      <c r="A5621" s="2" t="s">
        <v>11049</v>
      </c>
      <c r="B5621" s="2" t="s">
        <v>11049</v>
      </c>
      <c r="C5621" s="2" t="s">
        <v>28</v>
      </c>
      <c r="D5621" s="2" t="s">
        <v>29</v>
      </c>
      <c r="E5621" s="5">
        <v>-28328</v>
      </c>
      <c r="F5621" s="3" t="s">
        <v>540</v>
      </c>
      <c r="G5621" s="3" t="s">
        <v>31</v>
      </c>
      <c r="H5621" s="2" t="s">
        <v>20</v>
      </c>
      <c r="I5621" s="2" t="s">
        <v>11051</v>
      </c>
      <c r="J5621" s="3" t="str">
        <f>HYPERLINK("https://www.boe.es/gazeta/dias/1822/06/09/pdfs/GMD-1822-166.pdf#page=3","Abrir facsímil")</f>
        <v>Abrir facsímil</v>
      </c>
      <c r="K5621" s="3" t="s">
        <v>22</v>
      </c>
    </row>
    <row r="5622" spans="1:11" ht="42" customHeight="1">
      <c r="A5622" s="2" t="s">
        <v>11049</v>
      </c>
      <c r="B5622" s="2" t="s">
        <v>11049</v>
      </c>
      <c r="C5622" s="2" t="s">
        <v>42</v>
      </c>
      <c r="D5622" s="2" t="s">
        <v>17</v>
      </c>
      <c r="E5622" s="5">
        <v>-28274</v>
      </c>
      <c r="F5622" s="3" t="s">
        <v>3371</v>
      </c>
      <c r="G5622" s="3" t="s">
        <v>44</v>
      </c>
      <c r="H5622" s="2" t="s">
        <v>20</v>
      </c>
      <c r="I5622" s="2" t="s">
        <v>11052</v>
      </c>
      <c r="J5622" s="3" t="str">
        <f>HYPERLINK("https://www.boe.es/gazeta/dias/1822/08/02/pdfs/GMD-1822-226.pdf#page=1","Abrir facsímil")</f>
        <v>Abrir facsímil</v>
      </c>
      <c r="K5622" s="3" t="s">
        <v>22</v>
      </c>
    </row>
    <row r="5623" spans="1:11" ht="42" customHeight="1">
      <c r="A5623" s="2" t="s">
        <v>11049</v>
      </c>
      <c r="B5623" s="2" t="s">
        <v>11049</v>
      </c>
      <c r="C5623" s="2" t="s">
        <v>50</v>
      </c>
      <c r="D5623" s="2" t="s">
        <v>51</v>
      </c>
      <c r="E5623" s="5">
        <v>-28269</v>
      </c>
      <c r="F5623" s="3" t="s">
        <v>5517</v>
      </c>
      <c r="G5623" s="3" t="s">
        <v>57</v>
      </c>
      <c r="H5623" s="2" t="s">
        <v>20</v>
      </c>
      <c r="I5623" s="2" t="s">
        <v>11053</v>
      </c>
      <c r="J5623" s="3" t="str">
        <f>HYPERLINK("https://www.boe.es/gazeta/dias/1822/08/07/pdfs/GMD-1822-231.pdf#page=4","Abrir facsímil")</f>
        <v>Abrir facsímil</v>
      </c>
      <c r="K5623" s="3" t="s">
        <v>22</v>
      </c>
    </row>
    <row r="5624" spans="1:11" ht="42" customHeight="1">
      <c r="A5624" s="2" t="s">
        <v>11049</v>
      </c>
      <c r="B5624" s="2" t="s">
        <v>11049</v>
      </c>
      <c r="C5624" s="2" t="s">
        <v>50</v>
      </c>
      <c r="D5624" s="2" t="s">
        <v>51</v>
      </c>
      <c r="E5624" s="5">
        <v>-28161</v>
      </c>
      <c r="F5624" s="3" t="s">
        <v>166</v>
      </c>
      <c r="G5624" s="3" t="s">
        <v>157</v>
      </c>
      <c r="H5624" s="2" t="s">
        <v>20</v>
      </c>
      <c r="I5624" s="2" t="s">
        <v>11054</v>
      </c>
      <c r="J5624" s="3" t="str">
        <f>HYPERLINK("https://www.boe.es/gazeta/dias/1822/11/23/pdfs/GMD-1822-343.pdf#page=8","Abrir facsímil")</f>
        <v>Abrir facsímil</v>
      </c>
      <c r="K5624" s="3" t="s">
        <v>22</v>
      </c>
    </row>
    <row r="5625" spans="1:11" ht="42" customHeight="1">
      <c r="A5625" s="2" t="s">
        <v>11055</v>
      </c>
      <c r="B5625" s="2" t="s">
        <v>11056</v>
      </c>
      <c r="C5625" s="2" t="s">
        <v>16</v>
      </c>
      <c r="D5625" s="2" t="s">
        <v>17</v>
      </c>
      <c r="E5625" s="5">
        <v>-28401</v>
      </c>
      <c r="F5625" s="3" t="s">
        <v>108</v>
      </c>
      <c r="G5625" s="3" t="s">
        <v>31</v>
      </c>
      <c r="H5625" s="2" t="s">
        <v>20</v>
      </c>
      <c r="I5625" s="2" t="s">
        <v>11057</v>
      </c>
      <c r="J5625" s="3" t="str">
        <f>HYPERLINK("https://www.boe.es/gazeta/dias/1822/03/28/pdfs/GMD-1822-89.pdf#page=3","Abrir facsímil")</f>
        <v>Abrir facsímil</v>
      </c>
      <c r="K5625" s="3" t="s">
        <v>22</v>
      </c>
    </row>
    <row r="5626" spans="1:11" ht="42" customHeight="1">
      <c r="A5626" s="2" t="s">
        <v>11058</v>
      </c>
      <c r="B5626" s="2" t="s">
        <v>11059</v>
      </c>
      <c r="C5626" s="2" t="s">
        <v>50</v>
      </c>
      <c r="D5626" s="2" t="s">
        <v>51</v>
      </c>
      <c r="E5626" s="5">
        <v>-28194</v>
      </c>
      <c r="F5626" s="3" t="s">
        <v>18</v>
      </c>
      <c r="G5626" s="3" t="s">
        <v>63</v>
      </c>
      <c r="H5626" s="2" t="s">
        <v>20</v>
      </c>
      <c r="I5626" s="2" t="s">
        <v>11060</v>
      </c>
      <c r="J5626" s="3" t="str">
        <f>HYPERLINK("https://www.boe.es/gazeta/dias/1822/10/21/pdfs/GMD-1822-308.pdf#page=6","Abrir facsímil")</f>
        <v>Abrir facsímil</v>
      </c>
      <c r="K5626" s="3" t="s">
        <v>22</v>
      </c>
    </row>
    <row r="5627" spans="1:11" ht="42" customHeight="1">
      <c r="A5627" s="2" t="s">
        <v>11061</v>
      </c>
      <c r="B5627" s="2" t="s">
        <v>11062</v>
      </c>
      <c r="C5627" s="2" t="s">
        <v>28</v>
      </c>
      <c r="D5627" s="2" t="s">
        <v>29</v>
      </c>
      <c r="E5627" s="5">
        <v>-28379</v>
      </c>
      <c r="F5627" s="3" t="s">
        <v>494</v>
      </c>
      <c r="G5627" s="3" t="s">
        <v>63</v>
      </c>
      <c r="H5627" s="2" t="s">
        <v>20</v>
      </c>
      <c r="I5627" s="2" t="s">
        <v>11063</v>
      </c>
      <c r="J5627" s="3" t="str">
        <f>HYPERLINK("https://www.boe.es/gazeta/dias/1822/04/19/pdfs/GMD-1822-111.pdf#page=6","Abrir facsímil")</f>
        <v>Abrir facsímil</v>
      </c>
      <c r="K5627" s="3" t="s">
        <v>22</v>
      </c>
    </row>
    <row r="5628" spans="1:11" ht="42" customHeight="1">
      <c r="A5628" s="2" t="s">
        <v>11064</v>
      </c>
      <c r="B5628" s="2" t="s">
        <v>11065</v>
      </c>
      <c r="C5628" s="2" t="s">
        <v>42</v>
      </c>
      <c r="D5628" s="2" t="s">
        <v>17</v>
      </c>
      <c r="E5628" s="5">
        <v>-28181</v>
      </c>
      <c r="F5628" s="3" t="s">
        <v>739</v>
      </c>
      <c r="G5628" s="3" t="s">
        <v>63</v>
      </c>
      <c r="H5628" s="2" t="s">
        <v>20</v>
      </c>
      <c r="I5628" s="2" t="s">
        <v>11066</v>
      </c>
      <c r="J5628" s="3" t="str">
        <f>HYPERLINK("https://www.boe.es/gazeta/dias/1822/11/03/pdfs/GMD-1822-321.pdf#page=6","Abrir facsímil")</f>
        <v>Abrir facsímil</v>
      </c>
      <c r="K5628" s="3" t="s">
        <v>22</v>
      </c>
    </row>
    <row r="5629" spans="1:11" ht="42" customHeight="1">
      <c r="A5629" s="2" t="s">
        <v>11067</v>
      </c>
      <c r="B5629" s="2" t="s">
        <v>11067</v>
      </c>
      <c r="C5629" s="2" t="s">
        <v>28</v>
      </c>
      <c r="D5629" s="2" t="s">
        <v>29</v>
      </c>
      <c r="E5629" s="5">
        <v>-28423</v>
      </c>
      <c r="F5629" s="3" t="s">
        <v>441</v>
      </c>
      <c r="G5629" s="3" t="s">
        <v>31</v>
      </c>
      <c r="H5629" s="2" t="s">
        <v>20</v>
      </c>
      <c r="I5629" s="2" t="s">
        <v>11068</v>
      </c>
      <c r="J5629" s="3" t="str">
        <f>HYPERLINK("https://www.boe.es/gazeta/dias/1822/03/06/pdfs/GMD-1822-67.pdf#page=3","Abrir facsímil")</f>
        <v>Abrir facsímil</v>
      </c>
      <c r="K5629" s="3" t="s">
        <v>22</v>
      </c>
    </row>
    <row r="5630" spans="1:11" ht="42" customHeight="1">
      <c r="A5630" s="2" t="s">
        <v>11067</v>
      </c>
      <c r="B5630" s="2" t="s">
        <v>11067</v>
      </c>
      <c r="C5630" s="2" t="s">
        <v>16</v>
      </c>
      <c r="D5630" s="2" t="s">
        <v>17</v>
      </c>
      <c r="E5630" s="5">
        <v>-28194</v>
      </c>
      <c r="F5630" s="3" t="s">
        <v>18</v>
      </c>
      <c r="G5630" s="3" t="s">
        <v>31</v>
      </c>
      <c r="H5630" s="2" t="s">
        <v>20</v>
      </c>
      <c r="I5630" s="2" t="s">
        <v>11069</v>
      </c>
      <c r="J5630" s="3" t="str">
        <f>HYPERLINK("https://www.boe.es/gazeta/dias/1822/10/21/pdfs/GMD-1822-308.pdf#page=3","Abrir facsímil")</f>
        <v>Abrir facsímil</v>
      </c>
      <c r="K5630" s="3" t="s">
        <v>22</v>
      </c>
    </row>
    <row r="5631" spans="1:11" ht="42" customHeight="1">
      <c r="A5631" s="2" t="s">
        <v>11070</v>
      </c>
      <c r="B5631" s="2" t="s">
        <v>11071</v>
      </c>
      <c r="C5631" s="2" t="s">
        <v>50</v>
      </c>
      <c r="D5631" s="2" t="s">
        <v>51</v>
      </c>
      <c r="E5631" s="5">
        <v>-28249</v>
      </c>
      <c r="F5631" s="3" t="s">
        <v>3986</v>
      </c>
      <c r="G5631" s="3" t="s">
        <v>57</v>
      </c>
      <c r="H5631" s="2" t="s">
        <v>20</v>
      </c>
      <c r="I5631" s="2" t="s">
        <v>11072</v>
      </c>
      <c r="J5631" s="3" t="str">
        <f>HYPERLINK("https://www.boe.es/gazeta/dias/1822/08/27/pdfs/GMD-1822-251.pdf#page=4","Abrir facsímil")</f>
        <v>Abrir facsímil</v>
      </c>
      <c r="K5631" s="3" t="s">
        <v>22</v>
      </c>
    </row>
    <row r="5632" spans="1:11" ht="42" customHeight="1">
      <c r="A5632" s="2" t="s">
        <v>11073</v>
      </c>
      <c r="B5632" s="2" t="s">
        <v>11073</v>
      </c>
      <c r="C5632" s="2" t="s">
        <v>71</v>
      </c>
      <c r="D5632" s="2" t="s">
        <v>17</v>
      </c>
      <c r="E5632" s="5">
        <v>-28174</v>
      </c>
      <c r="F5632" s="3" t="s">
        <v>881</v>
      </c>
      <c r="G5632" s="3" t="s">
        <v>19</v>
      </c>
      <c r="H5632" s="2" t="s">
        <v>20</v>
      </c>
      <c r="I5632" s="2" t="s">
        <v>11074</v>
      </c>
      <c r="J5632" s="3" t="str">
        <f>HYPERLINK("https://www.boe.es/gazeta/dias/1822/11/10/pdfs/GMD-1822-330.pdf#page=5","Abrir facsímil")</f>
        <v>Abrir facsímil</v>
      </c>
      <c r="K5632" s="3" t="s">
        <v>22</v>
      </c>
    </row>
    <row r="5633" spans="1:11" ht="42" customHeight="1">
      <c r="A5633" s="2" t="s">
        <v>11075</v>
      </c>
      <c r="B5633" s="2" t="s">
        <v>11076</v>
      </c>
      <c r="C5633" s="2" t="s">
        <v>28</v>
      </c>
      <c r="D5633" s="2" t="s">
        <v>29</v>
      </c>
      <c r="E5633" s="5">
        <v>-28334</v>
      </c>
      <c r="F5633" s="3" t="s">
        <v>532</v>
      </c>
      <c r="G5633" s="3" t="s">
        <v>167</v>
      </c>
      <c r="H5633" s="2" t="s">
        <v>20</v>
      </c>
      <c r="I5633" s="2" t="s">
        <v>11077</v>
      </c>
      <c r="J5633" s="3" t="str">
        <f>HYPERLINK("https://www.boe.es/gazeta/dias/1822/06/03/pdfs/GMD-1822-159.pdf#page=7","Abrir facsímil")</f>
        <v>Abrir facsímil</v>
      </c>
      <c r="K5633" s="3" t="s">
        <v>22</v>
      </c>
    </row>
    <row r="5634" spans="1:11" ht="42" customHeight="1">
      <c r="A5634" s="2" t="s">
        <v>11078</v>
      </c>
      <c r="B5634" s="2" t="s">
        <v>11078</v>
      </c>
      <c r="C5634" s="2" t="s">
        <v>50</v>
      </c>
      <c r="D5634" s="2" t="s">
        <v>51</v>
      </c>
      <c r="E5634" s="5">
        <v>-28403</v>
      </c>
      <c r="F5634" s="3" t="s">
        <v>471</v>
      </c>
      <c r="G5634" s="3" t="s">
        <v>35</v>
      </c>
      <c r="H5634" s="2" t="s">
        <v>20</v>
      </c>
      <c r="I5634" s="2" t="s">
        <v>11079</v>
      </c>
      <c r="J5634" s="3" t="str">
        <f>HYPERLINK("https://www.boe.es/gazeta/dias/1822/03/26/pdfs/GMD-1822-87.pdf#page=2","Abrir facsímil")</f>
        <v>Abrir facsímil</v>
      </c>
      <c r="K5634" s="3" t="s">
        <v>22</v>
      </c>
    </row>
    <row r="5635" spans="1:11" ht="42" customHeight="1">
      <c r="A5635" s="2" t="s">
        <v>11078</v>
      </c>
      <c r="B5635" s="2" t="s">
        <v>11078</v>
      </c>
      <c r="C5635" s="2" t="s">
        <v>50</v>
      </c>
      <c r="D5635" s="2" t="s">
        <v>51</v>
      </c>
      <c r="E5635" s="5">
        <v>-28403</v>
      </c>
      <c r="F5635" s="3" t="s">
        <v>471</v>
      </c>
      <c r="G5635" s="3" t="s">
        <v>31</v>
      </c>
      <c r="H5635" s="2" t="s">
        <v>20</v>
      </c>
      <c r="I5635" s="2" t="s">
        <v>11080</v>
      </c>
      <c r="J5635" s="3" t="str">
        <f>HYPERLINK("https://www.boe.es/gazeta/dias/1822/03/26/pdfs/GMD-1822-87.pdf#page=3","Abrir facsímil")</f>
        <v>Abrir facsímil</v>
      </c>
      <c r="K5635" s="3" t="s">
        <v>22</v>
      </c>
    </row>
    <row r="5636" spans="1:11" ht="42" customHeight="1">
      <c r="A5636" s="2" t="s">
        <v>11078</v>
      </c>
      <c r="B5636" s="2" t="s">
        <v>11078</v>
      </c>
      <c r="C5636" s="2" t="s">
        <v>50</v>
      </c>
      <c r="D5636" s="2" t="s">
        <v>51</v>
      </c>
      <c r="E5636" s="5">
        <v>-28352</v>
      </c>
      <c r="F5636" s="3" t="s">
        <v>1575</v>
      </c>
      <c r="G5636" s="3" t="s">
        <v>35</v>
      </c>
      <c r="H5636" s="2" t="s">
        <v>20</v>
      </c>
      <c r="I5636" s="2" t="s">
        <v>11081</v>
      </c>
      <c r="J5636" s="3" t="str">
        <f>HYPERLINK("https://www.boe.es/gazeta/dias/1822/05/16/pdfs/GMD-1822-138.pdf#page=2","Abrir facsímil")</f>
        <v>Abrir facsímil</v>
      </c>
      <c r="K5636" s="3" t="s">
        <v>22</v>
      </c>
    </row>
    <row r="5637" spans="1:11" ht="42" customHeight="1">
      <c r="A5637" s="2" t="s">
        <v>11078</v>
      </c>
      <c r="B5637" s="2" t="s">
        <v>11078</v>
      </c>
      <c r="C5637" s="2" t="s">
        <v>42</v>
      </c>
      <c r="D5637" s="2" t="s">
        <v>17</v>
      </c>
      <c r="E5637" s="5">
        <v>-28352</v>
      </c>
      <c r="F5637" s="3" t="s">
        <v>1575</v>
      </c>
      <c r="G5637" s="3" t="s">
        <v>19</v>
      </c>
      <c r="H5637" s="2" t="s">
        <v>20</v>
      </c>
      <c r="I5637" s="2" t="s">
        <v>11082</v>
      </c>
      <c r="J5637" s="3" t="str">
        <f>HYPERLINK("https://www.boe.es/gazeta/dias/1822/05/16/pdfs/GMD-1822-138.pdf#page=5","Abrir facsímil")</f>
        <v>Abrir facsímil</v>
      </c>
      <c r="K5637" s="3" t="s">
        <v>22</v>
      </c>
    </row>
    <row r="5638" spans="1:11" ht="42" customHeight="1">
      <c r="A5638" s="2" t="s">
        <v>11078</v>
      </c>
      <c r="B5638" s="2" t="s">
        <v>11078</v>
      </c>
      <c r="C5638" s="2" t="s">
        <v>71</v>
      </c>
      <c r="D5638" s="2" t="s">
        <v>17</v>
      </c>
      <c r="E5638" s="5">
        <v>-28313</v>
      </c>
      <c r="F5638" s="3" t="s">
        <v>315</v>
      </c>
      <c r="G5638" s="3" t="s">
        <v>19</v>
      </c>
      <c r="H5638" s="2" t="s">
        <v>20</v>
      </c>
      <c r="I5638" s="2" t="s">
        <v>11083</v>
      </c>
      <c r="J5638" s="3" t="str">
        <f>HYPERLINK("https://www.boe.es/gazeta/dias/1822/06/24/pdfs/GMD-1822-182.pdf#page=5","Abrir facsímil")</f>
        <v>Abrir facsímil</v>
      </c>
      <c r="K5638" s="3" t="s">
        <v>22</v>
      </c>
    </row>
    <row r="5639" spans="1:11" ht="42" customHeight="1">
      <c r="A5639" s="2" t="s">
        <v>11078</v>
      </c>
      <c r="B5639" s="2" t="s">
        <v>11078</v>
      </c>
      <c r="C5639" s="2" t="s">
        <v>42</v>
      </c>
      <c r="D5639" s="2" t="s">
        <v>17</v>
      </c>
      <c r="E5639" s="5">
        <v>-28191</v>
      </c>
      <c r="F5639" s="3" t="s">
        <v>710</v>
      </c>
      <c r="G5639" s="3" t="s">
        <v>31</v>
      </c>
      <c r="H5639" s="2" t="s">
        <v>20</v>
      </c>
      <c r="I5639" s="2" t="s">
        <v>11084</v>
      </c>
      <c r="J5639" s="3" t="str">
        <f>HYPERLINK("https://www.boe.es/gazeta/dias/1822/10/24/pdfs/GMD-1822-311.pdf#page=3","Abrir facsímil")</f>
        <v>Abrir facsímil</v>
      </c>
      <c r="K5639" s="3" t="s">
        <v>22</v>
      </c>
    </row>
    <row r="5640" spans="1:11" ht="42" customHeight="1">
      <c r="A5640" s="2" t="s">
        <v>11078</v>
      </c>
      <c r="B5640" s="2" t="s">
        <v>11078</v>
      </c>
      <c r="C5640" s="2" t="s">
        <v>71</v>
      </c>
      <c r="D5640" s="2" t="s">
        <v>17</v>
      </c>
      <c r="E5640" s="5">
        <v>-28179</v>
      </c>
      <c r="F5640" s="3" t="s">
        <v>935</v>
      </c>
      <c r="G5640" s="3" t="s">
        <v>31</v>
      </c>
      <c r="H5640" s="2" t="s">
        <v>20</v>
      </c>
      <c r="I5640" s="2" t="s">
        <v>11085</v>
      </c>
      <c r="J5640" s="3" t="str">
        <f>HYPERLINK("https://www.boe.es/gazeta/dias/1822/11/05/pdfs/GMD-1822-325.pdf#page=3","Abrir facsímil")</f>
        <v>Abrir facsímil</v>
      </c>
      <c r="K5640" s="3" t="s">
        <v>22</v>
      </c>
    </row>
    <row r="5641" spans="1:11" ht="42" customHeight="1">
      <c r="A5641" s="2" t="s">
        <v>11078</v>
      </c>
      <c r="B5641" s="2" t="s">
        <v>11078</v>
      </c>
      <c r="C5641" s="2" t="s">
        <v>71</v>
      </c>
      <c r="D5641" s="2" t="s">
        <v>17</v>
      </c>
      <c r="E5641" s="5">
        <v>-28147</v>
      </c>
      <c r="F5641" s="3" t="s">
        <v>1611</v>
      </c>
      <c r="G5641" s="3" t="s">
        <v>31</v>
      </c>
      <c r="H5641" s="2" t="s">
        <v>20</v>
      </c>
      <c r="I5641" s="2" t="s">
        <v>11086</v>
      </c>
      <c r="J5641" s="3" t="str">
        <f>HYPERLINK("https://www.boe.es/gazeta/dias/1822/12/07/pdfs/GMD-1822-357.pdf#page=3","Abrir facsímil")</f>
        <v>Abrir facsímil</v>
      </c>
      <c r="K5641" s="3" t="s">
        <v>22</v>
      </c>
    </row>
    <row r="5642" spans="1:11" ht="42" customHeight="1">
      <c r="A5642" s="2" t="s">
        <v>11078</v>
      </c>
      <c r="B5642" s="2" t="s">
        <v>11078</v>
      </c>
      <c r="C5642" s="2" t="s">
        <v>42</v>
      </c>
      <c r="D5642" s="2" t="s">
        <v>17</v>
      </c>
      <c r="E5642" s="5">
        <v>-28129</v>
      </c>
      <c r="F5642" s="3" t="s">
        <v>599</v>
      </c>
      <c r="G5642" s="3" t="s">
        <v>35</v>
      </c>
      <c r="H5642" s="2" t="s">
        <v>20</v>
      </c>
      <c r="I5642" s="2" t="s">
        <v>11087</v>
      </c>
      <c r="J5642" s="3" t="str">
        <f>HYPERLINK("https://www.boe.es/gazeta/dias/1822/12/25/pdfs/GMD-1822-375.pdf#page=2","Abrir facsímil")</f>
        <v>Abrir facsímil</v>
      </c>
      <c r="K5642" s="3" t="s">
        <v>22</v>
      </c>
    </row>
    <row r="5643" spans="1:11" ht="42" customHeight="1">
      <c r="A5643" s="2" t="s">
        <v>11088</v>
      </c>
      <c r="B5643" s="2" t="s">
        <v>11088</v>
      </c>
      <c r="C5643" s="2" t="s">
        <v>24</v>
      </c>
      <c r="D5643" s="2" t="s">
        <v>17</v>
      </c>
      <c r="E5643" s="5">
        <v>-28192</v>
      </c>
      <c r="F5643" s="3" t="s">
        <v>43</v>
      </c>
      <c r="G5643" s="3" t="s">
        <v>31</v>
      </c>
      <c r="H5643" s="2" t="s">
        <v>20</v>
      </c>
      <c r="I5643" s="2" t="s">
        <v>11089</v>
      </c>
      <c r="J5643" s="3" t="str">
        <f>HYPERLINK("https://www.boe.es/gazeta/dias/1822/10/23/pdfs/GMD-1822-310.pdf#page=3","Abrir facsímil")</f>
        <v>Abrir facsímil</v>
      </c>
      <c r="K5643" s="3" t="s">
        <v>22</v>
      </c>
    </row>
    <row r="5644" spans="1:11" ht="42" customHeight="1">
      <c r="A5644" s="2" t="s">
        <v>11090</v>
      </c>
      <c r="B5644" s="2" t="s">
        <v>11091</v>
      </c>
      <c r="C5644" s="2" t="s">
        <v>50</v>
      </c>
      <c r="D5644" s="2" t="s">
        <v>51</v>
      </c>
      <c r="E5644" s="5">
        <v>-28210</v>
      </c>
      <c r="F5644" s="3" t="s">
        <v>218</v>
      </c>
      <c r="G5644" s="3" t="s">
        <v>63</v>
      </c>
      <c r="H5644" s="2" t="s">
        <v>45</v>
      </c>
      <c r="I5644" s="2" t="s">
        <v>11092</v>
      </c>
      <c r="J5644" s="3" t="str">
        <f>HYPERLINK("https://www.boe.es/gazeta/dias/1822/10/05/pdfs/GMD-1822-291.pdf#page=6","Abrir facsímil")</f>
        <v>Abrir facsímil</v>
      </c>
      <c r="K5644" s="3" t="s">
        <v>47</v>
      </c>
    </row>
    <row r="5645" spans="1:11" ht="42" customHeight="1">
      <c r="A5645" s="2" t="s">
        <v>11093</v>
      </c>
      <c r="B5645" s="2" t="s">
        <v>11093</v>
      </c>
      <c r="C5645" s="2" t="s">
        <v>42</v>
      </c>
      <c r="D5645" s="2" t="s">
        <v>17</v>
      </c>
      <c r="E5645" s="5">
        <v>-28166</v>
      </c>
      <c r="F5645" s="3" t="s">
        <v>942</v>
      </c>
      <c r="G5645" s="3" t="s">
        <v>35</v>
      </c>
      <c r="H5645" s="2" t="s">
        <v>20</v>
      </c>
      <c r="I5645" s="2" t="s">
        <v>11094</v>
      </c>
      <c r="J5645" s="3" t="str">
        <f>HYPERLINK("https://www.boe.es/gazeta/dias/1822/11/18/pdfs/GMD-1822-338.pdf#page=2","Abrir facsímil")</f>
        <v>Abrir facsímil</v>
      </c>
      <c r="K5645" s="3" t="s">
        <v>22</v>
      </c>
    </row>
    <row r="5646" spans="1:11" ht="42" customHeight="1">
      <c r="A5646" s="2" t="s">
        <v>11095</v>
      </c>
      <c r="B5646" s="2" t="s">
        <v>11096</v>
      </c>
      <c r="C5646" s="2" t="s">
        <v>50</v>
      </c>
      <c r="D5646" s="2" t="s">
        <v>51</v>
      </c>
      <c r="E5646" s="5">
        <v>-28260</v>
      </c>
      <c r="F5646" s="3" t="s">
        <v>135</v>
      </c>
      <c r="G5646" s="3" t="s">
        <v>44</v>
      </c>
      <c r="H5646" s="2" t="s">
        <v>45</v>
      </c>
      <c r="I5646" s="2" t="s">
        <v>11097</v>
      </c>
      <c r="J5646" s="3" t="str">
        <f>HYPERLINK("https://www.boe.es/gazeta/dias/1822/08/16/pdfs/GMD-1822-240.pdf#page=1","Abrir facsímil")</f>
        <v>Abrir facsímil</v>
      </c>
      <c r="K5646" s="3" t="s">
        <v>47</v>
      </c>
    </row>
    <row r="5647" spans="1:11" ht="42" customHeight="1">
      <c r="A5647" s="2" t="s">
        <v>11098</v>
      </c>
      <c r="B5647" s="2" t="s">
        <v>11099</v>
      </c>
      <c r="C5647" s="2" t="s">
        <v>50</v>
      </c>
      <c r="D5647" s="2" t="s">
        <v>51</v>
      </c>
      <c r="E5647" s="5">
        <v>-28264</v>
      </c>
      <c r="F5647" s="3" t="s">
        <v>1329</v>
      </c>
      <c r="G5647" s="3" t="s">
        <v>31</v>
      </c>
      <c r="H5647" s="2" t="s">
        <v>20</v>
      </c>
      <c r="I5647" s="2" t="s">
        <v>11100</v>
      </c>
      <c r="J5647" s="3" t="str">
        <f>HYPERLINK("https://www.boe.es/gazeta/dias/1822/08/12/pdfs/GMD-1822-236.pdf#page=3","Abrir facsímil")</f>
        <v>Abrir facsímil</v>
      </c>
      <c r="K5647" s="3" t="s">
        <v>22</v>
      </c>
    </row>
    <row r="5648" spans="1:11" ht="42" customHeight="1">
      <c r="A5648" s="2" t="s">
        <v>11101</v>
      </c>
      <c r="B5648" s="2" t="s">
        <v>11101</v>
      </c>
      <c r="C5648" s="2" t="s">
        <v>50</v>
      </c>
      <c r="D5648" s="2" t="s">
        <v>51</v>
      </c>
      <c r="E5648" s="5">
        <v>-28245</v>
      </c>
      <c r="F5648" s="3" t="s">
        <v>2307</v>
      </c>
      <c r="G5648" s="3" t="s">
        <v>35</v>
      </c>
      <c r="H5648" s="2" t="s">
        <v>20</v>
      </c>
      <c r="I5648" s="2" t="s">
        <v>11102</v>
      </c>
      <c r="J5648" s="3" t="str">
        <f>HYPERLINK("https://www.boe.es/gazeta/dias/1822/08/31/pdfs/GMD-1822-255.pdf#page=2","Abrir facsímil")</f>
        <v>Abrir facsímil</v>
      </c>
      <c r="K5648" s="3" t="s">
        <v>22</v>
      </c>
    </row>
    <row r="5649" spans="1:11" ht="42" customHeight="1">
      <c r="A5649" s="2" t="s">
        <v>11103</v>
      </c>
      <c r="B5649" s="2" t="s">
        <v>11103</v>
      </c>
      <c r="C5649" s="2" t="s">
        <v>28</v>
      </c>
      <c r="D5649" s="2" t="s">
        <v>29</v>
      </c>
      <c r="E5649" s="5">
        <v>-28403</v>
      </c>
      <c r="F5649" s="3" t="s">
        <v>471</v>
      </c>
      <c r="G5649" s="3" t="s">
        <v>35</v>
      </c>
      <c r="H5649" s="2" t="s">
        <v>20</v>
      </c>
      <c r="I5649" s="2" t="s">
        <v>11104</v>
      </c>
      <c r="J5649" s="3" t="str">
        <f>HYPERLINK("https://www.boe.es/gazeta/dias/1822/03/26/pdfs/GMD-1822-87.pdf#page=2","Abrir facsímil")</f>
        <v>Abrir facsímil</v>
      </c>
      <c r="K5649" s="3" t="s">
        <v>22</v>
      </c>
    </row>
    <row r="5650" spans="1:11" ht="42" customHeight="1">
      <c r="A5650" s="2" t="s">
        <v>11103</v>
      </c>
      <c r="B5650" s="2" t="s">
        <v>11103</v>
      </c>
      <c r="C5650" s="2" t="s">
        <v>61</v>
      </c>
      <c r="D5650" s="2" t="s">
        <v>17</v>
      </c>
      <c r="E5650" s="5">
        <v>-28372</v>
      </c>
      <c r="F5650" s="3" t="s">
        <v>503</v>
      </c>
      <c r="G5650" s="3" t="s">
        <v>31</v>
      </c>
      <c r="H5650" s="2" t="s">
        <v>20</v>
      </c>
      <c r="I5650" s="2" t="s">
        <v>11105</v>
      </c>
      <c r="J5650" s="3" t="str">
        <f>HYPERLINK("https://www.boe.es/gazeta/dias/1822/04/26/pdfs/GMD-1822-118.pdf#page=3","Abrir facsímil")</f>
        <v>Abrir facsímil</v>
      </c>
      <c r="K5650" s="3" t="s">
        <v>22</v>
      </c>
    </row>
    <row r="5651" spans="1:11" ht="42" customHeight="1">
      <c r="A5651" s="2" t="s">
        <v>11103</v>
      </c>
      <c r="B5651" s="2" t="s">
        <v>11103</v>
      </c>
      <c r="C5651" s="2" t="s">
        <v>50</v>
      </c>
      <c r="D5651" s="2" t="s">
        <v>51</v>
      </c>
      <c r="E5651" s="5">
        <v>-28371</v>
      </c>
      <c r="F5651" s="3" t="s">
        <v>401</v>
      </c>
      <c r="G5651" s="3" t="s">
        <v>57</v>
      </c>
      <c r="H5651" s="2" t="s">
        <v>20</v>
      </c>
      <c r="I5651" s="2" t="s">
        <v>11106</v>
      </c>
      <c r="J5651" s="3" t="str">
        <f>HYPERLINK("https://www.boe.es/gazeta/dias/1822/04/27/pdfs/GMD-1822-119.pdf#page=4","Abrir facsímil")</f>
        <v>Abrir facsímil</v>
      </c>
      <c r="K5651" s="3" t="s">
        <v>22</v>
      </c>
    </row>
    <row r="5652" spans="1:11" ht="42" customHeight="1">
      <c r="A5652" s="2" t="s">
        <v>11103</v>
      </c>
      <c r="B5652" s="2" t="s">
        <v>11103</v>
      </c>
      <c r="C5652" s="2" t="s">
        <v>71</v>
      </c>
      <c r="D5652" s="2" t="s">
        <v>17</v>
      </c>
      <c r="E5652" s="5">
        <v>-28365</v>
      </c>
      <c r="F5652" s="3" t="s">
        <v>506</v>
      </c>
      <c r="G5652" s="3" t="s">
        <v>19</v>
      </c>
      <c r="H5652" s="2" t="s">
        <v>20</v>
      </c>
      <c r="I5652" s="2" t="s">
        <v>11107</v>
      </c>
      <c r="J5652" s="3" t="str">
        <f>HYPERLINK("https://www.boe.es/gazeta/dias/1822/05/03/pdfs/GMD-1822-125.pdf#page=5","Abrir facsímil")</f>
        <v>Abrir facsímil</v>
      </c>
      <c r="K5652" s="3" t="s">
        <v>22</v>
      </c>
    </row>
    <row r="5653" spans="1:11" ht="42" customHeight="1">
      <c r="A5653" s="2" t="s">
        <v>11103</v>
      </c>
      <c r="B5653" s="2" t="s">
        <v>11103</v>
      </c>
      <c r="C5653" s="2" t="s">
        <v>28</v>
      </c>
      <c r="D5653" s="2" t="s">
        <v>29</v>
      </c>
      <c r="E5653" s="5">
        <v>-28343</v>
      </c>
      <c r="F5653" s="3" t="s">
        <v>1019</v>
      </c>
      <c r="G5653" s="3" t="s">
        <v>35</v>
      </c>
      <c r="H5653" s="2" t="s">
        <v>20</v>
      </c>
      <c r="I5653" s="2" t="s">
        <v>11108</v>
      </c>
      <c r="J5653" s="3" t="str">
        <f>HYPERLINK("https://www.boe.es/gazeta/dias/1822/05/25/pdfs/GMD-1822-150.pdf#page=2","Abrir facsímil")</f>
        <v>Abrir facsímil</v>
      </c>
      <c r="K5653" s="3" t="s">
        <v>22</v>
      </c>
    </row>
    <row r="5654" spans="1:11" ht="42" customHeight="1">
      <c r="A5654" s="2" t="s">
        <v>11103</v>
      </c>
      <c r="B5654" s="2" t="s">
        <v>11103</v>
      </c>
      <c r="C5654" s="2" t="s">
        <v>50</v>
      </c>
      <c r="D5654" s="2" t="s">
        <v>51</v>
      </c>
      <c r="E5654" s="5">
        <v>-28335</v>
      </c>
      <c r="F5654" s="3" t="s">
        <v>3346</v>
      </c>
      <c r="G5654" s="3" t="s">
        <v>19</v>
      </c>
      <c r="H5654" s="2" t="s">
        <v>20</v>
      </c>
      <c r="I5654" s="2" t="s">
        <v>11109</v>
      </c>
      <c r="J5654" s="3" t="str">
        <f>HYPERLINK("https://www.boe.es/gazeta/dias/1822/06/02/pdfs/GMD-1822-158.pdf#page=5","Abrir facsímil")</f>
        <v>Abrir facsímil</v>
      </c>
      <c r="K5654" s="3" t="s">
        <v>22</v>
      </c>
    </row>
    <row r="5655" spans="1:11" ht="42" customHeight="1">
      <c r="A5655" s="2" t="s">
        <v>11103</v>
      </c>
      <c r="B5655" s="2" t="s">
        <v>11103</v>
      </c>
      <c r="C5655" s="2" t="s">
        <v>50</v>
      </c>
      <c r="D5655" s="2" t="s">
        <v>51</v>
      </c>
      <c r="E5655" s="5">
        <v>-28311</v>
      </c>
      <c r="F5655" s="3" t="s">
        <v>736</v>
      </c>
      <c r="G5655" s="3" t="s">
        <v>63</v>
      </c>
      <c r="H5655" s="2" t="s">
        <v>20</v>
      </c>
      <c r="I5655" s="2" t="s">
        <v>11110</v>
      </c>
      <c r="J5655" s="3" t="str">
        <f>HYPERLINK("https://www.boe.es/gazeta/dias/1822/06/26/pdfs/GMD-1822-184.pdf#page=6","Abrir facsímil")</f>
        <v>Abrir facsímil</v>
      </c>
      <c r="K5655" s="3" t="s">
        <v>22</v>
      </c>
    </row>
    <row r="5656" spans="1:11" ht="42" customHeight="1">
      <c r="A5656" s="2" t="s">
        <v>11103</v>
      </c>
      <c r="B5656" s="2" t="s">
        <v>11103</v>
      </c>
      <c r="C5656" s="2" t="s">
        <v>50</v>
      </c>
      <c r="D5656" s="2" t="s">
        <v>51</v>
      </c>
      <c r="E5656" s="5">
        <v>-28205</v>
      </c>
      <c r="F5656" s="3" t="s">
        <v>806</v>
      </c>
      <c r="G5656" s="3" t="s">
        <v>19</v>
      </c>
      <c r="H5656" s="2" t="s">
        <v>20</v>
      </c>
      <c r="I5656" s="2" t="s">
        <v>11111</v>
      </c>
      <c r="J5656" s="3" t="str">
        <f>HYPERLINK("https://www.boe.es/gazeta/dias/1822/10/10/pdfs/GMD-1822-297.pdf#page=5","Abrir facsímil")</f>
        <v>Abrir facsímil</v>
      </c>
      <c r="K5656" s="3" t="s">
        <v>22</v>
      </c>
    </row>
    <row r="5657" spans="1:11" ht="42" customHeight="1">
      <c r="A5657" s="2" t="s">
        <v>11103</v>
      </c>
      <c r="B5657" s="2" t="s">
        <v>11103</v>
      </c>
      <c r="C5657" s="2" t="s">
        <v>28</v>
      </c>
      <c r="D5657" s="2" t="s">
        <v>29</v>
      </c>
      <c r="E5657" s="5">
        <v>-28197</v>
      </c>
      <c r="F5657" s="3" t="s">
        <v>568</v>
      </c>
      <c r="G5657" s="3" t="s">
        <v>35</v>
      </c>
      <c r="H5657" s="2" t="s">
        <v>20</v>
      </c>
      <c r="I5657" s="2" t="s">
        <v>11112</v>
      </c>
      <c r="J5657" s="3" t="str">
        <f>HYPERLINK("https://www.boe.es/gazeta/dias/1822/10/18/pdfs/GMD-1822-305.pdf#page=2","Abrir facsímil")</f>
        <v>Abrir facsímil</v>
      </c>
      <c r="K5657" s="3" t="s">
        <v>22</v>
      </c>
    </row>
    <row r="5658" spans="1:11" ht="42" customHeight="1">
      <c r="A5658" s="2" t="s">
        <v>11103</v>
      </c>
      <c r="B5658" s="2" t="s">
        <v>11103</v>
      </c>
      <c r="C5658" s="2" t="s">
        <v>42</v>
      </c>
      <c r="D5658" s="2" t="s">
        <v>17</v>
      </c>
      <c r="E5658" s="5">
        <v>-28192</v>
      </c>
      <c r="F5658" s="3" t="s">
        <v>43</v>
      </c>
      <c r="G5658" s="3" t="s">
        <v>31</v>
      </c>
      <c r="H5658" s="2" t="s">
        <v>20</v>
      </c>
      <c r="I5658" s="2" t="s">
        <v>11113</v>
      </c>
      <c r="J5658" s="3" t="str">
        <f>HYPERLINK("https://www.boe.es/gazeta/dias/1822/10/23/pdfs/GMD-1822-310.pdf#page=3","Abrir facsímil")</f>
        <v>Abrir facsímil</v>
      </c>
      <c r="K5658" s="3" t="s">
        <v>22</v>
      </c>
    </row>
    <row r="5659" spans="1:11" ht="42" customHeight="1">
      <c r="A5659" s="2" t="s">
        <v>11103</v>
      </c>
      <c r="B5659" s="2" t="s">
        <v>11103</v>
      </c>
      <c r="C5659" s="2" t="s">
        <v>28</v>
      </c>
      <c r="D5659" s="2" t="s">
        <v>29</v>
      </c>
      <c r="E5659" s="5">
        <v>-28165</v>
      </c>
      <c r="F5659" s="3" t="s">
        <v>846</v>
      </c>
      <c r="G5659" s="3" t="s">
        <v>35</v>
      </c>
      <c r="H5659" s="2" t="s">
        <v>20</v>
      </c>
      <c r="I5659" s="2" t="s">
        <v>11114</v>
      </c>
      <c r="J5659" s="3" t="str">
        <f>HYPERLINK("https://www.boe.es/gazeta/dias/1822/11/19/pdfs/GMD-1822-339.pdf#page=2","Abrir facsímil")</f>
        <v>Abrir facsímil</v>
      </c>
      <c r="K5659" s="3" t="s">
        <v>22</v>
      </c>
    </row>
    <row r="5660" spans="1:11" ht="42" customHeight="1">
      <c r="A5660" s="2" t="s">
        <v>11103</v>
      </c>
      <c r="B5660" s="2" t="s">
        <v>11103</v>
      </c>
      <c r="C5660" s="2" t="s">
        <v>42</v>
      </c>
      <c r="D5660" s="2" t="s">
        <v>17</v>
      </c>
      <c r="E5660" s="5">
        <v>-28155</v>
      </c>
      <c r="F5660" s="3" t="s">
        <v>833</v>
      </c>
      <c r="G5660" s="3" t="s">
        <v>31</v>
      </c>
      <c r="H5660" s="2" t="s">
        <v>20</v>
      </c>
      <c r="I5660" s="2" t="s">
        <v>11115</v>
      </c>
      <c r="J5660" s="3" t="str">
        <f>HYPERLINK("https://www.boe.es/gazeta/dias/1822/11/29/pdfs/GMD-1822-349.pdf#page=3","Abrir facsímil")</f>
        <v>Abrir facsímil</v>
      </c>
      <c r="K5660" s="3" t="s">
        <v>22</v>
      </c>
    </row>
    <row r="5661" spans="1:11" ht="42" customHeight="1">
      <c r="A5661" s="2" t="s">
        <v>11116</v>
      </c>
      <c r="B5661" s="2" t="s">
        <v>11117</v>
      </c>
      <c r="C5661" s="2" t="s">
        <v>50</v>
      </c>
      <c r="D5661" s="2" t="s">
        <v>723</v>
      </c>
      <c r="E5661" s="5">
        <v>-28349</v>
      </c>
      <c r="F5661" s="3" t="s">
        <v>795</v>
      </c>
      <c r="G5661" s="3" t="s">
        <v>44</v>
      </c>
      <c r="H5661" s="2" t="s">
        <v>20</v>
      </c>
      <c r="I5661" s="2" t="s">
        <v>11118</v>
      </c>
      <c r="J5661" s="3" t="str">
        <f>HYPERLINK("https://www.boe.es/gazeta/dias/1822/05/19/pdfs/GMD-1822-142E.pdf#page=1","Abrir facsímil")</f>
        <v>Abrir facsímil</v>
      </c>
      <c r="K5661" s="3" t="s">
        <v>22</v>
      </c>
    </row>
    <row r="5662" spans="1:11" ht="42" customHeight="1">
      <c r="A5662" s="2" t="s">
        <v>11119</v>
      </c>
      <c r="B5662" s="2" t="s">
        <v>11119</v>
      </c>
      <c r="C5662" s="2" t="s">
        <v>28</v>
      </c>
      <c r="D5662" s="2" t="s">
        <v>29</v>
      </c>
      <c r="E5662" s="5">
        <v>-28202</v>
      </c>
      <c r="F5662" s="3" t="s">
        <v>922</v>
      </c>
      <c r="G5662" s="3" t="s">
        <v>19</v>
      </c>
      <c r="H5662" s="2" t="s">
        <v>20</v>
      </c>
      <c r="I5662" s="2" t="s">
        <v>11120</v>
      </c>
      <c r="J5662" s="3" t="str">
        <f>HYPERLINK("https://www.boe.es/gazeta/dias/1822/10/13/pdfs/GMD-1822-300.pdf#page=5","Abrir facsímil")</f>
        <v>Abrir facsímil</v>
      </c>
      <c r="K5662" s="3" t="s">
        <v>22</v>
      </c>
    </row>
    <row r="5663" spans="1:11" ht="42" customHeight="1">
      <c r="A5663" s="2" t="s">
        <v>11121</v>
      </c>
      <c r="B5663" s="2" t="s">
        <v>11121</v>
      </c>
      <c r="C5663" s="2" t="s">
        <v>50</v>
      </c>
      <c r="D5663" s="2" t="s">
        <v>51</v>
      </c>
      <c r="E5663" s="5">
        <v>-28154</v>
      </c>
      <c r="F5663" s="3" t="s">
        <v>2321</v>
      </c>
      <c r="G5663" s="3" t="s">
        <v>35</v>
      </c>
      <c r="H5663" s="2" t="s">
        <v>20</v>
      </c>
      <c r="I5663" s="2" t="s">
        <v>11122</v>
      </c>
      <c r="J5663" s="3" t="str">
        <f>HYPERLINK("https://www.boe.es/gazeta/dias/1822/11/30/pdfs/GMD-1822-350.pdf#page=2","Abrir facsímil")</f>
        <v>Abrir facsímil</v>
      </c>
      <c r="K5663" s="3" t="s">
        <v>22</v>
      </c>
    </row>
    <row r="5664" spans="1:11" ht="42" customHeight="1">
      <c r="A5664" s="2" t="s">
        <v>11123</v>
      </c>
      <c r="B5664" s="2" t="s">
        <v>11123</v>
      </c>
      <c r="C5664" s="2" t="s">
        <v>71</v>
      </c>
      <c r="D5664" s="2" t="s">
        <v>17</v>
      </c>
      <c r="E5664" s="5">
        <v>-28417</v>
      </c>
      <c r="F5664" s="3" t="s">
        <v>1394</v>
      </c>
      <c r="G5664" s="3" t="s">
        <v>31</v>
      </c>
      <c r="H5664" s="2" t="s">
        <v>20</v>
      </c>
      <c r="I5664" s="2" t="s">
        <v>11124</v>
      </c>
      <c r="J5664" s="3" t="str">
        <f>HYPERLINK("https://www.boe.es/gazeta/dias/1822/03/12/pdfs/GMD-1822-73.pdf#page=3","Abrir facsímil")</f>
        <v>Abrir facsímil</v>
      </c>
      <c r="K5664" s="3" t="s">
        <v>22</v>
      </c>
    </row>
    <row r="5665" spans="1:11" ht="42" customHeight="1">
      <c r="A5665" s="2" t="s">
        <v>11123</v>
      </c>
      <c r="B5665" s="2" t="s">
        <v>11123</v>
      </c>
      <c r="C5665" s="2" t="s">
        <v>16</v>
      </c>
      <c r="D5665" s="2" t="s">
        <v>17</v>
      </c>
      <c r="E5665" s="5">
        <v>-28404</v>
      </c>
      <c r="F5665" s="3" t="s">
        <v>421</v>
      </c>
      <c r="G5665" s="3" t="s">
        <v>57</v>
      </c>
      <c r="H5665" s="2" t="s">
        <v>20</v>
      </c>
      <c r="I5665" s="2" t="s">
        <v>11125</v>
      </c>
      <c r="J5665" s="3" t="str">
        <f>HYPERLINK("https://www.boe.es/gazeta/dias/1822/03/25/pdfs/GMD-1822-86.pdf#page=4","Abrir facsímil")</f>
        <v>Abrir facsímil</v>
      </c>
      <c r="K5665" s="3" t="s">
        <v>22</v>
      </c>
    </row>
    <row r="5666" spans="1:11" ht="42" customHeight="1">
      <c r="A5666" s="2" t="s">
        <v>11126</v>
      </c>
      <c r="B5666" s="2" t="s">
        <v>11126</v>
      </c>
      <c r="C5666" s="2" t="s">
        <v>42</v>
      </c>
      <c r="D5666" s="2" t="s">
        <v>17</v>
      </c>
      <c r="E5666" s="5">
        <v>-28369</v>
      </c>
      <c r="F5666" s="3" t="s">
        <v>1590</v>
      </c>
      <c r="G5666" s="3" t="s">
        <v>35</v>
      </c>
      <c r="H5666" s="2" t="s">
        <v>20</v>
      </c>
      <c r="I5666" s="2" t="s">
        <v>11127</v>
      </c>
      <c r="J5666" s="3" t="str">
        <f>HYPERLINK("https://www.boe.es/gazeta/dias/1822/04/29/pdfs/GMD-1822-121.pdf#page=2","Abrir facsímil")</f>
        <v>Abrir facsímil</v>
      </c>
      <c r="K5666" s="3" t="s">
        <v>22</v>
      </c>
    </row>
    <row r="5667" spans="1:11" ht="42" customHeight="1">
      <c r="A5667" s="2" t="s">
        <v>11123</v>
      </c>
      <c r="B5667" s="2" t="s">
        <v>11123</v>
      </c>
      <c r="C5667" s="2" t="s">
        <v>28</v>
      </c>
      <c r="D5667" s="2" t="s">
        <v>29</v>
      </c>
      <c r="E5667" s="5">
        <v>-28320</v>
      </c>
      <c r="F5667" s="3" t="s">
        <v>700</v>
      </c>
      <c r="G5667" s="3" t="s">
        <v>35</v>
      </c>
      <c r="H5667" s="2" t="s">
        <v>20</v>
      </c>
      <c r="I5667" s="2" t="s">
        <v>11128</v>
      </c>
      <c r="J5667" s="3" t="str">
        <f>HYPERLINK("https://www.boe.es/gazeta/dias/1822/06/17/pdfs/GMD-1822-174.pdf#page=2","Abrir facsímil")</f>
        <v>Abrir facsímil</v>
      </c>
      <c r="K5667" s="3" t="s">
        <v>22</v>
      </c>
    </row>
    <row r="5668" spans="1:11" ht="42" customHeight="1">
      <c r="A5668" s="2" t="s">
        <v>11123</v>
      </c>
      <c r="B5668" s="2" t="s">
        <v>11123</v>
      </c>
      <c r="C5668" s="2" t="s">
        <v>50</v>
      </c>
      <c r="D5668" s="2" t="s">
        <v>51</v>
      </c>
      <c r="E5668" s="5">
        <v>-28202</v>
      </c>
      <c r="F5668" s="3" t="s">
        <v>922</v>
      </c>
      <c r="G5668" s="3" t="s">
        <v>31</v>
      </c>
      <c r="H5668" s="2" t="s">
        <v>20</v>
      </c>
      <c r="I5668" s="2" t="s">
        <v>11129</v>
      </c>
      <c r="J5668" s="3" t="str">
        <f>HYPERLINK("https://www.boe.es/gazeta/dias/1822/10/13/pdfs/GMD-1822-300.pdf#page=3","Abrir facsímil")</f>
        <v>Abrir facsímil</v>
      </c>
      <c r="K5668" s="3" t="s">
        <v>22</v>
      </c>
    </row>
    <row r="5669" spans="1:11" ht="42" customHeight="1">
      <c r="A5669" s="2" t="s">
        <v>11123</v>
      </c>
      <c r="B5669" s="2" t="s">
        <v>11123</v>
      </c>
      <c r="C5669" s="2" t="s">
        <v>50</v>
      </c>
      <c r="D5669" s="2" t="s">
        <v>51</v>
      </c>
      <c r="E5669" s="5">
        <v>-28150</v>
      </c>
      <c r="F5669" s="3" t="s">
        <v>62</v>
      </c>
      <c r="G5669" s="3" t="s">
        <v>57</v>
      </c>
      <c r="H5669" s="2" t="s">
        <v>20</v>
      </c>
      <c r="I5669" s="2" t="s">
        <v>11130</v>
      </c>
      <c r="J5669" s="3" t="str">
        <f>HYPERLINK("https://www.boe.es/gazeta/dias/1822/12/04/pdfs/GMD-1822-354.pdf#page=4","Abrir facsímil")</f>
        <v>Abrir facsímil</v>
      </c>
      <c r="K5669" s="3" t="s">
        <v>22</v>
      </c>
    </row>
    <row r="5670" spans="1:11" ht="42" customHeight="1">
      <c r="A5670" s="2" t="s">
        <v>11131</v>
      </c>
      <c r="B5670" s="2" t="s">
        <v>11132</v>
      </c>
      <c r="C5670" s="2" t="s">
        <v>28</v>
      </c>
      <c r="D5670" s="2" t="s">
        <v>29</v>
      </c>
      <c r="E5670" s="5">
        <v>-28425</v>
      </c>
      <c r="F5670" s="3" t="s">
        <v>419</v>
      </c>
      <c r="G5670" s="3" t="s">
        <v>35</v>
      </c>
      <c r="H5670" s="2" t="s">
        <v>20</v>
      </c>
      <c r="I5670" s="2" t="s">
        <v>11133</v>
      </c>
      <c r="J5670" s="3" t="str">
        <f>HYPERLINK("https://www.boe.es/gazeta/dias/1822/03/04/pdfs/GMD-1822-65.pdf#page=2","Abrir facsímil")</f>
        <v>Abrir facsímil</v>
      </c>
      <c r="K5670" s="3" t="s">
        <v>22</v>
      </c>
    </row>
    <row r="5671" spans="1:11" ht="42" customHeight="1">
      <c r="A5671" s="2" t="s">
        <v>11134</v>
      </c>
      <c r="B5671" s="2" t="s">
        <v>11135</v>
      </c>
      <c r="C5671" s="2" t="s">
        <v>71</v>
      </c>
      <c r="D5671" s="2" t="s">
        <v>17</v>
      </c>
      <c r="E5671" s="5">
        <v>-28383</v>
      </c>
      <c r="F5671" s="3" t="s">
        <v>488</v>
      </c>
      <c r="G5671" s="3" t="s">
        <v>57</v>
      </c>
      <c r="H5671" s="2" t="s">
        <v>20</v>
      </c>
      <c r="I5671" s="2" t="s">
        <v>11136</v>
      </c>
      <c r="J5671" s="3" t="str">
        <f>HYPERLINK("https://www.boe.es/gazeta/dias/1822/04/15/pdfs/GMD-1822-107.pdf#page=4","Abrir facsímil")</f>
        <v>Abrir facsímil</v>
      </c>
      <c r="K5671" s="3" t="s">
        <v>22</v>
      </c>
    </row>
    <row r="5672" spans="1:11" ht="42" customHeight="1">
      <c r="A5672" s="2" t="s">
        <v>11137</v>
      </c>
      <c r="B5672" s="2" t="s">
        <v>11138</v>
      </c>
      <c r="C5672" s="2" t="s">
        <v>61</v>
      </c>
      <c r="D5672" s="2" t="s">
        <v>17</v>
      </c>
      <c r="E5672" s="5">
        <v>-28243</v>
      </c>
      <c r="F5672" s="3" t="s">
        <v>1829</v>
      </c>
      <c r="G5672" s="3" t="s">
        <v>57</v>
      </c>
      <c r="H5672" s="2" t="s">
        <v>45</v>
      </c>
      <c r="I5672" s="2" t="s">
        <v>11139</v>
      </c>
      <c r="J5672" s="3" t="str">
        <f>HYPERLINK("https://www.boe.es/gazeta/dias/1822/09/02/pdfs/GMD-1822-257.pdf#page=4","Abrir facsímil")</f>
        <v>Abrir facsímil</v>
      </c>
      <c r="K5672" s="3" t="s">
        <v>47</v>
      </c>
    </row>
    <row r="5673" spans="1:11" ht="42" customHeight="1">
      <c r="A5673" s="2" t="s">
        <v>11140</v>
      </c>
      <c r="B5673" s="2" t="s">
        <v>11140</v>
      </c>
      <c r="C5673" s="2" t="s">
        <v>42</v>
      </c>
      <c r="D5673" s="2" t="s">
        <v>17</v>
      </c>
      <c r="E5673" s="5">
        <v>-28465</v>
      </c>
      <c r="F5673" s="3" t="s">
        <v>1114</v>
      </c>
      <c r="G5673" s="3" t="s">
        <v>35</v>
      </c>
      <c r="H5673" s="2" t="s">
        <v>20</v>
      </c>
      <c r="I5673" s="2" t="s">
        <v>11141</v>
      </c>
      <c r="J5673" s="3" t="str">
        <f>HYPERLINK("https://www.boe.es/gazeta/dias/1822/01/23/pdfs/GMD-1822-23.pdf#page=2","Abrir facsímil")</f>
        <v>Abrir facsímil</v>
      </c>
      <c r="K5673" s="3" t="s">
        <v>22</v>
      </c>
    </row>
    <row r="5674" spans="1:11" ht="42" customHeight="1">
      <c r="A5674" s="2" t="s">
        <v>11142</v>
      </c>
      <c r="B5674" s="2" t="s">
        <v>11143</v>
      </c>
      <c r="C5674" s="2" t="s">
        <v>50</v>
      </c>
      <c r="D5674" s="2" t="s">
        <v>51</v>
      </c>
      <c r="E5674" s="5">
        <v>-28213</v>
      </c>
      <c r="F5674" s="3" t="s">
        <v>558</v>
      </c>
      <c r="G5674" s="3" t="s">
        <v>35</v>
      </c>
      <c r="H5674" s="2" t="s">
        <v>20</v>
      </c>
      <c r="I5674" s="2" t="s">
        <v>11144</v>
      </c>
      <c r="J5674" s="3" t="str">
        <f>HYPERLINK("https://www.boe.es/gazeta/dias/1822/10/02/pdfs/GMD-1822-288.pdf#page=2","Abrir facsímil")</f>
        <v>Abrir facsímil</v>
      </c>
      <c r="K5674" s="3" t="s">
        <v>22</v>
      </c>
    </row>
    <row r="5675" spans="1:11" ht="42" customHeight="1">
      <c r="A5675" s="2" t="s">
        <v>11145</v>
      </c>
      <c r="B5675" s="2" t="s">
        <v>11146</v>
      </c>
      <c r="C5675" s="2" t="s">
        <v>362</v>
      </c>
      <c r="D5675" s="2" t="s">
        <v>17</v>
      </c>
      <c r="E5675" s="5">
        <v>-28243</v>
      </c>
      <c r="F5675" s="3" t="s">
        <v>1829</v>
      </c>
      <c r="G5675" s="3" t="s">
        <v>57</v>
      </c>
      <c r="H5675" s="2" t="s">
        <v>20</v>
      </c>
      <c r="I5675" s="2" t="s">
        <v>11147</v>
      </c>
      <c r="J5675" s="3" t="str">
        <f>HYPERLINK("https://www.boe.es/gazeta/dias/1822/09/02/pdfs/GMD-1822-257.pdf#page=4","Abrir facsímil")</f>
        <v>Abrir facsímil</v>
      </c>
      <c r="K5675" s="3" t="s">
        <v>22</v>
      </c>
    </row>
    <row r="5676" spans="1:11" ht="42" customHeight="1">
      <c r="A5676" s="2" t="s">
        <v>11148</v>
      </c>
      <c r="B5676" s="2" t="s">
        <v>11149</v>
      </c>
      <c r="C5676" s="2" t="s">
        <v>50</v>
      </c>
      <c r="D5676" s="2" t="s">
        <v>51</v>
      </c>
      <c r="E5676" s="5">
        <v>-28349</v>
      </c>
      <c r="F5676" s="3" t="s">
        <v>518</v>
      </c>
      <c r="G5676" s="3" t="s">
        <v>57</v>
      </c>
      <c r="H5676" s="2" t="s">
        <v>20</v>
      </c>
      <c r="I5676" s="2" t="s">
        <v>11150</v>
      </c>
      <c r="J5676" s="3" t="str">
        <f>HYPERLINK("https://www.boe.es/gazeta/dias/1822/05/19/pdfs/GMD-1822-141.pdf#page=4","Abrir facsímil")</f>
        <v>Abrir facsímil</v>
      </c>
      <c r="K5676" s="3" t="s">
        <v>22</v>
      </c>
    </row>
    <row r="5677" spans="1:11" ht="42" customHeight="1">
      <c r="A5677" s="2" t="s">
        <v>11148</v>
      </c>
      <c r="B5677" s="2" t="s">
        <v>11149</v>
      </c>
      <c r="C5677" s="2" t="s">
        <v>50</v>
      </c>
      <c r="D5677" s="2" t="s">
        <v>51</v>
      </c>
      <c r="E5677" s="5">
        <v>-28347</v>
      </c>
      <c r="F5677" s="3" t="s">
        <v>520</v>
      </c>
      <c r="G5677" s="3" t="s">
        <v>63</v>
      </c>
      <c r="H5677" s="2" t="s">
        <v>20</v>
      </c>
      <c r="I5677" s="2" t="s">
        <v>11151</v>
      </c>
      <c r="J5677" s="3" t="str">
        <f>HYPERLINK("https://www.boe.es/gazeta/dias/1822/05/21/pdfs/GMD-1822-144.pdf#page=6","Abrir facsímil")</f>
        <v>Abrir facsímil</v>
      </c>
      <c r="K5677" s="3" t="s">
        <v>22</v>
      </c>
    </row>
    <row r="5678" spans="1:11" ht="42" customHeight="1">
      <c r="A5678" s="2" t="s">
        <v>11148</v>
      </c>
      <c r="B5678" s="2" t="s">
        <v>11149</v>
      </c>
      <c r="C5678" s="2" t="s">
        <v>50</v>
      </c>
      <c r="D5678" s="2" t="s">
        <v>51</v>
      </c>
      <c r="E5678" s="5">
        <v>-28329</v>
      </c>
      <c r="F5678" s="3" t="s">
        <v>354</v>
      </c>
      <c r="G5678" s="3" t="s">
        <v>63</v>
      </c>
      <c r="H5678" s="2" t="s">
        <v>20</v>
      </c>
      <c r="I5678" s="2" t="s">
        <v>11152</v>
      </c>
      <c r="J5678" s="3" t="str">
        <f>HYPERLINK("https://www.boe.es/gazeta/dias/1822/06/08/pdfs/GMD-1822-165.pdf#page=6","Abrir facsímil")</f>
        <v>Abrir facsímil</v>
      </c>
      <c r="K5678" s="3" t="s">
        <v>22</v>
      </c>
    </row>
    <row r="5679" spans="1:11" ht="42" customHeight="1">
      <c r="A5679" s="2" t="s">
        <v>11153</v>
      </c>
      <c r="B5679" s="2" t="s">
        <v>11153</v>
      </c>
      <c r="C5679" s="2" t="s">
        <v>50</v>
      </c>
      <c r="D5679" s="2" t="s">
        <v>51</v>
      </c>
      <c r="E5679" s="5">
        <v>-28194</v>
      </c>
      <c r="F5679" s="3" t="s">
        <v>18</v>
      </c>
      <c r="G5679" s="3" t="s">
        <v>31</v>
      </c>
      <c r="H5679" s="2" t="s">
        <v>20</v>
      </c>
      <c r="I5679" s="2" t="s">
        <v>11154</v>
      </c>
      <c r="J5679" s="3" t="str">
        <f>HYPERLINK("https://www.boe.es/gazeta/dias/1822/10/21/pdfs/GMD-1822-308.pdf#page=3","Abrir facsímil")</f>
        <v>Abrir facsímil</v>
      </c>
      <c r="K5679" s="3" t="s">
        <v>22</v>
      </c>
    </row>
    <row r="5680" spans="1:11" ht="42" customHeight="1">
      <c r="A5680" s="2" t="s">
        <v>11155</v>
      </c>
      <c r="B5680" s="2" t="s">
        <v>11155</v>
      </c>
      <c r="C5680" s="2" t="s">
        <v>16</v>
      </c>
      <c r="D5680" s="2" t="s">
        <v>17</v>
      </c>
      <c r="E5680" s="5">
        <v>-28327</v>
      </c>
      <c r="F5680" s="3" t="s">
        <v>38</v>
      </c>
      <c r="G5680" s="3" t="s">
        <v>57</v>
      </c>
      <c r="H5680" s="2" t="s">
        <v>20</v>
      </c>
      <c r="I5680" s="2" t="s">
        <v>11156</v>
      </c>
      <c r="J5680" s="3" t="str">
        <f>HYPERLINK("https://www.boe.es/gazeta/dias/1822/06/10/pdfs/GMD-1822-167.pdf#page=4","Abrir facsímil")</f>
        <v>Abrir facsímil</v>
      </c>
      <c r="K5680" s="3" t="s">
        <v>22</v>
      </c>
    </row>
    <row r="5681" spans="1:11" ht="42" customHeight="1">
      <c r="A5681" s="2" t="s">
        <v>11155</v>
      </c>
      <c r="B5681" s="2" t="s">
        <v>11155</v>
      </c>
      <c r="C5681" s="2" t="s">
        <v>71</v>
      </c>
      <c r="D5681" s="2" t="s">
        <v>17</v>
      </c>
      <c r="E5681" s="5">
        <v>-28310</v>
      </c>
      <c r="F5681" s="3" t="s">
        <v>241</v>
      </c>
      <c r="G5681" s="3" t="s">
        <v>31</v>
      </c>
      <c r="H5681" s="2" t="s">
        <v>20</v>
      </c>
      <c r="I5681" s="2" t="s">
        <v>11157</v>
      </c>
      <c r="J5681" s="3" t="str">
        <f>HYPERLINK("https://www.boe.es/gazeta/dias/1822/06/27/pdfs/GMD-1822-185.pdf#page=3","Abrir facsímil")</f>
        <v>Abrir facsímil</v>
      </c>
      <c r="K5681" s="3" t="s">
        <v>22</v>
      </c>
    </row>
    <row r="5682" spans="1:11" ht="42" customHeight="1">
      <c r="A5682" s="2" t="s">
        <v>11158</v>
      </c>
      <c r="B5682" s="2" t="s">
        <v>11158</v>
      </c>
      <c r="C5682" s="2" t="s">
        <v>50</v>
      </c>
      <c r="D5682" s="2" t="s">
        <v>51</v>
      </c>
      <c r="E5682" s="5">
        <v>-28182</v>
      </c>
      <c r="F5682" s="3" t="s">
        <v>585</v>
      </c>
      <c r="G5682" s="3" t="s">
        <v>44</v>
      </c>
      <c r="H5682" s="2" t="s">
        <v>20</v>
      </c>
      <c r="I5682" s="2" t="s">
        <v>11159</v>
      </c>
      <c r="J5682" s="3" t="str">
        <f>HYPERLINK("https://www.boe.es/gazeta/dias/1822/11/02/pdfs/GMD-1822-320.pdf#page=1","Abrir facsímil")</f>
        <v>Abrir facsímil</v>
      </c>
      <c r="K5682" s="3" t="s">
        <v>22</v>
      </c>
    </row>
    <row r="5683" spans="1:11" ht="42" customHeight="1">
      <c r="A5683" s="2" t="s">
        <v>11160</v>
      </c>
      <c r="B5683" s="2" t="s">
        <v>11160</v>
      </c>
      <c r="C5683" s="2" t="s">
        <v>16</v>
      </c>
      <c r="D5683" s="2" t="s">
        <v>17</v>
      </c>
      <c r="E5683" s="5">
        <v>-28129</v>
      </c>
      <c r="F5683" s="3" t="s">
        <v>599</v>
      </c>
      <c r="G5683" s="3" t="s">
        <v>35</v>
      </c>
      <c r="H5683" s="2" t="s">
        <v>20</v>
      </c>
      <c r="I5683" s="2" t="s">
        <v>11161</v>
      </c>
      <c r="J5683" s="3" t="str">
        <f>HYPERLINK("https://www.boe.es/gazeta/dias/1822/12/25/pdfs/GMD-1822-375.pdf#page=2","Abrir facsímil")</f>
        <v>Abrir facsímil</v>
      </c>
      <c r="K5683" s="3" t="s">
        <v>22</v>
      </c>
    </row>
    <row r="5684" spans="1:11" ht="42" customHeight="1">
      <c r="A5684" s="2" t="s">
        <v>11162</v>
      </c>
      <c r="B5684" s="2" t="s">
        <v>11162</v>
      </c>
      <c r="C5684" s="2" t="s">
        <v>28</v>
      </c>
      <c r="D5684" s="2" t="s">
        <v>29</v>
      </c>
      <c r="E5684" s="5">
        <v>-28416</v>
      </c>
      <c r="F5684" s="3" t="s">
        <v>97</v>
      </c>
      <c r="G5684" s="3" t="s">
        <v>31</v>
      </c>
      <c r="H5684" s="2" t="s">
        <v>20</v>
      </c>
      <c r="I5684" s="2" t="s">
        <v>11163</v>
      </c>
      <c r="J5684" s="3" t="str">
        <f>HYPERLINK("https://www.boe.es/gazeta/dias/1822/03/13/pdfs/GMD-1822-74.pdf#page=3","Abrir facsímil")</f>
        <v>Abrir facsímil</v>
      </c>
      <c r="K5684" s="3" t="s">
        <v>22</v>
      </c>
    </row>
    <row r="5685" spans="1:11" ht="42" customHeight="1">
      <c r="A5685" s="2" t="s">
        <v>11162</v>
      </c>
      <c r="B5685" s="2" t="s">
        <v>11162</v>
      </c>
      <c r="C5685" s="2" t="s">
        <v>28</v>
      </c>
      <c r="D5685" s="2" t="s">
        <v>29</v>
      </c>
      <c r="E5685" s="5">
        <v>-28365</v>
      </c>
      <c r="F5685" s="3" t="s">
        <v>506</v>
      </c>
      <c r="G5685" s="3" t="s">
        <v>19</v>
      </c>
      <c r="H5685" s="2" t="s">
        <v>20</v>
      </c>
      <c r="I5685" s="2" t="s">
        <v>11164</v>
      </c>
      <c r="J5685" s="3" t="str">
        <f>HYPERLINK("https://www.boe.es/gazeta/dias/1822/05/03/pdfs/GMD-1822-125.pdf#page=5","Abrir facsímil")</f>
        <v>Abrir facsímil</v>
      </c>
      <c r="K5685" s="3" t="s">
        <v>22</v>
      </c>
    </row>
    <row r="5686" spans="1:11" ht="42" customHeight="1">
      <c r="A5686" s="2" t="s">
        <v>11162</v>
      </c>
      <c r="B5686" s="2" t="s">
        <v>11162</v>
      </c>
      <c r="C5686" s="2" t="s">
        <v>42</v>
      </c>
      <c r="D5686" s="2" t="s">
        <v>17</v>
      </c>
      <c r="E5686" s="5">
        <v>-28352</v>
      </c>
      <c r="F5686" s="3" t="s">
        <v>1575</v>
      </c>
      <c r="G5686" s="3" t="s">
        <v>19</v>
      </c>
      <c r="H5686" s="2" t="s">
        <v>20</v>
      </c>
      <c r="I5686" s="2" t="s">
        <v>11165</v>
      </c>
      <c r="J5686" s="3" t="str">
        <f>HYPERLINK("https://www.boe.es/gazeta/dias/1822/05/16/pdfs/GMD-1822-138.pdf#page=5","Abrir facsímil")</f>
        <v>Abrir facsímil</v>
      </c>
      <c r="K5686" s="3" t="s">
        <v>22</v>
      </c>
    </row>
    <row r="5687" spans="1:11" ht="42" customHeight="1">
      <c r="A5687" s="2" t="s">
        <v>11166</v>
      </c>
      <c r="B5687" s="2" t="s">
        <v>11166</v>
      </c>
      <c r="C5687" s="2" t="s">
        <v>50</v>
      </c>
      <c r="D5687" s="2" t="s">
        <v>51</v>
      </c>
      <c r="E5687" s="5">
        <v>-28426</v>
      </c>
      <c r="F5687" s="3" t="s">
        <v>1178</v>
      </c>
      <c r="G5687" s="3" t="s">
        <v>31</v>
      </c>
      <c r="H5687" s="2" t="s">
        <v>20</v>
      </c>
      <c r="I5687" s="2" t="s">
        <v>11167</v>
      </c>
      <c r="J5687" s="3" t="str">
        <f>HYPERLINK("https://www.boe.es/gazeta/dias/1822/03/03/pdfs/GMD-1822-64.pdf#page=3","Abrir facsímil")</f>
        <v>Abrir facsímil</v>
      </c>
      <c r="K5687" s="3" t="s">
        <v>22</v>
      </c>
    </row>
    <row r="5688" spans="1:11" ht="42" customHeight="1">
      <c r="A5688" s="2" t="s">
        <v>11166</v>
      </c>
      <c r="B5688" s="2" t="s">
        <v>11166</v>
      </c>
      <c r="C5688" s="2" t="s">
        <v>50</v>
      </c>
      <c r="D5688" s="2" t="s">
        <v>51</v>
      </c>
      <c r="E5688" s="5">
        <v>-28424</v>
      </c>
      <c r="F5688" s="3" t="s">
        <v>439</v>
      </c>
      <c r="G5688" s="3" t="s">
        <v>31</v>
      </c>
      <c r="H5688" s="2" t="s">
        <v>20</v>
      </c>
      <c r="I5688" s="2" t="s">
        <v>11168</v>
      </c>
      <c r="J5688" s="3" t="str">
        <f>HYPERLINK("https://www.boe.es/gazeta/dias/1822/03/05/pdfs/GMD-1822-66.pdf#page=3","Abrir facsímil")</f>
        <v>Abrir facsímil</v>
      </c>
      <c r="K5688" s="3" t="s">
        <v>22</v>
      </c>
    </row>
    <row r="5689" spans="1:11" ht="42" customHeight="1">
      <c r="A5689" s="2" t="s">
        <v>11166</v>
      </c>
      <c r="B5689" s="2" t="s">
        <v>11166</v>
      </c>
      <c r="C5689" s="2" t="s">
        <v>362</v>
      </c>
      <c r="D5689" s="2" t="s">
        <v>17</v>
      </c>
      <c r="E5689" s="5">
        <v>-28423</v>
      </c>
      <c r="F5689" s="3" t="s">
        <v>441</v>
      </c>
      <c r="G5689" s="3" t="s">
        <v>31</v>
      </c>
      <c r="H5689" s="2" t="s">
        <v>20</v>
      </c>
      <c r="I5689" s="2" t="s">
        <v>11169</v>
      </c>
      <c r="J5689" s="3" t="str">
        <f>HYPERLINK("https://www.boe.es/gazeta/dias/1822/03/06/pdfs/GMD-1822-67.pdf#page=3","Abrir facsímil")</f>
        <v>Abrir facsímil</v>
      </c>
      <c r="K5689" s="3" t="s">
        <v>22</v>
      </c>
    </row>
    <row r="5690" spans="1:11" ht="42" customHeight="1">
      <c r="A5690" s="2" t="s">
        <v>11166</v>
      </c>
      <c r="B5690" s="2" t="s">
        <v>11166</v>
      </c>
      <c r="C5690" s="2" t="s">
        <v>28</v>
      </c>
      <c r="D5690" s="2" t="s">
        <v>29</v>
      </c>
      <c r="E5690" s="5">
        <v>-28418</v>
      </c>
      <c r="F5690" s="3" t="s">
        <v>205</v>
      </c>
      <c r="G5690" s="3" t="s">
        <v>35</v>
      </c>
      <c r="H5690" s="2" t="s">
        <v>20</v>
      </c>
      <c r="I5690" s="2" t="s">
        <v>11170</v>
      </c>
      <c r="J5690" s="3" t="str">
        <f>HYPERLINK("https://www.boe.es/gazeta/dias/1822/03/11/pdfs/GMD-1822-72.pdf#page=2","Abrir facsímil")</f>
        <v>Abrir facsímil</v>
      </c>
      <c r="K5690" s="3" t="s">
        <v>22</v>
      </c>
    </row>
    <row r="5691" spans="1:11" ht="42" customHeight="1">
      <c r="A5691" s="2" t="s">
        <v>11166</v>
      </c>
      <c r="B5691" s="2" t="s">
        <v>11166</v>
      </c>
      <c r="C5691" s="2" t="s">
        <v>71</v>
      </c>
      <c r="D5691" s="2" t="s">
        <v>17</v>
      </c>
      <c r="E5691" s="5">
        <v>-28418</v>
      </c>
      <c r="F5691" s="3" t="s">
        <v>205</v>
      </c>
      <c r="G5691" s="3" t="s">
        <v>63</v>
      </c>
      <c r="H5691" s="2" t="s">
        <v>20</v>
      </c>
      <c r="I5691" s="2" t="s">
        <v>11171</v>
      </c>
      <c r="J5691" s="3" t="str">
        <f>HYPERLINK("https://www.boe.es/gazeta/dias/1822/03/11/pdfs/GMD-1822-72.pdf#page=6","Abrir facsímil")</f>
        <v>Abrir facsímil</v>
      </c>
      <c r="K5691" s="3" t="s">
        <v>22</v>
      </c>
    </row>
    <row r="5692" spans="1:11" ht="42" customHeight="1">
      <c r="A5692" s="2" t="s">
        <v>11166</v>
      </c>
      <c r="B5692" s="2" t="s">
        <v>11166</v>
      </c>
      <c r="C5692" s="2" t="s">
        <v>28</v>
      </c>
      <c r="D5692" s="2" t="s">
        <v>29</v>
      </c>
      <c r="E5692" s="5">
        <v>-28417</v>
      </c>
      <c r="F5692" s="3" t="s">
        <v>1394</v>
      </c>
      <c r="G5692" s="3" t="s">
        <v>31</v>
      </c>
      <c r="H5692" s="2" t="s">
        <v>20</v>
      </c>
      <c r="I5692" s="2" t="s">
        <v>11172</v>
      </c>
      <c r="J5692" s="3" t="str">
        <f>HYPERLINK("https://www.boe.es/gazeta/dias/1822/03/12/pdfs/GMD-1822-73.pdf#page=3","Abrir facsímil")</f>
        <v>Abrir facsímil</v>
      </c>
      <c r="K5692" s="3" t="s">
        <v>22</v>
      </c>
    </row>
    <row r="5693" spans="1:11" ht="42" customHeight="1">
      <c r="A5693" s="2" t="s">
        <v>11166</v>
      </c>
      <c r="B5693" s="2" t="s">
        <v>11166</v>
      </c>
      <c r="C5693" s="2" t="s">
        <v>42</v>
      </c>
      <c r="D5693" s="2" t="s">
        <v>17</v>
      </c>
      <c r="E5693" s="5">
        <v>-28411</v>
      </c>
      <c r="F5693" s="3" t="s">
        <v>1509</v>
      </c>
      <c r="G5693" s="3" t="s">
        <v>31</v>
      </c>
      <c r="H5693" s="2" t="s">
        <v>20</v>
      </c>
      <c r="I5693" s="2" t="s">
        <v>11173</v>
      </c>
      <c r="J5693" s="3" t="str">
        <f>HYPERLINK("https://www.boe.es/gazeta/dias/1822/03/18/pdfs/GMD-1822-79.pdf#page=3","Abrir facsímil")</f>
        <v>Abrir facsímil</v>
      </c>
      <c r="K5693" s="3" t="s">
        <v>22</v>
      </c>
    </row>
    <row r="5694" spans="1:11" ht="42" customHeight="1">
      <c r="A5694" s="2" t="s">
        <v>11166</v>
      </c>
      <c r="B5694" s="2" t="s">
        <v>11166</v>
      </c>
      <c r="C5694" s="2" t="s">
        <v>16</v>
      </c>
      <c r="D5694" s="2" t="s">
        <v>17</v>
      </c>
      <c r="E5694" s="5">
        <v>-28405</v>
      </c>
      <c r="F5694" s="3" t="s">
        <v>466</v>
      </c>
      <c r="G5694" s="3" t="s">
        <v>35</v>
      </c>
      <c r="H5694" s="2" t="s">
        <v>20</v>
      </c>
      <c r="I5694" s="2" t="s">
        <v>11174</v>
      </c>
      <c r="J5694" s="3" t="str">
        <f>HYPERLINK("https://www.boe.es/gazeta/dias/1822/03/24/pdfs/GMD-1822-85.pdf#page=2","Abrir facsímil")</f>
        <v>Abrir facsímil</v>
      </c>
      <c r="K5694" s="3" t="s">
        <v>22</v>
      </c>
    </row>
    <row r="5695" spans="1:11" ht="42" customHeight="1">
      <c r="A5695" s="2" t="s">
        <v>11166</v>
      </c>
      <c r="B5695" s="2" t="s">
        <v>11166</v>
      </c>
      <c r="C5695" s="2" t="s">
        <v>71</v>
      </c>
      <c r="D5695" s="2" t="s">
        <v>17</v>
      </c>
      <c r="E5695" s="5">
        <v>-28404</v>
      </c>
      <c r="F5695" s="3" t="s">
        <v>421</v>
      </c>
      <c r="G5695" s="3" t="s">
        <v>35</v>
      </c>
      <c r="H5695" s="2" t="s">
        <v>20</v>
      </c>
      <c r="I5695" s="2" t="s">
        <v>11175</v>
      </c>
      <c r="J5695" s="3" t="str">
        <f>HYPERLINK("https://www.boe.es/gazeta/dias/1822/03/25/pdfs/GMD-1822-86.pdf#page=2","Abrir facsímil")</f>
        <v>Abrir facsímil</v>
      </c>
      <c r="K5695" s="3" t="s">
        <v>22</v>
      </c>
    </row>
    <row r="5696" spans="1:11" ht="42" customHeight="1">
      <c r="A5696" s="2" t="s">
        <v>11166</v>
      </c>
      <c r="B5696" s="2" t="s">
        <v>11166</v>
      </c>
      <c r="C5696" s="2" t="s">
        <v>71</v>
      </c>
      <c r="D5696" s="2" t="s">
        <v>17</v>
      </c>
      <c r="E5696" s="5">
        <v>-28402</v>
      </c>
      <c r="F5696" s="3" t="s">
        <v>473</v>
      </c>
      <c r="G5696" s="3" t="s">
        <v>63</v>
      </c>
      <c r="H5696" s="2" t="s">
        <v>20</v>
      </c>
      <c r="I5696" s="2" t="s">
        <v>11176</v>
      </c>
      <c r="J5696" s="3" t="str">
        <f>HYPERLINK("https://www.boe.es/gazeta/dias/1822/03/27/pdfs/GMD-1822-88.pdf#page=6","Abrir facsímil")</f>
        <v>Abrir facsímil</v>
      </c>
      <c r="K5696" s="3" t="s">
        <v>22</v>
      </c>
    </row>
    <row r="5697" spans="1:11" ht="42" customHeight="1">
      <c r="A5697" s="2" t="s">
        <v>11166</v>
      </c>
      <c r="B5697" s="2" t="s">
        <v>11166</v>
      </c>
      <c r="C5697" s="2" t="s">
        <v>42</v>
      </c>
      <c r="D5697" s="2" t="s">
        <v>17</v>
      </c>
      <c r="E5697" s="5">
        <v>-28394</v>
      </c>
      <c r="F5697" s="3" t="s">
        <v>268</v>
      </c>
      <c r="G5697" s="3" t="s">
        <v>44</v>
      </c>
      <c r="H5697" s="2" t="s">
        <v>20</v>
      </c>
      <c r="I5697" s="2" t="s">
        <v>11177</v>
      </c>
      <c r="J5697" s="3" t="str">
        <f>HYPERLINK("https://www.boe.es/gazeta/dias/1822/04/04/pdfs/GMD-1822-96.pdf#page=1","Abrir facsímil")</f>
        <v>Abrir facsímil</v>
      </c>
      <c r="K5697" s="3" t="s">
        <v>22</v>
      </c>
    </row>
    <row r="5698" spans="1:11" ht="42" customHeight="1">
      <c r="A5698" s="2" t="s">
        <v>11166</v>
      </c>
      <c r="B5698" s="2" t="s">
        <v>11166</v>
      </c>
      <c r="C5698" s="2" t="s">
        <v>42</v>
      </c>
      <c r="D5698" s="2" t="s">
        <v>17</v>
      </c>
      <c r="E5698" s="5">
        <v>-28394</v>
      </c>
      <c r="F5698" s="3" t="s">
        <v>268</v>
      </c>
      <c r="G5698" s="3" t="s">
        <v>35</v>
      </c>
      <c r="H5698" s="2" t="s">
        <v>20</v>
      </c>
      <c r="I5698" s="2" t="s">
        <v>11178</v>
      </c>
      <c r="J5698" s="3" t="str">
        <f>HYPERLINK("https://www.boe.es/gazeta/dias/1822/04/04/pdfs/GMD-1822-96.pdf#page=2","Abrir facsímil")</f>
        <v>Abrir facsímil</v>
      </c>
      <c r="K5698" s="3" t="s">
        <v>22</v>
      </c>
    </row>
    <row r="5699" spans="1:11" ht="42" customHeight="1">
      <c r="A5699" s="2" t="s">
        <v>11166</v>
      </c>
      <c r="B5699" s="2" t="s">
        <v>11166</v>
      </c>
      <c r="C5699" s="2" t="s">
        <v>71</v>
      </c>
      <c r="D5699" s="2" t="s">
        <v>17</v>
      </c>
      <c r="E5699" s="5">
        <v>-28394</v>
      </c>
      <c r="F5699" s="3" t="s">
        <v>268</v>
      </c>
      <c r="G5699" s="3" t="s">
        <v>31</v>
      </c>
      <c r="H5699" s="2" t="s">
        <v>20</v>
      </c>
      <c r="I5699" s="2" t="s">
        <v>11179</v>
      </c>
      <c r="J5699" s="3" t="str">
        <f>HYPERLINK("https://www.boe.es/gazeta/dias/1822/04/04/pdfs/GMD-1822-96.pdf#page=3","Abrir facsímil")</f>
        <v>Abrir facsímil</v>
      </c>
      <c r="K5699" s="3" t="s">
        <v>22</v>
      </c>
    </row>
    <row r="5700" spans="1:11" ht="42" customHeight="1">
      <c r="A5700" s="2" t="s">
        <v>11166</v>
      </c>
      <c r="B5700" s="2" t="s">
        <v>11166</v>
      </c>
      <c r="C5700" s="2" t="s">
        <v>71</v>
      </c>
      <c r="D5700" s="2" t="s">
        <v>17</v>
      </c>
      <c r="E5700" s="5">
        <v>-28386</v>
      </c>
      <c r="F5700" s="3" t="s">
        <v>2993</v>
      </c>
      <c r="G5700" s="3" t="s">
        <v>31</v>
      </c>
      <c r="H5700" s="2" t="s">
        <v>20</v>
      </c>
      <c r="I5700" s="2" t="s">
        <v>11180</v>
      </c>
      <c r="J5700" s="3" t="str">
        <f>HYPERLINK("https://www.boe.es/gazeta/dias/1822/04/12/pdfs/GMD-1822-104.pdf#page=3","Abrir facsímil")</f>
        <v>Abrir facsímil</v>
      </c>
      <c r="K5700" s="3" t="s">
        <v>22</v>
      </c>
    </row>
    <row r="5701" spans="1:11" ht="42" customHeight="1">
      <c r="A5701" s="2" t="s">
        <v>11166</v>
      </c>
      <c r="B5701" s="2" t="s">
        <v>11166</v>
      </c>
      <c r="C5701" s="2" t="s">
        <v>71</v>
      </c>
      <c r="D5701" s="2" t="s">
        <v>17</v>
      </c>
      <c r="E5701" s="5">
        <v>-28385</v>
      </c>
      <c r="F5701" s="3" t="s">
        <v>484</v>
      </c>
      <c r="G5701" s="3" t="s">
        <v>35</v>
      </c>
      <c r="H5701" s="2" t="s">
        <v>20</v>
      </c>
      <c r="I5701" s="2" t="s">
        <v>11181</v>
      </c>
      <c r="J5701" s="3" t="str">
        <f>HYPERLINK("https://www.boe.es/gazeta/dias/1822/04/13/pdfs/GMD-1822-105.pdf#page=2","Abrir facsímil")</f>
        <v>Abrir facsímil</v>
      </c>
      <c r="K5701" s="3" t="s">
        <v>22</v>
      </c>
    </row>
    <row r="5702" spans="1:11" ht="42" customHeight="1">
      <c r="A5702" s="2" t="s">
        <v>11166</v>
      </c>
      <c r="B5702" s="2" t="s">
        <v>11166</v>
      </c>
      <c r="C5702" s="2" t="s">
        <v>28</v>
      </c>
      <c r="D5702" s="2" t="s">
        <v>29</v>
      </c>
      <c r="E5702" s="5">
        <v>-28384</v>
      </c>
      <c r="F5702" s="3" t="s">
        <v>258</v>
      </c>
      <c r="G5702" s="3" t="s">
        <v>57</v>
      </c>
      <c r="H5702" s="2" t="s">
        <v>20</v>
      </c>
      <c r="I5702" s="2" t="s">
        <v>11182</v>
      </c>
      <c r="J5702" s="3" t="str">
        <f>HYPERLINK("https://www.boe.es/gazeta/dias/1822/04/14/pdfs/GMD-1822-106.pdf#page=4","Abrir facsímil")</f>
        <v>Abrir facsímil</v>
      </c>
      <c r="K5702" s="3" t="s">
        <v>22</v>
      </c>
    </row>
    <row r="5703" spans="1:11" ht="42" customHeight="1">
      <c r="A5703" s="2" t="s">
        <v>11166</v>
      </c>
      <c r="B5703" s="2" t="s">
        <v>11166</v>
      </c>
      <c r="C5703" s="2" t="s">
        <v>28</v>
      </c>
      <c r="D5703" s="2" t="s">
        <v>29</v>
      </c>
      <c r="E5703" s="5">
        <v>-28384</v>
      </c>
      <c r="F5703" s="3" t="s">
        <v>258</v>
      </c>
      <c r="G5703" s="3" t="s">
        <v>19</v>
      </c>
      <c r="H5703" s="2" t="s">
        <v>20</v>
      </c>
      <c r="I5703" s="2" t="s">
        <v>11183</v>
      </c>
      <c r="J5703" s="3" t="str">
        <f>HYPERLINK("https://www.boe.es/gazeta/dias/1822/04/14/pdfs/GMD-1822-106.pdf#page=5","Abrir facsímil")</f>
        <v>Abrir facsímil</v>
      </c>
      <c r="K5703" s="3" t="s">
        <v>22</v>
      </c>
    </row>
    <row r="5704" spans="1:11" ht="42" customHeight="1">
      <c r="A5704" s="2" t="s">
        <v>11166</v>
      </c>
      <c r="B5704" s="2" t="s">
        <v>11166</v>
      </c>
      <c r="C5704" s="2" t="s">
        <v>28</v>
      </c>
      <c r="D5704" s="2" t="s">
        <v>29</v>
      </c>
      <c r="E5704" s="5">
        <v>-28383</v>
      </c>
      <c r="F5704" s="3" t="s">
        <v>488</v>
      </c>
      <c r="G5704" s="3" t="s">
        <v>57</v>
      </c>
      <c r="H5704" s="2" t="s">
        <v>20</v>
      </c>
      <c r="I5704" s="2" t="s">
        <v>11184</v>
      </c>
      <c r="J5704" s="3" t="str">
        <f>HYPERLINK("https://www.boe.es/gazeta/dias/1822/04/15/pdfs/GMD-1822-107.pdf#page=4","Abrir facsímil")</f>
        <v>Abrir facsímil</v>
      </c>
      <c r="K5704" s="3" t="s">
        <v>22</v>
      </c>
    </row>
    <row r="5705" spans="1:11" ht="42" customHeight="1">
      <c r="A5705" s="2" t="s">
        <v>11166</v>
      </c>
      <c r="B5705" s="2" t="s">
        <v>11166</v>
      </c>
      <c r="C5705" s="2" t="s">
        <v>28</v>
      </c>
      <c r="D5705" s="2" t="s">
        <v>29</v>
      </c>
      <c r="E5705" s="5">
        <v>-28382</v>
      </c>
      <c r="F5705" s="3" t="s">
        <v>973</v>
      </c>
      <c r="G5705" s="3" t="s">
        <v>57</v>
      </c>
      <c r="H5705" s="2" t="s">
        <v>20</v>
      </c>
      <c r="I5705" s="2" t="s">
        <v>11185</v>
      </c>
      <c r="J5705" s="3" t="str">
        <f>HYPERLINK("https://www.boe.es/gazeta/dias/1822/04/16/pdfs/GMD-1822-108.pdf#page=4","Abrir facsímil")</f>
        <v>Abrir facsímil</v>
      </c>
      <c r="K5705" s="3" t="s">
        <v>22</v>
      </c>
    </row>
    <row r="5706" spans="1:11" ht="42" customHeight="1">
      <c r="A5706" s="2" t="s">
        <v>11186</v>
      </c>
      <c r="B5706" s="2" t="s">
        <v>11186</v>
      </c>
      <c r="C5706" s="2" t="s">
        <v>71</v>
      </c>
      <c r="D5706" s="2" t="s">
        <v>17</v>
      </c>
      <c r="E5706" s="5">
        <v>-28381</v>
      </c>
      <c r="F5706" s="3" t="s">
        <v>358</v>
      </c>
      <c r="G5706" s="3" t="s">
        <v>2269</v>
      </c>
      <c r="H5706" s="2" t="s">
        <v>20</v>
      </c>
      <c r="I5706" s="2" t="s">
        <v>11187</v>
      </c>
      <c r="J5706" s="3" t="str">
        <f>HYPERLINK("https://www.boe.es/gazeta/dias/1822/04/17/pdfs/GMD-1822-109.pdf#page=3","Abrir facsímil")</f>
        <v>Abrir facsímil</v>
      </c>
      <c r="K5706" s="3" t="s">
        <v>22</v>
      </c>
    </row>
    <row r="5707" spans="1:11" ht="42" customHeight="1">
      <c r="A5707" s="2" t="s">
        <v>11166</v>
      </c>
      <c r="B5707" s="2" t="s">
        <v>11166</v>
      </c>
      <c r="C5707" s="2" t="s">
        <v>71</v>
      </c>
      <c r="D5707" s="2" t="s">
        <v>17</v>
      </c>
      <c r="E5707" s="5">
        <v>-28372</v>
      </c>
      <c r="F5707" s="3" t="s">
        <v>503</v>
      </c>
      <c r="G5707" s="3" t="s">
        <v>57</v>
      </c>
      <c r="H5707" s="2" t="s">
        <v>20</v>
      </c>
      <c r="I5707" s="2" t="s">
        <v>11188</v>
      </c>
      <c r="J5707" s="3" t="str">
        <f>HYPERLINK("https://www.boe.es/gazeta/dias/1822/04/26/pdfs/GMD-1822-118.pdf#page=4","Abrir facsímil")</f>
        <v>Abrir facsímil</v>
      </c>
      <c r="K5707" s="3" t="s">
        <v>22</v>
      </c>
    </row>
    <row r="5708" spans="1:11" ht="42" customHeight="1">
      <c r="A5708" s="2" t="s">
        <v>11166</v>
      </c>
      <c r="B5708" s="2" t="s">
        <v>11166</v>
      </c>
      <c r="C5708" s="2" t="s">
        <v>16</v>
      </c>
      <c r="D5708" s="2" t="s">
        <v>17</v>
      </c>
      <c r="E5708" s="5">
        <v>-28372</v>
      </c>
      <c r="F5708" s="3" t="s">
        <v>503</v>
      </c>
      <c r="G5708" s="3" t="s">
        <v>19</v>
      </c>
      <c r="H5708" s="2" t="s">
        <v>20</v>
      </c>
      <c r="I5708" s="2" t="s">
        <v>11189</v>
      </c>
      <c r="J5708" s="3" t="str">
        <f>HYPERLINK("https://www.boe.es/gazeta/dias/1822/04/26/pdfs/GMD-1822-118.pdf#page=5","Abrir facsímil")</f>
        <v>Abrir facsímil</v>
      </c>
      <c r="K5708" s="3" t="s">
        <v>22</v>
      </c>
    </row>
    <row r="5709" spans="1:11" ht="42" customHeight="1">
      <c r="A5709" s="2" t="s">
        <v>11166</v>
      </c>
      <c r="B5709" s="2" t="s">
        <v>11166</v>
      </c>
      <c r="C5709" s="2" t="s">
        <v>28</v>
      </c>
      <c r="D5709" s="2" t="s">
        <v>29</v>
      </c>
      <c r="E5709" s="5">
        <v>-28365</v>
      </c>
      <c r="F5709" s="3" t="s">
        <v>506</v>
      </c>
      <c r="G5709" s="3" t="s">
        <v>31</v>
      </c>
      <c r="H5709" s="2" t="s">
        <v>20</v>
      </c>
      <c r="I5709" s="2" t="s">
        <v>11190</v>
      </c>
      <c r="J5709" s="3" t="str">
        <f>HYPERLINK("https://www.boe.es/gazeta/dias/1822/05/03/pdfs/GMD-1822-125.pdf#page=3","Abrir facsímil")</f>
        <v>Abrir facsímil</v>
      </c>
      <c r="K5709" s="3" t="s">
        <v>22</v>
      </c>
    </row>
    <row r="5710" spans="1:11" ht="42" customHeight="1">
      <c r="A5710" s="2" t="s">
        <v>11166</v>
      </c>
      <c r="B5710" s="2" t="s">
        <v>11166</v>
      </c>
      <c r="C5710" s="2" t="s">
        <v>71</v>
      </c>
      <c r="D5710" s="2" t="s">
        <v>17</v>
      </c>
      <c r="E5710" s="5">
        <v>-28365</v>
      </c>
      <c r="F5710" s="3" t="s">
        <v>506</v>
      </c>
      <c r="G5710" s="3" t="s">
        <v>57</v>
      </c>
      <c r="H5710" s="2" t="s">
        <v>20</v>
      </c>
      <c r="I5710" s="2" t="s">
        <v>11191</v>
      </c>
      <c r="J5710" s="3" t="str">
        <f>HYPERLINK("https://www.boe.es/gazeta/dias/1822/05/03/pdfs/GMD-1822-125.pdf#page=4","Abrir facsímil")</f>
        <v>Abrir facsímil</v>
      </c>
      <c r="K5710" s="3" t="s">
        <v>22</v>
      </c>
    </row>
    <row r="5711" spans="1:11" ht="42" customHeight="1">
      <c r="A5711" s="2" t="s">
        <v>11166</v>
      </c>
      <c r="B5711" s="2" t="s">
        <v>11166</v>
      </c>
      <c r="C5711" s="2" t="s">
        <v>28</v>
      </c>
      <c r="D5711" s="2" t="s">
        <v>29</v>
      </c>
      <c r="E5711" s="5">
        <v>-28365</v>
      </c>
      <c r="F5711" s="3" t="s">
        <v>506</v>
      </c>
      <c r="G5711" s="3" t="s">
        <v>19</v>
      </c>
      <c r="H5711" s="2" t="s">
        <v>20</v>
      </c>
      <c r="I5711" s="2" t="s">
        <v>11192</v>
      </c>
      <c r="J5711" s="3" t="str">
        <f>HYPERLINK("https://www.boe.es/gazeta/dias/1822/05/03/pdfs/GMD-1822-125.pdf#page=5","Abrir facsímil")</f>
        <v>Abrir facsímil</v>
      </c>
      <c r="K5711" s="3" t="s">
        <v>22</v>
      </c>
    </row>
    <row r="5712" spans="1:11" ht="42" customHeight="1">
      <c r="A5712" s="2" t="s">
        <v>11166</v>
      </c>
      <c r="B5712" s="2" t="s">
        <v>11166</v>
      </c>
      <c r="C5712" s="2" t="s">
        <v>42</v>
      </c>
      <c r="D5712" s="2" t="s">
        <v>17</v>
      </c>
      <c r="E5712" s="5">
        <v>-28364</v>
      </c>
      <c r="F5712" s="3" t="s">
        <v>509</v>
      </c>
      <c r="G5712" s="3" t="s">
        <v>35</v>
      </c>
      <c r="H5712" s="2" t="s">
        <v>20</v>
      </c>
      <c r="I5712" s="2" t="s">
        <v>11193</v>
      </c>
      <c r="J5712" s="3" t="str">
        <f>HYPERLINK("https://www.boe.es/gazeta/dias/1822/05/04/pdfs/GMD-1822-126.pdf#page=2","Abrir facsímil")</f>
        <v>Abrir facsímil</v>
      </c>
      <c r="K5712" s="3" t="s">
        <v>22</v>
      </c>
    </row>
    <row r="5713" spans="1:11" ht="42" customHeight="1">
      <c r="A5713" s="2" t="s">
        <v>11166</v>
      </c>
      <c r="B5713" s="2" t="s">
        <v>11166</v>
      </c>
      <c r="C5713" s="2" t="s">
        <v>50</v>
      </c>
      <c r="D5713" s="2" t="s">
        <v>51</v>
      </c>
      <c r="E5713" s="5">
        <v>-28360</v>
      </c>
      <c r="F5713" s="3" t="s">
        <v>514</v>
      </c>
      <c r="G5713" s="3" t="s">
        <v>57</v>
      </c>
      <c r="H5713" s="2" t="s">
        <v>20</v>
      </c>
      <c r="I5713" s="2" t="s">
        <v>11194</v>
      </c>
      <c r="J5713" s="3" t="str">
        <f>HYPERLINK("https://www.boe.es/gazeta/dias/1822/05/08/pdfs/GMD-1822-130.pdf#page=4","Abrir facsímil")</f>
        <v>Abrir facsímil</v>
      </c>
      <c r="K5713" s="3" t="s">
        <v>22</v>
      </c>
    </row>
    <row r="5714" spans="1:11" ht="42" customHeight="1">
      <c r="A5714" s="2" t="s">
        <v>11166</v>
      </c>
      <c r="B5714" s="2" t="s">
        <v>11166</v>
      </c>
      <c r="C5714" s="2" t="s">
        <v>28</v>
      </c>
      <c r="D5714" s="2" t="s">
        <v>29</v>
      </c>
      <c r="E5714" s="5">
        <v>-28357</v>
      </c>
      <c r="F5714" s="3" t="s">
        <v>690</v>
      </c>
      <c r="G5714" s="3" t="s">
        <v>31</v>
      </c>
      <c r="H5714" s="2" t="s">
        <v>20</v>
      </c>
      <c r="I5714" s="2" t="s">
        <v>11195</v>
      </c>
      <c r="J5714" s="3" t="str">
        <f>HYPERLINK("https://www.boe.es/gazeta/dias/1822/05/11/pdfs/GMD-1822-133.pdf#page=3","Abrir facsímil")</f>
        <v>Abrir facsímil</v>
      </c>
      <c r="K5714" s="3" t="s">
        <v>22</v>
      </c>
    </row>
    <row r="5715" spans="1:11" ht="42" customHeight="1">
      <c r="A5715" s="2" t="s">
        <v>11166</v>
      </c>
      <c r="B5715" s="2" t="s">
        <v>11166</v>
      </c>
      <c r="C5715" s="2" t="s">
        <v>28</v>
      </c>
      <c r="D5715" s="2" t="s">
        <v>29</v>
      </c>
      <c r="E5715" s="5">
        <v>-28357</v>
      </c>
      <c r="F5715" s="3" t="s">
        <v>690</v>
      </c>
      <c r="G5715" s="3" t="s">
        <v>63</v>
      </c>
      <c r="H5715" s="2" t="s">
        <v>20</v>
      </c>
      <c r="I5715" s="2" t="s">
        <v>11196</v>
      </c>
      <c r="J5715" s="3" t="str">
        <f>HYPERLINK("https://www.boe.es/gazeta/dias/1822/05/11/pdfs/GMD-1822-133.pdf#page=6","Abrir facsímil")</f>
        <v>Abrir facsímil</v>
      </c>
      <c r="K5715" s="3" t="s">
        <v>22</v>
      </c>
    </row>
    <row r="5716" spans="1:11" ht="42" customHeight="1">
      <c r="A5716" s="2" t="s">
        <v>11166</v>
      </c>
      <c r="B5716" s="2" t="s">
        <v>11166</v>
      </c>
      <c r="C5716" s="2" t="s">
        <v>71</v>
      </c>
      <c r="D5716" s="2" t="s">
        <v>17</v>
      </c>
      <c r="E5716" s="5">
        <v>-28351</v>
      </c>
      <c r="F5716" s="3" t="s">
        <v>282</v>
      </c>
      <c r="G5716" s="3" t="s">
        <v>44</v>
      </c>
      <c r="H5716" s="2" t="s">
        <v>20</v>
      </c>
      <c r="I5716" s="2" t="s">
        <v>11197</v>
      </c>
      <c r="J5716" s="3" t="str">
        <f>HYPERLINK("https://www.boe.es/gazeta/dias/1822/05/17/pdfs/GMD-1822-139.pdf#page=1","Abrir facsímil")</f>
        <v>Abrir facsímil</v>
      </c>
      <c r="K5716" s="3" t="s">
        <v>22</v>
      </c>
    </row>
    <row r="5717" spans="1:11" ht="42" customHeight="1">
      <c r="A5717" s="2" t="s">
        <v>11166</v>
      </c>
      <c r="B5717" s="2" t="s">
        <v>11166</v>
      </c>
      <c r="C5717" s="2" t="s">
        <v>50</v>
      </c>
      <c r="D5717" s="2" t="s">
        <v>51</v>
      </c>
      <c r="E5717" s="5">
        <v>-28350</v>
      </c>
      <c r="F5717" s="3" t="s">
        <v>352</v>
      </c>
      <c r="G5717" s="3" t="s">
        <v>35</v>
      </c>
      <c r="H5717" s="2" t="s">
        <v>20</v>
      </c>
      <c r="I5717" s="2" t="s">
        <v>11198</v>
      </c>
      <c r="J5717" s="3" t="str">
        <f>HYPERLINK("https://www.boe.es/gazeta/dias/1822/05/18/pdfs/GMD-1822-140.pdf#page=2","Abrir facsímil")</f>
        <v>Abrir facsímil</v>
      </c>
      <c r="K5717" s="3" t="s">
        <v>22</v>
      </c>
    </row>
    <row r="5718" spans="1:11" ht="42" customHeight="1">
      <c r="A5718" s="2" t="s">
        <v>11166</v>
      </c>
      <c r="B5718" s="2" t="s">
        <v>11166</v>
      </c>
      <c r="C5718" s="2" t="s">
        <v>42</v>
      </c>
      <c r="D5718" s="2" t="s">
        <v>17</v>
      </c>
      <c r="E5718" s="5">
        <v>-28347</v>
      </c>
      <c r="F5718" s="3" t="s">
        <v>520</v>
      </c>
      <c r="G5718" s="3" t="s">
        <v>35</v>
      </c>
      <c r="H5718" s="2" t="s">
        <v>20</v>
      </c>
      <c r="I5718" s="2" t="s">
        <v>11199</v>
      </c>
      <c r="J5718" s="3" t="str">
        <f>HYPERLINK("https://www.boe.es/gazeta/dias/1822/05/21/pdfs/GMD-1822-144.pdf#page=2","Abrir facsímil")</f>
        <v>Abrir facsímil</v>
      </c>
      <c r="K5718" s="3" t="s">
        <v>22</v>
      </c>
    </row>
    <row r="5719" spans="1:11" ht="42" customHeight="1">
      <c r="A5719" s="2" t="s">
        <v>11166</v>
      </c>
      <c r="B5719" s="2" t="s">
        <v>11166</v>
      </c>
      <c r="C5719" s="2" t="s">
        <v>16</v>
      </c>
      <c r="D5719" s="2" t="s">
        <v>17</v>
      </c>
      <c r="E5719" s="5">
        <v>-28347</v>
      </c>
      <c r="F5719" s="3" t="s">
        <v>520</v>
      </c>
      <c r="G5719" s="3" t="s">
        <v>19</v>
      </c>
      <c r="H5719" s="2" t="s">
        <v>20</v>
      </c>
      <c r="I5719" s="2" t="s">
        <v>11200</v>
      </c>
      <c r="J5719" s="3" t="str">
        <f>HYPERLINK("https://www.boe.es/gazeta/dias/1822/05/21/pdfs/GMD-1822-144.pdf#page=5","Abrir facsímil")</f>
        <v>Abrir facsímil</v>
      </c>
      <c r="K5719" s="3" t="s">
        <v>22</v>
      </c>
    </row>
    <row r="5720" spans="1:11" ht="42" customHeight="1">
      <c r="A5720" s="2" t="s">
        <v>11166</v>
      </c>
      <c r="B5720" s="2" t="s">
        <v>11166</v>
      </c>
      <c r="C5720" s="2" t="s">
        <v>24</v>
      </c>
      <c r="D5720" s="2" t="s">
        <v>17</v>
      </c>
      <c r="E5720" s="5">
        <v>-28346</v>
      </c>
      <c r="F5720" s="3" t="s">
        <v>191</v>
      </c>
      <c r="G5720" s="3" t="s">
        <v>31</v>
      </c>
      <c r="H5720" s="2" t="s">
        <v>20</v>
      </c>
      <c r="I5720" s="2" t="s">
        <v>11201</v>
      </c>
      <c r="J5720" s="3" t="str">
        <f>HYPERLINK("https://www.boe.es/gazeta/dias/1822/05/22/pdfs/GMD-1822-145.pdf#page=3","Abrir facsímil")</f>
        <v>Abrir facsímil</v>
      </c>
      <c r="K5720" s="3" t="s">
        <v>22</v>
      </c>
    </row>
    <row r="5721" spans="1:11" ht="42" customHeight="1">
      <c r="A5721" s="2" t="s">
        <v>11166</v>
      </c>
      <c r="B5721" s="2" t="s">
        <v>11166</v>
      </c>
      <c r="C5721" s="2" t="s">
        <v>24</v>
      </c>
      <c r="D5721" s="2" t="s">
        <v>17</v>
      </c>
      <c r="E5721" s="5">
        <v>-28345</v>
      </c>
      <c r="F5721" s="3" t="s">
        <v>294</v>
      </c>
      <c r="G5721" s="3" t="s">
        <v>35</v>
      </c>
      <c r="H5721" s="2" t="s">
        <v>20</v>
      </c>
      <c r="I5721" s="2" t="s">
        <v>11202</v>
      </c>
      <c r="J5721" s="3" t="str">
        <f>HYPERLINK("https://www.boe.es/gazeta/dias/1822/05/23/pdfs/GMD-1822-147.pdf#page=2","Abrir facsímil")</f>
        <v>Abrir facsímil</v>
      </c>
      <c r="K5721" s="3" t="s">
        <v>22</v>
      </c>
    </row>
    <row r="5722" spans="1:11" ht="42" customHeight="1">
      <c r="A5722" s="2" t="s">
        <v>11166</v>
      </c>
      <c r="B5722" s="2" t="s">
        <v>11166</v>
      </c>
      <c r="C5722" s="2" t="s">
        <v>50</v>
      </c>
      <c r="D5722" s="2" t="s">
        <v>51</v>
      </c>
      <c r="E5722" s="5">
        <v>-28344</v>
      </c>
      <c r="F5722" s="3" t="s">
        <v>524</v>
      </c>
      <c r="G5722" s="3" t="s">
        <v>31</v>
      </c>
      <c r="H5722" s="2" t="s">
        <v>20</v>
      </c>
      <c r="I5722" s="2" t="s">
        <v>11203</v>
      </c>
      <c r="J5722" s="3" t="str">
        <f>HYPERLINK("https://www.boe.es/gazeta/dias/1822/05/24/pdfs/GMD-1822-148.pdf#page=3","Abrir facsímil")</f>
        <v>Abrir facsímil</v>
      </c>
      <c r="K5722" s="3" t="s">
        <v>22</v>
      </c>
    </row>
    <row r="5723" spans="1:11" ht="42" customHeight="1">
      <c r="A5723" s="2" t="s">
        <v>11166</v>
      </c>
      <c r="B5723" s="2" t="s">
        <v>11166</v>
      </c>
      <c r="C5723" s="2" t="s">
        <v>71</v>
      </c>
      <c r="D5723" s="2" t="s">
        <v>17</v>
      </c>
      <c r="E5723" s="5">
        <v>-28344</v>
      </c>
      <c r="F5723" s="3" t="s">
        <v>524</v>
      </c>
      <c r="G5723" s="3" t="s">
        <v>63</v>
      </c>
      <c r="H5723" s="2" t="s">
        <v>20</v>
      </c>
      <c r="I5723" s="2" t="s">
        <v>11204</v>
      </c>
      <c r="J5723" s="3" t="str">
        <f>HYPERLINK("https://www.boe.es/gazeta/dias/1822/05/24/pdfs/GMD-1822-148.pdf#page=6","Abrir facsímil")</f>
        <v>Abrir facsímil</v>
      </c>
      <c r="K5723" s="3" t="s">
        <v>22</v>
      </c>
    </row>
    <row r="5724" spans="1:11" ht="42" customHeight="1">
      <c r="A5724" s="2" t="s">
        <v>11166</v>
      </c>
      <c r="B5724" s="2" t="s">
        <v>11166</v>
      </c>
      <c r="C5724" s="2" t="s">
        <v>71</v>
      </c>
      <c r="D5724" s="2" t="s">
        <v>17</v>
      </c>
      <c r="E5724" s="5">
        <v>-28343</v>
      </c>
      <c r="F5724" s="3" t="s">
        <v>1019</v>
      </c>
      <c r="G5724" s="3" t="s">
        <v>35</v>
      </c>
      <c r="H5724" s="2" t="s">
        <v>20</v>
      </c>
      <c r="I5724" s="2" t="s">
        <v>11205</v>
      </c>
      <c r="J5724" s="3" t="str">
        <f>HYPERLINK("https://www.boe.es/gazeta/dias/1822/05/25/pdfs/GMD-1822-150.pdf#page=2","Abrir facsímil")</f>
        <v>Abrir facsímil</v>
      </c>
      <c r="K5724" s="3" t="s">
        <v>22</v>
      </c>
    </row>
    <row r="5725" spans="1:11" ht="42" customHeight="1">
      <c r="A5725" s="2" t="s">
        <v>11166</v>
      </c>
      <c r="B5725" s="2" t="s">
        <v>11166</v>
      </c>
      <c r="C5725" s="2" t="s">
        <v>50</v>
      </c>
      <c r="D5725" s="2" t="s">
        <v>51</v>
      </c>
      <c r="E5725" s="5">
        <v>-28343</v>
      </c>
      <c r="F5725" s="3" t="s">
        <v>1019</v>
      </c>
      <c r="G5725" s="3" t="s">
        <v>31</v>
      </c>
      <c r="H5725" s="2" t="s">
        <v>20</v>
      </c>
      <c r="I5725" s="2" t="s">
        <v>11206</v>
      </c>
      <c r="J5725" s="3" t="str">
        <f>HYPERLINK("https://www.boe.es/gazeta/dias/1822/05/25/pdfs/GMD-1822-150.pdf#page=3","Abrir facsímil")</f>
        <v>Abrir facsímil</v>
      </c>
      <c r="K5725" s="3" t="s">
        <v>22</v>
      </c>
    </row>
    <row r="5726" spans="1:11" ht="42" customHeight="1">
      <c r="A5726" s="2" t="s">
        <v>11166</v>
      </c>
      <c r="B5726" s="2" t="s">
        <v>11166</v>
      </c>
      <c r="C5726" s="2" t="s">
        <v>16</v>
      </c>
      <c r="D5726" s="2" t="s">
        <v>17</v>
      </c>
      <c r="E5726" s="5">
        <v>-28343</v>
      </c>
      <c r="F5726" s="3" t="s">
        <v>1019</v>
      </c>
      <c r="G5726" s="3" t="s">
        <v>57</v>
      </c>
      <c r="H5726" s="2" t="s">
        <v>20</v>
      </c>
      <c r="I5726" s="2" t="s">
        <v>11207</v>
      </c>
      <c r="J5726" s="3" t="str">
        <f>HYPERLINK("https://www.boe.es/gazeta/dias/1822/05/25/pdfs/GMD-1822-150.pdf#page=4","Abrir facsímil")</f>
        <v>Abrir facsímil</v>
      </c>
      <c r="K5726" s="3" t="s">
        <v>22</v>
      </c>
    </row>
    <row r="5727" spans="1:11" ht="42" customHeight="1">
      <c r="A5727" s="2" t="s">
        <v>11166</v>
      </c>
      <c r="B5727" s="2" t="s">
        <v>11166</v>
      </c>
      <c r="C5727" s="2" t="s">
        <v>42</v>
      </c>
      <c r="D5727" s="2" t="s">
        <v>17</v>
      </c>
      <c r="E5727" s="5">
        <v>-28343</v>
      </c>
      <c r="F5727" s="3" t="s">
        <v>1019</v>
      </c>
      <c r="G5727" s="3" t="s">
        <v>63</v>
      </c>
      <c r="H5727" s="2" t="s">
        <v>20</v>
      </c>
      <c r="I5727" s="2" t="s">
        <v>11208</v>
      </c>
      <c r="J5727" s="3" t="str">
        <f>HYPERLINK("https://www.boe.es/gazeta/dias/1822/05/25/pdfs/GMD-1822-150.pdf#page=6","Abrir facsímil")</f>
        <v>Abrir facsímil</v>
      </c>
      <c r="K5727" s="3" t="s">
        <v>22</v>
      </c>
    </row>
    <row r="5728" spans="1:11" ht="42" customHeight="1">
      <c r="A5728" s="2" t="s">
        <v>11166</v>
      </c>
      <c r="B5728" s="2" t="s">
        <v>11166</v>
      </c>
      <c r="C5728" s="2" t="s">
        <v>71</v>
      </c>
      <c r="D5728" s="2" t="s">
        <v>17</v>
      </c>
      <c r="E5728" s="5">
        <v>-28342</v>
      </c>
      <c r="F5728" s="3" t="s">
        <v>2281</v>
      </c>
      <c r="G5728" s="3" t="s">
        <v>31</v>
      </c>
      <c r="H5728" s="2" t="s">
        <v>20</v>
      </c>
      <c r="I5728" s="2" t="s">
        <v>11209</v>
      </c>
      <c r="J5728" s="3" t="str">
        <f>HYPERLINK("https://www.boe.es/gazeta/dias/1822/05/26/pdfs/GMD-1822-151.pdf#page=3","Abrir facsímil")</f>
        <v>Abrir facsímil</v>
      </c>
      <c r="K5728" s="3" t="s">
        <v>22</v>
      </c>
    </row>
    <row r="5729" spans="1:11" ht="42" customHeight="1">
      <c r="A5729" s="2" t="s">
        <v>11210</v>
      </c>
      <c r="B5729" s="2" t="s">
        <v>11210</v>
      </c>
      <c r="C5729" s="2" t="s">
        <v>71</v>
      </c>
      <c r="D5729" s="2" t="s">
        <v>17</v>
      </c>
      <c r="E5729" s="5">
        <v>-28342</v>
      </c>
      <c r="F5729" s="3" t="s">
        <v>2281</v>
      </c>
      <c r="G5729" s="3" t="s">
        <v>57</v>
      </c>
      <c r="H5729" s="2" t="s">
        <v>20</v>
      </c>
      <c r="I5729" s="2" t="s">
        <v>11211</v>
      </c>
      <c r="J5729" s="3" t="str">
        <f>HYPERLINK("https://www.boe.es/gazeta/dias/1822/05/26/pdfs/GMD-1822-151.pdf#page=4","Abrir facsímil")</f>
        <v>Abrir facsímil</v>
      </c>
      <c r="K5729" s="3" t="s">
        <v>22</v>
      </c>
    </row>
    <row r="5730" spans="1:11" ht="42" customHeight="1">
      <c r="A5730" s="2" t="s">
        <v>11166</v>
      </c>
      <c r="B5730" s="2" t="s">
        <v>11166</v>
      </c>
      <c r="C5730" s="2" t="s">
        <v>16</v>
      </c>
      <c r="D5730" s="2" t="s">
        <v>17</v>
      </c>
      <c r="E5730" s="5">
        <v>-28337</v>
      </c>
      <c r="F5730" s="3" t="s">
        <v>1836</v>
      </c>
      <c r="G5730" s="3" t="s">
        <v>35</v>
      </c>
      <c r="H5730" s="2" t="s">
        <v>20</v>
      </c>
      <c r="I5730" s="2" t="s">
        <v>11212</v>
      </c>
      <c r="J5730" s="3" t="str">
        <f>HYPERLINK("https://www.boe.es/gazeta/dias/1822/05/31/pdfs/GMD-1822-156.pdf#page=2","Abrir facsímil")</f>
        <v>Abrir facsímil</v>
      </c>
      <c r="K5730" s="3" t="s">
        <v>22</v>
      </c>
    </row>
    <row r="5731" spans="1:11" ht="42" customHeight="1">
      <c r="A5731" s="2" t="s">
        <v>11166</v>
      </c>
      <c r="B5731" s="2" t="s">
        <v>11166</v>
      </c>
      <c r="C5731" s="2" t="s">
        <v>42</v>
      </c>
      <c r="D5731" s="2" t="s">
        <v>17</v>
      </c>
      <c r="E5731" s="5">
        <v>-28332</v>
      </c>
      <c r="F5731" s="3" t="s">
        <v>535</v>
      </c>
      <c r="G5731" s="3" t="s">
        <v>31</v>
      </c>
      <c r="H5731" s="2" t="s">
        <v>20</v>
      </c>
      <c r="I5731" s="2" t="s">
        <v>11213</v>
      </c>
      <c r="J5731" s="3" t="str">
        <f>HYPERLINK("https://www.boe.es/gazeta/dias/1822/06/05/pdfs/GMD-1822-162.pdf#page=3","Abrir facsímil")</f>
        <v>Abrir facsímil</v>
      </c>
      <c r="K5731" s="3" t="s">
        <v>22</v>
      </c>
    </row>
    <row r="5732" spans="1:11" ht="42" customHeight="1">
      <c r="A5732" s="2" t="s">
        <v>11166</v>
      </c>
      <c r="B5732" s="2" t="s">
        <v>11166</v>
      </c>
      <c r="C5732" s="2" t="s">
        <v>71</v>
      </c>
      <c r="D5732" s="2" t="s">
        <v>17</v>
      </c>
      <c r="E5732" s="5">
        <v>-28328</v>
      </c>
      <c r="F5732" s="3" t="s">
        <v>540</v>
      </c>
      <c r="G5732" s="3" t="s">
        <v>541</v>
      </c>
      <c r="H5732" s="2" t="s">
        <v>20</v>
      </c>
      <c r="I5732" s="2" t="s">
        <v>11214</v>
      </c>
      <c r="J5732" s="3" t="str">
        <f>HYPERLINK("https://www.boe.es/gazeta/dias/1822/06/09/pdfs/GMD-1822-166.pdf#page=4","Abrir facsímil")</f>
        <v>Abrir facsímil</v>
      </c>
      <c r="K5732" s="3" t="s">
        <v>22</v>
      </c>
    </row>
    <row r="5733" spans="1:11" ht="42" customHeight="1">
      <c r="A5733" s="2" t="s">
        <v>11166</v>
      </c>
      <c r="B5733" s="2" t="s">
        <v>11166</v>
      </c>
      <c r="C5733" s="2" t="s">
        <v>28</v>
      </c>
      <c r="D5733" s="2" t="s">
        <v>29</v>
      </c>
      <c r="E5733" s="5">
        <v>-28327</v>
      </c>
      <c r="F5733" s="3" t="s">
        <v>38</v>
      </c>
      <c r="G5733" s="3" t="s">
        <v>57</v>
      </c>
      <c r="H5733" s="2" t="s">
        <v>20</v>
      </c>
      <c r="I5733" s="2" t="s">
        <v>11215</v>
      </c>
      <c r="J5733" s="3" t="str">
        <f>HYPERLINK("https://www.boe.es/gazeta/dias/1822/06/10/pdfs/GMD-1822-167.pdf#page=4","Abrir facsímil")</f>
        <v>Abrir facsímil</v>
      </c>
      <c r="K5733" s="3" t="s">
        <v>22</v>
      </c>
    </row>
    <row r="5734" spans="1:11" ht="42" customHeight="1">
      <c r="A5734" s="2" t="s">
        <v>11166</v>
      </c>
      <c r="B5734" s="2" t="s">
        <v>11166</v>
      </c>
      <c r="C5734" s="2" t="s">
        <v>71</v>
      </c>
      <c r="D5734" s="2" t="s">
        <v>17</v>
      </c>
      <c r="E5734" s="5">
        <v>-28326</v>
      </c>
      <c r="F5734" s="3" t="s">
        <v>543</v>
      </c>
      <c r="G5734" s="3" t="s">
        <v>31</v>
      </c>
      <c r="H5734" s="2" t="s">
        <v>20</v>
      </c>
      <c r="I5734" s="2" t="s">
        <v>11216</v>
      </c>
      <c r="J5734" s="3" t="str">
        <f>HYPERLINK("https://www.boe.es/gazeta/dias/1822/06/11/pdfs/GMD-1822-168.pdf#page=3","Abrir facsímil")</f>
        <v>Abrir facsímil</v>
      </c>
      <c r="K5734" s="3" t="s">
        <v>22</v>
      </c>
    </row>
    <row r="5735" spans="1:11" ht="42" customHeight="1">
      <c r="A5735" s="2" t="s">
        <v>11166</v>
      </c>
      <c r="B5735" s="2" t="s">
        <v>11166</v>
      </c>
      <c r="C5735" s="2" t="s">
        <v>71</v>
      </c>
      <c r="D5735" s="2" t="s">
        <v>17</v>
      </c>
      <c r="E5735" s="5">
        <v>-28323</v>
      </c>
      <c r="F5735" s="3" t="s">
        <v>116</v>
      </c>
      <c r="G5735" s="3" t="s">
        <v>57</v>
      </c>
      <c r="H5735" s="2" t="s">
        <v>20</v>
      </c>
      <c r="I5735" s="2" t="s">
        <v>11217</v>
      </c>
      <c r="J5735" s="3" t="str">
        <f>HYPERLINK("https://www.boe.es/gazeta/dias/1822/06/14/pdfs/GMD-1822-171.pdf#page=4","Abrir facsímil")</f>
        <v>Abrir facsímil</v>
      </c>
      <c r="K5735" s="3" t="s">
        <v>22</v>
      </c>
    </row>
    <row r="5736" spans="1:11" ht="42" customHeight="1">
      <c r="A5736" s="2" t="s">
        <v>11166</v>
      </c>
      <c r="B5736" s="2" t="s">
        <v>11166</v>
      </c>
      <c r="C5736" s="2" t="s">
        <v>42</v>
      </c>
      <c r="D5736" s="2" t="s">
        <v>17</v>
      </c>
      <c r="E5736" s="5">
        <v>-28323</v>
      </c>
      <c r="F5736" s="3" t="s">
        <v>116</v>
      </c>
      <c r="G5736" s="3" t="s">
        <v>19</v>
      </c>
      <c r="H5736" s="2" t="s">
        <v>20</v>
      </c>
      <c r="I5736" s="2" t="s">
        <v>11218</v>
      </c>
      <c r="J5736" s="3" t="str">
        <f>HYPERLINK("https://www.boe.es/gazeta/dias/1822/06/14/pdfs/GMD-1822-171.pdf#page=5","Abrir facsímil")</f>
        <v>Abrir facsímil</v>
      </c>
      <c r="K5736" s="3" t="s">
        <v>22</v>
      </c>
    </row>
    <row r="5737" spans="1:11" ht="42" customHeight="1">
      <c r="A5737" s="2" t="s">
        <v>11166</v>
      </c>
      <c r="B5737" s="2" t="s">
        <v>11166</v>
      </c>
      <c r="C5737" s="2" t="s">
        <v>42</v>
      </c>
      <c r="D5737" s="2" t="s">
        <v>17</v>
      </c>
      <c r="E5737" s="5">
        <v>-28320</v>
      </c>
      <c r="F5737" s="3" t="s">
        <v>700</v>
      </c>
      <c r="G5737" s="3" t="s">
        <v>35</v>
      </c>
      <c r="H5737" s="2" t="s">
        <v>20</v>
      </c>
      <c r="I5737" s="2" t="s">
        <v>11219</v>
      </c>
      <c r="J5737" s="3" t="str">
        <f>HYPERLINK("https://www.boe.es/gazeta/dias/1822/06/17/pdfs/GMD-1822-174.pdf#page=2","Abrir facsímil")</f>
        <v>Abrir facsímil</v>
      </c>
      <c r="K5737" s="3" t="s">
        <v>22</v>
      </c>
    </row>
    <row r="5738" spans="1:11" ht="42" customHeight="1">
      <c r="A5738" s="2" t="s">
        <v>11166</v>
      </c>
      <c r="B5738" s="2" t="s">
        <v>11166</v>
      </c>
      <c r="C5738" s="2" t="s">
        <v>71</v>
      </c>
      <c r="D5738" s="2" t="s">
        <v>17</v>
      </c>
      <c r="E5738" s="5">
        <v>-28320</v>
      </c>
      <c r="F5738" s="3" t="s">
        <v>700</v>
      </c>
      <c r="G5738" s="3" t="s">
        <v>31</v>
      </c>
      <c r="H5738" s="2" t="s">
        <v>20</v>
      </c>
      <c r="I5738" s="2" t="s">
        <v>11220</v>
      </c>
      <c r="J5738" s="3" t="str">
        <f>HYPERLINK("https://www.boe.es/gazeta/dias/1822/06/17/pdfs/GMD-1822-174.pdf#page=3","Abrir facsímil")</f>
        <v>Abrir facsímil</v>
      </c>
      <c r="K5738" s="3" t="s">
        <v>22</v>
      </c>
    </row>
    <row r="5739" spans="1:11" ht="42" customHeight="1">
      <c r="A5739" s="2" t="s">
        <v>11166</v>
      </c>
      <c r="B5739" s="2" t="s">
        <v>11166</v>
      </c>
      <c r="C5739" s="2" t="s">
        <v>28</v>
      </c>
      <c r="D5739" s="2" t="s">
        <v>29</v>
      </c>
      <c r="E5739" s="5">
        <v>-28320</v>
      </c>
      <c r="F5739" s="3" t="s">
        <v>700</v>
      </c>
      <c r="G5739" s="3" t="s">
        <v>63</v>
      </c>
      <c r="H5739" s="2" t="s">
        <v>20</v>
      </c>
      <c r="I5739" s="2" t="s">
        <v>11221</v>
      </c>
      <c r="J5739" s="3" t="str">
        <f>HYPERLINK("https://www.boe.es/gazeta/dias/1822/06/17/pdfs/GMD-1822-174.pdf#page=6","Abrir facsímil")</f>
        <v>Abrir facsímil</v>
      </c>
      <c r="K5739" s="3" t="s">
        <v>22</v>
      </c>
    </row>
    <row r="5740" spans="1:11" ht="42" customHeight="1">
      <c r="A5740" s="2" t="s">
        <v>11166</v>
      </c>
      <c r="B5740" s="2" t="s">
        <v>11166</v>
      </c>
      <c r="C5740" s="2" t="s">
        <v>50</v>
      </c>
      <c r="D5740" s="2" t="s">
        <v>51</v>
      </c>
      <c r="E5740" s="5">
        <v>-28319</v>
      </c>
      <c r="F5740" s="3" t="s">
        <v>271</v>
      </c>
      <c r="G5740" s="3" t="s">
        <v>35</v>
      </c>
      <c r="H5740" s="2" t="s">
        <v>20</v>
      </c>
      <c r="I5740" s="2" t="s">
        <v>11222</v>
      </c>
      <c r="J5740" s="3" t="str">
        <f>HYPERLINK("https://www.boe.es/gazeta/dias/1822/06/18/pdfs/GMD-1822-175.pdf#page=2","Abrir facsímil")</f>
        <v>Abrir facsímil</v>
      </c>
      <c r="K5740" s="3" t="s">
        <v>22</v>
      </c>
    </row>
    <row r="5741" spans="1:11" ht="42" customHeight="1">
      <c r="A5741" s="2" t="s">
        <v>11166</v>
      </c>
      <c r="B5741" s="2" t="s">
        <v>11166</v>
      </c>
      <c r="C5741" s="2" t="s">
        <v>28</v>
      </c>
      <c r="D5741" s="2" t="s">
        <v>29</v>
      </c>
      <c r="E5741" s="5">
        <v>-28318</v>
      </c>
      <c r="F5741" s="3" t="s">
        <v>397</v>
      </c>
      <c r="G5741" s="3" t="s">
        <v>35</v>
      </c>
      <c r="H5741" s="2" t="s">
        <v>20</v>
      </c>
      <c r="I5741" s="2" t="s">
        <v>11223</v>
      </c>
      <c r="J5741" s="3" t="str">
        <f>HYPERLINK("https://www.boe.es/gazeta/dias/1822/06/19/pdfs/GMD-1822-176.pdf#page=2","Abrir facsímil")</f>
        <v>Abrir facsímil</v>
      </c>
      <c r="K5741" s="3" t="s">
        <v>22</v>
      </c>
    </row>
    <row r="5742" spans="1:11" ht="42" customHeight="1">
      <c r="A5742" s="2" t="s">
        <v>11166</v>
      </c>
      <c r="B5742" s="2" t="s">
        <v>11166</v>
      </c>
      <c r="C5742" s="2" t="s">
        <v>28</v>
      </c>
      <c r="D5742" s="2" t="s">
        <v>29</v>
      </c>
      <c r="E5742" s="5">
        <v>-28318</v>
      </c>
      <c r="F5742" s="3" t="s">
        <v>397</v>
      </c>
      <c r="G5742" s="3" t="s">
        <v>31</v>
      </c>
      <c r="H5742" s="2" t="s">
        <v>20</v>
      </c>
      <c r="I5742" s="2" t="s">
        <v>11224</v>
      </c>
      <c r="J5742" s="3" t="str">
        <f>HYPERLINK("https://www.boe.es/gazeta/dias/1822/06/19/pdfs/GMD-1822-176.pdf#page=3","Abrir facsímil")</f>
        <v>Abrir facsímil</v>
      </c>
      <c r="K5742" s="3" t="s">
        <v>22</v>
      </c>
    </row>
    <row r="5743" spans="1:11" ht="42" customHeight="1">
      <c r="A5743" s="2" t="s">
        <v>11166</v>
      </c>
      <c r="B5743" s="2" t="s">
        <v>11166</v>
      </c>
      <c r="C5743" s="2" t="s">
        <v>28</v>
      </c>
      <c r="D5743" s="2" t="s">
        <v>29</v>
      </c>
      <c r="E5743" s="5">
        <v>-28317</v>
      </c>
      <c r="F5743" s="3" t="s">
        <v>546</v>
      </c>
      <c r="G5743" s="3" t="s">
        <v>19</v>
      </c>
      <c r="H5743" s="2" t="s">
        <v>20</v>
      </c>
      <c r="I5743" s="2" t="s">
        <v>11225</v>
      </c>
      <c r="J5743" s="3" t="str">
        <f>HYPERLINK("https://www.boe.es/gazeta/dias/1822/06/20/pdfs/GMD-1822-177.pdf#page=5","Abrir facsímil")</f>
        <v>Abrir facsímil</v>
      </c>
      <c r="K5743" s="3" t="s">
        <v>22</v>
      </c>
    </row>
    <row r="5744" spans="1:11" ht="42" customHeight="1">
      <c r="A5744" s="2" t="s">
        <v>11166</v>
      </c>
      <c r="B5744" s="2" t="s">
        <v>11166</v>
      </c>
      <c r="C5744" s="2" t="s">
        <v>42</v>
      </c>
      <c r="D5744" s="2" t="s">
        <v>17</v>
      </c>
      <c r="E5744" s="5">
        <v>-28314</v>
      </c>
      <c r="F5744" s="3" t="s">
        <v>309</v>
      </c>
      <c r="G5744" s="3" t="s">
        <v>31</v>
      </c>
      <c r="H5744" s="2" t="s">
        <v>20</v>
      </c>
      <c r="I5744" s="2" t="s">
        <v>11226</v>
      </c>
      <c r="J5744" s="3" t="str">
        <f>HYPERLINK("https://www.boe.es/gazeta/dias/1822/06/23/pdfs/GMD-1822-181.pdf#page=3","Abrir facsímil")</f>
        <v>Abrir facsímil</v>
      </c>
      <c r="K5744" s="3" t="s">
        <v>22</v>
      </c>
    </row>
    <row r="5745" spans="1:11" ht="42" customHeight="1">
      <c r="A5745" s="2" t="s">
        <v>11166</v>
      </c>
      <c r="B5745" s="2" t="s">
        <v>11166</v>
      </c>
      <c r="C5745" s="2" t="s">
        <v>42</v>
      </c>
      <c r="D5745" s="2" t="s">
        <v>17</v>
      </c>
      <c r="E5745" s="5">
        <v>-28311</v>
      </c>
      <c r="F5745" s="3" t="s">
        <v>736</v>
      </c>
      <c r="G5745" s="3" t="s">
        <v>44</v>
      </c>
      <c r="H5745" s="2" t="s">
        <v>20</v>
      </c>
      <c r="I5745" s="2" t="s">
        <v>11227</v>
      </c>
      <c r="J5745" s="3" t="str">
        <f>HYPERLINK("https://www.boe.es/gazeta/dias/1822/06/26/pdfs/GMD-1822-184.pdf#page=1","Abrir facsímil")</f>
        <v>Abrir facsímil</v>
      </c>
      <c r="K5745" s="3" t="s">
        <v>22</v>
      </c>
    </row>
    <row r="5746" spans="1:11" ht="42" customHeight="1">
      <c r="A5746" s="2" t="s">
        <v>11166</v>
      </c>
      <c r="B5746" s="2" t="s">
        <v>11166</v>
      </c>
      <c r="C5746" s="2" t="s">
        <v>28</v>
      </c>
      <c r="D5746" s="2" t="s">
        <v>29</v>
      </c>
      <c r="E5746" s="5">
        <v>-28310</v>
      </c>
      <c r="F5746" s="3" t="s">
        <v>241</v>
      </c>
      <c r="G5746" s="3" t="s">
        <v>35</v>
      </c>
      <c r="H5746" s="2" t="s">
        <v>20</v>
      </c>
      <c r="I5746" s="2" t="s">
        <v>11228</v>
      </c>
      <c r="J5746" s="3" t="str">
        <f>HYPERLINK("https://www.boe.es/gazeta/dias/1822/06/27/pdfs/GMD-1822-185.pdf#page=2","Abrir facsímil")</f>
        <v>Abrir facsímil</v>
      </c>
      <c r="K5746" s="3" t="s">
        <v>22</v>
      </c>
    </row>
    <row r="5747" spans="1:11" ht="42" customHeight="1">
      <c r="A5747" s="2" t="s">
        <v>11166</v>
      </c>
      <c r="B5747" s="2" t="s">
        <v>11166</v>
      </c>
      <c r="C5747" s="2" t="s">
        <v>71</v>
      </c>
      <c r="D5747" s="2" t="s">
        <v>17</v>
      </c>
      <c r="E5747" s="5">
        <v>-28310</v>
      </c>
      <c r="F5747" s="3" t="s">
        <v>241</v>
      </c>
      <c r="G5747" s="3" t="s">
        <v>31</v>
      </c>
      <c r="H5747" s="2" t="s">
        <v>20</v>
      </c>
      <c r="I5747" s="2" t="s">
        <v>11229</v>
      </c>
      <c r="J5747" s="3" t="str">
        <f>HYPERLINK("https://www.boe.es/gazeta/dias/1822/06/27/pdfs/GMD-1822-185.pdf#page=3","Abrir facsímil")</f>
        <v>Abrir facsímil</v>
      </c>
      <c r="K5747" s="3" t="s">
        <v>22</v>
      </c>
    </row>
    <row r="5748" spans="1:11" ht="42" customHeight="1">
      <c r="A5748" s="2" t="s">
        <v>11166</v>
      </c>
      <c r="B5748" s="2" t="s">
        <v>11166</v>
      </c>
      <c r="C5748" s="2" t="s">
        <v>28</v>
      </c>
      <c r="D5748" s="2" t="s">
        <v>29</v>
      </c>
      <c r="E5748" s="5">
        <v>-28309</v>
      </c>
      <c r="F5748" s="3" t="s">
        <v>553</v>
      </c>
      <c r="G5748" s="3" t="s">
        <v>57</v>
      </c>
      <c r="H5748" s="2" t="s">
        <v>20</v>
      </c>
      <c r="I5748" s="2" t="s">
        <v>11230</v>
      </c>
      <c r="J5748" s="3" t="str">
        <f>HYPERLINK("https://www.boe.es/gazeta/dias/1822/06/28/pdfs/GMD-1822-186.pdf#page=4","Abrir facsímil")</f>
        <v>Abrir facsímil</v>
      </c>
      <c r="K5748" s="3" t="s">
        <v>22</v>
      </c>
    </row>
    <row r="5749" spans="1:11" ht="42" customHeight="1">
      <c r="A5749" s="2" t="s">
        <v>11166</v>
      </c>
      <c r="B5749" s="2" t="s">
        <v>11166</v>
      </c>
      <c r="C5749" s="2" t="s">
        <v>28</v>
      </c>
      <c r="D5749" s="2" t="s">
        <v>29</v>
      </c>
      <c r="E5749" s="5">
        <v>-28308</v>
      </c>
      <c r="F5749" s="3" t="s">
        <v>1050</v>
      </c>
      <c r="G5749" s="3" t="s">
        <v>35</v>
      </c>
      <c r="H5749" s="2" t="s">
        <v>20</v>
      </c>
      <c r="I5749" s="2" t="s">
        <v>11231</v>
      </c>
      <c r="J5749" s="3" t="str">
        <f>HYPERLINK("https://www.boe.es/gazeta/dias/1822/06/29/pdfs/GMD-1822-187.pdf#page=2","Abrir facsímil")</f>
        <v>Abrir facsímil</v>
      </c>
      <c r="K5749" s="3" t="s">
        <v>22</v>
      </c>
    </row>
    <row r="5750" spans="1:11" ht="42" customHeight="1">
      <c r="A5750" s="2" t="s">
        <v>11166</v>
      </c>
      <c r="B5750" s="2" t="s">
        <v>11166</v>
      </c>
      <c r="C5750" s="2" t="s">
        <v>50</v>
      </c>
      <c r="D5750" s="2" t="s">
        <v>51</v>
      </c>
      <c r="E5750" s="5">
        <v>-28308</v>
      </c>
      <c r="F5750" s="3" t="s">
        <v>1050</v>
      </c>
      <c r="G5750" s="3" t="s">
        <v>63</v>
      </c>
      <c r="H5750" s="2" t="s">
        <v>20</v>
      </c>
      <c r="I5750" s="2" t="s">
        <v>11232</v>
      </c>
      <c r="J5750" s="3" t="str">
        <f>HYPERLINK("https://www.boe.es/gazeta/dias/1822/06/29/pdfs/GMD-1822-187.pdf#page=6","Abrir facsímil")</f>
        <v>Abrir facsímil</v>
      </c>
      <c r="K5750" s="3" t="s">
        <v>22</v>
      </c>
    </row>
    <row r="5751" spans="1:11" ht="42" customHeight="1">
      <c r="A5751" s="2" t="s">
        <v>11166</v>
      </c>
      <c r="B5751" s="2" t="s">
        <v>11166</v>
      </c>
      <c r="C5751" s="2" t="s">
        <v>28</v>
      </c>
      <c r="D5751" s="2" t="s">
        <v>29</v>
      </c>
      <c r="E5751" s="5">
        <v>-28307</v>
      </c>
      <c r="F5751" s="3" t="s">
        <v>555</v>
      </c>
      <c r="G5751" s="3" t="s">
        <v>871</v>
      </c>
      <c r="H5751" s="2" t="s">
        <v>20</v>
      </c>
      <c r="I5751" s="2" t="s">
        <v>11233</v>
      </c>
      <c r="J5751" s="3" t="str">
        <f>HYPERLINK("https://www.boe.es/gazeta/dias/1822/06/30/pdfs/GMD-1822-188.pdf#page=4","Abrir facsímil")</f>
        <v>Abrir facsímil</v>
      </c>
      <c r="K5751" s="3" t="s">
        <v>22</v>
      </c>
    </row>
    <row r="5752" spans="1:11" ht="42" customHeight="1">
      <c r="A5752" s="2" t="s">
        <v>11166</v>
      </c>
      <c r="B5752" s="2" t="s">
        <v>11166</v>
      </c>
      <c r="C5752" s="2" t="s">
        <v>71</v>
      </c>
      <c r="D5752" s="2" t="s">
        <v>17</v>
      </c>
      <c r="E5752" s="5">
        <v>-28201</v>
      </c>
      <c r="F5752" s="3" t="s">
        <v>163</v>
      </c>
      <c r="G5752" s="3" t="s">
        <v>35</v>
      </c>
      <c r="H5752" s="2" t="s">
        <v>20</v>
      </c>
      <c r="I5752" s="2" t="s">
        <v>11234</v>
      </c>
      <c r="J5752" s="3" t="str">
        <f>HYPERLINK("https://www.boe.es/gazeta/dias/1822/10/14/pdfs/GMD-1822-301.pdf#page=2","Abrir facsímil")</f>
        <v>Abrir facsímil</v>
      </c>
      <c r="K5752" s="3" t="s">
        <v>22</v>
      </c>
    </row>
    <row r="5753" spans="1:11" ht="42" customHeight="1">
      <c r="A5753" s="2" t="s">
        <v>11166</v>
      </c>
      <c r="B5753" s="2" t="s">
        <v>11166</v>
      </c>
      <c r="C5753" s="2" t="s">
        <v>71</v>
      </c>
      <c r="D5753" s="2" t="s">
        <v>17</v>
      </c>
      <c r="E5753" s="5">
        <v>-28194</v>
      </c>
      <c r="F5753" s="3" t="s">
        <v>18</v>
      </c>
      <c r="G5753" s="3" t="s">
        <v>35</v>
      </c>
      <c r="H5753" s="2" t="s">
        <v>20</v>
      </c>
      <c r="I5753" s="2" t="s">
        <v>11235</v>
      </c>
      <c r="J5753" s="3" t="str">
        <f>HYPERLINK("https://www.boe.es/gazeta/dias/1822/10/21/pdfs/GMD-1822-308.pdf#page=2","Abrir facsímil")</f>
        <v>Abrir facsímil</v>
      </c>
      <c r="K5753" s="3" t="s">
        <v>22</v>
      </c>
    </row>
    <row r="5754" spans="1:11" ht="42" customHeight="1">
      <c r="A5754" s="2" t="s">
        <v>11166</v>
      </c>
      <c r="B5754" s="2" t="s">
        <v>11166</v>
      </c>
      <c r="C5754" s="2" t="s">
        <v>28</v>
      </c>
      <c r="D5754" s="2" t="s">
        <v>29</v>
      </c>
      <c r="E5754" s="5">
        <v>-28194</v>
      </c>
      <c r="F5754" s="3" t="s">
        <v>18</v>
      </c>
      <c r="G5754" s="3" t="s">
        <v>57</v>
      </c>
      <c r="H5754" s="2" t="s">
        <v>20</v>
      </c>
      <c r="I5754" s="2" t="s">
        <v>11236</v>
      </c>
      <c r="J5754" s="3" t="str">
        <f>HYPERLINK("https://www.boe.es/gazeta/dias/1822/10/21/pdfs/GMD-1822-308.pdf#page=4","Abrir facsímil")</f>
        <v>Abrir facsímil</v>
      </c>
      <c r="K5754" s="3" t="s">
        <v>22</v>
      </c>
    </row>
    <row r="5755" spans="1:11" ht="42" customHeight="1">
      <c r="A5755" s="2" t="s">
        <v>11166</v>
      </c>
      <c r="B5755" s="2" t="s">
        <v>11166</v>
      </c>
      <c r="C5755" s="2" t="s">
        <v>71</v>
      </c>
      <c r="D5755" s="2" t="s">
        <v>17</v>
      </c>
      <c r="E5755" s="5">
        <v>-28193</v>
      </c>
      <c r="F5755" s="3" t="s">
        <v>574</v>
      </c>
      <c r="G5755" s="3" t="s">
        <v>31</v>
      </c>
      <c r="H5755" s="2" t="s">
        <v>20</v>
      </c>
      <c r="I5755" s="2" t="s">
        <v>11237</v>
      </c>
      <c r="J5755" s="3" t="str">
        <f>HYPERLINK("https://www.boe.es/gazeta/dias/1822/10/22/pdfs/GMD-1822-309.pdf#page=3","Abrir facsímil")</f>
        <v>Abrir facsímil</v>
      </c>
      <c r="K5755" s="3" t="s">
        <v>22</v>
      </c>
    </row>
    <row r="5756" spans="1:11" ht="42" customHeight="1">
      <c r="A5756" s="2" t="s">
        <v>11166</v>
      </c>
      <c r="B5756" s="2" t="s">
        <v>11166</v>
      </c>
      <c r="C5756" s="2" t="s">
        <v>42</v>
      </c>
      <c r="D5756" s="2" t="s">
        <v>17</v>
      </c>
      <c r="E5756" s="5">
        <v>-28192</v>
      </c>
      <c r="F5756" s="3" t="s">
        <v>43</v>
      </c>
      <c r="G5756" s="3" t="s">
        <v>57</v>
      </c>
      <c r="H5756" s="2" t="s">
        <v>20</v>
      </c>
      <c r="I5756" s="2" t="s">
        <v>11238</v>
      </c>
      <c r="J5756" s="3" t="str">
        <f>HYPERLINK("https://www.boe.es/gazeta/dias/1822/10/23/pdfs/GMD-1822-310.pdf#page=4","Abrir facsímil")</f>
        <v>Abrir facsímil</v>
      </c>
      <c r="K5756" s="3" t="s">
        <v>22</v>
      </c>
    </row>
    <row r="5757" spans="1:11" ht="42" customHeight="1">
      <c r="A5757" s="2" t="s">
        <v>11166</v>
      </c>
      <c r="B5757" s="2" t="s">
        <v>11166</v>
      </c>
      <c r="C5757" s="2" t="s">
        <v>42</v>
      </c>
      <c r="D5757" s="2" t="s">
        <v>17</v>
      </c>
      <c r="E5757" s="5">
        <v>-28191</v>
      </c>
      <c r="F5757" s="3" t="s">
        <v>710</v>
      </c>
      <c r="G5757" s="3" t="s">
        <v>35</v>
      </c>
      <c r="H5757" s="2" t="s">
        <v>20</v>
      </c>
      <c r="I5757" s="2" t="s">
        <v>11239</v>
      </c>
      <c r="J5757" s="3" t="str">
        <f>HYPERLINK("https://www.boe.es/gazeta/dias/1822/10/24/pdfs/GMD-1822-311.pdf#page=2","Abrir facsímil")</f>
        <v>Abrir facsímil</v>
      </c>
      <c r="K5757" s="3" t="s">
        <v>22</v>
      </c>
    </row>
    <row r="5758" spans="1:11" ht="42" customHeight="1">
      <c r="A5758" s="2" t="s">
        <v>11166</v>
      </c>
      <c r="B5758" s="2" t="s">
        <v>11166</v>
      </c>
      <c r="C5758" s="2" t="s">
        <v>16</v>
      </c>
      <c r="D5758" s="2" t="s">
        <v>17</v>
      </c>
      <c r="E5758" s="5">
        <v>-28189</v>
      </c>
      <c r="F5758" s="3" t="s">
        <v>645</v>
      </c>
      <c r="G5758" s="3" t="s">
        <v>31</v>
      </c>
      <c r="H5758" s="2" t="s">
        <v>20</v>
      </c>
      <c r="I5758" s="2" t="s">
        <v>11240</v>
      </c>
      <c r="J5758" s="3" t="str">
        <f>HYPERLINK("https://www.boe.es/gazeta/dias/1822/10/26/pdfs/GMD-1822-313.pdf#page=3","Abrir facsímil")</f>
        <v>Abrir facsímil</v>
      </c>
      <c r="K5758" s="3" t="s">
        <v>22</v>
      </c>
    </row>
    <row r="5759" spans="1:11" ht="42" customHeight="1">
      <c r="A5759" s="2" t="s">
        <v>11166</v>
      </c>
      <c r="B5759" s="2" t="s">
        <v>11166</v>
      </c>
      <c r="C5759" s="2" t="s">
        <v>71</v>
      </c>
      <c r="D5759" s="2" t="s">
        <v>17</v>
      </c>
      <c r="E5759" s="5">
        <v>-28189</v>
      </c>
      <c r="F5759" s="3" t="s">
        <v>645</v>
      </c>
      <c r="G5759" s="3" t="s">
        <v>19</v>
      </c>
      <c r="H5759" s="2" t="s">
        <v>20</v>
      </c>
      <c r="I5759" s="2" t="s">
        <v>11241</v>
      </c>
      <c r="J5759" s="3" t="str">
        <f>HYPERLINK("https://www.boe.es/gazeta/dias/1822/10/26/pdfs/GMD-1822-313.pdf#page=5","Abrir facsímil")</f>
        <v>Abrir facsímil</v>
      </c>
      <c r="K5759" s="3" t="s">
        <v>22</v>
      </c>
    </row>
    <row r="5760" spans="1:11" ht="42" customHeight="1">
      <c r="A5760" s="2" t="s">
        <v>11166</v>
      </c>
      <c r="B5760" s="2" t="s">
        <v>11166</v>
      </c>
      <c r="C5760" s="2" t="s">
        <v>71</v>
      </c>
      <c r="D5760" s="2" t="s">
        <v>17</v>
      </c>
      <c r="E5760" s="5">
        <v>-28188</v>
      </c>
      <c r="F5760" s="3" t="s">
        <v>578</v>
      </c>
      <c r="G5760" s="3" t="s">
        <v>63</v>
      </c>
      <c r="H5760" s="2" t="s">
        <v>20</v>
      </c>
      <c r="I5760" s="2" t="s">
        <v>11242</v>
      </c>
      <c r="J5760" s="3" t="str">
        <f>HYPERLINK("https://www.boe.es/gazeta/dias/1822/10/27/pdfs/GMD-1822-314.pdf#page=6","Abrir facsímil")</f>
        <v>Abrir facsímil</v>
      </c>
      <c r="K5760" s="3" t="s">
        <v>22</v>
      </c>
    </row>
    <row r="5761" spans="1:11" ht="42" customHeight="1">
      <c r="A5761" s="2" t="s">
        <v>11166</v>
      </c>
      <c r="B5761" s="2" t="s">
        <v>11166</v>
      </c>
      <c r="C5761" s="2" t="s">
        <v>50</v>
      </c>
      <c r="D5761" s="2" t="s">
        <v>51</v>
      </c>
      <c r="E5761" s="5">
        <v>-28187</v>
      </c>
      <c r="F5761" s="3" t="s">
        <v>929</v>
      </c>
      <c r="G5761" s="3" t="s">
        <v>19</v>
      </c>
      <c r="H5761" s="2" t="s">
        <v>20</v>
      </c>
      <c r="I5761" s="2" t="s">
        <v>11243</v>
      </c>
      <c r="J5761" s="3" t="str">
        <f>HYPERLINK("https://www.boe.es/gazeta/dias/1822/10/28/pdfs/GMD-1822-315.pdf#page=5","Abrir facsímil")</f>
        <v>Abrir facsímil</v>
      </c>
      <c r="K5761" s="3" t="s">
        <v>22</v>
      </c>
    </row>
    <row r="5762" spans="1:11" ht="42" customHeight="1">
      <c r="A5762" s="2" t="s">
        <v>11166</v>
      </c>
      <c r="B5762" s="2" t="s">
        <v>11166</v>
      </c>
      <c r="C5762" s="2" t="s">
        <v>42</v>
      </c>
      <c r="D5762" s="2" t="s">
        <v>17</v>
      </c>
      <c r="E5762" s="5">
        <v>-28186</v>
      </c>
      <c r="F5762" s="3" t="s">
        <v>581</v>
      </c>
      <c r="G5762" s="3" t="s">
        <v>31</v>
      </c>
      <c r="H5762" s="2" t="s">
        <v>20</v>
      </c>
      <c r="I5762" s="2" t="s">
        <v>11244</v>
      </c>
      <c r="J5762" s="3" t="str">
        <f>HYPERLINK("https://www.boe.es/gazeta/dias/1822/10/29/pdfs/GMD-1822-316.pdf#page=3","Abrir facsímil")</f>
        <v>Abrir facsímil</v>
      </c>
      <c r="K5762" s="3" t="s">
        <v>22</v>
      </c>
    </row>
    <row r="5763" spans="1:11" ht="42" customHeight="1">
      <c r="A5763" s="2" t="s">
        <v>11166</v>
      </c>
      <c r="B5763" s="2" t="s">
        <v>11166</v>
      </c>
      <c r="C5763" s="2" t="s">
        <v>362</v>
      </c>
      <c r="D5763" s="2" t="s">
        <v>17</v>
      </c>
      <c r="E5763" s="5">
        <v>-28186</v>
      </c>
      <c r="F5763" s="3" t="s">
        <v>581</v>
      </c>
      <c r="G5763" s="3" t="s">
        <v>57</v>
      </c>
      <c r="H5763" s="2" t="s">
        <v>20</v>
      </c>
      <c r="I5763" s="2" t="s">
        <v>11245</v>
      </c>
      <c r="J5763" s="3" t="str">
        <f>HYPERLINK("https://www.boe.es/gazeta/dias/1822/10/29/pdfs/GMD-1822-316.pdf#page=4","Abrir facsímil")</f>
        <v>Abrir facsímil</v>
      </c>
      <c r="K5763" s="3" t="s">
        <v>22</v>
      </c>
    </row>
    <row r="5764" spans="1:11" ht="42" customHeight="1">
      <c r="A5764" s="2" t="s">
        <v>11166</v>
      </c>
      <c r="B5764" s="2" t="s">
        <v>11166</v>
      </c>
      <c r="C5764" s="2" t="s">
        <v>42</v>
      </c>
      <c r="D5764" s="2" t="s">
        <v>17</v>
      </c>
      <c r="E5764" s="5">
        <v>-28183</v>
      </c>
      <c r="F5764" s="3" t="s">
        <v>583</v>
      </c>
      <c r="G5764" s="3" t="s">
        <v>57</v>
      </c>
      <c r="H5764" s="2" t="s">
        <v>20</v>
      </c>
      <c r="I5764" s="2" t="s">
        <v>11246</v>
      </c>
      <c r="J5764" s="3" t="str">
        <f>HYPERLINK("https://www.boe.es/gazeta/dias/1822/11/01/pdfs/GMD-1822-319.pdf#page=4","Abrir facsímil")</f>
        <v>Abrir facsímil</v>
      </c>
      <c r="K5764" s="3" t="s">
        <v>22</v>
      </c>
    </row>
    <row r="5765" spans="1:11" ht="42" customHeight="1">
      <c r="A5765" s="2" t="s">
        <v>11166</v>
      </c>
      <c r="B5765" s="2" t="s">
        <v>11166</v>
      </c>
      <c r="C5765" s="2" t="s">
        <v>42</v>
      </c>
      <c r="D5765" s="2" t="s">
        <v>17</v>
      </c>
      <c r="E5765" s="5">
        <v>-28181</v>
      </c>
      <c r="F5765" s="3" t="s">
        <v>739</v>
      </c>
      <c r="G5765" s="3" t="s">
        <v>35</v>
      </c>
      <c r="H5765" s="2" t="s">
        <v>20</v>
      </c>
      <c r="I5765" s="2" t="s">
        <v>11247</v>
      </c>
      <c r="J5765" s="3" t="str">
        <f>HYPERLINK("https://www.boe.es/gazeta/dias/1822/11/03/pdfs/GMD-1822-321.pdf#page=2","Abrir facsímil")</f>
        <v>Abrir facsímil</v>
      </c>
      <c r="K5765" s="3" t="s">
        <v>22</v>
      </c>
    </row>
    <row r="5766" spans="1:11" ht="42" customHeight="1">
      <c r="A5766" s="2" t="s">
        <v>11166</v>
      </c>
      <c r="B5766" s="2" t="s">
        <v>11166</v>
      </c>
      <c r="C5766" s="2" t="s">
        <v>42</v>
      </c>
      <c r="D5766" s="2" t="s">
        <v>17</v>
      </c>
      <c r="E5766" s="5">
        <v>-28178</v>
      </c>
      <c r="F5766" s="3" t="s">
        <v>318</v>
      </c>
      <c r="G5766" s="3" t="s">
        <v>35</v>
      </c>
      <c r="H5766" s="2" t="s">
        <v>20</v>
      </c>
      <c r="I5766" s="2" t="s">
        <v>11248</v>
      </c>
      <c r="J5766" s="3" t="str">
        <f>HYPERLINK("https://www.boe.es/gazeta/dias/1822/11/06/pdfs/GMD-1822-326.pdf#page=2","Abrir facsímil")</f>
        <v>Abrir facsímil</v>
      </c>
      <c r="K5766" s="3" t="s">
        <v>22</v>
      </c>
    </row>
    <row r="5767" spans="1:11" ht="42" customHeight="1">
      <c r="A5767" s="2" t="s">
        <v>11166</v>
      </c>
      <c r="B5767" s="2" t="s">
        <v>11166</v>
      </c>
      <c r="C5767" s="2" t="s">
        <v>28</v>
      </c>
      <c r="D5767" s="2" t="s">
        <v>29</v>
      </c>
      <c r="E5767" s="5">
        <v>-28178</v>
      </c>
      <c r="F5767" s="3" t="s">
        <v>318</v>
      </c>
      <c r="G5767" s="3" t="s">
        <v>57</v>
      </c>
      <c r="H5767" s="2" t="s">
        <v>20</v>
      </c>
      <c r="I5767" s="2" t="s">
        <v>11249</v>
      </c>
      <c r="J5767" s="3" t="str">
        <f>HYPERLINK("https://www.boe.es/gazeta/dias/1822/11/06/pdfs/GMD-1822-326.pdf#page=4","Abrir facsímil")</f>
        <v>Abrir facsímil</v>
      </c>
      <c r="K5767" s="3" t="s">
        <v>22</v>
      </c>
    </row>
    <row r="5768" spans="1:11" ht="42" customHeight="1">
      <c r="A5768" s="2" t="s">
        <v>11166</v>
      </c>
      <c r="B5768" s="2" t="s">
        <v>11166</v>
      </c>
      <c r="C5768" s="2" t="s">
        <v>50</v>
      </c>
      <c r="D5768" s="2" t="s">
        <v>51</v>
      </c>
      <c r="E5768" s="5">
        <v>-28177</v>
      </c>
      <c r="F5768" s="3" t="s">
        <v>587</v>
      </c>
      <c r="G5768" s="3" t="s">
        <v>35</v>
      </c>
      <c r="H5768" s="2" t="s">
        <v>20</v>
      </c>
      <c r="I5768" s="2" t="s">
        <v>11250</v>
      </c>
      <c r="J5768" s="3" t="str">
        <f>HYPERLINK("https://www.boe.es/gazeta/dias/1822/11/07/pdfs/GMD-1822-327.pdf#page=2","Abrir facsímil")</f>
        <v>Abrir facsímil</v>
      </c>
      <c r="K5768" s="3" t="s">
        <v>22</v>
      </c>
    </row>
    <row r="5769" spans="1:11" ht="42" customHeight="1">
      <c r="A5769" s="2" t="s">
        <v>11166</v>
      </c>
      <c r="B5769" s="2" t="s">
        <v>11166</v>
      </c>
      <c r="C5769" s="2" t="s">
        <v>42</v>
      </c>
      <c r="D5769" s="2" t="s">
        <v>17</v>
      </c>
      <c r="E5769" s="5">
        <v>-28176</v>
      </c>
      <c r="F5769" s="3" t="s">
        <v>780</v>
      </c>
      <c r="G5769" s="3" t="s">
        <v>35</v>
      </c>
      <c r="H5769" s="2" t="s">
        <v>20</v>
      </c>
      <c r="I5769" s="2" t="s">
        <v>11251</v>
      </c>
      <c r="J5769" s="3" t="str">
        <f>HYPERLINK("https://www.boe.es/gazeta/dias/1822/11/08/pdfs/GMD-1822-328.pdf#page=2","Abrir facsímil")</f>
        <v>Abrir facsímil</v>
      </c>
      <c r="K5769" s="3" t="s">
        <v>22</v>
      </c>
    </row>
    <row r="5770" spans="1:11" ht="42" customHeight="1">
      <c r="A5770" s="2" t="s">
        <v>11166</v>
      </c>
      <c r="B5770" s="2" t="s">
        <v>11166</v>
      </c>
      <c r="C5770" s="2" t="s">
        <v>71</v>
      </c>
      <c r="D5770" s="2" t="s">
        <v>17</v>
      </c>
      <c r="E5770" s="5">
        <v>-28173</v>
      </c>
      <c r="F5770" s="3" t="s">
        <v>2959</v>
      </c>
      <c r="G5770" s="3" t="s">
        <v>35</v>
      </c>
      <c r="H5770" s="2" t="s">
        <v>20</v>
      </c>
      <c r="I5770" s="2" t="s">
        <v>11252</v>
      </c>
      <c r="J5770" s="3" t="str">
        <f>HYPERLINK("https://www.boe.es/gazeta/dias/1822/11/11/pdfs/GMD-1822-331.pdf#page=2","Abrir facsímil")</f>
        <v>Abrir facsímil</v>
      </c>
      <c r="K5770" s="3" t="s">
        <v>22</v>
      </c>
    </row>
    <row r="5771" spans="1:11" ht="42" customHeight="1">
      <c r="A5771" s="2" t="s">
        <v>11166</v>
      </c>
      <c r="B5771" s="2" t="s">
        <v>11166</v>
      </c>
      <c r="C5771" s="2" t="s">
        <v>71</v>
      </c>
      <c r="D5771" s="2" t="s">
        <v>17</v>
      </c>
      <c r="E5771" s="5">
        <v>-28167</v>
      </c>
      <c r="F5771" s="3" t="s">
        <v>904</v>
      </c>
      <c r="G5771" s="3" t="s">
        <v>35</v>
      </c>
      <c r="H5771" s="2" t="s">
        <v>20</v>
      </c>
      <c r="I5771" s="2" t="s">
        <v>11253</v>
      </c>
      <c r="J5771" s="3" t="str">
        <f>HYPERLINK("https://www.boe.es/gazeta/dias/1822/11/17/pdfs/GMD-1822-337.pdf#page=2","Abrir facsímil")</f>
        <v>Abrir facsímil</v>
      </c>
      <c r="K5771" s="3" t="s">
        <v>22</v>
      </c>
    </row>
    <row r="5772" spans="1:11" ht="42" customHeight="1">
      <c r="A5772" s="2" t="s">
        <v>11166</v>
      </c>
      <c r="B5772" s="2" t="s">
        <v>11166</v>
      </c>
      <c r="C5772" s="2" t="s">
        <v>42</v>
      </c>
      <c r="D5772" s="2" t="s">
        <v>17</v>
      </c>
      <c r="E5772" s="5">
        <v>-28165</v>
      </c>
      <c r="F5772" s="3" t="s">
        <v>846</v>
      </c>
      <c r="G5772" s="3" t="s">
        <v>847</v>
      </c>
      <c r="H5772" s="2" t="s">
        <v>20</v>
      </c>
      <c r="I5772" s="2" t="s">
        <v>11254</v>
      </c>
      <c r="J5772" s="3" t="str">
        <f>HYPERLINK("https://www.boe.es/gazeta/dias/1822/11/19/pdfs/GMD-1822-339.pdf#page=3","Abrir facsímil")</f>
        <v>Abrir facsímil</v>
      </c>
      <c r="K5772" s="3" t="s">
        <v>22</v>
      </c>
    </row>
    <row r="5773" spans="1:11" ht="42" customHeight="1">
      <c r="A5773" s="2" t="s">
        <v>11166</v>
      </c>
      <c r="B5773" s="2" t="s">
        <v>11166</v>
      </c>
      <c r="C5773" s="2" t="s">
        <v>28</v>
      </c>
      <c r="D5773" s="2" t="s">
        <v>29</v>
      </c>
      <c r="E5773" s="5">
        <v>-28165</v>
      </c>
      <c r="F5773" s="3" t="s">
        <v>846</v>
      </c>
      <c r="G5773" s="3" t="s">
        <v>35</v>
      </c>
      <c r="H5773" s="2" t="s">
        <v>20</v>
      </c>
      <c r="I5773" s="2" t="s">
        <v>11255</v>
      </c>
      <c r="J5773" s="3" t="str">
        <f>HYPERLINK("https://www.boe.es/gazeta/dias/1822/11/19/pdfs/GMD-1822-339.pdf#page=2","Abrir facsímil")</f>
        <v>Abrir facsímil</v>
      </c>
      <c r="K5773" s="3" t="s">
        <v>22</v>
      </c>
    </row>
    <row r="5774" spans="1:11" ht="42" customHeight="1">
      <c r="A5774" s="2" t="s">
        <v>11166</v>
      </c>
      <c r="B5774" s="2" t="s">
        <v>11166</v>
      </c>
      <c r="C5774" s="2" t="s">
        <v>16</v>
      </c>
      <c r="D5774" s="2" t="s">
        <v>17</v>
      </c>
      <c r="E5774" s="5">
        <v>-28153</v>
      </c>
      <c r="F5774" s="3" t="s">
        <v>946</v>
      </c>
      <c r="G5774" s="3" t="s">
        <v>31</v>
      </c>
      <c r="H5774" s="2" t="s">
        <v>20</v>
      </c>
      <c r="I5774" s="2" t="s">
        <v>11256</v>
      </c>
      <c r="J5774" s="3" t="str">
        <f>HYPERLINK("https://www.boe.es/gazeta/dias/1822/12/01/pdfs/GMD-1822-351.pdf#page=3","Abrir facsímil")</f>
        <v>Abrir facsímil</v>
      </c>
      <c r="K5774" s="3" t="s">
        <v>22</v>
      </c>
    </row>
    <row r="5775" spans="1:11" ht="42" customHeight="1">
      <c r="A5775" s="2" t="s">
        <v>11166</v>
      </c>
      <c r="B5775" s="2" t="s">
        <v>11166</v>
      </c>
      <c r="C5775" s="2" t="s">
        <v>50</v>
      </c>
      <c r="D5775" s="2" t="s">
        <v>51</v>
      </c>
      <c r="E5775" s="5">
        <v>-28147</v>
      </c>
      <c r="F5775" s="3" t="s">
        <v>1611</v>
      </c>
      <c r="G5775" s="3" t="s">
        <v>35</v>
      </c>
      <c r="H5775" s="2" t="s">
        <v>20</v>
      </c>
      <c r="I5775" s="2" t="s">
        <v>11257</v>
      </c>
      <c r="J5775" s="3" t="str">
        <f>HYPERLINK("https://www.boe.es/gazeta/dias/1822/12/07/pdfs/GMD-1822-357.pdf#page=2","Abrir facsímil")</f>
        <v>Abrir facsímil</v>
      </c>
      <c r="K5775" s="3" t="s">
        <v>22</v>
      </c>
    </row>
    <row r="5776" spans="1:11" ht="42" customHeight="1">
      <c r="A5776" s="2" t="s">
        <v>11166</v>
      </c>
      <c r="B5776" s="2" t="s">
        <v>11166</v>
      </c>
      <c r="C5776" s="2" t="s">
        <v>50</v>
      </c>
      <c r="D5776" s="2" t="s">
        <v>51</v>
      </c>
      <c r="E5776" s="5">
        <v>-28147</v>
      </c>
      <c r="F5776" s="3" t="s">
        <v>1611</v>
      </c>
      <c r="G5776" s="3" t="s">
        <v>57</v>
      </c>
      <c r="H5776" s="2" t="s">
        <v>20</v>
      </c>
      <c r="I5776" s="2" t="s">
        <v>11258</v>
      </c>
      <c r="J5776" s="3" t="str">
        <f>HYPERLINK("https://www.boe.es/gazeta/dias/1822/12/07/pdfs/GMD-1822-357.pdf#page=4","Abrir facsímil")</f>
        <v>Abrir facsímil</v>
      </c>
      <c r="K5776" s="3" t="s">
        <v>22</v>
      </c>
    </row>
    <row r="5777" spans="1:11" ht="42" customHeight="1">
      <c r="A5777" s="2" t="s">
        <v>11210</v>
      </c>
      <c r="B5777" s="2" t="s">
        <v>11210</v>
      </c>
      <c r="C5777" s="2" t="s">
        <v>28</v>
      </c>
      <c r="D5777" s="2" t="s">
        <v>29</v>
      </c>
      <c r="E5777" s="5">
        <v>-28129</v>
      </c>
      <c r="F5777" s="3" t="s">
        <v>599</v>
      </c>
      <c r="G5777" s="3" t="s">
        <v>35</v>
      </c>
      <c r="H5777" s="2" t="s">
        <v>20</v>
      </c>
      <c r="I5777" s="2" t="s">
        <v>11259</v>
      </c>
      <c r="J5777" s="3" t="str">
        <f>HYPERLINK("https://www.boe.es/gazeta/dias/1822/12/25/pdfs/GMD-1822-375.pdf#page=2","Abrir facsímil")</f>
        <v>Abrir facsímil</v>
      </c>
      <c r="K5777" s="3" t="s">
        <v>22</v>
      </c>
    </row>
    <row r="5778" spans="1:11" ht="42" customHeight="1">
      <c r="A5778" s="2" t="s">
        <v>11166</v>
      </c>
      <c r="B5778" s="2" t="s">
        <v>11166</v>
      </c>
      <c r="C5778" s="2" t="s">
        <v>50</v>
      </c>
      <c r="D5778" s="2" t="s">
        <v>51</v>
      </c>
      <c r="E5778" s="5">
        <v>-28123</v>
      </c>
      <c r="F5778" s="3" t="s">
        <v>603</v>
      </c>
      <c r="G5778" s="3" t="s">
        <v>19</v>
      </c>
      <c r="H5778" s="2" t="s">
        <v>20</v>
      </c>
      <c r="I5778" s="2" t="s">
        <v>11260</v>
      </c>
      <c r="J5778" s="3" t="str">
        <f>HYPERLINK("https://www.boe.es/gazeta/dias/1822/12/31/pdfs/GMD-1822-381.pdf#page=5","Abrir facsímil")</f>
        <v>Abrir facsímil</v>
      </c>
      <c r="K5778" s="3" t="s">
        <v>22</v>
      </c>
    </row>
    <row r="5779" spans="1:11" ht="42" customHeight="1">
      <c r="A5779" s="2" t="s">
        <v>11261</v>
      </c>
      <c r="B5779" s="2" t="s">
        <v>11262</v>
      </c>
      <c r="C5779" s="2" t="s">
        <v>42</v>
      </c>
      <c r="D5779" s="2" t="s">
        <v>17</v>
      </c>
      <c r="E5779" s="5">
        <v>-28436</v>
      </c>
      <c r="F5779" s="3" t="s">
        <v>431</v>
      </c>
      <c r="G5779" s="3" t="s">
        <v>57</v>
      </c>
      <c r="H5779" s="2" t="s">
        <v>20</v>
      </c>
      <c r="I5779" s="2" t="s">
        <v>11263</v>
      </c>
      <c r="J5779" s="3" t="str">
        <f>HYPERLINK("https://www.boe.es/gazeta/dias/1822/02/21/pdfs/GMD-1822-53.pdf#page=4","Abrir facsímil")</f>
        <v>Abrir facsímil</v>
      </c>
      <c r="K5779" s="3" t="s">
        <v>22</v>
      </c>
    </row>
    <row r="5780" spans="1:11" ht="42" customHeight="1">
      <c r="A5780" s="2" t="s">
        <v>11261</v>
      </c>
      <c r="B5780" s="2" t="s">
        <v>11262</v>
      </c>
      <c r="C5780" s="2" t="s">
        <v>16</v>
      </c>
      <c r="D5780" s="2" t="s">
        <v>17</v>
      </c>
      <c r="E5780" s="5">
        <v>-28421</v>
      </c>
      <c r="F5780" s="3" t="s">
        <v>446</v>
      </c>
      <c r="G5780" s="3" t="s">
        <v>57</v>
      </c>
      <c r="H5780" s="2" t="s">
        <v>20</v>
      </c>
      <c r="I5780" s="2" t="s">
        <v>11264</v>
      </c>
      <c r="J5780" s="3" t="str">
        <f>HYPERLINK("https://www.boe.es/gazeta/dias/1822/03/08/pdfs/GMD-1822-69.pdf#page=4","Abrir facsímil")</f>
        <v>Abrir facsímil</v>
      </c>
      <c r="K5780" s="3" t="s">
        <v>22</v>
      </c>
    </row>
    <row r="5781" spans="1:11" ht="42" customHeight="1">
      <c r="A5781" s="2" t="s">
        <v>11261</v>
      </c>
      <c r="B5781" s="2" t="s">
        <v>11262</v>
      </c>
      <c r="C5781" s="2" t="s">
        <v>71</v>
      </c>
      <c r="D5781" s="2" t="s">
        <v>17</v>
      </c>
      <c r="E5781" s="5">
        <v>-28372</v>
      </c>
      <c r="F5781" s="3" t="s">
        <v>503</v>
      </c>
      <c r="G5781" s="3" t="s">
        <v>19</v>
      </c>
      <c r="H5781" s="2" t="s">
        <v>20</v>
      </c>
      <c r="I5781" s="2" t="s">
        <v>11265</v>
      </c>
      <c r="J5781" s="3" t="str">
        <f>HYPERLINK("https://www.boe.es/gazeta/dias/1822/04/26/pdfs/GMD-1822-118.pdf#page=5","Abrir facsímil")</f>
        <v>Abrir facsímil</v>
      </c>
      <c r="K5781" s="3" t="s">
        <v>22</v>
      </c>
    </row>
    <row r="5782" spans="1:11" ht="42" customHeight="1">
      <c r="A5782" s="2" t="s">
        <v>11261</v>
      </c>
      <c r="B5782" s="2" t="s">
        <v>11262</v>
      </c>
      <c r="C5782" s="2" t="s">
        <v>28</v>
      </c>
      <c r="D5782" s="2" t="s">
        <v>29</v>
      </c>
      <c r="E5782" s="5">
        <v>-28197</v>
      </c>
      <c r="F5782" s="3" t="s">
        <v>568</v>
      </c>
      <c r="G5782" s="3" t="s">
        <v>44</v>
      </c>
      <c r="H5782" s="2" t="s">
        <v>20</v>
      </c>
      <c r="I5782" s="2" t="s">
        <v>11266</v>
      </c>
      <c r="J5782" s="3" t="str">
        <f>HYPERLINK("https://www.boe.es/gazeta/dias/1822/10/18/pdfs/GMD-1822-305.pdf#page=1","Abrir facsímil")</f>
        <v>Abrir facsímil</v>
      </c>
      <c r="K5782" s="3" t="s">
        <v>22</v>
      </c>
    </row>
    <row r="5783" spans="1:11" ht="42" customHeight="1">
      <c r="A5783" s="2" t="s">
        <v>11267</v>
      </c>
      <c r="B5783" s="2" t="s">
        <v>11268</v>
      </c>
      <c r="C5783" s="2" t="s">
        <v>28</v>
      </c>
      <c r="D5783" s="2" t="s">
        <v>29</v>
      </c>
      <c r="E5783" s="5">
        <v>-28436</v>
      </c>
      <c r="F5783" s="3" t="s">
        <v>431</v>
      </c>
      <c r="G5783" s="3" t="s">
        <v>57</v>
      </c>
      <c r="H5783" s="2" t="s">
        <v>20</v>
      </c>
      <c r="I5783" s="2" t="s">
        <v>11269</v>
      </c>
      <c r="J5783" s="3" t="str">
        <f>HYPERLINK("https://www.boe.es/gazeta/dias/1822/02/21/pdfs/GMD-1822-53.pdf#page=4","Abrir facsímil")</f>
        <v>Abrir facsímil</v>
      </c>
      <c r="K5783" s="3" t="s">
        <v>22</v>
      </c>
    </row>
    <row r="5784" spans="1:11" ht="42" customHeight="1">
      <c r="A5784" s="2" t="s">
        <v>11267</v>
      </c>
      <c r="B5784" s="2" t="s">
        <v>11268</v>
      </c>
      <c r="C5784" s="2" t="s">
        <v>16</v>
      </c>
      <c r="D5784" s="2" t="s">
        <v>17</v>
      </c>
      <c r="E5784" s="5">
        <v>-28365</v>
      </c>
      <c r="F5784" s="3" t="s">
        <v>506</v>
      </c>
      <c r="G5784" s="3" t="s">
        <v>31</v>
      </c>
      <c r="H5784" s="2" t="s">
        <v>20</v>
      </c>
      <c r="I5784" s="2" t="s">
        <v>11270</v>
      </c>
      <c r="J5784" s="3" t="str">
        <f>HYPERLINK("https://www.boe.es/gazeta/dias/1822/05/03/pdfs/GMD-1822-125.pdf#page=3","Abrir facsímil")</f>
        <v>Abrir facsímil</v>
      </c>
      <c r="K5784" s="3" t="s">
        <v>22</v>
      </c>
    </row>
    <row r="5785" spans="1:11" ht="42" customHeight="1">
      <c r="A5785" s="2" t="s">
        <v>11271</v>
      </c>
      <c r="B5785" s="2" t="s">
        <v>11272</v>
      </c>
      <c r="C5785" s="2" t="s">
        <v>71</v>
      </c>
      <c r="D5785" s="2" t="s">
        <v>17</v>
      </c>
      <c r="E5785" s="5">
        <v>-28241</v>
      </c>
      <c r="F5785" s="3" t="s">
        <v>3068</v>
      </c>
      <c r="G5785" s="3" t="s">
        <v>57</v>
      </c>
      <c r="H5785" s="2" t="s">
        <v>20</v>
      </c>
      <c r="I5785" s="2" t="s">
        <v>11273</v>
      </c>
      <c r="J5785" s="3" t="str">
        <f>HYPERLINK("https://www.boe.es/gazeta/dias/1822/09/04/pdfs/GMD-1822-259.pdf#page=4","Abrir facsímil")</f>
        <v>Abrir facsímil</v>
      </c>
      <c r="K5785" s="3" t="s">
        <v>22</v>
      </c>
    </row>
    <row r="5786" spans="1:11" ht="42" customHeight="1">
      <c r="A5786" s="2" t="s">
        <v>11274</v>
      </c>
      <c r="B5786" s="2" t="s">
        <v>11275</v>
      </c>
      <c r="C5786" s="2" t="s">
        <v>71</v>
      </c>
      <c r="D5786" s="2" t="s">
        <v>17</v>
      </c>
      <c r="E5786" s="5">
        <v>-28317</v>
      </c>
      <c r="F5786" s="3" t="s">
        <v>546</v>
      </c>
      <c r="G5786" s="3" t="s">
        <v>35</v>
      </c>
      <c r="H5786" s="2" t="s">
        <v>20</v>
      </c>
      <c r="I5786" s="2" t="s">
        <v>11276</v>
      </c>
      <c r="J5786" s="3" t="str">
        <f>HYPERLINK("https://www.boe.es/gazeta/dias/1822/06/20/pdfs/GMD-1822-177.pdf#page=2","Abrir facsímil")</f>
        <v>Abrir facsímil</v>
      </c>
      <c r="K5786" s="3" t="s">
        <v>22</v>
      </c>
    </row>
    <row r="5787" spans="1:11" ht="42" customHeight="1">
      <c r="A5787" s="2" t="s">
        <v>11277</v>
      </c>
      <c r="B5787" s="2" t="s">
        <v>11277</v>
      </c>
      <c r="C5787" s="2" t="s">
        <v>28</v>
      </c>
      <c r="D5787" s="2" t="s">
        <v>29</v>
      </c>
      <c r="E5787" s="5">
        <v>-28186</v>
      </c>
      <c r="F5787" s="3" t="s">
        <v>581</v>
      </c>
      <c r="G5787" s="3" t="s">
        <v>57</v>
      </c>
      <c r="H5787" s="2" t="s">
        <v>20</v>
      </c>
      <c r="I5787" s="2" t="s">
        <v>11278</v>
      </c>
      <c r="J5787" s="3" t="str">
        <f>HYPERLINK("https://www.boe.es/gazeta/dias/1822/10/29/pdfs/GMD-1822-316.pdf#page=4","Abrir facsímil")</f>
        <v>Abrir facsímil</v>
      </c>
      <c r="K5787" s="3" t="s">
        <v>22</v>
      </c>
    </row>
    <row r="5788" spans="1:11" ht="42" customHeight="1">
      <c r="A5788" s="2" t="s">
        <v>11279</v>
      </c>
      <c r="B5788" s="2" t="s">
        <v>11279</v>
      </c>
      <c r="C5788" s="2" t="s">
        <v>50</v>
      </c>
      <c r="D5788" s="2" t="s">
        <v>51</v>
      </c>
      <c r="E5788" s="5">
        <v>-28197</v>
      </c>
      <c r="F5788" s="3" t="s">
        <v>568</v>
      </c>
      <c r="G5788" s="3" t="s">
        <v>31</v>
      </c>
      <c r="H5788" s="2" t="s">
        <v>20</v>
      </c>
      <c r="I5788" s="2" t="s">
        <v>11280</v>
      </c>
      <c r="J5788" s="3" t="str">
        <f>HYPERLINK("https://www.boe.es/gazeta/dias/1822/10/18/pdfs/GMD-1822-305.pdf#page=3","Abrir facsímil")</f>
        <v>Abrir facsímil</v>
      </c>
      <c r="K5788" s="3" t="s">
        <v>22</v>
      </c>
    </row>
    <row r="5789" spans="1:11" ht="42" customHeight="1">
      <c r="A5789" s="2" t="s">
        <v>11281</v>
      </c>
      <c r="B5789" s="2" t="s">
        <v>11281</v>
      </c>
      <c r="C5789" s="2" t="s">
        <v>28</v>
      </c>
      <c r="D5789" s="2" t="s">
        <v>29</v>
      </c>
      <c r="E5789" s="5">
        <v>-28365</v>
      </c>
      <c r="F5789" s="3" t="s">
        <v>506</v>
      </c>
      <c r="G5789" s="3" t="s">
        <v>31</v>
      </c>
      <c r="H5789" s="2" t="s">
        <v>20</v>
      </c>
      <c r="I5789" s="2" t="s">
        <v>11282</v>
      </c>
      <c r="J5789" s="3" t="str">
        <f>HYPERLINK("https://www.boe.es/gazeta/dias/1822/05/03/pdfs/GMD-1822-125.pdf#page=3","Abrir facsímil")</f>
        <v>Abrir facsímil</v>
      </c>
      <c r="K5789" s="3" t="s">
        <v>22</v>
      </c>
    </row>
    <row r="5790" spans="1:11" ht="42" customHeight="1">
      <c r="A5790" s="2" t="s">
        <v>11283</v>
      </c>
      <c r="B5790" s="2" t="s">
        <v>11284</v>
      </c>
      <c r="C5790" s="2" t="s">
        <v>61</v>
      </c>
      <c r="D5790" s="2" t="s">
        <v>17</v>
      </c>
      <c r="E5790" s="5">
        <v>-28132</v>
      </c>
      <c r="F5790" s="3" t="s">
        <v>820</v>
      </c>
      <c r="G5790" s="3" t="s">
        <v>821</v>
      </c>
      <c r="H5790" s="2" t="s">
        <v>20</v>
      </c>
      <c r="I5790" s="2" t="s">
        <v>11285</v>
      </c>
      <c r="J5790" s="3" t="str">
        <f>HYPERLINK("https://www.boe.es/gazeta/dias/1822/12/22/pdfs/GMD-1822-372.pdf#page=4","Abrir facsímil")</f>
        <v>Abrir facsímil</v>
      </c>
      <c r="K5790" s="3" t="s">
        <v>22</v>
      </c>
    </row>
    <row r="5791" spans="1:11" ht="42" customHeight="1">
      <c r="A5791" s="2" t="s">
        <v>11286</v>
      </c>
      <c r="B5791" s="2" t="s">
        <v>11286</v>
      </c>
      <c r="C5791" s="2" t="s">
        <v>42</v>
      </c>
      <c r="D5791" s="2" t="s">
        <v>17</v>
      </c>
      <c r="E5791" s="5">
        <v>-28445</v>
      </c>
      <c r="F5791" s="3" t="s">
        <v>1622</v>
      </c>
      <c r="G5791" s="3" t="s">
        <v>44</v>
      </c>
      <c r="H5791" s="2" t="s">
        <v>20</v>
      </c>
      <c r="I5791" s="2" t="s">
        <v>11287</v>
      </c>
      <c r="J5791" s="3" t="str">
        <f>HYPERLINK("https://www.boe.es/gazeta/dias/1822/02/12/pdfs/GMD-1822-43.pdf#page=1","Abrir facsímil")</f>
        <v>Abrir facsímil</v>
      </c>
      <c r="K5791" s="3" t="s">
        <v>22</v>
      </c>
    </row>
    <row r="5792" spans="1:11" ht="42" customHeight="1">
      <c r="A5792" s="2" t="s">
        <v>11286</v>
      </c>
      <c r="B5792" s="2" t="s">
        <v>11286</v>
      </c>
      <c r="C5792" s="2" t="s">
        <v>71</v>
      </c>
      <c r="D5792" s="2" t="s">
        <v>17</v>
      </c>
      <c r="E5792" s="5">
        <v>-28309</v>
      </c>
      <c r="F5792" s="3" t="s">
        <v>553</v>
      </c>
      <c r="G5792" s="3" t="s">
        <v>2934</v>
      </c>
      <c r="H5792" s="2" t="s">
        <v>20</v>
      </c>
      <c r="I5792" s="2" t="s">
        <v>11288</v>
      </c>
      <c r="J5792" s="3" t="str">
        <f>HYPERLINK("https://www.boe.es/gazeta/dias/1822/06/28/pdfs/GMD-1822-186.pdf#page=2","Abrir facsímil")</f>
        <v>Abrir facsímil</v>
      </c>
      <c r="K5792" s="3" t="s">
        <v>22</v>
      </c>
    </row>
    <row r="5793" spans="1:11" ht="42" customHeight="1">
      <c r="A5793" s="2" t="s">
        <v>11289</v>
      </c>
      <c r="B5793" s="2" t="s">
        <v>11290</v>
      </c>
      <c r="C5793" s="2" t="s">
        <v>50</v>
      </c>
      <c r="D5793" s="2" t="s">
        <v>51</v>
      </c>
      <c r="E5793" s="5">
        <v>-28199</v>
      </c>
      <c r="F5793" s="3" t="s">
        <v>656</v>
      </c>
      <c r="G5793" s="3" t="s">
        <v>44</v>
      </c>
      <c r="H5793" s="2" t="s">
        <v>45</v>
      </c>
      <c r="I5793" s="2" t="s">
        <v>11291</v>
      </c>
      <c r="J5793" s="3" t="str">
        <f>HYPERLINK("https://www.boe.es/gazeta/dias/1822/10/16/pdfs/GMD-1822-303.pdf#page=1","Abrir facsímil")</f>
        <v>Abrir facsímil</v>
      </c>
      <c r="K5793" s="3" t="s">
        <v>47</v>
      </c>
    </row>
    <row r="5794" spans="1:11" ht="42" customHeight="1">
      <c r="A5794" s="2" t="s">
        <v>11292</v>
      </c>
      <c r="B5794" s="2" t="s">
        <v>11293</v>
      </c>
      <c r="C5794" s="2" t="s">
        <v>50</v>
      </c>
      <c r="D5794" s="2" t="s">
        <v>51</v>
      </c>
      <c r="E5794" s="5">
        <v>-28321</v>
      </c>
      <c r="F5794" s="3" t="s">
        <v>1142</v>
      </c>
      <c r="G5794" s="3" t="s">
        <v>63</v>
      </c>
      <c r="H5794" s="2" t="s">
        <v>20</v>
      </c>
      <c r="I5794" s="2" t="s">
        <v>11294</v>
      </c>
      <c r="J5794" s="3" t="str">
        <f>HYPERLINK("https://www.boe.es/gazeta/dias/1822/06/16/pdfs/GMD-1822-173.pdf#page=6","Abrir facsímil")</f>
        <v>Abrir facsímil</v>
      </c>
      <c r="K5794" s="3" t="s">
        <v>22</v>
      </c>
    </row>
    <row r="5795" spans="1:11" ht="42" customHeight="1">
      <c r="A5795" s="2" t="s">
        <v>11295</v>
      </c>
      <c r="B5795" s="2" t="s">
        <v>11296</v>
      </c>
      <c r="C5795" s="2" t="s">
        <v>28</v>
      </c>
      <c r="D5795" s="2" t="s">
        <v>29</v>
      </c>
      <c r="E5795" s="5">
        <v>-28323</v>
      </c>
      <c r="F5795" s="3" t="s">
        <v>116</v>
      </c>
      <c r="G5795" s="3" t="s">
        <v>31</v>
      </c>
      <c r="H5795" s="2" t="s">
        <v>20</v>
      </c>
      <c r="I5795" s="2" t="s">
        <v>11297</v>
      </c>
      <c r="J5795" s="3" t="str">
        <f>HYPERLINK("https://www.boe.es/gazeta/dias/1822/06/14/pdfs/GMD-1822-171.pdf#page=3","Abrir facsímil")</f>
        <v>Abrir facsímil</v>
      </c>
      <c r="K5795" s="3" t="s">
        <v>22</v>
      </c>
    </row>
    <row r="5796" spans="1:11" ht="42" customHeight="1">
      <c r="A5796" s="2" t="s">
        <v>11298</v>
      </c>
      <c r="B5796" s="2" t="s">
        <v>11299</v>
      </c>
      <c r="C5796" s="2" t="s">
        <v>28</v>
      </c>
      <c r="D5796" s="2" t="s">
        <v>29</v>
      </c>
      <c r="E5796" s="5">
        <v>-28394</v>
      </c>
      <c r="F5796" s="3" t="s">
        <v>268</v>
      </c>
      <c r="G5796" s="3" t="s">
        <v>57</v>
      </c>
      <c r="H5796" s="2" t="s">
        <v>20</v>
      </c>
      <c r="I5796" s="2" t="s">
        <v>11300</v>
      </c>
      <c r="J5796" s="3" t="str">
        <f>HYPERLINK("https://www.boe.es/gazeta/dias/1822/04/04/pdfs/GMD-1822-96.pdf#page=4","Abrir facsímil")</f>
        <v>Abrir facsímil</v>
      </c>
      <c r="K5796" s="3" t="s">
        <v>22</v>
      </c>
    </row>
    <row r="5797" spans="1:11" ht="42" customHeight="1">
      <c r="A5797" s="2" t="s">
        <v>11301</v>
      </c>
      <c r="B5797" s="2" t="s">
        <v>11302</v>
      </c>
      <c r="C5797" s="2" t="s">
        <v>24</v>
      </c>
      <c r="D5797" s="2" t="s">
        <v>17</v>
      </c>
      <c r="E5797" s="5">
        <v>-28139</v>
      </c>
      <c r="F5797" s="3" t="s">
        <v>143</v>
      </c>
      <c r="G5797" s="3" t="s">
        <v>144</v>
      </c>
      <c r="H5797" s="2" t="s">
        <v>20</v>
      </c>
      <c r="I5797" s="2" t="s">
        <v>11303</v>
      </c>
      <c r="J5797" s="3" t="str">
        <f>HYPERLINK("https://www.boe.es/gazeta/dias/1822/12/15/pdfs/GMD-1822-365.pdf#page=4","Abrir facsímil")</f>
        <v>Abrir facsímil</v>
      </c>
      <c r="K5797" s="3" t="s">
        <v>22</v>
      </c>
    </row>
    <row r="5798" spans="1:11" ht="42" customHeight="1">
      <c r="A5798" s="2" t="s">
        <v>11304</v>
      </c>
      <c r="B5798" s="2" t="s">
        <v>11305</v>
      </c>
      <c r="C5798" s="2" t="s">
        <v>28</v>
      </c>
      <c r="D5798" s="2" t="s">
        <v>29</v>
      </c>
      <c r="E5798" s="5">
        <v>-28260</v>
      </c>
      <c r="F5798" s="3" t="s">
        <v>135</v>
      </c>
      <c r="G5798" s="3" t="s">
        <v>63</v>
      </c>
      <c r="H5798" s="2" t="s">
        <v>20</v>
      </c>
      <c r="I5798" s="2" t="s">
        <v>11306</v>
      </c>
      <c r="J5798" s="3" t="str">
        <f>HYPERLINK("https://www.boe.es/gazeta/dias/1822/08/16/pdfs/GMD-1822-240.pdf#page=6","Abrir facsímil")</f>
        <v>Abrir facsímil</v>
      </c>
      <c r="K5798" s="3" t="s">
        <v>22</v>
      </c>
    </row>
    <row r="5799" spans="1:11" ht="42" customHeight="1">
      <c r="A5799" s="2" t="s">
        <v>11307</v>
      </c>
      <c r="B5799" s="2" t="s">
        <v>11308</v>
      </c>
      <c r="C5799" s="2" t="s">
        <v>28</v>
      </c>
      <c r="D5799" s="2" t="s">
        <v>29</v>
      </c>
      <c r="E5799" s="5">
        <v>-28270</v>
      </c>
      <c r="F5799" s="3" t="s">
        <v>130</v>
      </c>
      <c r="G5799" s="3" t="s">
        <v>131</v>
      </c>
      <c r="H5799" s="2" t="s">
        <v>20</v>
      </c>
      <c r="I5799" s="2" t="s">
        <v>11309</v>
      </c>
      <c r="J5799" s="3" t="str">
        <f>HYPERLINK("https://www.boe.es/gazeta/dias/1822/08/06/pdfs/GMD-1822-230.pdf#page=6","Abrir facsímil")</f>
        <v>Abrir facsímil</v>
      </c>
      <c r="K5799" s="3" t="s">
        <v>22</v>
      </c>
    </row>
    <row r="5800" spans="1:11" ht="42" customHeight="1">
      <c r="A5800" s="2" t="s">
        <v>11310</v>
      </c>
      <c r="B5800" s="2" t="s">
        <v>11311</v>
      </c>
      <c r="C5800" s="2" t="s">
        <v>24</v>
      </c>
      <c r="D5800" s="2" t="s">
        <v>17</v>
      </c>
      <c r="E5800" s="5">
        <v>-28379</v>
      </c>
      <c r="F5800" s="3" t="s">
        <v>494</v>
      </c>
      <c r="G5800" s="3" t="s">
        <v>19</v>
      </c>
      <c r="H5800" s="2" t="s">
        <v>20</v>
      </c>
      <c r="I5800" s="2" t="s">
        <v>11312</v>
      </c>
      <c r="J5800" s="3" t="str">
        <f>HYPERLINK("https://www.boe.es/gazeta/dias/1822/04/19/pdfs/GMD-1822-111.pdf#page=5","Abrir facsímil")</f>
        <v>Abrir facsímil</v>
      </c>
      <c r="K5800" s="3" t="s">
        <v>22</v>
      </c>
    </row>
    <row r="5801" spans="1:11" ht="42" customHeight="1">
      <c r="A5801" s="2" t="s">
        <v>11313</v>
      </c>
      <c r="B5801" s="2" t="s">
        <v>11314</v>
      </c>
      <c r="C5801" s="2" t="s">
        <v>42</v>
      </c>
      <c r="D5801" s="2" t="s">
        <v>17</v>
      </c>
      <c r="E5801" s="5">
        <v>-28364</v>
      </c>
      <c r="F5801" s="3" t="s">
        <v>509</v>
      </c>
      <c r="G5801" s="3" t="s">
        <v>63</v>
      </c>
      <c r="H5801" s="2" t="s">
        <v>20</v>
      </c>
      <c r="I5801" s="2" t="s">
        <v>11315</v>
      </c>
      <c r="J5801" s="3" t="str">
        <f>HYPERLINK("https://www.boe.es/gazeta/dias/1822/05/04/pdfs/GMD-1822-126.pdf#page=6","Abrir facsímil")</f>
        <v>Abrir facsímil</v>
      </c>
      <c r="K5801" s="3" t="s">
        <v>22</v>
      </c>
    </row>
    <row r="5802" spans="1:11" ht="42" customHeight="1">
      <c r="A5802" s="2" t="s">
        <v>11313</v>
      </c>
      <c r="B5802" s="2" t="s">
        <v>11314</v>
      </c>
      <c r="C5802" s="2" t="s">
        <v>28</v>
      </c>
      <c r="D5802" s="2" t="s">
        <v>29</v>
      </c>
      <c r="E5802" s="5">
        <v>-28272</v>
      </c>
      <c r="F5802" s="3" t="s">
        <v>52</v>
      </c>
      <c r="G5802" s="3" t="s">
        <v>57</v>
      </c>
      <c r="H5802" s="2" t="s">
        <v>20</v>
      </c>
      <c r="I5802" s="2" t="s">
        <v>11316</v>
      </c>
      <c r="J5802" s="3" t="str">
        <f>HYPERLINK("https://www.boe.es/gazeta/dias/1822/08/04/pdfs/GMD-1822-228.pdf#page=4","Abrir facsímil")</f>
        <v>Abrir facsímil</v>
      </c>
      <c r="K5802" s="3" t="s">
        <v>22</v>
      </c>
    </row>
    <row r="5803" spans="1:11" ht="42" customHeight="1">
      <c r="A5803" s="2" t="s">
        <v>11313</v>
      </c>
      <c r="B5803" s="2" t="s">
        <v>11314</v>
      </c>
      <c r="C5803" s="2" t="s">
        <v>28</v>
      </c>
      <c r="D5803" s="2" t="s">
        <v>29</v>
      </c>
      <c r="E5803" s="5">
        <v>-28235</v>
      </c>
      <c r="F5803" s="3" t="s">
        <v>1470</v>
      </c>
      <c r="G5803" s="3" t="s">
        <v>57</v>
      </c>
      <c r="H5803" s="2" t="s">
        <v>20</v>
      </c>
      <c r="I5803" s="2" t="s">
        <v>11317</v>
      </c>
      <c r="J5803" s="3" t="str">
        <f>HYPERLINK("https://www.boe.es/gazeta/dias/1822/09/10/pdfs/GMD-1822-266.pdf#page=4","Abrir facsímil")</f>
        <v>Abrir facsímil</v>
      </c>
      <c r="K5803" s="3" t="s">
        <v>22</v>
      </c>
    </row>
    <row r="5804" spans="1:11" ht="42" customHeight="1">
      <c r="A5804" s="2" t="s">
        <v>11313</v>
      </c>
      <c r="B5804" s="2" t="s">
        <v>11314</v>
      </c>
      <c r="C5804" s="2" t="s">
        <v>71</v>
      </c>
      <c r="D5804" s="2" t="s">
        <v>17</v>
      </c>
      <c r="E5804" s="5">
        <v>-28214</v>
      </c>
      <c r="F5804" s="3" t="s">
        <v>814</v>
      </c>
      <c r="G5804" s="3" t="s">
        <v>57</v>
      </c>
      <c r="H5804" s="2" t="s">
        <v>20</v>
      </c>
      <c r="I5804" s="2" t="s">
        <v>11318</v>
      </c>
      <c r="J5804" s="3" t="str">
        <f>HYPERLINK("https://www.boe.es/gazeta/dias/1822/10/01/pdfs/GMD-1822-287.pdf#page=4","Abrir facsímil")</f>
        <v>Abrir facsímil</v>
      </c>
      <c r="K5804" s="3" t="s">
        <v>22</v>
      </c>
    </row>
    <row r="5805" spans="1:11" ht="42" customHeight="1">
      <c r="A5805" s="2" t="s">
        <v>11319</v>
      </c>
      <c r="B5805" s="2" t="s">
        <v>11320</v>
      </c>
      <c r="C5805" s="2" t="s">
        <v>42</v>
      </c>
      <c r="D5805" s="2" t="s">
        <v>17</v>
      </c>
      <c r="E5805" s="5">
        <v>-28365</v>
      </c>
      <c r="F5805" s="3" t="s">
        <v>506</v>
      </c>
      <c r="G5805" s="3" t="s">
        <v>2093</v>
      </c>
      <c r="H5805" s="2" t="s">
        <v>20</v>
      </c>
      <c r="I5805" s="2" t="s">
        <v>11321</v>
      </c>
      <c r="J5805" s="3" t="str">
        <f>HYPERLINK("https://www.boe.es/gazeta/dias/1822/05/03/pdfs/GMD-1822-125.pdf#page=6","Abrir facsímil")</f>
        <v>Abrir facsímil</v>
      </c>
      <c r="K5805" s="3" t="s">
        <v>22</v>
      </c>
    </row>
    <row r="5806" spans="1:11" ht="42" customHeight="1">
      <c r="A5806" s="2" t="s">
        <v>11322</v>
      </c>
      <c r="B5806" s="2" t="s">
        <v>11323</v>
      </c>
      <c r="C5806" s="2" t="s">
        <v>42</v>
      </c>
      <c r="D5806" s="2" t="s">
        <v>17</v>
      </c>
      <c r="E5806" s="5">
        <v>-28321</v>
      </c>
      <c r="F5806" s="3" t="s">
        <v>1142</v>
      </c>
      <c r="G5806" s="3" t="s">
        <v>63</v>
      </c>
      <c r="H5806" s="2" t="s">
        <v>20</v>
      </c>
      <c r="I5806" s="2" t="s">
        <v>11324</v>
      </c>
      <c r="J5806" s="3" t="str">
        <f>HYPERLINK("https://www.boe.es/gazeta/dias/1822/06/16/pdfs/GMD-1822-173.pdf#page=6","Abrir facsímil")</f>
        <v>Abrir facsímil</v>
      </c>
      <c r="K5806" s="3" t="s">
        <v>22</v>
      </c>
    </row>
    <row r="5807" spans="1:11" ht="42" customHeight="1">
      <c r="A5807" s="2" t="s">
        <v>11325</v>
      </c>
      <c r="B5807" s="2" t="s">
        <v>11326</v>
      </c>
      <c r="C5807" s="2" t="s">
        <v>50</v>
      </c>
      <c r="D5807" s="2" t="s">
        <v>51</v>
      </c>
      <c r="E5807" s="5">
        <v>-28401</v>
      </c>
      <c r="F5807" s="3" t="s">
        <v>108</v>
      </c>
      <c r="G5807" s="3" t="s">
        <v>57</v>
      </c>
      <c r="H5807" s="2" t="s">
        <v>20</v>
      </c>
      <c r="I5807" s="2" t="s">
        <v>11327</v>
      </c>
      <c r="J5807" s="3" t="str">
        <f>HYPERLINK("https://www.boe.es/gazeta/dias/1822/03/28/pdfs/GMD-1822-89.pdf#page=4","Abrir facsímil")</f>
        <v>Abrir facsímil</v>
      </c>
      <c r="K5807" s="3" t="s">
        <v>22</v>
      </c>
    </row>
    <row r="5808" spans="1:11" ht="42" customHeight="1">
      <c r="A5808" s="2" t="s">
        <v>11328</v>
      </c>
      <c r="B5808" s="2" t="s">
        <v>11329</v>
      </c>
      <c r="C5808" s="2" t="s">
        <v>50</v>
      </c>
      <c r="D5808" s="2" t="s">
        <v>723</v>
      </c>
      <c r="E5808" s="5">
        <v>-28181</v>
      </c>
      <c r="F5808" s="3" t="s">
        <v>724</v>
      </c>
      <c r="G5808" s="3" t="s">
        <v>35</v>
      </c>
      <c r="H5808" s="2" t="s">
        <v>20</v>
      </c>
      <c r="I5808" s="2" t="s">
        <v>11330</v>
      </c>
      <c r="J5808" s="3" t="str">
        <f>HYPERLINK("https://www.boe.es/gazeta/dias/1822/11/03/pdfs/GMD-1822-322E.pdf#page=2","Abrir facsímil")</f>
        <v>Abrir facsímil</v>
      </c>
      <c r="K5808" s="3" t="s">
        <v>22</v>
      </c>
    </row>
    <row r="5809" spans="1:11" ht="42" customHeight="1">
      <c r="A5809" s="2" t="s">
        <v>11331</v>
      </c>
      <c r="B5809" s="2" t="s">
        <v>11331</v>
      </c>
      <c r="C5809" s="2" t="s">
        <v>50</v>
      </c>
      <c r="D5809" s="2" t="s">
        <v>51</v>
      </c>
      <c r="E5809" s="5">
        <v>-28433</v>
      </c>
      <c r="F5809" s="3" t="s">
        <v>3663</v>
      </c>
      <c r="G5809" s="3" t="s">
        <v>44</v>
      </c>
      <c r="H5809" s="2" t="s">
        <v>20</v>
      </c>
      <c r="I5809" s="2" t="s">
        <v>11332</v>
      </c>
      <c r="J5809" s="3" t="str">
        <f>HYPERLINK("https://www.boe.es/gazeta/dias/1822/02/24/pdfs/GMD-1822-56.pdf#page=1","Abrir facsímil")</f>
        <v>Abrir facsímil</v>
      </c>
      <c r="K5809" s="3" t="s">
        <v>22</v>
      </c>
    </row>
    <row r="5810" spans="1:11" ht="42" customHeight="1">
      <c r="A5810" s="2" t="s">
        <v>11333</v>
      </c>
      <c r="B5810" s="2" t="s">
        <v>11334</v>
      </c>
      <c r="C5810" s="2" t="s">
        <v>71</v>
      </c>
      <c r="D5810" s="2" t="s">
        <v>17</v>
      </c>
      <c r="E5810" s="5">
        <v>-28318</v>
      </c>
      <c r="F5810" s="3" t="s">
        <v>397</v>
      </c>
      <c r="G5810" s="3" t="s">
        <v>157</v>
      </c>
      <c r="H5810" s="2" t="s">
        <v>20</v>
      </c>
      <c r="I5810" s="2" t="s">
        <v>11335</v>
      </c>
      <c r="J5810" s="3" t="str">
        <f>HYPERLINK("https://www.boe.es/gazeta/dias/1822/06/19/pdfs/GMD-1822-176.pdf#page=8","Abrir facsímil")</f>
        <v>Abrir facsímil</v>
      </c>
      <c r="K5810" s="3" t="s">
        <v>22</v>
      </c>
    </row>
    <row r="5811" spans="1:11" ht="42" customHeight="1">
      <c r="A5811" s="2" t="s">
        <v>11336</v>
      </c>
      <c r="B5811" s="2" t="s">
        <v>11336</v>
      </c>
      <c r="C5811" s="2" t="s">
        <v>50</v>
      </c>
      <c r="D5811" s="2" t="s">
        <v>51</v>
      </c>
      <c r="E5811" s="5">
        <v>-28202</v>
      </c>
      <c r="F5811" s="3" t="s">
        <v>922</v>
      </c>
      <c r="G5811" s="3" t="s">
        <v>19</v>
      </c>
      <c r="H5811" s="2" t="s">
        <v>20</v>
      </c>
      <c r="I5811" s="2" t="s">
        <v>11337</v>
      </c>
      <c r="J5811" s="3" t="str">
        <f>HYPERLINK("https://www.boe.es/gazeta/dias/1822/10/13/pdfs/GMD-1822-300.pdf#page=5","Abrir facsímil")</f>
        <v>Abrir facsímil</v>
      </c>
      <c r="K5811" s="3" t="s">
        <v>22</v>
      </c>
    </row>
    <row r="5812" spans="1:11" ht="42" customHeight="1">
      <c r="A5812" s="2" t="s">
        <v>11338</v>
      </c>
      <c r="B5812" s="2" t="s">
        <v>11339</v>
      </c>
      <c r="C5812" s="2" t="s">
        <v>50</v>
      </c>
      <c r="D5812" s="2" t="s">
        <v>51</v>
      </c>
      <c r="E5812" s="5">
        <v>-28199</v>
      </c>
      <c r="F5812" s="3" t="s">
        <v>656</v>
      </c>
      <c r="G5812" s="3" t="s">
        <v>44</v>
      </c>
      <c r="H5812" s="2" t="s">
        <v>45</v>
      </c>
      <c r="I5812" s="2" t="s">
        <v>11340</v>
      </c>
      <c r="J5812" s="3" t="str">
        <f>HYPERLINK("https://www.boe.es/gazeta/dias/1822/10/16/pdfs/GMD-1822-303.pdf#page=1","Abrir facsímil")</f>
        <v>Abrir facsímil</v>
      </c>
      <c r="K5812" s="3" t="s">
        <v>47</v>
      </c>
    </row>
    <row r="5813" spans="1:11" ht="42" customHeight="1">
      <c r="A5813" s="2" t="s">
        <v>11341</v>
      </c>
      <c r="B5813" s="2" t="s">
        <v>11341</v>
      </c>
      <c r="C5813" s="2" t="s">
        <v>16</v>
      </c>
      <c r="D5813" s="2" t="s">
        <v>17</v>
      </c>
      <c r="E5813" s="5">
        <v>-28327</v>
      </c>
      <c r="F5813" s="3" t="s">
        <v>38</v>
      </c>
      <c r="G5813" s="3" t="s">
        <v>31</v>
      </c>
      <c r="H5813" s="2" t="s">
        <v>20</v>
      </c>
      <c r="I5813" s="2" t="s">
        <v>11342</v>
      </c>
      <c r="J5813" s="3" t="str">
        <f>HYPERLINK("https://www.boe.es/gazeta/dias/1822/06/10/pdfs/GMD-1822-167.pdf#page=3","Abrir facsímil")</f>
        <v>Abrir facsímil</v>
      </c>
      <c r="K5813" s="3" t="s">
        <v>22</v>
      </c>
    </row>
    <row r="5814" spans="1:11" ht="42" customHeight="1">
      <c r="A5814" s="2" t="s">
        <v>11343</v>
      </c>
      <c r="B5814" s="2" t="s">
        <v>11344</v>
      </c>
      <c r="C5814" s="2" t="s">
        <v>42</v>
      </c>
      <c r="D5814" s="2" t="s">
        <v>17</v>
      </c>
      <c r="E5814" s="5">
        <v>-28208</v>
      </c>
      <c r="F5814" s="3" t="s">
        <v>230</v>
      </c>
      <c r="G5814" s="3" t="s">
        <v>57</v>
      </c>
      <c r="H5814" s="2" t="s">
        <v>20</v>
      </c>
      <c r="I5814" s="2" t="s">
        <v>11345</v>
      </c>
      <c r="J5814" s="3" t="str">
        <f>HYPERLINK("https://www.boe.es/gazeta/dias/1822/10/07/pdfs/GMD-1822-293.pdf#page=4","Abrir facsímil")</f>
        <v>Abrir facsímil</v>
      </c>
      <c r="K5814" s="3" t="s">
        <v>22</v>
      </c>
    </row>
    <row r="5815" spans="1:11" ht="42" customHeight="1">
      <c r="A5815" s="2" t="s">
        <v>11346</v>
      </c>
      <c r="B5815" s="2" t="s">
        <v>11347</v>
      </c>
      <c r="C5815" s="2" t="s">
        <v>50</v>
      </c>
      <c r="D5815" s="2" t="s">
        <v>51</v>
      </c>
      <c r="E5815" s="5">
        <v>-28413</v>
      </c>
      <c r="F5815" s="3" t="s">
        <v>458</v>
      </c>
      <c r="G5815" s="3" t="s">
        <v>19</v>
      </c>
      <c r="H5815" s="2" t="s">
        <v>20</v>
      </c>
      <c r="I5815" s="2" t="s">
        <v>11348</v>
      </c>
      <c r="J5815" s="3" t="str">
        <f>HYPERLINK("https://www.boe.es/gazeta/dias/1822/03/16/pdfs/GMD-1822-77.pdf#page=5","Abrir facsímil")</f>
        <v>Abrir facsímil</v>
      </c>
      <c r="K5815" s="3" t="s">
        <v>22</v>
      </c>
    </row>
    <row r="5816" spans="1:11" ht="42" customHeight="1">
      <c r="A5816" s="2" t="s">
        <v>11349</v>
      </c>
      <c r="B5816" s="2" t="s">
        <v>11350</v>
      </c>
      <c r="C5816" s="2" t="s">
        <v>71</v>
      </c>
      <c r="D5816" s="2" t="s">
        <v>17</v>
      </c>
      <c r="E5816" s="5">
        <v>-28258</v>
      </c>
      <c r="F5816" s="3" t="s">
        <v>88</v>
      </c>
      <c r="G5816" s="3" t="s">
        <v>57</v>
      </c>
      <c r="H5816" s="2" t="s">
        <v>20</v>
      </c>
      <c r="I5816" s="2" t="s">
        <v>11351</v>
      </c>
      <c r="J5816" s="3" t="str">
        <f>HYPERLINK("https://www.boe.es/gazeta/dias/1822/08/18/pdfs/GMD-1822-242.pdf#page=4","Abrir facsímil")</f>
        <v>Abrir facsímil</v>
      </c>
      <c r="K5816" s="3" t="s">
        <v>22</v>
      </c>
    </row>
    <row r="5817" spans="1:11" ht="42" customHeight="1">
      <c r="A5817" s="2" t="s">
        <v>11352</v>
      </c>
      <c r="B5817" s="2" t="s">
        <v>11352</v>
      </c>
      <c r="C5817" s="2" t="s">
        <v>50</v>
      </c>
      <c r="D5817" s="2" t="s">
        <v>51</v>
      </c>
      <c r="E5817" s="5">
        <v>-28204</v>
      </c>
      <c r="F5817" s="3" t="s">
        <v>3190</v>
      </c>
      <c r="G5817" s="3" t="s">
        <v>167</v>
      </c>
      <c r="H5817" s="2" t="s">
        <v>20</v>
      </c>
      <c r="I5817" s="2" t="s">
        <v>11353</v>
      </c>
      <c r="J5817" s="3" t="str">
        <f>HYPERLINK("https://www.boe.es/gazeta/dias/1822/10/11/pdfs/GMD-1822-298.pdf#page=7","Abrir facsímil")</f>
        <v>Abrir facsímil</v>
      </c>
      <c r="K5817" s="3" t="s">
        <v>22</v>
      </c>
    </row>
    <row r="5818" spans="1:11" ht="42" customHeight="1">
      <c r="A5818" s="2" t="s">
        <v>11354</v>
      </c>
      <c r="B5818" s="2" t="s">
        <v>11355</v>
      </c>
      <c r="C5818" s="2" t="s">
        <v>28</v>
      </c>
      <c r="D5818" s="2" t="s">
        <v>29</v>
      </c>
      <c r="E5818" s="5">
        <v>-28317</v>
      </c>
      <c r="F5818" s="3" t="s">
        <v>546</v>
      </c>
      <c r="G5818" s="3" t="s">
        <v>157</v>
      </c>
      <c r="H5818" s="2" t="s">
        <v>20</v>
      </c>
      <c r="I5818" s="2" t="s">
        <v>11356</v>
      </c>
      <c r="J5818" s="3" t="str">
        <f>HYPERLINK("https://www.boe.es/gazeta/dias/1822/06/20/pdfs/GMD-1822-177.pdf#page=8","Abrir facsímil")</f>
        <v>Abrir facsímil</v>
      </c>
      <c r="K5818" s="3" t="s">
        <v>22</v>
      </c>
    </row>
    <row r="5819" spans="1:11" ht="42" customHeight="1">
      <c r="A5819" s="2" t="s">
        <v>11357</v>
      </c>
      <c r="B5819" s="2" t="s">
        <v>11358</v>
      </c>
      <c r="C5819" s="2" t="s">
        <v>16</v>
      </c>
      <c r="D5819" s="2" t="s">
        <v>17</v>
      </c>
      <c r="E5819" s="5">
        <v>-28358</v>
      </c>
      <c r="F5819" s="3" t="s">
        <v>211</v>
      </c>
      <c r="G5819" s="3" t="s">
        <v>35</v>
      </c>
      <c r="H5819" s="2" t="s">
        <v>20</v>
      </c>
      <c r="I5819" s="2" t="s">
        <v>11359</v>
      </c>
      <c r="J5819" s="3" t="str">
        <f>HYPERLINK("https://www.boe.es/gazeta/dias/1822/05/10/pdfs/GMD-1822-132.pdf#page=2","Abrir facsímil")</f>
        <v>Abrir facsímil</v>
      </c>
      <c r="K5819" s="3" t="s">
        <v>22</v>
      </c>
    </row>
    <row r="5820" spans="1:11" ht="42" customHeight="1">
      <c r="A5820" s="2" t="s">
        <v>11360</v>
      </c>
      <c r="B5820" s="2" t="s">
        <v>11361</v>
      </c>
      <c r="C5820" s="2" t="s">
        <v>24</v>
      </c>
      <c r="D5820" s="2" t="s">
        <v>17</v>
      </c>
      <c r="E5820" s="5">
        <v>-28308</v>
      </c>
      <c r="F5820" s="3" t="s">
        <v>1050</v>
      </c>
      <c r="G5820" s="3" t="s">
        <v>44</v>
      </c>
      <c r="H5820" s="2" t="s">
        <v>45</v>
      </c>
      <c r="I5820" s="2" t="s">
        <v>11362</v>
      </c>
      <c r="J5820" s="3" t="str">
        <f>HYPERLINK("https://www.boe.es/gazeta/dias/1822/06/29/pdfs/GMD-1822-187.pdf#page=1","Abrir facsímil")</f>
        <v>Abrir facsímil</v>
      </c>
      <c r="K5820" s="3" t="s">
        <v>47</v>
      </c>
    </row>
    <row r="5821" spans="1:11" ht="42" customHeight="1">
      <c r="A5821" s="2" t="s">
        <v>11363</v>
      </c>
      <c r="B5821" s="2" t="s">
        <v>11364</v>
      </c>
      <c r="C5821" s="2" t="s">
        <v>50</v>
      </c>
      <c r="D5821" s="2" t="s">
        <v>51</v>
      </c>
      <c r="E5821" s="5">
        <v>-28210</v>
      </c>
      <c r="F5821" s="3" t="s">
        <v>218</v>
      </c>
      <c r="G5821" s="3" t="s">
        <v>19</v>
      </c>
      <c r="H5821" s="2" t="s">
        <v>20</v>
      </c>
      <c r="I5821" s="2" t="s">
        <v>11365</v>
      </c>
      <c r="J5821" s="3" t="str">
        <f>HYPERLINK("https://www.boe.es/gazeta/dias/1822/10/05/pdfs/GMD-1822-291.pdf#page=5","Abrir facsímil")</f>
        <v>Abrir facsímil</v>
      </c>
      <c r="K5821" s="3" t="s">
        <v>22</v>
      </c>
    </row>
    <row r="5822" spans="1:11" ht="42" customHeight="1">
      <c r="A5822" s="2" t="s">
        <v>11366</v>
      </c>
      <c r="B5822" s="2" t="s">
        <v>11367</v>
      </c>
      <c r="C5822" s="2" t="s">
        <v>28</v>
      </c>
      <c r="D5822" s="2" t="s">
        <v>29</v>
      </c>
      <c r="E5822" s="5">
        <v>-28306</v>
      </c>
      <c r="F5822" s="3" t="s">
        <v>348</v>
      </c>
      <c r="G5822" s="3" t="s">
        <v>35</v>
      </c>
      <c r="H5822" s="2" t="s">
        <v>20</v>
      </c>
      <c r="I5822" s="2" t="s">
        <v>11368</v>
      </c>
      <c r="J5822" s="3" t="str">
        <f>HYPERLINK("https://www.boe.es/gazeta/dias/1822/07/01/pdfs/GMD-1822-190.pdf#page=2","Abrir facsímil")</f>
        <v>Abrir facsímil</v>
      </c>
      <c r="K5822" s="3" t="s">
        <v>22</v>
      </c>
    </row>
    <row r="5823" spans="1:11" ht="42" customHeight="1">
      <c r="A5823" s="2" t="s">
        <v>11369</v>
      </c>
      <c r="B5823" s="2" t="s">
        <v>11370</v>
      </c>
      <c r="C5823" s="2" t="s">
        <v>50</v>
      </c>
      <c r="D5823" s="2" t="s">
        <v>51</v>
      </c>
      <c r="E5823" s="5">
        <v>-28275</v>
      </c>
      <c r="F5823" s="3" t="s">
        <v>1297</v>
      </c>
      <c r="G5823" s="3" t="s">
        <v>35</v>
      </c>
      <c r="H5823" s="2" t="s">
        <v>20</v>
      </c>
      <c r="I5823" s="2" t="s">
        <v>11371</v>
      </c>
      <c r="J5823" s="3" t="str">
        <f>HYPERLINK("https://www.boe.es/gazeta/dias/1822/08/01/pdfs/GMD-1822-225.pdf#page=2","Abrir facsímil")</f>
        <v>Abrir facsímil</v>
      </c>
      <c r="K5823" s="3" t="s">
        <v>22</v>
      </c>
    </row>
    <row r="5824" spans="1:11" ht="42" customHeight="1">
      <c r="A5824" s="2" t="s">
        <v>11369</v>
      </c>
      <c r="B5824" s="2" t="s">
        <v>11370</v>
      </c>
      <c r="C5824" s="2" t="s">
        <v>50</v>
      </c>
      <c r="D5824" s="2" t="s">
        <v>51</v>
      </c>
      <c r="E5824" s="5">
        <v>-28271</v>
      </c>
      <c r="F5824" s="3" t="s">
        <v>4942</v>
      </c>
      <c r="G5824" s="3" t="s">
        <v>35</v>
      </c>
      <c r="H5824" s="2" t="s">
        <v>20</v>
      </c>
      <c r="I5824" s="2" t="s">
        <v>11372</v>
      </c>
      <c r="J5824" s="3" t="str">
        <f>HYPERLINK("https://www.boe.es/gazeta/dias/1822/08/05/pdfs/GMD-1822-229.pdf#page=2","Abrir facsímil")</f>
        <v>Abrir facsímil</v>
      </c>
      <c r="K5824" s="3" t="s">
        <v>22</v>
      </c>
    </row>
    <row r="5825" spans="1:11" ht="42" customHeight="1">
      <c r="A5825" s="2" t="s">
        <v>11373</v>
      </c>
      <c r="B5825" s="2" t="s">
        <v>11373</v>
      </c>
      <c r="C5825" s="2" t="s">
        <v>28</v>
      </c>
      <c r="D5825" s="2" t="s">
        <v>29</v>
      </c>
      <c r="E5825" s="5">
        <v>-28485</v>
      </c>
      <c r="F5825" s="3" t="s">
        <v>1117</v>
      </c>
      <c r="G5825" s="3" t="s">
        <v>1118</v>
      </c>
      <c r="H5825" s="2" t="s">
        <v>20</v>
      </c>
      <c r="I5825" s="2" t="s">
        <v>11374</v>
      </c>
      <c r="J5825" s="3" t="str">
        <f>HYPERLINK("https://www.boe.es/gazeta/dias/1822/01/03/pdfs/GMD-1822-3.pdf#page=2","Abrir facsímil")</f>
        <v>Abrir facsímil</v>
      </c>
      <c r="K5825" s="3" t="s">
        <v>22</v>
      </c>
    </row>
    <row r="5826" spans="1:11" ht="42" customHeight="1">
      <c r="A5826" s="2" t="s">
        <v>11375</v>
      </c>
      <c r="B5826" s="2" t="s">
        <v>11376</v>
      </c>
      <c r="C5826" s="2" t="s">
        <v>50</v>
      </c>
      <c r="D5826" s="2" t="s">
        <v>51</v>
      </c>
      <c r="E5826" s="5">
        <v>-28286</v>
      </c>
      <c r="F5826" s="3" t="s">
        <v>1853</v>
      </c>
      <c r="G5826" s="3" t="s">
        <v>57</v>
      </c>
      <c r="H5826" s="2" t="s">
        <v>20</v>
      </c>
      <c r="I5826" s="2" t="s">
        <v>11377</v>
      </c>
      <c r="J5826" s="3" t="str">
        <f>HYPERLINK("https://www.boe.es/gazeta/dias/1822/07/21/pdfs/GMD-1822-213.pdf#page=4","Abrir facsímil")</f>
        <v>Abrir facsímil</v>
      </c>
      <c r="K5826" s="3" t="s">
        <v>22</v>
      </c>
    </row>
    <row r="5827" spans="1:11" ht="42" customHeight="1">
      <c r="A5827" s="2" t="s">
        <v>11375</v>
      </c>
      <c r="B5827" s="2" t="s">
        <v>11376</v>
      </c>
      <c r="C5827" s="2" t="s">
        <v>16</v>
      </c>
      <c r="D5827" s="2" t="s">
        <v>17</v>
      </c>
      <c r="E5827" s="5">
        <v>-28272</v>
      </c>
      <c r="F5827" s="3" t="s">
        <v>52</v>
      </c>
      <c r="G5827" s="3" t="s">
        <v>57</v>
      </c>
      <c r="H5827" s="2" t="s">
        <v>20</v>
      </c>
      <c r="I5827" s="2" t="s">
        <v>11378</v>
      </c>
      <c r="J5827" s="3" t="str">
        <f>HYPERLINK("https://www.boe.es/gazeta/dias/1822/08/04/pdfs/GMD-1822-228.pdf#page=4","Abrir facsímil")</f>
        <v>Abrir facsímil</v>
      </c>
      <c r="K5827" s="3" t="s">
        <v>22</v>
      </c>
    </row>
    <row r="5828" spans="1:11" ht="42" customHeight="1">
      <c r="A5828" s="2" t="s">
        <v>11375</v>
      </c>
      <c r="B5828" s="2" t="s">
        <v>11376</v>
      </c>
      <c r="C5828" s="2" t="s">
        <v>28</v>
      </c>
      <c r="D5828" s="2" t="s">
        <v>29</v>
      </c>
      <c r="E5828" s="5">
        <v>-28259</v>
      </c>
      <c r="F5828" s="3" t="s">
        <v>1912</v>
      </c>
      <c r="G5828" s="3" t="s">
        <v>57</v>
      </c>
      <c r="H5828" s="2" t="s">
        <v>20</v>
      </c>
      <c r="I5828" s="2" t="s">
        <v>11379</v>
      </c>
      <c r="J5828" s="3" t="str">
        <f>HYPERLINK("https://www.boe.es/gazeta/dias/1822/08/17/pdfs/GMD-1822-241.pdf#page=4","Abrir facsímil")</f>
        <v>Abrir facsímil</v>
      </c>
      <c r="K5828" s="3" t="s">
        <v>22</v>
      </c>
    </row>
    <row r="5829" spans="1:11" ht="42" customHeight="1">
      <c r="A5829" s="2" t="s">
        <v>11380</v>
      </c>
      <c r="B5829" s="2" t="s">
        <v>11380</v>
      </c>
      <c r="C5829" s="2" t="s">
        <v>50</v>
      </c>
      <c r="D5829" s="2" t="s">
        <v>51</v>
      </c>
      <c r="E5829" s="5">
        <v>-28154</v>
      </c>
      <c r="F5829" s="3" t="s">
        <v>2321</v>
      </c>
      <c r="G5829" s="3" t="s">
        <v>35</v>
      </c>
      <c r="H5829" s="2" t="s">
        <v>20</v>
      </c>
      <c r="I5829" s="2" t="s">
        <v>11381</v>
      </c>
      <c r="J5829" s="3" t="str">
        <f>HYPERLINK("https://www.boe.es/gazeta/dias/1822/11/30/pdfs/GMD-1822-350.pdf#page=2","Abrir facsímil")</f>
        <v>Abrir facsímil</v>
      </c>
      <c r="K5829" s="3" t="s">
        <v>22</v>
      </c>
    </row>
    <row r="5830" spans="1:11" ht="42" customHeight="1">
      <c r="A5830" s="2" t="s">
        <v>11382</v>
      </c>
      <c r="B5830" s="2" t="s">
        <v>11383</v>
      </c>
      <c r="C5830" s="2" t="s">
        <v>50</v>
      </c>
      <c r="D5830" s="2" t="s">
        <v>51</v>
      </c>
      <c r="E5830" s="5">
        <v>-28232</v>
      </c>
      <c r="F5830" s="3" t="s">
        <v>3875</v>
      </c>
      <c r="G5830" s="3" t="s">
        <v>31</v>
      </c>
      <c r="H5830" s="2" t="s">
        <v>20</v>
      </c>
      <c r="I5830" s="2" t="s">
        <v>11384</v>
      </c>
      <c r="J5830" s="3" t="str">
        <f>HYPERLINK("https://www.boe.es/gazeta/dias/1822/09/13/pdfs/GMD-1822-269.pdf#page=3","Abrir facsímil")</f>
        <v>Abrir facsímil</v>
      </c>
      <c r="K5830" s="3" t="s">
        <v>22</v>
      </c>
    </row>
    <row r="5831" spans="1:11" ht="42" customHeight="1">
      <c r="A5831" s="2" t="s">
        <v>11382</v>
      </c>
      <c r="B5831" s="2" t="s">
        <v>11383</v>
      </c>
      <c r="C5831" s="2" t="s">
        <v>50</v>
      </c>
      <c r="D5831" s="2" t="s">
        <v>51</v>
      </c>
      <c r="E5831" s="5">
        <v>-28228</v>
      </c>
      <c r="F5831" s="3" t="s">
        <v>718</v>
      </c>
      <c r="G5831" s="3" t="s">
        <v>35</v>
      </c>
      <c r="H5831" s="2" t="s">
        <v>20</v>
      </c>
      <c r="I5831" s="2" t="s">
        <v>11385</v>
      </c>
      <c r="J5831" s="3" t="str">
        <f>HYPERLINK("https://www.boe.es/gazeta/dias/1822/09/17/pdfs/GMD-1822-273.pdf#page=2","Abrir facsímil")</f>
        <v>Abrir facsímil</v>
      </c>
      <c r="K5831" s="3" t="s">
        <v>22</v>
      </c>
    </row>
    <row r="5832" spans="1:11" ht="42" customHeight="1">
      <c r="A5832" s="2" t="s">
        <v>11386</v>
      </c>
      <c r="B5832" s="2" t="s">
        <v>11387</v>
      </c>
      <c r="C5832" s="2" t="s">
        <v>28</v>
      </c>
      <c r="D5832" s="2" t="s">
        <v>29</v>
      </c>
      <c r="E5832" s="5">
        <v>-28328</v>
      </c>
      <c r="F5832" s="3" t="s">
        <v>540</v>
      </c>
      <c r="G5832" s="3" t="s">
        <v>31</v>
      </c>
      <c r="H5832" s="2" t="s">
        <v>45</v>
      </c>
      <c r="I5832" s="2" t="s">
        <v>11388</v>
      </c>
      <c r="J5832" s="3" t="str">
        <f>HYPERLINK("https://www.boe.es/gazeta/dias/1822/06/09/pdfs/GMD-1822-166.pdf#page=3","Abrir facsímil")</f>
        <v>Abrir facsímil</v>
      </c>
      <c r="K5832" s="3" t="s">
        <v>47</v>
      </c>
    </row>
    <row r="5833" spans="1:11" ht="42" customHeight="1">
      <c r="A5833" s="2" t="s">
        <v>11389</v>
      </c>
      <c r="B5833" s="2" t="s">
        <v>11389</v>
      </c>
      <c r="C5833" s="2" t="s">
        <v>28</v>
      </c>
      <c r="D5833" s="2" t="s">
        <v>29</v>
      </c>
      <c r="E5833" s="5">
        <v>-28356</v>
      </c>
      <c r="F5833" s="3" t="s">
        <v>4170</v>
      </c>
      <c r="G5833" s="3" t="s">
        <v>44</v>
      </c>
      <c r="H5833" s="2" t="s">
        <v>20</v>
      </c>
      <c r="I5833" s="2" t="s">
        <v>11390</v>
      </c>
      <c r="J5833" s="3" t="str">
        <f>HYPERLINK("https://www.boe.es/gazeta/dias/1822/05/12/pdfs/GMD-1822-134.pdf#page=1","Abrir facsímil")</f>
        <v>Abrir facsímil</v>
      </c>
      <c r="K5833" s="3" t="s">
        <v>22</v>
      </c>
    </row>
    <row r="5834" spans="1:11" ht="42" customHeight="1">
      <c r="A5834" s="2" t="s">
        <v>11391</v>
      </c>
      <c r="B5834" s="2" t="s">
        <v>11392</v>
      </c>
      <c r="C5834" s="2" t="s">
        <v>50</v>
      </c>
      <c r="D5834" s="2" t="s">
        <v>51</v>
      </c>
      <c r="E5834" s="5">
        <v>-28185</v>
      </c>
      <c r="F5834" s="3" t="s">
        <v>933</v>
      </c>
      <c r="G5834" s="3" t="s">
        <v>57</v>
      </c>
      <c r="H5834" s="2" t="s">
        <v>20</v>
      </c>
      <c r="I5834" s="2" t="s">
        <v>11393</v>
      </c>
      <c r="J5834" s="3" t="str">
        <f>HYPERLINK("https://www.boe.es/gazeta/dias/1822/10/30/pdfs/GMD-1822-317.pdf#page=4","Abrir facsímil")</f>
        <v>Abrir facsímil</v>
      </c>
      <c r="K5834" s="3" t="s">
        <v>22</v>
      </c>
    </row>
    <row r="5835" spans="1:11" ht="42" customHeight="1">
      <c r="A5835" s="2" t="s">
        <v>11394</v>
      </c>
      <c r="B5835" s="2" t="s">
        <v>11394</v>
      </c>
      <c r="C5835" s="2" t="s">
        <v>71</v>
      </c>
      <c r="D5835" s="2" t="s">
        <v>17</v>
      </c>
      <c r="E5835" s="5">
        <v>-28365</v>
      </c>
      <c r="F5835" s="3" t="s">
        <v>506</v>
      </c>
      <c r="G5835" s="3" t="s">
        <v>35</v>
      </c>
      <c r="H5835" s="2" t="s">
        <v>20</v>
      </c>
      <c r="I5835" s="2" t="s">
        <v>11395</v>
      </c>
      <c r="J5835" s="3" t="str">
        <f>HYPERLINK("https://www.boe.es/gazeta/dias/1822/05/03/pdfs/GMD-1822-125.pdf#page=2","Abrir facsímil")</f>
        <v>Abrir facsímil</v>
      </c>
      <c r="K5835" s="3" t="s">
        <v>22</v>
      </c>
    </row>
    <row r="5836" spans="1:11" ht="42" customHeight="1">
      <c r="A5836" s="2" t="s">
        <v>11396</v>
      </c>
      <c r="B5836" s="2" t="s">
        <v>11397</v>
      </c>
      <c r="C5836" s="2" t="s">
        <v>42</v>
      </c>
      <c r="D5836" s="2" t="s">
        <v>17</v>
      </c>
      <c r="E5836" s="5">
        <v>-28181</v>
      </c>
      <c r="F5836" s="3" t="s">
        <v>739</v>
      </c>
      <c r="G5836" s="3" t="s">
        <v>63</v>
      </c>
      <c r="H5836" s="2" t="s">
        <v>20</v>
      </c>
      <c r="I5836" s="2" t="s">
        <v>11398</v>
      </c>
      <c r="J5836" s="3" t="str">
        <f>HYPERLINK("https://www.boe.es/gazeta/dias/1822/11/03/pdfs/GMD-1822-321.pdf#page=6","Abrir facsímil")</f>
        <v>Abrir facsímil</v>
      </c>
      <c r="K5836" s="3" t="s">
        <v>22</v>
      </c>
    </row>
    <row r="5837" spans="1:11" ht="42" customHeight="1">
      <c r="A5837" s="2" t="s">
        <v>11399</v>
      </c>
      <c r="B5837" s="2" t="s">
        <v>11400</v>
      </c>
      <c r="C5837" s="2" t="s">
        <v>42</v>
      </c>
      <c r="D5837" s="2" t="s">
        <v>17</v>
      </c>
      <c r="E5837" s="5">
        <v>-28221</v>
      </c>
      <c r="F5837" s="3" t="s">
        <v>2591</v>
      </c>
      <c r="G5837" s="3" t="s">
        <v>44</v>
      </c>
      <c r="H5837" s="2" t="s">
        <v>20</v>
      </c>
      <c r="I5837" s="2" t="s">
        <v>11401</v>
      </c>
      <c r="J5837" s="3" t="str">
        <f>HYPERLINK("https://www.boe.es/gazeta/dias/1822/09/24/pdfs/GMD-1822-280.pdf#page=1","Abrir facsímil")</f>
        <v>Abrir facsímil</v>
      </c>
      <c r="K5837" s="3" t="s">
        <v>22</v>
      </c>
    </row>
    <row r="5838" spans="1:11" ht="42" customHeight="1">
      <c r="A5838" s="2" t="s">
        <v>11402</v>
      </c>
      <c r="B5838" s="2" t="s">
        <v>11403</v>
      </c>
      <c r="C5838" s="2" t="s">
        <v>28</v>
      </c>
      <c r="D5838" s="2" t="s">
        <v>29</v>
      </c>
      <c r="E5838" s="5">
        <v>-28390</v>
      </c>
      <c r="F5838" s="3" t="s">
        <v>665</v>
      </c>
      <c r="G5838" s="3" t="s">
        <v>57</v>
      </c>
      <c r="H5838" s="2" t="s">
        <v>20</v>
      </c>
      <c r="I5838" s="2" t="s">
        <v>11404</v>
      </c>
      <c r="J5838" s="3" t="str">
        <f>HYPERLINK("https://www.boe.es/gazeta/dias/1822/04/08/pdfs/GMD-1822-100.pdf#page=4","Abrir facsímil")</f>
        <v>Abrir facsímil</v>
      </c>
      <c r="K5838" s="3" t="s">
        <v>22</v>
      </c>
    </row>
    <row r="5839" spans="1:11" ht="42" customHeight="1">
      <c r="A5839" s="2" t="s">
        <v>11405</v>
      </c>
      <c r="B5839" s="2" t="s">
        <v>11406</v>
      </c>
      <c r="C5839" s="2" t="s">
        <v>28</v>
      </c>
      <c r="D5839" s="2" t="s">
        <v>29</v>
      </c>
      <c r="E5839" s="5">
        <v>-28433</v>
      </c>
      <c r="F5839" s="3" t="s">
        <v>3663</v>
      </c>
      <c r="G5839" s="3" t="s">
        <v>57</v>
      </c>
      <c r="H5839" s="2" t="s">
        <v>20</v>
      </c>
      <c r="I5839" s="2" t="s">
        <v>11407</v>
      </c>
      <c r="J5839" s="3" t="str">
        <f>HYPERLINK("https://www.boe.es/gazeta/dias/1822/02/24/pdfs/GMD-1822-56.pdf#page=4","Abrir facsímil")</f>
        <v>Abrir facsímil</v>
      </c>
      <c r="K5839" s="3" t="s">
        <v>22</v>
      </c>
    </row>
    <row r="5840" spans="1:11" ht="42" customHeight="1">
      <c r="A5840" s="2" t="s">
        <v>11408</v>
      </c>
      <c r="B5840" s="2" t="s">
        <v>11409</v>
      </c>
      <c r="C5840" s="2" t="s">
        <v>28</v>
      </c>
      <c r="D5840" s="2" t="s">
        <v>29</v>
      </c>
      <c r="E5840" s="5">
        <v>-28382</v>
      </c>
      <c r="F5840" s="3" t="s">
        <v>973</v>
      </c>
      <c r="G5840" s="3" t="s">
        <v>63</v>
      </c>
      <c r="H5840" s="2" t="s">
        <v>20</v>
      </c>
      <c r="I5840" s="2" t="s">
        <v>11410</v>
      </c>
      <c r="J5840" s="3" t="str">
        <f>HYPERLINK("https://www.boe.es/gazeta/dias/1822/04/16/pdfs/GMD-1822-108.pdf#page=6","Abrir facsímil")</f>
        <v>Abrir facsímil</v>
      </c>
      <c r="K5840" s="3" t="s">
        <v>22</v>
      </c>
    </row>
    <row r="5841" spans="1:11" ht="42" customHeight="1">
      <c r="A5841" s="2" t="s">
        <v>11411</v>
      </c>
      <c r="B5841" s="2" t="s">
        <v>11411</v>
      </c>
      <c r="C5841" s="2" t="s">
        <v>28</v>
      </c>
      <c r="D5841" s="2" t="s">
        <v>29</v>
      </c>
      <c r="E5841" s="5">
        <v>-28480</v>
      </c>
      <c r="F5841" s="3" t="s">
        <v>995</v>
      </c>
      <c r="G5841" s="3" t="s">
        <v>19</v>
      </c>
      <c r="H5841" s="2" t="s">
        <v>20</v>
      </c>
      <c r="I5841" s="2" t="s">
        <v>11412</v>
      </c>
      <c r="J5841" s="3" t="str">
        <f>HYPERLINK("https://www.boe.es/gazeta/dias/1822/01/08/pdfs/GMD-1822-8.pdf#page=5","Abrir facsímil")</f>
        <v>Abrir facsímil</v>
      </c>
      <c r="K5841" s="3" t="s">
        <v>22</v>
      </c>
    </row>
    <row r="5842" spans="1:11" ht="42" customHeight="1">
      <c r="A5842" s="2" t="s">
        <v>11413</v>
      </c>
      <c r="B5842" s="2" t="s">
        <v>11414</v>
      </c>
      <c r="C5842" s="2" t="s">
        <v>71</v>
      </c>
      <c r="D5842" s="2" t="s">
        <v>17</v>
      </c>
      <c r="E5842" s="5">
        <v>-28231</v>
      </c>
      <c r="F5842" s="3" t="s">
        <v>2049</v>
      </c>
      <c r="G5842" s="3" t="s">
        <v>35</v>
      </c>
      <c r="H5842" s="2" t="s">
        <v>20</v>
      </c>
      <c r="I5842" s="2" t="s">
        <v>11415</v>
      </c>
      <c r="J5842" s="3" t="str">
        <f>HYPERLINK("https://www.boe.es/gazeta/dias/1822/09/14/pdfs/GMD-1822-270.pdf#page=2","Abrir facsímil")</f>
        <v>Abrir facsímil</v>
      </c>
      <c r="K5842" s="3" t="s">
        <v>22</v>
      </c>
    </row>
    <row r="5843" spans="1:11" ht="42" customHeight="1">
      <c r="A5843" s="2" t="s">
        <v>11416</v>
      </c>
      <c r="B5843" s="2" t="s">
        <v>11417</v>
      </c>
      <c r="C5843" s="2" t="s">
        <v>50</v>
      </c>
      <c r="D5843" s="2" t="s">
        <v>51</v>
      </c>
      <c r="E5843" s="5">
        <v>-28318</v>
      </c>
      <c r="F5843" s="3" t="s">
        <v>397</v>
      </c>
      <c r="G5843" s="3" t="s">
        <v>167</v>
      </c>
      <c r="H5843" s="2" t="s">
        <v>20</v>
      </c>
      <c r="I5843" s="2" t="s">
        <v>11418</v>
      </c>
      <c r="J5843" s="3" t="str">
        <f>HYPERLINK("https://www.boe.es/gazeta/dias/1822/06/19/pdfs/GMD-1822-176.pdf#page=7","Abrir facsímil")</f>
        <v>Abrir facsímil</v>
      </c>
      <c r="K5843" s="3" t="s">
        <v>22</v>
      </c>
    </row>
    <row r="5844" spans="1:11" ht="42" customHeight="1">
      <c r="A5844" s="2" t="s">
        <v>11419</v>
      </c>
      <c r="B5844" s="2" t="s">
        <v>11420</v>
      </c>
      <c r="C5844" s="2" t="s">
        <v>28</v>
      </c>
      <c r="D5844" s="2" t="s">
        <v>29</v>
      </c>
      <c r="E5844" s="5">
        <v>-28401</v>
      </c>
      <c r="F5844" s="3" t="s">
        <v>108</v>
      </c>
      <c r="G5844" s="3" t="s">
        <v>57</v>
      </c>
      <c r="H5844" s="2" t="s">
        <v>20</v>
      </c>
      <c r="I5844" s="2" t="s">
        <v>11421</v>
      </c>
      <c r="J5844" s="3" t="str">
        <f>HYPERLINK("https://www.boe.es/gazeta/dias/1822/03/28/pdfs/GMD-1822-89.pdf#page=4","Abrir facsímil")</f>
        <v>Abrir facsímil</v>
      </c>
      <c r="K5844" s="3" t="s">
        <v>22</v>
      </c>
    </row>
    <row r="5845" spans="1:11" ht="42" customHeight="1">
      <c r="A5845" s="2" t="s">
        <v>11419</v>
      </c>
      <c r="B5845" s="2" t="s">
        <v>11420</v>
      </c>
      <c r="C5845" s="2" t="s">
        <v>28</v>
      </c>
      <c r="D5845" s="2" t="s">
        <v>29</v>
      </c>
      <c r="E5845" s="5">
        <v>-28258</v>
      </c>
      <c r="F5845" s="3" t="s">
        <v>88</v>
      </c>
      <c r="G5845" s="3" t="s">
        <v>31</v>
      </c>
      <c r="H5845" s="2" t="s">
        <v>20</v>
      </c>
      <c r="I5845" s="2" t="s">
        <v>11422</v>
      </c>
      <c r="J5845" s="3" t="str">
        <f>HYPERLINK("https://www.boe.es/gazeta/dias/1822/08/18/pdfs/GMD-1822-242.pdf#page=3","Abrir facsímil")</f>
        <v>Abrir facsímil</v>
      </c>
      <c r="K5845" s="3" t="s">
        <v>22</v>
      </c>
    </row>
    <row r="5846" spans="1:11" ht="42" customHeight="1">
      <c r="A5846" s="2" t="s">
        <v>11423</v>
      </c>
      <c r="B5846" s="2" t="s">
        <v>11423</v>
      </c>
      <c r="C5846" s="2" t="s">
        <v>42</v>
      </c>
      <c r="D5846" s="2" t="s">
        <v>17</v>
      </c>
      <c r="E5846" s="5">
        <v>-28317</v>
      </c>
      <c r="F5846" s="3" t="s">
        <v>546</v>
      </c>
      <c r="G5846" s="3" t="s">
        <v>167</v>
      </c>
      <c r="H5846" s="2" t="s">
        <v>20</v>
      </c>
      <c r="I5846" s="2" t="s">
        <v>11424</v>
      </c>
      <c r="J5846" s="3" t="str">
        <f>HYPERLINK("https://www.boe.es/gazeta/dias/1822/06/20/pdfs/GMD-1822-177.pdf#page=7","Abrir facsímil")</f>
        <v>Abrir facsímil</v>
      </c>
      <c r="K5846" s="3" t="s">
        <v>22</v>
      </c>
    </row>
    <row r="5847" spans="1:11" ht="42" customHeight="1">
      <c r="A5847" s="2" t="s">
        <v>11425</v>
      </c>
      <c r="B5847" s="2" t="s">
        <v>11425</v>
      </c>
      <c r="C5847" s="2" t="s">
        <v>42</v>
      </c>
      <c r="D5847" s="2" t="s">
        <v>17</v>
      </c>
      <c r="E5847" s="5">
        <v>-28480</v>
      </c>
      <c r="F5847" s="3" t="s">
        <v>995</v>
      </c>
      <c r="G5847" s="3" t="s">
        <v>19</v>
      </c>
      <c r="H5847" s="2" t="s">
        <v>20</v>
      </c>
      <c r="I5847" s="2" t="s">
        <v>11426</v>
      </c>
      <c r="J5847" s="3" t="str">
        <f>HYPERLINK("https://www.boe.es/gazeta/dias/1822/01/08/pdfs/GMD-1822-8.pdf#page=5","Abrir facsímil")</f>
        <v>Abrir facsímil</v>
      </c>
      <c r="K5847" s="3" t="s">
        <v>22</v>
      </c>
    </row>
    <row r="5848" spans="1:11" ht="42" customHeight="1">
      <c r="A5848" s="2" t="s">
        <v>11425</v>
      </c>
      <c r="B5848" s="2" t="s">
        <v>11425</v>
      </c>
      <c r="C5848" s="2" t="s">
        <v>50</v>
      </c>
      <c r="D5848" s="2" t="s">
        <v>51</v>
      </c>
      <c r="E5848" s="5">
        <v>-28288</v>
      </c>
      <c r="F5848" s="3" t="s">
        <v>970</v>
      </c>
      <c r="G5848" s="3" t="s">
        <v>35</v>
      </c>
      <c r="H5848" s="2" t="s">
        <v>20</v>
      </c>
      <c r="I5848" s="2" t="s">
        <v>11427</v>
      </c>
      <c r="J5848" s="3" t="str">
        <f>HYPERLINK("https://www.boe.es/gazeta/dias/1822/07/19/pdfs/GMD-1822-211.pdf#page=2","Abrir facsímil")</f>
        <v>Abrir facsímil</v>
      </c>
      <c r="K5848" s="3" t="s">
        <v>22</v>
      </c>
    </row>
    <row r="5849" spans="1:11" ht="42" customHeight="1">
      <c r="A5849" s="2" t="s">
        <v>11428</v>
      </c>
      <c r="B5849" s="2" t="s">
        <v>11429</v>
      </c>
      <c r="C5849" s="2" t="s">
        <v>50</v>
      </c>
      <c r="D5849" s="2" t="s">
        <v>51</v>
      </c>
      <c r="E5849" s="5">
        <v>-28315</v>
      </c>
      <c r="F5849" s="3" t="s">
        <v>1220</v>
      </c>
      <c r="G5849" s="3" t="s">
        <v>63</v>
      </c>
      <c r="H5849" s="2" t="s">
        <v>20</v>
      </c>
      <c r="I5849" s="2" t="s">
        <v>11430</v>
      </c>
      <c r="J5849" s="3" t="str">
        <f>HYPERLINK("https://www.boe.es/gazeta/dias/1822/06/22/pdfs/GMD-1822-180.pdf#page=6","Abrir facsímil")</f>
        <v>Abrir facsímil</v>
      </c>
      <c r="K5849" s="3" t="s">
        <v>22</v>
      </c>
    </row>
    <row r="5850" spans="1:11" ht="42" customHeight="1">
      <c r="A5850" s="2" t="s">
        <v>11431</v>
      </c>
      <c r="B5850" s="2" t="s">
        <v>11432</v>
      </c>
      <c r="C5850" s="2" t="s">
        <v>42</v>
      </c>
      <c r="D5850" s="2" t="s">
        <v>17</v>
      </c>
      <c r="E5850" s="5">
        <v>-28240</v>
      </c>
      <c r="F5850" s="3" t="s">
        <v>678</v>
      </c>
      <c r="G5850" s="3" t="s">
        <v>57</v>
      </c>
      <c r="H5850" s="2" t="s">
        <v>20</v>
      </c>
      <c r="I5850" s="2" t="s">
        <v>11433</v>
      </c>
      <c r="J5850" s="3" t="str">
        <f>HYPERLINK("https://www.boe.es/gazeta/dias/1822/09/05/pdfs/GMD-1822-260.pdf#page=4","Abrir facsímil")</f>
        <v>Abrir facsímil</v>
      </c>
      <c r="K5850" s="3" t="s">
        <v>22</v>
      </c>
    </row>
    <row r="5851" spans="1:11" ht="42" customHeight="1">
      <c r="A5851" s="2" t="s">
        <v>11434</v>
      </c>
      <c r="B5851" s="2" t="s">
        <v>11435</v>
      </c>
      <c r="C5851" s="2" t="s">
        <v>42</v>
      </c>
      <c r="D5851" s="2" t="s">
        <v>17</v>
      </c>
      <c r="E5851" s="5">
        <v>-28320</v>
      </c>
      <c r="F5851" s="3" t="s">
        <v>700</v>
      </c>
      <c r="G5851" s="3" t="s">
        <v>31</v>
      </c>
      <c r="H5851" s="2" t="s">
        <v>20</v>
      </c>
      <c r="I5851" s="2" t="s">
        <v>11436</v>
      </c>
      <c r="J5851" s="3" t="str">
        <f>HYPERLINK("https://www.boe.es/gazeta/dias/1822/06/17/pdfs/GMD-1822-174.pdf#page=3","Abrir facsímil")</f>
        <v>Abrir facsímil</v>
      </c>
      <c r="K5851" s="3" t="s">
        <v>22</v>
      </c>
    </row>
    <row r="5852" spans="1:11" ht="42" customHeight="1">
      <c r="A5852" s="2" t="s">
        <v>11437</v>
      </c>
      <c r="B5852" s="2" t="s">
        <v>11437</v>
      </c>
      <c r="C5852" s="2" t="s">
        <v>42</v>
      </c>
      <c r="D5852" s="2" t="s">
        <v>17</v>
      </c>
      <c r="E5852" s="5">
        <v>-28333</v>
      </c>
      <c r="F5852" s="3" t="s">
        <v>1928</v>
      </c>
      <c r="G5852" s="3" t="s">
        <v>44</v>
      </c>
      <c r="H5852" s="2" t="s">
        <v>20</v>
      </c>
      <c r="I5852" s="2" t="s">
        <v>11438</v>
      </c>
      <c r="J5852" s="3" t="str">
        <f>HYPERLINK("https://www.boe.es/gazeta/dias/1822/06/04/pdfs/GMD-1822-161.pdf#page=1","Abrir facsímil")</f>
        <v>Abrir facsímil</v>
      </c>
      <c r="K5852" s="3" t="s">
        <v>22</v>
      </c>
    </row>
    <row r="5853" spans="1:11" ht="42" customHeight="1">
      <c r="A5853" s="2" t="s">
        <v>11439</v>
      </c>
      <c r="B5853" s="2" t="s">
        <v>11440</v>
      </c>
      <c r="C5853" s="2" t="s">
        <v>71</v>
      </c>
      <c r="D5853" s="2" t="s">
        <v>17</v>
      </c>
      <c r="E5853" s="5">
        <v>-28346</v>
      </c>
      <c r="F5853" s="3" t="s">
        <v>191</v>
      </c>
      <c r="G5853" s="3" t="s">
        <v>63</v>
      </c>
      <c r="H5853" s="2" t="s">
        <v>20</v>
      </c>
      <c r="I5853" s="2" t="s">
        <v>11441</v>
      </c>
      <c r="J5853" s="3" t="str">
        <f>HYPERLINK("https://www.boe.es/gazeta/dias/1822/05/22/pdfs/GMD-1822-145.pdf#page=6","Abrir facsímil")</f>
        <v>Abrir facsímil</v>
      </c>
      <c r="K5853" s="3" t="s">
        <v>22</v>
      </c>
    </row>
    <row r="5854" spans="1:11" ht="42" customHeight="1">
      <c r="A5854" s="2" t="s">
        <v>11442</v>
      </c>
      <c r="B5854" s="2" t="s">
        <v>11442</v>
      </c>
      <c r="C5854" s="2" t="s">
        <v>50</v>
      </c>
      <c r="D5854" s="2" t="s">
        <v>51</v>
      </c>
      <c r="E5854" s="5">
        <v>-28246</v>
      </c>
      <c r="F5854" s="3" t="s">
        <v>3246</v>
      </c>
      <c r="G5854" s="3" t="s">
        <v>1085</v>
      </c>
      <c r="H5854" s="2" t="s">
        <v>20</v>
      </c>
      <c r="I5854" s="2" t="s">
        <v>11443</v>
      </c>
      <c r="J5854" s="3" t="str">
        <f>HYPERLINK("https://www.boe.es/gazeta/dias/1822/08/30/pdfs/GMD-1822-254.pdf#page=5","Abrir facsímil")</f>
        <v>Abrir facsímil</v>
      </c>
      <c r="K5854" s="3" t="s">
        <v>22</v>
      </c>
    </row>
    <row r="5855" spans="1:11" ht="42" customHeight="1">
      <c r="A5855" s="2" t="s">
        <v>11444</v>
      </c>
      <c r="B5855" s="2" t="s">
        <v>11445</v>
      </c>
      <c r="C5855" s="2" t="s">
        <v>50</v>
      </c>
      <c r="D5855" s="2" t="s">
        <v>51</v>
      </c>
      <c r="E5855" s="5">
        <v>-28254</v>
      </c>
      <c r="F5855" s="3" t="s">
        <v>3557</v>
      </c>
      <c r="G5855" s="3" t="s">
        <v>35</v>
      </c>
      <c r="H5855" s="2" t="s">
        <v>20</v>
      </c>
      <c r="I5855" s="2" t="s">
        <v>11446</v>
      </c>
      <c r="J5855" s="3" t="str">
        <f>HYPERLINK("https://www.boe.es/gazeta/dias/1822/08/22/pdfs/GMD-1822-246.pdf#page=2","Abrir facsímil")</f>
        <v>Abrir facsímil</v>
      </c>
      <c r="K5855" s="3" t="s">
        <v>22</v>
      </c>
    </row>
    <row r="5856" spans="1:11" ht="42" customHeight="1">
      <c r="A5856" s="2" t="s">
        <v>11447</v>
      </c>
      <c r="B5856" s="2" t="s">
        <v>11448</v>
      </c>
      <c r="C5856" s="2" t="s">
        <v>50</v>
      </c>
      <c r="D5856" s="2" t="s">
        <v>51</v>
      </c>
      <c r="E5856" s="5">
        <v>-28131</v>
      </c>
      <c r="F5856" s="3" t="s">
        <v>893</v>
      </c>
      <c r="G5856" s="3" t="s">
        <v>991</v>
      </c>
      <c r="H5856" s="2" t="s">
        <v>20</v>
      </c>
      <c r="I5856" s="2" t="s">
        <v>11449</v>
      </c>
      <c r="J5856" s="3" t="str">
        <f>HYPERLINK("https://www.boe.es/gazeta/dias/1822/12/23/pdfs/GMD-1822-373.pdf#page=6","Abrir facsímil")</f>
        <v>Abrir facsímil</v>
      </c>
      <c r="K5856" s="3" t="s">
        <v>22</v>
      </c>
    </row>
    <row r="5857" spans="1:11" ht="42" customHeight="1">
      <c r="A5857" s="2" t="s">
        <v>11450</v>
      </c>
      <c r="B5857" s="2" t="s">
        <v>11450</v>
      </c>
      <c r="C5857" s="2" t="s">
        <v>71</v>
      </c>
      <c r="D5857" s="2" t="s">
        <v>17</v>
      </c>
      <c r="E5857" s="5">
        <v>-28482</v>
      </c>
      <c r="F5857" s="3" t="s">
        <v>850</v>
      </c>
      <c r="G5857" s="3" t="s">
        <v>35</v>
      </c>
      <c r="H5857" s="2" t="s">
        <v>20</v>
      </c>
      <c r="I5857" s="2" t="s">
        <v>11451</v>
      </c>
      <c r="J5857" s="3" t="str">
        <f>HYPERLINK("https://www.boe.es/gazeta/dias/1822/01/06/pdfs/GMD-1822-6.pdf#page=2","Abrir facsímil")</f>
        <v>Abrir facsímil</v>
      </c>
      <c r="K5857" s="3" t="s">
        <v>22</v>
      </c>
    </row>
    <row r="5858" spans="1:11" ht="42" customHeight="1">
      <c r="A5858" s="2" t="s">
        <v>11450</v>
      </c>
      <c r="B5858" s="2" t="s">
        <v>11450</v>
      </c>
      <c r="C5858" s="2" t="s">
        <v>28</v>
      </c>
      <c r="D5858" s="2" t="s">
        <v>29</v>
      </c>
      <c r="E5858" s="5">
        <v>-28479</v>
      </c>
      <c r="F5858" s="3" t="s">
        <v>1091</v>
      </c>
      <c r="G5858" s="3" t="s">
        <v>57</v>
      </c>
      <c r="H5858" s="2" t="s">
        <v>20</v>
      </c>
      <c r="I5858" s="2" t="s">
        <v>11452</v>
      </c>
      <c r="J5858" s="3" t="str">
        <f>HYPERLINK("https://www.boe.es/gazeta/dias/1822/01/09/pdfs/GMD-1822-9.pdf#page=4","Abrir facsímil")</f>
        <v>Abrir facsímil</v>
      </c>
      <c r="K5858" s="3" t="s">
        <v>22</v>
      </c>
    </row>
    <row r="5859" spans="1:11" ht="42" customHeight="1">
      <c r="A5859" s="2" t="s">
        <v>11450</v>
      </c>
      <c r="B5859" s="2" t="s">
        <v>11450</v>
      </c>
      <c r="C5859" s="2" t="s">
        <v>71</v>
      </c>
      <c r="D5859" s="2" t="s">
        <v>17</v>
      </c>
      <c r="E5859" s="5">
        <v>-28474</v>
      </c>
      <c r="F5859" s="3" t="s">
        <v>30</v>
      </c>
      <c r="G5859" s="3" t="s">
        <v>35</v>
      </c>
      <c r="H5859" s="2" t="s">
        <v>20</v>
      </c>
      <c r="I5859" s="2" t="s">
        <v>11453</v>
      </c>
      <c r="J5859" s="3" t="str">
        <f>HYPERLINK("https://www.boe.es/gazeta/dias/1822/01/14/pdfs/GMD-1822-14.pdf#page=2","Abrir facsímil")</f>
        <v>Abrir facsímil</v>
      </c>
      <c r="K5859" s="3" t="s">
        <v>22</v>
      </c>
    </row>
    <row r="5860" spans="1:11" ht="42" customHeight="1">
      <c r="A5860" s="2" t="s">
        <v>11450</v>
      </c>
      <c r="B5860" s="2" t="s">
        <v>11450</v>
      </c>
      <c r="C5860" s="2" t="s">
        <v>28</v>
      </c>
      <c r="D5860" s="2" t="s">
        <v>29</v>
      </c>
      <c r="E5860" s="5">
        <v>-28447</v>
      </c>
      <c r="F5860" s="3" t="s">
        <v>997</v>
      </c>
      <c r="G5860" s="3" t="s">
        <v>35</v>
      </c>
      <c r="H5860" s="2" t="s">
        <v>20</v>
      </c>
      <c r="I5860" s="2" t="s">
        <v>11454</v>
      </c>
      <c r="J5860" s="3" t="str">
        <f>HYPERLINK("https://www.boe.es/gazeta/dias/1822/02/10/pdfs/GMD-1822-41.pdf#page=2","Abrir facsímil")</f>
        <v>Abrir facsímil</v>
      </c>
      <c r="K5860" s="3" t="s">
        <v>22</v>
      </c>
    </row>
    <row r="5861" spans="1:11" ht="42" customHeight="1">
      <c r="A5861" s="2" t="s">
        <v>11450</v>
      </c>
      <c r="B5861" s="2" t="s">
        <v>11450</v>
      </c>
      <c r="C5861" s="2" t="s">
        <v>71</v>
      </c>
      <c r="D5861" s="2" t="s">
        <v>17</v>
      </c>
      <c r="E5861" s="5">
        <v>-28418</v>
      </c>
      <c r="F5861" s="3" t="s">
        <v>205</v>
      </c>
      <c r="G5861" s="3" t="s">
        <v>157</v>
      </c>
      <c r="H5861" s="2" t="s">
        <v>20</v>
      </c>
      <c r="I5861" s="2" t="s">
        <v>11455</v>
      </c>
      <c r="J5861" s="3" t="str">
        <f>HYPERLINK("https://www.boe.es/gazeta/dias/1822/03/11/pdfs/GMD-1822-72.pdf#page=8","Abrir facsímil")</f>
        <v>Abrir facsímil</v>
      </c>
      <c r="K5861" s="3" t="s">
        <v>22</v>
      </c>
    </row>
    <row r="5862" spans="1:11" ht="42" customHeight="1">
      <c r="A5862" s="2" t="s">
        <v>11456</v>
      </c>
      <c r="B5862" s="2" t="s">
        <v>11457</v>
      </c>
      <c r="C5862" s="2" t="s">
        <v>362</v>
      </c>
      <c r="D5862" s="2" t="s">
        <v>17</v>
      </c>
      <c r="E5862" s="5">
        <v>-28387</v>
      </c>
      <c r="F5862" s="3" t="s">
        <v>2874</v>
      </c>
      <c r="G5862" s="3" t="s">
        <v>31</v>
      </c>
      <c r="H5862" s="2" t="s">
        <v>20</v>
      </c>
      <c r="I5862" s="2" t="s">
        <v>11458</v>
      </c>
      <c r="J5862" s="3" t="str">
        <f>HYPERLINK("https://www.boe.es/gazeta/dias/1822/04/11/pdfs/GMD-1822-103.pdf#page=3","Abrir facsímil")</f>
        <v>Abrir facsímil</v>
      </c>
      <c r="K5862" s="3" t="s">
        <v>22</v>
      </c>
    </row>
    <row r="5863" spans="1:11" ht="42" customHeight="1">
      <c r="A5863" s="2" t="s">
        <v>11459</v>
      </c>
      <c r="B5863" s="2" t="s">
        <v>11460</v>
      </c>
      <c r="C5863" s="2" t="s">
        <v>50</v>
      </c>
      <c r="D5863" s="2" t="s">
        <v>51</v>
      </c>
      <c r="E5863" s="5">
        <v>-28390</v>
      </c>
      <c r="F5863" s="3" t="s">
        <v>665</v>
      </c>
      <c r="G5863" s="3" t="s">
        <v>35</v>
      </c>
      <c r="H5863" s="2" t="s">
        <v>20</v>
      </c>
      <c r="I5863" s="2" t="s">
        <v>11461</v>
      </c>
      <c r="J5863" s="3" t="str">
        <f>HYPERLINK("https://www.boe.es/gazeta/dias/1822/04/08/pdfs/GMD-1822-100.pdf#page=2","Abrir facsímil")</f>
        <v>Abrir facsímil</v>
      </c>
      <c r="K5863" s="3" t="s">
        <v>22</v>
      </c>
    </row>
    <row r="5864" spans="1:11" ht="42" customHeight="1">
      <c r="A5864" s="2" t="s">
        <v>11462</v>
      </c>
      <c r="B5864" s="2" t="s">
        <v>11463</v>
      </c>
      <c r="C5864" s="2" t="s">
        <v>71</v>
      </c>
      <c r="D5864" s="2" t="s">
        <v>17</v>
      </c>
      <c r="E5864" s="5">
        <v>-28418</v>
      </c>
      <c r="F5864" s="3" t="s">
        <v>205</v>
      </c>
      <c r="G5864" s="3" t="s">
        <v>167</v>
      </c>
      <c r="H5864" s="2" t="s">
        <v>20</v>
      </c>
      <c r="I5864" s="2" t="s">
        <v>11464</v>
      </c>
      <c r="J5864" s="3" t="str">
        <f>HYPERLINK("https://www.boe.es/gazeta/dias/1822/03/11/pdfs/GMD-1822-72.pdf#page=7","Abrir facsímil")</f>
        <v>Abrir facsímil</v>
      </c>
      <c r="K5864" s="3" t="s">
        <v>22</v>
      </c>
    </row>
    <row r="5865" spans="1:11" ht="42" customHeight="1">
      <c r="A5865" s="2" t="s">
        <v>11462</v>
      </c>
      <c r="B5865" s="2" t="s">
        <v>11463</v>
      </c>
      <c r="C5865" s="2" t="s">
        <v>71</v>
      </c>
      <c r="D5865" s="2" t="s">
        <v>17</v>
      </c>
      <c r="E5865" s="5">
        <v>-28379</v>
      </c>
      <c r="F5865" s="3" t="s">
        <v>494</v>
      </c>
      <c r="G5865" s="3" t="s">
        <v>63</v>
      </c>
      <c r="H5865" s="2" t="s">
        <v>20</v>
      </c>
      <c r="I5865" s="2" t="s">
        <v>11465</v>
      </c>
      <c r="J5865" s="3" t="str">
        <f>HYPERLINK("https://www.boe.es/gazeta/dias/1822/04/19/pdfs/GMD-1822-111.pdf#page=6","Abrir facsímil")</f>
        <v>Abrir facsímil</v>
      </c>
      <c r="K5865" s="3" t="s">
        <v>22</v>
      </c>
    </row>
    <row r="5866" spans="1:11" ht="42" customHeight="1">
      <c r="A5866" s="2" t="s">
        <v>11462</v>
      </c>
      <c r="B5866" s="2" t="s">
        <v>11463</v>
      </c>
      <c r="C5866" s="2" t="s">
        <v>50</v>
      </c>
      <c r="D5866" s="2" t="s">
        <v>51</v>
      </c>
      <c r="E5866" s="5">
        <v>-28349</v>
      </c>
      <c r="F5866" s="3" t="s">
        <v>518</v>
      </c>
      <c r="G5866" s="3" t="s">
        <v>57</v>
      </c>
      <c r="H5866" s="2" t="s">
        <v>20</v>
      </c>
      <c r="I5866" s="2" t="s">
        <v>11466</v>
      </c>
      <c r="J5866" s="3" t="str">
        <f>HYPERLINK("https://www.boe.es/gazeta/dias/1822/05/19/pdfs/GMD-1822-141.pdf#page=4","Abrir facsímil")</f>
        <v>Abrir facsímil</v>
      </c>
      <c r="K5866" s="3" t="s">
        <v>22</v>
      </c>
    </row>
    <row r="5867" spans="1:11" ht="42" customHeight="1">
      <c r="A5867" s="2" t="s">
        <v>11462</v>
      </c>
      <c r="B5867" s="2" t="s">
        <v>11463</v>
      </c>
      <c r="C5867" s="2" t="s">
        <v>50</v>
      </c>
      <c r="D5867" s="2" t="s">
        <v>51</v>
      </c>
      <c r="E5867" s="5">
        <v>-28321</v>
      </c>
      <c r="F5867" s="3" t="s">
        <v>1142</v>
      </c>
      <c r="G5867" s="3" t="s">
        <v>35</v>
      </c>
      <c r="H5867" s="2" t="s">
        <v>20</v>
      </c>
      <c r="I5867" s="2" t="s">
        <v>11467</v>
      </c>
      <c r="J5867" s="3" t="str">
        <f>HYPERLINK("https://www.boe.es/gazeta/dias/1822/06/16/pdfs/GMD-1822-173.pdf#page=2","Abrir facsímil")</f>
        <v>Abrir facsímil</v>
      </c>
      <c r="K5867" s="3" t="s">
        <v>22</v>
      </c>
    </row>
    <row r="5868" spans="1:11" ht="42" customHeight="1">
      <c r="A5868" s="2" t="s">
        <v>11462</v>
      </c>
      <c r="B5868" s="2" t="s">
        <v>11463</v>
      </c>
      <c r="C5868" s="2" t="s">
        <v>50</v>
      </c>
      <c r="D5868" s="2" t="s">
        <v>51</v>
      </c>
      <c r="E5868" s="5">
        <v>-28264</v>
      </c>
      <c r="F5868" s="3" t="s">
        <v>1329</v>
      </c>
      <c r="G5868" s="3" t="s">
        <v>57</v>
      </c>
      <c r="H5868" s="2" t="s">
        <v>20</v>
      </c>
      <c r="I5868" s="2" t="s">
        <v>11468</v>
      </c>
      <c r="J5868" s="3" t="str">
        <f>HYPERLINK("https://www.boe.es/gazeta/dias/1822/08/12/pdfs/GMD-1822-236.pdf#page=4","Abrir facsímil")</f>
        <v>Abrir facsímil</v>
      </c>
      <c r="K5868" s="3" t="s">
        <v>22</v>
      </c>
    </row>
    <row r="5869" spans="1:11" ht="42" customHeight="1">
      <c r="A5869" s="2" t="s">
        <v>11469</v>
      </c>
      <c r="B5869" s="2" t="s">
        <v>11470</v>
      </c>
      <c r="C5869" s="2" t="s">
        <v>50</v>
      </c>
      <c r="D5869" s="2" t="s">
        <v>51</v>
      </c>
      <c r="E5869" s="5">
        <v>-28229</v>
      </c>
      <c r="F5869" s="3" t="s">
        <v>2310</v>
      </c>
      <c r="G5869" s="3" t="s">
        <v>35</v>
      </c>
      <c r="H5869" s="2" t="s">
        <v>20</v>
      </c>
      <c r="I5869" s="2" t="s">
        <v>11471</v>
      </c>
      <c r="J5869" s="3" t="str">
        <f>HYPERLINK("https://www.boe.es/gazeta/dias/1822/09/16/pdfs/GMD-1822-272.pdf#page=2","Abrir facsímil")</f>
        <v>Abrir facsímil</v>
      </c>
      <c r="K5869" s="3" t="s">
        <v>22</v>
      </c>
    </row>
    <row r="5870" spans="1:11" ht="42" customHeight="1">
      <c r="A5870" s="2" t="s">
        <v>11472</v>
      </c>
      <c r="B5870" s="2" t="s">
        <v>11473</v>
      </c>
      <c r="C5870" s="2" t="s">
        <v>50</v>
      </c>
      <c r="D5870" s="2" t="s">
        <v>51</v>
      </c>
      <c r="E5870" s="5">
        <v>-28147</v>
      </c>
      <c r="F5870" s="3" t="s">
        <v>1611</v>
      </c>
      <c r="G5870" s="3" t="s">
        <v>63</v>
      </c>
      <c r="H5870" s="2" t="s">
        <v>20</v>
      </c>
      <c r="I5870" s="2" t="s">
        <v>11474</v>
      </c>
      <c r="J5870" s="3" t="str">
        <f>HYPERLINK("https://www.boe.es/gazeta/dias/1822/12/07/pdfs/GMD-1822-357.pdf#page=6","Abrir facsímil")</f>
        <v>Abrir facsímil</v>
      </c>
      <c r="K5870" s="3" t="s">
        <v>22</v>
      </c>
    </row>
    <row r="5871" spans="1:11" ht="42" customHeight="1">
      <c r="A5871" s="2" t="s">
        <v>11475</v>
      </c>
      <c r="B5871" s="2" t="s">
        <v>11476</v>
      </c>
      <c r="C5871" s="2" t="s">
        <v>71</v>
      </c>
      <c r="D5871" s="2" t="s">
        <v>17</v>
      </c>
      <c r="E5871" s="5">
        <v>-28400</v>
      </c>
      <c r="F5871" s="3" t="s">
        <v>1937</v>
      </c>
      <c r="G5871" s="3" t="s">
        <v>35</v>
      </c>
      <c r="H5871" s="2" t="s">
        <v>20</v>
      </c>
      <c r="I5871" s="2" t="s">
        <v>11477</v>
      </c>
      <c r="J5871" s="3" t="str">
        <f>HYPERLINK("https://www.boe.es/gazeta/dias/1822/03/29/pdfs/GMD-1822-90.pdf#page=2","Abrir facsímil")</f>
        <v>Abrir facsímil</v>
      </c>
      <c r="K5871" s="3" t="s">
        <v>22</v>
      </c>
    </row>
    <row r="5872" spans="1:11" ht="42" customHeight="1">
      <c r="A5872" s="2" t="s">
        <v>11478</v>
      </c>
      <c r="B5872" s="2" t="s">
        <v>11479</v>
      </c>
      <c r="C5872" s="2" t="s">
        <v>42</v>
      </c>
      <c r="D5872" s="2" t="s">
        <v>17</v>
      </c>
      <c r="E5872" s="5">
        <v>-28353</v>
      </c>
      <c r="F5872" s="3" t="s">
        <v>843</v>
      </c>
      <c r="G5872" s="3" t="s">
        <v>35</v>
      </c>
      <c r="H5872" s="2" t="s">
        <v>20</v>
      </c>
      <c r="I5872" s="2" t="s">
        <v>11480</v>
      </c>
      <c r="J5872" s="3" t="str">
        <f>HYPERLINK("https://www.boe.es/gazeta/dias/1822/05/15/pdfs/GMD-1822-137.pdf#page=2","Abrir facsímil")</f>
        <v>Abrir facsímil</v>
      </c>
      <c r="K5872" s="3" t="s">
        <v>22</v>
      </c>
    </row>
    <row r="5873" spans="1:11" ht="42" customHeight="1">
      <c r="A5873" s="2" t="s">
        <v>11481</v>
      </c>
      <c r="B5873" s="2" t="s">
        <v>11482</v>
      </c>
      <c r="C5873" s="2" t="s">
        <v>16</v>
      </c>
      <c r="D5873" s="2" t="s">
        <v>17</v>
      </c>
      <c r="E5873" s="5">
        <v>-28158</v>
      </c>
      <c r="F5873" s="3" t="s">
        <v>590</v>
      </c>
      <c r="G5873" s="3" t="s">
        <v>63</v>
      </c>
      <c r="H5873" s="2" t="s">
        <v>20</v>
      </c>
      <c r="I5873" s="2" t="s">
        <v>11483</v>
      </c>
      <c r="J5873" s="3" t="str">
        <f>HYPERLINK("https://www.boe.es/gazeta/dias/1822/11/26/pdfs/GMD-1822-346.pdf#page=6","Abrir facsímil")</f>
        <v>Abrir facsímil</v>
      </c>
      <c r="K5873" s="3" t="s">
        <v>22</v>
      </c>
    </row>
    <row r="5874" spans="1:11" ht="42" customHeight="1">
      <c r="A5874" s="2" t="s">
        <v>11484</v>
      </c>
      <c r="B5874" s="2" t="s">
        <v>11485</v>
      </c>
      <c r="C5874" s="2" t="s">
        <v>42</v>
      </c>
      <c r="D5874" s="2" t="s">
        <v>17</v>
      </c>
      <c r="E5874" s="5">
        <v>-28131</v>
      </c>
      <c r="F5874" s="3" t="s">
        <v>893</v>
      </c>
      <c r="G5874" s="3" t="s">
        <v>991</v>
      </c>
      <c r="H5874" s="2" t="s">
        <v>20</v>
      </c>
      <c r="I5874" s="2" t="s">
        <v>11486</v>
      </c>
      <c r="J5874" s="3" t="str">
        <f>HYPERLINK("https://www.boe.es/gazeta/dias/1822/12/23/pdfs/GMD-1822-373.pdf#page=6","Abrir facsímil")</f>
        <v>Abrir facsímil</v>
      </c>
      <c r="K5874" s="3" t="s">
        <v>22</v>
      </c>
    </row>
    <row r="5875" spans="1:11" ht="42" customHeight="1">
      <c r="A5875" s="2" t="s">
        <v>11487</v>
      </c>
      <c r="B5875" s="2" t="s">
        <v>11488</v>
      </c>
      <c r="C5875" s="2" t="s">
        <v>28</v>
      </c>
      <c r="D5875" s="2" t="s">
        <v>29</v>
      </c>
      <c r="E5875" s="5">
        <v>-28130</v>
      </c>
      <c r="F5875" s="3" t="s">
        <v>34</v>
      </c>
      <c r="G5875" s="3" t="s">
        <v>63</v>
      </c>
      <c r="H5875" s="2" t="s">
        <v>20</v>
      </c>
      <c r="I5875" s="2" t="s">
        <v>11489</v>
      </c>
      <c r="J5875" s="3" t="str">
        <f>HYPERLINK("https://www.boe.es/gazeta/dias/1822/12/24/pdfs/GMD-1822-374.pdf#page=6","Abrir facsímil")</f>
        <v>Abrir facsímil</v>
      </c>
      <c r="K5875" s="3" t="s">
        <v>22</v>
      </c>
    </row>
    <row r="5876" spans="1:11" ht="42" customHeight="1">
      <c r="A5876" s="2" t="s">
        <v>11490</v>
      </c>
      <c r="B5876" s="2" t="s">
        <v>11491</v>
      </c>
      <c r="C5876" s="2" t="s">
        <v>16</v>
      </c>
      <c r="D5876" s="2" t="s">
        <v>17</v>
      </c>
      <c r="E5876" s="5">
        <v>-28321</v>
      </c>
      <c r="F5876" s="3" t="s">
        <v>1142</v>
      </c>
      <c r="G5876" s="3" t="s">
        <v>63</v>
      </c>
      <c r="H5876" s="2" t="s">
        <v>20</v>
      </c>
      <c r="I5876" s="2" t="s">
        <v>11492</v>
      </c>
      <c r="J5876" s="3" t="str">
        <f>HYPERLINK("https://www.boe.es/gazeta/dias/1822/06/16/pdfs/GMD-1822-173.pdf#page=6","Abrir facsímil")</f>
        <v>Abrir facsímil</v>
      </c>
      <c r="K5876" s="3" t="s">
        <v>22</v>
      </c>
    </row>
    <row r="5877" spans="1:11" ht="42" customHeight="1">
      <c r="A5877" s="2" t="s">
        <v>11493</v>
      </c>
      <c r="B5877" s="2" t="s">
        <v>11494</v>
      </c>
      <c r="C5877" s="2" t="s">
        <v>42</v>
      </c>
      <c r="D5877" s="2" t="s">
        <v>17</v>
      </c>
      <c r="E5877" s="5">
        <v>-28396</v>
      </c>
      <c r="F5877" s="3" t="s">
        <v>1138</v>
      </c>
      <c r="G5877" s="3" t="s">
        <v>167</v>
      </c>
      <c r="H5877" s="2" t="s">
        <v>20</v>
      </c>
      <c r="I5877" s="2" t="s">
        <v>11495</v>
      </c>
      <c r="J5877" s="3" t="str">
        <f>HYPERLINK("https://www.boe.es/gazeta/dias/1822/04/02/pdfs/GMD-1822-94.pdf#page=7","Abrir facsímil")</f>
        <v>Abrir facsímil</v>
      </c>
      <c r="K5877" s="3" t="s">
        <v>22</v>
      </c>
    </row>
    <row r="5878" spans="1:11" ht="42" customHeight="1">
      <c r="A5878" s="2" t="s">
        <v>11496</v>
      </c>
      <c r="B5878" s="2" t="s">
        <v>11497</v>
      </c>
      <c r="C5878" s="2" t="s">
        <v>50</v>
      </c>
      <c r="D5878" s="2" t="s">
        <v>51</v>
      </c>
      <c r="E5878" s="5">
        <v>-28314</v>
      </c>
      <c r="F5878" s="3" t="s">
        <v>309</v>
      </c>
      <c r="G5878" s="3" t="s">
        <v>63</v>
      </c>
      <c r="H5878" s="2" t="s">
        <v>20</v>
      </c>
      <c r="I5878" s="2" t="s">
        <v>11498</v>
      </c>
      <c r="J5878" s="3" t="str">
        <f>HYPERLINK("https://www.boe.es/gazeta/dias/1822/06/23/pdfs/GMD-1822-181.pdf#page=6","Abrir facsímil")</f>
        <v>Abrir facsímil</v>
      </c>
      <c r="K5878" s="3" t="s">
        <v>22</v>
      </c>
    </row>
    <row r="5879" spans="1:11" ht="42" customHeight="1">
      <c r="A5879" s="2" t="s">
        <v>11499</v>
      </c>
      <c r="B5879" s="2" t="s">
        <v>11500</v>
      </c>
      <c r="C5879" s="2" t="s">
        <v>362</v>
      </c>
      <c r="D5879" s="2" t="s">
        <v>17</v>
      </c>
      <c r="E5879" s="5">
        <v>-28338</v>
      </c>
      <c r="F5879" s="3" t="s">
        <v>527</v>
      </c>
      <c r="G5879" s="3" t="s">
        <v>31</v>
      </c>
      <c r="H5879" s="2" t="s">
        <v>20</v>
      </c>
      <c r="I5879" s="2" t="s">
        <v>11501</v>
      </c>
      <c r="J5879" s="3" t="str">
        <f>HYPERLINK("https://www.boe.es/gazeta/dias/1822/05/30/pdfs/GMD-1822-155.pdf#page=3","Abrir facsímil")</f>
        <v>Abrir facsímil</v>
      </c>
      <c r="K5879" s="3" t="s">
        <v>22</v>
      </c>
    </row>
    <row r="5880" spans="1:11" ht="42" customHeight="1">
      <c r="A5880" s="2" t="s">
        <v>11502</v>
      </c>
      <c r="B5880" s="2" t="s">
        <v>11503</v>
      </c>
      <c r="C5880" s="2" t="s">
        <v>50</v>
      </c>
      <c r="D5880" s="2" t="s">
        <v>51</v>
      </c>
      <c r="E5880" s="5">
        <v>-28157</v>
      </c>
      <c r="F5880" s="3" t="s">
        <v>1492</v>
      </c>
      <c r="G5880" s="3" t="s">
        <v>63</v>
      </c>
      <c r="H5880" s="2" t="s">
        <v>20</v>
      </c>
      <c r="I5880" s="2" t="s">
        <v>11504</v>
      </c>
      <c r="J5880" s="3" t="str">
        <f>HYPERLINK("https://www.boe.es/gazeta/dias/1822/11/27/pdfs/GMD-1822-347.pdf#page=6","Abrir facsímil")</f>
        <v>Abrir facsímil</v>
      </c>
      <c r="K5880" s="3" t="s">
        <v>22</v>
      </c>
    </row>
    <row r="5881" spans="1:11" ht="42" customHeight="1">
      <c r="A5881" s="2" t="s">
        <v>11505</v>
      </c>
      <c r="B5881" s="2" t="s">
        <v>11506</v>
      </c>
      <c r="C5881" s="2" t="s">
        <v>42</v>
      </c>
      <c r="D5881" s="2" t="s">
        <v>17</v>
      </c>
      <c r="E5881" s="5">
        <v>-28292</v>
      </c>
      <c r="F5881" s="3" t="s">
        <v>222</v>
      </c>
      <c r="G5881" s="3" t="s">
        <v>31</v>
      </c>
      <c r="H5881" s="2" t="s">
        <v>20</v>
      </c>
      <c r="I5881" s="2" t="s">
        <v>11507</v>
      </c>
      <c r="J5881" s="3" t="str">
        <f>HYPERLINK("https://www.boe.es/gazeta/dias/1822/07/15/pdfs/GMD-1822-205.pdf#page=3","Abrir facsímil")</f>
        <v>Abrir facsímil</v>
      </c>
      <c r="K5881" s="3" t="s">
        <v>22</v>
      </c>
    </row>
    <row r="5882" spans="1:11" ht="42" customHeight="1">
      <c r="A5882" s="2" t="s">
        <v>11508</v>
      </c>
      <c r="B5882" s="2" t="s">
        <v>11509</v>
      </c>
      <c r="C5882" s="2" t="s">
        <v>50</v>
      </c>
      <c r="D5882" s="2" t="s">
        <v>51</v>
      </c>
      <c r="E5882" s="5">
        <v>-28423</v>
      </c>
      <c r="F5882" s="3" t="s">
        <v>441</v>
      </c>
      <c r="G5882" s="3" t="s">
        <v>63</v>
      </c>
      <c r="H5882" s="2" t="s">
        <v>20</v>
      </c>
      <c r="I5882" s="2" t="s">
        <v>11510</v>
      </c>
      <c r="J5882" s="3" t="str">
        <f>HYPERLINK("https://www.boe.es/gazeta/dias/1822/03/06/pdfs/GMD-1822-67.pdf#page=6","Abrir facsímil")</f>
        <v>Abrir facsímil</v>
      </c>
      <c r="K5882" s="3" t="s">
        <v>22</v>
      </c>
    </row>
    <row r="5883" spans="1:11" ht="42" customHeight="1">
      <c r="A5883" s="2" t="s">
        <v>11511</v>
      </c>
      <c r="B5883" s="2" t="s">
        <v>11512</v>
      </c>
      <c r="C5883" s="2" t="s">
        <v>42</v>
      </c>
      <c r="D5883" s="2" t="s">
        <v>17</v>
      </c>
      <c r="E5883" s="5">
        <v>-28436</v>
      </c>
      <c r="F5883" s="3" t="s">
        <v>431</v>
      </c>
      <c r="G5883" s="3" t="s">
        <v>1428</v>
      </c>
      <c r="H5883" s="2" t="s">
        <v>45</v>
      </c>
      <c r="I5883" s="2" t="s">
        <v>11513</v>
      </c>
      <c r="J5883" s="3" t="str">
        <f>HYPERLINK("https://www.boe.es/gazeta/dias/1822/02/21/pdfs/GMD-1822-53.pdf#page=3","Abrir facsímil")</f>
        <v>Abrir facsímil</v>
      </c>
      <c r="K5883" s="3" t="s">
        <v>47</v>
      </c>
    </row>
    <row r="5884" spans="1:11" ht="42" customHeight="1">
      <c r="A5884" s="2" t="s">
        <v>11514</v>
      </c>
      <c r="B5884" s="2" t="s">
        <v>11515</v>
      </c>
      <c r="C5884" s="2" t="s">
        <v>50</v>
      </c>
      <c r="D5884" s="2" t="s">
        <v>51</v>
      </c>
      <c r="E5884" s="5">
        <v>-28166</v>
      </c>
      <c r="F5884" s="3" t="s">
        <v>942</v>
      </c>
      <c r="G5884" s="3" t="s">
        <v>1277</v>
      </c>
      <c r="H5884" s="2" t="s">
        <v>20</v>
      </c>
      <c r="I5884" s="2" t="s">
        <v>11516</v>
      </c>
      <c r="J5884" s="3" t="str">
        <f>HYPERLINK("https://www.boe.es/gazeta/dias/1822/11/18/pdfs/GMD-1822-338.pdf#page=6","Abrir facsímil")</f>
        <v>Abrir facsímil</v>
      </c>
      <c r="K5884" s="3" t="s">
        <v>22</v>
      </c>
    </row>
    <row r="5885" spans="1:11" ht="42" customHeight="1">
      <c r="A5885" s="2" t="s">
        <v>11517</v>
      </c>
      <c r="B5885" s="2" t="s">
        <v>11518</v>
      </c>
      <c r="C5885" s="2" t="s">
        <v>71</v>
      </c>
      <c r="D5885" s="2" t="s">
        <v>17</v>
      </c>
      <c r="E5885" s="5">
        <v>-28310</v>
      </c>
      <c r="F5885" s="3" t="s">
        <v>241</v>
      </c>
      <c r="G5885" s="3" t="s">
        <v>57</v>
      </c>
      <c r="H5885" s="2" t="s">
        <v>20</v>
      </c>
      <c r="I5885" s="2" t="s">
        <v>11519</v>
      </c>
      <c r="J5885" s="3" t="str">
        <f>HYPERLINK("https://www.boe.es/gazeta/dias/1822/06/27/pdfs/GMD-1822-185.pdf#page=4","Abrir facsímil")</f>
        <v>Abrir facsímil</v>
      </c>
      <c r="K5885" s="3" t="s">
        <v>22</v>
      </c>
    </row>
    <row r="5886" spans="1:11" ht="42" customHeight="1">
      <c r="A5886" s="2" t="s">
        <v>11520</v>
      </c>
      <c r="B5886" s="2" t="s">
        <v>11521</v>
      </c>
      <c r="C5886" s="2" t="s">
        <v>42</v>
      </c>
      <c r="D5886" s="2" t="s">
        <v>17</v>
      </c>
      <c r="E5886" s="5">
        <v>-28384</v>
      </c>
      <c r="F5886" s="3" t="s">
        <v>258</v>
      </c>
      <c r="G5886" s="3" t="s">
        <v>31</v>
      </c>
      <c r="H5886" s="2" t="s">
        <v>20</v>
      </c>
      <c r="I5886" s="2" t="s">
        <v>11522</v>
      </c>
      <c r="J5886" s="3" t="str">
        <f>HYPERLINK("https://www.boe.es/gazeta/dias/1822/04/14/pdfs/GMD-1822-106.pdf#page=3","Abrir facsímil")</f>
        <v>Abrir facsímil</v>
      </c>
      <c r="K5886" s="3" t="s">
        <v>22</v>
      </c>
    </row>
    <row r="5887" spans="1:11" ht="42" customHeight="1">
      <c r="A5887" s="2" t="s">
        <v>11523</v>
      </c>
      <c r="B5887" s="2" t="s">
        <v>11524</v>
      </c>
      <c r="C5887" s="2" t="s">
        <v>24</v>
      </c>
      <c r="D5887" s="2" t="s">
        <v>17</v>
      </c>
      <c r="E5887" s="5">
        <v>-28450</v>
      </c>
      <c r="F5887" s="3" t="s">
        <v>1450</v>
      </c>
      <c r="G5887" s="3" t="s">
        <v>2247</v>
      </c>
      <c r="H5887" s="2" t="s">
        <v>20</v>
      </c>
      <c r="I5887" s="2" t="s">
        <v>11525</v>
      </c>
      <c r="J5887" s="3" t="str">
        <f>HYPERLINK("https://www.boe.es/gazeta/dias/1822/02/07/pdfs/GMD-1822-38.pdf#page=6","Abrir facsímil")</f>
        <v>Abrir facsímil</v>
      </c>
      <c r="K5887" s="3" t="s">
        <v>22</v>
      </c>
    </row>
    <row r="5888" spans="1:11" ht="42" customHeight="1">
      <c r="A5888" s="2" t="s">
        <v>11523</v>
      </c>
      <c r="B5888" s="2" t="s">
        <v>11524</v>
      </c>
      <c r="C5888" s="2" t="s">
        <v>50</v>
      </c>
      <c r="D5888" s="2" t="s">
        <v>51</v>
      </c>
      <c r="E5888" s="5">
        <v>-28258</v>
      </c>
      <c r="F5888" s="3" t="s">
        <v>88</v>
      </c>
      <c r="G5888" s="3" t="s">
        <v>31</v>
      </c>
      <c r="H5888" s="2" t="s">
        <v>20</v>
      </c>
      <c r="I5888" s="2" t="s">
        <v>11526</v>
      </c>
      <c r="J5888" s="3" t="str">
        <f>HYPERLINK("https://www.boe.es/gazeta/dias/1822/08/18/pdfs/GMD-1822-242.pdf#page=3","Abrir facsímil")</f>
        <v>Abrir facsímil</v>
      </c>
      <c r="K5888" s="3" t="s">
        <v>22</v>
      </c>
    </row>
    <row r="5889" spans="1:11" ht="42" customHeight="1">
      <c r="A5889" s="2" t="s">
        <v>11527</v>
      </c>
      <c r="B5889" s="2" t="s">
        <v>11528</v>
      </c>
      <c r="C5889" s="2" t="s">
        <v>42</v>
      </c>
      <c r="D5889" s="2" t="s">
        <v>17</v>
      </c>
      <c r="E5889" s="5">
        <v>-28324</v>
      </c>
      <c r="F5889" s="3" t="s">
        <v>305</v>
      </c>
      <c r="G5889" s="3" t="s">
        <v>31</v>
      </c>
      <c r="H5889" s="2" t="s">
        <v>20</v>
      </c>
      <c r="I5889" s="2" t="s">
        <v>11529</v>
      </c>
      <c r="J5889" s="3" t="str">
        <f>HYPERLINK("https://www.boe.es/gazeta/dias/1822/06/13/pdfs/GMD-1822-170.pdf#page=3","Abrir facsímil")</f>
        <v>Abrir facsímil</v>
      </c>
      <c r="K5889" s="3" t="s">
        <v>22</v>
      </c>
    </row>
    <row r="5890" spans="1:11" ht="42" customHeight="1">
      <c r="A5890" s="2" t="s">
        <v>11527</v>
      </c>
      <c r="B5890" s="2" t="s">
        <v>11528</v>
      </c>
      <c r="C5890" s="2" t="s">
        <v>42</v>
      </c>
      <c r="D5890" s="2" t="s">
        <v>17</v>
      </c>
      <c r="E5890" s="5">
        <v>-28127</v>
      </c>
      <c r="F5890" s="3" t="s">
        <v>409</v>
      </c>
      <c r="G5890" s="3" t="s">
        <v>5790</v>
      </c>
      <c r="H5890" s="2" t="s">
        <v>20</v>
      </c>
      <c r="I5890" s="2" t="s">
        <v>11530</v>
      </c>
      <c r="J5890" s="3" t="str">
        <f>HYPERLINK("https://www.boe.es/gazeta/dias/1822/12/27/pdfs/GMD-1822-377.pdf#page=6","Abrir facsímil")</f>
        <v>Abrir facsímil</v>
      </c>
      <c r="K5890" s="3" t="s">
        <v>22</v>
      </c>
    </row>
    <row r="5891" spans="1:11" ht="42" customHeight="1">
      <c r="A5891" s="2" t="s">
        <v>11531</v>
      </c>
      <c r="B5891" s="2" t="s">
        <v>11532</v>
      </c>
      <c r="C5891" s="2" t="s">
        <v>28</v>
      </c>
      <c r="D5891" s="2" t="s">
        <v>29</v>
      </c>
      <c r="E5891" s="5">
        <v>-28214</v>
      </c>
      <c r="F5891" s="3" t="s">
        <v>814</v>
      </c>
      <c r="G5891" s="3" t="s">
        <v>57</v>
      </c>
      <c r="H5891" s="2" t="s">
        <v>20</v>
      </c>
      <c r="I5891" s="2" t="s">
        <v>11533</v>
      </c>
      <c r="J5891" s="3" t="str">
        <f>HYPERLINK("https://www.boe.es/gazeta/dias/1822/10/01/pdfs/GMD-1822-287.pdf#page=4","Abrir facsímil")</f>
        <v>Abrir facsímil</v>
      </c>
      <c r="K5891" s="3" t="s">
        <v>22</v>
      </c>
    </row>
    <row r="5892" spans="1:11" ht="42" customHeight="1">
      <c r="A5892" s="2" t="s">
        <v>11534</v>
      </c>
      <c r="B5892" s="2" t="s">
        <v>11535</v>
      </c>
      <c r="C5892" s="2" t="s">
        <v>50</v>
      </c>
      <c r="D5892" s="2" t="s">
        <v>51</v>
      </c>
      <c r="E5892" s="5">
        <v>-28296</v>
      </c>
      <c r="F5892" s="3" t="s">
        <v>4121</v>
      </c>
      <c r="G5892" s="3" t="s">
        <v>57</v>
      </c>
      <c r="H5892" s="2" t="s">
        <v>45</v>
      </c>
      <c r="I5892" s="2" t="s">
        <v>11536</v>
      </c>
      <c r="J5892" s="3" t="str">
        <f>HYPERLINK("https://www.boe.es/gazeta/dias/1822/07/11/pdfs/GMD-1822-201.pdf#page=4","Abrir facsímil")</f>
        <v>Abrir facsímil</v>
      </c>
      <c r="K5892" s="3" t="s">
        <v>47</v>
      </c>
    </row>
    <row r="5893" spans="1:11" ht="42" customHeight="1">
      <c r="A5893" s="2" t="s">
        <v>11537</v>
      </c>
      <c r="B5893" s="2" t="s">
        <v>11538</v>
      </c>
      <c r="C5893" s="2" t="s">
        <v>50</v>
      </c>
      <c r="D5893" s="2" t="s">
        <v>51</v>
      </c>
      <c r="E5893" s="5">
        <v>-28132</v>
      </c>
      <c r="F5893" s="3" t="s">
        <v>820</v>
      </c>
      <c r="G5893" s="3" t="s">
        <v>821</v>
      </c>
      <c r="H5893" s="2" t="s">
        <v>20</v>
      </c>
      <c r="I5893" s="2" t="s">
        <v>11539</v>
      </c>
      <c r="J5893" s="3" t="str">
        <f>HYPERLINK("https://www.boe.es/gazeta/dias/1822/12/22/pdfs/GMD-1822-372.pdf#page=4","Abrir facsímil")</f>
        <v>Abrir facsímil</v>
      </c>
      <c r="K5893" s="3" t="s">
        <v>22</v>
      </c>
    </row>
    <row r="5894" spans="1:11" ht="42" customHeight="1">
      <c r="A5894" s="2" t="s">
        <v>11540</v>
      </c>
      <c r="B5894" s="2" t="s">
        <v>11541</v>
      </c>
      <c r="C5894" s="2" t="s">
        <v>16</v>
      </c>
      <c r="D5894" s="2" t="s">
        <v>17</v>
      </c>
      <c r="E5894" s="5">
        <v>-28311</v>
      </c>
      <c r="F5894" s="3" t="s">
        <v>736</v>
      </c>
      <c r="G5894" s="3" t="s">
        <v>44</v>
      </c>
      <c r="H5894" s="2" t="s">
        <v>20</v>
      </c>
      <c r="I5894" s="2" t="s">
        <v>11542</v>
      </c>
      <c r="J5894" s="3" t="str">
        <f>HYPERLINK("https://www.boe.es/gazeta/dias/1822/06/26/pdfs/GMD-1822-184.pdf#page=1","Abrir facsímil")</f>
        <v>Abrir facsímil</v>
      </c>
      <c r="K5894" s="3" t="s">
        <v>22</v>
      </c>
    </row>
    <row r="5895" spans="1:11" ht="42" customHeight="1">
      <c r="A5895" s="2" t="s">
        <v>11543</v>
      </c>
      <c r="B5895" s="2" t="s">
        <v>11544</v>
      </c>
      <c r="C5895" s="2" t="s">
        <v>50</v>
      </c>
      <c r="D5895" s="2" t="s">
        <v>51</v>
      </c>
      <c r="E5895" s="5">
        <v>-28396</v>
      </c>
      <c r="F5895" s="3" t="s">
        <v>1138</v>
      </c>
      <c r="G5895" s="3" t="s">
        <v>157</v>
      </c>
      <c r="H5895" s="2" t="s">
        <v>20</v>
      </c>
      <c r="I5895" s="2" t="s">
        <v>11545</v>
      </c>
      <c r="J5895" s="3" t="str">
        <f>HYPERLINK("https://www.boe.es/gazeta/dias/1822/04/02/pdfs/GMD-1822-94.pdf#page=8","Abrir facsímil")</f>
        <v>Abrir facsímil</v>
      </c>
      <c r="K5895" s="3" t="s">
        <v>22</v>
      </c>
    </row>
    <row r="5896" spans="1:11" ht="42" customHeight="1">
      <c r="A5896" s="2" t="s">
        <v>11543</v>
      </c>
      <c r="B5896" s="2" t="s">
        <v>11544</v>
      </c>
      <c r="C5896" s="2" t="s">
        <v>50</v>
      </c>
      <c r="D5896" s="2" t="s">
        <v>51</v>
      </c>
      <c r="E5896" s="5">
        <v>-28264</v>
      </c>
      <c r="F5896" s="3" t="s">
        <v>1329</v>
      </c>
      <c r="G5896" s="3" t="s">
        <v>57</v>
      </c>
      <c r="H5896" s="2" t="s">
        <v>20</v>
      </c>
      <c r="I5896" s="2" t="s">
        <v>11546</v>
      </c>
      <c r="J5896" s="3" t="str">
        <f>HYPERLINK("https://www.boe.es/gazeta/dias/1822/08/12/pdfs/GMD-1822-236.pdf#page=4","Abrir facsímil")</f>
        <v>Abrir facsímil</v>
      </c>
      <c r="K5896" s="3" t="s">
        <v>22</v>
      </c>
    </row>
    <row r="5897" spans="1:11" ht="42" customHeight="1">
      <c r="A5897" s="2" t="s">
        <v>11547</v>
      </c>
      <c r="B5897" s="2" t="s">
        <v>11548</v>
      </c>
      <c r="C5897" s="2" t="s">
        <v>28</v>
      </c>
      <c r="D5897" s="2" t="s">
        <v>29</v>
      </c>
      <c r="E5897" s="5">
        <v>-28435</v>
      </c>
      <c r="F5897" s="3" t="s">
        <v>1710</v>
      </c>
      <c r="G5897" s="3" t="s">
        <v>57</v>
      </c>
      <c r="H5897" s="2" t="s">
        <v>20</v>
      </c>
      <c r="I5897" s="2" t="s">
        <v>11549</v>
      </c>
      <c r="J5897" s="3" t="str">
        <f>HYPERLINK("https://www.boe.es/gazeta/dias/1822/02/22/pdfs/GMD-1822-54.pdf#page=4","Abrir facsímil")</f>
        <v>Abrir facsímil</v>
      </c>
      <c r="K5897" s="3" t="s">
        <v>22</v>
      </c>
    </row>
    <row r="5898" spans="1:11" ht="42" customHeight="1">
      <c r="A5898" s="2" t="s">
        <v>11550</v>
      </c>
      <c r="B5898" s="2" t="s">
        <v>11551</v>
      </c>
      <c r="C5898" s="2" t="s">
        <v>42</v>
      </c>
      <c r="D5898" s="2" t="s">
        <v>17</v>
      </c>
      <c r="E5898" s="5">
        <v>-28378</v>
      </c>
      <c r="F5898" s="3" t="s">
        <v>496</v>
      </c>
      <c r="G5898" s="3" t="s">
        <v>35</v>
      </c>
      <c r="H5898" s="2" t="s">
        <v>20</v>
      </c>
      <c r="I5898" s="2" t="s">
        <v>11552</v>
      </c>
      <c r="J5898" s="3" t="str">
        <f>HYPERLINK("https://www.boe.es/gazeta/dias/1822/04/20/pdfs/GMD-1822-112.pdf#page=2","Abrir facsímil")</f>
        <v>Abrir facsímil</v>
      </c>
      <c r="K5898" s="3" t="s">
        <v>22</v>
      </c>
    </row>
    <row r="5899" spans="1:11" ht="42" customHeight="1">
      <c r="A5899" s="2" t="s">
        <v>11550</v>
      </c>
      <c r="B5899" s="2" t="s">
        <v>11551</v>
      </c>
      <c r="C5899" s="2" t="s">
        <v>16</v>
      </c>
      <c r="D5899" s="2" t="s">
        <v>17</v>
      </c>
      <c r="E5899" s="5">
        <v>-28377</v>
      </c>
      <c r="F5899" s="3" t="s">
        <v>498</v>
      </c>
      <c r="G5899" s="3" t="s">
        <v>57</v>
      </c>
      <c r="H5899" s="2" t="s">
        <v>20</v>
      </c>
      <c r="I5899" s="2" t="s">
        <v>11553</v>
      </c>
      <c r="J5899" s="3" t="str">
        <f>HYPERLINK("https://www.boe.es/gazeta/dias/1822/04/21/pdfs/GMD-1822-113.pdf#page=4","Abrir facsímil")</f>
        <v>Abrir facsímil</v>
      </c>
      <c r="K5899" s="3" t="s">
        <v>22</v>
      </c>
    </row>
    <row r="5900" spans="1:11" ht="42" customHeight="1">
      <c r="A5900" s="2" t="s">
        <v>11554</v>
      </c>
      <c r="B5900" s="2" t="s">
        <v>11555</v>
      </c>
      <c r="C5900" s="2" t="s">
        <v>50</v>
      </c>
      <c r="D5900" s="2" t="s">
        <v>51</v>
      </c>
      <c r="E5900" s="5">
        <v>-28345</v>
      </c>
      <c r="F5900" s="3" t="s">
        <v>294</v>
      </c>
      <c r="G5900" s="3" t="s">
        <v>35</v>
      </c>
      <c r="H5900" s="2" t="s">
        <v>20</v>
      </c>
      <c r="I5900" s="2" t="s">
        <v>11556</v>
      </c>
      <c r="J5900" s="3" t="str">
        <f>HYPERLINK("https://www.boe.es/gazeta/dias/1822/05/23/pdfs/GMD-1822-147.pdf#page=2","Abrir facsímil")</f>
        <v>Abrir facsímil</v>
      </c>
      <c r="K5900" s="3" t="s">
        <v>22</v>
      </c>
    </row>
    <row r="5901" spans="1:11" ht="42" customHeight="1">
      <c r="A5901" s="2" t="s">
        <v>11557</v>
      </c>
      <c r="B5901" s="2" t="s">
        <v>11558</v>
      </c>
      <c r="C5901" s="2" t="s">
        <v>28</v>
      </c>
      <c r="D5901" s="2" t="s">
        <v>29</v>
      </c>
      <c r="E5901" s="5">
        <v>-28342</v>
      </c>
      <c r="F5901" s="3" t="s">
        <v>2281</v>
      </c>
      <c r="G5901" s="3" t="s">
        <v>35</v>
      </c>
      <c r="H5901" s="2" t="s">
        <v>20</v>
      </c>
      <c r="I5901" s="2" t="s">
        <v>11559</v>
      </c>
      <c r="J5901" s="3" t="str">
        <f>HYPERLINK("https://www.boe.es/gazeta/dias/1822/05/26/pdfs/GMD-1822-151.pdf#page=2","Abrir facsímil")</f>
        <v>Abrir facsímil</v>
      </c>
      <c r="K5901" s="3" t="s">
        <v>22</v>
      </c>
    </row>
    <row r="5902" spans="1:11" ht="42" customHeight="1">
      <c r="A5902" s="2" t="s">
        <v>11560</v>
      </c>
      <c r="B5902" s="2" t="s">
        <v>11561</v>
      </c>
      <c r="C5902" s="2" t="s">
        <v>50</v>
      </c>
      <c r="D5902" s="2" t="s">
        <v>51</v>
      </c>
      <c r="E5902" s="5">
        <v>-28387</v>
      </c>
      <c r="F5902" s="3" t="s">
        <v>2874</v>
      </c>
      <c r="G5902" s="3" t="s">
        <v>57</v>
      </c>
      <c r="H5902" s="2" t="s">
        <v>20</v>
      </c>
      <c r="I5902" s="2" t="s">
        <v>11562</v>
      </c>
      <c r="J5902" s="3" t="str">
        <f>HYPERLINK("https://www.boe.es/gazeta/dias/1822/04/11/pdfs/GMD-1822-103.pdf#page=4","Abrir facsímil")</f>
        <v>Abrir facsímil</v>
      </c>
      <c r="K5902" s="3" t="s">
        <v>22</v>
      </c>
    </row>
    <row r="5903" spans="1:11" ht="42" customHeight="1">
      <c r="A5903" s="2" t="s">
        <v>11560</v>
      </c>
      <c r="B5903" s="2" t="s">
        <v>11561</v>
      </c>
      <c r="C5903" s="2" t="s">
        <v>42</v>
      </c>
      <c r="D5903" s="2" t="s">
        <v>17</v>
      </c>
      <c r="E5903" s="5">
        <v>-28376</v>
      </c>
      <c r="F5903" s="3" t="s">
        <v>500</v>
      </c>
      <c r="G5903" s="3" t="s">
        <v>35</v>
      </c>
      <c r="H5903" s="2" t="s">
        <v>20</v>
      </c>
      <c r="I5903" s="2" t="s">
        <v>11563</v>
      </c>
      <c r="J5903" s="3" t="str">
        <f>HYPERLINK("https://www.boe.es/gazeta/dias/1822/04/22/pdfs/GMD-1822-114.pdf#page=2","Abrir facsímil")</f>
        <v>Abrir facsímil</v>
      </c>
      <c r="K5903" s="3" t="s">
        <v>22</v>
      </c>
    </row>
    <row r="5904" spans="1:11" ht="42" customHeight="1">
      <c r="A5904" s="2" t="s">
        <v>11564</v>
      </c>
      <c r="B5904" s="2" t="s">
        <v>11565</v>
      </c>
      <c r="C5904" s="2" t="s">
        <v>28</v>
      </c>
      <c r="D5904" s="2" t="s">
        <v>29</v>
      </c>
      <c r="E5904" s="5">
        <v>-28289</v>
      </c>
      <c r="F5904" s="3" t="s">
        <v>390</v>
      </c>
      <c r="G5904" s="3" t="s">
        <v>57</v>
      </c>
      <c r="H5904" s="2" t="s">
        <v>20</v>
      </c>
      <c r="I5904" s="2" t="s">
        <v>11566</v>
      </c>
      <c r="J5904" s="3" t="str">
        <f>HYPERLINK("https://www.boe.es/gazeta/dias/1822/07/18/pdfs/GMD-1822-209.pdf#page=4","Abrir facsímil")</f>
        <v>Abrir facsímil</v>
      </c>
      <c r="K5904" s="3" t="s">
        <v>22</v>
      </c>
    </row>
    <row r="5905" spans="1:11" ht="42" customHeight="1">
      <c r="A5905" s="2" t="s">
        <v>11567</v>
      </c>
      <c r="B5905" s="2" t="s">
        <v>11568</v>
      </c>
      <c r="C5905" s="2" t="s">
        <v>50</v>
      </c>
      <c r="D5905" s="2" t="s">
        <v>51</v>
      </c>
      <c r="E5905" s="5">
        <v>-28279</v>
      </c>
      <c r="F5905" s="3" t="s">
        <v>662</v>
      </c>
      <c r="G5905" s="3" t="s">
        <v>44</v>
      </c>
      <c r="H5905" s="2" t="s">
        <v>20</v>
      </c>
      <c r="I5905" s="2" t="s">
        <v>11569</v>
      </c>
      <c r="J5905" s="3" t="str">
        <f>HYPERLINK("https://www.boe.es/gazeta/dias/1822/07/28/pdfs/GMD-1822-221.pdf#page=1","Abrir facsímil")</f>
        <v>Abrir facsímil</v>
      </c>
      <c r="K5905" s="3" t="s">
        <v>22</v>
      </c>
    </row>
    <row r="5906" spans="1:11" ht="42" customHeight="1">
      <c r="A5906" s="2" t="s">
        <v>11570</v>
      </c>
      <c r="B5906" s="2" t="s">
        <v>11571</v>
      </c>
      <c r="C5906" s="2" t="s">
        <v>42</v>
      </c>
      <c r="D5906" s="2" t="s">
        <v>17</v>
      </c>
      <c r="E5906" s="5">
        <v>-28195</v>
      </c>
      <c r="F5906" s="3" t="s">
        <v>770</v>
      </c>
      <c r="G5906" s="3" t="s">
        <v>63</v>
      </c>
      <c r="H5906" s="2" t="s">
        <v>20</v>
      </c>
      <c r="I5906" s="2" t="s">
        <v>11572</v>
      </c>
      <c r="J5906" s="3" t="str">
        <f>HYPERLINK("https://www.boe.es/gazeta/dias/1822/10/20/pdfs/GMD-1822-307.pdf#page=6","Abrir facsímil")</f>
        <v>Abrir facsímil</v>
      </c>
      <c r="K5906" s="3" t="s">
        <v>22</v>
      </c>
    </row>
    <row r="5907" spans="1:11" ht="42" customHeight="1">
      <c r="A5907" s="2" t="s">
        <v>11573</v>
      </c>
      <c r="B5907" s="2" t="s">
        <v>11573</v>
      </c>
      <c r="C5907" s="2" t="s">
        <v>24</v>
      </c>
      <c r="D5907" s="2" t="s">
        <v>17</v>
      </c>
      <c r="E5907" s="5">
        <v>-28456</v>
      </c>
      <c r="F5907" s="3" t="s">
        <v>1104</v>
      </c>
      <c r="G5907" s="3" t="s">
        <v>31</v>
      </c>
      <c r="H5907" s="2" t="s">
        <v>20</v>
      </c>
      <c r="I5907" s="2" t="s">
        <v>11574</v>
      </c>
      <c r="J5907" s="3" t="str">
        <f>HYPERLINK("https://www.boe.es/gazeta/dias/1822/02/01/pdfs/GMD-1822-32.pdf#page=3","Abrir facsímil")</f>
        <v>Abrir facsímil</v>
      </c>
      <c r="K5907" s="3" t="s">
        <v>22</v>
      </c>
    </row>
    <row r="5908" spans="1:11" ht="42" customHeight="1">
      <c r="A5908" s="2" t="s">
        <v>11575</v>
      </c>
      <c r="B5908" s="2" t="s">
        <v>11576</v>
      </c>
      <c r="C5908" s="2" t="s">
        <v>28</v>
      </c>
      <c r="D5908" s="2" t="s">
        <v>29</v>
      </c>
      <c r="E5908" s="5">
        <v>-28284</v>
      </c>
      <c r="F5908" s="3" t="s">
        <v>6484</v>
      </c>
      <c r="G5908" s="3" t="s">
        <v>57</v>
      </c>
      <c r="H5908" s="2" t="s">
        <v>20</v>
      </c>
      <c r="I5908" s="2" t="s">
        <v>11577</v>
      </c>
      <c r="J5908" s="3" t="str">
        <f>HYPERLINK("https://www.boe.es/gazeta/dias/1822/07/23/pdfs/GMD-1822-216.pdf#page=4","Abrir facsímil")</f>
        <v>Abrir facsímil</v>
      </c>
      <c r="K5908" s="3" t="s">
        <v>22</v>
      </c>
    </row>
    <row r="5909" spans="1:11" ht="42" customHeight="1">
      <c r="A5909" s="2" t="s">
        <v>11578</v>
      </c>
      <c r="B5909" s="2" t="s">
        <v>11579</v>
      </c>
      <c r="C5909" s="2" t="s">
        <v>28</v>
      </c>
      <c r="D5909" s="2" t="s">
        <v>29</v>
      </c>
      <c r="E5909" s="5">
        <v>-28416</v>
      </c>
      <c r="F5909" s="3" t="s">
        <v>97</v>
      </c>
      <c r="G5909" s="3" t="s">
        <v>63</v>
      </c>
      <c r="H5909" s="2" t="s">
        <v>20</v>
      </c>
      <c r="I5909" s="2" t="s">
        <v>11580</v>
      </c>
      <c r="J5909" s="3" t="str">
        <f>HYPERLINK("https://www.boe.es/gazeta/dias/1822/03/13/pdfs/GMD-1822-74.pdf#page=6","Abrir facsímil")</f>
        <v>Abrir facsímil</v>
      </c>
      <c r="K5909" s="3" t="s">
        <v>22</v>
      </c>
    </row>
    <row r="5910" spans="1:11" ht="42" customHeight="1">
      <c r="A5910" s="2" t="s">
        <v>11581</v>
      </c>
      <c r="B5910" s="2" t="s">
        <v>11582</v>
      </c>
      <c r="C5910" s="2" t="s">
        <v>50</v>
      </c>
      <c r="D5910" s="2" t="s">
        <v>51</v>
      </c>
      <c r="E5910" s="5">
        <v>-28385</v>
      </c>
      <c r="F5910" s="3" t="s">
        <v>484</v>
      </c>
      <c r="G5910" s="3" t="s">
        <v>31</v>
      </c>
      <c r="H5910" s="2" t="s">
        <v>20</v>
      </c>
      <c r="I5910" s="2" t="s">
        <v>11583</v>
      </c>
      <c r="J5910" s="3" t="str">
        <f>HYPERLINK("https://www.boe.es/gazeta/dias/1822/04/13/pdfs/GMD-1822-105.pdf#page=3","Abrir facsímil")</f>
        <v>Abrir facsímil</v>
      </c>
      <c r="K5910" s="3" t="s">
        <v>22</v>
      </c>
    </row>
    <row r="5911" spans="1:11" ht="42" customHeight="1">
      <c r="A5911" s="2" t="s">
        <v>11584</v>
      </c>
      <c r="B5911" s="2" t="s">
        <v>11585</v>
      </c>
      <c r="C5911" s="2" t="s">
        <v>28</v>
      </c>
      <c r="D5911" s="2" t="s">
        <v>29</v>
      </c>
      <c r="E5911" s="5">
        <v>-28325</v>
      </c>
      <c r="F5911" s="3" t="s">
        <v>104</v>
      </c>
      <c r="G5911" s="3" t="s">
        <v>57</v>
      </c>
      <c r="H5911" s="2" t="s">
        <v>20</v>
      </c>
      <c r="I5911" s="2" t="s">
        <v>11586</v>
      </c>
      <c r="J5911" s="3" t="str">
        <f>HYPERLINK("https://www.boe.es/gazeta/dias/1822/06/12/pdfs/GMD-1822-169.pdf#page=4","Abrir facsímil")</f>
        <v>Abrir facsímil</v>
      </c>
      <c r="K5911" s="3" t="s">
        <v>22</v>
      </c>
    </row>
    <row r="5912" spans="1:11" ht="42" customHeight="1">
      <c r="A5912" s="2" t="s">
        <v>11587</v>
      </c>
      <c r="B5912" s="2" t="s">
        <v>11587</v>
      </c>
      <c r="C5912" s="2" t="s">
        <v>16</v>
      </c>
      <c r="D5912" s="2" t="s">
        <v>17</v>
      </c>
      <c r="E5912" s="5">
        <v>-28404</v>
      </c>
      <c r="F5912" s="3" t="s">
        <v>421</v>
      </c>
      <c r="G5912" s="3" t="s">
        <v>31</v>
      </c>
      <c r="H5912" s="2" t="s">
        <v>20</v>
      </c>
      <c r="I5912" s="2" t="s">
        <v>11588</v>
      </c>
      <c r="J5912" s="3" t="str">
        <f>HYPERLINK("https://www.boe.es/gazeta/dias/1822/03/25/pdfs/GMD-1822-86.pdf#page=3","Abrir facsímil")</f>
        <v>Abrir facsímil</v>
      </c>
      <c r="K5912" s="3" t="s">
        <v>22</v>
      </c>
    </row>
    <row r="5913" spans="1:11" ht="42" customHeight="1">
      <c r="A5913" s="2" t="s">
        <v>11589</v>
      </c>
      <c r="B5913" s="2" t="s">
        <v>11590</v>
      </c>
      <c r="C5913" s="2" t="s">
        <v>50</v>
      </c>
      <c r="D5913" s="2" t="s">
        <v>51</v>
      </c>
      <c r="E5913" s="5">
        <v>-28311</v>
      </c>
      <c r="F5913" s="3" t="s">
        <v>736</v>
      </c>
      <c r="G5913" s="3" t="s">
        <v>167</v>
      </c>
      <c r="H5913" s="2" t="s">
        <v>20</v>
      </c>
      <c r="I5913" s="2" t="s">
        <v>11591</v>
      </c>
      <c r="J5913" s="3" t="str">
        <f>HYPERLINK("https://www.boe.es/gazeta/dias/1822/06/26/pdfs/GMD-1822-184.pdf#page=7","Abrir facsímil")</f>
        <v>Abrir facsímil</v>
      </c>
      <c r="K5913" s="3" t="s">
        <v>22</v>
      </c>
    </row>
    <row r="5914" spans="1:11" ht="42" customHeight="1">
      <c r="A5914" s="2" t="s">
        <v>11592</v>
      </c>
      <c r="B5914" s="2" t="s">
        <v>11592</v>
      </c>
      <c r="C5914" s="2" t="s">
        <v>28</v>
      </c>
      <c r="D5914" s="2" t="s">
        <v>29</v>
      </c>
      <c r="E5914" s="5">
        <v>-28174</v>
      </c>
      <c r="F5914" s="3" t="s">
        <v>881</v>
      </c>
      <c r="G5914" s="3" t="s">
        <v>31</v>
      </c>
      <c r="H5914" s="2" t="s">
        <v>20</v>
      </c>
      <c r="I5914" s="2" t="s">
        <v>11593</v>
      </c>
      <c r="J5914" s="3" t="str">
        <f>HYPERLINK("https://www.boe.es/gazeta/dias/1822/11/10/pdfs/GMD-1822-330.pdf#page=3","Abrir facsímil")</f>
        <v>Abrir facsímil</v>
      </c>
      <c r="K5914" s="3" t="s">
        <v>22</v>
      </c>
    </row>
    <row r="5915" spans="1:11" ht="42" customHeight="1">
      <c r="A5915" s="2" t="s">
        <v>11594</v>
      </c>
      <c r="B5915" s="2" t="s">
        <v>11594</v>
      </c>
      <c r="C5915" s="2" t="s">
        <v>28</v>
      </c>
      <c r="D5915" s="2" t="s">
        <v>29</v>
      </c>
      <c r="E5915" s="5">
        <v>-28478</v>
      </c>
      <c r="F5915" s="3" t="s">
        <v>1093</v>
      </c>
      <c r="G5915" s="3" t="s">
        <v>31</v>
      </c>
      <c r="H5915" s="2" t="s">
        <v>20</v>
      </c>
      <c r="I5915" s="2" t="s">
        <v>11595</v>
      </c>
      <c r="J5915" s="3" t="str">
        <f>HYPERLINK("https://www.boe.es/gazeta/dias/1822/01/10/pdfs/GMD-1822-10.pdf#page=3","Abrir facsímil")</f>
        <v>Abrir facsímil</v>
      </c>
      <c r="K5915" s="3" t="s">
        <v>22</v>
      </c>
    </row>
    <row r="5916" spans="1:11" ht="42" customHeight="1">
      <c r="A5916" s="2" t="s">
        <v>11594</v>
      </c>
      <c r="B5916" s="2" t="s">
        <v>11594</v>
      </c>
      <c r="C5916" s="2" t="s">
        <v>16</v>
      </c>
      <c r="D5916" s="2" t="s">
        <v>17</v>
      </c>
      <c r="E5916" s="5">
        <v>-28476</v>
      </c>
      <c r="F5916" s="3" t="s">
        <v>160</v>
      </c>
      <c r="G5916" s="3" t="s">
        <v>31</v>
      </c>
      <c r="H5916" s="2" t="s">
        <v>20</v>
      </c>
      <c r="I5916" s="2" t="s">
        <v>11596</v>
      </c>
      <c r="J5916" s="3" t="str">
        <f>HYPERLINK("https://www.boe.es/gazeta/dias/1822/01/12/pdfs/GMD-1822-12.pdf#page=3","Abrir facsímil")</f>
        <v>Abrir facsímil</v>
      </c>
      <c r="K5916" s="3" t="s">
        <v>22</v>
      </c>
    </row>
    <row r="5917" spans="1:11" ht="42" customHeight="1">
      <c r="A5917" s="2" t="s">
        <v>11594</v>
      </c>
      <c r="B5917" s="2" t="s">
        <v>11594</v>
      </c>
      <c r="C5917" s="2" t="s">
        <v>71</v>
      </c>
      <c r="D5917" s="2" t="s">
        <v>17</v>
      </c>
      <c r="E5917" s="5">
        <v>-28475</v>
      </c>
      <c r="F5917" s="3" t="s">
        <v>1205</v>
      </c>
      <c r="G5917" s="3" t="s">
        <v>1685</v>
      </c>
      <c r="H5917" s="2" t="s">
        <v>20</v>
      </c>
      <c r="I5917" s="2" t="s">
        <v>11597</v>
      </c>
      <c r="J5917" s="3" t="str">
        <f>HYPERLINK("https://www.boe.es/gazeta/dias/1822/01/13/pdfs/GMD-1822-13.pdf#page=4","Abrir facsímil")</f>
        <v>Abrir facsímil</v>
      </c>
      <c r="K5917" s="3" t="s">
        <v>22</v>
      </c>
    </row>
    <row r="5918" spans="1:11" ht="42" customHeight="1">
      <c r="A5918" s="2" t="s">
        <v>11594</v>
      </c>
      <c r="B5918" s="2" t="s">
        <v>11594</v>
      </c>
      <c r="C5918" s="2" t="s">
        <v>28</v>
      </c>
      <c r="D5918" s="2" t="s">
        <v>29</v>
      </c>
      <c r="E5918" s="5">
        <v>-28473</v>
      </c>
      <c r="F5918" s="3" t="s">
        <v>2337</v>
      </c>
      <c r="G5918" s="3" t="s">
        <v>57</v>
      </c>
      <c r="H5918" s="2" t="s">
        <v>20</v>
      </c>
      <c r="I5918" s="2" t="s">
        <v>11598</v>
      </c>
      <c r="J5918" s="3" t="str">
        <f>HYPERLINK("https://www.boe.es/gazeta/dias/1822/01/15/pdfs/GMD-1822-15.pdf#page=4","Abrir facsímil")</f>
        <v>Abrir facsímil</v>
      </c>
      <c r="K5918" s="3" t="s">
        <v>22</v>
      </c>
    </row>
    <row r="5919" spans="1:11" ht="42" customHeight="1">
      <c r="A5919" s="2" t="s">
        <v>11599</v>
      </c>
      <c r="B5919" s="2" t="s">
        <v>11599</v>
      </c>
      <c r="C5919" s="2" t="s">
        <v>28</v>
      </c>
      <c r="D5919" s="2" t="s">
        <v>29</v>
      </c>
      <c r="E5919" s="5">
        <v>-28472</v>
      </c>
      <c r="F5919" s="3" t="s">
        <v>5485</v>
      </c>
      <c r="G5919" s="3" t="s">
        <v>35</v>
      </c>
      <c r="H5919" s="2" t="s">
        <v>20</v>
      </c>
      <c r="I5919" s="2" t="s">
        <v>11600</v>
      </c>
      <c r="J5919" s="3" t="str">
        <f>HYPERLINK("https://www.boe.es/gazeta/dias/1822/01/16/pdfs/GMD-1822-16.pdf#page=2","Abrir facsímil")</f>
        <v>Abrir facsímil</v>
      </c>
      <c r="K5919" s="3" t="s">
        <v>22</v>
      </c>
    </row>
    <row r="5920" spans="1:11" ht="42" customHeight="1">
      <c r="A5920" s="2" t="s">
        <v>11594</v>
      </c>
      <c r="B5920" s="2" t="s">
        <v>11594</v>
      </c>
      <c r="C5920" s="2" t="s">
        <v>42</v>
      </c>
      <c r="D5920" s="2" t="s">
        <v>17</v>
      </c>
      <c r="E5920" s="5">
        <v>-28453</v>
      </c>
      <c r="F5920" s="3" t="s">
        <v>2039</v>
      </c>
      <c r="G5920" s="3" t="s">
        <v>35</v>
      </c>
      <c r="H5920" s="2" t="s">
        <v>20</v>
      </c>
      <c r="I5920" s="2" t="s">
        <v>11601</v>
      </c>
      <c r="J5920" s="3" t="str">
        <f>HYPERLINK("https://www.boe.es/gazeta/dias/1822/02/04/pdfs/GMD-1822-35.pdf#page=2","Abrir facsímil")</f>
        <v>Abrir facsímil</v>
      </c>
      <c r="K5920" s="3" t="s">
        <v>22</v>
      </c>
    </row>
    <row r="5921" spans="1:11" ht="42" customHeight="1">
      <c r="A5921" s="2" t="s">
        <v>11594</v>
      </c>
      <c r="B5921" s="2" t="s">
        <v>11594</v>
      </c>
      <c r="C5921" s="2" t="s">
        <v>24</v>
      </c>
      <c r="D5921" s="2" t="s">
        <v>17</v>
      </c>
      <c r="E5921" s="5">
        <v>-28453</v>
      </c>
      <c r="F5921" s="3" t="s">
        <v>2039</v>
      </c>
      <c r="G5921" s="3" t="s">
        <v>31</v>
      </c>
      <c r="H5921" s="2" t="s">
        <v>20</v>
      </c>
      <c r="I5921" s="2" t="s">
        <v>11602</v>
      </c>
      <c r="J5921" s="3" t="str">
        <f>HYPERLINK("https://www.boe.es/gazeta/dias/1822/02/04/pdfs/GMD-1822-35.pdf#page=3","Abrir facsímil")</f>
        <v>Abrir facsímil</v>
      </c>
      <c r="K5921" s="3" t="s">
        <v>22</v>
      </c>
    </row>
    <row r="5922" spans="1:11" ht="42" customHeight="1">
      <c r="A5922" s="2" t="s">
        <v>11594</v>
      </c>
      <c r="B5922" s="2" t="s">
        <v>11594</v>
      </c>
      <c r="C5922" s="2" t="s">
        <v>71</v>
      </c>
      <c r="D5922" s="2" t="s">
        <v>17</v>
      </c>
      <c r="E5922" s="5">
        <v>-28452</v>
      </c>
      <c r="F5922" s="3" t="s">
        <v>7772</v>
      </c>
      <c r="G5922" s="3" t="s">
        <v>35</v>
      </c>
      <c r="H5922" s="2" t="s">
        <v>20</v>
      </c>
      <c r="I5922" s="2" t="s">
        <v>11603</v>
      </c>
      <c r="J5922" s="3" t="str">
        <f>HYPERLINK("https://www.boe.es/gazeta/dias/1822/02/05/pdfs/GMD-1822-36.pdf#page=2","Abrir facsímil")</f>
        <v>Abrir facsímil</v>
      </c>
      <c r="K5922" s="3" t="s">
        <v>22</v>
      </c>
    </row>
    <row r="5923" spans="1:11" ht="42" customHeight="1">
      <c r="A5923" s="2" t="s">
        <v>11594</v>
      </c>
      <c r="B5923" s="2" t="s">
        <v>11594</v>
      </c>
      <c r="C5923" s="2" t="s">
        <v>71</v>
      </c>
      <c r="D5923" s="2" t="s">
        <v>17</v>
      </c>
      <c r="E5923" s="5">
        <v>-28452</v>
      </c>
      <c r="F5923" s="3" t="s">
        <v>7772</v>
      </c>
      <c r="G5923" s="3" t="s">
        <v>31</v>
      </c>
      <c r="H5923" s="2" t="s">
        <v>20</v>
      </c>
      <c r="I5923" s="2" t="s">
        <v>11604</v>
      </c>
      <c r="J5923" s="3" t="str">
        <f>HYPERLINK("https://www.boe.es/gazeta/dias/1822/02/05/pdfs/GMD-1822-36.pdf#page=3","Abrir facsímil")</f>
        <v>Abrir facsímil</v>
      </c>
      <c r="K5923" s="3" t="s">
        <v>22</v>
      </c>
    </row>
    <row r="5924" spans="1:11" ht="42" customHeight="1">
      <c r="A5924" s="2" t="s">
        <v>11594</v>
      </c>
      <c r="B5924" s="2" t="s">
        <v>11594</v>
      </c>
      <c r="C5924" s="2" t="s">
        <v>28</v>
      </c>
      <c r="D5924" s="2" t="s">
        <v>29</v>
      </c>
      <c r="E5924" s="5">
        <v>-28452</v>
      </c>
      <c r="F5924" s="3" t="s">
        <v>7772</v>
      </c>
      <c r="G5924" s="3" t="s">
        <v>57</v>
      </c>
      <c r="H5924" s="2" t="s">
        <v>20</v>
      </c>
      <c r="I5924" s="2" t="s">
        <v>11605</v>
      </c>
      <c r="J5924" s="3" t="str">
        <f>HYPERLINK("https://www.boe.es/gazeta/dias/1822/02/05/pdfs/GMD-1822-36.pdf#page=4","Abrir facsímil")</f>
        <v>Abrir facsímil</v>
      </c>
      <c r="K5924" s="3" t="s">
        <v>22</v>
      </c>
    </row>
    <row r="5925" spans="1:11" ht="42" customHeight="1">
      <c r="A5925" s="2" t="s">
        <v>11594</v>
      </c>
      <c r="B5925" s="2" t="s">
        <v>11594</v>
      </c>
      <c r="C5925" s="2" t="s">
        <v>24</v>
      </c>
      <c r="D5925" s="2" t="s">
        <v>17</v>
      </c>
      <c r="E5925" s="5">
        <v>-28450</v>
      </c>
      <c r="F5925" s="3" t="s">
        <v>1450</v>
      </c>
      <c r="G5925" s="3" t="s">
        <v>44</v>
      </c>
      <c r="H5925" s="2" t="s">
        <v>20</v>
      </c>
      <c r="I5925" s="2" t="s">
        <v>11606</v>
      </c>
      <c r="J5925" s="3" t="str">
        <f>HYPERLINK("https://www.boe.es/gazeta/dias/1822/02/07/pdfs/GMD-1822-38.pdf#page=1","Abrir facsímil")</f>
        <v>Abrir facsímil</v>
      </c>
      <c r="K5925" s="3" t="s">
        <v>22</v>
      </c>
    </row>
    <row r="5926" spans="1:11" ht="42" customHeight="1">
      <c r="A5926" s="2" t="s">
        <v>11594</v>
      </c>
      <c r="B5926" s="2" t="s">
        <v>11594</v>
      </c>
      <c r="C5926" s="2" t="s">
        <v>28</v>
      </c>
      <c r="D5926" s="2" t="s">
        <v>29</v>
      </c>
      <c r="E5926" s="5">
        <v>-28450</v>
      </c>
      <c r="F5926" s="3" t="s">
        <v>1450</v>
      </c>
      <c r="G5926" s="3" t="s">
        <v>35</v>
      </c>
      <c r="H5926" s="2" t="s">
        <v>20</v>
      </c>
      <c r="I5926" s="2" t="s">
        <v>11607</v>
      </c>
      <c r="J5926" s="3" t="str">
        <f>HYPERLINK("https://www.boe.es/gazeta/dias/1822/02/07/pdfs/GMD-1822-38.pdf#page=2","Abrir facsímil")</f>
        <v>Abrir facsímil</v>
      </c>
      <c r="K5926" s="3" t="s">
        <v>22</v>
      </c>
    </row>
    <row r="5927" spans="1:11" ht="42" customHeight="1">
      <c r="A5927" s="2" t="s">
        <v>11594</v>
      </c>
      <c r="B5927" s="2" t="s">
        <v>11594</v>
      </c>
      <c r="C5927" s="2" t="s">
        <v>50</v>
      </c>
      <c r="D5927" s="2" t="s">
        <v>51</v>
      </c>
      <c r="E5927" s="5">
        <v>-28450</v>
      </c>
      <c r="F5927" s="3" t="s">
        <v>1450</v>
      </c>
      <c r="G5927" s="3" t="s">
        <v>31</v>
      </c>
      <c r="H5927" s="2" t="s">
        <v>20</v>
      </c>
      <c r="I5927" s="2" t="s">
        <v>11608</v>
      </c>
      <c r="J5927" s="3" t="str">
        <f>HYPERLINK("https://www.boe.es/gazeta/dias/1822/02/07/pdfs/GMD-1822-38.pdf#page=3","Abrir facsímil")</f>
        <v>Abrir facsímil</v>
      </c>
      <c r="K5927" s="3" t="s">
        <v>22</v>
      </c>
    </row>
    <row r="5928" spans="1:11" ht="42" customHeight="1">
      <c r="A5928" s="2" t="s">
        <v>11594</v>
      </c>
      <c r="B5928" s="2" t="s">
        <v>11594</v>
      </c>
      <c r="C5928" s="2" t="s">
        <v>50</v>
      </c>
      <c r="D5928" s="2" t="s">
        <v>51</v>
      </c>
      <c r="E5928" s="5">
        <v>-28449</v>
      </c>
      <c r="F5928" s="3" t="s">
        <v>1342</v>
      </c>
      <c r="G5928" s="3" t="s">
        <v>35</v>
      </c>
      <c r="H5928" s="2" t="s">
        <v>20</v>
      </c>
      <c r="I5928" s="2" t="s">
        <v>11609</v>
      </c>
      <c r="J5928" s="3" t="str">
        <f>HYPERLINK("https://www.boe.es/gazeta/dias/1822/02/08/pdfs/GMD-1822-39.pdf#page=2","Abrir facsímil")</f>
        <v>Abrir facsímil</v>
      </c>
      <c r="K5928" s="3" t="s">
        <v>22</v>
      </c>
    </row>
    <row r="5929" spans="1:11" ht="42" customHeight="1">
      <c r="A5929" s="2" t="s">
        <v>11594</v>
      </c>
      <c r="B5929" s="2" t="s">
        <v>11594</v>
      </c>
      <c r="C5929" s="2" t="s">
        <v>61</v>
      </c>
      <c r="D5929" s="2" t="s">
        <v>17</v>
      </c>
      <c r="E5929" s="5">
        <v>-28449</v>
      </c>
      <c r="F5929" s="3" t="s">
        <v>1342</v>
      </c>
      <c r="G5929" s="3" t="s">
        <v>57</v>
      </c>
      <c r="H5929" s="2" t="s">
        <v>20</v>
      </c>
      <c r="I5929" s="2" t="s">
        <v>11610</v>
      </c>
      <c r="J5929" s="3" t="str">
        <f>HYPERLINK("https://www.boe.es/gazeta/dias/1822/02/08/pdfs/GMD-1822-39.pdf#page=4","Abrir facsímil")</f>
        <v>Abrir facsímil</v>
      </c>
      <c r="K5929" s="3" t="s">
        <v>22</v>
      </c>
    </row>
    <row r="5930" spans="1:11" ht="42" customHeight="1">
      <c r="A5930" s="2" t="s">
        <v>11594</v>
      </c>
      <c r="B5930" s="2" t="s">
        <v>11594</v>
      </c>
      <c r="C5930" s="2" t="s">
        <v>42</v>
      </c>
      <c r="D5930" s="2" t="s">
        <v>17</v>
      </c>
      <c r="E5930" s="5">
        <v>-28448</v>
      </c>
      <c r="F5930" s="3" t="s">
        <v>1670</v>
      </c>
      <c r="G5930" s="3" t="s">
        <v>35</v>
      </c>
      <c r="H5930" s="2" t="s">
        <v>20</v>
      </c>
      <c r="I5930" s="2" t="s">
        <v>11611</v>
      </c>
      <c r="J5930" s="3" t="str">
        <f>HYPERLINK("https://www.boe.es/gazeta/dias/1822/02/09/pdfs/GMD-1822-40.pdf#page=2","Abrir facsímil")</f>
        <v>Abrir facsímil</v>
      </c>
      <c r="K5930" s="3" t="s">
        <v>22</v>
      </c>
    </row>
    <row r="5931" spans="1:11" ht="42" customHeight="1">
      <c r="A5931" s="2" t="s">
        <v>11594</v>
      </c>
      <c r="B5931" s="2" t="s">
        <v>11594</v>
      </c>
      <c r="C5931" s="2" t="s">
        <v>71</v>
      </c>
      <c r="D5931" s="2" t="s">
        <v>17</v>
      </c>
      <c r="E5931" s="5">
        <v>-28448</v>
      </c>
      <c r="F5931" s="3" t="s">
        <v>1670</v>
      </c>
      <c r="G5931" s="3" t="s">
        <v>31</v>
      </c>
      <c r="H5931" s="2" t="s">
        <v>20</v>
      </c>
      <c r="I5931" s="2" t="s">
        <v>11612</v>
      </c>
      <c r="J5931" s="3" t="str">
        <f>HYPERLINK("https://www.boe.es/gazeta/dias/1822/02/09/pdfs/GMD-1822-40.pdf#page=3","Abrir facsímil")</f>
        <v>Abrir facsímil</v>
      </c>
      <c r="K5931" s="3" t="s">
        <v>22</v>
      </c>
    </row>
    <row r="5932" spans="1:11" ht="42" customHeight="1">
      <c r="A5932" s="2" t="s">
        <v>11594</v>
      </c>
      <c r="B5932" s="2" t="s">
        <v>11594</v>
      </c>
      <c r="C5932" s="2" t="s">
        <v>28</v>
      </c>
      <c r="D5932" s="2" t="s">
        <v>29</v>
      </c>
      <c r="E5932" s="5">
        <v>-28446</v>
      </c>
      <c r="F5932" s="3" t="s">
        <v>773</v>
      </c>
      <c r="G5932" s="3" t="s">
        <v>19</v>
      </c>
      <c r="H5932" s="2" t="s">
        <v>20</v>
      </c>
      <c r="I5932" s="2" t="s">
        <v>11613</v>
      </c>
      <c r="J5932" s="3" t="str">
        <f>HYPERLINK("https://www.boe.es/gazeta/dias/1822/02/11/pdfs/GMD-1822-42.pdf#page=5","Abrir facsímil")</f>
        <v>Abrir facsímil</v>
      </c>
      <c r="K5932" s="3" t="s">
        <v>22</v>
      </c>
    </row>
    <row r="5933" spans="1:11" ht="42" customHeight="1">
      <c r="A5933" s="2" t="s">
        <v>11594</v>
      </c>
      <c r="B5933" s="2" t="s">
        <v>11594</v>
      </c>
      <c r="C5933" s="2" t="s">
        <v>50</v>
      </c>
      <c r="D5933" s="2" t="s">
        <v>51</v>
      </c>
      <c r="E5933" s="5">
        <v>-28445</v>
      </c>
      <c r="F5933" s="3" t="s">
        <v>1622</v>
      </c>
      <c r="G5933" s="3" t="s">
        <v>44</v>
      </c>
      <c r="H5933" s="2" t="s">
        <v>20</v>
      </c>
      <c r="I5933" s="2" t="s">
        <v>11614</v>
      </c>
      <c r="J5933" s="3" t="str">
        <f>HYPERLINK("https://www.boe.es/gazeta/dias/1822/02/12/pdfs/GMD-1822-43.pdf#page=1","Abrir facsímil")</f>
        <v>Abrir facsímil</v>
      </c>
      <c r="K5933" s="3" t="s">
        <v>22</v>
      </c>
    </row>
    <row r="5934" spans="1:11" ht="42" customHeight="1">
      <c r="A5934" s="2" t="s">
        <v>11594</v>
      </c>
      <c r="B5934" s="2" t="s">
        <v>11594</v>
      </c>
      <c r="C5934" s="2" t="s">
        <v>24</v>
      </c>
      <c r="D5934" s="2" t="s">
        <v>17</v>
      </c>
      <c r="E5934" s="5">
        <v>-28445</v>
      </c>
      <c r="F5934" s="3" t="s">
        <v>1622</v>
      </c>
      <c r="G5934" s="3" t="s">
        <v>31</v>
      </c>
      <c r="H5934" s="2" t="s">
        <v>20</v>
      </c>
      <c r="I5934" s="2" t="s">
        <v>11615</v>
      </c>
      <c r="J5934" s="3" t="str">
        <f>HYPERLINK("https://www.boe.es/gazeta/dias/1822/02/12/pdfs/GMD-1822-43.pdf#page=3","Abrir facsímil")</f>
        <v>Abrir facsímil</v>
      </c>
      <c r="K5934" s="3" t="s">
        <v>22</v>
      </c>
    </row>
    <row r="5935" spans="1:11" ht="42" customHeight="1">
      <c r="A5935" s="2" t="s">
        <v>11594</v>
      </c>
      <c r="B5935" s="2" t="s">
        <v>11594</v>
      </c>
      <c r="C5935" s="2" t="s">
        <v>71</v>
      </c>
      <c r="D5935" s="2" t="s">
        <v>17</v>
      </c>
      <c r="E5935" s="5">
        <v>-28445</v>
      </c>
      <c r="F5935" s="3" t="s">
        <v>1622</v>
      </c>
      <c r="G5935" s="3" t="s">
        <v>57</v>
      </c>
      <c r="H5935" s="2" t="s">
        <v>20</v>
      </c>
      <c r="I5935" s="2" t="s">
        <v>11616</v>
      </c>
      <c r="J5935" s="3" t="str">
        <f>HYPERLINK("https://www.boe.es/gazeta/dias/1822/02/12/pdfs/GMD-1822-43.pdf#page=4","Abrir facsímil")</f>
        <v>Abrir facsímil</v>
      </c>
      <c r="K5935" s="3" t="s">
        <v>22</v>
      </c>
    </row>
    <row r="5936" spans="1:11" ht="42" customHeight="1">
      <c r="A5936" s="2" t="s">
        <v>11594</v>
      </c>
      <c r="B5936" s="2" t="s">
        <v>11594</v>
      </c>
      <c r="C5936" s="2" t="s">
        <v>42</v>
      </c>
      <c r="D5936" s="2" t="s">
        <v>17</v>
      </c>
      <c r="E5936" s="5">
        <v>-28404</v>
      </c>
      <c r="F5936" s="3" t="s">
        <v>421</v>
      </c>
      <c r="G5936" s="3" t="s">
        <v>35</v>
      </c>
      <c r="H5936" s="2" t="s">
        <v>20</v>
      </c>
      <c r="I5936" s="2" t="s">
        <v>11617</v>
      </c>
      <c r="J5936" s="3" t="str">
        <f>HYPERLINK("https://www.boe.es/gazeta/dias/1822/03/25/pdfs/GMD-1822-86.pdf#page=2","Abrir facsímil")</f>
        <v>Abrir facsímil</v>
      </c>
      <c r="K5936" s="3" t="s">
        <v>22</v>
      </c>
    </row>
    <row r="5937" spans="1:11" ht="42" customHeight="1">
      <c r="A5937" s="2" t="s">
        <v>11618</v>
      </c>
      <c r="B5937" s="2" t="s">
        <v>11619</v>
      </c>
      <c r="C5937" s="2" t="s">
        <v>28</v>
      </c>
      <c r="D5937" s="2" t="s">
        <v>29</v>
      </c>
      <c r="E5937" s="5">
        <v>-28415</v>
      </c>
      <c r="F5937" s="3" t="s">
        <v>77</v>
      </c>
      <c r="G5937" s="3" t="s">
        <v>19</v>
      </c>
      <c r="H5937" s="2" t="s">
        <v>20</v>
      </c>
      <c r="I5937" s="2" t="s">
        <v>11620</v>
      </c>
      <c r="J5937" s="3" t="str">
        <f>HYPERLINK("https://www.boe.es/gazeta/dias/1822/03/14/pdfs/GMD-1822-75.pdf#page=5","Abrir facsímil")</f>
        <v>Abrir facsímil</v>
      </c>
      <c r="K5937" s="3" t="s">
        <v>22</v>
      </c>
    </row>
    <row r="5938" spans="1:11" ht="42" customHeight="1">
      <c r="A5938" s="2" t="s">
        <v>11621</v>
      </c>
      <c r="B5938" s="2" t="s">
        <v>11621</v>
      </c>
      <c r="C5938" s="2" t="s">
        <v>42</v>
      </c>
      <c r="D5938" s="2" t="s">
        <v>17</v>
      </c>
      <c r="E5938" s="5">
        <v>-28182</v>
      </c>
      <c r="F5938" s="3" t="s">
        <v>585</v>
      </c>
      <c r="G5938" s="3" t="s">
        <v>44</v>
      </c>
      <c r="H5938" s="2" t="s">
        <v>20</v>
      </c>
      <c r="I5938" s="2" t="s">
        <v>11622</v>
      </c>
      <c r="J5938" s="3" t="str">
        <f>HYPERLINK("https://www.boe.es/gazeta/dias/1822/11/02/pdfs/GMD-1822-320.pdf#page=1","Abrir facsímil")</f>
        <v>Abrir facsímil</v>
      </c>
      <c r="K5938" s="3" t="s">
        <v>22</v>
      </c>
    </row>
    <row r="5939" spans="1:11" ht="42" customHeight="1">
      <c r="A5939" s="2" t="s">
        <v>11621</v>
      </c>
      <c r="B5939" s="2" t="s">
        <v>11621</v>
      </c>
      <c r="C5939" s="2" t="s">
        <v>16</v>
      </c>
      <c r="D5939" s="2" t="s">
        <v>17</v>
      </c>
      <c r="E5939" s="5">
        <v>-28179</v>
      </c>
      <c r="F5939" s="3" t="s">
        <v>935</v>
      </c>
      <c r="G5939" s="3" t="s">
        <v>31</v>
      </c>
      <c r="H5939" s="2" t="s">
        <v>20</v>
      </c>
      <c r="I5939" s="2" t="s">
        <v>11623</v>
      </c>
      <c r="J5939" s="3" t="str">
        <f>HYPERLINK("https://www.boe.es/gazeta/dias/1822/11/05/pdfs/GMD-1822-325.pdf#page=3","Abrir facsímil")</f>
        <v>Abrir facsímil</v>
      </c>
      <c r="K5939" s="3" t="s">
        <v>22</v>
      </c>
    </row>
    <row r="5940" spans="1:11" ht="42" customHeight="1">
      <c r="A5940" s="2" t="s">
        <v>11621</v>
      </c>
      <c r="B5940" s="2" t="s">
        <v>11621</v>
      </c>
      <c r="C5940" s="2" t="s">
        <v>28</v>
      </c>
      <c r="D5940" s="2" t="s">
        <v>29</v>
      </c>
      <c r="E5940" s="5">
        <v>-28175</v>
      </c>
      <c r="F5940" s="3" t="s">
        <v>341</v>
      </c>
      <c r="G5940" s="3" t="s">
        <v>63</v>
      </c>
      <c r="H5940" s="2" t="s">
        <v>20</v>
      </c>
      <c r="I5940" s="2" t="s">
        <v>11624</v>
      </c>
      <c r="J5940" s="3" t="str">
        <f>HYPERLINK("https://www.boe.es/gazeta/dias/1822/11/09/pdfs/GMD-1822-329.pdf#page=6","Abrir facsímil")</f>
        <v>Abrir facsímil</v>
      </c>
      <c r="K5940" s="3" t="s">
        <v>22</v>
      </c>
    </row>
    <row r="5941" spans="1:11" ht="42" customHeight="1">
      <c r="A5941" s="2" t="s">
        <v>11621</v>
      </c>
      <c r="B5941" s="2" t="s">
        <v>11621</v>
      </c>
      <c r="C5941" s="2" t="s">
        <v>42</v>
      </c>
      <c r="D5941" s="2" t="s">
        <v>17</v>
      </c>
      <c r="E5941" s="5">
        <v>-28174</v>
      </c>
      <c r="F5941" s="3" t="s">
        <v>881</v>
      </c>
      <c r="G5941" s="3" t="s">
        <v>44</v>
      </c>
      <c r="H5941" s="2" t="s">
        <v>20</v>
      </c>
      <c r="I5941" s="2" t="s">
        <v>11625</v>
      </c>
      <c r="J5941" s="3" t="str">
        <f>HYPERLINK("https://www.boe.es/gazeta/dias/1822/11/10/pdfs/GMD-1822-330.pdf#page=1","Abrir facsímil")</f>
        <v>Abrir facsímil</v>
      </c>
      <c r="K5941" s="3" t="s">
        <v>22</v>
      </c>
    </row>
    <row r="5942" spans="1:11" ht="42" customHeight="1">
      <c r="A5942" s="2" t="s">
        <v>11621</v>
      </c>
      <c r="B5942" s="2" t="s">
        <v>11621</v>
      </c>
      <c r="C5942" s="2" t="s">
        <v>28</v>
      </c>
      <c r="D5942" s="2" t="s">
        <v>29</v>
      </c>
      <c r="E5942" s="5">
        <v>-28174</v>
      </c>
      <c r="F5942" s="3" t="s">
        <v>881</v>
      </c>
      <c r="G5942" s="3" t="s">
        <v>35</v>
      </c>
      <c r="H5942" s="2" t="s">
        <v>20</v>
      </c>
      <c r="I5942" s="2" t="s">
        <v>11626</v>
      </c>
      <c r="J5942" s="3" t="str">
        <f>HYPERLINK("https://www.boe.es/gazeta/dias/1822/11/10/pdfs/GMD-1822-330.pdf#page=2","Abrir facsímil")</f>
        <v>Abrir facsímil</v>
      </c>
      <c r="K5942" s="3" t="s">
        <v>22</v>
      </c>
    </row>
    <row r="5943" spans="1:11" ht="42" customHeight="1">
      <c r="A5943" s="2" t="s">
        <v>11621</v>
      </c>
      <c r="B5943" s="2" t="s">
        <v>11621</v>
      </c>
      <c r="C5943" s="2" t="s">
        <v>71</v>
      </c>
      <c r="D5943" s="2" t="s">
        <v>17</v>
      </c>
      <c r="E5943" s="5">
        <v>-28174</v>
      </c>
      <c r="F5943" s="3" t="s">
        <v>881</v>
      </c>
      <c r="G5943" s="3" t="s">
        <v>31</v>
      </c>
      <c r="H5943" s="2" t="s">
        <v>20</v>
      </c>
      <c r="I5943" s="2" t="s">
        <v>11627</v>
      </c>
      <c r="J5943" s="3" t="str">
        <f>HYPERLINK("https://www.boe.es/gazeta/dias/1822/11/10/pdfs/GMD-1822-330.pdf#page=3","Abrir facsímil")</f>
        <v>Abrir facsímil</v>
      </c>
      <c r="K5943" s="3" t="s">
        <v>22</v>
      </c>
    </row>
    <row r="5944" spans="1:11" ht="42" customHeight="1">
      <c r="A5944" s="2" t="s">
        <v>11621</v>
      </c>
      <c r="B5944" s="2" t="s">
        <v>11621</v>
      </c>
      <c r="C5944" s="2" t="s">
        <v>28</v>
      </c>
      <c r="D5944" s="2" t="s">
        <v>29</v>
      </c>
      <c r="E5944" s="5">
        <v>-28174</v>
      </c>
      <c r="F5944" s="3" t="s">
        <v>881</v>
      </c>
      <c r="G5944" s="3" t="s">
        <v>57</v>
      </c>
      <c r="H5944" s="2" t="s">
        <v>20</v>
      </c>
      <c r="I5944" s="2" t="s">
        <v>11628</v>
      </c>
      <c r="J5944" s="3" t="str">
        <f>HYPERLINK("https://www.boe.es/gazeta/dias/1822/11/10/pdfs/GMD-1822-330.pdf#page=4","Abrir facsímil")</f>
        <v>Abrir facsímil</v>
      </c>
      <c r="K5944" s="3" t="s">
        <v>22</v>
      </c>
    </row>
    <row r="5945" spans="1:11" ht="42" customHeight="1">
      <c r="A5945" s="2" t="s">
        <v>11621</v>
      </c>
      <c r="B5945" s="2" t="s">
        <v>11621</v>
      </c>
      <c r="C5945" s="2" t="s">
        <v>71</v>
      </c>
      <c r="D5945" s="2" t="s">
        <v>17</v>
      </c>
      <c r="E5945" s="5">
        <v>-28174</v>
      </c>
      <c r="F5945" s="3" t="s">
        <v>881</v>
      </c>
      <c r="G5945" s="3" t="s">
        <v>19</v>
      </c>
      <c r="H5945" s="2" t="s">
        <v>20</v>
      </c>
      <c r="I5945" s="2" t="s">
        <v>11629</v>
      </c>
      <c r="J5945" s="3" t="str">
        <f>HYPERLINK("https://www.boe.es/gazeta/dias/1822/11/10/pdfs/GMD-1822-330.pdf#page=5","Abrir facsímil")</f>
        <v>Abrir facsímil</v>
      </c>
      <c r="K5945" s="3" t="s">
        <v>22</v>
      </c>
    </row>
    <row r="5946" spans="1:11" ht="42" customHeight="1">
      <c r="A5946" s="2" t="s">
        <v>11621</v>
      </c>
      <c r="B5946" s="2" t="s">
        <v>11621</v>
      </c>
      <c r="C5946" s="2" t="s">
        <v>28</v>
      </c>
      <c r="D5946" s="2" t="s">
        <v>29</v>
      </c>
      <c r="E5946" s="5">
        <v>-28174</v>
      </c>
      <c r="F5946" s="3" t="s">
        <v>881</v>
      </c>
      <c r="G5946" s="3" t="s">
        <v>63</v>
      </c>
      <c r="H5946" s="2" t="s">
        <v>20</v>
      </c>
      <c r="I5946" s="2" t="s">
        <v>11630</v>
      </c>
      <c r="J5946" s="3" t="str">
        <f>HYPERLINK("https://www.boe.es/gazeta/dias/1822/11/10/pdfs/GMD-1822-330.pdf#page=6","Abrir facsímil")</f>
        <v>Abrir facsímil</v>
      </c>
      <c r="K5946" s="3" t="s">
        <v>22</v>
      </c>
    </row>
    <row r="5947" spans="1:11" ht="42" customHeight="1">
      <c r="A5947" s="2" t="s">
        <v>11621</v>
      </c>
      <c r="B5947" s="2" t="s">
        <v>11621</v>
      </c>
      <c r="C5947" s="2" t="s">
        <v>50</v>
      </c>
      <c r="D5947" s="2" t="s">
        <v>51</v>
      </c>
      <c r="E5947" s="5">
        <v>-28173</v>
      </c>
      <c r="F5947" s="3" t="s">
        <v>2959</v>
      </c>
      <c r="G5947" s="3" t="s">
        <v>44</v>
      </c>
      <c r="H5947" s="2" t="s">
        <v>20</v>
      </c>
      <c r="I5947" s="2" t="s">
        <v>11631</v>
      </c>
      <c r="J5947" s="3" t="str">
        <f>HYPERLINK("https://www.boe.es/gazeta/dias/1822/11/11/pdfs/GMD-1822-331.pdf#page=1","Abrir facsímil")</f>
        <v>Abrir facsímil</v>
      </c>
      <c r="K5947" s="3" t="s">
        <v>22</v>
      </c>
    </row>
    <row r="5948" spans="1:11" ht="42" customHeight="1">
      <c r="A5948" s="2" t="s">
        <v>11632</v>
      </c>
      <c r="B5948" s="2" t="s">
        <v>11633</v>
      </c>
      <c r="C5948" s="2" t="s">
        <v>50</v>
      </c>
      <c r="D5948" s="2" t="s">
        <v>51</v>
      </c>
      <c r="E5948" s="5">
        <v>-28333</v>
      </c>
      <c r="F5948" s="3" t="s">
        <v>1928</v>
      </c>
      <c r="G5948" s="3" t="s">
        <v>63</v>
      </c>
      <c r="H5948" s="2" t="s">
        <v>20</v>
      </c>
      <c r="I5948" s="2" t="s">
        <v>11634</v>
      </c>
      <c r="J5948" s="3" t="str">
        <f>HYPERLINK("https://www.boe.es/gazeta/dias/1822/06/04/pdfs/GMD-1822-161.pdf#page=6","Abrir facsímil")</f>
        <v>Abrir facsímil</v>
      </c>
      <c r="K5948" s="3" t="s">
        <v>22</v>
      </c>
    </row>
    <row r="5949" spans="1:11" ht="42" customHeight="1">
      <c r="A5949" s="2" t="s">
        <v>11632</v>
      </c>
      <c r="B5949" s="2" t="s">
        <v>11633</v>
      </c>
      <c r="C5949" s="2" t="s">
        <v>71</v>
      </c>
      <c r="D5949" s="2" t="s">
        <v>17</v>
      </c>
      <c r="E5949" s="5">
        <v>-28329</v>
      </c>
      <c r="F5949" s="3" t="s">
        <v>354</v>
      </c>
      <c r="G5949" s="3" t="s">
        <v>57</v>
      </c>
      <c r="H5949" s="2" t="s">
        <v>20</v>
      </c>
      <c r="I5949" s="2" t="s">
        <v>11635</v>
      </c>
      <c r="J5949" s="3" t="str">
        <f>HYPERLINK("https://www.boe.es/gazeta/dias/1822/06/08/pdfs/GMD-1822-165.pdf#page=4","Abrir facsímil")</f>
        <v>Abrir facsímil</v>
      </c>
      <c r="K5949" s="3" t="s">
        <v>22</v>
      </c>
    </row>
    <row r="5950" spans="1:11" ht="42" customHeight="1">
      <c r="A5950" s="2" t="s">
        <v>11636</v>
      </c>
      <c r="B5950" s="2" t="s">
        <v>11637</v>
      </c>
      <c r="C5950" s="2" t="s">
        <v>28</v>
      </c>
      <c r="D5950" s="2" t="s">
        <v>29</v>
      </c>
      <c r="E5950" s="5">
        <v>-28302</v>
      </c>
      <c r="F5950" s="3" t="s">
        <v>791</v>
      </c>
      <c r="G5950" s="3" t="s">
        <v>57</v>
      </c>
      <c r="H5950" s="2" t="s">
        <v>20</v>
      </c>
      <c r="I5950" s="2" t="s">
        <v>11638</v>
      </c>
      <c r="J5950" s="3" t="str">
        <f>HYPERLINK("https://www.boe.es/gazeta/dias/1822/07/05/pdfs/GMD-1822-194.pdf#page=4","Abrir facsímil")</f>
        <v>Abrir facsímil</v>
      </c>
      <c r="K5950" s="3" t="s">
        <v>22</v>
      </c>
    </row>
    <row r="5951" spans="1:11" ht="42" customHeight="1">
      <c r="A5951" s="2" t="s">
        <v>11632</v>
      </c>
      <c r="B5951" s="2" t="s">
        <v>11633</v>
      </c>
      <c r="C5951" s="2" t="s">
        <v>28</v>
      </c>
      <c r="D5951" s="2" t="s">
        <v>29</v>
      </c>
      <c r="E5951" s="5">
        <v>-28275</v>
      </c>
      <c r="F5951" s="3" t="s">
        <v>1297</v>
      </c>
      <c r="G5951" s="3" t="s">
        <v>57</v>
      </c>
      <c r="H5951" s="2" t="s">
        <v>20</v>
      </c>
      <c r="I5951" s="2" t="s">
        <v>11639</v>
      </c>
      <c r="J5951" s="3" t="str">
        <f>HYPERLINK("https://www.boe.es/gazeta/dias/1822/08/01/pdfs/GMD-1822-225.pdf#page=4","Abrir facsímil")</f>
        <v>Abrir facsímil</v>
      </c>
      <c r="K5951" s="3" t="s">
        <v>22</v>
      </c>
    </row>
    <row r="5952" spans="1:11" ht="42" customHeight="1">
      <c r="A5952" s="2" t="s">
        <v>11632</v>
      </c>
      <c r="B5952" s="2" t="s">
        <v>11633</v>
      </c>
      <c r="C5952" s="2" t="s">
        <v>50</v>
      </c>
      <c r="D5952" s="2" t="s">
        <v>51</v>
      </c>
      <c r="E5952" s="5">
        <v>-28182</v>
      </c>
      <c r="F5952" s="3" t="s">
        <v>585</v>
      </c>
      <c r="G5952" s="3" t="s">
        <v>44</v>
      </c>
      <c r="H5952" s="2" t="s">
        <v>20</v>
      </c>
      <c r="I5952" s="2" t="s">
        <v>11640</v>
      </c>
      <c r="J5952" s="3" t="str">
        <f>HYPERLINK("https://www.boe.es/gazeta/dias/1822/11/02/pdfs/GMD-1822-320.pdf#page=1","Abrir facsímil")</f>
        <v>Abrir facsímil</v>
      </c>
      <c r="K5952" s="3" t="s">
        <v>22</v>
      </c>
    </row>
    <row r="5953" spans="1:11" ht="42" customHeight="1">
      <c r="A5953" s="2" t="s">
        <v>11632</v>
      </c>
      <c r="B5953" s="2" t="s">
        <v>11633</v>
      </c>
      <c r="C5953" s="2" t="s">
        <v>50</v>
      </c>
      <c r="D5953" s="2" t="s">
        <v>51</v>
      </c>
      <c r="E5953" s="5">
        <v>-28179</v>
      </c>
      <c r="F5953" s="3" t="s">
        <v>935</v>
      </c>
      <c r="G5953" s="3" t="s">
        <v>35</v>
      </c>
      <c r="H5953" s="2" t="s">
        <v>20</v>
      </c>
      <c r="I5953" s="2" t="s">
        <v>11641</v>
      </c>
      <c r="J5953" s="3" t="str">
        <f>HYPERLINK("https://www.boe.es/gazeta/dias/1822/11/05/pdfs/GMD-1822-325.pdf#page=2","Abrir facsímil")</f>
        <v>Abrir facsímil</v>
      </c>
      <c r="K5953" s="3" t="s">
        <v>22</v>
      </c>
    </row>
    <row r="5954" spans="1:11" ht="42" customHeight="1">
      <c r="A5954" s="2" t="s">
        <v>11632</v>
      </c>
      <c r="B5954" s="2" t="s">
        <v>11633</v>
      </c>
      <c r="C5954" s="2" t="s">
        <v>71</v>
      </c>
      <c r="D5954" s="2" t="s">
        <v>17</v>
      </c>
      <c r="E5954" s="5">
        <v>-28179</v>
      </c>
      <c r="F5954" s="3" t="s">
        <v>935</v>
      </c>
      <c r="G5954" s="3" t="s">
        <v>31</v>
      </c>
      <c r="H5954" s="2" t="s">
        <v>20</v>
      </c>
      <c r="I5954" s="2" t="s">
        <v>11642</v>
      </c>
      <c r="J5954" s="3" t="str">
        <f>HYPERLINK("https://www.boe.es/gazeta/dias/1822/11/05/pdfs/GMD-1822-325.pdf#page=3","Abrir facsímil")</f>
        <v>Abrir facsímil</v>
      </c>
      <c r="K5954" s="3" t="s">
        <v>22</v>
      </c>
    </row>
    <row r="5955" spans="1:11" ht="42" customHeight="1">
      <c r="A5955" s="2" t="s">
        <v>11632</v>
      </c>
      <c r="B5955" s="2" t="s">
        <v>11633</v>
      </c>
      <c r="C5955" s="2" t="s">
        <v>16</v>
      </c>
      <c r="D5955" s="2" t="s">
        <v>17</v>
      </c>
      <c r="E5955" s="5">
        <v>-28174</v>
      </c>
      <c r="F5955" s="3" t="s">
        <v>881</v>
      </c>
      <c r="G5955" s="3" t="s">
        <v>44</v>
      </c>
      <c r="H5955" s="2" t="s">
        <v>20</v>
      </c>
      <c r="I5955" s="2" t="s">
        <v>11643</v>
      </c>
      <c r="J5955" s="3" t="str">
        <f>HYPERLINK("https://www.boe.es/gazeta/dias/1822/11/10/pdfs/GMD-1822-330.pdf#page=1","Abrir facsímil")</f>
        <v>Abrir facsímil</v>
      </c>
      <c r="K5955" s="3" t="s">
        <v>22</v>
      </c>
    </row>
    <row r="5956" spans="1:11" ht="42" customHeight="1">
      <c r="A5956" s="2" t="s">
        <v>11632</v>
      </c>
      <c r="B5956" s="2" t="s">
        <v>11633</v>
      </c>
      <c r="C5956" s="2" t="s">
        <v>28</v>
      </c>
      <c r="D5956" s="2" t="s">
        <v>29</v>
      </c>
      <c r="E5956" s="5">
        <v>-28174</v>
      </c>
      <c r="F5956" s="3" t="s">
        <v>881</v>
      </c>
      <c r="G5956" s="3" t="s">
        <v>35</v>
      </c>
      <c r="H5956" s="2" t="s">
        <v>20</v>
      </c>
      <c r="I5956" s="2" t="s">
        <v>11644</v>
      </c>
      <c r="J5956" s="3" t="str">
        <f>HYPERLINK("https://www.boe.es/gazeta/dias/1822/11/10/pdfs/GMD-1822-330.pdf#page=2","Abrir facsímil")</f>
        <v>Abrir facsímil</v>
      </c>
      <c r="K5956" s="3" t="s">
        <v>22</v>
      </c>
    </row>
    <row r="5957" spans="1:11" ht="42" customHeight="1">
      <c r="A5957" s="2" t="s">
        <v>11632</v>
      </c>
      <c r="B5957" s="2" t="s">
        <v>11633</v>
      </c>
      <c r="C5957" s="2" t="s">
        <v>28</v>
      </c>
      <c r="D5957" s="2" t="s">
        <v>29</v>
      </c>
      <c r="E5957" s="5">
        <v>-28174</v>
      </c>
      <c r="F5957" s="3" t="s">
        <v>881</v>
      </c>
      <c r="G5957" s="3" t="s">
        <v>57</v>
      </c>
      <c r="H5957" s="2" t="s">
        <v>20</v>
      </c>
      <c r="I5957" s="2" t="s">
        <v>11645</v>
      </c>
      <c r="J5957" s="3" t="str">
        <f>HYPERLINK("https://www.boe.es/gazeta/dias/1822/11/10/pdfs/GMD-1822-330.pdf#page=4","Abrir facsímil")</f>
        <v>Abrir facsímil</v>
      </c>
      <c r="K5957" s="3" t="s">
        <v>22</v>
      </c>
    </row>
    <row r="5958" spans="1:11" ht="42" customHeight="1">
      <c r="A5958" s="2" t="s">
        <v>11632</v>
      </c>
      <c r="B5958" s="2" t="s">
        <v>11633</v>
      </c>
      <c r="C5958" s="2" t="s">
        <v>71</v>
      </c>
      <c r="D5958" s="2" t="s">
        <v>17</v>
      </c>
      <c r="E5958" s="5">
        <v>-28166</v>
      </c>
      <c r="F5958" s="3" t="s">
        <v>942</v>
      </c>
      <c r="G5958" s="3" t="s">
        <v>35</v>
      </c>
      <c r="H5958" s="2" t="s">
        <v>20</v>
      </c>
      <c r="I5958" s="2" t="s">
        <v>11646</v>
      </c>
      <c r="J5958" s="3" t="str">
        <f>HYPERLINK("https://www.boe.es/gazeta/dias/1822/11/18/pdfs/GMD-1822-338.pdf#page=2","Abrir facsímil")</f>
        <v>Abrir facsímil</v>
      </c>
      <c r="K5958" s="3" t="s">
        <v>22</v>
      </c>
    </row>
    <row r="5959" spans="1:11" ht="42" customHeight="1">
      <c r="A5959" s="2" t="s">
        <v>11647</v>
      </c>
      <c r="B5959" s="2" t="s">
        <v>11648</v>
      </c>
      <c r="C5959" s="2" t="s">
        <v>28</v>
      </c>
      <c r="D5959" s="2" t="s">
        <v>29</v>
      </c>
      <c r="E5959" s="5">
        <v>-28367</v>
      </c>
      <c r="F5959" s="3" t="s">
        <v>280</v>
      </c>
      <c r="G5959" s="3" t="s">
        <v>19</v>
      </c>
      <c r="H5959" s="2" t="s">
        <v>20</v>
      </c>
      <c r="I5959" s="2" t="s">
        <v>11649</v>
      </c>
      <c r="J5959" s="3" t="str">
        <f>HYPERLINK("https://www.boe.es/gazeta/dias/1822/05/01/pdfs/GMD-1822-123.pdf#page=5","Abrir facsímil")</f>
        <v>Abrir facsímil</v>
      </c>
      <c r="K5959" s="3" t="s">
        <v>22</v>
      </c>
    </row>
    <row r="5960" spans="1:11" ht="42" customHeight="1">
      <c r="A5960" s="2" t="s">
        <v>11650</v>
      </c>
      <c r="B5960" s="2" t="s">
        <v>11650</v>
      </c>
      <c r="C5960" s="2" t="s">
        <v>28</v>
      </c>
      <c r="D5960" s="2" t="s">
        <v>29</v>
      </c>
      <c r="E5960" s="5">
        <v>-28174</v>
      </c>
      <c r="F5960" s="3" t="s">
        <v>881</v>
      </c>
      <c r="G5960" s="3" t="s">
        <v>35</v>
      </c>
      <c r="H5960" s="2" t="s">
        <v>20</v>
      </c>
      <c r="I5960" s="2" t="s">
        <v>11651</v>
      </c>
      <c r="J5960" s="3" t="str">
        <f>HYPERLINK("https://www.boe.es/gazeta/dias/1822/11/10/pdfs/GMD-1822-330.pdf#page=2","Abrir facsímil")</f>
        <v>Abrir facsímil</v>
      </c>
      <c r="K5960" s="3" t="s">
        <v>22</v>
      </c>
    </row>
    <row r="5961" spans="1:11" ht="42" customHeight="1">
      <c r="A5961" s="2" t="s">
        <v>11652</v>
      </c>
      <c r="B5961" s="2" t="s">
        <v>11652</v>
      </c>
      <c r="C5961" s="2" t="s">
        <v>61</v>
      </c>
      <c r="D5961" s="2" t="s">
        <v>17</v>
      </c>
      <c r="E5961" s="5">
        <v>-28464</v>
      </c>
      <c r="F5961" s="3" t="s">
        <v>1447</v>
      </c>
      <c r="G5961" s="3" t="s">
        <v>31</v>
      </c>
      <c r="H5961" s="2" t="s">
        <v>20</v>
      </c>
      <c r="I5961" s="2" t="s">
        <v>11653</v>
      </c>
      <c r="J5961" s="3" t="str">
        <f>HYPERLINK("https://www.boe.es/gazeta/dias/1822/01/24/pdfs/GMD-1822-24.pdf#page=3","Abrir facsímil")</f>
        <v>Abrir facsímil</v>
      </c>
      <c r="K5961" s="3" t="s">
        <v>22</v>
      </c>
    </row>
    <row r="5962" spans="1:11" ht="42" customHeight="1">
      <c r="A5962" s="2" t="s">
        <v>11654</v>
      </c>
      <c r="B5962" s="2" t="s">
        <v>11654</v>
      </c>
      <c r="C5962" s="2" t="s">
        <v>28</v>
      </c>
      <c r="D5962" s="2" t="s">
        <v>29</v>
      </c>
      <c r="E5962" s="5">
        <v>-28174</v>
      </c>
      <c r="F5962" s="3" t="s">
        <v>881</v>
      </c>
      <c r="G5962" s="3" t="s">
        <v>35</v>
      </c>
      <c r="H5962" s="2" t="s">
        <v>20</v>
      </c>
      <c r="I5962" s="2" t="s">
        <v>11655</v>
      </c>
      <c r="J5962" s="3" t="str">
        <f>HYPERLINK("https://www.boe.es/gazeta/dias/1822/11/10/pdfs/GMD-1822-330.pdf#page=2","Abrir facsímil")</f>
        <v>Abrir facsímil</v>
      </c>
      <c r="K5962" s="3" t="s">
        <v>22</v>
      </c>
    </row>
    <row r="5963" spans="1:11" ht="42" customHeight="1">
      <c r="A5963" s="2" t="s">
        <v>11656</v>
      </c>
      <c r="B5963" s="2" t="s">
        <v>11657</v>
      </c>
      <c r="C5963" s="2" t="s">
        <v>50</v>
      </c>
      <c r="D5963" s="2" t="s">
        <v>51</v>
      </c>
      <c r="E5963" s="5">
        <v>-28275</v>
      </c>
      <c r="F5963" s="3" t="s">
        <v>1297</v>
      </c>
      <c r="G5963" s="3" t="s">
        <v>57</v>
      </c>
      <c r="H5963" s="2" t="s">
        <v>20</v>
      </c>
      <c r="I5963" s="2" t="s">
        <v>11658</v>
      </c>
      <c r="J5963" s="3" t="str">
        <f>HYPERLINK("https://www.boe.es/gazeta/dias/1822/08/01/pdfs/GMD-1822-225.pdf#page=4","Abrir facsímil")</f>
        <v>Abrir facsímil</v>
      </c>
      <c r="K5963" s="3" t="s">
        <v>22</v>
      </c>
    </row>
    <row r="5964" spans="1:11" ht="42" customHeight="1">
      <c r="A5964" s="2" t="s">
        <v>11659</v>
      </c>
      <c r="B5964" s="2" t="s">
        <v>11660</v>
      </c>
      <c r="C5964" s="2" t="s">
        <v>42</v>
      </c>
      <c r="D5964" s="2" t="s">
        <v>17</v>
      </c>
      <c r="E5964" s="5">
        <v>-28142</v>
      </c>
      <c r="F5964" s="3" t="s">
        <v>290</v>
      </c>
      <c r="G5964" s="3" t="s">
        <v>57</v>
      </c>
      <c r="H5964" s="2" t="s">
        <v>20</v>
      </c>
      <c r="I5964" s="2" t="s">
        <v>11661</v>
      </c>
      <c r="J5964" s="3" t="str">
        <f>HYPERLINK("https://www.boe.es/gazeta/dias/1822/12/12/pdfs/GMD-1822-362.pdf#page=4","Abrir facsímil")</f>
        <v>Abrir facsímil</v>
      </c>
      <c r="K5964" s="3" t="s">
        <v>22</v>
      </c>
    </row>
    <row r="5965" spans="1:11" ht="42" customHeight="1">
      <c r="A5965" s="2" t="s">
        <v>11662</v>
      </c>
      <c r="B5965" s="2" t="s">
        <v>11663</v>
      </c>
      <c r="C5965" s="2" t="s">
        <v>50</v>
      </c>
      <c r="D5965" s="2" t="s">
        <v>51</v>
      </c>
      <c r="E5965" s="5">
        <v>-28339</v>
      </c>
      <c r="F5965" s="3" t="s">
        <v>197</v>
      </c>
      <c r="G5965" s="3" t="s">
        <v>63</v>
      </c>
      <c r="H5965" s="2" t="s">
        <v>20</v>
      </c>
      <c r="I5965" s="2" t="s">
        <v>11664</v>
      </c>
      <c r="J5965" s="3" t="str">
        <f>HYPERLINK("https://www.boe.es/gazeta/dias/1822/05/29/pdfs/GMD-1822-154.pdf#page=6","Abrir facsímil")</f>
        <v>Abrir facsímil</v>
      </c>
      <c r="K5965" s="3" t="s">
        <v>22</v>
      </c>
    </row>
    <row r="5966" spans="1:11" ht="42" customHeight="1">
      <c r="A5966" s="2" t="s">
        <v>11665</v>
      </c>
      <c r="B5966" s="2" t="s">
        <v>11665</v>
      </c>
      <c r="C5966" s="2" t="s">
        <v>42</v>
      </c>
      <c r="D5966" s="2" t="s">
        <v>17</v>
      </c>
      <c r="E5966" s="5">
        <v>-28324</v>
      </c>
      <c r="F5966" s="3" t="s">
        <v>305</v>
      </c>
      <c r="G5966" s="3" t="s">
        <v>57</v>
      </c>
      <c r="H5966" s="2" t="s">
        <v>20</v>
      </c>
      <c r="I5966" s="2" t="s">
        <v>11666</v>
      </c>
      <c r="J5966" s="3" t="str">
        <f>HYPERLINK("https://www.boe.es/gazeta/dias/1822/06/13/pdfs/GMD-1822-170.pdf#page=4","Abrir facsímil")</f>
        <v>Abrir facsímil</v>
      </c>
      <c r="K5966" s="3" t="s">
        <v>22</v>
      </c>
    </row>
    <row r="5967" spans="1:11" ht="42" customHeight="1">
      <c r="A5967" s="2" t="s">
        <v>11667</v>
      </c>
      <c r="B5967" s="2" t="s">
        <v>11667</v>
      </c>
      <c r="C5967" s="2" t="s">
        <v>71</v>
      </c>
      <c r="D5967" s="2" t="s">
        <v>17</v>
      </c>
      <c r="E5967" s="5">
        <v>-28344</v>
      </c>
      <c r="F5967" s="3" t="s">
        <v>524</v>
      </c>
      <c r="G5967" s="3" t="s">
        <v>44</v>
      </c>
      <c r="H5967" s="2" t="s">
        <v>20</v>
      </c>
      <c r="I5967" s="2" t="s">
        <v>11668</v>
      </c>
      <c r="J5967" s="3" t="str">
        <f>HYPERLINK("https://www.boe.es/gazeta/dias/1822/05/24/pdfs/GMD-1822-148.pdf#page=1","Abrir facsímil")</f>
        <v>Abrir facsímil</v>
      </c>
      <c r="K5967" s="3" t="s">
        <v>22</v>
      </c>
    </row>
    <row r="5968" spans="1:11" ht="42" customHeight="1">
      <c r="A5968" s="2" t="s">
        <v>11669</v>
      </c>
      <c r="B5968" s="2" t="s">
        <v>11669</v>
      </c>
      <c r="C5968" s="2" t="s">
        <v>42</v>
      </c>
      <c r="D5968" s="2" t="s">
        <v>17</v>
      </c>
      <c r="E5968" s="5">
        <v>-28422</v>
      </c>
      <c r="F5968" s="3" t="s">
        <v>416</v>
      </c>
      <c r="G5968" s="3" t="s">
        <v>35</v>
      </c>
      <c r="H5968" s="2" t="s">
        <v>20</v>
      </c>
      <c r="I5968" s="2" t="s">
        <v>11670</v>
      </c>
      <c r="J5968" s="3" t="str">
        <f>HYPERLINK("https://www.boe.es/gazeta/dias/1822/03/07/pdfs/GMD-1822-68.pdf#page=2","Abrir facsímil")</f>
        <v>Abrir facsímil</v>
      </c>
      <c r="K5968" s="3" t="s">
        <v>22</v>
      </c>
    </row>
    <row r="5969" spans="1:11" ht="42" customHeight="1">
      <c r="A5969" s="2" t="s">
        <v>11669</v>
      </c>
      <c r="B5969" s="2" t="s">
        <v>11669</v>
      </c>
      <c r="C5969" s="2" t="s">
        <v>28</v>
      </c>
      <c r="D5969" s="2" t="s">
        <v>29</v>
      </c>
      <c r="E5969" s="5">
        <v>-28399</v>
      </c>
      <c r="F5969" s="3" t="s">
        <v>476</v>
      </c>
      <c r="G5969" s="3" t="s">
        <v>57</v>
      </c>
      <c r="H5969" s="2" t="s">
        <v>20</v>
      </c>
      <c r="I5969" s="2" t="s">
        <v>11671</v>
      </c>
      <c r="J5969" s="3" t="str">
        <f>HYPERLINK("https://www.boe.es/gazeta/dias/1822/03/30/pdfs/GMD-1822-91.pdf#page=4","Abrir facsímil")</f>
        <v>Abrir facsímil</v>
      </c>
      <c r="K5969" s="3" t="s">
        <v>22</v>
      </c>
    </row>
    <row r="5970" spans="1:11" ht="42" customHeight="1">
      <c r="A5970" s="2" t="s">
        <v>11669</v>
      </c>
      <c r="B5970" s="2" t="s">
        <v>11669</v>
      </c>
      <c r="C5970" s="2" t="s">
        <v>50</v>
      </c>
      <c r="D5970" s="2" t="s">
        <v>51</v>
      </c>
      <c r="E5970" s="5">
        <v>-28379</v>
      </c>
      <c r="F5970" s="3" t="s">
        <v>494</v>
      </c>
      <c r="G5970" s="3" t="s">
        <v>35</v>
      </c>
      <c r="H5970" s="2" t="s">
        <v>20</v>
      </c>
      <c r="I5970" s="2" t="s">
        <v>11672</v>
      </c>
      <c r="J5970" s="3" t="str">
        <f>HYPERLINK("https://www.boe.es/gazeta/dias/1822/04/19/pdfs/GMD-1822-111.pdf#page=2","Abrir facsímil")</f>
        <v>Abrir facsímil</v>
      </c>
      <c r="K5970" s="3" t="s">
        <v>22</v>
      </c>
    </row>
    <row r="5971" spans="1:11" ht="42" customHeight="1">
      <c r="A5971" s="2" t="s">
        <v>11669</v>
      </c>
      <c r="B5971" s="2" t="s">
        <v>11669</v>
      </c>
      <c r="C5971" s="2" t="s">
        <v>28</v>
      </c>
      <c r="D5971" s="2" t="s">
        <v>29</v>
      </c>
      <c r="E5971" s="5">
        <v>-28373</v>
      </c>
      <c r="F5971" s="3" t="s">
        <v>614</v>
      </c>
      <c r="G5971" s="3" t="s">
        <v>35</v>
      </c>
      <c r="H5971" s="2" t="s">
        <v>20</v>
      </c>
      <c r="I5971" s="2" t="s">
        <v>11673</v>
      </c>
      <c r="J5971" s="3" t="str">
        <f>HYPERLINK("https://www.boe.es/gazeta/dias/1822/04/25/pdfs/GMD-1822-117.pdf#page=2","Abrir facsímil")</f>
        <v>Abrir facsímil</v>
      </c>
      <c r="K5971" s="3" t="s">
        <v>22</v>
      </c>
    </row>
    <row r="5972" spans="1:11" ht="42" customHeight="1">
      <c r="A5972" s="2" t="s">
        <v>11669</v>
      </c>
      <c r="B5972" s="2" t="s">
        <v>11669</v>
      </c>
      <c r="C5972" s="2" t="s">
        <v>50</v>
      </c>
      <c r="D5972" s="2" t="s">
        <v>51</v>
      </c>
      <c r="E5972" s="5">
        <v>-28359</v>
      </c>
      <c r="F5972" s="3" t="s">
        <v>209</v>
      </c>
      <c r="G5972" s="3" t="s">
        <v>57</v>
      </c>
      <c r="H5972" s="2" t="s">
        <v>20</v>
      </c>
      <c r="I5972" s="2" t="s">
        <v>11674</v>
      </c>
      <c r="J5972" s="3" t="str">
        <f>HYPERLINK("https://www.boe.es/gazeta/dias/1822/05/09/pdfs/GMD-1822-131.pdf#page=4","Abrir facsímil")</f>
        <v>Abrir facsímil</v>
      </c>
      <c r="K5972" s="3" t="s">
        <v>22</v>
      </c>
    </row>
    <row r="5973" spans="1:11" ht="42" customHeight="1">
      <c r="A5973" s="2" t="s">
        <v>11669</v>
      </c>
      <c r="B5973" s="2" t="s">
        <v>11669</v>
      </c>
      <c r="C5973" s="2" t="s">
        <v>42</v>
      </c>
      <c r="D5973" s="2" t="s">
        <v>17</v>
      </c>
      <c r="E5973" s="5">
        <v>-28357</v>
      </c>
      <c r="F5973" s="3" t="s">
        <v>690</v>
      </c>
      <c r="G5973" s="3" t="s">
        <v>35</v>
      </c>
      <c r="H5973" s="2" t="s">
        <v>20</v>
      </c>
      <c r="I5973" s="2" t="s">
        <v>11675</v>
      </c>
      <c r="J5973" s="3" t="str">
        <f>HYPERLINK("https://www.boe.es/gazeta/dias/1822/05/11/pdfs/GMD-1822-133.pdf#page=2","Abrir facsímil")</f>
        <v>Abrir facsímil</v>
      </c>
      <c r="K5973" s="3" t="s">
        <v>22</v>
      </c>
    </row>
    <row r="5974" spans="1:11" ht="42" customHeight="1">
      <c r="A5974" s="2" t="s">
        <v>11669</v>
      </c>
      <c r="B5974" s="2" t="s">
        <v>11669</v>
      </c>
      <c r="C5974" s="2" t="s">
        <v>71</v>
      </c>
      <c r="D5974" s="2" t="s">
        <v>17</v>
      </c>
      <c r="E5974" s="5">
        <v>-28346</v>
      </c>
      <c r="F5974" s="3" t="s">
        <v>191</v>
      </c>
      <c r="G5974" s="3" t="s">
        <v>31</v>
      </c>
      <c r="H5974" s="2" t="s">
        <v>20</v>
      </c>
      <c r="I5974" s="2" t="s">
        <v>11676</v>
      </c>
      <c r="J5974" s="3" t="str">
        <f>HYPERLINK("https://www.boe.es/gazeta/dias/1822/05/22/pdfs/GMD-1822-145.pdf#page=3","Abrir facsímil")</f>
        <v>Abrir facsímil</v>
      </c>
      <c r="K5974" s="3" t="s">
        <v>22</v>
      </c>
    </row>
    <row r="5975" spans="1:11" ht="42" customHeight="1">
      <c r="A5975" s="2" t="s">
        <v>11669</v>
      </c>
      <c r="B5975" s="2" t="s">
        <v>11669</v>
      </c>
      <c r="C5975" s="2" t="s">
        <v>28</v>
      </c>
      <c r="D5975" s="2" t="s">
        <v>29</v>
      </c>
      <c r="E5975" s="5">
        <v>-28341</v>
      </c>
      <c r="F5975" s="3" t="s">
        <v>284</v>
      </c>
      <c r="G5975" s="3" t="s">
        <v>57</v>
      </c>
      <c r="H5975" s="2" t="s">
        <v>20</v>
      </c>
      <c r="I5975" s="2" t="s">
        <v>11677</v>
      </c>
      <c r="J5975" s="3" t="str">
        <f>HYPERLINK("https://www.boe.es/gazeta/dias/1822/05/27/pdfs/GMD-1822-152.pdf#page=4","Abrir facsímil")</f>
        <v>Abrir facsímil</v>
      </c>
      <c r="K5975" s="3" t="s">
        <v>22</v>
      </c>
    </row>
    <row r="5976" spans="1:11" ht="42" customHeight="1">
      <c r="A5976" s="2" t="s">
        <v>11669</v>
      </c>
      <c r="B5976" s="2" t="s">
        <v>11669</v>
      </c>
      <c r="C5976" s="2" t="s">
        <v>50</v>
      </c>
      <c r="D5976" s="2" t="s">
        <v>51</v>
      </c>
      <c r="E5976" s="5">
        <v>-28334</v>
      </c>
      <c r="F5976" s="3" t="s">
        <v>532</v>
      </c>
      <c r="G5976" s="3" t="s">
        <v>31</v>
      </c>
      <c r="H5976" s="2" t="s">
        <v>20</v>
      </c>
      <c r="I5976" s="2" t="s">
        <v>11678</v>
      </c>
      <c r="J5976" s="3" t="str">
        <f>HYPERLINK("https://www.boe.es/gazeta/dias/1822/06/03/pdfs/GMD-1822-159.pdf#page=3","Abrir facsímil")</f>
        <v>Abrir facsímil</v>
      </c>
      <c r="K5976" s="3" t="s">
        <v>22</v>
      </c>
    </row>
    <row r="5977" spans="1:11" ht="42" customHeight="1">
      <c r="A5977" s="2" t="s">
        <v>11669</v>
      </c>
      <c r="B5977" s="2" t="s">
        <v>11669</v>
      </c>
      <c r="C5977" s="2" t="s">
        <v>28</v>
      </c>
      <c r="D5977" s="2" t="s">
        <v>29</v>
      </c>
      <c r="E5977" s="5">
        <v>-28334</v>
      </c>
      <c r="F5977" s="3" t="s">
        <v>532</v>
      </c>
      <c r="G5977" s="3" t="s">
        <v>57</v>
      </c>
      <c r="H5977" s="2" t="s">
        <v>20</v>
      </c>
      <c r="I5977" s="2" t="s">
        <v>11679</v>
      </c>
      <c r="J5977" s="3" t="str">
        <f>HYPERLINK("https://www.boe.es/gazeta/dias/1822/06/03/pdfs/GMD-1822-159.pdf#page=4","Abrir facsímil")</f>
        <v>Abrir facsímil</v>
      </c>
      <c r="K5977" s="3" t="s">
        <v>22</v>
      </c>
    </row>
    <row r="5978" spans="1:11" ht="42" customHeight="1">
      <c r="A5978" s="2" t="s">
        <v>11669</v>
      </c>
      <c r="B5978" s="2" t="s">
        <v>11669</v>
      </c>
      <c r="C5978" s="2" t="s">
        <v>71</v>
      </c>
      <c r="D5978" s="2" t="s">
        <v>17</v>
      </c>
      <c r="E5978" s="5">
        <v>-28325</v>
      </c>
      <c r="F5978" s="3" t="s">
        <v>104</v>
      </c>
      <c r="G5978" s="3" t="s">
        <v>57</v>
      </c>
      <c r="H5978" s="2" t="s">
        <v>20</v>
      </c>
      <c r="I5978" s="2" t="s">
        <v>11680</v>
      </c>
      <c r="J5978" s="3" t="str">
        <f>HYPERLINK("https://www.boe.es/gazeta/dias/1822/06/12/pdfs/GMD-1822-169.pdf#page=4","Abrir facsímil")</f>
        <v>Abrir facsímil</v>
      </c>
      <c r="K5978" s="3" t="s">
        <v>22</v>
      </c>
    </row>
    <row r="5979" spans="1:11" ht="42" customHeight="1">
      <c r="A5979" s="2" t="s">
        <v>11669</v>
      </c>
      <c r="B5979" s="2" t="s">
        <v>11669</v>
      </c>
      <c r="C5979" s="2" t="s">
        <v>24</v>
      </c>
      <c r="D5979" s="2" t="s">
        <v>17</v>
      </c>
      <c r="E5979" s="5">
        <v>-28319</v>
      </c>
      <c r="F5979" s="3" t="s">
        <v>271</v>
      </c>
      <c r="G5979" s="3" t="s">
        <v>31</v>
      </c>
      <c r="H5979" s="2" t="s">
        <v>20</v>
      </c>
      <c r="I5979" s="2" t="s">
        <v>11681</v>
      </c>
      <c r="J5979" s="3" t="str">
        <f>HYPERLINK("https://www.boe.es/gazeta/dias/1822/06/18/pdfs/GMD-1822-175.pdf#page=3","Abrir facsímil")</f>
        <v>Abrir facsímil</v>
      </c>
      <c r="K5979" s="3" t="s">
        <v>22</v>
      </c>
    </row>
    <row r="5980" spans="1:11" ht="42" customHeight="1">
      <c r="A5980" s="2" t="s">
        <v>11669</v>
      </c>
      <c r="B5980" s="2" t="s">
        <v>11669</v>
      </c>
      <c r="C5980" s="2" t="s">
        <v>71</v>
      </c>
      <c r="D5980" s="2" t="s">
        <v>17</v>
      </c>
      <c r="E5980" s="5">
        <v>-28309</v>
      </c>
      <c r="F5980" s="3" t="s">
        <v>553</v>
      </c>
      <c r="G5980" s="3" t="s">
        <v>19</v>
      </c>
      <c r="H5980" s="2" t="s">
        <v>20</v>
      </c>
      <c r="I5980" s="2" t="s">
        <v>11682</v>
      </c>
      <c r="J5980" s="3" t="str">
        <f>HYPERLINK("https://www.boe.es/gazeta/dias/1822/06/28/pdfs/GMD-1822-186.pdf#page=5","Abrir facsímil")</f>
        <v>Abrir facsímil</v>
      </c>
      <c r="K5980" s="3" t="s">
        <v>22</v>
      </c>
    </row>
    <row r="5981" spans="1:11" ht="42" customHeight="1">
      <c r="A5981" s="2" t="s">
        <v>11669</v>
      </c>
      <c r="B5981" s="2" t="s">
        <v>11669</v>
      </c>
      <c r="C5981" s="2" t="s">
        <v>42</v>
      </c>
      <c r="D5981" s="2" t="s">
        <v>17</v>
      </c>
      <c r="E5981" s="5">
        <v>-28188</v>
      </c>
      <c r="F5981" s="3" t="s">
        <v>578</v>
      </c>
      <c r="G5981" s="3" t="s">
        <v>44</v>
      </c>
      <c r="H5981" s="2" t="s">
        <v>20</v>
      </c>
      <c r="I5981" s="2" t="s">
        <v>11683</v>
      </c>
      <c r="J5981" s="3" t="str">
        <f>HYPERLINK("https://www.boe.es/gazeta/dias/1822/10/27/pdfs/GMD-1822-314.pdf#page=1","Abrir facsímil")</f>
        <v>Abrir facsímil</v>
      </c>
      <c r="K5981" s="3" t="s">
        <v>22</v>
      </c>
    </row>
    <row r="5982" spans="1:11" ht="42" customHeight="1">
      <c r="A5982" s="2" t="s">
        <v>11669</v>
      </c>
      <c r="B5982" s="2" t="s">
        <v>11669</v>
      </c>
      <c r="C5982" s="2" t="s">
        <v>50</v>
      </c>
      <c r="D5982" s="2" t="s">
        <v>51</v>
      </c>
      <c r="E5982" s="5">
        <v>-28184</v>
      </c>
      <c r="F5982" s="3" t="s">
        <v>1423</v>
      </c>
      <c r="G5982" s="3" t="s">
        <v>35</v>
      </c>
      <c r="H5982" s="2" t="s">
        <v>20</v>
      </c>
      <c r="I5982" s="2" t="s">
        <v>11684</v>
      </c>
      <c r="J5982" s="3" t="str">
        <f>HYPERLINK("https://www.boe.es/gazeta/dias/1822/10/31/pdfs/GMD-1822-318.pdf#page=2","Abrir facsímil")</f>
        <v>Abrir facsímil</v>
      </c>
      <c r="K5982" s="3" t="s">
        <v>22</v>
      </c>
    </row>
    <row r="5983" spans="1:11" ht="42" customHeight="1">
      <c r="A5983" s="2" t="s">
        <v>11669</v>
      </c>
      <c r="B5983" s="2" t="s">
        <v>11669</v>
      </c>
      <c r="C5983" s="2" t="s">
        <v>71</v>
      </c>
      <c r="D5983" s="2" t="s">
        <v>17</v>
      </c>
      <c r="E5983" s="5">
        <v>-28184</v>
      </c>
      <c r="F5983" s="3" t="s">
        <v>1423</v>
      </c>
      <c r="G5983" s="3" t="s">
        <v>31</v>
      </c>
      <c r="H5983" s="2" t="s">
        <v>20</v>
      </c>
      <c r="I5983" s="2" t="s">
        <v>11685</v>
      </c>
      <c r="J5983" s="3" t="str">
        <f>HYPERLINK("https://www.boe.es/gazeta/dias/1822/10/31/pdfs/GMD-1822-318.pdf#page=3","Abrir facsímil")</f>
        <v>Abrir facsímil</v>
      </c>
      <c r="K5983" s="3" t="s">
        <v>22</v>
      </c>
    </row>
    <row r="5984" spans="1:11" ht="42" customHeight="1">
      <c r="A5984" s="2" t="s">
        <v>11669</v>
      </c>
      <c r="B5984" s="2" t="s">
        <v>11669</v>
      </c>
      <c r="C5984" s="2" t="s">
        <v>50</v>
      </c>
      <c r="D5984" s="2" t="s">
        <v>51</v>
      </c>
      <c r="E5984" s="5">
        <v>-28171</v>
      </c>
      <c r="F5984" s="3" t="s">
        <v>1075</v>
      </c>
      <c r="G5984" s="3" t="s">
        <v>44</v>
      </c>
      <c r="H5984" s="2" t="s">
        <v>20</v>
      </c>
      <c r="I5984" s="2" t="s">
        <v>11686</v>
      </c>
      <c r="J5984" s="3" t="str">
        <f>HYPERLINK("https://www.boe.es/gazeta/dias/1822/11/13/pdfs/GMD-1822-333.pdf#page=1","Abrir facsímil")</f>
        <v>Abrir facsímil</v>
      </c>
      <c r="K5984" s="3" t="s">
        <v>22</v>
      </c>
    </row>
    <row r="5985" spans="1:11" ht="42" customHeight="1">
      <c r="A5985" s="2" t="s">
        <v>11669</v>
      </c>
      <c r="B5985" s="2" t="s">
        <v>11669</v>
      </c>
      <c r="C5985" s="2" t="s">
        <v>42</v>
      </c>
      <c r="D5985" s="2" t="s">
        <v>17</v>
      </c>
      <c r="E5985" s="5">
        <v>-28166</v>
      </c>
      <c r="F5985" s="3" t="s">
        <v>942</v>
      </c>
      <c r="G5985" s="3" t="s">
        <v>31</v>
      </c>
      <c r="H5985" s="2" t="s">
        <v>20</v>
      </c>
      <c r="I5985" s="2" t="s">
        <v>11687</v>
      </c>
      <c r="J5985" s="3" t="str">
        <f>HYPERLINK("https://www.boe.es/gazeta/dias/1822/11/18/pdfs/GMD-1822-338.pdf#page=3","Abrir facsímil")</f>
        <v>Abrir facsímil</v>
      </c>
      <c r="K5985" s="3" t="s">
        <v>22</v>
      </c>
    </row>
    <row r="5986" spans="1:11" ht="42" customHeight="1">
      <c r="A5986" s="2" t="s">
        <v>11669</v>
      </c>
      <c r="B5986" s="2" t="s">
        <v>11669</v>
      </c>
      <c r="C5986" s="2" t="s">
        <v>71</v>
      </c>
      <c r="D5986" s="2" t="s">
        <v>17</v>
      </c>
      <c r="E5986" s="5">
        <v>-28165</v>
      </c>
      <c r="F5986" s="3" t="s">
        <v>846</v>
      </c>
      <c r="G5986" s="3" t="s">
        <v>35</v>
      </c>
      <c r="H5986" s="2" t="s">
        <v>20</v>
      </c>
      <c r="I5986" s="2" t="s">
        <v>11688</v>
      </c>
      <c r="J5986" s="3" t="str">
        <f>HYPERLINK("https://www.boe.es/gazeta/dias/1822/11/19/pdfs/GMD-1822-339.pdf#page=2","Abrir facsímil")</f>
        <v>Abrir facsímil</v>
      </c>
      <c r="K5986" s="3" t="s">
        <v>22</v>
      </c>
    </row>
    <row r="5987" spans="1:11" ht="42" customHeight="1">
      <c r="A5987" s="2" t="s">
        <v>11669</v>
      </c>
      <c r="B5987" s="2" t="s">
        <v>11669</v>
      </c>
      <c r="C5987" s="2" t="s">
        <v>50</v>
      </c>
      <c r="D5987" s="2" t="s">
        <v>51</v>
      </c>
      <c r="E5987" s="5">
        <v>-28155</v>
      </c>
      <c r="F5987" s="3" t="s">
        <v>833</v>
      </c>
      <c r="G5987" s="3" t="s">
        <v>31</v>
      </c>
      <c r="H5987" s="2" t="s">
        <v>20</v>
      </c>
      <c r="I5987" s="2" t="s">
        <v>11689</v>
      </c>
      <c r="J5987" s="3" t="str">
        <f>HYPERLINK("https://www.boe.es/gazeta/dias/1822/11/29/pdfs/GMD-1822-349.pdf#page=3","Abrir facsímil")</f>
        <v>Abrir facsímil</v>
      </c>
      <c r="K5987" s="3" t="s">
        <v>22</v>
      </c>
    </row>
    <row r="5988" spans="1:11" ht="42" customHeight="1">
      <c r="A5988" s="2" t="s">
        <v>11669</v>
      </c>
      <c r="B5988" s="2" t="s">
        <v>11669</v>
      </c>
      <c r="C5988" s="2" t="s">
        <v>50</v>
      </c>
      <c r="D5988" s="2" t="s">
        <v>51</v>
      </c>
      <c r="E5988" s="5">
        <v>-28139</v>
      </c>
      <c r="F5988" s="3" t="s">
        <v>143</v>
      </c>
      <c r="G5988" s="3" t="s">
        <v>35</v>
      </c>
      <c r="H5988" s="2" t="s">
        <v>20</v>
      </c>
      <c r="I5988" s="2" t="s">
        <v>11690</v>
      </c>
      <c r="J5988" s="3" t="str">
        <f>HYPERLINK("https://www.boe.es/gazeta/dias/1822/12/15/pdfs/GMD-1822-365.pdf#page=2","Abrir facsímil")</f>
        <v>Abrir facsímil</v>
      </c>
      <c r="K5988" s="3" t="s">
        <v>22</v>
      </c>
    </row>
    <row r="5989" spans="1:11" ht="42" customHeight="1">
      <c r="A5989" s="2" t="s">
        <v>11691</v>
      </c>
      <c r="B5989" s="2" t="s">
        <v>11692</v>
      </c>
      <c r="C5989" s="2" t="s">
        <v>50</v>
      </c>
      <c r="D5989" s="2" t="s">
        <v>51</v>
      </c>
      <c r="E5989" s="5">
        <v>-28292</v>
      </c>
      <c r="F5989" s="3" t="s">
        <v>222</v>
      </c>
      <c r="G5989" s="3" t="s">
        <v>31</v>
      </c>
      <c r="H5989" s="2" t="s">
        <v>45</v>
      </c>
      <c r="I5989" s="2" t="s">
        <v>11693</v>
      </c>
      <c r="J5989" s="3" t="str">
        <f>HYPERLINK("https://www.boe.es/gazeta/dias/1822/07/15/pdfs/GMD-1822-205.pdf#page=3","Abrir facsímil")</f>
        <v>Abrir facsímil</v>
      </c>
      <c r="K5989" s="3" t="s">
        <v>47</v>
      </c>
    </row>
    <row r="5990" spans="1:11" ht="42" customHeight="1">
      <c r="A5990" s="2" t="s">
        <v>11694</v>
      </c>
      <c r="B5990" s="2" t="s">
        <v>11694</v>
      </c>
      <c r="C5990" s="2" t="s">
        <v>50</v>
      </c>
      <c r="D5990" s="2" t="s">
        <v>51</v>
      </c>
      <c r="E5990" s="5">
        <v>-28157</v>
      </c>
      <c r="F5990" s="3" t="s">
        <v>1492</v>
      </c>
      <c r="G5990" s="3" t="s">
        <v>63</v>
      </c>
      <c r="H5990" s="2" t="s">
        <v>20</v>
      </c>
      <c r="I5990" s="2" t="s">
        <v>11695</v>
      </c>
      <c r="J5990" s="3" t="str">
        <f>HYPERLINK("https://www.boe.es/gazeta/dias/1822/11/27/pdfs/GMD-1822-347.pdf#page=6","Abrir facsímil")</f>
        <v>Abrir facsímil</v>
      </c>
      <c r="K5990" s="3" t="s">
        <v>22</v>
      </c>
    </row>
    <row r="5991" spans="1:11" ht="42" customHeight="1">
      <c r="A5991" s="2" t="s">
        <v>11696</v>
      </c>
      <c r="B5991" s="2" t="s">
        <v>11697</v>
      </c>
      <c r="C5991" s="2" t="s">
        <v>71</v>
      </c>
      <c r="D5991" s="2" t="s">
        <v>17</v>
      </c>
      <c r="E5991" s="5">
        <v>-28213</v>
      </c>
      <c r="F5991" s="3" t="s">
        <v>558</v>
      </c>
      <c r="G5991" s="3" t="s">
        <v>57</v>
      </c>
      <c r="H5991" s="2" t="s">
        <v>20</v>
      </c>
      <c r="I5991" s="2" t="s">
        <v>11698</v>
      </c>
      <c r="J5991" s="3" t="str">
        <f>HYPERLINK("https://www.boe.es/gazeta/dias/1822/10/02/pdfs/GMD-1822-288.pdf#page=4","Abrir facsímil")</f>
        <v>Abrir facsímil</v>
      </c>
      <c r="K5991" s="3" t="s">
        <v>22</v>
      </c>
    </row>
    <row r="5992" spans="1:11" ht="42" customHeight="1">
      <c r="A5992" s="2" t="s">
        <v>11699</v>
      </c>
      <c r="B5992" s="2" t="s">
        <v>11700</v>
      </c>
      <c r="C5992" s="2" t="s">
        <v>28</v>
      </c>
      <c r="D5992" s="2" t="s">
        <v>29</v>
      </c>
      <c r="E5992" s="5">
        <v>-28144</v>
      </c>
      <c r="F5992" s="3" t="s">
        <v>288</v>
      </c>
      <c r="G5992" s="3" t="s">
        <v>63</v>
      </c>
      <c r="H5992" s="2" t="s">
        <v>20</v>
      </c>
      <c r="I5992" s="2" t="s">
        <v>11701</v>
      </c>
      <c r="J5992" s="3" t="str">
        <f>HYPERLINK("https://www.boe.es/gazeta/dias/1822/12/10/pdfs/GMD-1822-360.pdf#page=6","Abrir facsímil")</f>
        <v>Abrir facsímil</v>
      </c>
      <c r="K5992" s="3" t="s">
        <v>22</v>
      </c>
    </row>
    <row r="5993" spans="1:11" ht="42" customHeight="1">
      <c r="A5993" s="2" t="s">
        <v>11702</v>
      </c>
      <c r="B5993" s="2" t="s">
        <v>11703</v>
      </c>
      <c r="C5993" s="2" t="s">
        <v>362</v>
      </c>
      <c r="D5993" s="2" t="s">
        <v>17</v>
      </c>
      <c r="E5993" s="5">
        <v>-28191</v>
      </c>
      <c r="F5993" s="3" t="s">
        <v>710</v>
      </c>
      <c r="G5993" s="3" t="s">
        <v>5038</v>
      </c>
      <c r="H5993" s="2" t="s">
        <v>20</v>
      </c>
      <c r="I5993" s="2" t="s">
        <v>11704</v>
      </c>
      <c r="J5993" s="3" t="str">
        <f>HYPERLINK("https://www.boe.es/gazeta/dias/1822/10/24/pdfs/GMD-1822-311.pdf#page=8","Abrir facsímil")</f>
        <v>Abrir facsímil</v>
      </c>
      <c r="K5993" s="3" t="s">
        <v>22</v>
      </c>
    </row>
    <row r="5994" spans="1:11" ht="42" customHeight="1">
      <c r="A5994" s="2" t="s">
        <v>11705</v>
      </c>
      <c r="B5994" s="2" t="s">
        <v>11706</v>
      </c>
      <c r="C5994" s="2" t="s">
        <v>42</v>
      </c>
      <c r="D5994" s="2" t="s">
        <v>17</v>
      </c>
      <c r="E5994" s="5">
        <v>-28178</v>
      </c>
      <c r="F5994" s="3" t="s">
        <v>318</v>
      </c>
      <c r="G5994" s="3" t="s">
        <v>63</v>
      </c>
      <c r="H5994" s="2" t="s">
        <v>20</v>
      </c>
      <c r="I5994" s="2" t="s">
        <v>11707</v>
      </c>
      <c r="J5994" s="3" t="str">
        <f>HYPERLINK("https://www.boe.es/gazeta/dias/1822/11/06/pdfs/GMD-1822-326.pdf#page=6","Abrir facsímil")</f>
        <v>Abrir facsímil</v>
      </c>
      <c r="K5994" s="3" t="s">
        <v>22</v>
      </c>
    </row>
    <row r="5995" spans="1:11" ht="42" customHeight="1">
      <c r="A5995" s="2" t="s">
        <v>11708</v>
      </c>
      <c r="B5995" s="2" t="s">
        <v>11708</v>
      </c>
      <c r="C5995" s="2" t="s">
        <v>42</v>
      </c>
      <c r="D5995" s="2" t="s">
        <v>17</v>
      </c>
      <c r="E5995" s="5">
        <v>-28468</v>
      </c>
      <c r="F5995" s="3" t="s">
        <v>1012</v>
      </c>
      <c r="G5995" s="3" t="s">
        <v>44</v>
      </c>
      <c r="H5995" s="2" t="s">
        <v>20</v>
      </c>
      <c r="I5995" s="2" t="s">
        <v>11709</v>
      </c>
      <c r="J5995" s="3" t="str">
        <f>HYPERLINK("https://www.boe.es/gazeta/dias/1822/01/20/pdfs/GMD-1822-20.pdf#page=1","Abrir facsímil")</f>
        <v>Abrir facsímil</v>
      </c>
      <c r="K5995" s="3" t="s">
        <v>22</v>
      </c>
    </row>
    <row r="5996" spans="1:11" ht="42" customHeight="1">
      <c r="A5996" s="2" t="s">
        <v>11710</v>
      </c>
      <c r="B5996" s="2" t="s">
        <v>11711</v>
      </c>
      <c r="C5996" s="2" t="s">
        <v>61</v>
      </c>
      <c r="D5996" s="2" t="s">
        <v>17</v>
      </c>
      <c r="E5996" s="5">
        <v>-28147</v>
      </c>
      <c r="F5996" s="3" t="s">
        <v>1611</v>
      </c>
      <c r="G5996" s="3" t="s">
        <v>63</v>
      </c>
      <c r="H5996" s="2" t="s">
        <v>20</v>
      </c>
      <c r="I5996" s="2" t="s">
        <v>11712</v>
      </c>
      <c r="J5996" s="3" t="str">
        <f>HYPERLINK("https://www.boe.es/gazeta/dias/1822/12/07/pdfs/GMD-1822-357.pdf#page=6","Abrir facsímil")</f>
        <v>Abrir facsímil</v>
      </c>
      <c r="K5996" s="3" t="s">
        <v>22</v>
      </c>
    </row>
    <row r="5997" spans="1:11" ht="42" customHeight="1">
      <c r="A5997" s="2" t="s">
        <v>11713</v>
      </c>
      <c r="B5997" s="2" t="s">
        <v>11714</v>
      </c>
      <c r="C5997" s="2" t="s">
        <v>50</v>
      </c>
      <c r="D5997" s="2" t="s">
        <v>51</v>
      </c>
      <c r="E5997" s="5">
        <v>-28468</v>
      </c>
      <c r="F5997" s="3" t="s">
        <v>1012</v>
      </c>
      <c r="G5997" s="3" t="s">
        <v>44</v>
      </c>
      <c r="H5997" s="2" t="s">
        <v>20</v>
      </c>
      <c r="I5997" s="2" t="s">
        <v>11715</v>
      </c>
      <c r="J5997" s="3" t="str">
        <f>HYPERLINK("https://www.boe.es/gazeta/dias/1822/01/20/pdfs/GMD-1822-20.pdf#page=1","Abrir facsímil")</f>
        <v>Abrir facsímil</v>
      </c>
      <c r="K5997" s="3" t="s">
        <v>22</v>
      </c>
    </row>
    <row r="5998" spans="1:11" ht="42" customHeight="1">
      <c r="A5998" s="2" t="s">
        <v>11716</v>
      </c>
      <c r="B5998" s="2" t="s">
        <v>11716</v>
      </c>
      <c r="C5998" s="2" t="s">
        <v>71</v>
      </c>
      <c r="D5998" s="2" t="s">
        <v>17</v>
      </c>
      <c r="E5998" s="5">
        <v>-28451</v>
      </c>
      <c r="F5998" s="3" t="s">
        <v>1674</v>
      </c>
      <c r="G5998" s="3" t="s">
        <v>19</v>
      </c>
      <c r="H5998" s="2" t="s">
        <v>20</v>
      </c>
      <c r="I5998" s="2" t="s">
        <v>11717</v>
      </c>
      <c r="J5998" s="3" t="str">
        <f>HYPERLINK("https://www.boe.es/gazeta/dias/1822/02/06/pdfs/GMD-1822-37.pdf#page=5","Abrir facsímil")</f>
        <v>Abrir facsímil</v>
      </c>
      <c r="K5998" s="3" t="s">
        <v>22</v>
      </c>
    </row>
    <row r="5999" spans="1:11" ht="42" customHeight="1">
      <c r="A5999" s="2" t="s">
        <v>11718</v>
      </c>
      <c r="B5999" s="2" t="s">
        <v>11719</v>
      </c>
      <c r="C5999" s="2" t="s">
        <v>50</v>
      </c>
      <c r="D5999" s="2" t="s">
        <v>51</v>
      </c>
      <c r="E5999" s="5">
        <v>-28162</v>
      </c>
      <c r="F5999" s="3" t="s">
        <v>3949</v>
      </c>
      <c r="G5999" s="3" t="s">
        <v>19</v>
      </c>
      <c r="H5999" s="2" t="s">
        <v>45</v>
      </c>
      <c r="I5999" s="2" t="s">
        <v>11720</v>
      </c>
      <c r="J5999" s="3" t="str">
        <f>HYPERLINK("https://www.boe.es/gazeta/dias/1822/11/22/pdfs/GMD-1822-342.pdf#page=5","Abrir facsímil")</f>
        <v>Abrir facsímil</v>
      </c>
      <c r="K5999" s="3" t="s">
        <v>47</v>
      </c>
    </row>
    <row r="6000" spans="1:11" ht="42" customHeight="1">
      <c r="A6000" s="2" t="s">
        <v>11721</v>
      </c>
      <c r="B6000" s="2" t="s">
        <v>11721</v>
      </c>
      <c r="C6000" s="2" t="s">
        <v>28</v>
      </c>
      <c r="D6000" s="2" t="s">
        <v>29</v>
      </c>
      <c r="E6000" s="5">
        <v>-28477</v>
      </c>
      <c r="F6000" s="3" t="s">
        <v>1668</v>
      </c>
      <c r="G6000" s="3" t="s">
        <v>57</v>
      </c>
      <c r="H6000" s="2" t="s">
        <v>20</v>
      </c>
      <c r="I6000" s="2" t="s">
        <v>11722</v>
      </c>
      <c r="J6000" s="3" t="str">
        <f>HYPERLINK("https://www.boe.es/gazeta/dias/1822/01/11/pdfs/GMD-1822-11.pdf#page=4","Abrir facsímil")</f>
        <v>Abrir facsímil</v>
      </c>
      <c r="K6000" s="3" t="s">
        <v>22</v>
      </c>
    </row>
    <row r="6001" spans="1:11" ht="42" customHeight="1">
      <c r="A6001" s="2" t="s">
        <v>11721</v>
      </c>
      <c r="B6001" s="2" t="s">
        <v>11721</v>
      </c>
      <c r="C6001" s="2" t="s">
        <v>71</v>
      </c>
      <c r="D6001" s="2" t="s">
        <v>17</v>
      </c>
      <c r="E6001" s="5">
        <v>-28468</v>
      </c>
      <c r="F6001" s="3" t="s">
        <v>1012</v>
      </c>
      <c r="G6001" s="3" t="s">
        <v>31</v>
      </c>
      <c r="H6001" s="2" t="s">
        <v>20</v>
      </c>
      <c r="I6001" s="2" t="s">
        <v>11723</v>
      </c>
      <c r="J6001" s="3" t="str">
        <f>HYPERLINK("https://www.boe.es/gazeta/dias/1822/01/20/pdfs/GMD-1822-20.pdf#page=3","Abrir facsímil")</f>
        <v>Abrir facsímil</v>
      </c>
      <c r="K6001" s="3" t="s">
        <v>22</v>
      </c>
    </row>
    <row r="6002" spans="1:11" ht="42" customHeight="1">
      <c r="A6002" s="2" t="s">
        <v>11721</v>
      </c>
      <c r="B6002" s="2" t="s">
        <v>11721</v>
      </c>
      <c r="C6002" s="2" t="s">
        <v>28</v>
      </c>
      <c r="D6002" s="2" t="s">
        <v>29</v>
      </c>
      <c r="E6002" s="5">
        <v>-28468</v>
      </c>
      <c r="F6002" s="3" t="s">
        <v>1012</v>
      </c>
      <c r="G6002" s="3" t="s">
        <v>57</v>
      </c>
      <c r="H6002" s="2" t="s">
        <v>20</v>
      </c>
      <c r="I6002" s="2" t="s">
        <v>11724</v>
      </c>
      <c r="J6002" s="3" t="str">
        <f>HYPERLINK("https://www.boe.es/gazeta/dias/1822/01/20/pdfs/GMD-1822-20.pdf#page=4","Abrir facsímil")</f>
        <v>Abrir facsímil</v>
      </c>
      <c r="K6002" s="3" t="s">
        <v>22</v>
      </c>
    </row>
    <row r="6003" spans="1:11" ht="42" customHeight="1">
      <c r="A6003" s="2" t="s">
        <v>11721</v>
      </c>
      <c r="B6003" s="2" t="s">
        <v>11721</v>
      </c>
      <c r="C6003" s="2" t="s">
        <v>71</v>
      </c>
      <c r="D6003" s="2" t="s">
        <v>17</v>
      </c>
      <c r="E6003" s="5">
        <v>-28458</v>
      </c>
      <c r="F6003" s="3" t="s">
        <v>1151</v>
      </c>
      <c r="G6003" s="3" t="s">
        <v>44</v>
      </c>
      <c r="H6003" s="2" t="s">
        <v>20</v>
      </c>
      <c r="I6003" s="2" t="s">
        <v>11725</v>
      </c>
      <c r="J6003" s="3" t="str">
        <f>HYPERLINK("https://www.boe.es/gazeta/dias/1822/01/30/pdfs/GMD-1822-30.pdf#page=1","Abrir facsímil")</f>
        <v>Abrir facsímil</v>
      </c>
      <c r="K6003" s="3" t="s">
        <v>22</v>
      </c>
    </row>
    <row r="6004" spans="1:11" ht="42" customHeight="1">
      <c r="A6004" s="2" t="s">
        <v>11721</v>
      </c>
      <c r="B6004" s="2" t="s">
        <v>11721</v>
      </c>
      <c r="C6004" s="2" t="s">
        <v>42</v>
      </c>
      <c r="D6004" s="2" t="s">
        <v>17</v>
      </c>
      <c r="E6004" s="5">
        <v>-28456</v>
      </c>
      <c r="F6004" s="3" t="s">
        <v>1104</v>
      </c>
      <c r="G6004" s="3" t="s">
        <v>31</v>
      </c>
      <c r="H6004" s="2" t="s">
        <v>20</v>
      </c>
      <c r="I6004" s="2" t="s">
        <v>11726</v>
      </c>
      <c r="J6004" s="3" t="str">
        <f>HYPERLINK("https://www.boe.es/gazeta/dias/1822/02/01/pdfs/GMD-1822-32.pdf#page=3","Abrir facsímil")</f>
        <v>Abrir facsímil</v>
      </c>
      <c r="K6004" s="3" t="s">
        <v>22</v>
      </c>
    </row>
    <row r="6005" spans="1:11" ht="42" customHeight="1">
      <c r="A6005" s="2" t="s">
        <v>11721</v>
      </c>
      <c r="B6005" s="2" t="s">
        <v>11721</v>
      </c>
      <c r="C6005" s="2" t="s">
        <v>42</v>
      </c>
      <c r="D6005" s="2" t="s">
        <v>17</v>
      </c>
      <c r="E6005" s="5">
        <v>-28454</v>
      </c>
      <c r="F6005" s="3" t="s">
        <v>2033</v>
      </c>
      <c r="G6005" s="3" t="s">
        <v>63</v>
      </c>
      <c r="H6005" s="2" t="s">
        <v>20</v>
      </c>
      <c r="I6005" s="2" t="s">
        <v>11727</v>
      </c>
      <c r="J6005" s="3" t="str">
        <f>HYPERLINK("https://www.boe.es/gazeta/dias/1822/02/03/pdfs/GMD-1822-34.pdf#page=6","Abrir facsímil")</f>
        <v>Abrir facsímil</v>
      </c>
      <c r="K6005" s="3" t="s">
        <v>22</v>
      </c>
    </row>
    <row r="6006" spans="1:11" ht="42" customHeight="1">
      <c r="A6006" s="2" t="s">
        <v>11721</v>
      </c>
      <c r="B6006" s="2" t="s">
        <v>11721</v>
      </c>
      <c r="C6006" s="2" t="s">
        <v>71</v>
      </c>
      <c r="D6006" s="2" t="s">
        <v>17</v>
      </c>
      <c r="E6006" s="5">
        <v>-28453</v>
      </c>
      <c r="F6006" s="3" t="s">
        <v>2039</v>
      </c>
      <c r="G6006" s="3" t="s">
        <v>35</v>
      </c>
      <c r="H6006" s="2" t="s">
        <v>20</v>
      </c>
      <c r="I6006" s="2" t="s">
        <v>11728</v>
      </c>
      <c r="J6006" s="3" t="str">
        <f>HYPERLINK("https://www.boe.es/gazeta/dias/1822/02/04/pdfs/GMD-1822-35.pdf#page=2","Abrir facsímil")</f>
        <v>Abrir facsímil</v>
      </c>
      <c r="K6006" s="3" t="s">
        <v>22</v>
      </c>
    </row>
    <row r="6007" spans="1:11" ht="42" customHeight="1">
      <c r="A6007" s="2" t="s">
        <v>11721</v>
      </c>
      <c r="B6007" s="2" t="s">
        <v>11721</v>
      </c>
      <c r="C6007" s="2" t="s">
        <v>16</v>
      </c>
      <c r="D6007" s="2" t="s">
        <v>17</v>
      </c>
      <c r="E6007" s="5">
        <v>-28453</v>
      </c>
      <c r="F6007" s="3" t="s">
        <v>2039</v>
      </c>
      <c r="G6007" s="3" t="s">
        <v>31</v>
      </c>
      <c r="H6007" s="2" t="s">
        <v>20</v>
      </c>
      <c r="I6007" s="2" t="s">
        <v>11729</v>
      </c>
      <c r="J6007" s="3" t="str">
        <f>HYPERLINK("https://www.boe.es/gazeta/dias/1822/02/04/pdfs/GMD-1822-35.pdf#page=3","Abrir facsímil")</f>
        <v>Abrir facsímil</v>
      </c>
      <c r="K6007" s="3" t="s">
        <v>22</v>
      </c>
    </row>
    <row r="6008" spans="1:11" ht="42" customHeight="1">
      <c r="A6008" s="2" t="s">
        <v>11721</v>
      </c>
      <c r="B6008" s="2" t="s">
        <v>11721</v>
      </c>
      <c r="C6008" s="2" t="s">
        <v>28</v>
      </c>
      <c r="D6008" s="2" t="s">
        <v>29</v>
      </c>
      <c r="E6008" s="5">
        <v>-28452</v>
      </c>
      <c r="F6008" s="3" t="s">
        <v>7772</v>
      </c>
      <c r="G6008" s="3" t="s">
        <v>35</v>
      </c>
      <c r="H6008" s="2" t="s">
        <v>20</v>
      </c>
      <c r="I6008" s="2" t="s">
        <v>11730</v>
      </c>
      <c r="J6008" s="3" t="str">
        <f>HYPERLINK("https://www.boe.es/gazeta/dias/1822/02/05/pdfs/GMD-1822-36.pdf#page=2","Abrir facsímil")</f>
        <v>Abrir facsímil</v>
      </c>
      <c r="K6008" s="3" t="s">
        <v>22</v>
      </c>
    </row>
    <row r="6009" spans="1:11" ht="42" customHeight="1">
      <c r="A6009" s="2" t="s">
        <v>11721</v>
      </c>
      <c r="B6009" s="2" t="s">
        <v>11721</v>
      </c>
      <c r="C6009" s="2" t="s">
        <v>42</v>
      </c>
      <c r="D6009" s="2" t="s">
        <v>17</v>
      </c>
      <c r="E6009" s="5">
        <v>-28452</v>
      </c>
      <c r="F6009" s="3" t="s">
        <v>7772</v>
      </c>
      <c r="G6009" s="3" t="s">
        <v>31</v>
      </c>
      <c r="H6009" s="2" t="s">
        <v>20</v>
      </c>
      <c r="I6009" s="2" t="s">
        <v>11731</v>
      </c>
      <c r="J6009" s="3" t="str">
        <f>HYPERLINK("https://www.boe.es/gazeta/dias/1822/02/05/pdfs/GMD-1822-36.pdf#page=3","Abrir facsímil")</f>
        <v>Abrir facsímil</v>
      </c>
      <c r="K6009" s="3" t="s">
        <v>22</v>
      </c>
    </row>
    <row r="6010" spans="1:11" ht="42" customHeight="1">
      <c r="A6010" s="2" t="s">
        <v>11721</v>
      </c>
      <c r="B6010" s="2" t="s">
        <v>11721</v>
      </c>
      <c r="C6010" s="2" t="s">
        <v>28</v>
      </c>
      <c r="D6010" s="2" t="s">
        <v>29</v>
      </c>
      <c r="E6010" s="5">
        <v>-28451</v>
      </c>
      <c r="F6010" s="3" t="s">
        <v>1674</v>
      </c>
      <c r="G6010" s="3" t="s">
        <v>57</v>
      </c>
      <c r="H6010" s="2" t="s">
        <v>20</v>
      </c>
      <c r="I6010" s="2" t="s">
        <v>11732</v>
      </c>
      <c r="J6010" s="3" t="str">
        <f>HYPERLINK("https://www.boe.es/gazeta/dias/1822/02/06/pdfs/GMD-1822-37.pdf#page=4","Abrir facsímil")</f>
        <v>Abrir facsímil</v>
      </c>
      <c r="K6010" s="3" t="s">
        <v>22</v>
      </c>
    </row>
    <row r="6011" spans="1:11" ht="42" customHeight="1">
      <c r="A6011" s="2" t="s">
        <v>11721</v>
      </c>
      <c r="B6011" s="2" t="s">
        <v>11721</v>
      </c>
      <c r="C6011" s="2" t="s">
        <v>71</v>
      </c>
      <c r="D6011" s="2" t="s">
        <v>17</v>
      </c>
      <c r="E6011" s="5">
        <v>-28447</v>
      </c>
      <c r="F6011" s="3" t="s">
        <v>997</v>
      </c>
      <c r="G6011" s="3" t="s">
        <v>35</v>
      </c>
      <c r="H6011" s="2" t="s">
        <v>20</v>
      </c>
      <c r="I6011" s="2" t="s">
        <v>11733</v>
      </c>
      <c r="J6011" s="3" t="str">
        <f>HYPERLINK("https://www.boe.es/gazeta/dias/1822/02/10/pdfs/GMD-1822-41.pdf#page=2","Abrir facsímil")</f>
        <v>Abrir facsímil</v>
      </c>
      <c r="K6011" s="3" t="s">
        <v>22</v>
      </c>
    </row>
    <row r="6012" spans="1:11" ht="42" customHeight="1">
      <c r="A6012" s="2" t="s">
        <v>11721</v>
      </c>
      <c r="B6012" s="2" t="s">
        <v>11721</v>
      </c>
      <c r="C6012" s="2" t="s">
        <v>28</v>
      </c>
      <c r="D6012" s="2" t="s">
        <v>29</v>
      </c>
      <c r="E6012" s="5">
        <v>-28445</v>
      </c>
      <c r="F6012" s="3" t="s">
        <v>1622</v>
      </c>
      <c r="G6012" s="3" t="s">
        <v>44</v>
      </c>
      <c r="H6012" s="2" t="s">
        <v>20</v>
      </c>
      <c r="I6012" s="2" t="s">
        <v>11734</v>
      </c>
      <c r="J6012" s="3" t="str">
        <f>HYPERLINK("https://www.boe.es/gazeta/dias/1822/02/12/pdfs/GMD-1822-43.pdf#page=1","Abrir facsímil")</f>
        <v>Abrir facsímil</v>
      </c>
      <c r="K6012" s="3" t="s">
        <v>22</v>
      </c>
    </row>
    <row r="6013" spans="1:11" ht="42" customHeight="1">
      <c r="A6013" s="2" t="s">
        <v>11735</v>
      </c>
      <c r="B6013" s="2" t="s">
        <v>11736</v>
      </c>
      <c r="C6013" s="2" t="s">
        <v>50</v>
      </c>
      <c r="D6013" s="2" t="s">
        <v>51</v>
      </c>
      <c r="E6013" s="5">
        <v>-28188</v>
      </c>
      <c r="F6013" s="3" t="s">
        <v>578</v>
      </c>
      <c r="G6013" s="3" t="s">
        <v>157</v>
      </c>
      <c r="H6013" s="2" t="s">
        <v>20</v>
      </c>
      <c r="I6013" s="2" t="s">
        <v>11737</v>
      </c>
      <c r="J6013" s="3" t="str">
        <f>HYPERLINK("https://www.boe.es/gazeta/dias/1822/10/27/pdfs/GMD-1822-314.pdf#page=8","Abrir facsímil")</f>
        <v>Abrir facsímil</v>
      </c>
      <c r="K6013" s="3" t="s">
        <v>22</v>
      </c>
    </row>
    <row r="6014" spans="1:11" ht="42" customHeight="1">
      <c r="A6014" s="2" t="s">
        <v>11735</v>
      </c>
      <c r="B6014" s="2" t="s">
        <v>11736</v>
      </c>
      <c r="C6014" s="2" t="s">
        <v>50</v>
      </c>
      <c r="D6014" s="2" t="s">
        <v>51</v>
      </c>
      <c r="E6014" s="5">
        <v>-28179</v>
      </c>
      <c r="F6014" s="3" t="s">
        <v>935</v>
      </c>
      <c r="G6014" s="3" t="s">
        <v>19</v>
      </c>
      <c r="H6014" s="2" t="s">
        <v>20</v>
      </c>
      <c r="I6014" s="2" t="s">
        <v>11738</v>
      </c>
      <c r="J6014" s="3" t="str">
        <f>HYPERLINK("https://www.boe.es/gazeta/dias/1822/11/05/pdfs/GMD-1822-325.pdf#page=5","Abrir facsímil")</f>
        <v>Abrir facsímil</v>
      </c>
      <c r="K6014" s="3" t="s">
        <v>22</v>
      </c>
    </row>
    <row r="6015" spans="1:11" ht="42" customHeight="1">
      <c r="A6015" s="2" t="s">
        <v>11739</v>
      </c>
      <c r="B6015" s="2" t="s">
        <v>11740</v>
      </c>
      <c r="C6015" s="2" t="s">
        <v>50</v>
      </c>
      <c r="D6015" s="2" t="s">
        <v>51</v>
      </c>
      <c r="E6015" s="5">
        <v>-28244</v>
      </c>
      <c r="F6015" s="3" t="s">
        <v>6163</v>
      </c>
      <c r="G6015" s="3" t="s">
        <v>57</v>
      </c>
      <c r="H6015" s="2" t="s">
        <v>20</v>
      </c>
      <c r="I6015" s="2" t="s">
        <v>11741</v>
      </c>
      <c r="J6015" s="3" t="str">
        <f>HYPERLINK("https://www.boe.es/gazeta/dias/1822/09/01/pdfs/GMD-1822-256.pdf#page=4","Abrir facsímil")</f>
        <v>Abrir facsímil</v>
      </c>
      <c r="K6015" s="3" t="s">
        <v>22</v>
      </c>
    </row>
    <row r="6016" spans="1:11" ht="42" customHeight="1">
      <c r="A6016" s="2" t="s">
        <v>11742</v>
      </c>
      <c r="B6016" s="2" t="s">
        <v>11743</v>
      </c>
      <c r="C6016" s="2" t="s">
        <v>42</v>
      </c>
      <c r="D6016" s="2" t="s">
        <v>17</v>
      </c>
      <c r="E6016" s="5">
        <v>-28428</v>
      </c>
      <c r="F6016" s="3" t="s">
        <v>1924</v>
      </c>
      <c r="G6016" s="3" t="s">
        <v>57</v>
      </c>
      <c r="H6016" s="2" t="s">
        <v>20</v>
      </c>
      <c r="I6016" s="2" t="s">
        <v>11744</v>
      </c>
      <c r="J6016" s="3" t="str">
        <f>HYPERLINK("https://www.boe.es/gazeta/dias/1822/03/01/pdfs/GMD-1822-61.pdf#page=4","Abrir facsímil")</f>
        <v>Abrir facsímil</v>
      </c>
      <c r="K6016" s="3" t="s">
        <v>22</v>
      </c>
    </row>
    <row r="6017" spans="1:11" ht="42" customHeight="1">
      <c r="A6017" s="2" t="s">
        <v>11745</v>
      </c>
      <c r="B6017" s="2" t="s">
        <v>11746</v>
      </c>
      <c r="C6017" s="2" t="s">
        <v>71</v>
      </c>
      <c r="D6017" s="2" t="s">
        <v>17</v>
      </c>
      <c r="E6017" s="5">
        <v>-28392</v>
      </c>
      <c r="F6017" s="3" t="s">
        <v>2003</v>
      </c>
      <c r="G6017" s="3" t="s">
        <v>57</v>
      </c>
      <c r="H6017" s="2" t="s">
        <v>20</v>
      </c>
      <c r="I6017" s="2" t="s">
        <v>11747</v>
      </c>
      <c r="J6017" s="3" t="str">
        <f>HYPERLINK("https://www.boe.es/gazeta/dias/1822/04/06/pdfs/GMD-1822-98.pdf#page=4","Abrir facsímil")</f>
        <v>Abrir facsímil</v>
      </c>
      <c r="K6017" s="3" t="s">
        <v>22</v>
      </c>
    </row>
    <row r="6018" spans="1:11" ht="42" customHeight="1">
      <c r="A6018" s="2" t="s">
        <v>11748</v>
      </c>
      <c r="B6018" s="2" t="s">
        <v>11749</v>
      </c>
      <c r="C6018" s="2" t="s">
        <v>28</v>
      </c>
      <c r="D6018" s="2" t="s">
        <v>29</v>
      </c>
      <c r="E6018" s="5">
        <v>-28269</v>
      </c>
      <c r="F6018" s="3" t="s">
        <v>5517</v>
      </c>
      <c r="G6018" s="3" t="s">
        <v>57</v>
      </c>
      <c r="H6018" s="2" t="s">
        <v>20</v>
      </c>
      <c r="I6018" s="2" t="s">
        <v>11750</v>
      </c>
      <c r="J6018" s="3" t="str">
        <f>HYPERLINK("https://www.boe.es/gazeta/dias/1822/08/07/pdfs/GMD-1822-231.pdf#page=4","Abrir facsímil")</f>
        <v>Abrir facsímil</v>
      </c>
      <c r="K6018" s="3" t="s">
        <v>22</v>
      </c>
    </row>
    <row r="6019" spans="1:11" ht="42" customHeight="1">
      <c r="A6019" s="2" t="s">
        <v>11751</v>
      </c>
      <c r="B6019" s="2" t="s">
        <v>11751</v>
      </c>
      <c r="C6019" s="2" t="s">
        <v>50</v>
      </c>
      <c r="D6019" s="2" t="s">
        <v>51</v>
      </c>
      <c r="E6019" s="5">
        <v>-28158</v>
      </c>
      <c r="F6019" s="3" t="s">
        <v>590</v>
      </c>
      <c r="G6019" s="3" t="s">
        <v>63</v>
      </c>
      <c r="H6019" s="2" t="s">
        <v>20</v>
      </c>
      <c r="I6019" s="2" t="s">
        <v>11752</v>
      </c>
      <c r="J6019" s="3" t="str">
        <f>HYPERLINK("https://www.boe.es/gazeta/dias/1822/11/26/pdfs/GMD-1822-346.pdf#page=6","Abrir facsímil")</f>
        <v>Abrir facsímil</v>
      </c>
      <c r="K6019" s="3" t="s">
        <v>22</v>
      </c>
    </row>
    <row r="6020" spans="1:11" ht="42" customHeight="1">
      <c r="A6020" s="2" t="s">
        <v>11753</v>
      </c>
      <c r="B6020" s="2" t="s">
        <v>11754</v>
      </c>
      <c r="C6020" s="2" t="s">
        <v>50</v>
      </c>
      <c r="D6020" s="2" t="s">
        <v>51</v>
      </c>
      <c r="E6020" s="5">
        <v>-28230</v>
      </c>
      <c r="F6020" s="3" t="s">
        <v>1735</v>
      </c>
      <c r="G6020" s="3" t="s">
        <v>31</v>
      </c>
      <c r="H6020" s="2" t="s">
        <v>20</v>
      </c>
      <c r="I6020" s="2" t="s">
        <v>11755</v>
      </c>
      <c r="J6020" s="3" t="str">
        <f>HYPERLINK("https://www.boe.es/gazeta/dias/1822/09/15/pdfs/GMD-1822-271.pdf#page=3","Abrir facsímil")</f>
        <v>Abrir facsímil</v>
      </c>
      <c r="K6020" s="3" t="s">
        <v>22</v>
      </c>
    </row>
    <row r="6021" spans="1:11" ht="42" customHeight="1">
      <c r="A6021" s="2" t="s">
        <v>11756</v>
      </c>
      <c r="B6021" s="2" t="s">
        <v>11757</v>
      </c>
      <c r="C6021" s="2" t="s">
        <v>24</v>
      </c>
      <c r="D6021" s="2" t="s">
        <v>17</v>
      </c>
      <c r="E6021" s="5">
        <v>-28200</v>
      </c>
      <c r="F6021" s="3" t="s">
        <v>1037</v>
      </c>
      <c r="G6021" s="3" t="s">
        <v>63</v>
      </c>
      <c r="H6021" s="2" t="s">
        <v>20</v>
      </c>
      <c r="I6021" s="2" t="s">
        <v>11758</v>
      </c>
      <c r="J6021" s="3" t="str">
        <f>HYPERLINK("https://www.boe.es/gazeta/dias/1822/10/15/pdfs/GMD-1822-302.pdf#page=6","Abrir facsímil")</f>
        <v>Abrir facsímil</v>
      </c>
      <c r="K6021" s="3" t="s">
        <v>22</v>
      </c>
    </row>
    <row r="6022" spans="1:11" ht="42" customHeight="1">
      <c r="A6022" s="2" t="s">
        <v>11759</v>
      </c>
      <c r="B6022" s="2" t="s">
        <v>11759</v>
      </c>
      <c r="C6022" s="2" t="s">
        <v>42</v>
      </c>
      <c r="D6022" s="2" t="s">
        <v>17</v>
      </c>
      <c r="E6022" s="5">
        <v>-28342</v>
      </c>
      <c r="F6022" s="3" t="s">
        <v>2281</v>
      </c>
      <c r="G6022" s="3" t="s">
        <v>35</v>
      </c>
      <c r="H6022" s="2" t="s">
        <v>20</v>
      </c>
      <c r="I6022" s="2" t="s">
        <v>11760</v>
      </c>
      <c r="J6022" s="3" t="str">
        <f>HYPERLINK("https://www.boe.es/gazeta/dias/1822/05/26/pdfs/GMD-1822-151.pdf#page=2","Abrir facsímil")</f>
        <v>Abrir facsímil</v>
      </c>
      <c r="K6022" s="3" t="s">
        <v>22</v>
      </c>
    </row>
    <row r="6023" spans="1:11" ht="42" customHeight="1">
      <c r="A6023" s="2" t="s">
        <v>11759</v>
      </c>
      <c r="B6023" s="2" t="s">
        <v>11759</v>
      </c>
      <c r="C6023" s="2" t="s">
        <v>50</v>
      </c>
      <c r="D6023" s="2" t="s">
        <v>51</v>
      </c>
      <c r="E6023" s="5">
        <v>-28310</v>
      </c>
      <c r="F6023" s="3" t="s">
        <v>241</v>
      </c>
      <c r="G6023" s="3" t="s">
        <v>63</v>
      </c>
      <c r="H6023" s="2" t="s">
        <v>20</v>
      </c>
      <c r="I6023" s="2" t="s">
        <v>11761</v>
      </c>
      <c r="J6023" s="3" t="str">
        <f>HYPERLINK("https://www.boe.es/gazeta/dias/1822/06/27/pdfs/GMD-1822-185.pdf#page=6","Abrir facsímil")</f>
        <v>Abrir facsímil</v>
      </c>
      <c r="K6023" s="3" t="s">
        <v>22</v>
      </c>
    </row>
    <row r="6024" spans="1:11" ht="42" customHeight="1">
      <c r="A6024" s="2" t="s">
        <v>11762</v>
      </c>
      <c r="B6024" s="2" t="s">
        <v>11763</v>
      </c>
      <c r="C6024" s="2" t="s">
        <v>50</v>
      </c>
      <c r="D6024" s="2" t="s">
        <v>51</v>
      </c>
      <c r="E6024" s="5">
        <v>-28218</v>
      </c>
      <c r="F6024" s="3" t="s">
        <v>405</v>
      </c>
      <c r="G6024" s="3" t="s">
        <v>44</v>
      </c>
      <c r="H6024" s="2" t="s">
        <v>20</v>
      </c>
      <c r="I6024" s="2" t="s">
        <v>11764</v>
      </c>
      <c r="J6024" s="3" t="str">
        <f>HYPERLINK("https://www.boe.es/gazeta/dias/1822/09/27/pdfs/GMD-1822-283.pdf#page=1","Abrir facsímil")</f>
        <v>Abrir facsímil</v>
      </c>
      <c r="K6024" s="3" t="s">
        <v>22</v>
      </c>
    </row>
    <row r="6025" spans="1:11" ht="42" customHeight="1">
      <c r="A6025" s="2" t="s">
        <v>11765</v>
      </c>
      <c r="B6025" s="2" t="s">
        <v>11766</v>
      </c>
      <c r="C6025" s="2" t="s">
        <v>50</v>
      </c>
      <c r="D6025" s="2" t="s">
        <v>51</v>
      </c>
      <c r="E6025" s="5">
        <v>-28124</v>
      </c>
      <c r="F6025" s="3" t="s">
        <v>301</v>
      </c>
      <c r="G6025" s="3" t="s">
        <v>63</v>
      </c>
      <c r="H6025" s="2" t="s">
        <v>20</v>
      </c>
      <c r="I6025" s="2" t="s">
        <v>11767</v>
      </c>
      <c r="J6025" s="3" t="str">
        <f>HYPERLINK("https://www.boe.es/gazeta/dias/1822/12/30/pdfs/GMD-1822-380.pdf#page=6","Abrir facsímil")</f>
        <v>Abrir facsímil</v>
      </c>
      <c r="K6025" s="3" t="s">
        <v>22</v>
      </c>
    </row>
    <row r="6026" spans="1:11" ht="42" customHeight="1">
      <c r="A6026" s="2" t="s">
        <v>11768</v>
      </c>
      <c r="B6026" s="2" t="s">
        <v>11768</v>
      </c>
      <c r="C6026" s="2" t="s">
        <v>50</v>
      </c>
      <c r="D6026" s="2" t="s">
        <v>51</v>
      </c>
      <c r="E6026" s="5">
        <v>-28262</v>
      </c>
      <c r="F6026" s="3" t="s">
        <v>1771</v>
      </c>
      <c r="G6026" s="3" t="s">
        <v>35</v>
      </c>
      <c r="H6026" s="2" t="s">
        <v>20</v>
      </c>
      <c r="I6026" s="2" t="s">
        <v>11769</v>
      </c>
      <c r="J6026" s="3" t="str">
        <f>HYPERLINK("https://www.boe.es/gazeta/dias/1822/08/14/pdfs/GMD-1822-238.pdf#page=2","Abrir facsímil")</f>
        <v>Abrir facsímil</v>
      </c>
      <c r="K6026" s="3" t="s">
        <v>22</v>
      </c>
    </row>
    <row r="6027" spans="1:11" ht="42" customHeight="1">
      <c r="A6027" s="2" t="s">
        <v>11770</v>
      </c>
      <c r="B6027" s="2" t="s">
        <v>11771</v>
      </c>
      <c r="C6027" s="2" t="s">
        <v>50</v>
      </c>
      <c r="D6027" s="2" t="s">
        <v>51</v>
      </c>
      <c r="E6027" s="5">
        <v>-28262</v>
      </c>
      <c r="F6027" s="3" t="s">
        <v>1771</v>
      </c>
      <c r="G6027" s="3" t="s">
        <v>35</v>
      </c>
      <c r="H6027" s="2" t="s">
        <v>20</v>
      </c>
      <c r="I6027" s="2" t="s">
        <v>11772</v>
      </c>
      <c r="J6027" s="3" t="str">
        <f>HYPERLINK("https://www.boe.es/gazeta/dias/1822/08/14/pdfs/GMD-1822-238.pdf#page=2","Abrir facsímil")</f>
        <v>Abrir facsímil</v>
      </c>
      <c r="K6027" s="3" t="s">
        <v>22</v>
      </c>
    </row>
    <row r="6028" spans="1:11" ht="42" customHeight="1">
      <c r="A6028" s="2" t="s">
        <v>11773</v>
      </c>
      <c r="B6028" s="2" t="s">
        <v>11773</v>
      </c>
      <c r="C6028" s="2" t="s">
        <v>28</v>
      </c>
      <c r="D6028" s="2" t="s">
        <v>29</v>
      </c>
      <c r="E6028" s="5">
        <v>-28453</v>
      </c>
      <c r="F6028" s="3" t="s">
        <v>2039</v>
      </c>
      <c r="G6028" s="3" t="s">
        <v>35</v>
      </c>
      <c r="H6028" s="2" t="s">
        <v>20</v>
      </c>
      <c r="I6028" s="2" t="s">
        <v>11774</v>
      </c>
      <c r="J6028" s="3" t="str">
        <f>HYPERLINK("https://www.boe.es/gazeta/dias/1822/02/04/pdfs/GMD-1822-35.pdf#page=2","Abrir facsímil")</f>
        <v>Abrir facsímil</v>
      </c>
      <c r="K6028" s="3" t="s">
        <v>22</v>
      </c>
    </row>
    <row r="6029" spans="1:11" ht="42" customHeight="1">
      <c r="A6029" s="2" t="s">
        <v>11775</v>
      </c>
      <c r="B6029" s="2" t="s">
        <v>11776</v>
      </c>
      <c r="C6029" s="2" t="s">
        <v>42</v>
      </c>
      <c r="D6029" s="2" t="s">
        <v>17</v>
      </c>
      <c r="E6029" s="5">
        <v>-28285</v>
      </c>
      <c r="F6029" s="3" t="s">
        <v>4539</v>
      </c>
      <c r="G6029" s="3" t="s">
        <v>57</v>
      </c>
      <c r="H6029" s="2" t="s">
        <v>20</v>
      </c>
      <c r="I6029" s="2" t="s">
        <v>11777</v>
      </c>
      <c r="J6029" s="3" t="str">
        <f>HYPERLINK("https://www.boe.es/gazeta/dias/1822/07/22/pdfs/GMD-1822-215.pdf#page=4","Abrir facsímil")</f>
        <v>Abrir facsímil</v>
      </c>
      <c r="K6029" s="3" t="s">
        <v>22</v>
      </c>
    </row>
    <row r="6030" spans="1:11" ht="42" customHeight="1">
      <c r="A6030" s="2" t="s">
        <v>11778</v>
      </c>
      <c r="B6030" s="2" t="s">
        <v>11778</v>
      </c>
      <c r="C6030" s="2" t="s">
        <v>50</v>
      </c>
      <c r="D6030" s="2" t="s">
        <v>51</v>
      </c>
      <c r="E6030" s="5">
        <v>-28344</v>
      </c>
      <c r="F6030" s="3" t="s">
        <v>524</v>
      </c>
      <c r="G6030" s="3" t="s">
        <v>44</v>
      </c>
      <c r="H6030" s="2" t="s">
        <v>20</v>
      </c>
      <c r="I6030" s="2" t="s">
        <v>11779</v>
      </c>
      <c r="J6030" s="3" t="str">
        <f>HYPERLINK("https://www.boe.es/gazeta/dias/1822/05/24/pdfs/GMD-1822-148.pdf#page=1","Abrir facsímil")</f>
        <v>Abrir facsímil</v>
      </c>
      <c r="K6030" s="3" t="s">
        <v>22</v>
      </c>
    </row>
    <row r="6031" spans="1:11" ht="42" customHeight="1">
      <c r="A6031" s="2" t="s">
        <v>11780</v>
      </c>
      <c r="B6031" s="2" t="s">
        <v>11780</v>
      </c>
      <c r="C6031" s="2" t="s">
        <v>28</v>
      </c>
      <c r="D6031" s="2" t="s">
        <v>29</v>
      </c>
      <c r="E6031" s="5">
        <v>-28415</v>
      </c>
      <c r="F6031" s="3" t="s">
        <v>77</v>
      </c>
      <c r="G6031" s="3" t="s">
        <v>19</v>
      </c>
      <c r="H6031" s="2" t="s">
        <v>20</v>
      </c>
      <c r="I6031" s="2" t="s">
        <v>11781</v>
      </c>
      <c r="J6031" s="3" t="str">
        <f>HYPERLINK("https://www.boe.es/gazeta/dias/1822/03/14/pdfs/GMD-1822-75.pdf#page=5","Abrir facsímil")</f>
        <v>Abrir facsímil</v>
      </c>
      <c r="K6031" s="3" t="s">
        <v>22</v>
      </c>
    </row>
    <row r="6032" spans="1:11" ht="42" customHeight="1">
      <c r="A6032" s="2" t="s">
        <v>11780</v>
      </c>
      <c r="B6032" s="2" t="s">
        <v>11780</v>
      </c>
      <c r="C6032" s="2" t="s">
        <v>50</v>
      </c>
      <c r="D6032" s="2" t="s">
        <v>51</v>
      </c>
      <c r="E6032" s="5">
        <v>-28337</v>
      </c>
      <c r="F6032" s="3" t="s">
        <v>1836</v>
      </c>
      <c r="G6032" s="3" t="s">
        <v>44</v>
      </c>
      <c r="H6032" s="2" t="s">
        <v>20</v>
      </c>
      <c r="I6032" s="2" t="s">
        <v>11782</v>
      </c>
      <c r="J6032" s="3" t="str">
        <f>HYPERLINK("https://www.boe.es/gazeta/dias/1822/05/31/pdfs/GMD-1822-156.pdf#page=1","Abrir facsímil")</f>
        <v>Abrir facsímil</v>
      </c>
      <c r="K6032" s="3" t="s">
        <v>22</v>
      </c>
    </row>
    <row r="6033" spans="1:11" ht="42" customHeight="1">
      <c r="A6033" s="2" t="s">
        <v>11780</v>
      </c>
      <c r="B6033" s="2" t="s">
        <v>11780</v>
      </c>
      <c r="C6033" s="2" t="s">
        <v>24</v>
      </c>
      <c r="D6033" s="2" t="s">
        <v>17</v>
      </c>
      <c r="E6033" s="5">
        <v>-28313</v>
      </c>
      <c r="F6033" s="3" t="s">
        <v>315</v>
      </c>
      <c r="G6033" s="3" t="s">
        <v>167</v>
      </c>
      <c r="H6033" s="2" t="s">
        <v>20</v>
      </c>
      <c r="I6033" s="2" t="s">
        <v>11783</v>
      </c>
      <c r="J6033" s="3" t="str">
        <f>HYPERLINK("https://www.boe.es/gazeta/dias/1822/06/24/pdfs/GMD-1822-182.pdf#page=7","Abrir facsímil")</f>
        <v>Abrir facsímil</v>
      </c>
      <c r="K6033" s="3" t="s">
        <v>22</v>
      </c>
    </row>
    <row r="6034" spans="1:11" ht="42" customHeight="1">
      <c r="A6034" s="2" t="s">
        <v>11780</v>
      </c>
      <c r="B6034" s="2" t="s">
        <v>11780</v>
      </c>
      <c r="C6034" s="2" t="s">
        <v>42</v>
      </c>
      <c r="D6034" s="2" t="s">
        <v>17</v>
      </c>
      <c r="E6034" s="5">
        <v>-28205</v>
      </c>
      <c r="F6034" s="3" t="s">
        <v>806</v>
      </c>
      <c r="G6034" s="3" t="s">
        <v>19</v>
      </c>
      <c r="H6034" s="2" t="s">
        <v>20</v>
      </c>
      <c r="I6034" s="2" t="s">
        <v>11784</v>
      </c>
      <c r="J6034" s="3" t="str">
        <f>HYPERLINK("https://www.boe.es/gazeta/dias/1822/10/10/pdfs/GMD-1822-297.pdf#page=5","Abrir facsímil")</f>
        <v>Abrir facsímil</v>
      </c>
      <c r="K6034" s="3" t="s">
        <v>22</v>
      </c>
    </row>
    <row r="6035" spans="1:11" ht="42" customHeight="1">
      <c r="A6035" s="2" t="s">
        <v>11785</v>
      </c>
      <c r="B6035" s="2" t="s">
        <v>11786</v>
      </c>
      <c r="C6035" s="2" t="s">
        <v>16</v>
      </c>
      <c r="D6035" s="2" t="s">
        <v>17</v>
      </c>
      <c r="E6035" s="5">
        <v>-28338</v>
      </c>
      <c r="F6035" s="3" t="s">
        <v>527</v>
      </c>
      <c r="G6035" s="3" t="s">
        <v>31</v>
      </c>
      <c r="H6035" s="2" t="s">
        <v>20</v>
      </c>
      <c r="I6035" s="2" t="s">
        <v>11787</v>
      </c>
      <c r="J6035" s="3" t="str">
        <f>HYPERLINK("https://www.boe.es/gazeta/dias/1822/05/30/pdfs/GMD-1822-155.pdf#page=3","Abrir facsímil")</f>
        <v>Abrir facsímil</v>
      </c>
      <c r="K6035" s="3" t="s">
        <v>22</v>
      </c>
    </row>
    <row r="6036" spans="1:11" ht="42" customHeight="1">
      <c r="A6036" s="2" t="s">
        <v>11788</v>
      </c>
      <c r="B6036" s="2" t="s">
        <v>11788</v>
      </c>
      <c r="C6036" s="2" t="s">
        <v>42</v>
      </c>
      <c r="D6036" s="2" t="s">
        <v>17</v>
      </c>
      <c r="E6036" s="5">
        <v>-28341</v>
      </c>
      <c r="F6036" s="3" t="s">
        <v>284</v>
      </c>
      <c r="G6036" s="3" t="s">
        <v>57</v>
      </c>
      <c r="H6036" s="2" t="s">
        <v>20</v>
      </c>
      <c r="I6036" s="2" t="s">
        <v>11789</v>
      </c>
      <c r="J6036" s="3" t="str">
        <f>HYPERLINK("https://www.boe.es/gazeta/dias/1822/05/27/pdfs/GMD-1822-152.pdf#page=4","Abrir facsímil")</f>
        <v>Abrir facsímil</v>
      </c>
      <c r="K6036" s="3" t="s">
        <v>22</v>
      </c>
    </row>
    <row r="6037" spans="1:11" ht="42" customHeight="1">
      <c r="A6037" s="2" t="s">
        <v>11790</v>
      </c>
      <c r="B6037" s="2" t="s">
        <v>11790</v>
      </c>
      <c r="C6037" s="2" t="s">
        <v>28</v>
      </c>
      <c r="D6037" s="2" t="s">
        <v>29</v>
      </c>
      <c r="E6037" s="5">
        <v>-28411</v>
      </c>
      <c r="F6037" s="3" t="s">
        <v>1509</v>
      </c>
      <c r="G6037" s="3" t="s">
        <v>57</v>
      </c>
      <c r="H6037" s="2" t="s">
        <v>20</v>
      </c>
      <c r="I6037" s="2" t="s">
        <v>11791</v>
      </c>
      <c r="J6037" s="3" t="str">
        <f>HYPERLINK("https://www.boe.es/gazeta/dias/1822/03/18/pdfs/GMD-1822-79.pdf#page=4","Abrir facsímil")</f>
        <v>Abrir facsímil</v>
      </c>
      <c r="K6037" s="3" t="s">
        <v>22</v>
      </c>
    </row>
    <row r="6038" spans="1:11" ht="42" customHeight="1">
      <c r="A6038" s="2" t="s">
        <v>11790</v>
      </c>
      <c r="B6038" s="2" t="s">
        <v>11790</v>
      </c>
      <c r="C6038" s="2" t="s">
        <v>28</v>
      </c>
      <c r="D6038" s="2" t="s">
        <v>29</v>
      </c>
      <c r="E6038" s="5">
        <v>-28406</v>
      </c>
      <c r="F6038" s="3" t="s">
        <v>462</v>
      </c>
      <c r="G6038" s="3" t="s">
        <v>57</v>
      </c>
      <c r="H6038" s="2" t="s">
        <v>20</v>
      </c>
      <c r="I6038" s="2" t="s">
        <v>11792</v>
      </c>
      <c r="J6038" s="3" t="str">
        <f>HYPERLINK("https://www.boe.es/gazeta/dias/1822/03/23/pdfs/GMD-1822-84.pdf#page=4","Abrir facsímil")</f>
        <v>Abrir facsímil</v>
      </c>
      <c r="K6038" s="3" t="s">
        <v>22</v>
      </c>
    </row>
    <row r="6039" spans="1:11" ht="42" customHeight="1">
      <c r="A6039" s="2" t="s">
        <v>11790</v>
      </c>
      <c r="B6039" s="2" t="s">
        <v>11790</v>
      </c>
      <c r="C6039" s="2" t="s">
        <v>42</v>
      </c>
      <c r="D6039" s="2" t="s">
        <v>17</v>
      </c>
      <c r="E6039" s="5">
        <v>-28131</v>
      </c>
      <c r="F6039" s="3" t="s">
        <v>893</v>
      </c>
      <c r="G6039" s="3" t="s">
        <v>19</v>
      </c>
      <c r="H6039" s="2" t="s">
        <v>20</v>
      </c>
      <c r="I6039" s="2" t="s">
        <v>11793</v>
      </c>
      <c r="J6039" s="3" t="str">
        <f>HYPERLINK("https://www.boe.es/gazeta/dias/1822/12/23/pdfs/GMD-1822-373.pdf#page=5","Abrir facsímil")</f>
        <v>Abrir facsímil</v>
      </c>
      <c r="K6039" s="3" t="s">
        <v>22</v>
      </c>
    </row>
    <row r="6040" spans="1:11" ht="42" customHeight="1">
      <c r="A6040" s="2" t="s">
        <v>11794</v>
      </c>
      <c r="B6040" s="2" t="s">
        <v>11794</v>
      </c>
      <c r="C6040" s="2" t="s">
        <v>16</v>
      </c>
      <c r="D6040" s="2" t="s">
        <v>17</v>
      </c>
      <c r="E6040" s="5">
        <v>-28394</v>
      </c>
      <c r="F6040" s="3" t="s">
        <v>268</v>
      </c>
      <c r="G6040" s="3" t="s">
        <v>31</v>
      </c>
      <c r="H6040" s="2" t="s">
        <v>20</v>
      </c>
      <c r="I6040" s="2" t="s">
        <v>11795</v>
      </c>
      <c r="J6040" s="3" t="str">
        <f>HYPERLINK("https://www.boe.es/gazeta/dias/1822/04/04/pdfs/GMD-1822-96.pdf#page=3","Abrir facsímil")</f>
        <v>Abrir facsímil</v>
      </c>
      <c r="K6040" s="3" t="s">
        <v>22</v>
      </c>
    </row>
    <row r="6041" spans="1:11" ht="42" customHeight="1">
      <c r="A6041" s="2" t="s">
        <v>11796</v>
      </c>
      <c r="B6041" s="2" t="s">
        <v>11796</v>
      </c>
      <c r="C6041" s="2" t="s">
        <v>50</v>
      </c>
      <c r="D6041" s="2" t="s">
        <v>51</v>
      </c>
      <c r="E6041" s="5">
        <v>-28171</v>
      </c>
      <c r="F6041" s="3" t="s">
        <v>1075</v>
      </c>
      <c r="G6041" s="3" t="s">
        <v>35</v>
      </c>
      <c r="H6041" s="2" t="s">
        <v>20</v>
      </c>
      <c r="I6041" s="2" t="s">
        <v>11797</v>
      </c>
      <c r="J6041" s="3" t="str">
        <f>HYPERLINK("https://www.boe.es/gazeta/dias/1822/11/13/pdfs/GMD-1822-333.pdf#page=2","Abrir facsímil")</f>
        <v>Abrir facsímil</v>
      </c>
      <c r="K6041" s="3" t="s">
        <v>22</v>
      </c>
    </row>
    <row r="6042" spans="1:11" ht="42" customHeight="1">
      <c r="A6042" s="2" t="s">
        <v>11798</v>
      </c>
      <c r="B6042" s="2" t="s">
        <v>11799</v>
      </c>
      <c r="C6042" s="2" t="s">
        <v>42</v>
      </c>
      <c r="D6042" s="2" t="s">
        <v>17</v>
      </c>
      <c r="E6042" s="5">
        <v>-28181</v>
      </c>
      <c r="F6042" s="3" t="s">
        <v>739</v>
      </c>
      <c r="G6042" s="3" t="s">
        <v>44</v>
      </c>
      <c r="H6042" s="2" t="s">
        <v>20</v>
      </c>
      <c r="I6042" s="2" t="s">
        <v>11800</v>
      </c>
      <c r="J6042" s="3" t="str">
        <f>HYPERLINK("https://www.boe.es/gazeta/dias/1822/11/03/pdfs/GMD-1822-321.pdf#page=1","Abrir facsímil")</f>
        <v>Abrir facsímil</v>
      </c>
      <c r="K6042" s="3" t="s">
        <v>22</v>
      </c>
    </row>
    <row r="6043" spans="1:11" ht="42" customHeight="1">
      <c r="A6043" s="2" t="s">
        <v>11801</v>
      </c>
      <c r="B6043" s="2" t="s">
        <v>11801</v>
      </c>
      <c r="C6043" s="2" t="s">
        <v>50</v>
      </c>
      <c r="D6043" s="2" t="s">
        <v>51</v>
      </c>
      <c r="E6043" s="5">
        <v>-28124</v>
      </c>
      <c r="F6043" s="3" t="s">
        <v>301</v>
      </c>
      <c r="G6043" s="3" t="s">
        <v>63</v>
      </c>
      <c r="H6043" s="2" t="s">
        <v>20</v>
      </c>
      <c r="I6043" s="2" t="s">
        <v>11802</v>
      </c>
      <c r="J6043" s="3" t="str">
        <f>HYPERLINK("https://www.boe.es/gazeta/dias/1822/12/30/pdfs/GMD-1822-380.pdf#page=6","Abrir facsímil")</f>
        <v>Abrir facsímil</v>
      </c>
      <c r="K6043" s="3" t="s">
        <v>22</v>
      </c>
    </row>
    <row r="6044" spans="1:11" ht="42" customHeight="1">
      <c r="A6044" s="2" t="s">
        <v>11803</v>
      </c>
      <c r="B6044" s="2" t="s">
        <v>11803</v>
      </c>
      <c r="C6044" s="2" t="s">
        <v>50</v>
      </c>
      <c r="D6044" s="2" t="s">
        <v>51</v>
      </c>
      <c r="E6044" s="5">
        <v>-28210</v>
      </c>
      <c r="F6044" s="3" t="s">
        <v>218</v>
      </c>
      <c r="G6044" s="3" t="s">
        <v>57</v>
      </c>
      <c r="H6044" s="2" t="s">
        <v>20</v>
      </c>
      <c r="I6044" s="2" t="s">
        <v>11804</v>
      </c>
      <c r="J6044" s="3" t="str">
        <f>HYPERLINK("https://www.boe.es/gazeta/dias/1822/10/05/pdfs/GMD-1822-291.pdf#page=4","Abrir facsímil")</f>
        <v>Abrir facsímil</v>
      </c>
      <c r="K6044" s="3" t="s">
        <v>22</v>
      </c>
    </row>
    <row r="6045" spans="1:11" ht="42" customHeight="1">
      <c r="A6045" s="2" t="s">
        <v>11805</v>
      </c>
      <c r="B6045" s="2" t="s">
        <v>11806</v>
      </c>
      <c r="C6045" s="2" t="s">
        <v>50</v>
      </c>
      <c r="D6045" s="2" t="s">
        <v>51</v>
      </c>
      <c r="E6045" s="5">
        <v>-28324</v>
      </c>
      <c r="F6045" s="3" t="s">
        <v>305</v>
      </c>
      <c r="G6045" s="3" t="s">
        <v>19</v>
      </c>
      <c r="H6045" s="2" t="s">
        <v>20</v>
      </c>
      <c r="I6045" s="2" t="s">
        <v>11807</v>
      </c>
      <c r="J6045" s="3" t="str">
        <f>HYPERLINK("https://www.boe.es/gazeta/dias/1822/06/13/pdfs/GMD-1822-170.pdf#page=5","Abrir facsímil")</f>
        <v>Abrir facsímil</v>
      </c>
      <c r="K6045" s="3" t="s">
        <v>22</v>
      </c>
    </row>
    <row r="6046" spans="1:11" ht="42" customHeight="1">
      <c r="A6046" s="2" t="s">
        <v>11808</v>
      </c>
      <c r="B6046" s="2" t="s">
        <v>11808</v>
      </c>
      <c r="C6046" s="2" t="s">
        <v>28</v>
      </c>
      <c r="D6046" s="2" t="s">
        <v>29</v>
      </c>
      <c r="E6046" s="5">
        <v>-28399</v>
      </c>
      <c r="F6046" s="3" t="s">
        <v>476</v>
      </c>
      <c r="G6046" s="3" t="s">
        <v>35</v>
      </c>
      <c r="H6046" s="2" t="s">
        <v>20</v>
      </c>
      <c r="I6046" s="2" t="s">
        <v>11809</v>
      </c>
      <c r="J6046" s="3" t="str">
        <f>HYPERLINK("https://www.boe.es/gazeta/dias/1822/03/30/pdfs/GMD-1822-91.pdf#page=2","Abrir facsímil")</f>
        <v>Abrir facsímil</v>
      </c>
      <c r="K6046" s="3" t="s">
        <v>22</v>
      </c>
    </row>
    <row r="6047" spans="1:11" ht="42" customHeight="1">
      <c r="A6047" s="2" t="s">
        <v>11810</v>
      </c>
      <c r="B6047" s="2" t="s">
        <v>11811</v>
      </c>
      <c r="C6047" s="2" t="s">
        <v>50</v>
      </c>
      <c r="D6047" s="2" t="s">
        <v>51</v>
      </c>
      <c r="E6047" s="5">
        <v>-28258</v>
      </c>
      <c r="F6047" s="3" t="s">
        <v>88</v>
      </c>
      <c r="G6047" s="3" t="s">
        <v>57</v>
      </c>
      <c r="H6047" s="2" t="s">
        <v>20</v>
      </c>
      <c r="I6047" s="2" t="s">
        <v>11812</v>
      </c>
      <c r="J6047" s="3" t="str">
        <f>HYPERLINK("https://www.boe.es/gazeta/dias/1822/08/18/pdfs/GMD-1822-242.pdf#page=4","Abrir facsímil")</f>
        <v>Abrir facsímil</v>
      </c>
      <c r="K6047" s="3" t="s">
        <v>22</v>
      </c>
    </row>
    <row r="6048" spans="1:11" ht="42" customHeight="1">
      <c r="A6048" s="2" t="s">
        <v>11813</v>
      </c>
      <c r="B6048" s="2" t="s">
        <v>11813</v>
      </c>
      <c r="C6048" s="2" t="s">
        <v>28</v>
      </c>
      <c r="D6048" s="2" t="s">
        <v>29</v>
      </c>
      <c r="E6048" s="5">
        <v>-28167</v>
      </c>
      <c r="F6048" s="3" t="s">
        <v>904</v>
      </c>
      <c r="G6048" s="3" t="s">
        <v>31</v>
      </c>
      <c r="H6048" s="2" t="s">
        <v>20</v>
      </c>
      <c r="I6048" s="2" t="s">
        <v>11814</v>
      </c>
      <c r="J6048" s="3" t="str">
        <f>HYPERLINK("https://www.boe.es/gazeta/dias/1822/11/17/pdfs/GMD-1822-337.pdf#page=3","Abrir facsímil")</f>
        <v>Abrir facsímil</v>
      </c>
      <c r="K6048" s="3" t="s">
        <v>22</v>
      </c>
    </row>
    <row r="6049" spans="1:11" ht="42" customHeight="1">
      <c r="A6049" s="2" t="s">
        <v>11815</v>
      </c>
      <c r="B6049" s="2" t="s">
        <v>11816</v>
      </c>
      <c r="C6049" s="2" t="s">
        <v>42</v>
      </c>
      <c r="D6049" s="2" t="s">
        <v>17</v>
      </c>
      <c r="E6049" s="5">
        <v>-28230</v>
      </c>
      <c r="F6049" s="3" t="s">
        <v>1735</v>
      </c>
      <c r="G6049" s="3" t="s">
        <v>57</v>
      </c>
      <c r="H6049" s="2" t="s">
        <v>20</v>
      </c>
      <c r="I6049" s="2" t="s">
        <v>11817</v>
      </c>
      <c r="J6049" s="3" t="str">
        <f>HYPERLINK("https://www.boe.es/gazeta/dias/1822/09/15/pdfs/GMD-1822-271.pdf#page=4","Abrir facsímil")</f>
        <v>Abrir facsímil</v>
      </c>
      <c r="K6049" s="3" t="s">
        <v>22</v>
      </c>
    </row>
    <row r="6050" spans="1:11" ht="42" customHeight="1">
      <c r="A6050" s="2" t="s">
        <v>11818</v>
      </c>
      <c r="B6050" s="2" t="s">
        <v>11818</v>
      </c>
      <c r="C6050" s="2" t="s">
        <v>16</v>
      </c>
      <c r="D6050" s="2" t="s">
        <v>17</v>
      </c>
      <c r="E6050" s="5">
        <v>-28417</v>
      </c>
      <c r="F6050" s="3" t="s">
        <v>1394</v>
      </c>
      <c r="G6050" s="3" t="s">
        <v>31</v>
      </c>
      <c r="H6050" s="2" t="s">
        <v>20</v>
      </c>
      <c r="I6050" s="2" t="s">
        <v>11819</v>
      </c>
      <c r="J6050" s="3" t="str">
        <f>HYPERLINK("https://www.boe.es/gazeta/dias/1822/03/12/pdfs/GMD-1822-73.pdf#page=3","Abrir facsímil")</f>
        <v>Abrir facsímil</v>
      </c>
      <c r="K6050" s="3" t="s">
        <v>22</v>
      </c>
    </row>
    <row r="6051" spans="1:11" ht="42" customHeight="1">
      <c r="A6051" s="2" t="s">
        <v>11820</v>
      </c>
      <c r="B6051" s="2" t="s">
        <v>11821</v>
      </c>
      <c r="C6051" s="2" t="s">
        <v>50</v>
      </c>
      <c r="D6051" s="2" t="s">
        <v>51</v>
      </c>
      <c r="E6051" s="5">
        <v>-28323</v>
      </c>
      <c r="F6051" s="3" t="s">
        <v>116</v>
      </c>
      <c r="G6051" s="3" t="s">
        <v>57</v>
      </c>
      <c r="H6051" s="2" t="s">
        <v>20</v>
      </c>
      <c r="I6051" s="2" t="s">
        <v>11822</v>
      </c>
      <c r="J6051" s="3" t="str">
        <f>HYPERLINK("https://www.boe.es/gazeta/dias/1822/06/14/pdfs/GMD-1822-171.pdf#page=4","Abrir facsímil")</f>
        <v>Abrir facsímil</v>
      </c>
      <c r="K6051" s="3" t="s">
        <v>22</v>
      </c>
    </row>
    <row r="6052" spans="1:11" ht="42" customHeight="1">
      <c r="A6052" s="2" t="s">
        <v>11823</v>
      </c>
      <c r="B6052" s="2" t="s">
        <v>11824</v>
      </c>
      <c r="C6052" s="2" t="s">
        <v>28</v>
      </c>
      <c r="D6052" s="2" t="s">
        <v>29</v>
      </c>
      <c r="E6052" s="5">
        <v>-28386</v>
      </c>
      <c r="F6052" s="3" t="s">
        <v>2993</v>
      </c>
      <c r="G6052" s="3" t="s">
        <v>57</v>
      </c>
      <c r="H6052" s="2" t="s">
        <v>20</v>
      </c>
      <c r="I6052" s="2" t="s">
        <v>11825</v>
      </c>
      <c r="J6052" s="3" t="str">
        <f>HYPERLINK("https://www.boe.es/gazeta/dias/1822/04/12/pdfs/GMD-1822-104.pdf#page=4","Abrir facsímil")</f>
        <v>Abrir facsímil</v>
      </c>
      <c r="K6052" s="3" t="s">
        <v>22</v>
      </c>
    </row>
    <row r="6053" spans="1:11" ht="42" customHeight="1">
      <c r="A6053" s="2" t="s">
        <v>11826</v>
      </c>
      <c r="B6053" s="2" t="s">
        <v>11826</v>
      </c>
      <c r="C6053" s="2" t="s">
        <v>28</v>
      </c>
      <c r="D6053" s="2" t="s">
        <v>29</v>
      </c>
      <c r="E6053" s="5">
        <v>-28176</v>
      </c>
      <c r="F6053" s="3" t="s">
        <v>780</v>
      </c>
      <c r="G6053" s="3" t="s">
        <v>44</v>
      </c>
      <c r="H6053" s="2" t="s">
        <v>20</v>
      </c>
      <c r="I6053" s="2" t="s">
        <v>11827</v>
      </c>
      <c r="J6053" s="3" t="str">
        <f>HYPERLINK("https://www.boe.es/gazeta/dias/1822/11/08/pdfs/GMD-1822-328.pdf#page=1","Abrir facsímil")</f>
        <v>Abrir facsímil</v>
      </c>
      <c r="K6053" s="3" t="s">
        <v>22</v>
      </c>
    </row>
    <row r="6054" spans="1:11" ht="42" customHeight="1">
      <c r="A6054" s="2" t="s">
        <v>11826</v>
      </c>
      <c r="B6054" s="2" t="s">
        <v>11826</v>
      </c>
      <c r="C6054" s="2" t="s">
        <v>61</v>
      </c>
      <c r="D6054" s="2" t="s">
        <v>17</v>
      </c>
      <c r="E6054" s="5">
        <v>-28144</v>
      </c>
      <c r="F6054" s="3" t="s">
        <v>288</v>
      </c>
      <c r="G6054" s="3" t="s">
        <v>31</v>
      </c>
      <c r="H6054" s="2" t="s">
        <v>20</v>
      </c>
      <c r="I6054" s="2" t="s">
        <v>11828</v>
      </c>
      <c r="J6054" s="3" t="str">
        <f>HYPERLINK("https://www.boe.es/gazeta/dias/1822/12/10/pdfs/GMD-1822-360.pdf#page=3","Abrir facsímil")</f>
        <v>Abrir facsímil</v>
      </c>
      <c r="K6054" s="3" t="s">
        <v>22</v>
      </c>
    </row>
    <row r="6055" spans="1:11" ht="42" customHeight="1">
      <c r="A6055" s="2" t="s">
        <v>11826</v>
      </c>
      <c r="B6055" s="2" t="s">
        <v>11826</v>
      </c>
      <c r="C6055" s="2" t="s">
        <v>42</v>
      </c>
      <c r="D6055" s="2" t="s">
        <v>17</v>
      </c>
      <c r="E6055" s="5">
        <v>-28144</v>
      </c>
      <c r="F6055" s="3" t="s">
        <v>288</v>
      </c>
      <c r="G6055" s="3" t="s">
        <v>57</v>
      </c>
      <c r="H6055" s="2" t="s">
        <v>20</v>
      </c>
      <c r="I6055" s="2" t="s">
        <v>11829</v>
      </c>
      <c r="J6055" s="3" t="str">
        <f>HYPERLINK("https://www.boe.es/gazeta/dias/1822/12/10/pdfs/GMD-1822-360.pdf#page=4","Abrir facsímil")</f>
        <v>Abrir facsímil</v>
      </c>
      <c r="K6055" s="3" t="s">
        <v>22</v>
      </c>
    </row>
    <row r="6056" spans="1:11" ht="42" customHeight="1">
      <c r="A6056" s="2" t="s">
        <v>11830</v>
      </c>
      <c r="B6056" s="2" t="s">
        <v>11831</v>
      </c>
      <c r="C6056" s="2" t="s">
        <v>50</v>
      </c>
      <c r="D6056" s="2" t="s">
        <v>51</v>
      </c>
      <c r="E6056" s="5">
        <v>-28358</v>
      </c>
      <c r="F6056" s="3" t="s">
        <v>211</v>
      </c>
      <c r="G6056" s="3" t="s">
        <v>57</v>
      </c>
      <c r="H6056" s="2" t="s">
        <v>45</v>
      </c>
      <c r="I6056" s="2" t="s">
        <v>11832</v>
      </c>
      <c r="J6056" s="3" t="str">
        <f>HYPERLINK("https://www.boe.es/gazeta/dias/1822/05/10/pdfs/GMD-1822-132.pdf#page=4","Abrir facsímil")</f>
        <v>Abrir facsímil</v>
      </c>
      <c r="K6056" s="3" t="s">
        <v>47</v>
      </c>
    </row>
    <row r="6057" spans="1:11" ht="42" customHeight="1">
      <c r="A6057" s="2" t="s">
        <v>11833</v>
      </c>
      <c r="B6057" s="2" t="s">
        <v>11834</v>
      </c>
      <c r="C6057" s="2" t="s">
        <v>42</v>
      </c>
      <c r="D6057" s="2" t="s">
        <v>17</v>
      </c>
      <c r="E6057" s="5">
        <v>-28208</v>
      </c>
      <c r="F6057" s="3" t="s">
        <v>230</v>
      </c>
      <c r="G6057" s="3" t="s">
        <v>57</v>
      </c>
      <c r="H6057" s="2" t="s">
        <v>20</v>
      </c>
      <c r="I6057" s="2" t="s">
        <v>11835</v>
      </c>
      <c r="J6057" s="3" t="str">
        <f>HYPERLINK("https://www.boe.es/gazeta/dias/1822/10/07/pdfs/GMD-1822-293.pdf#page=4","Abrir facsímil")</f>
        <v>Abrir facsímil</v>
      </c>
      <c r="K6057" s="3" t="s">
        <v>22</v>
      </c>
    </row>
    <row r="6058" spans="1:11" ht="42" customHeight="1">
      <c r="A6058" s="2" t="s">
        <v>11836</v>
      </c>
      <c r="B6058" s="2" t="s">
        <v>11837</v>
      </c>
      <c r="C6058" s="2" t="s">
        <v>362</v>
      </c>
      <c r="D6058" s="2" t="s">
        <v>17</v>
      </c>
      <c r="E6058" s="5">
        <v>-28194</v>
      </c>
      <c r="F6058" s="3" t="s">
        <v>18</v>
      </c>
      <c r="G6058" s="3" t="s">
        <v>63</v>
      </c>
      <c r="H6058" s="2" t="s">
        <v>20</v>
      </c>
      <c r="I6058" s="2" t="s">
        <v>11838</v>
      </c>
      <c r="J6058" s="3" t="str">
        <f>HYPERLINK("https://www.boe.es/gazeta/dias/1822/10/21/pdfs/GMD-1822-308.pdf#page=6","Abrir facsímil")</f>
        <v>Abrir facsímil</v>
      </c>
      <c r="K6058" s="3" t="s">
        <v>22</v>
      </c>
    </row>
    <row r="6059" spans="1:11" ht="42" customHeight="1">
      <c r="A6059" s="2" t="s">
        <v>11839</v>
      </c>
      <c r="B6059" s="2" t="s">
        <v>11839</v>
      </c>
      <c r="C6059" s="2" t="s">
        <v>71</v>
      </c>
      <c r="D6059" s="2" t="s">
        <v>17</v>
      </c>
      <c r="E6059" s="5">
        <v>-28486</v>
      </c>
      <c r="F6059" s="3" t="s">
        <v>1046</v>
      </c>
      <c r="G6059" s="3" t="s">
        <v>35</v>
      </c>
      <c r="H6059" s="2" t="s">
        <v>20</v>
      </c>
      <c r="I6059" s="2" t="s">
        <v>11840</v>
      </c>
      <c r="J6059" s="3" t="str">
        <f>HYPERLINK("https://www.boe.es/gazeta/dias/1822/01/02/pdfs/GMD-1822-2.pdf#page=2","Abrir facsímil")</f>
        <v>Abrir facsímil</v>
      </c>
      <c r="K6059" s="3" t="s">
        <v>22</v>
      </c>
    </row>
    <row r="6060" spans="1:11" ht="42" customHeight="1">
      <c r="A6060" s="2" t="s">
        <v>11839</v>
      </c>
      <c r="B6060" s="2" t="s">
        <v>11839</v>
      </c>
      <c r="C6060" s="2" t="s">
        <v>28</v>
      </c>
      <c r="D6060" s="2" t="s">
        <v>29</v>
      </c>
      <c r="E6060" s="5">
        <v>-28351</v>
      </c>
      <c r="F6060" s="3" t="s">
        <v>282</v>
      </c>
      <c r="G6060" s="3" t="s">
        <v>57</v>
      </c>
      <c r="H6060" s="2" t="s">
        <v>20</v>
      </c>
      <c r="I6060" s="2" t="s">
        <v>11841</v>
      </c>
      <c r="J6060" s="3" t="str">
        <f>HYPERLINK("https://www.boe.es/gazeta/dias/1822/05/17/pdfs/GMD-1822-139.pdf#page=4","Abrir facsímil")</f>
        <v>Abrir facsímil</v>
      </c>
      <c r="K6060" s="3" t="s">
        <v>22</v>
      </c>
    </row>
    <row r="6061" spans="1:11" ht="42" customHeight="1">
      <c r="A6061" s="2" t="s">
        <v>11842</v>
      </c>
      <c r="B6061" s="2" t="s">
        <v>11842</v>
      </c>
      <c r="C6061" s="2" t="s">
        <v>50</v>
      </c>
      <c r="D6061" s="2" t="s">
        <v>51</v>
      </c>
      <c r="E6061" s="5">
        <v>-28303</v>
      </c>
      <c r="F6061" s="3" t="s">
        <v>201</v>
      </c>
      <c r="G6061" s="3" t="s">
        <v>31</v>
      </c>
      <c r="H6061" s="2" t="s">
        <v>20</v>
      </c>
      <c r="I6061" s="2" t="s">
        <v>11843</v>
      </c>
      <c r="J6061" s="3" t="str">
        <f>HYPERLINK("https://www.boe.es/gazeta/dias/1822/07/04/pdfs/GMD-1822-193.pdf#page=3","Abrir facsímil")</f>
        <v>Abrir facsímil</v>
      </c>
      <c r="K6061" s="3" t="s">
        <v>22</v>
      </c>
    </row>
    <row r="6062" spans="1:11" ht="42" customHeight="1">
      <c r="A6062" s="2" t="s">
        <v>11844</v>
      </c>
      <c r="B6062" s="2" t="s">
        <v>11845</v>
      </c>
      <c r="C6062" s="2" t="s">
        <v>50</v>
      </c>
      <c r="D6062" s="2" t="s">
        <v>51</v>
      </c>
      <c r="E6062" s="5">
        <v>-28349</v>
      </c>
      <c r="F6062" s="3" t="s">
        <v>518</v>
      </c>
      <c r="G6062" s="3" t="s">
        <v>57</v>
      </c>
      <c r="H6062" s="2" t="s">
        <v>20</v>
      </c>
      <c r="I6062" s="2" t="s">
        <v>11846</v>
      </c>
      <c r="J6062" s="3" t="str">
        <f>HYPERLINK("https://www.boe.es/gazeta/dias/1822/05/19/pdfs/GMD-1822-141.pdf#page=4","Abrir facsímil")</f>
        <v>Abrir facsímil</v>
      </c>
      <c r="K6062" s="3" t="s">
        <v>22</v>
      </c>
    </row>
    <row r="6063" spans="1:11" ht="42" customHeight="1">
      <c r="A6063" s="2" t="s">
        <v>11847</v>
      </c>
      <c r="B6063" s="2" t="s">
        <v>11847</v>
      </c>
      <c r="C6063" s="2" t="s">
        <v>71</v>
      </c>
      <c r="D6063" s="2" t="s">
        <v>17</v>
      </c>
      <c r="E6063" s="5">
        <v>-28377</v>
      </c>
      <c r="F6063" s="3" t="s">
        <v>498</v>
      </c>
      <c r="G6063" s="3" t="s">
        <v>44</v>
      </c>
      <c r="H6063" s="2" t="s">
        <v>20</v>
      </c>
      <c r="I6063" s="2" t="s">
        <v>11848</v>
      </c>
      <c r="J6063" s="3" t="str">
        <f>HYPERLINK("https://www.boe.es/gazeta/dias/1822/04/21/pdfs/GMD-1822-113.pdf#page=1","Abrir facsímil")</f>
        <v>Abrir facsímil</v>
      </c>
      <c r="K6063" s="3" t="s">
        <v>22</v>
      </c>
    </row>
    <row r="6064" spans="1:11" ht="42" customHeight="1">
      <c r="A6064" s="2" t="s">
        <v>11849</v>
      </c>
      <c r="B6064" s="2" t="s">
        <v>11849</v>
      </c>
      <c r="C6064" s="2" t="s">
        <v>42</v>
      </c>
      <c r="D6064" s="2" t="s">
        <v>17</v>
      </c>
      <c r="E6064" s="5">
        <v>-28325</v>
      </c>
      <c r="F6064" s="3" t="s">
        <v>104</v>
      </c>
      <c r="G6064" s="3" t="s">
        <v>31</v>
      </c>
      <c r="H6064" s="2" t="s">
        <v>20</v>
      </c>
      <c r="I6064" s="2" t="s">
        <v>11850</v>
      </c>
      <c r="J6064" s="3" t="str">
        <f>HYPERLINK("https://www.boe.es/gazeta/dias/1822/06/12/pdfs/GMD-1822-169.pdf#page=3","Abrir facsímil")</f>
        <v>Abrir facsímil</v>
      </c>
      <c r="K6064" s="3" t="s">
        <v>22</v>
      </c>
    </row>
    <row r="6065" spans="1:11" ht="42" customHeight="1">
      <c r="A6065" s="2" t="s">
        <v>11849</v>
      </c>
      <c r="B6065" s="2" t="s">
        <v>11849</v>
      </c>
      <c r="C6065" s="2" t="s">
        <v>50</v>
      </c>
      <c r="D6065" s="2" t="s">
        <v>51</v>
      </c>
      <c r="E6065" s="5">
        <v>-28275</v>
      </c>
      <c r="F6065" s="3" t="s">
        <v>1297</v>
      </c>
      <c r="G6065" s="3" t="s">
        <v>57</v>
      </c>
      <c r="H6065" s="2" t="s">
        <v>20</v>
      </c>
      <c r="I6065" s="2" t="s">
        <v>11851</v>
      </c>
      <c r="J6065" s="3" t="str">
        <f>HYPERLINK("https://www.boe.es/gazeta/dias/1822/08/01/pdfs/GMD-1822-225.pdf#page=4","Abrir facsímil")</f>
        <v>Abrir facsímil</v>
      </c>
      <c r="K6065" s="3" t="s">
        <v>22</v>
      </c>
    </row>
    <row r="6066" spans="1:11" ht="42" customHeight="1">
      <c r="A6066" s="2" t="s">
        <v>11852</v>
      </c>
      <c r="B6066" s="2" t="s">
        <v>11852</v>
      </c>
      <c r="C6066" s="2" t="s">
        <v>50</v>
      </c>
      <c r="D6066" s="2" t="s">
        <v>51</v>
      </c>
      <c r="E6066" s="5">
        <v>-28208</v>
      </c>
      <c r="F6066" s="3" t="s">
        <v>230</v>
      </c>
      <c r="G6066" s="3" t="s">
        <v>31</v>
      </c>
      <c r="H6066" s="2" t="s">
        <v>20</v>
      </c>
      <c r="I6066" s="2" t="s">
        <v>11853</v>
      </c>
      <c r="J6066" s="3" t="str">
        <f>HYPERLINK("https://www.boe.es/gazeta/dias/1822/10/07/pdfs/GMD-1822-293.pdf#page=3","Abrir facsímil")</f>
        <v>Abrir facsímil</v>
      </c>
      <c r="K6066" s="3" t="s">
        <v>22</v>
      </c>
    </row>
    <row r="6067" spans="1:11" ht="42" customHeight="1">
      <c r="A6067" s="2" t="s">
        <v>11854</v>
      </c>
      <c r="B6067" s="2" t="s">
        <v>11854</v>
      </c>
      <c r="C6067" s="2" t="s">
        <v>24</v>
      </c>
      <c r="D6067" s="2" t="s">
        <v>17</v>
      </c>
      <c r="E6067" s="5">
        <v>-28307</v>
      </c>
      <c r="F6067" s="3" t="s">
        <v>555</v>
      </c>
      <c r="G6067" s="3" t="s">
        <v>31</v>
      </c>
      <c r="H6067" s="2" t="s">
        <v>20</v>
      </c>
      <c r="I6067" s="2" t="s">
        <v>11855</v>
      </c>
      <c r="J6067" s="3" t="str">
        <f>HYPERLINK("https://www.boe.es/gazeta/dias/1822/06/30/pdfs/GMD-1822-188.pdf#page=3","Abrir facsímil")</f>
        <v>Abrir facsímil</v>
      </c>
      <c r="K6067" s="3" t="s">
        <v>22</v>
      </c>
    </row>
    <row r="6068" spans="1:11" ht="42" customHeight="1">
      <c r="A6068" s="2" t="s">
        <v>11856</v>
      </c>
      <c r="B6068" s="2" t="s">
        <v>11856</v>
      </c>
      <c r="C6068" s="2" t="s">
        <v>71</v>
      </c>
      <c r="D6068" s="2" t="s">
        <v>17</v>
      </c>
      <c r="E6068" s="5">
        <v>-28309</v>
      </c>
      <c r="F6068" s="3" t="s">
        <v>553</v>
      </c>
      <c r="G6068" s="3" t="s">
        <v>642</v>
      </c>
      <c r="H6068" s="2" t="s">
        <v>20</v>
      </c>
      <c r="I6068" s="2" t="s">
        <v>11857</v>
      </c>
      <c r="J6068" s="3" t="str">
        <f>HYPERLINK("https://www.boe.es/gazeta/dias/1822/06/28/pdfs/GMD-1822-186.pdf#page=7","Abrir facsímil")</f>
        <v>Abrir facsímil</v>
      </c>
      <c r="K6068" s="3" t="s">
        <v>22</v>
      </c>
    </row>
    <row r="6069" spans="1:11" ht="42" customHeight="1">
      <c r="A6069" s="2" t="s">
        <v>11856</v>
      </c>
      <c r="B6069" s="2" t="s">
        <v>11856</v>
      </c>
      <c r="C6069" s="2" t="s">
        <v>50</v>
      </c>
      <c r="D6069" s="2" t="s">
        <v>51</v>
      </c>
      <c r="E6069" s="5">
        <v>-28210</v>
      </c>
      <c r="F6069" s="3" t="s">
        <v>218</v>
      </c>
      <c r="G6069" s="3" t="s">
        <v>19</v>
      </c>
      <c r="H6069" s="2" t="s">
        <v>20</v>
      </c>
      <c r="I6069" s="2" t="s">
        <v>11858</v>
      </c>
      <c r="J6069" s="3" t="str">
        <f>HYPERLINK("https://www.boe.es/gazeta/dias/1822/10/05/pdfs/GMD-1822-291.pdf#page=5","Abrir facsímil")</f>
        <v>Abrir facsímil</v>
      </c>
      <c r="K6069" s="3" t="s">
        <v>22</v>
      </c>
    </row>
    <row r="6070" spans="1:11" ht="42" customHeight="1">
      <c r="A6070" s="2" t="s">
        <v>11859</v>
      </c>
      <c r="B6070" s="2" t="s">
        <v>11860</v>
      </c>
      <c r="C6070" s="2" t="s">
        <v>71</v>
      </c>
      <c r="D6070" s="2" t="s">
        <v>17</v>
      </c>
      <c r="E6070" s="5">
        <v>-28317</v>
      </c>
      <c r="F6070" s="3" t="s">
        <v>546</v>
      </c>
      <c r="G6070" s="3" t="s">
        <v>35</v>
      </c>
      <c r="H6070" s="2" t="s">
        <v>20</v>
      </c>
      <c r="I6070" s="2" t="s">
        <v>11861</v>
      </c>
      <c r="J6070" s="3" t="str">
        <f>HYPERLINK("https://www.boe.es/gazeta/dias/1822/06/20/pdfs/GMD-1822-177.pdf#page=2","Abrir facsímil")</f>
        <v>Abrir facsímil</v>
      </c>
      <c r="K6070" s="3" t="s">
        <v>22</v>
      </c>
    </row>
    <row r="6071" spans="1:11" ht="42" customHeight="1">
      <c r="A6071" s="2" t="s">
        <v>11862</v>
      </c>
      <c r="B6071" s="2" t="s">
        <v>11863</v>
      </c>
      <c r="C6071" s="2" t="s">
        <v>50</v>
      </c>
      <c r="D6071" s="2" t="s">
        <v>51</v>
      </c>
      <c r="E6071" s="5">
        <v>-28427</v>
      </c>
      <c r="F6071" s="3" t="s">
        <v>755</v>
      </c>
      <c r="G6071" s="3" t="s">
        <v>31</v>
      </c>
      <c r="H6071" s="2" t="s">
        <v>20</v>
      </c>
      <c r="I6071" s="2" t="s">
        <v>11864</v>
      </c>
      <c r="J6071" s="3" t="str">
        <f>HYPERLINK("https://www.boe.es/gazeta/dias/1822/03/02/pdfs/GMD-1822-63.pdf#page=3","Abrir facsímil")</f>
        <v>Abrir facsímil</v>
      </c>
      <c r="K6071" s="3" t="s">
        <v>22</v>
      </c>
    </row>
    <row r="6072" spans="1:11" ht="42" customHeight="1">
      <c r="A6072" s="2" t="s">
        <v>11865</v>
      </c>
      <c r="B6072" s="2" t="s">
        <v>11865</v>
      </c>
      <c r="C6072" s="2" t="s">
        <v>42</v>
      </c>
      <c r="D6072" s="2" t="s">
        <v>17</v>
      </c>
      <c r="E6072" s="5">
        <v>-28352</v>
      </c>
      <c r="F6072" s="3" t="s">
        <v>1575</v>
      </c>
      <c r="G6072" s="3" t="s">
        <v>44</v>
      </c>
      <c r="H6072" s="2" t="s">
        <v>20</v>
      </c>
      <c r="I6072" s="2" t="s">
        <v>11866</v>
      </c>
      <c r="J6072" s="3" t="str">
        <f>HYPERLINK("https://www.boe.es/gazeta/dias/1822/05/16/pdfs/GMD-1822-138.pdf#page=1","Abrir facsímil")</f>
        <v>Abrir facsímil</v>
      </c>
      <c r="K6072" s="3" t="s">
        <v>22</v>
      </c>
    </row>
    <row r="6073" spans="1:11" ht="42" customHeight="1">
      <c r="A6073" s="2" t="s">
        <v>11867</v>
      </c>
      <c r="B6073" s="2" t="s">
        <v>11867</v>
      </c>
      <c r="C6073" s="2" t="s">
        <v>42</v>
      </c>
      <c r="D6073" s="2" t="s">
        <v>17</v>
      </c>
      <c r="E6073" s="5">
        <v>-28410</v>
      </c>
      <c r="F6073" s="3" t="s">
        <v>966</v>
      </c>
      <c r="G6073" s="3" t="s">
        <v>35</v>
      </c>
      <c r="H6073" s="2" t="s">
        <v>20</v>
      </c>
      <c r="I6073" s="2" t="s">
        <v>11868</v>
      </c>
      <c r="J6073" s="3" t="str">
        <f>HYPERLINK("https://www.boe.es/gazeta/dias/1822/03/19/pdfs/GMD-1822-80.pdf#page=2","Abrir facsímil")</f>
        <v>Abrir facsímil</v>
      </c>
      <c r="K6073" s="3" t="s">
        <v>22</v>
      </c>
    </row>
    <row r="6074" spans="1:11" ht="42" customHeight="1">
      <c r="A6074" s="2" t="s">
        <v>11869</v>
      </c>
      <c r="B6074" s="2" t="s">
        <v>11870</v>
      </c>
      <c r="C6074" s="2" t="s">
        <v>28</v>
      </c>
      <c r="D6074" s="2" t="s">
        <v>29</v>
      </c>
      <c r="E6074" s="5">
        <v>-28191</v>
      </c>
      <c r="F6074" s="3" t="s">
        <v>710</v>
      </c>
      <c r="G6074" s="3" t="s">
        <v>5038</v>
      </c>
      <c r="H6074" s="2" t="s">
        <v>20</v>
      </c>
      <c r="I6074" s="2" t="s">
        <v>11871</v>
      </c>
      <c r="J6074" s="3" t="str">
        <f>HYPERLINK("https://www.boe.es/gazeta/dias/1822/10/24/pdfs/GMD-1822-311.pdf#page=8","Abrir facsímil")</f>
        <v>Abrir facsímil</v>
      </c>
      <c r="K6074" s="3" t="s">
        <v>22</v>
      </c>
    </row>
    <row r="6075" spans="1:11" ht="42" customHeight="1">
      <c r="A6075" s="2" t="s">
        <v>11872</v>
      </c>
      <c r="B6075" s="2" t="s">
        <v>11872</v>
      </c>
      <c r="C6075" s="2" t="s">
        <v>42</v>
      </c>
      <c r="D6075" s="2" t="s">
        <v>17</v>
      </c>
      <c r="E6075" s="5">
        <v>-28192</v>
      </c>
      <c r="F6075" s="3" t="s">
        <v>43</v>
      </c>
      <c r="G6075" s="3" t="s">
        <v>35</v>
      </c>
      <c r="H6075" s="2" t="s">
        <v>20</v>
      </c>
      <c r="I6075" s="2" t="s">
        <v>11873</v>
      </c>
      <c r="J6075" s="3" t="str">
        <f>HYPERLINK("https://www.boe.es/gazeta/dias/1822/10/23/pdfs/GMD-1822-310.pdf#page=2","Abrir facsímil")</f>
        <v>Abrir facsímil</v>
      </c>
      <c r="K6075" s="3" t="s">
        <v>22</v>
      </c>
    </row>
    <row r="6076" spans="1:11" ht="42" customHeight="1">
      <c r="A6076" s="2" t="s">
        <v>11874</v>
      </c>
      <c r="B6076" s="2" t="s">
        <v>11874</v>
      </c>
      <c r="C6076" s="2" t="s">
        <v>28</v>
      </c>
      <c r="D6076" s="2" t="s">
        <v>29</v>
      </c>
      <c r="E6076" s="5">
        <v>-28436</v>
      </c>
      <c r="F6076" s="3" t="s">
        <v>431</v>
      </c>
      <c r="G6076" s="3" t="s">
        <v>1428</v>
      </c>
      <c r="H6076" s="2" t="s">
        <v>20</v>
      </c>
      <c r="I6076" s="2" t="s">
        <v>11875</v>
      </c>
      <c r="J6076" s="3" t="str">
        <f>HYPERLINK("https://www.boe.es/gazeta/dias/1822/02/21/pdfs/GMD-1822-53.pdf#page=3","Abrir facsímil")</f>
        <v>Abrir facsímil</v>
      </c>
      <c r="K6076" s="3" t="s">
        <v>22</v>
      </c>
    </row>
    <row r="6077" spans="1:11" ht="42" customHeight="1">
      <c r="A6077" s="2" t="s">
        <v>11874</v>
      </c>
      <c r="B6077" s="2" t="s">
        <v>11874</v>
      </c>
      <c r="C6077" s="2" t="s">
        <v>28</v>
      </c>
      <c r="D6077" s="2" t="s">
        <v>29</v>
      </c>
      <c r="E6077" s="5">
        <v>-28422</v>
      </c>
      <c r="F6077" s="3" t="s">
        <v>416</v>
      </c>
      <c r="G6077" s="3" t="s">
        <v>31</v>
      </c>
      <c r="H6077" s="2" t="s">
        <v>20</v>
      </c>
      <c r="I6077" s="2" t="s">
        <v>11876</v>
      </c>
      <c r="J6077" s="3" t="str">
        <f>HYPERLINK("https://www.boe.es/gazeta/dias/1822/03/07/pdfs/GMD-1822-68.pdf#page=3","Abrir facsímil")</f>
        <v>Abrir facsímil</v>
      </c>
      <c r="K6077" s="3" t="s">
        <v>22</v>
      </c>
    </row>
    <row r="6078" spans="1:11" ht="42" customHeight="1">
      <c r="A6078" s="2" t="s">
        <v>11874</v>
      </c>
      <c r="B6078" s="2" t="s">
        <v>11874</v>
      </c>
      <c r="C6078" s="2" t="s">
        <v>28</v>
      </c>
      <c r="D6078" s="2" t="s">
        <v>29</v>
      </c>
      <c r="E6078" s="5">
        <v>-28422</v>
      </c>
      <c r="F6078" s="3" t="s">
        <v>416</v>
      </c>
      <c r="G6078" s="3" t="s">
        <v>57</v>
      </c>
      <c r="H6078" s="2" t="s">
        <v>20</v>
      </c>
      <c r="I6078" s="2" t="s">
        <v>11877</v>
      </c>
      <c r="J6078" s="3" t="str">
        <f>HYPERLINK("https://www.boe.es/gazeta/dias/1822/03/07/pdfs/GMD-1822-68.pdf#page=4","Abrir facsímil")</f>
        <v>Abrir facsímil</v>
      </c>
      <c r="K6078" s="3" t="s">
        <v>22</v>
      </c>
    </row>
    <row r="6079" spans="1:11" ht="42" customHeight="1">
      <c r="A6079" s="2" t="s">
        <v>11874</v>
      </c>
      <c r="B6079" s="2" t="s">
        <v>11874</v>
      </c>
      <c r="C6079" s="2" t="s">
        <v>50</v>
      </c>
      <c r="D6079" s="2" t="s">
        <v>51</v>
      </c>
      <c r="E6079" s="5">
        <v>-28402</v>
      </c>
      <c r="F6079" s="3" t="s">
        <v>473</v>
      </c>
      <c r="G6079" s="3" t="s">
        <v>35</v>
      </c>
      <c r="H6079" s="2" t="s">
        <v>20</v>
      </c>
      <c r="I6079" s="2" t="s">
        <v>11878</v>
      </c>
      <c r="J6079" s="3" t="str">
        <f>HYPERLINK("https://www.boe.es/gazeta/dias/1822/03/27/pdfs/GMD-1822-88.pdf#page=2","Abrir facsímil")</f>
        <v>Abrir facsímil</v>
      </c>
      <c r="K6079" s="3" t="s">
        <v>22</v>
      </c>
    </row>
    <row r="6080" spans="1:11" ht="42" customHeight="1">
      <c r="A6080" s="2" t="s">
        <v>11874</v>
      </c>
      <c r="B6080" s="2" t="s">
        <v>11874</v>
      </c>
      <c r="C6080" s="2" t="s">
        <v>28</v>
      </c>
      <c r="D6080" s="2" t="s">
        <v>29</v>
      </c>
      <c r="E6080" s="5">
        <v>-28360</v>
      </c>
      <c r="F6080" s="3" t="s">
        <v>514</v>
      </c>
      <c r="G6080" s="3" t="s">
        <v>57</v>
      </c>
      <c r="H6080" s="2" t="s">
        <v>20</v>
      </c>
      <c r="I6080" s="2" t="s">
        <v>11879</v>
      </c>
      <c r="J6080" s="3" t="str">
        <f>HYPERLINK("https://www.boe.es/gazeta/dias/1822/05/08/pdfs/GMD-1822-130.pdf#page=4","Abrir facsímil")</f>
        <v>Abrir facsímil</v>
      </c>
      <c r="K6080" s="3" t="s">
        <v>22</v>
      </c>
    </row>
    <row r="6081" spans="1:11" ht="42" customHeight="1">
      <c r="A6081" s="2" t="s">
        <v>11874</v>
      </c>
      <c r="B6081" s="2" t="s">
        <v>11874</v>
      </c>
      <c r="C6081" s="2" t="s">
        <v>61</v>
      </c>
      <c r="D6081" s="2" t="s">
        <v>17</v>
      </c>
      <c r="E6081" s="5">
        <v>-28351</v>
      </c>
      <c r="F6081" s="3" t="s">
        <v>282</v>
      </c>
      <c r="G6081" s="3" t="s">
        <v>31</v>
      </c>
      <c r="H6081" s="2" t="s">
        <v>20</v>
      </c>
      <c r="I6081" s="2" t="s">
        <v>11880</v>
      </c>
      <c r="J6081" s="3" t="str">
        <f>HYPERLINK("https://www.boe.es/gazeta/dias/1822/05/17/pdfs/GMD-1822-139.pdf#page=3","Abrir facsímil")</f>
        <v>Abrir facsímil</v>
      </c>
      <c r="K6081" s="3" t="s">
        <v>22</v>
      </c>
    </row>
    <row r="6082" spans="1:11" ht="42" customHeight="1">
      <c r="A6082" s="2" t="s">
        <v>11874</v>
      </c>
      <c r="B6082" s="2" t="s">
        <v>11874</v>
      </c>
      <c r="C6082" s="2" t="s">
        <v>28</v>
      </c>
      <c r="D6082" s="2" t="s">
        <v>29</v>
      </c>
      <c r="E6082" s="5">
        <v>-28317</v>
      </c>
      <c r="F6082" s="3" t="s">
        <v>546</v>
      </c>
      <c r="G6082" s="3" t="s">
        <v>57</v>
      </c>
      <c r="H6082" s="2" t="s">
        <v>20</v>
      </c>
      <c r="I6082" s="2" t="s">
        <v>11881</v>
      </c>
      <c r="J6082" s="3" t="str">
        <f>HYPERLINK("https://www.boe.es/gazeta/dias/1822/06/20/pdfs/GMD-1822-177.pdf#page=4","Abrir facsímil")</f>
        <v>Abrir facsímil</v>
      </c>
      <c r="K6082" s="3" t="s">
        <v>22</v>
      </c>
    </row>
    <row r="6083" spans="1:11" ht="42" customHeight="1">
      <c r="A6083" s="2" t="s">
        <v>11882</v>
      </c>
      <c r="B6083" s="2" t="s">
        <v>11883</v>
      </c>
      <c r="C6083" s="2" t="s">
        <v>28</v>
      </c>
      <c r="D6083" s="2" t="s">
        <v>29</v>
      </c>
      <c r="E6083" s="5">
        <v>-28459</v>
      </c>
      <c r="F6083" s="3" t="s">
        <v>1102</v>
      </c>
      <c r="G6083" s="3" t="s">
        <v>31</v>
      </c>
      <c r="H6083" s="2" t="s">
        <v>20</v>
      </c>
      <c r="I6083" s="2" t="s">
        <v>11884</v>
      </c>
      <c r="J6083" s="3" t="str">
        <f>HYPERLINK("https://www.boe.es/gazeta/dias/1822/01/29/pdfs/GMD-1822-29.pdf#page=3","Abrir facsímil")</f>
        <v>Abrir facsímil</v>
      </c>
      <c r="K6083" s="3" t="s">
        <v>22</v>
      </c>
    </row>
    <row r="6084" spans="1:11" ht="42" customHeight="1">
      <c r="A6084" s="2" t="s">
        <v>11885</v>
      </c>
      <c r="B6084" s="2" t="s">
        <v>11886</v>
      </c>
      <c r="C6084" s="2" t="s">
        <v>50</v>
      </c>
      <c r="D6084" s="2" t="s">
        <v>51</v>
      </c>
      <c r="E6084" s="5">
        <v>-28473</v>
      </c>
      <c r="F6084" s="3" t="s">
        <v>2337</v>
      </c>
      <c r="G6084" s="3" t="s">
        <v>167</v>
      </c>
      <c r="H6084" s="2" t="s">
        <v>20</v>
      </c>
      <c r="I6084" s="2" t="s">
        <v>11887</v>
      </c>
      <c r="J6084" s="3" t="str">
        <f>HYPERLINK("https://www.boe.es/gazeta/dias/1822/01/15/pdfs/GMD-1822-15.pdf#page=7","Abrir facsímil")</f>
        <v>Abrir facsímil</v>
      </c>
      <c r="K6084" s="3" t="s">
        <v>22</v>
      </c>
    </row>
    <row r="6085" spans="1:11" ht="42" customHeight="1">
      <c r="A6085" s="2" t="s">
        <v>11888</v>
      </c>
      <c r="B6085" s="2" t="s">
        <v>11889</v>
      </c>
      <c r="C6085" s="2" t="s">
        <v>50</v>
      </c>
      <c r="D6085" s="2" t="s">
        <v>51</v>
      </c>
      <c r="E6085" s="5">
        <v>-28415</v>
      </c>
      <c r="F6085" s="3" t="s">
        <v>77</v>
      </c>
      <c r="G6085" s="3" t="s">
        <v>63</v>
      </c>
      <c r="H6085" s="2" t="s">
        <v>45</v>
      </c>
      <c r="I6085" s="2" t="s">
        <v>11890</v>
      </c>
      <c r="J6085" s="3" t="str">
        <f>HYPERLINK("https://www.boe.es/gazeta/dias/1822/03/14/pdfs/GMD-1822-75.pdf#page=6","Abrir facsímil")</f>
        <v>Abrir facsímil</v>
      </c>
      <c r="K6085" s="3" t="s">
        <v>47</v>
      </c>
    </row>
    <row r="6086" spans="1:11" ht="42" customHeight="1">
      <c r="A6086" s="2" t="s">
        <v>11891</v>
      </c>
      <c r="B6086" s="2" t="s">
        <v>11892</v>
      </c>
      <c r="C6086" s="2" t="s">
        <v>61</v>
      </c>
      <c r="D6086" s="2" t="s">
        <v>17</v>
      </c>
      <c r="E6086" s="5">
        <v>-28304</v>
      </c>
      <c r="F6086" s="3" t="s">
        <v>4502</v>
      </c>
      <c r="G6086" s="3" t="s">
        <v>31</v>
      </c>
      <c r="H6086" s="2" t="s">
        <v>20</v>
      </c>
      <c r="I6086" s="2" t="s">
        <v>11893</v>
      </c>
      <c r="J6086" s="3" t="str">
        <f>HYPERLINK("https://www.boe.es/gazeta/dias/1822/07/03/pdfs/GMD-1822-192.pdf#page=3","Abrir facsímil")</f>
        <v>Abrir facsímil</v>
      </c>
      <c r="K6086" s="3" t="s">
        <v>22</v>
      </c>
    </row>
    <row r="6087" spans="1:11" ht="42" customHeight="1">
      <c r="A6087" s="2" t="s">
        <v>11894</v>
      </c>
      <c r="B6087" s="2" t="s">
        <v>11895</v>
      </c>
      <c r="C6087" s="2" t="s">
        <v>50</v>
      </c>
      <c r="D6087" s="2" t="s">
        <v>51</v>
      </c>
      <c r="E6087" s="5">
        <v>-28249</v>
      </c>
      <c r="F6087" s="3" t="s">
        <v>3986</v>
      </c>
      <c r="G6087" s="3" t="s">
        <v>35</v>
      </c>
      <c r="H6087" s="2" t="s">
        <v>20</v>
      </c>
      <c r="I6087" s="2" t="s">
        <v>11896</v>
      </c>
      <c r="J6087" s="3" t="str">
        <f>HYPERLINK("https://www.boe.es/gazeta/dias/1822/08/27/pdfs/GMD-1822-251.pdf#page=2","Abrir facsímil")</f>
        <v>Abrir facsímil</v>
      </c>
      <c r="K6087" s="3" t="s">
        <v>22</v>
      </c>
    </row>
    <row r="6088" spans="1:11" ht="42" customHeight="1">
      <c r="A6088" s="2" t="s">
        <v>11897</v>
      </c>
      <c r="B6088" s="2" t="s">
        <v>11898</v>
      </c>
      <c r="C6088" s="2" t="s">
        <v>42</v>
      </c>
      <c r="D6088" s="2" t="s">
        <v>17</v>
      </c>
      <c r="E6088" s="5">
        <v>-28451</v>
      </c>
      <c r="F6088" s="3" t="s">
        <v>1674</v>
      </c>
      <c r="G6088" s="3" t="s">
        <v>63</v>
      </c>
      <c r="H6088" s="2" t="s">
        <v>45</v>
      </c>
      <c r="I6088" s="2" t="s">
        <v>11899</v>
      </c>
      <c r="J6088" s="3" t="str">
        <f>HYPERLINK("https://www.boe.es/gazeta/dias/1822/02/06/pdfs/GMD-1822-37.pdf#page=6","Abrir facsímil")</f>
        <v>Abrir facsímil</v>
      </c>
      <c r="K6088" s="3" t="s">
        <v>47</v>
      </c>
    </row>
    <row r="6089" spans="1:11" ht="42" customHeight="1">
      <c r="A6089" s="2" t="s">
        <v>11900</v>
      </c>
      <c r="B6089" s="2" t="s">
        <v>11901</v>
      </c>
      <c r="C6089" s="2" t="s">
        <v>50</v>
      </c>
      <c r="D6089" s="2" t="s">
        <v>51</v>
      </c>
      <c r="E6089" s="5">
        <v>-28458</v>
      </c>
      <c r="F6089" s="3" t="s">
        <v>1151</v>
      </c>
      <c r="G6089" s="3" t="s">
        <v>57</v>
      </c>
      <c r="H6089" s="2" t="s">
        <v>45</v>
      </c>
      <c r="I6089" s="2" t="s">
        <v>11902</v>
      </c>
      <c r="J6089" s="3" t="str">
        <f>HYPERLINK("https://www.boe.es/gazeta/dias/1822/01/30/pdfs/GMD-1822-30.pdf#page=4","Abrir facsímil")</f>
        <v>Abrir facsímil</v>
      </c>
      <c r="K6089" s="3" t="s">
        <v>47</v>
      </c>
    </row>
    <row r="6090" spans="1:11" ht="42" customHeight="1">
      <c r="A6090" s="2" t="s">
        <v>11903</v>
      </c>
      <c r="B6090" s="2" t="s">
        <v>11904</v>
      </c>
      <c r="C6090" s="2" t="s">
        <v>71</v>
      </c>
      <c r="D6090" s="2" t="s">
        <v>17</v>
      </c>
      <c r="E6090" s="5">
        <v>-28297</v>
      </c>
      <c r="F6090" s="3" t="s">
        <v>1972</v>
      </c>
      <c r="G6090" s="3" t="s">
        <v>57</v>
      </c>
      <c r="H6090" s="2" t="s">
        <v>20</v>
      </c>
      <c r="I6090" s="2" t="s">
        <v>11905</v>
      </c>
      <c r="J6090" s="3" t="str">
        <f>HYPERLINK("https://www.boe.es/gazeta/dias/1822/07/10/pdfs/GMD-1822-200.pdf#page=4","Abrir facsímil")</f>
        <v>Abrir facsímil</v>
      </c>
      <c r="K6090" s="3" t="s">
        <v>22</v>
      </c>
    </row>
    <row r="6091" spans="1:11" ht="42" customHeight="1">
      <c r="A6091" s="2" t="s">
        <v>11906</v>
      </c>
      <c r="B6091" s="2" t="s">
        <v>11907</v>
      </c>
      <c r="C6091" s="2" t="s">
        <v>50</v>
      </c>
      <c r="D6091" s="2" t="s">
        <v>51</v>
      </c>
      <c r="E6091" s="5">
        <v>-28292</v>
      </c>
      <c r="F6091" s="3" t="s">
        <v>222</v>
      </c>
      <c r="G6091" s="3" t="s">
        <v>31</v>
      </c>
      <c r="H6091" s="2" t="s">
        <v>20</v>
      </c>
      <c r="I6091" s="2" t="s">
        <v>11908</v>
      </c>
      <c r="J6091" s="3" t="str">
        <f>HYPERLINK("https://www.boe.es/gazeta/dias/1822/07/15/pdfs/GMD-1822-205.pdf#page=3","Abrir facsímil")</f>
        <v>Abrir facsímil</v>
      </c>
      <c r="K6091" s="3" t="s">
        <v>22</v>
      </c>
    </row>
    <row r="6092" spans="1:11" ht="42" customHeight="1">
      <c r="A6092" s="2" t="s">
        <v>11906</v>
      </c>
      <c r="B6092" s="2" t="s">
        <v>11907</v>
      </c>
      <c r="C6092" s="2" t="s">
        <v>28</v>
      </c>
      <c r="D6092" s="2" t="s">
        <v>29</v>
      </c>
      <c r="E6092" s="5">
        <v>-28176</v>
      </c>
      <c r="F6092" s="3" t="s">
        <v>780</v>
      </c>
      <c r="G6092" s="3" t="s">
        <v>63</v>
      </c>
      <c r="H6092" s="2" t="s">
        <v>20</v>
      </c>
      <c r="I6092" s="2" t="s">
        <v>11909</v>
      </c>
      <c r="J6092" s="3" t="str">
        <f>HYPERLINK("https://www.boe.es/gazeta/dias/1822/11/08/pdfs/GMD-1822-328.pdf#page=6","Abrir facsímil")</f>
        <v>Abrir facsímil</v>
      </c>
      <c r="K6092" s="3" t="s">
        <v>22</v>
      </c>
    </row>
    <row r="6093" spans="1:11" ht="42" customHeight="1">
      <c r="A6093" s="2" t="s">
        <v>11910</v>
      </c>
      <c r="B6093" s="2" t="s">
        <v>11911</v>
      </c>
      <c r="C6093" s="2" t="s">
        <v>24</v>
      </c>
      <c r="D6093" s="2" t="s">
        <v>17</v>
      </c>
      <c r="E6093" s="5">
        <v>-28375</v>
      </c>
      <c r="F6093" s="3" t="s">
        <v>2035</v>
      </c>
      <c r="G6093" s="3" t="s">
        <v>57</v>
      </c>
      <c r="H6093" s="2" t="s">
        <v>20</v>
      </c>
      <c r="I6093" s="2" t="s">
        <v>11912</v>
      </c>
      <c r="J6093" s="3" t="str">
        <f>HYPERLINK("https://www.boe.es/gazeta/dias/1822/04/23/pdfs/GMD-1822-115.pdf#page=4","Abrir facsímil")</f>
        <v>Abrir facsímil</v>
      </c>
      <c r="K6093" s="3" t="s">
        <v>22</v>
      </c>
    </row>
    <row r="6094" spans="1:11" ht="42" customHeight="1">
      <c r="A6094" s="2" t="s">
        <v>11913</v>
      </c>
      <c r="B6094" s="2" t="s">
        <v>11914</v>
      </c>
      <c r="C6094" s="2" t="s">
        <v>50</v>
      </c>
      <c r="D6094" s="2" t="s">
        <v>51</v>
      </c>
      <c r="E6094" s="5">
        <v>-28394</v>
      </c>
      <c r="F6094" s="3" t="s">
        <v>268</v>
      </c>
      <c r="G6094" s="3" t="s">
        <v>57</v>
      </c>
      <c r="H6094" s="2" t="s">
        <v>20</v>
      </c>
      <c r="I6094" s="2" t="s">
        <v>11915</v>
      </c>
      <c r="J6094" s="3" t="str">
        <f>HYPERLINK("https://www.boe.es/gazeta/dias/1822/04/04/pdfs/GMD-1822-96.pdf#page=4","Abrir facsímil")</f>
        <v>Abrir facsímil</v>
      </c>
      <c r="K6094" s="3" t="s">
        <v>22</v>
      </c>
    </row>
    <row r="6095" spans="1:11" ht="42" customHeight="1">
      <c r="A6095" s="2" t="s">
        <v>11913</v>
      </c>
      <c r="B6095" s="2" t="s">
        <v>11914</v>
      </c>
      <c r="C6095" s="2" t="s">
        <v>16</v>
      </c>
      <c r="D6095" s="2" t="s">
        <v>17</v>
      </c>
      <c r="E6095" s="5">
        <v>-28355</v>
      </c>
      <c r="F6095" s="3" t="s">
        <v>692</v>
      </c>
      <c r="G6095" s="3" t="s">
        <v>31</v>
      </c>
      <c r="H6095" s="2" t="s">
        <v>20</v>
      </c>
      <c r="I6095" s="2" t="s">
        <v>11916</v>
      </c>
      <c r="J6095" s="3" t="str">
        <f>HYPERLINK("https://www.boe.es/gazeta/dias/1822/05/13/pdfs/GMD-1822-135.pdf#page=3","Abrir facsímil")</f>
        <v>Abrir facsímil</v>
      </c>
      <c r="K6095" s="3" t="s">
        <v>22</v>
      </c>
    </row>
    <row r="6096" spans="1:11" ht="42" customHeight="1">
      <c r="A6096" s="2" t="s">
        <v>11913</v>
      </c>
      <c r="B6096" s="2" t="s">
        <v>11914</v>
      </c>
      <c r="C6096" s="2" t="s">
        <v>16</v>
      </c>
      <c r="D6096" s="2" t="s">
        <v>17</v>
      </c>
      <c r="E6096" s="5">
        <v>-28191</v>
      </c>
      <c r="F6096" s="3" t="s">
        <v>710</v>
      </c>
      <c r="G6096" s="3" t="s">
        <v>5038</v>
      </c>
      <c r="H6096" s="2" t="s">
        <v>20</v>
      </c>
      <c r="I6096" s="2" t="s">
        <v>11917</v>
      </c>
      <c r="J6096" s="3" t="str">
        <f>HYPERLINK("https://www.boe.es/gazeta/dias/1822/10/24/pdfs/GMD-1822-311.pdf#page=8","Abrir facsímil")</f>
        <v>Abrir facsímil</v>
      </c>
      <c r="K6096" s="3" t="s">
        <v>22</v>
      </c>
    </row>
    <row r="6097" spans="1:11" ht="42" customHeight="1">
      <c r="A6097" s="2" t="s">
        <v>11918</v>
      </c>
      <c r="B6097" s="2" t="s">
        <v>11919</v>
      </c>
      <c r="C6097" s="2" t="s">
        <v>24</v>
      </c>
      <c r="D6097" s="2" t="s">
        <v>17</v>
      </c>
      <c r="E6097" s="5">
        <v>-28486</v>
      </c>
      <c r="F6097" s="3" t="s">
        <v>1046</v>
      </c>
      <c r="G6097" s="3" t="s">
        <v>57</v>
      </c>
      <c r="H6097" s="2" t="s">
        <v>20</v>
      </c>
      <c r="I6097" s="2" t="s">
        <v>11920</v>
      </c>
      <c r="J6097" s="3" t="str">
        <f>HYPERLINK("https://www.boe.es/gazeta/dias/1822/01/02/pdfs/GMD-1822-2.pdf#page=4","Abrir facsímil")</f>
        <v>Abrir facsímil</v>
      </c>
      <c r="K6097" s="3" t="s">
        <v>22</v>
      </c>
    </row>
    <row r="6098" spans="1:11" ht="42" customHeight="1">
      <c r="A6098" s="2" t="s">
        <v>11918</v>
      </c>
      <c r="B6098" s="2" t="s">
        <v>11919</v>
      </c>
      <c r="C6098" s="2" t="s">
        <v>28</v>
      </c>
      <c r="D6098" s="2" t="s">
        <v>29</v>
      </c>
      <c r="E6098" s="5">
        <v>-28436</v>
      </c>
      <c r="F6098" s="3" t="s">
        <v>431</v>
      </c>
      <c r="G6098" s="3" t="s">
        <v>1428</v>
      </c>
      <c r="H6098" s="2" t="s">
        <v>20</v>
      </c>
      <c r="I6098" s="2" t="s">
        <v>11921</v>
      </c>
      <c r="J6098" s="3" t="str">
        <f>HYPERLINK("https://www.boe.es/gazeta/dias/1822/02/21/pdfs/GMD-1822-53.pdf#page=3","Abrir facsímil")</f>
        <v>Abrir facsímil</v>
      </c>
      <c r="K6098" s="3" t="s">
        <v>22</v>
      </c>
    </row>
    <row r="6099" spans="1:11" ht="42" customHeight="1">
      <c r="A6099" s="2" t="s">
        <v>11922</v>
      </c>
      <c r="B6099" s="2" t="s">
        <v>11922</v>
      </c>
      <c r="C6099" s="2" t="s">
        <v>50</v>
      </c>
      <c r="D6099" s="2" t="s">
        <v>51</v>
      </c>
      <c r="E6099" s="5">
        <v>-28337</v>
      </c>
      <c r="F6099" s="3" t="s">
        <v>1836</v>
      </c>
      <c r="G6099" s="3" t="s">
        <v>57</v>
      </c>
      <c r="H6099" s="2" t="s">
        <v>20</v>
      </c>
      <c r="I6099" s="2" t="s">
        <v>11923</v>
      </c>
      <c r="J6099" s="3" t="str">
        <f>HYPERLINK("https://www.boe.es/gazeta/dias/1822/05/31/pdfs/GMD-1822-156.pdf#page=4","Abrir facsímil")</f>
        <v>Abrir facsímil</v>
      </c>
      <c r="K6099" s="3" t="s">
        <v>22</v>
      </c>
    </row>
    <row r="6100" spans="1:11" ht="42" customHeight="1">
      <c r="A6100" s="2" t="s">
        <v>11924</v>
      </c>
      <c r="B6100" s="2" t="s">
        <v>11925</v>
      </c>
      <c r="C6100" s="2" t="s">
        <v>42</v>
      </c>
      <c r="D6100" s="2" t="s">
        <v>17</v>
      </c>
      <c r="E6100" s="5">
        <v>-28292</v>
      </c>
      <c r="F6100" s="3" t="s">
        <v>222</v>
      </c>
      <c r="G6100" s="3" t="s">
        <v>31</v>
      </c>
      <c r="H6100" s="2" t="s">
        <v>20</v>
      </c>
      <c r="I6100" s="2" t="s">
        <v>11926</v>
      </c>
      <c r="J6100" s="3" t="str">
        <f>HYPERLINK("https://www.boe.es/gazeta/dias/1822/07/15/pdfs/GMD-1822-205.pdf#page=3","Abrir facsímil")</f>
        <v>Abrir facsímil</v>
      </c>
      <c r="K6100" s="3" t="s">
        <v>22</v>
      </c>
    </row>
    <row r="6101" spans="1:11" ht="42" customHeight="1">
      <c r="A6101" s="2" t="s">
        <v>11927</v>
      </c>
      <c r="B6101" s="2" t="s">
        <v>11928</v>
      </c>
      <c r="C6101" s="2" t="s">
        <v>71</v>
      </c>
      <c r="D6101" s="2" t="s">
        <v>17</v>
      </c>
      <c r="E6101" s="5">
        <v>-28473</v>
      </c>
      <c r="F6101" s="3" t="s">
        <v>2337</v>
      </c>
      <c r="G6101" s="3" t="s">
        <v>157</v>
      </c>
      <c r="H6101" s="2" t="s">
        <v>20</v>
      </c>
      <c r="I6101" s="2" t="s">
        <v>11929</v>
      </c>
      <c r="J6101" s="3" t="str">
        <f>HYPERLINK("https://www.boe.es/gazeta/dias/1822/01/15/pdfs/GMD-1822-15.pdf#page=8","Abrir facsímil")</f>
        <v>Abrir facsímil</v>
      </c>
      <c r="K6101" s="3" t="s">
        <v>22</v>
      </c>
    </row>
    <row r="6102" spans="1:11" ht="42" customHeight="1">
      <c r="A6102" s="2" t="s">
        <v>11930</v>
      </c>
      <c r="B6102" s="2" t="s">
        <v>11930</v>
      </c>
      <c r="C6102" s="2" t="s">
        <v>42</v>
      </c>
      <c r="D6102" s="2" t="s">
        <v>17</v>
      </c>
      <c r="E6102" s="5">
        <v>-28432</v>
      </c>
      <c r="F6102" s="3" t="s">
        <v>195</v>
      </c>
      <c r="G6102" s="3" t="s">
        <v>57</v>
      </c>
      <c r="H6102" s="2" t="s">
        <v>20</v>
      </c>
      <c r="I6102" s="2" t="s">
        <v>11931</v>
      </c>
      <c r="J6102" s="3" t="str">
        <f>HYPERLINK("https://www.boe.es/gazeta/dias/1822/02/25/pdfs/GMD-1822-57.pdf#page=4","Abrir facsímil")</f>
        <v>Abrir facsímil</v>
      </c>
      <c r="K6102" s="3" t="s">
        <v>22</v>
      </c>
    </row>
    <row r="6103" spans="1:11" ht="42" customHeight="1">
      <c r="A6103" s="2" t="s">
        <v>11932</v>
      </c>
      <c r="B6103" s="2" t="s">
        <v>11933</v>
      </c>
      <c r="C6103" s="2" t="s">
        <v>42</v>
      </c>
      <c r="D6103" s="2" t="s">
        <v>17</v>
      </c>
      <c r="E6103" s="5">
        <v>-28374</v>
      </c>
      <c r="F6103" s="3" t="s">
        <v>171</v>
      </c>
      <c r="G6103" s="3" t="s">
        <v>35</v>
      </c>
      <c r="H6103" s="2" t="s">
        <v>20</v>
      </c>
      <c r="I6103" s="2" t="s">
        <v>11934</v>
      </c>
      <c r="J6103" s="3" t="str">
        <f>HYPERLINK("https://www.boe.es/gazeta/dias/1822/04/24/pdfs/GMD-1822-116.pdf#page=2","Abrir facsímil")</f>
        <v>Abrir facsímil</v>
      </c>
      <c r="K6103" s="3" t="s">
        <v>22</v>
      </c>
    </row>
    <row r="6104" spans="1:11" ht="42" customHeight="1">
      <c r="A6104" s="2" t="s">
        <v>11935</v>
      </c>
      <c r="B6104" s="2" t="s">
        <v>11936</v>
      </c>
      <c r="C6104" s="2" t="s">
        <v>71</v>
      </c>
      <c r="D6104" s="2" t="s">
        <v>17</v>
      </c>
      <c r="E6104" s="5">
        <v>-28326</v>
      </c>
      <c r="F6104" s="3" t="s">
        <v>543</v>
      </c>
      <c r="G6104" s="3" t="s">
        <v>31</v>
      </c>
      <c r="H6104" s="2" t="s">
        <v>20</v>
      </c>
      <c r="I6104" s="2" t="s">
        <v>11937</v>
      </c>
      <c r="J6104" s="3" t="str">
        <f>HYPERLINK("https://www.boe.es/gazeta/dias/1822/06/11/pdfs/GMD-1822-168.pdf#page=3","Abrir facsímil")</f>
        <v>Abrir facsímil</v>
      </c>
      <c r="K6104" s="3" t="s">
        <v>22</v>
      </c>
    </row>
    <row r="6105" spans="1:11" ht="42" customHeight="1">
      <c r="A6105" s="2" t="s">
        <v>11938</v>
      </c>
      <c r="B6105" s="2" t="s">
        <v>11938</v>
      </c>
      <c r="C6105" s="2" t="s">
        <v>28</v>
      </c>
      <c r="D6105" s="2" t="s">
        <v>29</v>
      </c>
      <c r="E6105" s="5">
        <v>-28459</v>
      </c>
      <c r="F6105" s="3" t="s">
        <v>1102</v>
      </c>
      <c r="G6105" s="3" t="s">
        <v>44</v>
      </c>
      <c r="H6105" s="2" t="s">
        <v>20</v>
      </c>
      <c r="I6105" s="2" t="s">
        <v>11939</v>
      </c>
      <c r="J6105" s="3" t="str">
        <f>HYPERLINK("https://www.boe.es/gazeta/dias/1822/01/29/pdfs/GMD-1822-29.pdf#page=1","Abrir facsímil")</f>
        <v>Abrir facsímil</v>
      </c>
      <c r="K6105" s="3" t="s">
        <v>22</v>
      </c>
    </row>
    <row r="6106" spans="1:11" ht="42" customHeight="1">
      <c r="A6106" s="2" t="s">
        <v>11940</v>
      </c>
      <c r="B6106" s="2" t="s">
        <v>11940</v>
      </c>
      <c r="C6106" s="2" t="s">
        <v>50</v>
      </c>
      <c r="D6106" s="2" t="s">
        <v>51</v>
      </c>
      <c r="E6106" s="5">
        <v>-28402</v>
      </c>
      <c r="F6106" s="3" t="s">
        <v>473</v>
      </c>
      <c r="G6106" s="3" t="s">
        <v>57</v>
      </c>
      <c r="H6106" s="2" t="s">
        <v>20</v>
      </c>
      <c r="I6106" s="2" t="s">
        <v>11941</v>
      </c>
      <c r="J6106" s="3" t="str">
        <f>HYPERLINK("https://www.boe.es/gazeta/dias/1822/03/27/pdfs/GMD-1822-88.pdf#page=4","Abrir facsímil")</f>
        <v>Abrir facsímil</v>
      </c>
      <c r="K6106" s="3" t="s">
        <v>22</v>
      </c>
    </row>
    <row r="6107" spans="1:11" ht="42" customHeight="1">
      <c r="A6107" s="2" t="s">
        <v>11942</v>
      </c>
      <c r="B6107" s="2" t="s">
        <v>11943</v>
      </c>
      <c r="C6107" s="2" t="s">
        <v>71</v>
      </c>
      <c r="D6107" s="2" t="s">
        <v>17</v>
      </c>
      <c r="E6107" s="5">
        <v>-28340</v>
      </c>
      <c r="F6107" s="3" t="s">
        <v>139</v>
      </c>
      <c r="G6107" s="3" t="s">
        <v>31</v>
      </c>
      <c r="H6107" s="2" t="s">
        <v>20</v>
      </c>
      <c r="I6107" s="2" t="s">
        <v>11944</v>
      </c>
      <c r="J6107" s="3" t="str">
        <f>HYPERLINK("https://www.boe.es/gazeta/dias/1822/05/28/pdfs/GMD-1822-153.pdf#page=3","Abrir facsímil")</f>
        <v>Abrir facsímil</v>
      </c>
      <c r="K6107" s="3" t="s">
        <v>22</v>
      </c>
    </row>
    <row r="6108" spans="1:11" ht="42" customHeight="1">
      <c r="A6108" s="2" t="s">
        <v>11945</v>
      </c>
      <c r="B6108" s="2" t="s">
        <v>11945</v>
      </c>
      <c r="C6108" s="2" t="s">
        <v>71</v>
      </c>
      <c r="D6108" s="2" t="s">
        <v>17</v>
      </c>
      <c r="E6108" s="5">
        <v>-28459</v>
      </c>
      <c r="F6108" s="3" t="s">
        <v>1102</v>
      </c>
      <c r="G6108" s="3" t="s">
        <v>44</v>
      </c>
      <c r="H6108" s="2" t="s">
        <v>20</v>
      </c>
      <c r="I6108" s="2" t="s">
        <v>11946</v>
      </c>
      <c r="J6108" s="3" t="str">
        <f>HYPERLINK("https://www.boe.es/gazeta/dias/1822/01/29/pdfs/GMD-1822-29.pdf#page=1","Abrir facsímil")</f>
        <v>Abrir facsímil</v>
      </c>
      <c r="K6108" s="3" t="s">
        <v>22</v>
      </c>
    </row>
    <row r="6109" spans="1:11" ht="42" customHeight="1">
      <c r="A6109" s="2" t="s">
        <v>11945</v>
      </c>
      <c r="B6109" s="2" t="s">
        <v>11945</v>
      </c>
      <c r="C6109" s="2" t="s">
        <v>42</v>
      </c>
      <c r="D6109" s="2" t="s">
        <v>17</v>
      </c>
      <c r="E6109" s="5">
        <v>-28212</v>
      </c>
      <c r="F6109" s="3" t="s">
        <v>560</v>
      </c>
      <c r="G6109" s="3" t="s">
        <v>31</v>
      </c>
      <c r="H6109" s="2" t="s">
        <v>20</v>
      </c>
      <c r="I6109" s="2" t="s">
        <v>11947</v>
      </c>
      <c r="J6109" s="3" t="str">
        <f>HYPERLINK("https://www.boe.es/gazeta/dias/1822/10/03/pdfs/GMD-1822-289.pdf#page=3","Abrir facsímil")</f>
        <v>Abrir facsímil</v>
      </c>
      <c r="K6109" s="3" t="s">
        <v>22</v>
      </c>
    </row>
    <row r="6110" spans="1:11" ht="42" customHeight="1">
      <c r="A6110" s="2" t="s">
        <v>11948</v>
      </c>
      <c r="B6110" s="2" t="s">
        <v>11949</v>
      </c>
      <c r="C6110" s="2" t="s">
        <v>28</v>
      </c>
      <c r="D6110" s="2" t="s">
        <v>29</v>
      </c>
      <c r="E6110" s="5">
        <v>-28459</v>
      </c>
      <c r="F6110" s="3" t="s">
        <v>1102</v>
      </c>
      <c r="G6110" s="3" t="s">
        <v>31</v>
      </c>
      <c r="H6110" s="2" t="s">
        <v>20</v>
      </c>
      <c r="I6110" s="2" t="s">
        <v>11950</v>
      </c>
      <c r="J6110" s="3" t="str">
        <f>HYPERLINK("https://www.boe.es/gazeta/dias/1822/01/29/pdfs/GMD-1822-29.pdf#page=3","Abrir facsímil")</f>
        <v>Abrir facsímil</v>
      </c>
      <c r="K6110" s="3" t="s">
        <v>22</v>
      </c>
    </row>
    <row r="6111" spans="1:11" ht="42" customHeight="1">
      <c r="A6111" s="2" t="s">
        <v>11951</v>
      </c>
      <c r="B6111" s="2" t="s">
        <v>11951</v>
      </c>
      <c r="C6111" s="2" t="s">
        <v>42</v>
      </c>
      <c r="D6111" s="2" t="s">
        <v>17</v>
      </c>
      <c r="E6111" s="5">
        <v>-28382</v>
      </c>
      <c r="F6111" s="3" t="s">
        <v>973</v>
      </c>
      <c r="G6111" s="3" t="s">
        <v>44</v>
      </c>
      <c r="H6111" s="2" t="s">
        <v>20</v>
      </c>
      <c r="I6111" s="2" t="s">
        <v>11952</v>
      </c>
      <c r="J6111" s="3" t="str">
        <f>HYPERLINK("https://www.boe.es/gazeta/dias/1822/04/16/pdfs/GMD-1822-108.pdf#page=1","Abrir facsímil")</f>
        <v>Abrir facsímil</v>
      </c>
      <c r="K6111" s="3" t="s">
        <v>22</v>
      </c>
    </row>
    <row r="6112" spans="1:11" ht="42" customHeight="1">
      <c r="A6112" s="2" t="s">
        <v>11951</v>
      </c>
      <c r="B6112" s="2" t="s">
        <v>11951</v>
      </c>
      <c r="C6112" s="2" t="s">
        <v>28</v>
      </c>
      <c r="D6112" s="2" t="s">
        <v>29</v>
      </c>
      <c r="E6112" s="5">
        <v>-28340</v>
      </c>
      <c r="F6112" s="3" t="s">
        <v>139</v>
      </c>
      <c r="G6112" s="3" t="s">
        <v>35</v>
      </c>
      <c r="H6112" s="2" t="s">
        <v>20</v>
      </c>
      <c r="I6112" s="2" t="s">
        <v>11953</v>
      </c>
      <c r="J6112" s="3" t="str">
        <f>HYPERLINK("https://www.boe.es/gazeta/dias/1822/05/28/pdfs/GMD-1822-153.pdf#page=2","Abrir facsímil")</f>
        <v>Abrir facsímil</v>
      </c>
      <c r="K6112" s="3" t="s">
        <v>22</v>
      </c>
    </row>
    <row r="6113" spans="1:11" ht="42" customHeight="1">
      <c r="A6113" s="2" t="s">
        <v>11951</v>
      </c>
      <c r="B6113" s="2" t="s">
        <v>11951</v>
      </c>
      <c r="C6113" s="2" t="s">
        <v>50</v>
      </c>
      <c r="D6113" s="2" t="s">
        <v>51</v>
      </c>
      <c r="E6113" s="5">
        <v>-28261</v>
      </c>
      <c r="F6113" s="3" t="s">
        <v>5685</v>
      </c>
      <c r="G6113" s="3" t="s">
        <v>44</v>
      </c>
      <c r="H6113" s="2" t="s">
        <v>20</v>
      </c>
      <c r="I6113" s="2" t="s">
        <v>11954</v>
      </c>
      <c r="J6113" s="3" t="str">
        <f>HYPERLINK("https://www.boe.es/gazeta/dias/1822/08/15/pdfs/GMD-1822-239.pdf#page=1","Abrir facsímil")</f>
        <v>Abrir facsímil</v>
      </c>
      <c r="K6113" s="3" t="s">
        <v>22</v>
      </c>
    </row>
    <row r="6114" spans="1:11" ht="42" customHeight="1">
      <c r="A6114" s="2" t="s">
        <v>11955</v>
      </c>
      <c r="B6114" s="2" t="s">
        <v>11955</v>
      </c>
      <c r="C6114" s="2" t="s">
        <v>50</v>
      </c>
      <c r="D6114" s="2" t="s">
        <v>51</v>
      </c>
      <c r="E6114" s="5">
        <v>-28251</v>
      </c>
      <c r="F6114" s="3" t="s">
        <v>1485</v>
      </c>
      <c r="G6114" s="3" t="s">
        <v>35</v>
      </c>
      <c r="H6114" s="2" t="s">
        <v>20</v>
      </c>
      <c r="I6114" s="2" t="s">
        <v>11956</v>
      </c>
      <c r="J6114" s="3" t="str">
        <f>HYPERLINK("https://www.boe.es/gazeta/dias/1822/08/25/pdfs/GMD-1822-249.pdf#page=2","Abrir facsímil")</f>
        <v>Abrir facsímil</v>
      </c>
      <c r="K6114" s="3" t="s">
        <v>22</v>
      </c>
    </row>
    <row r="6115" spans="1:11" ht="42" customHeight="1">
      <c r="A6115" s="2" t="s">
        <v>11951</v>
      </c>
      <c r="B6115" s="2" t="s">
        <v>11951</v>
      </c>
      <c r="C6115" s="2" t="s">
        <v>50</v>
      </c>
      <c r="D6115" s="2" t="s">
        <v>51</v>
      </c>
      <c r="E6115" s="5">
        <v>-28247</v>
      </c>
      <c r="F6115" s="3" t="s">
        <v>2023</v>
      </c>
      <c r="G6115" s="3" t="s">
        <v>35</v>
      </c>
      <c r="H6115" s="2" t="s">
        <v>20</v>
      </c>
      <c r="I6115" s="2" t="s">
        <v>11957</v>
      </c>
      <c r="J6115" s="3" t="str">
        <f>HYPERLINK("https://www.boe.es/gazeta/dias/1822/08/29/pdfs/GMD-1822-253.pdf#page=2","Abrir facsímil")</f>
        <v>Abrir facsímil</v>
      </c>
      <c r="K6115" s="3" t="s">
        <v>22</v>
      </c>
    </row>
    <row r="6116" spans="1:11" ht="42" customHeight="1">
      <c r="A6116" s="2" t="s">
        <v>11951</v>
      </c>
      <c r="B6116" s="2" t="s">
        <v>11951</v>
      </c>
      <c r="C6116" s="2" t="s">
        <v>50</v>
      </c>
      <c r="D6116" s="2" t="s">
        <v>51</v>
      </c>
      <c r="E6116" s="5">
        <v>-28207</v>
      </c>
      <c r="F6116" s="3" t="s">
        <v>1325</v>
      </c>
      <c r="G6116" s="3" t="s">
        <v>44</v>
      </c>
      <c r="H6116" s="2" t="s">
        <v>20</v>
      </c>
      <c r="I6116" s="2" t="s">
        <v>11958</v>
      </c>
      <c r="J6116" s="3" t="str">
        <f>HYPERLINK("https://www.boe.es/gazeta/dias/1822/10/08/pdfs/GMD-1822-295.pdf#page=1","Abrir facsímil")</f>
        <v>Abrir facsímil</v>
      </c>
      <c r="K6116" s="3" t="s">
        <v>22</v>
      </c>
    </row>
    <row r="6117" spans="1:11" ht="42" customHeight="1">
      <c r="A6117" s="2" t="s">
        <v>11959</v>
      </c>
      <c r="B6117" s="2" t="s">
        <v>11960</v>
      </c>
      <c r="C6117" s="2" t="s">
        <v>28</v>
      </c>
      <c r="D6117" s="2" t="s">
        <v>29</v>
      </c>
      <c r="E6117" s="5">
        <v>-28227</v>
      </c>
      <c r="F6117" s="3" t="s">
        <v>2148</v>
      </c>
      <c r="G6117" s="3" t="s">
        <v>57</v>
      </c>
      <c r="H6117" s="2" t="s">
        <v>20</v>
      </c>
      <c r="I6117" s="2" t="s">
        <v>11961</v>
      </c>
      <c r="J6117" s="3" t="str">
        <f>HYPERLINK("https://www.boe.es/gazeta/dias/1822/09/18/pdfs/GMD-1822-274.pdf#page=4","Abrir facsímil")</f>
        <v>Abrir facsímil</v>
      </c>
      <c r="K6117" s="3" t="s">
        <v>22</v>
      </c>
    </row>
    <row r="6118" spans="1:11" ht="42" customHeight="1">
      <c r="A6118" s="2" t="s">
        <v>11962</v>
      </c>
      <c r="B6118" s="2" t="s">
        <v>11963</v>
      </c>
      <c r="C6118" s="2" t="s">
        <v>42</v>
      </c>
      <c r="D6118" s="2" t="s">
        <v>17</v>
      </c>
      <c r="E6118" s="5">
        <v>-28292</v>
      </c>
      <c r="F6118" s="3" t="s">
        <v>222</v>
      </c>
      <c r="G6118" s="3" t="s">
        <v>31</v>
      </c>
      <c r="H6118" s="2" t="s">
        <v>20</v>
      </c>
      <c r="I6118" s="2" t="s">
        <v>11964</v>
      </c>
      <c r="J6118" s="3" t="str">
        <f>HYPERLINK("https://www.boe.es/gazeta/dias/1822/07/15/pdfs/GMD-1822-205.pdf#page=3","Abrir facsímil")</f>
        <v>Abrir facsímil</v>
      </c>
      <c r="K6118" s="3" t="s">
        <v>22</v>
      </c>
    </row>
    <row r="6119" spans="1:11" ht="42" customHeight="1">
      <c r="A6119" s="2" t="s">
        <v>11965</v>
      </c>
      <c r="B6119" s="2" t="s">
        <v>11966</v>
      </c>
      <c r="C6119" s="2" t="s">
        <v>28</v>
      </c>
      <c r="D6119" s="2" t="s">
        <v>29</v>
      </c>
      <c r="E6119" s="5">
        <v>-28367</v>
      </c>
      <c r="F6119" s="3" t="s">
        <v>280</v>
      </c>
      <c r="G6119" s="3" t="s">
        <v>19</v>
      </c>
      <c r="H6119" s="2" t="s">
        <v>20</v>
      </c>
      <c r="I6119" s="2" t="s">
        <v>11967</v>
      </c>
      <c r="J6119" s="3" t="str">
        <f>HYPERLINK("https://www.boe.es/gazeta/dias/1822/05/01/pdfs/GMD-1822-123.pdf#page=5","Abrir facsímil")</f>
        <v>Abrir facsímil</v>
      </c>
      <c r="K6119" s="3" t="s">
        <v>22</v>
      </c>
    </row>
    <row r="6120" spans="1:11" ht="42" customHeight="1">
      <c r="A6120" s="2" t="s">
        <v>11968</v>
      </c>
      <c r="B6120" s="2" t="s">
        <v>11969</v>
      </c>
      <c r="C6120" s="2" t="s">
        <v>50</v>
      </c>
      <c r="D6120" s="2" t="s">
        <v>51</v>
      </c>
      <c r="E6120" s="5">
        <v>-28418</v>
      </c>
      <c r="F6120" s="3" t="s">
        <v>205</v>
      </c>
      <c r="G6120" s="3" t="s">
        <v>167</v>
      </c>
      <c r="H6120" s="2" t="s">
        <v>20</v>
      </c>
      <c r="I6120" s="2" t="s">
        <v>11970</v>
      </c>
      <c r="J6120" s="3" t="str">
        <f>HYPERLINK("https://www.boe.es/gazeta/dias/1822/03/11/pdfs/GMD-1822-72.pdf#page=7","Abrir facsímil")</f>
        <v>Abrir facsímil</v>
      </c>
      <c r="K6120" s="3" t="s">
        <v>22</v>
      </c>
    </row>
    <row r="6121" spans="1:11" ht="42" customHeight="1">
      <c r="A6121" s="2" t="s">
        <v>11971</v>
      </c>
      <c r="B6121" s="2" t="s">
        <v>11972</v>
      </c>
      <c r="C6121" s="2" t="s">
        <v>71</v>
      </c>
      <c r="D6121" s="2" t="s">
        <v>17</v>
      </c>
      <c r="E6121" s="5">
        <v>-28486</v>
      </c>
      <c r="F6121" s="3" t="s">
        <v>1046</v>
      </c>
      <c r="G6121" s="3" t="s">
        <v>57</v>
      </c>
      <c r="H6121" s="2" t="s">
        <v>20</v>
      </c>
      <c r="I6121" s="2" t="s">
        <v>11973</v>
      </c>
      <c r="J6121" s="3" t="str">
        <f>HYPERLINK("https://www.boe.es/gazeta/dias/1822/01/02/pdfs/GMD-1822-2.pdf#page=4","Abrir facsímil")</f>
        <v>Abrir facsímil</v>
      </c>
      <c r="K6121" s="3" t="s">
        <v>22</v>
      </c>
    </row>
    <row r="6122" spans="1:11" ht="42" customHeight="1">
      <c r="A6122" s="2" t="s">
        <v>11974</v>
      </c>
      <c r="B6122" s="2" t="s">
        <v>11974</v>
      </c>
      <c r="C6122" s="2" t="s">
        <v>362</v>
      </c>
      <c r="D6122" s="2" t="s">
        <v>17</v>
      </c>
      <c r="E6122" s="5">
        <v>-28139</v>
      </c>
      <c r="F6122" s="3" t="s">
        <v>143</v>
      </c>
      <c r="G6122" s="3" t="s">
        <v>35</v>
      </c>
      <c r="H6122" s="2" t="s">
        <v>20</v>
      </c>
      <c r="I6122" s="2" t="s">
        <v>11975</v>
      </c>
      <c r="J6122" s="3" t="str">
        <f>HYPERLINK("https://www.boe.es/gazeta/dias/1822/12/15/pdfs/GMD-1822-365.pdf#page=2","Abrir facsímil")</f>
        <v>Abrir facsímil</v>
      </c>
      <c r="K6122" s="3" t="s">
        <v>22</v>
      </c>
    </row>
    <row r="6123" spans="1:11" ht="42" customHeight="1">
      <c r="A6123" s="2" t="s">
        <v>11976</v>
      </c>
      <c r="B6123" s="2" t="s">
        <v>11976</v>
      </c>
      <c r="C6123" s="2" t="s">
        <v>362</v>
      </c>
      <c r="D6123" s="2" t="s">
        <v>17</v>
      </c>
      <c r="E6123" s="5">
        <v>-28480</v>
      </c>
      <c r="F6123" s="3" t="s">
        <v>995</v>
      </c>
      <c r="G6123" s="3" t="s">
        <v>57</v>
      </c>
      <c r="H6123" s="2" t="s">
        <v>20</v>
      </c>
      <c r="I6123" s="2" t="s">
        <v>11977</v>
      </c>
      <c r="J6123" s="3" t="str">
        <f>HYPERLINK("https://www.boe.es/gazeta/dias/1822/01/08/pdfs/GMD-1822-8.pdf#page=4","Abrir facsímil")</f>
        <v>Abrir facsímil</v>
      </c>
      <c r="K6123" s="3" t="s">
        <v>22</v>
      </c>
    </row>
    <row r="6124" spans="1:11" ht="42" customHeight="1">
      <c r="A6124" s="2" t="s">
        <v>11976</v>
      </c>
      <c r="B6124" s="2" t="s">
        <v>11976</v>
      </c>
      <c r="C6124" s="2" t="s">
        <v>42</v>
      </c>
      <c r="D6124" s="2" t="s">
        <v>17</v>
      </c>
      <c r="E6124" s="5">
        <v>-28476</v>
      </c>
      <c r="F6124" s="3" t="s">
        <v>160</v>
      </c>
      <c r="G6124" s="3" t="s">
        <v>31</v>
      </c>
      <c r="H6124" s="2" t="s">
        <v>20</v>
      </c>
      <c r="I6124" s="2" t="s">
        <v>11978</v>
      </c>
      <c r="J6124" s="3" t="str">
        <f>HYPERLINK("https://www.boe.es/gazeta/dias/1822/01/12/pdfs/GMD-1822-12.pdf#page=3","Abrir facsímil")</f>
        <v>Abrir facsímil</v>
      </c>
      <c r="K6124" s="3" t="s">
        <v>22</v>
      </c>
    </row>
    <row r="6125" spans="1:11" ht="42" customHeight="1">
      <c r="A6125" s="2" t="s">
        <v>11976</v>
      </c>
      <c r="B6125" s="2" t="s">
        <v>11976</v>
      </c>
      <c r="C6125" s="2" t="s">
        <v>42</v>
      </c>
      <c r="D6125" s="2" t="s">
        <v>17</v>
      </c>
      <c r="E6125" s="5">
        <v>-28462</v>
      </c>
      <c r="F6125" s="3" t="s">
        <v>1099</v>
      </c>
      <c r="G6125" s="3" t="s">
        <v>57</v>
      </c>
      <c r="H6125" s="2" t="s">
        <v>20</v>
      </c>
      <c r="I6125" s="2" t="s">
        <v>11979</v>
      </c>
      <c r="J6125" s="3" t="str">
        <f>HYPERLINK("https://www.boe.es/gazeta/dias/1822/01/26/pdfs/GMD-1822-26.pdf#page=4","Abrir facsímil")</f>
        <v>Abrir facsímil</v>
      </c>
      <c r="K6125" s="3" t="s">
        <v>22</v>
      </c>
    </row>
    <row r="6126" spans="1:11" ht="42" customHeight="1">
      <c r="A6126" s="2" t="s">
        <v>11976</v>
      </c>
      <c r="B6126" s="2" t="s">
        <v>11976</v>
      </c>
      <c r="C6126" s="2" t="s">
        <v>50</v>
      </c>
      <c r="D6126" s="2" t="s">
        <v>51</v>
      </c>
      <c r="E6126" s="5">
        <v>-28456</v>
      </c>
      <c r="F6126" s="3" t="s">
        <v>1104</v>
      </c>
      <c r="G6126" s="3" t="s">
        <v>31</v>
      </c>
      <c r="H6126" s="2" t="s">
        <v>20</v>
      </c>
      <c r="I6126" s="2" t="s">
        <v>11980</v>
      </c>
      <c r="J6126" s="3" t="str">
        <f>HYPERLINK("https://www.boe.es/gazeta/dias/1822/02/01/pdfs/GMD-1822-32.pdf#page=3","Abrir facsímil")</f>
        <v>Abrir facsímil</v>
      </c>
      <c r="K6126" s="3" t="s">
        <v>22</v>
      </c>
    </row>
    <row r="6127" spans="1:11" ht="42" customHeight="1">
      <c r="A6127" s="2" t="s">
        <v>11976</v>
      </c>
      <c r="B6127" s="2" t="s">
        <v>11976</v>
      </c>
      <c r="C6127" s="2" t="s">
        <v>50</v>
      </c>
      <c r="D6127" s="2" t="s">
        <v>51</v>
      </c>
      <c r="E6127" s="5">
        <v>-28402</v>
      </c>
      <c r="F6127" s="3" t="s">
        <v>473</v>
      </c>
      <c r="G6127" s="3" t="s">
        <v>31</v>
      </c>
      <c r="H6127" s="2" t="s">
        <v>20</v>
      </c>
      <c r="I6127" s="2" t="s">
        <v>11981</v>
      </c>
      <c r="J6127" s="3" t="str">
        <f>HYPERLINK("https://www.boe.es/gazeta/dias/1822/03/27/pdfs/GMD-1822-88.pdf#page=3","Abrir facsímil")</f>
        <v>Abrir facsímil</v>
      </c>
      <c r="K6127" s="3" t="s">
        <v>22</v>
      </c>
    </row>
    <row r="6128" spans="1:11" ht="42" customHeight="1">
      <c r="A6128" s="2" t="s">
        <v>11976</v>
      </c>
      <c r="B6128" s="2" t="s">
        <v>11976</v>
      </c>
      <c r="C6128" s="2" t="s">
        <v>50</v>
      </c>
      <c r="D6128" s="2" t="s">
        <v>51</v>
      </c>
      <c r="E6128" s="5">
        <v>-28338</v>
      </c>
      <c r="F6128" s="3" t="s">
        <v>527</v>
      </c>
      <c r="G6128" s="3" t="s">
        <v>44</v>
      </c>
      <c r="H6128" s="2" t="s">
        <v>20</v>
      </c>
      <c r="I6128" s="2" t="s">
        <v>11982</v>
      </c>
      <c r="J6128" s="3" t="str">
        <f>HYPERLINK("https://www.boe.es/gazeta/dias/1822/05/30/pdfs/GMD-1822-155.pdf#page=1","Abrir facsímil")</f>
        <v>Abrir facsímil</v>
      </c>
      <c r="K6128" s="3" t="s">
        <v>22</v>
      </c>
    </row>
    <row r="6129" spans="1:11" ht="42" customHeight="1">
      <c r="A6129" s="2" t="s">
        <v>11983</v>
      </c>
      <c r="B6129" s="2" t="s">
        <v>11984</v>
      </c>
      <c r="C6129" s="2" t="s">
        <v>71</v>
      </c>
      <c r="D6129" s="2" t="s">
        <v>17</v>
      </c>
      <c r="E6129" s="5">
        <v>-28346</v>
      </c>
      <c r="F6129" s="3" t="s">
        <v>191</v>
      </c>
      <c r="G6129" s="3" t="s">
        <v>35</v>
      </c>
      <c r="H6129" s="2" t="s">
        <v>20</v>
      </c>
      <c r="I6129" s="2" t="s">
        <v>11985</v>
      </c>
      <c r="J6129" s="3" t="str">
        <f>HYPERLINK("https://www.boe.es/gazeta/dias/1822/05/22/pdfs/GMD-1822-145.pdf#page=2","Abrir facsímil")</f>
        <v>Abrir facsímil</v>
      </c>
      <c r="K6129" s="3" t="s">
        <v>22</v>
      </c>
    </row>
    <row r="6130" spans="1:11" ht="42" customHeight="1">
      <c r="A6130" s="2" t="s">
        <v>11986</v>
      </c>
      <c r="B6130" s="2" t="s">
        <v>11987</v>
      </c>
      <c r="C6130" s="2" t="s">
        <v>28</v>
      </c>
      <c r="D6130" s="2" t="s">
        <v>29</v>
      </c>
      <c r="E6130" s="5">
        <v>-28436</v>
      </c>
      <c r="F6130" s="3" t="s">
        <v>431</v>
      </c>
      <c r="G6130" s="3" t="s">
        <v>57</v>
      </c>
      <c r="H6130" s="2" t="s">
        <v>20</v>
      </c>
      <c r="I6130" s="2" t="s">
        <v>11988</v>
      </c>
      <c r="J6130" s="3" t="str">
        <f>HYPERLINK("https://www.boe.es/gazeta/dias/1822/02/21/pdfs/GMD-1822-53.pdf#page=4","Abrir facsímil")</f>
        <v>Abrir facsímil</v>
      </c>
      <c r="K6130" s="3" t="s">
        <v>22</v>
      </c>
    </row>
    <row r="6131" spans="1:11" ht="42" customHeight="1">
      <c r="A6131" s="2" t="s">
        <v>11989</v>
      </c>
      <c r="B6131" s="2" t="s">
        <v>11990</v>
      </c>
      <c r="C6131" s="2" t="s">
        <v>50</v>
      </c>
      <c r="D6131" s="2" t="s">
        <v>51</v>
      </c>
      <c r="E6131" s="5">
        <v>-28394</v>
      </c>
      <c r="F6131" s="3" t="s">
        <v>268</v>
      </c>
      <c r="G6131" s="3" t="s">
        <v>57</v>
      </c>
      <c r="H6131" s="2" t="s">
        <v>20</v>
      </c>
      <c r="I6131" s="2" t="s">
        <v>11991</v>
      </c>
      <c r="J6131" s="3" t="str">
        <f>HYPERLINK("https://www.boe.es/gazeta/dias/1822/04/04/pdfs/GMD-1822-96.pdf#page=4","Abrir facsímil")</f>
        <v>Abrir facsímil</v>
      </c>
      <c r="K6131" s="3" t="s">
        <v>22</v>
      </c>
    </row>
    <row r="6132" spans="1:11" ht="42" customHeight="1">
      <c r="A6132" s="2" t="s">
        <v>11992</v>
      </c>
      <c r="B6132" s="2" t="s">
        <v>11993</v>
      </c>
      <c r="C6132" s="2" t="s">
        <v>50</v>
      </c>
      <c r="D6132" s="2" t="s">
        <v>51</v>
      </c>
      <c r="E6132" s="5">
        <v>-28303</v>
      </c>
      <c r="F6132" s="3" t="s">
        <v>201</v>
      </c>
      <c r="G6132" s="3" t="s">
        <v>31</v>
      </c>
      <c r="H6132" s="2" t="s">
        <v>20</v>
      </c>
      <c r="I6132" s="2" t="s">
        <v>11994</v>
      </c>
      <c r="J6132" s="3" t="str">
        <f>HYPERLINK("https://www.boe.es/gazeta/dias/1822/07/04/pdfs/GMD-1822-193.pdf#page=3","Abrir facsímil")</f>
        <v>Abrir facsímil</v>
      </c>
      <c r="K6132" s="3" t="s">
        <v>22</v>
      </c>
    </row>
    <row r="6133" spans="1:11" ht="42" customHeight="1">
      <c r="A6133" s="2" t="s">
        <v>11995</v>
      </c>
      <c r="B6133" s="2" t="s">
        <v>11996</v>
      </c>
      <c r="C6133" s="2" t="s">
        <v>50</v>
      </c>
      <c r="D6133" s="2" t="s">
        <v>51</v>
      </c>
      <c r="E6133" s="5">
        <v>-28303</v>
      </c>
      <c r="F6133" s="3" t="s">
        <v>201</v>
      </c>
      <c r="G6133" s="3" t="s">
        <v>31</v>
      </c>
      <c r="H6133" s="2" t="s">
        <v>20</v>
      </c>
      <c r="I6133" s="2" t="s">
        <v>11997</v>
      </c>
      <c r="J6133" s="3" t="str">
        <f>HYPERLINK("https://www.boe.es/gazeta/dias/1822/07/04/pdfs/GMD-1822-193.pdf#page=3","Abrir facsímil")</f>
        <v>Abrir facsímil</v>
      </c>
      <c r="K6133" s="3" t="s">
        <v>22</v>
      </c>
    </row>
    <row r="6134" spans="1:11" ht="42" customHeight="1">
      <c r="A6134" s="2" t="s">
        <v>11998</v>
      </c>
      <c r="B6134" s="2" t="s">
        <v>11999</v>
      </c>
      <c r="C6134" s="2" t="s">
        <v>362</v>
      </c>
      <c r="D6134" s="2" t="s">
        <v>17</v>
      </c>
      <c r="E6134" s="5">
        <v>-28278</v>
      </c>
      <c r="F6134" s="3" t="s">
        <v>368</v>
      </c>
      <c r="G6134" s="3" t="s">
        <v>57</v>
      </c>
      <c r="H6134" s="2" t="s">
        <v>20</v>
      </c>
      <c r="I6134" s="2" t="s">
        <v>12000</v>
      </c>
      <c r="J6134" s="3" t="str">
        <f>HYPERLINK("https://www.boe.es/gazeta/dias/1822/07/29/pdfs/GMD-1822-222.pdf#page=4","Abrir facsímil")</f>
        <v>Abrir facsímil</v>
      </c>
      <c r="K6134" s="3" t="s">
        <v>22</v>
      </c>
    </row>
    <row r="6135" spans="1:11" ht="42" customHeight="1">
      <c r="A6135" s="2" t="s">
        <v>12001</v>
      </c>
      <c r="B6135" s="2" t="s">
        <v>12001</v>
      </c>
      <c r="C6135" s="2" t="s">
        <v>16</v>
      </c>
      <c r="D6135" s="2" t="s">
        <v>17</v>
      </c>
      <c r="E6135" s="5">
        <v>-28332</v>
      </c>
      <c r="F6135" s="3" t="s">
        <v>535</v>
      </c>
      <c r="G6135" s="3" t="s">
        <v>31</v>
      </c>
      <c r="H6135" s="2" t="s">
        <v>20</v>
      </c>
      <c r="I6135" s="2" t="s">
        <v>12002</v>
      </c>
      <c r="J6135" s="3" t="str">
        <f>HYPERLINK("https://www.boe.es/gazeta/dias/1822/06/05/pdfs/GMD-1822-162.pdf#page=3","Abrir facsímil")</f>
        <v>Abrir facsímil</v>
      </c>
      <c r="K6135" s="3" t="s">
        <v>22</v>
      </c>
    </row>
    <row r="6136" spans="1:11" ht="42" customHeight="1">
      <c r="A6136" s="2" t="s">
        <v>12003</v>
      </c>
      <c r="B6136" s="2" t="s">
        <v>12004</v>
      </c>
      <c r="C6136" s="2" t="s">
        <v>42</v>
      </c>
      <c r="D6136" s="2" t="s">
        <v>17</v>
      </c>
      <c r="E6136" s="5">
        <v>-28236</v>
      </c>
      <c r="F6136" s="3" t="s">
        <v>714</v>
      </c>
      <c r="G6136" s="3" t="s">
        <v>35</v>
      </c>
      <c r="H6136" s="2" t="s">
        <v>20</v>
      </c>
      <c r="I6136" s="2" t="s">
        <v>12005</v>
      </c>
      <c r="J6136" s="3" t="str">
        <f>HYPERLINK("https://www.boe.es/gazeta/dias/1822/09/09/pdfs/GMD-1822-265.pdf#page=2","Abrir facsímil")</f>
        <v>Abrir facsímil</v>
      </c>
      <c r="K6136" s="3" t="s">
        <v>22</v>
      </c>
    </row>
    <row r="6137" spans="1:11" ht="42" customHeight="1">
      <c r="A6137" s="2" t="s">
        <v>12006</v>
      </c>
      <c r="B6137" s="2" t="s">
        <v>12007</v>
      </c>
      <c r="C6137" s="2" t="s">
        <v>42</v>
      </c>
      <c r="D6137" s="2" t="s">
        <v>17</v>
      </c>
      <c r="E6137" s="5">
        <v>-28237</v>
      </c>
      <c r="F6137" s="3" t="s">
        <v>878</v>
      </c>
      <c r="G6137" s="3" t="s">
        <v>57</v>
      </c>
      <c r="H6137" s="2" t="s">
        <v>20</v>
      </c>
      <c r="I6137" s="2" t="s">
        <v>12008</v>
      </c>
      <c r="J6137" s="3" t="str">
        <f>HYPERLINK("https://www.boe.es/gazeta/dias/1822/09/08/pdfs/GMD-1822-264.pdf#page=4","Abrir facsímil")</f>
        <v>Abrir facsímil</v>
      </c>
      <c r="K6137" s="3" t="s">
        <v>22</v>
      </c>
    </row>
    <row r="6138" spans="1:11" ht="42" customHeight="1">
      <c r="A6138" s="2" t="s">
        <v>12009</v>
      </c>
      <c r="B6138" s="2" t="s">
        <v>12009</v>
      </c>
      <c r="C6138" s="2" t="s">
        <v>28</v>
      </c>
      <c r="D6138" s="2" t="s">
        <v>29</v>
      </c>
      <c r="E6138" s="5">
        <v>-28354</v>
      </c>
      <c r="F6138" s="3" t="s">
        <v>226</v>
      </c>
      <c r="G6138" s="3" t="s">
        <v>31</v>
      </c>
      <c r="H6138" s="2" t="s">
        <v>20</v>
      </c>
      <c r="I6138" s="2" t="s">
        <v>12010</v>
      </c>
      <c r="J6138" s="3" t="str">
        <f>HYPERLINK("https://www.boe.es/gazeta/dias/1822/05/14/pdfs/GMD-1822-136.pdf#page=3","Abrir facsímil")</f>
        <v>Abrir facsímil</v>
      </c>
      <c r="K6138" s="3" t="s">
        <v>22</v>
      </c>
    </row>
    <row r="6139" spans="1:11" ht="42" customHeight="1">
      <c r="A6139" s="2" t="s">
        <v>12009</v>
      </c>
      <c r="B6139" s="2" t="s">
        <v>12009</v>
      </c>
      <c r="C6139" s="2" t="s">
        <v>50</v>
      </c>
      <c r="D6139" s="2" t="s">
        <v>51</v>
      </c>
      <c r="E6139" s="5">
        <v>-28186</v>
      </c>
      <c r="F6139" s="3" t="s">
        <v>581</v>
      </c>
      <c r="G6139" s="3" t="s">
        <v>35</v>
      </c>
      <c r="H6139" s="2" t="s">
        <v>20</v>
      </c>
      <c r="I6139" s="2" t="s">
        <v>12011</v>
      </c>
      <c r="J6139" s="3" t="str">
        <f>HYPERLINK("https://www.boe.es/gazeta/dias/1822/10/29/pdfs/GMD-1822-316.pdf#page=2","Abrir facsímil")</f>
        <v>Abrir facsímil</v>
      </c>
      <c r="K6139" s="3" t="s">
        <v>22</v>
      </c>
    </row>
    <row r="6140" spans="1:11" ht="42" customHeight="1">
      <c r="A6140" s="2" t="s">
        <v>12012</v>
      </c>
      <c r="B6140" s="2" t="s">
        <v>12012</v>
      </c>
      <c r="C6140" s="2" t="s">
        <v>24</v>
      </c>
      <c r="D6140" s="2" t="s">
        <v>17</v>
      </c>
      <c r="E6140" s="5">
        <v>-28295</v>
      </c>
      <c r="F6140" s="3" t="s">
        <v>81</v>
      </c>
      <c r="G6140" s="3" t="s">
        <v>44</v>
      </c>
      <c r="H6140" s="2" t="s">
        <v>20</v>
      </c>
      <c r="I6140" s="2" t="s">
        <v>12013</v>
      </c>
      <c r="J6140" s="3" t="str">
        <f>HYPERLINK("https://www.boe.es/gazeta/dias/1822/07/12/pdfs/GMD-1822-202.pdf#page=1","Abrir facsímil")</f>
        <v>Abrir facsímil</v>
      </c>
      <c r="K6140" s="3" t="s">
        <v>22</v>
      </c>
    </row>
    <row r="6141" spans="1:11" ht="42" customHeight="1">
      <c r="A6141" s="2" t="s">
        <v>12014</v>
      </c>
      <c r="B6141" s="2" t="s">
        <v>12015</v>
      </c>
      <c r="C6141" s="2" t="s">
        <v>50</v>
      </c>
      <c r="D6141" s="2" t="s">
        <v>51</v>
      </c>
      <c r="E6141" s="5">
        <v>-28314</v>
      </c>
      <c r="F6141" s="3" t="s">
        <v>309</v>
      </c>
      <c r="G6141" s="3" t="s">
        <v>63</v>
      </c>
      <c r="H6141" s="2" t="s">
        <v>20</v>
      </c>
      <c r="I6141" s="2" t="s">
        <v>12016</v>
      </c>
      <c r="J6141" s="3" t="str">
        <f>HYPERLINK("https://www.boe.es/gazeta/dias/1822/06/23/pdfs/GMD-1822-181.pdf#page=6","Abrir facsímil")</f>
        <v>Abrir facsímil</v>
      </c>
      <c r="K6141" s="3" t="s">
        <v>22</v>
      </c>
    </row>
    <row r="6142" spans="1:11" ht="42" customHeight="1">
      <c r="A6142" s="2" t="s">
        <v>12017</v>
      </c>
      <c r="B6142" s="2" t="s">
        <v>12017</v>
      </c>
      <c r="C6142" s="2" t="s">
        <v>42</v>
      </c>
      <c r="D6142" s="2" t="s">
        <v>17</v>
      </c>
      <c r="E6142" s="5">
        <v>-28220</v>
      </c>
      <c r="F6142" s="3" t="s">
        <v>1914</v>
      </c>
      <c r="G6142" s="3" t="s">
        <v>44</v>
      </c>
      <c r="H6142" s="2" t="s">
        <v>20</v>
      </c>
      <c r="I6142" s="2" t="s">
        <v>12018</v>
      </c>
      <c r="J6142" s="3" t="str">
        <f>HYPERLINK("https://www.boe.es/gazeta/dias/1822/09/25/pdfs/GMD-1822-281.pdf#page=1","Abrir facsímil")</f>
        <v>Abrir facsímil</v>
      </c>
      <c r="K6142" s="3" t="s">
        <v>22</v>
      </c>
    </row>
    <row r="6143" spans="1:11" ht="42" customHeight="1">
      <c r="A6143" s="2" t="s">
        <v>12019</v>
      </c>
      <c r="B6143" s="2" t="s">
        <v>12019</v>
      </c>
      <c r="C6143" s="2" t="s">
        <v>16</v>
      </c>
      <c r="D6143" s="2" t="s">
        <v>17</v>
      </c>
      <c r="E6143" s="5">
        <v>-28431</v>
      </c>
      <c r="F6143" s="3" t="s">
        <v>1258</v>
      </c>
      <c r="G6143" s="3" t="s">
        <v>31</v>
      </c>
      <c r="H6143" s="2" t="s">
        <v>20</v>
      </c>
      <c r="I6143" s="2" t="s">
        <v>12020</v>
      </c>
      <c r="J6143" s="3" t="str">
        <f>HYPERLINK("https://www.boe.es/gazeta/dias/1822/02/26/pdfs/GMD-1822-58.pdf#page=3","Abrir facsímil")</f>
        <v>Abrir facsímil</v>
      </c>
      <c r="K6143" s="3" t="s">
        <v>22</v>
      </c>
    </row>
    <row r="6144" spans="1:11" ht="42" customHeight="1">
      <c r="A6144" s="2" t="s">
        <v>12021</v>
      </c>
      <c r="B6144" s="2" t="s">
        <v>12022</v>
      </c>
      <c r="C6144" s="2" t="s">
        <v>71</v>
      </c>
      <c r="D6144" s="2" t="s">
        <v>17</v>
      </c>
      <c r="E6144" s="5">
        <v>-28149</v>
      </c>
      <c r="F6144" s="3" t="s">
        <v>1322</v>
      </c>
      <c r="G6144" s="3" t="s">
        <v>57</v>
      </c>
      <c r="H6144" s="2" t="s">
        <v>20</v>
      </c>
      <c r="I6144" s="2" t="s">
        <v>12023</v>
      </c>
      <c r="J6144" s="3" t="str">
        <f>HYPERLINK("https://www.boe.es/gazeta/dias/1822/12/05/pdfs/GMD-1822-355.pdf#page=4","Abrir facsímil")</f>
        <v>Abrir facsímil</v>
      </c>
      <c r="K6144" s="3" t="s">
        <v>22</v>
      </c>
    </row>
    <row r="6145" spans="1:11" ht="42" customHeight="1">
      <c r="A6145" s="2" t="s">
        <v>12024</v>
      </c>
      <c r="B6145" s="2" t="s">
        <v>12025</v>
      </c>
      <c r="C6145" s="2" t="s">
        <v>50</v>
      </c>
      <c r="D6145" s="2" t="s">
        <v>51</v>
      </c>
      <c r="E6145" s="5">
        <v>-28264</v>
      </c>
      <c r="F6145" s="3" t="s">
        <v>1329</v>
      </c>
      <c r="G6145" s="3" t="s">
        <v>57</v>
      </c>
      <c r="H6145" s="2" t="s">
        <v>20</v>
      </c>
      <c r="I6145" s="2" t="s">
        <v>12026</v>
      </c>
      <c r="J6145" s="3" t="str">
        <f>HYPERLINK("https://www.boe.es/gazeta/dias/1822/08/12/pdfs/GMD-1822-236.pdf#page=4","Abrir facsímil")</f>
        <v>Abrir facsímil</v>
      </c>
      <c r="K6145" s="3" t="s">
        <v>22</v>
      </c>
    </row>
    <row r="6146" spans="1:11" ht="42" customHeight="1">
      <c r="A6146" s="2" t="s">
        <v>12027</v>
      </c>
      <c r="B6146" s="2" t="s">
        <v>12028</v>
      </c>
      <c r="C6146" s="2" t="s">
        <v>42</v>
      </c>
      <c r="D6146" s="2" t="s">
        <v>17</v>
      </c>
      <c r="E6146" s="5">
        <v>-28468</v>
      </c>
      <c r="F6146" s="3" t="s">
        <v>1012</v>
      </c>
      <c r="G6146" s="3" t="s">
        <v>63</v>
      </c>
      <c r="H6146" s="2" t="s">
        <v>20</v>
      </c>
      <c r="I6146" s="2" t="s">
        <v>12029</v>
      </c>
      <c r="J6146" s="3" t="str">
        <f>HYPERLINK("https://www.boe.es/gazeta/dias/1822/01/20/pdfs/GMD-1822-20.pdf#page=6","Abrir facsímil")</f>
        <v>Abrir facsímil</v>
      </c>
      <c r="K6146" s="3" t="s">
        <v>22</v>
      </c>
    </row>
    <row r="6147" spans="1:11" ht="42" customHeight="1">
      <c r="A6147" s="2" t="s">
        <v>12030</v>
      </c>
      <c r="B6147" s="2" t="s">
        <v>12031</v>
      </c>
      <c r="C6147" s="2" t="s">
        <v>16</v>
      </c>
      <c r="D6147" s="2" t="s">
        <v>17</v>
      </c>
      <c r="E6147" s="5">
        <v>-28435</v>
      </c>
      <c r="F6147" s="3" t="s">
        <v>1710</v>
      </c>
      <c r="G6147" s="3" t="s">
        <v>57</v>
      </c>
      <c r="H6147" s="2" t="s">
        <v>20</v>
      </c>
      <c r="I6147" s="2" t="s">
        <v>12032</v>
      </c>
      <c r="J6147" s="3" t="str">
        <f>HYPERLINK("https://www.boe.es/gazeta/dias/1822/02/22/pdfs/GMD-1822-54.pdf#page=4","Abrir facsímil")</f>
        <v>Abrir facsímil</v>
      </c>
      <c r="K6147" s="3" t="s">
        <v>22</v>
      </c>
    </row>
    <row r="6148" spans="1:11" ht="42" customHeight="1">
      <c r="A6148" s="2" t="s">
        <v>12033</v>
      </c>
      <c r="B6148" s="2" t="s">
        <v>12034</v>
      </c>
      <c r="C6148" s="2" t="s">
        <v>71</v>
      </c>
      <c r="D6148" s="2" t="s">
        <v>17</v>
      </c>
      <c r="E6148" s="5">
        <v>-28225</v>
      </c>
      <c r="F6148" s="3" t="s">
        <v>177</v>
      </c>
      <c r="G6148" s="3" t="s">
        <v>178</v>
      </c>
      <c r="H6148" s="2" t="s">
        <v>20</v>
      </c>
      <c r="I6148" s="2" t="s">
        <v>12035</v>
      </c>
      <c r="J6148" s="3" t="str">
        <f>HYPERLINK("https://www.boe.es/gazeta/dias/1822/09/20/pdfs/GMD-1822-276.pdf#page=3","Abrir facsímil")</f>
        <v>Abrir facsímil</v>
      </c>
      <c r="K6148" s="3" t="s">
        <v>22</v>
      </c>
    </row>
    <row r="6149" spans="1:11" ht="42" customHeight="1">
      <c r="A6149" s="2" t="s">
        <v>12036</v>
      </c>
      <c r="B6149" s="2" t="s">
        <v>12037</v>
      </c>
      <c r="C6149" s="2" t="s">
        <v>50</v>
      </c>
      <c r="D6149" s="2" t="s">
        <v>51</v>
      </c>
      <c r="E6149" s="5">
        <v>-28213</v>
      </c>
      <c r="F6149" s="3" t="s">
        <v>558</v>
      </c>
      <c r="G6149" s="3" t="s">
        <v>57</v>
      </c>
      <c r="H6149" s="2" t="s">
        <v>20</v>
      </c>
      <c r="I6149" s="2" t="s">
        <v>12038</v>
      </c>
      <c r="J6149" s="3" t="str">
        <f>HYPERLINK("https://www.boe.es/gazeta/dias/1822/10/02/pdfs/GMD-1822-288.pdf#page=4","Abrir facsímil")</f>
        <v>Abrir facsímil</v>
      </c>
      <c r="K6149" s="3" t="s">
        <v>22</v>
      </c>
    </row>
    <row r="6150" spans="1:11" ht="42" customHeight="1">
      <c r="A6150" s="2" t="s">
        <v>12039</v>
      </c>
      <c r="B6150" s="2" t="s">
        <v>12040</v>
      </c>
      <c r="C6150" s="2" t="s">
        <v>71</v>
      </c>
      <c r="D6150" s="2" t="s">
        <v>17</v>
      </c>
      <c r="E6150" s="5">
        <v>-28275</v>
      </c>
      <c r="F6150" s="3" t="s">
        <v>1297</v>
      </c>
      <c r="G6150" s="3" t="s">
        <v>57</v>
      </c>
      <c r="H6150" s="2" t="s">
        <v>20</v>
      </c>
      <c r="I6150" s="2" t="s">
        <v>12041</v>
      </c>
      <c r="J6150" s="3" t="str">
        <f>HYPERLINK("https://www.boe.es/gazeta/dias/1822/08/01/pdfs/GMD-1822-225.pdf#page=4","Abrir facsímil")</f>
        <v>Abrir facsímil</v>
      </c>
      <c r="K6150" s="3" t="s">
        <v>22</v>
      </c>
    </row>
    <row r="6151" spans="1:11" ht="42" customHeight="1">
      <c r="A6151" s="2" t="s">
        <v>12042</v>
      </c>
      <c r="B6151" s="2" t="s">
        <v>12043</v>
      </c>
      <c r="C6151" s="2" t="s">
        <v>71</v>
      </c>
      <c r="D6151" s="2" t="s">
        <v>17</v>
      </c>
      <c r="E6151" s="5">
        <v>-28391</v>
      </c>
      <c r="F6151" s="3" t="s">
        <v>378</v>
      </c>
      <c r="G6151" s="3" t="s">
        <v>63</v>
      </c>
      <c r="H6151" s="2" t="s">
        <v>20</v>
      </c>
      <c r="I6151" s="2" t="s">
        <v>12044</v>
      </c>
      <c r="J6151" s="3" t="str">
        <f>HYPERLINK("https://www.boe.es/gazeta/dias/1822/04/07/pdfs/GMD-1822-99.pdf#page=6","Abrir facsímil")</f>
        <v>Abrir facsímil</v>
      </c>
      <c r="K6151" s="3" t="s">
        <v>22</v>
      </c>
    </row>
    <row r="6152" spans="1:11" ht="42" customHeight="1">
      <c r="A6152" s="2" t="s">
        <v>12045</v>
      </c>
      <c r="B6152" s="2" t="s">
        <v>12046</v>
      </c>
      <c r="C6152" s="2" t="s">
        <v>24</v>
      </c>
      <c r="D6152" s="2" t="s">
        <v>17</v>
      </c>
      <c r="E6152" s="5">
        <v>-28458</v>
      </c>
      <c r="F6152" s="3" t="s">
        <v>1151</v>
      </c>
      <c r="G6152" s="3" t="s">
        <v>57</v>
      </c>
      <c r="H6152" s="2" t="s">
        <v>20</v>
      </c>
      <c r="I6152" s="2" t="s">
        <v>12047</v>
      </c>
      <c r="J6152" s="3" t="str">
        <f>HYPERLINK("https://www.boe.es/gazeta/dias/1822/01/30/pdfs/GMD-1822-30.pdf#page=4","Abrir facsímil")</f>
        <v>Abrir facsímil</v>
      </c>
      <c r="K6152" s="3" t="s">
        <v>22</v>
      </c>
    </row>
    <row r="6153" spans="1:11" ht="42" customHeight="1">
      <c r="A6153" s="2" t="s">
        <v>12048</v>
      </c>
      <c r="B6153" s="2" t="s">
        <v>12049</v>
      </c>
      <c r="C6153" s="2" t="s">
        <v>50</v>
      </c>
      <c r="D6153" s="2" t="s">
        <v>51</v>
      </c>
      <c r="E6153" s="5">
        <v>-28311</v>
      </c>
      <c r="F6153" s="3" t="s">
        <v>736</v>
      </c>
      <c r="G6153" s="3" t="s">
        <v>44</v>
      </c>
      <c r="H6153" s="2" t="s">
        <v>20</v>
      </c>
      <c r="I6153" s="2" t="s">
        <v>12050</v>
      </c>
      <c r="J6153" s="3" t="str">
        <f>HYPERLINK("https://www.boe.es/gazeta/dias/1822/06/26/pdfs/GMD-1822-184.pdf#page=1","Abrir facsímil")</f>
        <v>Abrir facsímil</v>
      </c>
      <c r="K6153" s="3" t="s">
        <v>22</v>
      </c>
    </row>
    <row r="6154" spans="1:11" ht="42" customHeight="1">
      <c r="A6154" s="2" t="s">
        <v>12051</v>
      </c>
      <c r="B6154" s="2" t="s">
        <v>12051</v>
      </c>
      <c r="C6154" s="2" t="s">
        <v>42</v>
      </c>
      <c r="D6154" s="2" t="s">
        <v>17</v>
      </c>
      <c r="E6154" s="5">
        <v>-28444</v>
      </c>
      <c r="F6154" s="3" t="s">
        <v>681</v>
      </c>
      <c r="G6154" s="3" t="s">
        <v>31</v>
      </c>
      <c r="H6154" s="2" t="s">
        <v>20</v>
      </c>
      <c r="I6154" s="2" t="s">
        <v>12052</v>
      </c>
      <c r="J6154" s="3" t="str">
        <f>HYPERLINK("https://www.boe.es/gazeta/dias/1822/02/13/pdfs/GMD-1822-44.pdf#page=3","Abrir facsímil")</f>
        <v>Abrir facsímil</v>
      </c>
      <c r="K6154" s="3" t="s">
        <v>22</v>
      </c>
    </row>
    <row r="6155" spans="1:11" ht="42" customHeight="1">
      <c r="A6155" s="2" t="s">
        <v>12053</v>
      </c>
      <c r="B6155" s="2" t="s">
        <v>12053</v>
      </c>
      <c r="C6155" s="2" t="s">
        <v>28</v>
      </c>
      <c r="D6155" s="2" t="s">
        <v>29</v>
      </c>
      <c r="E6155" s="5">
        <v>-28126</v>
      </c>
      <c r="F6155" s="3" t="s">
        <v>952</v>
      </c>
      <c r="G6155" s="3" t="s">
        <v>35</v>
      </c>
      <c r="H6155" s="2" t="s">
        <v>20</v>
      </c>
      <c r="I6155" s="2" t="s">
        <v>12054</v>
      </c>
      <c r="J6155" s="3" t="str">
        <f>HYPERLINK("https://www.boe.es/gazeta/dias/1822/12/28/pdfs/GMD-1822-378.pdf#page=2","Abrir facsímil")</f>
        <v>Abrir facsímil</v>
      </c>
      <c r="K6155" s="3" t="s">
        <v>22</v>
      </c>
    </row>
    <row r="6156" spans="1:11" ht="42" customHeight="1">
      <c r="A6156" s="2" t="s">
        <v>12055</v>
      </c>
      <c r="B6156" s="2" t="s">
        <v>12055</v>
      </c>
      <c r="C6156" s="2" t="s">
        <v>50</v>
      </c>
      <c r="D6156" s="2" t="s">
        <v>51</v>
      </c>
      <c r="E6156" s="5">
        <v>-28450</v>
      </c>
      <c r="F6156" s="3" t="s">
        <v>1450</v>
      </c>
      <c r="G6156" s="3" t="s">
        <v>31</v>
      </c>
      <c r="H6156" s="2" t="s">
        <v>20</v>
      </c>
      <c r="I6156" s="2" t="s">
        <v>12056</v>
      </c>
      <c r="J6156" s="3" t="str">
        <f>HYPERLINK("https://www.boe.es/gazeta/dias/1822/02/07/pdfs/GMD-1822-38.pdf#page=3","Abrir facsímil")</f>
        <v>Abrir facsímil</v>
      </c>
      <c r="K6156" s="3" t="s">
        <v>22</v>
      </c>
    </row>
    <row r="6157" spans="1:11" ht="42" customHeight="1">
      <c r="A6157" s="2" t="s">
        <v>12057</v>
      </c>
      <c r="B6157" s="2" t="s">
        <v>12057</v>
      </c>
      <c r="C6157" s="2" t="s">
        <v>50</v>
      </c>
      <c r="D6157" s="2" t="s">
        <v>51</v>
      </c>
      <c r="E6157" s="5">
        <v>-28295</v>
      </c>
      <c r="F6157" s="3" t="s">
        <v>81</v>
      </c>
      <c r="G6157" s="3" t="s">
        <v>57</v>
      </c>
      <c r="H6157" s="2" t="s">
        <v>20</v>
      </c>
      <c r="I6157" s="2" t="s">
        <v>12058</v>
      </c>
      <c r="J6157" s="3" t="str">
        <f>HYPERLINK("https://www.boe.es/gazeta/dias/1822/07/12/pdfs/GMD-1822-202.pdf#page=4","Abrir facsímil")</f>
        <v>Abrir facsímil</v>
      </c>
      <c r="K6157" s="3" t="s">
        <v>22</v>
      </c>
    </row>
    <row r="6158" spans="1:11" ht="42" customHeight="1">
      <c r="A6158" s="2" t="s">
        <v>12059</v>
      </c>
      <c r="B6158" s="2" t="s">
        <v>12059</v>
      </c>
      <c r="C6158" s="2" t="s">
        <v>71</v>
      </c>
      <c r="D6158" s="2" t="s">
        <v>17</v>
      </c>
      <c r="E6158" s="5">
        <v>-28450</v>
      </c>
      <c r="F6158" s="3" t="s">
        <v>1450</v>
      </c>
      <c r="G6158" s="3" t="s">
        <v>35</v>
      </c>
      <c r="H6158" s="2" t="s">
        <v>20</v>
      </c>
      <c r="I6158" s="2" t="s">
        <v>12060</v>
      </c>
      <c r="J6158" s="3" t="str">
        <f>HYPERLINK("https://www.boe.es/gazeta/dias/1822/02/07/pdfs/GMD-1822-38.pdf#page=2","Abrir facsímil")</f>
        <v>Abrir facsímil</v>
      </c>
      <c r="K6158" s="3" t="s">
        <v>22</v>
      </c>
    </row>
    <row r="6159" spans="1:11" ht="42" customHeight="1">
      <c r="A6159" s="2" t="s">
        <v>12061</v>
      </c>
      <c r="B6159" s="2" t="s">
        <v>12061</v>
      </c>
      <c r="C6159" s="2" t="s">
        <v>71</v>
      </c>
      <c r="D6159" s="2" t="s">
        <v>17</v>
      </c>
      <c r="E6159" s="5">
        <v>-28481</v>
      </c>
      <c r="F6159" s="3" t="s">
        <v>1089</v>
      </c>
      <c r="G6159" s="3" t="s">
        <v>31</v>
      </c>
      <c r="H6159" s="2" t="s">
        <v>20</v>
      </c>
      <c r="I6159" s="2" t="s">
        <v>12062</v>
      </c>
      <c r="J6159" s="3" t="str">
        <f>HYPERLINK("https://www.boe.es/gazeta/dias/1822/01/07/pdfs/GMD-1822-7.pdf#page=3","Abrir facsímil")</f>
        <v>Abrir facsímil</v>
      </c>
      <c r="K6159" s="3" t="s">
        <v>22</v>
      </c>
    </row>
    <row r="6160" spans="1:11" ht="42" customHeight="1">
      <c r="A6160" s="2" t="s">
        <v>12063</v>
      </c>
      <c r="B6160" s="2" t="s">
        <v>12063</v>
      </c>
      <c r="C6160" s="2" t="s">
        <v>61</v>
      </c>
      <c r="D6160" s="2" t="s">
        <v>17</v>
      </c>
      <c r="E6160" s="5">
        <v>-28479</v>
      </c>
      <c r="F6160" s="3" t="s">
        <v>1091</v>
      </c>
      <c r="G6160" s="3" t="s">
        <v>35</v>
      </c>
      <c r="H6160" s="2" t="s">
        <v>20</v>
      </c>
      <c r="I6160" s="2" t="s">
        <v>12064</v>
      </c>
      <c r="J6160" s="3" t="str">
        <f>HYPERLINK("https://www.boe.es/gazeta/dias/1822/01/09/pdfs/GMD-1822-9.pdf#page=2","Abrir facsímil")</f>
        <v>Abrir facsímil</v>
      </c>
      <c r="K6160" s="3" t="s">
        <v>22</v>
      </c>
    </row>
    <row r="6161" spans="1:11" ht="42" customHeight="1">
      <c r="A6161" s="2" t="s">
        <v>12063</v>
      </c>
      <c r="B6161" s="2" t="s">
        <v>12063</v>
      </c>
      <c r="C6161" s="2" t="s">
        <v>42</v>
      </c>
      <c r="D6161" s="2" t="s">
        <v>17</v>
      </c>
      <c r="E6161" s="5">
        <v>-28460</v>
      </c>
      <c r="F6161" s="3" t="s">
        <v>112</v>
      </c>
      <c r="G6161" s="3" t="s">
        <v>31</v>
      </c>
      <c r="H6161" s="2" t="s">
        <v>20</v>
      </c>
      <c r="I6161" s="2" t="s">
        <v>12065</v>
      </c>
      <c r="J6161" s="3" t="str">
        <f>HYPERLINK("https://www.boe.es/gazeta/dias/1822/01/28/pdfs/GMD-1822-28.pdf#page=3","Abrir facsímil")</f>
        <v>Abrir facsímil</v>
      </c>
      <c r="K6161" s="3" t="s">
        <v>22</v>
      </c>
    </row>
    <row r="6162" spans="1:11" ht="42" customHeight="1">
      <c r="A6162" s="2" t="s">
        <v>12063</v>
      </c>
      <c r="B6162" s="2" t="s">
        <v>12063</v>
      </c>
      <c r="C6162" s="2" t="s">
        <v>71</v>
      </c>
      <c r="D6162" s="2" t="s">
        <v>17</v>
      </c>
      <c r="E6162" s="5">
        <v>-28460</v>
      </c>
      <c r="F6162" s="3" t="s">
        <v>112</v>
      </c>
      <c r="G6162" s="3" t="s">
        <v>57</v>
      </c>
      <c r="H6162" s="2" t="s">
        <v>20</v>
      </c>
      <c r="I6162" s="2" t="s">
        <v>12066</v>
      </c>
      <c r="J6162" s="3" t="str">
        <f>HYPERLINK("https://www.boe.es/gazeta/dias/1822/01/28/pdfs/GMD-1822-28.pdf#page=4","Abrir facsímil")</f>
        <v>Abrir facsímil</v>
      </c>
      <c r="K6162" s="3" t="s">
        <v>22</v>
      </c>
    </row>
    <row r="6163" spans="1:11" ht="42" customHeight="1">
      <c r="A6163" s="2" t="s">
        <v>12061</v>
      </c>
      <c r="B6163" s="2" t="s">
        <v>12061</v>
      </c>
      <c r="C6163" s="2" t="s">
        <v>28</v>
      </c>
      <c r="D6163" s="2" t="s">
        <v>29</v>
      </c>
      <c r="E6163" s="5">
        <v>-28452</v>
      </c>
      <c r="F6163" s="3" t="s">
        <v>7772</v>
      </c>
      <c r="G6163" s="3" t="s">
        <v>35</v>
      </c>
      <c r="H6163" s="2" t="s">
        <v>20</v>
      </c>
      <c r="I6163" s="2" t="s">
        <v>12067</v>
      </c>
      <c r="J6163" s="3" t="str">
        <f>HYPERLINK("https://www.boe.es/gazeta/dias/1822/02/05/pdfs/GMD-1822-36.pdf#page=2","Abrir facsímil")</f>
        <v>Abrir facsímil</v>
      </c>
      <c r="K6163" s="3" t="s">
        <v>22</v>
      </c>
    </row>
    <row r="6164" spans="1:11" ht="42" customHeight="1">
      <c r="A6164" s="2" t="s">
        <v>12063</v>
      </c>
      <c r="B6164" s="2" t="s">
        <v>12063</v>
      </c>
      <c r="C6164" s="2" t="s">
        <v>50</v>
      </c>
      <c r="D6164" s="2" t="s">
        <v>51</v>
      </c>
      <c r="E6164" s="5">
        <v>-28450</v>
      </c>
      <c r="F6164" s="3" t="s">
        <v>1450</v>
      </c>
      <c r="G6164" s="3" t="s">
        <v>31</v>
      </c>
      <c r="H6164" s="2" t="s">
        <v>20</v>
      </c>
      <c r="I6164" s="2" t="s">
        <v>12068</v>
      </c>
      <c r="J6164" s="3" t="str">
        <f>HYPERLINK("https://www.boe.es/gazeta/dias/1822/02/07/pdfs/GMD-1822-38.pdf#page=3","Abrir facsímil")</f>
        <v>Abrir facsímil</v>
      </c>
      <c r="K6164" s="3" t="s">
        <v>22</v>
      </c>
    </row>
    <row r="6165" spans="1:11" ht="42" customHeight="1">
      <c r="A6165" s="2" t="s">
        <v>12061</v>
      </c>
      <c r="B6165" s="2" t="s">
        <v>12061</v>
      </c>
      <c r="C6165" s="2" t="s">
        <v>50</v>
      </c>
      <c r="D6165" s="2" t="s">
        <v>51</v>
      </c>
      <c r="E6165" s="5">
        <v>-28449</v>
      </c>
      <c r="F6165" s="3" t="s">
        <v>1342</v>
      </c>
      <c r="G6165" s="3" t="s">
        <v>35</v>
      </c>
      <c r="H6165" s="2" t="s">
        <v>20</v>
      </c>
      <c r="I6165" s="2" t="s">
        <v>12069</v>
      </c>
      <c r="J6165" s="3" t="str">
        <f>HYPERLINK("https://www.boe.es/gazeta/dias/1822/02/08/pdfs/GMD-1822-39.pdf#page=2","Abrir facsímil")</f>
        <v>Abrir facsímil</v>
      </c>
      <c r="K6165" s="3" t="s">
        <v>22</v>
      </c>
    </row>
    <row r="6166" spans="1:11" ht="42" customHeight="1">
      <c r="A6166" s="2" t="s">
        <v>12061</v>
      </c>
      <c r="B6166" s="2" t="s">
        <v>12061</v>
      </c>
      <c r="C6166" s="2" t="s">
        <v>42</v>
      </c>
      <c r="D6166" s="2" t="s">
        <v>17</v>
      </c>
      <c r="E6166" s="5">
        <v>-28445</v>
      </c>
      <c r="F6166" s="3" t="s">
        <v>1622</v>
      </c>
      <c r="G6166" s="3" t="s">
        <v>35</v>
      </c>
      <c r="H6166" s="2" t="s">
        <v>20</v>
      </c>
      <c r="I6166" s="2" t="s">
        <v>12070</v>
      </c>
      <c r="J6166" s="3" t="str">
        <f>HYPERLINK("https://www.boe.es/gazeta/dias/1822/02/12/pdfs/GMD-1822-43.pdf#page=2","Abrir facsímil")</f>
        <v>Abrir facsímil</v>
      </c>
      <c r="K6166" s="3" t="s">
        <v>22</v>
      </c>
    </row>
    <row r="6167" spans="1:11" ht="42" customHeight="1">
      <c r="A6167" s="2" t="s">
        <v>12063</v>
      </c>
      <c r="B6167" s="2" t="s">
        <v>12063</v>
      </c>
      <c r="C6167" s="2" t="s">
        <v>71</v>
      </c>
      <c r="D6167" s="2" t="s">
        <v>17</v>
      </c>
      <c r="E6167" s="5">
        <v>-28445</v>
      </c>
      <c r="F6167" s="3" t="s">
        <v>1622</v>
      </c>
      <c r="G6167" s="3" t="s">
        <v>31</v>
      </c>
      <c r="H6167" s="2" t="s">
        <v>20</v>
      </c>
      <c r="I6167" s="2" t="s">
        <v>12071</v>
      </c>
      <c r="J6167" s="3" t="str">
        <f>HYPERLINK("https://www.boe.es/gazeta/dias/1822/02/12/pdfs/GMD-1822-43.pdf#page=3","Abrir facsímil")</f>
        <v>Abrir facsímil</v>
      </c>
      <c r="K6167" s="3" t="s">
        <v>22</v>
      </c>
    </row>
    <row r="6168" spans="1:11" ht="42" customHeight="1">
      <c r="A6168" s="2" t="s">
        <v>12061</v>
      </c>
      <c r="B6168" s="2" t="s">
        <v>12061</v>
      </c>
      <c r="C6168" s="2" t="s">
        <v>50</v>
      </c>
      <c r="D6168" s="2" t="s">
        <v>51</v>
      </c>
      <c r="E6168" s="5">
        <v>-28443</v>
      </c>
      <c r="F6168" s="3" t="s">
        <v>668</v>
      </c>
      <c r="G6168" s="3" t="s">
        <v>31</v>
      </c>
      <c r="H6168" s="2" t="s">
        <v>20</v>
      </c>
      <c r="I6168" s="2" t="s">
        <v>12072</v>
      </c>
      <c r="J6168" s="3" t="str">
        <f>HYPERLINK("https://www.boe.es/gazeta/dias/1822/02/14/pdfs/GMD-1822-45.pdf#page=3","Abrir facsímil")</f>
        <v>Abrir facsímil</v>
      </c>
      <c r="K6168" s="3" t="s">
        <v>22</v>
      </c>
    </row>
    <row r="6169" spans="1:11" ht="42" customHeight="1">
      <c r="A6169" s="2" t="s">
        <v>12061</v>
      </c>
      <c r="B6169" s="2" t="s">
        <v>12061</v>
      </c>
      <c r="C6169" s="2" t="s">
        <v>71</v>
      </c>
      <c r="D6169" s="2" t="s">
        <v>17</v>
      </c>
      <c r="E6169" s="5">
        <v>-28130</v>
      </c>
      <c r="F6169" s="3" t="s">
        <v>34</v>
      </c>
      <c r="G6169" s="3" t="s">
        <v>57</v>
      </c>
      <c r="H6169" s="2" t="s">
        <v>20</v>
      </c>
      <c r="I6169" s="2" t="s">
        <v>12073</v>
      </c>
      <c r="J6169" s="3" t="str">
        <f>HYPERLINK("https://www.boe.es/gazeta/dias/1822/12/24/pdfs/GMD-1822-374.pdf#page=4","Abrir facsímil")</f>
        <v>Abrir facsímil</v>
      </c>
      <c r="K6169" s="3" t="s">
        <v>22</v>
      </c>
    </row>
    <row r="6170" spans="1:11" ht="42" customHeight="1">
      <c r="A6170" s="2" t="s">
        <v>12074</v>
      </c>
      <c r="B6170" s="2" t="s">
        <v>12075</v>
      </c>
      <c r="C6170" s="2" t="s">
        <v>50</v>
      </c>
      <c r="D6170" s="2" t="s">
        <v>51</v>
      </c>
      <c r="E6170" s="5">
        <v>-28154</v>
      </c>
      <c r="F6170" s="3" t="s">
        <v>2321</v>
      </c>
      <c r="G6170" s="3" t="s">
        <v>3913</v>
      </c>
      <c r="H6170" s="2" t="s">
        <v>20</v>
      </c>
      <c r="I6170" s="2" t="s">
        <v>12076</v>
      </c>
      <c r="J6170" s="3" t="str">
        <f>HYPERLINK("https://www.boe.es/gazeta/dias/1822/11/30/pdfs/GMD-1822-350.pdf#page=4","Abrir facsímil")</f>
        <v>Abrir facsímil</v>
      </c>
      <c r="K6170" s="3" t="s">
        <v>22</v>
      </c>
    </row>
    <row r="6171" spans="1:11" ht="42" customHeight="1">
      <c r="A6171" s="2" t="s">
        <v>12077</v>
      </c>
      <c r="B6171" s="2" t="s">
        <v>12078</v>
      </c>
      <c r="C6171" s="2" t="s">
        <v>50</v>
      </c>
      <c r="D6171" s="2" t="s">
        <v>51</v>
      </c>
      <c r="E6171" s="5">
        <v>-28415</v>
      </c>
      <c r="F6171" s="3" t="s">
        <v>77</v>
      </c>
      <c r="G6171" s="3" t="s">
        <v>19</v>
      </c>
      <c r="H6171" s="2" t="s">
        <v>20</v>
      </c>
      <c r="I6171" s="2" t="s">
        <v>12079</v>
      </c>
      <c r="J6171" s="3" t="str">
        <f>HYPERLINK("https://www.boe.es/gazeta/dias/1822/03/14/pdfs/GMD-1822-75.pdf#page=5","Abrir facsímil")</f>
        <v>Abrir facsímil</v>
      </c>
      <c r="K6171" s="3" t="s">
        <v>22</v>
      </c>
    </row>
    <row r="6172" spans="1:11" ht="42" customHeight="1">
      <c r="A6172" s="2" t="s">
        <v>12080</v>
      </c>
      <c r="B6172" s="2" t="s">
        <v>12081</v>
      </c>
      <c r="C6172" s="2" t="s">
        <v>28</v>
      </c>
      <c r="D6172" s="2" t="s">
        <v>29</v>
      </c>
      <c r="E6172" s="5">
        <v>-28411</v>
      </c>
      <c r="F6172" s="3" t="s">
        <v>1509</v>
      </c>
      <c r="G6172" s="3" t="s">
        <v>57</v>
      </c>
      <c r="H6172" s="2" t="s">
        <v>20</v>
      </c>
      <c r="I6172" s="2" t="s">
        <v>12082</v>
      </c>
      <c r="J6172" s="3" t="str">
        <f>HYPERLINK("https://www.boe.es/gazeta/dias/1822/03/18/pdfs/GMD-1822-79.pdf#page=4","Abrir facsímil")</f>
        <v>Abrir facsímil</v>
      </c>
      <c r="K6172" s="3" t="s">
        <v>22</v>
      </c>
    </row>
    <row r="6173" spans="1:11" ht="42" customHeight="1">
      <c r="A6173" s="2" t="s">
        <v>12083</v>
      </c>
      <c r="B6173" s="2" t="s">
        <v>12083</v>
      </c>
      <c r="C6173" s="2" t="s">
        <v>50</v>
      </c>
      <c r="D6173" s="2" t="s">
        <v>51</v>
      </c>
      <c r="E6173" s="5">
        <v>-28364</v>
      </c>
      <c r="F6173" s="3" t="s">
        <v>509</v>
      </c>
      <c r="G6173" s="3" t="s">
        <v>44</v>
      </c>
      <c r="H6173" s="2" t="s">
        <v>20</v>
      </c>
      <c r="I6173" s="2" t="s">
        <v>12084</v>
      </c>
      <c r="J6173" s="3" t="str">
        <f>HYPERLINK("https://www.boe.es/gazeta/dias/1822/05/04/pdfs/GMD-1822-126.pdf#page=1","Abrir facsímil")</f>
        <v>Abrir facsímil</v>
      </c>
      <c r="K6173" s="3" t="s">
        <v>22</v>
      </c>
    </row>
    <row r="6174" spans="1:11" ht="42" customHeight="1">
      <c r="A6174" s="2" t="s">
        <v>12085</v>
      </c>
      <c r="B6174" s="2" t="s">
        <v>12086</v>
      </c>
      <c r="C6174" s="2" t="s">
        <v>50</v>
      </c>
      <c r="D6174" s="2" t="s">
        <v>51</v>
      </c>
      <c r="E6174" s="5">
        <v>-28297</v>
      </c>
      <c r="F6174" s="3" t="s">
        <v>1972</v>
      </c>
      <c r="G6174" s="3" t="s">
        <v>57</v>
      </c>
      <c r="H6174" s="2" t="s">
        <v>20</v>
      </c>
      <c r="I6174" s="2" t="s">
        <v>12087</v>
      </c>
      <c r="J6174" s="3" t="str">
        <f>HYPERLINK("https://www.boe.es/gazeta/dias/1822/07/10/pdfs/GMD-1822-200.pdf#page=4","Abrir facsímil")</f>
        <v>Abrir facsímil</v>
      </c>
      <c r="K6174" s="3" t="s">
        <v>22</v>
      </c>
    </row>
    <row r="6175" spans="1:11" ht="42" customHeight="1">
      <c r="A6175" s="2" t="s">
        <v>12088</v>
      </c>
      <c r="B6175" s="2" t="s">
        <v>12089</v>
      </c>
      <c r="C6175" s="2" t="s">
        <v>50</v>
      </c>
      <c r="D6175" s="2" t="s">
        <v>51</v>
      </c>
      <c r="E6175" s="5">
        <v>-28364</v>
      </c>
      <c r="F6175" s="3" t="s">
        <v>509</v>
      </c>
      <c r="G6175" s="3" t="s">
        <v>63</v>
      </c>
      <c r="H6175" s="2" t="s">
        <v>20</v>
      </c>
      <c r="I6175" s="2" t="s">
        <v>12090</v>
      </c>
      <c r="J6175" s="3" t="str">
        <f>HYPERLINK("https://www.boe.es/gazeta/dias/1822/05/04/pdfs/GMD-1822-126.pdf#page=6","Abrir facsímil")</f>
        <v>Abrir facsímil</v>
      </c>
      <c r="K6175" s="3" t="s">
        <v>22</v>
      </c>
    </row>
    <row r="6176" spans="1:11" ht="42" customHeight="1">
      <c r="A6176" s="2" t="s">
        <v>12091</v>
      </c>
      <c r="B6176" s="2" t="s">
        <v>12092</v>
      </c>
      <c r="C6176" s="2" t="s">
        <v>50</v>
      </c>
      <c r="D6176" s="2" t="s">
        <v>51</v>
      </c>
      <c r="E6176" s="5">
        <v>-28349</v>
      </c>
      <c r="F6176" s="3" t="s">
        <v>518</v>
      </c>
      <c r="G6176" s="3" t="s">
        <v>57</v>
      </c>
      <c r="H6176" s="2" t="s">
        <v>20</v>
      </c>
      <c r="I6176" s="2" t="s">
        <v>12093</v>
      </c>
      <c r="J6176" s="3" t="str">
        <f>HYPERLINK("https://www.boe.es/gazeta/dias/1822/05/19/pdfs/GMD-1822-141.pdf#page=4","Abrir facsímil")</f>
        <v>Abrir facsímil</v>
      </c>
      <c r="K6176" s="3" t="s">
        <v>22</v>
      </c>
    </row>
    <row r="6177" spans="1:11" ht="42" customHeight="1">
      <c r="A6177" s="2" t="s">
        <v>12094</v>
      </c>
      <c r="B6177" s="2" t="s">
        <v>12095</v>
      </c>
      <c r="C6177" s="2" t="s">
        <v>28</v>
      </c>
      <c r="D6177" s="2" t="s">
        <v>29</v>
      </c>
      <c r="E6177" s="5">
        <v>-28384</v>
      </c>
      <c r="F6177" s="3" t="s">
        <v>258</v>
      </c>
      <c r="G6177" s="3" t="s">
        <v>63</v>
      </c>
      <c r="H6177" s="2" t="s">
        <v>20</v>
      </c>
      <c r="I6177" s="2" t="s">
        <v>12096</v>
      </c>
      <c r="J6177" s="3" t="str">
        <f>HYPERLINK("https://www.boe.es/gazeta/dias/1822/04/14/pdfs/GMD-1822-106.pdf#page=6","Abrir facsímil")</f>
        <v>Abrir facsímil</v>
      </c>
      <c r="K6177" s="3" t="s">
        <v>22</v>
      </c>
    </row>
    <row r="6178" spans="1:11" ht="42" customHeight="1">
      <c r="A6178" s="2" t="s">
        <v>12097</v>
      </c>
      <c r="B6178" s="2" t="s">
        <v>12097</v>
      </c>
      <c r="C6178" s="2" t="s">
        <v>71</v>
      </c>
      <c r="D6178" s="2" t="s">
        <v>17</v>
      </c>
      <c r="E6178" s="5">
        <v>-28346</v>
      </c>
      <c r="F6178" s="3" t="s">
        <v>191</v>
      </c>
      <c r="G6178" s="3" t="s">
        <v>2823</v>
      </c>
      <c r="H6178" s="2" t="s">
        <v>20</v>
      </c>
      <c r="I6178" s="2" t="s">
        <v>12098</v>
      </c>
      <c r="J6178" s="3" t="str">
        <f>HYPERLINK("https://www.boe.es/gazeta/dias/1822/05/22/pdfs/GMD-1822-145.pdf#page=4","Abrir facsímil")</f>
        <v>Abrir facsímil</v>
      </c>
      <c r="K6178" s="3" t="s">
        <v>22</v>
      </c>
    </row>
    <row r="6179" spans="1:11" ht="42" customHeight="1">
      <c r="A6179" s="2" t="s">
        <v>12097</v>
      </c>
      <c r="B6179" s="2" t="s">
        <v>12097</v>
      </c>
      <c r="C6179" s="2" t="s">
        <v>28</v>
      </c>
      <c r="D6179" s="2" t="s">
        <v>29</v>
      </c>
      <c r="E6179" s="5">
        <v>-28324</v>
      </c>
      <c r="F6179" s="3" t="s">
        <v>305</v>
      </c>
      <c r="G6179" s="3" t="s">
        <v>57</v>
      </c>
      <c r="H6179" s="2" t="s">
        <v>20</v>
      </c>
      <c r="I6179" s="2" t="s">
        <v>12099</v>
      </c>
      <c r="J6179" s="3" t="str">
        <f>HYPERLINK("https://www.boe.es/gazeta/dias/1822/06/13/pdfs/GMD-1822-170.pdf#page=4","Abrir facsímil")</f>
        <v>Abrir facsímil</v>
      </c>
      <c r="K6179" s="3" t="s">
        <v>22</v>
      </c>
    </row>
    <row r="6180" spans="1:11" ht="42" customHeight="1">
      <c r="A6180" s="2" t="s">
        <v>12097</v>
      </c>
      <c r="B6180" s="2" t="s">
        <v>12097</v>
      </c>
      <c r="C6180" s="2" t="s">
        <v>16</v>
      </c>
      <c r="D6180" s="2" t="s">
        <v>17</v>
      </c>
      <c r="E6180" s="5">
        <v>-28314</v>
      </c>
      <c r="F6180" s="3" t="s">
        <v>309</v>
      </c>
      <c r="G6180" s="3" t="s">
        <v>35</v>
      </c>
      <c r="H6180" s="2" t="s">
        <v>20</v>
      </c>
      <c r="I6180" s="2" t="s">
        <v>12100</v>
      </c>
      <c r="J6180" s="3" t="str">
        <f>HYPERLINK("https://www.boe.es/gazeta/dias/1822/06/23/pdfs/GMD-1822-181.pdf#page=2","Abrir facsímil")</f>
        <v>Abrir facsímil</v>
      </c>
      <c r="K6180" s="3" t="s">
        <v>22</v>
      </c>
    </row>
    <row r="6181" spans="1:11" ht="42" customHeight="1">
      <c r="A6181" s="2" t="s">
        <v>12101</v>
      </c>
      <c r="B6181" s="2" t="s">
        <v>12102</v>
      </c>
      <c r="C6181" s="2" t="s">
        <v>50</v>
      </c>
      <c r="D6181" s="2" t="s">
        <v>51</v>
      </c>
      <c r="E6181" s="5">
        <v>-28251</v>
      </c>
      <c r="F6181" s="3" t="s">
        <v>1485</v>
      </c>
      <c r="G6181" s="3" t="s">
        <v>57</v>
      </c>
      <c r="H6181" s="2" t="s">
        <v>20</v>
      </c>
      <c r="I6181" s="2" t="s">
        <v>12103</v>
      </c>
      <c r="J6181" s="3" t="str">
        <f>HYPERLINK("https://www.boe.es/gazeta/dias/1822/08/25/pdfs/GMD-1822-249.pdf#page=4","Abrir facsímil")</f>
        <v>Abrir facsímil</v>
      </c>
      <c r="K6181" s="3" t="s">
        <v>22</v>
      </c>
    </row>
    <row r="6182" spans="1:11" ht="42" customHeight="1">
      <c r="A6182" s="2" t="s">
        <v>12104</v>
      </c>
      <c r="B6182" s="2" t="s">
        <v>12105</v>
      </c>
      <c r="C6182" s="2" t="s">
        <v>28</v>
      </c>
      <c r="D6182" s="2" t="s">
        <v>29</v>
      </c>
      <c r="E6182" s="5">
        <v>-28484</v>
      </c>
      <c r="F6182" s="3" t="s">
        <v>743</v>
      </c>
      <c r="G6182" s="3" t="s">
        <v>63</v>
      </c>
      <c r="H6182" s="2" t="s">
        <v>20</v>
      </c>
      <c r="I6182" s="2" t="s">
        <v>12106</v>
      </c>
      <c r="J6182" s="3" t="str">
        <f>HYPERLINK("https://www.boe.es/gazeta/dias/1822/01/04/pdfs/GMD-1822-4.pdf#page=6","Abrir facsímil")</f>
        <v>Abrir facsímil</v>
      </c>
      <c r="K6182" s="3" t="s">
        <v>22</v>
      </c>
    </row>
    <row r="6183" spans="1:11" ht="42" customHeight="1">
      <c r="A6183" s="2" t="s">
        <v>12107</v>
      </c>
      <c r="B6183" s="2" t="s">
        <v>12108</v>
      </c>
      <c r="C6183" s="2" t="s">
        <v>50</v>
      </c>
      <c r="D6183" s="2" t="s">
        <v>51</v>
      </c>
      <c r="E6183" s="5">
        <v>-28329</v>
      </c>
      <c r="F6183" s="3" t="s">
        <v>354</v>
      </c>
      <c r="G6183" s="3" t="s">
        <v>63</v>
      </c>
      <c r="H6183" s="2" t="s">
        <v>20</v>
      </c>
      <c r="I6183" s="2" t="s">
        <v>12109</v>
      </c>
      <c r="J6183" s="3" t="str">
        <f>HYPERLINK("https://www.boe.es/gazeta/dias/1822/06/08/pdfs/GMD-1822-165.pdf#page=6","Abrir facsímil")</f>
        <v>Abrir facsímil</v>
      </c>
      <c r="K6183" s="3" t="s">
        <v>22</v>
      </c>
    </row>
    <row r="6184" spans="1:11" ht="42" customHeight="1">
      <c r="A6184" s="2" t="s">
        <v>12110</v>
      </c>
      <c r="B6184" s="2" t="s">
        <v>12110</v>
      </c>
      <c r="C6184" s="2" t="s">
        <v>28</v>
      </c>
      <c r="D6184" s="2" t="s">
        <v>29</v>
      </c>
      <c r="E6184" s="5">
        <v>-28431</v>
      </c>
      <c r="F6184" s="3" t="s">
        <v>1258</v>
      </c>
      <c r="G6184" s="3" t="s">
        <v>31</v>
      </c>
      <c r="H6184" s="2" t="s">
        <v>20</v>
      </c>
      <c r="I6184" s="2" t="s">
        <v>12111</v>
      </c>
      <c r="J6184" s="3" t="str">
        <f>HYPERLINK("https://www.boe.es/gazeta/dias/1822/02/26/pdfs/GMD-1822-58.pdf#page=3","Abrir facsímil")</f>
        <v>Abrir facsímil</v>
      </c>
      <c r="K6184" s="3" t="s">
        <v>22</v>
      </c>
    </row>
    <row r="6185" spans="1:11" ht="42" customHeight="1">
      <c r="A6185" s="2" t="s">
        <v>12110</v>
      </c>
      <c r="B6185" s="2" t="s">
        <v>12110</v>
      </c>
      <c r="C6185" s="2" t="s">
        <v>28</v>
      </c>
      <c r="D6185" s="2" t="s">
        <v>29</v>
      </c>
      <c r="E6185" s="5">
        <v>-28426</v>
      </c>
      <c r="F6185" s="3" t="s">
        <v>1178</v>
      </c>
      <c r="G6185" s="3" t="s">
        <v>31</v>
      </c>
      <c r="H6185" s="2" t="s">
        <v>20</v>
      </c>
      <c r="I6185" s="2" t="s">
        <v>12112</v>
      </c>
      <c r="J6185" s="3" t="str">
        <f>HYPERLINK("https://www.boe.es/gazeta/dias/1822/03/03/pdfs/GMD-1822-64.pdf#page=3","Abrir facsímil")</f>
        <v>Abrir facsímil</v>
      </c>
      <c r="K6185" s="3" t="s">
        <v>22</v>
      </c>
    </row>
    <row r="6186" spans="1:11" ht="42" customHeight="1">
      <c r="A6186" s="2" t="s">
        <v>12110</v>
      </c>
      <c r="B6186" s="2" t="s">
        <v>12110</v>
      </c>
      <c r="C6186" s="2" t="s">
        <v>50</v>
      </c>
      <c r="D6186" s="2" t="s">
        <v>51</v>
      </c>
      <c r="E6186" s="5">
        <v>-28392</v>
      </c>
      <c r="F6186" s="3" t="s">
        <v>2003</v>
      </c>
      <c r="G6186" s="3" t="s">
        <v>31</v>
      </c>
      <c r="H6186" s="2" t="s">
        <v>20</v>
      </c>
      <c r="I6186" s="2" t="s">
        <v>12113</v>
      </c>
      <c r="J6186" s="3" t="str">
        <f>HYPERLINK("https://www.boe.es/gazeta/dias/1822/04/06/pdfs/GMD-1822-98.pdf#page=3","Abrir facsímil")</f>
        <v>Abrir facsímil</v>
      </c>
      <c r="K6186" s="3" t="s">
        <v>22</v>
      </c>
    </row>
    <row r="6187" spans="1:11" ht="42" customHeight="1">
      <c r="A6187" s="2" t="s">
        <v>12110</v>
      </c>
      <c r="B6187" s="2" t="s">
        <v>12110</v>
      </c>
      <c r="C6187" s="2" t="s">
        <v>42</v>
      </c>
      <c r="D6187" s="2" t="s">
        <v>17</v>
      </c>
      <c r="E6187" s="5">
        <v>-28363</v>
      </c>
      <c r="F6187" s="3" t="s">
        <v>72</v>
      </c>
      <c r="G6187" s="3" t="s">
        <v>35</v>
      </c>
      <c r="H6187" s="2" t="s">
        <v>20</v>
      </c>
      <c r="I6187" s="2" t="s">
        <v>12114</v>
      </c>
      <c r="J6187" s="3" t="str">
        <f>HYPERLINK("https://www.boe.es/gazeta/dias/1822/05/05/pdfs/GMD-1822-127.pdf#page=2","Abrir facsímil")</f>
        <v>Abrir facsímil</v>
      </c>
      <c r="K6187" s="3" t="s">
        <v>22</v>
      </c>
    </row>
    <row r="6188" spans="1:11" ht="42" customHeight="1">
      <c r="A6188" s="2" t="s">
        <v>12110</v>
      </c>
      <c r="B6188" s="2" t="s">
        <v>12110</v>
      </c>
      <c r="C6188" s="2" t="s">
        <v>42</v>
      </c>
      <c r="D6188" s="2" t="s">
        <v>17</v>
      </c>
      <c r="E6188" s="5">
        <v>-28362</v>
      </c>
      <c r="F6188" s="3" t="s">
        <v>511</v>
      </c>
      <c r="G6188" s="3" t="s">
        <v>57</v>
      </c>
      <c r="H6188" s="2" t="s">
        <v>20</v>
      </c>
      <c r="I6188" s="2" t="s">
        <v>12115</v>
      </c>
      <c r="J6188" s="3" t="str">
        <f>HYPERLINK("https://www.boe.es/gazeta/dias/1822/05/06/pdfs/GMD-1822-128.pdf#page=4","Abrir facsímil")</f>
        <v>Abrir facsímil</v>
      </c>
      <c r="K6188" s="3" t="s">
        <v>22</v>
      </c>
    </row>
    <row r="6189" spans="1:11" ht="42" customHeight="1">
      <c r="A6189" s="2" t="s">
        <v>12110</v>
      </c>
      <c r="B6189" s="2" t="s">
        <v>12110</v>
      </c>
      <c r="C6189" s="2" t="s">
        <v>42</v>
      </c>
      <c r="D6189" s="2" t="s">
        <v>17</v>
      </c>
      <c r="E6189" s="5">
        <v>-28351</v>
      </c>
      <c r="F6189" s="3" t="s">
        <v>282</v>
      </c>
      <c r="G6189" s="3" t="s">
        <v>35</v>
      </c>
      <c r="H6189" s="2" t="s">
        <v>20</v>
      </c>
      <c r="I6189" s="2" t="s">
        <v>12116</v>
      </c>
      <c r="J6189" s="3" t="str">
        <f>HYPERLINK("https://www.boe.es/gazeta/dias/1822/05/17/pdfs/GMD-1822-139.pdf#page=2","Abrir facsímil")</f>
        <v>Abrir facsímil</v>
      </c>
      <c r="K6189" s="3" t="s">
        <v>22</v>
      </c>
    </row>
    <row r="6190" spans="1:11" ht="42" customHeight="1">
      <c r="A6190" s="2" t="s">
        <v>12110</v>
      </c>
      <c r="B6190" s="2" t="s">
        <v>12110</v>
      </c>
      <c r="C6190" s="2" t="s">
        <v>42</v>
      </c>
      <c r="D6190" s="2" t="s">
        <v>17</v>
      </c>
      <c r="E6190" s="5">
        <v>-28345</v>
      </c>
      <c r="F6190" s="3" t="s">
        <v>294</v>
      </c>
      <c r="G6190" s="3" t="s">
        <v>31</v>
      </c>
      <c r="H6190" s="2" t="s">
        <v>20</v>
      </c>
      <c r="I6190" s="2" t="s">
        <v>12117</v>
      </c>
      <c r="J6190" s="3" t="str">
        <f>HYPERLINK("https://www.boe.es/gazeta/dias/1822/05/23/pdfs/GMD-1822-147.pdf#page=3","Abrir facsímil")</f>
        <v>Abrir facsímil</v>
      </c>
      <c r="K6190" s="3" t="s">
        <v>22</v>
      </c>
    </row>
    <row r="6191" spans="1:11" ht="42" customHeight="1">
      <c r="A6191" s="2" t="s">
        <v>12110</v>
      </c>
      <c r="B6191" s="2" t="s">
        <v>12110</v>
      </c>
      <c r="C6191" s="2" t="s">
        <v>71</v>
      </c>
      <c r="D6191" s="2" t="s">
        <v>17</v>
      </c>
      <c r="E6191" s="5">
        <v>-28344</v>
      </c>
      <c r="F6191" s="3" t="s">
        <v>524</v>
      </c>
      <c r="G6191" s="3" t="s">
        <v>19</v>
      </c>
      <c r="H6191" s="2" t="s">
        <v>20</v>
      </c>
      <c r="I6191" s="2" t="s">
        <v>12118</v>
      </c>
      <c r="J6191" s="3" t="str">
        <f>HYPERLINK("https://www.boe.es/gazeta/dias/1822/05/24/pdfs/GMD-1822-148.pdf#page=5","Abrir facsímil")</f>
        <v>Abrir facsímil</v>
      </c>
      <c r="K6191" s="3" t="s">
        <v>22</v>
      </c>
    </row>
    <row r="6192" spans="1:11" ht="42" customHeight="1">
      <c r="A6192" s="2" t="s">
        <v>12110</v>
      </c>
      <c r="B6192" s="2" t="s">
        <v>12110</v>
      </c>
      <c r="C6192" s="2" t="s">
        <v>50</v>
      </c>
      <c r="D6192" s="2" t="s">
        <v>51</v>
      </c>
      <c r="E6192" s="5">
        <v>-28328</v>
      </c>
      <c r="F6192" s="3" t="s">
        <v>540</v>
      </c>
      <c r="G6192" s="3" t="s">
        <v>35</v>
      </c>
      <c r="H6192" s="2" t="s">
        <v>20</v>
      </c>
      <c r="I6192" s="2" t="s">
        <v>12119</v>
      </c>
      <c r="J6192" s="3" t="str">
        <f>HYPERLINK("https://www.boe.es/gazeta/dias/1822/06/09/pdfs/GMD-1822-166.pdf#page=2","Abrir facsímil")</f>
        <v>Abrir facsímil</v>
      </c>
      <c r="K6192" s="3" t="s">
        <v>22</v>
      </c>
    </row>
    <row r="6193" spans="1:11" ht="42" customHeight="1">
      <c r="A6193" s="2" t="s">
        <v>12110</v>
      </c>
      <c r="B6193" s="2" t="s">
        <v>12110</v>
      </c>
      <c r="C6193" s="2" t="s">
        <v>28</v>
      </c>
      <c r="D6193" s="2" t="s">
        <v>29</v>
      </c>
      <c r="E6193" s="5">
        <v>-28323</v>
      </c>
      <c r="F6193" s="3" t="s">
        <v>116</v>
      </c>
      <c r="G6193" s="3" t="s">
        <v>35</v>
      </c>
      <c r="H6193" s="2" t="s">
        <v>20</v>
      </c>
      <c r="I6193" s="2" t="s">
        <v>12120</v>
      </c>
      <c r="J6193" s="3" t="str">
        <f>HYPERLINK("https://www.boe.es/gazeta/dias/1822/06/14/pdfs/GMD-1822-171.pdf#page=2","Abrir facsímil")</f>
        <v>Abrir facsímil</v>
      </c>
      <c r="K6193" s="3" t="s">
        <v>22</v>
      </c>
    </row>
    <row r="6194" spans="1:11" ht="42" customHeight="1">
      <c r="A6194" s="2" t="s">
        <v>12110</v>
      </c>
      <c r="B6194" s="2" t="s">
        <v>12110</v>
      </c>
      <c r="C6194" s="2" t="s">
        <v>42</v>
      </c>
      <c r="D6194" s="2" t="s">
        <v>17</v>
      </c>
      <c r="E6194" s="5">
        <v>-28322</v>
      </c>
      <c r="F6194" s="3" t="s">
        <v>2205</v>
      </c>
      <c r="G6194" s="3" t="s">
        <v>31</v>
      </c>
      <c r="H6194" s="2" t="s">
        <v>20</v>
      </c>
      <c r="I6194" s="2" t="s">
        <v>12121</v>
      </c>
      <c r="J6194" s="3" t="str">
        <f>HYPERLINK("https://www.boe.es/gazeta/dias/1822/06/15/pdfs/GMD-1822-172.pdf#page=3","Abrir facsímil")</f>
        <v>Abrir facsímil</v>
      </c>
      <c r="K6194" s="3" t="s">
        <v>22</v>
      </c>
    </row>
    <row r="6195" spans="1:11" ht="42" customHeight="1">
      <c r="A6195" s="2" t="s">
        <v>12110</v>
      </c>
      <c r="B6195" s="2" t="s">
        <v>12110</v>
      </c>
      <c r="C6195" s="2" t="s">
        <v>71</v>
      </c>
      <c r="D6195" s="2" t="s">
        <v>17</v>
      </c>
      <c r="E6195" s="5">
        <v>-28317</v>
      </c>
      <c r="F6195" s="3" t="s">
        <v>546</v>
      </c>
      <c r="G6195" s="3" t="s">
        <v>31</v>
      </c>
      <c r="H6195" s="2" t="s">
        <v>20</v>
      </c>
      <c r="I6195" s="2" t="s">
        <v>12122</v>
      </c>
      <c r="J6195" s="3" t="str">
        <f>HYPERLINK("https://www.boe.es/gazeta/dias/1822/06/20/pdfs/GMD-1822-177.pdf#page=3","Abrir facsímil")</f>
        <v>Abrir facsímil</v>
      </c>
      <c r="K6195" s="3" t="s">
        <v>22</v>
      </c>
    </row>
    <row r="6196" spans="1:11" ht="42" customHeight="1">
      <c r="A6196" s="2" t="s">
        <v>12110</v>
      </c>
      <c r="B6196" s="2" t="s">
        <v>12110</v>
      </c>
      <c r="C6196" s="2" t="s">
        <v>28</v>
      </c>
      <c r="D6196" s="2" t="s">
        <v>29</v>
      </c>
      <c r="E6196" s="5">
        <v>-28310</v>
      </c>
      <c r="F6196" s="3" t="s">
        <v>241</v>
      </c>
      <c r="G6196" s="3" t="s">
        <v>35</v>
      </c>
      <c r="H6196" s="2" t="s">
        <v>20</v>
      </c>
      <c r="I6196" s="2" t="s">
        <v>12123</v>
      </c>
      <c r="J6196" s="3" t="str">
        <f>HYPERLINK("https://www.boe.es/gazeta/dias/1822/06/27/pdfs/GMD-1822-185.pdf#page=2","Abrir facsímil")</f>
        <v>Abrir facsímil</v>
      </c>
      <c r="K6196" s="3" t="s">
        <v>22</v>
      </c>
    </row>
    <row r="6197" spans="1:11" ht="42" customHeight="1">
      <c r="A6197" s="2" t="s">
        <v>12110</v>
      </c>
      <c r="B6197" s="2" t="s">
        <v>12110</v>
      </c>
      <c r="C6197" s="2" t="s">
        <v>24</v>
      </c>
      <c r="D6197" s="2" t="s">
        <v>17</v>
      </c>
      <c r="E6197" s="5">
        <v>-28307</v>
      </c>
      <c r="F6197" s="3" t="s">
        <v>555</v>
      </c>
      <c r="G6197" s="3" t="s">
        <v>63</v>
      </c>
      <c r="H6197" s="2" t="s">
        <v>20</v>
      </c>
      <c r="I6197" s="2" t="s">
        <v>12124</v>
      </c>
      <c r="J6197" s="3" t="str">
        <f>HYPERLINK("https://www.boe.es/gazeta/dias/1822/06/30/pdfs/GMD-1822-188.pdf#page=6","Abrir facsímil")</f>
        <v>Abrir facsímil</v>
      </c>
      <c r="K6197" s="3" t="s">
        <v>22</v>
      </c>
    </row>
    <row r="6198" spans="1:11" ht="42" customHeight="1">
      <c r="A6198" s="2" t="s">
        <v>12110</v>
      </c>
      <c r="B6198" s="2" t="s">
        <v>12110</v>
      </c>
      <c r="C6198" s="2" t="s">
        <v>50</v>
      </c>
      <c r="D6198" s="2" t="s">
        <v>51</v>
      </c>
      <c r="E6198" s="5">
        <v>-28203</v>
      </c>
      <c r="F6198" s="3" t="s">
        <v>564</v>
      </c>
      <c r="G6198" s="3" t="s">
        <v>4185</v>
      </c>
      <c r="H6198" s="2" t="s">
        <v>20</v>
      </c>
      <c r="I6198" s="2" t="s">
        <v>12125</v>
      </c>
      <c r="J6198" s="3" t="str">
        <f>HYPERLINK("https://www.boe.es/gazeta/dias/1822/10/12/pdfs/GMD-1822-299.pdf#page=2","Abrir facsímil")</f>
        <v>Abrir facsímil</v>
      </c>
      <c r="K6198" s="3" t="s">
        <v>22</v>
      </c>
    </row>
    <row r="6199" spans="1:11" ht="42" customHeight="1">
      <c r="A6199" s="2" t="s">
        <v>12110</v>
      </c>
      <c r="B6199" s="2" t="s">
        <v>12110</v>
      </c>
      <c r="C6199" s="2" t="s">
        <v>50</v>
      </c>
      <c r="D6199" s="2" t="s">
        <v>51</v>
      </c>
      <c r="E6199" s="5">
        <v>-28203</v>
      </c>
      <c r="F6199" s="3" t="s">
        <v>564</v>
      </c>
      <c r="G6199" s="3" t="s">
        <v>57</v>
      </c>
      <c r="H6199" s="2" t="s">
        <v>20</v>
      </c>
      <c r="I6199" s="2" t="s">
        <v>12126</v>
      </c>
      <c r="J6199" s="3" t="str">
        <f>HYPERLINK("https://www.boe.es/gazeta/dias/1822/10/12/pdfs/GMD-1822-299.pdf#page=4","Abrir facsímil")</f>
        <v>Abrir facsímil</v>
      </c>
      <c r="K6199" s="3" t="s">
        <v>22</v>
      </c>
    </row>
    <row r="6200" spans="1:11" ht="42" customHeight="1">
      <c r="A6200" s="2" t="s">
        <v>12110</v>
      </c>
      <c r="B6200" s="2" t="s">
        <v>12110</v>
      </c>
      <c r="C6200" s="2" t="s">
        <v>42</v>
      </c>
      <c r="D6200" s="2" t="s">
        <v>17</v>
      </c>
      <c r="E6200" s="5">
        <v>-28199</v>
      </c>
      <c r="F6200" s="3" t="s">
        <v>656</v>
      </c>
      <c r="G6200" s="3" t="s">
        <v>57</v>
      </c>
      <c r="H6200" s="2" t="s">
        <v>20</v>
      </c>
      <c r="I6200" s="2" t="s">
        <v>12127</v>
      </c>
      <c r="J6200" s="3" t="str">
        <f>HYPERLINK("https://www.boe.es/gazeta/dias/1822/10/16/pdfs/GMD-1822-303.pdf#page=4","Abrir facsímil")</f>
        <v>Abrir facsímil</v>
      </c>
      <c r="K6200" s="3" t="s">
        <v>22</v>
      </c>
    </row>
    <row r="6201" spans="1:11" ht="42" customHeight="1">
      <c r="A6201" s="2" t="s">
        <v>12110</v>
      </c>
      <c r="B6201" s="2" t="s">
        <v>12110</v>
      </c>
      <c r="C6201" s="2" t="s">
        <v>42</v>
      </c>
      <c r="D6201" s="2" t="s">
        <v>17</v>
      </c>
      <c r="E6201" s="5">
        <v>-28186</v>
      </c>
      <c r="F6201" s="3" t="s">
        <v>581</v>
      </c>
      <c r="G6201" s="3" t="s">
        <v>35</v>
      </c>
      <c r="H6201" s="2" t="s">
        <v>20</v>
      </c>
      <c r="I6201" s="2" t="s">
        <v>12128</v>
      </c>
      <c r="J6201" s="3" t="str">
        <f>HYPERLINK("https://www.boe.es/gazeta/dias/1822/10/29/pdfs/GMD-1822-316.pdf#page=2","Abrir facsímil")</f>
        <v>Abrir facsímil</v>
      </c>
      <c r="K6201" s="3" t="s">
        <v>22</v>
      </c>
    </row>
    <row r="6202" spans="1:11" ht="42" customHeight="1">
      <c r="A6202" s="2" t="s">
        <v>12110</v>
      </c>
      <c r="B6202" s="2" t="s">
        <v>12110</v>
      </c>
      <c r="C6202" s="2" t="s">
        <v>42</v>
      </c>
      <c r="D6202" s="2" t="s">
        <v>17</v>
      </c>
      <c r="E6202" s="5">
        <v>-28181</v>
      </c>
      <c r="F6202" s="3" t="s">
        <v>739</v>
      </c>
      <c r="G6202" s="3" t="s">
        <v>31</v>
      </c>
      <c r="H6202" s="2" t="s">
        <v>20</v>
      </c>
      <c r="I6202" s="2" t="s">
        <v>12129</v>
      </c>
      <c r="J6202" s="3" t="str">
        <f>HYPERLINK("https://www.boe.es/gazeta/dias/1822/11/03/pdfs/GMD-1822-321.pdf#page=3","Abrir facsímil")</f>
        <v>Abrir facsímil</v>
      </c>
      <c r="K6202" s="3" t="s">
        <v>22</v>
      </c>
    </row>
    <row r="6203" spans="1:11" ht="42" customHeight="1">
      <c r="A6203" s="2" t="s">
        <v>12110</v>
      </c>
      <c r="B6203" s="2" t="s">
        <v>12110</v>
      </c>
      <c r="C6203" s="2" t="s">
        <v>50</v>
      </c>
      <c r="D6203" s="2" t="s">
        <v>51</v>
      </c>
      <c r="E6203" s="5">
        <v>-28169</v>
      </c>
      <c r="F6203" s="3" t="s">
        <v>2571</v>
      </c>
      <c r="G6203" s="3" t="s">
        <v>19</v>
      </c>
      <c r="H6203" s="2" t="s">
        <v>20</v>
      </c>
      <c r="I6203" s="2" t="s">
        <v>12130</v>
      </c>
      <c r="J6203" s="3" t="str">
        <f>HYPERLINK("https://www.boe.es/gazeta/dias/1822/11/15/pdfs/GMD-1822-335.pdf#page=5","Abrir facsímil")</f>
        <v>Abrir facsímil</v>
      </c>
      <c r="K6203" s="3" t="s">
        <v>22</v>
      </c>
    </row>
    <row r="6204" spans="1:11" ht="42" customHeight="1">
      <c r="A6204" s="2" t="s">
        <v>12110</v>
      </c>
      <c r="B6204" s="2" t="s">
        <v>12110</v>
      </c>
      <c r="C6204" s="2" t="s">
        <v>71</v>
      </c>
      <c r="D6204" s="2" t="s">
        <v>17</v>
      </c>
      <c r="E6204" s="5">
        <v>-28163</v>
      </c>
      <c r="F6204" s="3" t="s">
        <v>891</v>
      </c>
      <c r="G6204" s="3" t="s">
        <v>31</v>
      </c>
      <c r="H6204" s="2" t="s">
        <v>20</v>
      </c>
      <c r="I6204" s="2" t="s">
        <v>12131</v>
      </c>
      <c r="J6204" s="3" t="str">
        <f>HYPERLINK("https://www.boe.es/gazeta/dias/1822/11/21/pdfs/GMD-1822-341.pdf#page=3","Abrir facsímil")</f>
        <v>Abrir facsímil</v>
      </c>
      <c r="K6204" s="3" t="s">
        <v>22</v>
      </c>
    </row>
    <row r="6205" spans="1:11" ht="42" customHeight="1">
      <c r="A6205" s="2" t="s">
        <v>12110</v>
      </c>
      <c r="B6205" s="2" t="s">
        <v>12110</v>
      </c>
      <c r="C6205" s="2" t="s">
        <v>42</v>
      </c>
      <c r="D6205" s="2" t="s">
        <v>17</v>
      </c>
      <c r="E6205" s="5">
        <v>-28162</v>
      </c>
      <c r="F6205" s="3" t="s">
        <v>3949</v>
      </c>
      <c r="G6205" s="3" t="s">
        <v>31</v>
      </c>
      <c r="H6205" s="2" t="s">
        <v>20</v>
      </c>
      <c r="I6205" s="2" t="s">
        <v>12132</v>
      </c>
      <c r="J6205" s="3" t="str">
        <f>HYPERLINK("https://www.boe.es/gazeta/dias/1822/11/22/pdfs/GMD-1822-342.pdf#page=3","Abrir facsímil")</f>
        <v>Abrir facsímil</v>
      </c>
      <c r="K6205" s="3" t="s">
        <v>22</v>
      </c>
    </row>
    <row r="6206" spans="1:11" ht="42" customHeight="1">
      <c r="A6206" s="2" t="s">
        <v>12110</v>
      </c>
      <c r="B6206" s="2" t="s">
        <v>12110</v>
      </c>
      <c r="C6206" s="2" t="s">
        <v>28</v>
      </c>
      <c r="D6206" s="2" t="s">
        <v>29</v>
      </c>
      <c r="E6206" s="5">
        <v>-28142</v>
      </c>
      <c r="F6206" s="3" t="s">
        <v>290</v>
      </c>
      <c r="G6206" s="3" t="s">
        <v>35</v>
      </c>
      <c r="H6206" s="2" t="s">
        <v>20</v>
      </c>
      <c r="I6206" s="2" t="s">
        <v>12133</v>
      </c>
      <c r="J6206" s="3" t="str">
        <f>HYPERLINK("https://www.boe.es/gazeta/dias/1822/12/12/pdfs/GMD-1822-362.pdf#page=2","Abrir facsímil")</f>
        <v>Abrir facsímil</v>
      </c>
      <c r="K6206" s="3" t="s">
        <v>22</v>
      </c>
    </row>
    <row r="6207" spans="1:11" ht="42" customHeight="1">
      <c r="A6207" s="2" t="s">
        <v>12110</v>
      </c>
      <c r="B6207" s="2" t="s">
        <v>12110</v>
      </c>
      <c r="C6207" s="2" t="s">
        <v>28</v>
      </c>
      <c r="D6207" s="2" t="s">
        <v>29</v>
      </c>
      <c r="E6207" s="5">
        <v>-28141</v>
      </c>
      <c r="F6207" s="3" t="s">
        <v>265</v>
      </c>
      <c r="G6207" s="3" t="s">
        <v>31</v>
      </c>
      <c r="H6207" s="2" t="s">
        <v>20</v>
      </c>
      <c r="I6207" s="2" t="s">
        <v>12134</v>
      </c>
      <c r="J6207" s="3" t="str">
        <f>HYPERLINK("https://www.boe.es/gazeta/dias/1822/12/13/pdfs/GMD-1822-363.pdf#page=3","Abrir facsímil")</f>
        <v>Abrir facsímil</v>
      </c>
      <c r="K6207" s="3" t="s">
        <v>22</v>
      </c>
    </row>
    <row r="6208" spans="1:11" ht="42" customHeight="1">
      <c r="A6208" s="2" t="s">
        <v>12110</v>
      </c>
      <c r="B6208" s="2" t="s">
        <v>12110</v>
      </c>
      <c r="C6208" s="2" t="s">
        <v>42</v>
      </c>
      <c r="D6208" s="2" t="s">
        <v>17</v>
      </c>
      <c r="E6208" s="5">
        <v>-28139</v>
      </c>
      <c r="F6208" s="3" t="s">
        <v>143</v>
      </c>
      <c r="G6208" s="3" t="s">
        <v>31</v>
      </c>
      <c r="H6208" s="2" t="s">
        <v>20</v>
      </c>
      <c r="I6208" s="2" t="s">
        <v>12135</v>
      </c>
      <c r="J6208" s="3" t="str">
        <f>HYPERLINK("https://www.boe.es/gazeta/dias/1822/12/15/pdfs/GMD-1822-365.pdf#page=3","Abrir facsímil")</f>
        <v>Abrir facsímil</v>
      </c>
      <c r="K6208" s="3" t="s">
        <v>22</v>
      </c>
    </row>
    <row r="6209" spans="1:11" ht="42" customHeight="1">
      <c r="A6209" s="2" t="s">
        <v>12110</v>
      </c>
      <c r="B6209" s="2" t="s">
        <v>12110</v>
      </c>
      <c r="C6209" s="2" t="s">
        <v>50</v>
      </c>
      <c r="D6209" s="2" t="s">
        <v>51</v>
      </c>
      <c r="E6209" s="5">
        <v>-28137</v>
      </c>
      <c r="F6209" s="3" t="s">
        <v>312</v>
      </c>
      <c r="G6209" s="3" t="s">
        <v>57</v>
      </c>
      <c r="H6209" s="2" t="s">
        <v>20</v>
      </c>
      <c r="I6209" s="2" t="s">
        <v>12136</v>
      </c>
      <c r="J6209" s="3" t="str">
        <f>HYPERLINK("https://www.boe.es/gazeta/dias/1822/12/17/pdfs/GMD-1822-367.pdf#page=4","Abrir facsímil")</f>
        <v>Abrir facsímil</v>
      </c>
      <c r="K6209" s="3" t="s">
        <v>22</v>
      </c>
    </row>
    <row r="6210" spans="1:11" ht="42" customHeight="1">
      <c r="A6210" s="2" t="s">
        <v>12110</v>
      </c>
      <c r="B6210" s="2" t="s">
        <v>12110</v>
      </c>
      <c r="C6210" s="2" t="s">
        <v>42</v>
      </c>
      <c r="D6210" s="2" t="s">
        <v>17</v>
      </c>
      <c r="E6210" s="5">
        <v>-28133</v>
      </c>
      <c r="F6210" s="3" t="s">
        <v>595</v>
      </c>
      <c r="G6210" s="3" t="s">
        <v>31</v>
      </c>
      <c r="H6210" s="2" t="s">
        <v>20</v>
      </c>
      <c r="I6210" s="2" t="s">
        <v>12137</v>
      </c>
      <c r="J6210" s="3" t="str">
        <f>HYPERLINK("https://www.boe.es/gazeta/dias/1822/12/21/pdfs/GMD-1822-371.pdf#page=3","Abrir facsímil")</f>
        <v>Abrir facsímil</v>
      </c>
      <c r="K6210" s="3" t="s">
        <v>22</v>
      </c>
    </row>
    <row r="6211" spans="1:11" ht="42" customHeight="1">
      <c r="A6211" s="2" t="s">
        <v>12110</v>
      </c>
      <c r="B6211" s="2" t="s">
        <v>12110</v>
      </c>
      <c r="C6211" s="2" t="s">
        <v>50</v>
      </c>
      <c r="D6211" s="2" t="s">
        <v>51</v>
      </c>
      <c r="E6211" s="5">
        <v>-28126</v>
      </c>
      <c r="F6211" s="3" t="s">
        <v>952</v>
      </c>
      <c r="G6211" s="3" t="s">
        <v>35</v>
      </c>
      <c r="H6211" s="2" t="s">
        <v>20</v>
      </c>
      <c r="I6211" s="2" t="s">
        <v>12138</v>
      </c>
      <c r="J6211" s="3" t="str">
        <f>HYPERLINK("https://www.boe.es/gazeta/dias/1822/12/28/pdfs/GMD-1822-378.pdf#page=2","Abrir facsímil")</f>
        <v>Abrir facsímil</v>
      </c>
      <c r="K6211" s="3" t="s">
        <v>22</v>
      </c>
    </row>
    <row r="6212" spans="1:11" ht="42" customHeight="1">
      <c r="A6212" s="2" t="s">
        <v>12139</v>
      </c>
      <c r="B6212" s="2" t="s">
        <v>12140</v>
      </c>
      <c r="C6212" s="2" t="s">
        <v>50</v>
      </c>
      <c r="D6212" s="2" t="s">
        <v>51</v>
      </c>
      <c r="E6212" s="5">
        <v>-28329</v>
      </c>
      <c r="F6212" s="3" t="s">
        <v>354</v>
      </c>
      <c r="G6212" s="3" t="s">
        <v>63</v>
      </c>
      <c r="H6212" s="2" t="s">
        <v>20</v>
      </c>
      <c r="I6212" s="2" t="s">
        <v>12141</v>
      </c>
      <c r="J6212" s="3" t="str">
        <f>HYPERLINK("https://www.boe.es/gazeta/dias/1822/06/08/pdfs/GMD-1822-165.pdf#page=6","Abrir facsímil")</f>
        <v>Abrir facsímil</v>
      </c>
      <c r="K6212" s="3" t="s">
        <v>22</v>
      </c>
    </row>
    <row r="6213" spans="1:11" ht="42" customHeight="1">
      <c r="A6213" s="2" t="s">
        <v>12142</v>
      </c>
      <c r="B6213" s="2" t="s">
        <v>12143</v>
      </c>
      <c r="C6213" s="2" t="s">
        <v>28</v>
      </c>
      <c r="D6213" s="2" t="s">
        <v>29</v>
      </c>
      <c r="E6213" s="5">
        <v>-28335</v>
      </c>
      <c r="F6213" s="3" t="s">
        <v>3346</v>
      </c>
      <c r="G6213" s="3" t="s">
        <v>19</v>
      </c>
      <c r="H6213" s="2" t="s">
        <v>20</v>
      </c>
      <c r="I6213" s="2" t="s">
        <v>12144</v>
      </c>
      <c r="J6213" s="3" t="str">
        <f>HYPERLINK("https://www.boe.es/gazeta/dias/1822/06/02/pdfs/GMD-1822-158.pdf#page=5","Abrir facsímil")</f>
        <v>Abrir facsímil</v>
      </c>
      <c r="K6213" s="3" t="s">
        <v>22</v>
      </c>
    </row>
    <row r="6214" spans="1:11" ht="42" customHeight="1">
      <c r="A6214" s="2" t="s">
        <v>12145</v>
      </c>
      <c r="B6214" s="2" t="s">
        <v>12146</v>
      </c>
      <c r="C6214" s="2" t="s">
        <v>28</v>
      </c>
      <c r="D6214" s="2" t="s">
        <v>29</v>
      </c>
      <c r="E6214" s="5">
        <v>-28426</v>
      </c>
      <c r="F6214" s="3" t="s">
        <v>1178</v>
      </c>
      <c r="G6214" s="3" t="s">
        <v>31</v>
      </c>
      <c r="H6214" s="2" t="s">
        <v>20</v>
      </c>
      <c r="I6214" s="2" t="s">
        <v>12147</v>
      </c>
      <c r="J6214" s="3" t="str">
        <f>HYPERLINK("https://www.boe.es/gazeta/dias/1822/03/03/pdfs/GMD-1822-64.pdf#page=3","Abrir facsímil")</f>
        <v>Abrir facsímil</v>
      </c>
      <c r="K6214" s="3" t="s">
        <v>22</v>
      </c>
    </row>
    <row r="6215" spans="1:11" ht="42" customHeight="1">
      <c r="A6215" s="2" t="s">
        <v>12148</v>
      </c>
      <c r="B6215" s="2" t="s">
        <v>12149</v>
      </c>
      <c r="C6215" s="2" t="s">
        <v>42</v>
      </c>
      <c r="D6215" s="2" t="s">
        <v>17</v>
      </c>
      <c r="E6215" s="5">
        <v>-28342</v>
      </c>
      <c r="F6215" s="3" t="s">
        <v>2281</v>
      </c>
      <c r="G6215" s="3" t="s">
        <v>35</v>
      </c>
      <c r="H6215" s="2" t="s">
        <v>20</v>
      </c>
      <c r="I6215" s="2" t="s">
        <v>12150</v>
      </c>
      <c r="J6215" s="3" t="str">
        <f>HYPERLINK("https://www.boe.es/gazeta/dias/1822/05/26/pdfs/GMD-1822-151.pdf#page=2","Abrir facsímil")</f>
        <v>Abrir facsímil</v>
      </c>
      <c r="K6215" s="3" t="s">
        <v>22</v>
      </c>
    </row>
    <row r="6216" spans="1:11" ht="42" customHeight="1">
      <c r="A6216" s="2" t="s">
        <v>12151</v>
      </c>
      <c r="B6216" s="2" t="s">
        <v>12152</v>
      </c>
      <c r="C6216" s="2" t="s">
        <v>50</v>
      </c>
      <c r="D6216" s="2" t="s">
        <v>51</v>
      </c>
      <c r="E6216" s="5">
        <v>-28418</v>
      </c>
      <c r="F6216" s="3" t="s">
        <v>205</v>
      </c>
      <c r="G6216" s="3" t="s">
        <v>167</v>
      </c>
      <c r="H6216" s="2" t="s">
        <v>20</v>
      </c>
      <c r="I6216" s="2" t="s">
        <v>12153</v>
      </c>
      <c r="J6216" s="3" t="str">
        <f>HYPERLINK("https://www.boe.es/gazeta/dias/1822/03/11/pdfs/GMD-1822-72.pdf#page=7","Abrir facsímil")</f>
        <v>Abrir facsímil</v>
      </c>
      <c r="K6216" s="3" t="s">
        <v>22</v>
      </c>
    </row>
    <row r="6217" spans="1:11" ht="42" customHeight="1">
      <c r="A6217" s="2" t="s">
        <v>12151</v>
      </c>
      <c r="B6217" s="2" t="s">
        <v>12152</v>
      </c>
      <c r="C6217" s="2" t="s">
        <v>50</v>
      </c>
      <c r="D6217" s="2" t="s">
        <v>51</v>
      </c>
      <c r="E6217" s="5">
        <v>-28400</v>
      </c>
      <c r="F6217" s="3" t="s">
        <v>1937</v>
      </c>
      <c r="G6217" s="3" t="s">
        <v>31</v>
      </c>
      <c r="H6217" s="2" t="s">
        <v>20</v>
      </c>
      <c r="I6217" s="2" t="s">
        <v>12154</v>
      </c>
      <c r="J6217" s="3" t="str">
        <f>HYPERLINK("https://www.boe.es/gazeta/dias/1822/03/29/pdfs/GMD-1822-90.pdf#page=3","Abrir facsímil")</f>
        <v>Abrir facsímil</v>
      </c>
      <c r="K6217" s="3" t="s">
        <v>22</v>
      </c>
    </row>
    <row r="6218" spans="1:11" ht="42" customHeight="1">
      <c r="A6218" s="2" t="s">
        <v>12151</v>
      </c>
      <c r="B6218" s="2" t="s">
        <v>12152</v>
      </c>
      <c r="C6218" s="2" t="s">
        <v>42</v>
      </c>
      <c r="D6218" s="2" t="s">
        <v>17</v>
      </c>
      <c r="E6218" s="5">
        <v>-28340</v>
      </c>
      <c r="F6218" s="3" t="s">
        <v>139</v>
      </c>
      <c r="G6218" s="3" t="s">
        <v>63</v>
      </c>
      <c r="H6218" s="2" t="s">
        <v>20</v>
      </c>
      <c r="I6218" s="2" t="s">
        <v>12155</v>
      </c>
      <c r="J6218" s="3" t="str">
        <f>HYPERLINK("https://www.boe.es/gazeta/dias/1822/05/28/pdfs/GMD-1822-153.pdf#page=6","Abrir facsímil")</f>
        <v>Abrir facsímil</v>
      </c>
      <c r="K6218" s="3" t="s">
        <v>22</v>
      </c>
    </row>
    <row r="6219" spans="1:11" ht="42" customHeight="1">
      <c r="A6219" s="2" t="s">
        <v>12156</v>
      </c>
      <c r="B6219" s="2" t="s">
        <v>12157</v>
      </c>
      <c r="C6219" s="2" t="s">
        <v>28</v>
      </c>
      <c r="D6219" s="2" t="s">
        <v>29</v>
      </c>
      <c r="E6219" s="5">
        <v>-28384</v>
      </c>
      <c r="F6219" s="3" t="s">
        <v>258</v>
      </c>
      <c r="G6219" s="3" t="s">
        <v>63</v>
      </c>
      <c r="H6219" s="2" t="s">
        <v>20</v>
      </c>
      <c r="I6219" s="2" t="s">
        <v>12158</v>
      </c>
      <c r="J6219" s="3" t="str">
        <f>HYPERLINK("https://www.boe.es/gazeta/dias/1822/04/14/pdfs/GMD-1822-106.pdf#page=6","Abrir facsímil")</f>
        <v>Abrir facsímil</v>
      </c>
      <c r="K6219" s="3" t="s">
        <v>22</v>
      </c>
    </row>
    <row r="6220" spans="1:11" ht="42" customHeight="1">
      <c r="A6220" s="2" t="s">
        <v>12159</v>
      </c>
      <c r="B6220" s="2" t="s">
        <v>12160</v>
      </c>
      <c r="C6220" s="2" t="s">
        <v>50</v>
      </c>
      <c r="D6220" s="2" t="s">
        <v>51</v>
      </c>
      <c r="E6220" s="5">
        <v>-28419</v>
      </c>
      <c r="F6220" s="3" t="s">
        <v>1392</v>
      </c>
      <c r="G6220" s="3" t="s">
        <v>63</v>
      </c>
      <c r="H6220" s="2" t="s">
        <v>20</v>
      </c>
      <c r="I6220" s="2" t="s">
        <v>12161</v>
      </c>
      <c r="J6220" s="3" t="str">
        <f>HYPERLINK("https://www.boe.es/gazeta/dias/1822/03/10/pdfs/GMD-1822-71.pdf#page=6","Abrir facsímil")</f>
        <v>Abrir facsímil</v>
      </c>
      <c r="K6220" s="3" t="s">
        <v>22</v>
      </c>
    </row>
    <row r="6221" spans="1:11" ht="42" customHeight="1">
      <c r="A6221" s="2" t="s">
        <v>12162</v>
      </c>
      <c r="B6221" s="2" t="s">
        <v>12163</v>
      </c>
      <c r="C6221" s="2" t="s">
        <v>16</v>
      </c>
      <c r="D6221" s="2" t="s">
        <v>17</v>
      </c>
      <c r="E6221" s="5">
        <v>-28307</v>
      </c>
      <c r="F6221" s="3" t="s">
        <v>555</v>
      </c>
      <c r="G6221" s="3" t="s">
        <v>157</v>
      </c>
      <c r="H6221" s="2" t="s">
        <v>45</v>
      </c>
      <c r="I6221" s="2" t="s">
        <v>12164</v>
      </c>
      <c r="J6221" s="3" t="str">
        <f>HYPERLINK("https://www.boe.es/gazeta/dias/1822/06/30/pdfs/GMD-1822-188.pdf#page=8","Abrir facsímil")</f>
        <v>Abrir facsímil</v>
      </c>
      <c r="K6221" s="3" t="s">
        <v>47</v>
      </c>
    </row>
    <row r="6222" spans="1:11" ht="42" customHeight="1">
      <c r="A6222" s="2" t="s">
        <v>12165</v>
      </c>
      <c r="B6222" s="2" t="s">
        <v>12166</v>
      </c>
      <c r="C6222" s="2" t="s">
        <v>42</v>
      </c>
      <c r="D6222" s="2" t="s">
        <v>17</v>
      </c>
      <c r="E6222" s="5">
        <v>-28371</v>
      </c>
      <c r="F6222" s="3" t="s">
        <v>401</v>
      </c>
      <c r="G6222" s="3" t="s">
        <v>63</v>
      </c>
      <c r="H6222" s="2" t="s">
        <v>20</v>
      </c>
      <c r="I6222" s="2" t="s">
        <v>12167</v>
      </c>
      <c r="J6222" s="3" t="str">
        <f>HYPERLINK("https://www.boe.es/gazeta/dias/1822/04/27/pdfs/GMD-1822-119.pdf#page=6","Abrir facsímil")</f>
        <v>Abrir facsímil</v>
      </c>
      <c r="K6222" s="3" t="s">
        <v>22</v>
      </c>
    </row>
    <row r="6223" spans="1:11" ht="42" customHeight="1">
      <c r="A6223" s="2" t="s">
        <v>12168</v>
      </c>
      <c r="B6223" s="2" t="s">
        <v>12169</v>
      </c>
      <c r="C6223" s="2" t="s">
        <v>42</v>
      </c>
      <c r="D6223" s="2" t="s">
        <v>17</v>
      </c>
      <c r="E6223" s="5">
        <v>-28160</v>
      </c>
      <c r="F6223" s="3" t="s">
        <v>148</v>
      </c>
      <c r="G6223" s="3" t="s">
        <v>19</v>
      </c>
      <c r="H6223" s="2" t="s">
        <v>45</v>
      </c>
      <c r="I6223" s="2" t="s">
        <v>12170</v>
      </c>
      <c r="J6223" s="3" t="str">
        <f>HYPERLINK("https://www.boe.es/gazeta/dias/1822/11/24/pdfs/GMD-1822-344.pdf#page=5","Abrir facsímil")</f>
        <v>Abrir facsímil</v>
      </c>
      <c r="K6223" s="3" t="s">
        <v>47</v>
      </c>
    </row>
    <row r="6224" spans="1:11" ht="42" customHeight="1">
      <c r="A6224" s="2" t="s">
        <v>12171</v>
      </c>
      <c r="B6224" s="2" t="s">
        <v>12172</v>
      </c>
      <c r="C6224" s="2" t="s">
        <v>50</v>
      </c>
      <c r="D6224" s="2" t="s">
        <v>51</v>
      </c>
      <c r="E6224" s="5">
        <v>-28338</v>
      </c>
      <c r="F6224" s="3" t="s">
        <v>527</v>
      </c>
      <c r="G6224" s="3" t="s">
        <v>35</v>
      </c>
      <c r="H6224" s="2" t="s">
        <v>20</v>
      </c>
      <c r="I6224" s="2" t="s">
        <v>12173</v>
      </c>
      <c r="J6224" s="3" t="str">
        <f>HYPERLINK("https://www.boe.es/gazeta/dias/1822/05/30/pdfs/GMD-1822-155.pdf#page=2","Abrir facsímil")</f>
        <v>Abrir facsímil</v>
      </c>
      <c r="K6224" s="3" t="s">
        <v>22</v>
      </c>
    </row>
    <row r="6225" spans="1:11" ht="42" customHeight="1">
      <c r="A6225" s="2" t="s">
        <v>12174</v>
      </c>
      <c r="B6225" s="2" t="s">
        <v>12175</v>
      </c>
      <c r="C6225" s="2" t="s">
        <v>71</v>
      </c>
      <c r="D6225" s="2" t="s">
        <v>17</v>
      </c>
      <c r="E6225" s="5">
        <v>-28402</v>
      </c>
      <c r="F6225" s="3" t="s">
        <v>473</v>
      </c>
      <c r="G6225" s="3" t="s">
        <v>35</v>
      </c>
      <c r="H6225" s="2" t="s">
        <v>20</v>
      </c>
      <c r="I6225" s="2" t="s">
        <v>12176</v>
      </c>
      <c r="J6225" s="3" t="str">
        <f>HYPERLINK("https://www.boe.es/gazeta/dias/1822/03/27/pdfs/GMD-1822-88.pdf#page=2","Abrir facsímil")</f>
        <v>Abrir facsímil</v>
      </c>
      <c r="K6225" s="3" t="s">
        <v>22</v>
      </c>
    </row>
    <row r="6226" spans="1:11" ht="42" customHeight="1">
      <c r="A6226" s="2" t="s">
        <v>12177</v>
      </c>
      <c r="B6226" s="2" t="s">
        <v>12178</v>
      </c>
      <c r="C6226" s="2" t="s">
        <v>50</v>
      </c>
      <c r="D6226" s="2" t="s">
        <v>51</v>
      </c>
      <c r="E6226" s="5">
        <v>-28349</v>
      </c>
      <c r="F6226" s="3" t="s">
        <v>518</v>
      </c>
      <c r="G6226" s="3" t="s">
        <v>57</v>
      </c>
      <c r="H6226" s="2" t="s">
        <v>20</v>
      </c>
      <c r="I6226" s="2" t="s">
        <v>12179</v>
      </c>
      <c r="J6226" s="3" t="str">
        <f>HYPERLINK("https://www.boe.es/gazeta/dias/1822/05/19/pdfs/GMD-1822-141.pdf#page=4","Abrir facsímil")</f>
        <v>Abrir facsímil</v>
      </c>
      <c r="K6226" s="3" t="s">
        <v>22</v>
      </c>
    </row>
    <row r="6227" spans="1:11" ht="42" customHeight="1">
      <c r="A6227" s="2" t="s">
        <v>12180</v>
      </c>
      <c r="B6227" s="2" t="s">
        <v>12181</v>
      </c>
      <c r="C6227" s="2" t="s">
        <v>50</v>
      </c>
      <c r="D6227" s="2" t="s">
        <v>51</v>
      </c>
      <c r="E6227" s="5">
        <v>-28189</v>
      </c>
      <c r="F6227" s="3" t="s">
        <v>645</v>
      </c>
      <c r="G6227" s="3" t="s">
        <v>63</v>
      </c>
      <c r="H6227" s="2" t="s">
        <v>20</v>
      </c>
      <c r="I6227" s="2" t="s">
        <v>12182</v>
      </c>
      <c r="J6227" s="3" t="str">
        <f>HYPERLINK("https://www.boe.es/gazeta/dias/1822/10/26/pdfs/GMD-1822-313.pdf#page=6","Abrir facsímil")</f>
        <v>Abrir facsímil</v>
      </c>
      <c r="K6227" s="3" t="s">
        <v>22</v>
      </c>
    </row>
    <row r="6228" spans="1:11" ht="42" customHeight="1">
      <c r="A6228" s="2" t="s">
        <v>12180</v>
      </c>
      <c r="B6228" s="2" t="s">
        <v>12181</v>
      </c>
      <c r="C6228" s="2" t="s">
        <v>61</v>
      </c>
      <c r="D6228" s="2" t="s">
        <v>17</v>
      </c>
      <c r="E6228" s="5">
        <v>-28165</v>
      </c>
      <c r="F6228" s="3" t="s">
        <v>846</v>
      </c>
      <c r="G6228" s="3" t="s">
        <v>57</v>
      </c>
      <c r="H6228" s="2" t="s">
        <v>20</v>
      </c>
      <c r="I6228" s="2" t="s">
        <v>12183</v>
      </c>
      <c r="J6228" s="3" t="str">
        <f>HYPERLINK("https://www.boe.es/gazeta/dias/1822/11/19/pdfs/GMD-1822-339.pdf#page=4","Abrir facsímil")</f>
        <v>Abrir facsímil</v>
      </c>
      <c r="K6228" s="3" t="s">
        <v>22</v>
      </c>
    </row>
    <row r="6229" spans="1:11" ht="42" customHeight="1">
      <c r="A6229" s="2" t="s">
        <v>12180</v>
      </c>
      <c r="B6229" s="2" t="s">
        <v>12181</v>
      </c>
      <c r="C6229" s="2" t="s">
        <v>50</v>
      </c>
      <c r="D6229" s="2" t="s">
        <v>51</v>
      </c>
      <c r="E6229" s="5">
        <v>-28157</v>
      </c>
      <c r="F6229" s="3" t="s">
        <v>1492</v>
      </c>
      <c r="G6229" s="3" t="s">
        <v>63</v>
      </c>
      <c r="H6229" s="2" t="s">
        <v>20</v>
      </c>
      <c r="I6229" s="2" t="s">
        <v>12184</v>
      </c>
      <c r="J6229" s="3" t="str">
        <f>HYPERLINK("https://www.boe.es/gazeta/dias/1822/11/27/pdfs/GMD-1822-347.pdf#page=6","Abrir facsímil")</f>
        <v>Abrir facsímil</v>
      </c>
      <c r="K6229" s="3" t="s">
        <v>22</v>
      </c>
    </row>
    <row r="6230" spans="1:11" ht="42" customHeight="1">
      <c r="A6230" s="2" t="s">
        <v>12185</v>
      </c>
      <c r="B6230" s="2" t="s">
        <v>12186</v>
      </c>
      <c r="C6230" s="2" t="s">
        <v>28</v>
      </c>
      <c r="D6230" s="2" t="s">
        <v>29</v>
      </c>
      <c r="E6230" s="5">
        <v>-28426</v>
      </c>
      <c r="F6230" s="3" t="s">
        <v>1178</v>
      </c>
      <c r="G6230" s="3" t="s">
        <v>35</v>
      </c>
      <c r="H6230" s="2" t="s">
        <v>20</v>
      </c>
      <c r="I6230" s="2" t="s">
        <v>12187</v>
      </c>
      <c r="J6230" s="3" t="str">
        <f>HYPERLINK("https://www.boe.es/gazeta/dias/1822/03/03/pdfs/GMD-1822-64.pdf#page=2","Abrir facsímil")</f>
        <v>Abrir facsímil</v>
      </c>
      <c r="K6230" s="3" t="s">
        <v>22</v>
      </c>
    </row>
    <row r="6231" spans="1:11" ht="42" customHeight="1">
      <c r="A6231" s="2" t="s">
        <v>12185</v>
      </c>
      <c r="B6231" s="2" t="s">
        <v>12186</v>
      </c>
      <c r="C6231" s="2" t="s">
        <v>50</v>
      </c>
      <c r="D6231" s="2" t="s">
        <v>51</v>
      </c>
      <c r="E6231" s="5">
        <v>-28417</v>
      </c>
      <c r="F6231" s="3" t="s">
        <v>1394</v>
      </c>
      <c r="G6231" s="3" t="s">
        <v>35</v>
      </c>
      <c r="H6231" s="2" t="s">
        <v>20</v>
      </c>
      <c r="I6231" s="2" t="s">
        <v>12188</v>
      </c>
      <c r="J6231" s="3" t="str">
        <f>HYPERLINK("https://www.boe.es/gazeta/dias/1822/03/12/pdfs/GMD-1822-73.pdf#page=2","Abrir facsímil")</f>
        <v>Abrir facsímil</v>
      </c>
      <c r="K6231" s="3" t="s">
        <v>22</v>
      </c>
    </row>
    <row r="6232" spans="1:11" ht="42" customHeight="1">
      <c r="A6232" s="2" t="s">
        <v>12185</v>
      </c>
      <c r="B6232" s="2" t="s">
        <v>12186</v>
      </c>
      <c r="C6232" s="2" t="s">
        <v>71</v>
      </c>
      <c r="D6232" s="2" t="s">
        <v>17</v>
      </c>
      <c r="E6232" s="5">
        <v>-28176</v>
      </c>
      <c r="F6232" s="3" t="s">
        <v>780</v>
      </c>
      <c r="G6232" s="3" t="s">
        <v>63</v>
      </c>
      <c r="H6232" s="2" t="s">
        <v>20</v>
      </c>
      <c r="I6232" s="2" t="s">
        <v>12189</v>
      </c>
      <c r="J6232" s="3" t="str">
        <f>HYPERLINK("https://www.boe.es/gazeta/dias/1822/11/08/pdfs/GMD-1822-328.pdf#page=6","Abrir facsímil")</f>
        <v>Abrir facsímil</v>
      </c>
      <c r="K6232" s="3" t="s">
        <v>22</v>
      </c>
    </row>
    <row r="6233" spans="1:11" ht="42" customHeight="1">
      <c r="A6233" s="2" t="s">
        <v>12190</v>
      </c>
      <c r="B6233" s="2" t="s">
        <v>12191</v>
      </c>
      <c r="C6233" s="2" t="s">
        <v>50</v>
      </c>
      <c r="D6233" s="2" t="s">
        <v>51</v>
      </c>
      <c r="E6233" s="5">
        <v>-28158</v>
      </c>
      <c r="F6233" s="3" t="s">
        <v>590</v>
      </c>
      <c r="G6233" s="3" t="s">
        <v>63</v>
      </c>
      <c r="H6233" s="2" t="s">
        <v>20</v>
      </c>
      <c r="I6233" s="2" t="s">
        <v>12192</v>
      </c>
      <c r="J6233" s="3" t="str">
        <f>HYPERLINK("https://www.boe.es/gazeta/dias/1822/11/26/pdfs/GMD-1822-346.pdf#page=6","Abrir facsímil")</f>
        <v>Abrir facsímil</v>
      </c>
      <c r="K6233" s="3" t="s">
        <v>22</v>
      </c>
    </row>
    <row r="6234" spans="1:11" ht="42" customHeight="1">
      <c r="A6234" s="2" t="s">
        <v>12193</v>
      </c>
      <c r="B6234" s="2" t="s">
        <v>12194</v>
      </c>
      <c r="C6234" s="2" t="s">
        <v>28</v>
      </c>
      <c r="D6234" s="2" t="s">
        <v>29</v>
      </c>
      <c r="E6234" s="5">
        <v>-28384</v>
      </c>
      <c r="F6234" s="3" t="s">
        <v>258</v>
      </c>
      <c r="G6234" s="3" t="s">
        <v>63</v>
      </c>
      <c r="H6234" s="2" t="s">
        <v>20</v>
      </c>
      <c r="I6234" s="2" t="s">
        <v>12195</v>
      </c>
      <c r="J6234" s="3" t="str">
        <f>HYPERLINK("https://www.boe.es/gazeta/dias/1822/04/14/pdfs/GMD-1822-106.pdf#page=6","Abrir facsímil")</f>
        <v>Abrir facsímil</v>
      </c>
      <c r="K6234" s="3" t="s">
        <v>22</v>
      </c>
    </row>
    <row r="6235" spans="1:11" ht="42" customHeight="1">
      <c r="A6235" s="2" t="s">
        <v>12196</v>
      </c>
      <c r="B6235" s="2" t="s">
        <v>12197</v>
      </c>
      <c r="C6235" s="2" t="s">
        <v>50</v>
      </c>
      <c r="D6235" s="2" t="s">
        <v>51</v>
      </c>
      <c r="E6235" s="5">
        <v>-28391</v>
      </c>
      <c r="F6235" s="3" t="s">
        <v>378</v>
      </c>
      <c r="G6235" s="3" t="s">
        <v>63</v>
      </c>
      <c r="H6235" s="2" t="s">
        <v>20</v>
      </c>
      <c r="I6235" s="2" t="s">
        <v>12198</v>
      </c>
      <c r="J6235" s="3" t="str">
        <f>HYPERLINK("https://www.boe.es/gazeta/dias/1822/04/07/pdfs/GMD-1822-99.pdf#page=6","Abrir facsímil")</f>
        <v>Abrir facsímil</v>
      </c>
      <c r="K6235" s="3" t="s">
        <v>22</v>
      </c>
    </row>
    <row r="6236" spans="1:11" ht="42" customHeight="1">
      <c r="A6236" s="2" t="s">
        <v>12199</v>
      </c>
      <c r="B6236" s="2" t="s">
        <v>12199</v>
      </c>
      <c r="C6236" s="2" t="s">
        <v>71</v>
      </c>
      <c r="D6236" s="2" t="s">
        <v>17</v>
      </c>
      <c r="E6236" s="5">
        <v>-28127</v>
      </c>
      <c r="F6236" s="3" t="s">
        <v>409</v>
      </c>
      <c r="G6236" s="3" t="s">
        <v>57</v>
      </c>
      <c r="H6236" s="2" t="s">
        <v>20</v>
      </c>
      <c r="I6236" s="2" t="s">
        <v>12200</v>
      </c>
      <c r="J6236" s="3" t="str">
        <f>HYPERLINK("https://www.boe.es/gazeta/dias/1822/12/27/pdfs/GMD-1822-377.pdf#page=4","Abrir facsímil")</f>
        <v>Abrir facsímil</v>
      </c>
      <c r="K6236" s="3" t="s">
        <v>22</v>
      </c>
    </row>
    <row r="6237" spans="1:11" ht="42" customHeight="1">
      <c r="A6237" s="2" t="s">
        <v>12201</v>
      </c>
      <c r="B6237" s="2" t="s">
        <v>12201</v>
      </c>
      <c r="C6237" s="2" t="s">
        <v>71</v>
      </c>
      <c r="D6237" s="2" t="s">
        <v>17</v>
      </c>
      <c r="E6237" s="5">
        <v>-28426</v>
      </c>
      <c r="F6237" s="3" t="s">
        <v>1178</v>
      </c>
      <c r="G6237" s="3" t="s">
        <v>31</v>
      </c>
      <c r="H6237" s="2" t="s">
        <v>20</v>
      </c>
      <c r="I6237" s="2" t="s">
        <v>12202</v>
      </c>
      <c r="J6237" s="3" t="str">
        <f>HYPERLINK("https://www.boe.es/gazeta/dias/1822/03/03/pdfs/GMD-1822-64.pdf#page=3","Abrir facsímil")</f>
        <v>Abrir facsímil</v>
      </c>
      <c r="K6237" s="3" t="s">
        <v>22</v>
      </c>
    </row>
    <row r="6238" spans="1:11" ht="42" customHeight="1">
      <c r="A6238" s="2" t="s">
        <v>12201</v>
      </c>
      <c r="B6238" s="2" t="s">
        <v>12201</v>
      </c>
      <c r="C6238" s="2" t="s">
        <v>42</v>
      </c>
      <c r="D6238" s="2" t="s">
        <v>17</v>
      </c>
      <c r="E6238" s="5">
        <v>-28266</v>
      </c>
      <c r="F6238" s="3" t="s">
        <v>1169</v>
      </c>
      <c r="G6238" s="3" t="s">
        <v>57</v>
      </c>
      <c r="H6238" s="2" t="s">
        <v>20</v>
      </c>
      <c r="I6238" s="2" t="s">
        <v>12203</v>
      </c>
      <c r="J6238" s="3" t="str">
        <f>HYPERLINK("https://www.boe.es/gazeta/dias/1822/08/10/pdfs/GMD-1822-234.pdf#page=4","Abrir facsímil")</f>
        <v>Abrir facsímil</v>
      </c>
      <c r="K6238" s="3" t="s">
        <v>22</v>
      </c>
    </row>
    <row r="6239" spans="1:11" ht="42" customHeight="1">
      <c r="A6239" s="2" t="s">
        <v>12201</v>
      </c>
      <c r="B6239" s="2" t="s">
        <v>12201</v>
      </c>
      <c r="C6239" s="2" t="s">
        <v>42</v>
      </c>
      <c r="D6239" s="2" t="s">
        <v>17</v>
      </c>
      <c r="E6239" s="5">
        <v>-28188</v>
      </c>
      <c r="F6239" s="3" t="s">
        <v>578</v>
      </c>
      <c r="G6239" s="3" t="s">
        <v>19</v>
      </c>
      <c r="H6239" s="2" t="s">
        <v>20</v>
      </c>
      <c r="I6239" s="2" t="s">
        <v>12204</v>
      </c>
      <c r="J6239" s="3" t="str">
        <f>HYPERLINK("https://www.boe.es/gazeta/dias/1822/10/27/pdfs/GMD-1822-314.pdf#page=5","Abrir facsímil")</f>
        <v>Abrir facsímil</v>
      </c>
      <c r="K6239" s="3" t="s">
        <v>22</v>
      </c>
    </row>
    <row r="6240" spans="1:11" ht="42" customHeight="1">
      <c r="A6240" s="2" t="s">
        <v>12205</v>
      </c>
      <c r="B6240" s="2" t="s">
        <v>12206</v>
      </c>
      <c r="C6240" s="2" t="s">
        <v>42</v>
      </c>
      <c r="D6240" s="2" t="s">
        <v>17</v>
      </c>
      <c r="E6240" s="5">
        <v>-28225</v>
      </c>
      <c r="F6240" s="3" t="s">
        <v>177</v>
      </c>
      <c r="G6240" s="3" t="s">
        <v>178</v>
      </c>
      <c r="H6240" s="2" t="s">
        <v>20</v>
      </c>
      <c r="I6240" s="2" t="s">
        <v>12207</v>
      </c>
      <c r="J6240" s="3" t="str">
        <f>HYPERLINK("https://www.boe.es/gazeta/dias/1822/09/20/pdfs/GMD-1822-276.pdf#page=3","Abrir facsímil")</f>
        <v>Abrir facsímil</v>
      </c>
      <c r="K6240" s="3" t="s">
        <v>22</v>
      </c>
    </row>
    <row r="6241" spans="1:11" ht="42" customHeight="1">
      <c r="A6241" s="2" t="s">
        <v>12208</v>
      </c>
      <c r="B6241" s="2" t="s">
        <v>12209</v>
      </c>
      <c r="C6241" s="2" t="s">
        <v>50</v>
      </c>
      <c r="D6241" s="2" t="s">
        <v>51</v>
      </c>
      <c r="E6241" s="5">
        <v>-28371</v>
      </c>
      <c r="F6241" s="3" t="s">
        <v>401</v>
      </c>
      <c r="G6241" s="3" t="s">
        <v>19</v>
      </c>
      <c r="H6241" s="2" t="s">
        <v>20</v>
      </c>
      <c r="I6241" s="2" t="s">
        <v>12210</v>
      </c>
      <c r="J6241" s="3" t="str">
        <f>HYPERLINK("https://www.boe.es/gazeta/dias/1822/04/27/pdfs/GMD-1822-119.pdf#page=5","Abrir facsímil")</f>
        <v>Abrir facsímil</v>
      </c>
      <c r="K6241" s="3" t="s">
        <v>22</v>
      </c>
    </row>
    <row r="6242" spans="1:11" ht="42" customHeight="1">
      <c r="A6242" s="2" t="s">
        <v>12211</v>
      </c>
      <c r="B6242" s="2" t="s">
        <v>12211</v>
      </c>
      <c r="C6242" s="2" t="s">
        <v>42</v>
      </c>
      <c r="D6242" s="2" t="s">
        <v>17</v>
      </c>
      <c r="E6242" s="5">
        <v>-28323</v>
      </c>
      <c r="F6242" s="3" t="s">
        <v>116</v>
      </c>
      <c r="G6242" s="3" t="s">
        <v>19</v>
      </c>
      <c r="H6242" s="2" t="s">
        <v>20</v>
      </c>
      <c r="I6242" s="2" t="s">
        <v>12212</v>
      </c>
      <c r="J6242" s="3" t="str">
        <f>HYPERLINK("https://www.boe.es/gazeta/dias/1822/06/14/pdfs/GMD-1822-171.pdf#page=5","Abrir facsímil")</f>
        <v>Abrir facsímil</v>
      </c>
      <c r="K6242" s="3" t="s">
        <v>22</v>
      </c>
    </row>
    <row r="6243" spans="1:11" ht="42" customHeight="1">
      <c r="A6243" s="2" t="s">
        <v>12213</v>
      </c>
      <c r="B6243" s="2" t="s">
        <v>12214</v>
      </c>
      <c r="C6243" s="2" t="s">
        <v>28</v>
      </c>
      <c r="D6243" s="2" t="s">
        <v>29</v>
      </c>
      <c r="E6243" s="5">
        <v>-28473</v>
      </c>
      <c r="F6243" s="3" t="s">
        <v>2337</v>
      </c>
      <c r="G6243" s="3" t="s">
        <v>157</v>
      </c>
      <c r="H6243" s="2" t="s">
        <v>20</v>
      </c>
      <c r="I6243" s="2" t="s">
        <v>12215</v>
      </c>
      <c r="J6243" s="3" t="str">
        <f>HYPERLINK("https://www.boe.es/gazeta/dias/1822/01/15/pdfs/GMD-1822-15.pdf#page=8","Abrir facsímil")</f>
        <v>Abrir facsímil</v>
      </c>
      <c r="K6243" s="3" t="s">
        <v>22</v>
      </c>
    </row>
    <row r="6244" spans="1:11" ht="42" customHeight="1">
      <c r="A6244" s="2" t="s">
        <v>12216</v>
      </c>
      <c r="B6244" s="2" t="s">
        <v>12217</v>
      </c>
      <c r="C6244" s="2" t="s">
        <v>50</v>
      </c>
      <c r="D6244" s="2" t="s">
        <v>51</v>
      </c>
      <c r="E6244" s="5">
        <v>-28225</v>
      </c>
      <c r="F6244" s="3" t="s">
        <v>177</v>
      </c>
      <c r="G6244" s="3" t="s">
        <v>178</v>
      </c>
      <c r="H6244" s="2" t="s">
        <v>20</v>
      </c>
      <c r="I6244" s="2" t="s">
        <v>12218</v>
      </c>
      <c r="J6244" s="3" t="str">
        <f>HYPERLINK("https://www.boe.es/gazeta/dias/1822/09/20/pdfs/GMD-1822-276.pdf#page=3","Abrir facsímil")</f>
        <v>Abrir facsímil</v>
      </c>
      <c r="K6244" s="3" t="s">
        <v>22</v>
      </c>
    </row>
    <row r="6245" spans="1:11" ht="42" customHeight="1">
      <c r="A6245" s="2" t="s">
        <v>12219</v>
      </c>
      <c r="B6245" s="2" t="s">
        <v>12219</v>
      </c>
      <c r="C6245" s="2" t="s">
        <v>50</v>
      </c>
      <c r="D6245" s="2" t="s">
        <v>51</v>
      </c>
      <c r="E6245" s="5">
        <v>-28201</v>
      </c>
      <c r="F6245" s="3" t="s">
        <v>163</v>
      </c>
      <c r="G6245" s="3" t="s">
        <v>57</v>
      </c>
      <c r="H6245" s="2" t="s">
        <v>20</v>
      </c>
      <c r="I6245" s="2" t="s">
        <v>12220</v>
      </c>
      <c r="J6245" s="3" t="str">
        <f>HYPERLINK("https://www.boe.es/gazeta/dias/1822/10/14/pdfs/GMD-1822-301.pdf#page=4","Abrir facsímil")</f>
        <v>Abrir facsímil</v>
      </c>
      <c r="K6245" s="3" t="s">
        <v>22</v>
      </c>
    </row>
    <row r="6246" spans="1:11" ht="42" customHeight="1">
      <c r="A6246" s="2" t="s">
        <v>12221</v>
      </c>
      <c r="B6246" s="2" t="s">
        <v>12222</v>
      </c>
      <c r="C6246" s="2" t="s">
        <v>50</v>
      </c>
      <c r="D6246" s="2" t="s">
        <v>51</v>
      </c>
      <c r="E6246" s="5">
        <v>-28218</v>
      </c>
      <c r="F6246" s="3" t="s">
        <v>405</v>
      </c>
      <c r="G6246" s="3" t="s">
        <v>31</v>
      </c>
      <c r="H6246" s="2" t="s">
        <v>20</v>
      </c>
      <c r="I6246" s="2" t="s">
        <v>12223</v>
      </c>
      <c r="J6246" s="3" t="str">
        <f>HYPERLINK("https://www.boe.es/gazeta/dias/1822/09/27/pdfs/GMD-1822-283.pdf#page=3","Abrir facsímil")</f>
        <v>Abrir facsímil</v>
      </c>
      <c r="K6246" s="3" t="s">
        <v>22</v>
      </c>
    </row>
    <row r="6247" spans="1:11" ht="42" customHeight="1">
      <c r="A6247" s="2" t="s">
        <v>12224</v>
      </c>
      <c r="B6247" s="2" t="s">
        <v>12224</v>
      </c>
      <c r="C6247" s="2" t="s">
        <v>16</v>
      </c>
      <c r="D6247" s="2" t="s">
        <v>17</v>
      </c>
      <c r="E6247" s="5">
        <v>-28423</v>
      </c>
      <c r="F6247" s="3" t="s">
        <v>441</v>
      </c>
      <c r="G6247" s="3" t="s">
        <v>35</v>
      </c>
      <c r="H6247" s="2" t="s">
        <v>20</v>
      </c>
      <c r="I6247" s="2" t="s">
        <v>12225</v>
      </c>
      <c r="J6247" s="3" t="str">
        <f>HYPERLINK("https://www.boe.es/gazeta/dias/1822/03/06/pdfs/GMD-1822-67.pdf#page=2","Abrir facsímil")</f>
        <v>Abrir facsímil</v>
      </c>
      <c r="K6247" s="3" t="s">
        <v>22</v>
      </c>
    </row>
    <row r="6248" spans="1:11" ht="42" customHeight="1">
      <c r="A6248" s="2" t="s">
        <v>12224</v>
      </c>
      <c r="B6248" s="2" t="s">
        <v>12224</v>
      </c>
      <c r="C6248" s="2" t="s">
        <v>71</v>
      </c>
      <c r="D6248" s="2" t="s">
        <v>17</v>
      </c>
      <c r="E6248" s="5">
        <v>-28422</v>
      </c>
      <c r="F6248" s="3" t="s">
        <v>416</v>
      </c>
      <c r="G6248" s="3" t="s">
        <v>35</v>
      </c>
      <c r="H6248" s="2" t="s">
        <v>20</v>
      </c>
      <c r="I6248" s="2" t="s">
        <v>12226</v>
      </c>
      <c r="J6248" s="3" t="str">
        <f>HYPERLINK("https://www.boe.es/gazeta/dias/1822/03/07/pdfs/GMD-1822-68.pdf#page=2","Abrir facsímil")</f>
        <v>Abrir facsímil</v>
      </c>
      <c r="K6248" s="3" t="s">
        <v>22</v>
      </c>
    </row>
    <row r="6249" spans="1:11" ht="42" customHeight="1">
      <c r="A6249" s="2" t="s">
        <v>12224</v>
      </c>
      <c r="B6249" s="2" t="s">
        <v>12224</v>
      </c>
      <c r="C6249" s="2" t="s">
        <v>50</v>
      </c>
      <c r="D6249" s="2" t="s">
        <v>51</v>
      </c>
      <c r="E6249" s="5">
        <v>-28414</v>
      </c>
      <c r="F6249" s="3" t="s">
        <v>187</v>
      </c>
      <c r="G6249" s="3" t="s">
        <v>57</v>
      </c>
      <c r="H6249" s="2" t="s">
        <v>20</v>
      </c>
      <c r="I6249" s="2" t="s">
        <v>12227</v>
      </c>
      <c r="J6249" s="3" t="str">
        <f>HYPERLINK("https://www.boe.es/gazeta/dias/1822/03/15/pdfs/GMD-1822-76.pdf#page=4","Abrir facsímil")</f>
        <v>Abrir facsímil</v>
      </c>
      <c r="K6249" s="3" t="s">
        <v>22</v>
      </c>
    </row>
    <row r="6250" spans="1:11" ht="42" customHeight="1">
      <c r="A6250" s="2" t="s">
        <v>12224</v>
      </c>
      <c r="B6250" s="2" t="s">
        <v>12224</v>
      </c>
      <c r="C6250" s="2" t="s">
        <v>50</v>
      </c>
      <c r="D6250" s="2" t="s">
        <v>51</v>
      </c>
      <c r="E6250" s="5">
        <v>-28401</v>
      </c>
      <c r="F6250" s="3" t="s">
        <v>108</v>
      </c>
      <c r="G6250" s="3" t="s">
        <v>35</v>
      </c>
      <c r="H6250" s="2" t="s">
        <v>20</v>
      </c>
      <c r="I6250" s="2" t="s">
        <v>12228</v>
      </c>
      <c r="J6250" s="3" t="str">
        <f>HYPERLINK("https://www.boe.es/gazeta/dias/1822/03/28/pdfs/GMD-1822-89.pdf#page=2","Abrir facsímil")</f>
        <v>Abrir facsímil</v>
      </c>
      <c r="K6250" s="3" t="s">
        <v>22</v>
      </c>
    </row>
    <row r="6251" spans="1:11" ht="42" customHeight="1">
      <c r="A6251" s="2" t="s">
        <v>12224</v>
      </c>
      <c r="B6251" s="2" t="s">
        <v>12224</v>
      </c>
      <c r="C6251" s="2" t="s">
        <v>50</v>
      </c>
      <c r="D6251" s="2" t="s">
        <v>51</v>
      </c>
      <c r="E6251" s="5">
        <v>-28375</v>
      </c>
      <c r="F6251" s="3" t="s">
        <v>2035</v>
      </c>
      <c r="G6251" s="3" t="s">
        <v>31</v>
      </c>
      <c r="H6251" s="2" t="s">
        <v>20</v>
      </c>
      <c r="I6251" s="2" t="s">
        <v>12229</v>
      </c>
      <c r="J6251" s="3" t="str">
        <f>HYPERLINK("https://www.boe.es/gazeta/dias/1822/04/23/pdfs/GMD-1822-115.pdf#page=3","Abrir facsímil")</f>
        <v>Abrir facsímil</v>
      </c>
      <c r="K6251" s="3" t="s">
        <v>22</v>
      </c>
    </row>
    <row r="6252" spans="1:11" ht="42" customHeight="1">
      <c r="A6252" s="2" t="s">
        <v>12224</v>
      </c>
      <c r="B6252" s="2" t="s">
        <v>12224</v>
      </c>
      <c r="C6252" s="2" t="s">
        <v>50</v>
      </c>
      <c r="D6252" s="2" t="s">
        <v>51</v>
      </c>
      <c r="E6252" s="5">
        <v>-28359</v>
      </c>
      <c r="F6252" s="3" t="s">
        <v>209</v>
      </c>
      <c r="G6252" s="3" t="s">
        <v>35</v>
      </c>
      <c r="H6252" s="2" t="s">
        <v>20</v>
      </c>
      <c r="I6252" s="2" t="s">
        <v>12230</v>
      </c>
      <c r="J6252" s="3" t="str">
        <f>HYPERLINK("https://www.boe.es/gazeta/dias/1822/05/09/pdfs/GMD-1822-131.pdf#page=2","Abrir facsímil")</f>
        <v>Abrir facsímil</v>
      </c>
      <c r="K6252" s="3" t="s">
        <v>22</v>
      </c>
    </row>
    <row r="6253" spans="1:11" ht="42" customHeight="1">
      <c r="A6253" s="2" t="s">
        <v>12224</v>
      </c>
      <c r="B6253" s="2" t="s">
        <v>12224</v>
      </c>
      <c r="C6253" s="2" t="s">
        <v>28</v>
      </c>
      <c r="D6253" s="2" t="s">
        <v>29</v>
      </c>
      <c r="E6253" s="5">
        <v>-28324</v>
      </c>
      <c r="F6253" s="3" t="s">
        <v>305</v>
      </c>
      <c r="G6253" s="3" t="s">
        <v>57</v>
      </c>
      <c r="H6253" s="2" t="s">
        <v>20</v>
      </c>
      <c r="I6253" s="2" t="s">
        <v>12231</v>
      </c>
      <c r="J6253" s="3" t="str">
        <f>HYPERLINK("https://www.boe.es/gazeta/dias/1822/06/13/pdfs/GMD-1822-170.pdf#page=4","Abrir facsímil")</f>
        <v>Abrir facsímil</v>
      </c>
      <c r="K6253" s="3" t="s">
        <v>22</v>
      </c>
    </row>
    <row r="6254" spans="1:11" ht="42" customHeight="1">
      <c r="A6254" s="2" t="s">
        <v>12232</v>
      </c>
      <c r="B6254" s="2" t="s">
        <v>12233</v>
      </c>
      <c r="C6254" s="2" t="s">
        <v>28</v>
      </c>
      <c r="D6254" s="2" t="s">
        <v>29</v>
      </c>
      <c r="E6254" s="5">
        <v>-28199</v>
      </c>
      <c r="F6254" s="3" t="s">
        <v>656</v>
      </c>
      <c r="G6254" s="3" t="s">
        <v>63</v>
      </c>
      <c r="H6254" s="2" t="s">
        <v>20</v>
      </c>
      <c r="I6254" s="2" t="s">
        <v>12234</v>
      </c>
      <c r="J6254" s="3" t="str">
        <f>HYPERLINK("https://www.boe.es/gazeta/dias/1822/10/16/pdfs/GMD-1822-303.pdf#page=6","Abrir facsímil")</f>
        <v>Abrir facsímil</v>
      </c>
      <c r="K6254" s="3" t="s">
        <v>22</v>
      </c>
    </row>
    <row r="6255" spans="1:11" ht="42" customHeight="1">
      <c r="A6255" s="2" t="s">
        <v>12235</v>
      </c>
      <c r="B6255" s="2" t="s">
        <v>12236</v>
      </c>
      <c r="C6255" s="2" t="s">
        <v>50</v>
      </c>
      <c r="D6255" s="2" t="s">
        <v>51</v>
      </c>
      <c r="E6255" s="5">
        <v>-28292</v>
      </c>
      <c r="F6255" s="3" t="s">
        <v>222</v>
      </c>
      <c r="G6255" s="3" t="s">
        <v>31</v>
      </c>
      <c r="H6255" s="2" t="s">
        <v>20</v>
      </c>
      <c r="I6255" s="2" t="s">
        <v>12237</v>
      </c>
      <c r="J6255" s="3" t="str">
        <f>HYPERLINK("https://www.boe.es/gazeta/dias/1822/07/15/pdfs/GMD-1822-205.pdf#page=3","Abrir facsímil")</f>
        <v>Abrir facsímil</v>
      </c>
      <c r="K6255" s="3" t="s">
        <v>22</v>
      </c>
    </row>
    <row r="6256" spans="1:11" ht="42" customHeight="1">
      <c r="A6256" s="2" t="s">
        <v>12238</v>
      </c>
      <c r="B6256" s="2" t="s">
        <v>12239</v>
      </c>
      <c r="C6256" s="2" t="s">
        <v>71</v>
      </c>
      <c r="D6256" s="2" t="s">
        <v>17</v>
      </c>
      <c r="E6256" s="5">
        <v>-28452</v>
      </c>
      <c r="F6256" s="3" t="s">
        <v>7772</v>
      </c>
      <c r="G6256" s="3" t="s">
        <v>57</v>
      </c>
      <c r="H6256" s="2" t="s">
        <v>20</v>
      </c>
      <c r="I6256" s="2" t="s">
        <v>12240</v>
      </c>
      <c r="J6256" s="3" t="str">
        <f>HYPERLINK("https://www.boe.es/gazeta/dias/1822/02/05/pdfs/GMD-1822-36.pdf#page=4","Abrir facsímil")</f>
        <v>Abrir facsímil</v>
      </c>
      <c r="K6256" s="3" t="s">
        <v>22</v>
      </c>
    </row>
    <row r="6257" spans="1:11" ht="42" customHeight="1">
      <c r="A6257" s="2" t="s">
        <v>12238</v>
      </c>
      <c r="B6257" s="2" t="s">
        <v>12239</v>
      </c>
      <c r="C6257" s="2" t="s">
        <v>50</v>
      </c>
      <c r="D6257" s="2" t="s">
        <v>51</v>
      </c>
      <c r="E6257" s="5">
        <v>-28286</v>
      </c>
      <c r="F6257" s="3" t="s">
        <v>1853</v>
      </c>
      <c r="G6257" s="3" t="s">
        <v>57</v>
      </c>
      <c r="H6257" s="2" t="s">
        <v>20</v>
      </c>
      <c r="I6257" s="2" t="s">
        <v>12241</v>
      </c>
      <c r="J6257" s="3" t="str">
        <f>HYPERLINK("https://www.boe.es/gazeta/dias/1822/07/21/pdfs/GMD-1822-213.pdf#page=4","Abrir facsímil")</f>
        <v>Abrir facsímil</v>
      </c>
      <c r="K6257" s="3" t="s">
        <v>22</v>
      </c>
    </row>
    <row r="6258" spans="1:11" ht="42" customHeight="1">
      <c r="A6258" s="2" t="s">
        <v>12242</v>
      </c>
      <c r="B6258" s="2" t="s">
        <v>12243</v>
      </c>
      <c r="C6258" s="2" t="s">
        <v>28</v>
      </c>
      <c r="D6258" s="2" t="s">
        <v>29</v>
      </c>
      <c r="E6258" s="5">
        <v>-28409</v>
      </c>
      <c r="F6258" s="3" t="s">
        <v>394</v>
      </c>
      <c r="G6258" s="3" t="s">
        <v>19</v>
      </c>
      <c r="H6258" s="2" t="s">
        <v>20</v>
      </c>
      <c r="I6258" s="2" t="s">
        <v>12244</v>
      </c>
      <c r="J6258" s="3" t="str">
        <f>HYPERLINK("https://www.boe.es/gazeta/dias/1822/03/20/pdfs/GMD-1822-81.pdf#page=5","Abrir facsímil")</f>
        <v>Abrir facsímil</v>
      </c>
      <c r="K6258" s="3" t="s">
        <v>22</v>
      </c>
    </row>
    <row r="6259" spans="1:11" ht="42" customHeight="1">
      <c r="A6259" s="2" t="s">
        <v>12245</v>
      </c>
      <c r="B6259" s="2" t="s">
        <v>12246</v>
      </c>
      <c r="C6259" s="2" t="s">
        <v>28</v>
      </c>
      <c r="D6259" s="2" t="s">
        <v>29</v>
      </c>
      <c r="E6259" s="5">
        <v>-28486</v>
      </c>
      <c r="F6259" s="3" t="s">
        <v>1046</v>
      </c>
      <c r="G6259" s="3" t="s">
        <v>57</v>
      </c>
      <c r="H6259" s="2" t="s">
        <v>20</v>
      </c>
      <c r="I6259" s="2" t="s">
        <v>12247</v>
      </c>
      <c r="J6259" s="3" t="str">
        <f>HYPERLINK("https://www.boe.es/gazeta/dias/1822/01/02/pdfs/GMD-1822-2.pdf#page=4","Abrir facsímil")</f>
        <v>Abrir facsímil</v>
      </c>
      <c r="K6259" s="3" t="s">
        <v>22</v>
      </c>
    </row>
    <row r="6260" spans="1:11" ht="42" customHeight="1">
      <c r="A6260" s="2" t="s">
        <v>12248</v>
      </c>
      <c r="B6260" s="2" t="s">
        <v>12249</v>
      </c>
      <c r="C6260" s="2" t="s">
        <v>42</v>
      </c>
      <c r="D6260" s="2" t="s">
        <v>17</v>
      </c>
      <c r="E6260" s="5">
        <v>-28233</v>
      </c>
      <c r="F6260" s="3" t="s">
        <v>810</v>
      </c>
      <c r="G6260" s="3" t="s">
        <v>57</v>
      </c>
      <c r="H6260" s="2" t="s">
        <v>20</v>
      </c>
      <c r="I6260" s="2" t="s">
        <v>12250</v>
      </c>
      <c r="J6260" s="3" t="str">
        <f>HYPERLINK("https://www.boe.es/gazeta/dias/1822/09/12/pdfs/GMD-1822-268.pdf#page=4","Abrir facsímil")</f>
        <v>Abrir facsímil</v>
      </c>
      <c r="K6260" s="3" t="s">
        <v>22</v>
      </c>
    </row>
    <row r="6261" spans="1:11" ht="42" customHeight="1">
      <c r="A6261" s="2" t="s">
        <v>12251</v>
      </c>
      <c r="B6261" s="2" t="s">
        <v>12252</v>
      </c>
      <c r="C6261" s="2" t="s">
        <v>71</v>
      </c>
      <c r="D6261" s="2" t="s">
        <v>17</v>
      </c>
      <c r="E6261" s="5">
        <v>-28406</v>
      </c>
      <c r="F6261" s="3" t="s">
        <v>462</v>
      </c>
      <c r="G6261" s="3" t="s">
        <v>31</v>
      </c>
      <c r="H6261" s="2" t="s">
        <v>20</v>
      </c>
      <c r="I6261" s="2" t="s">
        <v>12253</v>
      </c>
      <c r="J6261" s="3" t="str">
        <f>HYPERLINK("https://www.boe.es/gazeta/dias/1822/03/23/pdfs/GMD-1822-84.pdf#page=3","Abrir facsímil")</f>
        <v>Abrir facsímil</v>
      </c>
      <c r="K6261" s="3" t="s">
        <v>22</v>
      </c>
    </row>
    <row r="6262" spans="1:11" ht="42" customHeight="1">
      <c r="A6262" s="2" t="s">
        <v>12254</v>
      </c>
      <c r="B6262" s="2" t="s">
        <v>12255</v>
      </c>
      <c r="C6262" s="2" t="s">
        <v>42</v>
      </c>
      <c r="D6262" s="2" t="s">
        <v>17</v>
      </c>
      <c r="E6262" s="5">
        <v>-28313</v>
      </c>
      <c r="F6262" s="3" t="s">
        <v>315</v>
      </c>
      <c r="G6262" s="3" t="s">
        <v>35</v>
      </c>
      <c r="H6262" s="2" t="s">
        <v>20</v>
      </c>
      <c r="I6262" s="2" t="s">
        <v>12256</v>
      </c>
      <c r="J6262" s="3" t="str">
        <f>HYPERLINK("https://www.boe.es/gazeta/dias/1822/06/24/pdfs/GMD-1822-182.pdf#page=2","Abrir facsímil")</f>
        <v>Abrir facsímil</v>
      </c>
      <c r="K6262" s="3" t="s">
        <v>22</v>
      </c>
    </row>
    <row r="6263" spans="1:11" ht="42" customHeight="1">
      <c r="A6263" s="2" t="s">
        <v>12254</v>
      </c>
      <c r="B6263" s="2" t="s">
        <v>12255</v>
      </c>
      <c r="C6263" s="2" t="s">
        <v>71</v>
      </c>
      <c r="D6263" s="2" t="s">
        <v>17</v>
      </c>
      <c r="E6263" s="5">
        <v>-28209</v>
      </c>
      <c r="F6263" s="3" t="s">
        <v>748</v>
      </c>
      <c r="G6263" s="3" t="s">
        <v>57</v>
      </c>
      <c r="H6263" s="2" t="s">
        <v>20</v>
      </c>
      <c r="I6263" s="2" t="s">
        <v>12257</v>
      </c>
      <c r="J6263" s="3" t="str">
        <f>HYPERLINK("https://www.boe.es/gazeta/dias/1822/10/06/pdfs/GMD-1822-292.pdf#page=4","Abrir facsímil")</f>
        <v>Abrir facsímil</v>
      </c>
      <c r="K6263" s="3" t="s">
        <v>22</v>
      </c>
    </row>
    <row r="6264" spans="1:11" ht="42" customHeight="1">
      <c r="A6264" s="2" t="s">
        <v>12254</v>
      </c>
      <c r="B6264" s="2" t="s">
        <v>12255</v>
      </c>
      <c r="C6264" s="2" t="s">
        <v>16</v>
      </c>
      <c r="D6264" s="2" t="s">
        <v>17</v>
      </c>
      <c r="E6264" s="5">
        <v>-28125</v>
      </c>
      <c r="F6264" s="3" t="s">
        <v>322</v>
      </c>
      <c r="G6264" s="3" t="s">
        <v>63</v>
      </c>
      <c r="H6264" s="2" t="s">
        <v>20</v>
      </c>
      <c r="I6264" s="2" t="s">
        <v>12258</v>
      </c>
      <c r="J6264" s="3" t="str">
        <f>HYPERLINK("https://www.boe.es/gazeta/dias/1822/12/29/pdfs/GMD-1822-379.pdf#page=6","Abrir facsímil")</f>
        <v>Abrir facsímil</v>
      </c>
      <c r="K6264" s="3" t="s">
        <v>22</v>
      </c>
    </row>
    <row r="6265" spans="1:11" ht="42" customHeight="1">
      <c r="A6265" s="2" t="s">
        <v>12259</v>
      </c>
      <c r="B6265" s="2" t="s">
        <v>12260</v>
      </c>
      <c r="C6265" s="2" t="s">
        <v>50</v>
      </c>
      <c r="D6265" s="2" t="s">
        <v>51</v>
      </c>
      <c r="E6265" s="5">
        <v>-28322</v>
      </c>
      <c r="F6265" s="3" t="s">
        <v>2205</v>
      </c>
      <c r="G6265" s="3" t="s">
        <v>57</v>
      </c>
      <c r="H6265" s="2" t="s">
        <v>20</v>
      </c>
      <c r="I6265" s="2" t="s">
        <v>12261</v>
      </c>
      <c r="J6265" s="3" t="str">
        <f>HYPERLINK("https://www.boe.es/gazeta/dias/1822/06/15/pdfs/GMD-1822-172.pdf#page=4","Abrir facsímil")</f>
        <v>Abrir facsímil</v>
      </c>
      <c r="K6265" s="3" t="s">
        <v>22</v>
      </c>
    </row>
    <row r="6266" spans="1:11" ht="42" customHeight="1">
      <c r="A6266" s="2" t="s">
        <v>12259</v>
      </c>
      <c r="B6266" s="2" t="s">
        <v>12260</v>
      </c>
      <c r="C6266" s="2" t="s">
        <v>16</v>
      </c>
      <c r="D6266" s="2" t="s">
        <v>17</v>
      </c>
      <c r="E6266" s="5">
        <v>-28131</v>
      </c>
      <c r="F6266" s="3" t="s">
        <v>893</v>
      </c>
      <c r="G6266" s="3" t="s">
        <v>991</v>
      </c>
      <c r="H6266" s="2" t="s">
        <v>20</v>
      </c>
      <c r="I6266" s="2" t="s">
        <v>12262</v>
      </c>
      <c r="J6266" s="3" t="str">
        <f>HYPERLINK("https://www.boe.es/gazeta/dias/1822/12/23/pdfs/GMD-1822-373.pdf#page=6","Abrir facsímil")</f>
        <v>Abrir facsímil</v>
      </c>
      <c r="K6266" s="3" t="s">
        <v>22</v>
      </c>
    </row>
    <row r="6267" spans="1:11" ht="42" customHeight="1">
      <c r="A6267" s="2" t="s">
        <v>12263</v>
      </c>
      <c r="B6267" s="2" t="s">
        <v>12264</v>
      </c>
      <c r="C6267" s="2" t="s">
        <v>28</v>
      </c>
      <c r="D6267" s="2" t="s">
        <v>29</v>
      </c>
      <c r="E6267" s="5">
        <v>-28468</v>
      </c>
      <c r="F6267" s="3" t="s">
        <v>1012</v>
      </c>
      <c r="G6267" s="3" t="s">
        <v>44</v>
      </c>
      <c r="H6267" s="2" t="s">
        <v>20</v>
      </c>
      <c r="I6267" s="2" t="s">
        <v>12265</v>
      </c>
      <c r="J6267" s="3" t="str">
        <f>HYPERLINK("https://www.boe.es/gazeta/dias/1822/01/20/pdfs/GMD-1822-20.pdf#page=1","Abrir facsímil")</f>
        <v>Abrir facsímil</v>
      </c>
      <c r="K6267" s="3" t="s">
        <v>22</v>
      </c>
    </row>
    <row r="6268" spans="1:11" ht="42" customHeight="1">
      <c r="A6268" s="2" t="s">
        <v>12266</v>
      </c>
      <c r="B6268" s="2" t="s">
        <v>12267</v>
      </c>
      <c r="C6268" s="2" t="s">
        <v>16</v>
      </c>
      <c r="D6268" s="2" t="s">
        <v>17</v>
      </c>
      <c r="E6268" s="5">
        <v>-28208</v>
      </c>
      <c r="F6268" s="3" t="s">
        <v>230</v>
      </c>
      <c r="G6268" s="3" t="s">
        <v>57</v>
      </c>
      <c r="H6268" s="2" t="s">
        <v>20</v>
      </c>
      <c r="I6268" s="2" t="s">
        <v>12268</v>
      </c>
      <c r="J6268" s="3" t="str">
        <f>HYPERLINK("https://www.boe.es/gazeta/dias/1822/10/07/pdfs/GMD-1822-293.pdf#page=4","Abrir facsímil")</f>
        <v>Abrir facsímil</v>
      </c>
      <c r="K6268" s="3" t="s">
        <v>22</v>
      </c>
    </row>
    <row r="6269" spans="1:11" ht="42" customHeight="1">
      <c r="A6269" s="2" t="s">
        <v>12269</v>
      </c>
      <c r="B6269" s="2" t="s">
        <v>12270</v>
      </c>
      <c r="C6269" s="2" t="s">
        <v>50</v>
      </c>
      <c r="D6269" s="2" t="s">
        <v>51</v>
      </c>
      <c r="E6269" s="5">
        <v>-28170</v>
      </c>
      <c r="F6269" s="3" t="s">
        <v>1457</v>
      </c>
      <c r="G6269" s="3" t="s">
        <v>63</v>
      </c>
      <c r="H6269" s="2" t="s">
        <v>20</v>
      </c>
      <c r="I6269" s="2" t="s">
        <v>12271</v>
      </c>
      <c r="J6269" s="3" t="str">
        <f>HYPERLINK("https://www.boe.es/gazeta/dias/1822/11/14/pdfs/GMD-1822-334.pdf#page=6","Abrir facsímil")</f>
        <v>Abrir facsímil</v>
      </c>
      <c r="K6269" s="3" t="s">
        <v>22</v>
      </c>
    </row>
    <row r="6270" spans="1:11" ht="42" customHeight="1">
      <c r="A6270" s="2" t="s">
        <v>12272</v>
      </c>
      <c r="B6270" s="2" t="s">
        <v>12273</v>
      </c>
      <c r="C6270" s="2" t="s">
        <v>28</v>
      </c>
      <c r="D6270" s="2" t="s">
        <v>29</v>
      </c>
      <c r="E6270" s="5">
        <v>-28436</v>
      </c>
      <c r="F6270" s="3" t="s">
        <v>431</v>
      </c>
      <c r="G6270" s="3" t="s">
        <v>1428</v>
      </c>
      <c r="H6270" s="2" t="s">
        <v>20</v>
      </c>
      <c r="I6270" s="2" t="s">
        <v>12274</v>
      </c>
      <c r="J6270" s="3" t="str">
        <f>HYPERLINK("https://www.boe.es/gazeta/dias/1822/02/21/pdfs/GMD-1822-53.pdf#page=3","Abrir facsímil")</f>
        <v>Abrir facsímil</v>
      </c>
      <c r="K6270" s="3" t="s">
        <v>22</v>
      </c>
    </row>
    <row r="6271" spans="1:11" ht="42" customHeight="1">
      <c r="A6271" s="2" t="s">
        <v>12275</v>
      </c>
      <c r="B6271" s="2" t="s">
        <v>12276</v>
      </c>
      <c r="C6271" s="2" t="s">
        <v>28</v>
      </c>
      <c r="D6271" s="2" t="s">
        <v>29</v>
      </c>
      <c r="E6271" s="5">
        <v>-28379</v>
      </c>
      <c r="F6271" s="3" t="s">
        <v>494</v>
      </c>
      <c r="G6271" s="3" t="s">
        <v>63</v>
      </c>
      <c r="H6271" s="2" t="s">
        <v>20</v>
      </c>
      <c r="I6271" s="2" t="s">
        <v>12277</v>
      </c>
      <c r="J6271" s="3" t="str">
        <f>HYPERLINK("https://www.boe.es/gazeta/dias/1822/04/19/pdfs/GMD-1822-111.pdf#page=6","Abrir facsímil")</f>
        <v>Abrir facsímil</v>
      </c>
      <c r="K6271" s="3" t="s">
        <v>22</v>
      </c>
    </row>
    <row r="6272" spans="1:11" ht="42" customHeight="1">
      <c r="A6272" s="2" t="s">
        <v>12275</v>
      </c>
      <c r="B6272" s="2" t="s">
        <v>12276</v>
      </c>
      <c r="C6272" s="2" t="s">
        <v>50</v>
      </c>
      <c r="D6272" s="2" t="s">
        <v>51</v>
      </c>
      <c r="E6272" s="5">
        <v>-28367</v>
      </c>
      <c r="F6272" s="3" t="s">
        <v>280</v>
      </c>
      <c r="G6272" s="3" t="s">
        <v>63</v>
      </c>
      <c r="H6272" s="2" t="s">
        <v>20</v>
      </c>
      <c r="I6272" s="2" t="s">
        <v>12278</v>
      </c>
      <c r="J6272" s="3" t="str">
        <f>HYPERLINK("https://www.boe.es/gazeta/dias/1822/05/01/pdfs/GMD-1822-123.pdf#page=6","Abrir facsímil")</f>
        <v>Abrir facsímil</v>
      </c>
      <c r="K6272" s="3" t="s">
        <v>22</v>
      </c>
    </row>
    <row r="6273" spans="1:11" ht="42" customHeight="1">
      <c r="A6273" s="2" t="s">
        <v>12279</v>
      </c>
      <c r="B6273" s="2" t="s">
        <v>12280</v>
      </c>
      <c r="C6273" s="2" t="s">
        <v>42</v>
      </c>
      <c r="D6273" s="2" t="s">
        <v>17</v>
      </c>
      <c r="E6273" s="5">
        <v>-28208</v>
      </c>
      <c r="F6273" s="3" t="s">
        <v>230</v>
      </c>
      <c r="G6273" s="3" t="s">
        <v>57</v>
      </c>
      <c r="H6273" s="2" t="s">
        <v>20</v>
      </c>
      <c r="I6273" s="2" t="s">
        <v>12281</v>
      </c>
      <c r="J6273" s="3" t="str">
        <f>HYPERLINK("https://www.boe.es/gazeta/dias/1822/10/07/pdfs/GMD-1822-293.pdf#page=4","Abrir facsímil")</f>
        <v>Abrir facsímil</v>
      </c>
      <c r="K6273" s="3" t="s">
        <v>22</v>
      </c>
    </row>
    <row r="6274" spans="1:11" ht="42" customHeight="1">
      <c r="A6274" s="2" t="s">
        <v>12282</v>
      </c>
      <c r="B6274" s="2" t="s">
        <v>12283</v>
      </c>
      <c r="C6274" s="2" t="s">
        <v>50</v>
      </c>
      <c r="D6274" s="2" t="s">
        <v>51</v>
      </c>
      <c r="E6274" s="5">
        <v>-28417</v>
      </c>
      <c r="F6274" s="3" t="s">
        <v>1394</v>
      </c>
      <c r="G6274" s="3" t="s">
        <v>35</v>
      </c>
      <c r="H6274" s="2" t="s">
        <v>20</v>
      </c>
      <c r="I6274" s="2" t="s">
        <v>12284</v>
      </c>
      <c r="J6274" s="3" t="str">
        <f>HYPERLINK("https://www.boe.es/gazeta/dias/1822/03/12/pdfs/GMD-1822-73.pdf#page=2","Abrir facsímil")</f>
        <v>Abrir facsímil</v>
      </c>
      <c r="K6274" s="3" t="s">
        <v>22</v>
      </c>
    </row>
    <row r="6275" spans="1:11" ht="42" customHeight="1">
      <c r="A6275" s="2" t="s">
        <v>12285</v>
      </c>
      <c r="B6275" s="2" t="s">
        <v>12286</v>
      </c>
      <c r="C6275" s="2" t="s">
        <v>50</v>
      </c>
      <c r="D6275" s="2" t="s">
        <v>51</v>
      </c>
      <c r="E6275" s="5">
        <v>-28413</v>
      </c>
      <c r="F6275" s="3" t="s">
        <v>458</v>
      </c>
      <c r="G6275" s="3" t="s">
        <v>57</v>
      </c>
      <c r="H6275" s="2" t="s">
        <v>20</v>
      </c>
      <c r="I6275" s="2" t="s">
        <v>12287</v>
      </c>
      <c r="J6275" s="3" t="str">
        <f>HYPERLINK("https://www.boe.es/gazeta/dias/1822/03/16/pdfs/GMD-1822-77.pdf#page=4","Abrir facsímil")</f>
        <v>Abrir facsímil</v>
      </c>
      <c r="K6275" s="3" t="s">
        <v>22</v>
      </c>
    </row>
    <row r="6276" spans="1:11" ht="42" customHeight="1">
      <c r="A6276" s="2" t="s">
        <v>12285</v>
      </c>
      <c r="B6276" s="2" t="s">
        <v>12286</v>
      </c>
      <c r="C6276" s="2" t="s">
        <v>50</v>
      </c>
      <c r="D6276" s="2" t="s">
        <v>51</v>
      </c>
      <c r="E6276" s="5">
        <v>-28368</v>
      </c>
      <c r="F6276" s="3" t="s">
        <v>126</v>
      </c>
      <c r="G6276" s="3" t="s">
        <v>57</v>
      </c>
      <c r="H6276" s="2" t="s">
        <v>20</v>
      </c>
      <c r="I6276" s="2" t="s">
        <v>12288</v>
      </c>
      <c r="J6276" s="3" t="str">
        <f>HYPERLINK("https://www.boe.es/gazeta/dias/1822/04/30/pdfs/GMD-1822-122.pdf#page=4","Abrir facsímil")</f>
        <v>Abrir facsímil</v>
      </c>
      <c r="K6276" s="3" t="s">
        <v>22</v>
      </c>
    </row>
    <row r="6277" spans="1:11" ht="42" customHeight="1">
      <c r="A6277" s="2" t="s">
        <v>12285</v>
      </c>
      <c r="B6277" s="2" t="s">
        <v>12286</v>
      </c>
      <c r="C6277" s="2" t="s">
        <v>61</v>
      </c>
      <c r="D6277" s="2" t="s">
        <v>17</v>
      </c>
      <c r="E6277" s="5">
        <v>-28259</v>
      </c>
      <c r="F6277" s="3" t="s">
        <v>1912</v>
      </c>
      <c r="G6277" s="3" t="s">
        <v>57</v>
      </c>
      <c r="H6277" s="2" t="s">
        <v>20</v>
      </c>
      <c r="I6277" s="2" t="s">
        <v>12289</v>
      </c>
      <c r="J6277" s="3" t="str">
        <f>HYPERLINK("https://www.boe.es/gazeta/dias/1822/08/17/pdfs/GMD-1822-241.pdf#page=4","Abrir facsímil")</f>
        <v>Abrir facsímil</v>
      </c>
      <c r="K6277" s="3" t="s">
        <v>22</v>
      </c>
    </row>
    <row r="6278" spans="1:11" ht="42" customHeight="1">
      <c r="A6278" s="2" t="s">
        <v>12290</v>
      </c>
      <c r="B6278" s="2" t="s">
        <v>12291</v>
      </c>
      <c r="C6278" s="2" t="s">
        <v>16</v>
      </c>
      <c r="D6278" s="2" t="s">
        <v>17</v>
      </c>
      <c r="E6278" s="5">
        <v>-28408</v>
      </c>
      <c r="F6278" s="3" t="s">
        <v>2561</v>
      </c>
      <c r="G6278" s="3" t="s">
        <v>35</v>
      </c>
      <c r="H6278" s="2" t="s">
        <v>20</v>
      </c>
      <c r="I6278" s="2" t="s">
        <v>12292</v>
      </c>
      <c r="J6278" s="3" t="str">
        <f>HYPERLINK("https://www.boe.es/gazeta/dias/1822/03/21/pdfs/GMD-1822-82.pdf#page=2","Abrir facsímil")</f>
        <v>Abrir facsímil</v>
      </c>
      <c r="K6278" s="3" t="s">
        <v>22</v>
      </c>
    </row>
    <row r="6279" spans="1:11" ht="42" customHeight="1">
      <c r="A6279" s="2" t="s">
        <v>12290</v>
      </c>
      <c r="B6279" s="2" t="s">
        <v>12291</v>
      </c>
      <c r="C6279" s="2" t="s">
        <v>61</v>
      </c>
      <c r="D6279" s="2" t="s">
        <v>17</v>
      </c>
      <c r="E6279" s="5">
        <v>-28386</v>
      </c>
      <c r="F6279" s="3" t="s">
        <v>2993</v>
      </c>
      <c r="G6279" s="3" t="s">
        <v>35</v>
      </c>
      <c r="H6279" s="2" t="s">
        <v>20</v>
      </c>
      <c r="I6279" s="2" t="s">
        <v>12293</v>
      </c>
      <c r="J6279" s="3" t="str">
        <f>HYPERLINK("https://www.boe.es/gazeta/dias/1822/04/12/pdfs/GMD-1822-104.pdf#page=2","Abrir facsímil")</f>
        <v>Abrir facsímil</v>
      </c>
      <c r="K6279" s="3" t="s">
        <v>22</v>
      </c>
    </row>
    <row r="6280" spans="1:11" ht="42" customHeight="1">
      <c r="A6280" s="2" t="s">
        <v>12294</v>
      </c>
      <c r="B6280" s="2" t="s">
        <v>12295</v>
      </c>
      <c r="C6280" s="2" t="s">
        <v>50</v>
      </c>
      <c r="D6280" s="2" t="s">
        <v>51</v>
      </c>
      <c r="E6280" s="5">
        <v>-28464</v>
      </c>
      <c r="F6280" s="3" t="s">
        <v>1447</v>
      </c>
      <c r="G6280" s="3" t="s">
        <v>57</v>
      </c>
      <c r="H6280" s="2" t="s">
        <v>20</v>
      </c>
      <c r="I6280" s="2" t="s">
        <v>12296</v>
      </c>
      <c r="J6280" s="3" t="str">
        <f>HYPERLINK("https://www.boe.es/gazeta/dias/1822/01/24/pdfs/GMD-1822-24.pdf#page=4","Abrir facsímil")</f>
        <v>Abrir facsímil</v>
      </c>
      <c r="K6280" s="3" t="s">
        <v>22</v>
      </c>
    </row>
    <row r="6281" spans="1:11" ht="42" customHeight="1">
      <c r="A6281" s="2" t="s">
        <v>12297</v>
      </c>
      <c r="B6281" s="2" t="s">
        <v>12298</v>
      </c>
      <c r="C6281" s="2" t="s">
        <v>16</v>
      </c>
      <c r="D6281" s="2" t="s">
        <v>17</v>
      </c>
      <c r="E6281" s="5">
        <v>-28237</v>
      </c>
      <c r="F6281" s="3" t="s">
        <v>878</v>
      </c>
      <c r="G6281" s="3" t="s">
        <v>57</v>
      </c>
      <c r="H6281" s="2" t="s">
        <v>20</v>
      </c>
      <c r="I6281" s="2" t="s">
        <v>12299</v>
      </c>
      <c r="J6281" s="3" t="str">
        <f>HYPERLINK("https://www.boe.es/gazeta/dias/1822/09/08/pdfs/GMD-1822-264.pdf#page=4","Abrir facsímil")</f>
        <v>Abrir facsímil</v>
      </c>
      <c r="K6281" s="3" t="s">
        <v>22</v>
      </c>
    </row>
    <row r="6282" spans="1:11" ht="42" customHeight="1">
      <c r="A6282" s="2" t="s">
        <v>12297</v>
      </c>
      <c r="B6282" s="2" t="s">
        <v>12298</v>
      </c>
      <c r="C6282" s="2" t="s">
        <v>28</v>
      </c>
      <c r="D6282" s="2" t="s">
        <v>29</v>
      </c>
      <c r="E6282" s="5">
        <v>-28193</v>
      </c>
      <c r="F6282" s="3" t="s">
        <v>574</v>
      </c>
      <c r="G6282" s="3" t="s">
        <v>63</v>
      </c>
      <c r="H6282" s="2" t="s">
        <v>20</v>
      </c>
      <c r="I6282" s="2" t="s">
        <v>12300</v>
      </c>
      <c r="J6282" s="3" t="str">
        <f>HYPERLINK("https://www.boe.es/gazeta/dias/1822/10/22/pdfs/GMD-1822-309.pdf#page=6","Abrir facsímil")</f>
        <v>Abrir facsímil</v>
      </c>
      <c r="K6282" s="3" t="s">
        <v>22</v>
      </c>
    </row>
    <row r="6283" spans="1:11" ht="42" customHeight="1">
      <c r="A6283" s="2" t="s">
        <v>12301</v>
      </c>
      <c r="B6283" s="2" t="s">
        <v>12302</v>
      </c>
      <c r="C6283" s="2" t="s">
        <v>24</v>
      </c>
      <c r="D6283" s="2" t="s">
        <v>17</v>
      </c>
      <c r="E6283" s="5">
        <v>-28391</v>
      </c>
      <c r="F6283" s="3" t="s">
        <v>378</v>
      </c>
      <c r="G6283" s="3" t="s">
        <v>63</v>
      </c>
      <c r="H6283" s="2" t="s">
        <v>20</v>
      </c>
      <c r="I6283" s="2" t="s">
        <v>12303</v>
      </c>
      <c r="J6283" s="3" t="str">
        <f>HYPERLINK("https://www.boe.es/gazeta/dias/1822/04/07/pdfs/GMD-1822-99.pdf#page=6","Abrir facsímil")</f>
        <v>Abrir facsímil</v>
      </c>
      <c r="K6283" s="3" t="s">
        <v>22</v>
      </c>
    </row>
    <row r="6284" spans="1:11" ht="42" customHeight="1">
      <c r="A6284" s="2" t="s">
        <v>12304</v>
      </c>
      <c r="B6284" s="2" t="s">
        <v>12304</v>
      </c>
      <c r="C6284" s="2" t="s">
        <v>71</v>
      </c>
      <c r="D6284" s="2" t="s">
        <v>17</v>
      </c>
      <c r="E6284" s="5">
        <v>-28341</v>
      </c>
      <c r="F6284" s="3" t="s">
        <v>284</v>
      </c>
      <c r="G6284" s="3" t="s">
        <v>19</v>
      </c>
      <c r="H6284" s="2" t="s">
        <v>20</v>
      </c>
      <c r="I6284" s="2" t="s">
        <v>12305</v>
      </c>
      <c r="J6284" s="3" t="str">
        <f>HYPERLINK("https://www.boe.es/gazeta/dias/1822/05/27/pdfs/GMD-1822-152.pdf#page=5","Abrir facsímil")</f>
        <v>Abrir facsímil</v>
      </c>
      <c r="K6284" s="3" t="s">
        <v>22</v>
      </c>
    </row>
    <row r="6285" spans="1:11" ht="42" customHeight="1">
      <c r="A6285" s="2" t="s">
        <v>12306</v>
      </c>
      <c r="B6285" s="2" t="s">
        <v>12306</v>
      </c>
      <c r="C6285" s="2" t="s">
        <v>50</v>
      </c>
      <c r="D6285" s="2" t="s">
        <v>51</v>
      </c>
      <c r="E6285" s="5">
        <v>-28166</v>
      </c>
      <c r="F6285" s="3" t="s">
        <v>942</v>
      </c>
      <c r="G6285" s="3" t="s">
        <v>57</v>
      </c>
      <c r="H6285" s="2" t="s">
        <v>20</v>
      </c>
      <c r="I6285" s="2" t="s">
        <v>12307</v>
      </c>
      <c r="J6285" s="3" t="str">
        <f>HYPERLINK("https://www.boe.es/gazeta/dias/1822/11/18/pdfs/GMD-1822-338.pdf#page=4","Abrir facsímil")</f>
        <v>Abrir facsímil</v>
      </c>
      <c r="K6285" s="3" t="s">
        <v>22</v>
      </c>
    </row>
    <row r="6286" spans="1:11" ht="42" customHeight="1">
      <c r="A6286" s="2" t="s">
        <v>12308</v>
      </c>
      <c r="B6286" s="2" t="s">
        <v>12309</v>
      </c>
      <c r="C6286" s="2" t="s">
        <v>50</v>
      </c>
      <c r="D6286" s="2" t="s">
        <v>51</v>
      </c>
      <c r="E6286" s="5">
        <v>-28224</v>
      </c>
      <c r="F6286" s="3" t="s">
        <v>1902</v>
      </c>
      <c r="G6286" s="3" t="s">
        <v>31</v>
      </c>
      <c r="H6286" s="2" t="s">
        <v>20</v>
      </c>
      <c r="I6286" s="2" t="s">
        <v>12310</v>
      </c>
      <c r="J6286" s="3" t="str">
        <f>HYPERLINK("https://www.boe.es/gazeta/dias/1822/09/21/pdfs/GMD-1822-277.pdf#page=3","Abrir facsímil")</f>
        <v>Abrir facsímil</v>
      </c>
      <c r="K6286" s="3" t="s">
        <v>22</v>
      </c>
    </row>
    <row r="6287" spans="1:11" ht="42" customHeight="1">
      <c r="A6287" s="2" t="s">
        <v>12311</v>
      </c>
      <c r="B6287" s="2" t="s">
        <v>12311</v>
      </c>
      <c r="C6287" s="2" t="s">
        <v>362</v>
      </c>
      <c r="D6287" s="2" t="s">
        <v>17</v>
      </c>
      <c r="E6287" s="5">
        <v>-28393</v>
      </c>
      <c r="F6287" s="3" t="s">
        <v>326</v>
      </c>
      <c r="G6287" s="3" t="s">
        <v>57</v>
      </c>
      <c r="H6287" s="2" t="s">
        <v>20</v>
      </c>
      <c r="I6287" s="2" t="s">
        <v>12312</v>
      </c>
      <c r="J6287" s="3" t="str">
        <f>HYPERLINK("https://www.boe.es/gazeta/dias/1822/04/05/pdfs/GMD-1822-97.pdf#page=4","Abrir facsímil")</f>
        <v>Abrir facsímil</v>
      </c>
      <c r="K6287" s="3" t="s">
        <v>22</v>
      </c>
    </row>
    <row r="6288" spans="1:11" ht="42" customHeight="1">
      <c r="A6288" s="2" t="s">
        <v>12313</v>
      </c>
      <c r="B6288" s="2" t="s">
        <v>12314</v>
      </c>
      <c r="C6288" s="2" t="s">
        <v>28</v>
      </c>
      <c r="D6288" s="2" t="s">
        <v>29</v>
      </c>
      <c r="E6288" s="5">
        <v>-28435</v>
      </c>
      <c r="F6288" s="3" t="s">
        <v>1710</v>
      </c>
      <c r="G6288" s="3" t="s">
        <v>57</v>
      </c>
      <c r="H6288" s="2" t="s">
        <v>20</v>
      </c>
      <c r="I6288" s="2" t="s">
        <v>12315</v>
      </c>
      <c r="J6288" s="3" t="str">
        <f>HYPERLINK("https://www.boe.es/gazeta/dias/1822/02/22/pdfs/GMD-1822-54.pdf#page=4","Abrir facsímil")</f>
        <v>Abrir facsímil</v>
      </c>
      <c r="K6288" s="3" t="s">
        <v>22</v>
      </c>
    </row>
    <row r="6289" spans="1:11" ht="42" customHeight="1">
      <c r="A6289" s="2" t="s">
        <v>12316</v>
      </c>
      <c r="B6289" s="2" t="s">
        <v>12317</v>
      </c>
      <c r="C6289" s="2" t="s">
        <v>28</v>
      </c>
      <c r="D6289" s="2" t="s">
        <v>29</v>
      </c>
      <c r="E6289" s="5">
        <v>-28272</v>
      </c>
      <c r="F6289" s="3" t="s">
        <v>52</v>
      </c>
      <c r="G6289" s="3" t="s">
        <v>57</v>
      </c>
      <c r="H6289" s="2" t="s">
        <v>20</v>
      </c>
      <c r="I6289" s="2" t="s">
        <v>12318</v>
      </c>
      <c r="J6289" s="3" t="str">
        <f>HYPERLINK("https://www.boe.es/gazeta/dias/1822/08/04/pdfs/GMD-1822-228.pdf#page=4","Abrir facsímil")</f>
        <v>Abrir facsímil</v>
      </c>
      <c r="K6289" s="3" t="s">
        <v>22</v>
      </c>
    </row>
    <row r="6290" spans="1:11" ht="42" customHeight="1">
      <c r="A6290" s="2" t="s">
        <v>12319</v>
      </c>
      <c r="B6290" s="2" t="s">
        <v>12320</v>
      </c>
      <c r="C6290" s="2" t="s">
        <v>50</v>
      </c>
      <c r="D6290" s="2" t="s">
        <v>51</v>
      </c>
      <c r="E6290" s="5">
        <v>-28323</v>
      </c>
      <c r="F6290" s="3" t="s">
        <v>116</v>
      </c>
      <c r="G6290" s="3" t="s">
        <v>44</v>
      </c>
      <c r="H6290" s="2" t="s">
        <v>20</v>
      </c>
      <c r="I6290" s="2" t="s">
        <v>12321</v>
      </c>
      <c r="J6290" s="3" t="str">
        <f>HYPERLINK("https://www.boe.es/gazeta/dias/1822/06/14/pdfs/GMD-1822-171.pdf#page=1","Abrir facsímil")</f>
        <v>Abrir facsímil</v>
      </c>
      <c r="K6290" s="3" t="s">
        <v>22</v>
      </c>
    </row>
    <row r="6291" spans="1:11" ht="42" customHeight="1">
      <c r="A6291" s="2" t="s">
        <v>12322</v>
      </c>
      <c r="B6291" s="2" t="s">
        <v>12323</v>
      </c>
      <c r="C6291" s="2" t="s">
        <v>24</v>
      </c>
      <c r="D6291" s="2" t="s">
        <v>17</v>
      </c>
      <c r="E6291" s="5">
        <v>-28208</v>
      </c>
      <c r="F6291" s="3" t="s">
        <v>230</v>
      </c>
      <c r="G6291" s="3" t="s">
        <v>57</v>
      </c>
      <c r="H6291" s="2" t="s">
        <v>20</v>
      </c>
      <c r="I6291" s="2" t="s">
        <v>12324</v>
      </c>
      <c r="J6291" s="3" t="str">
        <f>HYPERLINK("https://www.boe.es/gazeta/dias/1822/10/07/pdfs/GMD-1822-293.pdf#page=4","Abrir facsímil")</f>
        <v>Abrir facsímil</v>
      </c>
      <c r="K6291" s="3" t="s">
        <v>22</v>
      </c>
    </row>
    <row r="6292" spans="1:11" ht="42" customHeight="1">
      <c r="A6292" s="2" t="s">
        <v>12325</v>
      </c>
      <c r="B6292" s="2" t="s">
        <v>12326</v>
      </c>
      <c r="C6292" s="2" t="s">
        <v>50</v>
      </c>
      <c r="D6292" s="2" t="s">
        <v>51</v>
      </c>
      <c r="E6292" s="5">
        <v>-28264</v>
      </c>
      <c r="F6292" s="3" t="s">
        <v>1329</v>
      </c>
      <c r="G6292" s="3" t="s">
        <v>57</v>
      </c>
      <c r="H6292" s="2" t="s">
        <v>20</v>
      </c>
      <c r="I6292" s="2" t="s">
        <v>12327</v>
      </c>
      <c r="J6292" s="3" t="str">
        <f>HYPERLINK("https://www.boe.es/gazeta/dias/1822/08/12/pdfs/GMD-1822-236.pdf#page=4","Abrir facsímil")</f>
        <v>Abrir facsímil</v>
      </c>
      <c r="K6292" s="3" t="s">
        <v>22</v>
      </c>
    </row>
    <row r="6293" spans="1:11" ht="42" customHeight="1">
      <c r="A6293" s="2" t="s">
        <v>12328</v>
      </c>
      <c r="B6293" s="2" t="s">
        <v>12329</v>
      </c>
      <c r="C6293" s="2" t="s">
        <v>42</v>
      </c>
      <c r="D6293" s="2" t="s">
        <v>17</v>
      </c>
      <c r="E6293" s="5">
        <v>-28226</v>
      </c>
      <c r="F6293" s="3" t="s">
        <v>812</v>
      </c>
      <c r="G6293" s="3" t="s">
        <v>31</v>
      </c>
      <c r="H6293" s="2" t="s">
        <v>20</v>
      </c>
      <c r="I6293" s="2" t="s">
        <v>12330</v>
      </c>
      <c r="J6293" s="3" t="str">
        <f>HYPERLINK("https://www.boe.es/gazeta/dias/1822/09/19/pdfs/GMD-1822-275.pdf#page=3","Abrir facsímil")</f>
        <v>Abrir facsímil</v>
      </c>
      <c r="K6293" s="3" t="s">
        <v>22</v>
      </c>
    </row>
    <row r="6294" spans="1:11" ht="42" customHeight="1">
      <c r="A6294" s="2" t="s">
        <v>12331</v>
      </c>
      <c r="B6294" s="2" t="s">
        <v>12331</v>
      </c>
      <c r="C6294" s="2" t="s">
        <v>28</v>
      </c>
      <c r="D6294" s="2" t="s">
        <v>29</v>
      </c>
      <c r="E6294" s="5">
        <v>-28310</v>
      </c>
      <c r="F6294" s="3" t="s">
        <v>241</v>
      </c>
      <c r="G6294" s="3" t="s">
        <v>35</v>
      </c>
      <c r="H6294" s="2" t="s">
        <v>20</v>
      </c>
      <c r="I6294" s="2" t="s">
        <v>12332</v>
      </c>
      <c r="J6294" s="3" t="str">
        <f>HYPERLINK("https://www.boe.es/gazeta/dias/1822/06/27/pdfs/GMD-1822-185.pdf#page=2","Abrir facsímil")</f>
        <v>Abrir facsímil</v>
      </c>
      <c r="K6294" s="3" t="s">
        <v>22</v>
      </c>
    </row>
    <row r="6295" spans="1:11" ht="42" customHeight="1">
      <c r="A6295" s="2" t="s">
        <v>12333</v>
      </c>
      <c r="B6295" s="2" t="s">
        <v>12334</v>
      </c>
      <c r="C6295" s="2" t="s">
        <v>28</v>
      </c>
      <c r="D6295" s="2" t="s">
        <v>29</v>
      </c>
      <c r="E6295" s="5">
        <v>-28214</v>
      </c>
      <c r="F6295" s="3" t="s">
        <v>814</v>
      </c>
      <c r="G6295" s="3" t="s">
        <v>57</v>
      </c>
      <c r="H6295" s="2" t="s">
        <v>20</v>
      </c>
      <c r="I6295" s="2" t="s">
        <v>12335</v>
      </c>
      <c r="J6295" s="3" t="str">
        <f>HYPERLINK("https://www.boe.es/gazeta/dias/1822/10/01/pdfs/GMD-1822-287.pdf#page=4","Abrir facsímil")</f>
        <v>Abrir facsímil</v>
      </c>
      <c r="K6295" s="3" t="s">
        <v>22</v>
      </c>
    </row>
    <row r="6296" spans="1:11" ht="42" customHeight="1">
      <c r="A6296" s="2" t="s">
        <v>12336</v>
      </c>
      <c r="B6296" s="2" t="s">
        <v>12337</v>
      </c>
      <c r="C6296" s="2" t="s">
        <v>28</v>
      </c>
      <c r="D6296" s="2" t="s">
        <v>29</v>
      </c>
      <c r="E6296" s="5">
        <v>-28465</v>
      </c>
      <c r="F6296" s="3" t="s">
        <v>1114</v>
      </c>
      <c r="G6296" s="3" t="s">
        <v>44</v>
      </c>
      <c r="H6296" s="2" t="s">
        <v>20</v>
      </c>
      <c r="I6296" s="2" t="s">
        <v>12338</v>
      </c>
      <c r="J6296" s="3" t="str">
        <f>HYPERLINK("https://www.boe.es/gazeta/dias/1822/01/23/pdfs/GMD-1822-23.pdf#page=1","Abrir facsímil")</f>
        <v>Abrir facsímil</v>
      </c>
      <c r="K6296" s="3" t="s">
        <v>22</v>
      </c>
    </row>
    <row r="6297" spans="1:11" ht="42" customHeight="1">
      <c r="A6297" s="2" t="s">
        <v>12339</v>
      </c>
      <c r="B6297" s="2" t="s">
        <v>12340</v>
      </c>
      <c r="C6297" s="2" t="s">
        <v>50</v>
      </c>
      <c r="D6297" s="2" t="s">
        <v>51</v>
      </c>
      <c r="E6297" s="5">
        <v>-28153</v>
      </c>
      <c r="F6297" s="3" t="s">
        <v>946</v>
      </c>
      <c r="G6297" s="3" t="s">
        <v>44</v>
      </c>
      <c r="H6297" s="2" t="s">
        <v>45</v>
      </c>
      <c r="I6297" s="2" t="s">
        <v>12341</v>
      </c>
      <c r="J6297" s="3" t="str">
        <f>HYPERLINK("https://www.boe.es/gazeta/dias/1822/12/01/pdfs/GMD-1822-351.pdf#page=1","Abrir facsímil")</f>
        <v>Abrir facsímil</v>
      </c>
      <c r="K6297" s="3" t="s">
        <v>47</v>
      </c>
    </row>
    <row r="6298" spans="1:11" ht="42" customHeight="1">
      <c r="A6298" s="2" t="s">
        <v>12342</v>
      </c>
      <c r="B6298" s="2" t="s">
        <v>12343</v>
      </c>
      <c r="C6298" s="2" t="s">
        <v>50</v>
      </c>
      <c r="D6298" s="2" t="s">
        <v>51</v>
      </c>
      <c r="E6298" s="5">
        <v>-28391</v>
      </c>
      <c r="F6298" s="3" t="s">
        <v>378</v>
      </c>
      <c r="G6298" s="3" t="s">
        <v>63</v>
      </c>
      <c r="H6298" s="2" t="s">
        <v>20</v>
      </c>
      <c r="I6298" s="2" t="s">
        <v>12344</v>
      </c>
      <c r="J6298" s="3" t="str">
        <f>HYPERLINK("https://www.boe.es/gazeta/dias/1822/04/07/pdfs/GMD-1822-99.pdf#page=6","Abrir facsímil")</f>
        <v>Abrir facsímil</v>
      </c>
      <c r="K6298" s="3" t="s">
        <v>22</v>
      </c>
    </row>
    <row r="6299" spans="1:11" ht="42" customHeight="1">
      <c r="A6299" s="2" t="s">
        <v>12345</v>
      </c>
      <c r="B6299" s="2" t="s">
        <v>12346</v>
      </c>
      <c r="C6299" s="2" t="s">
        <v>50</v>
      </c>
      <c r="D6299" s="2" t="s">
        <v>51</v>
      </c>
      <c r="E6299" s="5">
        <v>-28208</v>
      </c>
      <c r="F6299" s="3" t="s">
        <v>230</v>
      </c>
      <c r="G6299" s="3" t="s">
        <v>57</v>
      </c>
      <c r="H6299" s="2" t="s">
        <v>20</v>
      </c>
      <c r="I6299" s="2" t="s">
        <v>12347</v>
      </c>
      <c r="J6299" s="3" t="str">
        <f>HYPERLINK("https://www.boe.es/gazeta/dias/1822/10/07/pdfs/GMD-1822-293.pdf#page=4","Abrir facsímil")</f>
        <v>Abrir facsímil</v>
      </c>
      <c r="K6299" s="3" t="s">
        <v>22</v>
      </c>
    </row>
    <row r="6300" spans="1:11" ht="42" customHeight="1">
      <c r="A6300" s="2" t="s">
        <v>12348</v>
      </c>
      <c r="B6300" s="2" t="s">
        <v>12348</v>
      </c>
      <c r="C6300" s="2" t="s">
        <v>16</v>
      </c>
      <c r="D6300" s="2" t="s">
        <v>17</v>
      </c>
      <c r="E6300" s="5">
        <v>-28352</v>
      </c>
      <c r="F6300" s="3" t="s">
        <v>1575</v>
      </c>
      <c r="G6300" s="3" t="s">
        <v>31</v>
      </c>
      <c r="H6300" s="2" t="s">
        <v>20</v>
      </c>
      <c r="I6300" s="2" t="s">
        <v>12349</v>
      </c>
      <c r="J6300" s="3" t="str">
        <f>HYPERLINK("https://www.boe.es/gazeta/dias/1822/05/16/pdfs/GMD-1822-138.pdf#page=3","Abrir facsímil")</f>
        <v>Abrir facsímil</v>
      </c>
      <c r="K6300" s="3" t="s">
        <v>22</v>
      </c>
    </row>
    <row r="6301" spans="1:11" ht="42" customHeight="1">
      <c r="A6301" s="2" t="s">
        <v>12350</v>
      </c>
      <c r="B6301" s="2" t="s">
        <v>12350</v>
      </c>
      <c r="C6301" s="2" t="s">
        <v>42</v>
      </c>
      <c r="D6301" s="2" t="s">
        <v>17</v>
      </c>
      <c r="E6301" s="5">
        <v>-28146</v>
      </c>
      <c r="F6301" s="3" t="s">
        <v>180</v>
      </c>
      <c r="G6301" s="3" t="s">
        <v>31</v>
      </c>
      <c r="H6301" s="2" t="s">
        <v>20</v>
      </c>
      <c r="I6301" s="2" t="s">
        <v>12351</v>
      </c>
      <c r="J6301" s="3" t="str">
        <f>HYPERLINK("https://www.boe.es/gazeta/dias/1822/12/08/pdfs/GMD-1822-358.pdf#page=3","Abrir facsímil")</f>
        <v>Abrir facsímil</v>
      </c>
      <c r="K6301" s="3" t="s">
        <v>22</v>
      </c>
    </row>
    <row r="6302" spans="1:11" ht="42" customHeight="1">
      <c r="A6302" s="2" t="s">
        <v>12352</v>
      </c>
      <c r="B6302" s="2" t="s">
        <v>12353</v>
      </c>
      <c r="C6302" s="2" t="s">
        <v>28</v>
      </c>
      <c r="D6302" s="2" t="s">
        <v>29</v>
      </c>
      <c r="E6302" s="5">
        <v>-28432</v>
      </c>
      <c r="F6302" s="3" t="s">
        <v>195</v>
      </c>
      <c r="G6302" s="3" t="s">
        <v>57</v>
      </c>
      <c r="H6302" s="2" t="s">
        <v>20</v>
      </c>
      <c r="I6302" s="2" t="s">
        <v>12354</v>
      </c>
      <c r="J6302" s="3" t="str">
        <f>HYPERLINK("https://www.boe.es/gazeta/dias/1822/02/25/pdfs/GMD-1822-57.pdf#page=4","Abrir facsímil")</f>
        <v>Abrir facsímil</v>
      </c>
      <c r="K6302" s="3" t="s">
        <v>22</v>
      </c>
    </row>
    <row r="6303" spans="1:11" ht="42" customHeight="1">
      <c r="A6303" s="2" t="s">
        <v>12355</v>
      </c>
      <c r="B6303" s="2" t="s">
        <v>12356</v>
      </c>
      <c r="C6303" s="2" t="s">
        <v>16</v>
      </c>
      <c r="D6303" s="2" t="s">
        <v>17</v>
      </c>
      <c r="E6303" s="5">
        <v>-28358</v>
      </c>
      <c r="F6303" s="3" t="s">
        <v>211</v>
      </c>
      <c r="G6303" s="3" t="s">
        <v>157</v>
      </c>
      <c r="H6303" s="2" t="s">
        <v>20</v>
      </c>
      <c r="I6303" s="2" t="s">
        <v>12357</v>
      </c>
      <c r="J6303" s="3" t="str">
        <f>HYPERLINK("https://www.boe.es/gazeta/dias/1822/05/10/pdfs/GMD-1822-132.pdf#page=8","Abrir facsímil")</f>
        <v>Abrir facsímil</v>
      </c>
      <c r="K6303" s="3" t="s">
        <v>22</v>
      </c>
    </row>
    <row r="6304" spans="1:11" ht="42" customHeight="1">
      <c r="A6304" s="2" t="s">
        <v>12355</v>
      </c>
      <c r="B6304" s="2" t="s">
        <v>12356</v>
      </c>
      <c r="C6304" s="2" t="s">
        <v>42</v>
      </c>
      <c r="D6304" s="2" t="s">
        <v>17</v>
      </c>
      <c r="E6304" s="5">
        <v>-28345</v>
      </c>
      <c r="F6304" s="3" t="s">
        <v>294</v>
      </c>
      <c r="G6304" s="3" t="s">
        <v>63</v>
      </c>
      <c r="H6304" s="2" t="s">
        <v>20</v>
      </c>
      <c r="I6304" s="2" t="s">
        <v>12358</v>
      </c>
      <c r="J6304" s="3" t="str">
        <f>HYPERLINK("https://www.boe.es/gazeta/dias/1822/05/23/pdfs/GMD-1822-147.pdf#page=6","Abrir facsímil")</f>
        <v>Abrir facsímil</v>
      </c>
      <c r="K6304" s="3" t="s">
        <v>22</v>
      </c>
    </row>
    <row r="6305" spans="1:11" ht="42" customHeight="1">
      <c r="A6305" s="2" t="s">
        <v>12359</v>
      </c>
      <c r="B6305" s="2" t="s">
        <v>12360</v>
      </c>
      <c r="C6305" s="2" t="s">
        <v>50</v>
      </c>
      <c r="D6305" s="2" t="s">
        <v>51</v>
      </c>
      <c r="E6305" s="5">
        <v>-28230</v>
      </c>
      <c r="F6305" s="3" t="s">
        <v>1735</v>
      </c>
      <c r="G6305" s="3" t="s">
        <v>31</v>
      </c>
      <c r="H6305" s="2" t="s">
        <v>20</v>
      </c>
      <c r="I6305" s="2" t="s">
        <v>12361</v>
      </c>
      <c r="J6305" s="3" t="str">
        <f>HYPERLINK("https://www.boe.es/gazeta/dias/1822/09/15/pdfs/GMD-1822-271.pdf#page=3","Abrir facsímil")</f>
        <v>Abrir facsímil</v>
      </c>
      <c r="K6305" s="3" t="s">
        <v>22</v>
      </c>
    </row>
    <row r="6306" spans="1:11" ht="42" customHeight="1">
      <c r="A6306" s="2" t="s">
        <v>12362</v>
      </c>
      <c r="B6306" s="2" t="s">
        <v>12363</v>
      </c>
      <c r="C6306" s="2" t="s">
        <v>28</v>
      </c>
      <c r="D6306" s="2" t="s">
        <v>29</v>
      </c>
      <c r="E6306" s="5">
        <v>-28286</v>
      </c>
      <c r="F6306" s="3" t="s">
        <v>1853</v>
      </c>
      <c r="G6306" s="3" t="s">
        <v>57</v>
      </c>
      <c r="H6306" s="2" t="s">
        <v>20</v>
      </c>
      <c r="I6306" s="2" t="s">
        <v>12364</v>
      </c>
      <c r="J6306" s="3" t="str">
        <f>HYPERLINK("https://www.boe.es/gazeta/dias/1822/07/21/pdfs/GMD-1822-213.pdf#page=4","Abrir facsímil")</f>
        <v>Abrir facsímil</v>
      </c>
      <c r="K6306" s="3" t="s">
        <v>22</v>
      </c>
    </row>
    <row r="6307" spans="1:11" ht="42" customHeight="1">
      <c r="A6307" s="2" t="s">
        <v>12365</v>
      </c>
      <c r="B6307" s="2" t="s">
        <v>12366</v>
      </c>
      <c r="C6307" s="2" t="s">
        <v>50</v>
      </c>
      <c r="D6307" s="2" t="s">
        <v>51</v>
      </c>
      <c r="E6307" s="5">
        <v>-28208</v>
      </c>
      <c r="F6307" s="3" t="s">
        <v>230</v>
      </c>
      <c r="G6307" s="3" t="s">
        <v>57</v>
      </c>
      <c r="H6307" s="2" t="s">
        <v>20</v>
      </c>
      <c r="I6307" s="2" t="s">
        <v>12367</v>
      </c>
      <c r="J6307" s="3" t="str">
        <f>HYPERLINK("https://www.boe.es/gazeta/dias/1822/10/07/pdfs/GMD-1822-293.pdf#page=4","Abrir facsímil")</f>
        <v>Abrir facsímil</v>
      </c>
      <c r="K6307" s="3" t="s">
        <v>22</v>
      </c>
    </row>
    <row r="6308" spans="1:11" ht="42" customHeight="1">
      <c r="A6308" s="2" t="s">
        <v>12368</v>
      </c>
      <c r="B6308" s="2" t="s">
        <v>12369</v>
      </c>
      <c r="C6308" s="2" t="s">
        <v>42</v>
      </c>
      <c r="D6308" s="2" t="s">
        <v>17</v>
      </c>
      <c r="E6308" s="5">
        <v>-28325</v>
      </c>
      <c r="F6308" s="3" t="s">
        <v>104</v>
      </c>
      <c r="G6308" s="3" t="s">
        <v>31</v>
      </c>
      <c r="H6308" s="2" t="s">
        <v>20</v>
      </c>
      <c r="I6308" s="2" t="s">
        <v>12370</v>
      </c>
      <c r="J6308" s="3" t="str">
        <f>HYPERLINK("https://www.boe.es/gazeta/dias/1822/06/12/pdfs/GMD-1822-169.pdf#page=3","Abrir facsímil")</f>
        <v>Abrir facsímil</v>
      </c>
      <c r="K6308" s="3" t="s">
        <v>22</v>
      </c>
    </row>
    <row r="6309" spans="1:11" ht="42" customHeight="1">
      <c r="A6309" s="2" t="s">
        <v>12371</v>
      </c>
      <c r="B6309" s="2" t="s">
        <v>12371</v>
      </c>
      <c r="C6309" s="2" t="s">
        <v>50</v>
      </c>
      <c r="D6309" s="2" t="s">
        <v>51</v>
      </c>
      <c r="E6309" s="5">
        <v>-28308</v>
      </c>
      <c r="F6309" s="3" t="s">
        <v>1050</v>
      </c>
      <c r="G6309" s="3" t="s">
        <v>63</v>
      </c>
      <c r="H6309" s="2" t="s">
        <v>20</v>
      </c>
      <c r="I6309" s="2" t="s">
        <v>12372</v>
      </c>
      <c r="J6309" s="3" t="str">
        <f>HYPERLINK("https://www.boe.es/gazeta/dias/1822/06/29/pdfs/GMD-1822-187.pdf#page=6","Abrir facsímil")</f>
        <v>Abrir facsímil</v>
      </c>
      <c r="K6309" s="3" t="s">
        <v>22</v>
      </c>
    </row>
    <row r="6310" spans="1:11" ht="42" customHeight="1">
      <c r="A6310" s="2" t="s">
        <v>12373</v>
      </c>
      <c r="B6310" s="2" t="s">
        <v>12373</v>
      </c>
      <c r="C6310" s="2" t="s">
        <v>50</v>
      </c>
      <c r="D6310" s="2" t="s">
        <v>51</v>
      </c>
      <c r="E6310" s="5">
        <v>-28153</v>
      </c>
      <c r="F6310" s="3" t="s">
        <v>946</v>
      </c>
      <c r="G6310" s="3" t="s">
        <v>57</v>
      </c>
      <c r="H6310" s="2" t="s">
        <v>20</v>
      </c>
      <c r="I6310" s="2" t="s">
        <v>12374</v>
      </c>
      <c r="J6310" s="3" t="str">
        <f>HYPERLINK("https://www.boe.es/gazeta/dias/1822/12/01/pdfs/GMD-1822-351.pdf#page=4","Abrir facsímil")</f>
        <v>Abrir facsímil</v>
      </c>
      <c r="K6310" s="3" t="s">
        <v>22</v>
      </c>
    </row>
    <row r="6311" spans="1:11" ht="42" customHeight="1">
      <c r="A6311" s="2" t="s">
        <v>12375</v>
      </c>
      <c r="B6311" s="2" t="s">
        <v>12376</v>
      </c>
      <c r="C6311" s="2" t="s">
        <v>28</v>
      </c>
      <c r="D6311" s="2" t="s">
        <v>29</v>
      </c>
      <c r="E6311" s="5">
        <v>-28176</v>
      </c>
      <c r="F6311" s="3" t="s">
        <v>780</v>
      </c>
      <c r="G6311" s="3" t="s">
        <v>63</v>
      </c>
      <c r="H6311" s="2" t="s">
        <v>20</v>
      </c>
      <c r="I6311" s="2" t="s">
        <v>12377</v>
      </c>
      <c r="J6311" s="3" t="str">
        <f>HYPERLINK("https://www.boe.es/gazeta/dias/1822/11/08/pdfs/GMD-1822-328.pdf#page=6","Abrir facsímil")</f>
        <v>Abrir facsímil</v>
      </c>
      <c r="K6311" s="3" t="s">
        <v>22</v>
      </c>
    </row>
    <row r="6312" spans="1:11" ht="42" customHeight="1">
      <c r="A6312" s="2" t="s">
        <v>12378</v>
      </c>
      <c r="B6312" s="2" t="s">
        <v>12378</v>
      </c>
      <c r="C6312" s="2" t="s">
        <v>42</v>
      </c>
      <c r="D6312" s="2" t="s">
        <v>17</v>
      </c>
      <c r="E6312" s="5">
        <v>-28421</v>
      </c>
      <c r="F6312" s="3" t="s">
        <v>446</v>
      </c>
      <c r="G6312" s="3" t="s">
        <v>31</v>
      </c>
      <c r="H6312" s="2" t="s">
        <v>20</v>
      </c>
      <c r="I6312" s="2" t="s">
        <v>12379</v>
      </c>
      <c r="J6312" s="3" t="str">
        <f>HYPERLINK("https://www.boe.es/gazeta/dias/1822/03/08/pdfs/GMD-1822-69.pdf#page=3","Abrir facsímil")</f>
        <v>Abrir facsímil</v>
      </c>
      <c r="K6312" s="3" t="s">
        <v>22</v>
      </c>
    </row>
    <row r="6313" spans="1:11" ht="42" customHeight="1">
      <c r="A6313" s="2" t="s">
        <v>12378</v>
      </c>
      <c r="B6313" s="2" t="s">
        <v>12378</v>
      </c>
      <c r="C6313" s="2" t="s">
        <v>50</v>
      </c>
      <c r="D6313" s="2" t="s">
        <v>51</v>
      </c>
      <c r="E6313" s="5">
        <v>-28359</v>
      </c>
      <c r="F6313" s="3" t="s">
        <v>209</v>
      </c>
      <c r="G6313" s="3" t="s">
        <v>57</v>
      </c>
      <c r="H6313" s="2" t="s">
        <v>20</v>
      </c>
      <c r="I6313" s="2" t="s">
        <v>12380</v>
      </c>
      <c r="J6313" s="3" t="str">
        <f>HYPERLINK("https://www.boe.es/gazeta/dias/1822/05/09/pdfs/GMD-1822-131.pdf#page=4","Abrir facsímil")</f>
        <v>Abrir facsímil</v>
      </c>
      <c r="K6313" s="3" t="s">
        <v>22</v>
      </c>
    </row>
    <row r="6314" spans="1:11" ht="42" customHeight="1">
      <c r="A6314" s="2" t="s">
        <v>12378</v>
      </c>
      <c r="B6314" s="2" t="s">
        <v>12378</v>
      </c>
      <c r="C6314" s="2" t="s">
        <v>50</v>
      </c>
      <c r="D6314" s="2" t="s">
        <v>51</v>
      </c>
      <c r="E6314" s="5">
        <v>-28337</v>
      </c>
      <c r="F6314" s="3" t="s">
        <v>1836</v>
      </c>
      <c r="G6314" s="3" t="s">
        <v>19</v>
      </c>
      <c r="H6314" s="2" t="s">
        <v>20</v>
      </c>
      <c r="I6314" s="2" t="s">
        <v>12381</v>
      </c>
      <c r="J6314" s="3" t="str">
        <f>HYPERLINK("https://www.boe.es/gazeta/dias/1822/05/31/pdfs/GMD-1822-156.pdf#page=5","Abrir facsímil")</f>
        <v>Abrir facsímil</v>
      </c>
      <c r="K6314" s="3" t="s">
        <v>22</v>
      </c>
    </row>
    <row r="6315" spans="1:11" ht="42" customHeight="1">
      <c r="A6315" s="2" t="s">
        <v>12378</v>
      </c>
      <c r="B6315" s="2" t="s">
        <v>12378</v>
      </c>
      <c r="C6315" s="2" t="s">
        <v>50</v>
      </c>
      <c r="D6315" s="2" t="s">
        <v>51</v>
      </c>
      <c r="E6315" s="5">
        <v>-28331</v>
      </c>
      <c r="F6315" s="3" t="s">
        <v>537</v>
      </c>
      <c r="G6315" s="3" t="s">
        <v>35</v>
      </c>
      <c r="H6315" s="2" t="s">
        <v>20</v>
      </c>
      <c r="I6315" s="2" t="s">
        <v>12382</v>
      </c>
      <c r="J6315" s="3" t="str">
        <f>HYPERLINK("https://www.boe.es/gazeta/dias/1822/06/06/pdfs/GMD-1822-163.pdf#page=2","Abrir facsímil")</f>
        <v>Abrir facsímil</v>
      </c>
      <c r="K6315" s="3" t="s">
        <v>22</v>
      </c>
    </row>
    <row r="6316" spans="1:11" ht="42" customHeight="1">
      <c r="A6316" s="2" t="s">
        <v>12378</v>
      </c>
      <c r="B6316" s="2" t="s">
        <v>12378</v>
      </c>
      <c r="C6316" s="2" t="s">
        <v>42</v>
      </c>
      <c r="D6316" s="2" t="s">
        <v>17</v>
      </c>
      <c r="E6316" s="5">
        <v>-28319</v>
      </c>
      <c r="F6316" s="3" t="s">
        <v>271</v>
      </c>
      <c r="G6316" s="3" t="s">
        <v>31</v>
      </c>
      <c r="H6316" s="2" t="s">
        <v>20</v>
      </c>
      <c r="I6316" s="2" t="s">
        <v>12383</v>
      </c>
      <c r="J6316" s="3" t="str">
        <f>HYPERLINK("https://www.boe.es/gazeta/dias/1822/06/18/pdfs/GMD-1822-175.pdf#page=3","Abrir facsímil")</f>
        <v>Abrir facsímil</v>
      </c>
      <c r="K6316" s="3" t="s">
        <v>22</v>
      </c>
    </row>
    <row r="6317" spans="1:11" ht="42" customHeight="1">
      <c r="A6317" s="2" t="s">
        <v>12378</v>
      </c>
      <c r="B6317" s="2" t="s">
        <v>12378</v>
      </c>
      <c r="C6317" s="2" t="s">
        <v>42</v>
      </c>
      <c r="D6317" s="2" t="s">
        <v>17</v>
      </c>
      <c r="E6317" s="5">
        <v>-28203</v>
      </c>
      <c r="F6317" s="3" t="s">
        <v>564</v>
      </c>
      <c r="G6317" s="3" t="s">
        <v>4185</v>
      </c>
      <c r="H6317" s="2" t="s">
        <v>20</v>
      </c>
      <c r="I6317" s="2" t="s">
        <v>12384</v>
      </c>
      <c r="J6317" s="3" t="str">
        <f>HYPERLINK("https://www.boe.es/gazeta/dias/1822/10/12/pdfs/GMD-1822-299.pdf#page=2","Abrir facsímil")</f>
        <v>Abrir facsímil</v>
      </c>
      <c r="K6317" s="3" t="s">
        <v>22</v>
      </c>
    </row>
    <row r="6318" spans="1:11" ht="42" customHeight="1">
      <c r="A6318" s="2" t="s">
        <v>12378</v>
      </c>
      <c r="B6318" s="2" t="s">
        <v>12378</v>
      </c>
      <c r="C6318" s="2" t="s">
        <v>28</v>
      </c>
      <c r="D6318" s="2" t="s">
        <v>29</v>
      </c>
      <c r="E6318" s="5">
        <v>-28187</v>
      </c>
      <c r="F6318" s="3" t="s">
        <v>929</v>
      </c>
      <c r="G6318" s="3" t="s">
        <v>57</v>
      </c>
      <c r="H6318" s="2" t="s">
        <v>20</v>
      </c>
      <c r="I6318" s="2" t="s">
        <v>12385</v>
      </c>
      <c r="J6318" s="3" t="str">
        <f>HYPERLINK("https://www.boe.es/gazeta/dias/1822/10/28/pdfs/GMD-1822-315.pdf#page=4","Abrir facsímil")</f>
        <v>Abrir facsímil</v>
      </c>
      <c r="K6318" s="3" t="s">
        <v>22</v>
      </c>
    </row>
    <row r="6319" spans="1:11" ht="42" customHeight="1">
      <c r="A6319" s="2" t="s">
        <v>12378</v>
      </c>
      <c r="B6319" s="2" t="s">
        <v>12378</v>
      </c>
      <c r="C6319" s="2" t="s">
        <v>50</v>
      </c>
      <c r="D6319" s="2" t="s">
        <v>51</v>
      </c>
      <c r="E6319" s="5">
        <v>-28178</v>
      </c>
      <c r="F6319" s="3" t="s">
        <v>318</v>
      </c>
      <c r="G6319" s="3" t="s">
        <v>35</v>
      </c>
      <c r="H6319" s="2" t="s">
        <v>20</v>
      </c>
      <c r="I6319" s="2" t="s">
        <v>12386</v>
      </c>
      <c r="J6319" s="3" t="str">
        <f>HYPERLINK("https://www.boe.es/gazeta/dias/1822/11/06/pdfs/GMD-1822-326.pdf#page=2","Abrir facsímil")</f>
        <v>Abrir facsímil</v>
      </c>
      <c r="K6319" s="3" t="s">
        <v>22</v>
      </c>
    </row>
    <row r="6320" spans="1:11" ht="42" customHeight="1">
      <c r="A6320" s="2" t="s">
        <v>12378</v>
      </c>
      <c r="B6320" s="2" t="s">
        <v>12378</v>
      </c>
      <c r="C6320" s="2" t="s">
        <v>28</v>
      </c>
      <c r="D6320" s="2" t="s">
        <v>29</v>
      </c>
      <c r="E6320" s="5">
        <v>-28176</v>
      </c>
      <c r="F6320" s="3" t="s">
        <v>780</v>
      </c>
      <c r="G6320" s="3" t="s">
        <v>44</v>
      </c>
      <c r="H6320" s="2" t="s">
        <v>20</v>
      </c>
      <c r="I6320" s="2" t="s">
        <v>12387</v>
      </c>
      <c r="J6320" s="3" t="str">
        <f>HYPERLINK("https://www.boe.es/gazeta/dias/1822/11/08/pdfs/GMD-1822-328.pdf#page=1","Abrir facsímil")</f>
        <v>Abrir facsímil</v>
      </c>
      <c r="K6320" s="3" t="s">
        <v>22</v>
      </c>
    </row>
    <row r="6321" spans="1:11" ht="42" customHeight="1">
      <c r="A6321" s="2" t="s">
        <v>12378</v>
      </c>
      <c r="B6321" s="2" t="s">
        <v>12378</v>
      </c>
      <c r="C6321" s="2" t="s">
        <v>42</v>
      </c>
      <c r="D6321" s="2" t="s">
        <v>17</v>
      </c>
      <c r="E6321" s="5">
        <v>-28161</v>
      </c>
      <c r="F6321" s="3" t="s">
        <v>166</v>
      </c>
      <c r="G6321" s="3" t="s">
        <v>35</v>
      </c>
      <c r="H6321" s="2" t="s">
        <v>20</v>
      </c>
      <c r="I6321" s="2" t="s">
        <v>12388</v>
      </c>
      <c r="J6321" s="3" t="str">
        <f>HYPERLINK("https://www.boe.es/gazeta/dias/1822/11/23/pdfs/GMD-1822-343.pdf#page=2","Abrir facsímil")</f>
        <v>Abrir facsímil</v>
      </c>
      <c r="K6321" s="3" t="s">
        <v>22</v>
      </c>
    </row>
    <row r="6322" spans="1:11" ht="42" customHeight="1">
      <c r="A6322" s="2" t="s">
        <v>12389</v>
      </c>
      <c r="B6322" s="2" t="s">
        <v>12389</v>
      </c>
      <c r="C6322" s="2" t="s">
        <v>50</v>
      </c>
      <c r="D6322" s="2" t="s">
        <v>51</v>
      </c>
      <c r="E6322" s="5">
        <v>-28161</v>
      </c>
      <c r="F6322" s="3" t="s">
        <v>166</v>
      </c>
      <c r="G6322" s="3" t="s">
        <v>31</v>
      </c>
      <c r="H6322" s="2" t="s">
        <v>20</v>
      </c>
      <c r="I6322" s="2" t="s">
        <v>12390</v>
      </c>
      <c r="J6322" s="3" t="str">
        <f>HYPERLINK("https://www.boe.es/gazeta/dias/1822/11/23/pdfs/GMD-1822-343.pdf#page=3","Abrir facsímil")</f>
        <v>Abrir facsímil</v>
      </c>
      <c r="K6322" s="3" t="s">
        <v>22</v>
      </c>
    </row>
    <row r="6323" spans="1:11" ht="42" customHeight="1">
      <c r="A6323" s="2" t="s">
        <v>12378</v>
      </c>
      <c r="B6323" s="2" t="s">
        <v>12378</v>
      </c>
      <c r="C6323" s="2" t="s">
        <v>50</v>
      </c>
      <c r="D6323" s="2" t="s">
        <v>51</v>
      </c>
      <c r="E6323" s="5">
        <v>-28153</v>
      </c>
      <c r="F6323" s="3" t="s">
        <v>946</v>
      </c>
      <c r="G6323" s="3" t="s">
        <v>35</v>
      </c>
      <c r="H6323" s="2" t="s">
        <v>20</v>
      </c>
      <c r="I6323" s="2" t="s">
        <v>12391</v>
      </c>
      <c r="J6323" s="3" t="str">
        <f>HYPERLINK("https://www.boe.es/gazeta/dias/1822/12/01/pdfs/GMD-1822-351.pdf#page=2","Abrir facsímil")</f>
        <v>Abrir facsímil</v>
      </c>
      <c r="K6323" s="3" t="s">
        <v>22</v>
      </c>
    </row>
    <row r="6324" spans="1:11" ht="42" customHeight="1">
      <c r="A6324" s="2" t="s">
        <v>12392</v>
      </c>
      <c r="B6324" s="2" t="s">
        <v>12393</v>
      </c>
      <c r="C6324" s="2" t="s">
        <v>28</v>
      </c>
      <c r="D6324" s="2" t="s">
        <v>29</v>
      </c>
      <c r="E6324" s="5">
        <v>-28436</v>
      </c>
      <c r="F6324" s="3" t="s">
        <v>431</v>
      </c>
      <c r="G6324" s="3" t="s">
        <v>1428</v>
      </c>
      <c r="H6324" s="2" t="s">
        <v>20</v>
      </c>
      <c r="I6324" s="2" t="s">
        <v>12394</v>
      </c>
      <c r="J6324" s="3" t="str">
        <f>HYPERLINK("https://www.boe.es/gazeta/dias/1822/02/21/pdfs/GMD-1822-53.pdf#page=3","Abrir facsímil")</f>
        <v>Abrir facsímil</v>
      </c>
      <c r="K6324" s="3" t="s">
        <v>22</v>
      </c>
    </row>
    <row r="6325" spans="1:11" ht="42" customHeight="1">
      <c r="A6325" s="2" t="s">
        <v>12395</v>
      </c>
      <c r="B6325" s="2" t="s">
        <v>12396</v>
      </c>
      <c r="C6325" s="2" t="s">
        <v>42</v>
      </c>
      <c r="D6325" s="2" t="s">
        <v>17</v>
      </c>
      <c r="E6325" s="5">
        <v>-28191</v>
      </c>
      <c r="F6325" s="3" t="s">
        <v>710</v>
      </c>
      <c r="G6325" s="3" t="s">
        <v>5038</v>
      </c>
      <c r="H6325" s="2" t="s">
        <v>20</v>
      </c>
      <c r="I6325" s="2" t="s">
        <v>12397</v>
      </c>
      <c r="J6325" s="3" t="str">
        <f>HYPERLINK("https://www.boe.es/gazeta/dias/1822/10/24/pdfs/GMD-1822-311.pdf#page=8","Abrir facsímil")</f>
        <v>Abrir facsímil</v>
      </c>
      <c r="K6325" s="3" t="s">
        <v>22</v>
      </c>
    </row>
    <row r="6326" spans="1:11" ht="42" customHeight="1">
      <c r="A6326" s="2" t="s">
        <v>12398</v>
      </c>
      <c r="B6326" s="2" t="s">
        <v>12398</v>
      </c>
      <c r="C6326" s="2" t="s">
        <v>71</v>
      </c>
      <c r="D6326" s="2" t="s">
        <v>17</v>
      </c>
      <c r="E6326" s="5">
        <v>-28420</v>
      </c>
      <c r="F6326" s="3" t="s">
        <v>449</v>
      </c>
      <c r="G6326" s="3" t="s">
        <v>31</v>
      </c>
      <c r="H6326" s="2" t="s">
        <v>20</v>
      </c>
      <c r="I6326" s="2" t="s">
        <v>12399</v>
      </c>
      <c r="J6326" s="3" t="str">
        <f>HYPERLINK("https://www.boe.es/gazeta/dias/1822/03/09/pdfs/GMD-1822-70.pdf#page=3","Abrir facsímil")</f>
        <v>Abrir facsímil</v>
      </c>
      <c r="K6326" s="3" t="s">
        <v>22</v>
      </c>
    </row>
    <row r="6327" spans="1:11" ht="42" customHeight="1">
      <c r="A6327" s="2" t="s">
        <v>12400</v>
      </c>
      <c r="B6327" s="2" t="s">
        <v>12400</v>
      </c>
      <c r="C6327" s="2" t="s">
        <v>50</v>
      </c>
      <c r="D6327" s="2" t="s">
        <v>51</v>
      </c>
      <c r="E6327" s="5">
        <v>-28319</v>
      </c>
      <c r="F6327" s="3" t="s">
        <v>271</v>
      </c>
      <c r="G6327" s="3" t="s">
        <v>44</v>
      </c>
      <c r="H6327" s="2" t="s">
        <v>20</v>
      </c>
      <c r="I6327" s="2" t="s">
        <v>12401</v>
      </c>
      <c r="J6327" s="3" t="str">
        <f>HYPERLINK("https://www.boe.es/gazeta/dias/1822/06/18/pdfs/GMD-1822-175.pdf#page=1","Abrir facsímil")</f>
        <v>Abrir facsímil</v>
      </c>
      <c r="K6327" s="3" t="s">
        <v>22</v>
      </c>
    </row>
    <row r="6328" spans="1:11" ht="42" customHeight="1">
      <c r="A6328" s="2" t="s">
        <v>12402</v>
      </c>
      <c r="B6328" s="2" t="s">
        <v>12402</v>
      </c>
      <c r="C6328" s="2" t="s">
        <v>50</v>
      </c>
      <c r="D6328" s="2" t="s">
        <v>51</v>
      </c>
      <c r="E6328" s="5">
        <v>-28191</v>
      </c>
      <c r="F6328" s="3" t="s">
        <v>710</v>
      </c>
      <c r="G6328" s="3" t="s">
        <v>167</v>
      </c>
      <c r="H6328" s="2" t="s">
        <v>20</v>
      </c>
      <c r="I6328" s="2" t="s">
        <v>12403</v>
      </c>
      <c r="J6328" s="3" t="str">
        <f>HYPERLINK("https://www.boe.es/gazeta/dias/1822/10/24/pdfs/GMD-1822-311.pdf#page=7","Abrir facsímil")</f>
        <v>Abrir facsímil</v>
      </c>
      <c r="K6328" s="3" t="s">
        <v>22</v>
      </c>
    </row>
    <row r="6329" spans="1:11" ht="42" customHeight="1">
      <c r="A6329" s="2" t="s">
        <v>12404</v>
      </c>
      <c r="B6329" s="2" t="s">
        <v>12404</v>
      </c>
      <c r="C6329" s="2" t="s">
        <v>42</v>
      </c>
      <c r="D6329" s="2" t="s">
        <v>17</v>
      </c>
      <c r="E6329" s="5">
        <v>-28478</v>
      </c>
      <c r="F6329" s="3" t="s">
        <v>1093</v>
      </c>
      <c r="G6329" s="3" t="s">
        <v>57</v>
      </c>
      <c r="H6329" s="2" t="s">
        <v>20</v>
      </c>
      <c r="I6329" s="2" t="s">
        <v>12405</v>
      </c>
      <c r="J6329" s="3" t="str">
        <f>HYPERLINK("https://www.boe.es/gazeta/dias/1822/01/10/pdfs/GMD-1822-10.pdf#page=4","Abrir facsímil")</f>
        <v>Abrir facsímil</v>
      </c>
      <c r="K6329" s="3" t="s">
        <v>22</v>
      </c>
    </row>
    <row r="6330" spans="1:11" ht="42" customHeight="1">
      <c r="A6330" s="2" t="s">
        <v>12404</v>
      </c>
      <c r="B6330" s="2" t="s">
        <v>12404</v>
      </c>
      <c r="C6330" s="2" t="s">
        <v>50</v>
      </c>
      <c r="D6330" s="2" t="s">
        <v>51</v>
      </c>
      <c r="E6330" s="5">
        <v>-28314</v>
      </c>
      <c r="F6330" s="3" t="s">
        <v>309</v>
      </c>
      <c r="G6330" s="3" t="s">
        <v>63</v>
      </c>
      <c r="H6330" s="2" t="s">
        <v>20</v>
      </c>
      <c r="I6330" s="2" t="s">
        <v>12406</v>
      </c>
      <c r="J6330" s="3" t="str">
        <f>HYPERLINK("https://www.boe.es/gazeta/dias/1822/06/23/pdfs/GMD-1822-181.pdf#page=6","Abrir facsímil")</f>
        <v>Abrir facsímil</v>
      </c>
      <c r="K6330" s="3" t="s">
        <v>22</v>
      </c>
    </row>
    <row r="6331" spans="1:11" ht="42" customHeight="1">
      <c r="A6331" s="2" t="s">
        <v>12407</v>
      </c>
      <c r="B6331" s="2" t="s">
        <v>12407</v>
      </c>
      <c r="C6331" s="2" t="s">
        <v>1141</v>
      </c>
      <c r="D6331" s="2" t="s">
        <v>29</v>
      </c>
      <c r="E6331" s="5">
        <v>-28270</v>
      </c>
      <c r="F6331" s="3" t="s">
        <v>130</v>
      </c>
      <c r="G6331" s="3" t="s">
        <v>131</v>
      </c>
      <c r="H6331" s="2" t="s">
        <v>20</v>
      </c>
      <c r="I6331" s="2" t="s">
        <v>12408</v>
      </c>
      <c r="J6331" s="3" t="str">
        <f>HYPERLINK("https://www.boe.es/gazeta/dias/1822/08/06/pdfs/GMD-1822-230.pdf#page=6","Abrir facsímil")</f>
        <v>Abrir facsímil</v>
      </c>
      <c r="K6331" s="3" t="s">
        <v>22</v>
      </c>
    </row>
    <row r="6332" spans="1:11" ht="42" customHeight="1">
      <c r="A6332" s="2" t="s">
        <v>12409</v>
      </c>
      <c r="B6332" s="2" t="s">
        <v>12409</v>
      </c>
      <c r="C6332" s="2" t="s">
        <v>28</v>
      </c>
      <c r="D6332" s="2" t="s">
        <v>29</v>
      </c>
      <c r="E6332" s="5">
        <v>-28256</v>
      </c>
      <c r="F6332" s="3" t="s">
        <v>1949</v>
      </c>
      <c r="G6332" s="3" t="s">
        <v>31</v>
      </c>
      <c r="H6332" s="2" t="s">
        <v>20</v>
      </c>
      <c r="I6332" s="2" t="s">
        <v>12410</v>
      </c>
      <c r="J6332" s="3" t="str">
        <f>HYPERLINK("https://www.boe.es/gazeta/dias/1822/08/20/pdfs/GMD-1822-244.pdf#page=3","Abrir facsímil")</f>
        <v>Abrir facsímil</v>
      </c>
      <c r="K6332" s="3" t="s">
        <v>22</v>
      </c>
    </row>
    <row r="6333" spans="1:11" ht="42" customHeight="1">
      <c r="A6333" s="2" t="s">
        <v>12409</v>
      </c>
      <c r="B6333" s="2" t="s">
        <v>12409</v>
      </c>
      <c r="C6333" s="2" t="s">
        <v>362</v>
      </c>
      <c r="D6333" s="2" t="s">
        <v>17</v>
      </c>
      <c r="E6333" s="5">
        <v>-28224</v>
      </c>
      <c r="F6333" s="3" t="s">
        <v>1902</v>
      </c>
      <c r="G6333" s="3" t="s">
        <v>57</v>
      </c>
      <c r="H6333" s="2" t="s">
        <v>20</v>
      </c>
      <c r="I6333" s="2" t="s">
        <v>12411</v>
      </c>
      <c r="J6333" s="3" t="str">
        <f>HYPERLINK("https://www.boe.es/gazeta/dias/1822/09/21/pdfs/GMD-1822-277.pdf#page=4","Abrir facsímil")</f>
        <v>Abrir facsímil</v>
      </c>
      <c r="K6333" s="3" t="s">
        <v>22</v>
      </c>
    </row>
    <row r="6334" spans="1:11" ht="42" customHeight="1">
      <c r="A6334" s="2" t="s">
        <v>12412</v>
      </c>
      <c r="B6334" s="2" t="s">
        <v>12413</v>
      </c>
      <c r="C6334" s="2" t="s">
        <v>28</v>
      </c>
      <c r="D6334" s="2" t="s">
        <v>29</v>
      </c>
      <c r="E6334" s="5">
        <v>-28280</v>
      </c>
      <c r="F6334" s="3" t="s">
        <v>56</v>
      </c>
      <c r="G6334" s="3" t="s">
        <v>57</v>
      </c>
      <c r="H6334" s="2" t="s">
        <v>20</v>
      </c>
      <c r="I6334" s="2" t="s">
        <v>12414</v>
      </c>
      <c r="J6334" s="3" t="str">
        <f>HYPERLINK("https://www.boe.es/gazeta/dias/1822/07/27/pdfs/GMD-1822-220.pdf#page=4","Abrir facsímil")</f>
        <v>Abrir facsímil</v>
      </c>
      <c r="K6334" s="3" t="s">
        <v>22</v>
      </c>
    </row>
    <row r="6335" spans="1:11" ht="42" customHeight="1">
      <c r="A6335" s="2" t="s">
        <v>12415</v>
      </c>
      <c r="B6335" s="2" t="s">
        <v>12416</v>
      </c>
      <c r="C6335" s="2" t="s">
        <v>50</v>
      </c>
      <c r="D6335" s="2" t="s">
        <v>51</v>
      </c>
      <c r="E6335" s="5">
        <v>-28303</v>
      </c>
      <c r="F6335" s="3" t="s">
        <v>201</v>
      </c>
      <c r="G6335" s="3" t="s">
        <v>31</v>
      </c>
      <c r="H6335" s="2" t="s">
        <v>20</v>
      </c>
      <c r="I6335" s="2" t="s">
        <v>12417</v>
      </c>
      <c r="J6335" s="3" t="str">
        <f>HYPERLINK("https://www.boe.es/gazeta/dias/1822/07/04/pdfs/GMD-1822-193.pdf#page=3","Abrir facsímil")</f>
        <v>Abrir facsímil</v>
      </c>
      <c r="K6335" s="3" t="s">
        <v>22</v>
      </c>
    </row>
    <row r="6336" spans="1:11" ht="42" customHeight="1">
      <c r="A6336" s="2" t="s">
        <v>12418</v>
      </c>
      <c r="B6336" s="2" t="s">
        <v>12418</v>
      </c>
      <c r="C6336" s="2" t="s">
        <v>1141</v>
      </c>
      <c r="D6336" s="2" t="s">
        <v>29</v>
      </c>
      <c r="E6336" s="5">
        <v>-28334</v>
      </c>
      <c r="F6336" s="3" t="s">
        <v>532</v>
      </c>
      <c r="G6336" s="3" t="s">
        <v>44</v>
      </c>
      <c r="H6336" s="2" t="s">
        <v>20</v>
      </c>
      <c r="I6336" s="2" t="s">
        <v>12419</v>
      </c>
      <c r="J6336" s="3" t="str">
        <f>HYPERLINK("https://www.boe.es/gazeta/dias/1822/06/03/pdfs/GMD-1822-159.pdf#page=1","Abrir facsímil")</f>
        <v>Abrir facsímil</v>
      </c>
      <c r="K6336" s="3" t="s">
        <v>22</v>
      </c>
    </row>
    <row r="6337" spans="1:11" ht="42" customHeight="1">
      <c r="A6337" s="2" t="s">
        <v>12420</v>
      </c>
      <c r="B6337" s="2" t="s">
        <v>12420</v>
      </c>
      <c r="C6337" s="2" t="s">
        <v>24</v>
      </c>
      <c r="D6337" s="2" t="s">
        <v>17</v>
      </c>
      <c r="E6337" s="5">
        <v>-28295</v>
      </c>
      <c r="F6337" s="3" t="s">
        <v>81</v>
      </c>
      <c r="G6337" s="3" t="s">
        <v>44</v>
      </c>
      <c r="H6337" s="2" t="s">
        <v>20</v>
      </c>
      <c r="I6337" s="2" t="s">
        <v>12421</v>
      </c>
      <c r="J6337" s="3" t="str">
        <f>HYPERLINK("https://www.boe.es/gazeta/dias/1822/07/12/pdfs/GMD-1822-202.pdf#page=1","Abrir facsímil")</f>
        <v>Abrir facsímil</v>
      </c>
      <c r="K6337" s="3" t="s">
        <v>22</v>
      </c>
    </row>
    <row r="6338" spans="1:11" ht="42" customHeight="1">
      <c r="A6338" s="2" t="s">
        <v>12422</v>
      </c>
      <c r="B6338" s="2" t="s">
        <v>12423</v>
      </c>
      <c r="C6338" s="2" t="s">
        <v>61</v>
      </c>
      <c r="D6338" s="2" t="s">
        <v>17</v>
      </c>
      <c r="E6338" s="5">
        <v>-28159</v>
      </c>
      <c r="F6338" s="3" t="s">
        <v>67</v>
      </c>
      <c r="G6338" s="3" t="s">
        <v>57</v>
      </c>
      <c r="H6338" s="2" t="s">
        <v>20</v>
      </c>
      <c r="I6338" s="2" t="s">
        <v>12424</v>
      </c>
      <c r="J6338" s="3" t="str">
        <f>HYPERLINK("https://www.boe.es/gazeta/dias/1822/11/25/pdfs/GMD-1822-345.pdf#page=4","Abrir facsímil")</f>
        <v>Abrir facsímil</v>
      </c>
      <c r="K6338" s="3" t="s">
        <v>22</v>
      </c>
    </row>
    <row r="6339" spans="1:11" ht="42" customHeight="1">
      <c r="A6339" s="2" t="s">
        <v>12425</v>
      </c>
      <c r="B6339" s="2" t="s">
        <v>12426</v>
      </c>
      <c r="C6339" s="2" t="s">
        <v>42</v>
      </c>
      <c r="D6339" s="2" t="s">
        <v>17</v>
      </c>
      <c r="E6339" s="5">
        <v>-28172</v>
      </c>
      <c r="F6339" s="3" t="s">
        <v>674</v>
      </c>
      <c r="G6339" s="3" t="s">
        <v>57</v>
      </c>
      <c r="H6339" s="2" t="s">
        <v>20</v>
      </c>
      <c r="I6339" s="2" t="s">
        <v>12427</v>
      </c>
      <c r="J6339" s="3" t="str">
        <f>HYPERLINK("https://www.boe.es/gazeta/dias/1822/11/12/pdfs/GMD-1822-332.pdf#page=4","Abrir facsímil")</f>
        <v>Abrir facsímil</v>
      </c>
      <c r="K6339" s="3" t="s">
        <v>22</v>
      </c>
    </row>
    <row r="6340" spans="1:11" ht="42" customHeight="1">
      <c r="A6340" s="2" t="s">
        <v>12428</v>
      </c>
      <c r="B6340" s="2" t="s">
        <v>12428</v>
      </c>
      <c r="C6340" s="2" t="s">
        <v>50</v>
      </c>
      <c r="D6340" s="2" t="s">
        <v>51</v>
      </c>
      <c r="E6340" s="5">
        <v>-28341</v>
      </c>
      <c r="F6340" s="3" t="s">
        <v>284</v>
      </c>
      <c r="G6340" s="3" t="s">
        <v>31</v>
      </c>
      <c r="H6340" s="2" t="s">
        <v>20</v>
      </c>
      <c r="I6340" s="2" t="s">
        <v>12429</v>
      </c>
      <c r="J6340" s="3" t="str">
        <f>HYPERLINK("https://www.boe.es/gazeta/dias/1822/05/27/pdfs/GMD-1822-152.pdf#page=3","Abrir facsímil")</f>
        <v>Abrir facsímil</v>
      </c>
      <c r="K6340" s="3" t="s">
        <v>22</v>
      </c>
    </row>
    <row r="6341" spans="1:11" ht="42" customHeight="1">
      <c r="A6341" s="2" t="s">
        <v>12430</v>
      </c>
      <c r="B6341" s="2" t="s">
        <v>12430</v>
      </c>
      <c r="C6341" s="2" t="s">
        <v>71</v>
      </c>
      <c r="D6341" s="2" t="s">
        <v>17</v>
      </c>
      <c r="E6341" s="5">
        <v>-28453</v>
      </c>
      <c r="F6341" s="3" t="s">
        <v>2039</v>
      </c>
      <c r="G6341" s="3" t="s">
        <v>35</v>
      </c>
      <c r="H6341" s="2" t="s">
        <v>20</v>
      </c>
      <c r="I6341" s="2" t="s">
        <v>12431</v>
      </c>
      <c r="J6341" s="3" t="str">
        <f>HYPERLINK("https://www.boe.es/gazeta/dias/1822/02/04/pdfs/GMD-1822-35.pdf#page=2","Abrir facsímil")</f>
        <v>Abrir facsímil</v>
      </c>
      <c r="K6341" s="3" t="s">
        <v>22</v>
      </c>
    </row>
    <row r="6342" spans="1:11" ht="42" customHeight="1">
      <c r="A6342" s="2" t="s">
        <v>12432</v>
      </c>
      <c r="B6342" s="2" t="s">
        <v>12432</v>
      </c>
      <c r="C6342" s="2" t="s">
        <v>50</v>
      </c>
      <c r="D6342" s="2" t="s">
        <v>51</v>
      </c>
      <c r="E6342" s="5">
        <v>-28258</v>
      </c>
      <c r="F6342" s="3" t="s">
        <v>88</v>
      </c>
      <c r="G6342" s="3" t="s">
        <v>31</v>
      </c>
      <c r="H6342" s="2" t="s">
        <v>20</v>
      </c>
      <c r="I6342" s="2" t="s">
        <v>12433</v>
      </c>
      <c r="J6342" s="3" t="str">
        <f>HYPERLINK("https://www.boe.es/gazeta/dias/1822/08/18/pdfs/GMD-1822-242.pdf#page=3","Abrir facsímil")</f>
        <v>Abrir facsímil</v>
      </c>
      <c r="K6342" s="3" t="s">
        <v>22</v>
      </c>
    </row>
    <row r="6343" spans="1:11" ht="42" customHeight="1">
      <c r="A6343" s="2" t="s">
        <v>12434</v>
      </c>
      <c r="B6343" s="2" t="s">
        <v>12435</v>
      </c>
      <c r="C6343" s="2" t="s">
        <v>50</v>
      </c>
      <c r="D6343" s="2" t="s">
        <v>51</v>
      </c>
      <c r="E6343" s="5">
        <v>-28222</v>
      </c>
      <c r="F6343" s="3" t="s">
        <v>2027</v>
      </c>
      <c r="G6343" s="3" t="s">
        <v>31</v>
      </c>
      <c r="H6343" s="2" t="s">
        <v>20</v>
      </c>
      <c r="I6343" s="2" t="s">
        <v>12436</v>
      </c>
      <c r="J6343" s="3" t="str">
        <f>HYPERLINK("https://www.boe.es/gazeta/dias/1822/09/23/pdfs/GMD-1822-279.pdf#page=3","Abrir facsímil")</f>
        <v>Abrir facsímil</v>
      </c>
      <c r="K6343" s="3" t="s">
        <v>22</v>
      </c>
    </row>
    <row r="6344" spans="1:11" ht="42" customHeight="1">
      <c r="A6344" s="2" t="s">
        <v>12437</v>
      </c>
      <c r="B6344" s="2" t="s">
        <v>12437</v>
      </c>
      <c r="C6344" s="2" t="s">
        <v>42</v>
      </c>
      <c r="D6344" s="2" t="s">
        <v>17</v>
      </c>
      <c r="E6344" s="5">
        <v>-28241</v>
      </c>
      <c r="F6344" s="3" t="s">
        <v>3068</v>
      </c>
      <c r="G6344" s="3" t="s">
        <v>44</v>
      </c>
      <c r="H6344" s="2" t="s">
        <v>20</v>
      </c>
      <c r="I6344" s="2" t="s">
        <v>12438</v>
      </c>
      <c r="J6344" s="3" t="str">
        <f>HYPERLINK("https://www.boe.es/gazeta/dias/1822/09/04/pdfs/GMD-1822-259.pdf#page=1","Abrir facsímil")</f>
        <v>Abrir facsímil</v>
      </c>
      <c r="K6344" s="3" t="s">
        <v>22</v>
      </c>
    </row>
    <row r="6345" spans="1:11" ht="42" customHeight="1">
      <c r="A6345" s="2" t="s">
        <v>12439</v>
      </c>
      <c r="B6345" s="2" t="s">
        <v>12440</v>
      </c>
      <c r="C6345" s="2" t="s">
        <v>50</v>
      </c>
      <c r="D6345" s="2" t="s">
        <v>51</v>
      </c>
      <c r="E6345" s="5">
        <v>-28329</v>
      </c>
      <c r="F6345" s="3" t="s">
        <v>354</v>
      </c>
      <c r="G6345" s="3" t="s">
        <v>63</v>
      </c>
      <c r="H6345" s="2" t="s">
        <v>20</v>
      </c>
      <c r="I6345" s="2" t="s">
        <v>12441</v>
      </c>
      <c r="J6345" s="3" t="str">
        <f>HYPERLINK("https://www.boe.es/gazeta/dias/1822/06/08/pdfs/GMD-1822-165.pdf#page=6","Abrir facsímil")</f>
        <v>Abrir facsímil</v>
      </c>
      <c r="K6345" s="3" t="s">
        <v>22</v>
      </c>
    </row>
    <row r="6346" spans="1:11" ht="42" customHeight="1">
      <c r="A6346" s="2" t="s">
        <v>12442</v>
      </c>
      <c r="B6346" s="2" t="s">
        <v>12442</v>
      </c>
      <c r="C6346" s="2" t="s">
        <v>24</v>
      </c>
      <c r="D6346" s="2" t="s">
        <v>17</v>
      </c>
      <c r="E6346" s="5">
        <v>-28370</v>
      </c>
      <c r="F6346" s="3" t="s">
        <v>207</v>
      </c>
      <c r="G6346" s="3" t="s">
        <v>63</v>
      </c>
      <c r="H6346" s="2" t="s">
        <v>20</v>
      </c>
      <c r="I6346" s="2" t="s">
        <v>12443</v>
      </c>
      <c r="J6346" s="3" t="str">
        <f>HYPERLINK("https://www.boe.es/gazeta/dias/1822/04/28/pdfs/GMD-1822-120.pdf#page=6","Abrir facsímil")</f>
        <v>Abrir facsímil</v>
      </c>
      <c r="K6346" s="3" t="s">
        <v>22</v>
      </c>
    </row>
    <row r="6347" spans="1:11" ht="42" customHeight="1">
      <c r="A6347" s="2" t="s">
        <v>12442</v>
      </c>
      <c r="B6347" s="2" t="s">
        <v>12442</v>
      </c>
      <c r="C6347" s="2" t="s">
        <v>50</v>
      </c>
      <c r="D6347" s="2" t="s">
        <v>51</v>
      </c>
      <c r="E6347" s="5">
        <v>-28351</v>
      </c>
      <c r="F6347" s="3" t="s">
        <v>282</v>
      </c>
      <c r="G6347" s="3" t="s">
        <v>44</v>
      </c>
      <c r="H6347" s="2" t="s">
        <v>20</v>
      </c>
      <c r="I6347" s="2" t="s">
        <v>12444</v>
      </c>
      <c r="J6347" s="3" t="str">
        <f>HYPERLINK("https://www.boe.es/gazeta/dias/1822/05/17/pdfs/GMD-1822-139.pdf#page=1","Abrir facsímil")</f>
        <v>Abrir facsímil</v>
      </c>
      <c r="K6347" s="3" t="s">
        <v>22</v>
      </c>
    </row>
    <row r="6348" spans="1:11" ht="42" customHeight="1">
      <c r="A6348" s="2" t="s">
        <v>12442</v>
      </c>
      <c r="B6348" s="2" t="s">
        <v>12442</v>
      </c>
      <c r="C6348" s="2" t="s">
        <v>71</v>
      </c>
      <c r="D6348" s="2" t="s">
        <v>17</v>
      </c>
      <c r="E6348" s="5">
        <v>-28313</v>
      </c>
      <c r="F6348" s="3" t="s">
        <v>315</v>
      </c>
      <c r="G6348" s="3" t="s">
        <v>57</v>
      </c>
      <c r="H6348" s="2" t="s">
        <v>20</v>
      </c>
      <c r="I6348" s="2" t="s">
        <v>12445</v>
      </c>
      <c r="J6348" s="3" t="str">
        <f>HYPERLINK("https://www.boe.es/gazeta/dias/1822/06/24/pdfs/GMD-1822-182.pdf#page=4","Abrir facsímil")</f>
        <v>Abrir facsímil</v>
      </c>
      <c r="K6348" s="3" t="s">
        <v>22</v>
      </c>
    </row>
    <row r="6349" spans="1:11" ht="42" customHeight="1">
      <c r="A6349" s="2" t="s">
        <v>12442</v>
      </c>
      <c r="B6349" s="2" t="s">
        <v>12442</v>
      </c>
      <c r="C6349" s="2" t="s">
        <v>28</v>
      </c>
      <c r="D6349" s="2" t="s">
        <v>29</v>
      </c>
      <c r="E6349" s="5">
        <v>-28199</v>
      </c>
      <c r="F6349" s="3" t="s">
        <v>656</v>
      </c>
      <c r="G6349" s="3" t="s">
        <v>31</v>
      </c>
      <c r="H6349" s="2" t="s">
        <v>20</v>
      </c>
      <c r="I6349" s="2" t="s">
        <v>12446</v>
      </c>
      <c r="J6349" s="3" t="str">
        <f>HYPERLINK("https://www.boe.es/gazeta/dias/1822/10/16/pdfs/GMD-1822-303.pdf#page=3","Abrir facsímil")</f>
        <v>Abrir facsímil</v>
      </c>
      <c r="K6349" s="3" t="s">
        <v>22</v>
      </c>
    </row>
    <row r="6350" spans="1:11" ht="42" customHeight="1">
      <c r="A6350" s="2" t="s">
        <v>12447</v>
      </c>
      <c r="B6350" s="2" t="s">
        <v>12447</v>
      </c>
      <c r="C6350" s="2" t="s">
        <v>42</v>
      </c>
      <c r="D6350" s="2" t="s">
        <v>17</v>
      </c>
      <c r="E6350" s="5">
        <v>-28404</v>
      </c>
      <c r="F6350" s="3" t="s">
        <v>421</v>
      </c>
      <c r="G6350" s="3" t="s">
        <v>35</v>
      </c>
      <c r="H6350" s="2" t="s">
        <v>20</v>
      </c>
      <c r="I6350" s="2" t="s">
        <v>12448</v>
      </c>
      <c r="J6350" s="3" t="str">
        <f>HYPERLINK("https://www.boe.es/gazeta/dias/1822/03/25/pdfs/GMD-1822-86.pdf#page=2","Abrir facsímil")</f>
        <v>Abrir facsímil</v>
      </c>
      <c r="K6350" s="3" t="s">
        <v>22</v>
      </c>
    </row>
    <row r="6351" spans="1:11" ht="42" customHeight="1">
      <c r="A6351" s="2" t="s">
        <v>12449</v>
      </c>
      <c r="B6351" s="2" t="s">
        <v>12450</v>
      </c>
      <c r="C6351" s="2" t="s">
        <v>50</v>
      </c>
      <c r="D6351" s="2" t="s">
        <v>51</v>
      </c>
      <c r="E6351" s="5">
        <v>-28269</v>
      </c>
      <c r="F6351" s="3" t="s">
        <v>5517</v>
      </c>
      <c r="G6351" s="3" t="s">
        <v>57</v>
      </c>
      <c r="H6351" s="2" t="s">
        <v>20</v>
      </c>
      <c r="I6351" s="2" t="s">
        <v>12451</v>
      </c>
      <c r="J6351" s="3" t="str">
        <f>HYPERLINK("https://www.boe.es/gazeta/dias/1822/08/07/pdfs/GMD-1822-231.pdf#page=4","Abrir facsímil")</f>
        <v>Abrir facsímil</v>
      </c>
      <c r="K6351" s="3" t="s">
        <v>22</v>
      </c>
    </row>
    <row r="6352" spans="1:11" ht="42" customHeight="1">
      <c r="A6352" s="2" t="s">
        <v>12452</v>
      </c>
      <c r="B6352" s="2" t="s">
        <v>12452</v>
      </c>
      <c r="C6352" s="2" t="s">
        <v>50</v>
      </c>
      <c r="D6352" s="2" t="s">
        <v>51</v>
      </c>
      <c r="E6352" s="5">
        <v>-28345</v>
      </c>
      <c r="F6352" s="3" t="s">
        <v>294</v>
      </c>
      <c r="G6352" s="3" t="s">
        <v>57</v>
      </c>
      <c r="H6352" s="2" t="s">
        <v>20</v>
      </c>
      <c r="I6352" s="2" t="s">
        <v>12453</v>
      </c>
      <c r="J6352" s="3" t="str">
        <f>HYPERLINK("https://www.boe.es/gazeta/dias/1822/05/23/pdfs/GMD-1822-147.pdf#page=4","Abrir facsímil")</f>
        <v>Abrir facsímil</v>
      </c>
      <c r="K6352" s="3" t="s">
        <v>22</v>
      </c>
    </row>
    <row r="6353" spans="1:11" ht="42" customHeight="1">
      <c r="A6353" s="2" t="s">
        <v>12454</v>
      </c>
      <c r="B6353" s="2" t="s">
        <v>12454</v>
      </c>
      <c r="C6353" s="2" t="s">
        <v>50</v>
      </c>
      <c r="D6353" s="2" t="s">
        <v>51</v>
      </c>
      <c r="E6353" s="5">
        <v>-28342</v>
      </c>
      <c r="F6353" s="3" t="s">
        <v>2281</v>
      </c>
      <c r="G6353" s="3" t="s">
        <v>31</v>
      </c>
      <c r="H6353" s="2" t="s">
        <v>20</v>
      </c>
      <c r="I6353" s="2" t="s">
        <v>12455</v>
      </c>
      <c r="J6353" s="3" t="str">
        <f>HYPERLINK("https://www.boe.es/gazeta/dias/1822/05/26/pdfs/GMD-1822-151.pdf#page=3","Abrir facsímil")</f>
        <v>Abrir facsímil</v>
      </c>
      <c r="K6353" s="3" t="s">
        <v>22</v>
      </c>
    </row>
    <row r="6354" spans="1:11" ht="42" customHeight="1">
      <c r="A6354" s="2" t="s">
        <v>12456</v>
      </c>
      <c r="B6354" s="2" t="s">
        <v>12457</v>
      </c>
      <c r="C6354" s="2" t="s">
        <v>50</v>
      </c>
      <c r="D6354" s="2" t="s">
        <v>51</v>
      </c>
      <c r="E6354" s="5">
        <v>-28241</v>
      </c>
      <c r="F6354" s="3" t="s">
        <v>3068</v>
      </c>
      <c r="G6354" s="3" t="s">
        <v>35</v>
      </c>
      <c r="H6354" s="2" t="s">
        <v>45</v>
      </c>
      <c r="I6354" s="2" t="s">
        <v>12458</v>
      </c>
      <c r="J6354" s="3" t="str">
        <f>HYPERLINK("https://www.boe.es/gazeta/dias/1822/09/04/pdfs/GMD-1822-259.pdf#page=2","Abrir facsímil")</f>
        <v>Abrir facsímil</v>
      </c>
      <c r="K6354" s="3" t="s">
        <v>47</v>
      </c>
    </row>
    <row r="6355" spans="1:11" ht="42" customHeight="1">
      <c r="A6355" s="2" t="s">
        <v>12459</v>
      </c>
      <c r="B6355" s="2" t="s">
        <v>12459</v>
      </c>
      <c r="C6355" s="2" t="s">
        <v>50</v>
      </c>
      <c r="D6355" s="2" t="s">
        <v>51</v>
      </c>
      <c r="E6355" s="5">
        <v>-28343</v>
      </c>
      <c r="F6355" s="3" t="s">
        <v>1019</v>
      </c>
      <c r="G6355" s="3" t="s">
        <v>19</v>
      </c>
      <c r="H6355" s="2" t="s">
        <v>20</v>
      </c>
      <c r="I6355" s="2" t="s">
        <v>12460</v>
      </c>
      <c r="J6355" s="3" t="str">
        <f>HYPERLINK("https://www.boe.es/gazeta/dias/1822/05/25/pdfs/GMD-1822-150.pdf#page=5","Abrir facsímil")</f>
        <v>Abrir facsímil</v>
      </c>
      <c r="K6355" s="3" t="s">
        <v>22</v>
      </c>
    </row>
    <row r="6356" spans="1:11" ht="42" customHeight="1">
      <c r="A6356" s="2" t="s">
        <v>12461</v>
      </c>
      <c r="B6356" s="2" t="s">
        <v>12462</v>
      </c>
      <c r="C6356" s="2" t="s">
        <v>42</v>
      </c>
      <c r="D6356" s="2" t="s">
        <v>17</v>
      </c>
      <c r="E6356" s="5">
        <v>-28210</v>
      </c>
      <c r="F6356" s="3" t="s">
        <v>218</v>
      </c>
      <c r="G6356" s="3" t="s">
        <v>19</v>
      </c>
      <c r="H6356" s="2" t="s">
        <v>20</v>
      </c>
      <c r="I6356" s="2" t="s">
        <v>12463</v>
      </c>
      <c r="J6356" s="3" t="str">
        <f>HYPERLINK("https://www.boe.es/gazeta/dias/1822/10/05/pdfs/GMD-1822-291.pdf#page=5","Abrir facsímil")</f>
        <v>Abrir facsímil</v>
      </c>
      <c r="K6356" s="3" t="s">
        <v>22</v>
      </c>
    </row>
    <row r="6357" spans="1:11" ht="42" customHeight="1">
      <c r="A6357" s="2" t="s">
        <v>12464</v>
      </c>
      <c r="B6357" s="2" t="s">
        <v>12464</v>
      </c>
      <c r="C6357" s="2" t="s">
        <v>50</v>
      </c>
      <c r="D6357" s="2" t="s">
        <v>51</v>
      </c>
      <c r="E6357" s="5">
        <v>-28410</v>
      </c>
      <c r="F6357" s="3" t="s">
        <v>966</v>
      </c>
      <c r="G6357" s="3" t="s">
        <v>35</v>
      </c>
      <c r="H6357" s="2" t="s">
        <v>20</v>
      </c>
      <c r="I6357" s="2" t="s">
        <v>12465</v>
      </c>
      <c r="J6357" s="3" t="str">
        <f>HYPERLINK("https://www.boe.es/gazeta/dias/1822/03/19/pdfs/GMD-1822-80.pdf#page=2","Abrir facsímil")</f>
        <v>Abrir facsímil</v>
      </c>
      <c r="K6357" s="3" t="s">
        <v>22</v>
      </c>
    </row>
    <row r="6358" spans="1:11" ht="42" customHeight="1">
      <c r="A6358" s="2" t="s">
        <v>12466</v>
      </c>
      <c r="B6358" s="2" t="s">
        <v>12467</v>
      </c>
      <c r="C6358" s="2" t="s">
        <v>50</v>
      </c>
      <c r="D6358" s="2" t="s">
        <v>51</v>
      </c>
      <c r="E6358" s="5">
        <v>-28329</v>
      </c>
      <c r="F6358" s="3" t="s">
        <v>354</v>
      </c>
      <c r="G6358" s="3" t="s">
        <v>44</v>
      </c>
      <c r="H6358" s="2" t="s">
        <v>45</v>
      </c>
      <c r="I6358" s="2" t="s">
        <v>12468</v>
      </c>
      <c r="J6358" s="3" t="str">
        <f>HYPERLINK("https://www.boe.es/gazeta/dias/1822/06/08/pdfs/GMD-1822-165.pdf#page=1","Abrir facsímil")</f>
        <v>Abrir facsímil</v>
      </c>
      <c r="K6358" s="3" t="s">
        <v>47</v>
      </c>
    </row>
    <row r="6359" spans="1:11" ht="42" customHeight="1">
      <c r="A6359" s="2" t="s">
        <v>12469</v>
      </c>
      <c r="B6359" s="2" t="s">
        <v>12470</v>
      </c>
      <c r="C6359" s="2" t="s">
        <v>42</v>
      </c>
      <c r="D6359" s="2" t="s">
        <v>17</v>
      </c>
      <c r="E6359" s="5">
        <v>-28203</v>
      </c>
      <c r="F6359" s="3" t="s">
        <v>564</v>
      </c>
      <c r="G6359" s="3" t="s">
        <v>57</v>
      </c>
      <c r="H6359" s="2" t="s">
        <v>20</v>
      </c>
      <c r="I6359" s="2" t="s">
        <v>12471</v>
      </c>
      <c r="J6359" s="3" t="str">
        <f>HYPERLINK("https://www.boe.es/gazeta/dias/1822/10/12/pdfs/GMD-1822-299.pdf#page=4","Abrir facsímil")</f>
        <v>Abrir facsímil</v>
      </c>
      <c r="K6359" s="3" t="s">
        <v>22</v>
      </c>
    </row>
    <row r="6360" spans="1:11" ht="42" customHeight="1">
      <c r="A6360" s="2" t="s">
        <v>12472</v>
      </c>
      <c r="B6360" s="2" t="s">
        <v>12473</v>
      </c>
      <c r="C6360" s="2" t="s">
        <v>50</v>
      </c>
      <c r="D6360" s="2" t="s">
        <v>51</v>
      </c>
      <c r="E6360" s="5">
        <v>-28354</v>
      </c>
      <c r="F6360" s="3" t="s">
        <v>226</v>
      </c>
      <c r="G6360" s="3" t="s">
        <v>44</v>
      </c>
      <c r="H6360" s="2" t="s">
        <v>20</v>
      </c>
      <c r="I6360" s="2" t="s">
        <v>12474</v>
      </c>
      <c r="J6360" s="3" t="str">
        <f>HYPERLINK("https://www.boe.es/gazeta/dias/1822/05/14/pdfs/GMD-1822-136.pdf#page=1","Abrir facsímil")</f>
        <v>Abrir facsímil</v>
      </c>
      <c r="K6360" s="3" t="s">
        <v>22</v>
      </c>
    </row>
    <row r="6361" spans="1:11" ht="42" customHeight="1">
      <c r="A6361" s="2" t="s">
        <v>12475</v>
      </c>
      <c r="B6361" s="2" t="s">
        <v>12476</v>
      </c>
      <c r="C6361" s="2" t="s">
        <v>50</v>
      </c>
      <c r="D6361" s="2" t="s">
        <v>51</v>
      </c>
      <c r="E6361" s="5">
        <v>-28230</v>
      </c>
      <c r="F6361" s="3" t="s">
        <v>1735</v>
      </c>
      <c r="G6361" s="3" t="s">
        <v>31</v>
      </c>
      <c r="H6361" s="2" t="s">
        <v>20</v>
      </c>
      <c r="I6361" s="2" t="s">
        <v>12477</v>
      </c>
      <c r="J6361" s="3" t="str">
        <f>HYPERLINK("https://www.boe.es/gazeta/dias/1822/09/15/pdfs/GMD-1822-271.pdf#page=3","Abrir facsímil")</f>
        <v>Abrir facsímil</v>
      </c>
      <c r="K6361" s="3" t="s">
        <v>22</v>
      </c>
    </row>
    <row r="6362" spans="1:11" ht="42" customHeight="1">
      <c r="A6362" s="2" t="s">
        <v>12478</v>
      </c>
      <c r="B6362" s="2" t="s">
        <v>12479</v>
      </c>
      <c r="C6362" s="2" t="s">
        <v>28</v>
      </c>
      <c r="D6362" s="2" t="s">
        <v>29</v>
      </c>
      <c r="E6362" s="5">
        <v>-28392</v>
      </c>
      <c r="F6362" s="3" t="s">
        <v>2003</v>
      </c>
      <c r="G6362" s="3" t="s">
        <v>57</v>
      </c>
      <c r="H6362" s="2" t="s">
        <v>45</v>
      </c>
      <c r="I6362" s="2" t="s">
        <v>12480</v>
      </c>
      <c r="J6362" s="3" t="str">
        <f>HYPERLINK("https://www.boe.es/gazeta/dias/1822/04/06/pdfs/GMD-1822-98.pdf#page=4","Abrir facsímil")</f>
        <v>Abrir facsímil</v>
      </c>
      <c r="K6362" s="3" t="s">
        <v>47</v>
      </c>
    </row>
    <row r="6363" spans="1:11" ht="42" customHeight="1">
      <c r="A6363" s="2" t="s">
        <v>12481</v>
      </c>
      <c r="B6363" s="2" t="s">
        <v>12482</v>
      </c>
      <c r="C6363" s="2" t="s">
        <v>50</v>
      </c>
      <c r="D6363" s="2" t="s">
        <v>51</v>
      </c>
      <c r="E6363" s="5">
        <v>-28208</v>
      </c>
      <c r="F6363" s="3" t="s">
        <v>230</v>
      </c>
      <c r="G6363" s="3" t="s">
        <v>57</v>
      </c>
      <c r="H6363" s="2" t="s">
        <v>20</v>
      </c>
      <c r="I6363" s="2" t="s">
        <v>12483</v>
      </c>
      <c r="J6363" s="3" t="str">
        <f>HYPERLINK("https://www.boe.es/gazeta/dias/1822/10/07/pdfs/GMD-1822-293.pdf#page=4","Abrir facsímil")</f>
        <v>Abrir facsímil</v>
      </c>
      <c r="K6363" s="3" t="s">
        <v>22</v>
      </c>
    </row>
    <row r="6364" spans="1:11" ht="42" customHeight="1">
      <c r="A6364" s="2" t="s">
        <v>12484</v>
      </c>
      <c r="B6364" s="2" t="s">
        <v>12485</v>
      </c>
      <c r="C6364" s="2" t="s">
        <v>28</v>
      </c>
      <c r="D6364" s="2" t="s">
        <v>29</v>
      </c>
      <c r="E6364" s="5">
        <v>-28390</v>
      </c>
      <c r="F6364" s="3" t="s">
        <v>665</v>
      </c>
      <c r="G6364" s="3" t="s">
        <v>31</v>
      </c>
      <c r="H6364" s="2" t="s">
        <v>20</v>
      </c>
      <c r="I6364" s="2" t="s">
        <v>12486</v>
      </c>
      <c r="J6364" s="3" t="str">
        <f>HYPERLINK("https://www.boe.es/gazeta/dias/1822/04/08/pdfs/GMD-1822-100.pdf#page=3","Abrir facsímil")</f>
        <v>Abrir facsímil</v>
      </c>
      <c r="K6364" s="3" t="s">
        <v>22</v>
      </c>
    </row>
    <row r="6365" spans="1:11" ht="42" customHeight="1">
      <c r="A6365" s="2" t="s">
        <v>12487</v>
      </c>
      <c r="B6365" s="2" t="s">
        <v>12487</v>
      </c>
      <c r="C6365" s="2" t="s">
        <v>42</v>
      </c>
      <c r="D6365" s="2" t="s">
        <v>17</v>
      </c>
      <c r="E6365" s="5">
        <v>-28300</v>
      </c>
      <c r="F6365" s="3" t="s">
        <v>6533</v>
      </c>
      <c r="G6365" s="3" t="s">
        <v>35</v>
      </c>
      <c r="H6365" s="2" t="s">
        <v>20</v>
      </c>
      <c r="I6365" s="2" t="s">
        <v>12488</v>
      </c>
      <c r="J6365" s="3" t="str">
        <f>HYPERLINK("https://www.boe.es/gazeta/dias/1822/07/07/pdfs/GMD-1822-196.pdf#page=2","Abrir facsímil")</f>
        <v>Abrir facsímil</v>
      </c>
      <c r="K6365" s="3" t="s">
        <v>22</v>
      </c>
    </row>
    <row r="6366" spans="1:11" ht="42" customHeight="1">
      <c r="A6366" s="2" t="s">
        <v>12489</v>
      </c>
      <c r="B6366" s="2" t="s">
        <v>12489</v>
      </c>
      <c r="C6366" s="2" t="s">
        <v>1141</v>
      </c>
      <c r="D6366" s="2" t="s">
        <v>29</v>
      </c>
      <c r="E6366" s="5">
        <v>-28221</v>
      </c>
      <c r="F6366" s="3" t="s">
        <v>2591</v>
      </c>
      <c r="G6366" s="3" t="s">
        <v>44</v>
      </c>
      <c r="H6366" s="2" t="s">
        <v>20</v>
      </c>
      <c r="I6366" s="2" t="s">
        <v>12490</v>
      </c>
      <c r="J6366" s="3" t="str">
        <f>HYPERLINK("https://www.boe.es/gazeta/dias/1822/09/24/pdfs/GMD-1822-280.pdf#page=1","Abrir facsímil")</f>
        <v>Abrir facsímil</v>
      </c>
      <c r="K6366" s="3" t="s">
        <v>22</v>
      </c>
    </row>
    <row r="6367" spans="1:11" ht="42" customHeight="1">
      <c r="A6367" s="2" t="s">
        <v>12491</v>
      </c>
      <c r="B6367" s="2" t="s">
        <v>12491</v>
      </c>
      <c r="C6367" s="2" t="s">
        <v>16</v>
      </c>
      <c r="D6367" s="2" t="s">
        <v>17</v>
      </c>
      <c r="E6367" s="5">
        <v>-28257</v>
      </c>
      <c r="F6367" s="3" t="s">
        <v>1171</v>
      </c>
      <c r="G6367" s="3" t="s">
        <v>35</v>
      </c>
      <c r="H6367" s="2" t="s">
        <v>20</v>
      </c>
      <c r="I6367" s="2" t="s">
        <v>12492</v>
      </c>
      <c r="J6367" s="3" t="str">
        <f>HYPERLINK("https://www.boe.es/gazeta/dias/1822/08/19/pdfs/GMD-1822-243.pdf#page=2","Abrir facsímil")</f>
        <v>Abrir facsímil</v>
      </c>
      <c r="K6367" s="3" t="s">
        <v>22</v>
      </c>
    </row>
    <row r="6368" spans="1:11" ht="42" customHeight="1">
      <c r="A6368" s="2" t="s">
        <v>12493</v>
      </c>
      <c r="B6368" s="2" t="s">
        <v>12494</v>
      </c>
      <c r="C6368" s="2" t="s">
        <v>24</v>
      </c>
      <c r="D6368" s="2" t="s">
        <v>17</v>
      </c>
      <c r="E6368" s="5">
        <v>-28271</v>
      </c>
      <c r="F6368" s="3" t="s">
        <v>4942</v>
      </c>
      <c r="G6368" s="3" t="s">
        <v>57</v>
      </c>
      <c r="H6368" s="2" t="s">
        <v>20</v>
      </c>
      <c r="I6368" s="2" t="s">
        <v>12495</v>
      </c>
      <c r="J6368" s="3" t="str">
        <f>HYPERLINK("https://www.boe.es/gazeta/dias/1822/08/05/pdfs/GMD-1822-229.pdf#page=4","Abrir facsímil")</f>
        <v>Abrir facsímil</v>
      </c>
      <c r="K6368" s="3" t="s">
        <v>22</v>
      </c>
    </row>
    <row r="6369" spans="1:11" ht="42" customHeight="1">
      <c r="A6369" s="2" t="s">
        <v>12496</v>
      </c>
      <c r="B6369" s="2" t="s">
        <v>12497</v>
      </c>
      <c r="C6369" s="2" t="s">
        <v>16</v>
      </c>
      <c r="D6369" s="2" t="s">
        <v>17</v>
      </c>
      <c r="E6369" s="5">
        <v>-28327</v>
      </c>
      <c r="F6369" s="3" t="s">
        <v>38</v>
      </c>
      <c r="G6369" s="3" t="s">
        <v>31</v>
      </c>
      <c r="H6369" s="2" t="s">
        <v>20</v>
      </c>
      <c r="I6369" s="2" t="s">
        <v>12498</v>
      </c>
      <c r="J6369" s="3" t="str">
        <f>HYPERLINK("https://www.boe.es/gazeta/dias/1822/06/10/pdfs/GMD-1822-167.pdf#page=3","Abrir facsímil")</f>
        <v>Abrir facsímil</v>
      </c>
      <c r="K6369" s="3" t="s">
        <v>22</v>
      </c>
    </row>
    <row r="6370" spans="1:11" ht="42" customHeight="1">
      <c r="A6370" s="2" t="s">
        <v>12499</v>
      </c>
      <c r="B6370" s="2" t="s">
        <v>12500</v>
      </c>
      <c r="C6370" s="2" t="s">
        <v>24</v>
      </c>
      <c r="D6370" s="2" t="s">
        <v>17</v>
      </c>
      <c r="E6370" s="5">
        <v>-28463</v>
      </c>
      <c r="F6370" s="3" t="s">
        <v>25</v>
      </c>
      <c r="G6370" s="3" t="s">
        <v>63</v>
      </c>
      <c r="H6370" s="2" t="s">
        <v>20</v>
      </c>
      <c r="I6370" s="2" t="s">
        <v>12501</v>
      </c>
      <c r="J6370" s="3" t="str">
        <f>HYPERLINK("https://www.boe.es/gazeta/dias/1822/01/25/pdfs/GMD-1822-25.pdf#page=6","Abrir facsímil")</f>
        <v>Abrir facsímil</v>
      </c>
      <c r="K6370" s="3" t="s">
        <v>22</v>
      </c>
    </row>
    <row r="6371" spans="1:11" ht="42" customHeight="1">
      <c r="A6371" s="2" t="s">
        <v>12502</v>
      </c>
      <c r="B6371" s="2" t="s">
        <v>12502</v>
      </c>
      <c r="C6371" s="2" t="s">
        <v>42</v>
      </c>
      <c r="D6371" s="2" t="s">
        <v>17</v>
      </c>
      <c r="E6371" s="5">
        <v>-28425</v>
      </c>
      <c r="F6371" s="3" t="s">
        <v>419</v>
      </c>
      <c r="G6371" s="3" t="s">
        <v>35</v>
      </c>
      <c r="H6371" s="2" t="s">
        <v>20</v>
      </c>
      <c r="I6371" s="2" t="s">
        <v>12503</v>
      </c>
      <c r="J6371" s="3" t="str">
        <f>HYPERLINK("https://www.boe.es/gazeta/dias/1822/03/04/pdfs/GMD-1822-65.pdf#page=2","Abrir facsímil")</f>
        <v>Abrir facsímil</v>
      </c>
      <c r="K6371" s="3" t="s">
        <v>22</v>
      </c>
    </row>
    <row r="6372" spans="1:11" ht="42" customHeight="1">
      <c r="A6372" s="2" t="s">
        <v>12504</v>
      </c>
      <c r="B6372" s="2" t="s">
        <v>12504</v>
      </c>
      <c r="C6372" s="2" t="s">
        <v>50</v>
      </c>
      <c r="D6372" s="2" t="s">
        <v>51</v>
      </c>
      <c r="E6372" s="5">
        <v>-28469</v>
      </c>
      <c r="F6372" s="3" t="s">
        <v>1164</v>
      </c>
      <c r="G6372" s="3" t="s">
        <v>31</v>
      </c>
      <c r="H6372" s="2" t="s">
        <v>20</v>
      </c>
      <c r="I6372" s="2" t="s">
        <v>12505</v>
      </c>
      <c r="J6372" s="3" t="str">
        <f>HYPERLINK("https://www.boe.es/gazeta/dias/1822/01/19/pdfs/GMD-1822-19.pdf#page=3","Abrir facsímil")</f>
        <v>Abrir facsímil</v>
      </c>
      <c r="K6372" s="3" t="s">
        <v>22</v>
      </c>
    </row>
    <row r="6373" spans="1:11" ht="42" customHeight="1">
      <c r="A6373" s="2" t="s">
        <v>12506</v>
      </c>
      <c r="B6373" s="2" t="s">
        <v>12507</v>
      </c>
      <c r="C6373" s="2" t="s">
        <v>50</v>
      </c>
      <c r="D6373" s="2" t="s">
        <v>51</v>
      </c>
      <c r="E6373" s="5">
        <v>-28445</v>
      </c>
      <c r="F6373" s="3" t="s">
        <v>1622</v>
      </c>
      <c r="G6373" s="3" t="s">
        <v>57</v>
      </c>
      <c r="H6373" s="2" t="s">
        <v>20</v>
      </c>
      <c r="I6373" s="2" t="s">
        <v>12508</v>
      </c>
      <c r="J6373" s="3" t="str">
        <f>HYPERLINK("https://www.boe.es/gazeta/dias/1822/02/12/pdfs/GMD-1822-43.pdf#page=4","Abrir facsímil")</f>
        <v>Abrir facsímil</v>
      </c>
      <c r="K6373" s="3" t="s">
        <v>22</v>
      </c>
    </row>
    <row r="6374" spans="1:11" ht="42" customHeight="1">
      <c r="A6374" s="2" t="s">
        <v>12509</v>
      </c>
      <c r="B6374" s="2" t="s">
        <v>12510</v>
      </c>
      <c r="C6374" s="2" t="s">
        <v>50</v>
      </c>
      <c r="D6374" s="2" t="s">
        <v>51</v>
      </c>
      <c r="E6374" s="5">
        <v>-28477</v>
      </c>
      <c r="F6374" s="3" t="s">
        <v>1668</v>
      </c>
      <c r="G6374" s="3" t="s">
        <v>19</v>
      </c>
      <c r="H6374" s="2" t="s">
        <v>20</v>
      </c>
      <c r="I6374" s="2" t="s">
        <v>12511</v>
      </c>
      <c r="J6374" s="3" t="str">
        <f>HYPERLINK("https://www.boe.es/gazeta/dias/1822/01/11/pdfs/GMD-1822-11.pdf#page=5","Abrir facsímil")</f>
        <v>Abrir facsímil</v>
      </c>
      <c r="K6374" s="3" t="s">
        <v>22</v>
      </c>
    </row>
    <row r="6375" spans="1:11" ht="42" customHeight="1">
      <c r="A6375" s="2" t="s">
        <v>12509</v>
      </c>
      <c r="B6375" s="2" t="s">
        <v>12510</v>
      </c>
      <c r="C6375" s="2" t="s">
        <v>50</v>
      </c>
      <c r="D6375" s="2" t="s">
        <v>51</v>
      </c>
      <c r="E6375" s="5">
        <v>-28450</v>
      </c>
      <c r="F6375" s="3" t="s">
        <v>1450</v>
      </c>
      <c r="G6375" s="3" t="s">
        <v>44</v>
      </c>
      <c r="H6375" s="2" t="s">
        <v>20</v>
      </c>
      <c r="I6375" s="2" t="s">
        <v>12512</v>
      </c>
      <c r="J6375" s="3" t="str">
        <f>HYPERLINK("https://www.boe.es/gazeta/dias/1822/02/07/pdfs/GMD-1822-38.pdf#page=1","Abrir facsímil")</f>
        <v>Abrir facsímil</v>
      </c>
      <c r="K6375" s="3" t="s">
        <v>22</v>
      </c>
    </row>
    <row r="6376" spans="1:11" ht="42" customHeight="1">
      <c r="A6376" s="2" t="s">
        <v>12509</v>
      </c>
      <c r="B6376" s="2" t="s">
        <v>12510</v>
      </c>
      <c r="C6376" s="2" t="s">
        <v>50</v>
      </c>
      <c r="D6376" s="2" t="s">
        <v>51</v>
      </c>
      <c r="E6376" s="5">
        <v>-28448</v>
      </c>
      <c r="F6376" s="3" t="s">
        <v>1670</v>
      </c>
      <c r="G6376" s="3" t="s">
        <v>31</v>
      </c>
      <c r="H6376" s="2" t="s">
        <v>20</v>
      </c>
      <c r="I6376" s="2" t="s">
        <v>12513</v>
      </c>
      <c r="J6376" s="3" t="str">
        <f>HYPERLINK("https://www.boe.es/gazeta/dias/1822/02/09/pdfs/GMD-1822-40.pdf#page=3","Abrir facsímil")</f>
        <v>Abrir facsímil</v>
      </c>
      <c r="K6376" s="3" t="s">
        <v>22</v>
      </c>
    </row>
    <row r="6377" spans="1:11" ht="42" customHeight="1">
      <c r="A6377" s="2" t="s">
        <v>12514</v>
      </c>
      <c r="B6377" s="2" t="s">
        <v>12515</v>
      </c>
      <c r="C6377" s="2" t="s">
        <v>50</v>
      </c>
      <c r="D6377" s="2" t="s">
        <v>51</v>
      </c>
      <c r="E6377" s="5">
        <v>-28401</v>
      </c>
      <c r="F6377" s="3" t="s">
        <v>108</v>
      </c>
      <c r="G6377" s="3" t="s">
        <v>63</v>
      </c>
      <c r="H6377" s="2" t="s">
        <v>20</v>
      </c>
      <c r="I6377" s="2" t="s">
        <v>12516</v>
      </c>
      <c r="J6377" s="3" t="str">
        <f>HYPERLINK("https://www.boe.es/gazeta/dias/1822/03/28/pdfs/GMD-1822-89.pdf#page=6","Abrir facsímil")</f>
        <v>Abrir facsímil</v>
      </c>
      <c r="K6377" s="3" t="s">
        <v>22</v>
      </c>
    </row>
    <row r="6378" spans="1:11" ht="42" customHeight="1">
      <c r="A6378" s="2" t="s">
        <v>12517</v>
      </c>
      <c r="B6378" s="2" t="s">
        <v>12518</v>
      </c>
      <c r="C6378" s="2" t="s">
        <v>50</v>
      </c>
      <c r="D6378" s="2" t="s">
        <v>51</v>
      </c>
      <c r="E6378" s="5">
        <v>-28397</v>
      </c>
      <c r="F6378" s="3" t="s">
        <v>1401</v>
      </c>
      <c r="G6378" s="3" t="s">
        <v>57</v>
      </c>
      <c r="H6378" s="2" t="s">
        <v>20</v>
      </c>
      <c r="I6378" s="2" t="s">
        <v>12519</v>
      </c>
      <c r="J6378" s="3" t="str">
        <f>HYPERLINK("https://www.boe.es/gazeta/dias/1822/04/01/pdfs/GMD-1822-93.pdf#page=4","Abrir facsímil")</f>
        <v>Abrir facsímil</v>
      </c>
      <c r="K6378" s="3" t="s">
        <v>22</v>
      </c>
    </row>
    <row r="6379" spans="1:11" ht="42" customHeight="1">
      <c r="A6379" s="2" t="s">
        <v>12520</v>
      </c>
      <c r="B6379" s="2" t="s">
        <v>12521</v>
      </c>
      <c r="C6379" s="2" t="s">
        <v>50</v>
      </c>
      <c r="D6379" s="2" t="s">
        <v>51</v>
      </c>
      <c r="E6379" s="5">
        <v>-28415</v>
      </c>
      <c r="F6379" s="3" t="s">
        <v>77</v>
      </c>
      <c r="G6379" s="3" t="s">
        <v>19</v>
      </c>
      <c r="H6379" s="2" t="s">
        <v>20</v>
      </c>
      <c r="I6379" s="2" t="s">
        <v>12522</v>
      </c>
      <c r="J6379" s="3" t="str">
        <f>HYPERLINK("https://www.boe.es/gazeta/dias/1822/03/14/pdfs/GMD-1822-75.pdf#page=5","Abrir facsímil")</f>
        <v>Abrir facsímil</v>
      </c>
      <c r="K6379" s="3" t="s">
        <v>22</v>
      </c>
    </row>
    <row r="6380" spans="1:11" ht="42" customHeight="1">
      <c r="A6380" s="2" t="s">
        <v>12523</v>
      </c>
      <c r="B6380" s="2" t="s">
        <v>12524</v>
      </c>
      <c r="C6380" s="2" t="s">
        <v>50</v>
      </c>
      <c r="D6380" s="2" t="s">
        <v>51</v>
      </c>
      <c r="E6380" s="5">
        <v>-28311</v>
      </c>
      <c r="F6380" s="3" t="s">
        <v>736</v>
      </c>
      <c r="G6380" s="3" t="s">
        <v>157</v>
      </c>
      <c r="H6380" s="2" t="s">
        <v>20</v>
      </c>
      <c r="I6380" s="2" t="s">
        <v>12525</v>
      </c>
      <c r="J6380" s="3" t="str">
        <f>HYPERLINK("https://www.boe.es/gazeta/dias/1822/06/26/pdfs/GMD-1822-184.pdf#page=8","Abrir facsímil")</f>
        <v>Abrir facsímil</v>
      </c>
      <c r="K6380" s="3" t="s">
        <v>22</v>
      </c>
    </row>
    <row r="6381" spans="1:11" ht="42" customHeight="1">
      <c r="A6381" s="2" t="s">
        <v>12526</v>
      </c>
      <c r="B6381" s="2" t="s">
        <v>12527</v>
      </c>
      <c r="C6381" s="2" t="s">
        <v>50</v>
      </c>
      <c r="D6381" s="2" t="s">
        <v>51</v>
      </c>
      <c r="E6381" s="5">
        <v>-28379</v>
      </c>
      <c r="F6381" s="3" t="s">
        <v>494</v>
      </c>
      <c r="G6381" s="3" t="s">
        <v>19</v>
      </c>
      <c r="H6381" s="2" t="s">
        <v>20</v>
      </c>
      <c r="I6381" s="2" t="s">
        <v>12528</v>
      </c>
      <c r="J6381" s="3" t="str">
        <f>HYPERLINK("https://www.boe.es/gazeta/dias/1822/04/19/pdfs/GMD-1822-111.pdf#page=5","Abrir facsímil")</f>
        <v>Abrir facsímil</v>
      </c>
      <c r="K6381" s="3" t="s">
        <v>22</v>
      </c>
    </row>
    <row r="6382" spans="1:11" ht="42" customHeight="1">
      <c r="A6382" s="2" t="s">
        <v>12529</v>
      </c>
      <c r="B6382" s="2" t="s">
        <v>12530</v>
      </c>
      <c r="C6382" s="2" t="s">
        <v>50</v>
      </c>
      <c r="D6382" s="2" t="s">
        <v>51</v>
      </c>
      <c r="E6382" s="5">
        <v>-28342</v>
      </c>
      <c r="F6382" s="3" t="s">
        <v>2281</v>
      </c>
      <c r="G6382" s="3" t="s">
        <v>35</v>
      </c>
      <c r="H6382" s="2" t="s">
        <v>20</v>
      </c>
      <c r="I6382" s="2" t="s">
        <v>12531</v>
      </c>
      <c r="J6382" s="3" t="str">
        <f>HYPERLINK("https://www.boe.es/gazeta/dias/1822/05/26/pdfs/GMD-1822-151.pdf#page=2","Abrir facsímil")</f>
        <v>Abrir facsímil</v>
      </c>
      <c r="K6382" s="3" t="s">
        <v>22</v>
      </c>
    </row>
    <row r="6383" spans="1:11" ht="42" customHeight="1">
      <c r="A6383" s="2" t="s">
        <v>12532</v>
      </c>
      <c r="B6383" s="2" t="s">
        <v>12533</v>
      </c>
      <c r="C6383" s="2" t="s">
        <v>50</v>
      </c>
      <c r="D6383" s="2" t="s">
        <v>51</v>
      </c>
      <c r="E6383" s="5">
        <v>-28353</v>
      </c>
      <c r="F6383" s="3" t="s">
        <v>843</v>
      </c>
      <c r="G6383" s="3" t="s">
        <v>35</v>
      </c>
      <c r="H6383" s="2" t="s">
        <v>20</v>
      </c>
      <c r="I6383" s="2" t="s">
        <v>12534</v>
      </c>
      <c r="J6383" s="3" t="str">
        <f>HYPERLINK("https://www.boe.es/gazeta/dias/1822/05/15/pdfs/GMD-1822-137.pdf#page=2","Abrir facsímil")</f>
        <v>Abrir facsímil</v>
      </c>
      <c r="K6383" s="3" t="s">
        <v>22</v>
      </c>
    </row>
    <row r="6384" spans="1:11" ht="42" customHeight="1">
      <c r="A6384" s="2" t="s">
        <v>12535</v>
      </c>
      <c r="B6384" s="2" t="s">
        <v>12536</v>
      </c>
      <c r="C6384" s="2" t="s">
        <v>50</v>
      </c>
      <c r="D6384" s="2" t="s">
        <v>51</v>
      </c>
      <c r="E6384" s="5">
        <v>-28210</v>
      </c>
      <c r="F6384" s="3" t="s">
        <v>218</v>
      </c>
      <c r="G6384" s="3" t="s">
        <v>19</v>
      </c>
      <c r="H6384" s="2" t="s">
        <v>45</v>
      </c>
      <c r="I6384" s="2" t="s">
        <v>12537</v>
      </c>
      <c r="J6384" s="3" t="str">
        <f>HYPERLINK("https://www.boe.es/gazeta/dias/1822/10/05/pdfs/GMD-1822-291.pdf#page=5","Abrir facsímil")</f>
        <v>Abrir facsímil</v>
      </c>
      <c r="K6384" s="3" t="s">
        <v>47</v>
      </c>
    </row>
    <row r="6385" spans="1:11" ht="42" customHeight="1">
      <c r="A6385" s="2" t="s">
        <v>12538</v>
      </c>
      <c r="B6385" s="2" t="s">
        <v>12539</v>
      </c>
      <c r="C6385" s="2" t="s">
        <v>50</v>
      </c>
      <c r="D6385" s="2" t="s">
        <v>51</v>
      </c>
      <c r="E6385" s="5">
        <v>-28398</v>
      </c>
      <c r="F6385" s="3" t="s">
        <v>1961</v>
      </c>
      <c r="G6385" s="3" t="s">
        <v>2262</v>
      </c>
      <c r="H6385" s="2" t="s">
        <v>20</v>
      </c>
      <c r="I6385" s="2" t="s">
        <v>12540</v>
      </c>
      <c r="J6385" s="3" t="str">
        <f>HYPERLINK("https://www.boe.es/gazeta/dias/1822/03/31/pdfs/GMD-1822-92.pdf#page=4","Abrir facsímil")</f>
        <v>Abrir facsímil</v>
      </c>
      <c r="K6385" s="3" t="s">
        <v>22</v>
      </c>
    </row>
    <row r="6386" spans="1:11" ht="42" customHeight="1">
      <c r="A6386" s="2" t="s">
        <v>12538</v>
      </c>
      <c r="B6386" s="2" t="s">
        <v>12539</v>
      </c>
      <c r="C6386" s="2" t="s">
        <v>50</v>
      </c>
      <c r="D6386" s="2" t="s">
        <v>51</v>
      </c>
      <c r="E6386" s="5">
        <v>-28334</v>
      </c>
      <c r="F6386" s="3" t="s">
        <v>532</v>
      </c>
      <c r="G6386" s="3" t="s">
        <v>57</v>
      </c>
      <c r="H6386" s="2" t="s">
        <v>20</v>
      </c>
      <c r="I6386" s="2" t="s">
        <v>12541</v>
      </c>
      <c r="J6386" s="3" t="str">
        <f>HYPERLINK("https://www.boe.es/gazeta/dias/1822/06/03/pdfs/GMD-1822-159.pdf#page=4","Abrir facsímil")</f>
        <v>Abrir facsímil</v>
      </c>
      <c r="K6386" s="3" t="s">
        <v>22</v>
      </c>
    </row>
    <row r="6387" spans="1:11" ht="42" customHeight="1">
      <c r="A6387" s="2" t="s">
        <v>12542</v>
      </c>
      <c r="B6387" s="2" t="s">
        <v>12543</v>
      </c>
      <c r="C6387" s="2" t="s">
        <v>50</v>
      </c>
      <c r="D6387" s="2" t="s">
        <v>51</v>
      </c>
      <c r="E6387" s="5">
        <v>-28311</v>
      </c>
      <c r="F6387" s="3" t="s">
        <v>736</v>
      </c>
      <c r="G6387" s="3" t="s">
        <v>44</v>
      </c>
      <c r="H6387" s="2" t="s">
        <v>20</v>
      </c>
      <c r="I6387" s="2" t="s">
        <v>12544</v>
      </c>
      <c r="J6387" s="3" t="str">
        <f>HYPERLINK("https://www.boe.es/gazeta/dias/1822/06/26/pdfs/GMD-1822-184.pdf#page=1","Abrir facsímil")</f>
        <v>Abrir facsímil</v>
      </c>
      <c r="K6387" s="3" t="s">
        <v>22</v>
      </c>
    </row>
    <row r="6388" spans="1:11" ht="42" customHeight="1">
      <c r="A6388" s="2" t="s">
        <v>12545</v>
      </c>
      <c r="B6388" s="2" t="s">
        <v>12546</v>
      </c>
      <c r="C6388" s="2" t="s">
        <v>50</v>
      </c>
      <c r="D6388" s="2" t="s">
        <v>51</v>
      </c>
      <c r="E6388" s="5">
        <v>-28187</v>
      </c>
      <c r="F6388" s="3" t="s">
        <v>929</v>
      </c>
      <c r="G6388" s="3" t="s">
        <v>19</v>
      </c>
      <c r="H6388" s="2" t="s">
        <v>20</v>
      </c>
      <c r="I6388" s="2" t="s">
        <v>12547</v>
      </c>
      <c r="J6388" s="3" t="str">
        <f>HYPERLINK("https://www.boe.es/gazeta/dias/1822/10/28/pdfs/GMD-1822-315.pdf#page=5","Abrir facsímil")</f>
        <v>Abrir facsímil</v>
      </c>
      <c r="K6388" s="3" t="s">
        <v>22</v>
      </c>
    </row>
    <row r="6389" spans="1:11" ht="42" customHeight="1">
      <c r="A6389" s="2" t="s">
        <v>12548</v>
      </c>
      <c r="B6389" s="2" t="s">
        <v>12548</v>
      </c>
      <c r="C6389" s="2" t="s">
        <v>50</v>
      </c>
      <c r="D6389" s="2" t="s">
        <v>51</v>
      </c>
      <c r="E6389" s="5">
        <v>-28301</v>
      </c>
      <c r="F6389" s="3" t="s">
        <v>2348</v>
      </c>
      <c r="G6389" s="3" t="s">
        <v>35</v>
      </c>
      <c r="H6389" s="2" t="s">
        <v>20</v>
      </c>
      <c r="I6389" s="2" t="s">
        <v>12549</v>
      </c>
      <c r="J6389" s="3" t="str">
        <f>HYPERLINK("https://www.boe.es/gazeta/dias/1822/07/06/pdfs/GMD-1822-195.pdf#page=2","Abrir facsímil")</f>
        <v>Abrir facsímil</v>
      </c>
      <c r="K6389" s="3" t="s">
        <v>22</v>
      </c>
    </row>
    <row r="6390" spans="1:11" ht="42" customHeight="1">
      <c r="A6390" s="2" t="s">
        <v>12548</v>
      </c>
      <c r="B6390" s="2" t="s">
        <v>12548</v>
      </c>
      <c r="C6390" s="2" t="s">
        <v>42</v>
      </c>
      <c r="D6390" s="2" t="s">
        <v>17</v>
      </c>
      <c r="E6390" s="5">
        <v>-28277</v>
      </c>
      <c r="F6390" s="3" t="s">
        <v>296</v>
      </c>
      <c r="G6390" s="3" t="s">
        <v>44</v>
      </c>
      <c r="H6390" s="2" t="s">
        <v>20</v>
      </c>
      <c r="I6390" s="2" t="s">
        <v>12550</v>
      </c>
      <c r="J6390" s="3" t="str">
        <f>HYPERLINK("https://www.boe.es/gazeta/dias/1822/07/30/pdfs/GMD-1822-223.pdf#page=1","Abrir facsímil")</f>
        <v>Abrir facsímil</v>
      </c>
      <c r="K6390" s="3" t="s">
        <v>22</v>
      </c>
    </row>
    <row r="6391" spans="1:11" ht="42" customHeight="1">
      <c r="A6391" s="2" t="s">
        <v>12548</v>
      </c>
      <c r="B6391" s="2" t="s">
        <v>12548</v>
      </c>
      <c r="C6391" s="2" t="s">
        <v>42</v>
      </c>
      <c r="D6391" s="2" t="s">
        <v>17</v>
      </c>
      <c r="E6391" s="5">
        <v>-28257</v>
      </c>
      <c r="F6391" s="3" t="s">
        <v>1171</v>
      </c>
      <c r="G6391" s="3" t="s">
        <v>44</v>
      </c>
      <c r="H6391" s="2" t="s">
        <v>20</v>
      </c>
      <c r="I6391" s="2" t="s">
        <v>12551</v>
      </c>
      <c r="J6391" s="3" t="str">
        <f>HYPERLINK("https://www.boe.es/gazeta/dias/1822/08/19/pdfs/GMD-1822-243.pdf#page=1","Abrir facsímil")</f>
        <v>Abrir facsímil</v>
      </c>
      <c r="K6391" s="3" t="s">
        <v>22</v>
      </c>
    </row>
    <row r="6392" spans="1:11" ht="42" customHeight="1">
      <c r="A6392" s="2" t="s">
        <v>12552</v>
      </c>
      <c r="B6392" s="2" t="s">
        <v>12552</v>
      </c>
      <c r="C6392" s="2" t="s">
        <v>24</v>
      </c>
      <c r="D6392" s="2" t="s">
        <v>17</v>
      </c>
      <c r="E6392" s="5">
        <v>-28402</v>
      </c>
      <c r="F6392" s="3" t="s">
        <v>473</v>
      </c>
      <c r="G6392" s="3" t="s">
        <v>44</v>
      </c>
      <c r="H6392" s="2" t="s">
        <v>20</v>
      </c>
      <c r="I6392" s="2" t="s">
        <v>12553</v>
      </c>
      <c r="J6392" s="3" t="str">
        <f>HYPERLINK("https://www.boe.es/gazeta/dias/1822/03/27/pdfs/GMD-1822-88.pdf#page=1","Abrir facsímil")</f>
        <v>Abrir facsímil</v>
      </c>
      <c r="K6392" s="3" t="s">
        <v>22</v>
      </c>
    </row>
    <row r="6393" spans="1:11" ht="42" customHeight="1">
      <c r="A6393" s="2" t="s">
        <v>12554</v>
      </c>
      <c r="B6393" s="2" t="s">
        <v>12555</v>
      </c>
      <c r="C6393" s="2" t="s">
        <v>50</v>
      </c>
      <c r="D6393" s="2" t="s">
        <v>51</v>
      </c>
      <c r="E6393" s="5">
        <v>-28349</v>
      </c>
      <c r="F6393" s="3" t="s">
        <v>518</v>
      </c>
      <c r="G6393" s="3" t="s">
        <v>57</v>
      </c>
      <c r="H6393" s="2" t="s">
        <v>20</v>
      </c>
      <c r="I6393" s="2" t="s">
        <v>12556</v>
      </c>
      <c r="J6393" s="3" t="str">
        <f>HYPERLINK("https://www.boe.es/gazeta/dias/1822/05/19/pdfs/GMD-1822-141.pdf#page=4","Abrir facsímil")</f>
        <v>Abrir facsímil</v>
      </c>
      <c r="K6393" s="3" t="s">
        <v>22</v>
      </c>
    </row>
    <row r="6394" spans="1:11" ht="42" customHeight="1">
      <c r="A6394" s="2" t="s">
        <v>12557</v>
      </c>
      <c r="B6394" s="2" t="s">
        <v>12558</v>
      </c>
      <c r="C6394" s="2" t="s">
        <v>42</v>
      </c>
      <c r="D6394" s="2" t="s">
        <v>17</v>
      </c>
      <c r="E6394" s="5">
        <v>-28235</v>
      </c>
      <c r="F6394" s="3" t="s">
        <v>1470</v>
      </c>
      <c r="G6394" s="3" t="s">
        <v>35</v>
      </c>
      <c r="H6394" s="2" t="s">
        <v>20</v>
      </c>
      <c r="I6394" s="2" t="s">
        <v>12559</v>
      </c>
      <c r="J6394" s="3" t="str">
        <f>HYPERLINK("https://www.boe.es/gazeta/dias/1822/09/10/pdfs/GMD-1822-266.pdf#page=2","Abrir facsímil")</f>
        <v>Abrir facsímil</v>
      </c>
      <c r="K6394" s="3" t="s">
        <v>22</v>
      </c>
    </row>
    <row r="6395" spans="1:11" ht="42" customHeight="1">
      <c r="A6395" s="2" t="s">
        <v>12560</v>
      </c>
      <c r="B6395" s="2" t="s">
        <v>12561</v>
      </c>
      <c r="C6395" s="2" t="s">
        <v>16</v>
      </c>
      <c r="D6395" s="2" t="s">
        <v>17</v>
      </c>
      <c r="E6395" s="5">
        <v>-28336</v>
      </c>
      <c r="F6395" s="3" t="s">
        <v>156</v>
      </c>
      <c r="G6395" s="3" t="s">
        <v>157</v>
      </c>
      <c r="H6395" s="2" t="s">
        <v>20</v>
      </c>
      <c r="I6395" s="2" t="s">
        <v>12562</v>
      </c>
      <c r="J6395" s="3" t="str">
        <f>HYPERLINK("https://www.boe.es/gazeta/dias/1822/06/01/pdfs/GMD-1822-157.pdf#page=8","Abrir facsímil")</f>
        <v>Abrir facsímil</v>
      </c>
      <c r="K6395" s="3" t="s">
        <v>22</v>
      </c>
    </row>
    <row r="6396" spans="1:11" ht="42" customHeight="1">
      <c r="A6396" s="2" t="s">
        <v>12563</v>
      </c>
      <c r="B6396" s="2" t="s">
        <v>12564</v>
      </c>
      <c r="C6396" s="2" t="s">
        <v>28</v>
      </c>
      <c r="D6396" s="2" t="s">
        <v>29</v>
      </c>
      <c r="E6396" s="5">
        <v>-28414</v>
      </c>
      <c r="F6396" s="3" t="s">
        <v>187</v>
      </c>
      <c r="G6396" s="3" t="s">
        <v>63</v>
      </c>
      <c r="H6396" s="2" t="s">
        <v>20</v>
      </c>
      <c r="I6396" s="2" t="s">
        <v>12565</v>
      </c>
      <c r="J6396" s="3" t="str">
        <f>HYPERLINK("https://www.boe.es/gazeta/dias/1822/03/15/pdfs/GMD-1822-76.pdf#page=6","Abrir facsímil")</f>
        <v>Abrir facsímil</v>
      </c>
      <c r="K6396" s="3" t="s">
        <v>22</v>
      </c>
    </row>
    <row r="6397" spans="1:11" ht="42" customHeight="1">
      <c r="A6397" s="2" t="s">
        <v>12563</v>
      </c>
      <c r="B6397" s="2" t="s">
        <v>12564</v>
      </c>
      <c r="C6397" s="2" t="s">
        <v>28</v>
      </c>
      <c r="D6397" s="2" t="s">
        <v>29</v>
      </c>
      <c r="E6397" s="5">
        <v>-28403</v>
      </c>
      <c r="F6397" s="3" t="s">
        <v>471</v>
      </c>
      <c r="G6397" s="3" t="s">
        <v>63</v>
      </c>
      <c r="H6397" s="2" t="s">
        <v>20</v>
      </c>
      <c r="I6397" s="2" t="s">
        <v>12566</v>
      </c>
      <c r="J6397" s="3" t="str">
        <f>HYPERLINK("https://www.boe.es/gazeta/dias/1822/03/26/pdfs/GMD-1822-87.pdf#page=6","Abrir facsímil")</f>
        <v>Abrir facsímil</v>
      </c>
      <c r="K6397" s="3" t="s">
        <v>22</v>
      </c>
    </row>
    <row r="6398" spans="1:11" ht="42" customHeight="1">
      <c r="A6398" s="2" t="s">
        <v>12563</v>
      </c>
      <c r="B6398" s="2" t="s">
        <v>12564</v>
      </c>
      <c r="C6398" s="2" t="s">
        <v>50</v>
      </c>
      <c r="D6398" s="2" t="s">
        <v>51</v>
      </c>
      <c r="E6398" s="5">
        <v>-28265</v>
      </c>
      <c r="F6398" s="3" t="s">
        <v>1263</v>
      </c>
      <c r="G6398" s="3" t="s">
        <v>57</v>
      </c>
      <c r="H6398" s="2" t="s">
        <v>20</v>
      </c>
      <c r="I6398" s="2" t="s">
        <v>12567</v>
      </c>
      <c r="J6398" s="3" t="str">
        <f>HYPERLINK("https://www.boe.es/gazeta/dias/1822/08/11/pdfs/GMD-1822-235.pdf#page=4","Abrir facsímil")</f>
        <v>Abrir facsímil</v>
      </c>
      <c r="K6398" s="3" t="s">
        <v>22</v>
      </c>
    </row>
    <row r="6399" spans="1:11" ht="42" customHeight="1">
      <c r="A6399" s="2" t="s">
        <v>12563</v>
      </c>
      <c r="B6399" s="2" t="s">
        <v>12564</v>
      </c>
      <c r="C6399" s="2" t="s">
        <v>28</v>
      </c>
      <c r="D6399" s="2" t="s">
        <v>29</v>
      </c>
      <c r="E6399" s="5">
        <v>-28198</v>
      </c>
      <c r="F6399" s="3" t="s">
        <v>981</v>
      </c>
      <c r="G6399" s="3" t="s">
        <v>63</v>
      </c>
      <c r="H6399" s="2" t="s">
        <v>20</v>
      </c>
      <c r="I6399" s="2" t="s">
        <v>12568</v>
      </c>
      <c r="J6399" s="3" t="str">
        <f>HYPERLINK("https://www.boe.es/gazeta/dias/1822/10/17/pdfs/GMD-1822-304.pdf#page=6","Abrir facsímil")</f>
        <v>Abrir facsímil</v>
      </c>
      <c r="K6399" s="3" t="s">
        <v>22</v>
      </c>
    </row>
    <row r="6400" spans="1:11" ht="42" customHeight="1">
      <c r="A6400" s="2" t="s">
        <v>12569</v>
      </c>
      <c r="B6400" s="2" t="s">
        <v>12570</v>
      </c>
      <c r="C6400" s="2" t="s">
        <v>50</v>
      </c>
      <c r="D6400" s="2" t="s">
        <v>51</v>
      </c>
      <c r="E6400" s="5">
        <v>-28178</v>
      </c>
      <c r="F6400" s="3" t="s">
        <v>318</v>
      </c>
      <c r="G6400" s="3" t="s">
        <v>63</v>
      </c>
      <c r="H6400" s="2" t="s">
        <v>20</v>
      </c>
      <c r="I6400" s="2" t="s">
        <v>12571</v>
      </c>
      <c r="J6400" s="3" t="str">
        <f>HYPERLINK("https://www.boe.es/gazeta/dias/1822/11/06/pdfs/GMD-1822-326.pdf#page=6","Abrir facsímil")</f>
        <v>Abrir facsímil</v>
      </c>
      <c r="K6400" s="3" t="s">
        <v>22</v>
      </c>
    </row>
    <row r="6401" spans="1:11" ht="42" customHeight="1">
      <c r="A6401" s="2" t="s">
        <v>12572</v>
      </c>
      <c r="B6401" s="2" t="s">
        <v>12572</v>
      </c>
      <c r="C6401" s="2" t="s">
        <v>42</v>
      </c>
      <c r="D6401" s="2" t="s">
        <v>17</v>
      </c>
      <c r="E6401" s="5">
        <v>-28323</v>
      </c>
      <c r="F6401" s="3" t="s">
        <v>116</v>
      </c>
      <c r="G6401" s="3" t="s">
        <v>19</v>
      </c>
      <c r="H6401" s="2" t="s">
        <v>20</v>
      </c>
      <c r="I6401" s="2" t="s">
        <v>12573</v>
      </c>
      <c r="J6401" s="3" t="str">
        <f>HYPERLINK("https://www.boe.es/gazeta/dias/1822/06/14/pdfs/GMD-1822-171.pdf#page=5","Abrir facsímil")</f>
        <v>Abrir facsímil</v>
      </c>
      <c r="K6401" s="3" t="s">
        <v>22</v>
      </c>
    </row>
    <row r="6402" spans="1:11" ht="42" customHeight="1">
      <c r="A6402" s="2" t="s">
        <v>12572</v>
      </c>
      <c r="B6402" s="2" t="s">
        <v>12572</v>
      </c>
      <c r="C6402" s="2" t="s">
        <v>28</v>
      </c>
      <c r="D6402" s="2" t="s">
        <v>29</v>
      </c>
      <c r="E6402" s="5">
        <v>-28319</v>
      </c>
      <c r="F6402" s="3" t="s">
        <v>271</v>
      </c>
      <c r="G6402" s="3" t="s">
        <v>31</v>
      </c>
      <c r="H6402" s="2" t="s">
        <v>20</v>
      </c>
      <c r="I6402" s="2" t="s">
        <v>12574</v>
      </c>
      <c r="J6402" s="3" t="str">
        <f>HYPERLINK("https://www.boe.es/gazeta/dias/1822/06/18/pdfs/GMD-1822-175.pdf#page=3","Abrir facsímil")</f>
        <v>Abrir facsímil</v>
      </c>
      <c r="K6402" s="3" t="s">
        <v>22</v>
      </c>
    </row>
    <row r="6403" spans="1:11" ht="42" customHeight="1">
      <c r="A6403" s="2" t="s">
        <v>12572</v>
      </c>
      <c r="B6403" s="2" t="s">
        <v>12572</v>
      </c>
      <c r="C6403" s="2" t="s">
        <v>28</v>
      </c>
      <c r="D6403" s="2" t="s">
        <v>29</v>
      </c>
      <c r="E6403" s="5">
        <v>-28140</v>
      </c>
      <c r="F6403" s="3" t="s">
        <v>84</v>
      </c>
      <c r="G6403" s="3" t="s">
        <v>35</v>
      </c>
      <c r="H6403" s="2" t="s">
        <v>20</v>
      </c>
      <c r="I6403" s="2" t="s">
        <v>12575</v>
      </c>
      <c r="J6403" s="3" t="str">
        <f>HYPERLINK("https://www.boe.es/gazeta/dias/1822/12/14/pdfs/GMD-1822-364.pdf#page=2","Abrir facsímil")</f>
        <v>Abrir facsímil</v>
      </c>
      <c r="K6403" s="3" t="s">
        <v>22</v>
      </c>
    </row>
    <row r="6404" spans="1:11" ht="42" customHeight="1">
      <c r="A6404" s="2" t="s">
        <v>12576</v>
      </c>
      <c r="B6404" s="2" t="s">
        <v>12577</v>
      </c>
      <c r="C6404" s="2" t="s">
        <v>50</v>
      </c>
      <c r="D6404" s="2" t="s">
        <v>51</v>
      </c>
      <c r="E6404" s="5">
        <v>-28158</v>
      </c>
      <c r="F6404" s="3" t="s">
        <v>590</v>
      </c>
      <c r="G6404" s="3" t="s">
        <v>63</v>
      </c>
      <c r="H6404" s="2" t="s">
        <v>20</v>
      </c>
      <c r="I6404" s="2" t="s">
        <v>12578</v>
      </c>
      <c r="J6404" s="3" t="str">
        <f>HYPERLINK("https://www.boe.es/gazeta/dias/1822/11/26/pdfs/GMD-1822-346.pdf#page=6","Abrir facsímil")</f>
        <v>Abrir facsímil</v>
      </c>
      <c r="K6404" s="3" t="s">
        <v>22</v>
      </c>
    </row>
    <row r="6405" spans="1:11" ht="42" customHeight="1">
      <c r="A6405" s="2" t="s">
        <v>12579</v>
      </c>
      <c r="B6405" s="2" t="s">
        <v>12580</v>
      </c>
      <c r="C6405" s="2" t="s">
        <v>50</v>
      </c>
      <c r="D6405" s="2" t="s">
        <v>51</v>
      </c>
      <c r="E6405" s="5">
        <v>-28348</v>
      </c>
      <c r="F6405" s="3" t="s">
        <v>2903</v>
      </c>
      <c r="G6405" s="3" t="s">
        <v>57</v>
      </c>
      <c r="H6405" s="2" t="s">
        <v>20</v>
      </c>
      <c r="I6405" s="2" t="s">
        <v>12581</v>
      </c>
      <c r="J6405" s="3" t="str">
        <f>HYPERLINK("https://www.boe.es/gazeta/dias/1822/05/20/pdfs/GMD-1822-143.pdf#page=4","Abrir facsímil")</f>
        <v>Abrir facsímil</v>
      </c>
      <c r="K6405" s="3" t="s">
        <v>22</v>
      </c>
    </row>
    <row r="6406" spans="1:11" ht="42" customHeight="1">
      <c r="A6406" s="2" t="s">
        <v>12579</v>
      </c>
      <c r="B6406" s="2" t="s">
        <v>12580</v>
      </c>
      <c r="C6406" s="2" t="s">
        <v>50</v>
      </c>
      <c r="D6406" s="2" t="s">
        <v>51</v>
      </c>
      <c r="E6406" s="5">
        <v>-28264</v>
      </c>
      <c r="F6406" s="3" t="s">
        <v>1329</v>
      </c>
      <c r="G6406" s="3" t="s">
        <v>57</v>
      </c>
      <c r="H6406" s="2" t="s">
        <v>20</v>
      </c>
      <c r="I6406" s="2" t="s">
        <v>12582</v>
      </c>
      <c r="J6406" s="3" t="str">
        <f>HYPERLINK("https://www.boe.es/gazeta/dias/1822/08/12/pdfs/GMD-1822-236.pdf#page=4","Abrir facsímil")</f>
        <v>Abrir facsímil</v>
      </c>
      <c r="K6406" s="3" t="s">
        <v>22</v>
      </c>
    </row>
    <row r="6407" spans="1:11" ht="42" customHeight="1">
      <c r="A6407" s="2" t="s">
        <v>12583</v>
      </c>
      <c r="B6407" s="2" t="s">
        <v>12584</v>
      </c>
      <c r="C6407" s="2" t="s">
        <v>362</v>
      </c>
      <c r="D6407" s="2" t="s">
        <v>17</v>
      </c>
      <c r="E6407" s="5">
        <v>-28148</v>
      </c>
      <c r="F6407" s="3" t="s">
        <v>1909</v>
      </c>
      <c r="G6407" s="3" t="s">
        <v>63</v>
      </c>
      <c r="H6407" s="2" t="s">
        <v>20</v>
      </c>
      <c r="I6407" s="2" t="s">
        <v>12585</v>
      </c>
      <c r="J6407" s="3" t="str">
        <f>HYPERLINK("https://www.boe.es/gazeta/dias/1822/12/06/pdfs/GMD-1822-356.pdf#page=6","Abrir facsímil")</f>
        <v>Abrir facsímil</v>
      </c>
      <c r="K6407" s="3" t="s">
        <v>22</v>
      </c>
    </row>
    <row r="6408" spans="1:11" ht="42" customHeight="1">
      <c r="A6408" s="2" t="s">
        <v>12586</v>
      </c>
      <c r="B6408" s="2" t="s">
        <v>12587</v>
      </c>
      <c r="C6408" s="2" t="s">
        <v>28</v>
      </c>
      <c r="D6408" s="2" t="s">
        <v>29</v>
      </c>
      <c r="E6408" s="5">
        <v>-28371</v>
      </c>
      <c r="F6408" s="3" t="s">
        <v>401</v>
      </c>
      <c r="G6408" s="3" t="s">
        <v>31</v>
      </c>
      <c r="H6408" s="2" t="s">
        <v>20</v>
      </c>
      <c r="I6408" s="2" t="s">
        <v>12588</v>
      </c>
      <c r="J6408" s="3" t="str">
        <f>HYPERLINK("https://www.boe.es/gazeta/dias/1822/04/27/pdfs/GMD-1822-119.pdf#page=3","Abrir facsímil")</f>
        <v>Abrir facsímil</v>
      </c>
      <c r="K6408" s="3" t="s">
        <v>22</v>
      </c>
    </row>
    <row r="6409" spans="1:11" ht="42" customHeight="1">
      <c r="A6409" s="2" t="s">
        <v>12586</v>
      </c>
      <c r="B6409" s="2" t="s">
        <v>12587</v>
      </c>
      <c r="C6409" s="2" t="s">
        <v>16</v>
      </c>
      <c r="D6409" s="2" t="s">
        <v>17</v>
      </c>
      <c r="E6409" s="5">
        <v>-28370</v>
      </c>
      <c r="F6409" s="3" t="s">
        <v>207</v>
      </c>
      <c r="G6409" s="3" t="s">
        <v>19</v>
      </c>
      <c r="H6409" s="2" t="s">
        <v>20</v>
      </c>
      <c r="I6409" s="2" t="s">
        <v>12589</v>
      </c>
      <c r="J6409" s="3" t="str">
        <f>HYPERLINK("https://www.boe.es/gazeta/dias/1822/04/28/pdfs/GMD-1822-120.pdf#page=5","Abrir facsímil")</f>
        <v>Abrir facsímil</v>
      </c>
      <c r="K6409" s="3" t="s">
        <v>22</v>
      </c>
    </row>
    <row r="6410" spans="1:11" ht="42" customHeight="1">
      <c r="A6410" s="2" t="s">
        <v>12586</v>
      </c>
      <c r="B6410" s="2" t="s">
        <v>12587</v>
      </c>
      <c r="C6410" s="2" t="s">
        <v>16</v>
      </c>
      <c r="D6410" s="2" t="s">
        <v>17</v>
      </c>
      <c r="E6410" s="5">
        <v>-28325</v>
      </c>
      <c r="F6410" s="3" t="s">
        <v>104</v>
      </c>
      <c r="G6410" s="3" t="s">
        <v>57</v>
      </c>
      <c r="H6410" s="2" t="s">
        <v>20</v>
      </c>
      <c r="I6410" s="2" t="s">
        <v>12590</v>
      </c>
      <c r="J6410" s="3" t="str">
        <f>HYPERLINK("https://www.boe.es/gazeta/dias/1822/06/12/pdfs/GMD-1822-169.pdf#page=4","Abrir facsímil")</f>
        <v>Abrir facsímil</v>
      </c>
      <c r="K6410" s="3" t="s">
        <v>22</v>
      </c>
    </row>
    <row r="6411" spans="1:11" ht="42" customHeight="1">
      <c r="A6411" s="2" t="s">
        <v>12591</v>
      </c>
      <c r="B6411" s="2" t="s">
        <v>12592</v>
      </c>
      <c r="C6411" s="2" t="s">
        <v>28</v>
      </c>
      <c r="D6411" s="2" t="s">
        <v>29</v>
      </c>
      <c r="E6411" s="5">
        <v>-28432</v>
      </c>
      <c r="F6411" s="3" t="s">
        <v>195</v>
      </c>
      <c r="G6411" s="3" t="s">
        <v>57</v>
      </c>
      <c r="H6411" s="2" t="s">
        <v>20</v>
      </c>
      <c r="I6411" s="2" t="s">
        <v>12593</v>
      </c>
      <c r="J6411" s="3" t="str">
        <f>HYPERLINK("https://www.boe.es/gazeta/dias/1822/02/25/pdfs/GMD-1822-57.pdf#page=4","Abrir facsímil")</f>
        <v>Abrir facsímil</v>
      </c>
      <c r="K6411" s="3" t="s">
        <v>22</v>
      </c>
    </row>
    <row r="6412" spans="1:11" ht="42" customHeight="1">
      <c r="A6412" s="2" t="s">
        <v>12594</v>
      </c>
      <c r="B6412" s="2" t="s">
        <v>12595</v>
      </c>
      <c r="C6412" s="2" t="s">
        <v>28</v>
      </c>
      <c r="D6412" s="2" t="s">
        <v>29</v>
      </c>
      <c r="E6412" s="5">
        <v>-28436</v>
      </c>
      <c r="F6412" s="3" t="s">
        <v>431</v>
      </c>
      <c r="G6412" s="3" t="s">
        <v>1428</v>
      </c>
      <c r="H6412" s="2" t="s">
        <v>20</v>
      </c>
      <c r="I6412" s="2" t="s">
        <v>12596</v>
      </c>
      <c r="J6412" s="3" t="str">
        <f>HYPERLINK("https://www.boe.es/gazeta/dias/1822/02/21/pdfs/GMD-1822-53.pdf#page=3","Abrir facsímil")</f>
        <v>Abrir facsímil</v>
      </c>
      <c r="K6412" s="3" t="s">
        <v>22</v>
      </c>
    </row>
    <row r="6413" spans="1:11" ht="42" customHeight="1">
      <c r="A6413" s="2" t="s">
        <v>12597</v>
      </c>
      <c r="B6413" s="2" t="s">
        <v>12598</v>
      </c>
      <c r="C6413" s="2" t="s">
        <v>50</v>
      </c>
      <c r="D6413" s="2" t="s">
        <v>51</v>
      </c>
      <c r="E6413" s="5">
        <v>-28349</v>
      </c>
      <c r="F6413" s="3" t="s">
        <v>518</v>
      </c>
      <c r="G6413" s="3" t="s">
        <v>57</v>
      </c>
      <c r="H6413" s="2" t="s">
        <v>20</v>
      </c>
      <c r="I6413" s="2" t="s">
        <v>12599</v>
      </c>
      <c r="J6413" s="3" t="str">
        <f>HYPERLINK("https://www.boe.es/gazeta/dias/1822/05/19/pdfs/GMD-1822-141.pdf#page=4","Abrir facsímil")</f>
        <v>Abrir facsímil</v>
      </c>
      <c r="K6413" s="3" t="s">
        <v>22</v>
      </c>
    </row>
    <row r="6414" spans="1:11" ht="42" customHeight="1">
      <c r="A6414" s="2" t="s">
        <v>12600</v>
      </c>
      <c r="B6414" s="2" t="s">
        <v>12601</v>
      </c>
      <c r="C6414" s="2" t="s">
        <v>28</v>
      </c>
      <c r="D6414" s="2" t="s">
        <v>29</v>
      </c>
      <c r="E6414" s="5">
        <v>-28398</v>
      </c>
      <c r="F6414" s="3" t="s">
        <v>1961</v>
      </c>
      <c r="G6414" s="3" t="s">
        <v>35</v>
      </c>
      <c r="H6414" s="2" t="s">
        <v>20</v>
      </c>
      <c r="I6414" s="2" t="s">
        <v>12602</v>
      </c>
      <c r="J6414" s="3" t="str">
        <f>HYPERLINK("https://www.boe.es/gazeta/dias/1822/03/31/pdfs/GMD-1822-92.pdf#page=2","Abrir facsímil")</f>
        <v>Abrir facsímil</v>
      </c>
      <c r="K6414" s="3" t="s">
        <v>22</v>
      </c>
    </row>
    <row r="6415" spans="1:11" ht="42" customHeight="1">
      <c r="A6415" s="2" t="s">
        <v>12603</v>
      </c>
      <c r="B6415" s="2" t="s">
        <v>12604</v>
      </c>
      <c r="C6415" s="2" t="s">
        <v>42</v>
      </c>
      <c r="D6415" s="2" t="s">
        <v>17</v>
      </c>
      <c r="E6415" s="5">
        <v>-28396</v>
      </c>
      <c r="F6415" s="3" t="s">
        <v>1138</v>
      </c>
      <c r="G6415" s="3" t="s">
        <v>167</v>
      </c>
      <c r="H6415" s="2" t="s">
        <v>20</v>
      </c>
      <c r="I6415" s="2" t="s">
        <v>12605</v>
      </c>
      <c r="J6415" s="3" t="str">
        <f>HYPERLINK("https://www.boe.es/gazeta/dias/1822/04/02/pdfs/GMD-1822-94.pdf#page=7","Abrir facsímil")</f>
        <v>Abrir facsímil</v>
      </c>
      <c r="K6415" s="3" t="s">
        <v>22</v>
      </c>
    </row>
    <row r="6416" spans="1:11" ht="42" customHeight="1">
      <c r="A6416" s="2" t="s">
        <v>12606</v>
      </c>
      <c r="B6416" s="2" t="s">
        <v>12606</v>
      </c>
      <c r="C6416" s="2" t="s">
        <v>71</v>
      </c>
      <c r="D6416" s="2" t="s">
        <v>17</v>
      </c>
      <c r="E6416" s="5">
        <v>-28361</v>
      </c>
      <c r="F6416" s="3" t="s">
        <v>374</v>
      </c>
      <c r="G6416" s="3" t="s">
        <v>35</v>
      </c>
      <c r="H6416" s="2" t="s">
        <v>20</v>
      </c>
      <c r="I6416" s="2" t="s">
        <v>12607</v>
      </c>
      <c r="J6416" s="3" t="str">
        <f>HYPERLINK("https://www.boe.es/gazeta/dias/1822/05/07/pdfs/GMD-1822-129.pdf#page=2","Abrir facsímil")</f>
        <v>Abrir facsímil</v>
      </c>
      <c r="K6416" s="3" t="s">
        <v>22</v>
      </c>
    </row>
    <row r="6417" spans="1:11" ht="42" customHeight="1">
      <c r="A6417" s="2" t="s">
        <v>12608</v>
      </c>
      <c r="B6417" s="2" t="s">
        <v>12608</v>
      </c>
      <c r="C6417" s="2" t="s">
        <v>50</v>
      </c>
      <c r="D6417" s="2" t="s">
        <v>51</v>
      </c>
      <c r="E6417" s="5">
        <v>-28264</v>
      </c>
      <c r="F6417" s="3" t="s">
        <v>1329</v>
      </c>
      <c r="G6417" s="3" t="s">
        <v>57</v>
      </c>
      <c r="H6417" s="2" t="s">
        <v>20</v>
      </c>
      <c r="I6417" s="2" t="s">
        <v>12609</v>
      </c>
      <c r="J6417" s="3" t="str">
        <f>HYPERLINK("https://www.boe.es/gazeta/dias/1822/08/12/pdfs/GMD-1822-236.pdf#page=4","Abrir facsímil")</f>
        <v>Abrir facsímil</v>
      </c>
      <c r="K6417" s="3" t="s">
        <v>22</v>
      </c>
    </row>
    <row r="6418" spans="1:11" ht="42" customHeight="1">
      <c r="A6418" s="2" t="s">
        <v>12610</v>
      </c>
      <c r="B6418" s="2" t="s">
        <v>12611</v>
      </c>
      <c r="C6418" s="2" t="s">
        <v>50</v>
      </c>
      <c r="D6418" s="2" t="s">
        <v>51</v>
      </c>
      <c r="E6418" s="5">
        <v>-28248</v>
      </c>
      <c r="F6418" s="3" t="s">
        <v>4807</v>
      </c>
      <c r="G6418" s="3" t="s">
        <v>35</v>
      </c>
      <c r="H6418" s="2" t="s">
        <v>20</v>
      </c>
      <c r="I6418" s="2" t="s">
        <v>12612</v>
      </c>
      <c r="J6418" s="3" t="str">
        <f>HYPERLINK("https://www.boe.es/gazeta/dias/1822/08/28/pdfs/GMD-1822-252.pdf#page=2","Abrir facsímil")</f>
        <v>Abrir facsímil</v>
      </c>
      <c r="K6418" s="3" t="s">
        <v>22</v>
      </c>
    </row>
    <row r="6419" spans="1:11" ht="42" customHeight="1">
      <c r="A6419" s="2" t="s">
        <v>12613</v>
      </c>
      <c r="B6419" s="2" t="s">
        <v>12614</v>
      </c>
      <c r="C6419" s="2" t="s">
        <v>42</v>
      </c>
      <c r="D6419" s="2" t="s">
        <v>17</v>
      </c>
      <c r="E6419" s="5">
        <v>-28288</v>
      </c>
      <c r="F6419" s="3" t="s">
        <v>970</v>
      </c>
      <c r="G6419" s="3" t="s">
        <v>44</v>
      </c>
      <c r="H6419" s="2" t="s">
        <v>20</v>
      </c>
      <c r="I6419" s="2" t="s">
        <v>12615</v>
      </c>
      <c r="J6419" s="3" t="str">
        <f>HYPERLINK("https://www.boe.es/gazeta/dias/1822/07/19/pdfs/GMD-1822-211.pdf#page=1","Abrir facsímil")</f>
        <v>Abrir facsímil</v>
      </c>
      <c r="K6419" s="3" t="s">
        <v>22</v>
      </c>
    </row>
    <row r="6420" spans="1:11" ht="42" customHeight="1">
      <c r="A6420" s="2" t="s">
        <v>12616</v>
      </c>
      <c r="B6420" s="2" t="s">
        <v>12617</v>
      </c>
      <c r="C6420" s="2" t="s">
        <v>16</v>
      </c>
      <c r="D6420" s="2" t="s">
        <v>17</v>
      </c>
      <c r="E6420" s="5">
        <v>-28311</v>
      </c>
      <c r="F6420" s="3" t="s">
        <v>736</v>
      </c>
      <c r="G6420" s="3" t="s">
        <v>44</v>
      </c>
      <c r="H6420" s="2" t="s">
        <v>20</v>
      </c>
      <c r="I6420" s="2" t="s">
        <v>12618</v>
      </c>
      <c r="J6420" s="3" t="str">
        <f>HYPERLINK("https://www.boe.es/gazeta/dias/1822/06/26/pdfs/GMD-1822-184.pdf#page=1","Abrir facsímil")</f>
        <v>Abrir facsímil</v>
      </c>
      <c r="K6420" s="3" t="s">
        <v>22</v>
      </c>
    </row>
    <row r="6421" spans="1:11" ht="42" customHeight="1">
      <c r="A6421" s="2" t="s">
        <v>12619</v>
      </c>
      <c r="B6421" s="2" t="s">
        <v>12619</v>
      </c>
      <c r="C6421" s="2" t="s">
        <v>28</v>
      </c>
      <c r="D6421" s="2" t="s">
        <v>29</v>
      </c>
      <c r="E6421" s="5">
        <v>-28460</v>
      </c>
      <c r="F6421" s="3" t="s">
        <v>112</v>
      </c>
      <c r="G6421" s="3" t="s">
        <v>57</v>
      </c>
      <c r="H6421" s="2" t="s">
        <v>20</v>
      </c>
      <c r="I6421" s="2" t="s">
        <v>12620</v>
      </c>
      <c r="J6421" s="3" t="str">
        <f>HYPERLINK("https://www.boe.es/gazeta/dias/1822/01/28/pdfs/GMD-1822-28.pdf#page=4","Abrir facsímil")</f>
        <v>Abrir facsímil</v>
      </c>
      <c r="K6421" s="3" t="s">
        <v>22</v>
      </c>
    </row>
    <row r="6422" spans="1:11" ht="42" customHeight="1">
      <c r="A6422" s="2" t="s">
        <v>12621</v>
      </c>
      <c r="B6422" s="2" t="s">
        <v>12621</v>
      </c>
      <c r="C6422" s="2" t="s">
        <v>28</v>
      </c>
      <c r="D6422" s="2" t="s">
        <v>29</v>
      </c>
      <c r="E6422" s="5">
        <v>-28453</v>
      </c>
      <c r="F6422" s="3" t="s">
        <v>2039</v>
      </c>
      <c r="G6422" s="3" t="s">
        <v>35</v>
      </c>
      <c r="H6422" s="2" t="s">
        <v>20</v>
      </c>
      <c r="I6422" s="2" t="s">
        <v>12622</v>
      </c>
      <c r="J6422" s="3" t="str">
        <f>HYPERLINK("https://www.boe.es/gazeta/dias/1822/02/04/pdfs/GMD-1822-35.pdf#page=2","Abrir facsímil")</f>
        <v>Abrir facsímil</v>
      </c>
      <c r="K6422" s="3" t="s">
        <v>22</v>
      </c>
    </row>
    <row r="6423" spans="1:11" ht="42" customHeight="1">
      <c r="A6423" s="2" t="s">
        <v>12623</v>
      </c>
      <c r="B6423" s="2" t="s">
        <v>12624</v>
      </c>
      <c r="C6423" s="2" t="s">
        <v>24</v>
      </c>
      <c r="D6423" s="2" t="s">
        <v>17</v>
      </c>
      <c r="E6423" s="5">
        <v>-28254</v>
      </c>
      <c r="F6423" s="3" t="s">
        <v>3557</v>
      </c>
      <c r="G6423" s="3" t="s">
        <v>57</v>
      </c>
      <c r="H6423" s="2" t="s">
        <v>20</v>
      </c>
      <c r="I6423" s="2" t="s">
        <v>12625</v>
      </c>
      <c r="J6423" s="3" t="str">
        <f>HYPERLINK("https://www.boe.es/gazeta/dias/1822/08/22/pdfs/GMD-1822-246.pdf#page=4","Abrir facsímil")</f>
        <v>Abrir facsímil</v>
      </c>
      <c r="K6423" s="3" t="s">
        <v>22</v>
      </c>
    </row>
    <row r="6424" spans="1:11" ht="42" customHeight="1">
      <c r="A6424" s="2" t="s">
        <v>12626</v>
      </c>
      <c r="B6424" s="2" t="s">
        <v>12627</v>
      </c>
      <c r="C6424" s="2" t="s">
        <v>16</v>
      </c>
      <c r="D6424" s="2" t="s">
        <v>17</v>
      </c>
      <c r="E6424" s="5">
        <v>-28464</v>
      </c>
      <c r="F6424" s="3" t="s">
        <v>1447</v>
      </c>
      <c r="G6424" s="3" t="s">
        <v>57</v>
      </c>
      <c r="H6424" s="2" t="s">
        <v>20</v>
      </c>
      <c r="I6424" s="2" t="s">
        <v>12628</v>
      </c>
      <c r="J6424" s="3" t="str">
        <f>HYPERLINK("https://www.boe.es/gazeta/dias/1822/01/24/pdfs/GMD-1822-24.pdf#page=4","Abrir facsímil")</f>
        <v>Abrir facsímil</v>
      </c>
      <c r="K6424" s="3" t="s">
        <v>22</v>
      </c>
    </row>
    <row r="6425" spans="1:11" ht="42" customHeight="1">
      <c r="A6425" s="2" t="s">
        <v>12629</v>
      </c>
      <c r="B6425" s="2" t="s">
        <v>12630</v>
      </c>
      <c r="C6425" s="2" t="s">
        <v>50</v>
      </c>
      <c r="D6425" s="2" t="s">
        <v>51</v>
      </c>
      <c r="E6425" s="5">
        <v>-28228</v>
      </c>
      <c r="F6425" s="3" t="s">
        <v>718</v>
      </c>
      <c r="G6425" s="3" t="s">
        <v>35</v>
      </c>
      <c r="H6425" s="2" t="s">
        <v>20</v>
      </c>
      <c r="I6425" s="2" t="s">
        <v>12631</v>
      </c>
      <c r="J6425" s="3" t="str">
        <f>HYPERLINK("https://www.boe.es/gazeta/dias/1822/09/17/pdfs/GMD-1822-273.pdf#page=2","Abrir facsímil")</f>
        <v>Abrir facsímil</v>
      </c>
      <c r="K6425" s="3" t="s">
        <v>22</v>
      </c>
    </row>
    <row r="6426" spans="1:11" ht="42" customHeight="1">
      <c r="A6426" s="2" t="s">
        <v>12632</v>
      </c>
      <c r="B6426" s="2" t="s">
        <v>12632</v>
      </c>
      <c r="C6426" s="2" t="s">
        <v>50</v>
      </c>
      <c r="D6426" s="2" t="s">
        <v>51</v>
      </c>
      <c r="E6426" s="5">
        <v>-28203</v>
      </c>
      <c r="F6426" s="3" t="s">
        <v>564</v>
      </c>
      <c r="G6426" s="3" t="s">
        <v>57</v>
      </c>
      <c r="H6426" s="2" t="s">
        <v>20</v>
      </c>
      <c r="I6426" s="2" t="s">
        <v>12633</v>
      </c>
      <c r="J6426" s="3" t="str">
        <f>HYPERLINK("https://www.boe.es/gazeta/dias/1822/10/12/pdfs/GMD-1822-299.pdf#page=4","Abrir facsímil")</f>
        <v>Abrir facsímil</v>
      </c>
      <c r="K6426" s="3" t="s">
        <v>22</v>
      </c>
    </row>
    <row r="6427" spans="1:11" ht="42" customHeight="1">
      <c r="A6427" s="2" t="s">
        <v>12634</v>
      </c>
      <c r="B6427" s="2" t="s">
        <v>12634</v>
      </c>
      <c r="C6427" s="2" t="s">
        <v>42</v>
      </c>
      <c r="D6427" s="2" t="s">
        <v>17</v>
      </c>
      <c r="E6427" s="5">
        <v>-28288</v>
      </c>
      <c r="F6427" s="3" t="s">
        <v>970</v>
      </c>
      <c r="G6427" s="3" t="s">
        <v>35</v>
      </c>
      <c r="H6427" s="2" t="s">
        <v>20</v>
      </c>
      <c r="I6427" s="2" t="s">
        <v>12635</v>
      </c>
      <c r="J6427" s="3" t="str">
        <f>HYPERLINK("https://www.boe.es/gazeta/dias/1822/07/19/pdfs/GMD-1822-211.pdf#page=2","Abrir facsímil")</f>
        <v>Abrir facsímil</v>
      </c>
      <c r="K6427" s="3" t="s">
        <v>22</v>
      </c>
    </row>
    <row r="6428" spans="1:11" ht="42" customHeight="1">
      <c r="A6428" s="2" t="s">
        <v>12634</v>
      </c>
      <c r="B6428" s="2" t="s">
        <v>12634</v>
      </c>
      <c r="C6428" s="2" t="s">
        <v>50</v>
      </c>
      <c r="D6428" s="2" t="s">
        <v>51</v>
      </c>
      <c r="E6428" s="5">
        <v>-28231</v>
      </c>
      <c r="F6428" s="3" t="s">
        <v>2049</v>
      </c>
      <c r="G6428" s="3" t="s">
        <v>44</v>
      </c>
      <c r="H6428" s="2" t="s">
        <v>20</v>
      </c>
      <c r="I6428" s="2" t="s">
        <v>12636</v>
      </c>
      <c r="J6428" s="3" t="str">
        <f>HYPERLINK("https://www.boe.es/gazeta/dias/1822/09/14/pdfs/GMD-1822-270.pdf#page=1","Abrir facsímil")</f>
        <v>Abrir facsímil</v>
      </c>
      <c r="K6428" s="3" t="s">
        <v>22</v>
      </c>
    </row>
    <row r="6429" spans="1:11" ht="42" customHeight="1">
      <c r="A6429" s="2" t="s">
        <v>12634</v>
      </c>
      <c r="B6429" s="2" t="s">
        <v>12634</v>
      </c>
      <c r="C6429" s="2" t="s">
        <v>42</v>
      </c>
      <c r="D6429" s="2" t="s">
        <v>17</v>
      </c>
      <c r="E6429" s="5">
        <v>-28220</v>
      </c>
      <c r="F6429" s="3" t="s">
        <v>1914</v>
      </c>
      <c r="G6429" s="3" t="s">
        <v>35</v>
      </c>
      <c r="H6429" s="2" t="s">
        <v>20</v>
      </c>
      <c r="I6429" s="2" t="s">
        <v>12637</v>
      </c>
      <c r="J6429" s="3" t="str">
        <f>HYPERLINK("https://www.boe.es/gazeta/dias/1822/09/25/pdfs/GMD-1822-281.pdf#page=2","Abrir facsímil")</f>
        <v>Abrir facsímil</v>
      </c>
      <c r="K6429" s="3" t="s">
        <v>22</v>
      </c>
    </row>
    <row r="6430" spans="1:11" ht="42" customHeight="1">
      <c r="A6430" s="2" t="s">
        <v>12634</v>
      </c>
      <c r="B6430" s="2" t="s">
        <v>12634</v>
      </c>
      <c r="C6430" s="2" t="s">
        <v>50</v>
      </c>
      <c r="D6430" s="2" t="s">
        <v>51</v>
      </c>
      <c r="E6430" s="5">
        <v>-28212</v>
      </c>
      <c r="F6430" s="3" t="s">
        <v>560</v>
      </c>
      <c r="G6430" s="3" t="s">
        <v>57</v>
      </c>
      <c r="H6430" s="2" t="s">
        <v>20</v>
      </c>
      <c r="I6430" s="2" t="s">
        <v>12638</v>
      </c>
      <c r="J6430" s="3" t="str">
        <f>HYPERLINK("https://www.boe.es/gazeta/dias/1822/10/03/pdfs/GMD-1822-289.pdf#page=4","Abrir facsímil")</f>
        <v>Abrir facsímil</v>
      </c>
      <c r="K6430" s="3" t="s">
        <v>22</v>
      </c>
    </row>
    <row r="6431" spans="1:11" ht="42" customHeight="1">
      <c r="A6431" s="2" t="s">
        <v>12634</v>
      </c>
      <c r="B6431" s="2" t="s">
        <v>12634</v>
      </c>
      <c r="C6431" s="2" t="s">
        <v>50</v>
      </c>
      <c r="D6431" s="2" t="s">
        <v>51</v>
      </c>
      <c r="E6431" s="5">
        <v>-28210</v>
      </c>
      <c r="F6431" s="3" t="s">
        <v>218</v>
      </c>
      <c r="G6431" s="3" t="s">
        <v>63</v>
      </c>
      <c r="H6431" s="2" t="s">
        <v>20</v>
      </c>
      <c r="I6431" s="2" t="s">
        <v>12639</v>
      </c>
      <c r="J6431" s="3" t="str">
        <f>HYPERLINK("https://www.boe.es/gazeta/dias/1822/10/05/pdfs/GMD-1822-291.pdf#page=6","Abrir facsímil")</f>
        <v>Abrir facsímil</v>
      </c>
      <c r="K6431" s="3" t="s">
        <v>22</v>
      </c>
    </row>
    <row r="6432" spans="1:11" ht="42" customHeight="1">
      <c r="A6432" s="2" t="s">
        <v>12634</v>
      </c>
      <c r="B6432" s="2" t="s">
        <v>12634</v>
      </c>
      <c r="C6432" s="2" t="s">
        <v>50</v>
      </c>
      <c r="D6432" s="2" t="s">
        <v>51</v>
      </c>
      <c r="E6432" s="5">
        <v>-28199</v>
      </c>
      <c r="F6432" s="3" t="s">
        <v>656</v>
      </c>
      <c r="G6432" s="3" t="s">
        <v>44</v>
      </c>
      <c r="H6432" s="2" t="s">
        <v>20</v>
      </c>
      <c r="I6432" s="2" t="s">
        <v>12640</v>
      </c>
      <c r="J6432" s="3" t="str">
        <f>HYPERLINK("https://www.boe.es/gazeta/dias/1822/10/16/pdfs/GMD-1822-303.pdf#page=1","Abrir facsímil")</f>
        <v>Abrir facsímil</v>
      </c>
      <c r="K6432" s="3" t="s">
        <v>22</v>
      </c>
    </row>
    <row r="6433" spans="1:11" ht="42" customHeight="1">
      <c r="A6433" s="2" t="s">
        <v>12634</v>
      </c>
      <c r="B6433" s="2" t="s">
        <v>12634</v>
      </c>
      <c r="C6433" s="2" t="s">
        <v>24</v>
      </c>
      <c r="D6433" s="2" t="s">
        <v>17</v>
      </c>
      <c r="E6433" s="5">
        <v>-28161</v>
      </c>
      <c r="F6433" s="3" t="s">
        <v>166</v>
      </c>
      <c r="G6433" s="3" t="s">
        <v>44</v>
      </c>
      <c r="H6433" s="2" t="s">
        <v>20</v>
      </c>
      <c r="I6433" s="2" t="s">
        <v>12641</v>
      </c>
      <c r="J6433" s="3" t="str">
        <f>HYPERLINK("https://www.boe.es/gazeta/dias/1822/11/23/pdfs/GMD-1822-343.pdf#page=1","Abrir facsímil")</f>
        <v>Abrir facsímil</v>
      </c>
      <c r="K6433" s="3" t="s">
        <v>22</v>
      </c>
    </row>
    <row r="6434" spans="1:11" ht="42" customHeight="1">
      <c r="A6434" s="2" t="s">
        <v>12634</v>
      </c>
      <c r="B6434" s="2" t="s">
        <v>12634</v>
      </c>
      <c r="C6434" s="2" t="s">
        <v>50</v>
      </c>
      <c r="D6434" s="2" t="s">
        <v>51</v>
      </c>
      <c r="E6434" s="5">
        <v>-28155</v>
      </c>
      <c r="F6434" s="3" t="s">
        <v>833</v>
      </c>
      <c r="G6434" s="3" t="s">
        <v>63</v>
      </c>
      <c r="H6434" s="2" t="s">
        <v>20</v>
      </c>
      <c r="I6434" s="2" t="s">
        <v>12642</v>
      </c>
      <c r="J6434" s="3" t="str">
        <f>HYPERLINK("https://www.boe.es/gazeta/dias/1822/11/29/pdfs/GMD-1822-349.pdf#page=6","Abrir facsímil")</f>
        <v>Abrir facsímil</v>
      </c>
      <c r="K6434" s="3" t="s">
        <v>22</v>
      </c>
    </row>
    <row r="6435" spans="1:11" ht="42" customHeight="1">
      <c r="A6435" s="2" t="s">
        <v>12634</v>
      </c>
      <c r="B6435" s="2" t="s">
        <v>12634</v>
      </c>
      <c r="C6435" s="2" t="s">
        <v>61</v>
      </c>
      <c r="D6435" s="2" t="s">
        <v>17</v>
      </c>
      <c r="E6435" s="5">
        <v>-28149</v>
      </c>
      <c r="F6435" s="3" t="s">
        <v>1322</v>
      </c>
      <c r="G6435" s="3" t="s">
        <v>57</v>
      </c>
      <c r="H6435" s="2" t="s">
        <v>20</v>
      </c>
      <c r="I6435" s="2" t="s">
        <v>12643</v>
      </c>
      <c r="J6435" s="3" t="str">
        <f>HYPERLINK("https://www.boe.es/gazeta/dias/1822/12/05/pdfs/GMD-1822-355.pdf#page=4","Abrir facsímil")</f>
        <v>Abrir facsímil</v>
      </c>
      <c r="K6435" s="3" t="s">
        <v>22</v>
      </c>
    </row>
    <row r="6436" spans="1:11" ht="42" customHeight="1">
      <c r="A6436" s="2" t="s">
        <v>12634</v>
      </c>
      <c r="B6436" s="2" t="s">
        <v>12634</v>
      </c>
      <c r="C6436" s="2" t="s">
        <v>50</v>
      </c>
      <c r="D6436" s="2" t="s">
        <v>51</v>
      </c>
      <c r="E6436" s="5">
        <v>-28140</v>
      </c>
      <c r="F6436" s="3" t="s">
        <v>84</v>
      </c>
      <c r="G6436" s="3" t="s">
        <v>57</v>
      </c>
      <c r="H6436" s="2" t="s">
        <v>20</v>
      </c>
      <c r="I6436" s="2" t="s">
        <v>12644</v>
      </c>
      <c r="J6436" s="3" t="str">
        <f>HYPERLINK("https://www.boe.es/gazeta/dias/1822/12/14/pdfs/GMD-1822-364.pdf#page=4","Abrir facsímil")</f>
        <v>Abrir facsímil</v>
      </c>
      <c r="K6436" s="3" t="s">
        <v>22</v>
      </c>
    </row>
    <row r="6437" spans="1:11" ht="42" customHeight="1">
      <c r="A6437" s="2" t="s">
        <v>12634</v>
      </c>
      <c r="B6437" s="2" t="s">
        <v>12634</v>
      </c>
      <c r="C6437" s="2" t="s">
        <v>50</v>
      </c>
      <c r="D6437" s="2" t="s">
        <v>51</v>
      </c>
      <c r="E6437" s="5">
        <v>-28136</v>
      </c>
      <c r="F6437" s="3" t="s">
        <v>948</v>
      </c>
      <c r="G6437" s="3" t="s">
        <v>44</v>
      </c>
      <c r="H6437" s="2" t="s">
        <v>20</v>
      </c>
      <c r="I6437" s="2" t="s">
        <v>12645</v>
      </c>
      <c r="J6437" s="3" t="str">
        <f>HYPERLINK("https://www.boe.es/gazeta/dias/1822/12/18/pdfs/GMD-1822-368.pdf#page=1","Abrir facsímil")</f>
        <v>Abrir facsímil</v>
      </c>
      <c r="K6437" s="3" t="s">
        <v>22</v>
      </c>
    </row>
    <row r="6438" spans="1:11" ht="42" customHeight="1">
      <c r="A6438" s="2" t="s">
        <v>12646</v>
      </c>
      <c r="B6438" s="2" t="s">
        <v>12647</v>
      </c>
      <c r="C6438" s="2" t="s">
        <v>71</v>
      </c>
      <c r="D6438" s="2" t="s">
        <v>17</v>
      </c>
      <c r="E6438" s="5">
        <v>-28246</v>
      </c>
      <c r="F6438" s="3" t="s">
        <v>3246</v>
      </c>
      <c r="G6438" s="3" t="s">
        <v>1085</v>
      </c>
      <c r="H6438" s="2" t="s">
        <v>45</v>
      </c>
      <c r="I6438" s="2" t="s">
        <v>12648</v>
      </c>
      <c r="J6438" s="3" t="str">
        <f>HYPERLINK("https://www.boe.es/gazeta/dias/1822/08/30/pdfs/GMD-1822-254.pdf#page=5","Abrir facsímil")</f>
        <v>Abrir facsímil</v>
      </c>
      <c r="K6438" s="3" t="s">
        <v>47</v>
      </c>
    </row>
    <row r="6439" spans="1:11" ht="42" customHeight="1">
      <c r="A6439" s="2" t="s">
        <v>12649</v>
      </c>
      <c r="B6439" s="2" t="s">
        <v>12650</v>
      </c>
      <c r="C6439" s="2" t="s">
        <v>50</v>
      </c>
      <c r="D6439" s="2" t="s">
        <v>51</v>
      </c>
      <c r="E6439" s="5">
        <v>-28276</v>
      </c>
      <c r="F6439" s="3" t="s">
        <v>4746</v>
      </c>
      <c r="G6439" s="3" t="s">
        <v>35</v>
      </c>
      <c r="H6439" s="2" t="s">
        <v>20</v>
      </c>
      <c r="I6439" s="2" t="s">
        <v>12651</v>
      </c>
      <c r="J6439" s="3" t="str">
        <f>HYPERLINK("https://www.boe.es/gazeta/dias/1822/07/31/pdfs/GMD-1822-224.pdf#page=2","Abrir facsímil")</f>
        <v>Abrir facsímil</v>
      </c>
      <c r="K6439" s="3" t="s">
        <v>22</v>
      </c>
    </row>
    <row r="6440" spans="1:11" ht="42" customHeight="1">
      <c r="A6440" s="2" t="s">
        <v>12649</v>
      </c>
      <c r="B6440" s="2" t="s">
        <v>12650</v>
      </c>
      <c r="C6440" s="2" t="s">
        <v>50</v>
      </c>
      <c r="D6440" s="2" t="s">
        <v>51</v>
      </c>
      <c r="E6440" s="5">
        <v>-28274</v>
      </c>
      <c r="F6440" s="3" t="s">
        <v>3371</v>
      </c>
      <c r="G6440" s="3" t="s">
        <v>57</v>
      </c>
      <c r="H6440" s="2" t="s">
        <v>20</v>
      </c>
      <c r="I6440" s="2" t="s">
        <v>12652</v>
      </c>
      <c r="J6440" s="3" t="str">
        <f>HYPERLINK("https://www.boe.es/gazeta/dias/1822/08/02/pdfs/GMD-1822-226.pdf#page=4","Abrir facsímil")</f>
        <v>Abrir facsímil</v>
      </c>
      <c r="K6440" s="3" t="s">
        <v>22</v>
      </c>
    </row>
    <row r="6441" spans="1:11" ht="42" customHeight="1">
      <c r="A6441" s="2" t="s">
        <v>12649</v>
      </c>
      <c r="B6441" s="2" t="s">
        <v>12650</v>
      </c>
      <c r="C6441" s="2" t="s">
        <v>50</v>
      </c>
      <c r="D6441" s="2" t="s">
        <v>51</v>
      </c>
      <c r="E6441" s="5">
        <v>-28246</v>
      </c>
      <c r="F6441" s="3" t="s">
        <v>3246</v>
      </c>
      <c r="G6441" s="3" t="s">
        <v>1085</v>
      </c>
      <c r="H6441" s="2" t="s">
        <v>20</v>
      </c>
      <c r="I6441" s="2" t="s">
        <v>12653</v>
      </c>
      <c r="J6441" s="3" t="str">
        <f>HYPERLINK("https://www.boe.es/gazeta/dias/1822/08/30/pdfs/GMD-1822-254.pdf#page=5","Abrir facsímil")</f>
        <v>Abrir facsímil</v>
      </c>
      <c r="K6441" s="3" t="s">
        <v>22</v>
      </c>
    </row>
    <row r="6442" spans="1:11" ht="42" customHeight="1">
      <c r="A6442" s="2" t="s">
        <v>12654</v>
      </c>
      <c r="B6442" s="2" t="s">
        <v>12655</v>
      </c>
      <c r="C6442" s="2" t="s">
        <v>16</v>
      </c>
      <c r="D6442" s="2" t="s">
        <v>17</v>
      </c>
      <c r="E6442" s="5">
        <v>-28223</v>
      </c>
      <c r="F6442" s="3" t="s">
        <v>2374</v>
      </c>
      <c r="G6442" s="3" t="s">
        <v>31</v>
      </c>
      <c r="H6442" s="2" t="s">
        <v>20</v>
      </c>
      <c r="I6442" s="2" t="s">
        <v>12656</v>
      </c>
      <c r="J6442" s="3" t="str">
        <f>HYPERLINK("https://www.boe.es/gazeta/dias/1822/09/22/pdfs/GMD-1822-278.pdf#page=3","Abrir facsímil")</f>
        <v>Abrir facsímil</v>
      </c>
      <c r="K6442" s="3" t="s">
        <v>22</v>
      </c>
    </row>
    <row r="6443" spans="1:11" ht="42" customHeight="1">
      <c r="A6443" s="2" t="s">
        <v>12654</v>
      </c>
      <c r="B6443" s="2" t="s">
        <v>12655</v>
      </c>
      <c r="C6443" s="2" t="s">
        <v>50</v>
      </c>
      <c r="D6443" s="2" t="s">
        <v>51</v>
      </c>
      <c r="E6443" s="5">
        <v>-28222</v>
      </c>
      <c r="F6443" s="3" t="s">
        <v>2027</v>
      </c>
      <c r="G6443" s="3" t="s">
        <v>57</v>
      </c>
      <c r="H6443" s="2" t="s">
        <v>20</v>
      </c>
      <c r="I6443" s="2" t="s">
        <v>12657</v>
      </c>
      <c r="J6443" s="3" t="str">
        <f>HYPERLINK("https://www.boe.es/gazeta/dias/1822/09/23/pdfs/GMD-1822-279.pdf#page=4","Abrir facsímil")</f>
        <v>Abrir facsímil</v>
      </c>
      <c r="K6443" s="3" t="s">
        <v>22</v>
      </c>
    </row>
    <row r="6444" spans="1:11" ht="42" customHeight="1">
      <c r="A6444" s="2" t="s">
        <v>12658</v>
      </c>
      <c r="B6444" s="2" t="s">
        <v>12659</v>
      </c>
      <c r="C6444" s="2" t="s">
        <v>50</v>
      </c>
      <c r="D6444" s="2" t="s">
        <v>51</v>
      </c>
      <c r="E6444" s="5">
        <v>-28291</v>
      </c>
      <c r="F6444" s="3" t="s">
        <v>363</v>
      </c>
      <c r="G6444" s="3" t="s">
        <v>35</v>
      </c>
      <c r="H6444" s="2" t="s">
        <v>20</v>
      </c>
      <c r="I6444" s="2" t="s">
        <v>12660</v>
      </c>
      <c r="J6444" s="3" t="str">
        <f>HYPERLINK("https://www.boe.es/gazeta/dias/1822/07/16/pdfs/GMD-1822-206.pdf#page=2","Abrir facsímil")</f>
        <v>Abrir facsímil</v>
      </c>
      <c r="K6444" s="3" t="s">
        <v>22</v>
      </c>
    </row>
    <row r="6445" spans="1:11" ht="42" customHeight="1">
      <c r="A6445" s="2" t="s">
        <v>12661</v>
      </c>
      <c r="B6445" s="2" t="s">
        <v>12661</v>
      </c>
      <c r="C6445" s="2" t="s">
        <v>50</v>
      </c>
      <c r="D6445" s="2" t="s">
        <v>51</v>
      </c>
      <c r="E6445" s="5">
        <v>-28387</v>
      </c>
      <c r="F6445" s="3" t="s">
        <v>2874</v>
      </c>
      <c r="G6445" s="3" t="s">
        <v>44</v>
      </c>
      <c r="H6445" s="2" t="s">
        <v>20</v>
      </c>
      <c r="I6445" s="2" t="s">
        <v>12662</v>
      </c>
      <c r="J6445" s="3" t="str">
        <f>HYPERLINK("https://www.boe.es/gazeta/dias/1822/04/11/pdfs/GMD-1822-103.pdf#page=1","Abrir facsímil")</f>
        <v>Abrir facsímil</v>
      </c>
      <c r="K6445" s="3" t="s">
        <v>22</v>
      </c>
    </row>
    <row r="6446" spans="1:11" ht="42" customHeight="1">
      <c r="A6446" s="2" t="s">
        <v>12663</v>
      </c>
      <c r="B6446" s="2" t="s">
        <v>12663</v>
      </c>
      <c r="C6446" s="2" t="s">
        <v>50</v>
      </c>
      <c r="D6446" s="2" t="s">
        <v>51</v>
      </c>
      <c r="E6446" s="5">
        <v>-28424</v>
      </c>
      <c r="F6446" s="3" t="s">
        <v>439</v>
      </c>
      <c r="G6446" s="3" t="s">
        <v>44</v>
      </c>
      <c r="H6446" s="2" t="s">
        <v>20</v>
      </c>
      <c r="I6446" s="2" t="s">
        <v>12664</v>
      </c>
      <c r="J6446" s="3" t="str">
        <f>HYPERLINK("https://www.boe.es/gazeta/dias/1822/03/05/pdfs/GMD-1822-66.pdf#page=1","Abrir facsímil")</f>
        <v>Abrir facsímil</v>
      </c>
      <c r="K6446" s="3" t="s">
        <v>22</v>
      </c>
    </row>
    <row r="6447" spans="1:11" ht="42" customHeight="1">
      <c r="A6447" s="2" t="s">
        <v>12665</v>
      </c>
      <c r="B6447" s="2" t="s">
        <v>12666</v>
      </c>
      <c r="C6447" s="2" t="s">
        <v>362</v>
      </c>
      <c r="D6447" s="2" t="s">
        <v>17</v>
      </c>
      <c r="E6447" s="5">
        <v>-28409</v>
      </c>
      <c r="F6447" s="3" t="s">
        <v>394</v>
      </c>
      <c r="G6447" s="3" t="s">
        <v>35</v>
      </c>
      <c r="H6447" s="2" t="s">
        <v>20</v>
      </c>
      <c r="I6447" s="2" t="s">
        <v>12667</v>
      </c>
      <c r="J6447" s="3" t="str">
        <f>HYPERLINK("https://www.boe.es/gazeta/dias/1822/03/20/pdfs/GMD-1822-81.pdf#page=2","Abrir facsímil")</f>
        <v>Abrir facsímil</v>
      </c>
      <c r="K6447" s="3" t="s">
        <v>22</v>
      </c>
    </row>
    <row r="6448" spans="1:11" ht="42" customHeight="1">
      <c r="A6448" s="2" t="s">
        <v>12668</v>
      </c>
      <c r="B6448" s="2" t="s">
        <v>12669</v>
      </c>
      <c r="C6448" s="2" t="s">
        <v>50</v>
      </c>
      <c r="D6448" s="2" t="s">
        <v>51</v>
      </c>
      <c r="E6448" s="5">
        <v>-28168</v>
      </c>
      <c r="F6448" s="3" t="s">
        <v>3672</v>
      </c>
      <c r="G6448" s="3" t="s">
        <v>57</v>
      </c>
      <c r="H6448" s="2" t="s">
        <v>20</v>
      </c>
      <c r="I6448" s="2" t="s">
        <v>12670</v>
      </c>
      <c r="J6448" s="3" t="str">
        <f>HYPERLINK("https://www.boe.es/gazeta/dias/1822/11/16/pdfs/GMD-1822-336.pdf#page=4","Abrir facsímil")</f>
        <v>Abrir facsímil</v>
      </c>
      <c r="K6448" s="3" t="s">
        <v>22</v>
      </c>
    </row>
    <row r="6449" spans="1:11" ht="42" customHeight="1">
      <c r="A6449" s="2" t="s">
        <v>12671</v>
      </c>
      <c r="B6449" s="2" t="s">
        <v>12672</v>
      </c>
      <c r="C6449" s="2" t="s">
        <v>1141</v>
      </c>
      <c r="D6449" s="2" t="s">
        <v>29</v>
      </c>
      <c r="E6449" s="5">
        <v>-28436</v>
      </c>
      <c r="F6449" s="3" t="s">
        <v>431</v>
      </c>
      <c r="G6449" s="3" t="s">
        <v>1428</v>
      </c>
      <c r="H6449" s="2" t="s">
        <v>20</v>
      </c>
      <c r="I6449" s="2" t="s">
        <v>12673</v>
      </c>
      <c r="J6449" s="3" t="str">
        <f>HYPERLINK("https://www.boe.es/gazeta/dias/1822/02/21/pdfs/GMD-1822-53.pdf#page=3","Abrir facsímil")</f>
        <v>Abrir facsímil</v>
      </c>
      <c r="K6449" s="3" t="s">
        <v>22</v>
      </c>
    </row>
    <row r="6450" spans="1:11" ht="42" customHeight="1">
      <c r="A6450" s="2" t="s">
        <v>12674</v>
      </c>
      <c r="B6450" s="2" t="s">
        <v>12675</v>
      </c>
      <c r="C6450" s="2" t="s">
        <v>28</v>
      </c>
      <c r="D6450" s="2" t="s">
        <v>29</v>
      </c>
      <c r="E6450" s="5">
        <v>-28314</v>
      </c>
      <c r="F6450" s="3" t="s">
        <v>309</v>
      </c>
      <c r="G6450" s="3" t="s">
        <v>35</v>
      </c>
      <c r="H6450" s="2" t="s">
        <v>20</v>
      </c>
      <c r="I6450" s="2" t="s">
        <v>12676</v>
      </c>
      <c r="J6450" s="3" t="str">
        <f>HYPERLINK("https://www.boe.es/gazeta/dias/1822/06/23/pdfs/GMD-1822-181.pdf#page=2","Abrir facsímil")</f>
        <v>Abrir facsímil</v>
      </c>
      <c r="K6450" s="3" t="s">
        <v>22</v>
      </c>
    </row>
    <row r="6451" spans="1:11" ht="42" customHeight="1">
      <c r="A6451" s="2" t="s">
        <v>12677</v>
      </c>
      <c r="B6451" s="2" t="s">
        <v>12678</v>
      </c>
      <c r="C6451" s="2" t="s">
        <v>61</v>
      </c>
      <c r="D6451" s="2" t="s">
        <v>17</v>
      </c>
      <c r="E6451" s="5">
        <v>-28341</v>
      </c>
      <c r="F6451" s="3" t="s">
        <v>284</v>
      </c>
      <c r="G6451" s="3" t="s">
        <v>31</v>
      </c>
      <c r="H6451" s="2" t="s">
        <v>20</v>
      </c>
      <c r="I6451" s="2" t="s">
        <v>12679</v>
      </c>
      <c r="J6451" s="3" t="str">
        <f>HYPERLINK("https://www.boe.es/gazeta/dias/1822/05/27/pdfs/GMD-1822-152.pdf#page=3","Abrir facsímil")</f>
        <v>Abrir facsímil</v>
      </c>
      <c r="K6451" s="3" t="s">
        <v>22</v>
      </c>
    </row>
    <row r="6452" spans="1:11" ht="42" customHeight="1">
      <c r="A6452" s="2" t="s">
        <v>12680</v>
      </c>
      <c r="B6452" s="2" t="s">
        <v>12681</v>
      </c>
      <c r="C6452" s="2" t="s">
        <v>28</v>
      </c>
      <c r="D6452" s="2" t="s">
        <v>29</v>
      </c>
      <c r="E6452" s="5">
        <v>-28436</v>
      </c>
      <c r="F6452" s="3" t="s">
        <v>431</v>
      </c>
      <c r="G6452" s="3" t="s">
        <v>1428</v>
      </c>
      <c r="H6452" s="2" t="s">
        <v>20</v>
      </c>
      <c r="I6452" s="2" t="s">
        <v>12682</v>
      </c>
      <c r="J6452" s="3" t="str">
        <f>HYPERLINK("https://www.boe.es/gazeta/dias/1822/02/21/pdfs/GMD-1822-53.pdf#page=3","Abrir facsímil")</f>
        <v>Abrir facsímil</v>
      </c>
      <c r="K6452" s="3" t="s">
        <v>22</v>
      </c>
    </row>
    <row r="6453" spans="1:11" ht="42" customHeight="1">
      <c r="A6453" s="2" t="s">
        <v>12680</v>
      </c>
      <c r="B6453" s="2" t="s">
        <v>12681</v>
      </c>
      <c r="C6453" s="2" t="s">
        <v>28</v>
      </c>
      <c r="D6453" s="2" t="s">
        <v>29</v>
      </c>
      <c r="E6453" s="5">
        <v>-28371</v>
      </c>
      <c r="F6453" s="3" t="s">
        <v>401</v>
      </c>
      <c r="G6453" s="3" t="s">
        <v>31</v>
      </c>
      <c r="H6453" s="2" t="s">
        <v>20</v>
      </c>
      <c r="I6453" s="2" t="s">
        <v>12683</v>
      </c>
      <c r="J6453" s="3" t="str">
        <f>HYPERLINK("https://www.boe.es/gazeta/dias/1822/04/27/pdfs/GMD-1822-119.pdf#page=3","Abrir facsímil")</f>
        <v>Abrir facsímil</v>
      </c>
      <c r="K6453" s="3" t="s">
        <v>22</v>
      </c>
    </row>
    <row r="6454" spans="1:11" ht="42" customHeight="1">
      <c r="A6454" s="2" t="s">
        <v>12684</v>
      </c>
      <c r="B6454" s="2" t="s">
        <v>12685</v>
      </c>
      <c r="C6454" s="2" t="s">
        <v>28</v>
      </c>
      <c r="D6454" s="2" t="s">
        <v>29</v>
      </c>
      <c r="E6454" s="5">
        <v>-28366</v>
      </c>
      <c r="F6454" s="3" t="s">
        <v>120</v>
      </c>
      <c r="G6454" s="3" t="s">
        <v>63</v>
      </c>
      <c r="H6454" s="2" t="s">
        <v>20</v>
      </c>
      <c r="I6454" s="2" t="s">
        <v>12686</v>
      </c>
      <c r="J6454" s="3" t="str">
        <f>HYPERLINK("https://www.boe.es/gazeta/dias/1822/05/02/pdfs/GMD-1822-124.pdf#page=6","Abrir facsímil")</f>
        <v>Abrir facsímil</v>
      </c>
      <c r="K6454" s="3" t="s">
        <v>22</v>
      </c>
    </row>
    <row r="6455" spans="1:11" ht="42" customHeight="1">
      <c r="A6455" s="2" t="s">
        <v>12687</v>
      </c>
      <c r="B6455" s="2" t="s">
        <v>12688</v>
      </c>
      <c r="C6455" s="2" t="s">
        <v>28</v>
      </c>
      <c r="D6455" s="2" t="s">
        <v>29</v>
      </c>
      <c r="E6455" s="5">
        <v>-28380</v>
      </c>
      <c r="F6455" s="3" t="s">
        <v>492</v>
      </c>
      <c r="G6455" s="3" t="s">
        <v>63</v>
      </c>
      <c r="H6455" s="2" t="s">
        <v>20</v>
      </c>
      <c r="I6455" s="2" t="s">
        <v>12689</v>
      </c>
      <c r="J6455" s="3" t="str">
        <f>HYPERLINK("https://www.boe.es/gazeta/dias/1822/04/18/pdfs/GMD-1822-110.pdf#page=6","Abrir facsímil")</f>
        <v>Abrir facsímil</v>
      </c>
      <c r="K6455" s="3" t="s">
        <v>22</v>
      </c>
    </row>
    <row r="6456" spans="1:11" ht="42" customHeight="1">
      <c r="A6456" s="2" t="s">
        <v>12690</v>
      </c>
      <c r="B6456" s="2" t="s">
        <v>12691</v>
      </c>
      <c r="C6456" s="2" t="s">
        <v>362</v>
      </c>
      <c r="D6456" s="2" t="s">
        <v>17</v>
      </c>
      <c r="E6456" s="5">
        <v>-28338</v>
      </c>
      <c r="F6456" s="3" t="s">
        <v>527</v>
      </c>
      <c r="G6456" s="3" t="s">
        <v>31</v>
      </c>
      <c r="H6456" s="2" t="s">
        <v>20</v>
      </c>
      <c r="I6456" s="2" t="s">
        <v>12692</v>
      </c>
      <c r="J6456" s="3" t="str">
        <f>HYPERLINK("https://www.boe.es/gazeta/dias/1822/05/30/pdfs/GMD-1822-155.pdf#page=3","Abrir facsímil")</f>
        <v>Abrir facsímil</v>
      </c>
      <c r="K6456" s="3" t="s">
        <v>22</v>
      </c>
    </row>
    <row r="6457" spans="1:11" ht="42" customHeight="1">
      <c r="A6457" s="2" t="s">
        <v>12693</v>
      </c>
      <c r="B6457" s="2" t="s">
        <v>12694</v>
      </c>
      <c r="C6457" s="2" t="s">
        <v>24</v>
      </c>
      <c r="D6457" s="2" t="s">
        <v>17</v>
      </c>
      <c r="E6457" s="5">
        <v>-28383</v>
      </c>
      <c r="F6457" s="3" t="s">
        <v>488</v>
      </c>
      <c r="G6457" s="3" t="s">
        <v>63</v>
      </c>
      <c r="H6457" s="2" t="s">
        <v>20</v>
      </c>
      <c r="I6457" s="2" t="s">
        <v>12695</v>
      </c>
      <c r="J6457" s="3" t="str">
        <f>HYPERLINK("https://www.boe.es/gazeta/dias/1822/04/15/pdfs/GMD-1822-107.pdf#page=6","Abrir facsímil")</f>
        <v>Abrir facsímil</v>
      </c>
      <c r="K6457" s="3" t="s">
        <v>22</v>
      </c>
    </row>
    <row r="6458" spans="1:11" ht="42" customHeight="1">
      <c r="A6458" s="2" t="s">
        <v>12693</v>
      </c>
      <c r="B6458" s="2" t="s">
        <v>12694</v>
      </c>
      <c r="C6458" s="2" t="s">
        <v>24</v>
      </c>
      <c r="D6458" s="2" t="s">
        <v>17</v>
      </c>
      <c r="E6458" s="5">
        <v>-28226</v>
      </c>
      <c r="F6458" s="3" t="s">
        <v>812</v>
      </c>
      <c r="G6458" s="3" t="s">
        <v>57</v>
      </c>
      <c r="H6458" s="2" t="s">
        <v>20</v>
      </c>
      <c r="I6458" s="2" t="s">
        <v>12696</v>
      </c>
      <c r="J6458" s="3" t="str">
        <f>HYPERLINK("https://www.boe.es/gazeta/dias/1822/09/19/pdfs/GMD-1822-275.pdf#page=4","Abrir facsímil")</f>
        <v>Abrir facsímil</v>
      </c>
      <c r="K6458" s="3" t="s">
        <v>22</v>
      </c>
    </row>
    <row r="6459" spans="1:11" ht="42" customHeight="1">
      <c r="A6459" s="2" t="s">
        <v>12697</v>
      </c>
      <c r="B6459" s="2" t="s">
        <v>12698</v>
      </c>
      <c r="C6459" s="2" t="s">
        <v>362</v>
      </c>
      <c r="D6459" s="2" t="s">
        <v>17</v>
      </c>
      <c r="E6459" s="5">
        <v>-28432</v>
      </c>
      <c r="F6459" s="3" t="s">
        <v>195</v>
      </c>
      <c r="G6459" s="3" t="s">
        <v>57</v>
      </c>
      <c r="H6459" s="2" t="s">
        <v>20</v>
      </c>
      <c r="I6459" s="2" t="s">
        <v>12699</v>
      </c>
      <c r="J6459" s="3" t="str">
        <f>HYPERLINK("https://www.boe.es/gazeta/dias/1822/02/25/pdfs/GMD-1822-57.pdf#page=4","Abrir facsímil")</f>
        <v>Abrir facsímil</v>
      </c>
      <c r="K6459" s="3" t="s">
        <v>22</v>
      </c>
    </row>
    <row r="6460" spans="1:11" ht="42" customHeight="1">
      <c r="A6460" s="2" t="s">
        <v>12700</v>
      </c>
      <c r="B6460" s="2" t="s">
        <v>12701</v>
      </c>
      <c r="C6460" s="2" t="s">
        <v>50</v>
      </c>
      <c r="D6460" s="2" t="s">
        <v>51</v>
      </c>
      <c r="E6460" s="5">
        <v>-28406</v>
      </c>
      <c r="F6460" s="3" t="s">
        <v>462</v>
      </c>
      <c r="G6460" s="3" t="s">
        <v>31</v>
      </c>
      <c r="H6460" s="2" t="s">
        <v>20</v>
      </c>
      <c r="I6460" s="2" t="s">
        <v>12702</v>
      </c>
      <c r="J6460" s="3" t="str">
        <f>HYPERLINK("https://www.boe.es/gazeta/dias/1822/03/23/pdfs/GMD-1822-84.pdf#page=3","Abrir facsímil")</f>
        <v>Abrir facsímil</v>
      </c>
      <c r="K6460" s="3" t="s">
        <v>22</v>
      </c>
    </row>
    <row r="6461" spans="1:11" ht="42" customHeight="1">
      <c r="A6461" s="2" t="s">
        <v>12703</v>
      </c>
      <c r="B6461" s="2" t="s">
        <v>12704</v>
      </c>
      <c r="C6461" s="2" t="s">
        <v>28</v>
      </c>
      <c r="D6461" s="2" t="s">
        <v>29</v>
      </c>
      <c r="E6461" s="5">
        <v>-28335</v>
      </c>
      <c r="F6461" s="3" t="s">
        <v>3346</v>
      </c>
      <c r="G6461" s="3" t="s">
        <v>63</v>
      </c>
      <c r="H6461" s="2" t="s">
        <v>20</v>
      </c>
      <c r="I6461" s="2" t="s">
        <v>12705</v>
      </c>
      <c r="J6461" s="3" t="str">
        <f>HYPERLINK("https://www.boe.es/gazeta/dias/1822/06/02/pdfs/GMD-1822-158.pdf#page=6","Abrir facsímil")</f>
        <v>Abrir facsímil</v>
      </c>
      <c r="K6461" s="3" t="s">
        <v>22</v>
      </c>
    </row>
    <row r="6462" spans="1:11" ht="42" customHeight="1">
      <c r="A6462" s="2" t="s">
        <v>12706</v>
      </c>
      <c r="B6462" s="2" t="s">
        <v>12706</v>
      </c>
      <c r="C6462" s="2" t="s">
        <v>42</v>
      </c>
      <c r="D6462" s="2" t="s">
        <v>17</v>
      </c>
      <c r="E6462" s="5">
        <v>-28231</v>
      </c>
      <c r="F6462" s="3" t="s">
        <v>2049</v>
      </c>
      <c r="G6462" s="3" t="s">
        <v>57</v>
      </c>
      <c r="H6462" s="2" t="s">
        <v>20</v>
      </c>
      <c r="I6462" s="2" t="s">
        <v>12707</v>
      </c>
      <c r="J6462" s="3" t="str">
        <f>HYPERLINK("https://www.boe.es/gazeta/dias/1822/09/14/pdfs/GMD-1822-270.pdf#page=4","Abrir facsímil")</f>
        <v>Abrir facsímil</v>
      </c>
      <c r="K6462" s="3" t="s">
        <v>22</v>
      </c>
    </row>
    <row r="6463" spans="1:11" ht="42" customHeight="1">
      <c r="A6463" s="2" t="s">
        <v>12708</v>
      </c>
      <c r="B6463" s="2" t="s">
        <v>12708</v>
      </c>
      <c r="C6463" s="2" t="s">
        <v>28</v>
      </c>
      <c r="D6463" s="2" t="s">
        <v>29</v>
      </c>
      <c r="E6463" s="5">
        <v>-28439</v>
      </c>
      <c r="F6463" s="3" t="s">
        <v>2752</v>
      </c>
      <c r="G6463" s="3" t="s">
        <v>4031</v>
      </c>
      <c r="H6463" s="2" t="s">
        <v>20</v>
      </c>
      <c r="I6463" s="2" t="s">
        <v>12709</v>
      </c>
      <c r="J6463" s="3" t="str">
        <f>HYPERLINK("https://www.boe.es/gazeta/dias/1822/02/18/pdfs/GMD-1822-50.pdf#page=2","Abrir facsímil")</f>
        <v>Abrir facsímil</v>
      </c>
      <c r="K6463" s="3" t="s">
        <v>22</v>
      </c>
    </row>
    <row r="6464" spans="1:11" ht="42" customHeight="1">
      <c r="A6464" s="2" t="s">
        <v>12710</v>
      </c>
      <c r="B6464" s="2" t="s">
        <v>12711</v>
      </c>
      <c r="C6464" s="2" t="s">
        <v>24</v>
      </c>
      <c r="D6464" s="2" t="s">
        <v>17</v>
      </c>
      <c r="E6464" s="5">
        <v>-28146</v>
      </c>
      <c r="F6464" s="3" t="s">
        <v>180</v>
      </c>
      <c r="G6464" s="3" t="s">
        <v>57</v>
      </c>
      <c r="H6464" s="2" t="s">
        <v>20</v>
      </c>
      <c r="I6464" s="2" t="s">
        <v>12712</v>
      </c>
      <c r="J6464" s="3" t="str">
        <f>HYPERLINK("https://www.boe.es/gazeta/dias/1822/12/08/pdfs/GMD-1822-358.pdf#page=4","Abrir facsímil")</f>
        <v>Abrir facsímil</v>
      </c>
      <c r="K6464" s="3" t="s">
        <v>22</v>
      </c>
    </row>
    <row r="6465" spans="1:11" ht="42" customHeight="1">
      <c r="A6465" s="2" t="s">
        <v>12713</v>
      </c>
      <c r="B6465" s="2" t="s">
        <v>12714</v>
      </c>
      <c r="C6465" s="2" t="s">
        <v>50</v>
      </c>
      <c r="D6465" s="2" t="s">
        <v>51</v>
      </c>
      <c r="E6465" s="5">
        <v>-28147</v>
      </c>
      <c r="F6465" s="3" t="s">
        <v>1611</v>
      </c>
      <c r="G6465" s="3" t="s">
        <v>63</v>
      </c>
      <c r="H6465" s="2" t="s">
        <v>20</v>
      </c>
      <c r="I6465" s="2" t="s">
        <v>12715</v>
      </c>
      <c r="J6465" s="3" t="str">
        <f>HYPERLINK("https://www.boe.es/gazeta/dias/1822/12/07/pdfs/GMD-1822-357.pdf#page=6","Abrir facsímil")</f>
        <v>Abrir facsímil</v>
      </c>
      <c r="K6465" s="3" t="s">
        <v>22</v>
      </c>
    </row>
    <row r="6466" spans="1:11" ht="42" customHeight="1">
      <c r="A6466" s="2" t="s">
        <v>12716</v>
      </c>
      <c r="B6466" s="2" t="s">
        <v>12717</v>
      </c>
      <c r="C6466" s="2" t="s">
        <v>50</v>
      </c>
      <c r="D6466" s="2" t="s">
        <v>51</v>
      </c>
      <c r="E6466" s="5">
        <v>-28147</v>
      </c>
      <c r="F6466" s="3" t="s">
        <v>1611</v>
      </c>
      <c r="G6466" s="3" t="s">
        <v>63</v>
      </c>
      <c r="H6466" s="2" t="s">
        <v>20</v>
      </c>
      <c r="I6466" s="2" t="s">
        <v>12718</v>
      </c>
      <c r="J6466" s="3" t="str">
        <f>HYPERLINK("https://www.boe.es/gazeta/dias/1822/12/07/pdfs/GMD-1822-357.pdf#page=6","Abrir facsímil")</f>
        <v>Abrir facsímil</v>
      </c>
      <c r="K6466" s="3" t="s">
        <v>22</v>
      </c>
    </row>
    <row r="6467" spans="1:11" ht="42" customHeight="1">
      <c r="A6467" s="2" t="s">
        <v>12719</v>
      </c>
      <c r="B6467" s="2" t="s">
        <v>12720</v>
      </c>
      <c r="C6467" s="2" t="s">
        <v>61</v>
      </c>
      <c r="D6467" s="2" t="s">
        <v>17</v>
      </c>
      <c r="E6467" s="5">
        <v>-28147</v>
      </c>
      <c r="F6467" s="3" t="s">
        <v>1611</v>
      </c>
      <c r="G6467" s="3" t="s">
        <v>63</v>
      </c>
      <c r="H6467" s="2" t="s">
        <v>20</v>
      </c>
      <c r="I6467" s="2" t="s">
        <v>12721</v>
      </c>
      <c r="J6467" s="3" t="str">
        <f>HYPERLINK("https://www.boe.es/gazeta/dias/1822/12/07/pdfs/GMD-1822-357.pdf#page=6","Abrir facsímil")</f>
        <v>Abrir facsímil</v>
      </c>
      <c r="K6467" s="3" t="s">
        <v>22</v>
      </c>
    </row>
    <row r="6468" spans="1:11" ht="42" customHeight="1">
      <c r="A6468" s="2" t="s">
        <v>12722</v>
      </c>
      <c r="B6468" s="2" t="s">
        <v>12723</v>
      </c>
      <c r="C6468" s="2" t="s">
        <v>61</v>
      </c>
      <c r="D6468" s="2" t="s">
        <v>17</v>
      </c>
      <c r="E6468" s="5">
        <v>-28146</v>
      </c>
      <c r="F6468" s="3" t="s">
        <v>180</v>
      </c>
      <c r="G6468" s="3" t="s">
        <v>57</v>
      </c>
      <c r="H6468" s="2" t="s">
        <v>20</v>
      </c>
      <c r="I6468" s="2" t="s">
        <v>12724</v>
      </c>
      <c r="J6468" s="3" t="str">
        <f>HYPERLINK("https://www.boe.es/gazeta/dias/1822/12/08/pdfs/GMD-1822-358.pdf#page=4","Abrir facsímil")</f>
        <v>Abrir facsímil</v>
      </c>
      <c r="K6468" s="3" t="s">
        <v>22</v>
      </c>
    </row>
    <row r="6469" spans="1:11" ht="42" customHeight="1">
      <c r="A6469" s="2" t="s">
        <v>12725</v>
      </c>
      <c r="B6469" s="2" t="s">
        <v>12726</v>
      </c>
      <c r="C6469" s="2" t="s">
        <v>362</v>
      </c>
      <c r="D6469" s="2" t="s">
        <v>17</v>
      </c>
      <c r="E6469" s="5">
        <v>-28225</v>
      </c>
      <c r="F6469" s="3" t="s">
        <v>177</v>
      </c>
      <c r="G6469" s="3" t="s">
        <v>178</v>
      </c>
      <c r="H6469" s="2" t="s">
        <v>45</v>
      </c>
      <c r="I6469" s="2" t="s">
        <v>12727</v>
      </c>
      <c r="J6469" s="3" t="str">
        <f>HYPERLINK("https://www.boe.es/gazeta/dias/1822/09/20/pdfs/GMD-1822-276.pdf#page=3","Abrir facsímil")</f>
        <v>Abrir facsímil</v>
      </c>
      <c r="K6469" s="3" t="s">
        <v>47</v>
      </c>
    </row>
    <row r="6470" spans="1:11" ht="42" customHeight="1">
      <c r="A6470" s="2" t="s">
        <v>12728</v>
      </c>
      <c r="B6470" s="2" t="s">
        <v>12729</v>
      </c>
      <c r="C6470" s="2" t="s">
        <v>61</v>
      </c>
      <c r="D6470" s="2" t="s">
        <v>17</v>
      </c>
      <c r="E6470" s="5">
        <v>-28146</v>
      </c>
      <c r="F6470" s="3" t="s">
        <v>180</v>
      </c>
      <c r="G6470" s="3" t="s">
        <v>57</v>
      </c>
      <c r="H6470" s="2" t="s">
        <v>20</v>
      </c>
      <c r="I6470" s="2" t="s">
        <v>12730</v>
      </c>
      <c r="J6470" s="3" t="str">
        <f>HYPERLINK("https://www.boe.es/gazeta/dias/1822/12/08/pdfs/GMD-1822-358.pdf#page=4","Abrir facsímil")</f>
        <v>Abrir facsímil</v>
      </c>
      <c r="K6470" s="3" t="s">
        <v>22</v>
      </c>
    </row>
    <row r="6471" spans="1:11" ht="42" customHeight="1">
      <c r="A6471" s="2" t="s">
        <v>12731</v>
      </c>
      <c r="B6471" s="2" t="s">
        <v>12732</v>
      </c>
      <c r="C6471" s="2" t="s">
        <v>71</v>
      </c>
      <c r="D6471" s="2" t="s">
        <v>17</v>
      </c>
      <c r="E6471" s="5">
        <v>-28330</v>
      </c>
      <c r="F6471" s="3" t="s">
        <v>896</v>
      </c>
      <c r="G6471" s="3" t="s">
        <v>57</v>
      </c>
      <c r="H6471" s="2" t="s">
        <v>20</v>
      </c>
      <c r="I6471" s="2" t="s">
        <v>12733</v>
      </c>
      <c r="J6471" s="3" t="str">
        <f>HYPERLINK("https://www.boe.es/gazeta/dias/1822/06/07/pdfs/GMD-1822-164.pdf#page=4","Abrir facsímil")</f>
        <v>Abrir facsímil</v>
      </c>
      <c r="K6471" s="3" t="s">
        <v>22</v>
      </c>
    </row>
    <row r="6472" spans="1:11" ht="42" customHeight="1">
      <c r="A6472" s="2" t="s">
        <v>12734</v>
      </c>
      <c r="B6472" s="2" t="s">
        <v>12734</v>
      </c>
      <c r="C6472" s="2" t="s">
        <v>71</v>
      </c>
      <c r="D6472" s="2" t="s">
        <v>17</v>
      </c>
      <c r="E6472" s="5">
        <v>-28346</v>
      </c>
      <c r="F6472" s="3" t="s">
        <v>191</v>
      </c>
      <c r="G6472" s="3" t="s">
        <v>31</v>
      </c>
      <c r="H6472" s="2" t="s">
        <v>20</v>
      </c>
      <c r="I6472" s="2" t="s">
        <v>12735</v>
      </c>
      <c r="J6472" s="3" t="str">
        <f>HYPERLINK("https://www.boe.es/gazeta/dias/1822/05/22/pdfs/GMD-1822-145.pdf#page=3","Abrir facsímil")</f>
        <v>Abrir facsímil</v>
      </c>
      <c r="K6472" s="3" t="s">
        <v>22</v>
      </c>
    </row>
    <row r="6473" spans="1:11" ht="42" customHeight="1">
      <c r="A6473" s="2" t="s">
        <v>12736</v>
      </c>
      <c r="B6473" s="2" t="s">
        <v>12736</v>
      </c>
      <c r="C6473" s="2" t="s">
        <v>42</v>
      </c>
      <c r="D6473" s="2" t="s">
        <v>17</v>
      </c>
      <c r="E6473" s="5">
        <v>-28314</v>
      </c>
      <c r="F6473" s="3" t="s">
        <v>309</v>
      </c>
      <c r="G6473" s="3" t="s">
        <v>35</v>
      </c>
      <c r="H6473" s="2" t="s">
        <v>20</v>
      </c>
      <c r="I6473" s="2" t="s">
        <v>12737</v>
      </c>
      <c r="J6473" s="3" t="str">
        <f>HYPERLINK("https://www.boe.es/gazeta/dias/1822/06/23/pdfs/GMD-1822-181.pdf#page=2","Abrir facsímil")</f>
        <v>Abrir facsímil</v>
      </c>
      <c r="K6473" s="3" t="s">
        <v>22</v>
      </c>
    </row>
    <row r="6474" spans="1:11" ht="42" customHeight="1">
      <c r="A6474" s="2" t="s">
        <v>12738</v>
      </c>
      <c r="B6474" s="2" t="s">
        <v>12739</v>
      </c>
      <c r="C6474" s="2" t="s">
        <v>50</v>
      </c>
      <c r="D6474" s="2" t="s">
        <v>51</v>
      </c>
      <c r="E6474" s="5">
        <v>-28255</v>
      </c>
      <c r="F6474" s="3" t="s">
        <v>4826</v>
      </c>
      <c r="G6474" s="3" t="s">
        <v>44</v>
      </c>
      <c r="H6474" s="2" t="s">
        <v>20</v>
      </c>
      <c r="I6474" s="2" t="s">
        <v>12740</v>
      </c>
      <c r="J6474" s="3" t="str">
        <f>HYPERLINK("https://www.boe.es/gazeta/dias/1822/08/21/pdfs/GMD-1822-245.pdf#page=1","Abrir facsímil")</f>
        <v>Abrir facsímil</v>
      </c>
      <c r="K6474" s="3" t="s">
        <v>22</v>
      </c>
    </row>
    <row r="6475" spans="1:11" ht="42" customHeight="1">
      <c r="A6475" s="2" t="s">
        <v>12741</v>
      </c>
      <c r="B6475" s="2" t="s">
        <v>12742</v>
      </c>
      <c r="C6475" s="2" t="s">
        <v>50</v>
      </c>
      <c r="D6475" s="2" t="s">
        <v>51</v>
      </c>
      <c r="E6475" s="5">
        <v>-28303</v>
      </c>
      <c r="F6475" s="3" t="s">
        <v>201</v>
      </c>
      <c r="G6475" s="3" t="s">
        <v>31</v>
      </c>
      <c r="H6475" s="2" t="s">
        <v>45</v>
      </c>
      <c r="I6475" s="2" t="s">
        <v>12743</v>
      </c>
      <c r="J6475" s="3" t="str">
        <f>HYPERLINK("https://www.boe.es/gazeta/dias/1822/07/04/pdfs/GMD-1822-193.pdf#page=3","Abrir facsímil")</f>
        <v>Abrir facsímil</v>
      </c>
      <c r="K6475" s="3" t="s">
        <v>47</v>
      </c>
    </row>
    <row r="6476" spans="1:11" ht="42" customHeight="1">
      <c r="A6476" s="2" t="s">
        <v>12744</v>
      </c>
      <c r="B6476" s="2" t="s">
        <v>12745</v>
      </c>
      <c r="C6476" s="2" t="s">
        <v>24</v>
      </c>
      <c r="D6476" s="2" t="s">
        <v>17</v>
      </c>
      <c r="E6476" s="5">
        <v>-28270</v>
      </c>
      <c r="F6476" s="3" t="s">
        <v>130</v>
      </c>
      <c r="G6476" s="3" t="s">
        <v>131</v>
      </c>
      <c r="H6476" s="2" t="s">
        <v>45</v>
      </c>
      <c r="I6476" s="2" t="s">
        <v>12746</v>
      </c>
      <c r="J6476" s="3" t="str">
        <f>HYPERLINK("https://www.boe.es/gazeta/dias/1822/08/06/pdfs/GMD-1822-230.pdf#page=6","Abrir facsímil")</f>
        <v>Abrir facsímil</v>
      </c>
      <c r="K6476" s="3" t="s">
        <v>47</v>
      </c>
    </row>
    <row r="6477" spans="1:11" ht="42" customHeight="1">
      <c r="A6477" s="2" t="s">
        <v>12747</v>
      </c>
      <c r="B6477" s="2" t="s">
        <v>12748</v>
      </c>
      <c r="C6477" s="2" t="s">
        <v>71</v>
      </c>
      <c r="D6477" s="2" t="s">
        <v>17</v>
      </c>
      <c r="E6477" s="5">
        <v>-28241</v>
      </c>
      <c r="F6477" s="3" t="s">
        <v>3068</v>
      </c>
      <c r="G6477" s="3" t="s">
        <v>57</v>
      </c>
      <c r="H6477" s="2" t="s">
        <v>45</v>
      </c>
      <c r="I6477" s="2" t="s">
        <v>12749</v>
      </c>
      <c r="J6477" s="3" t="str">
        <f>HYPERLINK("https://www.boe.es/gazeta/dias/1822/09/04/pdfs/GMD-1822-259.pdf#page=4","Abrir facsímil")</f>
        <v>Abrir facsímil</v>
      </c>
      <c r="K6477" s="3" t="s">
        <v>47</v>
      </c>
    </row>
    <row r="6478" spans="1:11" ht="42" customHeight="1">
      <c r="A6478" s="2" t="s">
        <v>12750</v>
      </c>
      <c r="B6478" s="2" t="s">
        <v>12751</v>
      </c>
      <c r="C6478" s="2" t="s">
        <v>42</v>
      </c>
      <c r="D6478" s="2" t="s">
        <v>17</v>
      </c>
      <c r="E6478" s="5">
        <v>-28270</v>
      </c>
      <c r="F6478" s="3" t="s">
        <v>130</v>
      </c>
      <c r="G6478" s="3" t="s">
        <v>131</v>
      </c>
      <c r="H6478" s="2" t="s">
        <v>45</v>
      </c>
      <c r="I6478" s="2" t="s">
        <v>12752</v>
      </c>
      <c r="J6478" s="3" t="str">
        <f>HYPERLINK("https://www.boe.es/gazeta/dias/1822/08/06/pdfs/GMD-1822-230.pdf#page=6","Abrir facsímil")</f>
        <v>Abrir facsímil</v>
      </c>
      <c r="K6478" s="3" t="s">
        <v>47</v>
      </c>
    </row>
    <row r="6479" spans="1:11" ht="42" customHeight="1">
      <c r="A6479" s="2" t="s">
        <v>12753</v>
      </c>
      <c r="B6479" s="2" t="s">
        <v>12754</v>
      </c>
      <c r="C6479" s="2" t="s">
        <v>42</v>
      </c>
      <c r="D6479" s="2" t="s">
        <v>17</v>
      </c>
      <c r="E6479" s="5">
        <v>-28166</v>
      </c>
      <c r="F6479" s="3" t="s">
        <v>942</v>
      </c>
      <c r="G6479" s="3" t="s">
        <v>19</v>
      </c>
      <c r="H6479" s="2" t="s">
        <v>45</v>
      </c>
      <c r="I6479" s="2" t="s">
        <v>12755</v>
      </c>
      <c r="J6479" s="3" t="str">
        <f>HYPERLINK("https://www.boe.es/gazeta/dias/1822/11/18/pdfs/GMD-1822-338.pdf#page=5","Abrir facsímil")</f>
        <v>Abrir facsímil</v>
      </c>
      <c r="K6479" s="3" t="s">
        <v>47</v>
      </c>
    </row>
    <row r="6480" spans="1:11" ht="42" customHeight="1">
      <c r="A6480" s="2" t="s">
        <v>12756</v>
      </c>
      <c r="B6480" s="2" t="s">
        <v>12757</v>
      </c>
      <c r="C6480" s="2" t="s">
        <v>71</v>
      </c>
      <c r="D6480" s="2" t="s">
        <v>17</v>
      </c>
      <c r="E6480" s="5">
        <v>-28207</v>
      </c>
      <c r="F6480" s="3" t="s">
        <v>1325</v>
      </c>
      <c r="G6480" s="3" t="s">
        <v>31</v>
      </c>
      <c r="H6480" s="2" t="s">
        <v>45</v>
      </c>
      <c r="I6480" s="2" t="s">
        <v>12758</v>
      </c>
      <c r="J6480" s="3" t="str">
        <f>HYPERLINK("https://www.boe.es/gazeta/dias/1822/10/08/pdfs/GMD-1822-295.pdf#page=3","Abrir facsímil")</f>
        <v>Abrir facsímil</v>
      </c>
      <c r="K6480" s="3" t="s">
        <v>47</v>
      </c>
    </row>
    <row r="6481" spans="1:11" ht="42" customHeight="1">
      <c r="A6481" s="2" t="s">
        <v>12759</v>
      </c>
      <c r="B6481" s="2" t="s">
        <v>12759</v>
      </c>
      <c r="C6481" s="2" t="s">
        <v>42</v>
      </c>
      <c r="D6481" s="2" t="s">
        <v>17</v>
      </c>
      <c r="E6481" s="5">
        <v>-28211</v>
      </c>
      <c r="F6481" s="3" t="s">
        <v>273</v>
      </c>
      <c r="G6481" s="3" t="s">
        <v>31</v>
      </c>
      <c r="H6481" s="2" t="s">
        <v>20</v>
      </c>
      <c r="I6481" s="2" t="s">
        <v>12760</v>
      </c>
      <c r="J6481" s="3" t="str">
        <f>HYPERLINK("https://www.boe.es/gazeta/dias/1822/10/04/pdfs/GMD-1822-290.pdf#page=3","Abrir facsímil")</f>
        <v>Abrir facsímil</v>
      </c>
      <c r="K6481" s="3" t="s">
        <v>22</v>
      </c>
    </row>
    <row r="6482" spans="1:11" ht="42" customHeight="1">
      <c r="A6482" s="2" t="s">
        <v>12761</v>
      </c>
      <c r="B6482" s="2" t="s">
        <v>12762</v>
      </c>
      <c r="C6482" s="2" t="s">
        <v>61</v>
      </c>
      <c r="D6482" s="2" t="s">
        <v>17</v>
      </c>
      <c r="E6482" s="5">
        <v>-28147</v>
      </c>
      <c r="F6482" s="3" t="s">
        <v>1611</v>
      </c>
      <c r="G6482" s="3" t="s">
        <v>63</v>
      </c>
      <c r="H6482" s="2" t="s">
        <v>20</v>
      </c>
      <c r="I6482" s="2" t="s">
        <v>12763</v>
      </c>
      <c r="J6482" s="3" t="str">
        <f>HYPERLINK("https://www.boe.es/gazeta/dias/1822/12/07/pdfs/GMD-1822-357.pdf#page=6","Abrir facsímil")</f>
        <v>Abrir facsímil</v>
      </c>
      <c r="K6482" s="3" t="s">
        <v>22</v>
      </c>
    </row>
    <row r="6483" spans="1:11" ht="42" customHeight="1">
      <c r="A6483" s="2" t="s">
        <v>12764</v>
      </c>
      <c r="B6483" s="2" t="s">
        <v>12765</v>
      </c>
      <c r="C6483" s="2" t="s">
        <v>28</v>
      </c>
      <c r="D6483" s="2" t="s">
        <v>29</v>
      </c>
      <c r="E6483" s="5">
        <v>-28176</v>
      </c>
      <c r="F6483" s="3" t="s">
        <v>780</v>
      </c>
      <c r="G6483" s="3" t="s">
        <v>63</v>
      </c>
      <c r="H6483" s="2" t="s">
        <v>20</v>
      </c>
      <c r="I6483" s="2" t="s">
        <v>12766</v>
      </c>
      <c r="J6483" s="3" t="str">
        <f>HYPERLINK("https://www.boe.es/gazeta/dias/1822/11/08/pdfs/GMD-1822-328.pdf#page=6","Abrir facsímil")</f>
        <v>Abrir facsímil</v>
      </c>
      <c r="K6483" s="3" t="s">
        <v>22</v>
      </c>
    </row>
    <row r="6484" spans="1:11" ht="42" customHeight="1">
      <c r="A6484" s="2" t="s">
        <v>12767</v>
      </c>
      <c r="B6484" s="2" t="s">
        <v>12768</v>
      </c>
      <c r="C6484" s="2" t="s">
        <v>28</v>
      </c>
      <c r="D6484" s="2" t="s">
        <v>29</v>
      </c>
      <c r="E6484" s="5">
        <v>-28379</v>
      </c>
      <c r="F6484" s="3" t="s">
        <v>494</v>
      </c>
      <c r="G6484" s="3" t="s">
        <v>19</v>
      </c>
      <c r="H6484" s="2" t="s">
        <v>20</v>
      </c>
      <c r="I6484" s="2" t="s">
        <v>12769</v>
      </c>
      <c r="J6484" s="3" t="str">
        <f>HYPERLINK("https://www.boe.es/gazeta/dias/1822/04/19/pdfs/GMD-1822-111.pdf#page=5","Abrir facsímil")</f>
        <v>Abrir facsímil</v>
      </c>
      <c r="K6484" s="3" t="s">
        <v>22</v>
      </c>
    </row>
    <row r="6485" spans="1:11" ht="42" customHeight="1">
      <c r="A6485" s="2" t="s">
        <v>12770</v>
      </c>
      <c r="B6485" s="2" t="s">
        <v>12771</v>
      </c>
      <c r="C6485" s="2" t="s">
        <v>50</v>
      </c>
      <c r="D6485" s="2" t="s">
        <v>51</v>
      </c>
      <c r="E6485" s="5">
        <v>-28396</v>
      </c>
      <c r="F6485" s="3" t="s">
        <v>1138</v>
      </c>
      <c r="G6485" s="3" t="s">
        <v>167</v>
      </c>
      <c r="H6485" s="2" t="s">
        <v>20</v>
      </c>
      <c r="I6485" s="2" t="s">
        <v>12772</v>
      </c>
      <c r="J6485" s="3" t="str">
        <f>HYPERLINK("https://www.boe.es/gazeta/dias/1822/04/02/pdfs/GMD-1822-94.pdf#page=7","Abrir facsímil")</f>
        <v>Abrir facsímil</v>
      </c>
      <c r="K6485" s="3" t="s">
        <v>22</v>
      </c>
    </row>
    <row r="6486" spans="1:11" ht="42" customHeight="1">
      <c r="A6486" s="2" t="s">
        <v>12773</v>
      </c>
      <c r="B6486" s="2" t="s">
        <v>12774</v>
      </c>
      <c r="C6486" s="2" t="s">
        <v>42</v>
      </c>
      <c r="D6486" s="2" t="s">
        <v>17</v>
      </c>
      <c r="E6486" s="5">
        <v>-28364</v>
      </c>
      <c r="F6486" s="3" t="s">
        <v>509</v>
      </c>
      <c r="G6486" s="3" t="s">
        <v>63</v>
      </c>
      <c r="H6486" s="2" t="s">
        <v>20</v>
      </c>
      <c r="I6486" s="2" t="s">
        <v>12775</v>
      </c>
      <c r="J6486" s="3" t="str">
        <f>HYPERLINK("https://www.boe.es/gazeta/dias/1822/05/04/pdfs/GMD-1822-126.pdf#page=6","Abrir facsímil")</f>
        <v>Abrir facsímil</v>
      </c>
      <c r="K6486" s="3" t="s">
        <v>22</v>
      </c>
    </row>
    <row r="6487" spans="1:11" ht="42" customHeight="1">
      <c r="A6487" s="2" t="s">
        <v>12776</v>
      </c>
      <c r="B6487" s="2" t="s">
        <v>12777</v>
      </c>
      <c r="C6487" s="2" t="s">
        <v>28</v>
      </c>
      <c r="D6487" s="2" t="s">
        <v>29</v>
      </c>
      <c r="E6487" s="5">
        <v>-28342</v>
      </c>
      <c r="F6487" s="3" t="s">
        <v>2281</v>
      </c>
      <c r="G6487" s="3" t="s">
        <v>31</v>
      </c>
      <c r="H6487" s="2" t="s">
        <v>20</v>
      </c>
      <c r="I6487" s="2" t="s">
        <v>12778</v>
      </c>
      <c r="J6487" s="3" t="str">
        <f>HYPERLINK("https://www.boe.es/gazeta/dias/1822/05/26/pdfs/GMD-1822-151.pdf#page=3","Abrir facsímil")</f>
        <v>Abrir facsímil</v>
      </c>
      <c r="K6487" s="3" t="s">
        <v>22</v>
      </c>
    </row>
    <row r="6488" spans="1:11" ht="42" customHeight="1">
      <c r="A6488" s="2" t="s">
        <v>12779</v>
      </c>
      <c r="B6488" s="2" t="s">
        <v>12779</v>
      </c>
      <c r="C6488" s="2" t="s">
        <v>50</v>
      </c>
      <c r="D6488" s="2" t="s">
        <v>51</v>
      </c>
      <c r="E6488" s="5">
        <v>-28420</v>
      </c>
      <c r="F6488" s="3" t="s">
        <v>449</v>
      </c>
      <c r="G6488" s="3" t="s">
        <v>31</v>
      </c>
      <c r="H6488" s="2" t="s">
        <v>20</v>
      </c>
      <c r="I6488" s="2" t="s">
        <v>12780</v>
      </c>
      <c r="J6488" s="3" t="str">
        <f>HYPERLINK("https://www.boe.es/gazeta/dias/1822/03/09/pdfs/GMD-1822-70.pdf#page=3","Abrir facsímil")</f>
        <v>Abrir facsímil</v>
      </c>
      <c r="K6488" s="3" t="s">
        <v>22</v>
      </c>
    </row>
    <row r="6489" spans="1:11" ht="42" customHeight="1">
      <c r="A6489" s="2" t="s">
        <v>12781</v>
      </c>
      <c r="B6489" s="2" t="s">
        <v>12782</v>
      </c>
      <c r="C6489" s="2" t="s">
        <v>28</v>
      </c>
      <c r="D6489" s="2" t="s">
        <v>29</v>
      </c>
      <c r="E6489" s="5">
        <v>-28372</v>
      </c>
      <c r="F6489" s="3" t="s">
        <v>503</v>
      </c>
      <c r="G6489" s="3" t="s">
        <v>31</v>
      </c>
      <c r="H6489" s="2" t="s">
        <v>20</v>
      </c>
      <c r="I6489" s="2" t="s">
        <v>12783</v>
      </c>
      <c r="J6489" s="3" t="str">
        <f>HYPERLINK("https://www.boe.es/gazeta/dias/1822/04/26/pdfs/GMD-1822-118.pdf#page=3","Abrir facsímil")</f>
        <v>Abrir facsímil</v>
      </c>
      <c r="K6489" s="3" t="s">
        <v>22</v>
      </c>
    </row>
    <row r="6490" spans="1:11" ht="42" customHeight="1">
      <c r="A6490" s="2" t="s">
        <v>12784</v>
      </c>
      <c r="B6490" s="2" t="s">
        <v>12785</v>
      </c>
      <c r="C6490" s="2" t="s">
        <v>362</v>
      </c>
      <c r="D6490" s="2" t="s">
        <v>17</v>
      </c>
      <c r="E6490" s="5">
        <v>-28181</v>
      </c>
      <c r="F6490" s="3" t="s">
        <v>739</v>
      </c>
      <c r="G6490" s="3" t="s">
        <v>63</v>
      </c>
      <c r="H6490" s="2" t="s">
        <v>20</v>
      </c>
      <c r="I6490" s="2" t="s">
        <v>12786</v>
      </c>
      <c r="J6490" s="3" t="str">
        <f>HYPERLINK("https://www.boe.es/gazeta/dias/1822/11/03/pdfs/GMD-1822-321.pdf#page=6","Abrir facsímil")</f>
        <v>Abrir facsímil</v>
      </c>
      <c r="K6490" s="3" t="s">
        <v>22</v>
      </c>
    </row>
    <row r="6491" spans="1:11" ht="42" customHeight="1">
      <c r="A6491" s="2" t="s">
        <v>12787</v>
      </c>
      <c r="B6491" s="2" t="s">
        <v>12788</v>
      </c>
      <c r="C6491" s="2" t="s">
        <v>28</v>
      </c>
      <c r="D6491" s="2" t="s">
        <v>29</v>
      </c>
      <c r="E6491" s="5">
        <v>-28275</v>
      </c>
      <c r="F6491" s="3" t="s">
        <v>1297</v>
      </c>
      <c r="G6491" s="3" t="s">
        <v>57</v>
      </c>
      <c r="H6491" s="2" t="s">
        <v>45</v>
      </c>
      <c r="I6491" s="2" t="s">
        <v>12789</v>
      </c>
      <c r="J6491" s="3" t="str">
        <f>HYPERLINK("https://www.boe.es/gazeta/dias/1822/08/01/pdfs/GMD-1822-225.pdf#page=4","Abrir facsímil")</f>
        <v>Abrir facsímil</v>
      </c>
      <c r="K6491" s="3" t="s">
        <v>47</v>
      </c>
    </row>
    <row r="6492" spans="1:11" ht="42" customHeight="1">
      <c r="A6492" s="2" t="s">
        <v>12790</v>
      </c>
      <c r="B6492" s="2" t="s">
        <v>12791</v>
      </c>
      <c r="C6492" s="2" t="s">
        <v>28</v>
      </c>
      <c r="D6492" s="2" t="s">
        <v>29</v>
      </c>
      <c r="E6492" s="5">
        <v>-28345</v>
      </c>
      <c r="F6492" s="3" t="s">
        <v>294</v>
      </c>
      <c r="G6492" s="3" t="s">
        <v>63</v>
      </c>
      <c r="H6492" s="2" t="s">
        <v>20</v>
      </c>
      <c r="I6492" s="2" t="s">
        <v>12792</v>
      </c>
      <c r="J6492" s="3" t="str">
        <f>HYPERLINK("https://www.boe.es/gazeta/dias/1822/05/23/pdfs/GMD-1822-147.pdf#page=6","Abrir facsímil")</f>
        <v>Abrir facsímil</v>
      </c>
      <c r="K6492" s="3" t="s">
        <v>22</v>
      </c>
    </row>
    <row r="6493" spans="1:11" ht="42" customHeight="1">
      <c r="A6493" s="2" t="s">
        <v>12793</v>
      </c>
      <c r="B6493" s="2" t="s">
        <v>12793</v>
      </c>
      <c r="C6493" s="2" t="s">
        <v>50</v>
      </c>
      <c r="D6493" s="2" t="s">
        <v>51</v>
      </c>
      <c r="E6493" s="5">
        <v>-28309</v>
      </c>
      <c r="F6493" s="3" t="s">
        <v>553</v>
      </c>
      <c r="G6493" s="3" t="s">
        <v>44</v>
      </c>
      <c r="H6493" s="2" t="s">
        <v>20</v>
      </c>
      <c r="I6493" s="2" t="s">
        <v>12794</v>
      </c>
      <c r="J6493" s="3" t="str">
        <f>HYPERLINK("https://www.boe.es/gazeta/dias/1822/06/28/pdfs/GMD-1822-186.pdf#page=1","Abrir facsímil")</f>
        <v>Abrir facsímil</v>
      </c>
      <c r="K6493" s="3" t="s">
        <v>22</v>
      </c>
    </row>
    <row r="6494" spans="1:11" ht="42" customHeight="1">
      <c r="A6494" s="2" t="s">
        <v>12795</v>
      </c>
      <c r="B6494" s="2" t="s">
        <v>12795</v>
      </c>
      <c r="C6494" s="2" t="s">
        <v>16</v>
      </c>
      <c r="D6494" s="2" t="s">
        <v>17</v>
      </c>
      <c r="E6494" s="5">
        <v>-28224</v>
      </c>
      <c r="F6494" s="3" t="s">
        <v>1902</v>
      </c>
      <c r="G6494" s="3" t="s">
        <v>57</v>
      </c>
      <c r="H6494" s="2" t="s">
        <v>20</v>
      </c>
      <c r="I6494" s="2" t="s">
        <v>12796</v>
      </c>
      <c r="J6494" s="3" t="str">
        <f>HYPERLINK("https://www.boe.es/gazeta/dias/1822/09/21/pdfs/GMD-1822-277.pdf#page=4","Abrir facsímil")</f>
        <v>Abrir facsímil</v>
      </c>
      <c r="K6494" s="3" t="s">
        <v>22</v>
      </c>
    </row>
    <row r="6495" spans="1:11" ht="42" customHeight="1">
      <c r="A6495" s="2" t="s">
        <v>12797</v>
      </c>
      <c r="B6495" s="2" t="s">
        <v>12798</v>
      </c>
      <c r="C6495" s="2" t="s">
        <v>42</v>
      </c>
      <c r="D6495" s="2" t="s">
        <v>17</v>
      </c>
      <c r="E6495" s="5">
        <v>-28286</v>
      </c>
      <c r="F6495" s="3" t="s">
        <v>1853</v>
      </c>
      <c r="G6495" s="3" t="s">
        <v>35</v>
      </c>
      <c r="H6495" s="2" t="s">
        <v>20</v>
      </c>
      <c r="I6495" s="2" t="s">
        <v>12799</v>
      </c>
      <c r="J6495" s="3" t="str">
        <f>HYPERLINK("https://www.boe.es/gazeta/dias/1822/07/21/pdfs/GMD-1822-213.pdf#page=2","Abrir facsímil")</f>
        <v>Abrir facsímil</v>
      </c>
      <c r="K6495" s="3" t="s">
        <v>22</v>
      </c>
    </row>
    <row r="6496" spans="1:11" ht="42" customHeight="1">
      <c r="A6496" s="2" t="s">
        <v>12800</v>
      </c>
      <c r="B6496" s="2" t="s">
        <v>12801</v>
      </c>
      <c r="C6496" s="2" t="s">
        <v>50</v>
      </c>
      <c r="D6496" s="2" t="s">
        <v>51</v>
      </c>
      <c r="E6496" s="5">
        <v>-28384</v>
      </c>
      <c r="F6496" s="3" t="s">
        <v>258</v>
      </c>
      <c r="G6496" s="3" t="s">
        <v>63</v>
      </c>
      <c r="H6496" s="2" t="s">
        <v>20</v>
      </c>
      <c r="I6496" s="2" t="s">
        <v>12802</v>
      </c>
      <c r="J6496" s="3" t="str">
        <f>HYPERLINK("https://www.boe.es/gazeta/dias/1822/04/14/pdfs/GMD-1822-106.pdf#page=6","Abrir facsímil")</f>
        <v>Abrir facsímil</v>
      </c>
      <c r="K6496" s="3" t="s">
        <v>22</v>
      </c>
    </row>
    <row r="6497" spans="1:11" ht="42" customHeight="1">
      <c r="A6497" s="2" t="s">
        <v>12803</v>
      </c>
      <c r="B6497" s="2" t="s">
        <v>12804</v>
      </c>
      <c r="C6497" s="2" t="s">
        <v>24</v>
      </c>
      <c r="D6497" s="2" t="s">
        <v>17</v>
      </c>
      <c r="E6497" s="5">
        <v>-28297</v>
      </c>
      <c r="F6497" s="3" t="s">
        <v>1972</v>
      </c>
      <c r="G6497" s="3" t="s">
        <v>57</v>
      </c>
      <c r="H6497" s="2" t="s">
        <v>20</v>
      </c>
      <c r="I6497" s="2" t="s">
        <v>12805</v>
      </c>
      <c r="J6497" s="3" t="str">
        <f>HYPERLINK("https://www.boe.es/gazeta/dias/1822/07/10/pdfs/GMD-1822-200.pdf#page=4","Abrir facsímil")</f>
        <v>Abrir facsímil</v>
      </c>
      <c r="K6497" s="3" t="s">
        <v>22</v>
      </c>
    </row>
    <row r="6498" spans="1:11" ht="42" customHeight="1">
      <c r="A6498" s="2" t="s">
        <v>12806</v>
      </c>
      <c r="B6498" s="2" t="s">
        <v>12807</v>
      </c>
      <c r="C6498" s="2" t="s">
        <v>362</v>
      </c>
      <c r="D6498" s="2" t="s">
        <v>17</v>
      </c>
      <c r="E6498" s="5">
        <v>-28181</v>
      </c>
      <c r="F6498" s="3" t="s">
        <v>739</v>
      </c>
      <c r="G6498" s="3" t="s">
        <v>63</v>
      </c>
      <c r="H6498" s="2" t="s">
        <v>20</v>
      </c>
      <c r="I6498" s="2" t="s">
        <v>12808</v>
      </c>
      <c r="J6498" s="3" t="str">
        <f>HYPERLINK("https://www.boe.es/gazeta/dias/1822/11/03/pdfs/GMD-1822-321.pdf#page=6","Abrir facsímil")</f>
        <v>Abrir facsímil</v>
      </c>
      <c r="K6498" s="3" t="s">
        <v>22</v>
      </c>
    </row>
    <row r="6499" spans="1:11" ht="42" customHeight="1">
      <c r="A6499" s="2" t="s">
        <v>12809</v>
      </c>
      <c r="B6499" s="2" t="s">
        <v>12809</v>
      </c>
      <c r="C6499" s="2" t="s">
        <v>42</v>
      </c>
      <c r="D6499" s="2" t="s">
        <v>17</v>
      </c>
      <c r="E6499" s="5">
        <v>-28251</v>
      </c>
      <c r="F6499" s="3" t="s">
        <v>1485</v>
      </c>
      <c r="G6499" s="3" t="s">
        <v>44</v>
      </c>
      <c r="H6499" s="2" t="s">
        <v>20</v>
      </c>
      <c r="I6499" s="2" t="s">
        <v>12810</v>
      </c>
      <c r="J6499" s="3" t="str">
        <f>HYPERLINK("https://www.boe.es/gazeta/dias/1822/08/25/pdfs/GMD-1822-249.pdf#page=1","Abrir facsímil")</f>
        <v>Abrir facsímil</v>
      </c>
      <c r="K6499" s="3" t="s">
        <v>22</v>
      </c>
    </row>
    <row r="6500" spans="1:11" ht="42" customHeight="1">
      <c r="A6500" s="2" t="s">
        <v>12811</v>
      </c>
      <c r="B6500" s="2" t="s">
        <v>12811</v>
      </c>
      <c r="C6500" s="2" t="s">
        <v>24</v>
      </c>
      <c r="D6500" s="2" t="s">
        <v>17</v>
      </c>
      <c r="E6500" s="5">
        <v>-28476</v>
      </c>
      <c r="F6500" s="3" t="s">
        <v>160</v>
      </c>
      <c r="G6500" s="3" t="s">
        <v>57</v>
      </c>
      <c r="H6500" s="2" t="s">
        <v>20</v>
      </c>
      <c r="I6500" s="2" t="s">
        <v>12812</v>
      </c>
      <c r="J6500" s="3" t="str">
        <f>HYPERLINK("https://www.boe.es/gazeta/dias/1822/01/12/pdfs/GMD-1822-12.pdf#page=4","Abrir facsímil")</f>
        <v>Abrir facsímil</v>
      </c>
      <c r="K6500" s="3" t="s">
        <v>22</v>
      </c>
    </row>
    <row r="6501" spans="1:11" ht="42" customHeight="1">
      <c r="A6501" s="2" t="s">
        <v>12813</v>
      </c>
      <c r="B6501" s="2" t="s">
        <v>12813</v>
      </c>
      <c r="C6501" s="2" t="s">
        <v>24</v>
      </c>
      <c r="D6501" s="2" t="s">
        <v>17</v>
      </c>
      <c r="E6501" s="5">
        <v>-28270</v>
      </c>
      <c r="F6501" s="3" t="s">
        <v>130</v>
      </c>
      <c r="G6501" s="3" t="s">
        <v>35</v>
      </c>
      <c r="H6501" s="2" t="s">
        <v>20</v>
      </c>
      <c r="I6501" s="2" t="s">
        <v>12814</v>
      </c>
      <c r="J6501" s="3" t="str">
        <f>HYPERLINK("https://www.boe.es/gazeta/dias/1822/08/06/pdfs/GMD-1822-230.pdf#page=2","Abrir facsímil")</f>
        <v>Abrir facsímil</v>
      </c>
      <c r="K6501" s="3" t="s">
        <v>22</v>
      </c>
    </row>
    <row r="6502" spans="1:11" ht="42" customHeight="1">
      <c r="A6502" s="2" t="s">
        <v>12815</v>
      </c>
      <c r="B6502" s="2" t="s">
        <v>12815</v>
      </c>
      <c r="C6502" s="2" t="s">
        <v>50</v>
      </c>
      <c r="D6502" s="2" t="s">
        <v>51</v>
      </c>
      <c r="E6502" s="5">
        <v>-28278</v>
      </c>
      <c r="F6502" s="3" t="s">
        <v>368</v>
      </c>
      <c r="G6502" s="3" t="s">
        <v>35</v>
      </c>
      <c r="H6502" s="2" t="s">
        <v>20</v>
      </c>
      <c r="I6502" s="2" t="s">
        <v>12816</v>
      </c>
      <c r="J6502" s="3" t="str">
        <f>HYPERLINK("https://www.boe.es/gazeta/dias/1822/07/29/pdfs/GMD-1822-222.pdf#page=2","Abrir facsímil")</f>
        <v>Abrir facsímil</v>
      </c>
      <c r="K6502" s="3" t="s">
        <v>22</v>
      </c>
    </row>
    <row r="6503" spans="1:11" ht="42" customHeight="1">
      <c r="A6503" s="2" t="s">
        <v>12815</v>
      </c>
      <c r="B6503" s="2" t="s">
        <v>12815</v>
      </c>
      <c r="C6503" s="2" t="s">
        <v>50</v>
      </c>
      <c r="D6503" s="2" t="s">
        <v>51</v>
      </c>
      <c r="E6503" s="5">
        <v>-28148</v>
      </c>
      <c r="F6503" s="3" t="s">
        <v>1909</v>
      </c>
      <c r="G6503" s="3" t="s">
        <v>35</v>
      </c>
      <c r="H6503" s="2" t="s">
        <v>20</v>
      </c>
      <c r="I6503" s="2" t="s">
        <v>12817</v>
      </c>
      <c r="J6503" s="3" t="str">
        <f>HYPERLINK("https://www.boe.es/gazeta/dias/1822/12/06/pdfs/GMD-1822-356.pdf#page=2","Abrir facsímil")</f>
        <v>Abrir facsímil</v>
      </c>
      <c r="K6503" s="3" t="s">
        <v>22</v>
      </c>
    </row>
    <row r="6504" spans="1:11" ht="42" customHeight="1">
      <c r="A6504" s="2" t="s">
        <v>12818</v>
      </c>
      <c r="B6504" s="2" t="s">
        <v>12819</v>
      </c>
      <c r="C6504" s="2" t="s">
        <v>50</v>
      </c>
      <c r="D6504" s="2" t="s">
        <v>723</v>
      </c>
      <c r="E6504" s="5">
        <v>-28349</v>
      </c>
      <c r="F6504" s="3" t="s">
        <v>795</v>
      </c>
      <c r="G6504" s="3" t="s">
        <v>44</v>
      </c>
      <c r="H6504" s="2" t="s">
        <v>20</v>
      </c>
      <c r="I6504" s="2" t="s">
        <v>12820</v>
      </c>
      <c r="J6504" s="3" t="str">
        <f>HYPERLINK("https://www.boe.es/gazeta/dias/1822/05/19/pdfs/GMD-1822-142E.pdf#page=1","Abrir facsímil")</f>
        <v>Abrir facsímil</v>
      </c>
      <c r="K6504" s="3" t="s">
        <v>22</v>
      </c>
    </row>
    <row r="6505" spans="1:11" ht="42" customHeight="1">
      <c r="A6505" s="2" t="s">
        <v>12818</v>
      </c>
      <c r="B6505" s="2" t="s">
        <v>12819</v>
      </c>
      <c r="C6505" s="2" t="s">
        <v>50</v>
      </c>
      <c r="D6505" s="2" t="s">
        <v>51</v>
      </c>
      <c r="E6505" s="5">
        <v>-28347</v>
      </c>
      <c r="F6505" s="3" t="s">
        <v>520</v>
      </c>
      <c r="G6505" s="3" t="s">
        <v>63</v>
      </c>
      <c r="H6505" s="2" t="s">
        <v>20</v>
      </c>
      <c r="I6505" s="2" t="s">
        <v>12821</v>
      </c>
      <c r="J6505" s="3" t="str">
        <f>HYPERLINK("https://www.boe.es/gazeta/dias/1822/05/21/pdfs/GMD-1822-144.pdf#page=6","Abrir facsímil")</f>
        <v>Abrir facsímil</v>
      </c>
      <c r="K6505" s="3" t="s">
        <v>22</v>
      </c>
    </row>
    <row r="6506" spans="1:11" ht="42" customHeight="1">
      <c r="A6506" s="2" t="s">
        <v>12822</v>
      </c>
      <c r="B6506" s="2" t="s">
        <v>12823</v>
      </c>
      <c r="C6506" s="2" t="s">
        <v>50</v>
      </c>
      <c r="D6506" s="2" t="s">
        <v>51</v>
      </c>
      <c r="E6506" s="5">
        <v>-28303</v>
      </c>
      <c r="F6506" s="3" t="s">
        <v>201</v>
      </c>
      <c r="G6506" s="3" t="s">
        <v>31</v>
      </c>
      <c r="H6506" s="2" t="s">
        <v>20</v>
      </c>
      <c r="I6506" s="2" t="s">
        <v>12824</v>
      </c>
      <c r="J6506" s="3" t="str">
        <f>HYPERLINK("https://www.boe.es/gazeta/dias/1822/07/04/pdfs/GMD-1822-193.pdf#page=3","Abrir facsímil")</f>
        <v>Abrir facsímil</v>
      </c>
      <c r="K6506" s="3" t="s">
        <v>22</v>
      </c>
    </row>
    <row r="6507" spans="1:11" ht="42" customHeight="1">
      <c r="A6507" s="2" t="s">
        <v>12825</v>
      </c>
      <c r="B6507" s="2" t="s">
        <v>12825</v>
      </c>
      <c r="C6507" s="2" t="s">
        <v>71</v>
      </c>
      <c r="D6507" s="2" t="s">
        <v>17</v>
      </c>
      <c r="E6507" s="5">
        <v>-28246</v>
      </c>
      <c r="F6507" s="3" t="s">
        <v>3246</v>
      </c>
      <c r="G6507" s="3" t="s">
        <v>1085</v>
      </c>
      <c r="H6507" s="2" t="s">
        <v>20</v>
      </c>
      <c r="I6507" s="2" t="s">
        <v>12826</v>
      </c>
      <c r="J6507" s="3" t="str">
        <f>HYPERLINK("https://www.boe.es/gazeta/dias/1822/08/30/pdfs/GMD-1822-254.pdf#page=5","Abrir facsímil")</f>
        <v>Abrir facsímil</v>
      </c>
      <c r="K6507" s="3" t="s">
        <v>22</v>
      </c>
    </row>
    <row r="6508" spans="1:11" ht="42" customHeight="1">
      <c r="A6508" s="2" t="s">
        <v>12827</v>
      </c>
      <c r="B6508" s="2" t="s">
        <v>12828</v>
      </c>
      <c r="C6508" s="2" t="s">
        <v>50</v>
      </c>
      <c r="D6508" s="2" t="s">
        <v>51</v>
      </c>
      <c r="E6508" s="5">
        <v>-28415</v>
      </c>
      <c r="F6508" s="3" t="s">
        <v>77</v>
      </c>
      <c r="G6508" s="3" t="s">
        <v>63</v>
      </c>
      <c r="H6508" s="2" t="s">
        <v>20</v>
      </c>
      <c r="I6508" s="2" t="s">
        <v>12829</v>
      </c>
      <c r="J6508" s="3" t="str">
        <f>HYPERLINK("https://www.boe.es/gazeta/dias/1822/03/14/pdfs/GMD-1822-75.pdf#page=6","Abrir facsímil")</f>
        <v>Abrir facsímil</v>
      </c>
      <c r="K6508" s="3" t="s">
        <v>22</v>
      </c>
    </row>
    <row r="6509" spans="1:11" ht="42" customHeight="1">
      <c r="A6509" s="2" t="s">
        <v>12830</v>
      </c>
      <c r="B6509" s="2" t="s">
        <v>12830</v>
      </c>
      <c r="C6509" s="2" t="s">
        <v>24</v>
      </c>
      <c r="D6509" s="2" t="s">
        <v>17</v>
      </c>
      <c r="E6509" s="5">
        <v>-28271</v>
      </c>
      <c r="F6509" s="3" t="s">
        <v>4942</v>
      </c>
      <c r="G6509" s="3" t="s">
        <v>57</v>
      </c>
      <c r="H6509" s="2" t="s">
        <v>20</v>
      </c>
      <c r="I6509" s="2" t="s">
        <v>12831</v>
      </c>
      <c r="J6509" s="3" t="str">
        <f>HYPERLINK("https://www.boe.es/gazeta/dias/1822/08/05/pdfs/GMD-1822-229.pdf#page=4","Abrir facsímil")</f>
        <v>Abrir facsímil</v>
      </c>
      <c r="K6509" s="3" t="s">
        <v>22</v>
      </c>
    </row>
    <row r="6510" spans="1:11" ht="42" customHeight="1">
      <c r="A6510" s="2" t="s">
        <v>12832</v>
      </c>
      <c r="B6510" s="2" t="s">
        <v>12832</v>
      </c>
      <c r="C6510" s="2" t="s">
        <v>50</v>
      </c>
      <c r="D6510" s="2" t="s">
        <v>51</v>
      </c>
      <c r="E6510" s="5">
        <v>-28337</v>
      </c>
      <c r="F6510" s="3" t="s">
        <v>1836</v>
      </c>
      <c r="G6510" s="3" t="s">
        <v>57</v>
      </c>
      <c r="H6510" s="2" t="s">
        <v>20</v>
      </c>
      <c r="I6510" s="2" t="s">
        <v>12833</v>
      </c>
      <c r="J6510" s="3" t="str">
        <f>HYPERLINK("https://www.boe.es/gazeta/dias/1822/05/31/pdfs/GMD-1822-156.pdf#page=4","Abrir facsímil")</f>
        <v>Abrir facsímil</v>
      </c>
      <c r="K6510" s="3" t="s">
        <v>22</v>
      </c>
    </row>
    <row r="6511" spans="1:11" ht="42" customHeight="1">
      <c r="A6511" s="2" t="s">
        <v>12834</v>
      </c>
      <c r="B6511" s="2" t="s">
        <v>12834</v>
      </c>
      <c r="C6511" s="2" t="s">
        <v>50</v>
      </c>
      <c r="D6511" s="2" t="s">
        <v>51</v>
      </c>
      <c r="E6511" s="5">
        <v>-28219</v>
      </c>
      <c r="F6511" s="3" t="s">
        <v>1082</v>
      </c>
      <c r="G6511" s="3" t="s">
        <v>31</v>
      </c>
      <c r="H6511" s="2" t="s">
        <v>20</v>
      </c>
      <c r="I6511" s="2" t="s">
        <v>12835</v>
      </c>
      <c r="J6511" s="3" t="str">
        <f>HYPERLINK("https://www.boe.es/gazeta/dias/1822/09/26/pdfs/GMD-1822-282.pdf#page=3","Abrir facsímil")</f>
        <v>Abrir facsímil</v>
      </c>
      <c r="K6511" s="3" t="s">
        <v>22</v>
      </c>
    </row>
    <row r="6512" spans="1:11" ht="42" customHeight="1">
      <c r="A6512" s="2" t="s">
        <v>12836</v>
      </c>
      <c r="B6512" s="2" t="s">
        <v>12837</v>
      </c>
      <c r="C6512" s="2" t="s">
        <v>24</v>
      </c>
      <c r="D6512" s="2" t="s">
        <v>17</v>
      </c>
      <c r="E6512" s="5">
        <v>-28208</v>
      </c>
      <c r="F6512" s="3" t="s">
        <v>230</v>
      </c>
      <c r="G6512" s="3" t="s">
        <v>57</v>
      </c>
      <c r="H6512" s="2" t="s">
        <v>20</v>
      </c>
      <c r="I6512" s="2" t="s">
        <v>12838</v>
      </c>
      <c r="J6512" s="3" t="str">
        <f>HYPERLINK("https://www.boe.es/gazeta/dias/1822/10/07/pdfs/GMD-1822-293.pdf#page=4","Abrir facsímil")</f>
        <v>Abrir facsímil</v>
      </c>
      <c r="K6512" s="3" t="s">
        <v>22</v>
      </c>
    </row>
    <row r="6513" spans="1:11" ht="42" customHeight="1">
      <c r="A6513" s="2" t="s">
        <v>12839</v>
      </c>
      <c r="B6513" s="2" t="s">
        <v>12839</v>
      </c>
      <c r="C6513" s="2" t="s">
        <v>50</v>
      </c>
      <c r="D6513" s="2" t="s">
        <v>51</v>
      </c>
      <c r="E6513" s="5">
        <v>-28415</v>
      </c>
      <c r="F6513" s="3" t="s">
        <v>77</v>
      </c>
      <c r="G6513" s="3" t="s">
        <v>31</v>
      </c>
      <c r="H6513" s="2" t="s">
        <v>20</v>
      </c>
      <c r="I6513" s="2" t="s">
        <v>12840</v>
      </c>
      <c r="J6513" s="3" t="str">
        <f>HYPERLINK("https://www.boe.es/gazeta/dias/1822/03/14/pdfs/GMD-1822-75.pdf#page=3","Abrir facsímil")</f>
        <v>Abrir facsímil</v>
      </c>
      <c r="K6513" s="3" t="s">
        <v>22</v>
      </c>
    </row>
    <row r="6514" spans="1:11" ht="42" customHeight="1">
      <c r="A6514" s="2" t="s">
        <v>12841</v>
      </c>
      <c r="B6514" s="2" t="s">
        <v>12841</v>
      </c>
      <c r="C6514" s="2" t="s">
        <v>61</v>
      </c>
      <c r="D6514" s="2" t="s">
        <v>17</v>
      </c>
      <c r="E6514" s="5">
        <v>-28176</v>
      </c>
      <c r="F6514" s="3" t="s">
        <v>780</v>
      </c>
      <c r="G6514" s="3" t="s">
        <v>44</v>
      </c>
      <c r="H6514" s="2" t="s">
        <v>20</v>
      </c>
      <c r="I6514" s="2" t="s">
        <v>12842</v>
      </c>
      <c r="J6514" s="3" t="str">
        <f>HYPERLINK("https://www.boe.es/gazeta/dias/1822/11/08/pdfs/GMD-1822-328.pdf#page=1","Abrir facsímil")</f>
        <v>Abrir facsímil</v>
      </c>
      <c r="K6514" s="3" t="s">
        <v>22</v>
      </c>
    </row>
    <row r="6515" spans="1:11" ht="42" customHeight="1">
      <c r="A6515" s="2" t="s">
        <v>12843</v>
      </c>
      <c r="B6515" s="2" t="s">
        <v>12844</v>
      </c>
      <c r="C6515" s="2" t="s">
        <v>50</v>
      </c>
      <c r="D6515" s="2" t="s">
        <v>51</v>
      </c>
      <c r="E6515" s="5">
        <v>-28455</v>
      </c>
      <c r="F6515" s="3" t="s">
        <v>1107</v>
      </c>
      <c r="G6515" s="3" t="s">
        <v>19</v>
      </c>
      <c r="H6515" s="2" t="s">
        <v>20</v>
      </c>
      <c r="I6515" s="2" t="s">
        <v>12845</v>
      </c>
      <c r="J6515" s="3" t="str">
        <f>HYPERLINK("https://www.boe.es/gazeta/dias/1822/02/02/pdfs/GMD-1822-33.pdf#page=5","Abrir facsímil")</f>
        <v>Abrir facsímil</v>
      </c>
      <c r="K6515" s="3" t="s">
        <v>22</v>
      </c>
    </row>
    <row r="6516" spans="1:11" ht="42" customHeight="1">
      <c r="A6516" s="2" t="s">
        <v>12846</v>
      </c>
      <c r="B6516" s="2" t="s">
        <v>12847</v>
      </c>
      <c r="C6516" s="2" t="s">
        <v>50</v>
      </c>
      <c r="D6516" s="2" t="s">
        <v>51</v>
      </c>
      <c r="E6516" s="5">
        <v>-28341</v>
      </c>
      <c r="F6516" s="3" t="s">
        <v>284</v>
      </c>
      <c r="G6516" s="3" t="s">
        <v>57</v>
      </c>
      <c r="H6516" s="2" t="s">
        <v>20</v>
      </c>
      <c r="I6516" s="2" t="s">
        <v>12848</v>
      </c>
      <c r="J6516" s="3" t="str">
        <f>HYPERLINK("https://www.boe.es/gazeta/dias/1822/05/27/pdfs/GMD-1822-152.pdf#page=4","Abrir facsímil")</f>
        <v>Abrir facsímil</v>
      </c>
      <c r="K6516" s="3" t="s">
        <v>22</v>
      </c>
    </row>
    <row r="6517" spans="1:11" ht="42" customHeight="1">
      <c r="A6517" s="2" t="s">
        <v>12849</v>
      </c>
      <c r="B6517" s="2" t="s">
        <v>12850</v>
      </c>
      <c r="C6517" s="2" t="s">
        <v>28</v>
      </c>
      <c r="D6517" s="2" t="s">
        <v>29</v>
      </c>
      <c r="E6517" s="5">
        <v>-28432</v>
      </c>
      <c r="F6517" s="3" t="s">
        <v>195</v>
      </c>
      <c r="G6517" s="3" t="s">
        <v>57</v>
      </c>
      <c r="H6517" s="2" t="s">
        <v>20</v>
      </c>
      <c r="I6517" s="2" t="s">
        <v>12851</v>
      </c>
      <c r="J6517" s="3" t="str">
        <f>HYPERLINK("https://www.boe.es/gazeta/dias/1822/02/25/pdfs/GMD-1822-57.pdf#page=4","Abrir facsímil")</f>
        <v>Abrir facsímil</v>
      </c>
      <c r="K6517" s="3" t="s">
        <v>22</v>
      </c>
    </row>
    <row r="6518" spans="1:11" ht="42" customHeight="1">
      <c r="A6518" s="2" t="s">
        <v>12852</v>
      </c>
      <c r="B6518" s="2" t="s">
        <v>12853</v>
      </c>
      <c r="C6518" s="2" t="s">
        <v>50</v>
      </c>
      <c r="D6518" s="2" t="s">
        <v>51</v>
      </c>
      <c r="E6518" s="5">
        <v>-28303</v>
      </c>
      <c r="F6518" s="3" t="s">
        <v>201</v>
      </c>
      <c r="G6518" s="3" t="s">
        <v>31</v>
      </c>
      <c r="H6518" s="2" t="s">
        <v>20</v>
      </c>
      <c r="I6518" s="2" t="s">
        <v>12854</v>
      </c>
      <c r="J6518" s="3" t="str">
        <f>HYPERLINK("https://www.boe.es/gazeta/dias/1822/07/04/pdfs/GMD-1822-193.pdf#page=3","Abrir facsímil")</f>
        <v>Abrir facsímil</v>
      </c>
      <c r="K6518" s="3" t="s">
        <v>22</v>
      </c>
    </row>
    <row r="6519" spans="1:11" ht="42" customHeight="1">
      <c r="A6519" s="2" t="s">
        <v>12852</v>
      </c>
      <c r="B6519" s="2" t="s">
        <v>12853</v>
      </c>
      <c r="C6519" s="2" t="s">
        <v>24</v>
      </c>
      <c r="D6519" s="2" t="s">
        <v>17</v>
      </c>
      <c r="E6519" s="5">
        <v>-28208</v>
      </c>
      <c r="F6519" s="3" t="s">
        <v>230</v>
      </c>
      <c r="G6519" s="3" t="s">
        <v>57</v>
      </c>
      <c r="H6519" s="2" t="s">
        <v>20</v>
      </c>
      <c r="I6519" s="2" t="s">
        <v>12855</v>
      </c>
      <c r="J6519" s="3" t="str">
        <f>HYPERLINK("https://www.boe.es/gazeta/dias/1822/10/07/pdfs/GMD-1822-293.pdf#page=4","Abrir facsímil")</f>
        <v>Abrir facsímil</v>
      </c>
      <c r="K6519" s="3" t="s">
        <v>22</v>
      </c>
    </row>
    <row r="6520" spans="1:11" ht="42" customHeight="1">
      <c r="A6520" s="2" t="s">
        <v>12856</v>
      </c>
      <c r="B6520" s="2" t="s">
        <v>12856</v>
      </c>
      <c r="C6520" s="2" t="s">
        <v>61</v>
      </c>
      <c r="D6520" s="2" t="s">
        <v>17</v>
      </c>
      <c r="E6520" s="5">
        <v>-28211</v>
      </c>
      <c r="F6520" s="3" t="s">
        <v>273</v>
      </c>
      <c r="G6520" s="3" t="s">
        <v>57</v>
      </c>
      <c r="H6520" s="2" t="s">
        <v>20</v>
      </c>
      <c r="I6520" s="2" t="s">
        <v>12857</v>
      </c>
      <c r="J6520" s="3" t="str">
        <f>HYPERLINK("https://www.boe.es/gazeta/dias/1822/10/04/pdfs/GMD-1822-290.pdf#page=4","Abrir facsímil")</f>
        <v>Abrir facsímil</v>
      </c>
      <c r="K6520" s="3" t="s">
        <v>22</v>
      </c>
    </row>
    <row r="6521" spans="1:11" ht="42" customHeight="1">
      <c r="A6521" s="2" t="s">
        <v>12858</v>
      </c>
      <c r="B6521" s="2" t="s">
        <v>12859</v>
      </c>
      <c r="C6521" s="2" t="s">
        <v>28</v>
      </c>
      <c r="D6521" s="2" t="s">
        <v>29</v>
      </c>
      <c r="E6521" s="5">
        <v>-28145</v>
      </c>
      <c r="F6521" s="3" t="s">
        <v>1350</v>
      </c>
      <c r="G6521" s="3" t="s">
        <v>63</v>
      </c>
      <c r="H6521" s="2" t="s">
        <v>20</v>
      </c>
      <c r="I6521" s="2" t="s">
        <v>12860</v>
      </c>
      <c r="J6521" s="3" t="str">
        <f>HYPERLINK("https://www.boe.es/gazeta/dias/1822/12/09/pdfs/GMD-1822-359.pdf#page=6","Abrir facsímil")</f>
        <v>Abrir facsímil</v>
      </c>
      <c r="K6521" s="3" t="s">
        <v>22</v>
      </c>
    </row>
    <row r="6522" spans="1:11" ht="42" customHeight="1">
      <c r="A6522" s="2" t="s">
        <v>12861</v>
      </c>
      <c r="B6522" s="2" t="s">
        <v>12862</v>
      </c>
      <c r="C6522" s="2" t="s">
        <v>50</v>
      </c>
      <c r="D6522" s="2" t="s">
        <v>51</v>
      </c>
      <c r="E6522" s="5">
        <v>-28150</v>
      </c>
      <c r="F6522" s="3" t="s">
        <v>62</v>
      </c>
      <c r="G6522" s="3" t="s">
        <v>63</v>
      </c>
      <c r="H6522" s="2" t="s">
        <v>20</v>
      </c>
      <c r="I6522" s="2" t="s">
        <v>12863</v>
      </c>
      <c r="J6522" s="3" t="str">
        <f>HYPERLINK("https://www.boe.es/gazeta/dias/1822/12/04/pdfs/GMD-1822-354.pdf#page=6","Abrir facsímil")</f>
        <v>Abrir facsímil</v>
      </c>
      <c r="K6522" s="3" t="s">
        <v>22</v>
      </c>
    </row>
    <row r="6523" spans="1:11" ht="42" customHeight="1">
      <c r="A6523" s="2" t="s">
        <v>12864</v>
      </c>
      <c r="B6523" s="2" t="s">
        <v>12865</v>
      </c>
      <c r="C6523" s="2" t="s">
        <v>50</v>
      </c>
      <c r="D6523" s="2" t="s">
        <v>51</v>
      </c>
      <c r="E6523" s="5">
        <v>-28157</v>
      </c>
      <c r="F6523" s="3" t="s">
        <v>1492</v>
      </c>
      <c r="G6523" s="3" t="s">
        <v>63</v>
      </c>
      <c r="H6523" s="2" t="s">
        <v>20</v>
      </c>
      <c r="I6523" s="2" t="s">
        <v>12866</v>
      </c>
      <c r="J6523" s="3" t="str">
        <f>HYPERLINK("https://www.boe.es/gazeta/dias/1822/11/27/pdfs/GMD-1822-347.pdf#page=6","Abrir facsímil")</f>
        <v>Abrir facsímil</v>
      </c>
      <c r="K6523" s="3" t="s">
        <v>22</v>
      </c>
    </row>
    <row r="6524" spans="1:11" ht="42" customHeight="1">
      <c r="A6524" s="2" t="s">
        <v>12867</v>
      </c>
      <c r="B6524" s="2" t="s">
        <v>12867</v>
      </c>
      <c r="C6524" s="2" t="s">
        <v>50</v>
      </c>
      <c r="D6524" s="2" t="s">
        <v>51</v>
      </c>
      <c r="E6524" s="5">
        <v>-28401</v>
      </c>
      <c r="F6524" s="3" t="s">
        <v>108</v>
      </c>
      <c r="G6524" s="3" t="s">
        <v>35</v>
      </c>
      <c r="H6524" s="2" t="s">
        <v>20</v>
      </c>
      <c r="I6524" s="2" t="s">
        <v>12868</v>
      </c>
      <c r="J6524" s="3" t="str">
        <f>HYPERLINK("https://www.boe.es/gazeta/dias/1822/03/28/pdfs/GMD-1822-89.pdf#page=2","Abrir facsímil")</f>
        <v>Abrir facsímil</v>
      </c>
      <c r="K6524" s="3" t="s">
        <v>22</v>
      </c>
    </row>
    <row r="6525" spans="1:11" ht="42" customHeight="1">
      <c r="A6525" s="2" t="s">
        <v>12869</v>
      </c>
      <c r="B6525" s="2" t="s">
        <v>12869</v>
      </c>
      <c r="C6525" s="2" t="s">
        <v>28</v>
      </c>
      <c r="D6525" s="2" t="s">
        <v>29</v>
      </c>
      <c r="E6525" s="5">
        <v>-28258</v>
      </c>
      <c r="F6525" s="3" t="s">
        <v>88</v>
      </c>
      <c r="G6525" s="3" t="s">
        <v>44</v>
      </c>
      <c r="H6525" s="2" t="s">
        <v>20</v>
      </c>
      <c r="I6525" s="2" t="s">
        <v>12870</v>
      </c>
      <c r="J6525" s="3" t="str">
        <f>HYPERLINK("https://www.boe.es/gazeta/dias/1822/08/18/pdfs/GMD-1822-242.pdf#page=1","Abrir facsímil")</f>
        <v>Abrir facsímil</v>
      </c>
      <c r="K6525" s="3" t="s">
        <v>22</v>
      </c>
    </row>
    <row r="6526" spans="1:11" ht="42" customHeight="1">
      <c r="A6526" s="2" t="s">
        <v>12871</v>
      </c>
      <c r="B6526" s="2" t="s">
        <v>12872</v>
      </c>
      <c r="C6526" s="2" t="s">
        <v>42</v>
      </c>
      <c r="D6526" s="2" t="s">
        <v>17</v>
      </c>
      <c r="E6526" s="5">
        <v>-28258</v>
      </c>
      <c r="F6526" s="3" t="s">
        <v>88</v>
      </c>
      <c r="G6526" s="3" t="s">
        <v>44</v>
      </c>
      <c r="H6526" s="2" t="s">
        <v>45</v>
      </c>
      <c r="I6526" s="2" t="s">
        <v>12873</v>
      </c>
      <c r="J6526" s="3" t="str">
        <f>HYPERLINK("https://www.boe.es/gazeta/dias/1822/08/18/pdfs/GMD-1822-242.pdf#page=1","Abrir facsímil")</f>
        <v>Abrir facsímil</v>
      </c>
      <c r="K6526" s="3" t="s">
        <v>47</v>
      </c>
    </row>
    <row r="6527" spans="1:11" ht="42" customHeight="1">
      <c r="A6527" s="2" t="s">
        <v>12874</v>
      </c>
      <c r="B6527" s="2" t="s">
        <v>12875</v>
      </c>
      <c r="C6527" s="2" t="s">
        <v>16</v>
      </c>
      <c r="D6527" s="2" t="s">
        <v>17</v>
      </c>
      <c r="E6527" s="5">
        <v>-28455</v>
      </c>
      <c r="F6527" s="3" t="s">
        <v>1107</v>
      </c>
      <c r="G6527" s="3" t="s">
        <v>35</v>
      </c>
      <c r="H6527" s="2" t="s">
        <v>20</v>
      </c>
      <c r="I6527" s="2" t="s">
        <v>12876</v>
      </c>
      <c r="J6527" s="3" t="str">
        <f>HYPERLINK("https://www.boe.es/gazeta/dias/1822/02/02/pdfs/GMD-1822-33.pdf#page=2","Abrir facsímil")</f>
        <v>Abrir facsímil</v>
      </c>
      <c r="K6527" s="3" t="s">
        <v>22</v>
      </c>
    </row>
    <row r="6528" spans="1:11" ht="42" customHeight="1">
      <c r="A6528" s="2" t="s">
        <v>12877</v>
      </c>
      <c r="B6528" s="2" t="s">
        <v>12878</v>
      </c>
      <c r="C6528" s="2" t="s">
        <v>50</v>
      </c>
      <c r="D6528" s="2" t="s">
        <v>51</v>
      </c>
      <c r="E6528" s="5">
        <v>-28330</v>
      </c>
      <c r="F6528" s="3" t="s">
        <v>896</v>
      </c>
      <c r="G6528" s="3" t="s">
        <v>57</v>
      </c>
      <c r="H6528" s="2" t="s">
        <v>20</v>
      </c>
      <c r="I6528" s="2" t="s">
        <v>12879</v>
      </c>
      <c r="J6528" s="3" t="str">
        <f>HYPERLINK("https://www.boe.es/gazeta/dias/1822/06/07/pdfs/GMD-1822-164.pdf#page=4","Abrir facsímil")</f>
        <v>Abrir facsímil</v>
      </c>
      <c r="K6528" s="3" t="s">
        <v>22</v>
      </c>
    </row>
    <row r="6529" spans="1:11" ht="42" customHeight="1">
      <c r="A6529" s="2" t="s">
        <v>12880</v>
      </c>
      <c r="B6529" s="2" t="s">
        <v>12881</v>
      </c>
      <c r="C6529" s="2" t="s">
        <v>50</v>
      </c>
      <c r="D6529" s="2" t="s">
        <v>51</v>
      </c>
      <c r="E6529" s="5">
        <v>-28330</v>
      </c>
      <c r="F6529" s="3" t="s">
        <v>896</v>
      </c>
      <c r="G6529" s="3" t="s">
        <v>57</v>
      </c>
      <c r="H6529" s="2" t="s">
        <v>20</v>
      </c>
      <c r="I6529" s="2" t="s">
        <v>12882</v>
      </c>
      <c r="J6529" s="3" t="str">
        <f>HYPERLINK("https://www.boe.es/gazeta/dias/1822/06/07/pdfs/GMD-1822-164.pdf#page=4","Abrir facsímil")</f>
        <v>Abrir facsímil</v>
      </c>
      <c r="K6529" s="3" t="s">
        <v>22</v>
      </c>
    </row>
    <row r="6530" spans="1:11" ht="42" customHeight="1">
      <c r="A6530" s="2" t="s">
        <v>12883</v>
      </c>
      <c r="B6530" s="2" t="s">
        <v>12884</v>
      </c>
      <c r="C6530" s="2" t="s">
        <v>50</v>
      </c>
      <c r="D6530" s="2" t="s">
        <v>51</v>
      </c>
      <c r="E6530" s="5">
        <v>-28208</v>
      </c>
      <c r="F6530" s="3" t="s">
        <v>230</v>
      </c>
      <c r="G6530" s="3" t="s">
        <v>57</v>
      </c>
      <c r="H6530" s="2" t="s">
        <v>20</v>
      </c>
      <c r="I6530" s="2" t="s">
        <v>12885</v>
      </c>
      <c r="J6530" s="3" t="str">
        <f>HYPERLINK("https://www.boe.es/gazeta/dias/1822/10/07/pdfs/GMD-1822-293.pdf#page=4","Abrir facsímil")</f>
        <v>Abrir facsímil</v>
      </c>
      <c r="K6530" s="3" t="s">
        <v>22</v>
      </c>
    </row>
    <row r="6531" spans="1:11" ht="42" customHeight="1">
      <c r="A6531" s="2" t="s">
        <v>12886</v>
      </c>
      <c r="B6531" s="2" t="s">
        <v>12887</v>
      </c>
      <c r="C6531" s="2" t="s">
        <v>28</v>
      </c>
      <c r="D6531" s="2" t="s">
        <v>29</v>
      </c>
      <c r="E6531" s="5">
        <v>-28461</v>
      </c>
      <c r="F6531" s="3" t="s">
        <v>1801</v>
      </c>
      <c r="G6531" s="3" t="s">
        <v>35</v>
      </c>
      <c r="H6531" s="2" t="s">
        <v>45</v>
      </c>
      <c r="I6531" s="2" t="s">
        <v>12888</v>
      </c>
      <c r="J6531" s="3" t="str">
        <f>HYPERLINK("https://www.boe.es/gazeta/dias/1822/01/27/pdfs/GMD-1822-27.pdf#page=2","Abrir facsímil")</f>
        <v>Abrir facsímil</v>
      </c>
      <c r="K6531" s="3" t="s">
        <v>47</v>
      </c>
    </row>
    <row r="6532" spans="1:11" ht="42" customHeight="1">
      <c r="A6532" s="2" t="s">
        <v>12889</v>
      </c>
      <c r="B6532" s="2" t="s">
        <v>12890</v>
      </c>
      <c r="C6532" s="2" t="s">
        <v>50</v>
      </c>
      <c r="D6532" s="2" t="s">
        <v>51</v>
      </c>
      <c r="E6532" s="5">
        <v>-28329</v>
      </c>
      <c r="F6532" s="3" t="s">
        <v>354</v>
      </c>
      <c r="G6532" s="3" t="s">
        <v>44</v>
      </c>
      <c r="H6532" s="2" t="s">
        <v>20</v>
      </c>
      <c r="I6532" s="2" t="s">
        <v>12891</v>
      </c>
      <c r="J6532" s="3" t="str">
        <f>HYPERLINK("https://www.boe.es/gazeta/dias/1822/06/08/pdfs/GMD-1822-165.pdf#page=1","Abrir facsímil")</f>
        <v>Abrir facsímil</v>
      </c>
      <c r="K6532" s="3" t="s">
        <v>22</v>
      </c>
    </row>
    <row r="6533" spans="1:11" ht="42" customHeight="1">
      <c r="A6533" s="2" t="s">
        <v>12892</v>
      </c>
      <c r="B6533" s="2" t="s">
        <v>12893</v>
      </c>
      <c r="C6533" s="2" t="s">
        <v>42</v>
      </c>
      <c r="D6533" s="2" t="s">
        <v>17</v>
      </c>
      <c r="E6533" s="5">
        <v>-28226</v>
      </c>
      <c r="F6533" s="3" t="s">
        <v>812</v>
      </c>
      <c r="G6533" s="3" t="s">
        <v>57</v>
      </c>
      <c r="H6533" s="2" t="s">
        <v>45</v>
      </c>
      <c r="I6533" s="2" t="s">
        <v>12894</v>
      </c>
      <c r="J6533" s="3" t="str">
        <f>HYPERLINK("https://www.boe.es/gazeta/dias/1822/09/19/pdfs/GMD-1822-275.pdf#page=4","Abrir facsímil")</f>
        <v>Abrir facsímil</v>
      </c>
      <c r="K6533" s="3" t="s">
        <v>47</v>
      </c>
    </row>
    <row r="6534" spans="1:11" ht="42" customHeight="1">
      <c r="A6534" s="2" t="s">
        <v>12895</v>
      </c>
      <c r="B6534" s="2" t="s">
        <v>12896</v>
      </c>
      <c r="C6534" s="2" t="s">
        <v>42</v>
      </c>
      <c r="D6534" s="2" t="s">
        <v>17</v>
      </c>
      <c r="E6534" s="5">
        <v>-28375</v>
      </c>
      <c r="F6534" s="3" t="s">
        <v>2035</v>
      </c>
      <c r="G6534" s="3" t="s">
        <v>35</v>
      </c>
      <c r="H6534" s="2" t="s">
        <v>20</v>
      </c>
      <c r="I6534" s="2" t="s">
        <v>12897</v>
      </c>
      <c r="J6534" s="3" t="str">
        <f>HYPERLINK("https://www.boe.es/gazeta/dias/1822/04/23/pdfs/GMD-1822-115.pdf#page=2","Abrir facsímil")</f>
        <v>Abrir facsímil</v>
      </c>
      <c r="K6534" s="3" t="s">
        <v>22</v>
      </c>
    </row>
    <row r="6535" spans="1:11" ht="42" customHeight="1">
      <c r="A6535" s="2" t="s">
        <v>12898</v>
      </c>
      <c r="B6535" s="2" t="s">
        <v>12899</v>
      </c>
      <c r="C6535" s="2" t="s">
        <v>42</v>
      </c>
      <c r="D6535" s="2" t="s">
        <v>17</v>
      </c>
      <c r="E6535" s="5">
        <v>-28477</v>
      </c>
      <c r="F6535" s="3" t="s">
        <v>1668</v>
      </c>
      <c r="G6535" s="3" t="s">
        <v>19</v>
      </c>
      <c r="H6535" s="2" t="s">
        <v>20</v>
      </c>
      <c r="I6535" s="2" t="s">
        <v>12900</v>
      </c>
      <c r="J6535" s="3" t="str">
        <f>HYPERLINK("https://www.boe.es/gazeta/dias/1822/01/11/pdfs/GMD-1822-11.pdf#page=5","Abrir facsímil")</f>
        <v>Abrir facsímil</v>
      </c>
      <c r="K6535" s="3" t="s">
        <v>22</v>
      </c>
    </row>
    <row r="6536" spans="1:11" ht="42" customHeight="1">
      <c r="A6536" s="2" t="s">
        <v>12901</v>
      </c>
      <c r="B6536" s="2" t="s">
        <v>12902</v>
      </c>
      <c r="C6536" s="2" t="s">
        <v>71</v>
      </c>
      <c r="D6536" s="2" t="s">
        <v>17</v>
      </c>
      <c r="E6536" s="5">
        <v>-28401</v>
      </c>
      <c r="F6536" s="3" t="s">
        <v>108</v>
      </c>
      <c r="G6536" s="3" t="s">
        <v>31</v>
      </c>
      <c r="H6536" s="2" t="s">
        <v>20</v>
      </c>
      <c r="I6536" s="2" t="s">
        <v>12903</v>
      </c>
      <c r="J6536" s="3" t="str">
        <f>HYPERLINK("https://www.boe.es/gazeta/dias/1822/03/28/pdfs/GMD-1822-89.pdf#page=3","Abrir facsímil")</f>
        <v>Abrir facsímil</v>
      </c>
      <c r="K6536" s="3" t="s">
        <v>22</v>
      </c>
    </row>
    <row r="6537" spans="1:11" ht="42" customHeight="1">
      <c r="A6537" s="2" t="s">
        <v>12904</v>
      </c>
      <c r="B6537" s="2" t="s">
        <v>12905</v>
      </c>
      <c r="C6537" s="2" t="s">
        <v>50</v>
      </c>
      <c r="D6537" s="2" t="s">
        <v>51</v>
      </c>
      <c r="E6537" s="5">
        <v>-28264</v>
      </c>
      <c r="F6537" s="3" t="s">
        <v>1329</v>
      </c>
      <c r="G6537" s="3" t="s">
        <v>57</v>
      </c>
      <c r="H6537" s="2" t="s">
        <v>20</v>
      </c>
      <c r="I6537" s="2" t="s">
        <v>12906</v>
      </c>
      <c r="J6537" s="3" t="str">
        <f>HYPERLINK("https://www.boe.es/gazeta/dias/1822/08/12/pdfs/GMD-1822-236.pdf#page=4","Abrir facsímil")</f>
        <v>Abrir facsímil</v>
      </c>
      <c r="K6537" s="3" t="s">
        <v>22</v>
      </c>
    </row>
    <row r="6538" spans="1:11" ht="42" customHeight="1">
      <c r="A6538" s="2" t="s">
        <v>12907</v>
      </c>
      <c r="B6538" s="2" t="s">
        <v>12908</v>
      </c>
      <c r="C6538" s="2" t="s">
        <v>16</v>
      </c>
      <c r="D6538" s="2" t="s">
        <v>17</v>
      </c>
      <c r="E6538" s="5">
        <v>-28433</v>
      </c>
      <c r="F6538" s="3" t="s">
        <v>3663</v>
      </c>
      <c r="G6538" s="3" t="s">
        <v>57</v>
      </c>
      <c r="H6538" s="2" t="s">
        <v>20</v>
      </c>
      <c r="I6538" s="2" t="s">
        <v>12909</v>
      </c>
      <c r="J6538" s="3" t="str">
        <f>HYPERLINK("https://www.boe.es/gazeta/dias/1822/02/24/pdfs/GMD-1822-56.pdf#page=4","Abrir facsímil")</f>
        <v>Abrir facsímil</v>
      </c>
      <c r="K6538" s="3" t="s">
        <v>22</v>
      </c>
    </row>
    <row r="6539" spans="1:11" ht="42" customHeight="1">
      <c r="A6539" s="2" t="s">
        <v>12910</v>
      </c>
      <c r="B6539" s="2" t="s">
        <v>12911</v>
      </c>
      <c r="C6539" s="2" t="s">
        <v>24</v>
      </c>
      <c r="D6539" s="2" t="s">
        <v>17</v>
      </c>
      <c r="E6539" s="5">
        <v>-28409</v>
      </c>
      <c r="F6539" s="3" t="s">
        <v>394</v>
      </c>
      <c r="G6539" s="3" t="s">
        <v>63</v>
      </c>
      <c r="H6539" s="2" t="s">
        <v>20</v>
      </c>
      <c r="I6539" s="2" t="s">
        <v>12912</v>
      </c>
      <c r="J6539" s="3" t="str">
        <f>HYPERLINK("https://www.boe.es/gazeta/dias/1822/03/20/pdfs/GMD-1822-81.pdf#page=6","Abrir facsímil")</f>
        <v>Abrir facsímil</v>
      </c>
      <c r="K6539" s="3" t="s">
        <v>22</v>
      </c>
    </row>
    <row r="6540" spans="1:11" ht="42" customHeight="1">
      <c r="A6540" s="2" t="s">
        <v>12913</v>
      </c>
      <c r="B6540" s="2" t="s">
        <v>12914</v>
      </c>
      <c r="C6540" s="2" t="s">
        <v>50</v>
      </c>
      <c r="D6540" s="2" t="s">
        <v>51</v>
      </c>
      <c r="E6540" s="5">
        <v>-28258</v>
      </c>
      <c r="F6540" s="3" t="s">
        <v>88</v>
      </c>
      <c r="G6540" s="3" t="s">
        <v>57</v>
      </c>
      <c r="H6540" s="2" t="s">
        <v>20</v>
      </c>
      <c r="I6540" s="2" t="s">
        <v>12915</v>
      </c>
      <c r="J6540" s="3" t="str">
        <f>HYPERLINK("https://www.boe.es/gazeta/dias/1822/08/18/pdfs/GMD-1822-242.pdf#page=4","Abrir facsímil")</f>
        <v>Abrir facsímil</v>
      </c>
      <c r="K6540" s="3" t="s">
        <v>22</v>
      </c>
    </row>
    <row r="6541" spans="1:11" ht="42" customHeight="1">
      <c r="A6541" s="2" t="s">
        <v>12916</v>
      </c>
      <c r="B6541" s="2" t="s">
        <v>12917</v>
      </c>
      <c r="C6541" s="2" t="s">
        <v>28</v>
      </c>
      <c r="D6541" s="2" t="s">
        <v>29</v>
      </c>
      <c r="E6541" s="5">
        <v>-28231</v>
      </c>
      <c r="F6541" s="3" t="s">
        <v>2049</v>
      </c>
      <c r="G6541" s="3" t="s">
        <v>57</v>
      </c>
      <c r="H6541" s="2" t="s">
        <v>20</v>
      </c>
      <c r="I6541" s="2" t="s">
        <v>12918</v>
      </c>
      <c r="J6541" s="3" t="str">
        <f>HYPERLINK("https://www.boe.es/gazeta/dias/1822/09/14/pdfs/GMD-1822-270.pdf#page=4","Abrir facsímil")</f>
        <v>Abrir facsímil</v>
      </c>
      <c r="K6541" s="3" t="s">
        <v>22</v>
      </c>
    </row>
    <row r="6542" spans="1:11" ht="42" customHeight="1">
      <c r="A6542" s="2" t="s">
        <v>12919</v>
      </c>
      <c r="B6542" s="2" t="s">
        <v>12920</v>
      </c>
      <c r="C6542" s="2" t="s">
        <v>50</v>
      </c>
      <c r="D6542" s="2" t="s">
        <v>51</v>
      </c>
      <c r="E6542" s="5">
        <v>-28265</v>
      </c>
      <c r="F6542" s="3" t="s">
        <v>1263</v>
      </c>
      <c r="G6542" s="3" t="s">
        <v>57</v>
      </c>
      <c r="H6542" s="2" t="s">
        <v>20</v>
      </c>
      <c r="I6542" s="2" t="s">
        <v>12921</v>
      </c>
      <c r="J6542" s="3" t="str">
        <f>HYPERLINK("https://www.boe.es/gazeta/dias/1822/08/11/pdfs/GMD-1822-235.pdf#page=4","Abrir facsímil")</f>
        <v>Abrir facsímil</v>
      </c>
      <c r="K6542" s="3" t="s">
        <v>22</v>
      </c>
    </row>
    <row r="6543" spans="1:11" ht="42" customHeight="1">
      <c r="A6543" s="2" t="s">
        <v>12922</v>
      </c>
      <c r="B6543" s="2" t="s">
        <v>12923</v>
      </c>
      <c r="C6543" s="2" t="s">
        <v>28</v>
      </c>
      <c r="D6543" s="2" t="s">
        <v>29</v>
      </c>
      <c r="E6543" s="5">
        <v>-28360</v>
      </c>
      <c r="F6543" s="3" t="s">
        <v>514</v>
      </c>
      <c r="G6543" s="3" t="s">
        <v>35</v>
      </c>
      <c r="H6543" s="2" t="s">
        <v>20</v>
      </c>
      <c r="I6543" s="2" t="s">
        <v>12924</v>
      </c>
      <c r="J6543" s="3" t="str">
        <f>HYPERLINK("https://www.boe.es/gazeta/dias/1822/05/08/pdfs/GMD-1822-130.pdf#page=2","Abrir facsímil")</f>
        <v>Abrir facsímil</v>
      </c>
      <c r="K6543" s="3" t="s">
        <v>22</v>
      </c>
    </row>
    <row r="6544" spans="1:11" ht="42" customHeight="1">
      <c r="A6544" s="2" t="s">
        <v>12925</v>
      </c>
      <c r="B6544" s="2" t="s">
        <v>12926</v>
      </c>
      <c r="C6544" s="2" t="s">
        <v>61</v>
      </c>
      <c r="D6544" s="2" t="s">
        <v>17</v>
      </c>
      <c r="E6544" s="5">
        <v>-28191</v>
      </c>
      <c r="F6544" s="3" t="s">
        <v>710</v>
      </c>
      <c r="G6544" s="3" t="s">
        <v>5038</v>
      </c>
      <c r="H6544" s="2" t="s">
        <v>20</v>
      </c>
      <c r="I6544" s="2" t="s">
        <v>12927</v>
      </c>
      <c r="J6544" s="3" t="str">
        <f>HYPERLINK("https://www.boe.es/gazeta/dias/1822/10/24/pdfs/GMD-1822-311.pdf#page=8","Abrir facsímil")</f>
        <v>Abrir facsímil</v>
      </c>
      <c r="K6544" s="3" t="s">
        <v>22</v>
      </c>
    </row>
    <row r="6545" spans="1:11" ht="42" customHeight="1">
      <c r="A6545" s="2" t="s">
        <v>12925</v>
      </c>
      <c r="B6545" s="2" t="s">
        <v>12926</v>
      </c>
      <c r="C6545" s="2" t="s">
        <v>50</v>
      </c>
      <c r="D6545" s="2" t="s">
        <v>51</v>
      </c>
      <c r="E6545" s="5">
        <v>-28189</v>
      </c>
      <c r="F6545" s="3" t="s">
        <v>645</v>
      </c>
      <c r="G6545" s="3" t="s">
        <v>63</v>
      </c>
      <c r="H6545" s="2" t="s">
        <v>20</v>
      </c>
      <c r="I6545" s="2" t="s">
        <v>12928</v>
      </c>
      <c r="J6545" s="3" t="str">
        <f>HYPERLINK("https://www.boe.es/gazeta/dias/1822/10/26/pdfs/GMD-1822-313.pdf#page=6","Abrir facsímil")</f>
        <v>Abrir facsímil</v>
      </c>
      <c r="K6545" s="3" t="s">
        <v>22</v>
      </c>
    </row>
    <row r="6546" spans="1:11" ht="42" customHeight="1">
      <c r="A6546" s="2" t="s">
        <v>12925</v>
      </c>
      <c r="B6546" s="2" t="s">
        <v>12926</v>
      </c>
      <c r="C6546" s="2" t="s">
        <v>28</v>
      </c>
      <c r="D6546" s="2" t="s">
        <v>29</v>
      </c>
      <c r="E6546" s="5">
        <v>-28165</v>
      </c>
      <c r="F6546" s="3" t="s">
        <v>846</v>
      </c>
      <c r="G6546" s="3" t="s">
        <v>57</v>
      </c>
      <c r="H6546" s="2" t="s">
        <v>20</v>
      </c>
      <c r="I6546" s="2" t="s">
        <v>12929</v>
      </c>
      <c r="J6546" s="3" t="str">
        <f>HYPERLINK("https://www.boe.es/gazeta/dias/1822/11/19/pdfs/GMD-1822-339.pdf#page=4","Abrir facsímil")</f>
        <v>Abrir facsímil</v>
      </c>
      <c r="K6546" s="3" t="s">
        <v>22</v>
      </c>
    </row>
    <row r="6547" spans="1:11" ht="42" customHeight="1">
      <c r="A6547" s="2" t="s">
        <v>12930</v>
      </c>
      <c r="B6547" s="2" t="s">
        <v>12931</v>
      </c>
      <c r="C6547" s="2" t="s">
        <v>50</v>
      </c>
      <c r="D6547" s="2" t="s">
        <v>51</v>
      </c>
      <c r="E6547" s="5">
        <v>-28191</v>
      </c>
      <c r="F6547" s="3" t="s">
        <v>710</v>
      </c>
      <c r="G6547" s="3" t="s">
        <v>5038</v>
      </c>
      <c r="H6547" s="2" t="s">
        <v>20</v>
      </c>
      <c r="I6547" s="2" t="s">
        <v>12932</v>
      </c>
      <c r="J6547" s="3" t="str">
        <f>HYPERLINK("https://www.boe.es/gazeta/dias/1822/10/24/pdfs/GMD-1822-311.pdf#page=8","Abrir facsímil")</f>
        <v>Abrir facsímil</v>
      </c>
      <c r="K6547" s="3" t="s">
        <v>22</v>
      </c>
    </row>
    <row r="6548" spans="1:11" ht="42" customHeight="1">
      <c r="A6548" s="2" t="s">
        <v>12933</v>
      </c>
      <c r="B6548" s="2" t="s">
        <v>12934</v>
      </c>
      <c r="C6548" s="2" t="s">
        <v>50</v>
      </c>
      <c r="D6548" s="2" t="s">
        <v>51</v>
      </c>
      <c r="E6548" s="5">
        <v>-28379</v>
      </c>
      <c r="F6548" s="3" t="s">
        <v>494</v>
      </c>
      <c r="G6548" s="3" t="s">
        <v>35</v>
      </c>
      <c r="H6548" s="2" t="s">
        <v>20</v>
      </c>
      <c r="I6548" s="2" t="s">
        <v>12935</v>
      </c>
      <c r="J6548" s="3" t="str">
        <f>HYPERLINK("https://www.boe.es/gazeta/dias/1822/04/19/pdfs/GMD-1822-111.pdf#page=2","Abrir facsímil")</f>
        <v>Abrir facsímil</v>
      </c>
      <c r="K6548" s="3" t="s">
        <v>22</v>
      </c>
    </row>
    <row r="6549" spans="1:11" ht="42" customHeight="1">
      <c r="A6549" s="2" t="s">
        <v>12936</v>
      </c>
      <c r="B6549" s="2" t="s">
        <v>12937</v>
      </c>
      <c r="C6549" s="2" t="s">
        <v>50</v>
      </c>
      <c r="D6549" s="2" t="s">
        <v>51</v>
      </c>
      <c r="E6549" s="5">
        <v>-28265</v>
      </c>
      <c r="F6549" s="3" t="s">
        <v>1263</v>
      </c>
      <c r="G6549" s="3" t="s">
        <v>57</v>
      </c>
      <c r="H6549" s="2" t="s">
        <v>20</v>
      </c>
      <c r="I6549" s="2" t="s">
        <v>12938</v>
      </c>
      <c r="J6549" s="3" t="str">
        <f>HYPERLINK("https://www.boe.es/gazeta/dias/1822/08/11/pdfs/GMD-1822-235.pdf#page=4","Abrir facsímil")</f>
        <v>Abrir facsímil</v>
      </c>
      <c r="K6549" s="3" t="s">
        <v>22</v>
      </c>
    </row>
    <row r="6550" spans="1:11" ht="42" customHeight="1">
      <c r="A6550" s="2" t="s">
        <v>12939</v>
      </c>
      <c r="B6550" s="2" t="s">
        <v>12939</v>
      </c>
      <c r="C6550" s="2" t="s">
        <v>16</v>
      </c>
      <c r="D6550" s="2" t="s">
        <v>17</v>
      </c>
      <c r="E6550" s="5">
        <v>-28362</v>
      </c>
      <c r="F6550" s="3" t="s">
        <v>511</v>
      </c>
      <c r="G6550" s="3" t="s">
        <v>63</v>
      </c>
      <c r="H6550" s="2" t="s">
        <v>20</v>
      </c>
      <c r="I6550" s="2" t="s">
        <v>12940</v>
      </c>
      <c r="J6550" s="3" t="str">
        <f>HYPERLINK("https://www.boe.es/gazeta/dias/1822/05/06/pdfs/GMD-1822-128.pdf#page=6","Abrir facsímil")</f>
        <v>Abrir facsímil</v>
      </c>
      <c r="K6550" s="3" t="s">
        <v>22</v>
      </c>
    </row>
    <row r="6551" spans="1:11" ht="42" customHeight="1">
      <c r="A6551" s="2" t="s">
        <v>12939</v>
      </c>
      <c r="B6551" s="2" t="s">
        <v>12939</v>
      </c>
      <c r="C6551" s="2" t="s">
        <v>42</v>
      </c>
      <c r="D6551" s="2" t="s">
        <v>17</v>
      </c>
      <c r="E6551" s="5">
        <v>-28322</v>
      </c>
      <c r="F6551" s="3" t="s">
        <v>2205</v>
      </c>
      <c r="G6551" s="3" t="s">
        <v>31</v>
      </c>
      <c r="H6551" s="2" t="s">
        <v>20</v>
      </c>
      <c r="I6551" s="2" t="s">
        <v>12941</v>
      </c>
      <c r="J6551" s="3" t="str">
        <f>HYPERLINK("https://www.boe.es/gazeta/dias/1822/06/15/pdfs/GMD-1822-172.pdf#page=3","Abrir facsímil")</f>
        <v>Abrir facsímil</v>
      </c>
      <c r="K6551" s="3" t="s">
        <v>22</v>
      </c>
    </row>
    <row r="6552" spans="1:11" ht="42" customHeight="1">
      <c r="A6552" s="2" t="s">
        <v>12942</v>
      </c>
      <c r="B6552" s="2" t="s">
        <v>12943</v>
      </c>
      <c r="C6552" s="2" t="s">
        <v>50</v>
      </c>
      <c r="D6552" s="2" t="s">
        <v>51</v>
      </c>
      <c r="E6552" s="5">
        <v>-28275</v>
      </c>
      <c r="F6552" s="3" t="s">
        <v>1297</v>
      </c>
      <c r="G6552" s="3" t="s">
        <v>57</v>
      </c>
      <c r="H6552" s="2" t="s">
        <v>20</v>
      </c>
      <c r="I6552" s="2" t="s">
        <v>12944</v>
      </c>
      <c r="J6552" s="3" t="str">
        <f>HYPERLINK("https://www.boe.es/gazeta/dias/1822/08/01/pdfs/GMD-1822-225.pdf#page=4","Abrir facsímil")</f>
        <v>Abrir facsímil</v>
      </c>
      <c r="K6552" s="3" t="s">
        <v>22</v>
      </c>
    </row>
    <row r="6553" spans="1:11" ht="42" customHeight="1">
      <c r="A6553" s="2" t="s">
        <v>12945</v>
      </c>
      <c r="B6553" s="2" t="s">
        <v>12945</v>
      </c>
      <c r="C6553" s="2" t="s">
        <v>28</v>
      </c>
      <c r="D6553" s="2" t="s">
        <v>29</v>
      </c>
      <c r="E6553" s="5">
        <v>-28271</v>
      </c>
      <c r="F6553" s="3" t="s">
        <v>4942</v>
      </c>
      <c r="G6553" s="3" t="s">
        <v>57</v>
      </c>
      <c r="H6553" s="2" t="s">
        <v>20</v>
      </c>
      <c r="I6553" s="2" t="s">
        <v>12946</v>
      </c>
      <c r="J6553" s="3" t="str">
        <f>HYPERLINK("https://www.boe.es/gazeta/dias/1822/08/05/pdfs/GMD-1822-229.pdf#page=4","Abrir facsímil")</f>
        <v>Abrir facsímil</v>
      </c>
      <c r="K6553" s="3" t="s">
        <v>22</v>
      </c>
    </row>
    <row r="6554" spans="1:11" ht="42" customHeight="1">
      <c r="A6554" s="2" t="s">
        <v>12947</v>
      </c>
      <c r="B6554" s="2" t="s">
        <v>12948</v>
      </c>
      <c r="C6554" s="2" t="s">
        <v>28</v>
      </c>
      <c r="D6554" s="2" t="s">
        <v>29</v>
      </c>
      <c r="E6554" s="5">
        <v>-28271</v>
      </c>
      <c r="F6554" s="3" t="s">
        <v>4942</v>
      </c>
      <c r="G6554" s="3" t="s">
        <v>57</v>
      </c>
      <c r="H6554" s="2" t="s">
        <v>45</v>
      </c>
      <c r="I6554" s="2" t="s">
        <v>12949</v>
      </c>
      <c r="J6554" s="3" t="str">
        <f>HYPERLINK("https://www.boe.es/gazeta/dias/1822/08/05/pdfs/GMD-1822-229.pdf#page=4","Abrir facsímil")</f>
        <v>Abrir facsímil</v>
      </c>
      <c r="K6554" s="3" t="s">
        <v>47</v>
      </c>
    </row>
    <row r="6555" spans="1:11" ht="42" customHeight="1">
      <c r="A6555" s="2" t="s">
        <v>12950</v>
      </c>
      <c r="B6555" s="2" t="s">
        <v>12951</v>
      </c>
      <c r="C6555" s="2" t="s">
        <v>28</v>
      </c>
      <c r="D6555" s="2" t="s">
        <v>29</v>
      </c>
      <c r="E6555" s="5">
        <v>-28165</v>
      </c>
      <c r="F6555" s="3" t="s">
        <v>846</v>
      </c>
      <c r="G6555" s="3" t="s">
        <v>57</v>
      </c>
      <c r="H6555" s="2" t="s">
        <v>20</v>
      </c>
      <c r="I6555" s="2" t="s">
        <v>12952</v>
      </c>
      <c r="J6555" s="3" t="str">
        <f>HYPERLINK("https://www.boe.es/gazeta/dias/1822/11/19/pdfs/GMD-1822-339.pdf#page=4","Abrir facsímil")</f>
        <v>Abrir facsímil</v>
      </c>
      <c r="K6555" s="3" t="s">
        <v>22</v>
      </c>
    </row>
    <row r="6556" spans="1:11" ht="42" customHeight="1">
      <c r="A6556" s="2" t="s">
        <v>12953</v>
      </c>
      <c r="B6556" s="2" t="s">
        <v>12953</v>
      </c>
      <c r="C6556" s="2" t="s">
        <v>28</v>
      </c>
      <c r="D6556" s="2" t="s">
        <v>29</v>
      </c>
      <c r="E6556" s="5">
        <v>-28431</v>
      </c>
      <c r="F6556" s="3" t="s">
        <v>1258</v>
      </c>
      <c r="G6556" s="3" t="s">
        <v>31</v>
      </c>
      <c r="H6556" s="2" t="s">
        <v>20</v>
      </c>
      <c r="I6556" s="2" t="s">
        <v>12954</v>
      </c>
      <c r="J6556" s="3" t="str">
        <f>HYPERLINK("https://www.boe.es/gazeta/dias/1822/02/26/pdfs/GMD-1822-58.pdf#page=3","Abrir facsímil")</f>
        <v>Abrir facsímil</v>
      </c>
      <c r="K6556" s="3" t="s">
        <v>22</v>
      </c>
    </row>
    <row r="6557" spans="1:11" ht="42" customHeight="1">
      <c r="A6557" s="2" t="s">
        <v>12953</v>
      </c>
      <c r="B6557" s="2" t="s">
        <v>12953</v>
      </c>
      <c r="C6557" s="2" t="s">
        <v>50</v>
      </c>
      <c r="D6557" s="2" t="s">
        <v>51</v>
      </c>
      <c r="E6557" s="5">
        <v>-28352</v>
      </c>
      <c r="F6557" s="3" t="s">
        <v>1575</v>
      </c>
      <c r="G6557" s="3" t="s">
        <v>31</v>
      </c>
      <c r="H6557" s="2" t="s">
        <v>20</v>
      </c>
      <c r="I6557" s="2" t="s">
        <v>12955</v>
      </c>
      <c r="J6557" s="3" t="str">
        <f>HYPERLINK("https://www.boe.es/gazeta/dias/1822/05/16/pdfs/GMD-1822-138.pdf#page=3","Abrir facsímil")</f>
        <v>Abrir facsímil</v>
      </c>
      <c r="K6557" s="3" t="s">
        <v>22</v>
      </c>
    </row>
    <row r="6558" spans="1:11" ht="42" customHeight="1">
      <c r="A6558" s="2" t="s">
        <v>12953</v>
      </c>
      <c r="B6558" s="2" t="s">
        <v>12953</v>
      </c>
      <c r="C6558" s="2" t="s">
        <v>50</v>
      </c>
      <c r="D6558" s="2" t="s">
        <v>51</v>
      </c>
      <c r="E6558" s="5">
        <v>-28341</v>
      </c>
      <c r="F6558" s="3" t="s">
        <v>284</v>
      </c>
      <c r="G6558" s="3" t="s">
        <v>31</v>
      </c>
      <c r="H6558" s="2" t="s">
        <v>20</v>
      </c>
      <c r="I6558" s="2" t="s">
        <v>12956</v>
      </c>
      <c r="J6558" s="3" t="str">
        <f>HYPERLINK("https://www.boe.es/gazeta/dias/1822/05/27/pdfs/GMD-1822-152.pdf#page=3","Abrir facsímil")</f>
        <v>Abrir facsímil</v>
      </c>
      <c r="K6558" s="3" t="s">
        <v>22</v>
      </c>
    </row>
    <row r="6559" spans="1:11" ht="42" customHeight="1">
      <c r="A6559" s="2" t="s">
        <v>12957</v>
      </c>
      <c r="B6559" s="2" t="s">
        <v>12958</v>
      </c>
      <c r="C6559" s="2" t="s">
        <v>42</v>
      </c>
      <c r="D6559" s="2" t="s">
        <v>17</v>
      </c>
      <c r="E6559" s="5">
        <v>-28156</v>
      </c>
      <c r="F6559" s="3" t="s">
        <v>1568</v>
      </c>
      <c r="G6559" s="3" t="s">
        <v>63</v>
      </c>
      <c r="H6559" s="2" t="s">
        <v>20</v>
      </c>
      <c r="I6559" s="2" t="s">
        <v>12959</v>
      </c>
      <c r="J6559" s="3" t="str">
        <f>HYPERLINK("https://www.boe.es/gazeta/dias/1822/11/28/pdfs/GMD-1822-348.pdf#page=6","Abrir facsímil")</f>
        <v>Abrir facsímil</v>
      </c>
      <c r="K6559" s="3" t="s">
        <v>22</v>
      </c>
    </row>
    <row r="6560" spans="1:11" ht="42" customHeight="1">
      <c r="A6560" s="2" t="s">
        <v>12960</v>
      </c>
      <c r="B6560" s="2" t="s">
        <v>12961</v>
      </c>
      <c r="C6560" s="2" t="s">
        <v>28</v>
      </c>
      <c r="D6560" s="2" t="s">
        <v>29</v>
      </c>
      <c r="E6560" s="5">
        <v>-28432</v>
      </c>
      <c r="F6560" s="3" t="s">
        <v>195</v>
      </c>
      <c r="G6560" s="3" t="s">
        <v>57</v>
      </c>
      <c r="H6560" s="2" t="s">
        <v>45</v>
      </c>
      <c r="I6560" s="2" t="s">
        <v>12962</v>
      </c>
      <c r="J6560" s="3" t="str">
        <f>HYPERLINK("https://www.boe.es/gazeta/dias/1822/02/25/pdfs/GMD-1822-57.pdf#page=4","Abrir facsímil")</f>
        <v>Abrir facsímil</v>
      </c>
      <c r="K6560" s="3" t="s">
        <v>47</v>
      </c>
    </row>
    <row r="6561" spans="1:11" ht="42" customHeight="1">
      <c r="A6561" s="2" t="s">
        <v>12963</v>
      </c>
      <c r="B6561" s="2" t="s">
        <v>12964</v>
      </c>
      <c r="C6561" s="2" t="s">
        <v>50</v>
      </c>
      <c r="D6561" s="2" t="s">
        <v>51</v>
      </c>
      <c r="E6561" s="5">
        <v>-28410</v>
      </c>
      <c r="F6561" s="3" t="s">
        <v>966</v>
      </c>
      <c r="G6561" s="3" t="s">
        <v>35</v>
      </c>
      <c r="H6561" s="2" t="s">
        <v>45</v>
      </c>
      <c r="I6561" s="2" t="s">
        <v>12965</v>
      </c>
      <c r="J6561" s="3" t="str">
        <f>HYPERLINK("https://www.boe.es/gazeta/dias/1822/03/19/pdfs/GMD-1822-80.pdf#page=2","Abrir facsímil")</f>
        <v>Abrir facsímil</v>
      </c>
      <c r="K6561" s="3" t="s">
        <v>47</v>
      </c>
    </row>
    <row r="6562" spans="1:11" ht="42" customHeight="1">
      <c r="A6562" s="2" t="s">
        <v>12966</v>
      </c>
      <c r="B6562" s="2" t="s">
        <v>12967</v>
      </c>
      <c r="C6562" s="2" t="s">
        <v>16</v>
      </c>
      <c r="D6562" s="2" t="s">
        <v>17</v>
      </c>
      <c r="E6562" s="5">
        <v>-28466</v>
      </c>
      <c r="F6562" s="3" t="s">
        <v>4119</v>
      </c>
      <c r="G6562" s="3" t="s">
        <v>63</v>
      </c>
      <c r="H6562" s="2" t="s">
        <v>20</v>
      </c>
      <c r="I6562" s="2" t="s">
        <v>12968</v>
      </c>
      <c r="J6562" s="3" t="str">
        <f>HYPERLINK("https://www.boe.es/gazeta/dias/1822/01/22/pdfs/GMD-1822-22.pdf#page=6","Abrir facsímil")</f>
        <v>Abrir facsímil</v>
      </c>
      <c r="K6562" s="3" t="s">
        <v>22</v>
      </c>
    </row>
    <row r="6563" spans="1:11" ht="42" customHeight="1">
      <c r="A6563" s="2" t="s">
        <v>12969</v>
      </c>
      <c r="B6563" s="2" t="s">
        <v>12970</v>
      </c>
      <c r="C6563" s="2" t="s">
        <v>28</v>
      </c>
      <c r="D6563" s="2" t="s">
        <v>29</v>
      </c>
      <c r="E6563" s="5">
        <v>-28484</v>
      </c>
      <c r="F6563" s="3" t="s">
        <v>743</v>
      </c>
      <c r="G6563" s="3" t="s">
        <v>19</v>
      </c>
      <c r="H6563" s="2" t="s">
        <v>20</v>
      </c>
      <c r="I6563" s="2" t="s">
        <v>12971</v>
      </c>
      <c r="J6563" s="3" t="str">
        <f>HYPERLINK("https://www.boe.es/gazeta/dias/1822/01/04/pdfs/GMD-1822-4.pdf#page=5","Abrir facsímil")</f>
        <v>Abrir facsímil</v>
      </c>
      <c r="K6563" s="3" t="s">
        <v>22</v>
      </c>
    </row>
    <row r="6564" spans="1:11" ht="42" customHeight="1">
      <c r="A6564" s="2" t="s">
        <v>12972</v>
      </c>
      <c r="B6564" s="2" t="s">
        <v>12973</v>
      </c>
      <c r="C6564" s="2" t="s">
        <v>61</v>
      </c>
      <c r="D6564" s="2" t="s">
        <v>17</v>
      </c>
      <c r="E6564" s="5">
        <v>-28311</v>
      </c>
      <c r="F6564" s="3" t="s">
        <v>736</v>
      </c>
      <c r="G6564" s="3" t="s">
        <v>157</v>
      </c>
      <c r="H6564" s="2" t="s">
        <v>20</v>
      </c>
      <c r="I6564" s="2" t="s">
        <v>12974</v>
      </c>
      <c r="J6564" s="3" t="str">
        <f>HYPERLINK("https://www.boe.es/gazeta/dias/1822/06/26/pdfs/GMD-1822-184.pdf#page=8","Abrir facsímil")</f>
        <v>Abrir facsímil</v>
      </c>
      <c r="K6564" s="3" t="s">
        <v>22</v>
      </c>
    </row>
    <row r="6565" spans="1:11" ht="42" customHeight="1">
      <c r="A6565" s="2" t="s">
        <v>12975</v>
      </c>
      <c r="B6565" s="2" t="s">
        <v>12976</v>
      </c>
      <c r="C6565" s="2" t="s">
        <v>50</v>
      </c>
      <c r="D6565" s="2" t="s">
        <v>51</v>
      </c>
      <c r="E6565" s="5">
        <v>-28368</v>
      </c>
      <c r="F6565" s="3" t="s">
        <v>126</v>
      </c>
      <c r="G6565" s="3" t="s">
        <v>57</v>
      </c>
      <c r="H6565" s="2" t="s">
        <v>20</v>
      </c>
      <c r="I6565" s="2" t="s">
        <v>12977</v>
      </c>
      <c r="J6565" s="3" t="str">
        <f>HYPERLINK("https://www.boe.es/gazeta/dias/1822/04/30/pdfs/GMD-1822-122.pdf#page=4","Abrir facsímil")</f>
        <v>Abrir facsímil</v>
      </c>
      <c r="K6565" s="3" t="s">
        <v>22</v>
      </c>
    </row>
    <row r="6566" spans="1:11" ht="42" customHeight="1">
      <c r="A6566" s="2" t="s">
        <v>12978</v>
      </c>
      <c r="B6566" s="2" t="s">
        <v>12979</v>
      </c>
      <c r="C6566" s="2" t="s">
        <v>42</v>
      </c>
      <c r="D6566" s="2" t="s">
        <v>17</v>
      </c>
      <c r="E6566" s="5">
        <v>-28274</v>
      </c>
      <c r="F6566" s="3" t="s">
        <v>3371</v>
      </c>
      <c r="G6566" s="3" t="s">
        <v>44</v>
      </c>
      <c r="H6566" s="2" t="s">
        <v>20</v>
      </c>
      <c r="I6566" s="2" t="s">
        <v>12980</v>
      </c>
      <c r="J6566" s="3" t="str">
        <f>HYPERLINK("https://www.boe.es/gazeta/dias/1822/08/02/pdfs/GMD-1822-226.pdf#page=1","Abrir facsímil")</f>
        <v>Abrir facsímil</v>
      </c>
      <c r="K6566" s="3" t="s">
        <v>22</v>
      </c>
    </row>
    <row r="6567" spans="1:11" ht="42" customHeight="1">
      <c r="A6567" s="2" t="s">
        <v>12981</v>
      </c>
      <c r="B6567" s="2" t="s">
        <v>12982</v>
      </c>
      <c r="C6567" s="2" t="s">
        <v>16</v>
      </c>
      <c r="D6567" s="2" t="s">
        <v>17</v>
      </c>
      <c r="E6567" s="5">
        <v>-28389</v>
      </c>
      <c r="F6567" s="3" t="s">
        <v>481</v>
      </c>
      <c r="G6567" s="3" t="s">
        <v>57</v>
      </c>
      <c r="H6567" s="2" t="s">
        <v>20</v>
      </c>
      <c r="I6567" s="2" t="s">
        <v>12983</v>
      </c>
      <c r="J6567" s="3" t="str">
        <f>HYPERLINK("https://www.boe.es/gazeta/dias/1822/04/09/pdfs/GMD-1822-101.pdf#page=4","Abrir facsímil")</f>
        <v>Abrir facsímil</v>
      </c>
      <c r="K6567" s="3" t="s">
        <v>22</v>
      </c>
    </row>
    <row r="6568" spans="1:11" ht="42" customHeight="1">
      <c r="A6568" s="2" t="s">
        <v>12984</v>
      </c>
      <c r="B6568" s="2" t="s">
        <v>12985</v>
      </c>
      <c r="C6568" s="2" t="s">
        <v>61</v>
      </c>
      <c r="D6568" s="2" t="s">
        <v>17</v>
      </c>
      <c r="E6568" s="5">
        <v>-28427</v>
      </c>
      <c r="F6568" s="3" t="s">
        <v>755</v>
      </c>
      <c r="G6568" s="3" t="s">
        <v>57</v>
      </c>
      <c r="H6568" s="2" t="s">
        <v>20</v>
      </c>
      <c r="I6568" s="2" t="s">
        <v>12986</v>
      </c>
      <c r="J6568" s="3" t="str">
        <f>HYPERLINK("https://www.boe.es/gazeta/dias/1822/03/02/pdfs/GMD-1822-63.pdf#page=4","Abrir facsímil")</f>
        <v>Abrir facsímil</v>
      </c>
      <c r="K6568" s="3" t="s">
        <v>22</v>
      </c>
    </row>
    <row r="6569" spans="1:11" ht="42" customHeight="1">
      <c r="A6569" s="2" t="s">
        <v>12987</v>
      </c>
      <c r="B6569" s="2" t="s">
        <v>12988</v>
      </c>
      <c r="C6569" s="2" t="s">
        <v>42</v>
      </c>
      <c r="D6569" s="2" t="s">
        <v>17</v>
      </c>
      <c r="E6569" s="5">
        <v>-28160</v>
      </c>
      <c r="F6569" s="3" t="s">
        <v>148</v>
      </c>
      <c r="G6569" s="3" t="s">
        <v>19</v>
      </c>
      <c r="H6569" s="2" t="s">
        <v>20</v>
      </c>
      <c r="I6569" s="2" t="s">
        <v>12989</v>
      </c>
      <c r="J6569" s="3" t="str">
        <f>HYPERLINK("https://www.boe.es/gazeta/dias/1822/11/24/pdfs/GMD-1822-344.pdf#page=5","Abrir facsímil")</f>
        <v>Abrir facsímil</v>
      </c>
      <c r="K6569" s="3" t="s">
        <v>22</v>
      </c>
    </row>
    <row r="6570" spans="1:11" ht="42" customHeight="1">
      <c r="A6570" s="2" t="s">
        <v>12990</v>
      </c>
      <c r="B6570" s="2" t="s">
        <v>12991</v>
      </c>
      <c r="C6570" s="2" t="s">
        <v>50</v>
      </c>
      <c r="D6570" s="2" t="s">
        <v>51</v>
      </c>
      <c r="E6570" s="5">
        <v>-28303</v>
      </c>
      <c r="F6570" s="3" t="s">
        <v>201</v>
      </c>
      <c r="G6570" s="3" t="s">
        <v>57</v>
      </c>
      <c r="H6570" s="2" t="s">
        <v>20</v>
      </c>
      <c r="I6570" s="2" t="s">
        <v>12992</v>
      </c>
      <c r="J6570" s="3" t="str">
        <f>HYPERLINK("https://www.boe.es/gazeta/dias/1822/07/04/pdfs/GMD-1822-193.pdf#page=4","Abrir facsímil")</f>
        <v>Abrir facsímil</v>
      </c>
      <c r="K6570" s="3" t="s">
        <v>22</v>
      </c>
    </row>
    <row r="6571" spans="1:11" ht="42" customHeight="1">
      <c r="A6571" s="2" t="s">
        <v>12993</v>
      </c>
      <c r="B6571" s="2" t="s">
        <v>12994</v>
      </c>
      <c r="C6571" s="2" t="s">
        <v>28</v>
      </c>
      <c r="D6571" s="2" t="s">
        <v>29</v>
      </c>
      <c r="E6571" s="5">
        <v>-28266</v>
      </c>
      <c r="F6571" s="3" t="s">
        <v>1169</v>
      </c>
      <c r="G6571" s="3" t="s">
        <v>57</v>
      </c>
      <c r="H6571" s="2" t="s">
        <v>20</v>
      </c>
      <c r="I6571" s="2" t="s">
        <v>12995</v>
      </c>
      <c r="J6571" s="3" t="str">
        <f>HYPERLINK("https://www.boe.es/gazeta/dias/1822/08/10/pdfs/GMD-1822-234.pdf#page=4","Abrir facsímil")</f>
        <v>Abrir facsímil</v>
      </c>
      <c r="K6571" s="3" t="s">
        <v>22</v>
      </c>
    </row>
    <row r="6572" spans="1:11" ht="42" customHeight="1">
      <c r="A6572" s="2" t="s">
        <v>12996</v>
      </c>
      <c r="B6572" s="2" t="s">
        <v>12997</v>
      </c>
      <c r="C6572" s="2" t="s">
        <v>50</v>
      </c>
      <c r="D6572" s="2" t="s">
        <v>51</v>
      </c>
      <c r="E6572" s="5">
        <v>-28379</v>
      </c>
      <c r="F6572" s="3" t="s">
        <v>494</v>
      </c>
      <c r="G6572" s="3" t="s">
        <v>57</v>
      </c>
      <c r="H6572" s="2" t="s">
        <v>20</v>
      </c>
      <c r="I6572" s="2" t="s">
        <v>12998</v>
      </c>
      <c r="J6572" s="3" t="str">
        <f>HYPERLINK("https://www.boe.es/gazeta/dias/1822/04/19/pdfs/GMD-1822-111.pdf#page=4","Abrir facsímil")</f>
        <v>Abrir facsímil</v>
      </c>
      <c r="K6572" s="3" t="s">
        <v>22</v>
      </c>
    </row>
    <row r="6573" spans="1:11" ht="42" customHeight="1">
      <c r="A6573" s="2" t="s">
        <v>12996</v>
      </c>
      <c r="B6573" s="2" t="s">
        <v>12997</v>
      </c>
      <c r="C6573" s="2" t="s">
        <v>28</v>
      </c>
      <c r="D6573" s="2" t="s">
        <v>29</v>
      </c>
      <c r="E6573" s="5">
        <v>-28363</v>
      </c>
      <c r="F6573" s="3" t="s">
        <v>72</v>
      </c>
      <c r="G6573" s="3" t="s">
        <v>57</v>
      </c>
      <c r="H6573" s="2" t="s">
        <v>20</v>
      </c>
      <c r="I6573" s="2" t="s">
        <v>12999</v>
      </c>
      <c r="J6573" s="3" t="str">
        <f>HYPERLINK("https://www.boe.es/gazeta/dias/1822/05/05/pdfs/GMD-1822-127.pdf#page=4","Abrir facsímil")</f>
        <v>Abrir facsímil</v>
      </c>
      <c r="K6573" s="3" t="s">
        <v>22</v>
      </c>
    </row>
    <row r="6574" spans="1:11" ht="42" customHeight="1">
      <c r="A6574" s="2" t="s">
        <v>13000</v>
      </c>
      <c r="B6574" s="2" t="s">
        <v>13001</v>
      </c>
      <c r="C6574" s="2" t="s">
        <v>50</v>
      </c>
      <c r="D6574" s="2" t="s">
        <v>51</v>
      </c>
      <c r="E6574" s="5">
        <v>-28216</v>
      </c>
      <c r="F6574" s="3" t="s">
        <v>4661</v>
      </c>
      <c r="G6574" s="3" t="s">
        <v>57</v>
      </c>
      <c r="H6574" s="2" t="s">
        <v>20</v>
      </c>
      <c r="I6574" s="2" t="s">
        <v>13002</v>
      </c>
      <c r="J6574" s="3" t="str">
        <f>HYPERLINK("https://www.boe.es/gazeta/dias/1822/09/29/pdfs/GMD-1822-285.pdf#page=4","Abrir facsímil")</f>
        <v>Abrir facsímil</v>
      </c>
      <c r="K6574" s="3" t="s">
        <v>22</v>
      </c>
    </row>
    <row r="6575" spans="1:11" ht="42" customHeight="1">
      <c r="A6575" s="2" t="s">
        <v>13003</v>
      </c>
      <c r="B6575" s="2" t="s">
        <v>13004</v>
      </c>
      <c r="C6575" s="2" t="s">
        <v>24</v>
      </c>
      <c r="D6575" s="2" t="s">
        <v>17</v>
      </c>
      <c r="E6575" s="5">
        <v>-28318</v>
      </c>
      <c r="F6575" s="3" t="s">
        <v>397</v>
      </c>
      <c r="G6575" s="3" t="s">
        <v>157</v>
      </c>
      <c r="H6575" s="2" t="s">
        <v>20</v>
      </c>
      <c r="I6575" s="2" t="s">
        <v>13005</v>
      </c>
      <c r="J6575" s="3" t="str">
        <f>HYPERLINK("https://www.boe.es/gazeta/dias/1822/06/19/pdfs/GMD-1822-176.pdf#page=8","Abrir facsímil")</f>
        <v>Abrir facsímil</v>
      </c>
      <c r="K6575" s="3" t="s">
        <v>22</v>
      </c>
    </row>
    <row r="6576" spans="1:11" ht="42" customHeight="1">
      <c r="A6576" s="2" t="s">
        <v>13006</v>
      </c>
      <c r="B6576" s="2" t="s">
        <v>13007</v>
      </c>
      <c r="C6576" s="2" t="s">
        <v>42</v>
      </c>
      <c r="D6576" s="2" t="s">
        <v>17</v>
      </c>
      <c r="E6576" s="5">
        <v>-28377</v>
      </c>
      <c r="F6576" s="3" t="s">
        <v>498</v>
      </c>
      <c r="G6576" s="3" t="s">
        <v>44</v>
      </c>
      <c r="H6576" s="2" t="s">
        <v>20</v>
      </c>
      <c r="I6576" s="2" t="s">
        <v>13008</v>
      </c>
      <c r="J6576" s="3" t="str">
        <f>HYPERLINK("https://www.boe.es/gazeta/dias/1822/04/21/pdfs/GMD-1822-113.pdf#page=1","Abrir facsímil")</f>
        <v>Abrir facsímil</v>
      </c>
      <c r="K6576" s="3" t="s">
        <v>22</v>
      </c>
    </row>
    <row r="6577" spans="1:11" ht="42" customHeight="1">
      <c r="A6577" s="2" t="s">
        <v>13009</v>
      </c>
      <c r="B6577" s="2" t="s">
        <v>13010</v>
      </c>
      <c r="C6577" s="2" t="s">
        <v>42</v>
      </c>
      <c r="D6577" s="2" t="s">
        <v>17</v>
      </c>
      <c r="E6577" s="5">
        <v>-28234</v>
      </c>
      <c r="F6577" s="3" t="s">
        <v>1331</v>
      </c>
      <c r="G6577" s="3" t="s">
        <v>31</v>
      </c>
      <c r="H6577" s="2" t="s">
        <v>20</v>
      </c>
      <c r="I6577" s="2" t="s">
        <v>13011</v>
      </c>
      <c r="J6577" s="3" t="str">
        <f>HYPERLINK("https://www.boe.es/gazeta/dias/1822/09/11/pdfs/GMD-1822-267.pdf#page=3","Abrir facsímil")</f>
        <v>Abrir facsímil</v>
      </c>
      <c r="K6577" s="3" t="s">
        <v>22</v>
      </c>
    </row>
    <row r="6578" spans="1:11" ht="42" customHeight="1">
      <c r="A6578" s="2" t="s">
        <v>13012</v>
      </c>
      <c r="B6578" s="2" t="s">
        <v>13013</v>
      </c>
      <c r="C6578" s="2" t="s">
        <v>50</v>
      </c>
      <c r="D6578" s="2" t="s">
        <v>51</v>
      </c>
      <c r="E6578" s="5">
        <v>-28345</v>
      </c>
      <c r="F6578" s="3" t="s">
        <v>294</v>
      </c>
      <c r="G6578" s="3" t="s">
        <v>63</v>
      </c>
      <c r="H6578" s="2" t="s">
        <v>20</v>
      </c>
      <c r="I6578" s="2" t="s">
        <v>13014</v>
      </c>
      <c r="J6578" s="3" t="str">
        <f>HYPERLINK("https://www.boe.es/gazeta/dias/1822/05/23/pdfs/GMD-1822-147.pdf#page=6","Abrir facsímil")</f>
        <v>Abrir facsímil</v>
      </c>
      <c r="K6578" s="3" t="s">
        <v>22</v>
      </c>
    </row>
    <row r="6579" spans="1:11" ht="42" customHeight="1">
      <c r="A6579" s="2" t="s">
        <v>13015</v>
      </c>
      <c r="B6579" s="2" t="s">
        <v>13016</v>
      </c>
      <c r="C6579" s="2" t="s">
        <v>50</v>
      </c>
      <c r="D6579" s="2" t="s">
        <v>51</v>
      </c>
      <c r="E6579" s="5">
        <v>-28208</v>
      </c>
      <c r="F6579" s="3" t="s">
        <v>230</v>
      </c>
      <c r="G6579" s="3" t="s">
        <v>57</v>
      </c>
      <c r="H6579" s="2" t="s">
        <v>20</v>
      </c>
      <c r="I6579" s="2" t="s">
        <v>13017</v>
      </c>
      <c r="J6579" s="3" t="str">
        <f>HYPERLINK("https://www.boe.es/gazeta/dias/1822/10/07/pdfs/GMD-1822-293.pdf#page=4","Abrir facsímil")</f>
        <v>Abrir facsímil</v>
      </c>
      <c r="K6579" s="3" t="s">
        <v>22</v>
      </c>
    </row>
    <row r="6580" spans="1:11" ht="42" customHeight="1">
      <c r="A6580" s="2" t="s">
        <v>13018</v>
      </c>
      <c r="B6580" s="2" t="s">
        <v>13019</v>
      </c>
      <c r="C6580" s="2" t="s">
        <v>28</v>
      </c>
      <c r="D6580" s="2" t="s">
        <v>29</v>
      </c>
      <c r="E6580" s="5">
        <v>-28339</v>
      </c>
      <c r="F6580" s="3" t="s">
        <v>197</v>
      </c>
      <c r="G6580" s="3" t="s">
        <v>63</v>
      </c>
      <c r="H6580" s="2" t="s">
        <v>20</v>
      </c>
      <c r="I6580" s="2" t="s">
        <v>13020</v>
      </c>
      <c r="J6580" s="3" t="str">
        <f>HYPERLINK("https://www.boe.es/gazeta/dias/1822/05/29/pdfs/GMD-1822-154.pdf#page=6","Abrir facsímil")</f>
        <v>Abrir facsímil</v>
      </c>
      <c r="K6580" s="3" t="s">
        <v>22</v>
      </c>
    </row>
    <row r="6581" spans="1:11" ht="42" customHeight="1">
      <c r="A6581" s="2" t="s">
        <v>13021</v>
      </c>
      <c r="B6581" s="2" t="s">
        <v>13022</v>
      </c>
      <c r="C6581" s="2" t="s">
        <v>42</v>
      </c>
      <c r="D6581" s="2" t="s">
        <v>17</v>
      </c>
      <c r="E6581" s="5">
        <v>-28225</v>
      </c>
      <c r="F6581" s="3" t="s">
        <v>177</v>
      </c>
      <c r="G6581" s="3" t="s">
        <v>178</v>
      </c>
      <c r="H6581" s="2" t="s">
        <v>20</v>
      </c>
      <c r="I6581" s="2" t="s">
        <v>13023</v>
      </c>
      <c r="J6581" s="3" t="str">
        <f>HYPERLINK("https://www.boe.es/gazeta/dias/1822/09/20/pdfs/GMD-1822-276.pdf#page=3","Abrir facsímil")</f>
        <v>Abrir facsímil</v>
      </c>
      <c r="K6581" s="3" t="s">
        <v>22</v>
      </c>
    </row>
    <row r="6582" spans="1:11" ht="42" customHeight="1">
      <c r="A6582" s="2" t="s">
        <v>13024</v>
      </c>
      <c r="B6582" s="2" t="s">
        <v>13025</v>
      </c>
      <c r="C6582" s="2" t="s">
        <v>50</v>
      </c>
      <c r="D6582" s="2" t="s">
        <v>51</v>
      </c>
      <c r="E6582" s="5">
        <v>-28265</v>
      </c>
      <c r="F6582" s="3" t="s">
        <v>1263</v>
      </c>
      <c r="G6582" s="3" t="s">
        <v>57</v>
      </c>
      <c r="H6582" s="2" t="s">
        <v>20</v>
      </c>
      <c r="I6582" s="2" t="s">
        <v>13026</v>
      </c>
      <c r="J6582" s="3" t="str">
        <f>HYPERLINK("https://www.boe.es/gazeta/dias/1822/08/11/pdfs/GMD-1822-235.pdf#page=4","Abrir facsímil")</f>
        <v>Abrir facsímil</v>
      </c>
      <c r="K6582" s="3" t="s">
        <v>22</v>
      </c>
    </row>
    <row r="6583" spans="1:11" ht="42" customHeight="1">
      <c r="A6583" s="2" t="s">
        <v>13024</v>
      </c>
      <c r="B6583" s="2" t="s">
        <v>13025</v>
      </c>
      <c r="C6583" s="2" t="s">
        <v>50</v>
      </c>
      <c r="D6583" s="2" t="s">
        <v>51</v>
      </c>
      <c r="E6583" s="5">
        <v>-28127</v>
      </c>
      <c r="F6583" s="3" t="s">
        <v>409</v>
      </c>
      <c r="G6583" s="3" t="s">
        <v>5790</v>
      </c>
      <c r="H6583" s="2" t="s">
        <v>20</v>
      </c>
      <c r="I6583" s="2" t="s">
        <v>13027</v>
      </c>
      <c r="J6583" s="3" t="str">
        <f>HYPERLINK("https://www.boe.es/gazeta/dias/1822/12/27/pdfs/GMD-1822-377.pdf#page=6","Abrir facsímil")</f>
        <v>Abrir facsímil</v>
      </c>
      <c r="K6583" s="3" t="s">
        <v>22</v>
      </c>
    </row>
    <row r="6584" spans="1:11" ht="42" customHeight="1">
      <c r="A6584" s="2" t="s">
        <v>13028</v>
      </c>
      <c r="B6584" s="2" t="s">
        <v>13029</v>
      </c>
      <c r="C6584" s="2" t="s">
        <v>28</v>
      </c>
      <c r="D6584" s="2" t="s">
        <v>29</v>
      </c>
      <c r="E6584" s="5">
        <v>-28366</v>
      </c>
      <c r="F6584" s="3" t="s">
        <v>120</v>
      </c>
      <c r="G6584" s="3" t="s">
        <v>63</v>
      </c>
      <c r="H6584" s="2" t="s">
        <v>20</v>
      </c>
      <c r="I6584" s="2" t="s">
        <v>13030</v>
      </c>
      <c r="J6584" s="3" t="str">
        <f>HYPERLINK("https://www.boe.es/gazeta/dias/1822/05/02/pdfs/GMD-1822-124.pdf#page=6","Abrir facsímil")</f>
        <v>Abrir facsímil</v>
      </c>
      <c r="K6584" s="3" t="s">
        <v>22</v>
      </c>
    </row>
    <row r="6585" spans="1:11" ht="42" customHeight="1">
      <c r="A6585" s="2" t="s">
        <v>13031</v>
      </c>
      <c r="B6585" s="2" t="s">
        <v>13032</v>
      </c>
      <c r="C6585" s="2" t="s">
        <v>28</v>
      </c>
      <c r="D6585" s="2" t="s">
        <v>29</v>
      </c>
      <c r="E6585" s="5">
        <v>-28411</v>
      </c>
      <c r="F6585" s="3" t="s">
        <v>1509</v>
      </c>
      <c r="G6585" s="3" t="s">
        <v>57</v>
      </c>
      <c r="H6585" s="2" t="s">
        <v>20</v>
      </c>
      <c r="I6585" s="2" t="s">
        <v>13033</v>
      </c>
      <c r="J6585" s="3" t="str">
        <f>HYPERLINK("https://www.boe.es/gazeta/dias/1822/03/18/pdfs/GMD-1822-79.pdf#page=4","Abrir facsímil")</f>
        <v>Abrir facsímil</v>
      </c>
      <c r="K6585" s="3" t="s">
        <v>22</v>
      </c>
    </row>
    <row r="6586" spans="1:11" ht="42" customHeight="1">
      <c r="A6586" s="2" t="s">
        <v>13034</v>
      </c>
      <c r="B6586" s="2" t="s">
        <v>13034</v>
      </c>
      <c r="C6586" s="2" t="s">
        <v>42</v>
      </c>
      <c r="D6586" s="2" t="s">
        <v>17</v>
      </c>
      <c r="E6586" s="5">
        <v>-28414</v>
      </c>
      <c r="F6586" s="3" t="s">
        <v>187</v>
      </c>
      <c r="G6586" s="3" t="s">
        <v>19</v>
      </c>
      <c r="H6586" s="2" t="s">
        <v>20</v>
      </c>
      <c r="I6586" s="2" t="s">
        <v>13035</v>
      </c>
      <c r="J6586" s="3" t="str">
        <f>HYPERLINK("https://www.boe.es/gazeta/dias/1822/03/15/pdfs/GMD-1822-76.pdf#page=5","Abrir facsímil")</f>
        <v>Abrir facsímil</v>
      </c>
      <c r="K6586" s="3" t="s">
        <v>22</v>
      </c>
    </row>
    <row r="6587" spans="1:11" ht="42" customHeight="1">
      <c r="A6587" s="2" t="s">
        <v>13036</v>
      </c>
      <c r="B6587" s="2" t="s">
        <v>13037</v>
      </c>
      <c r="C6587" s="2" t="s">
        <v>16</v>
      </c>
      <c r="D6587" s="2" t="s">
        <v>17</v>
      </c>
      <c r="E6587" s="5">
        <v>-28358</v>
      </c>
      <c r="F6587" s="3" t="s">
        <v>211</v>
      </c>
      <c r="G6587" s="3" t="s">
        <v>157</v>
      </c>
      <c r="H6587" s="2" t="s">
        <v>20</v>
      </c>
      <c r="I6587" s="2" t="s">
        <v>13038</v>
      </c>
      <c r="J6587" s="3" t="str">
        <f>HYPERLINK("https://www.boe.es/gazeta/dias/1822/05/10/pdfs/GMD-1822-132.pdf#page=8","Abrir facsímil")</f>
        <v>Abrir facsímil</v>
      </c>
      <c r="K6587" s="3" t="s">
        <v>22</v>
      </c>
    </row>
    <row r="6588" spans="1:11" ht="42" customHeight="1">
      <c r="A6588" s="2" t="s">
        <v>13039</v>
      </c>
      <c r="B6588" s="2" t="s">
        <v>13040</v>
      </c>
      <c r="C6588" s="2" t="s">
        <v>50</v>
      </c>
      <c r="D6588" s="2" t="s">
        <v>51</v>
      </c>
      <c r="E6588" s="5">
        <v>-28142</v>
      </c>
      <c r="F6588" s="3" t="s">
        <v>290</v>
      </c>
      <c r="G6588" s="3" t="s">
        <v>57</v>
      </c>
      <c r="H6588" s="2" t="s">
        <v>20</v>
      </c>
      <c r="I6588" s="2" t="s">
        <v>13041</v>
      </c>
      <c r="J6588" s="3" t="str">
        <f>HYPERLINK("https://www.boe.es/gazeta/dias/1822/12/12/pdfs/GMD-1822-362.pdf#page=4","Abrir facsímil")</f>
        <v>Abrir facsímil</v>
      </c>
      <c r="K6588" s="3" t="s">
        <v>22</v>
      </c>
    </row>
    <row r="6589" spans="1:11" ht="42" customHeight="1">
      <c r="A6589" s="2" t="s">
        <v>13042</v>
      </c>
      <c r="B6589" s="2" t="s">
        <v>13042</v>
      </c>
      <c r="C6589" s="2" t="s">
        <v>42</v>
      </c>
      <c r="D6589" s="2" t="s">
        <v>17</v>
      </c>
      <c r="E6589" s="5">
        <v>-28378</v>
      </c>
      <c r="F6589" s="3" t="s">
        <v>496</v>
      </c>
      <c r="G6589" s="3" t="s">
        <v>57</v>
      </c>
      <c r="H6589" s="2" t="s">
        <v>20</v>
      </c>
      <c r="I6589" s="2" t="s">
        <v>13043</v>
      </c>
      <c r="J6589" s="3" t="str">
        <f>HYPERLINK("https://www.boe.es/gazeta/dias/1822/04/20/pdfs/GMD-1822-112.pdf#page=4","Abrir facsímil")</f>
        <v>Abrir facsímil</v>
      </c>
      <c r="K6589" s="3" t="s">
        <v>22</v>
      </c>
    </row>
    <row r="6590" spans="1:11" ht="42" customHeight="1">
      <c r="A6590" s="2" t="s">
        <v>13044</v>
      </c>
      <c r="B6590" s="2" t="s">
        <v>13044</v>
      </c>
      <c r="C6590" s="2" t="s">
        <v>61</v>
      </c>
      <c r="D6590" s="2" t="s">
        <v>17</v>
      </c>
      <c r="E6590" s="5">
        <v>-28311</v>
      </c>
      <c r="F6590" s="3" t="s">
        <v>736</v>
      </c>
      <c r="G6590" s="3" t="s">
        <v>157</v>
      </c>
      <c r="H6590" s="2" t="s">
        <v>20</v>
      </c>
      <c r="I6590" s="2" t="s">
        <v>13045</v>
      </c>
      <c r="J6590" s="3" t="str">
        <f>HYPERLINK("https://www.boe.es/gazeta/dias/1822/06/26/pdfs/GMD-1822-184.pdf#page=8","Abrir facsímil")</f>
        <v>Abrir facsímil</v>
      </c>
      <c r="K6590" s="3" t="s">
        <v>22</v>
      </c>
    </row>
    <row r="6591" spans="1:11" ht="42" customHeight="1">
      <c r="A6591" s="2" t="s">
        <v>13046</v>
      </c>
      <c r="B6591" s="2" t="s">
        <v>13047</v>
      </c>
      <c r="C6591" s="2" t="s">
        <v>50</v>
      </c>
      <c r="D6591" s="2" t="s">
        <v>51</v>
      </c>
      <c r="E6591" s="5">
        <v>-28415</v>
      </c>
      <c r="F6591" s="3" t="s">
        <v>77</v>
      </c>
      <c r="G6591" s="3" t="s">
        <v>19</v>
      </c>
      <c r="H6591" s="2" t="s">
        <v>20</v>
      </c>
      <c r="I6591" s="2" t="s">
        <v>13048</v>
      </c>
      <c r="J6591" s="3" t="str">
        <f>HYPERLINK("https://www.boe.es/gazeta/dias/1822/03/14/pdfs/GMD-1822-75.pdf#page=5","Abrir facsímil")</f>
        <v>Abrir facsímil</v>
      </c>
      <c r="K6591" s="3" t="s">
        <v>22</v>
      </c>
    </row>
    <row r="6592" spans="1:11" ht="42" customHeight="1">
      <c r="A6592" s="2" t="s">
        <v>13049</v>
      </c>
      <c r="B6592" s="2" t="s">
        <v>13049</v>
      </c>
      <c r="C6592" s="2" t="s">
        <v>50</v>
      </c>
      <c r="D6592" s="2" t="s">
        <v>51</v>
      </c>
      <c r="E6592" s="5">
        <v>-28264</v>
      </c>
      <c r="F6592" s="3" t="s">
        <v>1329</v>
      </c>
      <c r="G6592" s="3" t="s">
        <v>35</v>
      </c>
      <c r="H6592" s="2" t="s">
        <v>20</v>
      </c>
      <c r="I6592" s="2" t="s">
        <v>13050</v>
      </c>
      <c r="J6592" s="3" t="str">
        <f>HYPERLINK("https://www.boe.es/gazeta/dias/1822/08/12/pdfs/GMD-1822-236.pdf#page=2","Abrir facsímil")</f>
        <v>Abrir facsímil</v>
      </c>
      <c r="K6592" s="3" t="s">
        <v>22</v>
      </c>
    </row>
    <row r="6593" spans="1:11" ht="42" customHeight="1">
      <c r="A6593" s="2" t="s">
        <v>13051</v>
      </c>
      <c r="B6593" s="2" t="s">
        <v>13051</v>
      </c>
      <c r="C6593" s="2" t="s">
        <v>71</v>
      </c>
      <c r="D6593" s="2" t="s">
        <v>17</v>
      </c>
      <c r="E6593" s="5">
        <v>-28132</v>
      </c>
      <c r="F6593" s="3" t="s">
        <v>820</v>
      </c>
      <c r="G6593" s="3" t="s">
        <v>821</v>
      </c>
      <c r="H6593" s="2" t="s">
        <v>20</v>
      </c>
      <c r="I6593" s="2" t="s">
        <v>13052</v>
      </c>
      <c r="J6593" s="3" t="str">
        <f>HYPERLINK("https://www.boe.es/gazeta/dias/1822/12/22/pdfs/GMD-1822-372.pdf#page=4","Abrir facsímil")</f>
        <v>Abrir facsímil</v>
      </c>
      <c r="K6593" s="3" t="s">
        <v>22</v>
      </c>
    </row>
    <row r="6594" spans="1:11" ht="42" customHeight="1">
      <c r="A6594" s="2" t="s">
        <v>13053</v>
      </c>
      <c r="B6594" s="2" t="s">
        <v>13054</v>
      </c>
      <c r="C6594" s="2" t="s">
        <v>50</v>
      </c>
      <c r="D6594" s="2" t="s">
        <v>51</v>
      </c>
      <c r="E6594" s="5">
        <v>-28336</v>
      </c>
      <c r="F6594" s="3" t="s">
        <v>156</v>
      </c>
      <c r="G6594" s="3" t="s">
        <v>44</v>
      </c>
      <c r="H6594" s="2" t="s">
        <v>20</v>
      </c>
      <c r="I6594" s="2" t="s">
        <v>13055</v>
      </c>
      <c r="J6594" s="3" t="str">
        <f>HYPERLINK("https://www.boe.es/gazeta/dias/1822/06/01/pdfs/GMD-1822-157.pdf#page=1","Abrir facsímil")</f>
        <v>Abrir facsímil</v>
      </c>
      <c r="K6594" s="3" t="s">
        <v>22</v>
      </c>
    </row>
    <row r="6595" spans="1:11" ht="42" customHeight="1">
      <c r="A6595" s="2" t="s">
        <v>13056</v>
      </c>
      <c r="B6595" s="2" t="s">
        <v>13057</v>
      </c>
      <c r="C6595" s="2" t="s">
        <v>28</v>
      </c>
      <c r="D6595" s="2" t="s">
        <v>29</v>
      </c>
      <c r="E6595" s="5">
        <v>-28326</v>
      </c>
      <c r="F6595" s="3" t="s">
        <v>543</v>
      </c>
      <c r="G6595" s="3" t="s">
        <v>63</v>
      </c>
      <c r="H6595" s="2" t="s">
        <v>20</v>
      </c>
      <c r="I6595" s="2" t="s">
        <v>13058</v>
      </c>
      <c r="J6595" s="3" t="str">
        <f>HYPERLINK("https://www.boe.es/gazeta/dias/1822/06/11/pdfs/GMD-1822-168.pdf#page=6","Abrir facsímil")</f>
        <v>Abrir facsímil</v>
      </c>
      <c r="K6595" s="3" t="s">
        <v>22</v>
      </c>
    </row>
    <row r="6596" spans="1:11" ht="42" customHeight="1">
      <c r="A6596" s="2" t="s">
        <v>13059</v>
      </c>
      <c r="B6596" s="2" t="s">
        <v>13059</v>
      </c>
      <c r="C6596" s="2" t="s">
        <v>24</v>
      </c>
      <c r="D6596" s="2" t="s">
        <v>723</v>
      </c>
      <c r="E6596" s="5">
        <v>-28286</v>
      </c>
      <c r="F6596" s="3" t="s">
        <v>13060</v>
      </c>
      <c r="G6596" s="3" t="s">
        <v>44</v>
      </c>
      <c r="H6596" s="2" t="s">
        <v>20</v>
      </c>
      <c r="I6596" s="2" t="s">
        <v>13061</v>
      </c>
      <c r="J6596" s="3" t="str">
        <f>HYPERLINK("https://www.boe.es/gazeta/dias/1822/07/21/pdfs/GMD-1822-214E.pdf#page=1","Abrir facsímil")</f>
        <v>Abrir facsímil</v>
      </c>
      <c r="K6596" s="3" t="s">
        <v>22</v>
      </c>
    </row>
    <row r="6597" spans="1:11" ht="42" customHeight="1">
      <c r="A6597" s="2" t="s">
        <v>13062</v>
      </c>
      <c r="B6597" s="2" t="s">
        <v>13063</v>
      </c>
      <c r="C6597" s="2" t="s">
        <v>28</v>
      </c>
      <c r="D6597" s="2" t="s">
        <v>29</v>
      </c>
      <c r="E6597" s="5">
        <v>-28308</v>
      </c>
      <c r="F6597" s="3" t="s">
        <v>1050</v>
      </c>
      <c r="G6597" s="3" t="s">
        <v>35</v>
      </c>
      <c r="H6597" s="2" t="s">
        <v>20</v>
      </c>
      <c r="I6597" s="2" t="s">
        <v>13064</v>
      </c>
      <c r="J6597" s="3" t="str">
        <f>HYPERLINK("https://www.boe.es/gazeta/dias/1822/06/29/pdfs/GMD-1822-187.pdf#page=2","Abrir facsímil")</f>
        <v>Abrir facsímil</v>
      </c>
      <c r="K6597" s="3" t="s">
        <v>22</v>
      </c>
    </row>
    <row r="6598" spans="1:11" ht="42" customHeight="1">
      <c r="A6598" s="2" t="s">
        <v>13065</v>
      </c>
      <c r="B6598" s="2" t="s">
        <v>13066</v>
      </c>
      <c r="C6598" s="2" t="s">
        <v>50</v>
      </c>
      <c r="D6598" s="2" t="s">
        <v>51</v>
      </c>
      <c r="E6598" s="5">
        <v>-28321</v>
      </c>
      <c r="F6598" s="3" t="s">
        <v>1142</v>
      </c>
      <c r="G6598" s="3" t="s">
        <v>31</v>
      </c>
      <c r="H6598" s="2" t="s">
        <v>20</v>
      </c>
      <c r="I6598" s="2" t="s">
        <v>13067</v>
      </c>
      <c r="J6598" s="3" t="str">
        <f>HYPERLINK("https://www.boe.es/gazeta/dias/1822/06/16/pdfs/GMD-1822-173.pdf#page=3","Abrir facsímil")</f>
        <v>Abrir facsímil</v>
      </c>
      <c r="K6598" s="3" t="s">
        <v>22</v>
      </c>
    </row>
    <row r="6599" spans="1:11" ht="42" customHeight="1">
      <c r="A6599" s="2" t="s">
        <v>13068</v>
      </c>
      <c r="B6599" s="2" t="s">
        <v>13068</v>
      </c>
      <c r="C6599" s="2" t="s">
        <v>50</v>
      </c>
      <c r="D6599" s="2" t="s">
        <v>51</v>
      </c>
      <c r="E6599" s="5">
        <v>-28272</v>
      </c>
      <c r="F6599" s="3" t="s">
        <v>52</v>
      </c>
      <c r="G6599" s="3" t="s">
        <v>35</v>
      </c>
      <c r="H6599" s="2" t="s">
        <v>20</v>
      </c>
      <c r="I6599" s="2" t="s">
        <v>13069</v>
      </c>
      <c r="J6599" s="3" t="str">
        <f>HYPERLINK("https://www.boe.es/gazeta/dias/1822/08/04/pdfs/GMD-1822-228.pdf#page=2","Abrir facsímil")</f>
        <v>Abrir facsímil</v>
      </c>
      <c r="K6599" s="3" t="s">
        <v>22</v>
      </c>
    </row>
    <row r="6600" spans="1:11" ht="42" customHeight="1">
      <c r="A6600" s="2" t="s">
        <v>13070</v>
      </c>
      <c r="B6600" s="2" t="s">
        <v>13071</v>
      </c>
      <c r="C6600" s="2" t="s">
        <v>42</v>
      </c>
      <c r="D6600" s="2" t="s">
        <v>17</v>
      </c>
      <c r="E6600" s="5">
        <v>-28318</v>
      </c>
      <c r="F6600" s="3" t="s">
        <v>397</v>
      </c>
      <c r="G6600" s="3" t="s">
        <v>35</v>
      </c>
      <c r="H6600" s="2" t="s">
        <v>20</v>
      </c>
      <c r="I6600" s="2" t="s">
        <v>13072</v>
      </c>
      <c r="J6600" s="3" t="str">
        <f>HYPERLINK("https://www.boe.es/gazeta/dias/1822/06/19/pdfs/GMD-1822-176.pdf#page=2","Abrir facsímil")</f>
        <v>Abrir facsímil</v>
      </c>
      <c r="K6600" s="3" t="s">
        <v>22</v>
      </c>
    </row>
    <row r="6601" spans="1:11" ht="42" customHeight="1">
      <c r="A6601" s="2" t="s">
        <v>13073</v>
      </c>
      <c r="B6601" s="2" t="s">
        <v>13074</v>
      </c>
      <c r="C6601" s="2" t="s">
        <v>24</v>
      </c>
      <c r="D6601" s="2" t="s">
        <v>17</v>
      </c>
      <c r="E6601" s="5">
        <v>-28197</v>
      </c>
      <c r="F6601" s="3" t="s">
        <v>568</v>
      </c>
      <c r="G6601" s="3" t="s">
        <v>57</v>
      </c>
      <c r="H6601" s="2" t="s">
        <v>20</v>
      </c>
      <c r="I6601" s="2" t="s">
        <v>13075</v>
      </c>
      <c r="J6601" s="3" t="str">
        <f>HYPERLINK("https://www.boe.es/gazeta/dias/1822/10/18/pdfs/GMD-1822-305.pdf#page=4","Abrir facsímil")</f>
        <v>Abrir facsímil</v>
      </c>
      <c r="K6601" s="3" t="s">
        <v>22</v>
      </c>
    </row>
    <row r="6602" spans="1:11" ht="42" customHeight="1">
      <c r="A6602" s="2" t="s">
        <v>13076</v>
      </c>
      <c r="B6602" s="2" t="s">
        <v>13076</v>
      </c>
      <c r="C6602" s="2" t="s">
        <v>16</v>
      </c>
      <c r="D6602" s="2" t="s">
        <v>17</v>
      </c>
      <c r="E6602" s="5">
        <v>-28468</v>
      </c>
      <c r="F6602" s="3" t="s">
        <v>1012</v>
      </c>
      <c r="G6602" s="3" t="s">
        <v>57</v>
      </c>
      <c r="H6602" s="2" t="s">
        <v>20</v>
      </c>
      <c r="I6602" s="2" t="s">
        <v>13077</v>
      </c>
      <c r="J6602" s="3" t="str">
        <f>HYPERLINK("https://www.boe.es/gazeta/dias/1822/01/20/pdfs/GMD-1822-20.pdf#page=4","Abrir facsímil")</f>
        <v>Abrir facsímil</v>
      </c>
      <c r="K6602" s="3" t="s">
        <v>22</v>
      </c>
    </row>
    <row r="6603" spans="1:11" ht="42" customHeight="1">
      <c r="A6603" s="2" t="s">
        <v>13078</v>
      </c>
      <c r="B6603" s="2" t="s">
        <v>13079</v>
      </c>
      <c r="C6603" s="2" t="s">
        <v>50</v>
      </c>
      <c r="D6603" s="2" t="s">
        <v>51</v>
      </c>
      <c r="E6603" s="5">
        <v>-28228</v>
      </c>
      <c r="F6603" s="3" t="s">
        <v>718</v>
      </c>
      <c r="G6603" s="3" t="s">
        <v>719</v>
      </c>
      <c r="H6603" s="2" t="s">
        <v>20</v>
      </c>
      <c r="I6603" s="2" t="s">
        <v>13080</v>
      </c>
      <c r="J6603" s="3" t="str">
        <f>HYPERLINK("https://www.boe.es/gazeta/dias/1822/09/17/pdfs/GMD-1822-273.pdf#page=3","Abrir facsímil")</f>
        <v>Abrir facsímil</v>
      </c>
      <c r="K6603" s="3" t="s">
        <v>22</v>
      </c>
    </row>
    <row r="6604" spans="1:11" ht="42" customHeight="1">
      <c r="A6604" s="2" t="s">
        <v>13081</v>
      </c>
      <c r="B6604" s="2" t="s">
        <v>13082</v>
      </c>
      <c r="C6604" s="2" t="s">
        <v>42</v>
      </c>
      <c r="D6604" s="2" t="s">
        <v>17</v>
      </c>
      <c r="E6604" s="5">
        <v>-28381</v>
      </c>
      <c r="F6604" s="3" t="s">
        <v>358</v>
      </c>
      <c r="G6604" s="3" t="s">
        <v>63</v>
      </c>
      <c r="H6604" s="2" t="s">
        <v>20</v>
      </c>
      <c r="I6604" s="2" t="s">
        <v>13083</v>
      </c>
      <c r="J6604" s="3" t="str">
        <f>HYPERLINK("https://www.boe.es/gazeta/dias/1822/04/17/pdfs/GMD-1822-109.pdf#page=6","Abrir facsímil")</f>
        <v>Abrir facsímil</v>
      </c>
      <c r="K6604" s="3" t="s">
        <v>22</v>
      </c>
    </row>
    <row r="6605" spans="1:11" ht="42" customHeight="1">
      <c r="A6605" s="2" t="s">
        <v>13084</v>
      </c>
      <c r="B6605" s="2" t="s">
        <v>13085</v>
      </c>
      <c r="C6605" s="2" t="s">
        <v>50</v>
      </c>
      <c r="D6605" s="2" t="s">
        <v>51</v>
      </c>
      <c r="E6605" s="5">
        <v>-28321</v>
      </c>
      <c r="F6605" s="3" t="s">
        <v>1142</v>
      </c>
      <c r="G6605" s="3" t="s">
        <v>31</v>
      </c>
      <c r="H6605" s="2" t="s">
        <v>20</v>
      </c>
      <c r="I6605" s="2" t="s">
        <v>13086</v>
      </c>
      <c r="J6605" s="3" t="str">
        <f>HYPERLINK("https://www.boe.es/gazeta/dias/1822/06/16/pdfs/GMD-1822-173.pdf#page=3","Abrir facsímil")</f>
        <v>Abrir facsímil</v>
      </c>
      <c r="K6605" s="3" t="s">
        <v>22</v>
      </c>
    </row>
    <row r="6606" spans="1:11" ht="42" customHeight="1">
      <c r="A6606" s="2" t="s">
        <v>13087</v>
      </c>
      <c r="B6606" s="2" t="s">
        <v>13087</v>
      </c>
      <c r="C6606" s="2" t="s">
        <v>16</v>
      </c>
      <c r="D6606" s="2" t="s">
        <v>17</v>
      </c>
      <c r="E6606" s="5">
        <v>-28428</v>
      </c>
      <c r="F6606" s="3" t="s">
        <v>1924</v>
      </c>
      <c r="G6606" s="3" t="s">
        <v>57</v>
      </c>
      <c r="H6606" s="2" t="s">
        <v>20</v>
      </c>
      <c r="I6606" s="2" t="s">
        <v>13088</v>
      </c>
      <c r="J6606" s="3" t="str">
        <f>HYPERLINK("https://www.boe.es/gazeta/dias/1822/03/01/pdfs/GMD-1822-61.pdf#page=4","Abrir facsímil")</f>
        <v>Abrir facsímil</v>
      </c>
      <c r="K6606" s="3" t="s">
        <v>22</v>
      </c>
    </row>
    <row r="6607" spans="1:11" ht="42" customHeight="1">
      <c r="A6607" s="2" t="s">
        <v>13089</v>
      </c>
      <c r="B6607" s="2" t="s">
        <v>13089</v>
      </c>
      <c r="C6607" s="2" t="s">
        <v>50</v>
      </c>
      <c r="D6607" s="2" t="s">
        <v>51</v>
      </c>
      <c r="E6607" s="5">
        <v>-28392</v>
      </c>
      <c r="F6607" s="3" t="s">
        <v>2003</v>
      </c>
      <c r="G6607" s="3" t="s">
        <v>57</v>
      </c>
      <c r="H6607" s="2" t="s">
        <v>20</v>
      </c>
      <c r="I6607" s="2" t="s">
        <v>13090</v>
      </c>
      <c r="J6607" s="3" t="str">
        <f>HYPERLINK("https://www.boe.es/gazeta/dias/1822/04/06/pdfs/GMD-1822-98.pdf#page=4","Abrir facsímil")</f>
        <v>Abrir facsímil</v>
      </c>
      <c r="K6607" s="3" t="s">
        <v>22</v>
      </c>
    </row>
    <row r="6608" spans="1:11" ht="42" customHeight="1">
      <c r="A6608" s="2" t="s">
        <v>13091</v>
      </c>
      <c r="B6608" s="2" t="s">
        <v>13091</v>
      </c>
      <c r="C6608" s="2" t="s">
        <v>50</v>
      </c>
      <c r="D6608" s="2" t="s">
        <v>51</v>
      </c>
      <c r="E6608" s="5">
        <v>-28374</v>
      </c>
      <c r="F6608" s="3" t="s">
        <v>171</v>
      </c>
      <c r="G6608" s="3" t="s">
        <v>31</v>
      </c>
      <c r="H6608" s="2" t="s">
        <v>20</v>
      </c>
      <c r="I6608" s="2" t="s">
        <v>13092</v>
      </c>
      <c r="J6608" s="3" t="str">
        <f>HYPERLINK("https://www.boe.es/gazeta/dias/1822/04/24/pdfs/GMD-1822-116.pdf#page=3","Abrir facsímil")</f>
        <v>Abrir facsímil</v>
      </c>
      <c r="K6608" s="3" t="s">
        <v>22</v>
      </c>
    </row>
    <row r="6609" spans="1:11" ht="42" customHeight="1">
      <c r="A6609" s="2" t="s">
        <v>13093</v>
      </c>
      <c r="B6609" s="2" t="s">
        <v>13093</v>
      </c>
      <c r="C6609" s="2" t="s">
        <v>28</v>
      </c>
      <c r="D6609" s="2" t="s">
        <v>29</v>
      </c>
      <c r="E6609" s="5">
        <v>-28418</v>
      </c>
      <c r="F6609" s="3" t="s">
        <v>205</v>
      </c>
      <c r="G6609" s="3" t="s">
        <v>57</v>
      </c>
      <c r="H6609" s="2" t="s">
        <v>20</v>
      </c>
      <c r="I6609" s="2" t="s">
        <v>13094</v>
      </c>
      <c r="J6609" s="3" t="str">
        <f>HYPERLINK("https://www.boe.es/gazeta/dias/1822/03/11/pdfs/GMD-1822-72.pdf#page=4","Abrir facsímil")</f>
        <v>Abrir facsímil</v>
      </c>
      <c r="K6609" s="3" t="s">
        <v>22</v>
      </c>
    </row>
    <row r="6610" spans="1:11" ht="42" customHeight="1">
      <c r="A6610" s="2" t="s">
        <v>13093</v>
      </c>
      <c r="B6610" s="2" t="s">
        <v>13093</v>
      </c>
      <c r="C6610" s="2" t="s">
        <v>28</v>
      </c>
      <c r="D6610" s="2" t="s">
        <v>29</v>
      </c>
      <c r="E6610" s="5">
        <v>-28414</v>
      </c>
      <c r="F6610" s="3" t="s">
        <v>187</v>
      </c>
      <c r="G6610" s="3" t="s">
        <v>19</v>
      </c>
      <c r="H6610" s="2" t="s">
        <v>20</v>
      </c>
      <c r="I6610" s="2" t="s">
        <v>13095</v>
      </c>
      <c r="J6610" s="3" t="str">
        <f>HYPERLINK("https://www.boe.es/gazeta/dias/1822/03/15/pdfs/GMD-1822-76.pdf#page=5","Abrir facsímil")</f>
        <v>Abrir facsímil</v>
      </c>
      <c r="K6610" s="3" t="s">
        <v>22</v>
      </c>
    </row>
    <row r="6611" spans="1:11" ht="42" customHeight="1">
      <c r="A6611" s="2" t="s">
        <v>13093</v>
      </c>
      <c r="B6611" s="2" t="s">
        <v>13093</v>
      </c>
      <c r="C6611" s="2" t="s">
        <v>28</v>
      </c>
      <c r="D6611" s="2" t="s">
        <v>29</v>
      </c>
      <c r="E6611" s="5">
        <v>-28376</v>
      </c>
      <c r="F6611" s="3" t="s">
        <v>500</v>
      </c>
      <c r="G6611" s="3" t="s">
        <v>57</v>
      </c>
      <c r="H6611" s="2" t="s">
        <v>20</v>
      </c>
      <c r="I6611" s="2" t="s">
        <v>13096</v>
      </c>
      <c r="J6611" s="3" t="str">
        <f>HYPERLINK("https://www.boe.es/gazeta/dias/1822/04/22/pdfs/GMD-1822-114.pdf#page=4","Abrir facsímil")</f>
        <v>Abrir facsímil</v>
      </c>
      <c r="K6611" s="3" t="s">
        <v>22</v>
      </c>
    </row>
    <row r="6612" spans="1:11" ht="42" customHeight="1">
      <c r="A6612" s="2" t="s">
        <v>13093</v>
      </c>
      <c r="B6612" s="2" t="s">
        <v>13093</v>
      </c>
      <c r="C6612" s="2" t="s">
        <v>71</v>
      </c>
      <c r="D6612" s="2" t="s">
        <v>17</v>
      </c>
      <c r="E6612" s="5">
        <v>-28362</v>
      </c>
      <c r="F6612" s="3" t="s">
        <v>511</v>
      </c>
      <c r="G6612" s="3" t="s">
        <v>35</v>
      </c>
      <c r="H6612" s="2" t="s">
        <v>20</v>
      </c>
      <c r="I6612" s="2" t="s">
        <v>13097</v>
      </c>
      <c r="J6612" s="3" t="str">
        <f>HYPERLINK("https://www.boe.es/gazeta/dias/1822/05/06/pdfs/GMD-1822-128.pdf#page=2","Abrir facsímil")</f>
        <v>Abrir facsímil</v>
      </c>
      <c r="K6612" s="3" t="s">
        <v>22</v>
      </c>
    </row>
    <row r="6613" spans="1:11" ht="42" customHeight="1">
      <c r="A6613" s="2" t="s">
        <v>13093</v>
      </c>
      <c r="B6613" s="2" t="s">
        <v>13093</v>
      </c>
      <c r="C6613" s="2" t="s">
        <v>42</v>
      </c>
      <c r="D6613" s="2" t="s">
        <v>17</v>
      </c>
      <c r="E6613" s="5">
        <v>-28169</v>
      </c>
      <c r="F6613" s="3" t="s">
        <v>2571</v>
      </c>
      <c r="G6613" s="3" t="s">
        <v>19</v>
      </c>
      <c r="H6613" s="2" t="s">
        <v>20</v>
      </c>
      <c r="I6613" s="2" t="s">
        <v>13098</v>
      </c>
      <c r="J6613" s="3" t="str">
        <f>HYPERLINK("https://www.boe.es/gazeta/dias/1822/11/15/pdfs/GMD-1822-335.pdf#page=5","Abrir facsímil")</f>
        <v>Abrir facsímil</v>
      </c>
      <c r="K6613" s="3" t="s">
        <v>22</v>
      </c>
    </row>
    <row r="6614" spans="1:11" ht="42" customHeight="1">
      <c r="A6614" s="2" t="s">
        <v>13093</v>
      </c>
      <c r="B6614" s="2" t="s">
        <v>13093</v>
      </c>
      <c r="C6614" s="2" t="s">
        <v>50</v>
      </c>
      <c r="D6614" s="2" t="s">
        <v>51</v>
      </c>
      <c r="E6614" s="5">
        <v>-28139</v>
      </c>
      <c r="F6614" s="3" t="s">
        <v>143</v>
      </c>
      <c r="G6614" s="3" t="s">
        <v>31</v>
      </c>
      <c r="H6614" s="2" t="s">
        <v>20</v>
      </c>
      <c r="I6614" s="2" t="s">
        <v>13099</v>
      </c>
      <c r="J6614" s="3" t="str">
        <f>HYPERLINK("https://www.boe.es/gazeta/dias/1822/12/15/pdfs/GMD-1822-365.pdf#page=3","Abrir facsímil")</f>
        <v>Abrir facsímil</v>
      </c>
      <c r="K6614" s="3" t="s">
        <v>22</v>
      </c>
    </row>
    <row r="6615" spans="1:11" ht="42" customHeight="1">
      <c r="A6615" s="2" t="s">
        <v>13100</v>
      </c>
      <c r="B6615" s="2" t="s">
        <v>13100</v>
      </c>
      <c r="C6615" s="2" t="s">
        <v>50</v>
      </c>
      <c r="D6615" s="2" t="s">
        <v>51</v>
      </c>
      <c r="E6615" s="5">
        <v>-28414</v>
      </c>
      <c r="F6615" s="3" t="s">
        <v>187</v>
      </c>
      <c r="G6615" s="3" t="s">
        <v>19</v>
      </c>
      <c r="H6615" s="2" t="s">
        <v>20</v>
      </c>
      <c r="I6615" s="2" t="s">
        <v>13101</v>
      </c>
      <c r="J6615" s="3" t="str">
        <f>HYPERLINK("https://www.boe.es/gazeta/dias/1822/03/15/pdfs/GMD-1822-76.pdf#page=5","Abrir facsímil")</f>
        <v>Abrir facsímil</v>
      </c>
      <c r="K6615" s="3" t="s">
        <v>22</v>
      </c>
    </row>
    <row r="6616" spans="1:11" ht="42" customHeight="1">
      <c r="A6616" s="2" t="s">
        <v>13102</v>
      </c>
      <c r="B6616" s="2" t="s">
        <v>13103</v>
      </c>
      <c r="C6616" s="2" t="s">
        <v>24</v>
      </c>
      <c r="D6616" s="2" t="s">
        <v>17</v>
      </c>
      <c r="E6616" s="5">
        <v>-28359</v>
      </c>
      <c r="F6616" s="3" t="s">
        <v>209</v>
      </c>
      <c r="G6616" s="3" t="s">
        <v>35</v>
      </c>
      <c r="H6616" s="2" t="s">
        <v>20</v>
      </c>
      <c r="I6616" s="2" t="s">
        <v>13104</v>
      </c>
      <c r="J6616" s="3" t="str">
        <f>HYPERLINK("https://www.boe.es/gazeta/dias/1822/05/09/pdfs/GMD-1822-131.pdf#page=2","Abrir facsímil")</f>
        <v>Abrir facsímil</v>
      </c>
      <c r="K6616" s="3" t="s">
        <v>22</v>
      </c>
    </row>
    <row r="6617" spans="1:11" ht="42" customHeight="1">
      <c r="A6617" s="2" t="s">
        <v>13105</v>
      </c>
      <c r="B6617" s="2" t="s">
        <v>13106</v>
      </c>
      <c r="C6617" s="2" t="s">
        <v>42</v>
      </c>
      <c r="D6617" s="2" t="s">
        <v>17</v>
      </c>
      <c r="E6617" s="5">
        <v>-28287</v>
      </c>
      <c r="F6617" s="3" t="s">
        <v>1295</v>
      </c>
      <c r="G6617" s="3" t="s">
        <v>63</v>
      </c>
      <c r="H6617" s="2" t="s">
        <v>20</v>
      </c>
      <c r="I6617" s="2" t="s">
        <v>13107</v>
      </c>
      <c r="J6617" s="3" t="str">
        <f>HYPERLINK("https://www.boe.es/gazeta/dias/1822/07/20/pdfs/GMD-1822-212.pdf#page=6","Abrir facsímil")</f>
        <v>Abrir facsímil</v>
      </c>
      <c r="K6617" s="3" t="s">
        <v>22</v>
      </c>
    </row>
    <row r="6618" spans="1:11" ht="42" customHeight="1">
      <c r="A6618" s="2" t="s">
        <v>13108</v>
      </c>
      <c r="B6618" s="2" t="s">
        <v>13109</v>
      </c>
      <c r="C6618" s="2" t="s">
        <v>42</v>
      </c>
      <c r="D6618" s="2" t="s">
        <v>17</v>
      </c>
      <c r="E6618" s="5">
        <v>-28225</v>
      </c>
      <c r="F6618" s="3" t="s">
        <v>177</v>
      </c>
      <c r="G6618" s="3" t="s">
        <v>3273</v>
      </c>
      <c r="H6618" s="2" t="s">
        <v>20</v>
      </c>
      <c r="I6618" s="2" t="s">
        <v>13110</v>
      </c>
      <c r="J6618" s="3" t="str">
        <f>HYPERLINK("https://www.boe.es/gazeta/dias/1822/09/20/pdfs/GMD-1822-276.pdf#page=4","Abrir facsímil")</f>
        <v>Abrir facsímil</v>
      </c>
      <c r="K6618" s="3" t="s">
        <v>22</v>
      </c>
    </row>
    <row r="6619" spans="1:11" ht="42" customHeight="1">
      <c r="A6619" s="2" t="s">
        <v>13111</v>
      </c>
      <c r="B6619" s="2" t="s">
        <v>13112</v>
      </c>
      <c r="C6619" s="2" t="s">
        <v>50</v>
      </c>
      <c r="D6619" s="2" t="s">
        <v>51</v>
      </c>
      <c r="E6619" s="5">
        <v>-28249</v>
      </c>
      <c r="F6619" s="3" t="s">
        <v>3986</v>
      </c>
      <c r="G6619" s="3" t="s">
        <v>31</v>
      </c>
      <c r="H6619" s="2" t="s">
        <v>20</v>
      </c>
      <c r="I6619" s="2" t="s">
        <v>13113</v>
      </c>
      <c r="J6619" s="3" t="str">
        <f>HYPERLINK("https://www.boe.es/gazeta/dias/1822/08/27/pdfs/GMD-1822-251.pdf#page=3","Abrir facsímil")</f>
        <v>Abrir facsímil</v>
      </c>
      <c r="K6619" s="3" t="s">
        <v>22</v>
      </c>
    </row>
    <row r="6620" spans="1:11" ht="42" customHeight="1">
      <c r="A6620" s="2" t="s">
        <v>13111</v>
      </c>
      <c r="B6620" s="2" t="s">
        <v>13112</v>
      </c>
      <c r="C6620" s="2" t="s">
        <v>50</v>
      </c>
      <c r="D6620" s="2" t="s">
        <v>51</v>
      </c>
      <c r="E6620" s="5">
        <v>-28249</v>
      </c>
      <c r="F6620" s="3" t="s">
        <v>3986</v>
      </c>
      <c r="G6620" s="3" t="s">
        <v>57</v>
      </c>
      <c r="H6620" s="2" t="s">
        <v>20</v>
      </c>
      <c r="I6620" s="2" t="s">
        <v>13114</v>
      </c>
      <c r="J6620" s="3" t="str">
        <f>HYPERLINK("https://www.boe.es/gazeta/dias/1822/08/27/pdfs/GMD-1822-251.pdf#page=4","Abrir facsímil")</f>
        <v>Abrir facsímil</v>
      </c>
      <c r="K6620" s="3" t="s">
        <v>22</v>
      </c>
    </row>
    <row r="6621" spans="1:11" ht="42" customHeight="1">
      <c r="A6621" s="2" t="s">
        <v>13115</v>
      </c>
      <c r="B6621" s="2" t="s">
        <v>13116</v>
      </c>
      <c r="C6621" s="2" t="s">
        <v>24</v>
      </c>
      <c r="D6621" s="2" t="s">
        <v>17</v>
      </c>
      <c r="E6621" s="5">
        <v>-28371</v>
      </c>
      <c r="F6621" s="3" t="s">
        <v>401</v>
      </c>
      <c r="G6621" s="3" t="s">
        <v>63</v>
      </c>
      <c r="H6621" s="2" t="s">
        <v>20</v>
      </c>
      <c r="I6621" s="2" t="s">
        <v>13117</v>
      </c>
      <c r="J6621" s="3" t="str">
        <f>HYPERLINK("https://www.boe.es/gazeta/dias/1822/04/27/pdfs/GMD-1822-119.pdf#page=6","Abrir facsímil")</f>
        <v>Abrir facsímil</v>
      </c>
      <c r="K6621" s="3" t="s">
        <v>22</v>
      </c>
    </row>
    <row r="6622" spans="1:11" ht="42" customHeight="1">
      <c r="A6622" s="2" t="s">
        <v>13115</v>
      </c>
      <c r="B6622" s="2" t="s">
        <v>13116</v>
      </c>
      <c r="C6622" s="2" t="s">
        <v>28</v>
      </c>
      <c r="D6622" s="2" t="s">
        <v>29</v>
      </c>
      <c r="E6622" s="5">
        <v>-28341</v>
      </c>
      <c r="F6622" s="3" t="s">
        <v>284</v>
      </c>
      <c r="G6622" s="3" t="s">
        <v>63</v>
      </c>
      <c r="H6622" s="2" t="s">
        <v>20</v>
      </c>
      <c r="I6622" s="2" t="s">
        <v>13118</v>
      </c>
      <c r="J6622" s="3" t="str">
        <f>HYPERLINK("https://www.boe.es/gazeta/dias/1822/05/27/pdfs/GMD-1822-152.pdf#page=6","Abrir facsímil")</f>
        <v>Abrir facsímil</v>
      </c>
      <c r="K6622" s="3" t="s">
        <v>22</v>
      </c>
    </row>
    <row r="6623" spans="1:11" ht="42" customHeight="1">
      <c r="A6623" s="2" t="s">
        <v>13115</v>
      </c>
      <c r="B6623" s="2" t="s">
        <v>13116</v>
      </c>
      <c r="C6623" s="2" t="s">
        <v>42</v>
      </c>
      <c r="D6623" s="2" t="s">
        <v>17</v>
      </c>
      <c r="E6623" s="5">
        <v>-28217</v>
      </c>
      <c r="F6623" s="3" t="s">
        <v>1892</v>
      </c>
      <c r="G6623" s="3" t="s">
        <v>57</v>
      </c>
      <c r="H6623" s="2" t="s">
        <v>20</v>
      </c>
      <c r="I6623" s="2" t="s">
        <v>13119</v>
      </c>
      <c r="J6623" s="3" t="str">
        <f>HYPERLINK("https://www.boe.es/gazeta/dias/1822/09/28/pdfs/GMD-1822-284.pdf#page=4","Abrir facsímil")</f>
        <v>Abrir facsímil</v>
      </c>
      <c r="K6623" s="3" t="s">
        <v>22</v>
      </c>
    </row>
    <row r="6624" spans="1:11" ht="42" customHeight="1">
      <c r="A6624" s="2" t="s">
        <v>13120</v>
      </c>
      <c r="B6624" s="2" t="s">
        <v>13121</v>
      </c>
      <c r="C6624" s="2" t="s">
        <v>42</v>
      </c>
      <c r="D6624" s="2" t="s">
        <v>17</v>
      </c>
      <c r="E6624" s="5">
        <v>-28353</v>
      </c>
      <c r="F6624" s="3" t="s">
        <v>843</v>
      </c>
      <c r="G6624" s="3" t="s">
        <v>35</v>
      </c>
      <c r="H6624" s="2" t="s">
        <v>20</v>
      </c>
      <c r="I6624" s="2" t="s">
        <v>13122</v>
      </c>
      <c r="J6624" s="3" t="str">
        <f>HYPERLINK("https://www.boe.es/gazeta/dias/1822/05/15/pdfs/GMD-1822-137.pdf#page=2","Abrir facsímil")</f>
        <v>Abrir facsímil</v>
      </c>
      <c r="K6624" s="3" t="s">
        <v>22</v>
      </c>
    </row>
    <row r="6625" spans="1:11" ht="42" customHeight="1">
      <c r="A6625" s="2" t="s">
        <v>13123</v>
      </c>
      <c r="B6625" s="2" t="s">
        <v>13124</v>
      </c>
      <c r="C6625" s="2" t="s">
        <v>24</v>
      </c>
      <c r="D6625" s="2" t="s">
        <v>17</v>
      </c>
      <c r="E6625" s="5">
        <v>-28454</v>
      </c>
      <c r="F6625" s="3" t="s">
        <v>2033</v>
      </c>
      <c r="G6625" s="3" t="s">
        <v>157</v>
      </c>
      <c r="H6625" s="2" t="s">
        <v>20</v>
      </c>
      <c r="I6625" s="2" t="s">
        <v>13125</v>
      </c>
      <c r="J6625" s="3" t="str">
        <f>HYPERLINK("https://www.boe.es/gazeta/dias/1822/02/03/pdfs/GMD-1822-34.pdf#page=8","Abrir facsímil")</f>
        <v>Abrir facsímil</v>
      </c>
      <c r="K6625" s="3" t="s">
        <v>22</v>
      </c>
    </row>
    <row r="6626" spans="1:11" ht="42" customHeight="1">
      <c r="A6626" s="2" t="s">
        <v>13126</v>
      </c>
      <c r="B6626" s="2" t="s">
        <v>13126</v>
      </c>
      <c r="C6626" s="2" t="s">
        <v>42</v>
      </c>
      <c r="D6626" s="2" t="s">
        <v>17</v>
      </c>
      <c r="E6626" s="5">
        <v>-28210</v>
      </c>
      <c r="F6626" s="3" t="s">
        <v>218</v>
      </c>
      <c r="G6626" s="3" t="s">
        <v>19</v>
      </c>
      <c r="H6626" s="2" t="s">
        <v>20</v>
      </c>
      <c r="I6626" s="2" t="s">
        <v>13127</v>
      </c>
      <c r="J6626" s="3" t="str">
        <f>HYPERLINK("https://www.boe.es/gazeta/dias/1822/10/05/pdfs/GMD-1822-291.pdf#page=5","Abrir facsímil")</f>
        <v>Abrir facsímil</v>
      </c>
      <c r="K6626" s="3" t="s">
        <v>22</v>
      </c>
    </row>
    <row r="6627" spans="1:11" ht="42" customHeight="1">
      <c r="A6627" s="2" t="s">
        <v>13128</v>
      </c>
      <c r="B6627" s="2" t="s">
        <v>13128</v>
      </c>
      <c r="C6627" s="2" t="s">
        <v>50</v>
      </c>
      <c r="D6627" s="2" t="s">
        <v>51</v>
      </c>
      <c r="E6627" s="5">
        <v>-28214</v>
      </c>
      <c r="F6627" s="3" t="s">
        <v>814</v>
      </c>
      <c r="G6627" s="3" t="s">
        <v>31</v>
      </c>
      <c r="H6627" s="2" t="s">
        <v>20</v>
      </c>
      <c r="I6627" s="2" t="s">
        <v>13129</v>
      </c>
      <c r="J6627" s="3" t="str">
        <f>HYPERLINK("https://www.boe.es/gazeta/dias/1822/10/01/pdfs/GMD-1822-287.pdf#page=3","Abrir facsímil")</f>
        <v>Abrir facsímil</v>
      </c>
      <c r="K6627" s="3" t="s">
        <v>22</v>
      </c>
    </row>
    <row r="6628" spans="1:11" ht="42" customHeight="1">
      <c r="A6628" s="2" t="s">
        <v>13130</v>
      </c>
      <c r="B6628" s="2" t="s">
        <v>13131</v>
      </c>
      <c r="C6628" s="2" t="s">
        <v>16</v>
      </c>
      <c r="D6628" s="2" t="s">
        <v>17</v>
      </c>
      <c r="E6628" s="5">
        <v>-28210</v>
      </c>
      <c r="F6628" s="3" t="s">
        <v>218</v>
      </c>
      <c r="G6628" s="3" t="s">
        <v>19</v>
      </c>
      <c r="H6628" s="2" t="s">
        <v>20</v>
      </c>
      <c r="I6628" s="2" t="s">
        <v>13132</v>
      </c>
      <c r="J6628" s="3" t="str">
        <f>HYPERLINK("https://www.boe.es/gazeta/dias/1822/10/05/pdfs/GMD-1822-291.pdf#page=5","Abrir facsímil")</f>
        <v>Abrir facsímil</v>
      </c>
      <c r="K6628" s="3" t="s">
        <v>22</v>
      </c>
    </row>
    <row r="6629" spans="1:11" ht="42" customHeight="1">
      <c r="A6629" s="2" t="s">
        <v>13133</v>
      </c>
      <c r="B6629" s="2" t="s">
        <v>13134</v>
      </c>
      <c r="C6629" s="2" t="s">
        <v>28</v>
      </c>
      <c r="D6629" s="2" t="s">
        <v>29</v>
      </c>
      <c r="E6629" s="5">
        <v>-28440</v>
      </c>
      <c r="F6629" s="3" t="s">
        <v>1307</v>
      </c>
      <c r="G6629" s="3" t="s">
        <v>57</v>
      </c>
      <c r="H6629" s="2" t="s">
        <v>20</v>
      </c>
      <c r="I6629" s="2" t="s">
        <v>13135</v>
      </c>
      <c r="J6629" s="3" t="str">
        <f>HYPERLINK("https://www.boe.es/gazeta/dias/1822/02/17/pdfs/GMD-1822-49.pdf#page=4","Abrir facsímil")</f>
        <v>Abrir facsímil</v>
      </c>
      <c r="K6629" s="3" t="s">
        <v>22</v>
      </c>
    </row>
    <row r="6630" spans="1:11" ht="42" customHeight="1">
      <c r="A6630" s="2" t="s">
        <v>13136</v>
      </c>
      <c r="B6630" s="2" t="s">
        <v>13136</v>
      </c>
      <c r="C6630" s="2" t="s">
        <v>16</v>
      </c>
      <c r="D6630" s="2" t="s">
        <v>17</v>
      </c>
      <c r="E6630" s="5">
        <v>-28454</v>
      </c>
      <c r="F6630" s="3" t="s">
        <v>2033</v>
      </c>
      <c r="G6630" s="3" t="s">
        <v>157</v>
      </c>
      <c r="H6630" s="2" t="s">
        <v>20</v>
      </c>
      <c r="I6630" s="2" t="s">
        <v>13137</v>
      </c>
      <c r="J6630" s="3" t="str">
        <f>HYPERLINK("https://www.boe.es/gazeta/dias/1822/02/03/pdfs/GMD-1822-34.pdf#page=8","Abrir facsímil")</f>
        <v>Abrir facsímil</v>
      </c>
      <c r="K6630" s="3" t="s">
        <v>22</v>
      </c>
    </row>
    <row r="6631" spans="1:11" ht="42" customHeight="1">
      <c r="A6631" s="2" t="s">
        <v>13138</v>
      </c>
      <c r="B6631" s="2" t="s">
        <v>13138</v>
      </c>
      <c r="C6631" s="2" t="s">
        <v>362</v>
      </c>
      <c r="D6631" s="2" t="s">
        <v>17</v>
      </c>
      <c r="E6631" s="5">
        <v>-28473</v>
      </c>
      <c r="F6631" s="3" t="s">
        <v>2337</v>
      </c>
      <c r="G6631" s="3" t="s">
        <v>157</v>
      </c>
      <c r="H6631" s="2" t="s">
        <v>20</v>
      </c>
      <c r="I6631" s="2" t="s">
        <v>13139</v>
      </c>
      <c r="J6631" s="3" t="str">
        <f>HYPERLINK("https://www.boe.es/gazeta/dias/1822/01/15/pdfs/GMD-1822-15.pdf#page=8","Abrir facsímil")</f>
        <v>Abrir facsímil</v>
      </c>
      <c r="K6631" s="3" t="s">
        <v>22</v>
      </c>
    </row>
    <row r="6632" spans="1:11" ht="42" customHeight="1">
      <c r="A6632" s="2" t="s">
        <v>13140</v>
      </c>
      <c r="B6632" s="2" t="s">
        <v>13141</v>
      </c>
      <c r="C6632" s="2" t="s">
        <v>50</v>
      </c>
      <c r="D6632" s="2" t="s">
        <v>51</v>
      </c>
      <c r="E6632" s="5">
        <v>-28313</v>
      </c>
      <c r="F6632" s="3" t="s">
        <v>315</v>
      </c>
      <c r="G6632" s="3" t="s">
        <v>157</v>
      </c>
      <c r="H6632" s="2" t="s">
        <v>20</v>
      </c>
      <c r="I6632" s="2" t="s">
        <v>13142</v>
      </c>
      <c r="J6632" s="3" t="str">
        <f>HYPERLINK("https://www.boe.es/gazeta/dias/1822/06/24/pdfs/GMD-1822-182.pdf#page=8","Abrir facsímil")</f>
        <v>Abrir facsímil</v>
      </c>
      <c r="K6632" s="3" t="s">
        <v>22</v>
      </c>
    </row>
    <row r="6633" spans="1:11" ht="42" customHeight="1">
      <c r="A6633" s="2" t="s">
        <v>13143</v>
      </c>
      <c r="B6633" s="2" t="s">
        <v>13144</v>
      </c>
      <c r="C6633" s="2" t="s">
        <v>50</v>
      </c>
      <c r="D6633" s="2" t="s">
        <v>51</v>
      </c>
      <c r="E6633" s="5">
        <v>-28316</v>
      </c>
      <c r="F6633" s="3" t="s">
        <v>1144</v>
      </c>
      <c r="G6633" s="3" t="s">
        <v>31</v>
      </c>
      <c r="H6633" s="2" t="s">
        <v>20</v>
      </c>
      <c r="I6633" s="2" t="s">
        <v>13145</v>
      </c>
      <c r="J6633" s="3" t="str">
        <f>HYPERLINK("https://www.boe.es/gazeta/dias/1822/06/21/pdfs/GMD-1822-179.pdf#page=3","Abrir facsímil")</f>
        <v>Abrir facsímil</v>
      </c>
      <c r="K6633" s="3" t="s">
        <v>22</v>
      </c>
    </row>
    <row r="6634" spans="1:11" ht="42" customHeight="1">
      <c r="A6634" s="2" t="s">
        <v>13146</v>
      </c>
      <c r="B6634" s="2" t="s">
        <v>13147</v>
      </c>
      <c r="C6634" s="2" t="s">
        <v>28</v>
      </c>
      <c r="D6634" s="2" t="s">
        <v>29</v>
      </c>
      <c r="E6634" s="5">
        <v>-28434</v>
      </c>
      <c r="F6634" s="3" t="s">
        <v>433</v>
      </c>
      <c r="G6634" s="3" t="s">
        <v>31</v>
      </c>
      <c r="H6634" s="2" t="s">
        <v>45</v>
      </c>
      <c r="I6634" s="2" t="s">
        <v>13148</v>
      </c>
      <c r="J6634" s="3" t="str">
        <f>HYPERLINK("https://www.boe.es/gazeta/dias/1822/02/23/pdfs/GMD-1822-55.pdf#page=3","Abrir facsímil")</f>
        <v>Abrir facsímil</v>
      </c>
      <c r="K6634" s="3" t="s">
        <v>47</v>
      </c>
    </row>
    <row r="6635" spans="1:11" ht="42" customHeight="1">
      <c r="A6635" s="2" t="s">
        <v>13149</v>
      </c>
      <c r="B6635" s="2" t="s">
        <v>13150</v>
      </c>
      <c r="C6635" s="2" t="s">
        <v>28</v>
      </c>
      <c r="D6635" s="2" t="s">
        <v>29</v>
      </c>
      <c r="E6635" s="5">
        <v>-28220</v>
      </c>
      <c r="F6635" s="3" t="s">
        <v>1914</v>
      </c>
      <c r="G6635" s="3" t="s">
        <v>57</v>
      </c>
      <c r="H6635" s="2" t="s">
        <v>20</v>
      </c>
      <c r="I6635" s="2" t="s">
        <v>13151</v>
      </c>
      <c r="J6635" s="3" t="str">
        <f>HYPERLINK("https://www.boe.es/gazeta/dias/1822/09/25/pdfs/GMD-1822-281.pdf#page=4","Abrir facsímil")</f>
        <v>Abrir facsímil</v>
      </c>
      <c r="K6635" s="3" t="s">
        <v>22</v>
      </c>
    </row>
    <row r="6636" spans="1:11" ht="42" customHeight="1">
      <c r="A6636" s="2" t="s">
        <v>13152</v>
      </c>
      <c r="B6636" s="2" t="s">
        <v>13153</v>
      </c>
      <c r="C6636" s="2" t="s">
        <v>28</v>
      </c>
      <c r="D6636" s="2" t="s">
        <v>29</v>
      </c>
      <c r="E6636" s="5">
        <v>-28398</v>
      </c>
      <c r="F6636" s="3" t="s">
        <v>1961</v>
      </c>
      <c r="G6636" s="3" t="s">
        <v>2262</v>
      </c>
      <c r="H6636" s="2" t="s">
        <v>45</v>
      </c>
      <c r="I6636" s="2" t="s">
        <v>13154</v>
      </c>
      <c r="J6636" s="3" t="str">
        <f>HYPERLINK("https://www.boe.es/gazeta/dias/1822/03/31/pdfs/GMD-1822-92.pdf#page=4","Abrir facsímil")</f>
        <v>Abrir facsímil</v>
      </c>
      <c r="K6636" s="3" t="s">
        <v>47</v>
      </c>
    </row>
    <row r="6637" spans="1:11" ht="42" customHeight="1">
      <c r="A6637" s="2" t="s">
        <v>13155</v>
      </c>
      <c r="B6637" s="2" t="s">
        <v>13156</v>
      </c>
      <c r="C6637" s="2" t="s">
        <v>42</v>
      </c>
      <c r="D6637" s="2" t="s">
        <v>17</v>
      </c>
      <c r="E6637" s="5">
        <v>-28345</v>
      </c>
      <c r="F6637" s="3" t="s">
        <v>294</v>
      </c>
      <c r="G6637" s="3" t="s">
        <v>63</v>
      </c>
      <c r="H6637" s="2" t="s">
        <v>45</v>
      </c>
      <c r="I6637" s="2" t="s">
        <v>13157</v>
      </c>
      <c r="J6637" s="3" t="str">
        <f>HYPERLINK("https://www.boe.es/gazeta/dias/1822/05/23/pdfs/GMD-1822-147.pdf#page=6","Abrir facsímil")</f>
        <v>Abrir facsímil</v>
      </c>
      <c r="K6637" s="3" t="s">
        <v>47</v>
      </c>
    </row>
    <row r="6638" spans="1:11" ht="42" customHeight="1">
      <c r="A6638" s="2" t="s">
        <v>13158</v>
      </c>
      <c r="B6638" s="2" t="s">
        <v>13159</v>
      </c>
      <c r="C6638" s="2" t="s">
        <v>50</v>
      </c>
      <c r="D6638" s="2" t="s">
        <v>51</v>
      </c>
      <c r="E6638" s="5">
        <v>-28210</v>
      </c>
      <c r="F6638" s="3" t="s">
        <v>218</v>
      </c>
      <c r="G6638" s="3" t="s">
        <v>19</v>
      </c>
      <c r="H6638" s="2" t="s">
        <v>45</v>
      </c>
      <c r="I6638" s="2" t="s">
        <v>13160</v>
      </c>
      <c r="J6638" s="3" t="str">
        <f>HYPERLINK("https://www.boe.es/gazeta/dias/1822/10/05/pdfs/GMD-1822-291.pdf#page=5","Abrir facsímil")</f>
        <v>Abrir facsímil</v>
      </c>
      <c r="K6638" s="3" t="s">
        <v>47</v>
      </c>
    </row>
    <row r="6639" spans="1:11" ht="42" customHeight="1">
      <c r="A6639" s="2" t="s">
        <v>13161</v>
      </c>
      <c r="B6639" s="2" t="s">
        <v>13162</v>
      </c>
      <c r="C6639" s="2" t="s">
        <v>24</v>
      </c>
      <c r="D6639" s="2" t="s">
        <v>17</v>
      </c>
      <c r="E6639" s="5">
        <v>-28322</v>
      </c>
      <c r="F6639" s="3" t="s">
        <v>2205</v>
      </c>
      <c r="G6639" s="3" t="s">
        <v>57</v>
      </c>
      <c r="H6639" s="2" t="s">
        <v>45</v>
      </c>
      <c r="I6639" s="2" t="s">
        <v>13163</v>
      </c>
      <c r="J6639" s="3" t="str">
        <f>HYPERLINK("https://www.boe.es/gazeta/dias/1822/06/15/pdfs/GMD-1822-172.pdf#page=4","Abrir facsímil")</f>
        <v>Abrir facsímil</v>
      </c>
      <c r="K6639" s="3" t="s">
        <v>47</v>
      </c>
    </row>
    <row r="6640" spans="1:11" ht="42" customHeight="1">
      <c r="A6640" s="2" t="s">
        <v>13164</v>
      </c>
      <c r="B6640" s="2" t="s">
        <v>13165</v>
      </c>
      <c r="C6640" s="2" t="s">
        <v>50</v>
      </c>
      <c r="D6640" s="2" t="s">
        <v>51</v>
      </c>
      <c r="E6640" s="5">
        <v>-28123</v>
      </c>
      <c r="F6640" s="3" t="s">
        <v>603</v>
      </c>
      <c r="G6640" s="3" t="s">
        <v>2642</v>
      </c>
      <c r="H6640" s="2" t="s">
        <v>45</v>
      </c>
      <c r="I6640" s="2" t="s">
        <v>13166</v>
      </c>
      <c r="J6640" s="3" t="str">
        <f>HYPERLINK("https://www.boe.es/gazeta/dias/1822/12/31/pdfs/GMD-1822-381.pdf#page=6","Abrir facsímil")</f>
        <v>Abrir facsímil</v>
      </c>
      <c r="K6640" s="3" t="s">
        <v>47</v>
      </c>
    </row>
    <row r="6641" spans="1:11" ht="42" customHeight="1">
      <c r="A6641" s="2" t="s">
        <v>13167</v>
      </c>
      <c r="B6641" s="2" t="s">
        <v>13168</v>
      </c>
      <c r="C6641" s="2" t="s">
        <v>50</v>
      </c>
      <c r="D6641" s="2" t="s">
        <v>51</v>
      </c>
      <c r="E6641" s="5">
        <v>-28391</v>
      </c>
      <c r="F6641" s="3" t="s">
        <v>378</v>
      </c>
      <c r="G6641" s="3" t="s">
        <v>63</v>
      </c>
      <c r="H6641" s="2" t="s">
        <v>45</v>
      </c>
      <c r="I6641" s="2" t="s">
        <v>13169</v>
      </c>
      <c r="J6641" s="3" t="str">
        <f>HYPERLINK("https://www.boe.es/gazeta/dias/1822/04/07/pdfs/GMD-1822-99.pdf#page=6","Abrir facsímil")</f>
        <v>Abrir facsímil</v>
      </c>
      <c r="K6641" s="3" t="s">
        <v>47</v>
      </c>
    </row>
    <row r="6642" spans="1:11" ht="42" customHeight="1">
      <c r="A6642" s="2" t="s">
        <v>13170</v>
      </c>
      <c r="B6642" s="2" t="s">
        <v>13171</v>
      </c>
      <c r="C6642" s="2" t="s">
        <v>42</v>
      </c>
      <c r="D6642" s="2" t="s">
        <v>17</v>
      </c>
      <c r="E6642" s="5">
        <v>-28450</v>
      </c>
      <c r="F6642" s="3" t="s">
        <v>1450</v>
      </c>
      <c r="G6642" s="3" t="s">
        <v>6340</v>
      </c>
      <c r="H6642" s="2" t="s">
        <v>45</v>
      </c>
      <c r="I6642" s="2" t="s">
        <v>13172</v>
      </c>
      <c r="J6642" s="3" t="str">
        <f>HYPERLINK("https://www.boe.es/gazeta/dias/1822/02/07/pdfs/GMD-1822-38.pdf#page=5","Abrir facsímil")</f>
        <v>Abrir facsímil</v>
      </c>
      <c r="K6642" s="3" t="s">
        <v>47</v>
      </c>
    </row>
    <row r="6643" spans="1:11" ht="42" customHeight="1">
      <c r="A6643" s="2" t="s">
        <v>13173</v>
      </c>
      <c r="B6643" s="2" t="s">
        <v>13174</v>
      </c>
      <c r="C6643" s="2" t="s">
        <v>42</v>
      </c>
      <c r="D6643" s="2" t="s">
        <v>17</v>
      </c>
      <c r="E6643" s="5">
        <v>-28392</v>
      </c>
      <c r="F6643" s="3" t="s">
        <v>2003</v>
      </c>
      <c r="G6643" s="3" t="s">
        <v>31</v>
      </c>
      <c r="H6643" s="2" t="s">
        <v>45</v>
      </c>
      <c r="I6643" s="2" t="s">
        <v>13175</v>
      </c>
      <c r="J6643" s="3" t="str">
        <f>HYPERLINK("https://www.boe.es/gazeta/dias/1822/04/06/pdfs/GMD-1822-98.pdf#page=3","Abrir facsímil")</f>
        <v>Abrir facsímil</v>
      </c>
      <c r="K6643" s="3" t="s">
        <v>47</v>
      </c>
    </row>
    <row r="6644" spans="1:11" ht="42" customHeight="1">
      <c r="A6644" s="2" t="s">
        <v>13176</v>
      </c>
      <c r="B6644" s="2" t="s">
        <v>13177</v>
      </c>
      <c r="C6644" s="2" t="s">
        <v>42</v>
      </c>
      <c r="D6644" s="2" t="s">
        <v>17</v>
      </c>
      <c r="E6644" s="5">
        <v>-28461</v>
      </c>
      <c r="F6644" s="3" t="s">
        <v>1801</v>
      </c>
      <c r="G6644" s="3" t="s">
        <v>35</v>
      </c>
      <c r="H6644" s="2" t="s">
        <v>45</v>
      </c>
      <c r="I6644" s="2" t="s">
        <v>13178</v>
      </c>
      <c r="J6644" s="3" t="str">
        <f>HYPERLINK("https://www.boe.es/gazeta/dias/1822/01/27/pdfs/GMD-1822-27.pdf#page=2","Abrir facsímil")</f>
        <v>Abrir facsímil</v>
      </c>
      <c r="K6644" s="3" t="s">
        <v>47</v>
      </c>
    </row>
    <row r="6645" spans="1:11" ht="42" customHeight="1">
      <c r="A6645" s="2" t="s">
        <v>13179</v>
      </c>
      <c r="B6645" s="2" t="s">
        <v>13180</v>
      </c>
      <c r="C6645" s="2" t="s">
        <v>50</v>
      </c>
      <c r="D6645" s="2" t="s">
        <v>723</v>
      </c>
      <c r="E6645" s="5">
        <v>-28238</v>
      </c>
      <c r="F6645" s="3" t="s">
        <v>3584</v>
      </c>
      <c r="G6645" s="3" t="s">
        <v>44</v>
      </c>
      <c r="H6645" s="2" t="s">
        <v>45</v>
      </c>
      <c r="I6645" s="2" t="s">
        <v>13181</v>
      </c>
      <c r="J6645" s="3" t="str">
        <f>HYPERLINK("https://www.boe.es/gazeta/dias/1822/09/07/pdfs/GMD-1822-263E.pdf#page=1","Abrir facsímil")</f>
        <v>Abrir facsímil</v>
      </c>
      <c r="K6645" s="3" t="s">
        <v>47</v>
      </c>
    </row>
    <row r="6646" spans="1:11" ht="42" customHeight="1">
      <c r="A6646" s="2" t="s">
        <v>13182</v>
      </c>
      <c r="B6646" s="2" t="s">
        <v>13183</v>
      </c>
      <c r="C6646" s="2" t="s">
        <v>71</v>
      </c>
      <c r="D6646" s="2" t="s">
        <v>17</v>
      </c>
      <c r="E6646" s="5">
        <v>-28272</v>
      </c>
      <c r="F6646" s="3" t="s">
        <v>52</v>
      </c>
      <c r="G6646" s="3" t="s">
        <v>57</v>
      </c>
      <c r="H6646" s="2" t="s">
        <v>45</v>
      </c>
      <c r="I6646" s="2" t="s">
        <v>13184</v>
      </c>
      <c r="J6646" s="3" t="str">
        <f>HYPERLINK("https://www.boe.es/gazeta/dias/1822/08/04/pdfs/GMD-1822-228.pdf#page=4","Abrir facsímil")</f>
        <v>Abrir facsímil</v>
      </c>
      <c r="K6646" s="3" t="s">
        <v>47</v>
      </c>
    </row>
    <row r="6647" spans="1:11" ht="42" customHeight="1">
      <c r="A6647" s="2" t="s">
        <v>13185</v>
      </c>
      <c r="B6647" s="2" t="s">
        <v>13186</v>
      </c>
      <c r="C6647" s="2" t="s">
        <v>71</v>
      </c>
      <c r="D6647" s="2" t="s">
        <v>17</v>
      </c>
      <c r="E6647" s="5">
        <v>-28316</v>
      </c>
      <c r="F6647" s="3" t="s">
        <v>1144</v>
      </c>
      <c r="G6647" s="3" t="s">
        <v>35</v>
      </c>
      <c r="H6647" s="2" t="s">
        <v>45</v>
      </c>
      <c r="I6647" s="2" t="s">
        <v>13187</v>
      </c>
      <c r="J6647" s="3" t="str">
        <f>HYPERLINK("https://www.boe.es/gazeta/dias/1822/06/21/pdfs/GMD-1822-179.pdf#page=2","Abrir facsímil")</f>
        <v>Abrir facsímil</v>
      </c>
      <c r="K6647" s="3" t="s">
        <v>47</v>
      </c>
    </row>
    <row r="6648" spans="1:11" ht="42" customHeight="1">
      <c r="A6648" s="2" t="s">
        <v>13188</v>
      </c>
      <c r="B6648" s="2" t="s">
        <v>13189</v>
      </c>
      <c r="C6648" s="2" t="s">
        <v>50</v>
      </c>
      <c r="D6648" s="2" t="s">
        <v>51</v>
      </c>
      <c r="E6648" s="5">
        <v>-28397</v>
      </c>
      <c r="F6648" s="3" t="s">
        <v>1401</v>
      </c>
      <c r="G6648" s="3" t="s">
        <v>44</v>
      </c>
      <c r="H6648" s="2" t="s">
        <v>45</v>
      </c>
      <c r="I6648" s="2" t="s">
        <v>13190</v>
      </c>
      <c r="J6648" s="3" t="str">
        <f>HYPERLINK("https://www.boe.es/gazeta/dias/1822/04/01/pdfs/GMD-1822-93.pdf#page=1","Abrir facsímil")</f>
        <v>Abrir facsímil</v>
      </c>
      <c r="K6648" s="3" t="s">
        <v>47</v>
      </c>
    </row>
    <row r="6649" spans="1:11" ht="42" customHeight="1">
      <c r="A6649" s="2" t="s">
        <v>13191</v>
      </c>
      <c r="B6649" s="2" t="s">
        <v>13192</v>
      </c>
      <c r="C6649" s="2" t="s">
        <v>50</v>
      </c>
      <c r="D6649" s="2" t="s">
        <v>51</v>
      </c>
      <c r="E6649" s="5">
        <v>-28177</v>
      </c>
      <c r="F6649" s="3" t="s">
        <v>587</v>
      </c>
      <c r="G6649" s="3" t="s">
        <v>19</v>
      </c>
      <c r="H6649" s="2" t="s">
        <v>45</v>
      </c>
      <c r="I6649" s="2" t="s">
        <v>13193</v>
      </c>
      <c r="J6649" s="3" t="str">
        <f>HYPERLINK("https://www.boe.es/gazeta/dias/1822/11/07/pdfs/GMD-1822-327.pdf#page=5","Abrir facsímil")</f>
        <v>Abrir facsímil</v>
      </c>
      <c r="K6649" s="3" t="s">
        <v>47</v>
      </c>
    </row>
    <row r="6650" spans="1:11" ht="42" customHeight="1">
      <c r="A6650" s="2" t="s">
        <v>13194</v>
      </c>
      <c r="B6650" s="2" t="s">
        <v>13194</v>
      </c>
      <c r="C6650" s="2" t="s">
        <v>28</v>
      </c>
      <c r="D6650" s="2" t="s">
        <v>29</v>
      </c>
      <c r="E6650" s="5">
        <v>-28311</v>
      </c>
      <c r="F6650" s="3" t="s">
        <v>736</v>
      </c>
      <c r="G6650" s="3" t="s">
        <v>57</v>
      </c>
      <c r="H6650" s="2" t="s">
        <v>20</v>
      </c>
      <c r="I6650" s="2" t="s">
        <v>13195</v>
      </c>
      <c r="J6650" s="3" t="str">
        <f>HYPERLINK("https://www.boe.es/gazeta/dias/1822/06/26/pdfs/GMD-1822-184.pdf#page=4","Abrir facsímil")</f>
        <v>Abrir facsímil</v>
      </c>
      <c r="K6650" s="3" t="s">
        <v>22</v>
      </c>
    </row>
    <row r="6651" spans="1:11" ht="42" customHeight="1">
      <c r="A6651" s="2" t="s">
        <v>13196</v>
      </c>
      <c r="B6651" s="2" t="s">
        <v>13196</v>
      </c>
      <c r="C6651" s="2" t="s">
        <v>42</v>
      </c>
      <c r="D6651" s="2" t="s">
        <v>17</v>
      </c>
      <c r="E6651" s="5">
        <v>-28133</v>
      </c>
      <c r="F6651" s="3" t="s">
        <v>595</v>
      </c>
      <c r="G6651" s="3" t="s">
        <v>31</v>
      </c>
      <c r="H6651" s="2" t="s">
        <v>20</v>
      </c>
      <c r="I6651" s="2" t="s">
        <v>13197</v>
      </c>
      <c r="J6651" s="3" t="str">
        <f>HYPERLINK("https://www.boe.es/gazeta/dias/1822/12/21/pdfs/GMD-1822-371.pdf#page=3","Abrir facsímil")</f>
        <v>Abrir facsímil</v>
      </c>
      <c r="K6651" s="3" t="s">
        <v>22</v>
      </c>
    </row>
    <row r="6652" spans="1:11" ht="42" customHeight="1">
      <c r="A6652" s="2" t="s">
        <v>13198</v>
      </c>
      <c r="B6652" s="2" t="s">
        <v>13198</v>
      </c>
      <c r="C6652" s="2" t="s">
        <v>50</v>
      </c>
      <c r="D6652" s="2" t="s">
        <v>51</v>
      </c>
      <c r="E6652" s="5">
        <v>-28358</v>
      </c>
      <c r="F6652" s="3" t="s">
        <v>211</v>
      </c>
      <c r="G6652" s="3" t="s">
        <v>157</v>
      </c>
      <c r="H6652" s="2" t="s">
        <v>20</v>
      </c>
      <c r="I6652" s="2" t="s">
        <v>13199</v>
      </c>
      <c r="J6652" s="3" t="str">
        <f>HYPERLINK("https://www.boe.es/gazeta/dias/1822/05/10/pdfs/GMD-1822-132.pdf#page=8","Abrir facsímil")</f>
        <v>Abrir facsímil</v>
      </c>
      <c r="K6652" s="3" t="s">
        <v>22</v>
      </c>
    </row>
    <row r="6653" spans="1:11" ht="42" customHeight="1">
      <c r="A6653" s="2" t="s">
        <v>13200</v>
      </c>
      <c r="B6653" s="2" t="s">
        <v>13200</v>
      </c>
      <c r="C6653" s="2" t="s">
        <v>28</v>
      </c>
      <c r="D6653" s="2" t="s">
        <v>29</v>
      </c>
      <c r="E6653" s="5">
        <v>-28365</v>
      </c>
      <c r="F6653" s="3" t="s">
        <v>506</v>
      </c>
      <c r="G6653" s="3" t="s">
        <v>35</v>
      </c>
      <c r="H6653" s="2" t="s">
        <v>20</v>
      </c>
      <c r="I6653" s="2" t="s">
        <v>13201</v>
      </c>
      <c r="J6653" s="3" t="str">
        <f>HYPERLINK("https://www.boe.es/gazeta/dias/1822/05/03/pdfs/GMD-1822-125.pdf#page=2","Abrir facsímil")</f>
        <v>Abrir facsímil</v>
      </c>
      <c r="K6653" s="3" t="s">
        <v>22</v>
      </c>
    </row>
    <row r="6654" spans="1:11" ht="42" customHeight="1">
      <c r="A6654" s="2" t="s">
        <v>13202</v>
      </c>
      <c r="B6654" s="2" t="s">
        <v>13203</v>
      </c>
      <c r="C6654" s="2" t="s">
        <v>50</v>
      </c>
      <c r="D6654" s="2" t="s">
        <v>51</v>
      </c>
      <c r="E6654" s="5">
        <v>-28292</v>
      </c>
      <c r="F6654" s="3" t="s">
        <v>222</v>
      </c>
      <c r="G6654" s="3" t="s">
        <v>31</v>
      </c>
      <c r="H6654" s="2" t="s">
        <v>20</v>
      </c>
      <c r="I6654" s="2" t="s">
        <v>13204</v>
      </c>
      <c r="J6654" s="3" t="str">
        <f>HYPERLINK("https://www.boe.es/gazeta/dias/1822/07/15/pdfs/GMD-1822-205.pdf#page=3","Abrir facsímil")</f>
        <v>Abrir facsímil</v>
      </c>
      <c r="K6654" s="3" t="s">
        <v>22</v>
      </c>
    </row>
    <row r="6655" spans="1:11" ht="42" customHeight="1">
      <c r="A6655" s="2" t="s">
        <v>13205</v>
      </c>
      <c r="B6655" s="2" t="s">
        <v>13206</v>
      </c>
      <c r="C6655" s="2" t="s">
        <v>16</v>
      </c>
      <c r="D6655" s="2" t="s">
        <v>17</v>
      </c>
      <c r="E6655" s="5">
        <v>-28318</v>
      </c>
      <c r="F6655" s="3" t="s">
        <v>397</v>
      </c>
      <c r="G6655" s="3" t="s">
        <v>157</v>
      </c>
      <c r="H6655" s="2" t="s">
        <v>20</v>
      </c>
      <c r="I6655" s="2" t="s">
        <v>13207</v>
      </c>
      <c r="J6655" s="3" t="str">
        <f>HYPERLINK("https://www.boe.es/gazeta/dias/1822/06/19/pdfs/GMD-1822-176.pdf#page=8","Abrir facsímil")</f>
        <v>Abrir facsímil</v>
      </c>
      <c r="K6655" s="3" t="s">
        <v>22</v>
      </c>
    </row>
    <row r="6656" spans="1:11" ht="42" customHeight="1">
      <c r="A6656" s="2" t="s">
        <v>13208</v>
      </c>
      <c r="B6656" s="2" t="s">
        <v>13209</v>
      </c>
      <c r="C6656" s="2" t="s">
        <v>71</v>
      </c>
      <c r="D6656" s="2" t="s">
        <v>17</v>
      </c>
      <c r="E6656" s="5">
        <v>-28132</v>
      </c>
      <c r="F6656" s="3" t="s">
        <v>820</v>
      </c>
      <c r="G6656" s="3" t="s">
        <v>821</v>
      </c>
      <c r="H6656" s="2" t="s">
        <v>20</v>
      </c>
      <c r="I6656" s="2" t="s">
        <v>13210</v>
      </c>
      <c r="J6656" s="3" t="str">
        <f>HYPERLINK("https://www.boe.es/gazeta/dias/1822/12/22/pdfs/GMD-1822-372.pdf#page=4","Abrir facsímil")</f>
        <v>Abrir facsímil</v>
      </c>
      <c r="K6656" s="3" t="s">
        <v>22</v>
      </c>
    </row>
    <row r="6657" spans="1:11" ht="42" customHeight="1">
      <c r="A6657" s="2" t="s">
        <v>13211</v>
      </c>
      <c r="B6657" s="2" t="s">
        <v>13211</v>
      </c>
      <c r="C6657" s="2" t="s">
        <v>42</v>
      </c>
      <c r="D6657" s="2" t="s">
        <v>17</v>
      </c>
      <c r="E6657" s="5">
        <v>-28320</v>
      </c>
      <c r="F6657" s="3" t="s">
        <v>700</v>
      </c>
      <c r="G6657" s="3" t="s">
        <v>44</v>
      </c>
      <c r="H6657" s="2" t="s">
        <v>20</v>
      </c>
      <c r="I6657" s="2" t="s">
        <v>13212</v>
      </c>
      <c r="J6657" s="3" t="str">
        <f>HYPERLINK("https://www.boe.es/gazeta/dias/1822/06/17/pdfs/GMD-1822-174.pdf#page=1","Abrir facsímil")</f>
        <v>Abrir facsímil</v>
      </c>
      <c r="K6657" s="3" t="s">
        <v>22</v>
      </c>
    </row>
    <row r="6658" spans="1:11" ht="42" customHeight="1">
      <c r="A6658" s="2" t="s">
        <v>13213</v>
      </c>
      <c r="B6658" s="2" t="s">
        <v>13214</v>
      </c>
      <c r="C6658" s="2" t="s">
        <v>50</v>
      </c>
      <c r="D6658" s="2" t="s">
        <v>51</v>
      </c>
      <c r="E6658" s="5">
        <v>-28309</v>
      </c>
      <c r="F6658" s="3" t="s">
        <v>553</v>
      </c>
      <c r="G6658" s="3" t="s">
        <v>44</v>
      </c>
      <c r="H6658" s="2" t="s">
        <v>20</v>
      </c>
      <c r="I6658" s="2" t="s">
        <v>13215</v>
      </c>
      <c r="J6658" s="3" t="str">
        <f>HYPERLINK("https://www.boe.es/gazeta/dias/1822/06/28/pdfs/GMD-1822-186.pdf#page=1","Abrir facsímil")</f>
        <v>Abrir facsímil</v>
      </c>
      <c r="K6658" s="3" t="s">
        <v>22</v>
      </c>
    </row>
    <row r="6659" spans="1:11" ht="42" customHeight="1">
      <c r="A6659" s="2" t="s">
        <v>13216</v>
      </c>
      <c r="B6659" s="2" t="s">
        <v>13216</v>
      </c>
      <c r="C6659" s="2" t="s">
        <v>50</v>
      </c>
      <c r="D6659" s="2" t="s">
        <v>51</v>
      </c>
      <c r="E6659" s="5">
        <v>-28287</v>
      </c>
      <c r="F6659" s="3" t="s">
        <v>1295</v>
      </c>
      <c r="G6659" s="3" t="s">
        <v>31</v>
      </c>
      <c r="H6659" s="2" t="s">
        <v>20</v>
      </c>
      <c r="I6659" s="2" t="s">
        <v>13217</v>
      </c>
      <c r="J6659" s="3" t="str">
        <f>HYPERLINK("https://www.boe.es/gazeta/dias/1822/07/20/pdfs/GMD-1822-212.pdf#page=3","Abrir facsímil")</f>
        <v>Abrir facsímil</v>
      </c>
      <c r="K6659" s="3" t="s">
        <v>22</v>
      </c>
    </row>
    <row r="6660" spans="1:11" ht="42" customHeight="1">
      <c r="A6660" s="2" t="s">
        <v>13218</v>
      </c>
      <c r="B6660" s="2" t="s">
        <v>13219</v>
      </c>
      <c r="C6660" s="2" t="s">
        <v>50</v>
      </c>
      <c r="D6660" s="2" t="s">
        <v>51</v>
      </c>
      <c r="E6660" s="5">
        <v>-28349</v>
      </c>
      <c r="F6660" s="3" t="s">
        <v>518</v>
      </c>
      <c r="G6660" s="3" t="s">
        <v>57</v>
      </c>
      <c r="H6660" s="2" t="s">
        <v>20</v>
      </c>
      <c r="I6660" s="2" t="s">
        <v>13220</v>
      </c>
      <c r="J6660" s="3" t="str">
        <f>HYPERLINK("https://www.boe.es/gazeta/dias/1822/05/19/pdfs/GMD-1822-141.pdf#page=4","Abrir facsímil")</f>
        <v>Abrir facsímil</v>
      </c>
      <c r="K6660" s="3" t="s">
        <v>22</v>
      </c>
    </row>
    <row r="6661" spans="1:11" ht="42" customHeight="1">
      <c r="A6661" s="2" t="s">
        <v>13221</v>
      </c>
      <c r="B6661" s="2" t="s">
        <v>13221</v>
      </c>
      <c r="C6661" s="2" t="s">
        <v>28</v>
      </c>
      <c r="D6661" s="2" t="s">
        <v>29</v>
      </c>
      <c r="E6661" s="5">
        <v>-28346</v>
      </c>
      <c r="F6661" s="3" t="s">
        <v>191</v>
      </c>
      <c r="G6661" s="3" t="s">
        <v>35</v>
      </c>
      <c r="H6661" s="2" t="s">
        <v>20</v>
      </c>
      <c r="I6661" s="2" t="s">
        <v>13222</v>
      </c>
      <c r="J6661" s="3" t="str">
        <f>HYPERLINK("https://www.boe.es/gazeta/dias/1822/05/22/pdfs/GMD-1822-145.pdf#page=2","Abrir facsímil")</f>
        <v>Abrir facsímil</v>
      </c>
      <c r="K6661" s="3" t="s">
        <v>22</v>
      </c>
    </row>
    <row r="6662" spans="1:11" ht="42" customHeight="1">
      <c r="A6662" s="2" t="s">
        <v>13221</v>
      </c>
      <c r="B6662" s="2" t="s">
        <v>13221</v>
      </c>
      <c r="C6662" s="2" t="s">
        <v>28</v>
      </c>
      <c r="D6662" s="2" t="s">
        <v>29</v>
      </c>
      <c r="E6662" s="5">
        <v>-28314</v>
      </c>
      <c r="F6662" s="3" t="s">
        <v>309</v>
      </c>
      <c r="G6662" s="3" t="s">
        <v>35</v>
      </c>
      <c r="H6662" s="2" t="s">
        <v>20</v>
      </c>
      <c r="I6662" s="2" t="s">
        <v>13223</v>
      </c>
      <c r="J6662" s="3" t="str">
        <f>HYPERLINK("https://www.boe.es/gazeta/dias/1822/06/23/pdfs/GMD-1822-181.pdf#page=2","Abrir facsímil")</f>
        <v>Abrir facsímil</v>
      </c>
      <c r="K6662" s="3" t="s">
        <v>22</v>
      </c>
    </row>
    <row r="6663" spans="1:11" ht="42" customHeight="1">
      <c r="A6663" s="2" t="s">
        <v>13221</v>
      </c>
      <c r="B6663" s="2" t="s">
        <v>13221</v>
      </c>
      <c r="C6663" s="2" t="s">
        <v>42</v>
      </c>
      <c r="D6663" s="2" t="s">
        <v>17</v>
      </c>
      <c r="E6663" s="5">
        <v>-28309</v>
      </c>
      <c r="F6663" s="3" t="s">
        <v>553</v>
      </c>
      <c r="G6663" s="3" t="s">
        <v>57</v>
      </c>
      <c r="H6663" s="2" t="s">
        <v>20</v>
      </c>
      <c r="I6663" s="2" t="s">
        <v>13224</v>
      </c>
      <c r="J6663" s="3" t="str">
        <f>HYPERLINK("https://www.boe.es/gazeta/dias/1822/06/28/pdfs/GMD-1822-186.pdf#page=4","Abrir facsímil")</f>
        <v>Abrir facsímil</v>
      </c>
      <c r="K6663" s="3" t="s">
        <v>22</v>
      </c>
    </row>
    <row r="6664" spans="1:11" ht="42" customHeight="1">
      <c r="A6664" s="2" t="s">
        <v>13225</v>
      </c>
      <c r="B6664" s="2" t="s">
        <v>13226</v>
      </c>
      <c r="C6664" s="2" t="s">
        <v>50</v>
      </c>
      <c r="D6664" s="2" t="s">
        <v>51</v>
      </c>
      <c r="E6664" s="5">
        <v>-28415</v>
      </c>
      <c r="F6664" s="3" t="s">
        <v>77</v>
      </c>
      <c r="G6664" s="3" t="s">
        <v>63</v>
      </c>
      <c r="H6664" s="2" t="s">
        <v>20</v>
      </c>
      <c r="I6664" s="2" t="s">
        <v>13227</v>
      </c>
      <c r="J6664" s="3" t="str">
        <f>HYPERLINK("https://www.boe.es/gazeta/dias/1822/03/14/pdfs/GMD-1822-75.pdf#page=6","Abrir facsímil")</f>
        <v>Abrir facsímil</v>
      </c>
      <c r="K6664" s="3" t="s">
        <v>22</v>
      </c>
    </row>
    <row r="6665" spans="1:11" ht="42" customHeight="1">
      <c r="A6665" s="2" t="s">
        <v>13225</v>
      </c>
      <c r="B6665" s="2" t="s">
        <v>13226</v>
      </c>
      <c r="C6665" s="2" t="s">
        <v>50</v>
      </c>
      <c r="D6665" s="2" t="s">
        <v>51</v>
      </c>
      <c r="E6665" s="5">
        <v>-28395</v>
      </c>
      <c r="F6665" s="3" t="s">
        <v>237</v>
      </c>
      <c r="G6665" s="3" t="s">
        <v>57</v>
      </c>
      <c r="H6665" s="2" t="s">
        <v>20</v>
      </c>
      <c r="I6665" s="2" t="s">
        <v>13228</v>
      </c>
      <c r="J6665" s="3" t="str">
        <f>HYPERLINK("https://www.boe.es/gazeta/dias/1822/04/03/pdfs/GMD-1822-95.pdf#page=4","Abrir facsímil")</f>
        <v>Abrir facsímil</v>
      </c>
      <c r="K6665" s="3" t="s">
        <v>22</v>
      </c>
    </row>
    <row r="6666" spans="1:11" ht="42" customHeight="1">
      <c r="A6666" s="2" t="s">
        <v>13229</v>
      </c>
      <c r="B6666" s="2" t="s">
        <v>13230</v>
      </c>
      <c r="C6666" s="2" t="s">
        <v>362</v>
      </c>
      <c r="D6666" s="2" t="s">
        <v>17</v>
      </c>
      <c r="E6666" s="5">
        <v>-28412</v>
      </c>
      <c r="F6666" s="3" t="s">
        <v>825</v>
      </c>
      <c r="G6666" s="3" t="s">
        <v>31</v>
      </c>
      <c r="H6666" s="2" t="s">
        <v>20</v>
      </c>
      <c r="I6666" s="2" t="s">
        <v>13231</v>
      </c>
      <c r="J6666" s="3" t="str">
        <f>HYPERLINK("https://www.boe.es/gazeta/dias/1822/03/17/pdfs/GMD-1822-78.pdf#page=3","Abrir facsímil")</f>
        <v>Abrir facsímil</v>
      </c>
      <c r="K6666" s="3" t="s">
        <v>22</v>
      </c>
    </row>
    <row r="6667" spans="1:11" ht="42" customHeight="1">
      <c r="A6667" s="2" t="s">
        <v>13232</v>
      </c>
      <c r="B6667" s="2" t="s">
        <v>13233</v>
      </c>
      <c r="C6667" s="2" t="s">
        <v>71</v>
      </c>
      <c r="D6667" s="2" t="s">
        <v>17</v>
      </c>
      <c r="E6667" s="5">
        <v>-28394</v>
      </c>
      <c r="F6667" s="3" t="s">
        <v>268</v>
      </c>
      <c r="G6667" s="3" t="s">
        <v>57</v>
      </c>
      <c r="H6667" s="2" t="s">
        <v>20</v>
      </c>
      <c r="I6667" s="2" t="s">
        <v>13234</v>
      </c>
      <c r="J6667" s="3" t="str">
        <f>HYPERLINK("https://www.boe.es/gazeta/dias/1822/04/04/pdfs/GMD-1822-96.pdf#page=4","Abrir facsímil")</f>
        <v>Abrir facsímil</v>
      </c>
      <c r="K6667" s="3" t="s">
        <v>22</v>
      </c>
    </row>
    <row r="6668" spans="1:11" ht="42" customHeight="1">
      <c r="A6668" s="2" t="s">
        <v>13235</v>
      </c>
      <c r="B6668" s="2" t="s">
        <v>13235</v>
      </c>
      <c r="C6668" s="2" t="s">
        <v>50</v>
      </c>
      <c r="D6668" s="2" t="s">
        <v>51</v>
      </c>
      <c r="E6668" s="5">
        <v>-28352</v>
      </c>
      <c r="F6668" s="3" t="s">
        <v>1575</v>
      </c>
      <c r="G6668" s="3" t="s">
        <v>31</v>
      </c>
      <c r="H6668" s="2" t="s">
        <v>20</v>
      </c>
      <c r="I6668" s="2" t="s">
        <v>13236</v>
      </c>
      <c r="J6668" s="3" t="str">
        <f>HYPERLINK("https://www.boe.es/gazeta/dias/1822/05/16/pdfs/GMD-1822-138.pdf#page=3","Abrir facsímil")</f>
        <v>Abrir facsímil</v>
      </c>
      <c r="K6668" s="3" t="s">
        <v>22</v>
      </c>
    </row>
    <row r="6669" spans="1:11" ht="42" customHeight="1">
      <c r="A6669" s="2" t="s">
        <v>13237</v>
      </c>
      <c r="B6669" s="2" t="s">
        <v>13238</v>
      </c>
      <c r="C6669" s="2" t="s">
        <v>50</v>
      </c>
      <c r="D6669" s="2" t="s">
        <v>51</v>
      </c>
      <c r="E6669" s="5">
        <v>-28201</v>
      </c>
      <c r="F6669" s="3" t="s">
        <v>163</v>
      </c>
      <c r="G6669" s="3" t="s">
        <v>63</v>
      </c>
      <c r="H6669" s="2" t="s">
        <v>20</v>
      </c>
      <c r="I6669" s="2" t="s">
        <v>13239</v>
      </c>
      <c r="J6669" s="3" t="str">
        <f>HYPERLINK("https://www.boe.es/gazeta/dias/1822/10/14/pdfs/GMD-1822-301.pdf#page=6","Abrir facsímil")</f>
        <v>Abrir facsímil</v>
      </c>
      <c r="K6669" s="3" t="s">
        <v>22</v>
      </c>
    </row>
    <row r="6670" spans="1:11" ht="42" customHeight="1">
      <c r="A6670" s="2" t="s">
        <v>13240</v>
      </c>
      <c r="B6670" s="2" t="s">
        <v>13241</v>
      </c>
      <c r="C6670" s="2" t="s">
        <v>24</v>
      </c>
      <c r="D6670" s="2" t="s">
        <v>17</v>
      </c>
      <c r="E6670" s="5">
        <v>-28364</v>
      </c>
      <c r="F6670" s="3" t="s">
        <v>509</v>
      </c>
      <c r="G6670" s="3" t="s">
        <v>63</v>
      </c>
      <c r="H6670" s="2" t="s">
        <v>45</v>
      </c>
      <c r="I6670" s="2" t="s">
        <v>13242</v>
      </c>
      <c r="J6670" s="3" t="str">
        <f>HYPERLINK("https://www.boe.es/gazeta/dias/1822/05/04/pdfs/GMD-1822-126.pdf#page=6","Abrir facsímil")</f>
        <v>Abrir facsímil</v>
      </c>
      <c r="K6670" s="3" t="s">
        <v>47</v>
      </c>
    </row>
    <row r="6671" spans="1:11" ht="42" customHeight="1">
      <c r="A6671" s="2" t="s">
        <v>13243</v>
      </c>
      <c r="B6671" s="2" t="s">
        <v>13243</v>
      </c>
      <c r="C6671" s="2" t="s">
        <v>50</v>
      </c>
      <c r="D6671" s="2" t="s">
        <v>51</v>
      </c>
      <c r="E6671" s="5">
        <v>-28415</v>
      </c>
      <c r="F6671" s="3" t="s">
        <v>77</v>
      </c>
      <c r="G6671" s="3" t="s">
        <v>19</v>
      </c>
      <c r="H6671" s="2" t="s">
        <v>20</v>
      </c>
      <c r="I6671" s="2" t="s">
        <v>13244</v>
      </c>
      <c r="J6671" s="3" t="str">
        <f>HYPERLINK("https://www.boe.es/gazeta/dias/1822/03/14/pdfs/GMD-1822-75.pdf#page=5","Abrir facsímil")</f>
        <v>Abrir facsímil</v>
      </c>
      <c r="K6671" s="3" t="s">
        <v>22</v>
      </c>
    </row>
    <row r="6672" spans="1:11" ht="42" customHeight="1">
      <c r="A6672" s="2" t="s">
        <v>13245</v>
      </c>
      <c r="B6672" s="2" t="s">
        <v>13246</v>
      </c>
      <c r="C6672" s="2" t="s">
        <v>362</v>
      </c>
      <c r="D6672" s="2" t="s">
        <v>17</v>
      </c>
      <c r="E6672" s="5">
        <v>-28225</v>
      </c>
      <c r="F6672" s="3" t="s">
        <v>177</v>
      </c>
      <c r="G6672" s="3" t="s">
        <v>178</v>
      </c>
      <c r="H6672" s="2" t="s">
        <v>45</v>
      </c>
      <c r="I6672" s="2" t="s">
        <v>13247</v>
      </c>
      <c r="J6672" s="3" t="str">
        <f>HYPERLINK("https://www.boe.es/gazeta/dias/1822/09/20/pdfs/GMD-1822-276.pdf#page=3","Abrir facsímil")</f>
        <v>Abrir facsímil</v>
      </c>
      <c r="K6672" s="3" t="s">
        <v>47</v>
      </c>
    </row>
    <row r="6673" spans="1:11" ht="42" customHeight="1">
      <c r="A6673" s="2" t="s">
        <v>13248</v>
      </c>
      <c r="B6673" s="2" t="s">
        <v>13248</v>
      </c>
      <c r="C6673" s="2" t="s">
        <v>50</v>
      </c>
      <c r="D6673" s="2" t="s">
        <v>51</v>
      </c>
      <c r="E6673" s="5">
        <v>-28277</v>
      </c>
      <c r="F6673" s="3" t="s">
        <v>296</v>
      </c>
      <c r="G6673" s="3" t="s">
        <v>31</v>
      </c>
      <c r="H6673" s="2" t="s">
        <v>20</v>
      </c>
      <c r="I6673" s="2" t="s">
        <v>13249</v>
      </c>
      <c r="J6673" s="3" t="str">
        <f>HYPERLINK("https://www.boe.es/gazeta/dias/1822/07/30/pdfs/GMD-1822-223.pdf#page=3","Abrir facsímil")</f>
        <v>Abrir facsímil</v>
      </c>
      <c r="K6673" s="3" t="s">
        <v>22</v>
      </c>
    </row>
    <row r="6674" spans="1:11" ht="42" customHeight="1">
      <c r="A6674" s="2" t="s">
        <v>13250</v>
      </c>
      <c r="B6674" s="2" t="s">
        <v>13251</v>
      </c>
      <c r="C6674" s="2" t="s">
        <v>42</v>
      </c>
      <c r="D6674" s="2" t="s">
        <v>17</v>
      </c>
      <c r="E6674" s="5">
        <v>-28334</v>
      </c>
      <c r="F6674" s="3" t="s">
        <v>532</v>
      </c>
      <c r="G6674" s="3" t="s">
        <v>44</v>
      </c>
      <c r="H6674" s="2" t="s">
        <v>20</v>
      </c>
      <c r="I6674" s="2" t="s">
        <v>13252</v>
      </c>
      <c r="J6674" s="3" t="str">
        <f>HYPERLINK("https://www.boe.es/gazeta/dias/1822/06/03/pdfs/GMD-1822-159.pdf#page=1","Abrir facsímil")</f>
        <v>Abrir facsímil</v>
      </c>
      <c r="K6674" s="3" t="s">
        <v>22</v>
      </c>
    </row>
    <row r="6675" spans="1:11" ht="42" customHeight="1">
      <c r="A6675" s="2" t="s">
        <v>13253</v>
      </c>
      <c r="B6675" s="2" t="s">
        <v>13254</v>
      </c>
      <c r="C6675" s="2" t="s">
        <v>50</v>
      </c>
      <c r="D6675" s="2" t="s">
        <v>51</v>
      </c>
      <c r="E6675" s="5">
        <v>-28163</v>
      </c>
      <c r="F6675" s="3" t="s">
        <v>891</v>
      </c>
      <c r="G6675" s="3" t="s">
        <v>35</v>
      </c>
      <c r="H6675" s="2" t="s">
        <v>20</v>
      </c>
      <c r="I6675" s="2" t="s">
        <v>13255</v>
      </c>
      <c r="J6675" s="3" t="str">
        <f>HYPERLINK("https://www.boe.es/gazeta/dias/1822/11/21/pdfs/GMD-1822-341.pdf#page=2","Abrir facsímil")</f>
        <v>Abrir facsímil</v>
      </c>
      <c r="K6675" s="3" t="s">
        <v>22</v>
      </c>
    </row>
    <row r="6676" spans="1:11" ht="42" customHeight="1">
      <c r="A6676" s="2" t="s">
        <v>13256</v>
      </c>
      <c r="B6676" s="2" t="s">
        <v>13257</v>
      </c>
      <c r="C6676" s="2" t="s">
        <v>28</v>
      </c>
      <c r="D6676" s="2" t="s">
        <v>29</v>
      </c>
      <c r="E6676" s="5">
        <v>-28371</v>
      </c>
      <c r="F6676" s="3" t="s">
        <v>401</v>
      </c>
      <c r="G6676" s="3" t="s">
        <v>63</v>
      </c>
      <c r="H6676" s="2" t="s">
        <v>20</v>
      </c>
      <c r="I6676" s="2" t="s">
        <v>13258</v>
      </c>
      <c r="J6676" s="3" t="str">
        <f>HYPERLINK("https://www.boe.es/gazeta/dias/1822/04/27/pdfs/GMD-1822-119.pdf#page=6","Abrir facsímil")</f>
        <v>Abrir facsímil</v>
      </c>
      <c r="K6676" s="3" t="s">
        <v>22</v>
      </c>
    </row>
    <row r="6677" spans="1:11" ht="42" customHeight="1">
      <c r="A6677" s="2" t="s">
        <v>13259</v>
      </c>
      <c r="B6677" s="2" t="s">
        <v>13259</v>
      </c>
      <c r="C6677" s="2" t="s">
        <v>42</v>
      </c>
      <c r="D6677" s="2" t="s">
        <v>17</v>
      </c>
      <c r="E6677" s="5">
        <v>-28142</v>
      </c>
      <c r="F6677" s="3" t="s">
        <v>290</v>
      </c>
      <c r="G6677" s="3" t="s">
        <v>35</v>
      </c>
      <c r="H6677" s="2" t="s">
        <v>20</v>
      </c>
      <c r="I6677" s="2" t="s">
        <v>13260</v>
      </c>
      <c r="J6677" s="3" t="str">
        <f>HYPERLINK("https://www.boe.es/gazeta/dias/1822/12/12/pdfs/GMD-1822-362.pdf#page=2","Abrir facsímil")</f>
        <v>Abrir facsímil</v>
      </c>
      <c r="K6677" s="3" t="s">
        <v>22</v>
      </c>
    </row>
    <row r="6678" spans="1:11" ht="42" customHeight="1">
      <c r="A6678" s="2" t="s">
        <v>13261</v>
      </c>
      <c r="B6678" s="2" t="s">
        <v>13262</v>
      </c>
      <c r="C6678" s="2" t="s">
        <v>28</v>
      </c>
      <c r="D6678" s="2" t="s">
        <v>29</v>
      </c>
      <c r="E6678" s="5">
        <v>-28161</v>
      </c>
      <c r="F6678" s="3" t="s">
        <v>166</v>
      </c>
      <c r="G6678" s="3" t="s">
        <v>157</v>
      </c>
      <c r="H6678" s="2" t="s">
        <v>20</v>
      </c>
      <c r="I6678" s="2" t="s">
        <v>13263</v>
      </c>
      <c r="J6678" s="3" t="str">
        <f>HYPERLINK("https://www.boe.es/gazeta/dias/1822/11/23/pdfs/GMD-1822-343.pdf#page=8","Abrir facsímil")</f>
        <v>Abrir facsímil</v>
      </c>
      <c r="K6678" s="3" t="s">
        <v>22</v>
      </c>
    </row>
    <row r="6679" spans="1:11" ht="42" customHeight="1">
      <c r="A6679" s="2" t="s">
        <v>13264</v>
      </c>
      <c r="B6679" s="2" t="s">
        <v>13265</v>
      </c>
      <c r="C6679" s="2" t="s">
        <v>28</v>
      </c>
      <c r="D6679" s="2" t="s">
        <v>29</v>
      </c>
      <c r="E6679" s="5">
        <v>-28372</v>
      </c>
      <c r="F6679" s="3" t="s">
        <v>503</v>
      </c>
      <c r="G6679" s="3" t="s">
        <v>31</v>
      </c>
      <c r="H6679" s="2" t="s">
        <v>20</v>
      </c>
      <c r="I6679" s="2" t="s">
        <v>13266</v>
      </c>
      <c r="J6679" s="3" t="str">
        <f>HYPERLINK("https://www.boe.es/gazeta/dias/1822/04/26/pdfs/GMD-1822-118.pdf#page=3","Abrir facsímil")</f>
        <v>Abrir facsímil</v>
      </c>
      <c r="K6679" s="3" t="s">
        <v>22</v>
      </c>
    </row>
    <row r="6680" spans="1:11" ht="42" customHeight="1">
      <c r="A6680" s="2" t="s">
        <v>13267</v>
      </c>
      <c r="B6680" s="2" t="s">
        <v>13268</v>
      </c>
      <c r="C6680" s="2" t="s">
        <v>50</v>
      </c>
      <c r="D6680" s="2" t="s">
        <v>51</v>
      </c>
      <c r="E6680" s="5">
        <v>-28229</v>
      </c>
      <c r="F6680" s="3" t="s">
        <v>2310</v>
      </c>
      <c r="G6680" s="3" t="s">
        <v>35</v>
      </c>
      <c r="H6680" s="2" t="s">
        <v>20</v>
      </c>
      <c r="I6680" s="2" t="s">
        <v>13269</v>
      </c>
      <c r="J6680" s="3" t="str">
        <f>HYPERLINK("https://www.boe.es/gazeta/dias/1822/09/16/pdfs/GMD-1822-272.pdf#page=2","Abrir facsímil")</f>
        <v>Abrir facsímil</v>
      </c>
      <c r="K6680" s="3" t="s">
        <v>22</v>
      </c>
    </row>
    <row r="6681" spans="1:11" ht="42" customHeight="1">
      <c r="A6681" s="2" t="s">
        <v>13270</v>
      </c>
      <c r="B6681" s="2" t="s">
        <v>13270</v>
      </c>
      <c r="C6681" s="2" t="s">
        <v>61</v>
      </c>
      <c r="D6681" s="2" t="s">
        <v>17</v>
      </c>
      <c r="E6681" s="5">
        <v>-28150</v>
      </c>
      <c r="F6681" s="3" t="s">
        <v>62</v>
      </c>
      <c r="G6681" s="3" t="s">
        <v>63</v>
      </c>
      <c r="H6681" s="2" t="s">
        <v>20</v>
      </c>
      <c r="I6681" s="2" t="s">
        <v>13271</v>
      </c>
      <c r="J6681" s="3" t="str">
        <f>HYPERLINK("https://www.boe.es/gazeta/dias/1822/12/04/pdfs/GMD-1822-354.pdf#page=6","Abrir facsímil")</f>
        <v>Abrir facsímil</v>
      </c>
      <c r="K6681" s="3" t="s">
        <v>22</v>
      </c>
    </row>
    <row r="6682" spans="1:11" ht="42" customHeight="1">
      <c r="A6682" s="2" t="s">
        <v>13272</v>
      </c>
      <c r="B6682" s="2" t="s">
        <v>13273</v>
      </c>
      <c r="C6682" s="2" t="s">
        <v>28</v>
      </c>
      <c r="D6682" s="2" t="s">
        <v>29</v>
      </c>
      <c r="E6682" s="5">
        <v>-28386</v>
      </c>
      <c r="F6682" s="3" t="s">
        <v>2993</v>
      </c>
      <c r="G6682" s="3" t="s">
        <v>57</v>
      </c>
      <c r="H6682" s="2" t="s">
        <v>20</v>
      </c>
      <c r="I6682" s="2" t="s">
        <v>13274</v>
      </c>
      <c r="J6682" s="3" t="str">
        <f>HYPERLINK("https://www.boe.es/gazeta/dias/1822/04/12/pdfs/GMD-1822-104.pdf#page=4","Abrir facsímil")</f>
        <v>Abrir facsímil</v>
      </c>
      <c r="K6682" s="3" t="s">
        <v>22</v>
      </c>
    </row>
    <row r="6683" spans="1:11" ht="42" customHeight="1">
      <c r="A6683" s="2" t="s">
        <v>13275</v>
      </c>
      <c r="B6683" s="2" t="s">
        <v>13275</v>
      </c>
      <c r="C6683" s="2" t="s">
        <v>71</v>
      </c>
      <c r="D6683" s="2" t="s">
        <v>17</v>
      </c>
      <c r="E6683" s="5">
        <v>-28382</v>
      </c>
      <c r="F6683" s="3" t="s">
        <v>973</v>
      </c>
      <c r="G6683" s="3" t="s">
        <v>63</v>
      </c>
      <c r="H6683" s="2" t="s">
        <v>20</v>
      </c>
      <c r="I6683" s="2" t="s">
        <v>13276</v>
      </c>
      <c r="J6683" s="3" t="str">
        <f>HYPERLINK("https://www.boe.es/gazeta/dias/1822/04/16/pdfs/GMD-1822-108.pdf#page=6","Abrir facsímil")</f>
        <v>Abrir facsímil</v>
      </c>
      <c r="K6683" s="3" t="s">
        <v>22</v>
      </c>
    </row>
    <row r="6684" spans="1:11" ht="42" customHeight="1">
      <c r="A6684" s="2" t="s">
        <v>13277</v>
      </c>
      <c r="B6684" s="2" t="s">
        <v>13278</v>
      </c>
      <c r="C6684" s="2" t="s">
        <v>50</v>
      </c>
      <c r="D6684" s="2" t="s">
        <v>51</v>
      </c>
      <c r="E6684" s="5">
        <v>-28265</v>
      </c>
      <c r="F6684" s="3" t="s">
        <v>1263</v>
      </c>
      <c r="G6684" s="3" t="s">
        <v>57</v>
      </c>
      <c r="H6684" s="2" t="s">
        <v>20</v>
      </c>
      <c r="I6684" s="2" t="s">
        <v>13279</v>
      </c>
      <c r="J6684" s="3" t="str">
        <f>HYPERLINK("https://www.boe.es/gazeta/dias/1822/08/11/pdfs/GMD-1822-235.pdf#page=4","Abrir facsímil")</f>
        <v>Abrir facsímil</v>
      </c>
      <c r="K6684" s="3" t="s">
        <v>22</v>
      </c>
    </row>
    <row r="6685" spans="1:11" ht="42" customHeight="1">
      <c r="A6685" s="2" t="s">
        <v>13280</v>
      </c>
      <c r="B6685" s="2" t="s">
        <v>13281</v>
      </c>
      <c r="C6685" s="2" t="s">
        <v>61</v>
      </c>
      <c r="D6685" s="2" t="s">
        <v>17</v>
      </c>
      <c r="E6685" s="5">
        <v>-28195</v>
      </c>
      <c r="F6685" s="3" t="s">
        <v>770</v>
      </c>
      <c r="G6685" s="3" t="s">
        <v>63</v>
      </c>
      <c r="H6685" s="2" t="s">
        <v>20</v>
      </c>
      <c r="I6685" s="2" t="s">
        <v>13282</v>
      </c>
      <c r="J6685" s="3" t="str">
        <f>HYPERLINK("https://www.boe.es/gazeta/dias/1822/10/20/pdfs/GMD-1822-307.pdf#page=6","Abrir facsímil")</f>
        <v>Abrir facsímil</v>
      </c>
      <c r="K6685" s="3" t="s">
        <v>22</v>
      </c>
    </row>
    <row r="6686" spans="1:11" ht="42" customHeight="1">
      <c r="A6686" s="2" t="s">
        <v>13283</v>
      </c>
      <c r="B6686" s="2" t="s">
        <v>13284</v>
      </c>
      <c r="C6686" s="2" t="s">
        <v>50</v>
      </c>
      <c r="D6686" s="2" t="s">
        <v>51</v>
      </c>
      <c r="E6686" s="5">
        <v>-28303</v>
      </c>
      <c r="F6686" s="3" t="s">
        <v>201</v>
      </c>
      <c r="G6686" s="3" t="s">
        <v>57</v>
      </c>
      <c r="H6686" s="2" t="s">
        <v>20</v>
      </c>
      <c r="I6686" s="2" t="s">
        <v>13285</v>
      </c>
      <c r="J6686" s="3" t="str">
        <f>HYPERLINK("https://www.boe.es/gazeta/dias/1822/07/04/pdfs/GMD-1822-193.pdf#page=4","Abrir facsímil")</f>
        <v>Abrir facsímil</v>
      </c>
      <c r="K6686" s="3" t="s">
        <v>22</v>
      </c>
    </row>
    <row r="6687" spans="1:11" ht="42" customHeight="1">
      <c r="A6687" s="2" t="s">
        <v>13286</v>
      </c>
      <c r="B6687" s="2" t="s">
        <v>13286</v>
      </c>
      <c r="C6687" s="2" t="s">
        <v>50</v>
      </c>
      <c r="D6687" s="2" t="s">
        <v>51</v>
      </c>
      <c r="E6687" s="5">
        <v>-28290</v>
      </c>
      <c r="F6687" s="3" t="s">
        <v>706</v>
      </c>
      <c r="G6687" s="3" t="s">
        <v>57</v>
      </c>
      <c r="H6687" s="2" t="s">
        <v>20</v>
      </c>
      <c r="I6687" s="2" t="s">
        <v>13287</v>
      </c>
      <c r="J6687" s="3" t="str">
        <f>HYPERLINK("https://www.boe.es/gazeta/dias/1822/07/17/pdfs/GMD-1822-207.pdf#page=4","Abrir facsímil")</f>
        <v>Abrir facsímil</v>
      </c>
      <c r="K6687" s="3" t="s">
        <v>22</v>
      </c>
    </row>
    <row r="6688" spans="1:11" ht="42" customHeight="1">
      <c r="A6688" s="2" t="s">
        <v>13286</v>
      </c>
      <c r="B6688" s="2" t="s">
        <v>13286</v>
      </c>
      <c r="C6688" s="2" t="s">
        <v>50</v>
      </c>
      <c r="D6688" s="2" t="s">
        <v>51</v>
      </c>
      <c r="E6688" s="5">
        <v>-28262</v>
      </c>
      <c r="F6688" s="3" t="s">
        <v>1771</v>
      </c>
      <c r="G6688" s="3" t="s">
        <v>35</v>
      </c>
      <c r="H6688" s="2" t="s">
        <v>20</v>
      </c>
      <c r="I6688" s="2" t="s">
        <v>13288</v>
      </c>
      <c r="J6688" s="3" t="str">
        <f>HYPERLINK("https://www.boe.es/gazeta/dias/1822/08/14/pdfs/GMD-1822-238.pdf#page=2","Abrir facsímil")</f>
        <v>Abrir facsímil</v>
      </c>
      <c r="K6688" s="3" t="s">
        <v>22</v>
      </c>
    </row>
    <row r="6689" spans="1:11" ht="42" customHeight="1">
      <c r="A6689" s="2" t="s">
        <v>13289</v>
      </c>
      <c r="B6689" s="2" t="s">
        <v>13290</v>
      </c>
      <c r="C6689" s="2" t="s">
        <v>50</v>
      </c>
      <c r="D6689" s="2" t="s">
        <v>51</v>
      </c>
      <c r="E6689" s="5">
        <v>-28210</v>
      </c>
      <c r="F6689" s="3" t="s">
        <v>218</v>
      </c>
      <c r="G6689" s="3" t="s">
        <v>19</v>
      </c>
      <c r="H6689" s="2" t="s">
        <v>20</v>
      </c>
      <c r="I6689" s="2" t="s">
        <v>13291</v>
      </c>
      <c r="J6689" s="3" t="str">
        <f>HYPERLINK("https://www.boe.es/gazeta/dias/1822/10/05/pdfs/GMD-1822-291.pdf#page=5","Abrir facsímil")</f>
        <v>Abrir facsímil</v>
      </c>
      <c r="K6689" s="3" t="s">
        <v>22</v>
      </c>
    </row>
    <row r="6690" spans="1:11" ht="42" customHeight="1">
      <c r="A6690" s="2" t="s">
        <v>13292</v>
      </c>
      <c r="B6690" s="2" t="s">
        <v>13293</v>
      </c>
      <c r="C6690" s="2" t="s">
        <v>16</v>
      </c>
      <c r="D6690" s="2" t="s">
        <v>17</v>
      </c>
      <c r="E6690" s="5">
        <v>-28210</v>
      </c>
      <c r="F6690" s="3" t="s">
        <v>218</v>
      </c>
      <c r="G6690" s="3" t="s">
        <v>19</v>
      </c>
      <c r="H6690" s="2" t="s">
        <v>20</v>
      </c>
      <c r="I6690" s="2" t="s">
        <v>13294</v>
      </c>
      <c r="J6690" s="3" t="str">
        <f>HYPERLINK("https://www.boe.es/gazeta/dias/1822/10/05/pdfs/GMD-1822-291.pdf#page=5","Abrir facsímil")</f>
        <v>Abrir facsímil</v>
      </c>
      <c r="K6690" s="3" t="s">
        <v>22</v>
      </c>
    </row>
    <row r="6691" spans="1:11" ht="42" customHeight="1">
      <c r="A6691" s="2" t="s">
        <v>13295</v>
      </c>
      <c r="B6691" s="2" t="s">
        <v>13296</v>
      </c>
      <c r="C6691" s="2" t="s">
        <v>24</v>
      </c>
      <c r="D6691" s="2" t="s">
        <v>17</v>
      </c>
      <c r="E6691" s="5">
        <v>-28403</v>
      </c>
      <c r="F6691" s="3" t="s">
        <v>471</v>
      </c>
      <c r="G6691" s="3" t="s">
        <v>63</v>
      </c>
      <c r="H6691" s="2" t="s">
        <v>20</v>
      </c>
      <c r="I6691" s="2" t="s">
        <v>13297</v>
      </c>
      <c r="J6691" s="3" t="str">
        <f>HYPERLINK("https://www.boe.es/gazeta/dias/1822/03/26/pdfs/GMD-1822-87.pdf#page=6","Abrir facsímil")</f>
        <v>Abrir facsímil</v>
      </c>
      <c r="K6691" s="3" t="s">
        <v>22</v>
      </c>
    </row>
    <row r="6692" spans="1:11" ht="42" customHeight="1">
      <c r="A6692" s="2" t="s">
        <v>13298</v>
      </c>
      <c r="B6692" s="2" t="s">
        <v>13298</v>
      </c>
      <c r="C6692" s="2" t="s">
        <v>61</v>
      </c>
      <c r="D6692" s="2" t="s">
        <v>17</v>
      </c>
      <c r="E6692" s="5">
        <v>-28370</v>
      </c>
      <c r="F6692" s="3" t="s">
        <v>207</v>
      </c>
      <c r="G6692" s="3" t="s">
        <v>63</v>
      </c>
      <c r="H6692" s="2" t="s">
        <v>20</v>
      </c>
      <c r="I6692" s="2" t="s">
        <v>13299</v>
      </c>
      <c r="J6692" s="3" t="str">
        <f>HYPERLINK("https://www.boe.es/gazeta/dias/1822/04/28/pdfs/GMD-1822-120.pdf#page=6","Abrir facsímil")</f>
        <v>Abrir facsímil</v>
      </c>
      <c r="K6692" s="3" t="s">
        <v>22</v>
      </c>
    </row>
    <row r="6693" spans="1:11" ht="42" customHeight="1">
      <c r="A6693" s="2" t="s">
        <v>13298</v>
      </c>
      <c r="B6693" s="2" t="s">
        <v>13298</v>
      </c>
      <c r="C6693" s="2" t="s">
        <v>362</v>
      </c>
      <c r="D6693" s="2" t="s">
        <v>17</v>
      </c>
      <c r="E6693" s="5">
        <v>-28254</v>
      </c>
      <c r="F6693" s="3" t="s">
        <v>3557</v>
      </c>
      <c r="G6693" s="3" t="s">
        <v>57</v>
      </c>
      <c r="H6693" s="2" t="s">
        <v>20</v>
      </c>
      <c r="I6693" s="2" t="s">
        <v>13300</v>
      </c>
      <c r="J6693" s="3" t="str">
        <f>HYPERLINK("https://www.boe.es/gazeta/dias/1822/08/22/pdfs/GMD-1822-246.pdf#page=4","Abrir facsímil")</f>
        <v>Abrir facsímil</v>
      </c>
      <c r="K6693" s="3" t="s">
        <v>22</v>
      </c>
    </row>
    <row r="6694" spans="1:11" ht="42" customHeight="1">
      <c r="A6694" s="2" t="s">
        <v>13301</v>
      </c>
      <c r="B6694" s="2" t="s">
        <v>13301</v>
      </c>
      <c r="C6694" s="2" t="s">
        <v>50</v>
      </c>
      <c r="D6694" s="2" t="s">
        <v>51</v>
      </c>
      <c r="E6694" s="5">
        <v>-28214</v>
      </c>
      <c r="F6694" s="3" t="s">
        <v>814</v>
      </c>
      <c r="G6694" s="3" t="s">
        <v>57</v>
      </c>
      <c r="H6694" s="2" t="s">
        <v>20</v>
      </c>
      <c r="I6694" s="2" t="s">
        <v>13302</v>
      </c>
      <c r="J6694" s="3" t="str">
        <f>HYPERLINK("https://www.boe.es/gazeta/dias/1822/10/01/pdfs/GMD-1822-287.pdf#page=4","Abrir facsímil")</f>
        <v>Abrir facsímil</v>
      </c>
      <c r="K6694" s="3" t="s">
        <v>22</v>
      </c>
    </row>
    <row r="6695" spans="1:11" ht="42" customHeight="1">
      <c r="A6695" s="2" t="s">
        <v>13303</v>
      </c>
      <c r="B6695" s="2" t="s">
        <v>13303</v>
      </c>
      <c r="C6695" s="2" t="s">
        <v>50</v>
      </c>
      <c r="D6695" s="2" t="s">
        <v>51</v>
      </c>
      <c r="E6695" s="5">
        <v>-28211</v>
      </c>
      <c r="F6695" s="3" t="s">
        <v>273</v>
      </c>
      <c r="G6695" s="3" t="s">
        <v>35</v>
      </c>
      <c r="H6695" s="2" t="s">
        <v>20</v>
      </c>
      <c r="I6695" s="2" t="s">
        <v>13304</v>
      </c>
      <c r="J6695" s="3" t="str">
        <f>HYPERLINK("https://www.boe.es/gazeta/dias/1822/10/04/pdfs/GMD-1822-290.pdf#page=2","Abrir facsímil")</f>
        <v>Abrir facsímil</v>
      </c>
      <c r="K6695" s="3" t="s">
        <v>22</v>
      </c>
    </row>
    <row r="6696" spans="1:11" ht="42" customHeight="1">
      <c r="A6696" s="2" t="s">
        <v>13305</v>
      </c>
      <c r="B6696" s="2" t="s">
        <v>13306</v>
      </c>
      <c r="C6696" s="2" t="s">
        <v>16</v>
      </c>
      <c r="D6696" s="2" t="s">
        <v>17</v>
      </c>
      <c r="E6696" s="5">
        <v>-28487</v>
      </c>
      <c r="F6696" s="3" t="s">
        <v>426</v>
      </c>
      <c r="G6696" s="3" t="s">
        <v>19</v>
      </c>
      <c r="H6696" s="2" t="s">
        <v>20</v>
      </c>
      <c r="I6696" s="2" t="s">
        <v>13307</v>
      </c>
      <c r="J6696" s="3" t="str">
        <f>HYPERLINK("https://www.boe.es/gazeta/dias/1822/01/01/pdfs/GMD-1822-1.pdf#page=5","Abrir facsímil")</f>
        <v>Abrir facsímil</v>
      </c>
      <c r="K6696" s="3" t="s">
        <v>22</v>
      </c>
    </row>
    <row r="6697" spans="1:11" ht="42" customHeight="1">
      <c r="A6697" s="2" t="s">
        <v>13308</v>
      </c>
      <c r="B6697" s="2" t="s">
        <v>13309</v>
      </c>
      <c r="C6697" s="2" t="s">
        <v>28</v>
      </c>
      <c r="D6697" s="2" t="s">
        <v>29</v>
      </c>
      <c r="E6697" s="5">
        <v>-28258</v>
      </c>
      <c r="F6697" s="3" t="s">
        <v>88</v>
      </c>
      <c r="G6697" s="3" t="s">
        <v>35</v>
      </c>
      <c r="H6697" s="2" t="s">
        <v>20</v>
      </c>
      <c r="I6697" s="2" t="s">
        <v>13310</v>
      </c>
      <c r="J6697" s="3" t="str">
        <f>HYPERLINK("https://www.boe.es/gazeta/dias/1822/08/18/pdfs/GMD-1822-242.pdf#page=2","Abrir facsímil")</f>
        <v>Abrir facsímil</v>
      </c>
      <c r="K6697" s="3" t="s">
        <v>22</v>
      </c>
    </row>
    <row r="6698" spans="1:11" ht="42" customHeight="1">
      <c r="A6698" s="2" t="s">
        <v>13311</v>
      </c>
      <c r="B6698" s="2" t="s">
        <v>13311</v>
      </c>
      <c r="C6698" s="2" t="s">
        <v>42</v>
      </c>
      <c r="D6698" s="2" t="s">
        <v>17</v>
      </c>
      <c r="E6698" s="5">
        <v>-28178</v>
      </c>
      <c r="F6698" s="3" t="s">
        <v>318</v>
      </c>
      <c r="G6698" s="3" t="s">
        <v>31</v>
      </c>
      <c r="H6698" s="2" t="s">
        <v>20</v>
      </c>
      <c r="I6698" s="2" t="s">
        <v>13312</v>
      </c>
      <c r="J6698" s="3" t="str">
        <f>HYPERLINK("https://www.boe.es/gazeta/dias/1822/11/06/pdfs/GMD-1822-326.pdf#page=3","Abrir facsímil")</f>
        <v>Abrir facsímil</v>
      </c>
      <c r="K6698" s="3" t="s">
        <v>22</v>
      </c>
    </row>
    <row r="6699" spans="1:11" ht="42" customHeight="1">
      <c r="A6699" s="2" t="s">
        <v>13313</v>
      </c>
      <c r="B6699" s="2" t="s">
        <v>13314</v>
      </c>
      <c r="C6699" s="2" t="s">
        <v>71</v>
      </c>
      <c r="D6699" s="2" t="s">
        <v>17</v>
      </c>
      <c r="E6699" s="5">
        <v>-28198</v>
      </c>
      <c r="F6699" s="3" t="s">
        <v>981</v>
      </c>
      <c r="G6699" s="3" t="s">
        <v>44</v>
      </c>
      <c r="H6699" s="2" t="s">
        <v>20</v>
      </c>
      <c r="I6699" s="2" t="s">
        <v>13315</v>
      </c>
      <c r="J6699" s="3" t="str">
        <f>HYPERLINK("https://www.boe.es/gazeta/dias/1822/10/17/pdfs/GMD-1822-304.pdf#page=1","Abrir facsímil")</f>
        <v>Abrir facsímil</v>
      </c>
      <c r="K6699" s="3" t="s">
        <v>22</v>
      </c>
    </row>
    <row r="6700" spans="1:11" ht="42" customHeight="1">
      <c r="A6700" s="2" t="s">
        <v>13316</v>
      </c>
      <c r="B6700" s="2" t="s">
        <v>13317</v>
      </c>
      <c r="C6700" s="2" t="s">
        <v>42</v>
      </c>
      <c r="D6700" s="2" t="s">
        <v>17</v>
      </c>
      <c r="E6700" s="5">
        <v>-28161</v>
      </c>
      <c r="F6700" s="3" t="s">
        <v>166</v>
      </c>
      <c r="G6700" s="3" t="s">
        <v>157</v>
      </c>
      <c r="H6700" s="2" t="s">
        <v>20</v>
      </c>
      <c r="I6700" s="2" t="s">
        <v>13318</v>
      </c>
      <c r="J6700" s="3" t="str">
        <f>HYPERLINK("https://www.boe.es/gazeta/dias/1822/11/23/pdfs/GMD-1822-343.pdf#page=8","Abrir facsímil")</f>
        <v>Abrir facsímil</v>
      </c>
      <c r="K6700" s="3" t="s">
        <v>22</v>
      </c>
    </row>
    <row r="6701" spans="1:11" ht="42" customHeight="1">
      <c r="A6701" s="2" t="s">
        <v>13319</v>
      </c>
      <c r="B6701" s="2" t="s">
        <v>13320</v>
      </c>
      <c r="C6701" s="2" t="s">
        <v>42</v>
      </c>
      <c r="D6701" s="2" t="s">
        <v>17</v>
      </c>
      <c r="E6701" s="5">
        <v>-28160</v>
      </c>
      <c r="F6701" s="3" t="s">
        <v>148</v>
      </c>
      <c r="G6701" s="3" t="s">
        <v>19</v>
      </c>
      <c r="H6701" s="2" t="s">
        <v>20</v>
      </c>
      <c r="I6701" s="2" t="s">
        <v>13321</v>
      </c>
      <c r="J6701" s="3" t="str">
        <f>HYPERLINK("https://www.boe.es/gazeta/dias/1822/11/24/pdfs/GMD-1822-344.pdf#page=5","Abrir facsímil")</f>
        <v>Abrir facsímil</v>
      </c>
      <c r="K6701" s="3" t="s">
        <v>22</v>
      </c>
    </row>
    <row r="6702" spans="1:11" ht="42" customHeight="1">
      <c r="A6702" s="2" t="s">
        <v>13322</v>
      </c>
      <c r="B6702" s="2" t="s">
        <v>13323</v>
      </c>
      <c r="C6702" s="2" t="s">
        <v>50</v>
      </c>
      <c r="D6702" s="2" t="s">
        <v>51</v>
      </c>
      <c r="E6702" s="5">
        <v>-28211</v>
      </c>
      <c r="F6702" s="3" t="s">
        <v>273</v>
      </c>
      <c r="G6702" s="3" t="s">
        <v>31</v>
      </c>
      <c r="H6702" s="2" t="s">
        <v>20</v>
      </c>
      <c r="I6702" s="2" t="s">
        <v>13324</v>
      </c>
      <c r="J6702" s="3" t="str">
        <f>HYPERLINK("https://www.boe.es/gazeta/dias/1822/10/04/pdfs/GMD-1822-290.pdf#page=3","Abrir facsímil")</f>
        <v>Abrir facsímil</v>
      </c>
      <c r="K6702" s="3" t="s">
        <v>22</v>
      </c>
    </row>
    <row r="6703" spans="1:11" ht="42" customHeight="1">
      <c r="A6703" s="2" t="s">
        <v>13325</v>
      </c>
      <c r="B6703" s="2" t="s">
        <v>13326</v>
      </c>
      <c r="C6703" s="2" t="s">
        <v>50</v>
      </c>
      <c r="D6703" s="2" t="s">
        <v>51</v>
      </c>
      <c r="E6703" s="5">
        <v>-28158</v>
      </c>
      <c r="F6703" s="3" t="s">
        <v>590</v>
      </c>
      <c r="G6703" s="3" t="s">
        <v>63</v>
      </c>
      <c r="H6703" s="2" t="s">
        <v>20</v>
      </c>
      <c r="I6703" s="2" t="s">
        <v>13327</v>
      </c>
      <c r="J6703" s="3" t="str">
        <f>HYPERLINK("https://www.boe.es/gazeta/dias/1822/11/26/pdfs/GMD-1822-346.pdf#page=6","Abrir facsímil")</f>
        <v>Abrir facsímil</v>
      </c>
      <c r="K6703" s="3" t="s">
        <v>22</v>
      </c>
    </row>
    <row r="6704" spans="1:11" ht="42" customHeight="1">
      <c r="A6704" s="2" t="s">
        <v>13328</v>
      </c>
      <c r="B6704" s="2" t="s">
        <v>13328</v>
      </c>
      <c r="C6704" s="2" t="s">
        <v>50</v>
      </c>
      <c r="D6704" s="2" t="s">
        <v>51</v>
      </c>
      <c r="E6704" s="5">
        <v>-28468</v>
      </c>
      <c r="F6704" s="3" t="s">
        <v>1012</v>
      </c>
      <c r="G6704" s="3" t="s">
        <v>44</v>
      </c>
      <c r="H6704" s="2" t="s">
        <v>20</v>
      </c>
      <c r="I6704" s="2" t="s">
        <v>13329</v>
      </c>
      <c r="J6704" s="3" t="str">
        <f>HYPERLINK("https://www.boe.es/gazeta/dias/1822/01/20/pdfs/GMD-1822-20.pdf#page=1","Abrir facsímil")</f>
        <v>Abrir facsímil</v>
      </c>
      <c r="K6704" s="3" t="s">
        <v>22</v>
      </c>
    </row>
    <row r="6705" spans="1:11" ht="42" customHeight="1">
      <c r="A6705" s="2" t="s">
        <v>13330</v>
      </c>
      <c r="B6705" s="2" t="s">
        <v>13330</v>
      </c>
      <c r="C6705" s="2" t="s">
        <v>362</v>
      </c>
      <c r="D6705" s="2" t="s">
        <v>17</v>
      </c>
      <c r="E6705" s="5">
        <v>-28412</v>
      </c>
      <c r="F6705" s="3" t="s">
        <v>825</v>
      </c>
      <c r="G6705" s="3" t="s">
        <v>31</v>
      </c>
      <c r="H6705" s="2" t="s">
        <v>20</v>
      </c>
      <c r="I6705" s="2" t="s">
        <v>13331</v>
      </c>
      <c r="J6705" s="3" t="str">
        <f>HYPERLINK("https://www.boe.es/gazeta/dias/1822/03/17/pdfs/GMD-1822-78.pdf#page=3","Abrir facsímil")</f>
        <v>Abrir facsímil</v>
      </c>
      <c r="K6705" s="3" t="s">
        <v>22</v>
      </c>
    </row>
    <row r="6706" spans="1:11" ht="42" customHeight="1">
      <c r="A6706" s="2" t="s">
        <v>13332</v>
      </c>
      <c r="B6706" s="2" t="s">
        <v>13332</v>
      </c>
      <c r="C6706" s="2" t="s">
        <v>28</v>
      </c>
      <c r="D6706" s="2" t="s">
        <v>29</v>
      </c>
      <c r="E6706" s="5">
        <v>-28124</v>
      </c>
      <c r="F6706" s="3" t="s">
        <v>301</v>
      </c>
      <c r="G6706" s="3" t="s">
        <v>63</v>
      </c>
      <c r="H6706" s="2" t="s">
        <v>20</v>
      </c>
      <c r="I6706" s="2" t="s">
        <v>13333</v>
      </c>
      <c r="J6706" s="3" t="str">
        <f>HYPERLINK("https://www.boe.es/gazeta/dias/1822/12/30/pdfs/GMD-1822-380.pdf#page=6","Abrir facsímil")</f>
        <v>Abrir facsímil</v>
      </c>
      <c r="K6706" s="3" t="s">
        <v>22</v>
      </c>
    </row>
    <row r="6707" spans="1:11" ht="42" customHeight="1">
      <c r="A6707" s="2" t="s">
        <v>13334</v>
      </c>
      <c r="B6707" s="2" t="s">
        <v>13335</v>
      </c>
      <c r="C6707" s="2" t="s">
        <v>50</v>
      </c>
      <c r="D6707" s="2" t="s">
        <v>51</v>
      </c>
      <c r="E6707" s="5">
        <v>-28277</v>
      </c>
      <c r="F6707" s="3" t="s">
        <v>296</v>
      </c>
      <c r="G6707" s="3" t="s">
        <v>19</v>
      </c>
      <c r="H6707" s="2" t="s">
        <v>20</v>
      </c>
      <c r="I6707" s="2" t="s">
        <v>13336</v>
      </c>
      <c r="J6707" s="3" t="str">
        <f>HYPERLINK("https://www.boe.es/gazeta/dias/1822/07/30/pdfs/GMD-1822-223.pdf#page=5","Abrir facsímil")</f>
        <v>Abrir facsímil</v>
      </c>
      <c r="K6707" s="3" t="s">
        <v>22</v>
      </c>
    </row>
    <row r="6708" spans="1:11" ht="42" customHeight="1">
      <c r="A6708" s="2" t="s">
        <v>13337</v>
      </c>
      <c r="B6708" s="2" t="s">
        <v>13338</v>
      </c>
      <c r="C6708" s="2" t="s">
        <v>16</v>
      </c>
      <c r="D6708" s="2" t="s">
        <v>17</v>
      </c>
      <c r="E6708" s="5">
        <v>-28414</v>
      </c>
      <c r="F6708" s="3" t="s">
        <v>187</v>
      </c>
      <c r="G6708" s="3" t="s">
        <v>31</v>
      </c>
      <c r="H6708" s="2" t="s">
        <v>20</v>
      </c>
      <c r="I6708" s="2" t="s">
        <v>13339</v>
      </c>
      <c r="J6708" s="3" t="str">
        <f>HYPERLINK("https://www.boe.es/gazeta/dias/1822/03/15/pdfs/GMD-1822-76.pdf#page=3","Abrir facsímil")</f>
        <v>Abrir facsímil</v>
      </c>
      <c r="K6708" s="3" t="s">
        <v>22</v>
      </c>
    </row>
    <row r="6709" spans="1:11" ht="42" customHeight="1">
      <c r="A6709" s="2" t="s">
        <v>13340</v>
      </c>
      <c r="B6709" s="2" t="s">
        <v>13341</v>
      </c>
      <c r="C6709" s="2" t="s">
        <v>50</v>
      </c>
      <c r="D6709" s="2" t="s">
        <v>51</v>
      </c>
      <c r="E6709" s="5">
        <v>-28475</v>
      </c>
      <c r="F6709" s="3" t="s">
        <v>1205</v>
      </c>
      <c r="G6709" s="3" t="s">
        <v>1685</v>
      </c>
      <c r="H6709" s="2" t="s">
        <v>20</v>
      </c>
      <c r="I6709" s="2" t="s">
        <v>13342</v>
      </c>
      <c r="J6709" s="3" t="str">
        <f>HYPERLINK("https://www.boe.es/gazeta/dias/1822/01/13/pdfs/GMD-1822-13.pdf#page=4","Abrir facsímil")</f>
        <v>Abrir facsímil</v>
      </c>
      <c r="K6709" s="3" t="s">
        <v>22</v>
      </c>
    </row>
    <row r="6710" spans="1:11" ht="42" customHeight="1">
      <c r="A6710" s="2" t="s">
        <v>13343</v>
      </c>
      <c r="B6710" s="2" t="s">
        <v>13344</v>
      </c>
      <c r="C6710" s="2" t="s">
        <v>16</v>
      </c>
      <c r="D6710" s="2" t="s">
        <v>17</v>
      </c>
      <c r="E6710" s="5">
        <v>-28308</v>
      </c>
      <c r="F6710" s="3" t="s">
        <v>1050</v>
      </c>
      <c r="G6710" s="3" t="s">
        <v>157</v>
      </c>
      <c r="H6710" s="2" t="s">
        <v>45</v>
      </c>
      <c r="I6710" s="2" t="s">
        <v>13345</v>
      </c>
      <c r="J6710" s="3" t="str">
        <f>HYPERLINK("https://www.boe.es/gazeta/dias/1822/06/29/pdfs/GMD-1822-187.pdf#page=8","Abrir facsímil")</f>
        <v>Abrir facsímil</v>
      </c>
      <c r="K6710" s="3" t="s">
        <v>47</v>
      </c>
    </row>
    <row r="6711" spans="1:11" ht="42" customHeight="1">
      <c r="A6711" s="2" t="s">
        <v>13346</v>
      </c>
      <c r="B6711" s="2" t="s">
        <v>13347</v>
      </c>
      <c r="C6711" s="2" t="s">
        <v>1141</v>
      </c>
      <c r="D6711" s="2" t="s">
        <v>29</v>
      </c>
      <c r="E6711" s="5">
        <v>-28317</v>
      </c>
      <c r="F6711" s="3" t="s">
        <v>546</v>
      </c>
      <c r="G6711" s="3" t="s">
        <v>157</v>
      </c>
      <c r="H6711" s="2" t="s">
        <v>20</v>
      </c>
      <c r="I6711" s="2" t="s">
        <v>13348</v>
      </c>
      <c r="J6711" s="3" t="str">
        <f>HYPERLINK("https://www.boe.es/gazeta/dias/1822/06/20/pdfs/GMD-1822-177.pdf#page=8","Abrir facsímil")</f>
        <v>Abrir facsímil</v>
      </c>
      <c r="K6711" s="3" t="s">
        <v>22</v>
      </c>
    </row>
    <row r="6712" spans="1:11" ht="42" customHeight="1">
      <c r="A6712" s="2" t="s">
        <v>13349</v>
      </c>
      <c r="B6712" s="2" t="s">
        <v>13350</v>
      </c>
      <c r="C6712" s="2" t="s">
        <v>50</v>
      </c>
      <c r="D6712" s="2" t="s">
        <v>51</v>
      </c>
      <c r="E6712" s="5">
        <v>-28451</v>
      </c>
      <c r="F6712" s="3" t="s">
        <v>1674</v>
      </c>
      <c r="G6712" s="3" t="s">
        <v>63</v>
      </c>
      <c r="H6712" s="2" t="s">
        <v>20</v>
      </c>
      <c r="I6712" s="2" t="s">
        <v>13351</v>
      </c>
      <c r="J6712" s="3" t="str">
        <f>HYPERLINK("https://www.boe.es/gazeta/dias/1822/02/06/pdfs/GMD-1822-37.pdf#page=6","Abrir facsímil")</f>
        <v>Abrir facsímil</v>
      </c>
      <c r="K6712" s="3" t="s">
        <v>22</v>
      </c>
    </row>
    <row r="6713" spans="1:11" ht="42" customHeight="1">
      <c r="A6713" s="2" t="s">
        <v>13352</v>
      </c>
      <c r="B6713" s="2" t="s">
        <v>13353</v>
      </c>
      <c r="C6713" s="2" t="s">
        <v>28</v>
      </c>
      <c r="D6713" s="2" t="s">
        <v>29</v>
      </c>
      <c r="E6713" s="5">
        <v>-28418</v>
      </c>
      <c r="F6713" s="3" t="s">
        <v>205</v>
      </c>
      <c r="G6713" s="3" t="s">
        <v>157</v>
      </c>
      <c r="H6713" s="2" t="s">
        <v>20</v>
      </c>
      <c r="I6713" s="2" t="s">
        <v>13354</v>
      </c>
      <c r="J6713" s="3" t="str">
        <f>HYPERLINK("https://www.boe.es/gazeta/dias/1822/03/11/pdfs/GMD-1822-72.pdf#page=8","Abrir facsímil")</f>
        <v>Abrir facsímil</v>
      </c>
      <c r="K6713" s="3" t="s">
        <v>22</v>
      </c>
    </row>
    <row r="6714" spans="1:11" ht="42" customHeight="1">
      <c r="A6714" s="2" t="s">
        <v>13355</v>
      </c>
      <c r="B6714" s="2" t="s">
        <v>13355</v>
      </c>
      <c r="C6714" s="2" t="s">
        <v>28</v>
      </c>
      <c r="D6714" s="2" t="s">
        <v>29</v>
      </c>
      <c r="E6714" s="5">
        <v>-28351</v>
      </c>
      <c r="F6714" s="3" t="s">
        <v>282</v>
      </c>
      <c r="G6714" s="3" t="s">
        <v>35</v>
      </c>
      <c r="H6714" s="2" t="s">
        <v>20</v>
      </c>
      <c r="I6714" s="2" t="s">
        <v>13356</v>
      </c>
      <c r="J6714" s="3" t="str">
        <f>HYPERLINK("https://www.boe.es/gazeta/dias/1822/05/17/pdfs/GMD-1822-139.pdf#page=2","Abrir facsímil")</f>
        <v>Abrir facsímil</v>
      </c>
      <c r="K6714" s="3" t="s">
        <v>22</v>
      </c>
    </row>
    <row r="6715" spans="1:11" ht="42" customHeight="1">
      <c r="A6715" s="2" t="s">
        <v>13355</v>
      </c>
      <c r="B6715" s="2" t="s">
        <v>13355</v>
      </c>
      <c r="C6715" s="2" t="s">
        <v>16</v>
      </c>
      <c r="D6715" s="2" t="s">
        <v>17</v>
      </c>
      <c r="E6715" s="5">
        <v>-28313</v>
      </c>
      <c r="F6715" s="3" t="s">
        <v>315</v>
      </c>
      <c r="G6715" s="3" t="s">
        <v>19</v>
      </c>
      <c r="H6715" s="2" t="s">
        <v>20</v>
      </c>
      <c r="I6715" s="2" t="s">
        <v>13357</v>
      </c>
      <c r="J6715" s="3" t="str">
        <f>HYPERLINK("https://www.boe.es/gazeta/dias/1822/06/24/pdfs/GMD-1822-182.pdf#page=5","Abrir facsímil")</f>
        <v>Abrir facsímil</v>
      </c>
      <c r="K6715" s="3" t="s">
        <v>22</v>
      </c>
    </row>
    <row r="6716" spans="1:11" ht="42" customHeight="1">
      <c r="A6716" s="2" t="s">
        <v>13355</v>
      </c>
      <c r="B6716" s="2" t="s">
        <v>13355</v>
      </c>
      <c r="C6716" s="2" t="s">
        <v>24</v>
      </c>
      <c r="D6716" s="2" t="s">
        <v>17</v>
      </c>
      <c r="E6716" s="5">
        <v>-28190</v>
      </c>
      <c r="F6716" s="3" t="s">
        <v>576</v>
      </c>
      <c r="G6716" s="3" t="s">
        <v>19</v>
      </c>
      <c r="H6716" s="2" t="s">
        <v>20</v>
      </c>
      <c r="I6716" s="2" t="s">
        <v>13358</v>
      </c>
      <c r="J6716" s="3" t="str">
        <f>HYPERLINK("https://www.boe.es/gazeta/dias/1822/10/25/pdfs/GMD-1822-312.pdf#page=5","Abrir facsímil")</f>
        <v>Abrir facsímil</v>
      </c>
      <c r="K6716" s="3" t="s">
        <v>22</v>
      </c>
    </row>
    <row r="6717" spans="1:11" ht="42" customHeight="1">
      <c r="A6717" s="2" t="s">
        <v>13359</v>
      </c>
      <c r="B6717" s="2" t="s">
        <v>13359</v>
      </c>
      <c r="C6717" s="2" t="s">
        <v>50</v>
      </c>
      <c r="D6717" s="2" t="s">
        <v>51</v>
      </c>
      <c r="E6717" s="5">
        <v>-28169</v>
      </c>
      <c r="F6717" s="3" t="s">
        <v>2571</v>
      </c>
      <c r="G6717" s="3" t="s">
        <v>35</v>
      </c>
      <c r="H6717" s="2" t="s">
        <v>20</v>
      </c>
      <c r="I6717" s="2" t="s">
        <v>13360</v>
      </c>
      <c r="J6717" s="3" t="str">
        <f>HYPERLINK("https://www.boe.es/gazeta/dias/1822/11/15/pdfs/GMD-1822-335.pdf#page=2","Abrir facsímil")</f>
        <v>Abrir facsímil</v>
      </c>
      <c r="K6717" s="3" t="s">
        <v>22</v>
      </c>
    </row>
    <row r="6718" spans="1:11" ht="42" customHeight="1">
      <c r="A6718" s="2" t="s">
        <v>13361</v>
      </c>
      <c r="B6718" s="2" t="s">
        <v>13361</v>
      </c>
      <c r="C6718" s="2" t="s">
        <v>42</v>
      </c>
      <c r="D6718" s="2" t="s">
        <v>17</v>
      </c>
      <c r="E6718" s="5">
        <v>-28137</v>
      </c>
      <c r="F6718" s="3" t="s">
        <v>312</v>
      </c>
      <c r="G6718" s="3" t="s">
        <v>35</v>
      </c>
      <c r="H6718" s="2" t="s">
        <v>20</v>
      </c>
      <c r="I6718" s="2" t="s">
        <v>13362</v>
      </c>
      <c r="J6718" s="3" t="str">
        <f>HYPERLINK("https://www.boe.es/gazeta/dias/1822/12/17/pdfs/GMD-1822-367.pdf#page=2","Abrir facsímil")</f>
        <v>Abrir facsímil</v>
      </c>
      <c r="K6718" s="3" t="s">
        <v>22</v>
      </c>
    </row>
    <row r="6719" spans="1:11" ht="42" customHeight="1">
      <c r="A6719" s="2" t="s">
        <v>13363</v>
      </c>
      <c r="B6719" s="2" t="s">
        <v>13364</v>
      </c>
      <c r="C6719" s="2" t="s">
        <v>42</v>
      </c>
      <c r="D6719" s="2" t="s">
        <v>17</v>
      </c>
      <c r="E6719" s="5">
        <v>-28341</v>
      </c>
      <c r="F6719" s="3" t="s">
        <v>284</v>
      </c>
      <c r="G6719" s="3" t="s">
        <v>63</v>
      </c>
      <c r="H6719" s="2" t="s">
        <v>20</v>
      </c>
      <c r="I6719" s="2" t="s">
        <v>13365</v>
      </c>
      <c r="J6719" s="3" t="str">
        <f>HYPERLINK("https://www.boe.es/gazeta/dias/1822/05/27/pdfs/GMD-1822-152.pdf#page=6","Abrir facsímil")</f>
        <v>Abrir facsímil</v>
      </c>
      <c r="K6719" s="3" t="s">
        <v>22</v>
      </c>
    </row>
    <row r="6720" spans="1:11" ht="42" customHeight="1">
      <c r="A6720" s="2" t="s">
        <v>13366</v>
      </c>
      <c r="B6720" s="2" t="s">
        <v>13367</v>
      </c>
      <c r="C6720" s="2" t="s">
        <v>71</v>
      </c>
      <c r="D6720" s="2" t="s">
        <v>17</v>
      </c>
      <c r="E6720" s="5">
        <v>-28393</v>
      </c>
      <c r="F6720" s="3" t="s">
        <v>326</v>
      </c>
      <c r="G6720" s="3" t="s">
        <v>35</v>
      </c>
      <c r="H6720" s="2" t="s">
        <v>20</v>
      </c>
      <c r="I6720" s="2" t="s">
        <v>13368</v>
      </c>
      <c r="J6720" s="3" t="str">
        <f>HYPERLINK("https://www.boe.es/gazeta/dias/1822/04/05/pdfs/GMD-1822-97.pdf#page=2","Abrir facsímil")</f>
        <v>Abrir facsímil</v>
      </c>
      <c r="K6720" s="3" t="s">
        <v>22</v>
      </c>
    </row>
    <row r="6721" spans="1:11" ht="42" customHeight="1">
      <c r="A6721" s="2" t="s">
        <v>13369</v>
      </c>
      <c r="B6721" s="2" t="s">
        <v>13369</v>
      </c>
      <c r="C6721" s="2" t="s">
        <v>16</v>
      </c>
      <c r="D6721" s="2" t="s">
        <v>17</v>
      </c>
      <c r="E6721" s="5">
        <v>-28354</v>
      </c>
      <c r="F6721" s="3" t="s">
        <v>226</v>
      </c>
      <c r="G6721" s="3" t="s">
        <v>57</v>
      </c>
      <c r="H6721" s="2" t="s">
        <v>20</v>
      </c>
      <c r="I6721" s="2" t="s">
        <v>13370</v>
      </c>
      <c r="J6721" s="3" t="str">
        <f>HYPERLINK("https://www.boe.es/gazeta/dias/1822/05/14/pdfs/GMD-1822-136.pdf#page=4","Abrir facsímil")</f>
        <v>Abrir facsímil</v>
      </c>
      <c r="K6721" s="3" t="s">
        <v>22</v>
      </c>
    </row>
    <row r="6722" spans="1:11" ht="42" customHeight="1">
      <c r="A6722" s="2" t="s">
        <v>13371</v>
      </c>
      <c r="B6722" s="2" t="s">
        <v>13371</v>
      </c>
      <c r="C6722" s="2" t="s">
        <v>50</v>
      </c>
      <c r="D6722" s="2" t="s">
        <v>51</v>
      </c>
      <c r="E6722" s="5">
        <v>-28124</v>
      </c>
      <c r="F6722" s="3" t="s">
        <v>301</v>
      </c>
      <c r="G6722" s="3" t="s">
        <v>601</v>
      </c>
      <c r="H6722" s="2" t="s">
        <v>20</v>
      </c>
      <c r="I6722" s="2" t="s">
        <v>13372</v>
      </c>
      <c r="J6722" s="3" t="str">
        <f>HYPERLINK("https://www.boe.es/gazeta/dias/1822/12/30/pdfs/GMD-1822-380.pdf#page=4","Abrir facsímil")</f>
        <v>Abrir facsímil</v>
      </c>
      <c r="K6722" s="3" t="s">
        <v>22</v>
      </c>
    </row>
    <row r="6723" spans="1:11" ht="42" customHeight="1">
      <c r="A6723" s="2" t="s">
        <v>13373</v>
      </c>
      <c r="B6723" s="2" t="s">
        <v>13373</v>
      </c>
      <c r="C6723" s="2" t="s">
        <v>50</v>
      </c>
      <c r="D6723" s="2" t="s">
        <v>51</v>
      </c>
      <c r="E6723" s="5">
        <v>-28311</v>
      </c>
      <c r="F6723" s="3" t="s">
        <v>736</v>
      </c>
      <c r="G6723" s="3" t="s">
        <v>19</v>
      </c>
      <c r="H6723" s="2" t="s">
        <v>20</v>
      </c>
      <c r="I6723" s="2" t="s">
        <v>13374</v>
      </c>
      <c r="J6723" s="3" t="str">
        <f>HYPERLINK("https://www.boe.es/gazeta/dias/1822/06/26/pdfs/GMD-1822-184.pdf#page=5","Abrir facsímil")</f>
        <v>Abrir facsímil</v>
      </c>
      <c r="K6723" s="3" t="s">
        <v>22</v>
      </c>
    </row>
    <row r="6724" spans="1:11" ht="42" customHeight="1">
      <c r="A6724" s="2" t="s">
        <v>13375</v>
      </c>
      <c r="B6724" s="2" t="s">
        <v>13375</v>
      </c>
      <c r="C6724" s="2" t="s">
        <v>50</v>
      </c>
      <c r="D6724" s="2" t="s">
        <v>51</v>
      </c>
      <c r="E6724" s="5">
        <v>-28334</v>
      </c>
      <c r="F6724" s="3" t="s">
        <v>532</v>
      </c>
      <c r="G6724" s="3" t="s">
        <v>35</v>
      </c>
      <c r="H6724" s="2" t="s">
        <v>20</v>
      </c>
      <c r="I6724" s="2" t="s">
        <v>13376</v>
      </c>
      <c r="J6724" s="3" t="str">
        <f>HYPERLINK("https://www.boe.es/gazeta/dias/1822/06/03/pdfs/GMD-1822-159.pdf#page=2","Abrir facsímil")</f>
        <v>Abrir facsímil</v>
      </c>
      <c r="K6724" s="3" t="s">
        <v>22</v>
      </c>
    </row>
    <row r="6725" spans="1:11" ht="42" customHeight="1">
      <c r="A6725" s="2" t="s">
        <v>13375</v>
      </c>
      <c r="B6725" s="2" t="s">
        <v>13375</v>
      </c>
      <c r="C6725" s="2" t="s">
        <v>50</v>
      </c>
      <c r="D6725" s="2" t="s">
        <v>51</v>
      </c>
      <c r="E6725" s="5">
        <v>-28185</v>
      </c>
      <c r="F6725" s="3" t="s">
        <v>933</v>
      </c>
      <c r="G6725" s="3" t="s">
        <v>35</v>
      </c>
      <c r="H6725" s="2" t="s">
        <v>20</v>
      </c>
      <c r="I6725" s="2" t="s">
        <v>13377</v>
      </c>
      <c r="J6725" s="3" t="str">
        <f>HYPERLINK("https://www.boe.es/gazeta/dias/1822/10/30/pdfs/GMD-1822-317.pdf#page=2","Abrir facsímil")</f>
        <v>Abrir facsímil</v>
      </c>
      <c r="K6725" s="3" t="s">
        <v>22</v>
      </c>
    </row>
    <row r="6726" spans="1:11" ht="42" customHeight="1">
      <c r="A6726" s="2" t="s">
        <v>13378</v>
      </c>
      <c r="B6726" s="2" t="s">
        <v>13378</v>
      </c>
      <c r="C6726" s="2" t="s">
        <v>50</v>
      </c>
      <c r="D6726" s="2" t="s">
        <v>51</v>
      </c>
      <c r="E6726" s="5">
        <v>-28455</v>
      </c>
      <c r="F6726" s="3" t="s">
        <v>1107</v>
      </c>
      <c r="G6726" s="3" t="s">
        <v>19</v>
      </c>
      <c r="H6726" s="2" t="s">
        <v>20</v>
      </c>
      <c r="I6726" s="2" t="s">
        <v>13379</v>
      </c>
      <c r="J6726" s="3" t="str">
        <f>HYPERLINK("https://www.boe.es/gazeta/dias/1822/02/02/pdfs/GMD-1822-33.pdf#page=5","Abrir facsímil")</f>
        <v>Abrir facsímil</v>
      </c>
      <c r="K6726" s="3" t="s">
        <v>22</v>
      </c>
    </row>
    <row r="6727" spans="1:11" ht="42" customHeight="1">
      <c r="A6727" s="2" t="s">
        <v>13378</v>
      </c>
      <c r="B6727" s="2" t="s">
        <v>13378</v>
      </c>
      <c r="C6727" s="2" t="s">
        <v>42</v>
      </c>
      <c r="D6727" s="2" t="s">
        <v>17</v>
      </c>
      <c r="E6727" s="5">
        <v>-28429</v>
      </c>
      <c r="F6727" s="3" t="s">
        <v>2397</v>
      </c>
      <c r="G6727" s="3" t="s">
        <v>31</v>
      </c>
      <c r="H6727" s="2" t="s">
        <v>20</v>
      </c>
      <c r="I6727" s="2" t="s">
        <v>13380</v>
      </c>
      <c r="J6727" s="3" t="str">
        <f>HYPERLINK("https://www.boe.es/gazeta/dias/1822/02/28/pdfs/GMD-1822-60.pdf#page=3","Abrir facsímil")</f>
        <v>Abrir facsímil</v>
      </c>
      <c r="K6727" s="3" t="s">
        <v>22</v>
      </c>
    </row>
    <row r="6728" spans="1:11" ht="42" customHeight="1">
      <c r="A6728" s="2" t="s">
        <v>13378</v>
      </c>
      <c r="B6728" s="2" t="s">
        <v>13378</v>
      </c>
      <c r="C6728" s="2" t="s">
        <v>42</v>
      </c>
      <c r="D6728" s="2" t="s">
        <v>17</v>
      </c>
      <c r="E6728" s="5">
        <v>-28426</v>
      </c>
      <c r="F6728" s="3" t="s">
        <v>1178</v>
      </c>
      <c r="G6728" s="3" t="s">
        <v>35</v>
      </c>
      <c r="H6728" s="2" t="s">
        <v>20</v>
      </c>
      <c r="I6728" s="2" t="s">
        <v>13381</v>
      </c>
      <c r="J6728" s="3" t="str">
        <f>HYPERLINK("https://www.boe.es/gazeta/dias/1822/03/03/pdfs/GMD-1822-64.pdf#page=2","Abrir facsímil")</f>
        <v>Abrir facsímil</v>
      </c>
      <c r="K6728" s="3" t="s">
        <v>22</v>
      </c>
    </row>
    <row r="6729" spans="1:11" ht="42" customHeight="1">
      <c r="A6729" s="2" t="s">
        <v>13378</v>
      </c>
      <c r="B6729" s="2" t="s">
        <v>13378</v>
      </c>
      <c r="C6729" s="2" t="s">
        <v>28</v>
      </c>
      <c r="D6729" s="2" t="s">
        <v>29</v>
      </c>
      <c r="E6729" s="5">
        <v>-28426</v>
      </c>
      <c r="F6729" s="3" t="s">
        <v>1178</v>
      </c>
      <c r="G6729" s="3" t="s">
        <v>31</v>
      </c>
      <c r="H6729" s="2" t="s">
        <v>20</v>
      </c>
      <c r="I6729" s="2" t="s">
        <v>13382</v>
      </c>
      <c r="J6729" s="3" t="str">
        <f>HYPERLINK("https://www.boe.es/gazeta/dias/1822/03/03/pdfs/GMD-1822-64.pdf#page=3","Abrir facsímil")</f>
        <v>Abrir facsímil</v>
      </c>
      <c r="K6729" s="3" t="s">
        <v>22</v>
      </c>
    </row>
    <row r="6730" spans="1:11" ht="42" customHeight="1">
      <c r="A6730" s="2" t="s">
        <v>13378</v>
      </c>
      <c r="B6730" s="2" t="s">
        <v>13378</v>
      </c>
      <c r="C6730" s="2" t="s">
        <v>28</v>
      </c>
      <c r="D6730" s="2" t="s">
        <v>29</v>
      </c>
      <c r="E6730" s="5">
        <v>-28426</v>
      </c>
      <c r="F6730" s="3" t="s">
        <v>1178</v>
      </c>
      <c r="G6730" s="3" t="s">
        <v>57</v>
      </c>
      <c r="H6730" s="2" t="s">
        <v>20</v>
      </c>
      <c r="I6730" s="2" t="s">
        <v>13383</v>
      </c>
      <c r="J6730" s="3" t="str">
        <f>HYPERLINK("https://www.boe.es/gazeta/dias/1822/03/03/pdfs/GMD-1822-64.pdf#page=4","Abrir facsímil")</f>
        <v>Abrir facsímil</v>
      </c>
      <c r="K6730" s="3" t="s">
        <v>22</v>
      </c>
    </row>
    <row r="6731" spans="1:11" ht="42" customHeight="1">
      <c r="A6731" s="2" t="s">
        <v>13378</v>
      </c>
      <c r="B6731" s="2" t="s">
        <v>13378</v>
      </c>
      <c r="C6731" s="2" t="s">
        <v>28</v>
      </c>
      <c r="D6731" s="2" t="s">
        <v>29</v>
      </c>
      <c r="E6731" s="5">
        <v>-28425</v>
      </c>
      <c r="F6731" s="3" t="s">
        <v>419</v>
      </c>
      <c r="G6731" s="3" t="s">
        <v>35</v>
      </c>
      <c r="H6731" s="2" t="s">
        <v>20</v>
      </c>
      <c r="I6731" s="2" t="s">
        <v>13384</v>
      </c>
      <c r="J6731" s="3" t="str">
        <f>HYPERLINK("https://www.boe.es/gazeta/dias/1822/03/04/pdfs/GMD-1822-65.pdf#page=2","Abrir facsímil")</f>
        <v>Abrir facsímil</v>
      </c>
      <c r="K6731" s="3" t="s">
        <v>22</v>
      </c>
    </row>
    <row r="6732" spans="1:11" ht="42" customHeight="1">
      <c r="A6732" s="2" t="s">
        <v>13378</v>
      </c>
      <c r="B6732" s="2" t="s">
        <v>13378</v>
      </c>
      <c r="C6732" s="2" t="s">
        <v>28</v>
      </c>
      <c r="D6732" s="2" t="s">
        <v>29</v>
      </c>
      <c r="E6732" s="5">
        <v>-28424</v>
      </c>
      <c r="F6732" s="3" t="s">
        <v>439</v>
      </c>
      <c r="G6732" s="3" t="s">
        <v>31</v>
      </c>
      <c r="H6732" s="2" t="s">
        <v>20</v>
      </c>
      <c r="I6732" s="2" t="s">
        <v>13385</v>
      </c>
      <c r="J6732" s="3" t="str">
        <f>HYPERLINK("https://www.boe.es/gazeta/dias/1822/03/05/pdfs/GMD-1822-66.pdf#page=3","Abrir facsímil")</f>
        <v>Abrir facsímil</v>
      </c>
      <c r="K6732" s="3" t="s">
        <v>22</v>
      </c>
    </row>
    <row r="6733" spans="1:11" ht="42" customHeight="1">
      <c r="A6733" s="2" t="s">
        <v>13378</v>
      </c>
      <c r="B6733" s="2" t="s">
        <v>13378</v>
      </c>
      <c r="C6733" s="2" t="s">
        <v>28</v>
      </c>
      <c r="D6733" s="2" t="s">
        <v>29</v>
      </c>
      <c r="E6733" s="5">
        <v>-28424</v>
      </c>
      <c r="F6733" s="3" t="s">
        <v>439</v>
      </c>
      <c r="G6733" s="3" t="s">
        <v>57</v>
      </c>
      <c r="H6733" s="2" t="s">
        <v>20</v>
      </c>
      <c r="I6733" s="2" t="s">
        <v>13386</v>
      </c>
      <c r="J6733" s="3" t="str">
        <f>HYPERLINK("https://www.boe.es/gazeta/dias/1822/03/05/pdfs/GMD-1822-66.pdf#page=4","Abrir facsímil")</f>
        <v>Abrir facsímil</v>
      </c>
      <c r="K6733" s="3" t="s">
        <v>22</v>
      </c>
    </row>
    <row r="6734" spans="1:11" ht="42" customHeight="1">
      <c r="A6734" s="2" t="s">
        <v>13378</v>
      </c>
      <c r="B6734" s="2" t="s">
        <v>13378</v>
      </c>
      <c r="C6734" s="2" t="s">
        <v>28</v>
      </c>
      <c r="D6734" s="2" t="s">
        <v>29</v>
      </c>
      <c r="E6734" s="5">
        <v>-28423</v>
      </c>
      <c r="F6734" s="3" t="s">
        <v>441</v>
      </c>
      <c r="G6734" s="3" t="s">
        <v>31</v>
      </c>
      <c r="H6734" s="2" t="s">
        <v>20</v>
      </c>
      <c r="I6734" s="2" t="s">
        <v>13387</v>
      </c>
      <c r="J6734" s="3" t="str">
        <f>HYPERLINK("https://www.boe.es/gazeta/dias/1822/03/06/pdfs/GMD-1822-67.pdf#page=3","Abrir facsímil")</f>
        <v>Abrir facsímil</v>
      </c>
      <c r="K6734" s="3" t="s">
        <v>22</v>
      </c>
    </row>
    <row r="6735" spans="1:11" ht="42" customHeight="1">
      <c r="A6735" s="2" t="s">
        <v>13378</v>
      </c>
      <c r="B6735" s="2" t="s">
        <v>13378</v>
      </c>
      <c r="C6735" s="2" t="s">
        <v>71</v>
      </c>
      <c r="D6735" s="2" t="s">
        <v>17</v>
      </c>
      <c r="E6735" s="5">
        <v>-28422</v>
      </c>
      <c r="F6735" s="3" t="s">
        <v>416</v>
      </c>
      <c r="G6735" s="3" t="s">
        <v>35</v>
      </c>
      <c r="H6735" s="2" t="s">
        <v>20</v>
      </c>
      <c r="I6735" s="2" t="s">
        <v>13388</v>
      </c>
      <c r="J6735" s="3" t="str">
        <f>HYPERLINK("https://www.boe.es/gazeta/dias/1822/03/07/pdfs/GMD-1822-68.pdf#page=2","Abrir facsímil")</f>
        <v>Abrir facsímil</v>
      </c>
      <c r="K6735" s="3" t="s">
        <v>22</v>
      </c>
    </row>
    <row r="6736" spans="1:11" ht="42" customHeight="1">
      <c r="A6736" s="2" t="s">
        <v>13378</v>
      </c>
      <c r="B6736" s="2" t="s">
        <v>13378</v>
      </c>
      <c r="C6736" s="2" t="s">
        <v>50</v>
      </c>
      <c r="D6736" s="2" t="s">
        <v>51</v>
      </c>
      <c r="E6736" s="5">
        <v>-28421</v>
      </c>
      <c r="F6736" s="3" t="s">
        <v>446</v>
      </c>
      <c r="G6736" s="3" t="s">
        <v>19</v>
      </c>
      <c r="H6736" s="2" t="s">
        <v>20</v>
      </c>
      <c r="I6736" s="2" t="s">
        <v>13389</v>
      </c>
      <c r="J6736" s="3" t="str">
        <f>HYPERLINK("https://www.boe.es/gazeta/dias/1822/03/08/pdfs/GMD-1822-69.pdf#page=5","Abrir facsímil")</f>
        <v>Abrir facsímil</v>
      </c>
      <c r="K6736" s="3" t="s">
        <v>22</v>
      </c>
    </row>
    <row r="6737" spans="1:11" ht="42" customHeight="1">
      <c r="A6737" s="2" t="s">
        <v>13378</v>
      </c>
      <c r="B6737" s="2" t="s">
        <v>13378</v>
      </c>
      <c r="C6737" s="2" t="s">
        <v>50</v>
      </c>
      <c r="D6737" s="2" t="s">
        <v>51</v>
      </c>
      <c r="E6737" s="5">
        <v>-28421</v>
      </c>
      <c r="F6737" s="3" t="s">
        <v>446</v>
      </c>
      <c r="G6737" s="3" t="s">
        <v>63</v>
      </c>
      <c r="H6737" s="2" t="s">
        <v>20</v>
      </c>
      <c r="I6737" s="2" t="s">
        <v>13390</v>
      </c>
      <c r="J6737" s="3" t="str">
        <f>HYPERLINK("https://www.boe.es/gazeta/dias/1822/03/08/pdfs/GMD-1822-69.pdf#page=6","Abrir facsímil")</f>
        <v>Abrir facsímil</v>
      </c>
      <c r="K6737" s="3" t="s">
        <v>22</v>
      </c>
    </row>
    <row r="6738" spans="1:11" ht="42" customHeight="1">
      <c r="A6738" s="2" t="s">
        <v>13378</v>
      </c>
      <c r="B6738" s="2" t="s">
        <v>13378</v>
      </c>
      <c r="C6738" s="2" t="s">
        <v>28</v>
      </c>
      <c r="D6738" s="2" t="s">
        <v>29</v>
      </c>
      <c r="E6738" s="5">
        <v>-28417</v>
      </c>
      <c r="F6738" s="3" t="s">
        <v>1394</v>
      </c>
      <c r="G6738" s="3" t="s">
        <v>31</v>
      </c>
      <c r="H6738" s="2" t="s">
        <v>20</v>
      </c>
      <c r="I6738" s="2" t="s">
        <v>13391</v>
      </c>
      <c r="J6738" s="3" t="str">
        <f>HYPERLINK("https://www.boe.es/gazeta/dias/1822/03/12/pdfs/GMD-1822-73.pdf#page=3","Abrir facsímil")</f>
        <v>Abrir facsímil</v>
      </c>
      <c r="K6738" s="3" t="s">
        <v>22</v>
      </c>
    </row>
    <row r="6739" spans="1:11" ht="42" customHeight="1">
      <c r="A6739" s="2" t="s">
        <v>13378</v>
      </c>
      <c r="B6739" s="2" t="s">
        <v>13378</v>
      </c>
      <c r="C6739" s="2" t="s">
        <v>42</v>
      </c>
      <c r="D6739" s="2" t="s">
        <v>17</v>
      </c>
      <c r="E6739" s="5">
        <v>-28415</v>
      </c>
      <c r="F6739" s="3" t="s">
        <v>77</v>
      </c>
      <c r="G6739" s="3" t="s">
        <v>31</v>
      </c>
      <c r="H6739" s="2" t="s">
        <v>20</v>
      </c>
      <c r="I6739" s="2" t="s">
        <v>13392</v>
      </c>
      <c r="J6739" s="3" t="str">
        <f>HYPERLINK("https://www.boe.es/gazeta/dias/1822/03/14/pdfs/GMD-1822-75.pdf#page=3","Abrir facsímil")</f>
        <v>Abrir facsímil</v>
      </c>
      <c r="K6739" s="3" t="s">
        <v>22</v>
      </c>
    </row>
    <row r="6740" spans="1:11" ht="42" customHeight="1">
      <c r="A6740" s="2" t="s">
        <v>13378</v>
      </c>
      <c r="B6740" s="2" t="s">
        <v>13378</v>
      </c>
      <c r="C6740" s="2" t="s">
        <v>50</v>
      </c>
      <c r="D6740" s="2" t="s">
        <v>51</v>
      </c>
      <c r="E6740" s="5">
        <v>-28411</v>
      </c>
      <c r="F6740" s="3" t="s">
        <v>1509</v>
      </c>
      <c r="G6740" s="3" t="s">
        <v>44</v>
      </c>
      <c r="H6740" s="2" t="s">
        <v>20</v>
      </c>
      <c r="I6740" s="2" t="s">
        <v>13393</v>
      </c>
      <c r="J6740" s="3" t="str">
        <f>HYPERLINK("https://www.boe.es/gazeta/dias/1822/03/18/pdfs/GMD-1822-79.pdf#page=1","Abrir facsímil")</f>
        <v>Abrir facsímil</v>
      </c>
      <c r="K6740" s="3" t="s">
        <v>22</v>
      </c>
    </row>
    <row r="6741" spans="1:11" ht="42" customHeight="1">
      <c r="A6741" s="2" t="s">
        <v>13378</v>
      </c>
      <c r="B6741" s="2" t="s">
        <v>13378</v>
      </c>
      <c r="C6741" s="2" t="s">
        <v>50</v>
      </c>
      <c r="D6741" s="2" t="s">
        <v>51</v>
      </c>
      <c r="E6741" s="5">
        <v>-28405</v>
      </c>
      <c r="F6741" s="3" t="s">
        <v>466</v>
      </c>
      <c r="G6741" s="3" t="s">
        <v>19</v>
      </c>
      <c r="H6741" s="2" t="s">
        <v>20</v>
      </c>
      <c r="I6741" s="2" t="s">
        <v>13394</v>
      </c>
      <c r="J6741" s="3" t="str">
        <f>HYPERLINK("https://www.boe.es/gazeta/dias/1822/03/24/pdfs/GMD-1822-85.pdf#page=5","Abrir facsímil")</f>
        <v>Abrir facsímil</v>
      </c>
      <c r="K6741" s="3" t="s">
        <v>22</v>
      </c>
    </row>
    <row r="6742" spans="1:11" ht="42" customHeight="1">
      <c r="A6742" s="2" t="s">
        <v>13378</v>
      </c>
      <c r="B6742" s="2" t="s">
        <v>13378</v>
      </c>
      <c r="C6742" s="2" t="s">
        <v>50</v>
      </c>
      <c r="D6742" s="2" t="s">
        <v>51</v>
      </c>
      <c r="E6742" s="5">
        <v>-28402</v>
      </c>
      <c r="F6742" s="3" t="s">
        <v>473</v>
      </c>
      <c r="G6742" s="3" t="s">
        <v>31</v>
      </c>
      <c r="H6742" s="2" t="s">
        <v>20</v>
      </c>
      <c r="I6742" s="2" t="s">
        <v>13395</v>
      </c>
      <c r="J6742" s="3" t="str">
        <f>HYPERLINK("https://www.boe.es/gazeta/dias/1822/03/27/pdfs/GMD-1822-88.pdf#page=3","Abrir facsímil")</f>
        <v>Abrir facsímil</v>
      </c>
      <c r="K6742" s="3" t="s">
        <v>22</v>
      </c>
    </row>
    <row r="6743" spans="1:11" ht="42" customHeight="1">
      <c r="A6743" s="2" t="s">
        <v>13378</v>
      </c>
      <c r="B6743" s="2" t="s">
        <v>13378</v>
      </c>
      <c r="C6743" s="2" t="s">
        <v>50</v>
      </c>
      <c r="D6743" s="2" t="s">
        <v>51</v>
      </c>
      <c r="E6743" s="5">
        <v>-28400</v>
      </c>
      <c r="F6743" s="3" t="s">
        <v>1937</v>
      </c>
      <c r="G6743" s="3" t="s">
        <v>35</v>
      </c>
      <c r="H6743" s="2" t="s">
        <v>20</v>
      </c>
      <c r="I6743" s="2" t="s">
        <v>13396</v>
      </c>
      <c r="J6743" s="3" t="str">
        <f>HYPERLINK("https://www.boe.es/gazeta/dias/1822/03/29/pdfs/GMD-1822-90.pdf#page=2","Abrir facsímil")</f>
        <v>Abrir facsímil</v>
      </c>
      <c r="K6743" s="3" t="s">
        <v>22</v>
      </c>
    </row>
    <row r="6744" spans="1:11" ht="42" customHeight="1">
      <c r="A6744" s="2" t="s">
        <v>13378</v>
      </c>
      <c r="B6744" s="2" t="s">
        <v>13378</v>
      </c>
      <c r="C6744" s="2" t="s">
        <v>50</v>
      </c>
      <c r="D6744" s="2" t="s">
        <v>51</v>
      </c>
      <c r="E6744" s="5">
        <v>-28399</v>
      </c>
      <c r="F6744" s="3" t="s">
        <v>476</v>
      </c>
      <c r="G6744" s="3" t="s">
        <v>44</v>
      </c>
      <c r="H6744" s="2" t="s">
        <v>20</v>
      </c>
      <c r="I6744" s="2" t="s">
        <v>13397</v>
      </c>
      <c r="J6744" s="3" t="str">
        <f>HYPERLINK("https://www.boe.es/gazeta/dias/1822/03/30/pdfs/GMD-1822-91.pdf#page=1","Abrir facsímil")</f>
        <v>Abrir facsímil</v>
      </c>
      <c r="K6744" s="3" t="s">
        <v>22</v>
      </c>
    </row>
    <row r="6745" spans="1:11" ht="42" customHeight="1">
      <c r="A6745" s="2" t="s">
        <v>13378</v>
      </c>
      <c r="B6745" s="2" t="s">
        <v>13378</v>
      </c>
      <c r="C6745" s="2" t="s">
        <v>42</v>
      </c>
      <c r="D6745" s="2" t="s">
        <v>17</v>
      </c>
      <c r="E6745" s="5">
        <v>-28399</v>
      </c>
      <c r="F6745" s="3" t="s">
        <v>476</v>
      </c>
      <c r="G6745" s="3" t="s">
        <v>35</v>
      </c>
      <c r="H6745" s="2" t="s">
        <v>20</v>
      </c>
      <c r="I6745" s="2" t="s">
        <v>13398</v>
      </c>
      <c r="J6745" s="3" t="str">
        <f>HYPERLINK("https://www.boe.es/gazeta/dias/1822/03/30/pdfs/GMD-1822-91.pdf#page=2","Abrir facsímil")</f>
        <v>Abrir facsímil</v>
      </c>
      <c r="K6745" s="3" t="s">
        <v>22</v>
      </c>
    </row>
    <row r="6746" spans="1:11" ht="42" customHeight="1">
      <c r="A6746" s="2" t="s">
        <v>13378</v>
      </c>
      <c r="B6746" s="2" t="s">
        <v>13378</v>
      </c>
      <c r="C6746" s="2" t="s">
        <v>16</v>
      </c>
      <c r="D6746" s="2" t="s">
        <v>17</v>
      </c>
      <c r="E6746" s="5">
        <v>-28398</v>
      </c>
      <c r="F6746" s="3" t="s">
        <v>1961</v>
      </c>
      <c r="G6746" s="3" t="s">
        <v>31</v>
      </c>
      <c r="H6746" s="2" t="s">
        <v>20</v>
      </c>
      <c r="I6746" s="2" t="s">
        <v>13399</v>
      </c>
      <c r="J6746" s="3" t="str">
        <f>HYPERLINK("https://www.boe.es/gazeta/dias/1822/03/31/pdfs/GMD-1822-92.pdf#page=3","Abrir facsímil")</f>
        <v>Abrir facsímil</v>
      </c>
      <c r="K6746" s="3" t="s">
        <v>22</v>
      </c>
    </row>
    <row r="6747" spans="1:11" ht="42" customHeight="1">
      <c r="A6747" s="2" t="s">
        <v>13378</v>
      </c>
      <c r="B6747" s="2" t="s">
        <v>13378</v>
      </c>
      <c r="C6747" s="2" t="s">
        <v>50</v>
      </c>
      <c r="D6747" s="2" t="s">
        <v>51</v>
      </c>
      <c r="E6747" s="5">
        <v>-28395</v>
      </c>
      <c r="F6747" s="3" t="s">
        <v>237</v>
      </c>
      <c r="G6747" s="3" t="s">
        <v>31</v>
      </c>
      <c r="H6747" s="2" t="s">
        <v>20</v>
      </c>
      <c r="I6747" s="2" t="s">
        <v>13400</v>
      </c>
      <c r="J6747" s="3" t="str">
        <f>HYPERLINK("https://www.boe.es/gazeta/dias/1822/04/03/pdfs/GMD-1822-95.pdf#page=3","Abrir facsímil")</f>
        <v>Abrir facsímil</v>
      </c>
      <c r="K6747" s="3" t="s">
        <v>22</v>
      </c>
    </row>
    <row r="6748" spans="1:11" ht="42" customHeight="1">
      <c r="A6748" s="2" t="s">
        <v>13378</v>
      </c>
      <c r="B6748" s="2" t="s">
        <v>13378</v>
      </c>
      <c r="C6748" s="2" t="s">
        <v>28</v>
      </c>
      <c r="D6748" s="2" t="s">
        <v>29</v>
      </c>
      <c r="E6748" s="5">
        <v>-28395</v>
      </c>
      <c r="F6748" s="3" t="s">
        <v>237</v>
      </c>
      <c r="G6748" s="3" t="s">
        <v>57</v>
      </c>
      <c r="H6748" s="2" t="s">
        <v>20</v>
      </c>
      <c r="I6748" s="2" t="s">
        <v>13401</v>
      </c>
      <c r="J6748" s="3" t="str">
        <f>HYPERLINK("https://www.boe.es/gazeta/dias/1822/04/03/pdfs/GMD-1822-95.pdf#page=4","Abrir facsímil")</f>
        <v>Abrir facsímil</v>
      </c>
      <c r="K6748" s="3" t="s">
        <v>22</v>
      </c>
    </row>
    <row r="6749" spans="1:11" ht="42" customHeight="1">
      <c r="A6749" s="2" t="s">
        <v>13378</v>
      </c>
      <c r="B6749" s="2" t="s">
        <v>13378</v>
      </c>
      <c r="C6749" s="2" t="s">
        <v>42</v>
      </c>
      <c r="D6749" s="2" t="s">
        <v>17</v>
      </c>
      <c r="E6749" s="5">
        <v>-28394</v>
      </c>
      <c r="F6749" s="3" t="s">
        <v>268</v>
      </c>
      <c r="G6749" s="3" t="s">
        <v>35</v>
      </c>
      <c r="H6749" s="2" t="s">
        <v>20</v>
      </c>
      <c r="I6749" s="2" t="s">
        <v>13402</v>
      </c>
      <c r="J6749" s="3" t="str">
        <f>HYPERLINK("https://www.boe.es/gazeta/dias/1822/04/04/pdfs/GMD-1822-96.pdf#page=2","Abrir facsímil")</f>
        <v>Abrir facsímil</v>
      </c>
      <c r="K6749" s="3" t="s">
        <v>22</v>
      </c>
    </row>
    <row r="6750" spans="1:11" ht="42" customHeight="1">
      <c r="A6750" s="2" t="s">
        <v>13378</v>
      </c>
      <c r="B6750" s="2" t="s">
        <v>13378</v>
      </c>
      <c r="C6750" s="2" t="s">
        <v>16</v>
      </c>
      <c r="D6750" s="2" t="s">
        <v>17</v>
      </c>
      <c r="E6750" s="5">
        <v>-28388</v>
      </c>
      <c r="F6750" s="3" t="s">
        <v>1268</v>
      </c>
      <c r="G6750" s="3" t="s">
        <v>35</v>
      </c>
      <c r="H6750" s="2" t="s">
        <v>20</v>
      </c>
      <c r="I6750" s="2" t="s">
        <v>13403</v>
      </c>
      <c r="J6750" s="3" t="str">
        <f>HYPERLINK("https://www.boe.es/gazeta/dias/1822/04/10/pdfs/GMD-1822-102.pdf#page=2","Abrir facsímil")</f>
        <v>Abrir facsímil</v>
      </c>
      <c r="K6750" s="3" t="s">
        <v>22</v>
      </c>
    </row>
    <row r="6751" spans="1:11" ht="42" customHeight="1">
      <c r="A6751" s="2" t="s">
        <v>13378</v>
      </c>
      <c r="B6751" s="2" t="s">
        <v>13378</v>
      </c>
      <c r="C6751" s="2" t="s">
        <v>50</v>
      </c>
      <c r="D6751" s="2" t="s">
        <v>51</v>
      </c>
      <c r="E6751" s="5">
        <v>-28388</v>
      </c>
      <c r="F6751" s="3" t="s">
        <v>1268</v>
      </c>
      <c r="G6751" s="3" t="s">
        <v>57</v>
      </c>
      <c r="H6751" s="2" t="s">
        <v>20</v>
      </c>
      <c r="I6751" s="2" t="s">
        <v>13404</v>
      </c>
      <c r="J6751" s="3" t="str">
        <f>HYPERLINK("https://www.boe.es/gazeta/dias/1822/04/10/pdfs/GMD-1822-102.pdf#page=4","Abrir facsímil")</f>
        <v>Abrir facsímil</v>
      </c>
      <c r="K6751" s="3" t="s">
        <v>22</v>
      </c>
    </row>
    <row r="6752" spans="1:11" ht="42" customHeight="1">
      <c r="A6752" s="2" t="s">
        <v>13378</v>
      </c>
      <c r="B6752" s="2" t="s">
        <v>13378</v>
      </c>
      <c r="C6752" s="2" t="s">
        <v>42</v>
      </c>
      <c r="D6752" s="2" t="s">
        <v>17</v>
      </c>
      <c r="E6752" s="5">
        <v>-28387</v>
      </c>
      <c r="F6752" s="3" t="s">
        <v>2874</v>
      </c>
      <c r="G6752" s="3" t="s">
        <v>19</v>
      </c>
      <c r="H6752" s="2" t="s">
        <v>20</v>
      </c>
      <c r="I6752" s="2" t="s">
        <v>13405</v>
      </c>
      <c r="J6752" s="3" t="str">
        <f>HYPERLINK("https://www.boe.es/gazeta/dias/1822/04/11/pdfs/GMD-1822-103.pdf#page=5","Abrir facsímil")</f>
        <v>Abrir facsímil</v>
      </c>
      <c r="K6752" s="3" t="s">
        <v>22</v>
      </c>
    </row>
    <row r="6753" spans="1:11" ht="42" customHeight="1">
      <c r="A6753" s="2" t="s">
        <v>13378</v>
      </c>
      <c r="B6753" s="2" t="s">
        <v>13378</v>
      </c>
      <c r="C6753" s="2" t="s">
        <v>71</v>
      </c>
      <c r="D6753" s="2" t="s">
        <v>17</v>
      </c>
      <c r="E6753" s="5">
        <v>-28384</v>
      </c>
      <c r="F6753" s="3" t="s">
        <v>258</v>
      </c>
      <c r="G6753" s="3" t="s">
        <v>57</v>
      </c>
      <c r="H6753" s="2" t="s">
        <v>20</v>
      </c>
      <c r="I6753" s="2" t="s">
        <v>13406</v>
      </c>
      <c r="J6753" s="3" t="str">
        <f>HYPERLINK("https://www.boe.es/gazeta/dias/1822/04/14/pdfs/GMD-1822-106.pdf#page=4","Abrir facsímil")</f>
        <v>Abrir facsímil</v>
      </c>
      <c r="K6753" s="3" t="s">
        <v>22</v>
      </c>
    </row>
    <row r="6754" spans="1:11" ht="42" customHeight="1">
      <c r="A6754" s="2" t="s">
        <v>13378</v>
      </c>
      <c r="B6754" s="2" t="s">
        <v>13378</v>
      </c>
      <c r="C6754" s="2" t="s">
        <v>71</v>
      </c>
      <c r="D6754" s="2" t="s">
        <v>17</v>
      </c>
      <c r="E6754" s="5">
        <v>-28384</v>
      </c>
      <c r="F6754" s="3" t="s">
        <v>258</v>
      </c>
      <c r="G6754" s="3" t="s">
        <v>19</v>
      </c>
      <c r="H6754" s="2" t="s">
        <v>20</v>
      </c>
      <c r="I6754" s="2" t="s">
        <v>13407</v>
      </c>
      <c r="J6754" s="3" t="str">
        <f>HYPERLINK("https://www.boe.es/gazeta/dias/1822/04/14/pdfs/GMD-1822-106.pdf#page=5","Abrir facsímil")</f>
        <v>Abrir facsímil</v>
      </c>
      <c r="K6754" s="3" t="s">
        <v>22</v>
      </c>
    </row>
    <row r="6755" spans="1:11" ht="42" customHeight="1">
      <c r="A6755" s="2" t="s">
        <v>13378</v>
      </c>
      <c r="B6755" s="2" t="s">
        <v>13378</v>
      </c>
      <c r="C6755" s="2" t="s">
        <v>71</v>
      </c>
      <c r="D6755" s="2" t="s">
        <v>17</v>
      </c>
      <c r="E6755" s="5">
        <v>-28383</v>
      </c>
      <c r="F6755" s="3" t="s">
        <v>488</v>
      </c>
      <c r="G6755" s="3" t="s">
        <v>57</v>
      </c>
      <c r="H6755" s="2" t="s">
        <v>20</v>
      </c>
      <c r="I6755" s="2" t="s">
        <v>13408</v>
      </c>
      <c r="J6755" s="3" t="str">
        <f>HYPERLINK("https://www.boe.es/gazeta/dias/1822/04/15/pdfs/GMD-1822-107.pdf#page=4","Abrir facsímil")</f>
        <v>Abrir facsímil</v>
      </c>
      <c r="K6755" s="3" t="s">
        <v>22</v>
      </c>
    </row>
    <row r="6756" spans="1:11" ht="42" customHeight="1">
      <c r="A6756" s="2" t="s">
        <v>13378</v>
      </c>
      <c r="B6756" s="2" t="s">
        <v>13378</v>
      </c>
      <c r="C6756" s="2" t="s">
        <v>42</v>
      </c>
      <c r="D6756" s="2" t="s">
        <v>17</v>
      </c>
      <c r="E6756" s="5">
        <v>-28382</v>
      </c>
      <c r="F6756" s="3" t="s">
        <v>973</v>
      </c>
      <c r="G6756" s="3" t="s">
        <v>57</v>
      </c>
      <c r="H6756" s="2" t="s">
        <v>20</v>
      </c>
      <c r="I6756" s="2" t="s">
        <v>13409</v>
      </c>
      <c r="J6756" s="3" t="str">
        <f>HYPERLINK("https://www.boe.es/gazeta/dias/1822/04/16/pdfs/GMD-1822-108.pdf#page=4","Abrir facsímil")</f>
        <v>Abrir facsímil</v>
      </c>
      <c r="K6756" s="3" t="s">
        <v>22</v>
      </c>
    </row>
    <row r="6757" spans="1:11" ht="42" customHeight="1">
      <c r="A6757" s="2" t="s">
        <v>13378</v>
      </c>
      <c r="B6757" s="2" t="s">
        <v>13378</v>
      </c>
      <c r="C6757" s="2" t="s">
        <v>16</v>
      </c>
      <c r="D6757" s="2" t="s">
        <v>17</v>
      </c>
      <c r="E6757" s="5">
        <v>-28368</v>
      </c>
      <c r="F6757" s="3" t="s">
        <v>126</v>
      </c>
      <c r="G6757" s="3" t="s">
        <v>44</v>
      </c>
      <c r="H6757" s="2" t="s">
        <v>20</v>
      </c>
      <c r="I6757" s="2" t="s">
        <v>13410</v>
      </c>
      <c r="J6757" s="3" t="str">
        <f>HYPERLINK("https://www.boe.es/gazeta/dias/1822/04/30/pdfs/GMD-1822-122.pdf#page=1","Abrir facsímil")</f>
        <v>Abrir facsímil</v>
      </c>
      <c r="K6757" s="3" t="s">
        <v>22</v>
      </c>
    </row>
    <row r="6758" spans="1:11" ht="42" customHeight="1">
      <c r="A6758" s="2" t="s">
        <v>13378</v>
      </c>
      <c r="B6758" s="2" t="s">
        <v>13378</v>
      </c>
      <c r="C6758" s="2" t="s">
        <v>28</v>
      </c>
      <c r="D6758" s="2" t="s">
        <v>29</v>
      </c>
      <c r="E6758" s="5">
        <v>-28368</v>
      </c>
      <c r="F6758" s="3" t="s">
        <v>126</v>
      </c>
      <c r="G6758" s="3" t="s">
        <v>35</v>
      </c>
      <c r="H6758" s="2" t="s">
        <v>20</v>
      </c>
      <c r="I6758" s="2" t="s">
        <v>13411</v>
      </c>
      <c r="J6758" s="3" t="str">
        <f>HYPERLINK("https://www.boe.es/gazeta/dias/1822/04/30/pdfs/GMD-1822-122.pdf#page=2","Abrir facsímil")</f>
        <v>Abrir facsímil</v>
      </c>
      <c r="K6758" s="3" t="s">
        <v>22</v>
      </c>
    </row>
    <row r="6759" spans="1:11" ht="42" customHeight="1">
      <c r="A6759" s="2" t="s">
        <v>13378</v>
      </c>
      <c r="B6759" s="2" t="s">
        <v>13378</v>
      </c>
      <c r="C6759" s="2" t="s">
        <v>28</v>
      </c>
      <c r="D6759" s="2" t="s">
        <v>29</v>
      </c>
      <c r="E6759" s="5">
        <v>-28367</v>
      </c>
      <c r="F6759" s="3" t="s">
        <v>280</v>
      </c>
      <c r="G6759" s="3" t="s">
        <v>35</v>
      </c>
      <c r="H6759" s="2" t="s">
        <v>20</v>
      </c>
      <c r="I6759" s="2" t="s">
        <v>13412</v>
      </c>
      <c r="J6759" s="3" t="str">
        <f>HYPERLINK("https://www.boe.es/gazeta/dias/1822/05/01/pdfs/GMD-1822-123.pdf#page=2","Abrir facsímil")</f>
        <v>Abrir facsímil</v>
      </c>
      <c r="K6759" s="3" t="s">
        <v>22</v>
      </c>
    </row>
    <row r="6760" spans="1:11" ht="42" customHeight="1">
      <c r="A6760" s="2" t="s">
        <v>13378</v>
      </c>
      <c r="B6760" s="2" t="s">
        <v>13378</v>
      </c>
      <c r="C6760" s="2" t="s">
        <v>28</v>
      </c>
      <c r="D6760" s="2" t="s">
        <v>29</v>
      </c>
      <c r="E6760" s="5">
        <v>-28363</v>
      </c>
      <c r="F6760" s="3" t="s">
        <v>72</v>
      </c>
      <c r="G6760" s="3" t="s">
        <v>44</v>
      </c>
      <c r="H6760" s="2" t="s">
        <v>20</v>
      </c>
      <c r="I6760" s="2" t="s">
        <v>13413</v>
      </c>
      <c r="J6760" s="3" t="str">
        <f>HYPERLINK("https://www.boe.es/gazeta/dias/1822/05/05/pdfs/GMD-1822-127.pdf#page=1","Abrir facsímil")</f>
        <v>Abrir facsímil</v>
      </c>
      <c r="K6760" s="3" t="s">
        <v>22</v>
      </c>
    </row>
    <row r="6761" spans="1:11" ht="42" customHeight="1">
      <c r="A6761" s="2" t="s">
        <v>13378</v>
      </c>
      <c r="B6761" s="2" t="s">
        <v>13378</v>
      </c>
      <c r="C6761" s="2" t="s">
        <v>28</v>
      </c>
      <c r="D6761" s="2" t="s">
        <v>29</v>
      </c>
      <c r="E6761" s="5">
        <v>-28363</v>
      </c>
      <c r="F6761" s="3" t="s">
        <v>72</v>
      </c>
      <c r="G6761" s="3" t="s">
        <v>19</v>
      </c>
      <c r="H6761" s="2" t="s">
        <v>20</v>
      </c>
      <c r="I6761" s="2" t="s">
        <v>13414</v>
      </c>
      <c r="J6761" s="3" t="str">
        <f>HYPERLINK("https://www.boe.es/gazeta/dias/1822/05/05/pdfs/GMD-1822-127.pdf#page=5","Abrir facsímil")</f>
        <v>Abrir facsímil</v>
      </c>
      <c r="K6761" s="3" t="s">
        <v>22</v>
      </c>
    </row>
    <row r="6762" spans="1:11" ht="42" customHeight="1">
      <c r="A6762" s="2" t="s">
        <v>13378</v>
      </c>
      <c r="B6762" s="2" t="s">
        <v>13378</v>
      </c>
      <c r="C6762" s="2" t="s">
        <v>28</v>
      </c>
      <c r="D6762" s="2" t="s">
        <v>29</v>
      </c>
      <c r="E6762" s="5">
        <v>-28363</v>
      </c>
      <c r="F6762" s="3" t="s">
        <v>72</v>
      </c>
      <c r="G6762" s="3" t="s">
        <v>63</v>
      </c>
      <c r="H6762" s="2" t="s">
        <v>20</v>
      </c>
      <c r="I6762" s="2" t="s">
        <v>13415</v>
      </c>
      <c r="J6762" s="3" t="str">
        <f>HYPERLINK("https://www.boe.es/gazeta/dias/1822/05/05/pdfs/GMD-1822-127.pdf#page=6","Abrir facsímil")</f>
        <v>Abrir facsímil</v>
      </c>
      <c r="K6762" s="3" t="s">
        <v>22</v>
      </c>
    </row>
    <row r="6763" spans="1:11" ht="42" customHeight="1">
      <c r="A6763" s="2" t="s">
        <v>13378</v>
      </c>
      <c r="B6763" s="2" t="s">
        <v>13378</v>
      </c>
      <c r="C6763" s="2" t="s">
        <v>28</v>
      </c>
      <c r="D6763" s="2" t="s">
        <v>29</v>
      </c>
      <c r="E6763" s="5">
        <v>-28359</v>
      </c>
      <c r="F6763" s="3" t="s">
        <v>209</v>
      </c>
      <c r="G6763" s="3" t="s">
        <v>35</v>
      </c>
      <c r="H6763" s="2" t="s">
        <v>20</v>
      </c>
      <c r="I6763" s="2" t="s">
        <v>13416</v>
      </c>
      <c r="J6763" s="3" t="str">
        <f>HYPERLINK("https://www.boe.es/gazeta/dias/1822/05/09/pdfs/GMD-1822-131.pdf#page=2","Abrir facsímil")</f>
        <v>Abrir facsímil</v>
      </c>
      <c r="K6763" s="3" t="s">
        <v>22</v>
      </c>
    </row>
    <row r="6764" spans="1:11" ht="42" customHeight="1">
      <c r="A6764" s="2" t="s">
        <v>13378</v>
      </c>
      <c r="B6764" s="2" t="s">
        <v>13378</v>
      </c>
      <c r="C6764" s="2" t="s">
        <v>50</v>
      </c>
      <c r="D6764" s="2" t="s">
        <v>51</v>
      </c>
      <c r="E6764" s="5">
        <v>-28359</v>
      </c>
      <c r="F6764" s="3" t="s">
        <v>209</v>
      </c>
      <c r="G6764" s="3" t="s">
        <v>31</v>
      </c>
      <c r="H6764" s="2" t="s">
        <v>20</v>
      </c>
      <c r="I6764" s="2" t="s">
        <v>13417</v>
      </c>
      <c r="J6764" s="3" t="str">
        <f>HYPERLINK("https://www.boe.es/gazeta/dias/1822/05/09/pdfs/GMD-1822-131.pdf#page=3","Abrir facsímil")</f>
        <v>Abrir facsímil</v>
      </c>
      <c r="K6764" s="3" t="s">
        <v>22</v>
      </c>
    </row>
    <row r="6765" spans="1:11" ht="42" customHeight="1">
      <c r="A6765" s="2" t="s">
        <v>13378</v>
      </c>
      <c r="B6765" s="2" t="s">
        <v>13378</v>
      </c>
      <c r="C6765" s="2" t="s">
        <v>24</v>
      </c>
      <c r="D6765" s="2" t="s">
        <v>17</v>
      </c>
      <c r="E6765" s="5">
        <v>-28359</v>
      </c>
      <c r="F6765" s="3" t="s">
        <v>209</v>
      </c>
      <c r="G6765" s="3" t="s">
        <v>57</v>
      </c>
      <c r="H6765" s="2" t="s">
        <v>20</v>
      </c>
      <c r="I6765" s="2" t="s">
        <v>13418</v>
      </c>
      <c r="J6765" s="3" t="str">
        <f>HYPERLINK("https://www.boe.es/gazeta/dias/1822/05/09/pdfs/GMD-1822-131.pdf#page=4","Abrir facsímil")</f>
        <v>Abrir facsímil</v>
      </c>
      <c r="K6765" s="3" t="s">
        <v>22</v>
      </c>
    </row>
    <row r="6766" spans="1:11" ht="42" customHeight="1">
      <c r="A6766" s="2" t="s">
        <v>13378</v>
      </c>
      <c r="B6766" s="2" t="s">
        <v>13378</v>
      </c>
      <c r="C6766" s="2" t="s">
        <v>71</v>
      </c>
      <c r="D6766" s="2" t="s">
        <v>17</v>
      </c>
      <c r="E6766" s="5">
        <v>-28354</v>
      </c>
      <c r="F6766" s="3" t="s">
        <v>226</v>
      </c>
      <c r="G6766" s="3" t="s">
        <v>57</v>
      </c>
      <c r="H6766" s="2" t="s">
        <v>20</v>
      </c>
      <c r="I6766" s="2" t="s">
        <v>13419</v>
      </c>
      <c r="J6766" s="3" t="str">
        <f>HYPERLINK("https://www.boe.es/gazeta/dias/1822/05/14/pdfs/GMD-1822-136.pdf#page=4","Abrir facsímil")</f>
        <v>Abrir facsímil</v>
      </c>
      <c r="K6766" s="3" t="s">
        <v>22</v>
      </c>
    </row>
    <row r="6767" spans="1:11" ht="42" customHeight="1">
      <c r="A6767" s="2" t="s">
        <v>13378</v>
      </c>
      <c r="B6767" s="2" t="s">
        <v>13378</v>
      </c>
      <c r="C6767" s="2" t="s">
        <v>42</v>
      </c>
      <c r="D6767" s="2" t="s">
        <v>17</v>
      </c>
      <c r="E6767" s="5">
        <v>-28352</v>
      </c>
      <c r="F6767" s="3" t="s">
        <v>1575</v>
      </c>
      <c r="G6767" s="3" t="s">
        <v>44</v>
      </c>
      <c r="H6767" s="2" t="s">
        <v>20</v>
      </c>
      <c r="I6767" s="2" t="s">
        <v>13420</v>
      </c>
      <c r="J6767" s="3" t="str">
        <f>HYPERLINK("https://www.boe.es/gazeta/dias/1822/05/16/pdfs/GMD-1822-138.pdf#page=1","Abrir facsímil")</f>
        <v>Abrir facsímil</v>
      </c>
      <c r="K6767" s="3" t="s">
        <v>22</v>
      </c>
    </row>
    <row r="6768" spans="1:11" ht="42" customHeight="1">
      <c r="A6768" s="2" t="s">
        <v>13378</v>
      </c>
      <c r="B6768" s="2" t="s">
        <v>13378</v>
      </c>
      <c r="C6768" s="2" t="s">
        <v>50</v>
      </c>
      <c r="D6768" s="2" t="s">
        <v>51</v>
      </c>
      <c r="E6768" s="5">
        <v>-28352</v>
      </c>
      <c r="F6768" s="3" t="s">
        <v>1575</v>
      </c>
      <c r="G6768" s="3" t="s">
        <v>35</v>
      </c>
      <c r="H6768" s="2" t="s">
        <v>20</v>
      </c>
      <c r="I6768" s="2" t="s">
        <v>13421</v>
      </c>
      <c r="J6768" s="3" t="str">
        <f>HYPERLINK("https://www.boe.es/gazeta/dias/1822/05/16/pdfs/GMD-1822-138.pdf#page=2","Abrir facsímil")</f>
        <v>Abrir facsímil</v>
      </c>
      <c r="K6768" s="3" t="s">
        <v>22</v>
      </c>
    </row>
    <row r="6769" spans="1:11" ht="42" customHeight="1">
      <c r="A6769" s="2" t="s">
        <v>13378</v>
      </c>
      <c r="B6769" s="2" t="s">
        <v>13378</v>
      </c>
      <c r="C6769" s="2" t="s">
        <v>71</v>
      </c>
      <c r="D6769" s="2" t="s">
        <v>17</v>
      </c>
      <c r="E6769" s="5">
        <v>-28352</v>
      </c>
      <c r="F6769" s="3" t="s">
        <v>1575</v>
      </c>
      <c r="G6769" s="3" t="s">
        <v>31</v>
      </c>
      <c r="H6769" s="2" t="s">
        <v>20</v>
      </c>
      <c r="I6769" s="2" t="s">
        <v>13422</v>
      </c>
      <c r="J6769" s="3" t="str">
        <f>HYPERLINK("https://www.boe.es/gazeta/dias/1822/05/16/pdfs/GMD-1822-138.pdf#page=3","Abrir facsímil")</f>
        <v>Abrir facsímil</v>
      </c>
      <c r="K6769" s="3" t="s">
        <v>22</v>
      </c>
    </row>
    <row r="6770" spans="1:11" ht="42" customHeight="1">
      <c r="A6770" s="2" t="s">
        <v>13378</v>
      </c>
      <c r="B6770" s="2" t="s">
        <v>13378</v>
      </c>
      <c r="C6770" s="2" t="s">
        <v>24</v>
      </c>
      <c r="D6770" s="2" t="s">
        <v>17</v>
      </c>
      <c r="E6770" s="5">
        <v>-28352</v>
      </c>
      <c r="F6770" s="3" t="s">
        <v>1575</v>
      </c>
      <c r="G6770" s="3" t="s">
        <v>19</v>
      </c>
      <c r="H6770" s="2" t="s">
        <v>20</v>
      </c>
      <c r="I6770" s="2" t="s">
        <v>13423</v>
      </c>
      <c r="J6770" s="3" t="str">
        <f>HYPERLINK("https://www.boe.es/gazeta/dias/1822/05/16/pdfs/GMD-1822-138.pdf#page=5","Abrir facsímil")</f>
        <v>Abrir facsímil</v>
      </c>
      <c r="K6770" s="3" t="s">
        <v>22</v>
      </c>
    </row>
    <row r="6771" spans="1:11" ht="42" customHeight="1">
      <c r="A6771" s="2" t="s">
        <v>13378</v>
      </c>
      <c r="B6771" s="2" t="s">
        <v>13378</v>
      </c>
      <c r="C6771" s="2" t="s">
        <v>42</v>
      </c>
      <c r="D6771" s="2" t="s">
        <v>17</v>
      </c>
      <c r="E6771" s="5">
        <v>-28351</v>
      </c>
      <c r="F6771" s="3" t="s">
        <v>282</v>
      </c>
      <c r="G6771" s="3" t="s">
        <v>35</v>
      </c>
      <c r="H6771" s="2" t="s">
        <v>20</v>
      </c>
      <c r="I6771" s="2" t="s">
        <v>13424</v>
      </c>
      <c r="J6771" s="3" t="str">
        <f>HYPERLINK("https://www.boe.es/gazeta/dias/1822/05/17/pdfs/GMD-1822-139.pdf#page=2","Abrir facsímil")</f>
        <v>Abrir facsímil</v>
      </c>
      <c r="K6771" s="3" t="s">
        <v>22</v>
      </c>
    </row>
    <row r="6772" spans="1:11" ht="42" customHeight="1">
      <c r="A6772" s="2" t="s">
        <v>13378</v>
      </c>
      <c r="B6772" s="2" t="s">
        <v>13378</v>
      </c>
      <c r="C6772" s="2" t="s">
        <v>50</v>
      </c>
      <c r="D6772" s="2" t="s">
        <v>51</v>
      </c>
      <c r="E6772" s="5">
        <v>-28350</v>
      </c>
      <c r="F6772" s="3" t="s">
        <v>352</v>
      </c>
      <c r="G6772" s="3" t="s">
        <v>35</v>
      </c>
      <c r="H6772" s="2" t="s">
        <v>20</v>
      </c>
      <c r="I6772" s="2" t="s">
        <v>13425</v>
      </c>
      <c r="J6772" s="3" t="str">
        <f>HYPERLINK("https://www.boe.es/gazeta/dias/1822/05/18/pdfs/GMD-1822-140.pdf#page=2","Abrir facsímil")</f>
        <v>Abrir facsímil</v>
      </c>
      <c r="K6772" s="3" t="s">
        <v>22</v>
      </c>
    </row>
    <row r="6773" spans="1:11" ht="42" customHeight="1">
      <c r="A6773" s="2" t="s">
        <v>13378</v>
      </c>
      <c r="B6773" s="2" t="s">
        <v>13378</v>
      </c>
      <c r="C6773" s="2" t="s">
        <v>42</v>
      </c>
      <c r="D6773" s="2" t="s">
        <v>17</v>
      </c>
      <c r="E6773" s="5">
        <v>-28350</v>
      </c>
      <c r="F6773" s="3" t="s">
        <v>352</v>
      </c>
      <c r="G6773" s="3" t="s">
        <v>31</v>
      </c>
      <c r="H6773" s="2" t="s">
        <v>20</v>
      </c>
      <c r="I6773" s="2" t="s">
        <v>13426</v>
      </c>
      <c r="J6773" s="3" t="str">
        <f>HYPERLINK("https://www.boe.es/gazeta/dias/1822/05/18/pdfs/GMD-1822-140.pdf#page=3","Abrir facsímil")</f>
        <v>Abrir facsímil</v>
      </c>
      <c r="K6773" s="3" t="s">
        <v>22</v>
      </c>
    </row>
    <row r="6774" spans="1:11" ht="42" customHeight="1">
      <c r="A6774" s="2" t="s">
        <v>13378</v>
      </c>
      <c r="B6774" s="2" t="s">
        <v>13378</v>
      </c>
      <c r="C6774" s="2" t="s">
        <v>50</v>
      </c>
      <c r="D6774" s="2" t="s">
        <v>51</v>
      </c>
      <c r="E6774" s="5">
        <v>-28350</v>
      </c>
      <c r="F6774" s="3" t="s">
        <v>352</v>
      </c>
      <c r="G6774" s="3" t="s">
        <v>57</v>
      </c>
      <c r="H6774" s="2" t="s">
        <v>20</v>
      </c>
      <c r="I6774" s="2" t="s">
        <v>13427</v>
      </c>
      <c r="J6774" s="3" t="str">
        <f>HYPERLINK("https://www.boe.es/gazeta/dias/1822/05/18/pdfs/GMD-1822-140.pdf#page=4","Abrir facsímil")</f>
        <v>Abrir facsímil</v>
      </c>
      <c r="K6774" s="3" t="s">
        <v>22</v>
      </c>
    </row>
    <row r="6775" spans="1:11" ht="42" customHeight="1">
      <c r="A6775" s="2" t="s">
        <v>13378</v>
      </c>
      <c r="B6775" s="2" t="s">
        <v>13378</v>
      </c>
      <c r="C6775" s="2" t="s">
        <v>71</v>
      </c>
      <c r="D6775" s="2" t="s">
        <v>17</v>
      </c>
      <c r="E6775" s="5">
        <v>-28345</v>
      </c>
      <c r="F6775" s="3" t="s">
        <v>294</v>
      </c>
      <c r="G6775" s="3" t="s">
        <v>31</v>
      </c>
      <c r="H6775" s="2" t="s">
        <v>20</v>
      </c>
      <c r="I6775" s="2" t="s">
        <v>13428</v>
      </c>
      <c r="J6775" s="3" t="str">
        <f>HYPERLINK("https://www.boe.es/gazeta/dias/1822/05/23/pdfs/GMD-1822-147.pdf#page=3","Abrir facsímil")</f>
        <v>Abrir facsímil</v>
      </c>
      <c r="K6775" s="3" t="s">
        <v>22</v>
      </c>
    </row>
    <row r="6776" spans="1:11" ht="42" customHeight="1">
      <c r="A6776" s="2" t="s">
        <v>13378</v>
      </c>
      <c r="B6776" s="2" t="s">
        <v>13378</v>
      </c>
      <c r="C6776" s="2" t="s">
        <v>42</v>
      </c>
      <c r="D6776" s="2" t="s">
        <v>17</v>
      </c>
      <c r="E6776" s="5">
        <v>-28344</v>
      </c>
      <c r="F6776" s="3" t="s">
        <v>524</v>
      </c>
      <c r="G6776" s="3" t="s">
        <v>1040</v>
      </c>
      <c r="H6776" s="2" t="s">
        <v>20</v>
      </c>
      <c r="I6776" s="2" t="s">
        <v>13429</v>
      </c>
      <c r="J6776" s="3" t="str">
        <f>HYPERLINK("https://www.boe.es/gazeta/dias/1822/05/24/pdfs/GMD-1822-148.pdf#page=2","Abrir facsímil")</f>
        <v>Abrir facsímil</v>
      </c>
      <c r="K6776" s="3" t="s">
        <v>22</v>
      </c>
    </row>
    <row r="6777" spans="1:11" ht="42" customHeight="1">
      <c r="A6777" s="2" t="s">
        <v>13378</v>
      </c>
      <c r="B6777" s="2" t="s">
        <v>13378</v>
      </c>
      <c r="C6777" s="2" t="s">
        <v>42</v>
      </c>
      <c r="D6777" s="2" t="s">
        <v>17</v>
      </c>
      <c r="E6777" s="5">
        <v>-28344</v>
      </c>
      <c r="F6777" s="3" t="s">
        <v>524</v>
      </c>
      <c r="G6777" s="3" t="s">
        <v>44</v>
      </c>
      <c r="H6777" s="2" t="s">
        <v>20</v>
      </c>
      <c r="I6777" s="2" t="s">
        <v>13430</v>
      </c>
      <c r="J6777" s="3" t="str">
        <f>HYPERLINK("https://www.boe.es/gazeta/dias/1822/05/24/pdfs/GMD-1822-148.pdf#page=1","Abrir facsímil")</f>
        <v>Abrir facsímil</v>
      </c>
      <c r="K6777" s="3" t="s">
        <v>22</v>
      </c>
    </row>
    <row r="6778" spans="1:11" ht="42" customHeight="1">
      <c r="A6778" s="2" t="s">
        <v>13378</v>
      </c>
      <c r="B6778" s="2" t="s">
        <v>13378</v>
      </c>
      <c r="C6778" s="2" t="s">
        <v>16</v>
      </c>
      <c r="D6778" s="2" t="s">
        <v>17</v>
      </c>
      <c r="E6778" s="5">
        <v>-28344</v>
      </c>
      <c r="F6778" s="3" t="s">
        <v>524</v>
      </c>
      <c r="G6778" s="3" t="s">
        <v>31</v>
      </c>
      <c r="H6778" s="2" t="s">
        <v>20</v>
      </c>
      <c r="I6778" s="2" t="s">
        <v>13431</v>
      </c>
      <c r="J6778" s="3" t="str">
        <f>HYPERLINK("https://www.boe.es/gazeta/dias/1822/05/24/pdfs/GMD-1822-148.pdf#page=3","Abrir facsímil")</f>
        <v>Abrir facsímil</v>
      </c>
      <c r="K6778" s="3" t="s">
        <v>22</v>
      </c>
    </row>
    <row r="6779" spans="1:11" ht="42" customHeight="1">
      <c r="A6779" s="2" t="s">
        <v>13378</v>
      </c>
      <c r="B6779" s="2" t="s">
        <v>13378</v>
      </c>
      <c r="C6779" s="2" t="s">
        <v>50</v>
      </c>
      <c r="D6779" s="2" t="s">
        <v>51</v>
      </c>
      <c r="E6779" s="5">
        <v>-28344</v>
      </c>
      <c r="F6779" s="3" t="s">
        <v>524</v>
      </c>
      <c r="G6779" s="3" t="s">
        <v>19</v>
      </c>
      <c r="H6779" s="2" t="s">
        <v>20</v>
      </c>
      <c r="I6779" s="2" t="s">
        <v>13432</v>
      </c>
      <c r="J6779" s="3" t="str">
        <f>HYPERLINK("https://www.boe.es/gazeta/dias/1822/05/24/pdfs/GMD-1822-148.pdf#page=5","Abrir facsímil")</f>
        <v>Abrir facsímil</v>
      </c>
      <c r="K6779" s="3" t="s">
        <v>22</v>
      </c>
    </row>
    <row r="6780" spans="1:11" ht="42" customHeight="1">
      <c r="A6780" s="2" t="s">
        <v>13378</v>
      </c>
      <c r="B6780" s="2" t="s">
        <v>13378</v>
      </c>
      <c r="C6780" s="2" t="s">
        <v>42</v>
      </c>
      <c r="D6780" s="2" t="s">
        <v>17</v>
      </c>
      <c r="E6780" s="5">
        <v>-28341</v>
      </c>
      <c r="F6780" s="3" t="s">
        <v>284</v>
      </c>
      <c r="G6780" s="3" t="s">
        <v>35</v>
      </c>
      <c r="H6780" s="2" t="s">
        <v>20</v>
      </c>
      <c r="I6780" s="2" t="s">
        <v>13433</v>
      </c>
      <c r="J6780" s="3" t="str">
        <f>HYPERLINK("https://www.boe.es/gazeta/dias/1822/05/27/pdfs/GMD-1822-152.pdf#page=2","Abrir facsímil")</f>
        <v>Abrir facsímil</v>
      </c>
      <c r="K6780" s="3" t="s">
        <v>22</v>
      </c>
    </row>
    <row r="6781" spans="1:11" ht="42" customHeight="1">
      <c r="A6781" s="2" t="s">
        <v>13378</v>
      </c>
      <c r="B6781" s="2" t="s">
        <v>13378</v>
      </c>
      <c r="C6781" s="2" t="s">
        <v>16</v>
      </c>
      <c r="D6781" s="2" t="s">
        <v>17</v>
      </c>
      <c r="E6781" s="5">
        <v>-28341</v>
      </c>
      <c r="F6781" s="3" t="s">
        <v>284</v>
      </c>
      <c r="G6781" s="3" t="s">
        <v>31</v>
      </c>
      <c r="H6781" s="2" t="s">
        <v>20</v>
      </c>
      <c r="I6781" s="2" t="s">
        <v>13434</v>
      </c>
      <c r="J6781" s="3" t="str">
        <f>HYPERLINK("https://www.boe.es/gazeta/dias/1822/05/27/pdfs/GMD-1822-152.pdf#page=3","Abrir facsímil")</f>
        <v>Abrir facsímil</v>
      </c>
      <c r="K6781" s="3" t="s">
        <v>22</v>
      </c>
    </row>
    <row r="6782" spans="1:11" ht="42" customHeight="1">
      <c r="A6782" s="2" t="s">
        <v>13378</v>
      </c>
      <c r="B6782" s="2" t="s">
        <v>13378</v>
      </c>
      <c r="C6782" s="2" t="s">
        <v>28</v>
      </c>
      <c r="D6782" s="2" t="s">
        <v>29</v>
      </c>
      <c r="E6782" s="5">
        <v>-28341</v>
      </c>
      <c r="F6782" s="3" t="s">
        <v>284</v>
      </c>
      <c r="G6782" s="3" t="s">
        <v>57</v>
      </c>
      <c r="H6782" s="2" t="s">
        <v>20</v>
      </c>
      <c r="I6782" s="2" t="s">
        <v>13435</v>
      </c>
      <c r="J6782" s="3" t="str">
        <f>HYPERLINK("https://www.boe.es/gazeta/dias/1822/05/27/pdfs/GMD-1822-152.pdf#page=4","Abrir facsímil")</f>
        <v>Abrir facsímil</v>
      </c>
      <c r="K6782" s="3" t="s">
        <v>22</v>
      </c>
    </row>
    <row r="6783" spans="1:11" ht="42" customHeight="1">
      <c r="A6783" s="2" t="s">
        <v>13378</v>
      </c>
      <c r="B6783" s="2" t="s">
        <v>13378</v>
      </c>
      <c r="C6783" s="2" t="s">
        <v>28</v>
      </c>
      <c r="D6783" s="2" t="s">
        <v>29</v>
      </c>
      <c r="E6783" s="5">
        <v>-28338</v>
      </c>
      <c r="F6783" s="3" t="s">
        <v>527</v>
      </c>
      <c r="G6783" s="3" t="s">
        <v>31</v>
      </c>
      <c r="H6783" s="2" t="s">
        <v>20</v>
      </c>
      <c r="I6783" s="2" t="s">
        <v>13436</v>
      </c>
      <c r="J6783" s="3" t="str">
        <f>HYPERLINK("https://www.boe.es/gazeta/dias/1822/05/30/pdfs/GMD-1822-155.pdf#page=3","Abrir facsímil")</f>
        <v>Abrir facsímil</v>
      </c>
      <c r="K6783" s="3" t="s">
        <v>22</v>
      </c>
    </row>
    <row r="6784" spans="1:11" ht="42" customHeight="1">
      <c r="A6784" s="2" t="s">
        <v>13378</v>
      </c>
      <c r="B6784" s="2" t="s">
        <v>13378</v>
      </c>
      <c r="C6784" s="2" t="s">
        <v>71</v>
      </c>
      <c r="D6784" s="2" t="s">
        <v>17</v>
      </c>
      <c r="E6784" s="5">
        <v>-28337</v>
      </c>
      <c r="F6784" s="3" t="s">
        <v>1836</v>
      </c>
      <c r="G6784" s="3" t="s">
        <v>44</v>
      </c>
      <c r="H6784" s="2" t="s">
        <v>20</v>
      </c>
      <c r="I6784" s="2" t="s">
        <v>13437</v>
      </c>
      <c r="J6784" s="3" t="str">
        <f>HYPERLINK("https://www.boe.es/gazeta/dias/1822/05/31/pdfs/GMD-1822-156.pdf#page=1","Abrir facsímil")</f>
        <v>Abrir facsímil</v>
      </c>
      <c r="K6784" s="3" t="s">
        <v>22</v>
      </c>
    </row>
    <row r="6785" spans="1:11" ht="42" customHeight="1">
      <c r="A6785" s="2" t="s">
        <v>13378</v>
      </c>
      <c r="B6785" s="2" t="s">
        <v>13378</v>
      </c>
      <c r="C6785" s="2" t="s">
        <v>1141</v>
      </c>
      <c r="D6785" s="2" t="s">
        <v>29</v>
      </c>
      <c r="E6785" s="5">
        <v>-28337</v>
      </c>
      <c r="F6785" s="3" t="s">
        <v>1836</v>
      </c>
      <c r="G6785" s="3" t="s">
        <v>35</v>
      </c>
      <c r="H6785" s="2" t="s">
        <v>20</v>
      </c>
      <c r="I6785" s="2" t="s">
        <v>13438</v>
      </c>
      <c r="J6785" s="3" t="str">
        <f>HYPERLINK("https://www.boe.es/gazeta/dias/1822/05/31/pdfs/GMD-1822-156.pdf#page=2","Abrir facsímil")</f>
        <v>Abrir facsímil</v>
      </c>
      <c r="K6785" s="3" t="s">
        <v>22</v>
      </c>
    </row>
    <row r="6786" spans="1:11" ht="42" customHeight="1">
      <c r="A6786" s="2" t="s">
        <v>13378</v>
      </c>
      <c r="B6786" s="2" t="s">
        <v>13378</v>
      </c>
      <c r="C6786" s="2" t="s">
        <v>71</v>
      </c>
      <c r="D6786" s="2" t="s">
        <v>17</v>
      </c>
      <c r="E6786" s="5">
        <v>-28337</v>
      </c>
      <c r="F6786" s="3" t="s">
        <v>1836</v>
      </c>
      <c r="G6786" s="3" t="s">
        <v>31</v>
      </c>
      <c r="H6786" s="2" t="s">
        <v>20</v>
      </c>
      <c r="I6786" s="2" t="s">
        <v>13439</v>
      </c>
      <c r="J6786" s="3" t="str">
        <f>HYPERLINK("https://www.boe.es/gazeta/dias/1822/05/31/pdfs/GMD-1822-156.pdf#page=3","Abrir facsímil")</f>
        <v>Abrir facsímil</v>
      </c>
      <c r="K6786" s="3" t="s">
        <v>22</v>
      </c>
    </row>
    <row r="6787" spans="1:11" ht="42" customHeight="1">
      <c r="A6787" s="2" t="s">
        <v>13378</v>
      </c>
      <c r="B6787" s="2" t="s">
        <v>13378</v>
      </c>
      <c r="C6787" s="2" t="s">
        <v>50</v>
      </c>
      <c r="D6787" s="2" t="s">
        <v>51</v>
      </c>
      <c r="E6787" s="5">
        <v>-28337</v>
      </c>
      <c r="F6787" s="3" t="s">
        <v>1836</v>
      </c>
      <c r="G6787" s="3" t="s">
        <v>57</v>
      </c>
      <c r="H6787" s="2" t="s">
        <v>20</v>
      </c>
      <c r="I6787" s="2" t="s">
        <v>13440</v>
      </c>
      <c r="J6787" s="3" t="str">
        <f>HYPERLINK("https://www.boe.es/gazeta/dias/1822/05/31/pdfs/GMD-1822-156.pdf#page=4","Abrir facsímil")</f>
        <v>Abrir facsímil</v>
      </c>
      <c r="K6787" s="3" t="s">
        <v>22</v>
      </c>
    </row>
    <row r="6788" spans="1:11" ht="42" customHeight="1">
      <c r="A6788" s="2" t="s">
        <v>13378</v>
      </c>
      <c r="B6788" s="2" t="s">
        <v>13378</v>
      </c>
      <c r="C6788" s="2" t="s">
        <v>50</v>
      </c>
      <c r="D6788" s="2" t="s">
        <v>51</v>
      </c>
      <c r="E6788" s="5">
        <v>-28334</v>
      </c>
      <c r="F6788" s="3" t="s">
        <v>532</v>
      </c>
      <c r="G6788" s="3" t="s">
        <v>35</v>
      </c>
      <c r="H6788" s="2" t="s">
        <v>20</v>
      </c>
      <c r="I6788" s="2" t="s">
        <v>13441</v>
      </c>
      <c r="J6788" s="3" t="str">
        <f>HYPERLINK("https://www.boe.es/gazeta/dias/1822/06/03/pdfs/GMD-1822-159.pdf#page=2","Abrir facsímil")</f>
        <v>Abrir facsímil</v>
      </c>
      <c r="K6788" s="3" t="s">
        <v>22</v>
      </c>
    </row>
    <row r="6789" spans="1:11" ht="42" customHeight="1">
      <c r="A6789" s="2" t="s">
        <v>13378</v>
      </c>
      <c r="B6789" s="2" t="s">
        <v>13378</v>
      </c>
      <c r="C6789" s="2" t="s">
        <v>50</v>
      </c>
      <c r="D6789" s="2" t="s">
        <v>51</v>
      </c>
      <c r="E6789" s="5">
        <v>-28334</v>
      </c>
      <c r="F6789" s="3" t="s">
        <v>532</v>
      </c>
      <c r="G6789" s="3" t="s">
        <v>31</v>
      </c>
      <c r="H6789" s="2" t="s">
        <v>20</v>
      </c>
      <c r="I6789" s="2" t="s">
        <v>13442</v>
      </c>
      <c r="J6789" s="3" t="str">
        <f>HYPERLINK("https://www.boe.es/gazeta/dias/1822/06/03/pdfs/GMD-1822-159.pdf#page=3","Abrir facsímil")</f>
        <v>Abrir facsímil</v>
      </c>
      <c r="K6789" s="3" t="s">
        <v>22</v>
      </c>
    </row>
    <row r="6790" spans="1:11" ht="42" customHeight="1">
      <c r="A6790" s="2" t="s">
        <v>13378</v>
      </c>
      <c r="B6790" s="2" t="s">
        <v>13378</v>
      </c>
      <c r="C6790" s="2" t="s">
        <v>28</v>
      </c>
      <c r="D6790" s="2" t="s">
        <v>29</v>
      </c>
      <c r="E6790" s="5">
        <v>-28332</v>
      </c>
      <c r="F6790" s="3" t="s">
        <v>535</v>
      </c>
      <c r="G6790" s="3" t="s">
        <v>35</v>
      </c>
      <c r="H6790" s="2" t="s">
        <v>20</v>
      </c>
      <c r="I6790" s="2" t="s">
        <v>13443</v>
      </c>
      <c r="J6790" s="3" t="str">
        <f>HYPERLINK("https://www.boe.es/gazeta/dias/1822/06/05/pdfs/GMD-1822-162.pdf#page=2","Abrir facsímil")</f>
        <v>Abrir facsímil</v>
      </c>
      <c r="K6790" s="3" t="s">
        <v>22</v>
      </c>
    </row>
    <row r="6791" spans="1:11" ht="42" customHeight="1">
      <c r="A6791" s="2" t="s">
        <v>13378</v>
      </c>
      <c r="B6791" s="2" t="s">
        <v>13378</v>
      </c>
      <c r="C6791" s="2" t="s">
        <v>71</v>
      </c>
      <c r="D6791" s="2" t="s">
        <v>17</v>
      </c>
      <c r="E6791" s="5">
        <v>-28329</v>
      </c>
      <c r="F6791" s="3" t="s">
        <v>354</v>
      </c>
      <c r="G6791" s="3" t="s">
        <v>57</v>
      </c>
      <c r="H6791" s="2" t="s">
        <v>20</v>
      </c>
      <c r="I6791" s="2" t="s">
        <v>13444</v>
      </c>
      <c r="J6791" s="3" t="str">
        <f>HYPERLINK("https://www.boe.es/gazeta/dias/1822/06/08/pdfs/GMD-1822-165.pdf#page=4","Abrir facsímil")</f>
        <v>Abrir facsímil</v>
      </c>
      <c r="K6791" s="3" t="s">
        <v>22</v>
      </c>
    </row>
    <row r="6792" spans="1:11" ht="42" customHeight="1">
      <c r="A6792" s="2" t="s">
        <v>13378</v>
      </c>
      <c r="B6792" s="2" t="s">
        <v>13378</v>
      </c>
      <c r="C6792" s="2" t="s">
        <v>16</v>
      </c>
      <c r="D6792" s="2" t="s">
        <v>17</v>
      </c>
      <c r="E6792" s="5">
        <v>-28327</v>
      </c>
      <c r="F6792" s="3" t="s">
        <v>38</v>
      </c>
      <c r="G6792" s="3" t="s">
        <v>57</v>
      </c>
      <c r="H6792" s="2" t="s">
        <v>20</v>
      </c>
      <c r="I6792" s="2" t="s">
        <v>13445</v>
      </c>
      <c r="J6792" s="3" t="str">
        <f>HYPERLINK("https://www.boe.es/gazeta/dias/1822/06/10/pdfs/GMD-1822-167.pdf#page=4","Abrir facsímil")</f>
        <v>Abrir facsímil</v>
      </c>
      <c r="K6792" s="3" t="s">
        <v>22</v>
      </c>
    </row>
    <row r="6793" spans="1:11" ht="42" customHeight="1">
      <c r="A6793" s="2" t="s">
        <v>13378</v>
      </c>
      <c r="B6793" s="2" t="s">
        <v>13378</v>
      </c>
      <c r="C6793" s="2" t="s">
        <v>50</v>
      </c>
      <c r="D6793" s="2" t="s">
        <v>51</v>
      </c>
      <c r="E6793" s="5">
        <v>-28326</v>
      </c>
      <c r="F6793" s="3" t="s">
        <v>543</v>
      </c>
      <c r="G6793" s="3" t="s">
        <v>35</v>
      </c>
      <c r="H6793" s="2" t="s">
        <v>20</v>
      </c>
      <c r="I6793" s="2" t="s">
        <v>13446</v>
      </c>
      <c r="J6793" s="3" t="str">
        <f>HYPERLINK("https://www.boe.es/gazeta/dias/1822/06/11/pdfs/GMD-1822-168.pdf#page=2","Abrir facsímil")</f>
        <v>Abrir facsímil</v>
      </c>
      <c r="K6793" s="3" t="s">
        <v>22</v>
      </c>
    </row>
    <row r="6794" spans="1:11" ht="42" customHeight="1">
      <c r="A6794" s="2" t="s">
        <v>13378</v>
      </c>
      <c r="B6794" s="2" t="s">
        <v>13378</v>
      </c>
      <c r="C6794" s="2" t="s">
        <v>28</v>
      </c>
      <c r="D6794" s="2" t="s">
        <v>29</v>
      </c>
      <c r="E6794" s="5">
        <v>-28324</v>
      </c>
      <c r="F6794" s="3" t="s">
        <v>305</v>
      </c>
      <c r="G6794" s="3" t="s">
        <v>57</v>
      </c>
      <c r="H6794" s="2" t="s">
        <v>20</v>
      </c>
      <c r="I6794" s="2" t="s">
        <v>13447</v>
      </c>
      <c r="J6794" s="3" t="str">
        <f>HYPERLINK("https://www.boe.es/gazeta/dias/1822/06/13/pdfs/GMD-1822-170.pdf#page=4","Abrir facsímil")</f>
        <v>Abrir facsímil</v>
      </c>
      <c r="K6794" s="3" t="s">
        <v>22</v>
      </c>
    </row>
    <row r="6795" spans="1:11" ht="42" customHeight="1">
      <c r="A6795" s="2" t="s">
        <v>13378</v>
      </c>
      <c r="B6795" s="2" t="s">
        <v>13378</v>
      </c>
      <c r="C6795" s="2" t="s">
        <v>28</v>
      </c>
      <c r="D6795" s="2" t="s">
        <v>29</v>
      </c>
      <c r="E6795" s="5">
        <v>-28323</v>
      </c>
      <c r="F6795" s="3" t="s">
        <v>116</v>
      </c>
      <c r="G6795" s="3" t="s">
        <v>31</v>
      </c>
      <c r="H6795" s="2" t="s">
        <v>20</v>
      </c>
      <c r="I6795" s="2" t="s">
        <v>13448</v>
      </c>
      <c r="J6795" s="3" t="str">
        <f>HYPERLINK("https://www.boe.es/gazeta/dias/1822/06/14/pdfs/GMD-1822-171.pdf#page=3","Abrir facsímil")</f>
        <v>Abrir facsímil</v>
      </c>
      <c r="K6795" s="3" t="s">
        <v>22</v>
      </c>
    </row>
    <row r="6796" spans="1:11" ht="42" customHeight="1">
      <c r="A6796" s="2" t="s">
        <v>13378</v>
      </c>
      <c r="B6796" s="2" t="s">
        <v>13378</v>
      </c>
      <c r="C6796" s="2" t="s">
        <v>50</v>
      </c>
      <c r="D6796" s="2" t="s">
        <v>51</v>
      </c>
      <c r="E6796" s="5">
        <v>-28320</v>
      </c>
      <c r="F6796" s="3" t="s">
        <v>700</v>
      </c>
      <c r="G6796" s="3" t="s">
        <v>57</v>
      </c>
      <c r="H6796" s="2" t="s">
        <v>20</v>
      </c>
      <c r="I6796" s="2" t="s">
        <v>13449</v>
      </c>
      <c r="J6796" s="3" t="str">
        <f>HYPERLINK("https://www.boe.es/gazeta/dias/1822/06/17/pdfs/GMD-1822-174.pdf#page=4","Abrir facsímil")</f>
        <v>Abrir facsímil</v>
      </c>
      <c r="K6796" s="3" t="s">
        <v>22</v>
      </c>
    </row>
    <row r="6797" spans="1:11" ht="42" customHeight="1">
      <c r="A6797" s="2" t="s">
        <v>13378</v>
      </c>
      <c r="B6797" s="2" t="s">
        <v>13378</v>
      </c>
      <c r="C6797" s="2" t="s">
        <v>42</v>
      </c>
      <c r="D6797" s="2" t="s">
        <v>17</v>
      </c>
      <c r="E6797" s="5">
        <v>-28318</v>
      </c>
      <c r="F6797" s="3" t="s">
        <v>397</v>
      </c>
      <c r="G6797" s="3" t="s">
        <v>35</v>
      </c>
      <c r="H6797" s="2" t="s">
        <v>20</v>
      </c>
      <c r="I6797" s="2" t="s">
        <v>13450</v>
      </c>
      <c r="J6797" s="3" t="str">
        <f>HYPERLINK("https://www.boe.es/gazeta/dias/1822/06/19/pdfs/GMD-1822-176.pdf#page=2","Abrir facsímil")</f>
        <v>Abrir facsímil</v>
      </c>
      <c r="K6797" s="3" t="s">
        <v>22</v>
      </c>
    </row>
    <row r="6798" spans="1:11" ht="42" customHeight="1">
      <c r="A6798" s="2" t="s">
        <v>13378</v>
      </c>
      <c r="B6798" s="2" t="s">
        <v>13378</v>
      </c>
      <c r="C6798" s="2" t="s">
        <v>28</v>
      </c>
      <c r="D6798" s="2" t="s">
        <v>29</v>
      </c>
      <c r="E6798" s="5">
        <v>-28318</v>
      </c>
      <c r="F6798" s="3" t="s">
        <v>397</v>
      </c>
      <c r="G6798" s="3" t="s">
        <v>31</v>
      </c>
      <c r="H6798" s="2" t="s">
        <v>20</v>
      </c>
      <c r="I6798" s="2" t="s">
        <v>13451</v>
      </c>
      <c r="J6798" s="3" t="str">
        <f>HYPERLINK("https://www.boe.es/gazeta/dias/1822/06/19/pdfs/GMD-1822-176.pdf#page=3","Abrir facsímil")</f>
        <v>Abrir facsímil</v>
      </c>
      <c r="K6798" s="3" t="s">
        <v>22</v>
      </c>
    </row>
    <row r="6799" spans="1:11" ht="42" customHeight="1">
      <c r="A6799" s="2" t="s">
        <v>13378</v>
      </c>
      <c r="B6799" s="2" t="s">
        <v>13378</v>
      </c>
      <c r="C6799" s="2" t="s">
        <v>24</v>
      </c>
      <c r="D6799" s="2" t="s">
        <v>17</v>
      </c>
      <c r="E6799" s="5">
        <v>-28317</v>
      </c>
      <c r="F6799" s="3" t="s">
        <v>546</v>
      </c>
      <c r="G6799" s="3" t="s">
        <v>63</v>
      </c>
      <c r="H6799" s="2" t="s">
        <v>20</v>
      </c>
      <c r="I6799" s="2" t="s">
        <v>13452</v>
      </c>
      <c r="J6799" s="3" t="str">
        <f>HYPERLINK("https://www.boe.es/gazeta/dias/1822/06/20/pdfs/GMD-1822-177.pdf#page=6","Abrir facsímil")</f>
        <v>Abrir facsímil</v>
      </c>
      <c r="K6799" s="3" t="s">
        <v>22</v>
      </c>
    </row>
    <row r="6800" spans="1:11" ht="42" customHeight="1">
      <c r="A6800" s="2" t="s">
        <v>13378</v>
      </c>
      <c r="B6800" s="2" t="s">
        <v>13378</v>
      </c>
      <c r="C6800" s="2" t="s">
        <v>42</v>
      </c>
      <c r="D6800" s="2" t="s">
        <v>17</v>
      </c>
      <c r="E6800" s="5">
        <v>-28314</v>
      </c>
      <c r="F6800" s="3" t="s">
        <v>309</v>
      </c>
      <c r="G6800" s="3" t="s">
        <v>35</v>
      </c>
      <c r="H6800" s="2" t="s">
        <v>20</v>
      </c>
      <c r="I6800" s="2" t="s">
        <v>13453</v>
      </c>
      <c r="J6800" s="3" t="str">
        <f>HYPERLINK("https://www.boe.es/gazeta/dias/1822/06/23/pdfs/GMD-1822-181.pdf#page=2","Abrir facsímil")</f>
        <v>Abrir facsímil</v>
      </c>
      <c r="K6800" s="3" t="s">
        <v>22</v>
      </c>
    </row>
    <row r="6801" spans="1:11" ht="42" customHeight="1">
      <c r="A6801" s="2" t="s">
        <v>13378</v>
      </c>
      <c r="B6801" s="2" t="s">
        <v>13378</v>
      </c>
      <c r="C6801" s="2" t="s">
        <v>16</v>
      </c>
      <c r="D6801" s="2" t="s">
        <v>17</v>
      </c>
      <c r="E6801" s="5">
        <v>-28314</v>
      </c>
      <c r="F6801" s="3" t="s">
        <v>309</v>
      </c>
      <c r="G6801" s="3" t="s">
        <v>19</v>
      </c>
      <c r="H6801" s="2" t="s">
        <v>20</v>
      </c>
      <c r="I6801" s="2" t="s">
        <v>13454</v>
      </c>
      <c r="J6801" s="3" t="str">
        <f>HYPERLINK("https://www.boe.es/gazeta/dias/1822/06/23/pdfs/GMD-1822-181.pdf#page=5","Abrir facsímil")</f>
        <v>Abrir facsímil</v>
      </c>
      <c r="K6801" s="3" t="s">
        <v>22</v>
      </c>
    </row>
    <row r="6802" spans="1:11" ht="42" customHeight="1">
      <c r="A6802" s="2" t="s">
        <v>13378</v>
      </c>
      <c r="B6802" s="2" t="s">
        <v>13378</v>
      </c>
      <c r="C6802" s="2" t="s">
        <v>50</v>
      </c>
      <c r="D6802" s="2" t="s">
        <v>51</v>
      </c>
      <c r="E6802" s="5">
        <v>-28311</v>
      </c>
      <c r="F6802" s="3" t="s">
        <v>736</v>
      </c>
      <c r="G6802" s="3" t="s">
        <v>63</v>
      </c>
      <c r="H6802" s="2" t="s">
        <v>20</v>
      </c>
      <c r="I6802" s="2" t="s">
        <v>13455</v>
      </c>
      <c r="J6802" s="3" t="str">
        <f>HYPERLINK("https://www.boe.es/gazeta/dias/1822/06/26/pdfs/GMD-1822-184.pdf#page=6","Abrir facsímil")</f>
        <v>Abrir facsímil</v>
      </c>
      <c r="K6802" s="3" t="s">
        <v>22</v>
      </c>
    </row>
    <row r="6803" spans="1:11" ht="42" customHeight="1">
      <c r="A6803" s="2" t="s">
        <v>13378</v>
      </c>
      <c r="B6803" s="2" t="s">
        <v>13378</v>
      </c>
      <c r="C6803" s="2" t="s">
        <v>71</v>
      </c>
      <c r="D6803" s="2" t="s">
        <v>17</v>
      </c>
      <c r="E6803" s="5">
        <v>-28309</v>
      </c>
      <c r="F6803" s="3" t="s">
        <v>553</v>
      </c>
      <c r="G6803" s="3" t="s">
        <v>2934</v>
      </c>
      <c r="H6803" s="2" t="s">
        <v>20</v>
      </c>
      <c r="I6803" s="2" t="s">
        <v>13456</v>
      </c>
      <c r="J6803" s="3" t="str">
        <f>HYPERLINK("https://www.boe.es/gazeta/dias/1822/06/28/pdfs/GMD-1822-186.pdf#page=2","Abrir facsímil")</f>
        <v>Abrir facsímil</v>
      </c>
      <c r="K6803" s="3" t="s">
        <v>22</v>
      </c>
    </row>
    <row r="6804" spans="1:11" ht="42" customHeight="1">
      <c r="A6804" s="2" t="s">
        <v>13378</v>
      </c>
      <c r="B6804" s="2" t="s">
        <v>13378</v>
      </c>
      <c r="C6804" s="2" t="s">
        <v>24</v>
      </c>
      <c r="D6804" s="2" t="s">
        <v>17</v>
      </c>
      <c r="E6804" s="5">
        <v>-28309</v>
      </c>
      <c r="F6804" s="3" t="s">
        <v>553</v>
      </c>
      <c r="G6804" s="3" t="s">
        <v>63</v>
      </c>
      <c r="H6804" s="2" t="s">
        <v>20</v>
      </c>
      <c r="I6804" s="2" t="s">
        <v>13457</v>
      </c>
      <c r="J6804" s="3" t="str">
        <f>HYPERLINK("https://www.boe.es/gazeta/dias/1822/06/28/pdfs/GMD-1822-186.pdf#page=6","Abrir facsímil")</f>
        <v>Abrir facsímil</v>
      </c>
      <c r="K6804" s="3" t="s">
        <v>22</v>
      </c>
    </row>
    <row r="6805" spans="1:11" ht="42" customHeight="1">
      <c r="A6805" s="2" t="s">
        <v>13378</v>
      </c>
      <c r="B6805" s="2" t="s">
        <v>13378</v>
      </c>
      <c r="C6805" s="2" t="s">
        <v>50</v>
      </c>
      <c r="D6805" s="2" t="s">
        <v>51</v>
      </c>
      <c r="E6805" s="5">
        <v>-28308</v>
      </c>
      <c r="F6805" s="3" t="s">
        <v>1050</v>
      </c>
      <c r="G6805" s="3" t="s">
        <v>63</v>
      </c>
      <c r="H6805" s="2" t="s">
        <v>20</v>
      </c>
      <c r="I6805" s="2" t="s">
        <v>13458</v>
      </c>
      <c r="J6805" s="3" t="str">
        <f>HYPERLINK("https://www.boe.es/gazeta/dias/1822/06/29/pdfs/GMD-1822-187.pdf#page=6","Abrir facsímil")</f>
        <v>Abrir facsímil</v>
      </c>
      <c r="K6805" s="3" t="s">
        <v>22</v>
      </c>
    </row>
    <row r="6806" spans="1:11" ht="42" customHeight="1">
      <c r="A6806" s="2" t="s">
        <v>13378</v>
      </c>
      <c r="B6806" s="2" t="s">
        <v>13378</v>
      </c>
      <c r="C6806" s="2" t="s">
        <v>71</v>
      </c>
      <c r="D6806" s="2" t="s">
        <v>17</v>
      </c>
      <c r="E6806" s="5">
        <v>-28307</v>
      </c>
      <c r="F6806" s="3" t="s">
        <v>555</v>
      </c>
      <c r="G6806" s="3" t="s">
        <v>35</v>
      </c>
      <c r="H6806" s="2" t="s">
        <v>20</v>
      </c>
      <c r="I6806" s="2" t="s">
        <v>13459</v>
      </c>
      <c r="J6806" s="3" t="str">
        <f>HYPERLINK("https://www.boe.es/gazeta/dias/1822/06/30/pdfs/GMD-1822-188.pdf#page=2","Abrir facsímil")</f>
        <v>Abrir facsímil</v>
      </c>
      <c r="K6806" s="3" t="s">
        <v>22</v>
      </c>
    </row>
    <row r="6807" spans="1:11" ht="42" customHeight="1">
      <c r="A6807" s="2" t="s">
        <v>13378</v>
      </c>
      <c r="B6807" s="2" t="s">
        <v>13378</v>
      </c>
      <c r="C6807" s="2" t="s">
        <v>61</v>
      </c>
      <c r="D6807" s="2" t="s">
        <v>17</v>
      </c>
      <c r="E6807" s="5">
        <v>-28270</v>
      </c>
      <c r="F6807" s="3" t="s">
        <v>130</v>
      </c>
      <c r="G6807" s="3" t="s">
        <v>6347</v>
      </c>
      <c r="H6807" s="2" t="s">
        <v>20</v>
      </c>
      <c r="I6807" s="2" t="s">
        <v>13460</v>
      </c>
      <c r="J6807" s="3" t="str">
        <f>HYPERLINK("https://www.boe.es/gazeta/dias/1822/08/06/pdfs/GMD-1822-230.pdf#page=4","Abrir facsímil")</f>
        <v>Abrir facsímil</v>
      </c>
      <c r="K6807" s="3" t="s">
        <v>22</v>
      </c>
    </row>
    <row r="6808" spans="1:11" ht="42" customHeight="1">
      <c r="A6808" s="2" t="s">
        <v>13378</v>
      </c>
      <c r="B6808" s="2" t="s">
        <v>13378</v>
      </c>
      <c r="C6808" s="2" t="s">
        <v>50</v>
      </c>
      <c r="D6808" s="2" t="s">
        <v>51</v>
      </c>
      <c r="E6808" s="5">
        <v>-28262</v>
      </c>
      <c r="F6808" s="3" t="s">
        <v>1771</v>
      </c>
      <c r="G6808" s="3" t="s">
        <v>35</v>
      </c>
      <c r="H6808" s="2" t="s">
        <v>20</v>
      </c>
      <c r="I6808" s="2" t="s">
        <v>13461</v>
      </c>
      <c r="J6808" s="3" t="str">
        <f>HYPERLINK("https://www.boe.es/gazeta/dias/1822/08/14/pdfs/GMD-1822-238.pdf#page=2","Abrir facsímil")</f>
        <v>Abrir facsímil</v>
      </c>
      <c r="K6808" s="3" t="s">
        <v>22</v>
      </c>
    </row>
    <row r="6809" spans="1:11" ht="42" customHeight="1">
      <c r="A6809" s="2" t="s">
        <v>13378</v>
      </c>
      <c r="B6809" s="2" t="s">
        <v>13378</v>
      </c>
      <c r="C6809" s="2" t="s">
        <v>28</v>
      </c>
      <c r="D6809" s="2" t="s">
        <v>29</v>
      </c>
      <c r="E6809" s="5">
        <v>-28211</v>
      </c>
      <c r="F6809" s="3" t="s">
        <v>273</v>
      </c>
      <c r="G6809" s="3" t="s">
        <v>57</v>
      </c>
      <c r="H6809" s="2" t="s">
        <v>20</v>
      </c>
      <c r="I6809" s="2" t="s">
        <v>13462</v>
      </c>
      <c r="J6809" s="3" t="str">
        <f>HYPERLINK("https://www.boe.es/gazeta/dias/1822/10/04/pdfs/GMD-1822-290.pdf#page=4","Abrir facsímil")</f>
        <v>Abrir facsímil</v>
      </c>
      <c r="K6809" s="3" t="s">
        <v>22</v>
      </c>
    </row>
    <row r="6810" spans="1:11" ht="42" customHeight="1">
      <c r="A6810" s="2" t="s">
        <v>13378</v>
      </c>
      <c r="B6810" s="2" t="s">
        <v>13378</v>
      </c>
      <c r="C6810" s="2" t="s">
        <v>362</v>
      </c>
      <c r="D6810" s="2" t="s">
        <v>17</v>
      </c>
      <c r="E6810" s="5">
        <v>-28209</v>
      </c>
      <c r="F6810" s="3" t="s">
        <v>748</v>
      </c>
      <c r="G6810" s="3" t="s">
        <v>57</v>
      </c>
      <c r="H6810" s="2" t="s">
        <v>20</v>
      </c>
      <c r="I6810" s="2" t="s">
        <v>13463</v>
      </c>
      <c r="J6810" s="3" t="str">
        <f>HYPERLINK("https://www.boe.es/gazeta/dias/1822/10/06/pdfs/GMD-1822-292.pdf#page=4","Abrir facsímil")</f>
        <v>Abrir facsímil</v>
      </c>
      <c r="K6810" s="3" t="s">
        <v>22</v>
      </c>
    </row>
    <row r="6811" spans="1:11" ht="42" customHeight="1">
      <c r="A6811" s="2" t="s">
        <v>13378</v>
      </c>
      <c r="B6811" s="2" t="s">
        <v>13378</v>
      </c>
      <c r="C6811" s="2" t="s">
        <v>42</v>
      </c>
      <c r="D6811" s="2" t="s">
        <v>17</v>
      </c>
      <c r="E6811" s="5">
        <v>-28205</v>
      </c>
      <c r="F6811" s="3" t="s">
        <v>806</v>
      </c>
      <c r="G6811" s="3" t="s">
        <v>35</v>
      </c>
      <c r="H6811" s="2" t="s">
        <v>20</v>
      </c>
      <c r="I6811" s="2" t="s">
        <v>13464</v>
      </c>
      <c r="J6811" s="3" t="str">
        <f>HYPERLINK("https://www.boe.es/gazeta/dias/1822/10/10/pdfs/GMD-1822-297.pdf#page=2","Abrir facsímil")</f>
        <v>Abrir facsímil</v>
      </c>
      <c r="K6811" s="3" t="s">
        <v>22</v>
      </c>
    </row>
    <row r="6812" spans="1:11" ht="42" customHeight="1">
      <c r="A6812" s="2" t="s">
        <v>13378</v>
      </c>
      <c r="B6812" s="2" t="s">
        <v>13378</v>
      </c>
      <c r="C6812" s="2" t="s">
        <v>50</v>
      </c>
      <c r="D6812" s="2" t="s">
        <v>51</v>
      </c>
      <c r="E6812" s="5">
        <v>-28205</v>
      </c>
      <c r="F6812" s="3" t="s">
        <v>806</v>
      </c>
      <c r="G6812" s="3" t="s">
        <v>31</v>
      </c>
      <c r="H6812" s="2" t="s">
        <v>20</v>
      </c>
      <c r="I6812" s="2" t="s">
        <v>13465</v>
      </c>
      <c r="J6812" s="3" t="str">
        <f>HYPERLINK("https://www.boe.es/gazeta/dias/1822/10/10/pdfs/GMD-1822-297.pdf#page=3","Abrir facsímil")</f>
        <v>Abrir facsímil</v>
      </c>
      <c r="K6812" s="3" t="s">
        <v>22</v>
      </c>
    </row>
    <row r="6813" spans="1:11" ht="42" customHeight="1">
      <c r="A6813" s="2" t="s">
        <v>13378</v>
      </c>
      <c r="B6813" s="2" t="s">
        <v>13378</v>
      </c>
      <c r="C6813" s="2" t="s">
        <v>50</v>
      </c>
      <c r="D6813" s="2" t="s">
        <v>51</v>
      </c>
      <c r="E6813" s="5">
        <v>-28205</v>
      </c>
      <c r="F6813" s="3" t="s">
        <v>806</v>
      </c>
      <c r="G6813" s="3" t="s">
        <v>19</v>
      </c>
      <c r="H6813" s="2" t="s">
        <v>20</v>
      </c>
      <c r="I6813" s="2" t="s">
        <v>13466</v>
      </c>
      <c r="J6813" s="3" t="str">
        <f>HYPERLINK("https://www.boe.es/gazeta/dias/1822/10/10/pdfs/GMD-1822-297.pdf#page=5","Abrir facsímil")</f>
        <v>Abrir facsímil</v>
      </c>
      <c r="K6813" s="3" t="s">
        <v>22</v>
      </c>
    </row>
    <row r="6814" spans="1:11" ht="42" customHeight="1">
      <c r="A6814" s="2" t="s">
        <v>13378</v>
      </c>
      <c r="B6814" s="2" t="s">
        <v>13378</v>
      </c>
      <c r="C6814" s="2" t="s">
        <v>50</v>
      </c>
      <c r="D6814" s="2" t="s">
        <v>51</v>
      </c>
      <c r="E6814" s="5">
        <v>-28203</v>
      </c>
      <c r="F6814" s="3" t="s">
        <v>564</v>
      </c>
      <c r="G6814" s="3" t="s">
        <v>4185</v>
      </c>
      <c r="H6814" s="2" t="s">
        <v>20</v>
      </c>
      <c r="I6814" s="2" t="s">
        <v>13467</v>
      </c>
      <c r="J6814" s="3" t="str">
        <f>HYPERLINK("https://www.boe.es/gazeta/dias/1822/10/12/pdfs/GMD-1822-299.pdf#page=2","Abrir facsímil")</f>
        <v>Abrir facsímil</v>
      </c>
      <c r="K6814" s="3" t="s">
        <v>22</v>
      </c>
    </row>
    <row r="6815" spans="1:11" ht="42" customHeight="1">
      <c r="A6815" s="2" t="s">
        <v>13378</v>
      </c>
      <c r="B6815" s="2" t="s">
        <v>13378</v>
      </c>
      <c r="C6815" s="2" t="s">
        <v>28</v>
      </c>
      <c r="D6815" s="2" t="s">
        <v>29</v>
      </c>
      <c r="E6815" s="5">
        <v>-28203</v>
      </c>
      <c r="F6815" s="3" t="s">
        <v>564</v>
      </c>
      <c r="G6815" s="3" t="s">
        <v>44</v>
      </c>
      <c r="H6815" s="2" t="s">
        <v>20</v>
      </c>
      <c r="I6815" s="2" t="s">
        <v>13468</v>
      </c>
      <c r="J6815" s="3" t="str">
        <f>HYPERLINK("https://www.boe.es/gazeta/dias/1822/10/12/pdfs/GMD-1822-299.pdf#page=1","Abrir facsímil")</f>
        <v>Abrir facsímil</v>
      </c>
      <c r="K6815" s="3" t="s">
        <v>22</v>
      </c>
    </row>
    <row r="6816" spans="1:11" ht="42" customHeight="1">
      <c r="A6816" s="2" t="s">
        <v>13378</v>
      </c>
      <c r="B6816" s="2" t="s">
        <v>13378</v>
      </c>
      <c r="C6816" s="2" t="s">
        <v>50</v>
      </c>
      <c r="D6816" s="2" t="s">
        <v>51</v>
      </c>
      <c r="E6816" s="5">
        <v>-28203</v>
      </c>
      <c r="F6816" s="3" t="s">
        <v>564</v>
      </c>
      <c r="G6816" s="3" t="s">
        <v>31</v>
      </c>
      <c r="H6816" s="2" t="s">
        <v>20</v>
      </c>
      <c r="I6816" s="2" t="s">
        <v>13469</v>
      </c>
      <c r="J6816" s="3" t="str">
        <f>HYPERLINK("https://www.boe.es/gazeta/dias/1822/10/12/pdfs/GMD-1822-299.pdf#page=3","Abrir facsímil")</f>
        <v>Abrir facsímil</v>
      </c>
      <c r="K6816" s="3" t="s">
        <v>22</v>
      </c>
    </row>
    <row r="6817" spans="1:11" ht="42" customHeight="1">
      <c r="A6817" s="2" t="s">
        <v>13378</v>
      </c>
      <c r="B6817" s="2" t="s">
        <v>13378</v>
      </c>
      <c r="C6817" s="2" t="s">
        <v>28</v>
      </c>
      <c r="D6817" s="2" t="s">
        <v>29</v>
      </c>
      <c r="E6817" s="5">
        <v>-28202</v>
      </c>
      <c r="F6817" s="3" t="s">
        <v>922</v>
      </c>
      <c r="G6817" s="3" t="s">
        <v>923</v>
      </c>
      <c r="H6817" s="2" t="s">
        <v>20</v>
      </c>
      <c r="I6817" s="2" t="s">
        <v>13470</v>
      </c>
      <c r="J6817" s="3" t="str">
        <f>HYPERLINK("https://www.boe.es/gazeta/dias/1822/10/13/pdfs/GMD-1822-300.pdf#page=2","Abrir facsímil")</f>
        <v>Abrir facsímil</v>
      </c>
      <c r="K6817" s="3" t="s">
        <v>22</v>
      </c>
    </row>
    <row r="6818" spans="1:11" ht="42" customHeight="1">
      <c r="A6818" s="2" t="s">
        <v>13378</v>
      </c>
      <c r="B6818" s="2" t="s">
        <v>13378</v>
      </c>
      <c r="C6818" s="2" t="s">
        <v>42</v>
      </c>
      <c r="D6818" s="2" t="s">
        <v>17</v>
      </c>
      <c r="E6818" s="5">
        <v>-28202</v>
      </c>
      <c r="F6818" s="3" t="s">
        <v>922</v>
      </c>
      <c r="G6818" s="3" t="s">
        <v>44</v>
      </c>
      <c r="H6818" s="2" t="s">
        <v>20</v>
      </c>
      <c r="I6818" s="2" t="s">
        <v>13471</v>
      </c>
      <c r="J6818" s="3" t="str">
        <f>HYPERLINK("https://www.boe.es/gazeta/dias/1822/10/13/pdfs/GMD-1822-300.pdf#page=1","Abrir facsímil")</f>
        <v>Abrir facsímil</v>
      </c>
      <c r="K6818" s="3" t="s">
        <v>22</v>
      </c>
    </row>
    <row r="6819" spans="1:11" ht="42" customHeight="1">
      <c r="A6819" s="2" t="s">
        <v>13378</v>
      </c>
      <c r="B6819" s="2" t="s">
        <v>13378</v>
      </c>
      <c r="C6819" s="2" t="s">
        <v>50</v>
      </c>
      <c r="D6819" s="2" t="s">
        <v>51</v>
      </c>
      <c r="E6819" s="5">
        <v>-28202</v>
      </c>
      <c r="F6819" s="3" t="s">
        <v>922</v>
      </c>
      <c r="G6819" s="3" t="s">
        <v>31</v>
      </c>
      <c r="H6819" s="2" t="s">
        <v>20</v>
      </c>
      <c r="I6819" s="2" t="s">
        <v>13472</v>
      </c>
      <c r="J6819" s="3" t="str">
        <f>HYPERLINK("https://www.boe.es/gazeta/dias/1822/10/13/pdfs/GMD-1822-300.pdf#page=3","Abrir facsímil")</f>
        <v>Abrir facsímil</v>
      </c>
      <c r="K6819" s="3" t="s">
        <v>22</v>
      </c>
    </row>
    <row r="6820" spans="1:11" ht="42" customHeight="1">
      <c r="A6820" s="2" t="s">
        <v>13378</v>
      </c>
      <c r="B6820" s="2" t="s">
        <v>13378</v>
      </c>
      <c r="C6820" s="2" t="s">
        <v>362</v>
      </c>
      <c r="D6820" s="2" t="s">
        <v>17</v>
      </c>
      <c r="E6820" s="5">
        <v>-28201</v>
      </c>
      <c r="F6820" s="3" t="s">
        <v>163</v>
      </c>
      <c r="G6820" s="3" t="s">
        <v>44</v>
      </c>
      <c r="H6820" s="2" t="s">
        <v>20</v>
      </c>
      <c r="I6820" s="2" t="s">
        <v>13473</v>
      </c>
      <c r="J6820" s="3" t="str">
        <f>HYPERLINK("https://www.boe.es/gazeta/dias/1822/10/14/pdfs/GMD-1822-301.pdf#page=1","Abrir facsímil")</f>
        <v>Abrir facsímil</v>
      </c>
      <c r="K6820" s="3" t="s">
        <v>22</v>
      </c>
    </row>
    <row r="6821" spans="1:11" ht="42" customHeight="1">
      <c r="A6821" s="2" t="s">
        <v>13378</v>
      </c>
      <c r="B6821" s="2" t="s">
        <v>13378</v>
      </c>
      <c r="C6821" s="2" t="s">
        <v>50</v>
      </c>
      <c r="D6821" s="2" t="s">
        <v>51</v>
      </c>
      <c r="E6821" s="5">
        <v>-28201</v>
      </c>
      <c r="F6821" s="3" t="s">
        <v>163</v>
      </c>
      <c r="G6821" s="3" t="s">
        <v>31</v>
      </c>
      <c r="H6821" s="2" t="s">
        <v>20</v>
      </c>
      <c r="I6821" s="2" t="s">
        <v>13474</v>
      </c>
      <c r="J6821" s="3" t="str">
        <f>HYPERLINK("https://www.boe.es/gazeta/dias/1822/10/14/pdfs/GMD-1822-301.pdf#page=3","Abrir facsímil")</f>
        <v>Abrir facsímil</v>
      </c>
      <c r="K6821" s="3" t="s">
        <v>22</v>
      </c>
    </row>
    <row r="6822" spans="1:11" ht="42" customHeight="1">
      <c r="A6822" s="2" t="s">
        <v>13378</v>
      </c>
      <c r="B6822" s="2" t="s">
        <v>13378</v>
      </c>
      <c r="C6822" s="2" t="s">
        <v>71</v>
      </c>
      <c r="D6822" s="2" t="s">
        <v>17</v>
      </c>
      <c r="E6822" s="5">
        <v>-28200</v>
      </c>
      <c r="F6822" s="3" t="s">
        <v>1037</v>
      </c>
      <c r="G6822" s="3" t="s">
        <v>35</v>
      </c>
      <c r="H6822" s="2" t="s">
        <v>20</v>
      </c>
      <c r="I6822" s="2" t="s">
        <v>13475</v>
      </c>
      <c r="J6822" s="3" t="str">
        <f>HYPERLINK("https://www.boe.es/gazeta/dias/1822/10/15/pdfs/GMD-1822-302.pdf#page=2","Abrir facsímil")</f>
        <v>Abrir facsímil</v>
      </c>
      <c r="K6822" s="3" t="s">
        <v>22</v>
      </c>
    </row>
    <row r="6823" spans="1:11" ht="42" customHeight="1">
      <c r="A6823" s="2" t="s">
        <v>13378</v>
      </c>
      <c r="B6823" s="2" t="s">
        <v>13378</v>
      </c>
      <c r="C6823" s="2" t="s">
        <v>42</v>
      </c>
      <c r="D6823" s="2" t="s">
        <v>17</v>
      </c>
      <c r="E6823" s="5">
        <v>-28200</v>
      </c>
      <c r="F6823" s="3" t="s">
        <v>1037</v>
      </c>
      <c r="G6823" s="3" t="s">
        <v>57</v>
      </c>
      <c r="H6823" s="2" t="s">
        <v>20</v>
      </c>
      <c r="I6823" s="2" t="s">
        <v>13476</v>
      </c>
      <c r="J6823" s="3" t="str">
        <f>HYPERLINK("https://www.boe.es/gazeta/dias/1822/10/15/pdfs/GMD-1822-302.pdf#page=4","Abrir facsímil")</f>
        <v>Abrir facsímil</v>
      </c>
      <c r="K6823" s="3" t="s">
        <v>22</v>
      </c>
    </row>
    <row r="6824" spans="1:11" ht="42" customHeight="1">
      <c r="A6824" s="2" t="s">
        <v>13378</v>
      </c>
      <c r="B6824" s="2" t="s">
        <v>13378</v>
      </c>
      <c r="C6824" s="2" t="s">
        <v>50</v>
      </c>
      <c r="D6824" s="2" t="s">
        <v>51</v>
      </c>
      <c r="E6824" s="5">
        <v>-28200</v>
      </c>
      <c r="F6824" s="3" t="s">
        <v>1037</v>
      </c>
      <c r="G6824" s="3" t="s">
        <v>19</v>
      </c>
      <c r="H6824" s="2" t="s">
        <v>20</v>
      </c>
      <c r="I6824" s="2" t="s">
        <v>13477</v>
      </c>
      <c r="J6824" s="3" t="str">
        <f>HYPERLINK("https://www.boe.es/gazeta/dias/1822/10/15/pdfs/GMD-1822-302.pdf#page=5","Abrir facsímil")</f>
        <v>Abrir facsímil</v>
      </c>
      <c r="K6824" s="3" t="s">
        <v>22</v>
      </c>
    </row>
    <row r="6825" spans="1:11" ht="42" customHeight="1">
      <c r="A6825" s="2" t="s">
        <v>13378</v>
      </c>
      <c r="B6825" s="2" t="s">
        <v>13378</v>
      </c>
      <c r="C6825" s="2" t="s">
        <v>71</v>
      </c>
      <c r="D6825" s="2" t="s">
        <v>17</v>
      </c>
      <c r="E6825" s="5">
        <v>-28199</v>
      </c>
      <c r="F6825" s="3" t="s">
        <v>656</v>
      </c>
      <c r="G6825" s="3" t="s">
        <v>31</v>
      </c>
      <c r="H6825" s="2" t="s">
        <v>20</v>
      </c>
      <c r="I6825" s="2" t="s">
        <v>13478</v>
      </c>
      <c r="J6825" s="3" t="str">
        <f>HYPERLINK("https://www.boe.es/gazeta/dias/1822/10/16/pdfs/GMD-1822-303.pdf#page=3","Abrir facsímil")</f>
        <v>Abrir facsímil</v>
      </c>
      <c r="K6825" s="3" t="s">
        <v>22</v>
      </c>
    </row>
    <row r="6826" spans="1:11" ht="42" customHeight="1">
      <c r="A6826" s="2" t="s">
        <v>13378</v>
      </c>
      <c r="B6826" s="2" t="s">
        <v>13378</v>
      </c>
      <c r="C6826" s="2" t="s">
        <v>50</v>
      </c>
      <c r="D6826" s="2" t="s">
        <v>51</v>
      </c>
      <c r="E6826" s="5">
        <v>-28194</v>
      </c>
      <c r="F6826" s="3" t="s">
        <v>18</v>
      </c>
      <c r="G6826" s="3" t="s">
        <v>19</v>
      </c>
      <c r="H6826" s="2" t="s">
        <v>20</v>
      </c>
      <c r="I6826" s="2" t="s">
        <v>13479</v>
      </c>
      <c r="J6826" s="3" t="str">
        <f>HYPERLINK("https://www.boe.es/gazeta/dias/1822/10/21/pdfs/GMD-1822-308.pdf#page=5","Abrir facsímil")</f>
        <v>Abrir facsímil</v>
      </c>
      <c r="K6826" s="3" t="s">
        <v>22</v>
      </c>
    </row>
    <row r="6827" spans="1:11" ht="42" customHeight="1">
      <c r="A6827" s="2" t="s">
        <v>13378</v>
      </c>
      <c r="B6827" s="2" t="s">
        <v>13378</v>
      </c>
      <c r="C6827" s="2" t="s">
        <v>28</v>
      </c>
      <c r="D6827" s="2" t="s">
        <v>29</v>
      </c>
      <c r="E6827" s="5">
        <v>-28190</v>
      </c>
      <c r="F6827" s="3" t="s">
        <v>576</v>
      </c>
      <c r="G6827" s="3" t="s">
        <v>57</v>
      </c>
      <c r="H6827" s="2" t="s">
        <v>20</v>
      </c>
      <c r="I6827" s="2" t="s">
        <v>13480</v>
      </c>
      <c r="J6827" s="3" t="str">
        <f>HYPERLINK("https://www.boe.es/gazeta/dias/1822/10/25/pdfs/GMD-1822-312.pdf#page=4","Abrir facsímil")</f>
        <v>Abrir facsímil</v>
      </c>
      <c r="K6827" s="3" t="s">
        <v>22</v>
      </c>
    </row>
    <row r="6828" spans="1:11" ht="42" customHeight="1">
      <c r="A6828" s="2" t="s">
        <v>13378</v>
      </c>
      <c r="B6828" s="2" t="s">
        <v>13378</v>
      </c>
      <c r="C6828" s="2" t="s">
        <v>71</v>
      </c>
      <c r="D6828" s="2" t="s">
        <v>17</v>
      </c>
      <c r="E6828" s="5">
        <v>-28189</v>
      </c>
      <c r="F6828" s="3" t="s">
        <v>645</v>
      </c>
      <c r="G6828" s="3" t="s">
        <v>35</v>
      </c>
      <c r="H6828" s="2" t="s">
        <v>20</v>
      </c>
      <c r="I6828" s="2" t="s">
        <v>13481</v>
      </c>
      <c r="J6828" s="3" t="str">
        <f>HYPERLINK("https://www.boe.es/gazeta/dias/1822/10/26/pdfs/GMD-1822-313.pdf#page=2","Abrir facsímil")</f>
        <v>Abrir facsímil</v>
      </c>
      <c r="K6828" s="3" t="s">
        <v>22</v>
      </c>
    </row>
    <row r="6829" spans="1:11" ht="42" customHeight="1">
      <c r="A6829" s="2" t="s">
        <v>13378</v>
      </c>
      <c r="B6829" s="2" t="s">
        <v>13378</v>
      </c>
      <c r="C6829" s="2" t="s">
        <v>42</v>
      </c>
      <c r="D6829" s="2" t="s">
        <v>17</v>
      </c>
      <c r="E6829" s="5">
        <v>-28189</v>
      </c>
      <c r="F6829" s="3" t="s">
        <v>645</v>
      </c>
      <c r="G6829" s="3" t="s">
        <v>19</v>
      </c>
      <c r="H6829" s="2" t="s">
        <v>20</v>
      </c>
      <c r="I6829" s="2" t="s">
        <v>13482</v>
      </c>
      <c r="J6829" s="3" t="str">
        <f>HYPERLINK("https://www.boe.es/gazeta/dias/1822/10/26/pdfs/GMD-1822-313.pdf#page=5","Abrir facsímil")</f>
        <v>Abrir facsímil</v>
      </c>
      <c r="K6829" s="3" t="s">
        <v>22</v>
      </c>
    </row>
    <row r="6830" spans="1:11" ht="42" customHeight="1">
      <c r="A6830" s="2" t="s">
        <v>13378</v>
      </c>
      <c r="B6830" s="2" t="s">
        <v>13378</v>
      </c>
      <c r="C6830" s="2" t="s">
        <v>24</v>
      </c>
      <c r="D6830" s="2" t="s">
        <v>17</v>
      </c>
      <c r="E6830" s="5">
        <v>-28188</v>
      </c>
      <c r="F6830" s="3" t="s">
        <v>578</v>
      </c>
      <c r="G6830" s="3" t="s">
        <v>907</v>
      </c>
      <c r="H6830" s="2" t="s">
        <v>20</v>
      </c>
      <c r="I6830" s="2" t="s">
        <v>13483</v>
      </c>
      <c r="J6830" s="3" t="str">
        <f>HYPERLINK("https://www.boe.es/gazeta/dias/1822/10/27/pdfs/GMD-1822-314.pdf#page=7","Abrir facsímil")</f>
        <v>Abrir facsímil</v>
      </c>
      <c r="K6830" s="3" t="s">
        <v>22</v>
      </c>
    </row>
    <row r="6831" spans="1:11" ht="42" customHeight="1">
      <c r="A6831" s="2" t="s">
        <v>13378</v>
      </c>
      <c r="B6831" s="2" t="s">
        <v>13378</v>
      </c>
      <c r="C6831" s="2" t="s">
        <v>42</v>
      </c>
      <c r="D6831" s="2" t="s">
        <v>17</v>
      </c>
      <c r="E6831" s="5">
        <v>-28188</v>
      </c>
      <c r="F6831" s="3" t="s">
        <v>578</v>
      </c>
      <c r="G6831" s="3" t="s">
        <v>44</v>
      </c>
      <c r="H6831" s="2" t="s">
        <v>20</v>
      </c>
      <c r="I6831" s="2" t="s">
        <v>13484</v>
      </c>
      <c r="J6831" s="3" t="str">
        <f>HYPERLINK("https://www.boe.es/gazeta/dias/1822/10/27/pdfs/GMD-1822-314.pdf#page=1","Abrir facsímil")</f>
        <v>Abrir facsímil</v>
      </c>
      <c r="K6831" s="3" t="s">
        <v>22</v>
      </c>
    </row>
    <row r="6832" spans="1:11" ht="42" customHeight="1">
      <c r="A6832" s="2" t="s">
        <v>13378</v>
      </c>
      <c r="B6832" s="2" t="s">
        <v>13378</v>
      </c>
      <c r="C6832" s="2" t="s">
        <v>28</v>
      </c>
      <c r="D6832" s="2" t="s">
        <v>29</v>
      </c>
      <c r="E6832" s="5">
        <v>-28188</v>
      </c>
      <c r="F6832" s="3" t="s">
        <v>578</v>
      </c>
      <c r="G6832" s="3" t="s">
        <v>35</v>
      </c>
      <c r="H6832" s="2" t="s">
        <v>20</v>
      </c>
      <c r="I6832" s="2" t="s">
        <v>13485</v>
      </c>
      <c r="J6832" s="3" t="str">
        <f>HYPERLINK("https://www.boe.es/gazeta/dias/1822/10/27/pdfs/GMD-1822-314.pdf#page=2","Abrir facsímil")</f>
        <v>Abrir facsímil</v>
      </c>
      <c r="K6832" s="3" t="s">
        <v>22</v>
      </c>
    </row>
    <row r="6833" spans="1:11" ht="42" customHeight="1">
      <c r="A6833" s="2" t="s">
        <v>13378</v>
      </c>
      <c r="B6833" s="2" t="s">
        <v>13378</v>
      </c>
      <c r="C6833" s="2" t="s">
        <v>42</v>
      </c>
      <c r="D6833" s="2" t="s">
        <v>17</v>
      </c>
      <c r="E6833" s="5">
        <v>-28188</v>
      </c>
      <c r="F6833" s="3" t="s">
        <v>578</v>
      </c>
      <c r="G6833" s="3" t="s">
        <v>31</v>
      </c>
      <c r="H6833" s="2" t="s">
        <v>20</v>
      </c>
      <c r="I6833" s="2" t="s">
        <v>13486</v>
      </c>
      <c r="J6833" s="3" t="str">
        <f>HYPERLINK("https://www.boe.es/gazeta/dias/1822/10/27/pdfs/GMD-1822-314.pdf#page=3","Abrir facsímil")</f>
        <v>Abrir facsímil</v>
      </c>
      <c r="K6833" s="3" t="s">
        <v>22</v>
      </c>
    </row>
    <row r="6834" spans="1:11" ht="42" customHeight="1">
      <c r="A6834" s="2" t="s">
        <v>13378</v>
      </c>
      <c r="B6834" s="2" t="s">
        <v>13378</v>
      </c>
      <c r="C6834" s="2" t="s">
        <v>42</v>
      </c>
      <c r="D6834" s="2" t="s">
        <v>17</v>
      </c>
      <c r="E6834" s="5">
        <v>-28188</v>
      </c>
      <c r="F6834" s="3" t="s">
        <v>578</v>
      </c>
      <c r="G6834" s="3" t="s">
        <v>19</v>
      </c>
      <c r="H6834" s="2" t="s">
        <v>20</v>
      </c>
      <c r="I6834" s="2" t="s">
        <v>13487</v>
      </c>
      <c r="J6834" s="3" t="str">
        <f>HYPERLINK("https://www.boe.es/gazeta/dias/1822/10/27/pdfs/GMD-1822-314.pdf#page=5","Abrir facsímil")</f>
        <v>Abrir facsímil</v>
      </c>
      <c r="K6834" s="3" t="s">
        <v>22</v>
      </c>
    </row>
    <row r="6835" spans="1:11" ht="42" customHeight="1">
      <c r="A6835" s="2" t="s">
        <v>13378</v>
      </c>
      <c r="B6835" s="2" t="s">
        <v>13378</v>
      </c>
      <c r="C6835" s="2" t="s">
        <v>71</v>
      </c>
      <c r="D6835" s="2" t="s">
        <v>17</v>
      </c>
      <c r="E6835" s="5">
        <v>-28188</v>
      </c>
      <c r="F6835" s="3" t="s">
        <v>578</v>
      </c>
      <c r="G6835" s="3" t="s">
        <v>63</v>
      </c>
      <c r="H6835" s="2" t="s">
        <v>20</v>
      </c>
      <c r="I6835" s="2" t="s">
        <v>13488</v>
      </c>
      <c r="J6835" s="3" t="str">
        <f>HYPERLINK("https://www.boe.es/gazeta/dias/1822/10/27/pdfs/GMD-1822-314.pdf#page=6","Abrir facsímil")</f>
        <v>Abrir facsímil</v>
      </c>
      <c r="K6835" s="3" t="s">
        <v>22</v>
      </c>
    </row>
    <row r="6836" spans="1:11" ht="42" customHeight="1">
      <c r="A6836" s="2" t="s">
        <v>13378</v>
      </c>
      <c r="B6836" s="2" t="s">
        <v>13378</v>
      </c>
      <c r="C6836" s="2" t="s">
        <v>50</v>
      </c>
      <c r="D6836" s="2" t="s">
        <v>51</v>
      </c>
      <c r="E6836" s="5">
        <v>-28187</v>
      </c>
      <c r="F6836" s="3" t="s">
        <v>929</v>
      </c>
      <c r="G6836" s="3" t="s">
        <v>57</v>
      </c>
      <c r="H6836" s="2" t="s">
        <v>20</v>
      </c>
      <c r="I6836" s="2" t="s">
        <v>13489</v>
      </c>
      <c r="J6836" s="3" t="str">
        <f>HYPERLINK("https://www.boe.es/gazeta/dias/1822/10/28/pdfs/GMD-1822-315.pdf#page=4","Abrir facsímil")</f>
        <v>Abrir facsímil</v>
      </c>
      <c r="K6836" s="3" t="s">
        <v>22</v>
      </c>
    </row>
    <row r="6837" spans="1:11" ht="42" customHeight="1">
      <c r="A6837" s="2" t="s">
        <v>13378</v>
      </c>
      <c r="B6837" s="2" t="s">
        <v>13378</v>
      </c>
      <c r="C6837" s="2" t="s">
        <v>28</v>
      </c>
      <c r="D6837" s="2" t="s">
        <v>29</v>
      </c>
      <c r="E6837" s="5">
        <v>-28187</v>
      </c>
      <c r="F6837" s="3" t="s">
        <v>929</v>
      </c>
      <c r="G6837" s="3" t="s">
        <v>19</v>
      </c>
      <c r="H6837" s="2" t="s">
        <v>20</v>
      </c>
      <c r="I6837" s="2" t="s">
        <v>13490</v>
      </c>
      <c r="J6837" s="3" t="str">
        <f>HYPERLINK("https://www.boe.es/gazeta/dias/1822/10/28/pdfs/GMD-1822-315.pdf#page=5","Abrir facsímil")</f>
        <v>Abrir facsímil</v>
      </c>
      <c r="K6837" s="3" t="s">
        <v>22</v>
      </c>
    </row>
    <row r="6838" spans="1:11" ht="42" customHeight="1">
      <c r="A6838" s="2" t="s">
        <v>13378</v>
      </c>
      <c r="B6838" s="2" t="s">
        <v>13378</v>
      </c>
      <c r="C6838" s="2" t="s">
        <v>71</v>
      </c>
      <c r="D6838" s="2" t="s">
        <v>17</v>
      </c>
      <c r="E6838" s="5">
        <v>-28186</v>
      </c>
      <c r="F6838" s="3" t="s">
        <v>581</v>
      </c>
      <c r="G6838" s="3" t="s">
        <v>35</v>
      </c>
      <c r="H6838" s="2" t="s">
        <v>20</v>
      </c>
      <c r="I6838" s="2" t="s">
        <v>13491</v>
      </c>
      <c r="J6838" s="3" t="str">
        <f>HYPERLINK("https://www.boe.es/gazeta/dias/1822/10/29/pdfs/GMD-1822-316.pdf#page=2","Abrir facsímil")</f>
        <v>Abrir facsímil</v>
      </c>
      <c r="K6838" s="3" t="s">
        <v>22</v>
      </c>
    </row>
    <row r="6839" spans="1:11" ht="42" customHeight="1">
      <c r="A6839" s="2" t="s">
        <v>13378</v>
      </c>
      <c r="B6839" s="2" t="s">
        <v>13378</v>
      </c>
      <c r="C6839" s="2" t="s">
        <v>71</v>
      </c>
      <c r="D6839" s="2" t="s">
        <v>17</v>
      </c>
      <c r="E6839" s="5">
        <v>-28186</v>
      </c>
      <c r="F6839" s="3" t="s">
        <v>581</v>
      </c>
      <c r="G6839" s="3" t="s">
        <v>31</v>
      </c>
      <c r="H6839" s="2" t="s">
        <v>20</v>
      </c>
      <c r="I6839" s="2" t="s">
        <v>13492</v>
      </c>
      <c r="J6839" s="3" t="str">
        <f>HYPERLINK("https://www.boe.es/gazeta/dias/1822/10/29/pdfs/GMD-1822-316.pdf#page=3","Abrir facsímil")</f>
        <v>Abrir facsímil</v>
      </c>
      <c r="K6839" s="3" t="s">
        <v>22</v>
      </c>
    </row>
    <row r="6840" spans="1:11" ht="42" customHeight="1">
      <c r="A6840" s="2" t="s">
        <v>13378</v>
      </c>
      <c r="B6840" s="2" t="s">
        <v>13378</v>
      </c>
      <c r="C6840" s="2" t="s">
        <v>50</v>
      </c>
      <c r="D6840" s="2" t="s">
        <v>51</v>
      </c>
      <c r="E6840" s="5">
        <v>-28186</v>
      </c>
      <c r="F6840" s="3" t="s">
        <v>581</v>
      </c>
      <c r="G6840" s="3" t="s">
        <v>57</v>
      </c>
      <c r="H6840" s="2" t="s">
        <v>20</v>
      </c>
      <c r="I6840" s="2" t="s">
        <v>13493</v>
      </c>
      <c r="J6840" s="3" t="str">
        <f>HYPERLINK("https://www.boe.es/gazeta/dias/1822/10/29/pdfs/GMD-1822-316.pdf#page=4","Abrir facsímil")</f>
        <v>Abrir facsímil</v>
      </c>
      <c r="K6840" s="3" t="s">
        <v>22</v>
      </c>
    </row>
    <row r="6841" spans="1:11" ht="42" customHeight="1">
      <c r="A6841" s="2" t="s">
        <v>13378</v>
      </c>
      <c r="B6841" s="2" t="s">
        <v>13378</v>
      </c>
      <c r="C6841" s="2" t="s">
        <v>71</v>
      </c>
      <c r="D6841" s="2" t="s">
        <v>17</v>
      </c>
      <c r="E6841" s="5">
        <v>-28185</v>
      </c>
      <c r="F6841" s="3" t="s">
        <v>933</v>
      </c>
      <c r="G6841" s="3" t="s">
        <v>35</v>
      </c>
      <c r="H6841" s="2" t="s">
        <v>20</v>
      </c>
      <c r="I6841" s="2" t="s">
        <v>13494</v>
      </c>
      <c r="J6841" s="3" t="str">
        <f>HYPERLINK("https://www.boe.es/gazeta/dias/1822/10/30/pdfs/GMD-1822-317.pdf#page=2","Abrir facsímil")</f>
        <v>Abrir facsímil</v>
      </c>
      <c r="K6841" s="3" t="s">
        <v>22</v>
      </c>
    </row>
    <row r="6842" spans="1:11" ht="42" customHeight="1">
      <c r="A6842" s="2" t="s">
        <v>13378</v>
      </c>
      <c r="B6842" s="2" t="s">
        <v>13378</v>
      </c>
      <c r="C6842" s="2" t="s">
        <v>50</v>
      </c>
      <c r="D6842" s="2" t="s">
        <v>51</v>
      </c>
      <c r="E6842" s="5">
        <v>-28185</v>
      </c>
      <c r="F6842" s="3" t="s">
        <v>933</v>
      </c>
      <c r="G6842" s="3" t="s">
        <v>31</v>
      </c>
      <c r="H6842" s="2" t="s">
        <v>20</v>
      </c>
      <c r="I6842" s="2" t="s">
        <v>13495</v>
      </c>
      <c r="J6842" s="3" t="str">
        <f>HYPERLINK("https://www.boe.es/gazeta/dias/1822/10/30/pdfs/GMD-1822-317.pdf#page=3","Abrir facsímil")</f>
        <v>Abrir facsímil</v>
      </c>
      <c r="K6842" s="3" t="s">
        <v>22</v>
      </c>
    </row>
    <row r="6843" spans="1:11" ht="42" customHeight="1">
      <c r="A6843" s="2" t="s">
        <v>13378</v>
      </c>
      <c r="B6843" s="2" t="s">
        <v>13378</v>
      </c>
      <c r="C6843" s="2" t="s">
        <v>42</v>
      </c>
      <c r="D6843" s="2" t="s">
        <v>17</v>
      </c>
      <c r="E6843" s="5">
        <v>-28184</v>
      </c>
      <c r="F6843" s="3" t="s">
        <v>1423</v>
      </c>
      <c r="G6843" s="3" t="s">
        <v>35</v>
      </c>
      <c r="H6843" s="2" t="s">
        <v>20</v>
      </c>
      <c r="I6843" s="2" t="s">
        <v>13496</v>
      </c>
      <c r="J6843" s="3" t="str">
        <f>HYPERLINK("https://www.boe.es/gazeta/dias/1822/10/31/pdfs/GMD-1822-318.pdf#page=2","Abrir facsímil")</f>
        <v>Abrir facsímil</v>
      </c>
      <c r="K6843" s="3" t="s">
        <v>22</v>
      </c>
    </row>
    <row r="6844" spans="1:11" ht="42" customHeight="1">
      <c r="A6844" s="2" t="s">
        <v>13378</v>
      </c>
      <c r="B6844" s="2" t="s">
        <v>13378</v>
      </c>
      <c r="C6844" s="2" t="s">
        <v>50</v>
      </c>
      <c r="D6844" s="2" t="s">
        <v>51</v>
      </c>
      <c r="E6844" s="5">
        <v>-28184</v>
      </c>
      <c r="F6844" s="3" t="s">
        <v>1423</v>
      </c>
      <c r="G6844" s="3" t="s">
        <v>31</v>
      </c>
      <c r="H6844" s="2" t="s">
        <v>20</v>
      </c>
      <c r="I6844" s="2" t="s">
        <v>13497</v>
      </c>
      <c r="J6844" s="3" t="str">
        <f>HYPERLINK("https://www.boe.es/gazeta/dias/1822/10/31/pdfs/GMD-1822-318.pdf#page=3","Abrir facsímil")</f>
        <v>Abrir facsímil</v>
      </c>
      <c r="K6844" s="3" t="s">
        <v>22</v>
      </c>
    </row>
    <row r="6845" spans="1:11" ht="42" customHeight="1">
      <c r="A6845" s="2" t="s">
        <v>13378</v>
      </c>
      <c r="B6845" s="2" t="s">
        <v>13378</v>
      </c>
      <c r="C6845" s="2" t="s">
        <v>71</v>
      </c>
      <c r="D6845" s="2" t="s">
        <v>17</v>
      </c>
      <c r="E6845" s="5">
        <v>-28183</v>
      </c>
      <c r="F6845" s="3" t="s">
        <v>583</v>
      </c>
      <c r="G6845" s="3" t="s">
        <v>44</v>
      </c>
      <c r="H6845" s="2" t="s">
        <v>20</v>
      </c>
      <c r="I6845" s="2" t="s">
        <v>13498</v>
      </c>
      <c r="J6845" s="3" t="str">
        <f>HYPERLINK("https://www.boe.es/gazeta/dias/1822/11/01/pdfs/GMD-1822-319.pdf#page=1","Abrir facsímil")</f>
        <v>Abrir facsímil</v>
      </c>
      <c r="K6845" s="3" t="s">
        <v>22</v>
      </c>
    </row>
    <row r="6846" spans="1:11" ht="42" customHeight="1">
      <c r="A6846" s="2" t="s">
        <v>13378</v>
      </c>
      <c r="B6846" s="2" t="s">
        <v>13378</v>
      </c>
      <c r="C6846" s="2" t="s">
        <v>42</v>
      </c>
      <c r="D6846" s="2" t="s">
        <v>17</v>
      </c>
      <c r="E6846" s="5">
        <v>-28179</v>
      </c>
      <c r="F6846" s="3" t="s">
        <v>935</v>
      </c>
      <c r="G6846" s="3" t="s">
        <v>35</v>
      </c>
      <c r="H6846" s="2" t="s">
        <v>20</v>
      </c>
      <c r="I6846" s="2" t="s">
        <v>13499</v>
      </c>
      <c r="J6846" s="3" t="str">
        <f>HYPERLINK("https://www.boe.es/gazeta/dias/1822/11/05/pdfs/GMD-1822-325.pdf#page=2","Abrir facsímil")</f>
        <v>Abrir facsímil</v>
      </c>
      <c r="K6846" s="3" t="s">
        <v>22</v>
      </c>
    </row>
    <row r="6847" spans="1:11" ht="42" customHeight="1">
      <c r="A6847" s="2" t="s">
        <v>13378</v>
      </c>
      <c r="B6847" s="2" t="s">
        <v>13378</v>
      </c>
      <c r="C6847" s="2" t="s">
        <v>42</v>
      </c>
      <c r="D6847" s="2" t="s">
        <v>17</v>
      </c>
      <c r="E6847" s="5">
        <v>-28178</v>
      </c>
      <c r="F6847" s="3" t="s">
        <v>318</v>
      </c>
      <c r="G6847" s="3" t="s">
        <v>44</v>
      </c>
      <c r="H6847" s="2" t="s">
        <v>20</v>
      </c>
      <c r="I6847" s="2" t="s">
        <v>13500</v>
      </c>
      <c r="J6847" s="3" t="str">
        <f>HYPERLINK("https://www.boe.es/gazeta/dias/1822/11/06/pdfs/GMD-1822-326.pdf#page=1","Abrir facsímil")</f>
        <v>Abrir facsímil</v>
      </c>
      <c r="K6847" s="3" t="s">
        <v>22</v>
      </c>
    </row>
    <row r="6848" spans="1:11" ht="42" customHeight="1">
      <c r="A6848" s="2" t="s">
        <v>13378</v>
      </c>
      <c r="B6848" s="2" t="s">
        <v>13378</v>
      </c>
      <c r="C6848" s="2" t="s">
        <v>42</v>
      </c>
      <c r="D6848" s="2" t="s">
        <v>17</v>
      </c>
      <c r="E6848" s="5">
        <v>-28178</v>
      </c>
      <c r="F6848" s="3" t="s">
        <v>318</v>
      </c>
      <c r="G6848" s="3" t="s">
        <v>35</v>
      </c>
      <c r="H6848" s="2" t="s">
        <v>20</v>
      </c>
      <c r="I6848" s="2" t="s">
        <v>13501</v>
      </c>
      <c r="J6848" s="3" t="str">
        <f>HYPERLINK("https://www.boe.es/gazeta/dias/1822/11/06/pdfs/GMD-1822-326.pdf#page=2","Abrir facsímil")</f>
        <v>Abrir facsímil</v>
      </c>
      <c r="K6848" s="3" t="s">
        <v>22</v>
      </c>
    </row>
    <row r="6849" spans="1:11" ht="42" customHeight="1">
      <c r="A6849" s="2" t="s">
        <v>13378</v>
      </c>
      <c r="B6849" s="2" t="s">
        <v>13378</v>
      </c>
      <c r="C6849" s="2" t="s">
        <v>61</v>
      </c>
      <c r="D6849" s="2" t="s">
        <v>17</v>
      </c>
      <c r="E6849" s="5">
        <v>-28176</v>
      </c>
      <c r="F6849" s="3" t="s">
        <v>780</v>
      </c>
      <c r="G6849" s="3" t="s">
        <v>44</v>
      </c>
      <c r="H6849" s="2" t="s">
        <v>20</v>
      </c>
      <c r="I6849" s="2" t="s">
        <v>13502</v>
      </c>
      <c r="J6849" s="3" t="str">
        <f>HYPERLINK("https://www.boe.es/gazeta/dias/1822/11/08/pdfs/GMD-1822-328.pdf#page=1","Abrir facsímil")</f>
        <v>Abrir facsímil</v>
      </c>
      <c r="K6849" s="3" t="s">
        <v>22</v>
      </c>
    </row>
    <row r="6850" spans="1:11" ht="42" customHeight="1">
      <c r="A6850" s="2" t="s">
        <v>13378</v>
      </c>
      <c r="B6850" s="2" t="s">
        <v>13378</v>
      </c>
      <c r="C6850" s="2" t="s">
        <v>50</v>
      </c>
      <c r="D6850" s="2" t="s">
        <v>51</v>
      </c>
      <c r="E6850" s="5">
        <v>-28175</v>
      </c>
      <c r="F6850" s="3" t="s">
        <v>341</v>
      </c>
      <c r="G6850" s="3" t="s">
        <v>63</v>
      </c>
      <c r="H6850" s="2" t="s">
        <v>20</v>
      </c>
      <c r="I6850" s="2" t="s">
        <v>13503</v>
      </c>
      <c r="J6850" s="3" t="str">
        <f>HYPERLINK("https://www.boe.es/gazeta/dias/1822/11/09/pdfs/GMD-1822-329.pdf#page=6","Abrir facsímil")</f>
        <v>Abrir facsímil</v>
      </c>
      <c r="K6850" s="3" t="s">
        <v>22</v>
      </c>
    </row>
    <row r="6851" spans="1:11" ht="42" customHeight="1">
      <c r="A6851" s="2" t="s">
        <v>13378</v>
      </c>
      <c r="B6851" s="2" t="s">
        <v>13378</v>
      </c>
      <c r="C6851" s="2" t="s">
        <v>50</v>
      </c>
      <c r="D6851" s="2" t="s">
        <v>51</v>
      </c>
      <c r="E6851" s="5">
        <v>-28172</v>
      </c>
      <c r="F6851" s="3" t="s">
        <v>674</v>
      </c>
      <c r="G6851" s="3" t="s">
        <v>35</v>
      </c>
      <c r="H6851" s="2" t="s">
        <v>20</v>
      </c>
      <c r="I6851" s="2" t="s">
        <v>13504</v>
      </c>
      <c r="J6851" s="3" t="str">
        <f>HYPERLINK("https://www.boe.es/gazeta/dias/1822/11/12/pdfs/GMD-1822-332.pdf#page=2","Abrir facsímil")</f>
        <v>Abrir facsímil</v>
      </c>
      <c r="K6851" s="3" t="s">
        <v>22</v>
      </c>
    </row>
    <row r="6852" spans="1:11" ht="42" customHeight="1">
      <c r="A6852" s="2" t="s">
        <v>13378</v>
      </c>
      <c r="B6852" s="2" t="s">
        <v>13378</v>
      </c>
      <c r="C6852" s="2" t="s">
        <v>42</v>
      </c>
      <c r="D6852" s="2" t="s">
        <v>17</v>
      </c>
      <c r="E6852" s="5">
        <v>-28172</v>
      </c>
      <c r="F6852" s="3" t="s">
        <v>674</v>
      </c>
      <c r="G6852" s="3" t="s">
        <v>31</v>
      </c>
      <c r="H6852" s="2" t="s">
        <v>20</v>
      </c>
      <c r="I6852" s="2" t="s">
        <v>13505</v>
      </c>
      <c r="J6852" s="3" t="str">
        <f>HYPERLINK("https://www.boe.es/gazeta/dias/1822/11/12/pdfs/GMD-1822-332.pdf#page=3","Abrir facsímil")</f>
        <v>Abrir facsímil</v>
      </c>
      <c r="K6852" s="3" t="s">
        <v>22</v>
      </c>
    </row>
    <row r="6853" spans="1:11" ht="42" customHeight="1">
      <c r="A6853" s="2" t="s">
        <v>13378</v>
      </c>
      <c r="B6853" s="2" t="s">
        <v>13378</v>
      </c>
      <c r="C6853" s="2" t="s">
        <v>50</v>
      </c>
      <c r="D6853" s="2" t="s">
        <v>51</v>
      </c>
      <c r="E6853" s="5">
        <v>-28172</v>
      </c>
      <c r="F6853" s="3" t="s">
        <v>674</v>
      </c>
      <c r="G6853" s="3" t="s">
        <v>57</v>
      </c>
      <c r="H6853" s="2" t="s">
        <v>20</v>
      </c>
      <c r="I6853" s="2" t="s">
        <v>13506</v>
      </c>
      <c r="J6853" s="3" t="str">
        <f>HYPERLINK("https://www.boe.es/gazeta/dias/1822/11/12/pdfs/GMD-1822-332.pdf#page=4","Abrir facsímil")</f>
        <v>Abrir facsímil</v>
      </c>
      <c r="K6853" s="3" t="s">
        <v>22</v>
      </c>
    </row>
    <row r="6854" spans="1:11" ht="42" customHeight="1">
      <c r="A6854" s="2" t="s">
        <v>13378</v>
      </c>
      <c r="B6854" s="2" t="s">
        <v>13378</v>
      </c>
      <c r="C6854" s="2" t="s">
        <v>24</v>
      </c>
      <c r="D6854" s="2" t="s">
        <v>17</v>
      </c>
      <c r="E6854" s="5">
        <v>-28171</v>
      </c>
      <c r="F6854" s="3" t="s">
        <v>1075</v>
      </c>
      <c r="G6854" s="3" t="s">
        <v>44</v>
      </c>
      <c r="H6854" s="2" t="s">
        <v>20</v>
      </c>
      <c r="I6854" s="2" t="s">
        <v>13507</v>
      </c>
      <c r="J6854" s="3" t="str">
        <f>HYPERLINK("https://www.boe.es/gazeta/dias/1822/11/13/pdfs/GMD-1822-333.pdf#page=1","Abrir facsímil")</f>
        <v>Abrir facsímil</v>
      </c>
      <c r="K6854" s="3" t="s">
        <v>22</v>
      </c>
    </row>
    <row r="6855" spans="1:11" ht="42" customHeight="1">
      <c r="A6855" s="2" t="s">
        <v>13378</v>
      </c>
      <c r="B6855" s="2" t="s">
        <v>13378</v>
      </c>
      <c r="C6855" s="2" t="s">
        <v>50</v>
      </c>
      <c r="D6855" s="2" t="s">
        <v>51</v>
      </c>
      <c r="E6855" s="5">
        <v>-28171</v>
      </c>
      <c r="F6855" s="3" t="s">
        <v>1075</v>
      </c>
      <c r="G6855" s="3" t="s">
        <v>35</v>
      </c>
      <c r="H6855" s="2" t="s">
        <v>20</v>
      </c>
      <c r="I6855" s="2" t="s">
        <v>13508</v>
      </c>
      <c r="J6855" s="3" t="str">
        <f>HYPERLINK("https://www.boe.es/gazeta/dias/1822/11/13/pdfs/GMD-1822-333.pdf#page=2","Abrir facsímil")</f>
        <v>Abrir facsímil</v>
      </c>
      <c r="K6855" s="3" t="s">
        <v>22</v>
      </c>
    </row>
    <row r="6856" spans="1:11" ht="42" customHeight="1">
      <c r="A6856" s="2" t="s">
        <v>13378</v>
      </c>
      <c r="B6856" s="2" t="s">
        <v>13378</v>
      </c>
      <c r="C6856" s="2" t="s">
        <v>50</v>
      </c>
      <c r="D6856" s="2" t="s">
        <v>51</v>
      </c>
      <c r="E6856" s="5">
        <v>-28169</v>
      </c>
      <c r="F6856" s="3" t="s">
        <v>2571</v>
      </c>
      <c r="G6856" s="3" t="s">
        <v>57</v>
      </c>
      <c r="H6856" s="2" t="s">
        <v>20</v>
      </c>
      <c r="I6856" s="2" t="s">
        <v>13509</v>
      </c>
      <c r="J6856" s="3" t="str">
        <f>HYPERLINK("https://www.boe.es/gazeta/dias/1822/11/15/pdfs/GMD-1822-335.pdf#page=4","Abrir facsímil")</f>
        <v>Abrir facsímil</v>
      </c>
      <c r="K6856" s="3" t="s">
        <v>22</v>
      </c>
    </row>
    <row r="6857" spans="1:11" ht="42" customHeight="1">
      <c r="A6857" s="2" t="s">
        <v>13378</v>
      </c>
      <c r="B6857" s="2" t="s">
        <v>13378</v>
      </c>
      <c r="C6857" s="2" t="s">
        <v>71</v>
      </c>
      <c r="D6857" s="2" t="s">
        <v>17</v>
      </c>
      <c r="E6857" s="5">
        <v>-28169</v>
      </c>
      <c r="F6857" s="3" t="s">
        <v>2571</v>
      </c>
      <c r="G6857" s="3" t="s">
        <v>19</v>
      </c>
      <c r="H6857" s="2" t="s">
        <v>20</v>
      </c>
      <c r="I6857" s="2" t="s">
        <v>13510</v>
      </c>
      <c r="J6857" s="3" t="str">
        <f>HYPERLINK("https://www.boe.es/gazeta/dias/1822/11/15/pdfs/GMD-1822-335.pdf#page=5","Abrir facsímil")</f>
        <v>Abrir facsímil</v>
      </c>
      <c r="K6857" s="3" t="s">
        <v>22</v>
      </c>
    </row>
    <row r="6858" spans="1:11" ht="42" customHeight="1">
      <c r="A6858" s="2" t="s">
        <v>13378</v>
      </c>
      <c r="B6858" s="2" t="s">
        <v>13378</v>
      </c>
      <c r="C6858" s="2" t="s">
        <v>16</v>
      </c>
      <c r="D6858" s="2" t="s">
        <v>17</v>
      </c>
      <c r="E6858" s="5">
        <v>-28169</v>
      </c>
      <c r="F6858" s="3" t="s">
        <v>2571</v>
      </c>
      <c r="G6858" s="3" t="s">
        <v>63</v>
      </c>
      <c r="H6858" s="2" t="s">
        <v>20</v>
      </c>
      <c r="I6858" s="2" t="s">
        <v>13511</v>
      </c>
      <c r="J6858" s="3" t="str">
        <f>HYPERLINK("https://www.boe.es/gazeta/dias/1822/11/15/pdfs/GMD-1822-335.pdf#page=6","Abrir facsímil")</f>
        <v>Abrir facsímil</v>
      </c>
      <c r="K6858" s="3" t="s">
        <v>22</v>
      </c>
    </row>
    <row r="6859" spans="1:11" ht="42" customHeight="1">
      <c r="A6859" s="2" t="s">
        <v>13378</v>
      </c>
      <c r="B6859" s="2" t="s">
        <v>13378</v>
      </c>
      <c r="C6859" s="2" t="s">
        <v>50</v>
      </c>
      <c r="D6859" s="2" t="s">
        <v>51</v>
      </c>
      <c r="E6859" s="5">
        <v>-28168</v>
      </c>
      <c r="F6859" s="3" t="s">
        <v>3672</v>
      </c>
      <c r="G6859" s="3" t="s">
        <v>31</v>
      </c>
      <c r="H6859" s="2" t="s">
        <v>20</v>
      </c>
      <c r="I6859" s="2" t="s">
        <v>13512</v>
      </c>
      <c r="J6859" s="3" t="str">
        <f>HYPERLINK("https://www.boe.es/gazeta/dias/1822/11/16/pdfs/GMD-1822-336.pdf#page=3","Abrir facsímil")</f>
        <v>Abrir facsímil</v>
      </c>
      <c r="K6859" s="3" t="s">
        <v>22</v>
      </c>
    </row>
    <row r="6860" spans="1:11" ht="42" customHeight="1">
      <c r="A6860" s="2" t="s">
        <v>13378</v>
      </c>
      <c r="B6860" s="2" t="s">
        <v>13378</v>
      </c>
      <c r="C6860" s="2" t="s">
        <v>42</v>
      </c>
      <c r="D6860" s="2" t="s">
        <v>17</v>
      </c>
      <c r="E6860" s="5">
        <v>-28162</v>
      </c>
      <c r="F6860" s="3" t="s">
        <v>3949</v>
      </c>
      <c r="G6860" s="3" t="s">
        <v>35</v>
      </c>
      <c r="H6860" s="2" t="s">
        <v>20</v>
      </c>
      <c r="I6860" s="2" t="s">
        <v>13513</v>
      </c>
      <c r="J6860" s="3" t="str">
        <f>HYPERLINK("https://www.boe.es/gazeta/dias/1822/11/22/pdfs/GMD-1822-342.pdf#page=2","Abrir facsímil")</f>
        <v>Abrir facsímil</v>
      </c>
      <c r="K6860" s="3" t="s">
        <v>22</v>
      </c>
    </row>
    <row r="6861" spans="1:11" ht="42" customHeight="1">
      <c r="A6861" s="2" t="s">
        <v>13378</v>
      </c>
      <c r="B6861" s="2" t="s">
        <v>13378</v>
      </c>
      <c r="C6861" s="2" t="s">
        <v>42</v>
      </c>
      <c r="D6861" s="2" t="s">
        <v>17</v>
      </c>
      <c r="E6861" s="5">
        <v>-28162</v>
      </c>
      <c r="F6861" s="3" t="s">
        <v>3949</v>
      </c>
      <c r="G6861" s="3" t="s">
        <v>31</v>
      </c>
      <c r="H6861" s="2" t="s">
        <v>20</v>
      </c>
      <c r="I6861" s="2" t="s">
        <v>13514</v>
      </c>
      <c r="J6861" s="3" t="str">
        <f>HYPERLINK("https://www.boe.es/gazeta/dias/1822/11/22/pdfs/GMD-1822-342.pdf#page=3","Abrir facsímil")</f>
        <v>Abrir facsímil</v>
      </c>
      <c r="K6861" s="3" t="s">
        <v>22</v>
      </c>
    </row>
    <row r="6862" spans="1:11" ht="42" customHeight="1">
      <c r="A6862" s="2" t="s">
        <v>13378</v>
      </c>
      <c r="B6862" s="2" t="s">
        <v>13378</v>
      </c>
      <c r="C6862" s="2" t="s">
        <v>71</v>
      </c>
      <c r="D6862" s="2" t="s">
        <v>17</v>
      </c>
      <c r="E6862" s="5">
        <v>-28161</v>
      </c>
      <c r="F6862" s="3" t="s">
        <v>166</v>
      </c>
      <c r="G6862" s="3" t="s">
        <v>44</v>
      </c>
      <c r="H6862" s="2" t="s">
        <v>20</v>
      </c>
      <c r="I6862" s="2" t="s">
        <v>13515</v>
      </c>
      <c r="J6862" s="3" t="str">
        <f>HYPERLINK("https://www.boe.es/gazeta/dias/1822/11/23/pdfs/GMD-1822-343.pdf#page=1","Abrir facsímil")</f>
        <v>Abrir facsímil</v>
      </c>
      <c r="K6862" s="3" t="s">
        <v>22</v>
      </c>
    </row>
    <row r="6863" spans="1:11" ht="42" customHeight="1">
      <c r="A6863" s="2" t="s">
        <v>13378</v>
      </c>
      <c r="B6863" s="2" t="s">
        <v>13378</v>
      </c>
      <c r="C6863" s="2" t="s">
        <v>50</v>
      </c>
      <c r="D6863" s="2" t="s">
        <v>51</v>
      </c>
      <c r="E6863" s="5">
        <v>-28161</v>
      </c>
      <c r="F6863" s="3" t="s">
        <v>166</v>
      </c>
      <c r="G6863" s="3" t="s">
        <v>35</v>
      </c>
      <c r="H6863" s="2" t="s">
        <v>20</v>
      </c>
      <c r="I6863" s="2" t="s">
        <v>13516</v>
      </c>
      <c r="J6863" s="3" t="str">
        <f>HYPERLINK("https://www.boe.es/gazeta/dias/1822/11/23/pdfs/GMD-1822-343.pdf#page=2","Abrir facsímil")</f>
        <v>Abrir facsímil</v>
      </c>
      <c r="K6863" s="3" t="s">
        <v>22</v>
      </c>
    </row>
    <row r="6864" spans="1:11" ht="42" customHeight="1">
      <c r="A6864" s="2" t="s">
        <v>13378</v>
      </c>
      <c r="B6864" s="2" t="s">
        <v>13378</v>
      </c>
      <c r="C6864" s="2" t="s">
        <v>50</v>
      </c>
      <c r="D6864" s="2" t="s">
        <v>51</v>
      </c>
      <c r="E6864" s="5">
        <v>-28161</v>
      </c>
      <c r="F6864" s="3" t="s">
        <v>166</v>
      </c>
      <c r="G6864" s="3" t="s">
        <v>31</v>
      </c>
      <c r="H6864" s="2" t="s">
        <v>20</v>
      </c>
      <c r="I6864" s="2" t="s">
        <v>13517</v>
      </c>
      <c r="J6864" s="3" t="str">
        <f>HYPERLINK("https://www.boe.es/gazeta/dias/1822/11/23/pdfs/GMD-1822-343.pdf#page=3","Abrir facsímil")</f>
        <v>Abrir facsímil</v>
      </c>
      <c r="K6864" s="3" t="s">
        <v>22</v>
      </c>
    </row>
    <row r="6865" spans="1:11" ht="42" customHeight="1">
      <c r="A6865" s="2" t="s">
        <v>13378</v>
      </c>
      <c r="B6865" s="2" t="s">
        <v>13378</v>
      </c>
      <c r="C6865" s="2" t="s">
        <v>16</v>
      </c>
      <c r="D6865" s="2" t="s">
        <v>17</v>
      </c>
      <c r="E6865" s="5">
        <v>-28159</v>
      </c>
      <c r="F6865" s="3" t="s">
        <v>67</v>
      </c>
      <c r="G6865" s="3" t="s">
        <v>57</v>
      </c>
      <c r="H6865" s="2" t="s">
        <v>20</v>
      </c>
      <c r="I6865" s="2" t="s">
        <v>13518</v>
      </c>
      <c r="J6865" s="3" t="str">
        <f>HYPERLINK("https://www.boe.es/gazeta/dias/1822/11/25/pdfs/GMD-1822-345.pdf#page=4","Abrir facsímil")</f>
        <v>Abrir facsímil</v>
      </c>
      <c r="K6865" s="3" t="s">
        <v>22</v>
      </c>
    </row>
    <row r="6866" spans="1:11" ht="42" customHeight="1">
      <c r="A6866" s="2" t="s">
        <v>13378</v>
      </c>
      <c r="B6866" s="2" t="s">
        <v>13378</v>
      </c>
      <c r="C6866" s="2" t="s">
        <v>16</v>
      </c>
      <c r="D6866" s="2" t="s">
        <v>17</v>
      </c>
      <c r="E6866" s="5">
        <v>-28157</v>
      </c>
      <c r="F6866" s="3" t="s">
        <v>1492</v>
      </c>
      <c r="G6866" s="3" t="s">
        <v>19</v>
      </c>
      <c r="H6866" s="2" t="s">
        <v>20</v>
      </c>
      <c r="I6866" s="2" t="s">
        <v>13519</v>
      </c>
      <c r="J6866" s="3" t="str">
        <f>HYPERLINK("https://www.boe.es/gazeta/dias/1822/11/27/pdfs/GMD-1822-347.pdf#page=5","Abrir facsímil")</f>
        <v>Abrir facsímil</v>
      </c>
      <c r="K6866" s="3" t="s">
        <v>22</v>
      </c>
    </row>
    <row r="6867" spans="1:11" ht="42" customHeight="1">
      <c r="A6867" s="2" t="s">
        <v>13378</v>
      </c>
      <c r="B6867" s="2" t="s">
        <v>13378</v>
      </c>
      <c r="C6867" s="2" t="s">
        <v>42</v>
      </c>
      <c r="D6867" s="2" t="s">
        <v>17</v>
      </c>
      <c r="E6867" s="5">
        <v>-28156</v>
      </c>
      <c r="F6867" s="3" t="s">
        <v>1568</v>
      </c>
      <c r="G6867" s="3" t="s">
        <v>35</v>
      </c>
      <c r="H6867" s="2" t="s">
        <v>20</v>
      </c>
      <c r="I6867" s="2" t="s">
        <v>13520</v>
      </c>
      <c r="J6867" s="3" t="str">
        <f>HYPERLINK("https://www.boe.es/gazeta/dias/1822/11/28/pdfs/GMD-1822-348.pdf#page=2","Abrir facsímil")</f>
        <v>Abrir facsímil</v>
      </c>
      <c r="K6867" s="3" t="s">
        <v>22</v>
      </c>
    </row>
    <row r="6868" spans="1:11" ht="42" customHeight="1">
      <c r="A6868" s="2" t="s">
        <v>13378</v>
      </c>
      <c r="B6868" s="2" t="s">
        <v>13378</v>
      </c>
      <c r="C6868" s="2" t="s">
        <v>42</v>
      </c>
      <c r="D6868" s="2" t="s">
        <v>17</v>
      </c>
      <c r="E6868" s="5">
        <v>-28156</v>
      </c>
      <c r="F6868" s="3" t="s">
        <v>1568</v>
      </c>
      <c r="G6868" s="3" t="s">
        <v>31</v>
      </c>
      <c r="H6868" s="2" t="s">
        <v>20</v>
      </c>
      <c r="I6868" s="2" t="s">
        <v>13521</v>
      </c>
      <c r="J6868" s="3" t="str">
        <f>HYPERLINK("https://www.boe.es/gazeta/dias/1822/11/28/pdfs/GMD-1822-348.pdf#page=3","Abrir facsímil")</f>
        <v>Abrir facsímil</v>
      </c>
      <c r="K6868" s="3" t="s">
        <v>22</v>
      </c>
    </row>
    <row r="6869" spans="1:11" ht="42" customHeight="1">
      <c r="A6869" s="2" t="s">
        <v>13378</v>
      </c>
      <c r="B6869" s="2" t="s">
        <v>13378</v>
      </c>
      <c r="C6869" s="2" t="s">
        <v>50</v>
      </c>
      <c r="D6869" s="2" t="s">
        <v>51</v>
      </c>
      <c r="E6869" s="5">
        <v>-28156</v>
      </c>
      <c r="F6869" s="3" t="s">
        <v>1568</v>
      </c>
      <c r="G6869" s="3" t="s">
        <v>19</v>
      </c>
      <c r="H6869" s="2" t="s">
        <v>20</v>
      </c>
      <c r="I6869" s="2" t="s">
        <v>13522</v>
      </c>
      <c r="J6869" s="3" t="str">
        <f>HYPERLINK("https://www.boe.es/gazeta/dias/1822/11/28/pdfs/GMD-1822-348.pdf#page=5","Abrir facsímil")</f>
        <v>Abrir facsímil</v>
      </c>
      <c r="K6869" s="3" t="s">
        <v>22</v>
      </c>
    </row>
    <row r="6870" spans="1:11" ht="42" customHeight="1">
      <c r="A6870" s="2" t="s">
        <v>13378</v>
      </c>
      <c r="B6870" s="2" t="s">
        <v>13378</v>
      </c>
      <c r="C6870" s="2" t="s">
        <v>42</v>
      </c>
      <c r="D6870" s="2" t="s">
        <v>17</v>
      </c>
      <c r="E6870" s="5">
        <v>-28155</v>
      </c>
      <c r="F6870" s="3" t="s">
        <v>833</v>
      </c>
      <c r="G6870" s="3" t="s">
        <v>31</v>
      </c>
      <c r="H6870" s="2" t="s">
        <v>20</v>
      </c>
      <c r="I6870" s="2" t="s">
        <v>13523</v>
      </c>
      <c r="J6870" s="3" t="str">
        <f>HYPERLINK("https://www.boe.es/gazeta/dias/1822/11/29/pdfs/GMD-1822-349.pdf#page=3","Abrir facsímil")</f>
        <v>Abrir facsímil</v>
      </c>
      <c r="K6870" s="3" t="s">
        <v>22</v>
      </c>
    </row>
    <row r="6871" spans="1:11" ht="42" customHeight="1">
      <c r="A6871" s="2" t="s">
        <v>13378</v>
      </c>
      <c r="B6871" s="2" t="s">
        <v>13378</v>
      </c>
      <c r="C6871" s="2" t="s">
        <v>50</v>
      </c>
      <c r="D6871" s="2" t="s">
        <v>51</v>
      </c>
      <c r="E6871" s="5">
        <v>-28154</v>
      </c>
      <c r="F6871" s="3" t="s">
        <v>2321</v>
      </c>
      <c r="G6871" s="3" t="s">
        <v>35</v>
      </c>
      <c r="H6871" s="2" t="s">
        <v>20</v>
      </c>
      <c r="I6871" s="2" t="s">
        <v>13524</v>
      </c>
      <c r="J6871" s="3" t="str">
        <f>HYPERLINK("https://www.boe.es/gazeta/dias/1822/11/30/pdfs/GMD-1822-350.pdf#page=2","Abrir facsímil")</f>
        <v>Abrir facsímil</v>
      </c>
      <c r="K6871" s="3" t="s">
        <v>22</v>
      </c>
    </row>
    <row r="6872" spans="1:11" ht="42" customHeight="1">
      <c r="A6872" s="2" t="s">
        <v>13378</v>
      </c>
      <c r="B6872" s="2" t="s">
        <v>13378</v>
      </c>
      <c r="C6872" s="2" t="s">
        <v>24</v>
      </c>
      <c r="D6872" s="2" t="s">
        <v>17</v>
      </c>
      <c r="E6872" s="5">
        <v>-28153</v>
      </c>
      <c r="F6872" s="3" t="s">
        <v>946</v>
      </c>
      <c r="G6872" s="3" t="s">
        <v>31</v>
      </c>
      <c r="H6872" s="2" t="s">
        <v>20</v>
      </c>
      <c r="I6872" s="2" t="s">
        <v>13525</v>
      </c>
      <c r="J6872" s="3" t="str">
        <f>HYPERLINK("https://www.boe.es/gazeta/dias/1822/12/01/pdfs/GMD-1822-351.pdf#page=3","Abrir facsímil")</f>
        <v>Abrir facsímil</v>
      </c>
      <c r="K6872" s="3" t="s">
        <v>22</v>
      </c>
    </row>
    <row r="6873" spans="1:11" ht="42" customHeight="1">
      <c r="A6873" s="2" t="s">
        <v>13378</v>
      </c>
      <c r="B6873" s="2" t="s">
        <v>13378</v>
      </c>
      <c r="C6873" s="2" t="s">
        <v>50</v>
      </c>
      <c r="D6873" s="2" t="s">
        <v>51</v>
      </c>
      <c r="E6873" s="5">
        <v>-28153</v>
      </c>
      <c r="F6873" s="3" t="s">
        <v>946</v>
      </c>
      <c r="G6873" s="3" t="s">
        <v>57</v>
      </c>
      <c r="H6873" s="2" t="s">
        <v>20</v>
      </c>
      <c r="I6873" s="2" t="s">
        <v>13526</v>
      </c>
      <c r="J6873" s="3" t="str">
        <f>HYPERLINK("https://www.boe.es/gazeta/dias/1822/12/01/pdfs/GMD-1822-351.pdf#page=4","Abrir facsímil")</f>
        <v>Abrir facsímil</v>
      </c>
      <c r="K6873" s="3" t="s">
        <v>22</v>
      </c>
    </row>
    <row r="6874" spans="1:11" ht="42" customHeight="1">
      <c r="A6874" s="2" t="s">
        <v>13378</v>
      </c>
      <c r="B6874" s="2" t="s">
        <v>13378</v>
      </c>
      <c r="C6874" s="2" t="s">
        <v>24</v>
      </c>
      <c r="D6874" s="2" t="s">
        <v>17</v>
      </c>
      <c r="E6874" s="5">
        <v>-28152</v>
      </c>
      <c r="F6874" s="3" t="s">
        <v>122</v>
      </c>
      <c r="G6874" s="3" t="s">
        <v>31</v>
      </c>
      <c r="H6874" s="2" t="s">
        <v>20</v>
      </c>
      <c r="I6874" s="2" t="s">
        <v>13527</v>
      </c>
      <c r="J6874" s="3" t="str">
        <f>HYPERLINK("https://www.boe.es/gazeta/dias/1822/12/02/pdfs/GMD-1822-352.pdf#page=3","Abrir facsímil")</f>
        <v>Abrir facsímil</v>
      </c>
      <c r="K6874" s="3" t="s">
        <v>22</v>
      </c>
    </row>
    <row r="6875" spans="1:11" ht="42" customHeight="1">
      <c r="A6875" s="2" t="s">
        <v>13378</v>
      </c>
      <c r="B6875" s="2" t="s">
        <v>13378</v>
      </c>
      <c r="C6875" s="2" t="s">
        <v>24</v>
      </c>
      <c r="D6875" s="2" t="s">
        <v>17</v>
      </c>
      <c r="E6875" s="5">
        <v>-28150</v>
      </c>
      <c r="F6875" s="3" t="s">
        <v>62</v>
      </c>
      <c r="G6875" s="3" t="s">
        <v>57</v>
      </c>
      <c r="H6875" s="2" t="s">
        <v>20</v>
      </c>
      <c r="I6875" s="2" t="s">
        <v>13528</v>
      </c>
      <c r="J6875" s="3" t="str">
        <f>HYPERLINK("https://www.boe.es/gazeta/dias/1822/12/04/pdfs/GMD-1822-354.pdf#page=4","Abrir facsímil")</f>
        <v>Abrir facsímil</v>
      </c>
      <c r="K6875" s="3" t="s">
        <v>22</v>
      </c>
    </row>
    <row r="6876" spans="1:11" ht="42" customHeight="1">
      <c r="A6876" s="2" t="s">
        <v>13378</v>
      </c>
      <c r="B6876" s="2" t="s">
        <v>13378</v>
      </c>
      <c r="C6876" s="2" t="s">
        <v>42</v>
      </c>
      <c r="D6876" s="2" t="s">
        <v>17</v>
      </c>
      <c r="E6876" s="5">
        <v>-28147</v>
      </c>
      <c r="F6876" s="3" t="s">
        <v>1611</v>
      </c>
      <c r="G6876" s="3" t="s">
        <v>35</v>
      </c>
      <c r="H6876" s="2" t="s">
        <v>20</v>
      </c>
      <c r="I6876" s="2" t="s">
        <v>13529</v>
      </c>
      <c r="J6876" s="3" t="str">
        <f>HYPERLINK("https://www.boe.es/gazeta/dias/1822/12/07/pdfs/GMD-1822-357.pdf#page=2","Abrir facsímil")</f>
        <v>Abrir facsímil</v>
      </c>
      <c r="K6876" s="3" t="s">
        <v>22</v>
      </c>
    </row>
    <row r="6877" spans="1:11" ht="42" customHeight="1">
      <c r="A6877" s="2" t="s">
        <v>13378</v>
      </c>
      <c r="B6877" s="2" t="s">
        <v>13378</v>
      </c>
      <c r="C6877" s="2" t="s">
        <v>42</v>
      </c>
      <c r="D6877" s="2" t="s">
        <v>17</v>
      </c>
      <c r="E6877" s="5">
        <v>-28147</v>
      </c>
      <c r="F6877" s="3" t="s">
        <v>1611</v>
      </c>
      <c r="G6877" s="3" t="s">
        <v>31</v>
      </c>
      <c r="H6877" s="2" t="s">
        <v>20</v>
      </c>
      <c r="I6877" s="2" t="s">
        <v>13530</v>
      </c>
      <c r="J6877" s="3" t="str">
        <f>HYPERLINK("https://www.boe.es/gazeta/dias/1822/12/07/pdfs/GMD-1822-357.pdf#page=3","Abrir facsímil")</f>
        <v>Abrir facsímil</v>
      </c>
      <c r="K6877" s="3" t="s">
        <v>22</v>
      </c>
    </row>
    <row r="6878" spans="1:11" ht="42" customHeight="1">
      <c r="A6878" s="2" t="s">
        <v>13378</v>
      </c>
      <c r="B6878" s="2" t="s">
        <v>13378</v>
      </c>
      <c r="C6878" s="2" t="s">
        <v>71</v>
      </c>
      <c r="D6878" s="2" t="s">
        <v>17</v>
      </c>
      <c r="E6878" s="5">
        <v>-28129</v>
      </c>
      <c r="F6878" s="3" t="s">
        <v>599</v>
      </c>
      <c r="G6878" s="3" t="s">
        <v>44</v>
      </c>
      <c r="H6878" s="2" t="s">
        <v>20</v>
      </c>
      <c r="I6878" s="2" t="s">
        <v>13531</v>
      </c>
      <c r="J6878" s="3" t="str">
        <f>HYPERLINK("https://www.boe.es/gazeta/dias/1822/12/25/pdfs/GMD-1822-375.pdf#page=1","Abrir facsímil")</f>
        <v>Abrir facsímil</v>
      </c>
      <c r="K6878" s="3" t="s">
        <v>22</v>
      </c>
    </row>
    <row r="6879" spans="1:11" ht="42" customHeight="1">
      <c r="A6879" s="2" t="s">
        <v>13378</v>
      </c>
      <c r="B6879" s="2" t="s">
        <v>13378</v>
      </c>
      <c r="C6879" s="2" t="s">
        <v>71</v>
      </c>
      <c r="D6879" s="2" t="s">
        <v>17</v>
      </c>
      <c r="E6879" s="5">
        <v>-28129</v>
      </c>
      <c r="F6879" s="3" t="s">
        <v>599</v>
      </c>
      <c r="G6879" s="3" t="s">
        <v>35</v>
      </c>
      <c r="H6879" s="2" t="s">
        <v>20</v>
      </c>
      <c r="I6879" s="2" t="s">
        <v>13532</v>
      </c>
      <c r="J6879" s="3" t="str">
        <f>HYPERLINK("https://www.boe.es/gazeta/dias/1822/12/25/pdfs/GMD-1822-375.pdf#page=2","Abrir facsímil")</f>
        <v>Abrir facsímil</v>
      </c>
      <c r="K6879" s="3" t="s">
        <v>22</v>
      </c>
    </row>
    <row r="6880" spans="1:11" ht="42" customHeight="1">
      <c r="A6880" s="2" t="s">
        <v>13378</v>
      </c>
      <c r="B6880" s="2" t="s">
        <v>13378</v>
      </c>
      <c r="C6880" s="2" t="s">
        <v>50</v>
      </c>
      <c r="D6880" s="2" t="s">
        <v>51</v>
      </c>
      <c r="E6880" s="5">
        <v>-28125</v>
      </c>
      <c r="F6880" s="3" t="s">
        <v>322</v>
      </c>
      <c r="G6880" s="3" t="s">
        <v>57</v>
      </c>
      <c r="H6880" s="2" t="s">
        <v>20</v>
      </c>
      <c r="I6880" s="2" t="s">
        <v>13533</v>
      </c>
      <c r="J6880" s="3" t="str">
        <f>HYPERLINK("https://www.boe.es/gazeta/dias/1822/12/29/pdfs/GMD-1822-379.pdf#page=4","Abrir facsímil")</f>
        <v>Abrir facsímil</v>
      </c>
      <c r="K6880" s="3" t="s">
        <v>22</v>
      </c>
    </row>
    <row r="6881" spans="1:11" ht="42" customHeight="1">
      <c r="A6881" s="2" t="s">
        <v>13378</v>
      </c>
      <c r="B6881" s="2" t="s">
        <v>13378</v>
      </c>
      <c r="C6881" s="2" t="s">
        <v>42</v>
      </c>
      <c r="D6881" s="2" t="s">
        <v>17</v>
      </c>
      <c r="E6881" s="5">
        <v>-28125</v>
      </c>
      <c r="F6881" s="3" t="s">
        <v>322</v>
      </c>
      <c r="G6881" s="3" t="s">
        <v>19</v>
      </c>
      <c r="H6881" s="2" t="s">
        <v>20</v>
      </c>
      <c r="I6881" s="2" t="s">
        <v>13534</v>
      </c>
      <c r="J6881" s="3" t="str">
        <f>HYPERLINK("https://www.boe.es/gazeta/dias/1822/12/29/pdfs/GMD-1822-379.pdf#page=5","Abrir facsímil")</f>
        <v>Abrir facsímil</v>
      </c>
      <c r="K6881" s="3" t="s">
        <v>22</v>
      </c>
    </row>
    <row r="6882" spans="1:11" ht="42" customHeight="1">
      <c r="A6882" s="2" t="s">
        <v>13535</v>
      </c>
      <c r="B6882" s="2" t="s">
        <v>13536</v>
      </c>
      <c r="C6882" s="2" t="s">
        <v>28</v>
      </c>
      <c r="D6882" s="2" t="s">
        <v>29</v>
      </c>
      <c r="E6882" s="5">
        <v>-28391</v>
      </c>
      <c r="F6882" s="3" t="s">
        <v>378</v>
      </c>
      <c r="G6882" s="3" t="s">
        <v>63</v>
      </c>
      <c r="H6882" s="2" t="s">
        <v>20</v>
      </c>
      <c r="I6882" s="2" t="s">
        <v>13537</v>
      </c>
      <c r="J6882" s="3" t="str">
        <f>HYPERLINK("https://www.boe.es/gazeta/dias/1822/04/07/pdfs/GMD-1822-99.pdf#page=6","Abrir facsímil")</f>
        <v>Abrir facsímil</v>
      </c>
      <c r="K6882" s="3" t="s">
        <v>22</v>
      </c>
    </row>
    <row r="6883" spans="1:11" ht="42" customHeight="1">
      <c r="A6883" s="2" t="s">
        <v>13535</v>
      </c>
      <c r="B6883" s="2" t="s">
        <v>13536</v>
      </c>
      <c r="C6883" s="2" t="s">
        <v>28</v>
      </c>
      <c r="D6883" s="2" t="s">
        <v>29</v>
      </c>
      <c r="E6883" s="5">
        <v>-28366</v>
      </c>
      <c r="F6883" s="3" t="s">
        <v>120</v>
      </c>
      <c r="G6883" s="3" t="s">
        <v>63</v>
      </c>
      <c r="H6883" s="2" t="s">
        <v>20</v>
      </c>
      <c r="I6883" s="2" t="s">
        <v>13538</v>
      </c>
      <c r="J6883" s="3" t="str">
        <f>HYPERLINK("https://www.boe.es/gazeta/dias/1822/05/02/pdfs/GMD-1822-124.pdf#page=6","Abrir facsímil")</f>
        <v>Abrir facsímil</v>
      </c>
      <c r="K6883" s="3" t="s">
        <v>22</v>
      </c>
    </row>
    <row r="6884" spans="1:11" ht="42" customHeight="1">
      <c r="A6884" s="2" t="s">
        <v>13539</v>
      </c>
      <c r="B6884" s="2" t="s">
        <v>13539</v>
      </c>
      <c r="C6884" s="2" t="s">
        <v>50</v>
      </c>
      <c r="D6884" s="2" t="s">
        <v>51</v>
      </c>
      <c r="E6884" s="5">
        <v>-28184</v>
      </c>
      <c r="F6884" s="3" t="s">
        <v>1423</v>
      </c>
      <c r="G6884" s="3" t="s">
        <v>35</v>
      </c>
      <c r="H6884" s="2" t="s">
        <v>20</v>
      </c>
      <c r="I6884" s="2" t="s">
        <v>13540</v>
      </c>
      <c r="J6884" s="3" t="str">
        <f>HYPERLINK("https://www.boe.es/gazeta/dias/1822/10/31/pdfs/GMD-1822-318.pdf#page=2","Abrir facsímil")</f>
        <v>Abrir facsímil</v>
      </c>
      <c r="K6884" s="3" t="s">
        <v>22</v>
      </c>
    </row>
    <row r="6885" spans="1:11" ht="42" customHeight="1">
      <c r="A6885" s="2" t="s">
        <v>13541</v>
      </c>
      <c r="B6885" s="2" t="s">
        <v>13541</v>
      </c>
      <c r="C6885" s="2" t="s">
        <v>71</v>
      </c>
      <c r="D6885" s="2" t="s">
        <v>17</v>
      </c>
      <c r="E6885" s="5">
        <v>-28337</v>
      </c>
      <c r="F6885" s="3" t="s">
        <v>1836</v>
      </c>
      <c r="G6885" s="3" t="s">
        <v>35</v>
      </c>
      <c r="H6885" s="2" t="s">
        <v>20</v>
      </c>
      <c r="I6885" s="2" t="s">
        <v>13542</v>
      </c>
      <c r="J6885" s="3" t="str">
        <f>HYPERLINK("https://www.boe.es/gazeta/dias/1822/05/31/pdfs/GMD-1822-156.pdf#page=2","Abrir facsímil")</f>
        <v>Abrir facsímil</v>
      </c>
      <c r="K6885" s="3" t="s">
        <v>22</v>
      </c>
    </row>
    <row r="6886" spans="1:11" ht="42" customHeight="1">
      <c r="A6886" s="2" t="s">
        <v>13543</v>
      </c>
      <c r="B6886" s="2" t="s">
        <v>13543</v>
      </c>
      <c r="C6886" s="2" t="s">
        <v>50</v>
      </c>
      <c r="D6886" s="2" t="s">
        <v>51</v>
      </c>
      <c r="E6886" s="5">
        <v>-28417</v>
      </c>
      <c r="F6886" s="3" t="s">
        <v>1394</v>
      </c>
      <c r="G6886" s="3" t="s">
        <v>57</v>
      </c>
      <c r="H6886" s="2" t="s">
        <v>20</v>
      </c>
      <c r="I6886" s="2" t="s">
        <v>13544</v>
      </c>
      <c r="J6886" s="3" t="str">
        <f>HYPERLINK("https://www.boe.es/gazeta/dias/1822/03/12/pdfs/GMD-1822-73.pdf#page=4","Abrir facsímil")</f>
        <v>Abrir facsímil</v>
      </c>
      <c r="K6886" s="3" t="s">
        <v>22</v>
      </c>
    </row>
    <row r="6887" spans="1:11" ht="42" customHeight="1">
      <c r="A6887" s="2" t="s">
        <v>13543</v>
      </c>
      <c r="B6887" s="2" t="s">
        <v>13543</v>
      </c>
      <c r="C6887" s="2" t="s">
        <v>71</v>
      </c>
      <c r="D6887" s="2" t="s">
        <v>17</v>
      </c>
      <c r="E6887" s="5">
        <v>-28415</v>
      </c>
      <c r="F6887" s="3" t="s">
        <v>77</v>
      </c>
      <c r="G6887" s="3" t="s">
        <v>19</v>
      </c>
      <c r="H6887" s="2" t="s">
        <v>20</v>
      </c>
      <c r="I6887" s="2" t="s">
        <v>13545</v>
      </c>
      <c r="J6887" s="3" t="str">
        <f>HYPERLINK("https://www.boe.es/gazeta/dias/1822/03/14/pdfs/GMD-1822-75.pdf#page=5","Abrir facsímil")</f>
        <v>Abrir facsímil</v>
      </c>
      <c r="K6887" s="3" t="s">
        <v>22</v>
      </c>
    </row>
    <row r="6888" spans="1:11" ht="42" customHeight="1">
      <c r="A6888" s="2" t="s">
        <v>13543</v>
      </c>
      <c r="B6888" s="2" t="s">
        <v>13543</v>
      </c>
      <c r="C6888" s="2" t="s">
        <v>28</v>
      </c>
      <c r="D6888" s="2" t="s">
        <v>29</v>
      </c>
      <c r="E6888" s="5">
        <v>-28411</v>
      </c>
      <c r="F6888" s="3" t="s">
        <v>1509</v>
      </c>
      <c r="G6888" s="3" t="s">
        <v>57</v>
      </c>
      <c r="H6888" s="2" t="s">
        <v>20</v>
      </c>
      <c r="I6888" s="2" t="s">
        <v>13546</v>
      </c>
      <c r="J6888" s="3" t="str">
        <f>HYPERLINK("https://www.boe.es/gazeta/dias/1822/03/18/pdfs/GMD-1822-79.pdf#page=4","Abrir facsímil")</f>
        <v>Abrir facsímil</v>
      </c>
      <c r="K6888" s="3" t="s">
        <v>22</v>
      </c>
    </row>
    <row r="6889" spans="1:11" ht="42" customHeight="1">
      <c r="A6889" s="2" t="s">
        <v>13543</v>
      </c>
      <c r="B6889" s="2" t="s">
        <v>13543</v>
      </c>
      <c r="C6889" s="2" t="s">
        <v>50</v>
      </c>
      <c r="D6889" s="2" t="s">
        <v>51</v>
      </c>
      <c r="E6889" s="5">
        <v>-28406</v>
      </c>
      <c r="F6889" s="3" t="s">
        <v>462</v>
      </c>
      <c r="G6889" s="3" t="s">
        <v>63</v>
      </c>
      <c r="H6889" s="2" t="s">
        <v>20</v>
      </c>
      <c r="I6889" s="2" t="s">
        <v>13547</v>
      </c>
      <c r="J6889" s="3" t="str">
        <f>HYPERLINK("https://www.boe.es/gazeta/dias/1822/03/23/pdfs/GMD-1822-84.pdf#page=6","Abrir facsímil")</f>
        <v>Abrir facsímil</v>
      </c>
      <c r="K6889" s="3" t="s">
        <v>22</v>
      </c>
    </row>
    <row r="6890" spans="1:11" ht="42" customHeight="1">
      <c r="A6890" s="2" t="s">
        <v>13543</v>
      </c>
      <c r="B6890" s="2" t="s">
        <v>13543</v>
      </c>
      <c r="C6890" s="2" t="s">
        <v>28</v>
      </c>
      <c r="D6890" s="2" t="s">
        <v>29</v>
      </c>
      <c r="E6890" s="5">
        <v>-28397</v>
      </c>
      <c r="F6890" s="3" t="s">
        <v>1401</v>
      </c>
      <c r="G6890" s="3" t="s">
        <v>57</v>
      </c>
      <c r="H6890" s="2" t="s">
        <v>20</v>
      </c>
      <c r="I6890" s="2" t="s">
        <v>13548</v>
      </c>
      <c r="J6890" s="3" t="str">
        <f>HYPERLINK("https://www.boe.es/gazeta/dias/1822/04/01/pdfs/GMD-1822-93.pdf#page=4","Abrir facsímil")</f>
        <v>Abrir facsímil</v>
      </c>
      <c r="K6890" s="3" t="s">
        <v>22</v>
      </c>
    </row>
    <row r="6891" spans="1:11" ht="42" customHeight="1">
      <c r="A6891" s="2" t="s">
        <v>13549</v>
      </c>
      <c r="B6891" s="2" t="s">
        <v>13549</v>
      </c>
      <c r="C6891" s="2" t="s">
        <v>50</v>
      </c>
      <c r="D6891" s="2" t="s">
        <v>51</v>
      </c>
      <c r="E6891" s="5">
        <v>-28188</v>
      </c>
      <c r="F6891" s="3" t="s">
        <v>578</v>
      </c>
      <c r="G6891" s="3" t="s">
        <v>57</v>
      </c>
      <c r="H6891" s="2" t="s">
        <v>20</v>
      </c>
      <c r="I6891" s="2" t="s">
        <v>13550</v>
      </c>
      <c r="J6891" s="3" t="str">
        <f>HYPERLINK("https://www.boe.es/gazeta/dias/1822/10/27/pdfs/GMD-1822-314.pdf#page=4","Abrir facsímil")</f>
        <v>Abrir facsímil</v>
      </c>
      <c r="K6891" s="3" t="s">
        <v>22</v>
      </c>
    </row>
    <row r="6892" spans="1:11" ht="42" customHeight="1">
      <c r="A6892" s="2" t="s">
        <v>13551</v>
      </c>
      <c r="B6892" s="2" t="s">
        <v>13552</v>
      </c>
      <c r="C6892" s="2" t="s">
        <v>50</v>
      </c>
      <c r="D6892" s="2" t="s">
        <v>51</v>
      </c>
      <c r="E6892" s="5">
        <v>-28395</v>
      </c>
      <c r="F6892" s="3" t="s">
        <v>237</v>
      </c>
      <c r="G6892" s="3" t="s">
        <v>31</v>
      </c>
      <c r="H6892" s="2" t="s">
        <v>20</v>
      </c>
      <c r="I6892" s="2" t="s">
        <v>13553</v>
      </c>
      <c r="J6892" s="3" t="str">
        <f>HYPERLINK("https://www.boe.es/gazeta/dias/1822/04/03/pdfs/GMD-1822-95.pdf#page=3","Abrir facsímil")</f>
        <v>Abrir facsímil</v>
      </c>
      <c r="K6892" s="3" t="s">
        <v>22</v>
      </c>
    </row>
    <row r="6893" spans="1:11" ht="42" customHeight="1">
      <c r="A6893" s="2" t="s">
        <v>13554</v>
      </c>
      <c r="B6893" s="2" t="s">
        <v>13554</v>
      </c>
      <c r="C6893" s="2" t="s">
        <v>24</v>
      </c>
      <c r="D6893" s="2" t="s">
        <v>17</v>
      </c>
      <c r="E6893" s="5">
        <v>-28150</v>
      </c>
      <c r="F6893" s="3" t="s">
        <v>62</v>
      </c>
      <c r="G6893" s="3" t="s">
        <v>57</v>
      </c>
      <c r="H6893" s="2" t="s">
        <v>20</v>
      </c>
      <c r="I6893" s="2" t="s">
        <v>13555</v>
      </c>
      <c r="J6893" s="3" t="str">
        <f>HYPERLINK("https://www.boe.es/gazeta/dias/1822/12/04/pdfs/GMD-1822-354.pdf#page=4","Abrir facsímil")</f>
        <v>Abrir facsímil</v>
      </c>
      <c r="K6893" s="3" t="s">
        <v>22</v>
      </c>
    </row>
    <row r="6894" spans="1:11" ht="42" customHeight="1">
      <c r="A6894" s="2" t="s">
        <v>13556</v>
      </c>
      <c r="B6894" s="2" t="s">
        <v>13556</v>
      </c>
      <c r="C6894" s="2" t="s">
        <v>42</v>
      </c>
      <c r="D6894" s="2" t="s">
        <v>17</v>
      </c>
      <c r="E6894" s="5">
        <v>-28147</v>
      </c>
      <c r="F6894" s="3" t="s">
        <v>1611</v>
      </c>
      <c r="G6894" s="3" t="s">
        <v>31</v>
      </c>
      <c r="H6894" s="2" t="s">
        <v>20</v>
      </c>
      <c r="I6894" s="2" t="s">
        <v>13557</v>
      </c>
      <c r="J6894" s="3" t="str">
        <f>HYPERLINK("https://www.boe.es/gazeta/dias/1822/12/07/pdfs/GMD-1822-357.pdf#page=3","Abrir facsímil")</f>
        <v>Abrir facsímil</v>
      </c>
      <c r="K6894" s="3" t="s">
        <v>22</v>
      </c>
    </row>
    <row r="6895" spans="1:11" ht="42" customHeight="1">
      <c r="A6895" s="2" t="s">
        <v>13558</v>
      </c>
      <c r="B6895" s="2" t="s">
        <v>13558</v>
      </c>
      <c r="C6895" s="2" t="s">
        <v>71</v>
      </c>
      <c r="D6895" s="2" t="s">
        <v>17</v>
      </c>
      <c r="E6895" s="5">
        <v>-28422</v>
      </c>
      <c r="F6895" s="3" t="s">
        <v>416</v>
      </c>
      <c r="G6895" s="3" t="s">
        <v>31</v>
      </c>
      <c r="H6895" s="2" t="s">
        <v>20</v>
      </c>
      <c r="I6895" s="2" t="s">
        <v>13559</v>
      </c>
      <c r="J6895" s="3" t="str">
        <f>HYPERLINK("https://www.boe.es/gazeta/dias/1822/03/07/pdfs/GMD-1822-68.pdf#page=3","Abrir facsímil")</f>
        <v>Abrir facsímil</v>
      </c>
      <c r="K6895" s="3" t="s">
        <v>22</v>
      </c>
    </row>
    <row r="6896" spans="1:11" ht="42" customHeight="1">
      <c r="A6896" s="2" t="s">
        <v>13560</v>
      </c>
      <c r="B6896" s="2" t="s">
        <v>13560</v>
      </c>
      <c r="C6896" s="2" t="s">
        <v>71</v>
      </c>
      <c r="D6896" s="2" t="s">
        <v>17</v>
      </c>
      <c r="E6896" s="5">
        <v>-28150</v>
      </c>
      <c r="F6896" s="3" t="s">
        <v>62</v>
      </c>
      <c r="G6896" s="3" t="s">
        <v>31</v>
      </c>
      <c r="H6896" s="2" t="s">
        <v>20</v>
      </c>
      <c r="I6896" s="2" t="s">
        <v>13561</v>
      </c>
      <c r="J6896" s="3" t="str">
        <f>HYPERLINK("https://www.boe.es/gazeta/dias/1822/12/04/pdfs/GMD-1822-354.pdf#page=3","Abrir facsímil")</f>
        <v>Abrir facsímil</v>
      </c>
      <c r="K6896" s="3" t="s">
        <v>22</v>
      </c>
    </row>
    <row r="6897" spans="1:11" ht="42" customHeight="1">
      <c r="A6897" s="2" t="s">
        <v>13562</v>
      </c>
      <c r="B6897" s="2" t="s">
        <v>13562</v>
      </c>
      <c r="C6897" s="2" t="s">
        <v>71</v>
      </c>
      <c r="D6897" s="2" t="s">
        <v>17</v>
      </c>
      <c r="E6897" s="5">
        <v>-28350</v>
      </c>
      <c r="F6897" s="3" t="s">
        <v>352</v>
      </c>
      <c r="G6897" s="3" t="s">
        <v>31</v>
      </c>
      <c r="H6897" s="2" t="s">
        <v>20</v>
      </c>
      <c r="I6897" s="2" t="s">
        <v>13563</v>
      </c>
      <c r="J6897" s="3" t="str">
        <f>HYPERLINK("https://www.boe.es/gazeta/dias/1822/05/18/pdfs/GMD-1822-140.pdf#page=3","Abrir facsímil")</f>
        <v>Abrir facsímil</v>
      </c>
      <c r="K6897" s="3" t="s">
        <v>22</v>
      </c>
    </row>
    <row r="6898" spans="1:11" ht="42" customHeight="1">
      <c r="A6898" s="2" t="s">
        <v>13564</v>
      </c>
      <c r="B6898" s="2" t="s">
        <v>13564</v>
      </c>
      <c r="C6898" s="2" t="s">
        <v>16</v>
      </c>
      <c r="D6898" s="2" t="s">
        <v>17</v>
      </c>
      <c r="E6898" s="5">
        <v>-28382</v>
      </c>
      <c r="F6898" s="3" t="s">
        <v>973</v>
      </c>
      <c r="G6898" s="3" t="s">
        <v>57</v>
      </c>
      <c r="H6898" s="2" t="s">
        <v>20</v>
      </c>
      <c r="I6898" s="2" t="s">
        <v>13565</v>
      </c>
      <c r="J6898" s="3" t="str">
        <f>HYPERLINK("https://www.boe.es/gazeta/dias/1822/04/16/pdfs/GMD-1822-108.pdf#page=4","Abrir facsímil")</f>
        <v>Abrir facsímil</v>
      </c>
      <c r="K6898" s="3" t="s">
        <v>22</v>
      </c>
    </row>
    <row r="6899" spans="1:11" ht="42" customHeight="1">
      <c r="A6899" s="2" t="s">
        <v>13566</v>
      </c>
      <c r="B6899" s="2" t="s">
        <v>13566</v>
      </c>
      <c r="C6899" s="2" t="s">
        <v>50</v>
      </c>
      <c r="D6899" s="2" t="s">
        <v>51</v>
      </c>
      <c r="E6899" s="5">
        <v>-28172</v>
      </c>
      <c r="F6899" s="3" t="s">
        <v>674</v>
      </c>
      <c r="G6899" s="3" t="s">
        <v>35</v>
      </c>
      <c r="H6899" s="2" t="s">
        <v>20</v>
      </c>
      <c r="I6899" s="2" t="s">
        <v>13567</v>
      </c>
      <c r="J6899" s="3" t="str">
        <f>HYPERLINK("https://www.boe.es/gazeta/dias/1822/11/12/pdfs/GMD-1822-332.pdf#page=2","Abrir facsímil")</f>
        <v>Abrir facsímil</v>
      </c>
      <c r="K6899" s="3" t="s">
        <v>22</v>
      </c>
    </row>
    <row r="6900" spans="1:11" ht="42" customHeight="1">
      <c r="A6900" s="2" t="s">
        <v>13568</v>
      </c>
      <c r="B6900" s="2" t="s">
        <v>13568</v>
      </c>
      <c r="C6900" s="2" t="s">
        <v>50</v>
      </c>
      <c r="D6900" s="2" t="s">
        <v>51</v>
      </c>
      <c r="E6900" s="5">
        <v>-28455</v>
      </c>
      <c r="F6900" s="3" t="s">
        <v>1107</v>
      </c>
      <c r="G6900" s="3" t="s">
        <v>63</v>
      </c>
      <c r="H6900" s="2" t="s">
        <v>20</v>
      </c>
      <c r="I6900" s="2" t="s">
        <v>13569</v>
      </c>
      <c r="J6900" s="3" t="str">
        <f>HYPERLINK("https://www.boe.es/gazeta/dias/1822/02/02/pdfs/GMD-1822-33.pdf#page=6","Abrir facsímil")</f>
        <v>Abrir facsímil</v>
      </c>
      <c r="K6900" s="3" t="s">
        <v>22</v>
      </c>
    </row>
    <row r="6901" spans="1:11" ht="42" customHeight="1">
      <c r="A6901" s="2" t="s">
        <v>13570</v>
      </c>
      <c r="B6901" s="2" t="s">
        <v>13570</v>
      </c>
      <c r="C6901" s="2" t="s">
        <v>50</v>
      </c>
      <c r="D6901" s="2" t="s">
        <v>51</v>
      </c>
      <c r="E6901" s="5">
        <v>-28355</v>
      </c>
      <c r="F6901" s="3" t="s">
        <v>692</v>
      </c>
      <c r="G6901" s="3" t="s">
        <v>44</v>
      </c>
      <c r="H6901" s="2" t="s">
        <v>20</v>
      </c>
      <c r="I6901" s="2" t="s">
        <v>13571</v>
      </c>
      <c r="J6901" s="3" t="str">
        <f>HYPERLINK("https://www.boe.es/gazeta/dias/1822/05/13/pdfs/GMD-1822-135.pdf#page=1","Abrir facsímil")</f>
        <v>Abrir facsímil</v>
      </c>
      <c r="K6901" s="3" t="s">
        <v>22</v>
      </c>
    </row>
    <row r="6902" spans="1:11" ht="42" customHeight="1">
      <c r="A6902" s="2" t="s">
        <v>13572</v>
      </c>
      <c r="B6902" s="2" t="s">
        <v>13572</v>
      </c>
      <c r="C6902" s="2" t="s">
        <v>42</v>
      </c>
      <c r="D6902" s="2" t="s">
        <v>17</v>
      </c>
      <c r="E6902" s="5">
        <v>-28353</v>
      </c>
      <c r="F6902" s="3" t="s">
        <v>843</v>
      </c>
      <c r="G6902" s="3" t="s">
        <v>35</v>
      </c>
      <c r="H6902" s="2" t="s">
        <v>20</v>
      </c>
      <c r="I6902" s="2" t="s">
        <v>13573</v>
      </c>
      <c r="J6902" s="3" t="str">
        <f>HYPERLINK("https://www.boe.es/gazeta/dias/1822/05/15/pdfs/GMD-1822-137.pdf#page=2","Abrir facsímil")</f>
        <v>Abrir facsímil</v>
      </c>
      <c r="K6902" s="3" t="s">
        <v>22</v>
      </c>
    </row>
    <row r="6903" spans="1:11" ht="42" customHeight="1">
      <c r="A6903" s="2" t="s">
        <v>13574</v>
      </c>
      <c r="B6903" s="2" t="s">
        <v>13575</v>
      </c>
      <c r="C6903" s="2" t="s">
        <v>362</v>
      </c>
      <c r="D6903" s="2" t="s">
        <v>17</v>
      </c>
      <c r="E6903" s="5">
        <v>-28279</v>
      </c>
      <c r="F6903" s="3" t="s">
        <v>662</v>
      </c>
      <c r="G6903" s="3" t="s">
        <v>57</v>
      </c>
      <c r="H6903" s="2" t="s">
        <v>20</v>
      </c>
      <c r="I6903" s="2" t="s">
        <v>13576</v>
      </c>
      <c r="J6903" s="3" t="str">
        <f>HYPERLINK("https://www.boe.es/gazeta/dias/1822/07/28/pdfs/GMD-1822-221.pdf#page=4","Abrir facsímil")</f>
        <v>Abrir facsímil</v>
      </c>
      <c r="K6903" s="3" t="s">
        <v>22</v>
      </c>
    </row>
    <row r="6904" spans="1:11" ht="42" customHeight="1">
      <c r="A6904" s="2" t="s">
        <v>13577</v>
      </c>
      <c r="B6904" s="2" t="s">
        <v>13577</v>
      </c>
      <c r="C6904" s="2" t="s">
        <v>50</v>
      </c>
      <c r="D6904" s="2" t="s">
        <v>51</v>
      </c>
      <c r="E6904" s="5">
        <v>-28341</v>
      </c>
      <c r="F6904" s="3" t="s">
        <v>284</v>
      </c>
      <c r="G6904" s="3" t="s">
        <v>31</v>
      </c>
      <c r="H6904" s="2" t="s">
        <v>20</v>
      </c>
      <c r="I6904" s="2" t="s">
        <v>13578</v>
      </c>
      <c r="J6904" s="3" t="str">
        <f>HYPERLINK("https://www.boe.es/gazeta/dias/1822/05/27/pdfs/GMD-1822-152.pdf#page=3","Abrir facsímil")</f>
        <v>Abrir facsímil</v>
      </c>
      <c r="K6904" s="3" t="s">
        <v>22</v>
      </c>
    </row>
    <row r="6905" spans="1:11" ht="42" customHeight="1">
      <c r="A6905" s="2" t="s">
        <v>13579</v>
      </c>
      <c r="B6905" s="2" t="s">
        <v>13579</v>
      </c>
      <c r="C6905" s="2" t="s">
        <v>71</v>
      </c>
      <c r="D6905" s="2" t="s">
        <v>17</v>
      </c>
      <c r="E6905" s="5">
        <v>-28156</v>
      </c>
      <c r="F6905" s="3" t="s">
        <v>1568</v>
      </c>
      <c r="G6905" s="3" t="s">
        <v>57</v>
      </c>
      <c r="H6905" s="2" t="s">
        <v>20</v>
      </c>
      <c r="I6905" s="2" t="s">
        <v>13580</v>
      </c>
      <c r="J6905" s="3" t="str">
        <f>HYPERLINK("https://www.boe.es/gazeta/dias/1822/11/28/pdfs/GMD-1822-348.pdf#page=4","Abrir facsímil")</f>
        <v>Abrir facsímil</v>
      </c>
      <c r="K6905" s="3" t="s">
        <v>22</v>
      </c>
    </row>
    <row r="6906" spans="1:11" ht="42" customHeight="1">
      <c r="A6906" s="2" t="s">
        <v>13581</v>
      </c>
      <c r="B6906" s="2" t="s">
        <v>13582</v>
      </c>
      <c r="C6906" s="2" t="s">
        <v>50</v>
      </c>
      <c r="D6906" s="2" t="s">
        <v>51</v>
      </c>
      <c r="E6906" s="5">
        <v>-28367</v>
      </c>
      <c r="F6906" s="3" t="s">
        <v>280</v>
      </c>
      <c r="G6906" s="3" t="s">
        <v>19</v>
      </c>
      <c r="H6906" s="2" t="s">
        <v>20</v>
      </c>
      <c r="I6906" s="2" t="s">
        <v>13583</v>
      </c>
      <c r="J6906" s="3" t="str">
        <f>HYPERLINK("https://www.boe.es/gazeta/dias/1822/05/01/pdfs/GMD-1822-123.pdf#page=5","Abrir facsímil")</f>
        <v>Abrir facsímil</v>
      </c>
      <c r="K6906" s="3" t="s">
        <v>22</v>
      </c>
    </row>
    <row r="6907" spans="1:11" ht="42" customHeight="1">
      <c r="A6907" s="2" t="s">
        <v>13584</v>
      </c>
      <c r="B6907" s="2" t="s">
        <v>13585</v>
      </c>
      <c r="C6907" s="2" t="s">
        <v>50</v>
      </c>
      <c r="D6907" s="2" t="s">
        <v>51</v>
      </c>
      <c r="E6907" s="5">
        <v>-28414</v>
      </c>
      <c r="F6907" s="3" t="s">
        <v>187</v>
      </c>
      <c r="G6907" s="3" t="s">
        <v>35</v>
      </c>
      <c r="H6907" s="2" t="s">
        <v>20</v>
      </c>
      <c r="I6907" s="2" t="s">
        <v>13586</v>
      </c>
      <c r="J6907" s="3" t="str">
        <f>HYPERLINK("https://www.boe.es/gazeta/dias/1822/03/15/pdfs/GMD-1822-76.pdf#page=2","Abrir facsímil")</f>
        <v>Abrir facsímil</v>
      </c>
      <c r="K6907" s="3" t="s">
        <v>22</v>
      </c>
    </row>
    <row r="6908" spans="1:11" ht="42" customHeight="1">
      <c r="A6908" s="2" t="s">
        <v>13587</v>
      </c>
      <c r="B6908" s="2" t="s">
        <v>13587</v>
      </c>
      <c r="C6908" s="2" t="s">
        <v>50</v>
      </c>
      <c r="D6908" s="2" t="s">
        <v>51</v>
      </c>
      <c r="E6908" s="5">
        <v>-28431</v>
      </c>
      <c r="F6908" s="3" t="s">
        <v>1258</v>
      </c>
      <c r="G6908" s="3" t="s">
        <v>31</v>
      </c>
      <c r="H6908" s="2" t="s">
        <v>20</v>
      </c>
      <c r="I6908" s="2" t="s">
        <v>13588</v>
      </c>
      <c r="J6908" s="3" t="str">
        <f>HYPERLINK("https://www.boe.es/gazeta/dias/1822/02/26/pdfs/GMD-1822-58.pdf#page=3","Abrir facsímil")</f>
        <v>Abrir facsímil</v>
      </c>
      <c r="K6908" s="3" t="s">
        <v>22</v>
      </c>
    </row>
    <row r="6909" spans="1:11" ht="42" customHeight="1">
      <c r="A6909" s="2" t="s">
        <v>13589</v>
      </c>
      <c r="B6909" s="2" t="s">
        <v>13589</v>
      </c>
      <c r="C6909" s="2" t="s">
        <v>42</v>
      </c>
      <c r="D6909" s="2" t="s">
        <v>17</v>
      </c>
      <c r="E6909" s="5">
        <v>-28170</v>
      </c>
      <c r="F6909" s="3" t="s">
        <v>1457</v>
      </c>
      <c r="G6909" s="3" t="s">
        <v>19</v>
      </c>
      <c r="H6909" s="2" t="s">
        <v>20</v>
      </c>
      <c r="I6909" s="2" t="s">
        <v>13590</v>
      </c>
      <c r="J6909" s="3" t="str">
        <f>HYPERLINK("https://www.boe.es/gazeta/dias/1822/11/14/pdfs/GMD-1822-334.pdf#page=5","Abrir facsímil")</f>
        <v>Abrir facsímil</v>
      </c>
      <c r="K6909" s="3" t="s">
        <v>22</v>
      </c>
    </row>
    <row r="6910" spans="1:11" ht="42" customHeight="1">
      <c r="A6910" s="2" t="s">
        <v>13591</v>
      </c>
      <c r="B6910" s="2" t="s">
        <v>13592</v>
      </c>
      <c r="C6910" s="2" t="s">
        <v>50</v>
      </c>
      <c r="D6910" s="2" t="s">
        <v>51</v>
      </c>
      <c r="E6910" s="5">
        <v>-28178</v>
      </c>
      <c r="F6910" s="3" t="s">
        <v>318</v>
      </c>
      <c r="G6910" s="3" t="s">
        <v>19</v>
      </c>
      <c r="H6910" s="2" t="s">
        <v>20</v>
      </c>
      <c r="I6910" s="2" t="s">
        <v>13593</v>
      </c>
      <c r="J6910" s="3" t="str">
        <f>HYPERLINK("https://www.boe.es/gazeta/dias/1822/11/06/pdfs/GMD-1822-326.pdf#page=5","Abrir facsímil")</f>
        <v>Abrir facsímil</v>
      </c>
      <c r="K6910" s="3" t="s">
        <v>22</v>
      </c>
    </row>
    <row r="6911" spans="1:11" ht="42" customHeight="1">
      <c r="A6911" s="2" t="s">
        <v>13594</v>
      </c>
      <c r="B6911" s="2" t="s">
        <v>13595</v>
      </c>
      <c r="C6911" s="2" t="s">
        <v>50</v>
      </c>
      <c r="D6911" s="2" t="s">
        <v>51</v>
      </c>
      <c r="E6911" s="5">
        <v>-28366</v>
      </c>
      <c r="F6911" s="3" t="s">
        <v>120</v>
      </c>
      <c r="G6911" s="3" t="s">
        <v>35</v>
      </c>
      <c r="H6911" s="2" t="s">
        <v>45</v>
      </c>
      <c r="I6911" s="2" t="s">
        <v>13596</v>
      </c>
      <c r="J6911" s="3" t="str">
        <f>HYPERLINK("https://www.boe.es/gazeta/dias/1822/05/02/pdfs/GMD-1822-124.pdf#page=2","Abrir facsímil")</f>
        <v>Abrir facsímil</v>
      </c>
      <c r="K6911" s="3" t="s">
        <v>47</v>
      </c>
    </row>
    <row r="6912" spans="1:11" ht="42" customHeight="1">
      <c r="A6912" s="2" t="s">
        <v>13597</v>
      </c>
      <c r="B6912" s="2" t="s">
        <v>13597</v>
      </c>
      <c r="C6912" s="2" t="s">
        <v>28</v>
      </c>
      <c r="D6912" s="2" t="s">
        <v>29</v>
      </c>
      <c r="E6912" s="5">
        <v>-28407</v>
      </c>
      <c r="F6912" s="3" t="s">
        <v>460</v>
      </c>
      <c r="G6912" s="3" t="s">
        <v>63</v>
      </c>
      <c r="H6912" s="2" t="s">
        <v>20</v>
      </c>
      <c r="I6912" s="2" t="s">
        <v>13598</v>
      </c>
      <c r="J6912" s="3" t="str">
        <f>HYPERLINK("https://www.boe.es/gazeta/dias/1822/03/22/pdfs/GMD-1822-83.pdf#page=6","Abrir facsímil")</f>
        <v>Abrir facsímil</v>
      </c>
      <c r="K6912" s="3" t="s">
        <v>22</v>
      </c>
    </row>
    <row r="6913" spans="1:11" ht="42" customHeight="1">
      <c r="A6913" s="2" t="s">
        <v>13599</v>
      </c>
      <c r="B6913" s="2" t="s">
        <v>13600</v>
      </c>
      <c r="C6913" s="2" t="s">
        <v>50</v>
      </c>
      <c r="D6913" s="2" t="s">
        <v>51</v>
      </c>
      <c r="E6913" s="5">
        <v>-28190</v>
      </c>
      <c r="F6913" s="3" t="s">
        <v>576</v>
      </c>
      <c r="G6913" s="3" t="s">
        <v>63</v>
      </c>
      <c r="H6913" s="2" t="s">
        <v>20</v>
      </c>
      <c r="I6913" s="2" t="s">
        <v>13601</v>
      </c>
      <c r="J6913" s="3" t="str">
        <f>HYPERLINK("https://www.boe.es/gazeta/dias/1822/10/25/pdfs/GMD-1822-312.pdf#page=6","Abrir facsímil")</f>
        <v>Abrir facsímil</v>
      </c>
      <c r="K6913" s="3" t="s">
        <v>22</v>
      </c>
    </row>
    <row r="6914" spans="1:11" ht="42" customHeight="1">
      <c r="A6914" s="2" t="s">
        <v>13602</v>
      </c>
      <c r="B6914" s="2" t="s">
        <v>13603</v>
      </c>
      <c r="C6914" s="2" t="s">
        <v>50</v>
      </c>
      <c r="D6914" s="2" t="s">
        <v>51</v>
      </c>
      <c r="E6914" s="5">
        <v>-28161</v>
      </c>
      <c r="F6914" s="3" t="s">
        <v>166</v>
      </c>
      <c r="G6914" s="3" t="s">
        <v>157</v>
      </c>
      <c r="H6914" s="2" t="s">
        <v>20</v>
      </c>
      <c r="I6914" s="2" t="s">
        <v>13604</v>
      </c>
      <c r="J6914" s="3" t="str">
        <f>HYPERLINK("https://www.boe.es/gazeta/dias/1822/11/23/pdfs/GMD-1822-343.pdf#page=8","Abrir facsímil")</f>
        <v>Abrir facsímil</v>
      </c>
      <c r="K6914" s="3" t="s">
        <v>22</v>
      </c>
    </row>
    <row r="6915" spans="1:11" ht="42" customHeight="1">
      <c r="A6915" s="2" t="s">
        <v>13605</v>
      </c>
      <c r="B6915" s="2" t="s">
        <v>13606</v>
      </c>
      <c r="C6915" s="2" t="s">
        <v>61</v>
      </c>
      <c r="D6915" s="2" t="s">
        <v>17</v>
      </c>
      <c r="E6915" s="5">
        <v>-28367</v>
      </c>
      <c r="F6915" s="3" t="s">
        <v>280</v>
      </c>
      <c r="G6915" s="3" t="s">
        <v>63</v>
      </c>
      <c r="H6915" s="2" t="s">
        <v>20</v>
      </c>
      <c r="I6915" s="2" t="s">
        <v>13607</v>
      </c>
      <c r="J6915" s="3" t="str">
        <f>HYPERLINK("https://www.boe.es/gazeta/dias/1822/05/01/pdfs/GMD-1822-123.pdf#page=6","Abrir facsímil")</f>
        <v>Abrir facsímil</v>
      </c>
      <c r="K6915" s="3" t="s">
        <v>22</v>
      </c>
    </row>
    <row r="6916" spans="1:11" ht="42" customHeight="1">
      <c r="A6916" s="2" t="s">
        <v>13608</v>
      </c>
      <c r="B6916" s="2" t="s">
        <v>13609</v>
      </c>
      <c r="C6916" s="2" t="s">
        <v>42</v>
      </c>
      <c r="D6916" s="2" t="s">
        <v>17</v>
      </c>
      <c r="E6916" s="5">
        <v>-28156</v>
      </c>
      <c r="F6916" s="3" t="s">
        <v>1568</v>
      </c>
      <c r="G6916" s="3" t="s">
        <v>63</v>
      </c>
      <c r="H6916" s="2" t="s">
        <v>20</v>
      </c>
      <c r="I6916" s="2" t="s">
        <v>13610</v>
      </c>
      <c r="J6916" s="3" t="str">
        <f>HYPERLINK("https://www.boe.es/gazeta/dias/1822/11/28/pdfs/GMD-1822-348.pdf#page=6","Abrir facsímil")</f>
        <v>Abrir facsímil</v>
      </c>
      <c r="K6916" s="3" t="s">
        <v>22</v>
      </c>
    </row>
    <row r="6917" spans="1:11" ht="42" customHeight="1">
      <c r="A6917" s="2" t="s">
        <v>13611</v>
      </c>
      <c r="B6917" s="2" t="s">
        <v>13612</v>
      </c>
      <c r="C6917" s="2" t="s">
        <v>50</v>
      </c>
      <c r="D6917" s="2" t="s">
        <v>51</v>
      </c>
      <c r="E6917" s="5">
        <v>-28303</v>
      </c>
      <c r="F6917" s="3" t="s">
        <v>201</v>
      </c>
      <c r="G6917" s="3" t="s">
        <v>57</v>
      </c>
      <c r="H6917" s="2" t="s">
        <v>20</v>
      </c>
      <c r="I6917" s="2" t="s">
        <v>13613</v>
      </c>
      <c r="J6917" s="3" t="str">
        <f>HYPERLINK("https://www.boe.es/gazeta/dias/1822/07/04/pdfs/GMD-1822-193.pdf#page=4","Abrir facsímil")</f>
        <v>Abrir facsímil</v>
      </c>
      <c r="K6917" s="3" t="s">
        <v>22</v>
      </c>
    </row>
    <row r="6918" spans="1:11" ht="42" customHeight="1">
      <c r="A6918" s="2" t="s">
        <v>13614</v>
      </c>
      <c r="B6918" s="2" t="s">
        <v>13615</v>
      </c>
      <c r="C6918" s="2" t="s">
        <v>50</v>
      </c>
      <c r="D6918" s="2" t="s">
        <v>723</v>
      </c>
      <c r="E6918" s="5">
        <v>-28349</v>
      </c>
      <c r="F6918" s="3" t="s">
        <v>795</v>
      </c>
      <c r="G6918" s="3" t="s">
        <v>44</v>
      </c>
      <c r="H6918" s="2" t="s">
        <v>20</v>
      </c>
      <c r="I6918" s="2" t="s">
        <v>13616</v>
      </c>
      <c r="J6918" s="3" t="str">
        <f>HYPERLINK("https://www.boe.es/gazeta/dias/1822/05/19/pdfs/GMD-1822-142E.pdf#page=1","Abrir facsímil")</f>
        <v>Abrir facsímil</v>
      </c>
      <c r="K6918" s="3" t="s">
        <v>22</v>
      </c>
    </row>
    <row r="6919" spans="1:11" ht="42" customHeight="1">
      <c r="A6919" s="2" t="s">
        <v>13617</v>
      </c>
      <c r="B6919" s="2" t="s">
        <v>13618</v>
      </c>
      <c r="C6919" s="2" t="s">
        <v>71</v>
      </c>
      <c r="D6919" s="2" t="s">
        <v>17</v>
      </c>
      <c r="E6919" s="5">
        <v>-28212</v>
      </c>
      <c r="F6919" s="3" t="s">
        <v>560</v>
      </c>
      <c r="G6919" s="3" t="s">
        <v>57</v>
      </c>
      <c r="H6919" s="2" t="s">
        <v>20</v>
      </c>
      <c r="I6919" s="2" t="s">
        <v>13619</v>
      </c>
      <c r="J6919" s="3" t="str">
        <f>HYPERLINK("https://www.boe.es/gazeta/dias/1822/10/03/pdfs/GMD-1822-289.pdf#page=4","Abrir facsímil")</f>
        <v>Abrir facsímil</v>
      </c>
      <c r="K6919" s="3" t="s">
        <v>22</v>
      </c>
    </row>
    <row r="6920" spans="1:11" ht="42" customHeight="1">
      <c r="A6920" s="2" t="s">
        <v>13620</v>
      </c>
      <c r="B6920" s="2" t="s">
        <v>13621</v>
      </c>
      <c r="C6920" s="2" t="s">
        <v>42</v>
      </c>
      <c r="D6920" s="2" t="s">
        <v>17</v>
      </c>
      <c r="E6920" s="5">
        <v>-28271</v>
      </c>
      <c r="F6920" s="3" t="s">
        <v>4942</v>
      </c>
      <c r="G6920" s="3" t="s">
        <v>57</v>
      </c>
      <c r="H6920" s="2" t="s">
        <v>20</v>
      </c>
      <c r="I6920" s="2" t="s">
        <v>13622</v>
      </c>
      <c r="J6920" s="3" t="str">
        <f>HYPERLINK("https://www.boe.es/gazeta/dias/1822/08/05/pdfs/GMD-1822-229.pdf#page=4","Abrir facsímil")</f>
        <v>Abrir facsímil</v>
      </c>
      <c r="K6920" s="3" t="s">
        <v>22</v>
      </c>
    </row>
    <row r="6921" spans="1:11" ht="42" customHeight="1">
      <c r="A6921" s="2" t="s">
        <v>13623</v>
      </c>
      <c r="B6921" s="2" t="s">
        <v>13624</v>
      </c>
      <c r="C6921" s="2" t="s">
        <v>28</v>
      </c>
      <c r="D6921" s="2" t="s">
        <v>29</v>
      </c>
      <c r="E6921" s="5">
        <v>-28199</v>
      </c>
      <c r="F6921" s="3" t="s">
        <v>656</v>
      </c>
      <c r="G6921" s="3" t="s">
        <v>19</v>
      </c>
      <c r="H6921" s="2" t="s">
        <v>20</v>
      </c>
      <c r="I6921" s="2" t="s">
        <v>13625</v>
      </c>
      <c r="J6921" s="3" t="str">
        <f>HYPERLINK("https://www.boe.es/gazeta/dias/1822/10/16/pdfs/GMD-1822-303.pdf#page=5","Abrir facsímil")</f>
        <v>Abrir facsímil</v>
      </c>
      <c r="K6921" s="3" t="s">
        <v>22</v>
      </c>
    </row>
    <row r="6922" spans="1:11" ht="42" customHeight="1">
      <c r="A6922" s="2" t="s">
        <v>13626</v>
      </c>
      <c r="B6922" s="2" t="s">
        <v>13627</v>
      </c>
      <c r="C6922" s="2" t="s">
        <v>61</v>
      </c>
      <c r="D6922" s="2" t="s">
        <v>17</v>
      </c>
      <c r="E6922" s="5">
        <v>-28196</v>
      </c>
      <c r="F6922" s="3" t="s">
        <v>570</v>
      </c>
      <c r="G6922" s="3" t="s">
        <v>57</v>
      </c>
      <c r="H6922" s="2" t="s">
        <v>20</v>
      </c>
      <c r="I6922" s="2" t="s">
        <v>13628</v>
      </c>
      <c r="J6922" s="3" t="str">
        <f>HYPERLINK("https://www.boe.es/gazeta/dias/1822/10/19/pdfs/GMD-1822-306.pdf#page=4","Abrir facsímil")</f>
        <v>Abrir facsímil</v>
      </c>
      <c r="K6922" s="3" t="s">
        <v>22</v>
      </c>
    </row>
    <row r="6923" spans="1:11" ht="42" customHeight="1">
      <c r="A6923" s="2" t="s">
        <v>13629</v>
      </c>
      <c r="B6923" s="2" t="s">
        <v>13630</v>
      </c>
      <c r="C6923" s="2" t="s">
        <v>50</v>
      </c>
      <c r="D6923" s="2" t="s">
        <v>51</v>
      </c>
      <c r="E6923" s="5">
        <v>-28293</v>
      </c>
      <c r="F6923" s="3" t="s">
        <v>152</v>
      </c>
      <c r="G6923" s="3" t="s">
        <v>35</v>
      </c>
      <c r="H6923" s="2" t="s">
        <v>20</v>
      </c>
      <c r="I6923" s="2" t="s">
        <v>13631</v>
      </c>
      <c r="J6923" s="3" t="str">
        <f>HYPERLINK("https://www.boe.es/gazeta/dias/1822/07/14/pdfs/GMD-1822-204.pdf#page=2","Abrir facsímil")</f>
        <v>Abrir facsímil</v>
      </c>
      <c r="K6923" s="3" t="s">
        <v>22</v>
      </c>
    </row>
    <row r="6924" spans="1:11" ht="42" customHeight="1">
      <c r="A6924" s="2" t="s">
        <v>13632</v>
      </c>
      <c r="B6924" s="2" t="s">
        <v>13633</v>
      </c>
      <c r="C6924" s="2" t="s">
        <v>28</v>
      </c>
      <c r="D6924" s="2" t="s">
        <v>29</v>
      </c>
      <c r="E6924" s="5">
        <v>-28152</v>
      </c>
      <c r="F6924" s="3" t="s">
        <v>122</v>
      </c>
      <c r="G6924" s="3" t="s">
        <v>19</v>
      </c>
      <c r="H6924" s="2" t="s">
        <v>20</v>
      </c>
      <c r="I6924" s="2" t="s">
        <v>13634</v>
      </c>
      <c r="J6924" s="3" t="str">
        <f>HYPERLINK("https://www.boe.es/gazeta/dias/1822/12/02/pdfs/GMD-1822-352.pdf#page=5","Abrir facsímil")</f>
        <v>Abrir facsímil</v>
      </c>
      <c r="K6924" s="3" t="s">
        <v>22</v>
      </c>
    </row>
    <row r="6925" spans="1:11" ht="42" customHeight="1">
      <c r="A6925" s="2" t="s">
        <v>13635</v>
      </c>
      <c r="B6925" s="2" t="s">
        <v>13636</v>
      </c>
      <c r="C6925" s="2" t="s">
        <v>24</v>
      </c>
      <c r="D6925" s="2" t="s">
        <v>17</v>
      </c>
      <c r="E6925" s="5">
        <v>-28364</v>
      </c>
      <c r="F6925" s="3" t="s">
        <v>509</v>
      </c>
      <c r="G6925" s="3" t="s">
        <v>44</v>
      </c>
      <c r="H6925" s="2" t="s">
        <v>20</v>
      </c>
      <c r="I6925" s="2" t="s">
        <v>13637</v>
      </c>
      <c r="J6925" s="3" t="str">
        <f>HYPERLINK("https://www.boe.es/gazeta/dias/1822/05/04/pdfs/GMD-1822-126.pdf#page=1","Abrir facsímil")</f>
        <v>Abrir facsímil</v>
      </c>
      <c r="K6925" s="3" t="s">
        <v>22</v>
      </c>
    </row>
    <row r="6926" spans="1:11" ht="42" customHeight="1">
      <c r="A6926" s="2" t="s">
        <v>13638</v>
      </c>
      <c r="B6926" s="2" t="s">
        <v>13639</v>
      </c>
      <c r="C6926" s="2" t="s">
        <v>42</v>
      </c>
      <c r="D6926" s="2" t="s">
        <v>17</v>
      </c>
      <c r="E6926" s="5">
        <v>-28251</v>
      </c>
      <c r="F6926" s="3" t="s">
        <v>1485</v>
      </c>
      <c r="G6926" s="3" t="s">
        <v>35</v>
      </c>
      <c r="H6926" s="2" t="s">
        <v>20</v>
      </c>
      <c r="I6926" s="2" t="s">
        <v>13640</v>
      </c>
      <c r="J6926" s="3" t="str">
        <f>HYPERLINK("https://www.boe.es/gazeta/dias/1822/08/25/pdfs/GMD-1822-249.pdf#page=2","Abrir facsímil")</f>
        <v>Abrir facsímil</v>
      </c>
      <c r="K6926" s="3" t="s">
        <v>22</v>
      </c>
    </row>
    <row r="6927" spans="1:11" ht="42" customHeight="1">
      <c r="A6927" s="2" t="s">
        <v>13641</v>
      </c>
      <c r="B6927" s="2" t="s">
        <v>13642</v>
      </c>
      <c r="C6927" s="2" t="s">
        <v>71</v>
      </c>
      <c r="D6927" s="2" t="s">
        <v>17</v>
      </c>
      <c r="E6927" s="5">
        <v>-28432</v>
      </c>
      <c r="F6927" s="3" t="s">
        <v>195</v>
      </c>
      <c r="G6927" s="3" t="s">
        <v>35</v>
      </c>
      <c r="H6927" s="2" t="s">
        <v>20</v>
      </c>
      <c r="I6927" s="2" t="s">
        <v>13643</v>
      </c>
      <c r="J6927" s="3" t="str">
        <f>HYPERLINK("https://www.boe.es/gazeta/dias/1822/02/25/pdfs/GMD-1822-57.pdf#page=2","Abrir facsímil")</f>
        <v>Abrir facsímil</v>
      </c>
      <c r="K6927" s="3" t="s">
        <v>22</v>
      </c>
    </row>
    <row r="6928" spans="1:11" ht="42" customHeight="1">
      <c r="A6928" s="2" t="s">
        <v>13644</v>
      </c>
      <c r="B6928" s="2" t="s">
        <v>13644</v>
      </c>
      <c r="C6928" s="2" t="s">
        <v>61</v>
      </c>
      <c r="D6928" s="2" t="s">
        <v>17</v>
      </c>
      <c r="E6928" s="5">
        <v>-28311</v>
      </c>
      <c r="F6928" s="3" t="s">
        <v>736</v>
      </c>
      <c r="G6928" s="3" t="s">
        <v>157</v>
      </c>
      <c r="H6928" s="2" t="s">
        <v>20</v>
      </c>
      <c r="I6928" s="2" t="s">
        <v>13645</v>
      </c>
      <c r="J6928" s="3" t="str">
        <f>HYPERLINK("https://www.boe.es/gazeta/dias/1822/06/26/pdfs/GMD-1822-184.pdf#page=8","Abrir facsímil")</f>
        <v>Abrir facsímil</v>
      </c>
      <c r="K6928" s="3" t="s">
        <v>22</v>
      </c>
    </row>
    <row r="6929" spans="1:11" ht="42" customHeight="1">
      <c r="A6929" s="2" t="s">
        <v>13644</v>
      </c>
      <c r="B6929" s="2" t="s">
        <v>13644</v>
      </c>
      <c r="C6929" s="2" t="s">
        <v>42</v>
      </c>
      <c r="D6929" s="2" t="s">
        <v>17</v>
      </c>
      <c r="E6929" s="5">
        <v>-28165</v>
      </c>
      <c r="F6929" s="3" t="s">
        <v>846</v>
      </c>
      <c r="G6929" s="3" t="s">
        <v>57</v>
      </c>
      <c r="H6929" s="2" t="s">
        <v>20</v>
      </c>
      <c r="I6929" s="2" t="s">
        <v>13646</v>
      </c>
      <c r="J6929" s="3" t="str">
        <f>HYPERLINK("https://www.boe.es/gazeta/dias/1822/11/19/pdfs/GMD-1822-339.pdf#page=4","Abrir facsímil")</f>
        <v>Abrir facsímil</v>
      </c>
      <c r="K6929" s="3" t="s">
        <v>22</v>
      </c>
    </row>
    <row r="6930" spans="1:11" ht="42" customHeight="1">
      <c r="A6930" s="2" t="s">
        <v>13647</v>
      </c>
      <c r="B6930" s="2" t="s">
        <v>13648</v>
      </c>
      <c r="C6930" s="2" t="s">
        <v>16</v>
      </c>
      <c r="D6930" s="2" t="s">
        <v>17</v>
      </c>
      <c r="E6930" s="5">
        <v>-28345</v>
      </c>
      <c r="F6930" s="3" t="s">
        <v>294</v>
      </c>
      <c r="G6930" s="3" t="s">
        <v>63</v>
      </c>
      <c r="H6930" s="2" t="s">
        <v>20</v>
      </c>
      <c r="I6930" s="2" t="s">
        <v>13649</v>
      </c>
      <c r="J6930" s="3" t="str">
        <f>HYPERLINK("https://www.boe.es/gazeta/dias/1822/05/23/pdfs/GMD-1822-147.pdf#page=6","Abrir facsímil")</f>
        <v>Abrir facsímil</v>
      </c>
      <c r="K6930" s="3" t="s">
        <v>22</v>
      </c>
    </row>
    <row r="6931" spans="1:11" ht="42" customHeight="1">
      <c r="A6931" s="2" t="s">
        <v>13650</v>
      </c>
      <c r="B6931" s="2" t="s">
        <v>13651</v>
      </c>
      <c r="C6931" s="2" t="s">
        <v>28</v>
      </c>
      <c r="D6931" s="2" t="s">
        <v>29</v>
      </c>
      <c r="E6931" s="5">
        <v>-28307</v>
      </c>
      <c r="F6931" s="3" t="s">
        <v>555</v>
      </c>
      <c r="G6931" s="3" t="s">
        <v>157</v>
      </c>
      <c r="H6931" s="2" t="s">
        <v>20</v>
      </c>
      <c r="I6931" s="2" t="s">
        <v>13652</v>
      </c>
      <c r="J6931" s="3" t="str">
        <f>HYPERLINK("https://www.boe.es/gazeta/dias/1822/06/30/pdfs/GMD-1822-188.pdf#page=8","Abrir facsímil")</f>
        <v>Abrir facsímil</v>
      </c>
      <c r="K6931" s="3" t="s">
        <v>22</v>
      </c>
    </row>
    <row r="6932" spans="1:11" ht="42" customHeight="1">
      <c r="A6932" s="2" t="s">
        <v>13653</v>
      </c>
      <c r="B6932" s="2" t="s">
        <v>13653</v>
      </c>
      <c r="C6932" s="2" t="s">
        <v>28</v>
      </c>
      <c r="D6932" s="2" t="s">
        <v>29</v>
      </c>
      <c r="E6932" s="5">
        <v>-28293</v>
      </c>
      <c r="F6932" s="3" t="s">
        <v>152</v>
      </c>
      <c r="G6932" s="3" t="s">
        <v>57</v>
      </c>
      <c r="H6932" s="2" t="s">
        <v>20</v>
      </c>
      <c r="I6932" s="2" t="s">
        <v>13654</v>
      </c>
      <c r="J6932" s="3" t="str">
        <f>HYPERLINK("https://www.boe.es/gazeta/dias/1822/07/14/pdfs/GMD-1822-204.pdf#page=4","Abrir facsímil")</f>
        <v>Abrir facsímil</v>
      </c>
      <c r="K6932" s="3" t="s">
        <v>22</v>
      </c>
    </row>
    <row r="6933" spans="1:11" ht="42" customHeight="1">
      <c r="A6933" s="2" t="s">
        <v>13655</v>
      </c>
      <c r="B6933" s="2" t="s">
        <v>13655</v>
      </c>
      <c r="C6933" s="2" t="s">
        <v>16</v>
      </c>
      <c r="D6933" s="2" t="s">
        <v>17</v>
      </c>
      <c r="E6933" s="5">
        <v>-28474</v>
      </c>
      <c r="F6933" s="3" t="s">
        <v>30</v>
      </c>
      <c r="G6933" s="3" t="s">
        <v>35</v>
      </c>
      <c r="H6933" s="2" t="s">
        <v>20</v>
      </c>
      <c r="I6933" s="2" t="s">
        <v>13656</v>
      </c>
      <c r="J6933" s="3" t="str">
        <f>HYPERLINK("https://www.boe.es/gazeta/dias/1822/01/14/pdfs/GMD-1822-14.pdf#page=2","Abrir facsímil")</f>
        <v>Abrir facsímil</v>
      </c>
      <c r="K6933" s="3" t="s">
        <v>22</v>
      </c>
    </row>
    <row r="6934" spans="1:11" ht="42" customHeight="1">
      <c r="A6934" s="2" t="s">
        <v>13655</v>
      </c>
      <c r="B6934" s="2" t="s">
        <v>13655</v>
      </c>
      <c r="C6934" s="2" t="s">
        <v>42</v>
      </c>
      <c r="D6934" s="2" t="s">
        <v>17</v>
      </c>
      <c r="E6934" s="5">
        <v>-28352</v>
      </c>
      <c r="F6934" s="3" t="s">
        <v>1575</v>
      </c>
      <c r="G6934" s="3" t="s">
        <v>63</v>
      </c>
      <c r="H6934" s="2" t="s">
        <v>20</v>
      </c>
      <c r="I6934" s="2" t="s">
        <v>13657</v>
      </c>
      <c r="J6934" s="3" t="str">
        <f>HYPERLINK("https://www.boe.es/gazeta/dias/1822/05/16/pdfs/GMD-1822-138.pdf#page=6","Abrir facsímil")</f>
        <v>Abrir facsímil</v>
      </c>
      <c r="K6934" s="3" t="s">
        <v>22</v>
      </c>
    </row>
    <row r="6935" spans="1:11" ht="42" customHeight="1">
      <c r="A6935" s="2" t="s">
        <v>13655</v>
      </c>
      <c r="B6935" s="2" t="s">
        <v>13655</v>
      </c>
      <c r="C6935" s="2" t="s">
        <v>50</v>
      </c>
      <c r="D6935" s="2" t="s">
        <v>51</v>
      </c>
      <c r="E6935" s="5">
        <v>-28266</v>
      </c>
      <c r="F6935" s="3" t="s">
        <v>1169</v>
      </c>
      <c r="G6935" s="3" t="s">
        <v>44</v>
      </c>
      <c r="H6935" s="2" t="s">
        <v>20</v>
      </c>
      <c r="I6935" s="2" t="s">
        <v>13658</v>
      </c>
      <c r="J6935" s="3" t="str">
        <f>HYPERLINK("https://www.boe.es/gazeta/dias/1822/08/10/pdfs/GMD-1822-234.pdf#page=1","Abrir facsímil")</f>
        <v>Abrir facsímil</v>
      </c>
      <c r="K6935" s="3" t="s">
        <v>22</v>
      </c>
    </row>
    <row r="6936" spans="1:11" ht="42" customHeight="1">
      <c r="A6936" s="2" t="s">
        <v>13655</v>
      </c>
      <c r="B6936" s="2" t="s">
        <v>13655</v>
      </c>
      <c r="C6936" s="2" t="s">
        <v>42</v>
      </c>
      <c r="D6936" s="2" t="s">
        <v>17</v>
      </c>
      <c r="E6936" s="5">
        <v>-28210</v>
      </c>
      <c r="F6936" s="3" t="s">
        <v>218</v>
      </c>
      <c r="G6936" s="3" t="s">
        <v>19</v>
      </c>
      <c r="H6936" s="2" t="s">
        <v>20</v>
      </c>
      <c r="I6936" s="2" t="s">
        <v>13659</v>
      </c>
      <c r="J6936" s="3" t="str">
        <f>HYPERLINK("https://www.boe.es/gazeta/dias/1822/10/05/pdfs/GMD-1822-291.pdf#page=5","Abrir facsímil")</f>
        <v>Abrir facsímil</v>
      </c>
      <c r="K6936" s="3" t="s">
        <v>22</v>
      </c>
    </row>
    <row r="6937" spans="1:11" ht="42" customHeight="1">
      <c r="A6937" s="2" t="s">
        <v>13660</v>
      </c>
      <c r="B6937" s="2" t="s">
        <v>13660</v>
      </c>
      <c r="C6937" s="2" t="s">
        <v>50</v>
      </c>
      <c r="D6937" s="2" t="s">
        <v>51</v>
      </c>
      <c r="E6937" s="5">
        <v>-28291</v>
      </c>
      <c r="F6937" s="3" t="s">
        <v>363</v>
      </c>
      <c r="G6937" s="3" t="s">
        <v>35</v>
      </c>
      <c r="H6937" s="2" t="s">
        <v>20</v>
      </c>
      <c r="I6937" s="2" t="s">
        <v>13661</v>
      </c>
      <c r="J6937" s="3" t="str">
        <f>HYPERLINK("https://www.boe.es/gazeta/dias/1822/07/16/pdfs/GMD-1822-206.pdf#page=2","Abrir facsímil")</f>
        <v>Abrir facsímil</v>
      </c>
      <c r="K6937" s="3" t="s">
        <v>22</v>
      </c>
    </row>
    <row r="6938" spans="1:11" ht="42" customHeight="1">
      <c r="A6938" s="2" t="s">
        <v>13662</v>
      </c>
      <c r="B6938" s="2" t="s">
        <v>13662</v>
      </c>
      <c r="C6938" s="2" t="s">
        <v>16</v>
      </c>
      <c r="D6938" s="2" t="s">
        <v>17</v>
      </c>
      <c r="E6938" s="5">
        <v>-28314</v>
      </c>
      <c r="F6938" s="3" t="s">
        <v>309</v>
      </c>
      <c r="G6938" s="3" t="s">
        <v>19</v>
      </c>
      <c r="H6938" s="2" t="s">
        <v>20</v>
      </c>
      <c r="I6938" s="2" t="s">
        <v>13663</v>
      </c>
      <c r="J6938" s="3" t="str">
        <f>HYPERLINK("https://www.boe.es/gazeta/dias/1822/06/23/pdfs/GMD-1822-181.pdf#page=5","Abrir facsímil")</f>
        <v>Abrir facsímil</v>
      </c>
      <c r="K6938" s="3" t="s">
        <v>22</v>
      </c>
    </row>
    <row r="6939" spans="1:11" ht="42" customHeight="1">
      <c r="A6939" s="2" t="s">
        <v>13664</v>
      </c>
      <c r="B6939" s="2" t="s">
        <v>13664</v>
      </c>
      <c r="C6939" s="2" t="s">
        <v>71</v>
      </c>
      <c r="D6939" s="2" t="s">
        <v>17</v>
      </c>
      <c r="E6939" s="5">
        <v>-28367</v>
      </c>
      <c r="F6939" s="3" t="s">
        <v>280</v>
      </c>
      <c r="G6939" s="3" t="s">
        <v>44</v>
      </c>
      <c r="H6939" s="2" t="s">
        <v>20</v>
      </c>
      <c r="I6939" s="2" t="s">
        <v>13665</v>
      </c>
      <c r="J6939" s="3" t="str">
        <f>HYPERLINK("https://www.boe.es/gazeta/dias/1822/05/01/pdfs/GMD-1822-123.pdf#page=1","Abrir facsímil")</f>
        <v>Abrir facsímil</v>
      </c>
      <c r="K6939" s="3" t="s">
        <v>22</v>
      </c>
    </row>
    <row r="6940" spans="1:11" ht="42" customHeight="1">
      <c r="A6940" s="2" t="s">
        <v>13666</v>
      </c>
      <c r="B6940" s="2" t="s">
        <v>13667</v>
      </c>
      <c r="C6940" s="2" t="s">
        <v>50</v>
      </c>
      <c r="D6940" s="2" t="s">
        <v>51</v>
      </c>
      <c r="E6940" s="5">
        <v>-28275</v>
      </c>
      <c r="F6940" s="3" t="s">
        <v>1297</v>
      </c>
      <c r="G6940" s="3" t="s">
        <v>57</v>
      </c>
      <c r="H6940" s="2" t="s">
        <v>20</v>
      </c>
      <c r="I6940" s="2" t="s">
        <v>13668</v>
      </c>
      <c r="J6940" s="3" t="str">
        <f>HYPERLINK("https://www.boe.es/gazeta/dias/1822/08/01/pdfs/GMD-1822-225.pdf#page=4","Abrir facsímil")</f>
        <v>Abrir facsímil</v>
      </c>
      <c r="K6940" s="3" t="s">
        <v>22</v>
      </c>
    </row>
    <row r="6941" spans="1:11" ht="42" customHeight="1">
      <c r="A6941" s="2" t="s">
        <v>13669</v>
      </c>
      <c r="B6941" s="2" t="s">
        <v>13669</v>
      </c>
      <c r="C6941" s="2" t="s">
        <v>71</v>
      </c>
      <c r="D6941" s="2" t="s">
        <v>17</v>
      </c>
      <c r="E6941" s="5">
        <v>-28314</v>
      </c>
      <c r="F6941" s="3" t="s">
        <v>309</v>
      </c>
      <c r="G6941" s="3" t="s">
        <v>19</v>
      </c>
      <c r="H6941" s="2" t="s">
        <v>20</v>
      </c>
      <c r="I6941" s="2" t="s">
        <v>13670</v>
      </c>
      <c r="J6941" s="3" t="str">
        <f>HYPERLINK("https://www.boe.es/gazeta/dias/1822/06/23/pdfs/GMD-1822-181.pdf#page=5","Abrir facsímil")</f>
        <v>Abrir facsímil</v>
      </c>
      <c r="K6941" s="3" t="s">
        <v>22</v>
      </c>
    </row>
    <row r="6942" spans="1:11" ht="42" customHeight="1">
      <c r="A6942" s="2" t="s">
        <v>13671</v>
      </c>
      <c r="B6942" s="2" t="s">
        <v>13671</v>
      </c>
      <c r="C6942" s="2" t="s">
        <v>50</v>
      </c>
      <c r="D6942" s="2" t="s">
        <v>51</v>
      </c>
      <c r="E6942" s="5">
        <v>-28348</v>
      </c>
      <c r="F6942" s="3" t="s">
        <v>2903</v>
      </c>
      <c r="G6942" s="3" t="s">
        <v>35</v>
      </c>
      <c r="H6942" s="2" t="s">
        <v>20</v>
      </c>
      <c r="I6942" s="2" t="s">
        <v>13672</v>
      </c>
      <c r="J6942" s="3" t="str">
        <f>HYPERLINK("https://www.boe.es/gazeta/dias/1822/05/20/pdfs/GMD-1822-143.pdf#page=2","Abrir facsímil")</f>
        <v>Abrir facsímil</v>
      </c>
      <c r="K6942" s="3" t="s">
        <v>22</v>
      </c>
    </row>
    <row r="6943" spans="1:11" ht="42" customHeight="1">
      <c r="A6943" s="2" t="s">
        <v>13671</v>
      </c>
      <c r="B6943" s="2" t="s">
        <v>13671</v>
      </c>
      <c r="C6943" s="2" t="s">
        <v>71</v>
      </c>
      <c r="D6943" s="2" t="s">
        <v>17</v>
      </c>
      <c r="E6943" s="5">
        <v>-28169</v>
      </c>
      <c r="F6943" s="3" t="s">
        <v>2571</v>
      </c>
      <c r="G6943" s="3" t="s">
        <v>63</v>
      </c>
      <c r="H6943" s="2" t="s">
        <v>20</v>
      </c>
      <c r="I6943" s="2" t="s">
        <v>13673</v>
      </c>
      <c r="J6943" s="3" t="str">
        <f>HYPERLINK("https://www.boe.es/gazeta/dias/1822/11/15/pdfs/GMD-1822-335.pdf#page=6","Abrir facsímil")</f>
        <v>Abrir facsímil</v>
      </c>
      <c r="K6943" s="3" t="s">
        <v>22</v>
      </c>
    </row>
    <row r="6944" spans="1:11" ht="42" customHeight="1">
      <c r="A6944" s="2" t="s">
        <v>13674</v>
      </c>
      <c r="B6944" s="2" t="s">
        <v>13674</v>
      </c>
      <c r="C6944" s="2" t="s">
        <v>28</v>
      </c>
      <c r="D6944" s="2" t="s">
        <v>29</v>
      </c>
      <c r="E6944" s="5">
        <v>-28408</v>
      </c>
      <c r="F6944" s="3" t="s">
        <v>2561</v>
      </c>
      <c r="G6944" s="3" t="s">
        <v>19</v>
      </c>
      <c r="H6944" s="2" t="s">
        <v>20</v>
      </c>
      <c r="I6944" s="2" t="s">
        <v>13675</v>
      </c>
      <c r="J6944" s="3" t="str">
        <f>HYPERLINK("https://www.boe.es/gazeta/dias/1822/03/21/pdfs/GMD-1822-82.pdf#page=5","Abrir facsímil")</f>
        <v>Abrir facsímil</v>
      </c>
      <c r="K6944" s="3" t="s">
        <v>22</v>
      </c>
    </row>
    <row r="6945" spans="1:11" ht="42" customHeight="1">
      <c r="A6945" s="2" t="s">
        <v>13676</v>
      </c>
      <c r="B6945" s="2" t="s">
        <v>13676</v>
      </c>
      <c r="C6945" s="2" t="s">
        <v>42</v>
      </c>
      <c r="D6945" s="2" t="s">
        <v>17</v>
      </c>
      <c r="E6945" s="5">
        <v>-28348</v>
      </c>
      <c r="F6945" s="3" t="s">
        <v>2903</v>
      </c>
      <c r="G6945" s="3" t="s">
        <v>57</v>
      </c>
      <c r="H6945" s="2" t="s">
        <v>20</v>
      </c>
      <c r="I6945" s="2" t="s">
        <v>13677</v>
      </c>
      <c r="J6945" s="3" t="str">
        <f>HYPERLINK("https://www.boe.es/gazeta/dias/1822/05/20/pdfs/GMD-1822-143.pdf#page=4","Abrir facsímil")</f>
        <v>Abrir facsímil</v>
      </c>
      <c r="K6945" s="3" t="s">
        <v>22</v>
      </c>
    </row>
    <row r="6946" spans="1:11" ht="42" customHeight="1">
      <c r="A6946" s="2" t="s">
        <v>13678</v>
      </c>
      <c r="B6946" s="2" t="s">
        <v>13678</v>
      </c>
      <c r="C6946" s="2" t="s">
        <v>42</v>
      </c>
      <c r="D6946" s="2" t="s">
        <v>17</v>
      </c>
      <c r="E6946" s="5">
        <v>-28394</v>
      </c>
      <c r="F6946" s="3" t="s">
        <v>268</v>
      </c>
      <c r="G6946" s="3" t="s">
        <v>57</v>
      </c>
      <c r="H6946" s="2" t="s">
        <v>20</v>
      </c>
      <c r="I6946" s="2" t="s">
        <v>13679</v>
      </c>
      <c r="J6946" s="3" t="str">
        <f>HYPERLINK("https://www.boe.es/gazeta/dias/1822/04/04/pdfs/GMD-1822-96.pdf#page=4","Abrir facsímil")</f>
        <v>Abrir facsímil</v>
      </c>
      <c r="K6946" s="3" t="s">
        <v>22</v>
      </c>
    </row>
    <row r="6947" spans="1:11" ht="42" customHeight="1">
      <c r="A6947" s="2" t="s">
        <v>13678</v>
      </c>
      <c r="B6947" s="2" t="s">
        <v>13678</v>
      </c>
      <c r="C6947" s="2" t="s">
        <v>71</v>
      </c>
      <c r="D6947" s="2" t="s">
        <v>17</v>
      </c>
      <c r="E6947" s="5">
        <v>-28332</v>
      </c>
      <c r="F6947" s="3" t="s">
        <v>535</v>
      </c>
      <c r="G6947" s="3" t="s">
        <v>5954</v>
      </c>
      <c r="H6947" s="2" t="s">
        <v>20</v>
      </c>
      <c r="I6947" s="2" t="s">
        <v>13680</v>
      </c>
      <c r="J6947" s="3" t="str">
        <f>HYPERLINK("https://www.boe.es/gazeta/dias/1822/06/05/pdfs/GMD-1822-162.pdf#page=4","Abrir facsímil")</f>
        <v>Abrir facsímil</v>
      </c>
      <c r="K6947" s="3" t="s">
        <v>22</v>
      </c>
    </row>
    <row r="6948" spans="1:11" ht="42" customHeight="1">
      <c r="A6948" s="2" t="s">
        <v>13681</v>
      </c>
      <c r="B6948" s="2" t="s">
        <v>13681</v>
      </c>
      <c r="C6948" s="2" t="s">
        <v>71</v>
      </c>
      <c r="D6948" s="2" t="s">
        <v>17</v>
      </c>
      <c r="E6948" s="5">
        <v>-28159</v>
      </c>
      <c r="F6948" s="3" t="s">
        <v>67</v>
      </c>
      <c r="G6948" s="3" t="s">
        <v>35</v>
      </c>
      <c r="H6948" s="2" t="s">
        <v>20</v>
      </c>
      <c r="I6948" s="2" t="s">
        <v>13682</v>
      </c>
      <c r="J6948" s="3" t="str">
        <f>HYPERLINK("https://www.boe.es/gazeta/dias/1822/11/25/pdfs/GMD-1822-345.pdf#page=2","Abrir facsímil")</f>
        <v>Abrir facsímil</v>
      </c>
      <c r="K6948" s="3" t="s">
        <v>22</v>
      </c>
    </row>
    <row r="6949" spans="1:11" ht="42" customHeight="1">
      <c r="A6949" s="2" t="s">
        <v>13683</v>
      </c>
      <c r="B6949" s="2" t="s">
        <v>13684</v>
      </c>
      <c r="C6949" s="2" t="s">
        <v>50</v>
      </c>
      <c r="D6949" s="2" t="s">
        <v>51</v>
      </c>
      <c r="E6949" s="5">
        <v>-28308</v>
      </c>
      <c r="F6949" s="3" t="s">
        <v>1050</v>
      </c>
      <c r="G6949" s="3" t="s">
        <v>167</v>
      </c>
      <c r="H6949" s="2" t="s">
        <v>20</v>
      </c>
      <c r="I6949" s="2" t="s">
        <v>13685</v>
      </c>
      <c r="J6949" s="3" t="str">
        <f>HYPERLINK("https://www.boe.es/gazeta/dias/1822/06/29/pdfs/GMD-1822-187.pdf#page=7","Abrir facsímil")</f>
        <v>Abrir facsímil</v>
      </c>
      <c r="K6949" s="3" t="s">
        <v>22</v>
      </c>
    </row>
    <row r="6950" spans="1:11" ht="42" customHeight="1">
      <c r="A6950" s="2" t="s">
        <v>13683</v>
      </c>
      <c r="B6950" s="2" t="s">
        <v>13684</v>
      </c>
      <c r="C6950" s="2" t="s">
        <v>42</v>
      </c>
      <c r="D6950" s="2" t="s">
        <v>17</v>
      </c>
      <c r="E6950" s="5">
        <v>-28195</v>
      </c>
      <c r="F6950" s="3" t="s">
        <v>770</v>
      </c>
      <c r="G6950" s="3" t="s">
        <v>63</v>
      </c>
      <c r="H6950" s="2" t="s">
        <v>20</v>
      </c>
      <c r="I6950" s="2" t="s">
        <v>13686</v>
      </c>
      <c r="J6950" s="3" t="str">
        <f>HYPERLINK("https://www.boe.es/gazeta/dias/1822/10/20/pdfs/GMD-1822-307.pdf#page=6","Abrir facsímil")</f>
        <v>Abrir facsímil</v>
      </c>
      <c r="K6950" s="3" t="s">
        <v>22</v>
      </c>
    </row>
    <row r="6951" spans="1:11" ht="42" customHeight="1">
      <c r="A6951" s="2" t="s">
        <v>13687</v>
      </c>
      <c r="B6951" s="2" t="s">
        <v>13687</v>
      </c>
      <c r="C6951" s="2" t="s">
        <v>71</v>
      </c>
      <c r="D6951" s="2" t="s">
        <v>17</v>
      </c>
      <c r="E6951" s="5">
        <v>-28314</v>
      </c>
      <c r="F6951" s="3" t="s">
        <v>309</v>
      </c>
      <c r="G6951" s="3" t="s">
        <v>35</v>
      </c>
      <c r="H6951" s="2" t="s">
        <v>20</v>
      </c>
      <c r="I6951" s="2" t="s">
        <v>13688</v>
      </c>
      <c r="J6951" s="3" t="str">
        <f>HYPERLINK("https://www.boe.es/gazeta/dias/1822/06/23/pdfs/GMD-1822-181.pdf#page=2","Abrir facsímil")</f>
        <v>Abrir facsímil</v>
      </c>
      <c r="K6951" s="3" t="s">
        <v>22</v>
      </c>
    </row>
    <row r="6952" spans="1:11" ht="42" customHeight="1">
      <c r="A6952" s="2" t="s">
        <v>13687</v>
      </c>
      <c r="B6952" s="2" t="s">
        <v>13687</v>
      </c>
      <c r="C6952" s="2" t="s">
        <v>28</v>
      </c>
      <c r="D6952" s="2" t="s">
        <v>29</v>
      </c>
      <c r="E6952" s="5">
        <v>-28173</v>
      </c>
      <c r="F6952" s="3" t="s">
        <v>2959</v>
      </c>
      <c r="G6952" s="3" t="s">
        <v>57</v>
      </c>
      <c r="H6952" s="2" t="s">
        <v>20</v>
      </c>
      <c r="I6952" s="2" t="s">
        <v>13689</v>
      </c>
      <c r="J6952" s="3" t="str">
        <f>HYPERLINK("https://www.boe.es/gazeta/dias/1822/11/11/pdfs/GMD-1822-331.pdf#page=4","Abrir facsímil")</f>
        <v>Abrir facsímil</v>
      </c>
      <c r="K6952" s="3" t="s">
        <v>22</v>
      </c>
    </row>
    <row r="6953" spans="1:11" ht="42" customHeight="1">
      <c r="A6953" s="2" t="s">
        <v>13690</v>
      </c>
      <c r="B6953" s="2" t="s">
        <v>13690</v>
      </c>
      <c r="C6953" s="2" t="s">
        <v>61</v>
      </c>
      <c r="D6953" s="2" t="s">
        <v>17</v>
      </c>
      <c r="E6953" s="5">
        <v>-28351</v>
      </c>
      <c r="F6953" s="3" t="s">
        <v>282</v>
      </c>
      <c r="G6953" s="3" t="s">
        <v>31</v>
      </c>
      <c r="H6953" s="2" t="s">
        <v>20</v>
      </c>
      <c r="I6953" s="2" t="s">
        <v>13691</v>
      </c>
      <c r="J6953" s="3" t="str">
        <f>HYPERLINK("https://www.boe.es/gazeta/dias/1822/05/17/pdfs/GMD-1822-139.pdf#page=3","Abrir facsímil")</f>
        <v>Abrir facsímil</v>
      </c>
      <c r="K6953" s="3" t="s">
        <v>22</v>
      </c>
    </row>
    <row r="6954" spans="1:11" ht="42" customHeight="1">
      <c r="A6954" s="2" t="s">
        <v>13690</v>
      </c>
      <c r="B6954" s="2" t="s">
        <v>13690</v>
      </c>
      <c r="C6954" s="2" t="s">
        <v>28</v>
      </c>
      <c r="D6954" s="2" t="s">
        <v>29</v>
      </c>
      <c r="E6954" s="5">
        <v>-28313</v>
      </c>
      <c r="F6954" s="3" t="s">
        <v>315</v>
      </c>
      <c r="G6954" s="3" t="s">
        <v>35</v>
      </c>
      <c r="H6954" s="2" t="s">
        <v>20</v>
      </c>
      <c r="I6954" s="2" t="s">
        <v>13692</v>
      </c>
      <c r="J6954" s="3" t="str">
        <f>HYPERLINK("https://www.boe.es/gazeta/dias/1822/06/24/pdfs/GMD-1822-182.pdf#page=2","Abrir facsímil")</f>
        <v>Abrir facsímil</v>
      </c>
      <c r="K6954" s="3" t="s">
        <v>22</v>
      </c>
    </row>
    <row r="6955" spans="1:11" ht="42" customHeight="1">
      <c r="A6955" s="2" t="s">
        <v>13693</v>
      </c>
      <c r="B6955" s="2" t="s">
        <v>13693</v>
      </c>
      <c r="C6955" s="2" t="s">
        <v>50</v>
      </c>
      <c r="D6955" s="2" t="s">
        <v>51</v>
      </c>
      <c r="E6955" s="5">
        <v>-28131</v>
      </c>
      <c r="F6955" s="3" t="s">
        <v>893</v>
      </c>
      <c r="G6955" s="3" t="s">
        <v>19</v>
      </c>
      <c r="H6955" s="2" t="s">
        <v>20</v>
      </c>
      <c r="I6955" s="2" t="s">
        <v>13694</v>
      </c>
      <c r="J6955" s="3" t="str">
        <f>HYPERLINK("https://www.boe.es/gazeta/dias/1822/12/23/pdfs/GMD-1822-373.pdf#page=5","Abrir facsímil")</f>
        <v>Abrir facsímil</v>
      </c>
      <c r="K6955" s="3" t="s">
        <v>22</v>
      </c>
    </row>
    <row r="6956" spans="1:11" ht="42" customHeight="1">
      <c r="A6956" s="2" t="s">
        <v>13695</v>
      </c>
      <c r="B6956" s="2" t="s">
        <v>13695</v>
      </c>
      <c r="C6956" s="2" t="s">
        <v>61</v>
      </c>
      <c r="D6956" s="2" t="s">
        <v>17</v>
      </c>
      <c r="E6956" s="5">
        <v>-28339</v>
      </c>
      <c r="F6956" s="3" t="s">
        <v>197</v>
      </c>
      <c r="G6956" s="3" t="s">
        <v>31</v>
      </c>
      <c r="H6956" s="2" t="s">
        <v>20</v>
      </c>
      <c r="I6956" s="2" t="s">
        <v>13696</v>
      </c>
      <c r="J6956" s="3" t="str">
        <f>HYPERLINK("https://www.boe.es/gazeta/dias/1822/05/29/pdfs/GMD-1822-154.pdf#page=3","Abrir facsímil")</f>
        <v>Abrir facsímil</v>
      </c>
      <c r="K6956" s="3" t="s">
        <v>22</v>
      </c>
    </row>
    <row r="6957" spans="1:11" ht="42" customHeight="1">
      <c r="A6957" s="2" t="s">
        <v>13697</v>
      </c>
      <c r="B6957" s="2" t="s">
        <v>13697</v>
      </c>
      <c r="C6957" s="2" t="s">
        <v>61</v>
      </c>
      <c r="D6957" s="2" t="s">
        <v>17</v>
      </c>
      <c r="E6957" s="5">
        <v>-28423</v>
      </c>
      <c r="F6957" s="3" t="s">
        <v>441</v>
      </c>
      <c r="G6957" s="3" t="s">
        <v>19</v>
      </c>
      <c r="H6957" s="2" t="s">
        <v>20</v>
      </c>
      <c r="I6957" s="2" t="s">
        <v>13698</v>
      </c>
      <c r="J6957" s="3" t="str">
        <f>HYPERLINK("https://www.boe.es/gazeta/dias/1822/03/06/pdfs/GMD-1822-67.pdf#page=5","Abrir facsímil")</f>
        <v>Abrir facsímil</v>
      </c>
      <c r="K6957" s="3" t="s">
        <v>22</v>
      </c>
    </row>
    <row r="6958" spans="1:11" ht="42" customHeight="1">
      <c r="A6958" s="2" t="s">
        <v>13697</v>
      </c>
      <c r="B6958" s="2" t="s">
        <v>13697</v>
      </c>
      <c r="C6958" s="2" t="s">
        <v>16</v>
      </c>
      <c r="D6958" s="2" t="s">
        <v>17</v>
      </c>
      <c r="E6958" s="5">
        <v>-28321</v>
      </c>
      <c r="F6958" s="3" t="s">
        <v>1142</v>
      </c>
      <c r="G6958" s="3" t="s">
        <v>57</v>
      </c>
      <c r="H6958" s="2" t="s">
        <v>20</v>
      </c>
      <c r="I6958" s="2" t="s">
        <v>13699</v>
      </c>
      <c r="J6958" s="3" t="str">
        <f>HYPERLINK("https://www.boe.es/gazeta/dias/1822/06/16/pdfs/GMD-1822-173.pdf#page=4","Abrir facsímil")</f>
        <v>Abrir facsímil</v>
      </c>
      <c r="K6958" s="3" t="s">
        <v>22</v>
      </c>
    </row>
    <row r="6959" spans="1:11" ht="42" customHeight="1">
      <c r="A6959" s="2" t="s">
        <v>13697</v>
      </c>
      <c r="B6959" s="2" t="s">
        <v>13697</v>
      </c>
      <c r="C6959" s="2" t="s">
        <v>50</v>
      </c>
      <c r="D6959" s="2" t="s">
        <v>51</v>
      </c>
      <c r="E6959" s="5">
        <v>-28314</v>
      </c>
      <c r="F6959" s="3" t="s">
        <v>309</v>
      </c>
      <c r="G6959" s="3" t="s">
        <v>35</v>
      </c>
      <c r="H6959" s="2" t="s">
        <v>20</v>
      </c>
      <c r="I6959" s="2" t="s">
        <v>13700</v>
      </c>
      <c r="J6959" s="3" t="str">
        <f>HYPERLINK("https://www.boe.es/gazeta/dias/1822/06/23/pdfs/GMD-1822-181.pdf#page=2","Abrir facsímil")</f>
        <v>Abrir facsímil</v>
      </c>
      <c r="K6959" s="3" t="s">
        <v>22</v>
      </c>
    </row>
    <row r="6960" spans="1:11" ht="42" customHeight="1">
      <c r="A6960" s="2" t="s">
        <v>13697</v>
      </c>
      <c r="B6960" s="2" t="s">
        <v>13697</v>
      </c>
      <c r="C6960" s="2" t="s">
        <v>71</v>
      </c>
      <c r="D6960" s="2" t="s">
        <v>17</v>
      </c>
      <c r="E6960" s="5">
        <v>-28177</v>
      </c>
      <c r="F6960" s="3" t="s">
        <v>587</v>
      </c>
      <c r="G6960" s="3" t="s">
        <v>35</v>
      </c>
      <c r="H6960" s="2" t="s">
        <v>20</v>
      </c>
      <c r="I6960" s="2" t="s">
        <v>13701</v>
      </c>
      <c r="J6960" s="3" t="str">
        <f>HYPERLINK("https://www.boe.es/gazeta/dias/1822/11/07/pdfs/GMD-1822-327.pdf#page=2","Abrir facsímil")</f>
        <v>Abrir facsímil</v>
      </c>
      <c r="K6960" s="3" t="s">
        <v>22</v>
      </c>
    </row>
    <row r="6961" spans="1:11" ht="42" customHeight="1">
      <c r="A6961" s="2" t="s">
        <v>13702</v>
      </c>
      <c r="B6961" s="2" t="s">
        <v>13702</v>
      </c>
      <c r="C6961" s="2" t="s">
        <v>61</v>
      </c>
      <c r="D6961" s="2" t="s">
        <v>17</v>
      </c>
      <c r="E6961" s="5">
        <v>-28344</v>
      </c>
      <c r="F6961" s="3" t="s">
        <v>524</v>
      </c>
      <c r="G6961" s="3" t="s">
        <v>57</v>
      </c>
      <c r="H6961" s="2" t="s">
        <v>20</v>
      </c>
      <c r="I6961" s="2" t="s">
        <v>13703</v>
      </c>
      <c r="J6961" s="3" t="str">
        <f>HYPERLINK("https://www.boe.es/gazeta/dias/1822/05/24/pdfs/GMD-1822-148.pdf#page=4","Abrir facsímil")</f>
        <v>Abrir facsímil</v>
      </c>
      <c r="K6961" s="3" t="s">
        <v>22</v>
      </c>
    </row>
    <row r="6962" spans="1:11" ht="42" customHeight="1">
      <c r="A6962" s="2" t="s">
        <v>13702</v>
      </c>
      <c r="B6962" s="2" t="s">
        <v>13702</v>
      </c>
      <c r="C6962" s="2" t="s">
        <v>28</v>
      </c>
      <c r="D6962" s="2" t="s">
        <v>29</v>
      </c>
      <c r="E6962" s="5">
        <v>-28338</v>
      </c>
      <c r="F6962" s="3" t="s">
        <v>527</v>
      </c>
      <c r="G6962" s="3" t="s">
        <v>57</v>
      </c>
      <c r="H6962" s="2" t="s">
        <v>20</v>
      </c>
      <c r="I6962" s="2" t="s">
        <v>13704</v>
      </c>
      <c r="J6962" s="3" t="str">
        <f>HYPERLINK("https://www.boe.es/gazeta/dias/1822/05/30/pdfs/GMD-1822-155.pdf#page=4","Abrir facsímil")</f>
        <v>Abrir facsímil</v>
      </c>
      <c r="K6962" s="3" t="s">
        <v>22</v>
      </c>
    </row>
    <row r="6963" spans="1:11" ht="42" customHeight="1">
      <c r="A6963" s="2" t="s">
        <v>13705</v>
      </c>
      <c r="B6963" s="2" t="s">
        <v>13705</v>
      </c>
      <c r="C6963" s="2" t="s">
        <v>28</v>
      </c>
      <c r="D6963" s="2" t="s">
        <v>29</v>
      </c>
      <c r="E6963" s="5">
        <v>-28423</v>
      </c>
      <c r="F6963" s="3" t="s">
        <v>441</v>
      </c>
      <c r="G6963" s="3" t="s">
        <v>19</v>
      </c>
      <c r="H6963" s="2" t="s">
        <v>20</v>
      </c>
      <c r="I6963" s="2" t="s">
        <v>13706</v>
      </c>
      <c r="J6963" s="3" t="str">
        <f>HYPERLINK("https://www.boe.es/gazeta/dias/1822/03/06/pdfs/GMD-1822-67.pdf#page=5","Abrir facsímil")</f>
        <v>Abrir facsímil</v>
      </c>
      <c r="K6963" s="3" t="s">
        <v>22</v>
      </c>
    </row>
    <row r="6964" spans="1:11" ht="42" customHeight="1">
      <c r="A6964" s="2" t="s">
        <v>13705</v>
      </c>
      <c r="B6964" s="2" t="s">
        <v>13705</v>
      </c>
      <c r="C6964" s="2" t="s">
        <v>28</v>
      </c>
      <c r="D6964" s="2" t="s">
        <v>29</v>
      </c>
      <c r="E6964" s="5">
        <v>-28422</v>
      </c>
      <c r="F6964" s="3" t="s">
        <v>416</v>
      </c>
      <c r="G6964" s="3" t="s">
        <v>31</v>
      </c>
      <c r="H6964" s="2" t="s">
        <v>20</v>
      </c>
      <c r="I6964" s="2" t="s">
        <v>13707</v>
      </c>
      <c r="J6964" s="3" t="str">
        <f>HYPERLINK("https://www.boe.es/gazeta/dias/1822/03/07/pdfs/GMD-1822-68.pdf#page=3","Abrir facsímil")</f>
        <v>Abrir facsímil</v>
      </c>
      <c r="K6964" s="3" t="s">
        <v>22</v>
      </c>
    </row>
    <row r="6965" spans="1:11" ht="42" customHeight="1">
      <c r="A6965" s="2" t="s">
        <v>13705</v>
      </c>
      <c r="B6965" s="2" t="s">
        <v>13705</v>
      </c>
      <c r="C6965" s="2" t="s">
        <v>42</v>
      </c>
      <c r="D6965" s="2" t="s">
        <v>17</v>
      </c>
      <c r="E6965" s="5">
        <v>-28421</v>
      </c>
      <c r="F6965" s="3" t="s">
        <v>446</v>
      </c>
      <c r="G6965" s="3" t="s">
        <v>31</v>
      </c>
      <c r="H6965" s="2" t="s">
        <v>20</v>
      </c>
      <c r="I6965" s="2" t="s">
        <v>13708</v>
      </c>
      <c r="J6965" s="3" t="str">
        <f>HYPERLINK("https://www.boe.es/gazeta/dias/1822/03/08/pdfs/GMD-1822-69.pdf#page=3","Abrir facsímil")</f>
        <v>Abrir facsímil</v>
      </c>
      <c r="K6965" s="3" t="s">
        <v>22</v>
      </c>
    </row>
    <row r="6966" spans="1:11" ht="42" customHeight="1">
      <c r="A6966" s="2" t="s">
        <v>13705</v>
      </c>
      <c r="B6966" s="2" t="s">
        <v>13705</v>
      </c>
      <c r="C6966" s="2" t="s">
        <v>28</v>
      </c>
      <c r="D6966" s="2" t="s">
        <v>29</v>
      </c>
      <c r="E6966" s="5">
        <v>-28419</v>
      </c>
      <c r="F6966" s="3" t="s">
        <v>1392</v>
      </c>
      <c r="G6966" s="3" t="s">
        <v>63</v>
      </c>
      <c r="H6966" s="2" t="s">
        <v>20</v>
      </c>
      <c r="I6966" s="2" t="s">
        <v>13709</v>
      </c>
      <c r="J6966" s="3" t="str">
        <f>HYPERLINK("https://www.boe.es/gazeta/dias/1822/03/10/pdfs/GMD-1822-71.pdf#page=6","Abrir facsímil")</f>
        <v>Abrir facsímil</v>
      </c>
      <c r="K6966" s="3" t="s">
        <v>22</v>
      </c>
    </row>
    <row r="6967" spans="1:11" ht="42" customHeight="1">
      <c r="A6967" s="2" t="s">
        <v>13705</v>
      </c>
      <c r="B6967" s="2" t="s">
        <v>13705</v>
      </c>
      <c r="C6967" s="2" t="s">
        <v>71</v>
      </c>
      <c r="D6967" s="2" t="s">
        <v>17</v>
      </c>
      <c r="E6967" s="5">
        <v>-28417</v>
      </c>
      <c r="F6967" s="3" t="s">
        <v>1394</v>
      </c>
      <c r="G6967" s="3" t="s">
        <v>35</v>
      </c>
      <c r="H6967" s="2" t="s">
        <v>20</v>
      </c>
      <c r="I6967" s="2" t="s">
        <v>13710</v>
      </c>
      <c r="J6967" s="3" t="str">
        <f>HYPERLINK("https://www.boe.es/gazeta/dias/1822/03/12/pdfs/GMD-1822-73.pdf#page=2","Abrir facsímil")</f>
        <v>Abrir facsímil</v>
      </c>
      <c r="K6967" s="3" t="s">
        <v>22</v>
      </c>
    </row>
    <row r="6968" spans="1:11" ht="42" customHeight="1">
      <c r="A6968" s="2" t="s">
        <v>13705</v>
      </c>
      <c r="B6968" s="2" t="s">
        <v>13705</v>
      </c>
      <c r="C6968" s="2" t="s">
        <v>28</v>
      </c>
      <c r="D6968" s="2" t="s">
        <v>29</v>
      </c>
      <c r="E6968" s="5">
        <v>-28415</v>
      </c>
      <c r="F6968" s="3" t="s">
        <v>77</v>
      </c>
      <c r="G6968" s="3" t="s">
        <v>57</v>
      </c>
      <c r="H6968" s="2" t="s">
        <v>20</v>
      </c>
      <c r="I6968" s="2" t="s">
        <v>13711</v>
      </c>
      <c r="J6968" s="3" t="str">
        <f>HYPERLINK("https://www.boe.es/gazeta/dias/1822/03/14/pdfs/GMD-1822-75.pdf#page=4","Abrir facsímil")</f>
        <v>Abrir facsímil</v>
      </c>
      <c r="K6968" s="3" t="s">
        <v>22</v>
      </c>
    </row>
    <row r="6969" spans="1:11" ht="42" customHeight="1">
      <c r="A6969" s="2" t="s">
        <v>13705</v>
      </c>
      <c r="B6969" s="2" t="s">
        <v>13705</v>
      </c>
      <c r="C6969" s="2" t="s">
        <v>71</v>
      </c>
      <c r="D6969" s="2" t="s">
        <v>17</v>
      </c>
      <c r="E6969" s="5">
        <v>-28414</v>
      </c>
      <c r="F6969" s="3" t="s">
        <v>187</v>
      </c>
      <c r="G6969" s="3" t="s">
        <v>57</v>
      </c>
      <c r="H6969" s="2" t="s">
        <v>20</v>
      </c>
      <c r="I6969" s="2" t="s">
        <v>13712</v>
      </c>
      <c r="J6969" s="3" t="str">
        <f>HYPERLINK("https://www.boe.es/gazeta/dias/1822/03/15/pdfs/GMD-1822-76.pdf#page=4","Abrir facsímil")</f>
        <v>Abrir facsímil</v>
      </c>
      <c r="K6969" s="3" t="s">
        <v>22</v>
      </c>
    </row>
    <row r="6970" spans="1:11" ht="42" customHeight="1">
      <c r="A6970" s="2" t="s">
        <v>13705</v>
      </c>
      <c r="B6970" s="2" t="s">
        <v>13705</v>
      </c>
      <c r="C6970" s="2" t="s">
        <v>50</v>
      </c>
      <c r="D6970" s="2" t="s">
        <v>51</v>
      </c>
      <c r="E6970" s="5">
        <v>-28411</v>
      </c>
      <c r="F6970" s="3" t="s">
        <v>1509</v>
      </c>
      <c r="G6970" s="3" t="s">
        <v>44</v>
      </c>
      <c r="H6970" s="2" t="s">
        <v>20</v>
      </c>
      <c r="I6970" s="2" t="s">
        <v>13713</v>
      </c>
      <c r="J6970" s="3" t="str">
        <f>HYPERLINK("https://www.boe.es/gazeta/dias/1822/03/18/pdfs/GMD-1822-79.pdf#page=1","Abrir facsímil")</f>
        <v>Abrir facsímil</v>
      </c>
      <c r="K6970" s="3" t="s">
        <v>22</v>
      </c>
    </row>
    <row r="6971" spans="1:11" ht="42" customHeight="1">
      <c r="A6971" s="2" t="s">
        <v>13705</v>
      </c>
      <c r="B6971" s="2" t="s">
        <v>13705</v>
      </c>
      <c r="C6971" s="2" t="s">
        <v>71</v>
      </c>
      <c r="D6971" s="2" t="s">
        <v>17</v>
      </c>
      <c r="E6971" s="5">
        <v>-28411</v>
      </c>
      <c r="F6971" s="3" t="s">
        <v>1509</v>
      </c>
      <c r="G6971" s="3" t="s">
        <v>35</v>
      </c>
      <c r="H6971" s="2" t="s">
        <v>20</v>
      </c>
      <c r="I6971" s="2" t="s">
        <v>13714</v>
      </c>
      <c r="J6971" s="3" t="str">
        <f>HYPERLINK("https://www.boe.es/gazeta/dias/1822/03/18/pdfs/GMD-1822-79.pdf#page=2","Abrir facsímil")</f>
        <v>Abrir facsímil</v>
      </c>
      <c r="K6971" s="3" t="s">
        <v>22</v>
      </c>
    </row>
    <row r="6972" spans="1:11" ht="42" customHeight="1">
      <c r="A6972" s="2" t="s">
        <v>13705</v>
      </c>
      <c r="B6972" s="2" t="s">
        <v>13705</v>
      </c>
      <c r="C6972" s="2" t="s">
        <v>50</v>
      </c>
      <c r="D6972" s="2" t="s">
        <v>51</v>
      </c>
      <c r="E6972" s="5">
        <v>-28408</v>
      </c>
      <c r="F6972" s="3" t="s">
        <v>2561</v>
      </c>
      <c r="G6972" s="3" t="s">
        <v>57</v>
      </c>
      <c r="H6972" s="2" t="s">
        <v>20</v>
      </c>
      <c r="I6972" s="2" t="s">
        <v>13715</v>
      </c>
      <c r="J6972" s="3" t="str">
        <f>HYPERLINK("https://www.boe.es/gazeta/dias/1822/03/21/pdfs/GMD-1822-82.pdf#page=4","Abrir facsímil")</f>
        <v>Abrir facsímil</v>
      </c>
      <c r="K6972" s="3" t="s">
        <v>22</v>
      </c>
    </row>
    <row r="6973" spans="1:11" ht="42" customHeight="1">
      <c r="A6973" s="2" t="s">
        <v>13705</v>
      </c>
      <c r="B6973" s="2" t="s">
        <v>13705</v>
      </c>
      <c r="C6973" s="2" t="s">
        <v>28</v>
      </c>
      <c r="D6973" s="2" t="s">
        <v>29</v>
      </c>
      <c r="E6973" s="5">
        <v>-28408</v>
      </c>
      <c r="F6973" s="3" t="s">
        <v>2561</v>
      </c>
      <c r="G6973" s="3" t="s">
        <v>19</v>
      </c>
      <c r="H6973" s="2" t="s">
        <v>20</v>
      </c>
      <c r="I6973" s="2" t="s">
        <v>13716</v>
      </c>
      <c r="J6973" s="3" t="str">
        <f>HYPERLINK("https://www.boe.es/gazeta/dias/1822/03/21/pdfs/GMD-1822-82.pdf#page=5","Abrir facsímil")</f>
        <v>Abrir facsímil</v>
      </c>
      <c r="K6973" s="3" t="s">
        <v>22</v>
      </c>
    </row>
    <row r="6974" spans="1:11" ht="42" customHeight="1">
      <c r="A6974" s="2" t="s">
        <v>13705</v>
      </c>
      <c r="B6974" s="2" t="s">
        <v>13705</v>
      </c>
      <c r="C6974" s="2" t="s">
        <v>28</v>
      </c>
      <c r="D6974" s="2" t="s">
        <v>29</v>
      </c>
      <c r="E6974" s="5">
        <v>-28407</v>
      </c>
      <c r="F6974" s="3" t="s">
        <v>460</v>
      </c>
      <c r="G6974" s="3" t="s">
        <v>57</v>
      </c>
      <c r="H6974" s="2" t="s">
        <v>20</v>
      </c>
      <c r="I6974" s="2" t="s">
        <v>13717</v>
      </c>
      <c r="J6974" s="3" t="str">
        <f>HYPERLINK("https://www.boe.es/gazeta/dias/1822/03/22/pdfs/GMD-1822-83.pdf#page=4","Abrir facsímil")</f>
        <v>Abrir facsímil</v>
      </c>
      <c r="K6974" s="3" t="s">
        <v>22</v>
      </c>
    </row>
    <row r="6975" spans="1:11" ht="42" customHeight="1">
      <c r="A6975" s="2" t="s">
        <v>13705</v>
      </c>
      <c r="B6975" s="2" t="s">
        <v>13705</v>
      </c>
      <c r="C6975" s="2" t="s">
        <v>50</v>
      </c>
      <c r="D6975" s="2" t="s">
        <v>51</v>
      </c>
      <c r="E6975" s="5">
        <v>-28402</v>
      </c>
      <c r="F6975" s="3" t="s">
        <v>473</v>
      </c>
      <c r="G6975" s="3" t="s">
        <v>35</v>
      </c>
      <c r="H6975" s="2" t="s">
        <v>20</v>
      </c>
      <c r="I6975" s="2" t="s">
        <v>13718</v>
      </c>
      <c r="J6975" s="3" t="str">
        <f>HYPERLINK("https://www.boe.es/gazeta/dias/1822/03/27/pdfs/GMD-1822-88.pdf#page=2","Abrir facsímil")</f>
        <v>Abrir facsímil</v>
      </c>
      <c r="K6975" s="3" t="s">
        <v>22</v>
      </c>
    </row>
    <row r="6976" spans="1:11" ht="42" customHeight="1">
      <c r="A6976" s="2" t="s">
        <v>13705</v>
      </c>
      <c r="B6976" s="2" t="s">
        <v>13705</v>
      </c>
      <c r="C6976" s="2" t="s">
        <v>28</v>
      </c>
      <c r="D6976" s="2" t="s">
        <v>29</v>
      </c>
      <c r="E6976" s="5">
        <v>-28366</v>
      </c>
      <c r="F6976" s="3" t="s">
        <v>120</v>
      </c>
      <c r="G6976" s="3" t="s">
        <v>31</v>
      </c>
      <c r="H6976" s="2" t="s">
        <v>20</v>
      </c>
      <c r="I6976" s="2" t="s">
        <v>13719</v>
      </c>
      <c r="J6976" s="3" t="str">
        <f>HYPERLINK("https://www.boe.es/gazeta/dias/1822/05/02/pdfs/GMD-1822-124.pdf#page=3","Abrir facsímil")</f>
        <v>Abrir facsímil</v>
      </c>
      <c r="K6976" s="3" t="s">
        <v>22</v>
      </c>
    </row>
    <row r="6977" spans="1:11" ht="42" customHeight="1">
      <c r="A6977" s="2" t="s">
        <v>13705</v>
      </c>
      <c r="B6977" s="2" t="s">
        <v>13705</v>
      </c>
      <c r="C6977" s="2" t="s">
        <v>28</v>
      </c>
      <c r="D6977" s="2" t="s">
        <v>29</v>
      </c>
      <c r="E6977" s="5">
        <v>-28365</v>
      </c>
      <c r="F6977" s="3" t="s">
        <v>506</v>
      </c>
      <c r="G6977" s="3" t="s">
        <v>44</v>
      </c>
      <c r="H6977" s="2" t="s">
        <v>20</v>
      </c>
      <c r="I6977" s="2" t="s">
        <v>13720</v>
      </c>
      <c r="J6977" s="3" t="str">
        <f>HYPERLINK("https://www.boe.es/gazeta/dias/1822/05/03/pdfs/GMD-1822-125.pdf#page=1","Abrir facsímil")</f>
        <v>Abrir facsímil</v>
      </c>
      <c r="K6977" s="3" t="s">
        <v>22</v>
      </c>
    </row>
    <row r="6978" spans="1:11" ht="42" customHeight="1">
      <c r="A6978" s="2" t="s">
        <v>13705</v>
      </c>
      <c r="B6978" s="2" t="s">
        <v>13705</v>
      </c>
      <c r="C6978" s="2" t="s">
        <v>28</v>
      </c>
      <c r="D6978" s="2" t="s">
        <v>29</v>
      </c>
      <c r="E6978" s="5">
        <v>-28364</v>
      </c>
      <c r="F6978" s="3" t="s">
        <v>509</v>
      </c>
      <c r="G6978" s="3" t="s">
        <v>57</v>
      </c>
      <c r="H6978" s="2" t="s">
        <v>20</v>
      </c>
      <c r="I6978" s="2" t="s">
        <v>13721</v>
      </c>
      <c r="J6978" s="3" t="str">
        <f>HYPERLINK("https://www.boe.es/gazeta/dias/1822/05/04/pdfs/GMD-1822-126.pdf#page=4","Abrir facsímil")</f>
        <v>Abrir facsímil</v>
      </c>
      <c r="K6978" s="3" t="s">
        <v>22</v>
      </c>
    </row>
    <row r="6979" spans="1:11" ht="42" customHeight="1">
      <c r="A6979" s="2" t="s">
        <v>13705</v>
      </c>
      <c r="B6979" s="2" t="s">
        <v>13705</v>
      </c>
      <c r="C6979" s="2" t="s">
        <v>50</v>
      </c>
      <c r="D6979" s="2" t="s">
        <v>51</v>
      </c>
      <c r="E6979" s="5">
        <v>-28362</v>
      </c>
      <c r="F6979" s="3" t="s">
        <v>511</v>
      </c>
      <c r="G6979" s="3" t="s">
        <v>19</v>
      </c>
      <c r="H6979" s="2" t="s">
        <v>20</v>
      </c>
      <c r="I6979" s="2" t="s">
        <v>13722</v>
      </c>
      <c r="J6979" s="3" t="str">
        <f>HYPERLINK("https://www.boe.es/gazeta/dias/1822/05/06/pdfs/GMD-1822-128.pdf#page=5","Abrir facsímil")</f>
        <v>Abrir facsímil</v>
      </c>
      <c r="K6979" s="3" t="s">
        <v>22</v>
      </c>
    </row>
    <row r="6980" spans="1:11" ht="42" customHeight="1">
      <c r="A6980" s="2" t="s">
        <v>13705</v>
      </c>
      <c r="B6980" s="2" t="s">
        <v>13705</v>
      </c>
      <c r="C6980" s="2" t="s">
        <v>28</v>
      </c>
      <c r="D6980" s="2" t="s">
        <v>29</v>
      </c>
      <c r="E6980" s="5">
        <v>-28361</v>
      </c>
      <c r="F6980" s="3" t="s">
        <v>374</v>
      </c>
      <c r="G6980" s="3" t="s">
        <v>57</v>
      </c>
      <c r="H6980" s="2" t="s">
        <v>20</v>
      </c>
      <c r="I6980" s="2" t="s">
        <v>13723</v>
      </c>
      <c r="J6980" s="3" t="str">
        <f>HYPERLINK("https://www.boe.es/gazeta/dias/1822/05/07/pdfs/GMD-1822-129.pdf#page=4","Abrir facsímil")</f>
        <v>Abrir facsímil</v>
      </c>
      <c r="K6980" s="3" t="s">
        <v>22</v>
      </c>
    </row>
    <row r="6981" spans="1:11" ht="42" customHeight="1">
      <c r="A6981" s="2" t="s">
        <v>13705</v>
      </c>
      <c r="B6981" s="2" t="s">
        <v>13705</v>
      </c>
      <c r="C6981" s="2" t="s">
        <v>28</v>
      </c>
      <c r="D6981" s="2" t="s">
        <v>29</v>
      </c>
      <c r="E6981" s="5">
        <v>-28361</v>
      </c>
      <c r="F6981" s="3" t="s">
        <v>374</v>
      </c>
      <c r="G6981" s="3" t="s">
        <v>19</v>
      </c>
      <c r="H6981" s="2" t="s">
        <v>20</v>
      </c>
      <c r="I6981" s="2" t="s">
        <v>13724</v>
      </c>
      <c r="J6981" s="3" t="str">
        <f>HYPERLINK("https://www.boe.es/gazeta/dias/1822/05/07/pdfs/GMD-1822-129.pdf#page=5","Abrir facsímil")</f>
        <v>Abrir facsímil</v>
      </c>
      <c r="K6981" s="3" t="s">
        <v>22</v>
      </c>
    </row>
    <row r="6982" spans="1:11" ht="42" customHeight="1">
      <c r="A6982" s="2" t="s">
        <v>13705</v>
      </c>
      <c r="B6982" s="2" t="s">
        <v>13705</v>
      </c>
      <c r="C6982" s="2" t="s">
        <v>16</v>
      </c>
      <c r="D6982" s="2" t="s">
        <v>17</v>
      </c>
      <c r="E6982" s="5">
        <v>-28360</v>
      </c>
      <c r="F6982" s="3" t="s">
        <v>514</v>
      </c>
      <c r="G6982" s="3" t="s">
        <v>31</v>
      </c>
      <c r="H6982" s="2" t="s">
        <v>20</v>
      </c>
      <c r="I6982" s="2" t="s">
        <v>13725</v>
      </c>
      <c r="J6982" s="3" t="str">
        <f>HYPERLINK("https://www.boe.es/gazeta/dias/1822/05/08/pdfs/GMD-1822-130.pdf#page=3","Abrir facsímil")</f>
        <v>Abrir facsímil</v>
      </c>
      <c r="K6982" s="3" t="s">
        <v>22</v>
      </c>
    </row>
    <row r="6983" spans="1:11" ht="42" customHeight="1">
      <c r="A6983" s="2" t="s">
        <v>13705</v>
      </c>
      <c r="B6983" s="2" t="s">
        <v>13705</v>
      </c>
      <c r="C6983" s="2" t="s">
        <v>28</v>
      </c>
      <c r="D6983" s="2" t="s">
        <v>29</v>
      </c>
      <c r="E6983" s="5">
        <v>-28359</v>
      </c>
      <c r="F6983" s="3" t="s">
        <v>209</v>
      </c>
      <c r="G6983" s="3" t="s">
        <v>19</v>
      </c>
      <c r="H6983" s="2" t="s">
        <v>20</v>
      </c>
      <c r="I6983" s="2" t="s">
        <v>13726</v>
      </c>
      <c r="J6983" s="3" t="str">
        <f>HYPERLINK("https://www.boe.es/gazeta/dias/1822/05/09/pdfs/GMD-1822-131.pdf#page=5","Abrir facsímil")</f>
        <v>Abrir facsímil</v>
      </c>
      <c r="K6983" s="3" t="s">
        <v>22</v>
      </c>
    </row>
    <row r="6984" spans="1:11" ht="42" customHeight="1">
      <c r="A6984" s="2" t="s">
        <v>13705</v>
      </c>
      <c r="B6984" s="2" t="s">
        <v>13705</v>
      </c>
      <c r="C6984" s="2" t="s">
        <v>24</v>
      </c>
      <c r="D6984" s="2" t="s">
        <v>17</v>
      </c>
      <c r="E6984" s="5">
        <v>-28356</v>
      </c>
      <c r="F6984" s="3" t="s">
        <v>4170</v>
      </c>
      <c r="G6984" s="3" t="s">
        <v>35</v>
      </c>
      <c r="H6984" s="2" t="s">
        <v>20</v>
      </c>
      <c r="I6984" s="2" t="s">
        <v>13727</v>
      </c>
      <c r="J6984" s="3" t="str">
        <f>HYPERLINK("https://www.boe.es/gazeta/dias/1822/05/12/pdfs/GMD-1822-134.pdf#page=2","Abrir facsímil")</f>
        <v>Abrir facsímil</v>
      </c>
      <c r="K6984" s="3" t="s">
        <v>22</v>
      </c>
    </row>
    <row r="6985" spans="1:11" ht="42" customHeight="1">
      <c r="A6985" s="2" t="s">
        <v>13728</v>
      </c>
      <c r="B6985" s="2" t="s">
        <v>13728</v>
      </c>
      <c r="C6985" s="2" t="s">
        <v>71</v>
      </c>
      <c r="D6985" s="2" t="s">
        <v>17</v>
      </c>
      <c r="E6985" s="5">
        <v>-28353</v>
      </c>
      <c r="F6985" s="3" t="s">
        <v>843</v>
      </c>
      <c r="G6985" s="3" t="s">
        <v>57</v>
      </c>
      <c r="H6985" s="2" t="s">
        <v>20</v>
      </c>
      <c r="I6985" s="2" t="s">
        <v>13729</v>
      </c>
      <c r="J6985" s="3" t="str">
        <f>HYPERLINK("https://www.boe.es/gazeta/dias/1822/05/15/pdfs/GMD-1822-137.pdf#page=4","Abrir facsímil")</f>
        <v>Abrir facsímil</v>
      </c>
      <c r="K6985" s="3" t="s">
        <v>22</v>
      </c>
    </row>
    <row r="6986" spans="1:11" ht="42" customHeight="1">
      <c r="A6986" s="2" t="s">
        <v>13705</v>
      </c>
      <c r="B6986" s="2" t="s">
        <v>13705</v>
      </c>
      <c r="C6986" s="2" t="s">
        <v>42</v>
      </c>
      <c r="D6986" s="2" t="s">
        <v>17</v>
      </c>
      <c r="E6986" s="5">
        <v>-28351</v>
      </c>
      <c r="F6986" s="3" t="s">
        <v>282</v>
      </c>
      <c r="G6986" s="3" t="s">
        <v>31</v>
      </c>
      <c r="H6986" s="2" t="s">
        <v>20</v>
      </c>
      <c r="I6986" s="2" t="s">
        <v>13730</v>
      </c>
      <c r="J6986" s="3" t="str">
        <f>HYPERLINK("https://www.boe.es/gazeta/dias/1822/05/17/pdfs/GMD-1822-139.pdf#page=3","Abrir facsímil")</f>
        <v>Abrir facsímil</v>
      </c>
      <c r="K6986" s="3" t="s">
        <v>22</v>
      </c>
    </row>
    <row r="6987" spans="1:11" ht="42" customHeight="1">
      <c r="A6987" s="2" t="s">
        <v>13705</v>
      </c>
      <c r="B6987" s="2" t="s">
        <v>13705</v>
      </c>
      <c r="C6987" s="2" t="s">
        <v>50</v>
      </c>
      <c r="D6987" s="2" t="s">
        <v>51</v>
      </c>
      <c r="E6987" s="5">
        <v>-28348</v>
      </c>
      <c r="F6987" s="3" t="s">
        <v>2903</v>
      </c>
      <c r="G6987" s="3" t="s">
        <v>31</v>
      </c>
      <c r="H6987" s="2" t="s">
        <v>20</v>
      </c>
      <c r="I6987" s="2" t="s">
        <v>13731</v>
      </c>
      <c r="J6987" s="3" t="str">
        <f>HYPERLINK("https://www.boe.es/gazeta/dias/1822/05/20/pdfs/GMD-1822-143.pdf#page=3","Abrir facsímil")</f>
        <v>Abrir facsímil</v>
      </c>
      <c r="K6987" s="3" t="s">
        <v>22</v>
      </c>
    </row>
    <row r="6988" spans="1:11" ht="42" customHeight="1">
      <c r="A6988" s="2" t="s">
        <v>13705</v>
      </c>
      <c r="B6988" s="2" t="s">
        <v>13705</v>
      </c>
      <c r="C6988" s="2" t="s">
        <v>42</v>
      </c>
      <c r="D6988" s="2" t="s">
        <v>17</v>
      </c>
      <c r="E6988" s="5">
        <v>-28348</v>
      </c>
      <c r="F6988" s="3" t="s">
        <v>2903</v>
      </c>
      <c r="G6988" s="3" t="s">
        <v>19</v>
      </c>
      <c r="H6988" s="2" t="s">
        <v>20</v>
      </c>
      <c r="I6988" s="2" t="s">
        <v>13732</v>
      </c>
      <c r="J6988" s="3" t="str">
        <f>HYPERLINK("https://www.boe.es/gazeta/dias/1822/05/20/pdfs/GMD-1822-143.pdf#page=5","Abrir facsímil")</f>
        <v>Abrir facsímil</v>
      </c>
      <c r="K6988" s="3" t="s">
        <v>22</v>
      </c>
    </row>
    <row r="6989" spans="1:11" ht="42" customHeight="1">
      <c r="A6989" s="2" t="s">
        <v>13705</v>
      </c>
      <c r="B6989" s="2" t="s">
        <v>13705</v>
      </c>
      <c r="C6989" s="2" t="s">
        <v>71</v>
      </c>
      <c r="D6989" s="2" t="s">
        <v>17</v>
      </c>
      <c r="E6989" s="5">
        <v>-28345</v>
      </c>
      <c r="F6989" s="3" t="s">
        <v>294</v>
      </c>
      <c r="G6989" s="3" t="s">
        <v>57</v>
      </c>
      <c r="H6989" s="2" t="s">
        <v>20</v>
      </c>
      <c r="I6989" s="2" t="s">
        <v>13733</v>
      </c>
      <c r="J6989" s="3" t="str">
        <f>HYPERLINK("https://www.boe.es/gazeta/dias/1822/05/23/pdfs/GMD-1822-147.pdf#page=4","Abrir facsímil")</f>
        <v>Abrir facsímil</v>
      </c>
      <c r="K6989" s="3" t="s">
        <v>22</v>
      </c>
    </row>
    <row r="6990" spans="1:11" ht="42" customHeight="1">
      <c r="A6990" s="2" t="s">
        <v>13705</v>
      </c>
      <c r="B6990" s="2" t="s">
        <v>13705</v>
      </c>
      <c r="C6990" s="2" t="s">
        <v>24</v>
      </c>
      <c r="D6990" s="2" t="s">
        <v>17</v>
      </c>
      <c r="E6990" s="5">
        <v>-28344</v>
      </c>
      <c r="F6990" s="3" t="s">
        <v>524</v>
      </c>
      <c r="G6990" s="3" t="s">
        <v>57</v>
      </c>
      <c r="H6990" s="2" t="s">
        <v>20</v>
      </c>
      <c r="I6990" s="2" t="s">
        <v>13734</v>
      </c>
      <c r="J6990" s="3" t="str">
        <f>HYPERLINK("https://www.boe.es/gazeta/dias/1822/05/24/pdfs/GMD-1822-148.pdf#page=4","Abrir facsímil")</f>
        <v>Abrir facsímil</v>
      </c>
      <c r="K6990" s="3" t="s">
        <v>22</v>
      </c>
    </row>
    <row r="6991" spans="1:11" ht="42" customHeight="1">
      <c r="A6991" s="2" t="s">
        <v>13705</v>
      </c>
      <c r="B6991" s="2" t="s">
        <v>13705</v>
      </c>
      <c r="C6991" s="2" t="s">
        <v>16</v>
      </c>
      <c r="D6991" s="2" t="s">
        <v>17</v>
      </c>
      <c r="E6991" s="5">
        <v>-28339</v>
      </c>
      <c r="F6991" s="3" t="s">
        <v>197</v>
      </c>
      <c r="G6991" s="3" t="s">
        <v>35</v>
      </c>
      <c r="H6991" s="2" t="s">
        <v>20</v>
      </c>
      <c r="I6991" s="2" t="s">
        <v>13735</v>
      </c>
      <c r="J6991" s="3" t="str">
        <f>HYPERLINK("https://www.boe.es/gazeta/dias/1822/05/29/pdfs/GMD-1822-154.pdf#page=2","Abrir facsímil")</f>
        <v>Abrir facsímil</v>
      </c>
      <c r="K6991" s="3" t="s">
        <v>22</v>
      </c>
    </row>
    <row r="6992" spans="1:11" ht="42" customHeight="1">
      <c r="A6992" s="2" t="s">
        <v>13705</v>
      </c>
      <c r="B6992" s="2" t="s">
        <v>13705</v>
      </c>
      <c r="C6992" s="2" t="s">
        <v>71</v>
      </c>
      <c r="D6992" s="2" t="s">
        <v>17</v>
      </c>
      <c r="E6992" s="5">
        <v>-28339</v>
      </c>
      <c r="F6992" s="3" t="s">
        <v>197</v>
      </c>
      <c r="G6992" s="3" t="s">
        <v>31</v>
      </c>
      <c r="H6992" s="2" t="s">
        <v>20</v>
      </c>
      <c r="I6992" s="2" t="s">
        <v>13736</v>
      </c>
      <c r="J6992" s="3" t="str">
        <f>HYPERLINK("https://www.boe.es/gazeta/dias/1822/05/29/pdfs/GMD-1822-154.pdf#page=3","Abrir facsímil")</f>
        <v>Abrir facsímil</v>
      </c>
      <c r="K6992" s="3" t="s">
        <v>22</v>
      </c>
    </row>
    <row r="6993" spans="1:11" ht="42" customHeight="1">
      <c r="A6993" s="2" t="s">
        <v>13705</v>
      </c>
      <c r="B6993" s="2" t="s">
        <v>13705</v>
      </c>
      <c r="C6993" s="2" t="s">
        <v>71</v>
      </c>
      <c r="D6993" s="2" t="s">
        <v>17</v>
      </c>
      <c r="E6993" s="5">
        <v>-28336</v>
      </c>
      <c r="F6993" s="3" t="s">
        <v>156</v>
      </c>
      <c r="G6993" s="3" t="s">
        <v>529</v>
      </c>
      <c r="H6993" s="2" t="s">
        <v>20</v>
      </c>
      <c r="I6993" s="2" t="s">
        <v>13737</v>
      </c>
      <c r="J6993" s="3" t="str">
        <f>HYPERLINK("https://www.boe.es/gazeta/dias/1822/06/01/pdfs/GMD-1822-157.pdf#page=4","Abrir facsímil")</f>
        <v>Abrir facsímil</v>
      </c>
      <c r="K6993" s="3" t="s">
        <v>22</v>
      </c>
    </row>
    <row r="6994" spans="1:11" ht="42" customHeight="1">
      <c r="A6994" s="2" t="s">
        <v>13705</v>
      </c>
      <c r="B6994" s="2" t="s">
        <v>13705</v>
      </c>
      <c r="C6994" s="2" t="s">
        <v>28</v>
      </c>
      <c r="D6994" s="2" t="s">
        <v>29</v>
      </c>
      <c r="E6994" s="5">
        <v>-28336</v>
      </c>
      <c r="F6994" s="3" t="s">
        <v>156</v>
      </c>
      <c r="G6994" s="3" t="s">
        <v>35</v>
      </c>
      <c r="H6994" s="2" t="s">
        <v>20</v>
      </c>
      <c r="I6994" s="2" t="s">
        <v>13738</v>
      </c>
      <c r="J6994" s="3" t="str">
        <f>HYPERLINK("https://www.boe.es/gazeta/dias/1822/06/01/pdfs/GMD-1822-157.pdf#page=2","Abrir facsímil")</f>
        <v>Abrir facsímil</v>
      </c>
      <c r="K6994" s="3" t="s">
        <v>22</v>
      </c>
    </row>
    <row r="6995" spans="1:11" ht="42" customHeight="1">
      <c r="A6995" s="2" t="s">
        <v>13705</v>
      </c>
      <c r="B6995" s="2" t="s">
        <v>13705</v>
      </c>
      <c r="C6995" s="2" t="s">
        <v>42</v>
      </c>
      <c r="D6995" s="2" t="s">
        <v>17</v>
      </c>
      <c r="E6995" s="5">
        <v>-28334</v>
      </c>
      <c r="F6995" s="3" t="s">
        <v>532</v>
      </c>
      <c r="G6995" s="3" t="s">
        <v>63</v>
      </c>
      <c r="H6995" s="2" t="s">
        <v>20</v>
      </c>
      <c r="I6995" s="2" t="s">
        <v>13739</v>
      </c>
      <c r="J6995" s="3" t="str">
        <f>HYPERLINK("https://www.boe.es/gazeta/dias/1822/06/03/pdfs/GMD-1822-159.pdf#page=6","Abrir facsímil")</f>
        <v>Abrir facsímil</v>
      </c>
      <c r="K6995" s="3" t="s">
        <v>22</v>
      </c>
    </row>
    <row r="6996" spans="1:11" ht="42" customHeight="1">
      <c r="A6996" s="2" t="s">
        <v>13705</v>
      </c>
      <c r="B6996" s="2" t="s">
        <v>13705</v>
      </c>
      <c r="C6996" s="2" t="s">
        <v>71</v>
      </c>
      <c r="D6996" s="2" t="s">
        <v>17</v>
      </c>
      <c r="E6996" s="5">
        <v>-28332</v>
      </c>
      <c r="F6996" s="3" t="s">
        <v>535</v>
      </c>
      <c r="G6996" s="3" t="s">
        <v>19</v>
      </c>
      <c r="H6996" s="2" t="s">
        <v>20</v>
      </c>
      <c r="I6996" s="2" t="s">
        <v>13740</v>
      </c>
      <c r="J6996" s="3" t="str">
        <f>HYPERLINK("https://www.boe.es/gazeta/dias/1822/06/05/pdfs/GMD-1822-162.pdf#page=5","Abrir facsímil")</f>
        <v>Abrir facsímil</v>
      </c>
      <c r="K6996" s="3" t="s">
        <v>22</v>
      </c>
    </row>
    <row r="6997" spans="1:11" ht="42" customHeight="1">
      <c r="A6997" s="2" t="s">
        <v>13705</v>
      </c>
      <c r="B6997" s="2" t="s">
        <v>13705</v>
      </c>
      <c r="C6997" s="2" t="s">
        <v>28</v>
      </c>
      <c r="D6997" s="2" t="s">
        <v>29</v>
      </c>
      <c r="E6997" s="5">
        <v>-28331</v>
      </c>
      <c r="F6997" s="3" t="s">
        <v>537</v>
      </c>
      <c r="G6997" s="3" t="s">
        <v>31</v>
      </c>
      <c r="H6997" s="2" t="s">
        <v>20</v>
      </c>
      <c r="I6997" s="2" t="s">
        <v>13741</v>
      </c>
      <c r="J6997" s="3" t="str">
        <f>HYPERLINK("https://www.boe.es/gazeta/dias/1822/06/06/pdfs/GMD-1822-163.pdf#page=3","Abrir facsímil")</f>
        <v>Abrir facsímil</v>
      </c>
      <c r="K6997" s="3" t="s">
        <v>22</v>
      </c>
    </row>
    <row r="6998" spans="1:11" ht="42" customHeight="1">
      <c r="A6998" s="2" t="s">
        <v>13705</v>
      </c>
      <c r="B6998" s="2" t="s">
        <v>13705</v>
      </c>
      <c r="C6998" s="2" t="s">
        <v>50</v>
      </c>
      <c r="D6998" s="2" t="s">
        <v>51</v>
      </c>
      <c r="E6998" s="5">
        <v>-28328</v>
      </c>
      <c r="F6998" s="3" t="s">
        <v>540</v>
      </c>
      <c r="G6998" s="3" t="s">
        <v>19</v>
      </c>
      <c r="H6998" s="2" t="s">
        <v>20</v>
      </c>
      <c r="I6998" s="2" t="s">
        <v>13742</v>
      </c>
      <c r="J6998" s="3" t="str">
        <f>HYPERLINK("https://www.boe.es/gazeta/dias/1822/06/09/pdfs/GMD-1822-166.pdf#page=5","Abrir facsímil")</f>
        <v>Abrir facsímil</v>
      </c>
      <c r="K6998" s="3" t="s">
        <v>22</v>
      </c>
    </row>
    <row r="6999" spans="1:11" ht="42" customHeight="1">
      <c r="A6999" s="2" t="s">
        <v>13728</v>
      </c>
      <c r="B6999" s="2" t="s">
        <v>13728</v>
      </c>
      <c r="C6999" s="2" t="s">
        <v>71</v>
      </c>
      <c r="D6999" s="2" t="s">
        <v>17</v>
      </c>
      <c r="E6999" s="5">
        <v>-28327</v>
      </c>
      <c r="F6999" s="3" t="s">
        <v>38</v>
      </c>
      <c r="G6999" s="3" t="s">
        <v>35</v>
      </c>
      <c r="H6999" s="2" t="s">
        <v>20</v>
      </c>
      <c r="I6999" s="2" t="s">
        <v>13743</v>
      </c>
      <c r="J6999" s="3" t="str">
        <f>HYPERLINK("https://www.boe.es/gazeta/dias/1822/06/10/pdfs/GMD-1822-167.pdf#page=2","Abrir facsímil")</f>
        <v>Abrir facsímil</v>
      </c>
      <c r="K6999" s="3" t="s">
        <v>22</v>
      </c>
    </row>
    <row r="7000" spans="1:11" ht="42" customHeight="1">
      <c r="A7000" s="2" t="s">
        <v>13705</v>
      </c>
      <c r="B7000" s="2" t="s">
        <v>13705</v>
      </c>
      <c r="C7000" s="2" t="s">
        <v>50</v>
      </c>
      <c r="D7000" s="2" t="s">
        <v>51</v>
      </c>
      <c r="E7000" s="5">
        <v>-28326</v>
      </c>
      <c r="F7000" s="3" t="s">
        <v>543</v>
      </c>
      <c r="G7000" s="3" t="s">
        <v>35</v>
      </c>
      <c r="H7000" s="2" t="s">
        <v>20</v>
      </c>
      <c r="I7000" s="2" t="s">
        <v>13744</v>
      </c>
      <c r="J7000" s="3" t="str">
        <f>HYPERLINK("https://www.boe.es/gazeta/dias/1822/06/11/pdfs/GMD-1822-168.pdf#page=2","Abrir facsímil")</f>
        <v>Abrir facsímil</v>
      </c>
      <c r="K7000" s="3" t="s">
        <v>22</v>
      </c>
    </row>
    <row r="7001" spans="1:11" ht="42" customHeight="1">
      <c r="A7001" s="2" t="s">
        <v>13705</v>
      </c>
      <c r="B7001" s="2" t="s">
        <v>13705</v>
      </c>
      <c r="C7001" s="2" t="s">
        <v>42</v>
      </c>
      <c r="D7001" s="2" t="s">
        <v>17</v>
      </c>
      <c r="E7001" s="5">
        <v>-28325</v>
      </c>
      <c r="F7001" s="3" t="s">
        <v>104</v>
      </c>
      <c r="G7001" s="3" t="s">
        <v>35</v>
      </c>
      <c r="H7001" s="2" t="s">
        <v>20</v>
      </c>
      <c r="I7001" s="2" t="s">
        <v>13745</v>
      </c>
      <c r="J7001" s="3" t="str">
        <f>HYPERLINK("https://www.boe.es/gazeta/dias/1822/06/12/pdfs/GMD-1822-169.pdf#page=2","Abrir facsímil")</f>
        <v>Abrir facsímil</v>
      </c>
      <c r="K7001" s="3" t="s">
        <v>22</v>
      </c>
    </row>
    <row r="7002" spans="1:11" ht="42" customHeight="1">
      <c r="A7002" s="2" t="s">
        <v>13705</v>
      </c>
      <c r="B7002" s="2" t="s">
        <v>13705</v>
      </c>
      <c r="C7002" s="2" t="s">
        <v>71</v>
      </c>
      <c r="D7002" s="2" t="s">
        <v>17</v>
      </c>
      <c r="E7002" s="5">
        <v>-28323</v>
      </c>
      <c r="F7002" s="3" t="s">
        <v>116</v>
      </c>
      <c r="G7002" s="3" t="s">
        <v>57</v>
      </c>
      <c r="H7002" s="2" t="s">
        <v>20</v>
      </c>
      <c r="I7002" s="2" t="s">
        <v>13746</v>
      </c>
      <c r="J7002" s="3" t="str">
        <f>HYPERLINK("https://www.boe.es/gazeta/dias/1822/06/14/pdfs/GMD-1822-171.pdf#page=4","Abrir facsímil")</f>
        <v>Abrir facsímil</v>
      </c>
      <c r="K7002" s="3" t="s">
        <v>22</v>
      </c>
    </row>
    <row r="7003" spans="1:11" ht="42" customHeight="1">
      <c r="A7003" s="2" t="s">
        <v>13705</v>
      </c>
      <c r="B7003" s="2" t="s">
        <v>13705</v>
      </c>
      <c r="C7003" s="2" t="s">
        <v>42</v>
      </c>
      <c r="D7003" s="2" t="s">
        <v>17</v>
      </c>
      <c r="E7003" s="5">
        <v>-28323</v>
      </c>
      <c r="F7003" s="3" t="s">
        <v>116</v>
      </c>
      <c r="G7003" s="3" t="s">
        <v>19</v>
      </c>
      <c r="H7003" s="2" t="s">
        <v>20</v>
      </c>
      <c r="I7003" s="2" t="s">
        <v>13747</v>
      </c>
      <c r="J7003" s="3" t="str">
        <f>HYPERLINK("https://www.boe.es/gazeta/dias/1822/06/14/pdfs/GMD-1822-171.pdf#page=5","Abrir facsímil")</f>
        <v>Abrir facsímil</v>
      </c>
      <c r="K7003" s="3" t="s">
        <v>22</v>
      </c>
    </row>
    <row r="7004" spans="1:11" ht="42" customHeight="1">
      <c r="A7004" s="2" t="s">
        <v>13705</v>
      </c>
      <c r="B7004" s="2" t="s">
        <v>13705</v>
      </c>
      <c r="C7004" s="2" t="s">
        <v>28</v>
      </c>
      <c r="D7004" s="2" t="s">
        <v>29</v>
      </c>
      <c r="E7004" s="5">
        <v>-28322</v>
      </c>
      <c r="F7004" s="3" t="s">
        <v>2205</v>
      </c>
      <c r="G7004" s="3" t="s">
        <v>31</v>
      </c>
      <c r="H7004" s="2" t="s">
        <v>20</v>
      </c>
      <c r="I7004" s="2" t="s">
        <v>13748</v>
      </c>
      <c r="J7004" s="3" t="str">
        <f>HYPERLINK("https://www.boe.es/gazeta/dias/1822/06/15/pdfs/GMD-1822-172.pdf#page=3","Abrir facsímil")</f>
        <v>Abrir facsímil</v>
      </c>
      <c r="K7004" s="3" t="s">
        <v>22</v>
      </c>
    </row>
    <row r="7005" spans="1:11" ht="42" customHeight="1">
      <c r="A7005" s="2" t="s">
        <v>13705</v>
      </c>
      <c r="B7005" s="2" t="s">
        <v>13705</v>
      </c>
      <c r="C7005" s="2" t="s">
        <v>50</v>
      </c>
      <c r="D7005" s="2" t="s">
        <v>51</v>
      </c>
      <c r="E7005" s="5">
        <v>-28321</v>
      </c>
      <c r="F7005" s="3" t="s">
        <v>1142</v>
      </c>
      <c r="G7005" s="3" t="s">
        <v>35</v>
      </c>
      <c r="H7005" s="2" t="s">
        <v>20</v>
      </c>
      <c r="I7005" s="2" t="s">
        <v>13749</v>
      </c>
      <c r="J7005" s="3" t="str">
        <f>HYPERLINK("https://www.boe.es/gazeta/dias/1822/06/16/pdfs/GMD-1822-173.pdf#page=2","Abrir facsímil")</f>
        <v>Abrir facsímil</v>
      </c>
      <c r="K7005" s="3" t="s">
        <v>22</v>
      </c>
    </row>
    <row r="7006" spans="1:11" ht="42" customHeight="1">
      <c r="A7006" s="2" t="s">
        <v>13705</v>
      </c>
      <c r="B7006" s="2" t="s">
        <v>13705</v>
      </c>
      <c r="C7006" s="2" t="s">
        <v>1141</v>
      </c>
      <c r="D7006" s="2" t="s">
        <v>29</v>
      </c>
      <c r="E7006" s="5">
        <v>-28321</v>
      </c>
      <c r="F7006" s="3" t="s">
        <v>1142</v>
      </c>
      <c r="G7006" s="3" t="s">
        <v>19</v>
      </c>
      <c r="H7006" s="2" t="s">
        <v>20</v>
      </c>
      <c r="I7006" s="2" t="s">
        <v>13750</v>
      </c>
      <c r="J7006" s="3" t="str">
        <f>HYPERLINK("https://www.boe.es/gazeta/dias/1822/06/16/pdfs/GMD-1822-173.pdf#page=5","Abrir facsímil")</f>
        <v>Abrir facsímil</v>
      </c>
      <c r="K7006" s="3" t="s">
        <v>22</v>
      </c>
    </row>
    <row r="7007" spans="1:11" ht="42" customHeight="1">
      <c r="A7007" s="2" t="s">
        <v>13705</v>
      </c>
      <c r="B7007" s="2" t="s">
        <v>13705</v>
      </c>
      <c r="C7007" s="2" t="s">
        <v>42</v>
      </c>
      <c r="D7007" s="2" t="s">
        <v>17</v>
      </c>
      <c r="E7007" s="5">
        <v>-28320</v>
      </c>
      <c r="F7007" s="3" t="s">
        <v>700</v>
      </c>
      <c r="G7007" s="3" t="s">
        <v>57</v>
      </c>
      <c r="H7007" s="2" t="s">
        <v>20</v>
      </c>
      <c r="I7007" s="2" t="s">
        <v>13751</v>
      </c>
      <c r="J7007" s="3" t="str">
        <f>HYPERLINK("https://www.boe.es/gazeta/dias/1822/06/17/pdfs/GMD-1822-174.pdf#page=4","Abrir facsímil")</f>
        <v>Abrir facsímil</v>
      </c>
      <c r="K7007" s="3" t="s">
        <v>22</v>
      </c>
    </row>
    <row r="7008" spans="1:11" ht="42" customHeight="1">
      <c r="A7008" s="2" t="s">
        <v>13705</v>
      </c>
      <c r="B7008" s="2" t="s">
        <v>13705</v>
      </c>
      <c r="C7008" s="2" t="s">
        <v>28</v>
      </c>
      <c r="D7008" s="2" t="s">
        <v>29</v>
      </c>
      <c r="E7008" s="5">
        <v>-28320</v>
      </c>
      <c r="F7008" s="3" t="s">
        <v>700</v>
      </c>
      <c r="G7008" s="3" t="s">
        <v>63</v>
      </c>
      <c r="H7008" s="2" t="s">
        <v>20</v>
      </c>
      <c r="I7008" s="2" t="s">
        <v>13752</v>
      </c>
      <c r="J7008" s="3" t="str">
        <f>HYPERLINK("https://www.boe.es/gazeta/dias/1822/06/17/pdfs/GMD-1822-174.pdf#page=6","Abrir facsímil")</f>
        <v>Abrir facsímil</v>
      </c>
      <c r="K7008" s="3" t="s">
        <v>22</v>
      </c>
    </row>
    <row r="7009" spans="1:11" ht="42" customHeight="1">
      <c r="A7009" s="2" t="s">
        <v>13705</v>
      </c>
      <c r="B7009" s="2" t="s">
        <v>13705</v>
      </c>
      <c r="C7009" s="2" t="s">
        <v>42</v>
      </c>
      <c r="D7009" s="2" t="s">
        <v>17</v>
      </c>
      <c r="E7009" s="5">
        <v>-28319</v>
      </c>
      <c r="F7009" s="3" t="s">
        <v>271</v>
      </c>
      <c r="G7009" s="3" t="s">
        <v>57</v>
      </c>
      <c r="H7009" s="2" t="s">
        <v>20</v>
      </c>
      <c r="I7009" s="2" t="s">
        <v>13753</v>
      </c>
      <c r="J7009" s="3" t="str">
        <f>HYPERLINK("https://www.boe.es/gazeta/dias/1822/06/18/pdfs/GMD-1822-175.pdf#page=4","Abrir facsímil")</f>
        <v>Abrir facsímil</v>
      </c>
      <c r="K7009" s="3" t="s">
        <v>22</v>
      </c>
    </row>
    <row r="7010" spans="1:11" ht="42" customHeight="1">
      <c r="A7010" s="2" t="s">
        <v>13705</v>
      </c>
      <c r="B7010" s="2" t="s">
        <v>13705</v>
      </c>
      <c r="C7010" s="2" t="s">
        <v>42</v>
      </c>
      <c r="D7010" s="2" t="s">
        <v>17</v>
      </c>
      <c r="E7010" s="5">
        <v>-28318</v>
      </c>
      <c r="F7010" s="3" t="s">
        <v>397</v>
      </c>
      <c r="G7010" s="3" t="s">
        <v>35</v>
      </c>
      <c r="H7010" s="2" t="s">
        <v>20</v>
      </c>
      <c r="I7010" s="2" t="s">
        <v>13754</v>
      </c>
      <c r="J7010" s="3" t="str">
        <f>HYPERLINK("https://www.boe.es/gazeta/dias/1822/06/19/pdfs/GMD-1822-176.pdf#page=2","Abrir facsímil")</f>
        <v>Abrir facsímil</v>
      </c>
      <c r="K7010" s="3" t="s">
        <v>22</v>
      </c>
    </row>
    <row r="7011" spans="1:11" ht="42" customHeight="1">
      <c r="A7011" s="2" t="s">
        <v>13705</v>
      </c>
      <c r="B7011" s="2" t="s">
        <v>13705</v>
      </c>
      <c r="C7011" s="2" t="s">
        <v>61</v>
      </c>
      <c r="D7011" s="2" t="s">
        <v>17</v>
      </c>
      <c r="E7011" s="5">
        <v>-28317</v>
      </c>
      <c r="F7011" s="3" t="s">
        <v>546</v>
      </c>
      <c r="G7011" s="3" t="s">
        <v>35</v>
      </c>
      <c r="H7011" s="2" t="s">
        <v>20</v>
      </c>
      <c r="I7011" s="2" t="s">
        <v>13755</v>
      </c>
      <c r="J7011" s="3" t="str">
        <f>HYPERLINK("https://www.boe.es/gazeta/dias/1822/06/20/pdfs/GMD-1822-177.pdf#page=2","Abrir facsímil")</f>
        <v>Abrir facsímil</v>
      </c>
      <c r="K7011" s="3" t="s">
        <v>22</v>
      </c>
    </row>
    <row r="7012" spans="1:11" ht="42" customHeight="1">
      <c r="A7012" s="2" t="s">
        <v>13705</v>
      </c>
      <c r="B7012" s="2" t="s">
        <v>13705</v>
      </c>
      <c r="C7012" s="2" t="s">
        <v>28</v>
      </c>
      <c r="D7012" s="2" t="s">
        <v>29</v>
      </c>
      <c r="E7012" s="5">
        <v>-28317</v>
      </c>
      <c r="F7012" s="3" t="s">
        <v>546</v>
      </c>
      <c r="G7012" s="3" t="s">
        <v>57</v>
      </c>
      <c r="H7012" s="2" t="s">
        <v>20</v>
      </c>
      <c r="I7012" s="2" t="s">
        <v>13756</v>
      </c>
      <c r="J7012" s="3" t="str">
        <f>HYPERLINK("https://www.boe.es/gazeta/dias/1822/06/20/pdfs/GMD-1822-177.pdf#page=4","Abrir facsímil")</f>
        <v>Abrir facsímil</v>
      </c>
      <c r="K7012" s="3" t="s">
        <v>22</v>
      </c>
    </row>
    <row r="7013" spans="1:11" ht="42" customHeight="1">
      <c r="A7013" s="2" t="s">
        <v>13705</v>
      </c>
      <c r="B7013" s="2" t="s">
        <v>13705</v>
      </c>
      <c r="C7013" s="2" t="s">
        <v>50</v>
      </c>
      <c r="D7013" s="2" t="s">
        <v>51</v>
      </c>
      <c r="E7013" s="5">
        <v>-28317</v>
      </c>
      <c r="F7013" s="3" t="s">
        <v>546</v>
      </c>
      <c r="G7013" s="3" t="s">
        <v>63</v>
      </c>
      <c r="H7013" s="2" t="s">
        <v>20</v>
      </c>
      <c r="I7013" s="2" t="s">
        <v>13757</v>
      </c>
      <c r="J7013" s="3" t="str">
        <f>HYPERLINK("https://www.boe.es/gazeta/dias/1822/06/20/pdfs/GMD-1822-177.pdf#page=6","Abrir facsímil")</f>
        <v>Abrir facsímil</v>
      </c>
      <c r="K7013" s="3" t="s">
        <v>22</v>
      </c>
    </row>
    <row r="7014" spans="1:11" ht="42" customHeight="1">
      <c r="A7014" s="2" t="s">
        <v>13705</v>
      </c>
      <c r="B7014" s="2" t="s">
        <v>13705</v>
      </c>
      <c r="C7014" s="2" t="s">
        <v>61</v>
      </c>
      <c r="D7014" s="2" t="s">
        <v>17</v>
      </c>
      <c r="E7014" s="5">
        <v>-28317</v>
      </c>
      <c r="F7014" s="3" t="s">
        <v>546</v>
      </c>
      <c r="G7014" s="3" t="s">
        <v>167</v>
      </c>
      <c r="H7014" s="2" t="s">
        <v>20</v>
      </c>
      <c r="I7014" s="2" t="s">
        <v>13758</v>
      </c>
      <c r="J7014" s="3" t="str">
        <f>HYPERLINK("https://www.boe.es/gazeta/dias/1822/06/20/pdfs/GMD-1822-177.pdf#page=7","Abrir facsímil")</f>
        <v>Abrir facsímil</v>
      </c>
      <c r="K7014" s="3" t="s">
        <v>22</v>
      </c>
    </row>
    <row r="7015" spans="1:11" ht="42" customHeight="1">
      <c r="A7015" s="2" t="s">
        <v>13705</v>
      </c>
      <c r="B7015" s="2" t="s">
        <v>13705</v>
      </c>
      <c r="C7015" s="2" t="s">
        <v>71</v>
      </c>
      <c r="D7015" s="2" t="s">
        <v>17</v>
      </c>
      <c r="E7015" s="5">
        <v>-28315</v>
      </c>
      <c r="F7015" s="3" t="s">
        <v>1220</v>
      </c>
      <c r="G7015" s="3" t="s">
        <v>19</v>
      </c>
      <c r="H7015" s="2" t="s">
        <v>20</v>
      </c>
      <c r="I7015" s="2" t="s">
        <v>13759</v>
      </c>
      <c r="J7015" s="3" t="str">
        <f>HYPERLINK("https://www.boe.es/gazeta/dias/1822/06/22/pdfs/GMD-1822-180.pdf#page=5","Abrir facsímil")</f>
        <v>Abrir facsímil</v>
      </c>
      <c r="K7015" s="3" t="s">
        <v>22</v>
      </c>
    </row>
    <row r="7016" spans="1:11" ht="42" customHeight="1">
      <c r="A7016" s="2" t="s">
        <v>13705</v>
      </c>
      <c r="B7016" s="2" t="s">
        <v>13705</v>
      </c>
      <c r="C7016" s="2" t="s">
        <v>61</v>
      </c>
      <c r="D7016" s="2" t="s">
        <v>17</v>
      </c>
      <c r="E7016" s="5">
        <v>-28311</v>
      </c>
      <c r="F7016" s="3" t="s">
        <v>736</v>
      </c>
      <c r="G7016" s="3" t="s">
        <v>35</v>
      </c>
      <c r="H7016" s="2" t="s">
        <v>20</v>
      </c>
      <c r="I7016" s="2" t="s">
        <v>13760</v>
      </c>
      <c r="J7016" s="3" t="str">
        <f>HYPERLINK("https://www.boe.es/gazeta/dias/1822/06/26/pdfs/GMD-1822-184.pdf#page=2","Abrir facsímil")</f>
        <v>Abrir facsímil</v>
      </c>
      <c r="K7016" s="3" t="s">
        <v>22</v>
      </c>
    </row>
    <row r="7017" spans="1:11" ht="42" customHeight="1">
      <c r="A7017" s="2" t="s">
        <v>13705</v>
      </c>
      <c r="B7017" s="2" t="s">
        <v>13705</v>
      </c>
      <c r="C7017" s="2" t="s">
        <v>71</v>
      </c>
      <c r="D7017" s="2" t="s">
        <v>17</v>
      </c>
      <c r="E7017" s="5">
        <v>-28309</v>
      </c>
      <c r="F7017" s="3" t="s">
        <v>553</v>
      </c>
      <c r="G7017" s="3" t="s">
        <v>2934</v>
      </c>
      <c r="H7017" s="2" t="s">
        <v>20</v>
      </c>
      <c r="I7017" s="2" t="s">
        <v>13761</v>
      </c>
      <c r="J7017" s="3" t="str">
        <f>HYPERLINK("https://www.boe.es/gazeta/dias/1822/06/28/pdfs/GMD-1822-186.pdf#page=2","Abrir facsímil")</f>
        <v>Abrir facsímil</v>
      </c>
      <c r="K7017" s="3" t="s">
        <v>22</v>
      </c>
    </row>
    <row r="7018" spans="1:11" ht="42" customHeight="1">
      <c r="A7018" s="2" t="s">
        <v>13705</v>
      </c>
      <c r="B7018" s="2" t="s">
        <v>13705</v>
      </c>
      <c r="C7018" s="2" t="s">
        <v>71</v>
      </c>
      <c r="D7018" s="2" t="s">
        <v>17</v>
      </c>
      <c r="E7018" s="5">
        <v>-28309</v>
      </c>
      <c r="F7018" s="3" t="s">
        <v>553</v>
      </c>
      <c r="G7018" s="3" t="s">
        <v>671</v>
      </c>
      <c r="H7018" s="2" t="s">
        <v>20</v>
      </c>
      <c r="I7018" s="2" t="s">
        <v>13762</v>
      </c>
      <c r="J7018" s="3" t="str">
        <f>HYPERLINK("https://www.boe.es/gazeta/dias/1822/06/28/pdfs/GMD-1822-186.pdf#page=3","Abrir facsímil")</f>
        <v>Abrir facsímil</v>
      </c>
      <c r="K7018" s="3" t="s">
        <v>22</v>
      </c>
    </row>
    <row r="7019" spans="1:11" ht="42" customHeight="1">
      <c r="A7019" s="2" t="s">
        <v>13705</v>
      </c>
      <c r="B7019" s="2" t="s">
        <v>13705</v>
      </c>
      <c r="C7019" s="2" t="s">
        <v>28</v>
      </c>
      <c r="D7019" s="2" t="s">
        <v>29</v>
      </c>
      <c r="E7019" s="5">
        <v>-28309</v>
      </c>
      <c r="F7019" s="3" t="s">
        <v>553</v>
      </c>
      <c r="G7019" s="3" t="s">
        <v>642</v>
      </c>
      <c r="H7019" s="2" t="s">
        <v>20</v>
      </c>
      <c r="I7019" s="2" t="s">
        <v>13763</v>
      </c>
      <c r="J7019" s="3" t="str">
        <f>HYPERLINK("https://www.boe.es/gazeta/dias/1822/06/28/pdfs/GMD-1822-186.pdf#page=7","Abrir facsímil")</f>
        <v>Abrir facsímil</v>
      </c>
      <c r="K7019" s="3" t="s">
        <v>22</v>
      </c>
    </row>
    <row r="7020" spans="1:11" ht="42" customHeight="1">
      <c r="A7020" s="2" t="s">
        <v>13705</v>
      </c>
      <c r="B7020" s="2" t="s">
        <v>13705</v>
      </c>
      <c r="C7020" s="2" t="s">
        <v>50</v>
      </c>
      <c r="D7020" s="2" t="s">
        <v>51</v>
      </c>
      <c r="E7020" s="5">
        <v>-28309</v>
      </c>
      <c r="F7020" s="3" t="s">
        <v>553</v>
      </c>
      <c r="G7020" s="3" t="s">
        <v>63</v>
      </c>
      <c r="H7020" s="2" t="s">
        <v>20</v>
      </c>
      <c r="I7020" s="2" t="s">
        <v>13764</v>
      </c>
      <c r="J7020" s="3" t="str">
        <f>HYPERLINK("https://www.boe.es/gazeta/dias/1822/06/28/pdfs/GMD-1822-186.pdf#page=6","Abrir facsímil")</f>
        <v>Abrir facsímil</v>
      </c>
      <c r="K7020" s="3" t="s">
        <v>22</v>
      </c>
    </row>
    <row r="7021" spans="1:11" ht="42" customHeight="1">
      <c r="A7021" s="2" t="s">
        <v>13705</v>
      </c>
      <c r="B7021" s="2" t="s">
        <v>13705</v>
      </c>
      <c r="C7021" s="2" t="s">
        <v>42</v>
      </c>
      <c r="D7021" s="2" t="s">
        <v>17</v>
      </c>
      <c r="E7021" s="5">
        <v>-28308</v>
      </c>
      <c r="F7021" s="3" t="s">
        <v>1050</v>
      </c>
      <c r="G7021" s="3" t="s">
        <v>35</v>
      </c>
      <c r="H7021" s="2" t="s">
        <v>20</v>
      </c>
      <c r="I7021" s="2" t="s">
        <v>13765</v>
      </c>
      <c r="J7021" s="3" t="str">
        <f>HYPERLINK("https://www.boe.es/gazeta/dias/1822/06/29/pdfs/GMD-1822-187.pdf#page=2","Abrir facsímil")</f>
        <v>Abrir facsímil</v>
      </c>
      <c r="K7021" s="3" t="s">
        <v>22</v>
      </c>
    </row>
    <row r="7022" spans="1:11" ht="42" customHeight="1">
      <c r="A7022" s="2" t="s">
        <v>13705</v>
      </c>
      <c r="B7022" s="2" t="s">
        <v>13705</v>
      </c>
      <c r="C7022" s="2" t="s">
        <v>71</v>
      </c>
      <c r="D7022" s="2" t="s">
        <v>17</v>
      </c>
      <c r="E7022" s="5">
        <v>-28308</v>
      </c>
      <c r="F7022" s="3" t="s">
        <v>1050</v>
      </c>
      <c r="G7022" s="3" t="s">
        <v>57</v>
      </c>
      <c r="H7022" s="2" t="s">
        <v>20</v>
      </c>
      <c r="I7022" s="2" t="s">
        <v>13766</v>
      </c>
      <c r="J7022" s="3" t="str">
        <f>HYPERLINK("https://www.boe.es/gazeta/dias/1822/06/29/pdfs/GMD-1822-187.pdf#page=4","Abrir facsímil")</f>
        <v>Abrir facsímil</v>
      </c>
      <c r="K7022" s="3" t="s">
        <v>22</v>
      </c>
    </row>
    <row r="7023" spans="1:11" ht="42" customHeight="1">
      <c r="A7023" s="2" t="s">
        <v>13705</v>
      </c>
      <c r="B7023" s="2" t="s">
        <v>13705</v>
      </c>
      <c r="C7023" s="2" t="s">
        <v>50</v>
      </c>
      <c r="D7023" s="2" t="s">
        <v>51</v>
      </c>
      <c r="E7023" s="5">
        <v>-28307</v>
      </c>
      <c r="F7023" s="3" t="s">
        <v>555</v>
      </c>
      <c r="G7023" s="3" t="s">
        <v>35</v>
      </c>
      <c r="H7023" s="2" t="s">
        <v>20</v>
      </c>
      <c r="I7023" s="2" t="s">
        <v>13767</v>
      </c>
      <c r="J7023" s="3" t="str">
        <f>HYPERLINK("https://www.boe.es/gazeta/dias/1822/06/30/pdfs/GMD-1822-188.pdf#page=2","Abrir facsímil")</f>
        <v>Abrir facsímil</v>
      </c>
      <c r="K7023" s="3" t="s">
        <v>22</v>
      </c>
    </row>
    <row r="7024" spans="1:11" ht="42" customHeight="1">
      <c r="A7024" s="2" t="s">
        <v>13705</v>
      </c>
      <c r="B7024" s="2" t="s">
        <v>13705</v>
      </c>
      <c r="C7024" s="2" t="s">
        <v>61</v>
      </c>
      <c r="D7024" s="2" t="s">
        <v>17</v>
      </c>
      <c r="E7024" s="5">
        <v>-28306</v>
      </c>
      <c r="F7024" s="3" t="s">
        <v>348</v>
      </c>
      <c r="G7024" s="3" t="s">
        <v>31</v>
      </c>
      <c r="H7024" s="2" t="s">
        <v>20</v>
      </c>
      <c r="I7024" s="2" t="s">
        <v>13768</v>
      </c>
      <c r="J7024" s="3" t="str">
        <f>HYPERLINK("https://www.boe.es/gazeta/dias/1822/07/01/pdfs/GMD-1822-190.pdf#page=3","Abrir facsímil")</f>
        <v>Abrir facsímil</v>
      </c>
      <c r="K7024" s="3" t="s">
        <v>22</v>
      </c>
    </row>
    <row r="7025" spans="1:11" ht="42" customHeight="1">
      <c r="A7025" s="2" t="s">
        <v>13705</v>
      </c>
      <c r="B7025" s="2" t="s">
        <v>13705</v>
      </c>
      <c r="C7025" s="2" t="s">
        <v>50</v>
      </c>
      <c r="D7025" s="2" t="s">
        <v>51</v>
      </c>
      <c r="E7025" s="5">
        <v>-28206</v>
      </c>
      <c r="F7025" s="3" t="s">
        <v>562</v>
      </c>
      <c r="G7025" s="3" t="s">
        <v>35</v>
      </c>
      <c r="H7025" s="2" t="s">
        <v>20</v>
      </c>
      <c r="I7025" s="2" t="s">
        <v>13769</v>
      </c>
      <c r="J7025" s="3" t="str">
        <f>HYPERLINK("https://www.boe.es/gazeta/dias/1822/10/09/pdfs/GMD-1822-296.pdf#page=2","Abrir facsímil")</f>
        <v>Abrir facsímil</v>
      </c>
      <c r="K7025" s="3" t="s">
        <v>22</v>
      </c>
    </row>
    <row r="7026" spans="1:11" ht="42" customHeight="1">
      <c r="A7026" s="2" t="s">
        <v>13705</v>
      </c>
      <c r="B7026" s="2" t="s">
        <v>13705</v>
      </c>
      <c r="C7026" s="2" t="s">
        <v>28</v>
      </c>
      <c r="D7026" s="2" t="s">
        <v>29</v>
      </c>
      <c r="E7026" s="5">
        <v>-28199</v>
      </c>
      <c r="F7026" s="3" t="s">
        <v>656</v>
      </c>
      <c r="G7026" s="3" t="s">
        <v>31</v>
      </c>
      <c r="H7026" s="2" t="s">
        <v>20</v>
      </c>
      <c r="I7026" s="2" t="s">
        <v>13770</v>
      </c>
      <c r="J7026" s="3" t="str">
        <f>HYPERLINK("https://www.boe.es/gazeta/dias/1822/10/16/pdfs/GMD-1822-303.pdf#page=3","Abrir facsímil")</f>
        <v>Abrir facsímil</v>
      </c>
      <c r="K7026" s="3" t="s">
        <v>22</v>
      </c>
    </row>
    <row r="7027" spans="1:11" ht="42" customHeight="1">
      <c r="A7027" s="2" t="s">
        <v>13705</v>
      </c>
      <c r="B7027" s="2" t="s">
        <v>13705</v>
      </c>
      <c r="C7027" s="2" t="s">
        <v>24</v>
      </c>
      <c r="D7027" s="2" t="s">
        <v>17</v>
      </c>
      <c r="E7027" s="5">
        <v>-28197</v>
      </c>
      <c r="F7027" s="3" t="s">
        <v>568</v>
      </c>
      <c r="G7027" s="3" t="s">
        <v>31</v>
      </c>
      <c r="H7027" s="2" t="s">
        <v>20</v>
      </c>
      <c r="I7027" s="2" t="s">
        <v>13771</v>
      </c>
      <c r="J7027" s="3" t="str">
        <f>HYPERLINK("https://www.boe.es/gazeta/dias/1822/10/18/pdfs/GMD-1822-305.pdf#page=3","Abrir facsímil")</f>
        <v>Abrir facsímil</v>
      </c>
      <c r="K7027" s="3" t="s">
        <v>22</v>
      </c>
    </row>
    <row r="7028" spans="1:11" ht="42" customHeight="1">
      <c r="A7028" s="2" t="s">
        <v>13705</v>
      </c>
      <c r="B7028" s="2" t="s">
        <v>13705</v>
      </c>
      <c r="C7028" s="2" t="s">
        <v>42</v>
      </c>
      <c r="D7028" s="2" t="s">
        <v>17</v>
      </c>
      <c r="E7028" s="5">
        <v>-28195</v>
      </c>
      <c r="F7028" s="3" t="s">
        <v>770</v>
      </c>
      <c r="G7028" s="3" t="s">
        <v>35</v>
      </c>
      <c r="H7028" s="2" t="s">
        <v>20</v>
      </c>
      <c r="I7028" s="2" t="s">
        <v>13772</v>
      </c>
      <c r="J7028" s="3" t="str">
        <f>HYPERLINK("https://www.boe.es/gazeta/dias/1822/10/20/pdfs/GMD-1822-307.pdf#page=2","Abrir facsímil")</f>
        <v>Abrir facsímil</v>
      </c>
      <c r="K7028" s="3" t="s">
        <v>22</v>
      </c>
    </row>
    <row r="7029" spans="1:11" ht="42" customHeight="1">
      <c r="A7029" s="2" t="s">
        <v>13705</v>
      </c>
      <c r="B7029" s="2" t="s">
        <v>13705</v>
      </c>
      <c r="C7029" s="2" t="s">
        <v>50</v>
      </c>
      <c r="D7029" s="2" t="s">
        <v>51</v>
      </c>
      <c r="E7029" s="5">
        <v>-28190</v>
      </c>
      <c r="F7029" s="3" t="s">
        <v>576</v>
      </c>
      <c r="G7029" s="3" t="s">
        <v>31</v>
      </c>
      <c r="H7029" s="2" t="s">
        <v>20</v>
      </c>
      <c r="I7029" s="2" t="s">
        <v>13773</v>
      </c>
      <c r="J7029" s="3" t="str">
        <f>HYPERLINK("https://www.boe.es/gazeta/dias/1822/10/25/pdfs/GMD-1822-312.pdf#page=3","Abrir facsímil")</f>
        <v>Abrir facsímil</v>
      </c>
      <c r="K7029" s="3" t="s">
        <v>22</v>
      </c>
    </row>
    <row r="7030" spans="1:11" ht="42" customHeight="1">
      <c r="A7030" s="2" t="s">
        <v>13705</v>
      </c>
      <c r="B7030" s="2" t="s">
        <v>13705</v>
      </c>
      <c r="C7030" s="2" t="s">
        <v>50</v>
      </c>
      <c r="D7030" s="2" t="s">
        <v>51</v>
      </c>
      <c r="E7030" s="5">
        <v>-28189</v>
      </c>
      <c r="F7030" s="3" t="s">
        <v>645</v>
      </c>
      <c r="G7030" s="3" t="s">
        <v>35</v>
      </c>
      <c r="H7030" s="2" t="s">
        <v>20</v>
      </c>
      <c r="I7030" s="2" t="s">
        <v>13774</v>
      </c>
      <c r="J7030" s="3" t="str">
        <f>HYPERLINK("https://www.boe.es/gazeta/dias/1822/10/26/pdfs/GMD-1822-313.pdf#page=2","Abrir facsímil")</f>
        <v>Abrir facsímil</v>
      </c>
      <c r="K7030" s="3" t="s">
        <v>22</v>
      </c>
    </row>
    <row r="7031" spans="1:11" ht="42" customHeight="1">
      <c r="A7031" s="2" t="s">
        <v>13705</v>
      </c>
      <c r="B7031" s="2" t="s">
        <v>13705</v>
      </c>
      <c r="C7031" s="2" t="s">
        <v>71</v>
      </c>
      <c r="D7031" s="2" t="s">
        <v>17</v>
      </c>
      <c r="E7031" s="5">
        <v>-28189</v>
      </c>
      <c r="F7031" s="3" t="s">
        <v>645</v>
      </c>
      <c r="G7031" s="3" t="s">
        <v>31</v>
      </c>
      <c r="H7031" s="2" t="s">
        <v>20</v>
      </c>
      <c r="I7031" s="2" t="s">
        <v>13775</v>
      </c>
      <c r="J7031" s="3" t="str">
        <f>HYPERLINK("https://www.boe.es/gazeta/dias/1822/10/26/pdfs/GMD-1822-313.pdf#page=3","Abrir facsímil")</f>
        <v>Abrir facsímil</v>
      </c>
      <c r="K7031" s="3" t="s">
        <v>22</v>
      </c>
    </row>
    <row r="7032" spans="1:11" ht="42" customHeight="1">
      <c r="A7032" s="2" t="s">
        <v>13705</v>
      </c>
      <c r="B7032" s="2" t="s">
        <v>13705</v>
      </c>
      <c r="C7032" s="2" t="s">
        <v>71</v>
      </c>
      <c r="D7032" s="2" t="s">
        <v>17</v>
      </c>
      <c r="E7032" s="5">
        <v>-28189</v>
      </c>
      <c r="F7032" s="3" t="s">
        <v>645</v>
      </c>
      <c r="G7032" s="3" t="s">
        <v>57</v>
      </c>
      <c r="H7032" s="2" t="s">
        <v>20</v>
      </c>
      <c r="I7032" s="2" t="s">
        <v>13776</v>
      </c>
      <c r="J7032" s="3" t="str">
        <f>HYPERLINK("https://www.boe.es/gazeta/dias/1822/10/26/pdfs/GMD-1822-313.pdf#page=4","Abrir facsímil")</f>
        <v>Abrir facsímil</v>
      </c>
      <c r="K7032" s="3" t="s">
        <v>22</v>
      </c>
    </row>
    <row r="7033" spans="1:11" ht="42" customHeight="1">
      <c r="A7033" s="2" t="s">
        <v>13705</v>
      </c>
      <c r="B7033" s="2" t="s">
        <v>13705</v>
      </c>
      <c r="C7033" s="2" t="s">
        <v>71</v>
      </c>
      <c r="D7033" s="2" t="s">
        <v>17</v>
      </c>
      <c r="E7033" s="5">
        <v>-28187</v>
      </c>
      <c r="F7033" s="3" t="s">
        <v>929</v>
      </c>
      <c r="G7033" s="3" t="s">
        <v>19</v>
      </c>
      <c r="H7033" s="2" t="s">
        <v>20</v>
      </c>
      <c r="I7033" s="2" t="s">
        <v>13777</v>
      </c>
      <c r="J7033" s="3" t="str">
        <f>HYPERLINK("https://www.boe.es/gazeta/dias/1822/10/28/pdfs/GMD-1822-315.pdf#page=5","Abrir facsímil")</f>
        <v>Abrir facsímil</v>
      </c>
      <c r="K7033" s="3" t="s">
        <v>22</v>
      </c>
    </row>
    <row r="7034" spans="1:11" ht="42" customHeight="1">
      <c r="A7034" s="2" t="s">
        <v>13705</v>
      </c>
      <c r="B7034" s="2" t="s">
        <v>13705</v>
      </c>
      <c r="C7034" s="2" t="s">
        <v>42</v>
      </c>
      <c r="D7034" s="2" t="s">
        <v>17</v>
      </c>
      <c r="E7034" s="5">
        <v>-28186</v>
      </c>
      <c r="F7034" s="3" t="s">
        <v>581</v>
      </c>
      <c r="G7034" s="3" t="s">
        <v>35</v>
      </c>
      <c r="H7034" s="2" t="s">
        <v>20</v>
      </c>
      <c r="I7034" s="2" t="s">
        <v>13778</v>
      </c>
      <c r="J7034" s="3" t="str">
        <f>HYPERLINK("https://www.boe.es/gazeta/dias/1822/10/29/pdfs/GMD-1822-316.pdf#page=2","Abrir facsímil")</f>
        <v>Abrir facsímil</v>
      </c>
      <c r="K7034" s="3" t="s">
        <v>22</v>
      </c>
    </row>
    <row r="7035" spans="1:11" ht="42" customHeight="1">
      <c r="A7035" s="2" t="s">
        <v>13705</v>
      </c>
      <c r="B7035" s="2" t="s">
        <v>13705</v>
      </c>
      <c r="C7035" s="2" t="s">
        <v>71</v>
      </c>
      <c r="D7035" s="2" t="s">
        <v>17</v>
      </c>
      <c r="E7035" s="5">
        <v>-28179</v>
      </c>
      <c r="F7035" s="3" t="s">
        <v>935</v>
      </c>
      <c r="G7035" s="3" t="s">
        <v>31</v>
      </c>
      <c r="H7035" s="2" t="s">
        <v>20</v>
      </c>
      <c r="I7035" s="2" t="s">
        <v>13779</v>
      </c>
      <c r="J7035" s="3" t="str">
        <f>HYPERLINK("https://www.boe.es/gazeta/dias/1822/11/05/pdfs/GMD-1822-325.pdf#page=3","Abrir facsímil")</f>
        <v>Abrir facsímil</v>
      </c>
      <c r="K7035" s="3" t="s">
        <v>22</v>
      </c>
    </row>
    <row r="7036" spans="1:11" ht="42" customHeight="1">
      <c r="A7036" s="2" t="s">
        <v>13705</v>
      </c>
      <c r="B7036" s="2" t="s">
        <v>13705</v>
      </c>
      <c r="C7036" s="2" t="s">
        <v>42</v>
      </c>
      <c r="D7036" s="2" t="s">
        <v>17</v>
      </c>
      <c r="E7036" s="5">
        <v>-28178</v>
      </c>
      <c r="F7036" s="3" t="s">
        <v>318</v>
      </c>
      <c r="G7036" s="3" t="s">
        <v>35</v>
      </c>
      <c r="H7036" s="2" t="s">
        <v>20</v>
      </c>
      <c r="I7036" s="2" t="s">
        <v>13780</v>
      </c>
      <c r="J7036" s="3" t="str">
        <f>HYPERLINK("https://www.boe.es/gazeta/dias/1822/11/06/pdfs/GMD-1822-326.pdf#page=2","Abrir facsímil")</f>
        <v>Abrir facsímil</v>
      </c>
      <c r="K7036" s="3" t="s">
        <v>22</v>
      </c>
    </row>
    <row r="7037" spans="1:11" ht="42" customHeight="1">
      <c r="A7037" s="2" t="s">
        <v>13705</v>
      </c>
      <c r="B7037" s="2" t="s">
        <v>13705</v>
      </c>
      <c r="C7037" s="2" t="s">
        <v>28</v>
      </c>
      <c r="D7037" s="2" t="s">
        <v>29</v>
      </c>
      <c r="E7037" s="5">
        <v>-28178</v>
      </c>
      <c r="F7037" s="3" t="s">
        <v>318</v>
      </c>
      <c r="G7037" s="3" t="s">
        <v>57</v>
      </c>
      <c r="H7037" s="2" t="s">
        <v>20</v>
      </c>
      <c r="I7037" s="2" t="s">
        <v>13781</v>
      </c>
      <c r="J7037" s="3" t="str">
        <f>HYPERLINK("https://www.boe.es/gazeta/dias/1822/11/06/pdfs/GMD-1822-326.pdf#page=4","Abrir facsímil")</f>
        <v>Abrir facsímil</v>
      </c>
      <c r="K7037" s="3" t="s">
        <v>22</v>
      </c>
    </row>
    <row r="7038" spans="1:11" ht="42" customHeight="1">
      <c r="A7038" s="2" t="s">
        <v>13705</v>
      </c>
      <c r="B7038" s="2" t="s">
        <v>13705</v>
      </c>
      <c r="C7038" s="2" t="s">
        <v>50</v>
      </c>
      <c r="D7038" s="2" t="s">
        <v>51</v>
      </c>
      <c r="E7038" s="5">
        <v>-28175</v>
      </c>
      <c r="F7038" s="3" t="s">
        <v>341</v>
      </c>
      <c r="G7038" s="3" t="s">
        <v>35</v>
      </c>
      <c r="H7038" s="2" t="s">
        <v>20</v>
      </c>
      <c r="I7038" s="2" t="s">
        <v>13782</v>
      </c>
      <c r="J7038" s="3" t="str">
        <f>HYPERLINK("https://www.boe.es/gazeta/dias/1822/11/09/pdfs/GMD-1822-329.pdf#page=2","Abrir facsímil")</f>
        <v>Abrir facsímil</v>
      </c>
      <c r="K7038" s="3" t="s">
        <v>22</v>
      </c>
    </row>
    <row r="7039" spans="1:11" ht="42" customHeight="1">
      <c r="A7039" s="2" t="s">
        <v>13705</v>
      </c>
      <c r="B7039" s="2" t="s">
        <v>13705</v>
      </c>
      <c r="C7039" s="2" t="s">
        <v>16</v>
      </c>
      <c r="D7039" s="2" t="s">
        <v>17</v>
      </c>
      <c r="E7039" s="5">
        <v>-28175</v>
      </c>
      <c r="F7039" s="3" t="s">
        <v>341</v>
      </c>
      <c r="G7039" s="3" t="s">
        <v>57</v>
      </c>
      <c r="H7039" s="2" t="s">
        <v>20</v>
      </c>
      <c r="I7039" s="2" t="s">
        <v>13783</v>
      </c>
      <c r="J7039" s="3" t="str">
        <f>HYPERLINK("https://www.boe.es/gazeta/dias/1822/11/09/pdfs/GMD-1822-329.pdf#page=4","Abrir facsímil")</f>
        <v>Abrir facsímil</v>
      </c>
      <c r="K7039" s="3" t="s">
        <v>22</v>
      </c>
    </row>
    <row r="7040" spans="1:11" ht="42" customHeight="1">
      <c r="A7040" s="2" t="s">
        <v>13705</v>
      </c>
      <c r="B7040" s="2" t="s">
        <v>13705</v>
      </c>
      <c r="C7040" s="2" t="s">
        <v>42</v>
      </c>
      <c r="D7040" s="2" t="s">
        <v>17</v>
      </c>
      <c r="E7040" s="5">
        <v>-28173</v>
      </c>
      <c r="F7040" s="3" t="s">
        <v>2959</v>
      </c>
      <c r="G7040" s="3" t="s">
        <v>35</v>
      </c>
      <c r="H7040" s="2" t="s">
        <v>20</v>
      </c>
      <c r="I7040" s="2" t="s">
        <v>13784</v>
      </c>
      <c r="J7040" s="3" t="str">
        <f>HYPERLINK("https://www.boe.es/gazeta/dias/1822/11/11/pdfs/GMD-1822-331.pdf#page=2","Abrir facsímil")</f>
        <v>Abrir facsímil</v>
      </c>
      <c r="K7040" s="3" t="s">
        <v>22</v>
      </c>
    </row>
    <row r="7041" spans="1:11" ht="42" customHeight="1">
      <c r="A7041" s="2" t="s">
        <v>13705</v>
      </c>
      <c r="B7041" s="2" t="s">
        <v>13705</v>
      </c>
      <c r="C7041" s="2" t="s">
        <v>42</v>
      </c>
      <c r="D7041" s="2" t="s">
        <v>17</v>
      </c>
      <c r="E7041" s="5">
        <v>-28171</v>
      </c>
      <c r="F7041" s="3" t="s">
        <v>1075</v>
      </c>
      <c r="G7041" s="3" t="s">
        <v>31</v>
      </c>
      <c r="H7041" s="2" t="s">
        <v>20</v>
      </c>
      <c r="I7041" s="2" t="s">
        <v>13785</v>
      </c>
      <c r="J7041" s="3" t="str">
        <f>HYPERLINK("https://www.boe.es/gazeta/dias/1822/11/13/pdfs/GMD-1822-333.pdf#page=3","Abrir facsímil")</f>
        <v>Abrir facsímil</v>
      </c>
      <c r="K7041" s="3" t="s">
        <v>22</v>
      </c>
    </row>
    <row r="7042" spans="1:11" ht="42" customHeight="1">
      <c r="A7042" s="2" t="s">
        <v>13705</v>
      </c>
      <c r="B7042" s="2" t="s">
        <v>13705</v>
      </c>
      <c r="C7042" s="2" t="s">
        <v>50</v>
      </c>
      <c r="D7042" s="2" t="s">
        <v>51</v>
      </c>
      <c r="E7042" s="5">
        <v>-28171</v>
      </c>
      <c r="F7042" s="3" t="s">
        <v>1075</v>
      </c>
      <c r="G7042" s="3" t="s">
        <v>57</v>
      </c>
      <c r="H7042" s="2" t="s">
        <v>20</v>
      </c>
      <c r="I7042" s="2" t="s">
        <v>13786</v>
      </c>
      <c r="J7042" s="3" t="str">
        <f>HYPERLINK("https://www.boe.es/gazeta/dias/1822/11/13/pdfs/GMD-1822-333.pdf#page=4","Abrir facsímil")</f>
        <v>Abrir facsímil</v>
      </c>
      <c r="K7042" s="3" t="s">
        <v>22</v>
      </c>
    </row>
    <row r="7043" spans="1:11" ht="42" customHeight="1">
      <c r="A7043" s="2" t="s">
        <v>13705</v>
      </c>
      <c r="B7043" s="2" t="s">
        <v>13705</v>
      </c>
      <c r="C7043" s="2" t="s">
        <v>71</v>
      </c>
      <c r="D7043" s="2" t="s">
        <v>17</v>
      </c>
      <c r="E7043" s="5">
        <v>-28169</v>
      </c>
      <c r="F7043" s="3" t="s">
        <v>2571</v>
      </c>
      <c r="G7043" s="3" t="s">
        <v>35</v>
      </c>
      <c r="H7043" s="2" t="s">
        <v>20</v>
      </c>
      <c r="I7043" s="2" t="s">
        <v>13787</v>
      </c>
      <c r="J7043" s="3" t="str">
        <f>HYPERLINK("https://www.boe.es/gazeta/dias/1822/11/15/pdfs/GMD-1822-335.pdf#page=2","Abrir facsímil")</f>
        <v>Abrir facsímil</v>
      </c>
      <c r="K7043" s="3" t="s">
        <v>22</v>
      </c>
    </row>
    <row r="7044" spans="1:11" ht="42" customHeight="1">
      <c r="A7044" s="2" t="s">
        <v>13705</v>
      </c>
      <c r="B7044" s="2" t="s">
        <v>13705</v>
      </c>
      <c r="C7044" s="2" t="s">
        <v>16</v>
      </c>
      <c r="D7044" s="2" t="s">
        <v>17</v>
      </c>
      <c r="E7044" s="5">
        <v>-28169</v>
      </c>
      <c r="F7044" s="3" t="s">
        <v>2571</v>
      </c>
      <c r="G7044" s="3" t="s">
        <v>63</v>
      </c>
      <c r="H7044" s="2" t="s">
        <v>20</v>
      </c>
      <c r="I7044" s="2" t="s">
        <v>13788</v>
      </c>
      <c r="J7044" s="3" t="str">
        <f>HYPERLINK("https://www.boe.es/gazeta/dias/1822/11/15/pdfs/GMD-1822-335.pdf#page=6","Abrir facsímil")</f>
        <v>Abrir facsímil</v>
      </c>
      <c r="K7044" s="3" t="s">
        <v>22</v>
      </c>
    </row>
    <row r="7045" spans="1:11" ht="42" customHeight="1">
      <c r="A7045" s="2" t="s">
        <v>13705</v>
      </c>
      <c r="B7045" s="2" t="s">
        <v>13705</v>
      </c>
      <c r="C7045" s="2" t="s">
        <v>42</v>
      </c>
      <c r="D7045" s="2" t="s">
        <v>17</v>
      </c>
      <c r="E7045" s="5">
        <v>-28167</v>
      </c>
      <c r="F7045" s="3" t="s">
        <v>904</v>
      </c>
      <c r="G7045" s="3" t="s">
        <v>31</v>
      </c>
      <c r="H7045" s="2" t="s">
        <v>20</v>
      </c>
      <c r="I7045" s="2" t="s">
        <v>13789</v>
      </c>
      <c r="J7045" s="3" t="str">
        <f>HYPERLINK("https://www.boe.es/gazeta/dias/1822/11/17/pdfs/GMD-1822-337.pdf#page=3","Abrir facsímil")</f>
        <v>Abrir facsímil</v>
      </c>
      <c r="K7045" s="3" t="s">
        <v>22</v>
      </c>
    </row>
    <row r="7046" spans="1:11" ht="42" customHeight="1">
      <c r="A7046" s="2" t="s">
        <v>13728</v>
      </c>
      <c r="B7046" s="2" t="s">
        <v>13728</v>
      </c>
      <c r="C7046" s="2" t="s">
        <v>42</v>
      </c>
      <c r="D7046" s="2" t="s">
        <v>17</v>
      </c>
      <c r="E7046" s="5">
        <v>-28163</v>
      </c>
      <c r="F7046" s="3" t="s">
        <v>891</v>
      </c>
      <c r="G7046" s="3" t="s">
        <v>31</v>
      </c>
      <c r="H7046" s="2" t="s">
        <v>20</v>
      </c>
      <c r="I7046" s="2" t="s">
        <v>13790</v>
      </c>
      <c r="J7046" s="3" t="str">
        <f>HYPERLINK("https://www.boe.es/gazeta/dias/1822/11/21/pdfs/GMD-1822-341.pdf#page=3","Abrir facsímil")</f>
        <v>Abrir facsímil</v>
      </c>
      <c r="K7046" s="3" t="s">
        <v>22</v>
      </c>
    </row>
    <row r="7047" spans="1:11" ht="42" customHeight="1">
      <c r="A7047" s="2" t="s">
        <v>13705</v>
      </c>
      <c r="B7047" s="2" t="s">
        <v>13705</v>
      </c>
      <c r="C7047" s="2" t="s">
        <v>50</v>
      </c>
      <c r="D7047" s="2" t="s">
        <v>51</v>
      </c>
      <c r="E7047" s="5">
        <v>-28163</v>
      </c>
      <c r="F7047" s="3" t="s">
        <v>891</v>
      </c>
      <c r="G7047" s="3" t="s">
        <v>57</v>
      </c>
      <c r="H7047" s="2" t="s">
        <v>20</v>
      </c>
      <c r="I7047" s="2" t="s">
        <v>13791</v>
      </c>
      <c r="J7047" s="3" t="str">
        <f>HYPERLINK("https://www.boe.es/gazeta/dias/1822/11/21/pdfs/GMD-1822-341.pdf#page=4","Abrir facsímil")</f>
        <v>Abrir facsímil</v>
      </c>
      <c r="K7047" s="3" t="s">
        <v>22</v>
      </c>
    </row>
    <row r="7048" spans="1:11" ht="42" customHeight="1">
      <c r="A7048" s="2" t="s">
        <v>13705</v>
      </c>
      <c r="B7048" s="2" t="s">
        <v>13705</v>
      </c>
      <c r="C7048" s="2" t="s">
        <v>28</v>
      </c>
      <c r="D7048" s="2" t="s">
        <v>29</v>
      </c>
      <c r="E7048" s="5">
        <v>-28154</v>
      </c>
      <c r="F7048" s="3" t="s">
        <v>2321</v>
      </c>
      <c r="G7048" s="3" t="s">
        <v>31</v>
      </c>
      <c r="H7048" s="2" t="s">
        <v>20</v>
      </c>
      <c r="I7048" s="2" t="s">
        <v>13792</v>
      </c>
      <c r="J7048" s="3" t="str">
        <f>HYPERLINK("https://www.boe.es/gazeta/dias/1822/11/30/pdfs/GMD-1822-350.pdf#page=3","Abrir facsímil")</f>
        <v>Abrir facsímil</v>
      </c>
      <c r="K7048" s="3" t="s">
        <v>22</v>
      </c>
    </row>
    <row r="7049" spans="1:11" ht="42" customHeight="1">
      <c r="A7049" s="2" t="s">
        <v>13705</v>
      </c>
      <c r="B7049" s="2" t="s">
        <v>13705</v>
      </c>
      <c r="C7049" s="2" t="s">
        <v>50</v>
      </c>
      <c r="D7049" s="2" t="s">
        <v>51</v>
      </c>
      <c r="E7049" s="5">
        <v>-28153</v>
      </c>
      <c r="F7049" s="3" t="s">
        <v>946</v>
      </c>
      <c r="G7049" s="3" t="s">
        <v>35</v>
      </c>
      <c r="H7049" s="2" t="s">
        <v>20</v>
      </c>
      <c r="I7049" s="2" t="s">
        <v>13793</v>
      </c>
      <c r="J7049" s="3" t="str">
        <f>HYPERLINK("https://www.boe.es/gazeta/dias/1822/12/01/pdfs/GMD-1822-351.pdf#page=2","Abrir facsímil")</f>
        <v>Abrir facsímil</v>
      </c>
      <c r="K7049" s="3" t="s">
        <v>22</v>
      </c>
    </row>
    <row r="7050" spans="1:11" ht="42" customHeight="1">
      <c r="A7050" s="2" t="s">
        <v>13705</v>
      </c>
      <c r="B7050" s="2" t="s">
        <v>13705</v>
      </c>
      <c r="C7050" s="2" t="s">
        <v>24</v>
      </c>
      <c r="D7050" s="2" t="s">
        <v>17</v>
      </c>
      <c r="E7050" s="5">
        <v>-28153</v>
      </c>
      <c r="F7050" s="3" t="s">
        <v>946</v>
      </c>
      <c r="G7050" s="3" t="s">
        <v>31</v>
      </c>
      <c r="H7050" s="2" t="s">
        <v>20</v>
      </c>
      <c r="I7050" s="2" t="s">
        <v>13794</v>
      </c>
      <c r="J7050" s="3" t="str">
        <f>HYPERLINK("https://www.boe.es/gazeta/dias/1822/12/01/pdfs/GMD-1822-351.pdf#page=3","Abrir facsímil")</f>
        <v>Abrir facsímil</v>
      </c>
      <c r="K7050" s="3" t="s">
        <v>22</v>
      </c>
    </row>
    <row r="7051" spans="1:11" ht="42" customHeight="1">
      <c r="A7051" s="2" t="s">
        <v>13705</v>
      </c>
      <c r="B7051" s="2" t="s">
        <v>13705</v>
      </c>
      <c r="C7051" s="2" t="s">
        <v>16</v>
      </c>
      <c r="D7051" s="2" t="s">
        <v>17</v>
      </c>
      <c r="E7051" s="5">
        <v>-28150</v>
      </c>
      <c r="F7051" s="3" t="s">
        <v>62</v>
      </c>
      <c r="G7051" s="3" t="s">
        <v>13795</v>
      </c>
      <c r="H7051" s="2" t="s">
        <v>20</v>
      </c>
      <c r="I7051" s="2" t="s">
        <v>13796</v>
      </c>
      <c r="J7051" s="3" t="str">
        <f>HYPERLINK("https://www.boe.es/gazeta/dias/1822/12/04/pdfs/GMD-1822-354.pdf#page=2","Abrir facsímil")</f>
        <v>Abrir facsímil</v>
      </c>
      <c r="K7051" s="3" t="s">
        <v>22</v>
      </c>
    </row>
    <row r="7052" spans="1:11" ht="42" customHeight="1">
      <c r="A7052" s="2" t="s">
        <v>13705</v>
      </c>
      <c r="B7052" s="2" t="s">
        <v>13705</v>
      </c>
      <c r="C7052" s="2" t="s">
        <v>28</v>
      </c>
      <c r="D7052" s="2" t="s">
        <v>29</v>
      </c>
      <c r="E7052" s="5">
        <v>-28150</v>
      </c>
      <c r="F7052" s="3" t="s">
        <v>62</v>
      </c>
      <c r="G7052" s="3" t="s">
        <v>57</v>
      </c>
      <c r="H7052" s="2" t="s">
        <v>20</v>
      </c>
      <c r="I7052" s="2" t="s">
        <v>13797</v>
      </c>
      <c r="J7052" s="3" t="str">
        <f>HYPERLINK("https://www.boe.es/gazeta/dias/1822/12/04/pdfs/GMD-1822-354.pdf#page=4","Abrir facsímil")</f>
        <v>Abrir facsímil</v>
      </c>
      <c r="K7052" s="3" t="s">
        <v>22</v>
      </c>
    </row>
    <row r="7053" spans="1:11" ht="42" customHeight="1">
      <c r="A7053" s="2" t="s">
        <v>13728</v>
      </c>
      <c r="B7053" s="2" t="s">
        <v>13728</v>
      </c>
      <c r="C7053" s="2" t="s">
        <v>42</v>
      </c>
      <c r="D7053" s="2" t="s">
        <v>17</v>
      </c>
      <c r="E7053" s="5">
        <v>-28143</v>
      </c>
      <c r="F7053" s="3" t="s">
        <v>2967</v>
      </c>
      <c r="G7053" s="3" t="s">
        <v>35</v>
      </c>
      <c r="H7053" s="2" t="s">
        <v>20</v>
      </c>
      <c r="I7053" s="2" t="s">
        <v>13798</v>
      </c>
      <c r="J7053" s="3" t="str">
        <f>HYPERLINK("https://www.boe.es/gazeta/dias/1822/12/11/pdfs/GMD-1822-361.pdf#page=2","Abrir facsímil")</f>
        <v>Abrir facsímil</v>
      </c>
      <c r="K7053" s="3" t="s">
        <v>22</v>
      </c>
    </row>
    <row r="7054" spans="1:11" ht="42" customHeight="1">
      <c r="A7054" s="2" t="s">
        <v>13705</v>
      </c>
      <c r="B7054" s="2" t="s">
        <v>13705</v>
      </c>
      <c r="C7054" s="2" t="s">
        <v>71</v>
      </c>
      <c r="D7054" s="2" t="s">
        <v>17</v>
      </c>
      <c r="E7054" s="5">
        <v>-28140</v>
      </c>
      <c r="F7054" s="3" t="s">
        <v>84</v>
      </c>
      <c r="G7054" s="3" t="s">
        <v>35</v>
      </c>
      <c r="H7054" s="2" t="s">
        <v>20</v>
      </c>
      <c r="I7054" s="2" t="s">
        <v>13799</v>
      </c>
      <c r="J7054" s="3" t="str">
        <f>HYPERLINK("https://www.boe.es/gazeta/dias/1822/12/14/pdfs/GMD-1822-364.pdf#page=2","Abrir facsímil")</f>
        <v>Abrir facsímil</v>
      </c>
      <c r="K7054" s="3" t="s">
        <v>22</v>
      </c>
    </row>
    <row r="7055" spans="1:11" ht="42" customHeight="1">
      <c r="A7055" s="2" t="s">
        <v>13705</v>
      </c>
      <c r="B7055" s="2" t="s">
        <v>13705</v>
      </c>
      <c r="C7055" s="2" t="s">
        <v>50</v>
      </c>
      <c r="D7055" s="2" t="s">
        <v>51</v>
      </c>
      <c r="E7055" s="5">
        <v>-28137</v>
      </c>
      <c r="F7055" s="3" t="s">
        <v>312</v>
      </c>
      <c r="G7055" s="3" t="s">
        <v>31</v>
      </c>
      <c r="H7055" s="2" t="s">
        <v>20</v>
      </c>
      <c r="I7055" s="2" t="s">
        <v>13800</v>
      </c>
      <c r="J7055" s="3" t="str">
        <f>HYPERLINK("https://www.boe.es/gazeta/dias/1822/12/17/pdfs/GMD-1822-367.pdf#page=3","Abrir facsímil")</f>
        <v>Abrir facsímil</v>
      </c>
      <c r="K7055" s="3" t="s">
        <v>22</v>
      </c>
    </row>
    <row r="7056" spans="1:11" ht="42" customHeight="1">
      <c r="A7056" s="2" t="s">
        <v>13705</v>
      </c>
      <c r="B7056" s="2" t="s">
        <v>13705</v>
      </c>
      <c r="C7056" s="2" t="s">
        <v>50</v>
      </c>
      <c r="D7056" s="2" t="s">
        <v>51</v>
      </c>
      <c r="E7056" s="5">
        <v>-28137</v>
      </c>
      <c r="F7056" s="3" t="s">
        <v>312</v>
      </c>
      <c r="G7056" s="3" t="s">
        <v>57</v>
      </c>
      <c r="H7056" s="2" t="s">
        <v>20</v>
      </c>
      <c r="I7056" s="2" t="s">
        <v>13801</v>
      </c>
      <c r="J7056" s="3" t="str">
        <f>HYPERLINK("https://www.boe.es/gazeta/dias/1822/12/17/pdfs/GMD-1822-367.pdf#page=4","Abrir facsímil")</f>
        <v>Abrir facsímil</v>
      </c>
      <c r="K7056" s="3" t="s">
        <v>22</v>
      </c>
    </row>
    <row r="7057" spans="1:11" ht="42" customHeight="1">
      <c r="A7057" s="2" t="s">
        <v>13705</v>
      </c>
      <c r="B7057" s="2" t="s">
        <v>13705</v>
      </c>
      <c r="C7057" s="2" t="s">
        <v>71</v>
      </c>
      <c r="D7057" s="2" t="s">
        <v>17</v>
      </c>
      <c r="E7057" s="5">
        <v>-28132</v>
      </c>
      <c r="F7057" s="3" t="s">
        <v>820</v>
      </c>
      <c r="G7057" s="3" t="s">
        <v>31</v>
      </c>
      <c r="H7057" s="2" t="s">
        <v>20</v>
      </c>
      <c r="I7057" s="2" t="s">
        <v>13802</v>
      </c>
      <c r="J7057" s="3" t="str">
        <f>HYPERLINK("https://www.boe.es/gazeta/dias/1822/12/22/pdfs/GMD-1822-372.pdf#page=3","Abrir facsímil")</f>
        <v>Abrir facsímil</v>
      </c>
      <c r="K7057" s="3" t="s">
        <v>22</v>
      </c>
    </row>
    <row r="7058" spans="1:11" ht="42" customHeight="1">
      <c r="A7058" s="2" t="s">
        <v>13705</v>
      </c>
      <c r="B7058" s="2" t="s">
        <v>13705</v>
      </c>
      <c r="C7058" s="2" t="s">
        <v>50</v>
      </c>
      <c r="D7058" s="2" t="s">
        <v>51</v>
      </c>
      <c r="E7058" s="5">
        <v>-28127</v>
      </c>
      <c r="F7058" s="3" t="s">
        <v>409</v>
      </c>
      <c r="G7058" s="3" t="s">
        <v>57</v>
      </c>
      <c r="H7058" s="2" t="s">
        <v>20</v>
      </c>
      <c r="I7058" s="2" t="s">
        <v>13803</v>
      </c>
      <c r="J7058" s="3" t="str">
        <f>HYPERLINK("https://www.boe.es/gazeta/dias/1822/12/27/pdfs/GMD-1822-377.pdf#page=4","Abrir facsímil")</f>
        <v>Abrir facsímil</v>
      </c>
      <c r="K7058" s="3" t="s">
        <v>22</v>
      </c>
    </row>
    <row r="7059" spans="1:11" ht="42" customHeight="1">
      <c r="A7059" s="2" t="s">
        <v>13705</v>
      </c>
      <c r="B7059" s="2" t="s">
        <v>13705</v>
      </c>
      <c r="C7059" s="2" t="s">
        <v>28</v>
      </c>
      <c r="D7059" s="2" t="s">
        <v>29</v>
      </c>
      <c r="E7059" s="5">
        <v>-28126</v>
      </c>
      <c r="F7059" s="3" t="s">
        <v>952</v>
      </c>
      <c r="G7059" s="3" t="s">
        <v>35</v>
      </c>
      <c r="H7059" s="2" t="s">
        <v>20</v>
      </c>
      <c r="I7059" s="2" t="s">
        <v>13804</v>
      </c>
      <c r="J7059" s="3" t="str">
        <f>HYPERLINK("https://www.boe.es/gazeta/dias/1822/12/28/pdfs/GMD-1822-378.pdf#page=2","Abrir facsímil")</f>
        <v>Abrir facsímil</v>
      </c>
      <c r="K7059" s="3" t="s">
        <v>22</v>
      </c>
    </row>
    <row r="7060" spans="1:11" ht="42" customHeight="1">
      <c r="A7060" s="2" t="s">
        <v>13705</v>
      </c>
      <c r="B7060" s="2" t="s">
        <v>13705</v>
      </c>
      <c r="C7060" s="2" t="s">
        <v>42</v>
      </c>
      <c r="D7060" s="2" t="s">
        <v>17</v>
      </c>
      <c r="E7060" s="5">
        <v>-28123</v>
      </c>
      <c r="F7060" s="3" t="s">
        <v>603</v>
      </c>
      <c r="G7060" s="3" t="s">
        <v>2642</v>
      </c>
      <c r="H7060" s="2" t="s">
        <v>20</v>
      </c>
      <c r="I7060" s="2" t="s">
        <v>13805</v>
      </c>
      <c r="J7060" s="3" t="str">
        <f>HYPERLINK("https://www.boe.es/gazeta/dias/1822/12/31/pdfs/GMD-1822-381.pdf#page=6","Abrir facsímil")</f>
        <v>Abrir facsímil</v>
      </c>
      <c r="K7060" s="3" t="s">
        <v>22</v>
      </c>
    </row>
    <row r="7061" spans="1:11" ht="42" customHeight="1">
      <c r="A7061" s="2" t="s">
        <v>13705</v>
      </c>
      <c r="B7061" s="2" t="s">
        <v>13705</v>
      </c>
      <c r="C7061" s="2" t="s">
        <v>28</v>
      </c>
      <c r="D7061" s="2" t="s">
        <v>29</v>
      </c>
      <c r="E7061" s="5">
        <v>-28123</v>
      </c>
      <c r="F7061" s="3" t="s">
        <v>603</v>
      </c>
      <c r="G7061" s="3" t="s">
        <v>31</v>
      </c>
      <c r="H7061" s="2" t="s">
        <v>20</v>
      </c>
      <c r="I7061" s="2" t="s">
        <v>13806</v>
      </c>
      <c r="J7061" s="3" t="str">
        <f>HYPERLINK("https://www.boe.es/gazeta/dias/1822/12/31/pdfs/GMD-1822-381.pdf#page=3","Abrir facsímil")</f>
        <v>Abrir facsímil</v>
      </c>
      <c r="K7061" s="3" t="s">
        <v>22</v>
      </c>
    </row>
    <row r="7062" spans="1:11" ht="42" customHeight="1">
      <c r="A7062" s="2" t="s">
        <v>13705</v>
      </c>
      <c r="B7062" s="2" t="s">
        <v>13705</v>
      </c>
      <c r="C7062" s="2" t="s">
        <v>42</v>
      </c>
      <c r="D7062" s="2" t="s">
        <v>17</v>
      </c>
      <c r="E7062" s="5">
        <v>-28123</v>
      </c>
      <c r="F7062" s="3" t="s">
        <v>603</v>
      </c>
      <c r="G7062" s="3" t="s">
        <v>19</v>
      </c>
      <c r="H7062" s="2" t="s">
        <v>20</v>
      </c>
      <c r="I7062" s="2" t="s">
        <v>13807</v>
      </c>
      <c r="J7062" s="3" t="str">
        <f>HYPERLINK("https://www.boe.es/gazeta/dias/1822/12/31/pdfs/GMD-1822-381.pdf#page=5","Abrir facsímil")</f>
        <v>Abrir facsímil</v>
      </c>
      <c r="K7062" s="3" t="s">
        <v>22</v>
      </c>
    </row>
    <row r="7063" spans="1:11" ht="42" customHeight="1">
      <c r="A7063" s="2" t="s">
        <v>13808</v>
      </c>
      <c r="B7063" s="2" t="s">
        <v>13809</v>
      </c>
      <c r="C7063" s="2" t="s">
        <v>28</v>
      </c>
      <c r="D7063" s="2" t="s">
        <v>29</v>
      </c>
      <c r="E7063" s="5">
        <v>-28410</v>
      </c>
      <c r="F7063" s="3" t="s">
        <v>966</v>
      </c>
      <c r="G7063" s="3" t="s">
        <v>57</v>
      </c>
      <c r="H7063" s="2" t="s">
        <v>20</v>
      </c>
      <c r="I7063" s="2" t="s">
        <v>13810</v>
      </c>
      <c r="J7063" s="3" t="str">
        <f>HYPERLINK("https://www.boe.es/gazeta/dias/1822/03/19/pdfs/GMD-1822-80.pdf#page=4","Abrir facsímil")</f>
        <v>Abrir facsímil</v>
      </c>
      <c r="K7063" s="3" t="s">
        <v>22</v>
      </c>
    </row>
    <row r="7064" spans="1:11" ht="42" customHeight="1">
      <c r="A7064" s="2" t="s">
        <v>13811</v>
      </c>
      <c r="B7064" s="2" t="s">
        <v>13812</v>
      </c>
      <c r="C7064" s="2" t="s">
        <v>28</v>
      </c>
      <c r="D7064" s="2" t="s">
        <v>29</v>
      </c>
      <c r="E7064" s="5">
        <v>-28397</v>
      </c>
      <c r="F7064" s="3" t="s">
        <v>1401</v>
      </c>
      <c r="G7064" s="3" t="s">
        <v>57</v>
      </c>
      <c r="H7064" s="2" t="s">
        <v>20</v>
      </c>
      <c r="I7064" s="2" t="s">
        <v>13813</v>
      </c>
      <c r="J7064" s="3" t="str">
        <f>HYPERLINK("https://www.boe.es/gazeta/dias/1822/04/01/pdfs/GMD-1822-93.pdf#page=4","Abrir facsímil")</f>
        <v>Abrir facsímil</v>
      </c>
      <c r="K7064" s="3" t="s">
        <v>22</v>
      </c>
    </row>
    <row r="7065" spans="1:11" ht="42" customHeight="1">
      <c r="A7065" s="2" t="s">
        <v>13814</v>
      </c>
      <c r="B7065" s="2" t="s">
        <v>13815</v>
      </c>
      <c r="C7065" s="2" t="s">
        <v>42</v>
      </c>
      <c r="D7065" s="2" t="s">
        <v>17</v>
      </c>
      <c r="E7065" s="5">
        <v>-28364</v>
      </c>
      <c r="F7065" s="3" t="s">
        <v>509</v>
      </c>
      <c r="G7065" s="3" t="s">
        <v>63</v>
      </c>
      <c r="H7065" s="2" t="s">
        <v>20</v>
      </c>
      <c r="I7065" s="2" t="s">
        <v>13816</v>
      </c>
      <c r="J7065" s="3" t="str">
        <f>HYPERLINK("https://www.boe.es/gazeta/dias/1822/05/04/pdfs/GMD-1822-126.pdf#page=6","Abrir facsímil")</f>
        <v>Abrir facsímil</v>
      </c>
      <c r="K7065" s="3" t="s">
        <v>22</v>
      </c>
    </row>
    <row r="7066" spans="1:11" ht="42" customHeight="1">
      <c r="A7066" s="2" t="s">
        <v>13817</v>
      </c>
      <c r="B7066" s="2" t="s">
        <v>13817</v>
      </c>
      <c r="C7066" s="2" t="s">
        <v>50</v>
      </c>
      <c r="D7066" s="2" t="s">
        <v>51</v>
      </c>
      <c r="E7066" s="5">
        <v>-28310</v>
      </c>
      <c r="F7066" s="3" t="s">
        <v>241</v>
      </c>
      <c r="G7066" s="3" t="s">
        <v>63</v>
      </c>
      <c r="H7066" s="2" t="s">
        <v>20</v>
      </c>
      <c r="I7066" s="2" t="s">
        <v>13818</v>
      </c>
      <c r="J7066" s="3" t="str">
        <f>HYPERLINK("https://www.boe.es/gazeta/dias/1822/06/27/pdfs/GMD-1822-185.pdf#page=6","Abrir facsímil")</f>
        <v>Abrir facsímil</v>
      </c>
      <c r="K7066" s="3" t="s">
        <v>22</v>
      </c>
    </row>
    <row r="7067" spans="1:11" ht="42" customHeight="1">
      <c r="A7067" s="2" t="s">
        <v>13819</v>
      </c>
      <c r="B7067" s="2" t="s">
        <v>13819</v>
      </c>
      <c r="C7067" s="2" t="s">
        <v>24</v>
      </c>
      <c r="D7067" s="2" t="s">
        <v>17</v>
      </c>
      <c r="E7067" s="5">
        <v>-28153</v>
      </c>
      <c r="F7067" s="3" t="s">
        <v>946</v>
      </c>
      <c r="G7067" s="3" t="s">
        <v>31</v>
      </c>
      <c r="H7067" s="2" t="s">
        <v>20</v>
      </c>
      <c r="I7067" s="2" t="s">
        <v>13820</v>
      </c>
      <c r="J7067" s="3" t="str">
        <f>HYPERLINK("https://www.boe.es/gazeta/dias/1822/12/01/pdfs/GMD-1822-351.pdf#page=3","Abrir facsímil")</f>
        <v>Abrir facsímil</v>
      </c>
      <c r="K7067" s="3" t="s">
        <v>22</v>
      </c>
    </row>
    <row r="7068" spans="1:11" ht="42" customHeight="1">
      <c r="A7068" s="2" t="s">
        <v>13821</v>
      </c>
      <c r="B7068" s="2" t="s">
        <v>13821</v>
      </c>
      <c r="C7068" s="2" t="s">
        <v>42</v>
      </c>
      <c r="D7068" s="2" t="s">
        <v>17</v>
      </c>
      <c r="E7068" s="5">
        <v>-28344</v>
      </c>
      <c r="F7068" s="3" t="s">
        <v>524</v>
      </c>
      <c r="G7068" s="3" t="s">
        <v>57</v>
      </c>
      <c r="H7068" s="2" t="s">
        <v>20</v>
      </c>
      <c r="I7068" s="2" t="s">
        <v>13822</v>
      </c>
      <c r="J7068" s="3" t="str">
        <f>HYPERLINK("https://www.boe.es/gazeta/dias/1822/05/24/pdfs/GMD-1822-148.pdf#page=4","Abrir facsímil")</f>
        <v>Abrir facsímil</v>
      </c>
      <c r="K7068" s="3" t="s">
        <v>22</v>
      </c>
    </row>
    <row r="7069" spans="1:11" ht="42" customHeight="1">
      <c r="A7069" s="2" t="s">
        <v>13821</v>
      </c>
      <c r="B7069" s="2" t="s">
        <v>13821</v>
      </c>
      <c r="C7069" s="2" t="s">
        <v>50</v>
      </c>
      <c r="D7069" s="2" t="s">
        <v>51</v>
      </c>
      <c r="E7069" s="5">
        <v>-28334</v>
      </c>
      <c r="F7069" s="3" t="s">
        <v>532</v>
      </c>
      <c r="G7069" s="3" t="s">
        <v>31</v>
      </c>
      <c r="H7069" s="2" t="s">
        <v>20</v>
      </c>
      <c r="I7069" s="2" t="s">
        <v>13823</v>
      </c>
      <c r="J7069" s="3" t="str">
        <f>HYPERLINK("https://www.boe.es/gazeta/dias/1822/06/03/pdfs/GMD-1822-159.pdf#page=3","Abrir facsímil")</f>
        <v>Abrir facsímil</v>
      </c>
      <c r="K7069" s="3" t="s">
        <v>22</v>
      </c>
    </row>
    <row r="7070" spans="1:11" ht="42" customHeight="1">
      <c r="A7070" s="2" t="s">
        <v>13824</v>
      </c>
      <c r="B7070" s="2" t="s">
        <v>13824</v>
      </c>
      <c r="C7070" s="2" t="s">
        <v>42</v>
      </c>
      <c r="D7070" s="2" t="s">
        <v>17</v>
      </c>
      <c r="E7070" s="5">
        <v>-28319</v>
      </c>
      <c r="F7070" s="3" t="s">
        <v>271</v>
      </c>
      <c r="G7070" s="3" t="s">
        <v>57</v>
      </c>
      <c r="H7070" s="2" t="s">
        <v>20</v>
      </c>
      <c r="I7070" s="2" t="s">
        <v>13825</v>
      </c>
      <c r="J7070" s="3" t="str">
        <f>HYPERLINK("https://www.boe.es/gazeta/dias/1822/06/18/pdfs/GMD-1822-175.pdf#page=4","Abrir facsímil")</f>
        <v>Abrir facsímil</v>
      </c>
      <c r="K7070" s="3" t="s">
        <v>22</v>
      </c>
    </row>
    <row r="7071" spans="1:11" ht="42" customHeight="1">
      <c r="A7071" s="2" t="s">
        <v>13826</v>
      </c>
      <c r="B7071" s="2" t="s">
        <v>13826</v>
      </c>
      <c r="C7071" s="2" t="s">
        <v>42</v>
      </c>
      <c r="D7071" s="2" t="s">
        <v>17</v>
      </c>
      <c r="E7071" s="5">
        <v>-28364</v>
      </c>
      <c r="F7071" s="3" t="s">
        <v>509</v>
      </c>
      <c r="G7071" s="3" t="s">
        <v>35</v>
      </c>
      <c r="H7071" s="2" t="s">
        <v>20</v>
      </c>
      <c r="I7071" s="2" t="s">
        <v>13827</v>
      </c>
      <c r="J7071" s="3" t="str">
        <f>HYPERLINK("https://www.boe.es/gazeta/dias/1822/05/04/pdfs/GMD-1822-126.pdf#page=2","Abrir facsímil")</f>
        <v>Abrir facsímil</v>
      </c>
      <c r="K7071" s="3" t="s">
        <v>22</v>
      </c>
    </row>
    <row r="7072" spans="1:11" ht="42" customHeight="1">
      <c r="A7072" s="2" t="s">
        <v>13826</v>
      </c>
      <c r="B7072" s="2" t="s">
        <v>13826</v>
      </c>
      <c r="C7072" s="2" t="s">
        <v>24</v>
      </c>
      <c r="D7072" s="2" t="s">
        <v>17</v>
      </c>
      <c r="E7072" s="5">
        <v>-28143</v>
      </c>
      <c r="F7072" s="3" t="s">
        <v>2967</v>
      </c>
      <c r="G7072" s="3" t="s">
        <v>35</v>
      </c>
      <c r="H7072" s="2" t="s">
        <v>20</v>
      </c>
      <c r="I7072" s="2" t="s">
        <v>13828</v>
      </c>
      <c r="J7072" s="3" t="str">
        <f>HYPERLINK("https://www.boe.es/gazeta/dias/1822/12/11/pdfs/GMD-1822-361.pdf#page=2","Abrir facsímil")</f>
        <v>Abrir facsímil</v>
      </c>
      <c r="K7072" s="3" t="s">
        <v>22</v>
      </c>
    </row>
    <row r="7073" spans="1:11" ht="42" customHeight="1">
      <c r="A7073" s="2" t="s">
        <v>13829</v>
      </c>
      <c r="B7073" s="2" t="s">
        <v>13829</v>
      </c>
      <c r="C7073" s="2" t="s">
        <v>71</v>
      </c>
      <c r="D7073" s="2" t="s">
        <v>17</v>
      </c>
      <c r="E7073" s="5">
        <v>-28175</v>
      </c>
      <c r="F7073" s="3" t="s">
        <v>341</v>
      </c>
      <c r="G7073" s="3" t="s">
        <v>31</v>
      </c>
      <c r="H7073" s="2" t="s">
        <v>20</v>
      </c>
      <c r="I7073" s="2" t="s">
        <v>13830</v>
      </c>
      <c r="J7073" s="3" t="str">
        <f>HYPERLINK("https://www.boe.es/gazeta/dias/1822/11/09/pdfs/GMD-1822-329.pdf#page=3","Abrir facsímil")</f>
        <v>Abrir facsímil</v>
      </c>
      <c r="K7073" s="3" t="s">
        <v>22</v>
      </c>
    </row>
    <row r="7074" spans="1:11" ht="42" customHeight="1">
      <c r="A7074" s="2" t="s">
        <v>13831</v>
      </c>
      <c r="B7074" s="2" t="s">
        <v>13831</v>
      </c>
      <c r="C7074" s="2" t="s">
        <v>42</v>
      </c>
      <c r="D7074" s="2" t="s">
        <v>17</v>
      </c>
      <c r="E7074" s="5">
        <v>-28314</v>
      </c>
      <c r="F7074" s="3" t="s">
        <v>309</v>
      </c>
      <c r="G7074" s="3" t="s">
        <v>35</v>
      </c>
      <c r="H7074" s="2" t="s">
        <v>20</v>
      </c>
      <c r="I7074" s="2" t="s">
        <v>13832</v>
      </c>
      <c r="J7074" s="3" t="str">
        <f>HYPERLINK("https://www.boe.es/gazeta/dias/1822/06/23/pdfs/GMD-1822-181.pdf#page=2","Abrir facsímil")</f>
        <v>Abrir facsímil</v>
      </c>
      <c r="K7074" s="3" t="s">
        <v>22</v>
      </c>
    </row>
    <row r="7075" spans="1:11" ht="42" customHeight="1">
      <c r="A7075" s="2" t="s">
        <v>13833</v>
      </c>
      <c r="B7075" s="2" t="s">
        <v>13834</v>
      </c>
      <c r="C7075" s="2" t="s">
        <v>42</v>
      </c>
      <c r="D7075" s="2" t="s">
        <v>17</v>
      </c>
      <c r="E7075" s="5">
        <v>-28212</v>
      </c>
      <c r="F7075" s="3" t="s">
        <v>560</v>
      </c>
      <c r="G7075" s="3" t="s">
        <v>44</v>
      </c>
      <c r="H7075" s="2" t="s">
        <v>20</v>
      </c>
      <c r="I7075" s="2" t="s">
        <v>13835</v>
      </c>
      <c r="J7075" s="3" t="str">
        <f>HYPERLINK("https://www.boe.es/gazeta/dias/1822/10/03/pdfs/GMD-1822-289.pdf#page=1","Abrir facsímil")</f>
        <v>Abrir facsímil</v>
      </c>
      <c r="K7075" s="3" t="s">
        <v>22</v>
      </c>
    </row>
    <row r="7076" spans="1:11" ht="42" customHeight="1">
      <c r="A7076" s="2" t="s">
        <v>13836</v>
      </c>
      <c r="B7076" s="2" t="s">
        <v>13837</v>
      </c>
      <c r="C7076" s="2" t="s">
        <v>16</v>
      </c>
      <c r="D7076" s="2" t="s">
        <v>17</v>
      </c>
      <c r="E7076" s="5">
        <v>-28227</v>
      </c>
      <c r="F7076" s="3" t="s">
        <v>2148</v>
      </c>
      <c r="G7076" s="3" t="s">
        <v>57</v>
      </c>
      <c r="H7076" s="2" t="s">
        <v>20</v>
      </c>
      <c r="I7076" s="2" t="s">
        <v>13838</v>
      </c>
      <c r="J7076" s="3" t="str">
        <f>HYPERLINK("https://www.boe.es/gazeta/dias/1822/09/18/pdfs/GMD-1822-274.pdf#page=4","Abrir facsímil")</f>
        <v>Abrir facsímil</v>
      </c>
      <c r="K7076" s="3" t="s">
        <v>22</v>
      </c>
    </row>
    <row r="7077" spans="1:11" ht="42" customHeight="1">
      <c r="A7077" s="2" t="s">
        <v>13839</v>
      </c>
      <c r="B7077" s="2" t="s">
        <v>13840</v>
      </c>
      <c r="C7077" s="2" t="s">
        <v>42</v>
      </c>
      <c r="D7077" s="2" t="s">
        <v>17</v>
      </c>
      <c r="E7077" s="5">
        <v>-28160</v>
      </c>
      <c r="F7077" s="3" t="s">
        <v>148</v>
      </c>
      <c r="G7077" s="3" t="s">
        <v>19</v>
      </c>
      <c r="H7077" s="2" t="s">
        <v>20</v>
      </c>
      <c r="I7077" s="2" t="s">
        <v>13841</v>
      </c>
      <c r="J7077" s="3" t="str">
        <f>HYPERLINK("https://www.boe.es/gazeta/dias/1822/11/24/pdfs/GMD-1822-344.pdf#page=5","Abrir facsímil")</f>
        <v>Abrir facsímil</v>
      </c>
      <c r="K7077" s="3" t="s">
        <v>22</v>
      </c>
    </row>
    <row r="7078" spans="1:11" ht="42" customHeight="1">
      <c r="A7078" s="2" t="s">
        <v>13842</v>
      </c>
      <c r="B7078" s="2" t="s">
        <v>13843</v>
      </c>
      <c r="C7078" s="2" t="s">
        <v>42</v>
      </c>
      <c r="D7078" s="2" t="s">
        <v>17</v>
      </c>
      <c r="E7078" s="5">
        <v>-28342</v>
      </c>
      <c r="F7078" s="3" t="s">
        <v>2281</v>
      </c>
      <c r="G7078" s="3" t="s">
        <v>35</v>
      </c>
      <c r="H7078" s="2" t="s">
        <v>45</v>
      </c>
      <c r="I7078" s="2" t="s">
        <v>13844</v>
      </c>
      <c r="J7078" s="3" t="str">
        <f>HYPERLINK("https://www.boe.es/gazeta/dias/1822/05/26/pdfs/GMD-1822-151.pdf#page=2","Abrir facsímil")</f>
        <v>Abrir facsímil</v>
      </c>
      <c r="K7078" s="3" t="s">
        <v>47</v>
      </c>
    </row>
    <row r="7079" spans="1:11" ht="42" customHeight="1">
      <c r="A7079" s="2" t="s">
        <v>13845</v>
      </c>
      <c r="B7079" s="2" t="s">
        <v>13846</v>
      </c>
      <c r="C7079" s="2" t="s">
        <v>50</v>
      </c>
      <c r="D7079" s="2" t="s">
        <v>51</v>
      </c>
      <c r="E7079" s="5">
        <v>-28383</v>
      </c>
      <c r="F7079" s="3" t="s">
        <v>488</v>
      </c>
      <c r="G7079" s="3" t="s">
        <v>44</v>
      </c>
      <c r="H7079" s="2" t="s">
        <v>20</v>
      </c>
      <c r="I7079" s="2" t="s">
        <v>13847</v>
      </c>
      <c r="J7079" s="3" t="str">
        <f>HYPERLINK("https://www.boe.es/gazeta/dias/1822/04/15/pdfs/GMD-1822-107.pdf#page=1","Abrir facsímil")</f>
        <v>Abrir facsímil</v>
      </c>
      <c r="K7079" s="3" t="s">
        <v>22</v>
      </c>
    </row>
    <row r="7080" spans="1:11" ht="42" customHeight="1">
      <c r="A7080" s="2" t="s">
        <v>13848</v>
      </c>
      <c r="B7080" s="2" t="s">
        <v>13849</v>
      </c>
      <c r="C7080" s="2" t="s">
        <v>42</v>
      </c>
      <c r="D7080" s="2" t="s">
        <v>17</v>
      </c>
      <c r="E7080" s="5">
        <v>-28277</v>
      </c>
      <c r="F7080" s="3" t="s">
        <v>296</v>
      </c>
      <c r="G7080" s="3" t="s">
        <v>35</v>
      </c>
      <c r="H7080" s="2" t="s">
        <v>20</v>
      </c>
      <c r="I7080" s="2" t="s">
        <v>13850</v>
      </c>
      <c r="J7080" s="3" t="str">
        <f>HYPERLINK("https://www.boe.es/gazeta/dias/1822/07/30/pdfs/GMD-1822-223.pdf#page=2","Abrir facsímil")</f>
        <v>Abrir facsímil</v>
      </c>
      <c r="K7080" s="3" t="s">
        <v>22</v>
      </c>
    </row>
    <row r="7081" spans="1:11" ht="42" customHeight="1">
      <c r="A7081" s="2" t="s">
        <v>13851</v>
      </c>
      <c r="B7081" s="2" t="s">
        <v>13851</v>
      </c>
      <c r="C7081" s="2" t="s">
        <v>50</v>
      </c>
      <c r="D7081" s="2" t="s">
        <v>51</v>
      </c>
      <c r="E7081" s="5">
        <v>-28400</v>
      </c>
      <c r="F7081" s="3" t="s">
        <v>1937</v>
      </c>
      <c r="G7081" s="3" t="s">
        <v>44</v>
      </c>
      <c r="H7081" s="2" t="s">
        <v>20</v>
      </c>
      <c r="I7081" s="2" t="s">
        <v>13852</v>
      </c>
      <c r="J7081" s="3" t="str">
        <f>HYPERLINK("https://www.boe.es/gazeta/dias/1822/03/29/pdfs/GMD-1822-90.pdf#page=1","Abrir facsímil")</f>
        <v>Abrir facsímil</v>
      </c>
      <c r="K7081" s="3" t="s">
        <v>22</v>
      </c>
    </row>
    <row r="7082" spans="1:11" ht="42" customHeight="1">
      <c r="A7082" s="2" t="s">
        <v>13851</v>
      </c>
      <c r="B7082" s="2" t="s">
        <v>13851</v>
      </c>
      <c r="C7082" s="2" t="s">
        <v>50</v>
      </c>
      <c r="D7082" s="2" t="s">
        <v>51</v>
      </c>
      <c r="E7082" s="5">
        <v>-28383</v>
      </c>
      <c r="F7082" s="3" t="s">
        <v>488</v>
      </c>
      <c r="G7082" s="3" t="s">
        <v>35</v>
      </c>
      <c r="H7082" s="2" t="s">
        <v>20</v>
      </c>
      <c r="I7082" s="2" t="s">
        <v>13853</v>
      </c>
      <c r="J7082" s="3" t="str">
        <f>HYPERLINK("https://www.boe.es/gazeta/dias/1822/04/15/pdfs/GMD-1822-107.pdf#page=2","Abrir facsímil")</f>
        <v>Abrir facsímil</v>
      </c>
      <c r="K7082" s="3" t="s">
        <v>22</v>
      </c>
    </row>
    <row r="7083" spans="1:11" ht="42" customHeight="1">
      <c r="A7083" s="2" t="s">
        <v>13854</v>
      </c>
      <c r="B7083" s="2" t="s">
        <v>13854</v>
      </c>
      <c r="C7083" s="2" t="s">
        <v>50</v>
      </c>
      <c r="D7083" s="2" t="s">
        <v>51</v>
      </c>
      <c r="E7083" s="5">
        <v>-28381</v>
      </c>
      <c r="F7083" s="3" t="s">
        <v>358</v>
      </c>
      <c r="G7083" s="3" t="s">
        <v>35</v>
      </c>
      <c r="H7083" s="2" t="s">
        <v>20</v>
      </c>
      <c r="I7083" s="2" t="s">
        <v>13855</v>
      </c>
      <c r="J7083" s="3" t="str">
        <f>HYPERLINK("https://www.boe.es/gazeta/dias/1822/04/17/pdfs/GMD-1822-109.pdf#page=2","Abrir facsímil")</f>
        <v>Abrir facsímil</v>
      </c>
      <c r="K7083" s="3" t="s">
        <v>22</v>
      </c>
    </row>
    <row r="7084" spans="1:11" ht="42" customHeight="1">
      <c r="A7084" s="2" t="s">
        <v>13851</v>
      </c>
      <c r="B7084" s="2" t="s">
        <v>13851</v>
      </c>
      <c r="C7084" s="2" t="s">
        <v>50</v>
      </c>
      <c r="D7084" s="2" t="s">
        <v>51</v>
      </c>
      <c r="E7084" s="5">
        <v>-28380</v>
      </c>
      <c r="F7084" s="3" t="s">
        <v>492</v>
      </c>
      <c r="G7084" s="3" t="s">
        <v>35</v>
      </c>
      <c r="H7084" s="2" t="s">
        <v>20</v>
      </c>
      <c r="I7084" s="2" t="s">
        <v>13856</v>
      </c>
      <c r="J7084" s="3" t="str">
        <f>HYPERLINK("https://www.boe.es/gazeta/dias/1822/04/18/pdfs/GMD-1822-110.pdf#page=2","Abrir facsímil")</f>
        <v>Abrir facsímil</v>
      </c>
      <c r="K7084" s="3" t="s">
        <v>22</v>
      </c>
    </row>
    <row r="7085" spans="1:11" ht="42" customHeight="1">
      <c r="A7085" s="2" t="s">
        <v>13857</v>
      </c>
      <c r="B7085" s="2" t="s">
        <v>13858</v>
      </c>
      <c r="C7085" s="2" t="s">
        <v>50</v>
      </c>
      <c r="D7085" s="2" t="s">
        <v>51</v>
      </c>
      <c r="E7085" s="5">
        <v>-28444</v>
      </c>
      <c r="F7085" s="3" t="s">
        <v>681</v>
      </c>
      <c r="G7085" s="3" t="s">
        <v>35</v>
      </c>
      <c r="H7085" s="2" t="s">
        <v>20</v>
      </c>
      <c r="I7085" s="2" t="s">
        <v>13859</v>
      </c>
      <c r="J7085" s="3" t="str">
        <f>HYPERLINK("https://www.boe.es/gazeta/dias/1822/02/13/pdfs/GMD-1822-44.pdf#page=2","Abrir facsímil")</f>
        <v>Abrir facsímil</v>
      </c>
      <c r="K7085" s="3" t="s">
        <v>22</v>
      </c>
    </row>
    <row r="7086" spans="1:11" ht="42" customHeight="1">
      <c r="A7086" s="2" t="s">
        <v>13860</v>
      </c>
      <c r="B7086" s="2" t="s">
        <v>13861</v>
      </c>
      <c r="C7086" s="2" t="s">
        <v>42</v>
      </c>
      <c r="D7086" s="2" t="s">
        <v>17</v>
      </c>
      <c r="E7086" s="5">
        <v>-28383</v>
      </c>
      <c r="F7086" s="3" t="s">
        <v>488</v>
      </c>
      <c r="G7086" s="3" t="s">
        <v>44</v>
      </c>
      <c r="H7086" s="2" t="s">
        <v>20</v>
      </c>
      <c r="I7086" s="2" t="s">
        <v>13862</v>
      </c>
      <c r="J7086" s="3" t="str">
        <f>HYPERLINK("https://www.boe.es/gazeta/dias/1822/04/15/pdfs/GMD-1822-107.pdf#page=1","Abrir facsímil")</f>
        <v>Abrir facsímil</v>
      </c>
      <c r="K7086" s="3" t="s">
        <v>22</v>
      </c>
    </row>
    <row r="7087" spans="1:11" ht="42" customHeight="1">
      <c r="A7087" s="2" t="s">
        <v>13860</v>
      </c>
      <c r="B7087" s="2" t="s">
        <v>13861</v>
      </c>
      <c r="C7087" s="2" t="s">
        <v>50</v>
      </c>
      <c r="D7087" s="2" t="s">
        <v>51</v>
      </c>
      <c r="E7087" s="5">
        <v>-28383</v>
      </c>
      <c r="F7087" s="3" t="s">
        <v>488</v>
      </c>
      <c r="G7087" s="3" t="s">
        <v>31</v>
      </c>
      <c r="H7087" s="2" t="s">
        <v>20</v>
      </c>
      <c r="I7087" s="2" t="s">
        <v>13863</v>
      </c>
      <c r="J7087" s="3" t="str">
        <f>HYPERLINK("https://www.boe.es/gazeta/dias/1822/04/15/pdfs/GMD-1822-107.pdf#page=3","Abrir facsímil")</f>
        <v>Abrir facsímil</v>
      </c>
      <c r="K7087" s="3" t="s">
        <v>22</v>
      </c>
    </row>
    <row r="7088" spans="1:11" ht="42" customHeight="1">
      <c r="A7088" s="2" t="s">
        <v>13864</v>
      </c>
      <c r="B7088" s="2" t="s">
        <v>13865</v>
      </c>
      <c r="C7088" s="2" t="s">
        <v>50</v>
      </c>
      <c r="D7088" s="2" t="s">
        <v>51</v>
      </c>
      <c r="E7088" s="5">
        <v>-28380</v>
      </c>
      <c r="F7088" s="3" t="s">
        <v>492</v>
      </c>
      <c r="G7088" s="3" t="s">
        <v>35</v>
      </c>
      <c r="H7088" s="2" t="s">
        <v>20</v>
      </c>
      <c r="I7088" s="2" t="s">
        <v>13866</v>
      </c>
      <c r="J7088" s="3" t="str">
        <f>HYPERLINK("https://www.boe.es/gazeta/dias/1822/04/18/pdfs/GMD-1822-110.pdf#page=2","Abrir facsímil")</f>
        <v>Abrir facsímil</v>
      </c>
      <c r="K7088" s="3" t="s">
        <v>22</v>
      </c>
    </row>
    <row r="7089" spans="1:11" ht="42" customHeight="1">
      <c r="A7089" s="2" t="s">
        <v>13864</v>
      </c>
      <c r="B7089" s="2" t="s">
        <v>13865</v>
      </c>
      <c r="C7089" s="2" t="s">
        <v>24</v>
      </c>
      <c r="D7089" s="2" t="s">
        <v>17</v>
      </c>
      <c r="E7089" s="5">
        <v>-28274</v>
      </c>
      <c r="F7089" s="3" t="s">
        <v>3371</v>
      </c>
      <c r="G7089" s="3" t="s">
        <v>44</v>
      </c>
      <c r="H7089" s="2" t="s">
        <v>20</v>
      </c>
      <c r="I7089" s="2" t="s">
        <v>13867</v>
      </c>
      <c r="J7089" s="3" t="str">
        <f>HYPERLINK("https://www.boe.es/gazeta/dias/1822/08/02/pdfs/GMD-1822-226.pdf#page=1","Abrir facsímil")</f>
        <v>Abrir facsímil</v>
      </c>
      <c r="K7089" s="3" t="s">
        <v>22</v>
      </c>
    </row>
    <row r="7090" spans="1:11" ht="42" customHeight="1">
      <c r="A7090" s="2" t="s">
        <v>13868</v>
      </c>
      <c r="B7090" s="2" t="s">
        <v>13869</v>
      </c>
      <c r="C7090" s="2" t="s">
        <v>28</v>
      </c>
      <c r="D7090" s="2" t="s">
        <v>29</v>
      </c>
      <c r="E7090" s="5">
        <v>-28456</v>
      </c>
      <c r="F7090" s="3" t="s">
        <v>1104</v>
      </c>
      <c r="G7090" s="3" t="s">
        <v>31</v>
      </c>
      <c r="H7090" s="2" t="s">
        <v>20</v>
      </c>
      <c r="I7090" s="2" t="s">
        <v>13870</v>
      </c>
      <c r="J7090" s="3" t="str">
        <f>HYPERLINK("https://www.boe.es/gazeta/dias/1822/02/01/pdfs/GMD-1822-32.pdf#page=3","Abrir facsímil")</f>
        <v>Abrir facsímil</v>
      </c>
      <c r="K7090" s="3" t="s">
        <v>22</v>
      </c>
    </row>
    <row r="7091" spans="1:11" ht="42" customHeight="1">
      <c r="A7091" s="2" t="s">
        <v>13871</v>
      </c>
      <c r="B7091" s="2" t="s">
        <v>13871</v>
      </c>
      <c r="C7091" s="2" t="s">
        <v>71</v>
      </c>
      <c r="D7091" s="2" t="s">
        <v>17</v>
      </c>
      <c r="E7091" s="5">
        <v>-28351</v>
      </c>
      <c r="F7091" s="3" t="s">
        <v>282</v>
      </c>
      <c r="G7091" s="3" t="s">
        <v>44</v>
      </c>
      <c r="H7091" s="2" t="s">
        <v>20</v>
      </c>
      <c r="I7091" s="2" t="s">
        <v>13872</v>
      </c>
      <c r="J7091" s="3" t="str">
        <f>HYPERLINK("https://www.boe.es/gazeta/dias/1822/05/17/pdfs/GMD-1822-139.pdf#page=1","Abrir facsímil")</f>
        <v>Abrir facsímil</v>
      </c>
      <c r="K7091" s="3" t="s">
        <v>22</v>
      </c>
    </row>
    <row r="7092" spans="1:11" ht="42" customHeight="1">
      <c r="A7092" s="2" t="s">
        <v>13873</v>
      </c>
      <c r="B7092" s="2" t="s">
        <v>13874</v>
      </c>
      <c r="C7092" s="2" t="s">
        <v>50</v>
      </c>
      <c r="D7092" s="2" t="s">
        <v>51</v>
      </c>
      <c r="E7092" s="5">
        <v>-28294</v>
      </c>
      <c r="F7092" s="3" t="s">
        <v>2298</v>
      </c>
      <c r="G7092" s="3" t="s">
        <v>44</v>
      </c>
      <c r="H7092" s="2" t="s">
        <v>45</v>
      </c>
      <c r="I7092" s="2" t="s">
        <v>13875</v>
      </c>
      <c r="J7092" s="3" t="str">
        <f>HYPERLINK("https://www.boe.es/gazeta/dias/1822/07/13/pdfs/GMD-1822-203.pdf#page=1","Abrir facsímil")</f>
        <v>Abrir facsímil</v>
      </c>
      <c r="K7092" s="3" t="s">
        <v>47</v>
      </c>
    </row>
    <row r="7093" spans="1:11" ht="42" customHeight="1">
      <c r="A7093" s="2" t="s">
        <v>13876</v>
      </c>
      <c r="B7093" s="2" t="s">
        <v>13877</v>
      </c>
      <c r="C7093" s="2" t="s">
        <v>71</v>
      </c>
      <c r="D7093" s="2" t="s">
        <v>17</v>
      </c>
      <c r="E7093" s="5">
        <v>-28384</v>
      </c>
      <c r="F7093" s="3" t="s">
        <v>258</v>
      </c>
      <c r="G7093" s="3" t="s">
        <v>19</v>
      </c>
      <c r="H7093" s="2" t="s">
        <v>20</v>
      </c>
      <c r="I7093" s="2" t="s">
        <v>13878</v>
      </c>
      <c r="J7093" s="3" t="str">
        <f>HYPERLINK("https://www.boe.es/gazeta/dias/1822/04/14/pdfs/GMD-1822-106.pdf#page=5","Abrir facsímil")</f>
        <v>Abrir facsímil</v>
      </c>
      <c r="K7093" s="3" t="s">
        <v>22</v>
      </c>
    </row>
    <row r="7094" spans="1:11" ht="42" customHeight="1">
      <c r="A7094" s="2" t="s">
        <v>13879</v>
      </c>
      <c r="B7094" s="2" t="s">
        <v>13880</v>
      </c>
      <c r="C7094" s="2" t="s">
        <v>50</v>
      </c>
      <c r="D7094" s="2" t="s">
        <v>51</v>
      </c>
      <c r="E7094" s="5">
        <v>-28185</v>
      </c>
      <c r="F7094" s="3" t="s">
        <v>933</v>
      </c>
      <c r="G7094" s="3" t="s">
        <v>57</v>
      </c>
      <c r="H7094" s="2" t="s">
        <v>20</v>
      </c>
      <c r="I7094" s="2" t="s">
        <v>13881</v>
      </c>
      <c r="J7094" s="3" t="str">
        <f>HYPERLINK("https://www.boe.es/gazeta/dias/1822/10/30/pdfs/GMD-1822-317.pdf#page=4","Abrir facsímil")</f>
        <v>Abrir facsímil</v>
      </c>
      <c r="K7094" s="3" t="s">
        <v>22</v>
      </c>
    </row>
    <row r="7095" spans="1:11" ht="42" customHeight="1">
      <c r="A7095" s="2" t="s">
        <v>13882</v>
      </c>
      <c r="B7095" s="2" t="s">
        <v>13883</v>
      </c>
      <c r="C7095" s="2" t="s">
        <v>42</v>
      </c>
      <c r="D7095" s="2" t="s">
        <v>17</v>
      </c>
      <c r="E7095" s="5">
        <v>-28461</v>
      </c>
      <c r="F7095" s="3" t="s">
        <v>1801</v>
      </c>
      <c r="G7095" s="3" t="s">
        <v>35</v>
      </c>
      <c r="H7095" s="2" t="s">
        <v>20</v>
      </c>
      <c r="I7095" s="2" t="s">
        <v>13884</v>
      </c>
      <c r="J7095" s="3" t="str">
        <f>HYPERLINK("https://www.boe.es/gazeta/dias/1822/01/27/pdfs/GMD-1822-27.pdf#page=2","Abrir facsímil")</f>
        <v>Abrir facsímil</v>
      </c>
      <c r="K7095" s="3" t="s">
        <v>22</v>
      </c>
    </row>
    <row r="7096" spans="1:11" ht="42" customHeight="1">
      <c r="A7096" s="2" t="s">
        <v>13885</v>
      </c>
      <c r="B7096" s="2" t="s">
        <v>13886</v>
      </c>
      <c r="C7096" s="2" t="s">
        <v>50</v>
      </c>
      <c r="D7096" s="2" t="s">
        <v>51</v>
      </c>
      <c r="E7096" s="5">
        <v>-28382</v>
      </c>
      <c r="F7096" s="3" t="s">
        <v>973</v>
      </c>
      <c r="G7096" s="3" t="s">
        <v>44</v>
      </c>
      <c r="H7096" s="2" t="s">
        <v>20</v>
      </c>
      <c r="I7096" s="2" t="s">
        <v>13887</v>
      </c>
      <c r="J7096" s="3" t="str">
        <f>HYPERLINK("https://www.boe.es/gazeta/dias/1822/04/16/pdfs/GMD-1822-108.pdf#page=1","Abrir facsímil")</f>
        <v>Abrir facsímil</v>
      </c>
      <c r="K7096" s="3" t="s">
        <v>22</v>
      </c>
    </row>
    <row r="7097" spans="1:11" ht="42" customHeight="1">
      <c r="A7097" s="2" t="s">
        <v>13888</v>
      </c>
      <c r="B7097" s="2" t="s">
        <v>13889</v>
      </c>
      <c r="C7097" s="2" t="s">
        <v>50</v>
      </c>
      <c r="D7097" s="2" t="s">
        <v>51</v>
      </c>
      <c r="E7097" s="5">
        <v>-28264</v>
      </c>
      <c r="F7097" s="3" t="s">
        <v>1329</v>
      </c>
      <c r="G7097" s="3" t="s">
        <v>57</v>
      </c>
      <c r="H7097" s="2" t="s">
        <v>20</v>
      </c>
      <c r="I7097" s="2" t="s">
        <v>13890</v>
      </c>
      <c r="J7097" s="3" t="str">
        <f>HYPERLINK("https://www.boe.es/gazeta/dias/1822/08/12/pdfs/GMD-1822-236.pdf#page=4","Abrir facsímil")</f>
        <v>Abrir facsímil</v>
      </c>
      <c r="K7097" s="3" t="s">
        <v>22</v>
      </c>
    </row>
    <row r="7098" spans="1:11" ht="42" customHeight="1">
      <c r="A7098" s="2" t="s">
        <v>13891</v>
      </c>
      <c r="B7098" s="2" t="s">
        <v>13892</v>
      </c>
      <c r="C7098" s="2" t="s">
        <v>16</v>
      </c>
      <c r="D7098" s="2" t="s">
        <v>17</v>
      </c>
      <c r="E7098" s="5">
        <v>-28171</v>
      </c>
      <c r="F7098" s="3" t="s">
        <v>1075</v>
      </c>
      <c r="G7098" s="3" t="s">
        <v>57</v>
      </c>
      <c r="H7098" s="2" t="s">
        <v>20</v>
      </c>
      <c r="I7098" s="2" t="s">
        <v>13893</v>
      </c>
      <c r="J7098" s="3" t="str">
        <f>HYPERLINK("https://www.boe.es/gazeta/dias/1822/11/13/pdfs/GMD-1822-333.pdf#page=4","Abrir facsímil")</f>
        <v>Abrir facsímil</v>
      </c>
      <c r="K7098" s="3" t="s">
        <v>22</v>
      </c>
    </row>
    <row r="7099" spans="1:11" ht="42" customHeight="1">
      <c r="A7099" s="2" t="s">
        <v>13894</v>
      </c>
      <c r="B7099" s="2" t="s">
        <v>13895</v>
      </c>
      <c r="C7099" s="2" t="s">
        <v>50</v>
      </c>
      <c r="D7099" s="2" t="s">
        <v>51</v>
      </c>
      <c r="E7099" s="5">
        <v>-28395</v>
      </c>
      <c r="F7099" s="3" t="s">
        <v>237</v>
      </c>
      <c r="G7099" s="3" t="s">
        <v>57</v>
      </c>
      <c r="H7099" s="2" t="s">
        <v>20</v>
      </c>
      <c r="I7099" s="2" t="s">
        <v>13896</v>
      </c>
      <c r="J7099" s="3" t="str">
        <f>HYPERLINK("https://www.boe.es/gazeta/dias/1822/04/03/pdfs/GMD-1822-95.pdf#page=4","Abrir facsímil")</f>
        <v>Abrir facsímil</v>
      </c>
      <c r="K7099" s="3" t="s">
        <v>22</v>
      </c>
    </row>
    <row r="7100" spans="1:11" ht="42" customHeight="1">
      <c r="A7100" s="2" t="s">
        <v>13894</v>
      </c>
      <c r="B7100" s="2" t="s">
        <v>13895</v>
      </c>
      <c r="C7100" s="2" t="s">
        <v>50</v>
      </c>
      <c r="D7100" s="2" t="s">
        <v>51</v>
      </c>
      <c r="E7100" s="5">
        <v>-28370</v>
      </c>
      <c r="F7100" s="3" t="s">
        <v>207</v>
      </c>
      <c r="G7100" s="3" t="s">
        <v>63</v>
      </c>
      <c r="H7100" s="2" t="s">
        <v>20</v>
      </c>
      <c r="I7100" s="2" t="s">
        <v>13897</v>
      </c>
      <c r="J7100" s="3" t="str">
        <f>HYPERLINK("https://www.boe.es/gazeta/dias/1822/04/28/pdfs/GMD-1822-120.pdf#page=6","Abrir facsímil")</f>
        <v>Abrir facsímil</v>
      </c>
      <c r="K7100" s="3" t="s">
        <v>22</v>
      </c>
    </row>
    <row r="7101" spans="1:11" ht="42" customHeight="1">
      <c r="A7101" s="2" t="s">
        <v>13894</v>
      </c>
      <c r="B7101" s="2" t="s">
        <v>13895</v>
      </c>
      <c r="C7101" s="2" t="s">
        <v>24</v>
      </c>
      <c r="D7101" s="2" t="s">
        <v>17</v>
      </c>
      <c r="E7101" s="5">
        <v>-28330</v>
      </c>
      <c r="F7101" s="3" t="s">
        <v>896</v>
      </c>
      <c r="G7101" s="3" t="s">
        <v>57</v>
      </c>
      <c r="H7101" s="2" t="s">
        <v>20</v>
      </c>
      <c r="I7101" s="2" t="s">
        <v>13898</v>
      </c>
      <c r="J7101" s="3" t="str">
        <f>HYPERLINK("https://www.boe.es/gazeta/dias/1822/06/07/pdfs/GMD-1822-164.pdf#page=4","Abrir facsímil")</f>
        <v>Abrir facsímil</v>
      </c>
      <c r="K7101" s="3" t="s">
        <v>22</v>
      </c>
    </row>
    <row r="7102" spans="1:11" ht="42" customHeight="1">
      <c r="A7102" s="2" t="s">
        <v>13894</v>
      </c>
      <c r="B7102" s="2" t="s">
        <v>13895</v>
      </c>
      <c r="C7102" s="2" t="s">
        <v>42</v>
      </c>
      <c r="D7102" s="2" t="s">
        <v>17</v>
      </c>
      <c r="E7102" s="5">
        <v>-28326</v>
      </c>
      <c r="F7102" s="3" t="s">
        <v>543</v>
      </c>
      <c r="G7102" s="3" t="s">
        <v>63</v>
      </c>
      <c r="H7102" s="2" t="s">
        <v>20</v>
      </c>
      <c r="I7102" s="2" t="s">
        <v>13899</v>
      </c>
      <c r="J7102" s="3" t="str">
        <f>HYPERLINK("https://www.boe.es/gazeta/dias/1822/06/11/pdfs/GMD-1822-168.pdf#page=6","Abrir facsímil")</f>
        <v>Abrir facsímil</v>
      </c>
      <c r="K7102" s="3" t="s">
        <v>22</v>
      </c>
    </row>
    <row r="7103" spans="1:11" ht="42" customHeight="1">
      <c r="A7103" s="2" t="s">
        <v>13900</v>
      </c>
      <c r="B7103" s="2" t="s">
        <v>13900</v>
      </c>
      <c r="C7103" s="2" t="s">
        <v>28</v>
      </c>
      <c r="D7103" s="2" t="s">
        <v>29</v>
      </c>
      <c r="E7103" s="5">
        <v>-28132</v>
      </c>
      <c r="F7103" s="3" t="s">
        <v>820</v>
      </c>
      <c r="G7103" s="3" t="s">
        <v>35</v>
      </c>
      <c r="H7103" s="2" t="s">
        <v>20</v>
      </c>
      <c r="I7103" s="2" t="s">
        <v>13901</v>
      </c>
      <c r="J7103" s="3" t="str">
        <f>HYPERLINK("https://www.boe.es/gazeta/dias/1822/12/22/pdfs/GMD-1822-372.pdf#page=2","Abrir facsímil")</f>
        <v>Abrir facsímil</v>
      </c>
      <c r="K7103" s="3" t="s">
        <v>22</v>
      </c>
    </row>
    <row r="7104" spans="1:11" ht="42" customHeight="1">
      <c r="A7104" s="2" t="s">
        <v>13902</v>
      </c>
      <c r="B7104" s="2" t="s">
        <v>13902</v>
      </c>
      <c r="C7104" s="2" t="s">
        <v>28</v>
      </c>
      <c r="D7104" s="2" t="s">
        <v>29</v>
      </c>
      <c r="E7104" s="5">
        <v>-28366</v>
      </c>
      <c r="F7104" s="3" t="s">
        <v>120</v>
      </c>
      <c r="G7104" s="3" t="s">
        <v>35</v>
      </c>
      <c r="H7104" s="2" t="s">
        <v>20</v>
      </c>
      <c r="I7104" s="2" t="s">
        <v>13903</v>
      </c>
      <c r="J7104" s="3" t="str">
        <f>HYPERLINK("https://www.boe.es/gazeta/dias/1822/05/02/pdfs/GMD-1822-124.pdf#page=2","Abrir facsímil")</f>
        <v>Abrir facsímil</v>
      </c>
      <c r="K7104" s="3" t="s">
        <v>22</v>
      </c>
    </row>
    <row r="7105" spans="1:11" ht="42" customHeight="1">
      <c r="A7105" s="2" t="s">
        <v>13904</v>
      </c>
      <c r="B7105" s="2" t="s">
        <v>13905</v>
      </c>
      <c r="C7105" s="2" t="s">
        <v>71</v>
      </c>
      <c r="D7105" s="2" t="s">
        <v>17</v>
      </c>
      <c r="E7105" s="5">
        <v>-28473</v>
      </c>
      <c r="F7105" s="3" t="s">
        <v>2337</v>
      </c>
      <c r="G7105" s="3" t="s">
        <v>19</v>
      </c>
      <c r="H7105" s="2" t="s">
        <v>20</v>
      </c>
      <c r="I7105" s="2" t="s">
        <v>13906</v>
      </c>
      <c r="J7105" s="3" t="str">
        <f>HYPERLINK("https://www.boe.es/gazeta/dias/1822/01/15/pdfs/GMD-1822-15.pdf#page=5","Abrir facsímil")</f>
        <v>Abrir facsímil</v>
      </c>
      <c r="K7105" s="3" t="s">
        <v>22</v>
      </c>
    </row>
    <row r="7106" spans="1:11" ht="42" customHeight="1">
      <c r="A7106" s="2" t="s">
        <v>13907</v>
      </c>
      <c r="B7106" s="2" t="s">
        <v>13908</v>
      </c>
      <c r="C7106" s="2" t="s">
        <v>71</v>
      </c>
      <c r="D7106" s="2" t="s">
        <v>17</v>
      </c>
      <c r="E7106" s="5">
        <v>-28337</v>
      </c>
      <c r="F7106" s="3" t="s">
        <v>1836</v>
      </c>
      <c r="G7106" s="3" t="s">
        <v>31</v>
      </c>
      <c r="H7106" s="2" t="s">
        <v>45</v>
      </c>
      <c r="I7106" s="2" t="s">
        <v>13909</v>
      </c>
      <c r="J7106" s="3" t="str">
        <f>HYPERLINK("https://www.boe.es/gazeta/dias/1822/05/31/pdfs/GMD-1822-156.pdf#page=3","Abrir facsímil")</f>
        <v>Abrir facsímil</v>
      </c>
      <c r="K7106" s="3" t="s">
        <v>47</v>
      </c>
    </row>
    <row r="7107" spans="1:11" ht="42" customHeight="1">
      <c r="A7107" s="2" t="s">
        <v>13910</v>
      </c>
      <c r="B7107" s="2" t="s">
        <v>13911</v>
      </c>
      <c r="C7107" s="2" t="s">
        <v>50</v>
      </c>
      <c r="D7107" s="2" t="s">
        <v>51</v>
      </c>
      <c r="E7107" s="5">
        <v>-28270</v>
      </c>
      <c r="F7107" s="3" t="s">
        <v>130</v>
      </c>
      <c r="G7107" s="3" t="s">
        <v>44</v>
      </c>
      <c r="H7107" s="2" t="s">
        <v>45</v>
      </c>
      <c r="I7107" s="2" t="s">
        <v>13912</v>
      </c>
      <c r="J7107" s="3" t="str">
        <f>HYPERLINK("https://www.boe.es/gazeta/dias/1822/08/06/pdfs/GMD-1822-230.pdf#page=1","Abrir facsímil")</f>
        <v>Abrir facsímil</v>
      </c>
      <c r="K7107" s="3" t="s">
        <v>47</v>
      </c>
    </row>
    <row r="7108" spans="1:11" ht="42" customHeight="1">
      <c r="A7108" s="2" t="s">
        <v>13913</v>
      </c>
      <c r="B7108" s="2" t="s">
        <v>13914</v>
      </c>
      <c r="C7108" s="2" t="s">
        <v>50</v>
      </c>
      <c r="D7108" s="2" t="s">
        <v>51</v>
      </c>
      <c r="E7108" s="5">
        <v>-28294</v>
      </c>
      <c r="F7108" s="3" t="s">
        <v>2298</v>
      </c>
      <c r="G7108" s="3" t="s">
        <v>35</v>
      </c>
      <c r="H7108" s="2" t="s">
        <v>45</v>
      </c>
      <c r="I7108" s="2" t="s">
        <v>13915</v>
      </c>
      <c r="J7108" s="3" t="str">
        <f>HYPERLINK("https://www.boe.es/gazeta/dias/1822/07/13/pdfs/GMD-1822-203.pdf#page=2","Abrir facsímil")</f>
        <v>Abrir facsímil</v>
      </c>
      <c r="K7108" s="3" t="s">
        <v>47</v>
      </c>
    </row>
    <row r="7109" spans="1:11" ht="42" customHeight="1">
      <c r="A7109" s="2" t="s">
        <v>13916</v>
      </c>
      <c r="B7109" s="2" t="s">
        <v>13917</v>
      </c>
      <c r="C7109" s="2" t="s">
        <v>24</v>
      </c>
      <c r="D7109" s="2" t="s">
        <v>17</v>
      </c>
      <c r="E7109" s="5">
        <v>-28313</v>
      </c>
      <c r="F7109" s="3" t="s">
        <v>315</v>
      </c>
      <c r="G7109" s="3" t="s">
        <v>157</v>
      </c>
      <c r="H7109" s="2" t="s">
        <v>45</v>
      </c>
      <c r="I7109" s="2" t="s">
        <v>13918</v>
      </c>
      <c r="J7109" s="3" t="str">
        <f>HYPERLINK("https://www.boe.es/gazeta/dias/1822/06/24/pdfs/GMD-1822-182.pdf#page=8","Abrir facsímil")</f>
        <v>Abrir facsímil</v>
      </c>
      <c r="K7109" s="3" t="s">
        <v>47</v>
      </c>
    </row>
    <row r="7110" spans="1:11" ht="42" customHeight="1">
      <c r="A7110" s="2" t="s">
        <v>13919</v>
      </c>
      <c r="B7110" s="2" t="s">
        <v>13920</v>
      </c>
      <c r="C7110" s="2" t="s">
        <v>50</v>
      </c>
      <c r="D7110" s="2" t="s">
        <v>51</v>
      </c>
      <c r="E7110" s="5">
        <v>-28416</v>
      </c>
      <c r="F7110" s="3" t="s">
        <v>97</v>
      </c>
      <c r="G7110" s="3" t="s">
        <v>63</v>
      </c>
      <c r="H7110" s="2" t="s">
        <v>45</v>
      </c>
      <c r="I7110" s="2" t="s">
        <v>13921</v>
      </c>
      <c r="J7110" s="3" t="str">
        <f>HYPERLINK("https://www.boe.es/gazeta/dias/1822/03/13/pdfs/GMD-1822-74.pdf#page=6","Abrir facsímil")</f>
        <v>Abrir facsímil</v>
      </c>
      <c r="K7110" s="3" t="s">
        <v>47</v>
      </c>
    </row>
    <row r="7111" spans="1:11" ht="42" customHeight="1">
      <c r="A7111" s="2" t="s">
        <v>13922</v>
      </c>
      <c r="B7111" s="2" t="s">
        <v>13923</v>
      </c>
      <c r="C7111" s="2" t="s">
        <v>50</v>
      </c>
      <c r="D7111" s="2" t="s">
        <v>51</v>
      </c>
      <c r="E7111" s="5">
        <v>-28473</v>
      </c>
      <c r="F7111" s="3" t="s">
        <v>2337</v>
      </c>
      <c r="G7111" s="3" t="s">
        <v>19</v>
      </c>
      <c r="H7111" s="2" t="s">
        <v>20</v>
      </c>
      <c r="I7111" s="2" t="s">
        <v>13924</v>
      </c>
      <c r="J7111" s="3" t="str">
        <f>HYPERLINK("https://www.boe.es/gazeta/dias/1822/01/15/pdfs/GMD-1822-15.pdf#page=5","Abrir facsímil")</f>
        <v>Abrir facsímil</v>
      </c>
      <c r="K7111" s="3" t="s">
        <v>22</v>
      </c>
    </row>
    <row r="7112" spans="1:11" ht="42" customHeight="1">
      <c r="A7112" s="2" t="s">
        <v>13925</v>
      </c>
      <c r="B7112" s="2" t="s">
        <v>13925</v>
      </c>
      <c r="C7112" s="2" t="s">
        <v>50</v>
      </c>
      <c r="D7112" s="2" t="s">
        <v>51</v>
      </c>
      <c r="E7112" s="5">
        <v>-28162</v>
      </c>
      <c r="F7112" s="3" t="s">
        <v>3949</v>
      </c>
      <c r="G7112" s="3" t="s">
        <v>57</v>
      </c>
      <c r="H7112" s="2" t="s">
        <v>20</v>
      </c>
      <c r="I7112" s="2" t="s">
        <v>13926</v>
      </c>
      <c r="J7112" s="3" t="str">
        <f>HYPERLINK("https://www.boe.es/gazeta/dias/1822/11/22/pdfs/GMD-1822-342.pdf#page=4","Abrir facsímil")</f>
        <v>Abrir facsímil</v>
      </c>
      <c r="K7112" s="3" t="s">
        <v>22</v>
      </c>
    </row>
    <row r="7113" spans="1:11" ht="42" customHeight="1">
      <c r="A7113" s="2" t="s">
        <v>13925</v>
      </c>
      <c r="B7113" s="2" t="s">
        <v>13925</v>
      </c>
      <c r="C7113" s="2" t="s">
        <v>50</v>
      </c>
      <c r="D7113" s="2" t="s">
        <v>51</v>
      </c>
      <c r="E7113" s="5">
        <v>-28124</v>
      </c>
      <c r="F7113" s="3" t="s">
        <v>301</v>
      </c>
      <c r="G7113" s="3" t="s">
        <v>44</v>
      </c>
      <c r="H7113" s="2" t="s">
        <v>20</v>
      </c>
      <c r="I7113" s="2" t="s">
        <v>13927</v>
      </c>
      <c r="J7113" s="3" t="str">
        <f>HYPERLINK("https://www.boe.es/gazeta/dias/1822/12/30/pdfs/GMD-1822-380.pdf#page=1","Abrir facsímil")</f>
        <v>Abrir facsímil</v>
      </c>
      <c r="K7113" s="3" t="s">
        <v>22</v>
      </c>
    </row>
    <row r="7114" spans="1:11" ht="42" customHeight="1">
      <c r="A7114" s="2" t="s">
        <v>13928</v>
      </c>
      <c r="B7114" s="2" t="s">
        <v>13928</v>
      </c>
      <c r="C7114" s="2" t="s">
        <v>50</v>
      </c>
      <c r="D7114" s="2" t="s">
        <v>51</v>
      </c>
      <c r="E7114" s="5">
        <v>-28288</v>
      </c>
      <c r="F7114" s="3" t="s">
        <v>970</v>
      </c>
      <c r="G7114" s="3" t="s">
        <v>31</v>
      </c>
      <c r="H7114" s="2" t="s">
        <v>20</v>
      </c>
      <c r="I7114" s="2" t="s">
        <v>13929</v>
      </c>
      <c r="J7114" s="3" t="str">
        <f>HYPERLINK("https://www.boe.es/gazeta/dias/1822/07/19/pdfs/GMD-1822-211.pdf#page=3","Abrir facsímil")</f>
        <v>Abrir facsímil</v>
      </c>
      <c r="K7114" s="3" t="s">
        <v>22</v>
      </c>
    </row>
    <row r="7115" spans="1:11" ht="42" customHeight="1">
      <c r="A7115" s="2" t="s">
        <v>13928</v>
      </c>
      <c r="B7115" s="2" t="s">
        <v>13928</v>
      </c>
      <c r="C7115" s="2" t="s">
        <v>50</v>
      </c>
      <c r="D7115" s="2" t="s">
        <v>51</v>
      </c>
      <c r="E7115" s="5">
        <v>-28217</v>
      </c>
      <c r="F7115" s="3" t="s">
        <v>1892</v>
      </c>
      <c r="G7115" s="3" t="s">
        <v>31</v>
      </c>
      <c r="H7115" s="2" t="s">
        <v>20</v>
      </c>
      <c r="I7115" s="2" t="s">
        <v>13930</v>
      </c>
      <c r="J7115" s="3" t="str">
        <f>HYPERLINK("https://www.boe.es/gazeta/dias/1822/09/28/pdfs/GMD-1822-284.pdf#page=3","Abrir facsímil")</f>
        <v>Abrir facsímil</v>
      </c>
      <c r="K7115" s="3" t="s">
        <v>22</v>
      </c>
    </row>
    <row r="7116" spans="1:11" ht="42" customHeight="1">
      <c r="A7116" s="2" t="s">
        <v>13931</v>
      </c>
      <c r="B7116" s="2" t="s">
        <v>13932</v>
      </c>
      <c r="C7116" s="2" t="s">
        <v>50</v>
      </c>
      <c r="D7116" s="2" t="s">
        <v>51</v>
      </c>
      <c r="E7116" s="5">
        <v>-28341</v>
      </c>
      <c r="F7116" s="3" t="s">
        <v>284</v>
      </c>
      <c r="G7116" s="3" t="s">
        <v>44</v>
      </c>
      <c r="H7116" s="2" t="s">
        <v>20</v>
      </c>
      <c r="I7116" s="2" t="s">
        <v>13933</v>
      </c>
      <c r="J7116" s="3" t="str">
        <f>HYPERLINK("https://www.boe.es/gazeta/dias/1822/05/27/pdfs/GMD-1822-152.pdf#page=1","Abrir facsímil")</f>
        <v>Abrir facsímil</v>
      </c>
      <c r="K7116" s="3" t="s">
        <v>22</v>
      </c>
    </row>
    <row r="7117" spans="1:11" ht="42" customHeight="1">
      <c r="A7117" s="2" t="s">
        <v>13934</v>
      </c>
      <c r="B7117" s="2" t="s">
        <v>13934</v>
      </c>
      <c r="C7117" s="2" t="s">
        <v>42</v>
      </c>
      <c r="D7117" s="2" t="s">
        <v>17</v>
      </c>
      <c r="E7117" s="5">
        <v>-28189</v>
      </c>
      <c r="F7117" s="3" t="s">
        <v>645</v>
      </c>
      <c r="G7117" s="3" t="s">
        <v>19</v>
      </c>
      <c r="H7117" s="2" t="s">
        <v>20</v>
      </c>
      <c r="I7117" s="2" t="s">
        <v>13935</v>
      </c>
      <c r="J7117" s="3" t="str">
        <f>HYPERLINK("https://www.boe.es/gazeta/dias/1822/10/26/pdfs/GMD-1822-313.pdf#page=5","Abrir facsímil")</f>
        <v>Abrir facsímil</v>
      </c>
      <c r="K7117" s="3" t="s">
        <v>22</v>
      </c>
    </row>
    <row r="7118" spans="1:11" ht="42" customHeight="1">
      <c r="A7118" s="2" t="s">
        <v>13936</v>
      </c>
      <c r="B7118" s="2" t="s">
        <v>13936</v>
      </c>
      <c r="C7118" s="2" t="s">
        <v>24</v>
      </c>
      <c r="D7118" s="2" t="s">
        <v>17</v>
      </c>
      <c r="E7118" s="5">
        <v>-28468</v>
      </c>
      <c r="F7118" s="3" t="s">
        <v>1012</v>
      </c>
      <c r="G7118" s="3" t="s">
        <v>35</v>
      </c>
      <c r="H7118" s="2" t="s">
        <v>20</v>
      </c>
      <c r="I7118" s="2" t="s">
        <v>13937</v>
      </c>
      <c r="J7118" s="3" t="str">
        <f>HYPERLINK("https://www.boe.es/gazeta/dias/1822/01/20/pdfs/GMD-1822-20.pdf#page=2","Abrir facsímil")</f>
        <v>Abrir facsímil</v>
      </c>
      <c r="K7118" s="3" t="s">
        <v>22</v>
      </c>
    </row>
    <row r="7119" spans="1:11" ht="42" customHeight="1">
      <c r="A7119" s="2" t="s">
        <v>13938</v>
      </c>
      <c r="B7119" s="2" t="s">
        <v>13939</v>
      </c>
      <c r="C7119" s="2" t="s">
        <v>28</v>
      </c>
      <c r="D7119" s="2" t="s">
        <v>29</v>
      </c>
      <c r="E7119" s="5">
        <v>-28386</v>
      </c>
      <c r="F7119" s="3" t="s">
        <v>2993</v>
      </c>
      <c r="G7119" s="3" t="s">
        <v>35</v>
      </c>
      <c r="H7119" s="2" t="s">
        <v>20</v>
      </c>
      <c r="I7119" s="2" t="s">
        <v>13940</v>
      </c>
      <c r="J7119" s="3" t="str">
        <f>HYPERLINK("https://www.boe.es/gazeta/dias/1822/04/12/pdfs/GMD-1822-104.pdf#page=2","Abrir facsímil")</f>
        <v>Abrir facsímil</v>
      </c>
      <c r="K7119" s="3" t="s">
        <v>22</v>
      </c>
    </row>
    <row r="7120" spans="1:11" ht="42" customHeight="1">
      <c r="A7120" s="2" t="s">
        <v>13941</v>
      </c>
      <c r="B7120" s="2" t="s">
        <v>13941</v>
      </c>
      <c r="C7120" s="2" t="s">
        <v>50</v>
      </c>
      <c r="D7120" s="2" t="s">
        <v>51</v>
      </c>
      <c r="E7120" s="5">
        <v>-28213</v>
      </c>
      <c r="F7120" s="3" t="s">
        <v>558</v>
      </c>
      <c r="G7120" s="3" t="s">
        <v>57</v>
      </c>
      <c r="H7120" s="2" t="s">
        <v>20</v>
      </c>
      <c r="I7120" s="2" t="s">
        <v>13942</v>
      </c>
      <c r="J7120" s="3" t="str">
        <f>HYPERLINK("https://www.boe.es/gazeta/dias/1822/10/02/pdfs/GMD-1822-288.pdf#page=4","Abrir facsímil")</f>
        <v>Abrir facsímil</v>
      </c>
      <c r="K7120" s="3" t="s">
        <v>22</v>
      </c>
    </row>
    <row r="7121" spans="1:11" ht="42" customHeight="1">
      <c r="A7121" s="2" t="s">
        <v>13943</v>
      </c>
      <c r="B7121" s="2" t="s">
        <v>13943</v>
      </c>
      <c r="C7121" s="2" t="s">
        <v>42</v>
      </c>
      <c r="D7121" s="2" t="s">
        <v>17</v>
      </c>
      <c r="E7121" s="5">
        <v>-28258</v>
      </c>
      <c r="F7121" s="3" t="s">
        <v>88</v>
      </c>
      <c r="G7121" s="3" t="s">
        <v>31</v>
      </c>
      <c r="H7121" s="2" t="s">
        <v>20</v>
      </c>
      <c r="I7121" s="2" t="s">
        <v>13944</v>
      </c>
      <c r="J7121" s="3" t="str">
        <f>HYPERLINK("https://www.boe.es/gazeta/dias/1822/08/18/pdfs/GMD-1822-242.pdf#page=3","Abrir facsímil")</f>
        <v>Abrir facsímil</v>
      </c>
      <c r="K7121" s="3" t="s">
        <v>22</v>
      </c>
    </row>
    <row r="7122" spans="1:11" ht="42" customHeight="1">
      <c r="A7122" s="2" t="s">
        <v>13943</v>
      </c>
      <c r="B7122" s="2" t="s">
        <v>13943</v>
      </c>
      <c r="C7122" s="2" t="s">
        <v>42</v>
      </c>
      <c r="D7122" s="2" t="s">
        <v>17</v>
      </c>
      <c r="E7122" s="5">
        <v>-28141</v>
      </c>
      <c r="F7122" s="3" t="s">
        <v>265</v>
      </c>
      <c r="G7122" s="3" t="s">
        <v>44</v>
      </c>
      <c r="H7122" s="2" t="s">
        <v>20</v>
      </c>
      <c r="I7122" s="2" t="s">
        <v>13945</v>
      </c>
      <c r="J7122" s="3" t="str">
        <f>HYPERLINK("https://www.boe.es/gazeta/dias/1822/12/13/pdfs/GMD-1822-363.pdf#page=1","Abrir facsímil")</f>
        <v>Abrir facsímil</v>
      </c>
      <c r="K7122" s="3" t="s">
        <v>22</v>
      </c>
    </row>
    <row r="7123" spans="1:11" ht="42" customHeight="1">
      <c r="A7123" s="2" t="s">
        <v>13946</v>
      </c>
      <c r="B7123" s="2" t="s">
        <v>13946</v>
      </c>
      <c r="C7123" s="2" t="s">
        <v>50</v>
      </c>
      <c r="D7123" s="2" t="s">
        <v>51</v>
      </c>
      <c r="E7123" s="5">
        <v>-28269</v>
      </c>
      <c r="F7123" s="3" t="s">
        <v>5517</v>
      </c>
      <c r="G7123" s="3" t="s">
        <v>57</v>
      </c>
      <c r="H7123" s="2" t="s">
        <v>20</v>
      </c>
      <c r="I7123" s="2" t="s">
        <v>13947</v>
      </c>
      <c r="J7123" s="3" t="str">
        <f>HYPERLINK("https://www.boe.es/gazeta/dias/1822/08/07/pdfs/GMD-1822-231.pdf#page=4","Abrir facsímil")</f>
        <v>Abrir facsímil</v>
      </c>
      <c r="K7123" s="3" t="s">
        <v>22</v>
      </c>
    </row>
    <row r="7124" spans="1:11" ht="42" customHeight="1">
      <c r="A7124" s="2" t="s">
        <v>13948</v>
      </c>
      <c r="B7124" s="2" t="s">
        <v>13948</v>
      </c>
      <c r="C7124" s="2" t="s">
        <v>50</v>
      </c>
      <c r="D7124" s="2" t="s">
        <v>51</v>
      </c>
      <c r="E7124" s="5">
        <v>-28473</v>
      </c>
      <c r="F7124" s="3" t="s">
        <v>2337</v>
      </c>
      <c r="G7124" s="3" t="s">
        <v>57</v>
      </c>
      <c r="H7124" s="2" t="s">
        <v>20</v>
      </c>
      <c r="I7124" s="2" t="s">
        <v>13949</v>
      </c>
      <c r="J7124" s="3" t="str">
        <f>HYPERLINK("https://www.boe.es/gazeta/dias/1822/01/15/pdfs/GMD-1822-15.pdf#page=4","Abrir facsímil")</f>
        <v>Abrir facsímil</v>
      </c>
      <c r="K7124" s="3" t="s">
        <v>22</v>
      </c>
    </row>
    <row r="7125" spans="1:11" ht="42" customHeight="1">
      <c r="A7125" s="2" t="s">
        <v>13948</v>
      </c>
      <c r="B7125" s="2" t="s">
        <v>13948</v>
      </c>
      <c r="C7125" s="2" t="s">
        <v>28</v>
      </c>
      <c r="D7125" s="2" t="s">
        <v>29</v>
      </c>
      <c r="E7125" s="5">
        <v>-28470</v>
      </c>
      <c r="F7125" s="3" t="s">
        <v>1444</v>
      </c>
      <c r="G7125" s="3" t="s">
        <v>35</v>
      </c>
      <c r="H7125" s="2" t="s">
        <v>20</v>
      </c>
      <c r="I7125" s="2" t="s">
        <v>13950</v>
      </c>
      <c r="J7125" s="3" t="str">
        <f>HYPERLINK("https://www.boe.es/gazeta/dias/1822/01/18/pdfs/GMD-1822-18.pdf#page=2","Abrir facsímil")</f>
        <v>Abrir facsímil</v>
      </c>
      <c r="K7125" s="3" t="s">
        <v>22</v>
      </c>
    </row>
    <row r="7126" spans="1:11" ht="42" customHeight="1">
      <c r="A7126" s="2" t="s">
        <v>13951</v>
      </c>
      <c r="B7126" s="2" t="s">
        <v>13951</v>
      </c>
      <c r="C7126" s="2" t="s">
        <v>50</v>
      </c>
      <c r="D7126" s="2" t="s">
        <v>51</v>
      </c>
      <c r="E7126" s="5">
        <v>-28471</v>
      </c>
      <c r="F7126" s="3" t="s">
        <v>1436</v>
      </c>
      <c r="G7126" s="3" t="s">
        <v>44</v>
      </c>
      <c r="H7126" s="2" t="s">
        <v>20</v>
      </c>
      <c r="I7126" s="2" t="s">
        <v>13952</v>
      </c>
      <c r="J7126" s="3" t="str">
        <f>HYPERLINK("https://www.boe.es/gazeta/dias/1822/01/17/pdfs/GMD-1822-17.pdf#page=1","Abrir facsímil")</f>
        <v>Abrir facsímil</v>
      </c>
      <c r="K7126" s="3" t="s">
        <v>22</v>
      </c>
    </row>
    <row r="7127" spans="1:11" ht="42" customHeight="1">
      <c r="A7127" s="2" t="s">
        <v>13953</v>
      </c>
      <c r="B7127" s="2" t="s">
        <v>13953</v>
      </c>
      <c r="C7127" s="2" t="s">
        <v>42</v>
      </c>
      <c r="D7127" s="2" t="s">
        <v>17</v>
      </c>
      <c r="E7127" s="5">
        <v>-28258</v>
      </c>
      <c r="F7127" s="3" t="s">
        <v>88</v>
      </c>
      <c r="G7127" s="3" t="s">
        <v>35</v>
      </c>
      <c r="H7127" s="2" t="s">
        <v>20</v>
      </c>
      <c r="I7127" s="2" t="s">
        <v>13954</v>
      </c>
      <c r="J7127" s="3" t="str">
        <f>HYPERLINK("https://www.boe.es/gazeta/dias/1822/08/18/pdfs/GMD-1822-242.pdf#page=2","Abrir facsímil")</f>
        <v>Abrir facsímil</v>
      </c>
      <c r="K7127" s="3" t="s">
        <v>22</v>
      </c>
    </row>
    <row r="7128" spans="1:11" ht="42" customHeight="1">
      <c r="A7128" s="2" t="s">
        <v>13955</v>
      </c>
      <c r="B7128" s="2" t="s">
        <v>13955</v>
      </c>
      <c r="C7128" s="2" t="s">
        <v>50</v>
      </c>
      <c r="D7128" s="2" t="s">
        <v>51</v>
      </c>
      <c r="E7128" s="5">
        <v>-28217</v>
      </c>
      <c r="F7128" s="3" t="s">
        <v>1892</v>
      </c>
      <c r="G7128" s="3" t="s">
        <v>31</v>
      </c>
      <c r="H7128" s="2" t="s">
        <v>20</v>
      </c>
      <c r="I7128" s="2" t="s">
        <v>13956</v>
      </c>
      <c r="J7128" s="3" t="str">
        <f>HYPERLINK("https://www.boe.es/gazeta/dias/1822/09/28/pdfs/GMD-1822-284.pdf#page=3","Abrir facsímil")</f>
        <v>Abrir facsímil</v>
      </c>
      <c r="K7128" s="3" t="s">
        <v>22</v>
      </c>
    </row>
    <row r="7129" spans="1:11" ht="42" customHeight="1">
      <c r="A7129" s="2" t="s">
        <v>13957</v>
      </c>
      <c r="B7129" s="2" t="s">
        <v>13958</v>
      </c>
      <c r="C7129" s="2" t="s">
        <v>28</v>
      </c>
      <c r="D7129" s="2" t="s">
        <v>29</v>
      </c>
      <c r="E7129" s="5">
        <v>-28246</v>
      </c>
      <c r="F7129" s="3" t="s">
        <v>3246</v>
      </c>
      <c r="G7129" s="3" t="s">
        <v>57</v>
      </c>
      <c r="H7129" s="2" t="s">
        <v>20</v>
      </c>
      <c r="I7129" s="2" t="s">
        <v>13959</v>
      </c>
      <c r="J7129" s="3" t="str">
        <f>HYPERLINK("https://www.boe.es/gazeta/dias/1822/08/30/pdfs/GMD-1822-254.pdf#page=4","Abrir facsímil")</f>
        <v>Abrir facsímil</v>
      </c>
      <c r="K7129" s="3" t="s">
        <v>22</v>
      </c>
    </row>
    <row r="7130" spans="1:11" ht="42" customHeight="1">
      <c r="A7130" s="2" t="s">
        <v>13960</v>
      </c>
      <c r="B7130" s="2" t="s">
        <v>13960</v>
      </c>
      <c r="C7130" s="2" t="s">
        <v>28</v>
      </c>
      <c r="D7130" s="2" t="s">
        <v>29</v>
      </c>
      <c r="E7130" s="5">
        <v>-28199</v>
      </c>
      <c r="F7130" s="3" t="s">
        <v>656</v>
      </c>
      <c r="G7130" s="3" t="s">
        <v>35</v>
      </c>
      <c r="H7130" s="2" t="s">
        <v>20</v>
      </c>
      <c r="I7130" s="2" t="s">
        <v>13961</v>
      </c>
      <c r="J7130" s="3" t="str">
        <f>HYPERLINK("https://www.boe.es/gazeta/dias/1822/10/16/pdfs/GMD-1822-303.pdf#page=2","Abrir facsímil")</f>
        <v>Abrir facsímil</v>
      </c>
      <c r="K7130" s="3" t="s">
        <v>22</v>
      </c>
    </row>
    <row r="7131" spans="1:11" ht="42" customHeight="1">
      <c r="A7131" s="2" t="s">
        <v>13962</v>
      </c>
      <c r="B7131" s="2" t="s">
        <v>13963</v>
      </c>
      <c r="C7131" s="2" t="s">
        <v>28</v>
      </c>
      <c r="D7131" s="2" t="s">
        <v>29</v>
      </c>
      <c r="E7131" s="5">
        <v>-28280</v>
      </c>
      <c r="F7131" s="3" t="s">
        <v>56</v>
      </c>
      <c r="G7131" s="3" t="s">
        <v>57</v>
      </c>
      <c r="H7131" s="2" t="s">
        <v>20</v>
      </c>
      <c r="I7131" s="2" t="s">
        <v>13964</v>
      </c>
      <c r="J7131" s="3" t="str">
        <f>HYPERLINK("https://www.boe.es/gazeta/dias/1822/07/27/pdfs/GMD-1822-220.pdf#page=4","Abrir facsímil")</f>
        <v>Abrir facsímil</v>
      </c>
      <c r="K7131" s="3" t="s">
        <v>22</v>
      </c>
    </row>
    <row r="7132" spans="1:11" ht="42" customHeight="1">
      <c r="A7132" s="2" t="s">
        <v>13965</v>
      </c>
      <c r="B7132" s="2" t="s">
        <v>13965</v>
      </c>
      <c r="C7132" s="2" t="s">
        <v>28</v>
      </c>
      <c r="D7132" s="2" t="s">
        <v>29</v>
      </c>
      <c r="E7132" s="5">
        <v>-28358</v>
      </c>
      <c r="F7132" s="3" t="s">
        <v>211</v>
      </c>
      <c r="G7132" s="3" t="s">
        <v>35</v>
      </c>
      <c r="H7132" s="2" t="s">
        <v>20</v>
      </c>
      <c r="I7132" s="2" t="s">
        <v>13966</v>
      </c>
      <c r="J7132" s="3" t="str">
        <f>HYPERLINK("https://www.boe.es/gazeta/dias/1822/05/10/pdfs/GMD-1822-132.pdf#page=2","Abrir facsímil")</f>
        <v>Abrir facsímil</v>
      </c>
      <c r="K7132" s="3" t="s">
        <v>22</v>
      </c>
    </row>
    <row r="7133" spans="1:11" ht="42" customHeight="1">
      <c r="A7133" s="2" t="s">
        <v>13965</v>
      </c>
      <c r="B7133" s="2" t="s">
        <v>13965</v>
      </c>
      <c r="C7133" s="2" t="s">
        <v>50</v>
      </c>
      <c r="D7133" s="2" t="s">
        <v>51</v>
      </c>
      <c r="E7133" s="5">
        <v>-28334</v>
      </c>
      <c r="F7133" s="3" t="s">
        <v>532</v>
      </c>
      <c r="G7133" s="3" t="s">
        <v>57</v>
      </c>
      <c r="H7133" s="2" t="s">
        <v>20</v>
      </c>
      <c r="I7133" s="2" t="s">
        <v>13967</v>
      </c>
      <c r="J7133" s="3" t="str">
        <f>HYPERLINK("https://www.boe.es/gazeta/dias/1822/06/03/pdfs/GMD-1822-159.pdf#page=4","Abrir facsímil")</f>
        <v>Abrir facsímil</v>
      </c>
      <c r="K7133" s="3" t="s">
        <v>22</v>
      </c>
    </row>
    <row r="7134" spans="1:11" ht="42" customHeight="1">
      <c r="A7134" s="2" t="s">
        <v>13965</v>
      </c>
      <c r="B7134" s="2" t="s">
        <v>13965</v>
      </c>
      <c r="C7134" s="2" t="s">
        <v>50</v>
      </c>
      <c r="D7134" s="2" t="s">
        <v>51</v>
      </c>
      <c r="E7134" s="5">
        <v>-28317</v>
      </c>
      <c r="F7134" s="3" t="s">
        <v>546</v>
      </c>
      <c r="G7134" s="3" t="s">
        <v>63</v>
      </c>
      <c r="H7134" s="2" t="s">
        <v>20</v>
      </c>
      <c r="I7134" s="2" t="s">
        <v>13968</v>
      </c>
      <c r="J7134" s="3" t="str">
        <f>HYPERLINK("https://www.boe.es/gazeta/dias/1822/06/20/pdfs/GMD-1822-177.pdf#page=6","Abrir facsímil")</f>
        <v>Abrir facsímil</v>
      </c>
      <c r="K7134" s="3" t="s">
        <v>22</v>
      </c>
    </row>
    <row r="7135" spans="1:11" ht="42" customHeight="1">
      <c r="A7135" s="2" t="s">
        <v>13965</v>
      </c>
      <c r="B7135" s="2" t="s">
        <v>13965</v>
      </c>
      <c r="C7135" s="2" t="s">
        <v>61</v>
      </c>
      <c r="D7135" s="2" t="s">
        <v>17</v>
      </c>
      <c r="E7135" s="5">
        <v>-28148</v>
      </c>
      <c r="F7135" s="3" t="s">
        <v>1909</v>
      </c>
      <c r="G7135" s="3" t="s">
        <v>63</v>
      </c>
      <c r="H7135" s="2" t="s">
        <v>20</v>
      </c>
      <c r="I7135" s="2" t="s">
        <v>13969</v>
      </c>
      <c r="J7135" s="3" t="str">
        <f>HYPERLINK("https://www.boe.es/gazeta/dias/1822/12/06/pdfs/GMD-1822-356.pdf#page=6","Abrir facsímil")</f>
        <v>Abrir facsímil</v>
      </c>
      <c r="K7135" s="3" t="s">
        <v>22</v>
      </c>
    </row>
    <row r="7136" spans="1:11" ht="42" customHeight="1">
      <c r="A7136" s="2" t="s">
        <v>13970</v>
      </c>
      <c r="B7136" s="2" t="s">
        <v>13971</v>
      </c>
      <c r="C7136" s="2" t="s">
        <v>362</v>
      </c>
      <c r="D7136" s="2" t="s">
        <v>17</v>
      </c>
      <c r="E7136" s="5">
        <v>-28160</v>
      </c>
      <c r="F7136" s="3" t="s">
        <v>148</v>
      </c>
      <c r="G7136" s="3" t="s">
        <v>19</v>
      </c>
      <c r="H7136" s="2" t="s">
        <v>20</v>
      </c>
      <c r="I7136" s="2" t="s">
        <v>13972</v>
      </c>
      <c r="J7136" s="3" t="str">
        <f>HYPERLINK("https://www.boe.es/gazeta/dias/1822/11/24/pdfs/GMD-1822-344.pdf#page=5","Abrir facsímil")</f>
        <v>Abrir facsímil</v>
      </c>
      <c r="K7136" s="3" t="s">
        <v>22</v>
      </c>
    </row>
    <row r="7137" spans="1:11" ht="42" customHeight="1">
      <c r="A7137" s="2" t="s">
        <v>13973</v>
      </c>
      <c r="B7137" s="2" t="s">
        <v>13974</v>
      </c>
      <c r="C7137" s="2" t="s">
        <v>50</v>
      </c>
      <c r="D7137" s="2" t="s">
        <v>51</v>
      </c>
      <c r="E7137" s="5">
        <v>-28414</v>
      </c>
      <c r="F7137" s="3" t="s">
        <v>187</v>
      </c>
      <c r="G7137" s="3" t="s">
        <v>31</v>
      </c>
      <c r="H7137" s="2" t="s">
        <v>20</v>
      </c>
      <c r="I7137" s="2" t="s">
        <v>13975</v>
      </c>
      <c r="J7137" s="3" t="str">
        <f>HYPERLINK("https://www.boe.es/gazeta/dias/1822/03/15/pdfs/GMD-1822-76.pdf#page=3","Abrir facsímil")</f>
        <v>Abrir facsímil</v>
      </c>
      <c r="K7137" s="3" t="s">
        <v>22</v>
      </c>
    </row>
    <row r="7138" spans="1:11" ht="42" customHeight="1">
      <c r="A7138" s="2" t="s">
        <v>13976</v>
      </c>
      <c r="B7138" s="2" t="s">
        <v>13976</v>
      </c>
      <c r="C7138" s="2" t="s">
        <v>71</v>
      </c>
      <c r="D7138" s="2" t="s">
        <v>17</v>
      </c>
      <c r="E7138" s="5">
        <v>-28360</v>
      </c>
      <c r="F7138" s="3" t="s">
        <v>514</v>
      </c>
      <c r="G7138" s="3" t="s">
        <v>31</v>
      </c>
      <c r="H7138" s="2" t="s">
        <v>20</v>
      </c>
      <c r="I7138" s="2" t="s">
        <v>13977</v>
      </c>
      <c r="J7138" s="3" t="str">
        <f>HYPERLINK("https://www.boe.es/gazeta/dias/1822/05/08/pdfs/GMD-1822-130.pdf#page=3","Abrir facsímil")</f>
        <v>Abrir facsímil</v>
      </c>
      <c r="K7138" s="3" t="s">
        <v>22</v>
      </c>
    </row>
    <row r="7139" spans="1:11" ht="42" customHeight="1">
      <c r="A7139" s="2" t="s">
        <v>13976</v>
      </c>
      <c r="B7139" s="2" t="s">
        <v>13976</v>
      </c>
      <c r="C7139" s="2" t="s">
        <v>71</v>
      </c>
      <c r="D7139" s="2" t="s">
        <v>17</v>
      </c>
      <c r="E7139" s="5">
        <v>-28357</v>
      </c>
      <c r="F7139" s="3" t="s">
        <v>690</v>
      </c>
      <c r="G7139" s="3" t="s">
        <v>44</v>
      </c>
      <c r="H7139" s="2" t="s">
        <v>20</v>
      </c>
      <c r="I7139" s="2" t="s">
        <v>13978</v>
      </c>
      <c r="J7139" s="3" t="str">
        <f>HYPERLINK("https://www.boe.es/gazeta/dias/1822/05/11/pdfs/GMD-1822-133.pdf#page=1","Abrir facsímil")</f>
        <v>Abrir facsímil</v>
      </c>
      <c r="K7139" s="3" t="s">
        <v>22</v>
      </c>
    </row>
    <row r="7140" spans="1:11" ht="42" customHeight="1">
      <c r="A7140" s="2" t="s">
        <v>13976</v>
      </c>
      <c r="B7140" s="2" t="s">
        <v>13976</v>
      </c>
      <c r="C7140" s="2" t="s">
        <v>71</v>
      </c>
      <c r="D7140" s="2" t="s">
        <v>17</v>
      </c>
      <c r="E7140" s="5">
        <v>-28310</v>
      </c>
      <c r="F7140" s="3" t="s">
        <v>241</v>
      </c>
      <c r="G7140" s="3" t="s">
        <v>44</v>
      </c>
      <c r="H7140" s="2" t="s">
        <v>20</v>
      </c>
      <c r="I7140" s="2" t="s">
        <v>13979</v>
      </c>
      <c r="J7140" s="3" t="str">
        <f>HYPERLINK("https://www.boe.es/gazeta/dias/1822/06/27/pdfs/GMD-1822-185.pdf#page=1","Abrir facsímil")</f>
        <v>Abrir facsímil</v>
      </c>
      <c r="K7140" s="3" t="s">
        <v>22</v>
      </c>
    </row>
    <row r="7141" spans="1:11" ht="42" customHeight="1">
      <c r="A7141" s="2" t="s">
        <v>13976</v>
      </c>
      <c r="B7141" s="2" t="s">
        <v>13976</v>
      </c>
      <c r="C7141" s="2" t="s">
        <v>71</v>
      </c>
      <c r="D7141" s="2" t="s">
        <v>17</v>
      </c>
      <c r="E7141" s="5">
        <v>-28199</v>
      </c>
      <c r="F7141" s="3" t="s">
        <v>656</v>
      </c>
      <c r="G7141" s="3" t="s">
        <v>35</v>
      </c>
      <c r="H7141" s="2" t="s">
        <v>20</v>
      </c>
      <c r="I7141" s="2" t="s">
        <v>13980</v>
      </c>
      <c r="J7141" s="3" t="str">
        <f>HYPERLINK("https://www.boe.es/gazeta/dias/1822/10/16/pdfs/GMD-1822-303.pdf#page=2","Abrir facsímil")</f>
        <v>Abrir facsímil</v>
      </c>
      <c r="K7141" s="3" t="s">
        <v>22</v>
      </c>
    </row>
    <row r="7142" spans="1:11" ht="42" customHeight="1">
      <c r="A7142" s="2" t="s">
        <v>13976</v>
      </c>
      <c r="B7142" s="2" t="s">
        <v>13976</v>
      </c>
      <c r="C7142" s="2" t="s">
        <v>42</v>
      </c>
      <c r="D7142" s="2" t="s">
        <v>17</v>
      </c>
      <c r="E7142" s="5">
        <v>-28162</v>
      </c>
      <c r="F7142" s="3" t="s">
        <v>3949</v>
      </c>
      <c r="G7142" s="3" t="s">
        <v>44</v>
      </c>
      <c r="H7142" s="2" t="s">
        <v>20</v>
      </c>
      <c r="I7142" s="2" t="s">
        <v>13981</v>
      </c>
      <c r="J7142" s="3" t="str">
        <f>HYPERLINK("https://www.boe.es/gazeta/dias/1822/11/22/pdfs/GMD-1822-342.pdf#page=1","Abrir facsímil")</f>
        <v>Abrir facsímil</v>
      </c>
      <c r="K7142" s="3" t="s">
        <v>22</v>
      </c>
    </row>
    <row r="7143" spans="1:11" ht="42" customHeight="1">
      <c r="A7143" s="2" t="s">
        <v>13982</v>
      </c>
      <c r="B7143" s="2" t="s">
        <v>13982</v>
      </c>
      <c r="C7143" s="2" t="s">
        <v>50</v>
      </c>
      <c r="D7143" s="2" t="s">
        <v>51</v>
      </c>
      <c r="E7143" s="5">
        <v>-28439</v>
      </c>
      <c r="F7143" s="3" t="s">
        <v>2752</v>
      </c>
      <c r="G7143" s="3" t="s">
        <v>44</v>
      </c>
      <c r="H7143" s="2" t="s">
        <v>20</v>
      </c>
      <c r="I7143" s="2" t="s">
        <v>13983</v>
      </c>
      <c r="J7143" s="3" t="str">
        <f>HYPERLINK("https://www.boe.es/gazeta/dias/1822/02/18/pdfs/GMD-1822-50.pdf#page=1","Abrir facsímil")</f>
        <v>Abrir facsímil</v>
      </c>
      <c r="K7143" s="3" t="s">
        <v>22</v>
      </c>
    </row>
    <row r="7144" spans="1:11" ht="42" customHeight="1">
      <c r="A7144" s="2" t="s">
        <v>13984</v>
      </c>
      <c r="B7144" s="2" t="s">
        <v>13984</v>
      </c>
      <c r="C7144" s="2" t="s">
        <v>50</v>
      </c>
      <c r="D7144" s="2" t="s">
        <v>51</v>
      </c>
      <c r="E7144" s="5">
        <v>-28479</v>
      </c>
      <c r="F7144" s="3" t="s">
        <v>1091</v>
      </c>
      <c r="G7144" s="3" t="s">
        <v>44</v>
      </c>
      <c r="H7144" s="2" t="s">
        <v>20</v>
      </c>
      <c r="I7144" s="2" t="s">
        <v>13985</v>
      </c>
      <c r="J7144" s="3" t="str">
        <f>HYPERLINK("https://www.boe.es/gazeta/dias/1822/01/09/pdfs/GMD-1822-9.pdf#page=1","Abrir facsímil")</f>
        <v>Abrir facsímil</v>
      </c>
      <c r="K7144" s="3" t="s">
        <v>22</v>
      </c>
    </row>
    <row r="7145" spans="1:11" ht="42" customHeight="1">
      <c r="A7145" s="2" t="s">
        <v>13986</v>
      </c>
      <c r="B7145" s="2" t="s">
        <v>13986</v>
      </c>
      <c r="C7145" s="2" t="s">
        <v>71</v>
      </c>
      <c r="D7145" s="2" t="s">
        <v>17</v>
      </c>
      <c r="E7145" s="5">
        <v>-28479</v>
      </c>
      <c r="F7145" s="3" t="s">
        <v>1091</v>
      </c>
      <c r="G7145" s="3" t="s">
        <v>35</v>
      </c>
      <c r="H7145" s="2" t="s">
        <v>20</v>
      </c>
      <c r="I7145" s="2" t="s">
        <v>13987</v>
      </c>
      <c r="J7145" s="3" t="str">
        <f>HYPERLINK("https://www.boe.es/gazeta/dias/1822/01/09/pdfs/GMD-1822-9.pdf#page=2","Abrir facsímil")</f>
        <v>Abrir facsímil</v>
      </c>
      <c r="K7145" s="3" t="s">
        <v>22</v>
      </c>
    </row>
    <row r="7146" spans="1:11" ht="42" customHeight="1">
      <c r="A7146" s="2" t="s">
        <v>13988</v>
      </c>
      <c r="B7146" s="2" t="s">
        <v>13988</v>
      </c>
      <c r="C7146" s="2" t="s">
        <v>24</v>
      </c>
      <c r="D7146" s="2" t="s">
        <v>17</v>
      </c>
      <c r="E7146" s="5">
        <v>-28478</v>
      </c>
      <c r="F7146" s="3" t="s">
        <v>1093</v>
      </c>
      <c r="G7146" s="3" t="s">
        <v>35</v>
      </c>
      <c r="H7146" s="2" t="s">
        <v>20</v>
      </c>
      <c r="I7146" s="2" t="s">
        <v>13989</v>
      </c>
      <c r="J7146" s="3" t="str">
        <f>HYPERLINK("https://www.boe.es/gazeta/dias/1822/01/10/pdfs/GMD-1822-10.pdf#page=2","Abrir facsímil")</f>
        <v>Abrir facsímil</v>
      </c>
      <c r="K7146" s="3" t="s">
        <v>22</v>
      </c>
    </row>
    <row r="7147" spans="1:11" ht="42" customHeight="1">
      <c r="A7147" s="2" t="s">
        <v>13988</v>
      </c>
      <c r="B7147" s="2" t="s">
        <v>13988</v>
      </c>
      <c r="C7147" s="2" t="s">
        <v>28</v>
      </c>
      <c r="D7147" s="2" t="s">
        <v>29</v>
      </c>
      <c r="E7147" s="5">
        <v>-28179</v>
      </c>
      <c r="F7147" s="3" t="s">
        <v>935</v>
      </c>
      <c r="G7147" s="3" t="s">
        <v>31</v>
      </c>
      <c r="H7147" s="2" t="s">
        <v>20</v>
      </c>
      <c r="I7147" s="2" t="s">
        <v>13990</v>
      </c>
      <c r="J7147" s="3" t="str">
        <f>HYPERLINK("https://www.boe.es/gazeta/dias/1822/11/05/pdfs/GMD-1822-325.pdf#page=3","Abrir facsímil")</f>
        <v>Abrir facsímil</v>
      </c>
      <c r="K7147" s="3" t="s">
        <v>22</v>
      </c>
    </row>
    <row r="7148" spans="1:11" ht="42" customHeight="1">
      <c r="A7148" s="2" t="s">
        <v>13991</v>
      </c>
      <c r="B7148" s="2" t="s">
        <v>13992</v>
      </c>
      <c r="C7148" s="2" t="s">
        <v>16</v>
      </c>
      <c r="D7148" s="2" t="s">
        <v>17</v>
      </c>
      <c r="E7148" s="5">
        <v>-28282</v>
      </c>
      <c r="F7148" s="3" t="s">
        <v>6600</v>
      </c>
      <c r="G7148" s="3" t="s">
        <v>6601</v>
      </c>
      <c r="H7148" s="2" t="s">
        <v>20</v>
      </c>
      <c r="I7148" s="2" t="s">
        <v>13993</v>
      </c>
      <c r="J7148" s="3" t="str">
        <f>HYPERLINK("https://www.boe.es/gazeta/dias/1822/07/25/pdfs/GMD-1822-218.pdf#page=4","Abrir facsímil")</f>
        <v>Abrir facsímil</v>
      </c>
      <c r="K7148" s="3" t="s">
        <v>22</v>
      </c>
    </row>
    <row r="7149" spans="1:11" ht="42" customHeight="1">
      <c r="A7149" s="2" t="s">
        <v>13994</v>
      </c>
      <c r="B7149" s="2" t="s">
        <v>13995</v>
      </c>
      <c r="C7149" s="2" t="s">
        <v>50</v>
      </c>
      <c r="D7149" s="2" t="s">
        <v>51</v>
      </c>
      <c r="E7149" s="5">
        <v>-28267</v>
      </c>
      <c r="F7149" s="3" t="s">
        <v>1270</v>
      </c>
      <c r="G7149" s="3" t="s">
        <v>35</v>
      </c>
      <c r="H7149" s="2" t="s">
        <v>20</v>
      </c>
      <c r="I7149" s="2" t="s">
        <v>13996</v>
      </c>
      <c r="J7149" s="3" t="str">
        <f>HYPERLINK("https://www.boe.es/gazeta/dias/1822/08/09/pdfs/GMD-1822-233.pdf#page=2","Abrir facsímil")</f>
        <v>Abrir facsímil</v>
      </c>
      <c r="K7149" s="3" t="s">
        <v>22</v>
      </c>
    </row>
    <row r="7150" spans="1:11" ht="42" customHeight="1">
      <c r="A7150" s="2" t="s">
        <v>13997</v>
      </c>
      <c r="B7150" s="2" t="s">
        <v>13998</v>
      </c>
      <c r="C7150" s="2" t="s">
        <v>24</v>
      </c>
      <c r="D7150" s="2" t="s">
        <v>17</v>
      </c>
      <c r="E7150" s="5">
        <v>-28139</v>
      </c>
      <c r="F7150" s="3" t="s">
        <v>143</v>
      </c>
      <c r="G7150" s="3" t="s">
        <v>144</v>
      </c>
      <c r="H7150" s="2" t="s">
        <v>20</v>
      </c>
      <c r="I7150" s="2" t="s">
        <v>13999</v>
      </c>
      <c r="J7150" s="3" t="str">
        <f>HYPERLINK("https://www.boe.es/gazeta/dias/1822/12/15/pdfs/GMD-1822-365.pdf#page=4","Abrir facsímil")</f>
        <v>Abrir facsímil</v>
      </c>
      <c r="K7150" s="3" t="s">
        <v>22</v>
      </c>
    </row>
    <row r="7151" spans="1:11" ht="42" customHeight="1">
      <c r="A7151" s="2" t="s">
        <v>14000</v>
      </c>
      <c r="B7151" s="2" t="s">
        <v>14001</v>
      </c>
      <c r="C7151" s="2" t="s">
        <v>50</v>
      </c>
      <c r="D7151" s="2" t="s">
        <v>51</v>
      </c>
      <c r="E7151" s="5">
        <v>-28345</v>
      </c>
      <c r="F7151" s="3" t="s">
        <v>294</v>
      </c>
      <c r="G7151" s="3" t="s">
        <v>35</v>
      </c>
      <c r="H7151" s="2" t="s">
        <v>20</v>
      </c>
      <c r="I7151" s="2" t="s">
        <v>14002</v>
      </c>
      <c r="J7151" s="3" t="str">
        <f>HYPERLINK("https://www.boe.es/gazeta/dias/1822/05/23/pdfs/GMD-1822-147.pdf#page=2","Abrir facsímil")</f>
        <v>Abrir facsímil</v>
      </c>
      <c r="K7151" s="3" t="s">
        <v>22</v>
      </c>
    </row>
    <row r="7152" spans="1:11" ht="42" customHeight="1">
      <c r="A7152" s="2" t="s">
        <v>14003</v>
      </c>
      <c r="B7152" s="2" t="s">
        <v>14003</v>
      </c>
      <c r="C7152" s="2" t="s">
        <v>50</v>
      </c>
      <c r="D7152" s="2" t="s">
        <v>51</v>
      </c>
      <c r="E7152" s="5">
        <v>-28415</v>
      </c>
      <c r="F7152" s="3" t="s">
        <v>77</v>
      </c>
      <c r="G7152" s="3" t="s">
        <v>19</v>
      </c>
      <c r="H7152" s="2" t="s">
        <v>20</v>
      </c>
      <c r="I7152" s="2" t="s">
        <v>14004</v>
      </c>
      <c r="J7152" s="3" t="str">
        <f>HYPERLINK("https://www.boe.es/gazeta/dias/1822/03/14/pdfs/GMD-1822-75.pdf#page=5","Abrir facsímil")</f>
        <v>Abrir facsímil</v>
      </c>
      <c r="K7152" s="3" t="s">
        <v>22</v>
      </c>
    </row>
    <row r="7153" spans="1:11" ht="42" customHeight="1">
      <c r="A7153" s="2" t="s">
        <v>14005</v>
      </c>
      <c r="B7153" s="2" t="s">
        <v>14005</v>
      </c>
      <c r="C7153" s="2" t="s">
        <v>42</v>
      </c>
      <c r="D7153" s="2" t="s">
        <v>17</v>
      </c>
      <c r="E7153" s="5">
        <v>-28478</v>
      </c>
      <c r="F7153" s="3" t="s">
        <v>1093</v>
      </c>
      <c r="G7153" s="3" t="s">
        <v>35</v>
      </c>
      <c r="H7153" s="2" t="s">
        <v>20</v>
      </c>
      <c r="I7153" s="2" t="s">
        <v>14006</v>
      </c>
      <c r="J7153" s="3" t="str">
        <f>HYPERLINK("https://www.boe.es/gazeta/dias/1822/01/10/pdfs/GMD-1822-10.pdf#page=2","Abrir facsímil")</f>
        <v>Abrir facsímil</v>
      </c>
      <c r="K7153" s="3" t="s">
        <v>22</v>
      </c>
    </row>
    <row r="7154" spans="1:11" ht="42" customHeight="1">
      <c r="A7154" s="2" t="s">
        <v>14007</v>
      </c>
      <c r="B7154" s="2" t="s">
        <v>14008</v>
      </c>
      <c r="C7154" s="2" t="s">
        <v>24</v>
      </c>
      <c r="D7154" s="2" t="s">
        <v>17</v>
      </c>
      <c r="E7154" s="5">
        <v>-28243</v>
      </c>
      <c r="F7154" s="3" t="s">
        <v>1829</v>
      </c>
      <c r="G7154" s="3" t="s">
        <v>57</v>
      </c>
      <c r="H7154" s="2" t="s">
        <v>20</v>
      </c>
      <c r="I7154" s="2" t="s">
        <v>14009</v>
      </c>
      <c r="J7154" s="3" t="str">
        <f>HYPERLINK("https://www.boe.es/gazeta/dias/1822/09/02/pdfs/GMD-1822-257.pdf#page=4","Abrir facsímil")</f>
        <v>Abrir facsímil</v>
      </c>
      <c r="K7154" s="3" t="s">
        <v>22</v>
      </c>
    </row>
    <row r="7155" spans="1:11" ht="42" customHeight="1">
      <c r="A7155" s="2" t="s">
        <v>14010</v>
      </c>
      <c r="B7155" s="2" t="s">
        <v>14011</v>
      </c>
      <c r="C7155" s="2" t="s">
        <v>42</v>
      </c>
      <c r="D7155" s="2" t="s">
        <v>17</v>
      </c>
      <c r="E7155" s="5">
        <v>-28307</v>
      </c>
      <c r="F7155" s="3" t="s">
        <v>555</v>
      </c>
      <c r="G7155" s="3" t="s">
        <v>157</v>
      </c>
      <c r="H7155" s="2" t="s">
        <v>20</v>
      </c>
      <c r="I7155" s="2" t="s">
        <v>14012</v>
      </c>
      <c r="J7155" s="3" t="str">
        <f>HYPERLINK("https://www.boe.es/gazeta/dias/1822/06/30/pdfs/GMD-1822-188.pdf#page=8","Abrir facsímil")</f>
        <v>Abrir facsímil</v>
      </c>
      <c r="K7155" s="3" t="s">
        <v>22</v>
      </c>
    </row>
    <row r="7156" spans="1:11" ht="42" customHeight="1">
      <c r="A7156" s="2" t="s">
        <v>14013</v>
      </c>
      <c r="B7156" s="2" t="s">
        <v>14013</v>
      </c>
      <c r="C7156" s="2" t="s">
        <v>50</v>
      </c>
      <c r="D7156" s="2" t="s">
        <v>51</v>
      </c>
      <c r="E7156" s="5">
        <v>-28295</v>
      </c>
      <c r="F7156" s="3" t="s">
        <v>81</v>
      </c>
      <c r="G7156" s="3" t="s">
        <v>82</v>
      </c>
      <c r="H7156" s="2" t="s">
        <v>20</v>
      </c>
      <c r="I7156" s="2" t="s">
        <v>14014</v>
      </c>
      <c r="J7156" s="3" t="str">
        <f>HYPERLINK("https://www.boe.es/gazeta/dias/1822/07/12/pdfs/GMD-1822-202.pdf#page=3","Abrir facsímil")</f>
        <v>Abrir facsímil</v>
      </c>
      <c r="K7156" s="3" t="s">
        <v>22</v>
      </c>
    </row>
    <row r="7157" spans="1:11" ht="42" customHeight="1">
      <c r="A7157" s="2" t="s">
        <v>14015</v>
      </c>
      <c r="B7157" s="2" t="s">
        <v>14015</v>
      </c>
      <c r="C7157" s="2" t="s">
        <v>50</v>
      </c>
      <c r="D7157" s="2" t="s">
        <v>51</v>
      </c>
      <c r="E7157" s="5">
        <v>-28267</v>
      </c>
      <c r="F7157" s="3" t="s">
        <v>1270</v>
      </c>
      <c r="G7157" s="3" t="s">
        <v>35</v>
      </c>
      <c r="H7157" s="2" t="s">
        <v>20</v>
      </c>
      <c r="I7157" s="2" t="s">
        <v>14016</v>
      </c>
      <c r="J7157" s="3" t="str">
        <f>HYPERLINK("https://www.boe.es/gazeta/dias/1822/08/09/pdfs/GMD-1822-233.pdf#page=2","Abrir facsímil")</f>
        <v>Abrir facsímil</v>
      </c>
      <c r="K7157" s="3" t="s">
        <v>22</v>
      </c>
    </row>
    <row r="7158" spans="1:11" ht="42" customHeight="1">
      <c r="A7158" s="2" t="s">
        <v>14017</v>
      </c>
      <c r="B7158" s="2" t="s">
        <v>14017</v>
      </c>
      <c r="C7158" s="2" t="s">
        <v>42</v>
      </c>
      <c r="D7158" s="2" t="s">
        <v>17</v>
      </c>
      <c r="E7158" s="5">
        <v>-28468</v>
      </c>
      <c r="F7158" s="3" t="s">
        <v>1012</v>
      </c>
      <c r="G7158" s="3" t="s">
        <v>19</v>
      </c>
      <c r="H7158" s="2" t="s">
        <v>20</v>
      </c>
      <c r="I7158" s="2" t="s">
        <v>14018</v>
      </c>
      <c r="J7158" s="3" t="str">
        <f>HYPERLINK("https://www.boe.es/gazeta/dias/1822/01/20/pdfs/GMD-1822-20.pdf#page=5","Abrir facsímil")</f>
        <v>Abrir facsímil</v>
      </c>
      <c r="K7158" s="3" t="s">
        <v>22</v>
      </c>
    </row>
    <row r="7159" spans="1:11" ht="42" customHeight="1">
      <c r="A7159" s="2" t="s">
        <v>14019</v>
      </c>
      <c r="B7159" s="2" t="s">
        <v>14019</v>
      </c>
      <c r="C7159" s="2" t="s">
        <v>16</v>
      </c>
      <c r="D7159" s="2" t="s">
        <v>17</v>
      </c>
      <c r="E7159" s="5">
        <v>-28468</v>
      </c>
      <c r="F7159" s="3" t="s">
        <v>1012</v>
      </c>
      <c r="G7159" s="3" t="s">
        <v>35</v>
      </c>
      <c r="H7159" s="2" t="s">
        <v>20</v>
      </c>
      <c r="I7159" s="2" t="s">
        <v>14020</v>
      </c>
      <c r="J7159" s="3" t="str">
        <f>HYPERLINK("https://www.boe.es/gazeta/dias/1822/01/20/pdfs/GMD-1822-20.pdf#page=2","Abrir facsímil")</f>
        <v>Abrir facsímil</v>
      </c>
      <c r="K7159" s="3" t="s">
        <v>22</v>
      </c>
    </row>
    <row r="7160" spans="1:11" ht="42" customHeight="1">
      <c r="A7160" s="2" t="s">
        <v>14021</v>
      </c>
      <c r="B7160" s="2" t="s">
        <v>14021</v>
      </c>
      <c r="C7160" s="2" t="s">
        <v>71</v>
      </c>
      <c r="D7160" s="2" t="s">
        <v>17</v>
      </c>
      <c r="E7160" s="5">
        <v>-28468</v>
      </c>
      <c r="F7160" s="3" t="s">
        <v>1012</v>
      </c>
      <c r="G7160" s="3" t="s">
        <v>19</v>
      </c>
      <c r="H7160" s="2" t="s">
        <v>20</v>
      </c>
      <c r="I7160" s="2" t="s">
        <v>14022</v>
      </c>
      <c r="J7160" s="3" t="str">
        <f>HYPERLINK("https://www.boe.es/gazeta/dias/1822/01/20/pdfs/GMD-1822-20.pdf#page=5","Abrir facsímil")</f>
        <v>Abrir facsímil</v>
      </c>
      <c r="K7160" s="3" t="s">
        <v>22</v>
      </c>
    </row>
    <row r="7161" spans="1:11" ht="42" customHeight="1">
      <c r="A7161" s="2" t="s">
        <v>14023</v>
      </c>
      <c r="B7161" s="2" t="s">
        <v>14023</v>
      </c>
      <c r="C7161" s="2" t="s">
        <v>50</v>
      </c>
      <c r="D7161" s="2" t="s">
        <v>51</v>
      </c>
      <c r="E7161" s="5">
        <v>-28253</v>
      </c>
      <c r="F7161" s="3" t="s">
        <v>413</v>
      </c>
      <c r="G7161" s="3" t="s">
        <v>44</v>
      </c>
      <c r="H7161" s="2" t="s">
        <v>20</v>
      </c>
      <c r="I7161" s="2" t="s">
        <v>14024</v>
      </c>
      <c r="J7161" s="3" t="str">
        <f>HYPERLINK("https://www.boe.es/gazeta/dias/1822/08/23/pdfs/GMD-1822-247.pdf#page=1","Abrir facsímil")</f>
        <v>Abrir facsímil</v>
      </c>
      <c r="K7161" s="3" t="s">
        <v>22</v>
      </c>
    </row>
    <row r="7162" spans="1:11" ht="42" customHeight="1">
      <c r="A7162" s="2" t="s">
        <v>14025</v>
      </c>
      <c r="B7162" s="2" t="s">
        <v>14025</v>
      </c>
      <c r="C7162" s="2" t="s">
        <v>50</v>
      </c>
      <c r="D7162" s="2" t="s">
        <v>51</v>
      </c>
      <c r="E7162" s="5">
        <v>-28220</v>
      </c>
      <c r="F7162" s="3" t="s">
        <v>1914</v>
      </c>
      <c r="G7162" s="3" t="s">
        <v>44</v>
      </c>
      <c r="H7162" s="2" t="s">
        <v>20</v>
      </c>
      <c r="I7162" s="2" t="s">
        <v>14026</v>
      </c>
      <c r="J7162" s="3" t="str">
        <f>HYPERLINK("https://www.boe.es/gazeta/dias/1822/09/25/pdfs/GMD-1822-281.pdf#page=1","Abrir facsímil")</f>
        <v>Abrir facsímil</v>
      </c>
      <c r="K7162" s="3" t="s">
        <v>22</v>
      </c>
    </row>
    <row r="7163" spans="1:11" ht="42" customHeight="1">
      <c r="A7163" s="2" t="s">
        <v>14027</v>
      </c>
      <c r="B7163" s="2" t="s">
        <v>14027</v>
      </c>
      <c r="C7163" s="2" t="s">
        <v>42</v>
      </c>
      <c r="D7163" s="2" t="s">
        <v>17</v>
      </c>
      <c r="E7163" s="5">
        <v>-28479</v>
      </c>
      <c r="F7163" s="3" t="s">
        <v>1091</v>
      </c>
      <c r="G7163" s="3" t="s">
        <v>35</v>
      </c>
      <c r="H7163" s="2" t="s">
        <v>20</v>
      </c>
      <c r="I7163" s="2" t="s">
        <v>14028</v>
      </c>
      <c r="J7163" s="3" t="str">
        <f>HYPERLINK("https://www.boe.es/gazeta/dias/1822/01/09/pdfs/GMD-1822-9.pdf#page=2","Abrir facsímil")</f>
        <v>Abrir facsímil</v>
      </c>
      <c r="K7163" s="3" t="s">
        <v>22</v>
      </c>
    </row>
    <row r="7164" spans="1:11" ht="42" customHeight="1">
      <c r="A7164" s="2" t="s">
        <v>14027</v>
      </c>
      <c r="B7164" s="2" t="s">
        <v>14027</v>
      </c>
      <c r="C7164" s="2" t="s">
        <v>28</v>
      </c>
      <c r="D7164" s="2" t="s">
        <v>29</v>
      </c>
      <c r="E7164" s="5">
        <v>-28468</v>
      </c>
      <c r="F7164" s="3" t="s">
        <v>1012</v>
      </c>
      <c r="G7164" s="3" t="s">
        <v>35</v>
      </c>
      <c r="H7164" s="2" t="s">
        <v>20</v>
      </c>
      <c r="I7164" s="2" t="s">
        <v>14029</v>
      </c>
      <c r="J7164" s="3" t="str">
        <f>HYPERLINK("https://www.boe.es/gazeta/dias/1822/01/20/pdfs/GMD-1822-20.pdf#page=2","Abrir facsímil")</f>
        <v>Abrir facsímil</v>
      </c>
      <c r="K7164" s="3" t="s">
        <v>22</v>
      </c>
    </row>
    <row r="7165" spans="1:11" ht="42" customHeight="1">
      <c r="A7165" s="2" t="s">
        <v>14027</v>
      </c>
      <c r="B7165" s="2" t="s">
        <v>14027</v>
      </c>
      <c r="C7165" s="2" t="s">
        <v>28</v>
      </c>
      <c r="D7165" s="2" t="s">
        <v>29</v>
      </c>
      <c r="E7165" s="5">
        <v>-28468</v>
      </c>
      <c r="F7165" s="3" t="s">
        <v>1012</v>
      </c>
      <c r="G7165" s="3" t="s">
        <v>57</v>
      </c>
      <c r="H7165" s="2" t="s">
        <v>20</v>
      </c>
      <c r="I7165" s="2" t="s">
        <v>14030</v>
      </c>
      <c r="J7165" s="3" t="str">
        <f>HYPERLINK("https://www.boe.es/gazeta/dias/1822/01/20/pdfs/GMD-1822-20.pdf#page=4","Abrir facsímil")</f>
        <v>Abrir facsímil</v>
      </c>
      <c r="K7165" s="3" t="s">
        <v>22</v>
      </c>
    </row>
    <row r="7166" spans="1:11" ht="42" customHeight="1">
      <c r="A7166" s="2" t="s">
        <v>14027</v>
      </c>
      <c r="B7166" s="2" t="s">
        <v>14027</v>
      </c>
      <c r="C7166" s="2" t="s">
        <v>16</v>
      </c>
      <c r="D7166" s="2" t="s">
        <v>17</v>
      </c>
      <c r="E7166" s="5">
        <v>-28468</v>
      </c>
      <c r="F7166" s="3" t="s">
        <v>1012</v>
      </c>
      <c r="G7166" s="3" t="s">
        <v>19</v>
      </c>
      <c r="H7166" s="2" t="s">
        <v>20</v>
      </c>
      <c r="I7166" s="2" t="s">
        <v>14031</v>
      </c>
      <c r="J7166" s="3" t="str">
        <f>HYPERLINK("https://www.boe.es/gazeta/dias/1822/01/20/pdfs/GMD-1822-20.pdf#page=5","Abrir facsímil")</f>
        <v>Abrir facsímil</v>
      </c>
      <c r="K7166" s="3" t="s">
        <v>22</v>
      </c>
    </row>
    <row r="7167" spans="1:11" ht="42" customHeight="1">
      <c r="A7167" s="2" t="s">
        <v>14027</v>
      </c>
      <c r="B7167" s="2" t="s">
        <v>14027</v>
      </c>
      <c r="C7167" s="2" t="s">
        <v>71</v>
      </c>
      <c r="D7167" s="2" t="s">
        <v>17</v>
      </c>
      <c r="E7167" s="5">
        <v>-28468</v>
      </c>
      <c r="F7167" s="3" t="s">
        <v>1012</v>
      </c>
      <c r="G7167" s="3" t="s">
        <v>63</v>
      </c>
      <c r="H7167" s="2" t="s">
        <v>20</v>
      </c>
      <c r="I7167" s="2" t="s">
        <v>14032</v>
      </c>
      <c r="J7167" s="3" t="str">
        <f>HYPERLINK("https://www.boe.es/gazeta/dias/1822/01/20/pdfs/GMD-1822-20.pdf#page=6","Abrir facsímil")</f>
        <v>Abrir facsímil</v>
      </c>
      <c r="K7167" s="3" t="s">
        <v>22</v>
      </c>
    </row>
    <row r="7168" spans="1:11" ht="42" customHeight="1">
      <c r="A7168" s="2" t="s">
        <v>14033</v>
      </c>
      <c r="B7168" s="2" t="s">
        <v>14033</v>
      </c>
      <c r="C7168" s="2" t="s">
        <v>50</v>
      </c>
      <c r="D7168" s="2" t="s">
        <v>51</v>
      </c>
      <c r="E7168" s="5">
        <v>-28291</v>
      </c>
      <c r="F7168" s="3" t="s">
        <v>363</v>
      </c>
      <c r="G7168" s="3" t="s">
        <v>44</v>
      </c>
      <c r="H7168" s="2" t="s">
        <v>20</v>
      </c>
      <c r="I7168" s="2" t="s">
        <v>14034</v>
      </c>
      <c r="J7168" s="3" t="str">
        <f>HYPERLINK("https://www.boe.es/gazeta/dias/1822/07/16/pdfs/GMD-1822-206.pdf#page=1","Abrir facsímil")</f>
        <v>Abrir facsímil</v>
      </c>
      <c r="K7168" s="3" t="s">
        <v>22</v>
      </c>
    </row>
    <row r="7169" spans="1:11" ht="42" customHeight="1">
      <c r="A7169" s="2" t="s">
        <v>14027</v>
      </c>
      <c r="B7169" s="2" t="s">
        <v>14027</v>
      </c>
      <c r="C7169" s="2" t="s">
        <v>50</v>
      </c>
      <c r="D7169" s="2" t="s">
        <v>51</v>
      </c>
      <c r="E7169" s="5">
        <v>-28277</v>
      </c>
      <c r="F7169" s="3" t="s">
        <v>296</v>
      </c>
      <c r="G7169" s="3" t="s">
        <v>35</v>
      </c>
      <c r="H7169" s="2" t="s">
        <v>20</v>
      </c>
      <c r="I7169" s="2" t="s">
        <v>14035</v>
      </c>
      <c r="J7169" s="3" t="str">
        <f>HYPERLINK("https://www.boe.es/gazeta/dias/1822/07/30/pdfs/GMD-1822-223.pdf#page=2","Abrir facsímil")</f>
        <v>Abrir facsímil</v>
      </c>
      <c r="K7169" s="3" t="s">
        <v>22</v>
      </c>
    </row>
    <row r="7170" spans="1:11" ht="42" customHeight="1">
      <c r="A7170" s="2" t="s">
        <v>14033</v>
      </c>
      <c r="B7170" s="2" t="s">
        <v>14033</v>
      </c>
      <c r="C7170" s="2" t="s">
        <v>50</v>
      </c>
      <c r="D7170" s="2" t="s">
        <v>51</v>
      </c>
      <c r="E7170" s="5">
        <v>-28276</v>
      </c>
      <c r="F7170" s="3" t="s">
        <v>4746</v>
      </c>
      <c r="G7170" s="3" t="s">
        <v>35</v>
      </c>
      <c r="H7170" s="2" t="s">
        <v>20</v>
      </c>
      <c r="I7170" s="2" t="s">
        <v>14036</v>
      </c>
      <c r="J7170" s="3" t="str">
        <f>HYPERLINK("https://www.boe.es/gazeta/dias/1822/07/31/pdfs/GMD-1822-224.pdf#page=2","Abrir facsímil")</f>
        <v>Abrir facsímil</v>
      </c>
      <c r="K7170" s="3" t="s">
        <v>22</v>
      </c>
    </row>
    <row r="7171" spans="1:11" ht="42" customHeight="1">
      <c r="A7171" s="2" t="s">
        <v>14027</v>
      </c>
      <c r="B7171" s="2" t="s">
        <v>14027</v>
      </c>
      <c r="C7171" s="2" t="s">
        <v>50</v>
      </c>
      <c r="D7171" s="2" t="s">
        <v>51</v>
      </c>
      <c r="E7171" s="5">
        <v>-28263</v>
      </c>
      <c r="F7171" s="3" t="s">
        <v>7233</v>
      </c>
      <c r="G7171" s="3" t="s">
        <v>35</v>
      </c>
      <c r="H7171" s="2" t="s">
        <v>20</v>
      </c>
      <c r="I7171" s="2" t="s">
        <v>14037</v>
      </c>
      <c r="J7171" s="3" t="str">
        <f>HYPERLINK("https://www.boe.es/gazeta/dias/1822/08/13/pdfs/GMD-1822-237.pdf#page=2","Abrir facsímil")</f>
        <v>Abrir facsímil</v>
      </c>
      <c r="K7171" s="3" t="s">
        <v>22</v>
      </c>
    </row>
    <row r="7172" spans="1:11" ht="42" customHeight="1">
      <c r="A7172" s="2" t="s">
        <v>14027</v>
      </c>
      <c r="B7172" s="2" t="s">
        <v>14027</v>
      </c>
      <c r="C7172" s="2" t="s">
        <v>50</v>
      </c>
      <c r="D7172" s="2" t="s">
        <v>51</v>
      </c>
      <c r="E7172" s="5">
        <v>-28238</v>
      </c>
      <c r="F7172" s="3" t="s">
        <v>2077</v>
      </c>
      <c r="G7172" s="3" t="s">
        <v>35</v>
      </c>
      <c r="H7172" s="2" t="s">
        <v>20</v>
      </c>
      <c r="I7172" s="2" t="s">
        <v>14038</v>
      </c>
      <c r="J7172" s="3" t="str">
        <f>HYPERLINK("https://www.boe.es/gazeta/dias/1822/09/07/pdfs/GMD-1822-262.pdf#page=2","Abrir facsímil")</f>
        <v>Abrir facsímil</v>
      </c>
      <c r="K7172" s="3" t="s">
        <v>22</v>
      </c>
    </row>
    <row r="7173" spans="1:11" ht="42" customHeight="1">
      <c r="A7173" s="2" t="s">
        <v>14027</v>
      </c>
      <c r="B7173" s="2" t="s">
        <v>14027</v>
      </c>
      <c r="C7173" s="2" t="s">
        <v>50</v>
      </c>
      <c r="D7173" s="2" t="s">
        <v>51</v>
      </c>
      <c r="E7173" s="5">
        <v>-28224</v>
      </c>
      <c r="F7173" s="3" t="s">
        <v>1902</v>
      </c>
      <c r="G7173" s="3" t="s">
        <v>35</v>
      </c>
      <c r="H7173" s="2" t="s">
        <v>20</v>
      </c>
      <c r="I7173" s="2" t="s">
        <v>14039</v>
      </c>
      <c r="J7173" s="3" t="str">
        <f>HYPERLINK("https://www.boe.es/gazeta/dias/1822/09/21/pdfs/GMD-1822-277.pdf#page=2","Abrir facsímil")</f>
        <v>Abrir facsímil</v>
      </c>
      <c r="K7173" s="3" t="s">
        <v>22</v>
      </c>
    </row>
    <row r="7174" spans="1:11" ht="42" customHeight="1">
      <c r="A7174" s="2" t="s">
        <v>14027</v>
      </c>
      <c r="B7174" s="2" t="s">
        <v>14027</v>
      </c>
      <c r="C7174" s="2" t="s">
        <v>50</v>
      </c>
      <c r="D7174" s="2" t="s">
        <v>51</v>
      </c>
      <c r="E7174" s="5">
        <v>-28220</v>
      </c>
      <c r="F7174" s="3" t="s">
        <v>1914</v>
      </c>
      <c r="G7174" s="3" t="s">
        <v>44</v>
      </c>
      <c r="H7174" s="2" t="s">
        <v>20</v>
      </c>
      <c r="I7174" s="2" t="s">
        <v>14040</v>
      </c>
      <c r="J7174" s="3" t="str">
        <f>HYPERLINK("https://www.boe.es/gazeta/dias/1822/09/25/pdfs/GMD-1822-281.pdf#page=1","Abrir facsímil")</f>
        <v>Abrir facsímil</v>
      </c>
      <c r="K7174" s="3" t="s">
        <v>22</v>
      </c>
    </row>
    <row r="7175" spans="1:11" ht="42" customHeight="1">
      <c r="A7175" s="2" t="s">
        <v>14027</v>
      </c>
      <c r="B7175" s="2" t="s">
        <v>14027</v>
      </c>
      <c r="C7175" s="2" t="s">
        <v>50</v>
      </c>
      <c r="D7175" s="2" t="s">
        <v>51</v>
      </c>
      <c r="E7175" s="5">
        <v>-28217</v>
      </c>
      <c r="F7175" s="3" t="s">
        <v>1892</v>
      </c>
      <c r="G7175" s="3" t="s">
        <v>1952</v>
      </c>
      <c r="H7175" s="2" t="s">
        <v>20</v>
      </c>
      <c r="I7175" s="2" t="s">
        <v>14041</v>
      </c>
      <c r="J7175" s="3" t="str">
        <f>HYPERLINK("https://www.boe.es/gazeta/dias/1822/09/28/pdfs/GMD-1822-284.pdf#page=2","Abrir facsímil")</f>
        <v>Abrir facsímil</v>
      </c>
      <c r="K7175" s="3" t="s">
        <v>22</v>
      </c>
    </row>
    <row r="7176" spans="1:11" ht="42" customHeight="1">
      <c r="A7176" s="2" t="s">
        <v>14027</v>
      </c>
      <c r="B7176" s="2" t="s">
        <v>14027</v>
      </c>
      <c r="C7176" s="2" t="s">
        <v>50</v>
      </c>
      <c r="D7176" s="2" t="s">
        <v>51</v>
      </c>
      <c r="E7176" s="5">
        <v>-28213</v>
      </c>
      <c r="F7176" s="3" t="s">
        <v>558</v>
      </c>
      <c r="G7176" s="3" t="s">
        <v>57</v>
      </c>
      <c r="H7176" s="2" t="s">
        <v>20</v>
      </c>
      <c r="I7176" s="2" t="s">
        <v>14042</v>
      </c>
      <c r="J7176" s="3" t="str">
        <f>HYPERLINK("https://www.boe.es/gazeta/dias/1822/10/02/pdfs/GMD-1822-288.pdf#page=4","Abrir facsímil")</f>
        <v>Abrir facsímil</v>
      </c>
      <c r="K7176" s="3" t="s">
        <v>22</v>
      </c>
    </row>
    <row r="7177" spans="1:11" ht="42" customHeight="1">
      <c r="A7177" s="2" t="s">
        <v>14027</v>
      </c>
      <c r="B7177" s="2" t="s">
        <v>14027</v>
      </c>
      <c r="C7177" s="2" t="s">
        <v>50</v>
      </c>
      <c r="D7177" s="2" t="s">
        <v>51</v>
      </c>
      <c r="E7177" s="5">
        <v>-28162</v>
      </c>
      <c r="F7177" s="3" t="s">
        <v>3949</v>
      </c>
      <c r="G7177" s="3" t="s">
        <v>57</v>
      </c>
      <c r="H7177" s="2" t="s">
        <v>20</v>
      </c>
      <c r="I7177" s="2" t="s">
        <v>14043</v>
      </c>
      <c r="J7177" s="3" t="str">
        <f>HYPERLINK("https://www.boe.es/gazeta/dias/1822/11/22/pdfs/GMD-1822-342.pdf#page=4","Abrir facsímil")</f>
        <v>Abrir facsímil</v>
      </c>
      <c r="K7177" s="3" t="s">
        <v>22</v>
      </c>
    </row>
    <row r="7178" spans="1:11" ht="42" customHeight="1">
      <c r="A7178" s="2" t="s">
        <v>14027</v>
      </c>
      <c r="B7178" s="2" t="s">
        <v>14027</v>
      </c>
      <c r="C7178" s="2" t="s">
        <v>50</v>
      </c>
      <c r="D7178" s="2" t="s">
        <v>51</v>
      </c>
      <c r="E7178" s="5">
        <v>-28153</v>
      </c>
      <c r="F7178" s="3" t="s">
        <v>946</v>
      </c>
      <c r="G7178" s="3" t="s">
        <v>44</v>
      </c>
      <c r="H7178" s="2" t="s">
        <v>20</v>
      </c>
      <c r="I7178" s="2" t="s">
        <v>14044</v>
      </c>
      <c r="J7178" s="3" t="str">
        <f>HYPERLINK("https://www.boe.es/gazeta/dias/1822/12/01/pdfs/GMD-1822-351.pdf#page=1","Abrir facsímil")</f>
        <v>Abrir facsímil</v>
      </c>
      <c r="K7178" s="3" t="s">
        <v>22</v>
      </c>
    </row>
    <row r="7179" spans="1:11" ht="42" customHeight="1">
      <c r="A7179" s="2" t="s">
        <v>14045</v>
      </c>
      <c r="B7179" s="2" t="s">
        <v>14045</v>
      </c>
      <c r="C7179" s="2" t="s">
        <v>50</v>
      </c>
      <c r="D7179" s="2" t="s">
        <v>51</v>
      </c>
      <c r="E7179" s="5">
        <v>-28124</v>
      </c>
      <c r="F7179" s="3" t="s">
        <v>301</v>
      </c>
      <c r="G7179" s="3" t="s">
        <v>63</v>
      </c>
      <c r="H7179" s="2" t="s">
        <v>20</v>
      </c>
      <c r="I7179" s="2" t="s">
        <v>14046</v>
      </c>
      <c r="J7179" s="3" t="str">
        <f>HYPERLINK("https://www.boe.es/gazeta/dias/1822/12/30/pdfs/GMD-1822-380.pdf#page=6","Abrir facsímil")</f>
        <v>Abrir facsímil</v>
      </c>
      <c r="K7179" s="3" t="s">
        <v>22</v>
      </c>
    </row>
    <row r="7180" spans="1:11" ht="42" customHeight="1">
      <c r="A7180" s="2" t="s">
        <v>14047</v>
      </c>
      <c r="B7180" s="2" t="s">
        <v>14048</v>
      </c>
      <c r="C7180" s="2" t="s">
        <v>50</v>
      </c>
      <c r="D7180" s="2" t="s">
        <v>51</v>
      </c>
      <c r="E7180" s="5">
        <v>-28461</v>
      </c>
      <c r="F7180" s="3" t="s">
        <v>1801</v>
      </c>
      <c r="G7180" s="3" t="s">
        <v>35</v>
      </c>
      <c r="H7180" s="2" t="s">
        <v>20</v>
      </c>
      <c r="I7180" s="2" t="s">
        <v>14049</v>
      </c>
      <c r="J7180" s="3" t="str">
        <f>HYPERLINK("https://www.boe.es/gazeta/dias/1822/01/27/pdfs/GMD-1822-27.pdf#page=2","Abrir facsímil")</f>
        <v>Abrir facsímil</v>
      </c>
      <c r="K7180" s="3" t="s">
        <v>22</v>
      </c>
    </row>
    <row r="7181" spans="1:11" ht="42" customHeight="1">
      <c r="A7181" s="2" t="s">
        <v>14047</v>
      </c>
      <c r="B7181" s="2" t="s">
        <v>14048</v>
      </c>
      <c r="C7181" s="2" t="s">
        <v>42</v>
      </c>
      <c r="D7181" s="2" t="s">
        <v>17</v>
      </c>
      <c r="E7181" s="5">
        <v>-28460</v>
      </c>
      <c r="F7181" s="3" t="s">
        <v>112</v>
      </c>
      <c r="G7181" s="3" t="s">
        <v>35</v>
      </c>
      <c r="H7181" s="2" t="s">
        <v>20</v>
      </c>
      <c r="I7181" s="2" t="s">
        <v>14050</v>
      </c>
      <c r="J7181" s="3" t="str">
        <f>HYPERLINK("https://www.boe.es/gazeta/dias/1822/01/28/pdfs/GMD-1822-28.pdf#page=2","Abrir facsímil")</f>
        <v>Abrir facsímil</v>
      </c>
      <c r="K7181" s="3" t="s">
        <v>22</v>
      </c>
    </row>
    <row r="7182" spans="1:11" ht="42" customHeight="1">
      <c r="A7182" s="2" t="s">
        <v>14051</v>
      </c>
      <c r="B7182" s="2" t="s">
        <v>14052</v>
      </c>
      <c r="C7182" s="2" t="s">
        <v>50</v>
      </c>
      <c r="D7182" s="2" t="s">
        <v>51</v>
      </c>
      <c r="E7182" s="5">
        <v>-28288</v>
      </c>
      <c r="F7182" s="3" t="s">
        <v>970</v>
      </c>
      <c r="G7182" s="3" t="s">
        <v>44</v>
      </c>
      <c r="H7182" s="2" t="s">
        <v>20</v>
      </c>
      <c r="I7182" s="2" t="s">
        <v>14053</v>
      </c>
      <c r="J7182" s="3" t="str">
        <f>HYPERLINK("https://www.boe.es/gazeta/dias/1822/07/19/pdfs/GMD-1822-211.pdf#page=1","Abrir facsímil")</f>
        <v>Abrir facsímil</v>
      </c>
      <c r="K7182" s="3" t="s">
        <v>22</v>
      </c>
    </row>
    <row r="7183" spans="1:11" ht="42" customHeight="1">
      <c r="A7183" s="2" t="s">
        <v>14051</v>
      </c>
      <c r="B7183" s="2" t="s">
        <v>14052</v>
      </c>
      <c r="C7183" s="2" t="s">
        <v>50</v>
      </c>
      <c r="D7183" s="2" t="s">
        <v>51</v>
      </c>
      <c r="E7183" s="5">
        <v>-28210</v>
      </c>
      <c r="F7183" s="3" t="s">
        <v>218</v>
      </c>
      <c r="G7183" s="3" t="s">
        <v>31</v>
      </c>
      <c r="H7183" s="2" t="s">
        <v>20</v>
      </c>
      <c r="I7183" s="2" t="s">
        <v>14054</v>
      </c>
      <c r="J7183" s="3" t="str">
        <f>HYPERLINK("https://www.boe.es/gazeta/dias/1822/10/05/pdfs/GMD-1822-291.pdf#page=3","Abrir facsímil")</f>
        <v>Abrir facsímil</v>
      </c>
      <c r="K7183" s="3" t="s">
        <v>22</v>
      </c>
    </row>
    <row r="7184" spans="1:11" ht="42" customHeight="1">
      <c r="A7184" s="2" t="s">
        <v>14055</v>
      </c>
      <c r="B7184" s="2" t="s">
        <v>14056</v>
      </c>
      <c r="C7184" s="2" t="s">
        <v>24</v>
      </c>
      <c r="D7184" s="2" t="s">
        <v>17</v>
      </c>
      <c r="E7184" s="5">
        <v>-28208</v>
      </c>
      <c r="F7184" s="3" t="s">
        <v>230</v>
      </c>
      <c r="G7184" s="3" t="s">
        <v>57</v>
      </c>
      <c r="H7184" s="2" t="s">
        <v>20</v>
      </c>
      <c r="I7184" s="2" t="s">
        <v>14057</v>
      </c>
      <c r="J7184" s="3" t="str">
        <f>HYPERLINK("https://www.boe.es/gazeta/dias/1822/10/07/pdfs/GMD-1822-293.pdf#page=4","Abrir facsímil")</f>
        <v>Abrir facsímil</v>
      </c>
      <c r="K7184" s="3" t="s">
        <v>22</v>
      </c>
    </row>
    <row r="7185" spans="1:11" ht="42" customHeight="1">
      <c r="A7185" s="2" t="s">
        <v>14058</v>
      </c>
      <c r="B7185" s="2" t="s">
        <v>14059</v>
      </c>
      <c r="C7185" s="2" t="s">
        <v>71</v>
      </c>
      <c r="D7185" s="2" t="s">
        <v>17</v>
      </c>
      <c r="E7185" s="5">
        <v>-28207</v>
      </c>
      <c r="F7185" s="3" t="s">
        <v>1325</v>
      </c>
      <c r="G7185" s="3" t="s">
        <v>31</v>
      </c>
      <c r="H7185" s="2" t="s">
        <v>20</v>
      </c>
      <c r="I7185" s="2" t="s">
        <v>14060</v>
      </c>
      <c r="J7185" s="3" t="str">
        <f>HYPERLINK("https://www.boe.es/gazeta/dias/1822/10/08/pdfs/GMD-1822-295.pdf#page=3","Abrir facsímil")</f>
        <v>Abrir facsímil</v>
      </c>
      <c r="K7185" s="3" t="s">
        <v>22</v>
      </c>
    </row>
    <row r="7186" spans="1:11" ht="42" customHeight="1">
      <c r="A7186" s="2" t="s">
        <v>14061</v>
      </c>
      <c r="B7186" s="2" t="s">
        <v>14062</v>
      </c>
      <c r="C7186" s="2" t="s">
        <v>42</v>
      </c>
      <c r="D7186" s="2" t="s">
        <v>17</v>
      </c>
      <c r="E7186" s="5">
        <v>-28468</v>
      </c>
      <c r="F7186" s="3" t="s">
        <v>1012</v>
      </c>
      <c r="G7186" s="3" t="s">
        <v>35</v>
      </c>
      <c r="H7186" s="2" t="s">
        <v>20</v>
      </c>
      <c r="I7186" s="2" t="s">
        <v>14063</v>
      </c>
      <c r="J7186" s="3" t="str">
        <f>HYPERLINK("https://www.boe.es/gazeta/dias/1822/01/20/pdfs/GMD-1822-20.pdf#page=2","Abrir facsímil")</f>
        <v>Abrir facsímil</v>
      </c>
      <c r="K7186" s="3" t="s">
        <v>22</v>
      </c>
    </row>
    <row r="7187" spans="1:11" ht="42" customHeight="1">
      <c r="A7187" s="2" t="s">
        <v>14064</v>
      </c>
      <c r="B7187" s="2" t="s">
        <v>14065</v>
      </c>
      <c r="C7187" s="2" t="s">
        <v>42</v>
      </c>
      <c r="D7187" s="2" t="s">
        <v>17</v>
      </c>
      <c r="E7187" s="5">
        <v>-28479</v>
      </c>
      <c r="F7187" s="3" t="s">
        <v>1091</v>
      </c>
      <c r="G7187" s="3" t="s">
        <v>35</v>
      </c>
      <c r="H7187" s="2" t="s">
        <v>20</v>
      </c>
      <c r="I7187" s="2" t="s">
        <v>14066</v>
      </c>
      <c r="J7187" s="3" t="str">
        <f>HYPERLINK("https://www.boe.es/gazeta/dias/1822/01/09/pdfs/GMD-1822-9.pdf#page=2","Abrir facsímil")</f>
        <v>Abrir facsímil</v>
      </c>
      <c r="K7187" s="3" t="s">
        <v>22</v>
      </c>
    </row>
    <row r="7188" spans="1:11" ht="42" customHeight="1">
      <c r="A7188" s="2" t="s">
        <v>14067</v>
      </c>
      <c r="B7188" s="2" t="s">
        <v>14068</v>
      </c>
      <c r="C7188" s="2" t="s">
        <v>28</v>
      </c>
      <c r="D7188" s="2" t="s">
        <v>29</v>
      </c>
      <c r="E7188" s="5">
        <v>-28470</v>
      </c>
      <c r="F7188" s="3" t="s">
        <v>1444</v>
      </c>
      <c r="G7188" s="3" t="s">
        <v>57</v>
      </c>
      <c r="H7188" s="2" t="s">
        <v>20</v>
      </c>
      <c r="I7188" s="2" t="s">
        <v>14069</v>
      </c>
      <c r="J7188" s="3" t="str">
        <f>HYPERLINK("https://www.boe.es/gazeta/dias/1822/01/18/pdfs/GMD-1822-18.pdf#page=4","Abrir facsímil")</f>
        <v>Abrir facsímil</v>
      </c>
      <c r="K7188" s="3" t="s">
        <v>22</v>
      </c>
    </row>
    <row r="7189" spans="1:11" ht="42" customHeight="1">
      <c r="A7189" s="2" t="s">
        <v>14064</v>
      </c>
      <c r="B7189" s="2" t="s">
        <v>14065</v>
      </c>
      <c r="C7189" s="2" t="s">
        <v>50</v>
      </c>
      <c r="D7189" s="2" t="s">
        <v>51</v>
      </c>
      <c r="E7189" s="5">
        <v>-28379</v>
      </c>
      <c r="F7189" s="3" t="s">
        <v>494</v>
      </c>
      <c r="G7189" s="3" t="s">
        <v>57</v>
      </c>
      <c r="H7189" s="2" t="s">
        <v>20</v>
      </c>
      <c r="I7189" s="2" t="s">
        <v>14070</v>
      </c>
      <c r="J7189" s="3" t="str">
        <f>HYPERLINK("https://www.boe.es/gazeta/dias/1822/04/19/pdfs/GMD-1822-111.pdf#page=4","Abrir facsímil")</f>
        <v>Abrir facsímil</v>
      </c>
      <c r="K7189" s="3" t="s">
        <v>22</v>
      </c>
    </row>
    <row r="7190" spans="1:11" ht="42" customHeight="1">
      <c r="A7190" s="2" t="s">
        <v>14071</v>
      </c>
      <c r="B7190" s="2" t="s">
        <v>14071</v>
      </c>
      <c r="C7190" s="2" t="s">
        <v>50</v>
      </c>
      <c r="D7190" s="2" t="s">
        <v>51</v>
      </c>
      <c r="E7190" s="5">
        <v>-28127</v>
      </c>
      <c r="F7190" s="3" t="s">
        <v>409</v>
      </c>
      <c r="G7190" s="3" t="s">
        <v>35</v>
      </c>
      <c r="H7190" s="2" t="s">
        <v>20</v>
      </c>
      <c r="I7190" s="2" t="s">
        <v>14072</v>
      </c>
      <c r="J7190" s="3" t="str">
        <f>HYPERLINK("https://www.boe.es/gazeta/dias/1822/12/27/pdfs/GMD-1822-377.pdf#page=2","Abrir facsímil")</f>
        <v>Abrir facsímil</v>
      </c>
      <c r="K7190" s="3" t="s">
        <v>22</v>
      </c>
    </row>
    <row r="7191" spans="1:11" ht="42" customHeight="1">
      <c r="A7191" s="2" t="s">
        <v>14073</v>
      </c>
      <c r="B7191" s="2" t="s">
        <v>14073</v>
      </c>
      <c r="C7191" s="2" t="s">
        <v>71</v>
      </c>
      <c r="D7191" s="2" t="s">
        <v>17</v>
      </c>
      <c r="E7191" s="5">
        <v>-28346</v>
      </c>
      <c r="F7191" s="3" t="s">
        <v>191</v>
      </c>
      <c r="G7191" s="3" t="s">
        <v>44</v>
      </c>
      <c r="H7191" s="2" t="s">
        <v>20</v>
      </c>
      <c r="I7191" s="2" t="s">
        <v>14074</v>
      </c>
      <c r="J7191" s="3" t="str">
        <f>HYPERLINK("https://www.boe.es/gazeta/dias/1822/05/22/pdfs/GMD-1822-145.pdf#page=1","Abrir facsímil")</f>
        <v>Abrir facsímil</v>
      </c>
      <c r="K7191" s="3" t="s">
        <v>22</v>
      </c>
    </row>
    <row r="7192" spans="1:11" ht="42" customHeight="1">
      <c r="A7192" s="2" t="s">
        <v>14075</v>
      </c>
      <c r="B7192" s="2" t="s">
        <v>14075</v>
      </c>
      <c r="C7192" s="2" t="s">
        <v>28</v>
      </c>
      <c r="D7192" s="2" t="s">
        <v>29</v>
      </c>
      <c r="E7192" s="5">
        <v>-28465</v>
      </c>
      <c r="F7192" s="3" t="s">
        <v>1114</v>
      </c>
      <c r="G7192" s="3" t="s">
        <v>19</v>
      </c>
      <c r="H7192" s="2" t="s">
        <v>20</v>
      </c>
      <c r="I7192" s="2" t="s">
        <v>14076</v>
      </c>
      <c r="J7192" s="3" t="str">
        <f>HYPERLINK("https://www.boe.es/gazeta/dias/1822/01/23/pdfs/GMD-1822-23.pdf#page=5","Abrir facsímil")</f>
        <v>Abrir facsímil</v>
      </c>
      <c r="K7192" s="3" t="s">
        <v>22</v>
      </c>
    </row>
    <row r="7193" spans="1:11" ht="42" customHeight="1">
      <c r="A7193" s="2" t="s">
        <v>14075</v>
      </c>
      <c r="B7193" s="2" t="s">
        <v>14075</v>
      </c>
      <c r="C7193" s="2" t="s">
        <v>28</v>
      </c>
      <c r="D7193" s="2" t="s">
        <v>29</v>
      </c>
      <c r="E7193" s="5">
        <v>-28454</v>
      </c>
      <c r="F7193" s="3" t="s">
        <v>2033</v>
      </c>
      <c r="G7193" s="3" t="s">
        <v>57</v>
      </c>
      <c r="H7193" s="2" t="s">
        <v>20</v>
      </c>
      <c r="I7193" s="2" t="s">
        <v>14077</v>
      </c>
      <c r="J7193" s="3" t="str">
        <f>HYPERLINK("https://www.boe.es/gazeta/dias/1822/02/03/pdfs/GMD-1822-34.pdf#page=4","Abrir facsímil")</f>
        <v>Abrir facsímil</v>
      </c>
      <c r="K7193" s="3" t="s">
        <v>22</v>
      </c>
    </row>
    <row r="7194" spans="1:11" ht="42" customHeight="1">
      <c r="A7194" s="2" t="s">
        <v>14075</v>
      </c>
      <c r="B7194" s="2" t="s">
        <v>14075</v>
      </c>
      <c r="C7194" s="2" t="s">
        <v>362</v>
      </c>
      <c r="D7194" s="2" t="s">
        <v>17</v>
      </c>
      <c r="E7194" s="5">
        <v>-28453</v>
      </c>
      <c r="F7194" s="3" t="s">
        <v>2039</v>
      </c>
      <c r="G7194" s="3" t="s">
        <v>57</v>
      </c>
      <c r="H7194" s="2" t="s">
        <v>20</v>
      </c>
      <c r="I7194" s="2" t="s">
        <v>14078</v>
      </c>
      <c r="J7194" s="3" t="str">
        <f>HYPERLINK("https://www.boe.es/gazeta/dias/1822/02/04/pdfs/GMD-1822-35.pdf#page=4","Abrir facsímil")</f>
        <v>Abrir facsímil</v>
      </c>
      <c r="K7194" s="3" t="s">
        <v>22</v>
      </c>
    </row>
    <row r="7195" spans="1:11" ht="42" customHeight="1">
      <c r="A7195" s="2" t="s">
        <v>14079</v>
      </c>
      <c r="B7195" s="2" t="s">
        <v>14080</v>
      </c>
      <c r="C7195" s="2" t="s">
        <v>28</v>
      </c>
      <c r="D7195" s="2" t="s">
        <v>29</v>
      </c>
      <c r="E7195" s="5">
        <v>-28436</v>
      </c>
      <c r="F7195" s="3" t="s">
        <v>431</v>
      </c>
      <c r="G7195" s="3" t="s">
        <v>57</v>
      </c>
      <c r="H7195" s="2" t="s">
        <v>20</v>
      </c>
      <c r="I7195" s="2" t="s">
        <v>14081</v>
      </c>
      <c r="J7195" s="3" t="str">
        <f>HYPERLINK("https://www.boe.es/gazeta/dias/1822/02/21/pdfs/GMD-1822-53.pdf#page=4","Abrir facsímil")</f>
        <v>Abrir facsímil</v>
      </c>
      <c r="K7195" s="3" t="s">
        <v>22</v>
      </c>
    </row>
    <row r="7196" spans="1:11" ht="42" customHeight="1">
      <c r="A7196" s="2" t="s">
        <v>14079</v>
      </c>
      <c r="B7196" s="2" t="s">
        <v>14080</v>
      </c>
      <c r="C7196" s="2" t="s">
        <v>28</v>
      </c>
      <c r="D7196" s="2" t="s">
        <v>29</v>
      </c>
      <c r="E7196" s="5">
        <v>-28394</v>
      </c>
      <c r="F7196" s="3" t="s">
        <v>268</v>
      </c>
      <c r="G7196" s="3" t="s">
        <v>57</v>
      </c>
      <c r="H7196" s="2" t="s">
        <v>20</v>
      </c>
      <c r="I7196" s="2" t="s">
        <v>14082</v>
      </c>
      <c r="J7196" s="3" t="str">
        <f>HYPERLINK("https://www.boe.es/gazeta/dias/1822/04/04/pdfs/GMD-1822-96.pdf#page=4","Abrir facsímil")</f>
        <v>Abrir facsímil</v>
      </c>
      <c r="K7196" s="3" t="s">
        <v>22</v>
      </c>
    </row>
    <row r="7197" spans="1:11" ht="42" customHeight="1">
      <c r="A7197" s="2" t="s">
        <v>14079</v>
      </c>
      <c r="B7197" s="2" t="s">
        <v>14080</v>
      </c>
      <c r="C7197" s="2" t="s">
        <v>50</v>
      </c>
      <c r="D7197" s="2" t="s">
        <v>51</v>
      </c>
      <c r="E7197" s="5">
        <v>-28216</v>
      </c>
      <c r="F7197" s="3" t="s">
        <v>4661</v>
      </c>
      <c r="G7197" s="3" t="s">
        <v>57</v>
      </c>
      <c r="H7197" s="2" t="s">
        <v>20</v>
      </c>
      <c r="I7197" s="2" t="s">
        <v>14083</v>
      </c>
      <c r="J7197" s="3" t="str">
        <f>HYPERLINK("https://www.boe.es/gazeta/dias/1822/09/29/pdfs/GMD-1822-285.pdf#page=4","Abrir facsímil")</f>
        <v>Abrir facsímil</v>
      </c>
      <c r="K7197" s="3" t="s">
        <v>22</v>
      </c>
    </row>
    <row r="7198" spans="1:11" ht="42" customHeight="1">
      <c r="A7198" s="2" t="s">
        <v>14084</v>
      </c>
      <c r="B7198" s="2" t="s">
        <v>14085</v>
      </c>
      <c r="C7198" s="2" t="s">
        <v>50</v>
      </c>
      <c r="D7198" s="2" t="s">
        <v>51</v>
      </c>
      <c r="E7198" s="5">
        <v>-28145</v>
      </c>
      <c r="F7198" s="3" t="s">
        <v>1350</v>
      </c>
      <c r="G7198" s="3" t="s">
        <v>44</v>
      </c>
      <c r="H7198" s="2" t="s">
        <v>20</v>
      </c>
      <c r="I7198" s="2" t="s">
        <v>14086</v>
      </c>
      <c r="J7198" s="3" t="str">
        <f>HYPERLINK("https://www.boe.es/gazeta/dias/1822/12/09/pdfs/GMD-1822-359.pdf#page=1","Abrir facsímil")</f>
        <v>Abrir facsímil</v>
      </c>
      <c r="K7198" s="3" t="s">
        <v>22</v>
      </c>
    </row>
    <row r="7199" spans="1:11" ht="42" customHeight="1">
      <c r="A7199" s="2" t="s">
        <v>14087</v>
      </c>
      <c r="B7199" s="2" t="s">
        <v>14088</v>
      </c>
      <c r="C7199" s="2" t="s">
        <v>50</v>
      </c>
      <c r="D7199" s="2" t="s">
        <v>51</v>
      </c>
      <c r="E7199" s="5">
        <v>-28123</v>
      </c>
      <c r="F7199" s="3" t="s">
        <v>603</v>
      </c>
      <c r="G7199" s="3" t="s">
        <v>2642</v>
      </c>
      <c r="H7199" s="2" t="s">
        <v>20</v>
      </c>
      <c r="I7199" s="2" t="s">
        <v>14089</v>
      </c>
      <c r="J7199" s="3" t="str">
        <f>HYPERLINK("https://www.boe.es/gazeta/dias/1822/12/31/pdfs/GMD-1822-381.pdf#page=6","Abrir facsímil")</f>
        <v>Abrir facsímil</v>
      </c>
      <c r="K7199" s="3" t="s">
        <v>22</v>
      </c>
    </row>
    <row r="7200" spans="1:11" ht="42" customHeight="1">
      <c r="A7200" s="2" t="s">
        <v>14090</v>
      </c>
      <c r="B7200" s="2" t="s">
        <v>14090</v>
      </c>
      <c r="C7200" s="2" t="s">
        <v>28</v>
      </c>
      <c r="D7200" s="2" t="s">
        <v>29</v>
      </c>
      <c r="E7200" s="5">
        <v>-28480</v>
      </c>
      <c r="F7200" s="3" t="s">
        <v>995</v>
      </c>
      <c r="G7200" s="3" t="s">
        <v>31</v>
      </c>
      <c r="H7200" s="2" t="s">
        <v>20</v>
      </c>
      <c r="I7200" s="2" t="s">
        <v>14091</v>
      </c>
      <c r="J7200" s="3" t="str">
        <f>HYPERLINK("https://www.boe.es/gazeta/dias/1822/01/08/pdfs/GMD-1822-8.pdf#page=3","Abrir facsímil")</f>
        <v>Abrir facsímil</v>
      </c>
      <c r="K7200" s="3" t="s">
        <v>22</v>
      </c>
    </row>
    <row r="7201" spans="1:11" ht="42" customHeight="1">
      <c r="A7201" s="2" t="s">
        <v>14092</v>
      </c>
      <c r="B7201" s="2" t="s">
        <v>14092</v>
      </c>
      <c r="C7201" s="2" t="s">
        <v>50</v>
      </c>
      <c r="D7201" s="2" t="s">
        <v>51</v>
      </c>
      <c r="E7201" s="5">
        <v>-28486</v>
      </c>
      <c r="F7201" s="3" t="s">
        <v>1046</v>
      </c>
      <c r="G7201" s="3" t="s">
        <v>57</v>
      </c>
      <c r="H7201" s="2" t="s">
        <v>20</v>
      </c>
      <c r="I7201" s="2" t="s">
        <v>14093</v>
      </c>
      <c r="J7201" s="3" t="str">
        <f>HYPERLINK("https://www.boe.es/gazeta/dias/1822/01/02/pdfs/GMD-1822-2.pdf#page=4","Abrir facsímil")</f>
        <v>Abrir facsímil</v>
      </c>
      <c r="K7201" s="3" t="s">
        <v>22</v>
      </c>
    </row>
    <row r="7202" spans="1:11" ht="42" customHeight="1">
      <c r="A7202" s="2" t="s">
        <v>14092</v>
      </c>
      <c r="B7202" s="2" t="s">
        <v>14092</v>
      </c>
      <c r="C7202" s="2" t="s">
        <v>71</v>
      </c>
      <c r="D7202" s="2" t="s">
        <v>17</v>
      </c>
      <c r="E7202" s="5">
        <v>-28252</v>
      </c>
      <c r="F7202" s="3" t="s">
        <v>4333</v>
      </c>
      <c r="G7202" s="3" t="s">
        <v>35</v>
      </c>
      <c r="H7202" s="2" t="s">
        <v>20</v>
      </c>
      <c r="I7202" s="2" t="s">
        <v>14094</v>
      </c>
      <c r="J7202" s="3" t="str">
        <f>HYPERLINK("https://www.boe.es/gazeta/dias/1822/08/24/pdfs/GMD-1822-248.pdf#page=2","Abrir facsímil")</f>
        <v>Abrir facsímil</v>
      </c>
      <c r="K7202" s="3" t="s">
        <v>22</v>
      </c>
    </row>
    <row r="7203" spans="1:11" ht="42" customHeight="1">
      <c r="A7203" s="2" t="s">
        <v>14092</v>
      </c>
      <c r="B7203" s="2" t="s">
        <v>14092</v>
      </c>
      <c r="C7203" s="2" t="s">
        <v>50</v>
      </c>
      <c r="D7203" s="2" t="s">
        <v>51</v>
      </c>
      <c r="E7203" s="5">
        <v>-28231</v>
      </c>
      <c r="F7203" s="3" t="s">
        <v>2049</v>
      </c>
      <c r="G7203" s="3" t="s">
        <v>31</v>
      </c>
      <c r="H7203" s="2" t="s">
        <v>20</v>
      </c>
      <c r="I7203" s="2" t="s">
        <v>14095</v>
      </c>
      <c r="J7203" s="3" t="str">
        <f>HYPERLINK("https://www.boe.es/gazeta/dias/1822/09/14/pdfs/GMD-1822-270.pdf#page=3","Abrir facsímil")</f>
        <v>Abrir facsímil</v>
      </c>
      <c r="K7203" s="3" t="s">
        <v>22</v>
      </c>
    </row>
    <row r="7204" spans="1:11" ht="42" customHeight="1">
      <c r="A7204" s="2" t="s">
        <v>14092</v>
      </c>
      <c r="B7204" s="2" t="s">
        <v>14092</v>
      </c>
      <c r="C7204" s="2" t="s">
        <v>50</v>
      </c>
      <c r="D7204" s="2" t="s">
        <v>51</v>
      </c>
      <c r="E7204" s="5">
        <v>-28206</v>
      </c>
      <c r="F7204" s="3" t="s">
        <v>562</v>
      </c>
      <c r="G7204" s="3" t="s">
        <v>57</v>
      </c>
      <c r="H7204" s="2" t="s">
        <v>20</v>
      </c>
      <c r="I7204" s="2" t="s">
        <v>14096</v>
      </c>
      <c r="J7204" s="3" t="str">
        <f>HYPERLINK("https://www.boe.es/gazeta/dias/1822/10/09/pdfs/GMD-1822-296.pdf#page=4","Abrir facsímil")</f>
        <v>Abrir facsímil</v>
      </c>
      <c r="K7204" s="3" t="s">
        <v>22</v>
      </c>
    </row>
    <row r="7205" spans="1:11" ht="42" customHeight="1">
      <c r="A7205" s="2" t="s">
        <v>14092</v>
      </c>
      <c r="B7205" s="2" t="s">
        <v>14092</v>
      </c>
      <c r="C7205" s="2" t="s">
        <v>50</v>
      </c>
      <c r="D7205" s="2" t="s">
        <v>51</v>
      </c>
      <c r="E7205" s="5">
        <v>-28191</v>
      </c>
      <c r="F7205" s="3" t="s">
        <v>710</v>
      </c>
      <c r="G7205" s="3" t="s">
        <v>167</v>
      </c>
      <c r="H7205" s="2" t="s">
        <v>20</v>
      </c>
      <c r="I7205" s="2" t="s">
        <v>14097</v>
      </c>
      <c r="J7205" s="3" t="str">
        <f>HYPERLINK("https://www.boe.es/gazeta/dias/1822/10/24/pdfs/GMD-1822-311.pdf#page=7","Abrir facsímil")</f>
        <v>Abrir facsímil</v>
      </c>
      <c r="K7205" s="3" t="s">
        <v>22</v>
      </c>
    </row>
    <row r="7206" spans="1:11" ht="42" customHeight="1">
      <c r="A7206" s="2" t="s">
        <v>14092</v>
      </c>
      <c r="B7206" s="2" t="s">
        <v>14092</v>
      </c>
      <c r="C7206" s="2" t="s">
        <v>50</v>
      </c>
      <c r="D7206" s="2" t="s">
        <v>51</v>
      </c>
      <c r="E7206" s="5">
        <v>-28144</v>
      </c>
      <c r="F7206" s="3" t="s">
        <v>288</v>
      </c>
      <c r="G7206" s="3" t="s">
        <v>19</v>
      </c>
      <c r="H7206" s="2" t="s">
        <v>20</v>
      </c>
      <c r="I7206" s="2" t="s">
        <v>14098</v>
      </c>
      <c r="J7206" s="3" t="str">
        <f>HYPERLINK("https://www.boe.es/gazeta/dias/1822/12/10/pdfs/GMD-1822-360.pdf#page=5","Abrir facsímil")</f>
        <v>Abrir facsímil</v>
      </c>
      <c r="K7206" s="3" t="s">
        <v>22</v>
      </c>
    </row>
    <row r="7207" spans="1:11" ht="42" customHeight="1">
      <c r="A7207" s="2" t="s">
        <v>14099</v>
      </c>
      <c r="B7207" s="2" t="s">
        <v>14100</v>
      </c>
      <c r="C7207" s="2" t="s">
        <v>71</v>
      </c>
      <c r="D7207" s="2" t="s">
        <v>17</v>
      </c>
      <c r="E7207" s="5">
        <v>-28193</v>
      </c>
      <c r="F7207" s="3" t="s">
        <v>574</v>
      </c>
      <c r="G7207" s="3" t="s">
        <v>63</v>
      </c>
      <c r="H7207" s="2" t="s">
        <v>20</v>
      </c>
      <c r="I7207" s="2" t="s">
        <v>14101</v>
      </c>
      <c r="J7207" s="3" t="str">
        <f>HYPERLINK("https://www.boe.es/gazeta/dias/1822/10/22/pdfs/GMD-1822-309.pdf#page=6","Abrir facsímil")</f>
        <v>Abrir facsímil</v>
      </c>
      <c r="K7207" s="3" t="s">
        <v>22</v>
      </c>
    </row>
    <row r="7208" spans="1:11" ht="42" customHeight="1">
      <c r="A7208" s="2" t="s">
        <v>14102</v>
      </c>
      <c r="B7208" s="2" t="s">
        <v>14102</v>
      </c>
      <c r="C7208" s="2" t="s">
        <v>50</v>
      </c>
      <c r="D7208" s="2" t="s">
        <v>51</v>
      </c>
      <c r="E7208" s="5">
        <v>-28415</v>
      </c>
      <c r="F7208" s="3" t="s">
        <v>77</v>
      </c>
      <c r="G7208" s="3" t="s">
        <v>63</v>
      </c>
      <c r="H7208" s="2" t="s">
        <v>20</v>
      </c>
      <c r="I7208" s="2" t="s">
        <v>14103</v>
      </c>
      <c r="J7208" s="3" t="str">
        <f>HYPERLINK("https://www.boe.es/gazeta/dias/1822/03/14/pdfs/GMD-1822-75.pdf#page=6","Abrir facsímil")</f>
        <v>Abrir facsímil</v>
      </c>
      <c r="K7208" s="3" t="s">
        <v>22</v>
      </c>
    </row>
    <row r="7209" spans="1:11" ht="42" customHeight="1">
      <c r="A7209" s="2" t="s">
        <v>14104</v>
      </c>
      <c r="B7209" s="2" t="s">
        <v>14104</v>
      </c>
      <c r="C7209" s="2" t="s">
        <v>28</v>
      </c>
      <c r="D7209" s="2" t="s">
        <v>29</v>
      </c>
      <c r="E7209" s="5">
        <v>-28173</v>
      </c>
      <c r="F7209" s="3" t="s">
        <v>2959</v>
      </c>
      <c r="G7209" s="3" t="s">
        <v>57</v>
      </c>
      <c r="H7209" s="2" t="s">
        <v>20</v>
      </c>
      <c r="I7209" s="2" t="s">
        <v>14105</v>
      </c>
      <c r="J7209" s="3" t="str">
        <f>HYPERLINK("https://www.boe.es/gazeta/dias/1822/11/11/pdfs/GMD-1822-331.pdf#page=4","Abrir facsímil")</f>
        <v>Abrir facsímil</v>
      </c>
      <c r="K7209" s="3" t="s">
        <v>22</v>
      </c>
    </row>
    <row r="7210" spans="1:11" ht="42" customHeight="1">
      <c r="A7210" s="2" t="s">
        <v>14104</v>
      </c>
      <c r="B7210" s="2" t="s">
        <v>14104</v>
      </c>
      <c r="C7210" s="2" t="s">
        <v>50</v>
      </c>
      <c r="D7210" s="2" t="s">
        <v>51</v>
      </c>
      <c r="E7210" s="5">
        <v>-28171</v>
      </c>
      <c r="F7210" s="3" t="s">
        <v>1075</v>
      </c>
      <c r="G7210" s="3" t="s">
        <v>35</v>
      </c>
      <c r="H7210" s="2" t="s">
        <v>20</v>
      </c>
      <c r="I7210" s="2" t="s">
        <v>14106</v>
      </c>
      <c r="J7210" s="3" t="str">
        <f>HYPERLINK("https://www.boe.es/gazeta/dias/1822/11/13/pdfs/GMD-1822-333.pdf#page=2","Abrir facsímil")</f>
        <v>Abrir facsímil</v>
      </c>
      <c r="K7210" s="3" t="s">
        <v>22</v>
      </c>
    </row>
    <row r="7211" spans="1:11" ht="42" customHeight="1">
      <c r="A7211" s="2" t="s">
        <v>14104</v>
      </c>
      <c r="B7211" s="2" t="s">
        <v>14104</v>
      </c>
      <c r="C7211" s="2" t="s">
        <v>71</v>
      </c>
      <c r="D7211" s="2" t="s">
        <v>17</v>
      </c>
      <c r="E7211" s="5">
        <v>-28143</v>
      </c>
      <c r="F7211" s="3" t="s">
        <v>2967</v>
      </c>
      <c r="G7211" s="3" t="s">
        <v>35</v>
      </c>
      <c r="H7211" s="2" t="s">
        <v>20</v>
      </c>
      <c r="I7211" s="2" t="s">
        <v>14107</v>
      </c>
      <c r="J7211" s="3" t="str">
        <f>HYPERLINK("https://www.boe.es/gazeta/dias/1822/12/11/pdfs/GMD-1822-361.pdf#page=2","Abrir facsímil")</f>
        <v>Abrir facsímil</v>
      </c>
      <c r="K7211" s="3" t="s">
        <v>22</v>
      </c>
    </row>
    <row r="7212" spans="1:11" ht="42" customHeight="1">
      <c r="A7212" s="2" t="s">
        <v>14104</v>
      </c>
      <c r="B7212" s="2" t="s">
        <v>14104</v>
      </c>
      <c r="C7212" s="2" t="s">
        <v>28</v>
      </c>
      <c r="D7212" s="2" t="s">
        <v>29</v>
      </c>
      <c r="E7212" s="5">
        <v>-28139</v>
      </c>
      <c r="F7212" s="3" t="s">
        <v>143</v>
      </c>
      <c r="G7212" s="3" t="s">
        <v>31</v>
      </c>
      <c r="H7212" s="2" t="s">
        <v>20</v>
      </c>
      <c r="I7212" s="2" t="s">
        <v>14108</v>
      </c>
      <c r="J7212" s="3" t="str">
        <f>HYPERLINK("https://www.boe.es/gazeta/dias/1822/12/15/pdfs/GMD-1822-365.pdf#page=3","Abrir facsímil")</f>
        <v>Abrir facsímil</v>
      </c>
      <c r="K7212" s="3" t="s">
        <v>22</v>
      </c>
    </row>
    <row r="7213" spans="1:11" ht="42" customHeight="1">
      <c r="A7213" s="2" t="s">
        <v>14109</v>
      </c>
      <c r="B7213" s="2" t="s">
        <v>14109</v>
      </c>
      <c r="C7213" s="2" t="s">
        <v>71</v>
      </c>
      <c r="D7213" s="2" t="s">
        <v>17</v>
      </c>
      <c r="E7213" s="5">
        <v>-28427</v>
      </c>
      <c r="F7213" s="3" t="s">
        <v>755</v>
      </c>
      <c r="G7213" s="3" t="s">
        <v>57</v>
      </c>
      <c r="H7213" s="2" t="s">
        <v>20</v>
      </c>
      <c r="I7213" s="2" t="s">
        <v>14110</v>
      </c>
      <c r="J7213" s="3" t="str">
        <f>HYPERLINK("https://www.boe.es/gazeta/dias/1822/03/02/pdfs/GMD-1822-63.pdf#page=4","Abrir facsímil")</f>
        <v>Abrir facsímil</v>
      </c>
      <c r="K7213" s="3" t="s">
        <v>22</v>
      </c>
    </row>
    <row r="7214" spans="1:11" ht="42" customHeight="1">
      <c r="A7214" s="2" t="s">
        <v>14111</v>
      </c>
      <c r="B7214" s="2" t="s">
        <v>14112</v>
      </c>
      <c r="C7214" s="2" t="s">
        <v>42</v>
      </c>
      <c r="D7214" s="2" t="s">
        <v>17</v>
      </c>
      <c r="E7214" s="5">
        <v>-28311</v>
      </c>
      <c r="F7214" s="3" t="s">
        <v>736</v>
      </c>
      <c r="G7214" s="3" t="s">
        <v>157</v>
      </c>
      <c r="H7214" s="2" t="s">
        <v>20</v>
      </c>
      <c r="I7214" s="2" t="s">
        <v>14113</v>
      </c>
      <c r="J7214" s="3" t="str">
        <f>HYPERLINK("https://www.boe.es/gazeta/dias/1822/06/26/pdfs/GMD-1822-184.pdf#page=8","Abrir facsímil")</f>
        <v>Abrir facsímil</v>
      </c>
      <c r="K7214" s="3" t="s">
        <v>22</v>
      </c>
    </row>
    <row r="7215" spans="1:11" ht="42" customHeight="1">
      <c r="A7215" s="2" t="s">
        <v>14111</v>
      </c>
      <c r="B7215" s="2" t="s">
        <v>14112</v>
      </c>
      <c r="C7215" s="2" t="s">
        <v>42</v>
      </c>
      <c r="D7215" s="2" t="s">
        <v>17</v>
      </c>
      <c r="E7215" s="5">
        <v>-28158</v>
      </c>
      <c r="F7215" s="3" t="s">
        <v>590</v>
      </c>
      <c r="G7215" s="3" t="s">
        <v>63</v>
      </c>
      <c r="H7215" s="2" t="s">
        <v>20</v>
      </c>
      <c r="I7215" s="2" t="s">
        <v>14114</v>
      </c>
      <c r="J7215" s="3" t="str">
        <f>HYPERLINK("https://www.boe.es/gazeta/dias/1822/11/26/pdfs/GMD-1822-346.pdf#page=6","Abrir facsímil")</f>
        <v>Abrir facsímil</v>
      </c>
      <c r="K7215" s="3" t="s">
        <v>22</v>
      </c>
    </row>
    <row r="7216" spans="1:11" ht="42" customHeight="1">
      <c r="A7216" s="2" t="s">
        <v>14115</v>
      </c>
      <c r="B7216" s="2" t="s">
        <v>14116</v>
      </c>
      <c r="C7216" s="2" t="s">
        <v>28</v>
      </c>
      <c r="D7216" s="2" t="s">
        <v>29</v>
      </c>
      <c r="E7216" s="5">
        <v>-28285</v>
      </c>
      <c r="F7216" s="3" t="s">
        <v>4539</v>
      </c>
      <c r="G7216" s="3" t="s">
        <v>35</v>
      </c>
      <c r="H7216" s="2" t="s">
        <v>20</v>
      </c>
      <c r="I7216" s="2" t="s">
        <v>14117</v>
      </c>
      <c r="J7216" s="3" t="str">
        <f>HYPERLINK("https://www.boe.es/gazeta/dias/1822/07/22/pdfs/GMD-1822-215.pdf#page=2","Abrir facsímil")</f>
        <v>Abrir facsímil</v>
      </c>
      <c r="K7216" s="3" t="s">
        <v>22</v>
      </c>
    </row>
    <row r="7217" spans="1:11" ht="42" customHeight="1">
      <c r="A7217" s="2" t="s">
        <v>14118</v>
      </c>
      <c r="B7217" s="2" t="s">
        <v>14118</v>
      </c>
      <c r="C7217" s="2" t="s">
        <v>50</v>
      </c>
      <c r="D7217" s="2" t="s">
        <v>51</v>
      </c>
      <c r="E7217" s="5">
        <v>-28395</v>
      </c>
      <c r="F7217" s="3" t="s">
        <v>237</v>
      </c>
      <c r="G7217" s="3" t="s">
        <v>35</v>
      </c>
      <c r="H7217" s="2" t="s">
        <v>20</v>
      </c>
      <c r="I7217" s="2" t="s">
        <v>14119</v>
      </c>
      <c r="J7217" s="3" t="str">
        <f>HYPERLINK("https://www.boe.es/gazeta/dias/1822/04/03/pdfs/GMD-1822-95.pdf#page=2","Abrir facsímil")</f>
        <v>Abrir facsímil</v>
      </c>
      <c r="K7217" s="3" t="s">
        <v>22</v>
      </c>
    </row>
    <row r="7218" spans="1:11" ht="42" customHeight="1">
      <c r="A7218" s="2" t="s">
        <v>14120</v>
      </c>
      <c r="B7218" s="2" t="s">
        <v>14120</v>
      </c>
      <c r="C7218" s="2" t="s">
        <v>50</v>
      </c>
      <c r="D7218" s="2" t="s">
        <v>51</v>
      </c>
      <c r="E7218" s="5">
        <v>-28213</v>
      </c>
      <c r="F7218" s="3" t="s">
        <v>558</v>
      </c>
      <c r="G7218" s="3" t="s">
        <v>57</v>
      </c>
      <c r="H7218" s="2" t="s">
        <v>20</v>
      </c>
      <c r="I7218" s="2" t="s">
        <v>14121</v>
      </c>
      <c r="J7218" s="3" t="str">
        <f>HYPERLINK("https://www.boe.es/gazeta/dias/1822/10/02/pdfs/GMD-1822-288.pdf#page=4","Abrir facsímil")</f>
        <v>Abrir facsímil</v>
      </c>
      <c r="K7218" s="3" t="s">
        <v>22</v>
      </c>
    </row>
    <row r="7219" spans="1:11" ht="42" customHeight="1">
      <c r="A7219" s="2" t="s">
        <v>14122</v>
      </c>
      <c r="B7219" s="2" t="s">
        <v>14122</v>
      </c>
      <c r="C7219" s="2" t="s">
        <v>50</v>
      </c>
      <c r="D7219" s="2" t="s">
        <v>51</v>
      </c>
      <c r="E7219" s="5">
        <v>-28281</v>
      </c>
      <c r="F7219" s="3" t="s">
        <v>3310</v>
      </c>
      <c r="G7219" s="3" t="s">
        <v>44</v>
      </c>
      <c r="H7219" s="2" t="s">
        <v>20</v>
      </c>
      <c r="I7219" s="2" t="s">
        <v>14123</v>
      </c>
      <c r="J7219" s="3" t="str">
        <f>HYPERLINK("https://www.boe.es/gazeta/dias/1822/07/26/pdfs/GMD-1822-219.pdf#page=1","Abrir facsímil")</f>
        <v>Abrir facsímil</v>
      </c>
      <c r="K7219" s="3" t="s">
        <v>22</v>
      </c>
    </row>
    <row r="7220" spans="1:11" ht="42" customHeight="1">
      <c r="A7220" s="2" t="s">
        <v>14124</v>
      </c>
      <c r="B7220" s="2" t="s">
        <v>14125</v>
      </c>
      <c r="C7220" s="2" t="s">
        <v>42</v>
      </c>
      <c r="D7220" s="2" t="s">
        <v>17</v>
      </c>
      <c r="E7220" s="5">
        <v>-28337</v>
      </c>
      <c r="F7220" s="3" t="s">
        <v>1836</v>
      </c>
      <c r="G7220" s="3" t="s">
        <v>57</v>
      </c>
      <c r="H7220" s="2" t="s">
        <v>20</v>
      </c>
      <c r="I7220" s="2" t="s">
        <v>14126</v>
      </c>
      <c r="J7220" s="3" t="str">
        <f>HYPERLINK("https://www.boe.es/gazeta/dias/1822/05/31/pdfs/GMD-1822-156.pdf#page=4","Abrir facsímil")</f>
        <v>Abrir facsímil</v>
      </c>
      <c r="K7220" s="3" t="s">
        <v>22</v>
      </c>
    </row>
    <row r="7221" spans="1:11" ht="42" customHeight="1">
      <c r="A7221" s="2" t="s">
        <v>14127</v>
      </c>
      <c r="B7221" s="2" t="s">
        <v>14128</v>
      </c>
      <c r="C7221" s="2" t="s">
        <v>16</v>
      </c>
      <c r="D7221" s="2" t="s">
        <v>17</v>
      </c>
      <c r="E7221" s="5">
        <v>-28271</v>
      </c>
      <c r="F7221" s="3" t="s">
        <v>4942</v>
      </c>
      <c r="G7221" s="3" t="s">
        <v>57</v>
      </c>
      <c r="H7221" s="2" t="s">
        <v>20</v>
      </c>
      <c r="I7221" s="2" t="s">
        <v>14129</v>
      </c>
      <c r="J7221" s="3" t="str">
        <f>HYPERLINK("https://www.boe.es/gazeta/dias/1822/08/05/pdfs/GMD-1822-229.pdf#page=4","Abrir facsímil")</f>
        <v>Abrir facsímil</v>
      </c>
      <c r="K7221" s="3" t="s">
        <v>22</v>
      </c>
    </row>
    <row r="7222" spans="1:11" ht="42" customHeight="1">
      <c r="A7222" s="2" t="s">
        <v>14130</v>
      </c>
      <c r="B7222" s="2" t="s">
        <v>14131</v>
      </c>
      <c r="C7222" s="2" t="s">
        <v>61</v>
      </c>
      <c r="D7222" s="2" t="s">
        <v>17</v>
      </c>
      <c r="E7222" s="5">
        <v>-28208</v>
      </c>
      <c r="F7222" s="3" t="s">
        <v>230</v>
      </c>
      <c r="G7222" s="3" t="s">
        <v>57</v>
      </c>
      <c r="H7222" s="2" t="s">
        <v>20</v>
      </c>
      <c r="I7222" s="2" t="s">
        <v>14132</v>
      </c>
      <c r="J7222" s="3" t="str">
        <f>HYPERLINK("https://www.boe.es/gazeta/dias/1822/10/07/pdfs/GMD-1822-293.pdf#page=4","Abrir facsímil")</f>
        <v>Abrir facsímil</v>
      </c>
      <c r="K7222" s="3" t="s">
        <v>22</v>
      </c>
    </row>
    <row r="7223" spans="1:11" ht="42" customHeight="1">
      <c r="A7223" s="2" t="s">
        <v>14133</v>
      </c>
      <c r="B7223" s="2" t="s">
        <v>14133</v>
      </c>
      <c r="C7223" s="2" t="s">
        <v>61</v>
      </c>
      <c r="D7223" s="2" t="s">
        <v>17</v>
      </c>
      <c r="E7223" s="5">
        <v>-28334</v>
      </c>
      <c r="F7223" s="3" t="s">
        <v>532</v>
      </c>
      <c r="G7223" s="3" t="s">
        <v>19</v>
      </c>
      <c r="H7223" s="2" t="s">
        <v>20</v>
      </c>
      <c r="I7223" s="2" t="s">
        <v>14134</v>
      </c>
      <c r="J7223" s="3" t="str">
        <f>HYPERLINK("https://www.boe.es/gazeta/dias/1822/06/03/pdfs/GMD-1822-159.pdf#page=5","Abrir facsímil")</f>
        <v>Abrir facsímil</v>
      </c>
      <c r="K7223" s="3" t="s">
        <v>22</v>
      </c>
    </row>
    <row r="7224" spans="1:11" ht="42" customHeight="1">
      <c r="A7224" s="2" t="s">
        <v>14135</v>
      </c>
      <c r="B7224" s="2" t="s">
        <v>14136</v>
      </c>
      <c r="C7224" s="2" t="s">
        <v>362</v>
      </c>
      <c r="D7224" s="2" t="s">
        <v>17</v>
      </c>
      <c r="E7224" s="5">
        <v>-28259</v>
      </c>
      <c r="F7224" s="3" t="s">
        <v>1912</v>
      </c>
      <c r="G7224" s="3" t="s">
        <v>57</v>
      </c>
      <c r="H7224" s="2" t="s">
        <v>20</v>
      </c>
      <c r="I7224" s="2" t="s">
        <v>14137</v>
      </c>
      <c r="J7224" s="3" t="str">
        <f>HYPERLINK("https://www.boe.es/gazeta/dias/1822/08/17/pdfs/GMD-1822-241.pdf#page=4","Abrir facsímil")</f>
        <v>Abrir facsímil</v>
      </c>
      <c r="K7224" s="3" t="s">
        <v>22</v>
      </c>
    </row>
    <row r="7225" spans="1:11" ht="42" customHeight="1">
      <c r="A7225" s="2" t="s">
        <v>14138</v>
      </c>
      <c r="B7225" s="2" t="s">
        <v>14139</v>
      </c>
      <c r="C7225" s="2" t="s">
        <v>28</v>
      </c>
      <c r="D7225" s="2" t="s">
        <v>29</v>
      </c>
      <c r="E7225" s="5">
        <v>-28390</v>
      </c>
      <c r="F7225" s="3" t="s">
        <v>665</v>
      </c>
      <c r="G7225" s="3" t="s">
        <v>35</v>
      </c>
      <c r="H7225" s="2" t="s">
        <v>20</v>
      </c>
      <c r="I7225" s="2" t="s">
        <v>14140</v>
      </c>
      <c r="J7225" s="3" t="str">
        <f>HYPERLINK("https://www.boe.es/gazeta/dias/1822/04/08/pdfs/GMD-1822-100.pdf#page=2","Abrir facsímil")</f>
        <v>Abrir facsímil</v>
      </c>
      <c r="K7225" s="3" t="s">
        <v>22</v>
      </c>
    </row>
    <row r="7226" spans="1:11" ht="42" customHeight="1">
      <c r="A7226" s="2" t="s">
        <v>14138</v>
      </c>
      <c r="B7226" s="2" t="s">
        <v>14139</v>
      </c>
      <c r="C7226" s="2" t="s">
        <v>28</v>
      </c>
      <c r="D7226" s="2" t="s">
        <v>29</v>
      </c>
      <c r="E7226" s="5">
        <v>-28228</v>
      </c>
      <c r="F7226" s="3" t="s">
        <v>718</v>
      </c>
      <c r="G7226" s="3" t="s">
        <v>57</v>
      </c>
      <c r="H7226" s="2" t="s">
        <v>20</v>
      </c>
      <c r="I7226" s="2" t="s">
        <v>14141</v>
      </c>
      <c r="J7226" s="3" t="str">
        <f>HYPERLINK("https://www.boe.es/gazeta/dias/1822/09/17/pdfs/GMD-1822-273.pdf#page=4","Abrir facsímil")</f>
        <v>Abrir facsímil</v>
      </c>
      <c r="K7226" s="3" t="s">
        <v>22</v>
      </c>
    </row>
    <row r="7227" spans="1:11" ht="42" customHeight="1">
      <c r="A7227" s="2" t="s">
        <v>14142</v>
      </c>
      <c r="B7227" s="2" t="s">
        <v>14143</v>
      </c>
      <c r="C7227" s="2" t="s">
        <v>50</v>
      </c>
      <c r="D7227" s="2" t="s">
        <v>51</v>
      </c>
      <c r="E7227" s="5">
        <v>-28415</v>
      </c>
      <c r="F7227" s="3" t="s">
        <v>77</v>
      </c>
      <c r="G7227" s="3" t="s">
        <v>35</v>
      </c>
      <c r="H7227" s="2" t="s">
        <v>20</v>
      </c>
      <c r="I7227" s="2" t="s">
        <v>14144</v>
      </c>
      <c r="J7227" s="3" t="str">
        <f>HYPERLINK("https://www.boe.es/gazeta/dias/1822/03/14/pdfs/GMD-1822-75.pdf#page=2","Abrir facsímil")</f>
        <v>Abrir facsímil</v>
      </c>
      <c r="K7227" s="3" t="s">
        <v>22</v>
      </c>
    </row>
    <row r="7228" spans="1:11" ht="42" customHeight="1">
      <c r="A7228" s="2" t="s">
        <v>14145</v>
      </c>
      <c r="B7228" s="2" t="s">
        <v>14146</v>
      </c>
      <c r="C7228" s="2" t="s">
        <v>61</v>
      </c>
      <c r="D7228" s="2" t="s">
        <v>17</v>
      </c>
      <c r="E7228" s="5">
        <v>-28311</v>
      </c>
      <c r="F7228" s="3" t="s">
        <v>736</v>
      </c>
      <c r="G7228" s="3" t="s">
        <v>157</v>
      </c>
      <c r="H7228" s="2" t="s">
        <v>20</v>
      </c>
      <c r="I7228" s="2" t="s">
        <v>14147</v>
      </c>
      <c r="J7228" s="3" t="str">
        <f>HYPERLINK("https://www.boe.es/gazeta/dias/1822/06/26/pdfs/GMD-1822-184.pdf#page=8","Abrir facsímil")</f>
        <v>Abrir facsímil</v>
      </c>
      <c r="K7228" s="3" t="s">
        <v>22</v>
      </c>
    </row>
    <row r="7229" spans="1:11" ht="42" customHeight="1">
      <c r="A7229" s="2" t="s">
        <v>14148</v>
      </c>
      <c r="B7229" s="2" t="s">
        <v>14149</v>
      </c>
      <c r="C7229" s="2" t="s">
        <v>28</v>
      </c>
      <c r="D7229" s="2" t="s">
        <v>29</v>
      </c>
      <c r="E7229" s="5">
        <v>-28427</v>
      </c>
      <c r="F7229" s="3" t="s">
        <v>755</v>
      </c>
      <c r="G7229" s="3" t="s">
        <v>57</v>
      </c>
      <c r="H7229" s="2" t="s">
        <v>20</v>
      </c>
      <c r="I7229" s="2" t="s">
        <v>14150</v>
      </c>
      <c r="J7229" s="3" t="str">
        <f>HYPERLINK("https://www.boe.es/gazeta/dias/1822/03/02/pdfs/GMD-1822-63.pdf#page=4","Abrir facsímil")</f>
        <v>Abrir facsímil</v>
      </c>
      <c r="K7229" s="3" t="s">
        <v>22</v>
      </c>
    </row>
    <row r="7230" spans="1:11" ht="42" customHeight="1">
      <c r="A7230" s="2" t="s">
        <v>14151</v>
      </c>
      <c r="B7230" s="2" t="s">
        <v>14152</v>
      </c>
      <c r="C7230" s="2" t="s">
        <v>50</v>
      </c>
      <c r="D7230" s="2" t="s">
        <v>51</v>
      </c>
      <c r="E7230" s="5">
        <v>-28425</v>
      </c>
      <c r="F7230" s="3" t="s">
        <v>419</v>
      </c>
      <c r="G7230" s="3" t="s">
        <v>31</v>
      </c>
      <c r="H7230" s="2" t="s">
        <v>20</v>
      </c>
      <c r="I7230" s="2" t="s">
        <v>14153</v>
      </c>
      <c r="J7230" s="3" t="str">
        <f>HYPERLINK("https://www.boe.es/gazeta/dias/1822/03/04/pdfs/GMD-1822-65.pdf#page=3","Abrir facsímil")</f>
        <v>Abrir facsímil</v>
      </c>
      <c r="K7230" s="3" t="s">
        <v>22</v>
      </c>
    </row>
    <row r="7231" spans="1:11" ht="42" customHeight="1">
      <c r="A7231" s="2" t="s">
        <v>14154</v>
      </c>
      <c r="B7231" s="2" t="s">
        <v>14155</v>
      </c>
      <c r="C7231" s="2" t="s">
        <v>50</v>
      </c>
      <c r="D7231" s="2" t="s">
        <v>51</v>
      </c>
      <c r="E7231" s="5">
        <v>-28339</v>
      </c>
      <c r="F7231" s="3" t="s">
        <v>197</v>
      </c>
      <c r="G7231" s="3" t="s">
        <v>63</v>
      </c>
      <c r="H7231" s="2" t="s">
        <v>20</v>
      </c>
      <c r="I7231" s="2" t="s">
        <v>14156</v>
      </c>
      <c r="J7231" s="3" t="str">
        <f>HYPERLINK("https://www.boe.es/gazeta/dias/1822/05/29/pdfs/GMD-1822-154.pdf#page=6","Abrir facsímil")</f>
        <v>Abrir facsímil</v>
      </c>
      <c r="K7231" s="3" t="s">
        <v>22</v>
      </c>
    </row>
    <row r="7232" spans="1:11" ht="42" customHeight="1">
      <c r="A7232" s="2" t="s">
        <v>14157</v>
      </c>
      <c r="B7232" s="2" t="s">
        <v>14158</v>
      </c>
      <c r="C7232" s="2" t="s">
        <v>50</v>
      </c>
      <c r="D7232" s="2" t="s">
        <v>51</v>
      </c>
      <c r="E7232" s="5">
        <v>-28267</v>
      </c>
      <c r="F7232" s="3" t="s">
        <v>1270</v>
      </c>
      <c r="G7232" s="3" t="s">
        <v>35</v>
      </c>
      <c r="H7232" s="2" t="s">
        <v>20</v>
      </c>
      <c r="I7232" s="2" t="s">
        <v>14159</v>
      </c>
      <c r="J7232" s="3" t="str">
        <f>HYPERLINK("https://www.boe.es/gazeta/dias/1822/08/09/pdfs/GMD-1822-233.pdf#page=2","Abrir facsímil")</f>
        <v>Abrir facsímil</v>
      </c>
      <c r="K7232" s="3" t="s">
        <v>22</v>
      </c>
    </row>
    <row r="7233" spans="1:11" ht="42" customHeight="1">
      <c r="A7233" s="2" t="s">
        <v>14160</v>
      </c>
      <c r="B7233" s="2" t="s">
        <v>14161</v>
      </c>
      <c r="C7233" s="2" t="s">
        <v>71</v>
      </c>
      <c r="D7233" s="2" t="s">
        <v>17</v>
      </c>
      <c r="E7233" s="5">
        <v>-28343</v>
      </c>
      <c r="F7233" s="3" t="s">
        <v>1019</v>
      </c>
      <c r="G7233" s="3" t="s">
        <v>63</v>
      </c>
      <c r="H7233" s="2" t="s">
        <v>20</v>
      </c>
      <c r="I7233" s="2" t="s">
        <v>14162</v>
      </c>
      <c r="J7233" s="3" t="str">
        <f>HYPERLINK("https://www.boe.es/gazeta/dias/1822/05/25/pdfs/GMD-1822-150.pdf#page=6","Abrir facsímil")</f>
        <v>Abrir facsímil</v>
      </c>
      <c r="K7233" s="3" t="s">
        <v>22</v>
      </c>
    </row>
    <row r="7234" spans="1:11" ht="42" customHeight="1">
      <c r="A7234" s="2" t="s">
        <v>14163</v>
      </c>
      <c r="B7234" s="2" t="s">
        <v>14164</v>
      </c>
      <c r="C7234" s="2" t="s">
        <v>28</v>
      </c>
      <c r="D7234" s="2" t="s">
        <v>29</v>
      </c>
      <c r="E7234" s="5">
        <v>-28354</v>
      </c>
      <c r="F7234" s="3" t="s">
        <v>226</v>
      </c>
      <c r="G7234" s="3" t="s">
        <v>63</v>
      </c>
      <c r="H7234" s="2" t="s">
        <v>45</v>
      </c>
      <c r="I7234" s="2" t="s">
        <v>14165</v>
      </c>
      <c r="J7234" s="3" t="str">
        <f>HYPERLINK("https://www.boe.es/gazeta/dias/1822/05/14/pdfs/GMD-1822-136.pdf#page=6","Abrir facsímil")</f>
        <v>Abrir facsímil</v>
      </c>
      <c r="K7234" s="3" t="s">
        <v>47</v>
      </c>
    </row>
    <row r="7235" spans="1:11" ht="42" customHeight="1">
      <c r="A7235" s="2" t="s">
        <v>14166</v>
      </c>
      <c r="B7235" s="2" t="s">
        <v>14166</v>
      </c>
      <c r="C7235" s="2" t="s">
        <v>50</v>
      </c>
      <c r="D7235" s="2" t="s">
        <v>51</v>
      </c>
      <c r="E7235" s="5">
        <v>-28263</v>
      </c>
      <c r="F7235" s="3" t="s">
        <v>7233</v>
      </c>
      <c r="G7235" s="3" t="s">
        <v>31</v>
      </c>
      <c r="H7235" s="2" t="s">
        <v>20</v>
      </c>
      <c r="I7235" s="2" t="s">
        <v>14167</v>
      </c>
      <c r="J7235" s="3" t="str">
        <f>HYPERLINK("https://www.boe.es/gazeta/dias/1822/08/13/pdfs/GMD-1822-237.pdf#page=3","Abrir facsímil")</f>
        <v>Abrir facsímil</v>
      </c>
      <c r="K7235" s="3" t="s">
        <v>22</v>
      </c>
    </row>
    <row r="7236" spans="1:11" ht="42" customHeight="1">
      <c r="A7236" s="2" t="s">
        <v>14168</v>
      </c>
      <c r="B7236" s="2" t="s">
        <v>14169</v>
      </c>
      <c r="C7236" s="2" t="s">
        <v>50</v>
      </c>
      <c r="D7236" s="2" t="s">
        <v>51</v>
      </c>
      <c r="E7236" s="5">
        <v>-28127</v>
      </c>
      <c r="F7236" s="3" t="s">
        <v>409</v>
      </c>
      <c r="G7236" s="3" t="s">
        <v>35</v>
      </c>
      <c r="H7236" s="2" t="s">
        <v>20</v>
      </c>
      <c r="I7236" s="2" t="s">
        <v>14170</v>
      </c>
      <c r="J7236" s="3" t="str">
        <f>HYPERLINK("https://www.boe.es/gazeta/dias/1822/12/27/pdfs/GMD-1822-377.pdf#page=2","Abrir facsímil")</f>
        <v>Abrir facsímil</v>
      </c>
      <c r="K7236" s="3" t="s">
        <v>22</v>
      </c>
    </row>
    <row r="7237" spans="1:11" ht="42" customHeight="1">
      <c r="A7237" s="2" t="s">
        <v>14171</v>
      </c>
      <c r="B7237" s="2" t="s">
        <v>14171</v>
      </c>
      <c r="C7237" s="2" t="s">
        <v>50</v>
      </c>
      <c r="D7237" s="2" t="s">
        <v>51</v>
      </c>
      <c r="E7237" s="5">
        <v>-28295</v>
      </c>
      <c r="F7237" s="3" t="s">
        <v>81</v>
      </c>
      <c r="G7237" s="3" t="s">
        <v>82</v>
      </c>
      <c r="H7237" s="2" t="s">
        <v>20</v>
      </c>
      <c r="I7237" s="2" t="s">
        <v>14172</v>
      </c>
      <c r="J7237" s="3" t="str">
        <f>HYPERLINK("https://www.boe.es/gazeta/dias/1822/07/12/pdfs/GMD-1822-202.pdf#page=3","Abrir facsímil")</f>
        <v>Abrir facsímil</v>
      </c>
      <c r="K7237" s="3" t="s">
        <v>22</v>
      </c>
    </row>
    <row r="7238" spans="1:11" ht="42" customHeight="1">
      <c r="A7238" s="2" t="s">
        <v>14173</v>
      </c>
      <c r="B7238" s="2" t="s">
        <v>14174</v>
      </c>
      <c r="C7238" s="2" t="s">
        <v>50</v>
      </c>
      <c r="D7238" s="2" t="s">
        <v>51</v>
      </c>
      <c r="E7238" s="5">
        <v>-28256</v>
      </c>
      <c r="F7238" s="3" t="s">
        <v>1949</v>
      </c>
      <c r="G7238" s="3" t="s">
        <v>44</v>
      </c>
      <c r="H7238" s="2" t="s">
        <v>20</v>
      </c>
      <c r="I7238" s="2" t="s">
        <v>14175</v>
      </c>
      <c r="J7238" s="3" t="str">
        <f>HYPERLINK("https://www.boe.es/gazeta/dias/1822/08/20/pdfs/GMD-1822-244.pdf#page=1","Abrir facsímil")</f>
        <v>Abrir facsímil</v>
      </c>
      <c r="K7238" s="3" t="s">
        <v>22</v>
      </c>
    </row>
    <row r="7239" spans="1:11" ht="42" customHeight="1">
      <c r="A7239" s="2" t="s">
        <v>14176</v>
      </c>
      <c r="B7239" s="2" t="s">
        <v>14176</v>
      </c>
      <c r="C7239" s="2" t="s">
        <v>50</v>
      </c>
      <c r="D7239" s="2" t="s">
        <v>51</v>
      </c>
      <c r="E7239" s="5">
        <v>-28291</v>
      </c>
      <c r="F7239" s="3" t="s">
        <v>363</v>
      </c>
      <c r="G7239" s="3" t="s">
        <v>44</v>
      </c>
      <c r="H7239" s="2" t="s">
        <v>20</v>
      </c>
      <c r="I7239" s="2" t="s">
        <v>14177</v>
      </c>
      <c r="J7239" s="3" t="str">
        <f>HYPERLINK("https://www.boe.es/gazeta/dias/1822/07/16/pdfs/GMD-1822-206.pdf#page=1","Abrir facsímil")</f>
        <v>Abrir facsímil</v>
      </c>
      <c r="K7239" s="3" t="s">
        <v>22</v>
      </c>
    </row>
    <row r="7240" spans="1:11" ht="42" customHeight="1">
      <c r="A7240" s="2" t="s">
        <v>14178</v>
      </c>
      <c r="B7240" s="2" t="s">
        <v>14178</v>
      </c>
      <c r="C7240" s="2" t="s">
        <v>50</v>
      </c>
      <c r="D7240" s="2" t="s">
        <v>51</v>
      </c>
      <c r="E7240" s="5">
        <v>-28162</v>
      </c>
      <c r="F7240" s="3" t="s">
        <v>3949</v>
      </c>
      <c r="G7240" s="3" t="s">
        <v>57</v>
      </c>
      <c r="H7240" s="2" t="s">
        <v>20</v>
      </c>
      <c r="I7240" s="2" t="s">
        <v>14179</v>
      </c>
      <c r="J7240" s="3" t="str">
        <f>HYPERLINK("https://www.boe.es/gazeta/dias/1822/11/22/pdfs/GMD-1822-342.pdf#page=4","Abrir facsímil")</f>
        <v>Abrir facsímil</v>
      </c>
      <c r="K7240" s="3" t="s">
        <v>22</v>
      </c>
    </row>
    <row r="7241" spans="1:11" ht="42" customHeight="1">
      <c r="A7241" s="2" t="s">
        <v>14180</v>
      </c>
      <c r="B7241" s="2" t="s">
        <v>14181</v>
      </c>
      <c r="C7241" s="2" t="s">
        <v>71</v>
      </c>
      <c r="D7241" s="2" t="s">
        <v>17</v>
      </c>
      <c r="E7241" s="5">
        <v>-28474</v>
      </c>
      <c r="F7241" s="3" t="s">
        <v>30</v>
      </c>
      <c r="G7241" s="3" t="s">
        <v>31</v>
      </c>
      <c r="H7241" s="2" t="s">
        <v>20</v>
      </c>
      <c r="I7241" s="2" t="s">
        <v>14182</v>
      </c>
      <c r="J7241" s="3" t="str">
        <f>HYPERLINK("https://www.boe.es/gazeta/dias/1822/01/14/pdfs/GMD-1822-14.pdf#page=3","Abrir facsímil")</f>
        <v>Abrir facsímil</v>
      </c>
      <c r="K7241" s="3" t="s">
        <v>22</v>
      </c>
    </row>
    <row r="7242" spans="1:11" ht="42" customHeight="1">
      <c r="A7242" s="2" t="s">
        <v>14183</v>
      </c>
      <c r="B7242" s="2" t="s">
        <v>14184</v>
      </c>
      <c r="C7242" s="2" t="s">
        <v>50</v>
      </c>
      <c r="D7242" s="2" t="s">
        <v>51</v>
      </c>
      <c r="E7242" s="5">
        <v>-28473</v>
      </c>
      <c r="F7242" s="3" t="s">
        <v>2337</v>
      </c>
      <c r="G7242" s="3" t="s">
        <v>57</v>
      </c>
      <c r="H7242" s="2" t="s">
        <v>20</v>
      </c>
      <c r="I7242" s="2" t="s">
        <v>14185</v>
      </c>
      <c r="J7242" s="3" t="str">
        <f>HYPERLINK("https://www.boe.es/gazeta/dias/1822/01/15/pdfs/GMD-1822-15.pdf#page=4","Abrir facsímil")</f>
        <v>Abrir facsímil</v>
      </c>
      <c r="K7242" s="3" t="s">
        <v>22</v>
      </c>
    </row>
    <row r="7243" spans="1:11" ht="42" customHeight="1">
      <c r="A7243" s="2" t="s">
        <v>14186</v>
      </c>
      <c r="B7243" s="2" t="s">
        <v>14186</v>
      </c>
      <c r="C7243" s="2" t="s">
        <v>50</v>
      </c>
      <c r="D7243" s="2" t="s">
        <v>51</v>
      </c>
      <c r="E7243" s="5">
        <v>-28270</v>
      </c>
      <c r="F7243" s="3" t="s">
        <v>130</v>
      </c>
      <c r="G7243" s="3" t="s">
        <v>35</v>
      </c>
      <c r="H7243" s="2" t="s">
        <v>20</v>
      </c>
      <c r="I7243" s="2" t="s">
        <v>14187</v>
      </c>
      <c r="J7243" s="3" t="str">
        <f>HYPERLINK("https://www.boe.es/gazeta/dias/1822/08/06/pdfs/GMD-1822-230.pdf#page=2","Abrir facsímil")</f>
        <v>Abrir facsímil</v>
      </c>
      <c r="K7243" s="3" t="s">
        <v>22</v>
      </c>
    </row>
    <row r="7244" spans="1:11" ht="42" customHeight="1">
      <c r="A7244" s="2" t="s">
        <v>14188</v>
      </c>
      <c r="B7244" s="2" t="s">
        <v>14188</v>
      </c>
      <c r="C7244" s="2" t="s">
        <v>50</v>
      </c>
      <c r="D7244" s="2" t="s">
        <v>51</v>
      </c>
      <c r="E7244" s="5">
        <v>-28284</v>
      </c>
      <c r="F7244" s="3" t="s">
        <v>6484</v>
      </c>
      <c r="G7244" s="3" t="s">
        <v>44</v>
      </c>
      <c r="H7244" s="2" t="s">
        <v>20</v>
      </c>
      <c r="I7244" s="2" t="s">
        <v>14189</v>
      </c>
      <c r="J7244" s="3" t="str">
        <f>HYPERLINK("https://www.boe.es/gazeta/dias/1822/07/23/pdfs/GMD-1822-216.pdf#page=1","Abrir facsímil")</f>
        <v>Abrir facsímil</v>
      </c>
      <c r="K7244" s="3" t="s">
        <v>22</v>
      </c>
    </row>
    <row r="7245" spans="1:11" ht="42" customHeight="1">
      <c r="A7245" s="2" t="s">
        <v>14190</v>
      </c>
      <c r="B7245" s="2" t="s">
        <v>14190</v>
      </c>
      <c r="C7245" s="2" t="s">
        <v>71</v>
      </c>
      <c r="D7245" s="2" t="s">
        <v>17</v>
      </c>
      <c r="E7245" s="5">
        <v>-28400</v>
      </c>
      <c r="F7245" s="3" t="s">
        <v>1937</v>
      </c>
      <c r="G7245" s="3" t="s">
        <v>35</v>
      </c>
      <c r="H7245" s="2" t="s">
        <v>20</v>
      </c>
      <c r="I7245" s="2" t="s">
        <v>14191</v>
      </c>
      <c r="J7245" s="3" t="str">
        <f>HYPERLINK("https://www.boe.es/gazeta/dias/1822/03/29/pdfs/GMD-1822-90.pdf#page=2","Abrir facsímil")</f>
        <v>Abrir facsímil</v>
      </c>
      <c r="K7245" s="3" t="s">
        <v>22</v>
      </c>
    </row>
    <row r="7246" spans="1:11" ht="42" customHeight="1">
      <c r="A7246" s="2" t="s">
        <v>14192</v>
      </c>
      <c r="B7246" s="2" t="s">
        <v>14193</v>
      </c>
      <c r="C7246" s="2" t="s">
        <v>28</v>
      </c>
      <c r="D7246" s="2" t="s">
        <v>29</v>
      </c>
      <c r="E7246" s="5">
        <v>-28436</v>
      </c>
      <c r="F7246" s="3" t="s">
        <v>431</v>
      </c>
      <c r="G7246" s="3" t="s">
        <v>1428</v>
      </c>
      <c r="H7246" s="2" t="s">
        <v>20</v>
      </c>
      <c r="I7246" s="2" t="s">
        <v>14194</v>
      </c>
      <c r="J7246" s="3" t="str">
        <f>HYPERLINK("https://www.boe.es/gazeta/dias/1822/02/21/pdfs/GMD-1822-53.pdf#page=3","Abrir facsímil")</f>
        <v>Abrir facsímil</v>
      </c>
      <c r="K7246" s="3" t="s">
        <v>22</v>
      </c>
    </row>
    <row r="7247" spans="1:11" ht="42" customHeight="1">
      <c r="A7247" s="2" t="s">
        <v>14195</v>
      </c>
      <c r="B7247" s="2" t="s">
        <v>14195</v>
      </c>
      <c r="C7247" s="2" t="s">
        <v>50</v>
      </c>
      <c r="D7247" s="2" t="s">
        <v>51</v>
      </c>
      <c r="E7247" s="5">
        <v>-28240</v>
      </c>
      <c r="F7247" s="3" t="s">
        <v>678</v>
      </c>
      <c r="G7247" s="3" t="s">
        <v>31</v>
      </c>
      <c r="H7247" s="2" t="s">
        <v>20</v>
      </c>
      <c r="I7247" s="2" t="s">
        <v>14196</v>
      </c>
      <c r="J7247" s="3" t="str">
        <f>HYPERLINK("https://www.boe.es/gazeta/dias/1822/09/05/pdfs/GMD-1822-260.pdf#page=3","Abrir facsímil")</f>
        <v>Abrir facsímil</v>
      </c>
      <c r="K7247" s="3" t="s">
        <v>22</v>
      </c>
    </row>
    <row r="7248" spans="1:11" ht="42" customHeight="1">
      <c r="A7248" s="2" t="s">
        <v>14197</v>
      </c>
      <c r="B7248" s="2" t="s">
        <v>14197</v>
      </c>
      <c r="C7248" s="2" t="s">
        <v>50</v>
      </c>
      <c r="D7248" s="2" t="s">
        <v>51</v>
      </c>
      <c r="E7248" s="5">
        <v>-28316</v>
      </c>
      <c r="F7248" s="3" t="s">
        <v>1144</v>
      </c>
      <c r="G7248" s="3" t="s">
        <v>44</v>
      </c>
      <c r="H7248" s="2" t="s">
        <v>20</v>
      </c>
      <c r="I7248" s="2" t="s">
        <v>14198</v>
      </c>
      <c r="J7248" s="3" t="str">
        <f>HYPERLINK("https://www.boe.es/gazeta/dias/1822/06/21/pdfs/GMD-1822-179.pdf#page=1","Abrir facsímil")</f>
        <v>Abrir facsímil</v>
      </c>
      <c r="K7248" s="3" t="s">
        <v>22</v>
      </c>
    </row>
    <row r="7249" spans="1:11" ht="42" customHeight="1">
      <c r="A7249" s="2" t="s">
        <v>14199</v>
      </c>
      <c r="B7249" s="2" t="s">
        <v>14199</v>
      </c>
      <c r="C7249" s="2" t="s">
        <v>42</v>
      </c>
      <c r="D7249" s="2" t="s">
        <v>17</v>
      </c>
      <c r="E7249" s="5">
        <v>-28188</v>
      </c>
      <c r="F7249" s="3" t="s">
        <v>578</v>
      </c>
      <c r="G7249" s="3" t="s">
        <v>31</v>
      </c>
      <c r="H7249" s="2" t="s">
        <v>20</v>
      </c>
      <c r="I7249" s="2" t="s">
        <v>14200</v>
      </c>
      <c r="J7249" s="3" t="str">
        <f>HYPERLINK("https://www.boe.es/gazeta/dias/1822/10/27/pdfs/GMD-1822-314.pdf#page=3","Abrir facsímil")</f>
        <v>Abrir facsímil</v>
      </c>
      <c r="K7249" s="3" t="s">
        <v>22</v>
      </c>
    </row>
    <row r="7250" spans="1:11" ht="42" customHeight="1">
      <c r="A7250" s="2" t="s">
        <v>14201</v>
      </c>
      <c r="B7250" s="2" t="s">
        <v>14201</v>
      </c>
      <c r="C7250" s="2" t="s">
        <v>71</v>
      </c>
      <c r="D7250" s="2" t="s">
        <v>17</v>
      </c>
      <c r="E7250" s="5">
        <v>-28382</v>
      </c>
      <c r="F7250" s="3" t="s">
        <v>973</v>
      </c>
      <c r="G7250" s="3" t="s">
        <v>31</v>
      </c>
      <c r="H7250" s="2" t="s">
        <v>20</v>
      </c>
      <c r="I7250" s="2" t="s">
        <v>14202</v>
      </c>
      <c r="J7250" s="3" t="str">
        <f>HYPERLINK("https://www.boe.es/gazeta/dias/1822/04/16/pdfs/GMD-1822-108.pdf#page=3","Abrir facsímil")</f>
        <v>Abrir facsímil</v>
      </c>
      <c r="K7250" s="3" t="s">
        <v>22</v>
      </c>
    </row>
    <row r="7251" spans="1:11" ht="42" customHeight="1">
      <c r="A7251" s="2" t="s">
        <v>14203</v>
      </c>
      <c r="B7251" s="2" t="s">
        <v>14203</v>
      </c>
      <c r="C7251" s="2" t="s">
        <v>50</v>
      </c>
      <c r="D7251" s="2" t="s">
        <v>51</v>
      </c>
      <c r="E7251" s="5">
        <v>-28289</v>
      </c>
      <c r="F7251" s="3" t="s">
        <v>390</v>
      </c>
      <c r="G7251" s="3" t="s">
        <v>35</v>
      </c>
      <c r="H7251" s="2" t="s">
        <v>20</v>
      </c>
      <c r="I7251" s="2" t="s">
        <v>14204</v>
      </c>
      <c r="J7251" s="3" t="str">
        <f>HYPERLINK("https://www.boe.es/gazeta/dias/1822/07/18/pdfs/GMD-1822-209.pdf#page=2","Abrir facsímil")</f>
        <v>Abrir facsímil</v>
      </c>
      <c r="K7251" s="3" t="s">
        <v>22</v>
      </c>
    </row>
    <row r="7252" spans="1:11" ht="42" customHeight="1">
      <c r="A7252" s="2" t="s">
        <v>14205</v>
      </c>
      <c r="B7252" s="2" t="s">
        <v>14205</v>
      </c>
      <c r="C7252" s="2" t="s">
        <v>50</v>
      </c>
      <c r="D7252" s="2" t="s">
        <v>51</v>
      </c>
      <c r="E7252" s="5">
        <v>-28367</v>
      </c>
      <c r="F7252" s="3" t="s">
        <v>280</v>
      </c>
      <c r="G7252" s="3" t="s">
        <v>63</v>
      </c>
      <c r="H7252" s="2" t="s">
        <v>20</v>
      </c>
      <c r="I7252" s="2" t="s">
        <v>14206</v>
      </c>
      <c r="J7252" s="3" t="str">
        <f>HYPERLINK("https://www.boe.es/gazeta/dias/1822/05/01/pdfs/GMD-1822-123.pdf#page=6","Abrir facsímil")</f>
        <v>Abrir facsímil</v>
      </c>
      <c r="K7252" s="3" t="s">
        <v>22</v>
      </c>
    </row>
    <row r="7253" spans="1:11" ht="42" customHeight="1">
      <c r="A7253" s="2" t="s">
        <v>14207</v>
      </c>
      <c r="B7253" s="2" t="s">
        <v>14207</v>
      </c>
      <c r="C7253" s="2" t="s">
        <v>50</v>
      </c>
      <c r="D7253" s="2" t="s">
        <v>51</v>
      </c>
      <c r="E7253" s="5">
        <v>-28453</v>
      </c>
      <c r="F7253" s="3" t="s">
        <v>2039</v>
      </c>
      <c r="G7253" s="3" t="s">
        <v>57</v>
      </c>
      <c r="H7253" s="2" t="s">
        <v>20</v>
      </c>
      <c r="I7253" s="2" t="s">
        <v>14208</v>
      </c>
      <c r="J7253" s="3" t="str">
        <f>HYPERLINK("https://www.boe.es/gazeta/dias/1822/02/04/pdfs/GMD-1822-35.pdf#page=4","Abrir facsímil")</f>
        <v>Abrir facsímil</v>
      </c>
      <c r="K7253" s="3" t="s">
        <v>22</v>
      </c>
    </row>
    <row r="7254" spans="1:11" ht="42" customHeight="1">
      <c r="A7254" s="2" t="s">
        <v>14207</v>
      </c>
      <c r="B7254" s="2" t="s">
        <v>14207</v>
      </c>
      <c r="C7254" s="2" t="s">
        <v>42</v>
      </c>
      <c r="D7254" s="2" t="s">
        <v>17</v>
      </c>
      <c r="E7254" s="5">
        <v>-28439</v>
      </c>
      <c r="F7254" s="3" t="s">
        <v>2752</v>
      </c>
      <c r="G7254" s="3" t="s">
        <v>31</v>
      </c>
      <c r="H7254" s="2" t="s">
        <v>20</v>
      </c>
      <c r="I7254" s="2" t="s">
        <v>14209</v>
      </c>
      <c r="J7254" s="3" t="str">
        <f>HYPERLINK("https://www.boe.es/gazeta/dias/1822/02/18/pdfs/GMD-1822-50.pdf#page=3","Abrir facsímil")</f>
        <v>Abrir facsímil</v>
      </c>
      <c r="K7254" s="3" t="s">
        <v>22</v>
      </c>
    </row>
    <row r="7255" spans="1:11" ht="42" customHeight="1">
      <c r="A7255" s="2" t="s">
        <v>14207</v>
      </c>
      <c r="B7255" s="2" t="s">
        <v>14207</v>
      </c>
      <c r="C7255" s="2" t="s">
        <v>16</v>
      </c>
      <c r="D7255" s="2" t="s">
        <v>17</v>
      </c>
      <c r="E7255" s="5">
        <v>-28428</v>
      </c>
      <c r="F7255" s="3" t="s">
        <v>1924</v>
      </c>
      <c r="G7255" s="3" t="s">
        <v>57</v>
      </c>
      <c r="H7255" s="2" t="s">
        <v>20</v>
      </c>
      <c r="I7255" s="2" t="s">
        <v>14210</v>
      </c>
      <c r="J7255" s="3" t="str">
        <f>HYPERLINK("https://www.boe.es/gazeta/dias/1822/03/01/pdfs/GMD-1822-61.pdf#page=4","Abrir facsímil")</f>
        <v>Abrir facsímil</v>
      </c>
      <c r="K7255" s="3" t="s">
        <v>22</v>
      </c>
    </row>
    <row r="7256" spans="1:11" ht="42" customHeight="1">
      <c r="A7256" s="2" t="s">
        <v>14207</v>
      </c>
      <c r="B7256" s="2" t="s">
        <v>14207</v>
      </c>
      <c r="C7256" s="2" t="s">
        <v>50</v>
      </c>
      <c r="D7256" s="2" t="s">
        <v>51</v>
      </c>
      <c r="E7256" s="5">
        <v>-28413</v>
      </c>
      <c r="F7256" s="3" t="s">
        <v>458</v>
      </c>
      <c r="G7256" s="3" t="s">
        <v>19</v>
      </c>
      <c r="H7256" s="2" t="s">
        <v>20</v>
      </c>
      <c r="I7256" s="2" t="s">
        <v>14211</v>
      </c>
      <c r="J7256" s="3" t="str">
        <f>HYPERLINK("https://www.boe.es/gazeta/dias/1822/03/16/pdfs/GMD-1822-77.pdf#page=5","Abrir facsímil")</f>
        <v>Abrir facsímil</v>
      </c>
      <c r="K7256" s="3" t="s">
        <v>22</v>
      </c>
    </row>
    <row r="7257" spans="1:11" ht="42" customHeight="1">
      <c r="A7257" s="2" t="s">
        <v>14207</v>
      </c>
      <c r="B7257" s="2" t="s">
        <v>14207</v>
      </c>
      <c r="C7257" s="2" t="s">
        <v>42</v>
      </c>
      <c r="D7257" s="2" t="s">
        <v>17</v>
      </c>
      <c r="E7257" s="5">
        <v>-28408</v>
      </c>
      <c r="F7257" s="3" t="s">
        <v>2561</v>
      </c>
      <c r="G7257" s="3" t="s">
        <v>63</v>
      </c>
      <c r="H7257" s="2" t="s">
        <v>20</v>
      </c>
      <c r="I7257" s="2" t="s">
        <v>14212</v>
      </c>
      <c r="J7257" s="3" t="str">
        <f>HYPERLINK("https://www.boe.es/gazeta/dias/1822/03/21/pdfs/GMD-1822-82.pdf#page=6","Abrir facsímil")</f>
        <v>Abrir facsímil</v>
      </c>
      <c r="K7257" s="3" t="s">
        <v>22</v>
      </c>
    </row>
    <row r="7258" spans="1:11" ht="42" customHeight="1">
      <c r="A7258" s="2" t="s">
        <v>14207</v>
      </c>
      <c r="B7258" s="2" t="s">
        <v>14207</v>
      </c>
      <c r="C7258" s="2" t="s">
        <v>28</v>
      </c>
      <c r="D7258" s="2" t="s">
        <v>29</v>
      </c>
      <c r="E7258" s="5">
        <v>-28403</v>
      </c>
      <c r="F7258" s="3" t="s">
        <v>471</v>
      </c>
      <c r="G7258" s="3" t="s">
        <v>19</v>
      </c>
      <c r="H7258" s="2" t="s">
        <v>20</v>
      </c>
      <c r="I7258" s="2" t="s">
        <v>14213</v>
      </c>
      <c r="J7258" s="3" t="str">
        <f>HYPERLINK("https://www.boe.es/gazeta/dias/1822/03/26/pdfs/GMD-1822-87.pdf#page=5","Abrir facsímil")</f>
        <v>Abrir facsímil</v>
      </c>
      <c r="K7258" s="3" t="s">
        <v>22</v>
      </c>
    </row>
    <row r="7259" spans="1:11" ht="42" customHeight="1">
      <c r="A7259" s="2" t="s">
        <v>14207</v>
      </c>
      <c r="B7259" s="2" t="s">
        <v>14207</v>
      </c>
      <c r="C7259" s="2" t="s">
        <v>50</v>
      </c>
      <c r="D7259" s="2" t="s">
        <v>51</v>
      </c>
      <c r="E7259" s="5">
        <v>-28401</v>
      </c>
      <c r="F7259" s="3" t="s">
        <v>108</v>
      </c>
      <c r="G7259" s="3" t="s">
        <v>63</v>
      </c>
      <c r="H7259" s="2" t="s">
        <v>20</v>
      </c>
      <c r="I7259" s="2" t="s">
        <v>14214</v>
      </c>
      <c r="J7259" s="3" t="str">
        <f>HYPERLINK("https://www.boe.es/gazeta/dias/1822/03/28/pdfs/GMD-1822-89.pdf#page=6","Abrir facsímil")</f>
        <v>Abrir facsímil</v>
      </c>
      <c r="K7259" s="3" t="s">
        <v>22</v>
      </c>
    </row>
    <row r="7260" spans="1:11" ht="42" customHeight="1">
      <c r="A7260" s="2" t="s">
        <v>14207</v>
      </c>
      <c r="B7260" s="2" t="s">
        <v>14207</v>
      </c>
      <c r="C7260" s="2" t="s">
        <v>42</v>
      </c>
      <c r="D7260" s="2" t="s">
        <v>17</v>
      </c>
      <c r="E7260" s="5">
        <v>-28377</v>
      </c>
      <c r="F7260" s="3" t="s">
        <v>498</v>
      </c>
      <c r="G7260" s="3" t="s">
        <v>57</v>
      </c>
      <c r="H7260" s="2" t="s">
        <v>20</v>
      </c>
      <c r="I7260" s="2" t="s">
        <v>14215</v>
      </c>
      <c r="J7260" s="3" t="str">
        <f>HYPERLINK("https://www.boe.es/gazeta/dias/1822/04/21/pdfs/GMD-1822-113.pdf#page=4","Abrir facsímil")</f>
        <v>Abrir facsímil</v>
      </c>
      <c r="K7260" s="3" t="s">
        <v>22</v>
      </c>
    </row>
    <row r="7261" spans="1:11" ht="42" customHeight="1">
      <c r="A7261" s="2" t="s">
        <v>14207</v>
      </c>
      <c r="B7261" s="2" t="s">
        <v>14207</v>
      </c>
      <c r="C7261" s="2" t="s">
        <v>42</v>
      </c>
      <c r="D7261" s="2" t="s">
        <v>17</v>
      </c>
      <c r="E7261" s="5">
        <v>-28364</v>
      </c>
      <c r="F7261" s="3" t="s">
        <v>509</v>
      </c>
      <c r="G7261" s="3" t="s">
        <v>63</v>
      </c>
      <c r="H7261" s="2" t="s">
        <v>20</v>
      </c>
      <c r="I7261" s="2" t="s">
        <v>14216</v>
      </c>
      <c r="J7261" s="3" t="str">
        <f>HYPERLINK("https://www.boe.es/gazeta/dias/1822/05/04/pdfs/GMD-1822-126.pdf#page=6","Abrir facsímil")</f>
        <v>Abrir facsímil</v>
      </c>
      <c r="K7261" s="3" t="s">
        <v>22</v>
      </c>
    </row>
    <row r="7262" spans="1:11" ht="42" customHeight="1">
      <c r="A7262" s="2" t="s">
        <v>14207</v>
      </c>
      <c r="B7262" s="2" t="s">
        <v>14207</v>
      </c>
      <c r="C7262" s="2" t="s">
        <v>42</v>
      </c>
      <c r="D7262" s="2" t="s">
        <v>17</v>
      </c>
      <c r="E7262" s="5">
        <v>-28362</v>
      </c>
      <c r="F7262" s="3" t="s">
        <v>511</v>
      </c>
      <c r="G7262" s="3" t="s">
        <v>63</v>
      </c>
      <c r="H7262" s="2" t="s">
        <v>20</v>
      </c>
      <c r="I7262" s="2" t="s">
        <v>14217</v>
      </c>
      <c r="J7262" s="3" t="str">
        <f>HYPERLINK("https://www.boe.es/gazeta/dias/1822/05/06/pdfs/GMD-1822-128.pdf#page=6","Abrir facsímil")</f>
        <v>Abrir facsímil</v>
      </c>
      <c r="K7262" s="3" t="s">
        <v>22</v>
      </c>
    </row>
    <row r="7263" spans="1:11" ht="42" customHeight="1">
      <c r="A7263" s="2" t="s">
        <v>14207</v>
      </c>
      <c r="B7263" s="2" t="s">
        <v>14207</v>
      </c>
      <c r="C7263" s="2" t="s">
        <v>71</v>
      </c>
      <c r="D7263" s="2" t="s">
        <v>17</v>
      </c>
      <c r="E7263" s="5">
        <v>-28356</v>
      </c>
      <c r="F7263" s="3" t="s">
        <v>4170</v>
      </c>
      <c r="G7263" s="3" t="s">
        <v>35</v>
      </c>
      <c r="H7263" s="2" t="s">
        <v>20</v>
      </c>
      <c r="I7263" s="2" t="s">
        <v>14218</v>
      </c>
      <c r="J7263" s="3" t="str">
        <f>HYPERLINK("https://www.boe.es/gazeta/dias/1822/05/12/pdfs/GMD-1822-134.pdf#page=2","Abrir facsímil")</f>
        <v>Abrir facsímil</v>
      </c>
      <c r="K7263" s="3" t="s">
        <v>22</v>
      </c>
    </row>
    <row r="7264" spans="1:11" ht="42" customHeight="1">
      <c r="A7264" s="2" t="s">
        <v>14207</v>
      </c>
      <c r="B7264" s="2" t="s">
        <v>14207</v>
      </c>
      <c r="C7264" s="2" t="s">
        <v>28</v>
      </c>
      <c r="D7264" s="2" t="s">
        <v>29</v>
      </c>
      <c r="E7264" s="5">
        <v>-28330</v>
      </c>
      <c r="F7264" s="3" t="s">
        <v>896</v>
      </c>
      <c r="G7264" s="3" t="s">
        <v>57</v>
      </c>
      <c r="H7264" s="2" t="s">
        <v>20</v>
      </c>
      <c r="I7264" s="2" t="s">
        <v>14219</v>
      </c>
      <c r="J7264" s="3" t="str">
        <f>HYPERLINK("https://www.boe.es/gazeta/dias/1822/06/07/pdfs/GMD-1822-164.pdf#page=4","Abrir facsímil")</f>
        <v>Abrir facsímil</v>
      </c>
      <c r="K7264" s="3" t="s">
        <v>22</v>
      </c>
    </row>
    <row r="7265" spans="1:11" ht="42" customHeight="1">
      <c r="A7265" s="2" t="s">
        <v>14207</v>
      </c>
      <c r="B7265" s="2" t="s">
        <v>14207</v>
      </c>
      <c r="C7265" s="2" t="s">
        <v>28</v>
      </c>
      <c r="D7265" s="2" t="s">
        <v>29</v>
      </c>
      <c r="E7265" s="5">
        <v>-28325</v>
      </c>
      <c r="F7265" s="3" t="s">
        <v>104</v>
      </c>
      <c r="G7265" s="3" t="s">
        <v>31</v>
      </c>
      <c r="H7265" s="2" t="s">
        <v>20</v>
      </c>
      <c r="I7265" s="2" t="s">
        <v>14220</v>
      </c>
      <c r="J7265" s="3" t="str">
        <f>HYPERLINK("https://www.boe.es/gazeta/dias/1822/06/12/pdfs/GMD-1822-169.pdf#page=3","Abrir facsímil")</f>
        <v>Abrir facsímil</v>
      </c>
      <c r="K7265" s="3" t="s">
        <v>22</v>
      </c>
    </row>
    <row r="7266" spans="1:11" ht="42" customHeight="1">
      <c r="A7266" s="2" t="s">
        <v>14207</v>
      </c>
      <c r="B7266" s="2" t="s">
        <v>14207</v>
      </c>
      <c r="C7266" s="2" t="s">
        <v>50</v>
      </c>
      <c r="D7266" s="2" t="s">
        <v>51</v>
      </c>
      <c r="E7266" s="5">
        <v>-28323</v>
      </c>
      <c r="F7266" s="3" t="s">
        <v>116</v>
      </c>
      <c r="G7266" s="3" t="s">
        <v>31</v>
      </c>
      <c r="H7266" s="2" t="s">
        <v>20</v>
      </c>
      <c r="I7266" s="2" t="s">
        <v>14221</v>
      </c>
      <c r="J7266" s="3" t="str">
        <f>HYPERLINK("https://www.boe.es/gazeta/dias/1822/06/14/pdfs/GMD-1822-171.pdf#page=3","Abrir facsímil")</f>
        <v>Abrir facsímil</v>
      </c>
      <c r="K7266" s="3" t="s">
        <v>22</v>
      </c>
    </row>
    <row r="7267" spans="1:11" ht="42" customHeight="1">
      <c r="A7267" s="2" t="s">
        <v>14207</v>
      </c>
      <c r="B7267" s="2" t="s">
        <v>14207</v>
      </c>
      <c r="C7267" s="2" t="s">
        <v>61</v>
      </c>
      <c r="D7267" s="2" t="s">
        <v>17</v>
      </c>
      <c r="E7267" s="5">
        <v>-28297</v>
      </c>
      <c r="F7267" s="3" t="s">
        <v>1972</v>
      </c>
      <c r="G7267" s="3" t="s">
        <v>31</v>
      </c>
      <c r="H7267" s="2" t="s">
        <v>20</v>
      </c>
      <c r="I7267" s="2" t="s">
        <v>14222</v>
      </c>
      <c r="J7267" s="3" t="str">
        <f>HYPERLINK("https://www.boe.es/gazeta/dias/1822/07/10/pdfs/GMD-1822-200.pdf#page=3","Abrir facsímil")</f>
        <v>Abrir facsímil</v>
      </c>
      <c r="K7267" s="3" t="s">
        <v>22</v>
      </c>
    </row>
    <row r="7268" spans="1:11" ht="42" customHeight="1">
      <c r="A7268" s="2" t="s">
        <v>14207</v>
      </c>
      <c r="B7268" s="2" t="s">
        <v>14207</v>
      </c>
      <c r="C7268" s="2" t="s">
        <v>28</v>
      </c>
      <c r="D7268" s="2" t="s">
        <v>29</v>
      </c>
      <c r="E7268" s="5">
        <v>-28279</v>
      </c>
      <c r="F7268" s="3" t="s">
        <v>662</v>
      </c>
      <c r="G7268" s="3" t="s">
        <v>31</v>
      </c>
      <c r="H7268" s="2" t="s">
        <v>20</v>
      </c>
      <c r="I7268" s="2" t="s">
        <v>14223</v>
      </c>
      <c r="J7268" s="3" t="str">
        <f>HYPERLINK("https://www.boe.es/gazeta/dias/1822/07/28/pdfs/GMD-1822-221.pdf#page=3","Abrir facsímil")</f>
        <v>Abrir facsímil</v>
      </c>
      <c r="K7268" s="3" t="s">
        <v>22</v>
      </c>
    </row>
    <row r="7269" spans="1:11" ht="42" customHeight="1">
      <c r="A7269" s="2" t="s">
        <v>14207</v>
      </c>
      <c r="B7269" s="2" t="s">
        <v>14207</v>
      </c>
      <c r="C7269" s="2" t="s">
        <v>24</v>
      </c>
      <c r="D7269" s="2" t="s">
        <v>17</v>
      </c>
      <c r="E7269" s="5">
        <v>-28258</v>
      </c>
      <c r="F7269" s="3" t="s">
        <v>88</v>
      </c>
      <c r="G7269" s="3" t="s">
        <v>31</v>
      </c>
      <c r="H7269" s="2" t="s">
        <v>20</v>
      </c>
      <c r="I7269" s="2" t="s">
        <v>14224</v>
      </c>
      <c r="J7269" s="3" t="str">
        <f>HYPERLINK("https://www.boe.es/gazeta/dias/1822/08/18/pdfs/GMD-1822-242.pdf#page=3","Abrir facsímil")</f>
        <v>Abrir facsímil</v>
      </c>
      <c r="K7269" s="3" t="s">
        <v>22</v>
      </c>
    </row>
    <row r="7270" spans="1:11" ht="42" customHeight="1">
      <c r="A7270" s="2" t="s">
        <v>14207</v>
      </c>
      <c r="B7270" s="2" t="s">
        <v>14207</v>
      </c>
      <c r="C7270" s="2" t="s">
        <v>16</v>
      </c>
      <c r="D7270" s="2" t="s">
        <v>17</v>
      </c>
      <c r="E7270" s="5">
        <v>-28210</v>
      </c>
      <c r="F7270" s="3" t="s">
        <v>218</v>
      </c>
      <c r="G7270" s="3" t="s">
        <v>19</v>
      </c>
      <c r="H7270" s="2" t="s">
        <v>20</v>
      </c>
      <c r="I7270" s="2" t="s">
        <v>14225</v>
      </c>
      <c r="J7270" s="3" t="str">
        <f>HYPERLINK("https://www.boe.es/gazeta/dias/1822/10/05/pdfs/GMD-1822-291.pdf#page=5","Abrir facsímil")</f>
        <v>Abrir facsímil</v>
      </c>
      <c r="K7270" s="3" t="s">
        <v>22</v>
      </c>
    </row>
    <row r="7271" spans="1:11" ht="42" customHeight="1">
      <c r="A7271" s="2" t="s">
        <v>14207</v>
      </c>
      <c r="B7271" s="2" t="s">
        <v>14207</v>
      </c>
      <c r="C7271" s="2" t="s">
        <v>24</v>
      </c>
      <c r="D7271" s="2" t="s">
        <v>17</v>
      </c>
      <c r="E7271" s="5">
        <v>-28207</v>
      </c>
      <c r="F7271" s="3" t="s">
        <v>1325</v>
      </c>
      <c r="G7271" s="3" t="s">
        <v>31</v>
      </c>
      <c r="H7271" s="2" t="s">
        <v>20</v>
      </c>
      <c r="I7271" s="2" t="s">
        <v>14226</v>
      </c>
      <c r="J7271" s="3" t="str">
        <f>HYPERLINK("https://www.boe.es/gazeta/dias/1822/10/08/pdfs/GMD-1822-295.pdf#page=3","Abrir facsímil")</f>
        <v>Abrir facsímil</v>
      </c>
      <c r="K7271" s="3" t="s">
        <v>22</v>
      </c>
    </row>
    <row r="7272" spans="1:11" ht="42" customHeight="1">
      <c r="A7272" s="2" t="s">
        <v>14207</v>
      </c>
      <c r="B7272" s="2" t="s">
        <v>14207</v>
      </c>
      <c r="C7272" s="2" t="s">
        <v>42</v>
      </c>
      <c r="D7272" s="2" t="s">
        <v>17</v>
      </c>
      <c r="E7272" s="5">
        <v>-28200</v>
      </c>
      <c r="F7272" s="3" t="s">
        <v>1037</v>
      </c>
      <c r="G7272" s="3" t="s">
        <v>63</v>
      </c>
      <c r="H7272" s="2" t="s">
        <v>20</v>
      </c>
      <c r="I7272" s="2" t="s">
        <v>14227</v>
      </c>
      <c r="J7272" s="3" t="str">
        <f>HYPERLINK("https://www.boe.es/gazeta/dias/1822/10/15/pdfs/GMD-1822-302.pdf#page=6","Abrir facsímil")</f>
        <v>Abrir facsímil</v>
      </c>
      <c r="K7272" s="3" t="s">
        <v>22</v>
      </c>
    </row>
    <row r="7273" spans="1:11" ht="42" customHeight="1">
      <c r="A7273" s="2" t="s">
        <v>14207</v>
      </c>
      <c r="B7273" s="2" t="s">
        <v>14207</v>
      </c>
      <c r="C7273" s="2" t="s">
        <v>42</v>
      </c>
      <c r="D7273" s="2" t="s">
        <v>17</v>
      </c>
      <c r="E7273" s="5">
        <v>-28199</v>
      </c>
      <c r="F7273" s="3" t="s">
        <v>656</v>
      </c>
      <c r="G7273" s="3" t="s">
        <v>44</v>
      </c>
      <c r="H7273" s="2" t="s">
        <v>20</v>
      </c>
      <c r="I7273" s="2" t="s">
        <v>14228</v>
      </c>
      <c r="J7273" s="3" t="str">
        <f>HYPERLINK("https://www.boe.es/gazeta/dias/1822/10/16/pdfs/GMD-1822-303.pdf#page=1","Abrir facsímil")</f>
        <v>Abrir facsímil</v>
      </c>
      <c r="K7273" s="3" t="s">
        <v>22</v>
      </c>
    </row>
    <row r="7274" spans="1:11" ht="42" customHeight="1">
      <c r="A7274" s="2" t="s">
        <v>14207</v>
      </c>
      <c r="B7274" s="2" t="s">
        <v>14207</v>
      </c>
      <c r="C7274" s="2" t="s">
        <v>42</v>
      </c>
      <c r="D7274" s="2" t="s">
        <v>17</v>
      </c>
      <c r="E7274" s="5">
        <v>-28192</v>
      </c>
      <c r="F7274" s="3" t="s">
        <v>43</v>
      </c>
      <c r="G7274" s="3" t="s">
        <v>167</v>
      </c>
      <c r="H7274" s="2" t="s">
        <v>20</v>
      </c>
      <c r="I7274" s="2" t="s">
        <v>14229</v>
      </c>
      <c r="J7274" s="3" t="str">
        <f>HYPERLINK("https://www.boe.es/gazeta/dias/1822/10/23/pdfs/GMD-1822-310.pdf#page=7","Abrir facsímil")</f>
        <v>Abrir facsímil</v>
      </c>
      <c r="K7274" s="3" t="s">
        <v>22</v>
      </c>
    </row>
    <row r="7275" spans="1:11" ht="42" customHeight="1">
      <c r="A7275" s="2" t="s">
        <v>14207</v>
      </c>
      <c r="B7275" s="2" t="s">
        <v>14207</v>
      </c>
      <c r="C7275" s="2" t="s">
        <v>16</v>
      </c>
      <c r="D7275" s="2" t="s">
        <v>17</v>
      </c>
      <c r="E7275" s="5">
        <v>-28168</v>
      </c>
      <c r="F7275" s="3" t="s">
        <v>3672</v>
      </c>
      <c r="G7275" s="3" t="s">
        <v>57</v>
      </c>
      <c r="H7275" s="2" t="s">
        <v>20</v>
      </c>
      <c r="I7275" s="2" t="s">
        <v>14230</v>
      </c>
      <c r="J7275" s="3" t="str">
        <f>HYPERLINK("https://www.boe.es/gazeta/dias/1822/11/16/pdfs/GMD-1822-336.pdf#page=4","Abrir facsímil")</f>
        <v>Abrir facsímil</v>
      </c>
      <c r="K7275" s="3" t="s">
        <v>22</v>
      </c>
    </row>
    <row r="7276" spans="1:11" ht="42" customHeight="1">
      <c r="A7276" s="2" t="s">
        <v>14207</v>
      </c>
      <c r="B7276" s="2" t="s">
        <v>14207</v>
      </c>
      <c r="C7276" s="2" t="s">
        <v>42</v>
      </c>
      <c r="D7276" s="2" t="s">
        <v>17</v>
      </c>
      <c r="E7276" s="5">
        <v>-28166</v>
      </c>
      <c r="F7276" s="3" t="s">
        <v>942</v>
      </c>
      <c r="G7276" s="3" t="s">
        <v>19</v>
      </c>
      <c r="H7276" s="2" t="s">
        <v>20</v>
      </c>
      <c r="I7276" s="2" t="s">
        <v>14231</v>
      </c>
      <c r="J7276" s="3" t="str">
        <f>HYPERLINK("https://www.boe.es/gazeta/dias/1822/11/18/pdfs/GMD-1822-338.pdf#page=5","Abrir facsímil")</f>
        <v>Abrir facsímil</v>
      </c>
      <c r="K7276" s="3" t="s">
        <v>22</v>
      </c>
    </row>
    <row r="7277" spans="1:11" ht="42" customHeight="1">
      <c r="A7277" s="2" t="s">
        <v>14232</v>
      </c>
      <c r="B7277" s="2" t="s">
        <v>14233</v>
      </c>
      <c r="C7277" s="2" t="s">
        <v>24</v>
      </c>
      <c r="D7277" s="2" t="s">
        <v>17</v>
      </c>
      <c r="E7277" s="5">
        <v>-28437</v>
      </c>
      <c r="F7277" s="3" t="s">
        <v>2192</v>
      </c>
      <c r="G7277" s="3" t="s">
        <v>57</v>
      </c>
      <c r="H7277" s="2" t="s">
        <v>20</v>
      </c>
      <c r="I7277" s="2" t="s">
        <v>14234</v>
      </c>
      <c r="J7277" s="3" t="str">
        <f>HYPERLINK("https://www.boe.es/gazeta/dias/1822/02/20/pdfs/GMD-1822-52.pdf#page=4","Abrir facsímil")</f>
        <v>Abrir facsímil</v>
      </c>
      <c r="K7277" s="3" t="s">
        <v>22</v>
      </c>
    </row>
    <row r="7278" spans="1:11" ht="42" customHeight="1">
      <c r="A7278" s="2" t="s">
        <v>14235</v>
      </c>
      <c r="B7278" s="2" t="s">
        <v>14236</v>
      </c>
      <c r="C7278" s="2" t="s">
        <v>50</v>
      </c>
      <c r="D7278" s="2" t="s">
        <v>51</v>
      </c>
      <c r="E7278" s="5">
        <v>-28260</v>
      </c>
      <c r="F7278" s="3" t="s">
        <v>135</v>
      </c>
      <c r="G7278" s="3" t="s">
        <v>31</v>
      </c>
      <c r="H7278" s="2" t="s">
        <v>20</v>
      </c>
      <c r="I7278" s="2" t="s">
        <v>14237</v>
      </c>
      <c r="J7278" s="3" t="str">
        <f>HYPERLINK("https://www.boe.es/gazeta/dias/1822/08/16/pdfs/GMD-1822-240.pdf#page=3","Abrir facsímil")</f>
        <v>Abrir facsímil</v>
      </c>
      <c r="K7278" s="3" t="s">
        <v>22</v>
      </c>
    </row>
    <row r="7279" spans="1:11" ht="42" customHeight="1">
      <c r="A7279" s="2" t="s">
        <v>14238</v>
      </c>
      <c r="B7279" s="2" t="s">
        <v>14239</v>
      </c>
      <c r="C7279" s="2" t="s">
        <v>28</v>
      </c>
      <c r="D7279" s="2" t="s">
        <v>29</v>
      </c>
      <c r="E7279" s="5">
        <v>-28396</v>
      </c>
      <c r="F7279" s="3" t="s">
        <v>1138</v>
      </c>
      <c r="G7279" s="3" t="s">
        <v>157</v>
      </c>
      <c r="H7279" s="2" t="s">
        <v>20</v>
      </c>
      <c r="I7279" s="2" t="s">
        <v>14240</v>
      </c>
      <c r="J7279" s="3" t="str">
        <f>HYPERLINK("https://www.boe.es/gazeta/dias/1822/04/02/pdfs/GMD-1822-94.pdf#page=8","Abrir facsímil")</f>
        <v>Abrir facsímil</v>
      </c>
      <c r="K7279" s="3" t="s">
        <v>22</v>
      </c>
    </row>
    <row r="7280" spans="1:11" ht="42" customHeight="1">
      <c r="A7280" s="2" t="s">
        <v>14241</v>
      </c>
      <c r="B7280" s="2" t="s">
        <v>14242</v>
      </c>
      <c r="C7280" s="2" t="s">
        <v>28</v>
      </c>
      <c r="D7280" s="2" t="s">
        <v>29</v>
      </c>
      <c r="E7280" s="5">
        <v>-28319</v>
      </c>
      <c r="F7280" s="3" t="s">
        <v>271</v>
      </c>
      <c r="G7280" s="3" t="s">
        <v>63</v>
      </c>
      <c r="H7280" s="2" t="s">
        <v>20</v>
      </c>
      <c r="I7280" s="2" t="s">
        <v>14243</v>
      </c>
      <c r="J7280" s="3" t="str">
        <f>HYPERLINK("https://www.boe.es/gazeta/dias/1822/06/18/pdfs/GMD-1822-175.pdf#page=6","Abrir facsímil")</f>
        <v>Abrir facsímil</v>
      </c>
      <c r="K7280" s="3" t="s">
        <v>22</v>
      </c>
    </row>
    <row r="7281" spans="1:11" ht="42" customHeight="1">
      <c r="A7281" s="2" t="s">
        <v>14244</v>
      </c>
      <c r="B7281" s="2" t="s">
        <v>14244</v>
      </c>
      <c r="C7281" s="2" t="s">
        <v>50</v>
      </c>
      <c r="D7281" s="2" t="s">
        <v>51</v>
      </c>
      <c r="E7281" s="5">
        <v>-28419</v>
      </c>
      <c r="F7281" s="3" t="s">
        <v>1392</v>
      </c>
      <c r="G7281" s="3" t="s">
        <v>35</v>
      </c>
      <c r="H7281" s="2" t="s">
        <v>20</v>
      </c>
      <c r="I7281" s="2" t="s">
        <v>14245</v>
      </c>
      <c r="J7281" s="3" t="str">
        <f>HYPERLINK("https://www.boe.es/gazeta/dias/1822/03/10/pdfs/GMD-1822-71.pdf#page=2","Abrir facsímil")</f>
        <v>Abrir facsímil</v>
      </c>
      <c r="K7281" s="3" t="s">
        <v>22</v>
      </c>
    </row>
    <row r="7282" spans="1:11" ht="42" customHeight="1">
      <c r="A7282" s="2" t="s">
        <v>14244</v>
      </c>
      <c r="B7282" s="2" t="s">
        <v>14244</v>
      </c>
      <c r="C7282" s="2" t="s">
        <v>61</v>
      </c>
      <c r="D7282" s="2" t="s">
        <v>17</v>
      </c>
      <c r="E7282" s="5">
        <v>-28347</v>
      </c>
      <c r="F7282" s="3" t="s">
        <v>520</v>
      </c>
      <c r="G7282" s="3" t="s">
        <v>44</v>
      </c>
      <c r="H7282" s="2" t="s">
        <v>20</v>
      </c>
      <c r="I7282" s="2" t="s">
        <v>14246</v>
      </c>
      <c r="J7282" s="3" t="str">
        <f>HYPERLINK("https://www.boe.es/gazeta/dias/1822/05/21/pdfs/GMD-1822-144.pdf#page=1","Abrir facsímil")</f>
        <v>Abrir facsímil</v>
      </c>
      <c r="K7282" s="3" t="s">
        <v>22</v>
      </c>
    </row>
    <row r="7283" spans="1:11" ht="42" customHeight="1">
      <c r="A7283" s="2" t="s">
        <v>14244</v>
      </c>
      <c r="B7283" s="2" t="s">
        <v>14244</v>
      </c>
      <c r="C7283" s="2" t="s">
        <v>50</v>
      </c>
      <c r="D7283" s="2" t="s">
        <v>51</v>
      </c>
      <c r="E7283" s="5">
        <v>-28343</v>
      </c>
      <c r="F7283" s="3" t="s">
        <v>1019</v>
      </c>
      <c r="G7283" s="3" t="s">
        <v>44</v>
      </c>
      <c r="H7283" s="2" t="s">
        <v>20</v>
      </c>
      <c r="I7283" s="2" t="s">
        <v>14247</v>
      </c>
      <c r="J7283" s="3" t="str">
        <f>HYPERLINK("https://www.boe.es/gazeta/dias/1822/05/25/pdfs/GMD-1822-150.pdf#page=1","Abrir facsímil")</f>
        <v>Abrir facsímil</v>
      </c>
      <c r="K7283" s="3" t="s">
        <v>22</v>
      </c>
    </row>
    <row r="7284" spans="1:11" ht="42" customHeight="1">
      <c r="A7284" s="2" t="s">
        <v>14244</v>
      </c>
      <c r="B7284" s="2" t="s">
        <v>14244</v>
      </c>
      <c r="C7284" s="2" t="s">
        <v>50</v>
      </c>
      <c r="D7284" s="2" t="s">
        <v>51</v>
      </c>
      <c r="E7284" s="5">
        <v>-28341</v>
      </c>
      <c r="F7284" s="3" t="s">
        <v>284</v>
      </c>
      <c r="G7284" s="3" t="s">
        <v>63</v>
      </c>
      <c r="H7284" s="2" t="s">
        <v>20</v>
      </c>
      <c r="I7284" s="2" t="s">
        <v>14248</v>
      </c>
      <c r="J7284" s="3" t="str">
        <f>HYPERLINK("https://www.boe.es/gazeta/dias/1822/05/27/pdfs/GMD-1822-152.pdf#page=6","Abrir facsímil")</f>
        <v>Abrir facsímil</v>
      </c>
      <c r="K7284" s="3" t="s">
        <v>22</v>
      </c>
    </row>
    <row r="7285" spans="1:11" ht="42" customHeight="1">
      <c r="A7285" s="2" t="s">
        <v>14244</v>
      </c>
      <c r="B7285" s="2" t="s">
        <v>14244</v>
      </c>
      <c r="C7285" s="2" t="s">
        <v>50</v>
      </c>
      <c r="D7285" s="2" t="s">
        <v>51</v>
      </c>
      <c r="E7285" s="5">
        <v>-28301</v>
      </c>
      <c r="F7285" s="3" t="s">
        <v>2348</v>
      </c>
      <c r="G7285" s="3" t="s">
        <v>31</v>
      </c>
      <c r="H7285" s="2" t="s">
        <v>20</v>
      </c>
      <c r="I7285" s="2" t="s">
        <v>14249</v>
      </c>
      <c r="J7285" s="3" t="str">
        <f>HYPERLINK("https://www.boe.es/gazeta/dias/1822/07/06/pdfs/GMD-1822-195.pdf#page=3","Abrir facsímil")</f>
        <v>Abrir facsímil</v>
      </c>
      <c r="K7285" s="3" t="s">
        <v>22</v>
      </c>
    </row>
    <row r="7286" spans="1:11" ht="42" customHeight="1">
      <c r="A7286" s="2" t="s">
        <v>14244</v>
      </c>
      <c r="B7286" s="2" t="s">
        <v>14244</v>
      </c>
      <c r="C7286" s="2" t="s">
        <v>42</v>
      </c>
      <c r="D7286" s="2" t="s">
        <v>17</v>
      </c>
      <c r="E7286" s="5">
        <v>-28210</v>
      </c>
      <c r="F7286" s="3" t="s">
        <v>218</v>
      </c>
      <c r="G7286" s="3" t="s">
        <v>19</v>
      </c>
      <c r="H7286" s="2" t="s">
        <v>20</v>
      </c>
      <c r="I7286" s="2" t="s">
        <v>14250</v>
      </c>
      <c r="J7286" s="3" t="str">
        <f>HYPERLINK("https://www.boe.es/gazeta/dias/1822/10/05/pdfs/GMD-1822-291.pdf#page=5","Abrir facsímil")</f>
        <v>Abrir facsímil</v>
      </c>
      <c r="K7286" s="3" t="s">
        <v>22</v>
      </c>
    </row>
    <row r="7287" spans="1:11" ht="42" customHeight="1">
      <c r="A7287" s="2" t="s">
        <v>14251</v>
      </c>
      <c r="B7287" s="2" t="s">
        <v>14252</v>
      </c>
      <c r="C7287" s="2" t="s">
        <v>28</v>
      </c>
      <c r="D7287" s="2" t="s">
        <v>29</v>
      </c>
      <c r="E7287" s="5">
        <v>-28210</v>
      </c>
      <c r="F7287" s="3" t="s">
        <v>218</v>
      </c>
      <c r="G7287" s="3" t="s">
        <v>19</v>
      </c>
      <c r="H7287" s="2" t="s">
        <v>20</v>
      </c>
      <c r="I7287" s="2" t="s">
        <v>14253</v>
      </c>
      <c r="J7287" s="3" t="str">
        <f>HYPERLINK("https://www.boe.es/gazeta/dias/1822/10/05/pdfs/GMD-1822-291.pdf#page=5","Abrir facsímil")</f>
        <v>Abrir facsímil</v>
      </c>
      <c r="K7287" s="3" t="s">
        <v>22</v>
      </c>
    </row>
    <row r="7288" spans="1:11" ht="42" customHeight="1">
      <c r="A7288" s="2" t="s">
        <v>14254</v>
      </c>
      <c r="B7288" s="2" t="s">
        <v>14254</v>
      </c>
      <c r="C7288" s="2" t="s">
        <v>24</v>
      </c>
      <c r="D7288" s="2" t="s">
        <v>17</v>
      </c>
      <c r="E7288" s="5">
        <v>-28159</v>
      </c>
      <c r="F7288" s="3" t="s">
        <v>67</v>
      </c>
      <c r="G7288" s="3" t="s">
        <v>31</v>
      </c>
      <c r="H7288" s="2" t="s">
        <v>20</v>
      </c>
      <c r="I7288" s="2" t="s">
        <v>14255</v>
      </c>
      <c r="J7288" s="3" t="str">
        <f>HYPERLINK("https://www.boe.es/gazeta/dias/1822/11/25/pdfs/GMD-1822-345.pdf#page=3","Abrir facsímil")</f>
        <v>Abrir facsímil</v>
      </c>
      <c r="K7288" s="3" t="s">
        <v>22</v>
      </c>
    </row>
    <row r="7289" spans="1:11" ht="42" customHeight="1">
      <c r="A7289" s="2" t="s">
        <v>14256</v>
      </c>
      <c r="B7289" s="2" t="s">
        <v>14256</v>
      </c>
      <c r="C7289" s="2" t="s">
        <v>42</v>
      </c>
      <c r="D7289" s="2" t="s">
        <v>17</v>
      </c>
      <c r="E7289" s="5">
        <v>-28364</v>
      </c>
      <c r="F7289" s="3" t="s">
        <v>509</v>
      </c>
      <c r="G7289" s="3" t="s">
        <v>63</v>
      </c>
      <c r="H7289" s="2" t="s">
        <v>20</v>
      </c>
      <c r="I7289" s="2" t="s">
        <v>14257</v>
      </c>
      <c r="J7289" s="3" t="str">
        <f>HYPERLINK("https://www.boe.es/gazeta/dias/1822/05/04/pdfs/GMD-1822-126.pdf#page=6","Abrir facsímil")</f>
        <v>Abrir facsímil</v>
      </c>
      <c r="K7289" s="3" t="s">
        <v>22</v>
      </c>
    </row>
    <row r="7290" spans="1:11" ht="42" customHeight="1">
      <c r="A7290" s="2" t="s">
        <v>14256</v>
      </c>
      <c r="B7290" s="2" t="s">
        <v>14256</v>
      </c>
      <c r="C7290" s="2" t="s">
        <v>42</v>
      </c>
      <c r="D7290" s="2" t="s">
        <v>17</v>
      </c>
      <c r="E7290" s="5">
        <v>-28358</v>
      </c>
      <c r="F7290" s="3" t="s">
        <v>211</v>
      </c>
      <c r="G7290" s="3" t="s">
        <v>57</v>
      </c>
      <c r="H7290" s="2" t="s">
        <v>20</v>
      </c>
      <c r="I7290" s="2" t="s">
        <v>14258</v>
      </c>
      <c r="J7290" s="3" t="str">
        <f>HYPERLINK("https://www.boe.es/gazeta/dias/1822/05/10/pdfs/GMD-1822-132.pdf#page=4","Abrir facsímil")</f>
        <v>Abrir facsímil</v>
      </c>
      <c r="K7290" s="3" t="s">
        <v>22</v>
      </c>
    </row>
    <row r="7291" spans="1:11" ht="42" customHeight="1">
      <c r="A7291" s="2" t="s">
        <v>14256</v>
      </c>
      <c r="B7291" s="2" t="s">
        <v>14256</v>
      </c>
      <c r="C7291" s="2" t="s">
        <v>28</v>
      </c>
      <c r="D7291" s="2" t="s">
        <v>29</v>
      </c>
      <c r="E7291" s="5">
        <v>-28339</v>
      </c>
      <c r="F7291" s="3" t="s">
        <v>197</v>
      </c>
      <c r="G7291" s="3" t="s">
        <v>63</v>
      </c>
      <c r="H7291" s="2" t="s">
        <v>20</v>
      </c>
      <c r="I7291" s="2" t="s">
        <v>14259</v>
      </c>
      <c r="J7291" s="3" t="str">
        <f>HYPERLINK("https://www.boe.es/gazeta/dias/1822/05/29/pdfs/GMD-1822-154.pdf#page=6","Abrir facsímil")</f>
        <v>Abrir facsímil</v>
      </c>
      <c r="K7291" s="3" t="s">
        <v>22</v>
      </c>
    </row>
    <row r="7292" spans="1:11" ht="42" customHeight="1">
      <c r="A7292" s="2" t="s">
        <v>14256</v>
      </c>
      <c r="B7292" s="2" t="s">
        <v>14256</v>
      </c>
      <c r="C7292" s="2" t="s">
        <v>362</v>
      </c>
      <c r="D7292" s="2" t="s">
        <v>17</v>
      </c>
      <c r="E7292" s="5">
        <v>-28330</v>
      </c>
      <c r="F7292" s="3" t="s">
        <v>896</v>
      </c>
      <c r="G7292" s="3" t="s">
        <v>57</v>
      </c>
      <c r="H7292" s="2" t="s">
        <v>20</v>
      </c>
      <c r="I7292" s="2" t="s">
        <v>14260</v>
      </c>
      <c r="J7292" s="3" t="str">
        <f>HYPERLINK("https://www.boe.es/gazeta/dias/1822/06/07/pdfs/GMD-1822-164.pdf#page=4","Abrir facsímil")</f>
        <v>Abrir facsímil</v>
      </c>
      <c r="K7292" s="3" t="s">
        <v>22</v>
      </c>
    </row>
    <row r="7293" spans="1:11" ht="42" customHeight="1">
      <c r="A7293" s="2" t="s">
        <v>14256</v>
      </c>
      <c r="B7293" s="2" t="s">
        <v>14256</v>
      </c>
      <c r="C7293" s="2" t="s">
        <v>16</v>
      </c>
      <c r="D7293" s="2" t="s">
        <v>17</v>
      </c>
      <c r="E7293" s="5">
        <v>-28326</v>
      </c>
      <c r="F7293" s="3" t="s">
        <v>543</v>
      </c>
      <c r="G7293" s="3" t="s">
        <v>63</v>
      </c>
      <c r="H7293" s="2" t="s">
        <v>20</v>
      </c>
      <c r="I7293" s="2" t="s">
        <v>14261</v>
      </c>
      <c r="J7293" s="3" t="str">
        <f>HYPERLINK("https://www.boe.es/gazeta/dias/1822/06/11/pdfs/GMD-1822-168.pdf#page=6","Abrir facsímil")</f>
        <v>Abrir facsímil</v>
      </c>
      <c r="K7293" s="3" t="s">
        <v>22</v>
      </c>
    </row>
    <row r="7294" spans="1:11" ht="42" customHeight="1">
      <c r="A7294" s="2" t="s">
        <v>14256</v>
      </c>
      <c r="B7294" s="2" t="s">
        <v>14256</v>
      </c>
      <c r="C7294" s="2" t="s">
        <v>24</v>
      </c>
      <c r="D7294" s="2" t="s">
        <v>17</v>
      </c>
      <c r="E7294" s="5">
        <v>-28267</v>
      </c>
      <c r="F7294" s="3" t="s">
        <v>1270</v>
      </c>
      <c r="G7294" s="3" t="s">
        <v>57</v>
      </c>
      <c r="H7294" s="2" t="s">
        <v>20</v>
      </c>
      <c r="I7294" s="2" t="s">
        <v>14262</v>
      </c>
      <c r="J7294" s="3" t="str">
        <f>HYPERLINK("https://www.boe.es/gazeta/dias/1822/08/09/pdfs/GMD-1822-233.pdf#page=4","Abrir facsímil")</f>
        <v>Abrir facsímil</v>
      </c>
      <c r="K7294" s="3" t="s">
        <v>22</v>
      </c>
    </row>
    <row r="7295" spans="1:11" ht="42" customHeight="1">
      <c r="A7295" s="2" t="s">
        <v>14256</v>
      </c>
      <c r="B7295" s="2" t="s">
        <v>14256</v>
      </c>
      <c r="C7295" s="2" t="s">
        <v>50</v>
      </c>
      <c r="D7295" s="2" t="s">
        <v>51</v>
      </c>
      <c r="E7295" s="5">
        <v>-28240</v>
      </c>
      <c r="F7295" s="3" t="s">
        <v>678</v>
      </c>
      <c r="G7295" s="3" t="s">
        <v>57</v>
      </c>
      <c r="H7295" s="2" t="s">
        <v>20</v>
      </c>
      <c r="I7295" s="2" t="s">
        <v>14263</v>
      </c>
      <c r="J7295" s="3" t="str">
        <f>HYPERLINK("https://www.boe.es/gazeta/dias/1822/09/05/pdfs/GMD-1822-260.pdf#page=4","Abrir facsímil")</f>
        <v>Abrir facsímil</v>
      </c>
      <c r="K7295" s="3" t="s">
        <v>22</v>
      </c>
    </row>
    <row r="7296" spans="1:11" ht="42" customHeight="1">
      <c r="A7296" s="2" t="s">
        <v>14256</v>
      </c>
      <c r="B7296" s="2" t="s">
        <v>14256</v>
      </c>
      <c r="C7296" s="2" t="s">
        <v>28</v>
      </c>
      <c r="D7296" s="2" t="s">
        <v>29</v>
      </c>
      <c r="E7296" s="5">
        <v>-28225</v>
      </c>
      <c r="F7296" s="3" t="s">
        <v>177</v>
      </c>
      <c r="G7296" s="3" t="s">
        <v>3273</v>
      </c>
      <c r="H7296" s="2" t="s">
        <v>20</v>
      </c>
      <c r="I7296" s="2" t="s">
        <v>14264</v>
      </c>
      <c r="J7296" s="3" t="str">
        <f>HYPERLINK("https://www.boe.es/gazeta/dias/1822/09/20/pdfs/GMD-1822-276.pdf#page=4","Abrir facsímil")</f>
        <v>Abrir facsímil</v>
      </c>
      <c r="K7296" s="3" t="s">
        <v>22</v>
      </c>
    </row>
    <row r="7297" spans="1:11" ht="42" customHeight="1">
      <c r="A7297" s="2" t="s">
        <v>14256</v>
      </c>
      <c r="B7297" s="2" t="s">
        <v>14256</v>
      </c>
      <c r="C7297" s="2" t="s">
        <v>42</v>
      </c>
      <c r="D7297" s="2" t="s">
        <v>17</v>
      </c>
      <c r="E7297" s="5">
        <v>-28210</v>
      </c>
      <c r="F7297" s="3" t="s">
        <v>218</v>
      </c>
      <c r="G7297" s="3" t="s">
        <v>19</v>
      </c>
      <c r="H7297" s="2" t="s">
        <v>20</v>
      </c>
      <c r="I7297" s="2" t="s">
        <v>14265</v>
      </c>
      <c r="J7297" s="3" t="str">
        <f>HYPERLINK("https://www.boe.es/gazeta/dias/1822/10/05/pdfs/GMD-1822-291.pdf#page=5","Abrir facsímil")</f>
        <v>Abrir facsímil</v>
      </c>
      <c r="K7297" s="3" t="s">
        <v>22</v>
      </c>
    </row>
    <row r="7298" spans="1:11" ht="42" customHeight="1">
      <c r="A7298" s="2" t="s">
        <v>14266</v>
      </c>
      <c r="B7298" s="2" t="s">
        <v>14267</v>
      </c>
      <c r="C7298" s="2" t="s">
        <v>71</v>
      </c>
      <c r="D7298" s="2" t="s">
        <v>17</v>
      </c>
      <c r="E7298" s="5">
        <v>-28398</v>
      </c>
      <c r="F7298" s="3" t="s">
        <v>1961</v>
      </c>
      <c r="G7298" s="3" t="s">
        <v>31</v>
      </c>
      <c r="H7298" s="2" t="s">
        <v>20</v>
      </c>
      <c r="I7298" s="2" t="s">
        <v>14268</v>
      </c>
      <c r="J7298" s="3" t="str">
        <f>HYPERLINK("https://www.boe.es/gazeta/dias/1822/03/31/pdfs/GMD-1822-92.pdf#page=3","Abrir facsímil")</f>
        <v>Abrir facsímil</v>
      </c>
      <c r="K7298" s="3" t="s">
        <v>22</v>
      </c>
    </row>
    <row r="7299" spans="1:11" ht="42" customHeight="1">
      <c r="A7299" s="2" t="s">
        <v>14269</v>
      </c>
      <c r="B7299" s="2" t="s">
        <v>14269</v>
      </c>
      <c r="C7299" s="2" t="s">
        <v>50</v>
      </c>
      <c r="D7299" s="2" t="s">
        <v>51</v>
      </c>
      <c r="E7299" s="5">
        <v>-28394</v>
      </c>
      <c r="F7299" s="3" t="s">
        <v>268</v>
      </c>
      <c r="G7299" s="3" t="s">
        <v>57</v>
      </c>
      <c r="H7299" s="2" t="s">
        <v>20</v>
      </c>
      <c r="I7299" s="2" t="s">
        <v>14270</v>
      </c>
      <c r="J7299" s="3" t="str">
        <f>HYPERLINK("https://www.boe.es/gazeta/dias/1822/04/04/pdfs/GMD-1822-96.pdf#page=4","Abrir facsímil")</f>
        <v>Abrir facsímil</v>
      </c>
      <c r="K7299" s="3" t="s">
        <v>22</v>
      </c>
    </row>
    <row r="7300" spans="1:11" ht="42" customHeight="1">
      <c r="A7300" s="2" t="s">
        <v>14271</v>
      </c>
      <c r="B7300" s="2" t="s">
        <v>14272</v>
      </c>
      <c r="C7300" s="2" t="s">
        <v>50</v>
      </c>
      <c r="D7300" s="2" t="s">
        <v>51</v>
      </c>
      <c r="E7300" s="5">
        <v>-28349</v>
      </c>
      <c r="F7300" s="3" t="s">
        <v>518</v>
      </c>
      <c r="G7300" s="3" t="s">
        <v>57</v>
      </c>
      <c r="H7300" s="2" t="s">
        <v>20</v>
      </c>
      <c r="I7300" s="2" t="s">
        <v>14273</v>
      </c>
      <c r="J7300" s="3" t="str">
        <f>HYPERLINK("https://www.boe.es/gazeta/dias/1822/05/19/pdfs/GMD-1822-141.pdf#page=4","Abrir facsímil")</f>
        <v>Abrir facsímil</v>
      </c>
      <c r="K7300" s="3" t="s">
        <v>22</v>
      </c>
    </row>
    <row r="7301" spans="1:11" ht="42" customHeight="1">
      <c r="A7301" s="2" t="s">
        <v>14274</v>
      </c>
      <c r="B7301" s="2" t="s">
        <v>14275</v>
      </c>
      <c r="C7301" s="2" t="s">
        <v>28</v>
      </c>
      <c r="D7301" s="2" t="s">
        <v>29</v>
      </c>
      <c r="E7301" s="5">
        <v>-28274</v>
      </c>
      <c r="F7301" s="3" t="s">
        <v>3371</v>
      </c>
      <c r="G7301" s="3" t="s">
        <v>44</v>
      </c>
      <c r="H7301" s="2" t="s">
        <v>20</v>
      </c>
      <c r="I7301" s="2" t="s">
        <v>14276</v>
      </c>
      <c r="J7301" s="3" t="str">
        <f>HYPERLINK("https://www.boe.es/gazeta/dias/1822/08/02/pdfs/GMD-1822-226.pdf#page=1","Abrir facsímil")</f>
        <v>Abrir facsímil</v>
      </c>
      <c r="K7301" s="3" t="s">
        <v>22</v>
      </c>
    </row>
    <row r="7302" spans="1:11" ht="42" customHeight="1">
      <c r="A7302" s="2" t="s">
        <v>14277</v>
      </c>
      <c r="B7302" s="2" t="s">
        <v>14277</v>
      </c>
      <c r="C7302" s="2" t="s">
        <v>42</v>
      </c>
      <c r="D7302" s="2" t="s">
        <v>17</v>
      </c>
      <c r="E7302" s="5">
        <v>-28347</v>
      </c>
      <c r="F7302" s="3" t="s">
        <v>520</v>
      </c>
      <c r="G7302" s="3" t="s">
        <v>19</v>
      </c>
      <c r="H7302" s="2" t="s">
        <v>20</v>
      </c>
      <c r="I7302" s="2" t="s">
        <v>14278</v>
      </c>
      <c r="J7302" s="3" t="str">
        <f>HYPERLINK("https://www.boe.es/gazeta/dias/1822/05/21/pdfs/GMD-1822-144.pdf#page=5","Abrir facsímil")</f>
        <v>Abrir facsímil</v>
      </c>
      <c r="K7302" s="3" t="s">
        <v>22</v>
      </c>
    </row>
    <row r="7303" spans="1:11" ht="42" customHeight="1">
      <c r="A7303" s="2" t="s">
        <v>14277</v>
      </c>
      <c r="B7303" s="2" t="s">
        <v>14277</v>
      </c>
      <c r="C7303" s="2" t="s">
        <v>50</v>
      </c>
      <c r="D7303" s="2" t="s">
        <v>51</v>
      </c>
      <c r="E7303" s="5">
        <v>-28297</v>
      </c>
      <c r="F7303" s="3" t="s">
        <v>1972</v>
      </c>
      <c r="G7303" s="3" t="s">
        <v>31</v>
      </c>
      <c r="H7303" s="2" t="s">
        <v>20</v>
      </c>
      <c r="I7303" s="2" t="s">
        <v>14279</v>
      </c>
      <c r="J7303" s="3" t="str">
        <f>HYPERLINK("https://www.boe.es/gazeta/dias/1822/07/10/pdfs/GMD-1822-200.pdf#page=3","Abrir facsímil")</f>
        <v>Abrir facsímil</v>
      </c>
      <c r="K7303" s="3" t="s">
        <v>22</v>
      </c>
    </row>
    <row r="7304" spans="1:11" ht="42" customHeight="1">
      <c r="A7304" s="2" t="s">
        <v>14280</v>
      </c>
      <c r="B7304" s="2" t="s">
        <v>14280</v>
      </c>
      <c r="C7304" s="2" t="s">
        <v>50</v>
      </c>
      <c r="D7304" s="2" t="s">
        <v>51</v>
      </c>
      <c r="E7304" s="5">
        <v>-28431</v>
      </c>
      <c r="F7304" s="3" t="s">
        <v>1258</v>
      </c>
      <c r="G7304" s="3" t="s">
        <v>31</v>
      </c>
      <c r="H7304" s="2" t="s">
        <v>20</v>
      </c>
      <c r="I7304" s="2" t="s">
        <v>14281</v>
      </c>
      <c r="J7304" s="3" t="str">
        <f>HYPERLINK("https://www.boe.es/gazeta/dias/1822/02/26/pdfs/GMD-1822-58.pdf#page=3","Abrir facsímil")</f>
        <v>Abrir facsímil</v>
      </c>
      <c r="K7304" s="3" t="s">
        <v>22</v>
      </c>
    </row>
    <row r="7305" spans="1:11" ht="42" customHeight="1">
      <c r="A7305" s="2" t="s">
        <v>14282</v>
      </c>
      <c r="B7305" s="2" t="s">
        <v>14282</v>
      </c>
      <c r="C7305" s="2" t="s">
        <v>28</v>
      </c>
      <c r="D7305" s="2" t="s">
        <v>29</v>
      </c>
      <c r="E7305" s="5">
        <v>-28455</v>
      </c>
      <c r="F7305" s="3" t="s">
        <v>1107</v>
      </c>
      <c r="G7305" s="3" t="s">
        <v>63</v>
      </c>
      <c r="H7305" s="2" t="s">
        <v>20</v>
      </c>
      <c r="I7305" s="2" t="s">
        <v>14283</v>
      </c>
      <c r="J7305" s="3" t="str">
        <f>HYPERLINK("https://www.boe.es/gazeta/dias/1822/02/02/pdfs/GMD-1822-33.pdf#page=6","Abrir facsímil")</f>
        <v>Abrir facsímil</v>
      </c>
      <c r="K7305" s="3" t="s">
        <v>22</v>
      </c>
    </row>
    <row r="7306" spans="1:11" ht="42" customHeight="1">
      <c r="A7306" s="2" t="s">
        <v>14282</v>
      </c>
      <c r="B7306" s="2" t="s">
        <v>14282</v>
      </c>
      <c r="C7306" s="2" t="s">
        <v>16</v>
      </c>
      <c r="D7306" s="2" t="s">
        <v>17</v>
      </c>
      <c r="E7306" s="5">
        <v>-28439</v>
      </c>
      <c r="F7306" s="3" t="s">
        <v>2752</v>
      </c>
      <c r="G7306" s="3" t="s">
        <v>57</v>
      </c>
      <c r="H7306" s="2" t="s">
        <v>20</v>
      </c>
      <c r="I7306" s="2" t="s">
        <v>14284</v>
      </c>
      <c r="J7306" s="3" t="str">
        <f>HYPERLINK("https://www.boe.es/gazeta/dias/1822/02/18/pdfs/GMD-1822-50.pdf#page=4","Abrir facsímil")</f>
        <v>Abrir facsímil</v>
      </c>
      <c r="K7306" s="3" t="s">
        <v>22</v>
      </c>
    </row>
    <row r="7307" spans="1:11" ht="42" customHeight="1">
      <c r="A7307" s="2" t="s">
        <v>14282</v>
      </c>
      <c r="B7307" s="2" t="s">
        <v>14282</v>
      </c>
      <c r="C7307" s="2" t="s">
        <v>71</v>
      </c>
      <c r="D7307" s="2" t="s">
        <v>17</v>
      </c>
      <c r="E7307" s="5">
        <v>-28426</v>
      </c>
      <c r="F7307" s="3" t="s">
        <v>1178</v>
      </c>
      <c r="G7307" s="3" t="s">
        <v>35</v>
      </c>
      <c r="H7307" s="2" t="s">
        <v>20</v>
      </c>
      <c r="I7307" s="2" t="s">
        <v>14285</v>
      </c>
      <c r="J7307" s="3" t="str">
        <f>HYPERLINK("https://www.boe.es/gazeta/dias/1822/03/03/pdfs/GMD-1822-64.pdf#page=2","Abrir facsímil")</f>
        <v>Abrir facsímil</v>
      </c>
      <c r="K7307" s="3" t="s">
        <v>22</v>
      </c>
    </row>
    <row r="7308" spans="1:11" ht="42" customHeight="1">
      <c r="A7308" s="2" t="s">
        <v>14282</v>
      </c>
      <c r="B7308" s="2" t="s">
        <v>14282</v>
      </c>
      <c r="C7308" s="2" t="s">
        <v>50</v>
      </c>
      <c r="D7308" s="2" t="s">
        <v>51</v>
      </c>
      <c r="E7308" s="5">
        <v>-28404</v>
      </c>
      <c r="F7308" s="3" t="s">
        <v>421</v>
      </c>
      <c r="G7308" s="3" t="s">
        <v>57</v>
      </c>
      <c r="H7308" s="2" t="s">
        <v>20</v>
      </c>
      <c r="I7308" s="2" t="s">
        <v>14286</v>
      </c>
      <c r="J7308" s="3" t="str">
        <f>HYPERLINK("https://www.boe.es/gazeta/dias/1822/03/25/pdfs/GMD-1822-86.pdf#page=4","Abrir facsímil")</f>
        <v>Abrir facsímil</v>
      </c>
      <c r="K7308" s="3" t="s">
        <v>22</v>
      </c>
    </row>
    <row r="7309" spans="1:11" ht="42" customHeight="1">
      <c r="A7309" s="2" t="s">
        <v>14282</v>
      </c>
      <c r="B7309" s="2" t="s">
        <v>14282</v>
      </c>
      <c r="C7309" s="2" t="s">
        <v>28</v>
      </c>
      <c r="D7309" s="2" t="s">
        <v>29</v>
      </c>
      <c r="E7309" s="5">
        <v>-28403</v>
      </c>
      <c r="F7309" s="3" t="s">
        <v>471</v>
      </c>
      <c r="G7309" s="3" t="s">
        <v>31</v>
      </c>
      <c r="H7309" s="2" t="s">
        <v>20</v>
      </c>
      <c r="I7309" s="2" t="s">
        <v>14287</v>
      </c>
      <c r="J7309" s="3" t="str">
        <f>HYPERLINK("https://www.boe.es/gazeta/dias/1822/03/26/pdfs/GMD-1822-87.pdf#page=3","Abrir facsímil")</f>
        <v>Abrir facsímil</v>
      </c>
      <c r="K7309" s="3" t="s">
        <v>22</v>
      </c>
    </row>
    <row r="7310" spans="1:11" ht="42" customHeight="1">
      <c r="A7310" s="2" t="s">
        <v>14282</v>
      </c>
      <c r="B7310" s="2" t="s">
        <v>14282</v>
      </c>
      <c r="C7310" s="2" t="s">
        <v>42</v>
      </c>
      <c r="D7310" s="2" t="s">
        <v>17</v>
      </c>
      <c r="E7310" s="5">
        <v>-28403</v>
      </c>
      <c r="F7310" s="3" t="s">
        <v>471</v>
      </c>
      <c r="G7310" s="3" t="s">
        <v>19</v>
      </c>
      <c r="H7310" s="2" t="s">
        <v>20</v>
      </c>
      <c r="I7310" s="2" t="s">
        <v>14288</v>
      </c>
      <c r="J7310" s="3" t="str">
        <f>HYPERLINK("https://www.boe.es/gazeta/dias/1822/03/26/pdfs/GMD-1822-87.pdf#page=5","Abrir facsímil")</f>
        <v>Abrir facsímil</v>
      </c>
      <c r="K7310" s="3" t="s">
        <v>22</v>
      </c>
    </row>
    <row r="7311" spans="1:11" ht="42" customHeight="1">
      <c r="A7311" s="2" t="s">
        <v>14282</v>
      </c>
      <c r="B7311" s="2" t="s">
        <v>14282</v>
      </c>
      <c r="C7311" s="2" t="s">
        <v>28</v>
      </c>
      <c r="D7311" s="2" t="s">
        <v>29</v>
      </c>
      <c r="E7311" s="5">
        <v>-28402</v>
      </c>
      <c r="F7311" s="3" t="s">
        <v>473</v>
      </c>
      <c r="G7311" s="3" t="s">
        <v>63</v>
      </c>
      <c r="H7311" s="2" t="s">
        <v>20</v>
      </c>
      <c r="I7311" s="2" t="s">
        <v>14289</v>
      </c>
      <c r="J7311" s="3" t="str">
        <f>HYPERLINK("https://www.boe.es/gazeta/dias/1822/03/27/pdfs/GMD-1822-88.pdf#page=6","Abrir facsímil")</f>
        <v>Abrir facsímil</v>
      </c>
      <c r="K7311" s="3" t="s">
        <v>22</v>
      </c>
    </row>
    <row r="7312" spans="1:11" ht="42" customHeight="1">
      <c r="A7312" s="2" t="s">
        <v>14282</v>
      </c>
      <c r="B7312" s="2" t="s">
        <v>14282</v>
      </c>
      <c r="C7312" s="2" t="s">
        <v>42</v>
      </c>
      <c r="D7312" s="2" t="s">
        <v>17</v>
      </c>
      <c r="E7312" s="5">
        <v>-28396</v>
      </c>
      <c r="F7312" s="3" t="s">
        <v>1138</v>
      </c>
      <c r="G7312" s="3" t="s">
        <v>63</v>
      </c>
      <c r="H7312" s="2" t="s">
        <v>20</v>
      </c>
      <c r="I7312" s="2" t="s">
        <v>14290</v>
      </c>
      <c r="J7312" s="3" t="str">
        <f>HYPERLINK("https://www.boe.es/gazeta/dias/1822/04/02/pdfs/GMD-1822-94.pdf#page=6","Abrir facsímil")</f>
        <v>Abrir facsímil</v>
      </c>
      <c r="K7312" s="3" t="s">
        <v>22</v>
      </c>
    </row>
    <row r="7313" spans="1:11" ht="42" customHeight="1">
      <c r="A7313" s="2" t="s">
        <v>14282</v>
      </c>
      <c r="B7313" s="2" t="s">
        <v>14282</v>
      </c>
      <c r="C7313" s="2" t="s">
        <v>71</v>
      </c>
      <c r="D7313" s="2" t="s">
        <v>17</v>
      </c>
      <c r="E7313" s="5">
        <v>-28395</v>
      </c>
      <c r="F7313" s="3" t="s">
        <v>237</v>
      </c>
      <c r="G7313" s="3" t="s">
        <v>35</v>
      </c>
      <c r="H7313" s="2" t="s">
        <v>20</v>
      </c>
      <c r="I7313" s="2" t="s">
        <v>14291</v>
      </c>
      <c r="J7313" s="3" t="str">
        <f>HYPERLINK("https://www.boe.es/gazeta/dias/1822/04/03/pdfs/GMD-1822-95.pdf#page=2","Abrir facsímil")</f>
        <v>Abrir facsímil</v>
      </c>
      <c r="K7313" s="3" t="s">
        <v>22</v>
      </c>
    </row>
    <row r="7314" spans="1:11" ht="42" customHeight="1">
      <c r="A7314" s="2" t="s">
        <v>14282</v>
      </c>
      <c r="B7314" s="2" t="s">
        <v>14282</v>
      </c>
      <c r="C7314" s="2" t="s">
        <v>42</v>
      </c>
      <c r="D7314" s="2" t="s">
        <v>17</v>
      </c>
      <c r="E7314" s="5">
        <v>-28395</v>
      </c>
      <c r="F7314" s="3" t="s">
        <v>237</v>
      </c>
      <c r="G7314" s="3" t="s">
        <v>57</v>
      </c>
      <c r="H7314" s="2" t="s">
        <v>20</v>
      </c>
      <c r="I7314" s="2" t="s">
        <v>14292</v>
      </c>
      <c r="J7314" s="3" t="str">
        <f>HYPERLINK("https://www.boe.es/gazeta/dias/1822/04/03/pdfs/GMD-1822-95.pdf#page=4","Abrir facsímil")</f>
        <v>Abrir facsímil</v>
      </c>
      <c r="K7314" s="3" t="s">
        <v>22</v>
      </c>
    </row>
    <row r="7315" spans="1:11" ht="42" customHeight="1">
      <c r="A7315" s="2" t="s">
        <v>14282</v>
      </c>
      <c r="B7315" s="2" t="s">
        <v>14282</v>
      </c>
      <c r="C7315" s="2" t="s">
        <v>28</v>
      </c>
      <c r="D7315" s="2" t="s">
        <v>29</v>
      </c>
      <c r="E7315" s="5">
        <v>-28394</v>
      </c>
      <c r="F7315" s="3" t="s">
        <v>268</v>
      </c>
      <c r="G7315" s="3" t="s">
        <v>35</v>
      </c>
      <c r="H7315" s="2" t="s">
        <v>20</v>
      </c>
      <c r="I7315" s="2" t="s">
        <v>14293</v>
      </c>
      <c r="J7315" s="3" t="str">
        <f>HYPERLINK("https://www.boe.es/gazeta/dias/1822/04/04/pdfs/GMD-1822-96.pdf#page=2","Abrir facsímil")</f>
        <v>Abrir facsímil</v>
      </c>
      <c r="K7315" s="3" t="s">
        <v>22</v>
      </c>
    </row>
    <row r="7316" spans="1:11" ht="42" customHeight="1">
      <c r="A7316" s="2" t="s">
        <v>14282</v>
      </c>
      <c r="B7316" s="2" t="s">
        <v>14282</v>
      </c>
      <c r="C7316" s="2" t="s">
        <v>50</v>
      </c>
      <c r="D7316" s="2" t="s">
        <v>51</v>
      </c>
      <c r="E7316" s="5">
        <v>-28389</v>
      </c>
      <c r="F7316" s="3" t="s">
        <v>481</v>
      </c>
      <c r="G7316" s="3" t="s">
        <v>31</v>
      </c>
      <c r="H7316" s="2" t="s">
        <v>20</v>
      </c>
      <c r="I7316" s="2" t="s">
        <v>14294</v>
      </c>
      <c r="J7316" s="3" t="str">
        <f>HYPERLINK("https://www.boe.es/gazeta/dias/1822/04/09/pdfs/GMD-1822-101.pdf#page=3","Abrir facsímil")</f>
        <v>Abrir facsímil</v>
      </c>
      <c r="K7316" s="3" t="s">
        <v>22</v>
      </c>
    </row>
    <row r="7317" spans="1:11" ht="42" customHeight="1">
      <c r="A7317" s="2" t="s">
        <v>14282</v>
      </c>
      <c r="B7317" s="2" t="s">
        <v>14282</v>
      </c>
      <c r="C7317" s="2" t="s">
        <v>71</v>
      </c>
      <c r="D7317" s="2" t="s">
        <v>17</v>
      </c>
      <c r="E7317" s="5">
        <v>-28388</v>
      </c>
      <c r="F7317" s="3" t="s">
        <v>1268</v>
      </c>
      <c r="G7317" s="3" t="s">
        <v>57</v>
      </c>
      <c r="H7317" s="2" t="s">
        <v>20</v>
      </c>
      <c r="I7317" s="2" t="s">
        <v>14295</v>
      </c>
      <c r="J7317" s="3" t="str">
        <f>HYPERLINK("https://www.boe.es/gazeta/dias/1822/04/10/pdfs/GMD-1822-102.pdf#page=4","Abrir facsímil")</f>
        <v>Abrir facsímil</v>
      </c>
      <c r="K7317" s="3" t="s">
        <v>22</v>
      </c>
    </row>
    <row r="7318" spans="1:11" ht="42" customHeight="1">
      <c r="A7318" s="2" t="s">
        <v>14282</v>
      </c>
      <c r="B7318" s="2" t="s">
        <v>14282</v>
      </c>
      <c r="C7318" s="2" t="s">
        <v>71</v>
      </c>
      <c r="D7318" s="2" t="s">
        <v>17</v>
      </c>
      <c r="E7318" s="5">
        <v>-28386</v>
      </c>
      <c r="F7318" s="3" t="s">
        <v>2993</v>
      </c>
      <c r="G7318" s="3" t="s">
        <v>35</v>
      </c>
      <c r="H7318" s="2" t="s">
        <v>20</v>
      </c>
      <c r="I7318" s="2" t="s">
        <v>14296</v>
      </c>
      <c r="J7318" s="3" t="str">
        <f>HYPERLINK("https://www.boe.es/gazeta/dias/1822/04/12/pdfs/GMD-1822-104.pdf#page=2","Abrir facsímil")</f>
        <v>Abrir facsímil</v>
      </c>
      <c r="K7318" s="3" t="s">
        <v>22</v>
      </c>
    </row>
    <row r="7319" spans="1:11" ht="42" customHeight="1">
      <c r="A7319" s="2" t="s">
        <v>14282</v>
      </c>
      <c r="B7319" s="2" t="s">
        <v>14282</v>
      </c>
      <c r="C7319" s="2" t="s">
        <v>42</v>
      </c>
      <c r="D7319" s="2" t="s">
        <v>17</v>
      </c>
      <c r="E7319" s="5">
        <v>-28385</v>
      </c>
      <c r="F7319" s="3" t="s">
        <v>484</v>
      </c>
      <c r="G7319" s="3" t="s">
        <v>57</v>
      </c>
      <c r="H7319" s="2" t="s">
        <v>20</v>
      </c>
      <c r="I7319" s="2" t="s">
        <v>14297</v>
      </c>
      <c r="J7319" s="3" t="str">
        <f>HYPERLINK("https://www.boe.es/gazeta/dias/1822/04/13/pdfs/GMD-1822-105.pdf#page=4","Abrir facsímil")</f>
        <v>Abrir facsímil</v>
      </c>
      <c r="K7319" s="3" t="s">
        <v>22</v>
      </c>
    </row>
    <row r="7320" spans="1:11" ht="42" customHeight="1">
      <c r="A7320" s="2" t="s">
        <v>14282</v>
      </c>
      <c r="B7320" s="2" t="s">
        <v>14282</v>
      </c>
      <c r="C7320" s="2" t="s">
        <v>71</v>
      </c>
      <c r="D7320" s="2" t="s">
        <v>17</v>
      </c>
      <c r="E7320" s="5">
        <v>-28384</v>
      </c>
      <c r="F7320" s="3" t="s">
        <v>258</v>
      </c>
      <c r="G7320" s="3" t="s">
        <v>57</v>
      </c>
      <c r="H7320" s="2" t="s">
        <v>20</v>
      </c>
      <c r="I7320" s="2" t="s">
        <v>14298</v>
      </c>
      <c r="J7320" s="3" t="str">
        <f>HYPERLINK("https://www.boe.es/gazeta/dias/1822/04/14/pdfs/GMD-1822-106.pdf#page=4","Abrir facsímil")</f>
        <v>Abrir facsímil</v>
      </c>
      <c r="K7320" s="3" t="s">
        <v>22</v>
      </c>
    </row>
    <row r="7321" spans="1:11" ht="42" customHeight="1">
      <c r="A7321" s="2" t="s">
        <v>14282</v>
      </c>
      <c r="B7321" s="2" t="s">
        <v>14282</v>
      </c>
      <c r="C7321" s="2" t="s">
        <v>50</v>
      </c>
      <c r="D7321" s="2" t="s">
        <v>51</v>
      </c>
      <c r="E7321" s="5">
        <v>-28383</v>
      </c>
      <c r="F7321" s="3" t="s">
        <v>488</v>
      </c>
      <c r="G7321" s="3" t="s">
        <v>35</v>
      </c>
      <c r="H7321" s="2" t="s">
        <v>20</v>
      </c>
      <c r="I7321" s="2" t="s">
        <v>14299</v>
      </c>
      <c r="J7321" s="3" t="str">
        <f>HYPERLINK("https://www.boe.es/gazeta/dias/1822/04/15/pdfs/GMD-1822-107.pdf#page=2","Abrir facsímil")</f>
        <v>Abrir facsímil</v>
      </c>
      <c r="K7321" s="3" t="s">
        <v>22</v>
      </c>
    </row>
    <row r="7322" spans="1:11" ht="42" customHeight="1">
      <c r="A7322" s="2" t="s">
        <v>14282</v>
      </c>
      <c r="B7322" s="2" t="s">
        <v>14282</v>
      </c>
      <c r="C7322" s="2" t="s">
        <v>28</v>
      </c>
      <c r="D7322" s="2" t="s">
        <v>29</v>
      </c>
      <c r="E7322" s="5">
        <v>-28381</v>
      </c>
      <c r="F7322" s="3" t="s">
        <v>358</v>
      </c>
      <c r="G7322" s="3" t="s">
        <v>2269</v>
      </c>
      <c r="H7322" s="2" t="s">
        <v>20</v>
      </c>
      <c r="I7322" s="2" t="s">
        <v>14300</v>
      </c>
      <c r="J7322" s="3" t="str">
        <f>HYPERLINK("https://www.boe.es/gazeta/dias/1822/04/17/pdfs/GMD-1822-109.pdf#page=3","Abrir facsímil")</f>
        <v>Abrir facsímil</v>
      </c>
      <c r="K7322" s="3" t="s">
        <v>22</v>
      </c>
    </row>
    <row r="7323" spans="1:11" ht="42" customHeight="1">
      <c r="A7323" s="2" t="s">
        <v>14282</v>
      </c>
      <c r="B7323" s="2" t="s">
        <v>14282</v>
      </c>
      <c r="C7323" s="2" t="s">
        <v>28</v>
      </c>
      <c r="D7323" s="2" t="s">
        <v>29</v>
      </c>
      <c r="E7323" s="5">
        <v>-28379</v>
      </c>
      <c r="F7323" s="3" t="s">
        <v>494</v>
      </c>
      <c r="G7323" s="3" t="s">
        <v>63</v>
      </c>
      <c r="H7323" s="2" t="s">
        <v>20</v>
      </c>
      <c r="I7323" s="2" t="s">
        <v>14301</v>
      </c>
      <c r="J7323" s="3" t="str">
        <f>HYPERLINK("https://www.boe.es/gazeta/dias/1822/04/19/pdfs/GMD-1822-111.pdf#page=6","Abrir facsímil")</f>
        <v>Abrir facsímil</v>
      </c>
      <c r="K7323" s="3" t="s">
        <v>22</v>
      </c>
    </row>
    <row r="7324" spans="1:11" ht="42" customHeight="1">
      <c r="A7324" s="2" t="s">
        <v>14282</v>
      </c>
      <c r="B7324" s="2" t="s">
        <v>14282</v>
      </c>
      <c r="C7324" s="2" t="s">
        <v>28</v>
      </c>
      <c r="D7324" s="2" t="s">
        <v>29</v>
      </c>
      <c r="E7324" s="5">
        <v>-28378</v>
      </c>
      <c r="F7324" s="3" t="s">
        <v>496</v>
      </c>
      <c r="G7324" s="3" t="s">
        <v>57</v>
      </c>
      <c r="H7324" s="2" t="s">
        <v>20</v>
      </c>
      <c r="I7324" s="2" t="s">
        <v>14302</v>
      </c>
      <c r="J7324" s="3" t="str">
        <f>HYPERLINK("https://www.boe.es/gazeta/dias/1822/04/20/pdfs/GMD-1822-112.pdf#page=4","Abrir facsímil")</f>
        <v>Abrir facsímil</v>
      </c>
      <c r="K7324" s="3" t="s">
        <v>22</v>
      </c>
    </row>
    <row r="7325" spans="1:11" ht="42" customHeight="1">
      <c r="A7325" s="2" t="s">
        <v>14282</v>
      </c>
      <c r="B7325" s="2" t="s">
        <v>14282</v>
      </c>
      <c r="C7325" s="2" t="s">
        <v>42</v>
      </c>
      <c r="D7325" s="2" t="s">
        <v>17</v>
      </c>
      <c r="E7325" s="5">
        <v>-28374</v>
      </c>
      <c r="F7325" s="3" t="s">
        <v>171</v>
      </c>
      <c r="G7325" s="3" t="s">
        <v>35</v>
      </c>
      <c r="H7325" s="2" t="s">
        <v>20</v>
      </c>
      <c r="I7325" s="2" t="s">
        <v>14303</v>
      </c>
      <c r="J7325" s="3" t="str">
        <f>HYPERLINK("https://www.boe.es/gazeta/dias/1822/04/24/pdfs/GMD-1822-116.pdf#page=2","Abrir facsímil")</f>
        <v>Abrir facsímil</v>
      </c>
      <c r="K7325" s="3" t="s">
        <v>22</v>
      </c>
    </row>
    <row r="7326" spans="1:11" ht="42" customHeight="1">
      <c r="A7326" s="2" t="s">
        <v>14282</v>
      </c>
      <c r="B7326" s="2" t="s">
        <v>14282</v>
      </c>
      <c r="C7326" s="2" t="s">
        <v>71</v>
      </c>
      <c r="D7326" s="2" t="s">
        <v>17</v>
      </c>
      <c r="E7326" s="5">
        <v>-28372</v>
      </c>
      <c r="F7326" s="3" t="s">
        <v>503</v>
      </c>
      <c r="G7326" s="3" t="s">
        <v>35</v>
      </c>
      <c r="H7326" s="2" t="s">
        <v>20</v>
      </c>
      <c r="I7326" s="2" t="s">
        <v>14304</v>
      </c>
      <c r="J7326" s="3" t="str">
        <f>HYPERLINK("https://www.boe.es/gazeta/dias/1822/04/26/pdfs/GMD-1822-118.pdf#page=2","Abrir facsímil")</f>
        <v>Abrir facsímil</v>
      </c>
      <c r="K7326" s="3" t="s">
        <v>22</v>
      </c>
    </row>
    <row r="7327" spans="1:11" ht="42" customHeight="1">
      <c r="A7327" s="2" t="s">
        <v>14282</v>
      </c>
      <c r="B7327" s="2" t="s">
        <v>14282</v>
      </c>
      <c r="C7327" s="2" t="s">
        <v>28</v>
      </c>
      <c r="D7327" s="2" t="s">
        <v>29</v>
      </c>
      <c r="E7327" s="5">
        <v>-28368</v>
      </c>
      <c r="F7327" s="3" t="s">
        <v>126</v>
      </c>
      <c r="G7327" s="3" t="s">
        <v>31</v>
      </c>
      <c r="H7327" s="2" t="s">
        <v>20</v>
      </c>
      <c r="I7327" s="2" t="s">
        <v>14305</v>
      </c>
      <c r="J7327" s="3" t="str">
        <f>HYPERLINK("https://www.boe.es/gazeta/dias/1822/04/30/pdfs/GMD-1822-122.pdf#page=3","Abrir facsímil")</f>
        <v>Abrir facsímil</v>
      </c>
      <c r="K7327" s="3" t="s">
        <v>22</v>
      </c>
    </row>
    <row r="7328" spans="1:11" ht="42" customHeight="1">
      <c r="A7328" s="2" t="s">
        <v>14282</v>
      </c>
      <c r="B7328" s="2" t="s">
        <v>14282</v>
      </c>
      <c r="C7328" s="2" t="s">
        <v>71</v>
      </c>
      <c r="D7328" s="2" t="s">
        <v>17</v>
      </c>
      <c r="E7328" s="5">
        <v>-28367</v>
      </c>
      <c r="F7328" s="3" t="s">
        <v>280</v>
      </c>
      <c r="G7328" s="3" t="s">
        <v>44</v>
      </c>
      <c r="H7328" s="2" t="s">
        <v>20</v>
      </c>
      <c r="I7328" s="2" t="s">
        <v>14306</v>
      </c>
      <c r="J7328" s="3" t="str">
        <f>HYPERLINK("https://www.boe.es/gazeta/dias/1822/05/01/pdfs/GMD-1822-123.pdf#page=1","Abrir facsímil")</f>
        <v>Abrir facsímil</v>
      </c>
      <c r="K7328" s="3" t="s">
        <v>22</v>
      </c>
    </row>
    <row r="7329" spans="1:11" ht="42" customHeight="1">
      <c r="A7329" s="2" t="s">
        <v>14282</v>
      </c>
      <c r="B7329" s="2" t="s">
        <v>14282</v>
      </c>
      <c r="C7329" s="2" t="s">
        <v>28</v>
      </c>
      <c r="D7329" s="2" t="s">
        <v>29</v>
      </c>
      <c r="E7329" s="5">
        <v>-28367</v>
      </c>
      <c r="F7329" s="3" t="s">
        <v>280</v>
      </c>
      <c r="G7329" s="3" t="s">
        <v>31</v>
      </c>
      <c r="H7329" s="2" t="s">
        <v>20</v>
      </c>
      <c r="I7329" s="2" t="s">
        <v>14307</v>
      </c>
      <c r="J7329" s="3" t="str">
        <f>HYPERLINK("https://www.boe.es/gazeta/dias/1822/05/01/pdfs/GMD-1822-123.pdf#page=3","Abrir facsímil")</f>
        <v>Abrir facsímil</v>
      </c>
      <c r="K7329" s="3" t="s">
        <v>22</v>
      </c>
    </row>
    <row r="7330" spans="1:11" ht="42" customHeight="1">
      <c r="A7330" s="2" t="s">
        <v>14282</v>
      </c>
      <c r="B7330" s="2" t="s">
        <v>14282</v>
      </c>
      <c r="C7330" s="2" t="s">
        <v>28</v>
      </c>
      <c r="D7330" s="2" t="s">
        <v>29</v>
      </c>
      <c r="E7330" s="5">
        <v>-28365</v>
      </c>
      <c r="F7330" s="3" t="s">
        <v>506</v>
      </c>
      <c r="G7330" s="3" t="s">
        <v>35</v>
      </c>
      <c r="H7330" s="2" t="s">
        <v>20</v>
      </c>
      <c r="I7330" s="2" t="s">
        <v>14308</v>
      </c>
      <c r="J7330" s="3" t="str">
        <f>HYPERLINK("https://www.boe.es/gazeta/dias/1822/05/03/pdfs/GMD-1822-125.pdf#page=2","Abrir facsímil")</f>
        <v>Abrir facsímil</v>
      </c>
      <c r="K7330" s="3" t="s">
        <v>22</v>
      </c>
    </row>
    <row r="7331" spans="1:11" ht="42" customHeight="1">
      <c r="A7331" s="2" t="s">
        <v>14282</v>
      </c>
      <c r="B7331" s="2" t="s">
        <v>14282</v>
      </c>
      <c r="C7331" s="2" t="s">
        <v>71</v>
      </c>
      <c r="D7331" s="2" t="s">
        <v>17</v>
      </c>
      <c r="E7331" s="5">
        <v>-28365</v>
      </c>
      <c r="F7331" s="3" t="s">
        <v>506</v>
      </c>
      <c r="G7331" s="3" t="s">
        <v>19</v>
      </c>
      <c r="H7331" s="2" t="s">
        <v>20</v>
      </c>
      <c r="I7331" s="2" t="s">
        <v>14309</v>
      </c>
      <c r="J7331" s="3" t="str">
        <f>HYPERLINK("https://www.boe.es/gazeta/dias/1822/05/03/pdfs/GMD-1822-125.pdf#page=5","Abrir facsímil")</f>
        <v>Abrir facsímil</v>
      </c>
      <c r="K7331" s="3" t="s">
        <v>22</v>
      </c>
    </row>
    <row r="7332" spans="1:11" ht="42" customHeight="1">
      <c r="A7332" s="2" t="s">
        <v>14282</v>
      </c>
      <c r="B7332" s="2" t="s">
        <v>14282</v>
      </c>
      <c r="C7332" s="2" t="s">
        <v>61</v>
      </c>
      <c r="D7332" s="2" t="s">
        <v>17</v>
      </c>
      <c r="E7332" s="5">
        <v>-28363</v>
      </c>
      <c r="F7332" s="3" t="s">
        <v>72</v>
      </c>
      <c r="G7332" s="3" t="s">
        <v>35</v>
      </c>
      <c r="H7332" s="2" t="s">
        <v>20</v>
      </c>
      <c r="I7332" s="2" t="s">
        <v>14310</v>
      </c>
      <c r="J7332" s="3" t="str">
        <f>HYPERLINK("https://www.boe.es/gazeta/dias/1822/05/05/pdfs/GMD-1822-127.pdf#page=2","Abrir facsímil")</f>
        <v>Abrir facsímil</v>
      </c>
      <c r="K7332" s="3" t="s">
        <v>22</v>
      </c>
    </row>
    <row r="7333" spans="1:11" ht="42" customHeight="1">
      <c r="A7333" s="2" t="s">
        <v>14282</v>
      </c>
      <c r="B7333" s="2" t="s">
        <v>14282</v>
      </c>
      <c r="C7333" s="2" t="s">
        <v>24</v>
      </c>
      <c r="D7333" s="2" t="s">
        <v>17</v>
      </c>
      <c r="E7333" s="5">
        <v>-28362</v>
      </c>
      <c r="F7333" s="3" t="s">
        <v>511</v>
      </c>
      <c r="G7333" s="3" t="s">
        <v>35</v>
      </c>
      <c r="H7333" s="2" t="s">
        <v>20</v>
      </c>
      <c r="I7333" s="2" t="s">
        <v>14311</v>
      </c>
      <c r="J7333" s="3" t="str">
        <f>HYPERLINK("https://www.boe.es/gazeta/dias/1822/05/06/pdfs/GMD-1822-128.pdf#page=2","Abrir facsímil")</f>
        <v>Abrir facsímil</v>
      </c>
      <c r="K7333" s="3" t="s">
        <v>22</v>
      </c>
    </row>
    <row r="7334" spans="1:11" ht="42" customHeight="1">
      <c r="A7334" s="2" t="s">
        <v>14282</v>
      </c>
      <c r="B7334" s="2" t="s">
        <v>14282</v>
      </c>
      <c r="C7334" s="2" t="s">
        <v>28</v>
      </c>
      <c r="D7334" s="2" t="s">
        <v>29</v>
      </c>
      <c r="E7334" s="5">
        <v>-28361</v>
      </c>
      <c r="F7334" s="3" t="s">
        <v>374</v>
      </c>
      <c r="G7334" s="3" t="s">
        <v>57</v>
      </c>
      <c r="H7334" s="2" t="s">
        <v>20</v>
      </c>
      <c r="I7334" s="2" t="s">
        <v>14312</v>
      </c>
      <c r="J7334" s="3" t="str">
        <f>HYPERLINK("https://www.boe.es/gazeta/dias/1822/05/07/pdfs/GMD-1822-129.pdf#page=4","Abrir facsímil")</f>
        <v>Abrir facsímil</v>
      </c>
      <c r="K7334" s="3" t="s">
        <v>22</v>
      </c>
    </row>
    <row r="7335" spans="1:11" ht="42" customHeight="1">
      <c r="A7335" s="2" t="s">
        <v>14282</v>
      </c>
      <c r="B7335" s="2" t="s">
        <v>14282</v>
      </c>
      <c r="C7335" s="2" t="s">
        <v>28</v>
      </c>
      <c r="D7335" s="2" t="s">
        <v>29</v>
      </c>
      <c r="E7335" s="5">
        <v>-28358</v>
      </c>
      <c r="F7335" s="3" t="s">
        <v>211</v>
      </c>
      <c r="G7335" s="3" t="s">
        <v>57</v>
      </c>
      <c r="H7335" s="2" t="s">
        <v>20</v>
      </c>
      <c r="I7335" s="2" t="s">
        <v>14313</v>
      </c>
      <c r="J7335" s="3" t="str">
        <f>HYPERLINK("https://www.boe.es/gazeta/dias/1822/05/10/pdfs/GMD-1822-132.pdf#page=4","Abrir facsímil")</f>
        <v>Abrir facsímil</v>
      </c>
      <c r="K7335" s="3" t="s">
        <v>22</v>
      </c>
    </row>
    <row r="7336" spans="1:11" ht="42" customHeight="1">
      <c r="A7336" s="2" t="s">
        <v>14282</v>
      </c>
      <c r="B7336" s="2" t="s">
        <v>14282</v>
      </c>
      <c r="C7336" s="2" t="s">
        <v>71</v>
      </c>
      <c r="D7336" s="2" t="s">
        <v>17</v>
      </c>
      <c r="E7336" s="5">
        <v>-28355</v>
      </c>
      <c r="F7336" s="3" t="s">
        <v>692</v>
      </c>
      <c r="G7336" s="3" t="s">
        <v>44</v>
      </c>
      <c r="H7336" s="2" t="s">
        <v>20</v>
      </c>
      <c r="I7336" s="2" t="s">
        <v>14314</v>
      </c>
      <c r="J7336" s="3" t="str">
        <f>HYPERLINK("https://www.boe.es/gazeta/dias/1822/05/13/pdfs/GMD-1822-135.pdf#page=1","Abrir facsímil")</f>
        <v>Abrir facsímil</v>
      </c>
      <c r="K7336" s="3" t="s">
        <v>22</v>
      </c>
    </row>
    <row r="7337" spans="1:11" ht="42" customHeight="1">
      <c r="A7337" s="2" t="s">
        <v>14282</v>
      </c>
      <c r="B7337" s="2" t="s">
        <v>14282</v>
      </c>
      <c r="C7337" s="2" t="s">
        <v>42</v>
      </c>
      <c r="D7337" s="2" t="s">
        <v>17</v>
      </c>
      <c r="E7337" s="5">
        <v>-28355</v>
      </c>
      <c r="F7337" s="3" t="s">
        <v>692</v>
      </c>
      <c r="G7337" s="3" t="s">
        <v>57</v>
      </c>
      <c r="H7337" s="2" t="s">
        <v>20</v>
      </c>
      <c r="I7337" s="2" t="s">
        <v>14315</v>
      </c>
      <c r="J7337" s="3" t="str">
        <f>HYPERLINK("https://www.boe.es/gazeta/dias/1822/05/13/pdfs/GMD-1822-135.pdf#page=4","Abrir facsímil")</f>
        <v>Abrir facsímil</v>
      </c>
      <c r="K7337" s="3" t="s">
        <v>22</v>
      </c>
    </row>
    <row r="7338" spans="1:11" ht="42" customHeight="1">
      <c r="A7338" s="2" t="s">
        <v>14282</v>
      </c>
      <c r="B7338" s="2" t="s">
        <v>14282</v>
      </c>
      <c r="C7338" s="2" t="s">
        <v>50</v>
      </c>
      <c r="D7338" s="2" t="s">
        <v>51</v>
      </c>
      <c r="E7338" s="5">
        <v>-28354</v>
      </c>
      <c r="F7338" s="3" t="s">
        <v>226</v>
      </c>
      <c r="G7338" s="3" t="s">
        <v>57</v>
      </c>
      <c r="H7338" s="2" t="s">
        <v>20</v>
      </c>
      <c r="I7338" s="2" t="s">
        <v>14316</v>
      </c>
      <c r="J7338" s="3" t="str">
        <f>HYPERLINK("https://www.boe.es/gazeta/dias/1822/05/14/pdfs/GMD-1822-136.pdf#page=4","Abrir facsímil")</f>
        <v>Abrir facsímil</v>
      </c>
      <c r="K7338" s="3" t="s">
        <v>22</v>
      </c>
    </row>
    <row r="7339" spans="1:11" ht="42" customHeight="1">
      <c r="A7339" s="2" t="s">
        <v>14282</v>
      </c>
      <c r="B7339" s="2" t="s">
        <v>14282</v>
      </c>
      <c r="C7339" s="2" t="s">
        <v>28</v>
      </c>
      <c r="D7339" s="2" t="s">
        <v>29</v>
      </c>
      <c r="E7339" s="5">
        <v>-28349</v>
      </c>
      <c r="F7339" s="3" t="s">
        <v>518</v>
      </c>
      <c r="G7339" s="3" t="s">
        <v>35</v>
      </c>
      <c r="H7339" s="2" t="s">
        <v>20</v>
      </c>
      <c r="I7339" s="2" t="s">
        <v>14317</v>
      </c>
      <c r="J7339" s="3" t="str">
        <f>HYPERLINK("https://www.boe.es/gazeta/dias/1822/05/19/pdfs/GMD-1822-141.pdf#page=2","Abrir facsímil")</f>
        <v>Abrir facsímil</v>
      </c>
      <c r="K7339" s="3" t="s">
        <v>22</v>
      </c>
    </row>
    <row r="7340" spans="1:11" ht="42" customHeight="1">
      <c r="A7340" s="2" t="s">
        <v>14282</v>
      </c>
      <c r="B7340" s="2" t="s">
        <v>14282</v>
      </c>
      <c r="C7340" s="2" t="s">
        <v>71</v>
      </c>
      <c r="D7340" s="2" t="s">
        <v>17</v>
      </c>
      <c r="E7340" s="5">
        <v>-28348</v>
      </c>
      <c r="F7340" s="3" t="s">
        <v>2903</v>
      </c>
      <c r="G7340" s="3" t="s">
        <v>31</v>
      </c>
      <c r="H7340" s="2" t="s">
        <v>20</v>
      </c>
      <c r="I7340" s="2" t="s">
        <v>14318</v>
      </c>
      <c r="J7340" s="3" t="str">
        <f>HYPERLINK("https://www.boe.es/gazeta/dias/1822/05/20/pdfs/GMD-1822-143.pdf#page=3","Abrir facsímil")</f>
        <v>Abrir facsímil</v>
      </c>
      <c r="K7340" s="3" t="s">
        <v>22</v>
      </c>
    </row>
    <row r="7341" spans="1:11" ht="42" customHeight="1">
      <c r="A7341" s="2" t="s">
        <v>14282</v>
      </c>
      <c r="B7341" s="2" t="s">
        <v>14282</v>
      </c>
      <c r="C7341" s="2" t="s">
        <v>50</v>
      </c>
      <c r="D7341" s="2" t="s">
        <v>51</v>
      </c>
      <c r="E7341" s="5">
        <v>-28348</v>
      </c>
      <c r="F7341" s="3" t="s">
        <v>2903</v>
      </c>
      <c r="G7341" s="3" t="s">
        <v>57</v>
      </c>
      <c r="H7341" s="2" t="s">
        <v>20</v>
      </c>
      <c r="I7341" s="2" t="s">
        <v>14319</v>
      </c>
      <c r="J7341" s="3" t="str">
        <f>HYPERLINK("https://www.boe.es/gazeta/dias/1822/05/20/pdfs/GMD-1822-143.pdf#page=4","Abrir facsímil")</f>
        <v>Abrir facsímil</v>
      </c>
      <c r="K7341" s="3" t="s">
        <v>22</v>
      </c>
    </row>
    <row r="7342" spans="1:11" ht="42" customHeight="1">
      <c r="A7342" s="2" t="s">
        <v>14282</v>
      </c>
      <c r="B7342" s="2" t="s">
        <v>14282</v>
      </c>
      <c r="C7342" s="2" t="s">
        <v>1141</v>
      </c>
      <c r="D7342" s="2" t="s">
        <v>29</v>
      </c>
      <c r="E7342" s="5">
        <v>-28348</v>
      </c>
      <c r="F7342" s="3" t="s">
        <v>2903</v>
      </c>
      <c r="G7342" s="3" t="s">
        <v>19</v>
      </c>
      <c r="H7342" s="2" t="s">
        <v>20</v>
      </c>
      <c r="I7342" s="2" t="s">
        <v>14320</v>
      </c>
      <c r="J7342" s="3" t="str">
        <f>HYPERLINK("https://www.boe.es/gazeta/dias/1822/05/20/pdfs/GMD-1822-143.pdf#page=5","Abrir facsímil")</f>
        <v>Abrir facsímil</v>
      </c>
      <c r="K7342" s="3" t="s">
        <v>22</v>
      </c>
    </row>
    <row r="7343" spans="1:11" ht="42" customHeight="1">
      <c r="A7343" s="2" t="s">
        <v>14282</v>
      </c>
      <c r="B7343" s="2" t="s">
        <v>14282</v>
      </c>
      <c r="C7343" s="2" t="s">
        <v>24</v>
      </c>
      <c r="D7343" s="2" t="s">
        <v>17</v>
      </c>
      <c r="E7343" s="5">
        <v>-28347</v>
      </c>
      <c r="F7343" s="3" t="s">
        <v>520</v>
      </c>
      <c r="G7343" s="3" t="s">
        <v>35</v>
      </c>
      <c r="H7343" s="2" t="s">
        <v>20</v>
      </c>
      <c r="I7343" s="2" t="s">
        <v>14321</v>
      </c>
      <c r="J7343" s="3" t="str">
        <f>HYPERLINK("https://www.boe.es/gazeta/dias/1822/05/21/pdfs/GMD-1822-144.pdf#page=2","Abrir facsímil")</f>
        <v>Abrir facsímil</v>
      </c>
      <c r="K7343" s="3" t="s">
        <v>22</v>
      </c>
    </row>
    <row r="7344" spans="1:11" ht="42" customHeight="1">
      <c r="A7344" s="2" t="s">
        <v>14282</v>
      </c>
      <c r="B7344" s="2" t="s">
        <v>14282</v>
      </c>
      <c r="C7344" s="2" t="s">
        <v>24</v>
      </c>
      <c r="D7344" s="2" t="s">
        <v>17</v>
      </c>
      <c r="E7344" s="5">
        <v>-28344</v>
      </c>
      <c r="F7344" s="3" t="s">
        <v>524</v>
      </c>
      <c r="G7344" s="3" t="s">
        <v>57</v>
      </c>
      <c r="H7344" s="2" t="s">
        <v>20</v>
      </c>
      <c r="I7344" s="2" t="s">
        <v>14322</v>
      </c>
      <c r="J7344" s="3" t="str">
        <f>HYPERLINK("https://www.boe.es/gazeta/dias/1822/05/24/pdfs/GMD-1822-148.pdf#page=4","Abrir facsímil")</f>
        <v>Abrir facsímil</v>
      </c>
      <c r="K7344" s="3" t="s">
        <v>22</v>
      </c>
    </row>
    <row r="7345" spans="1:11" ht="42" customHeight="1">
      <c r="A7345" s="2" t="s">
        <v>14282</v>
      </c>
      <c r="B7345" s="2" t="s">
        <v>14282</v>
      </c>
      <c r="C7345" s="2" t="s">
        <v>42</v>
      </c>
      <c r="D7345" s="2" t="s">
        <v>17</v>
      </c>
      <c r="E7345" s="5">
        <v>-28342</v>
      </c>
      <c r="F7345" s="3" t="s">
        <v>2281</v>
      </c>
      <c r="G7345" s="3" t="s">
        <v>19</v>
      </c>
      <c r="H7345" s="2" t="s">
        <v>20</v>
      </c>
      <c r="I7345" s="2" t="s">
        <v>14323</v>
      </c>
      <c r="J7345" s="3" t="str">
        <f>HYPERLINK("https://www.boe.es/gazeta/dias/1822/05/26/pdfs/GMD-1822-151.pdf#page=5","Abrir facsímil")</f>
        <v>Abrir facsímil</v>
      </c>
      <c r="K7345" s="3" t="s">
        <v>22</v>
      </c>
    </row>
    <row r="7346" spans="1:11" ht="42" customHeight="1">
      <c r="A7346" s="2" t="s">
        <v>14282</v>
      </c>
      <c r="B7346" s="2" t="s">
        <v>14282</v>
      </c>
      <c r="C7346" s="2" t="s">
        <v>28</v>
      </c>
      <c r="D7346" s="2" t="s">
        <v>29</v>
      </c>
      <c r="E7346" s="5">
        <v>-28339</v>
      </c>
      <c r="F7346" s="3" t="s">
        <v>197</v>
      </c>
      <c r="G7346" s="3" t="s">
        <v>31</v>
      </c>
      <c r="H7346" s="2" t="s">
        <v>20</v>
      </c>
      <c r="I7346" s="2" t="s">
        <v>14324</v>
      </c>
      <c r="J7346" s="3" t="str">
        <f>HYPERLINK("https://www.boe.es/gazeta/dias/1822/05/29/pdfs/GMD-1822-154.pdf#page=3","Abrir facsímil")</f>
        <v>Abrir facsímil</v>
      </c>
      <c r="K7346" s="3" t="s">
        <v>22</v>
      </c>
    </row>
    <row r="7347" spans="1:11" ht="42" customHeight="1">
      <c r="A7347" s="2" t="s">
        <v>14282</v>
      </c>
      <c r="B7347" s="2" t="s">
        <v>14282</v>
      </c>
      <c r="C7347" s="2" t="s">
        <v>28</v>
      </c>
      <c r="D7347" s="2" t="s">
        <v>29</v>
      </c>
      <c r="E7347" s="5">
        <v>-28339</v>
      </c>
      <c r="F7347" s="3" t="s">
        <v>197</v>
      </c>
      <c r="G7347" s="3" t="s">
        <v>63</v>
      </c>
      <c r="H7347" s="2" t="s">
        <v>20</v>
      </c>
      <c r="I7347" s="2" t="s">
        <v>14325</v>
      </c>
      <c r="J7347" s="3" t="str">
        <f>HYPERLINK("https://www.boe.es/gazeta/dias/1822/05/29/pdfs/GMD-1822-154.pdf#page=6","Abrir facsímil")</f>
        <v>Abrir facsímil</v>
      </c>
      <c r="K7347" s="3" t="s">
        <v>22</v>
      </c>
    </row>
    <row r="7348" spans="1:11" ht="42" customHeight="1">
      <c r="A7348" s="2" t="s">
        <v>14282</v>
      </c>
      <c r="B7348" s="2" t="s">
        <v>14282</v>
      </c>
      <c r="C7348" s="2" t="s">
        <v>50</v>
      </c>
      <c r="D7348" s="2" t="s">
        <v>51</v>
      </c>
      <c r="E7348" s="5">
        <v>-28337</v>
      </c>
      <c r="F7348" s="3" t="s">
        <v>1836</v>
      </c>
      <c r="G7348" s="3" t="s">
        <v>57</v>
      </c>
      <c r="H7348" s="2" t="s">
        <v>20</v>
      </c>
      <c r="I7348" s="2" t="s">
        <v>14326</v>
      </c>
      <c r="J7348" s="3" t="str">
        <f>HYPERLINK("https://www.boe.es/gazeta/dias/1822/05/31/pdfs/GMD-1822-156.pdf#page=4","Abrir facsímil")</f>
        <v>Abrir facsímil</v>
      </c>
      <c r="K7348" s="3" t="s">
        <v>22</v>
      </c>
    </row>
    <row r="7349" spans="1:11" ht="42" customHeight="1">
      <c r="A7349" s="2" t="s">
        <v>14282</v>
      </c>
      <c r="B7349" s="2" t="s">
        <v>14282</v>
      </c>
      <c r="C7349" s="2" t="s">
        <v>50</v>
      </c>
      <c r="D7349" s="2" t="s">
        <v>51</v>
      </c>
      <c r="E7349" s="5">
        <v>-28334</v>
      </c>
      <c r="F7349" s="3" t="s">
        <v>532</v>
      </c>
      <c r="G7349" s="3" t="s">
        <v>31</v>
      </c>
      <c r="H7349" s="2" t="s">
        <v>20</v>
      </c>
      <c r="I7349" s="2" t="s">
        <v>14327</v>
      </c>
      <c r="J7349" s="3" t="str">
        <f>HYPERLINK("https://www.boe.es/gazeta/dias/1822/06/03/pdfs/GMD-1822-159.pdf#page=3","Abrir facsímil")</f>
        <v>Abrir facsímil</v>
      </c>
      <c r="K7349" s="3" t="s">
        <v>22</v>
      </c>
    </row>
    <row r="7350" spans="1:11" ht="42" customHeight="1">
      <c r="A7350" s="2" t="s">
        <v>14282</v>
      </c>
      <c r="B7350" s="2" t="s">
        <v>14282</v>
      </c>
      <c r="C7350" s="2" t="s">
        <v>28</v>
      </c>
      <c r="D7350" s="2" t="s">
        <v>29</v>
      </c>
      <c r="E7350" s="5">
        <v>-28329</v>
      </c>
      <c r="F7350" s="3" t="s">
        <v>354</v>
      </c>
      <c r="G7350" s="3" t="s">
        <v>35</v>
      </c>
      <c r="H7350" s="2" t="s">
        <v>20</v>
      </c>
      <c r="I7350" s="2" t="s">
        <v>14328</v>
      </c>
      <c r="J7350" s="3" t="str">
        <f>HYPERLINK("https://www.boe.es/gazeta/dias/1822/06/08/pdfs/GMD-1822-165.pdf#page=2","Abrir facsímil")</f>
        <v>Abrir facsímil</v>
      </c>
      <c r="K7350" s="3" t="s">
        <v>22</v>
      </c>
    </row>
    <row r="7351" spans="1:11" ht="42" customHeight="1">
      <c r="A7351" s="2" t="s">
        <v>14282</v>
      </c>
      <c r="B7351" s="2" t="s">
        <v>14282</v>
      </c>
      <c r="C7351" s="2" t="s">
        <v>71</v>
      </c>
      <c r="D7351" s="2" t="s">
        <v>17</v>
      </c>
      <c r="E7351" s="5">
        <v>-28328</v>
      </c>
      <c r="F7351" s="3" t="s">
        <v>540</v>
      </c>
      <c r="G7351" s="3" t="s">
        <v>31</v>
      </c>
      <c r="H7351" s="2" t="s">
        <v>20</v>
      </c>
      <c r="I7351" s="2" t="s">
        <v>14329</v>
      </c>
      <c r="J7351" s="3" t="str">
        <f>HYPERLINK("https://www.boe.es/gazeta/dias/1822/06/09/pdfs/GMD-1822-166.pdf#page=3","Abrir facsímil")</f>
        <v>Abrir facsímil</v>
      </c>
      <c r="K7351" s="3" t="s">
        <v>22</v>
      </c>
    </row>
    <row r="7352" spans="1:11" ht="42" customHeight="1">
      <c r="A7352" s="2" t="s">
        <v>14282</v>
      </c>
      <c r="B7352" s="2" t="s">
        <v>14282</v>
      </c>
      <c r="C7352" s="2" t="s">
        <v>50</v>
      </c>
      <c r="D7352" s="2" t="s">
        <v>51</v>
      </c>
      <c r="E7352" s="5">
        <v>-28327</v>
      </c>
      <c r="F7352" s="3" t="s">
        <v>38</v>
      </c>
      <c r="G7352" s="3" t="s">
        <v>35</v>
      </c>
      <c r="H7352" s="2" t="s">
        <v>20</v>
      </c>
      <c r="I7352" s="2" t="s">
        <v>14330</v>
      </c>
      <c r="J7352" s="3" t="str">
        <f>HYPERLINK("https://www.boe.es/gazeta/dias/1822/06/10/pdfs/GMD-1822-167.pdf#page=2","Abrir facsímil")</f>
        <v>Abrir facsímil</v>
      </c>
      <c r="K7352" s="3" t="s">
        <v>22</v>
      </c>
    </row>
    <row r="7353" spans="1:11" ht="42" customHeight="1">
      <c r="A7353" s="2" t="s">
        <v>14282</v>
      </c>
      <c r="B7353" s="2" t="s">
        <v>14282</v>
      </c>
      <c r="C7353" s="2" t="s">
        <v>28</v>
      </c>
      <c r="D7353" s="2" t="s">
        <v>29</v>
      </c>
      <c r="E7353" s="5">
        <v>-28326</v>
      </c>
      <c r="F7353" s="3" t="s">
        <v>543</v>
      </c>
      <c r="G7353" s="3" t="s">
        <v>19</v>
      </c>
      <c r="H7353" s="2" t="s">
        <v>20</v>
      </c>
      <c r="I7353" s="2" t="s">
        <v>14331</v>
      </c>
      <c r="J7353" s="3" t="str">
        <f>HYPERLINK("https://www.boe.es/gazeta/dias/1822/06/11/pdfs/GMD-1822-168.pdf#page=5","Abrir facsímil")</f>
        <v>Abrir facsímil</v>
      </c>
      <c r="K7353" s="3" t="s">
        <v>22</v>
      </c>
    </row>
    <row r="7354" spans="1:11" ht="42" customHeight="1">
      <c r="A7354" s="2" t="s">
        <v>14282</v>
      </c>
      <c r="B7354" s="2" t="s">
        <v>14282</v>
      </c>
      <c r="C7354" s="2" t="s">
        <v>71</v>
      </c>
      <c r="D7354" s="2" t="s">
        <v>17</v>
      </c>
      <c r="E7354" s="5">
        <v>-28325</v>
      </c>
      <c r="F7354" s="3" t="s">
        <v>104</v>
      </c>
      <c r="G7354" s="3" t="s">
        <v>35</v>
      </c>
      <c r="H7354" s="2" t="s">
        <v>20</v>
      </c>
      <c r="I7354" s="2" t="s">
        <v>14332</v>
      </c>
      <c r="J7354" s="3" t="str">
        <f>HYPERLINK("https://www.boe.es/gazeta/dias/1822/06/12/pdfs/GMD-1822-169.pdf#page=2","Abrir facsímil")</f>
        <v>Abrir facsímil</v>
      </c>
      <c r="K7354" s="3" t="s">
        <v>22</v>
      </c>
    </row>
    <row r="7355" spans="1:11" ht="42" customHeight="1">
      <c r="A7355" s="2" t="s">
        <v>14282</v>
      </c>
      <c r="B7355" s="2" t="s">
        <v>14282</v>
      </c>
      <c r="C7355" s="2" t="s">
        <v>28</v>
      </c>
      <c r="D7355" s="2" t="s">
        <v>29</v>
      </c>
      <c r="E7355" s="5">
        <v>-28321</v>
      </c>
      <c r="F7355" s="3" t="s">
        <v>1142</v>
      </c>
      <c r="G7355" s="3" t="s">
        <v>35</v>
      </c>
      <c r="H7355" s="2" t="s">
        <v>20</v>
      </c>
      <c r="I7355" s="2" t="s">
        <v>14333</v>
      </c>
      <c r="J7355" s="3" t="str">
        <f>HYPERLINK("https://www.boe.es/gazeta/dias/1822/06/16/pdfs/GMD-1822-173.pdf#page=2","Abrir facsímil")</f>
        <v>Abrir facsímil</v>
      </c>
      <c r="K7355" s="3" t="s">
        <v>22</v>
      </c>
    </row>
    <row r="7356" spans="1:11" ht="42" customHeight="1">
      <c r="A7356" s="2" t="s">
        <v>14282</v>
      </c>
      <c r="B7356" s="2" t="s">
        <v>14282</v>
      </c>
      <c r="C7356" s="2" t="s">
        <v>28</v>
      </c>
      <c r="D7356" s="2" t="s">
        <v>29</v>
      </c>
      <c r="E7356" s="5">
        <v>-28319</v>
      </c>
      <c r="F7356" s="3" t="s">
        <v>271</v>
      </c>
      <c r="G7356" s="3" t="s">
        <v>31</v>
      </c>
      <c r="H7356" s="2" t="s">
        <v>20</v>
      </c>
      <c r="I7356" s="2" t="s">
        <v>14334</v>
      </c>
      <c r="J7356" s="3" t="str">
        <f>HYPERLINK("https://www.boe.es/gazeta/dias/1822/06/18/pdfs/GMD-1822-175.pdf#page=3","Abrir facsímil")</f>
        <v>Abrir facsímil</v>
      </c>
      <c r="K7356" s="3" t="s">
        <v>22</v>
      </c>
    </row>
    <row r="7357" spans="1:11" ht="42" customHeight="1">
      <c r="A7357" s="2" t="s">
        <v>14282</v>
      </c>
      <c r="B7357" s="2" t="s">
        <v>14282</v>
      </c>
      <c r="C7357" s="2" t="s">
        <v>28</v>
      </c>
      <c r="D7357" s="2" t="s">
        <v>29</v>
      </c>
      <c r="E7357" s="5">
        <v>-28318</v>
      </c>
      <c r="F7357" s="3" t="s">
        <v>397</v>
      </c>
      <c r="G7357" s="3" t="s">
        <v>63</v>
      </c>
      <c r="H7357" s="2" t="s">
        <v>20</v>
      </c>
      <c r="I7357" s="2" t="s">
        <v>14335</v>
      </c>
      <c r="J7357" s="3" t="str">
        <f>HYPERLINK("https://www.boe.es/gazeta/dias/1822/06/19/pdfs/GMD-1822-176.pdf#page=6","Abrir facsímil")</f>
        <v>Abrir facsímil</v>
      </c>
      <c r="K7357" s="3" t="s">
        <v>22</v>
      </c>
    </row>
    <row r="7358" spans="1:11" ht="42" customHeight="1">
      <c r="A7358" s="2" t="s">
        <v>14282</v>
      </c>
      <c r="B7358" s="2" t="s">
        <v>14282</v>
      </c>
      <c r="C7358" s="2" t="s">
        <v>42</v>
      </c>
      <c r="D7358" s="2" t="s">
        <v>17</v>
      </c>
      <c r="E7358" s="5">
        <v>-28316</v>
      </c>
      <c r="F7358" s="3" t="s">
        <v>1144</v>
      </c>
      <c r="G7358" s="3" t="s">
        <v>63</v>
      </c>
      <c r="H7358" s="2" t="s">
        <v>20</v>
      </c>
      <c r="I7358" s="2" t="s">
        <v>14336</v>
      </c>
      <c r="J7358" s="3" t="str">
        <f>HYPERLINK("https://www.boe.es/gazeta/dias/1822/06/21/pdfs/GMD-1822-179.pdf#page=6","Abrir facsímil")</f>
        <v>Abrir facsímil</v>
      </c>
      <c r="K7358" s="3" t="s">
        <v>22</v>
      </c>
    </row>
    <row r="7359" spans="1:11" ht="42" customHeight="1">
      <c r="A7359" s="2" t="s">
        <v>14282</v>
      </c>
      <c r="B7359" s="2" t="s">
        <v>14282</v>
      </c>
      <c r="C7359" s="2" t="s">
        <v>1141</v>
      </c>
      <c r="D7359" s="2" t="s">
        <v>29</v>
      </c>
      <c r="E7359" s="5">
        <v>-28315</v>
      </c>
      <c r="F7359" s="3" t="s">
        <v>1220</v>
      </c>
      <c r="G7359" s="3" t="s">
        <v>19</v>
      </c>
      <c r="H7359" s="2" t="s">
        <v>20</v>
      </c>
      <c r="I7359" s="2" t="s">
        <v>14337</v>
      </c>
      <c r="J7359" s="3" t="str">
        <f>HYPERLINK("https://www.boe.es/gazeta/dias/1822/06/22/pdfs/GMD-1822-180.pdf#page=5","Abrir facsímil")</f>
        <v>Abrir facsímil</v>
      </c>
      <c r="K7359" s="3" t="s">
        <v>22</v>
      </c>
    </row>
    <row r="7360" spans="1:11" ht="42" customHeight="1">
      <c r="A7360" s="2" t="s">
        <v>14282</v>
      </c>
      <c r="B7360" s="2" t="s">
        <v>14282</v>
      </c>
      <c r="C7360" s="2" t="s">
        <v>42</v>
      </c>
      <c r="D7360" s="2" t="s">
        <v>17</v>
      </c>
      <c r="E7360" s="5">
        <v>-28314</v>
      </c>
      <c r="F7360" s="3" t="s">
        <v>309</v>
      </c>
      <c r="G7360" s="3" t="s">
        <v>19</v>
      </c>
      <c r="H7360" s="2" t="s">
        <v>20</v>
      </c>
      <c r="I7360" s="2" t="s">
        <v>14338</v>
      </c>
      <c r="J7360" s="3" t="str">
        <f>HYPERLINK("https://www.boe.es/gazeta/dias/1822/06/23/pdfs/GMD-1822-181.pdf#page=5","Abrir facsímil")</f>
        <v>Abrir facsímil</v>
      </c>
      <c r="K7360" s="3" t="s">
        <v>22</v>
      </c>
    </row>
    <row r="7361" spans="1:11" ht="42" customHeight="1">
      <c r="A7361" s="2" t="s">
        <v>14282</v>
      </c>
      <c r="B7361" s="2" t="s">
        <v>14282</v>
      </c>
      <c r="C7361" s="2" t="s">
        <v>71</v>
      </c>
      <c r="D7361" s="2" t="s">
        <v>17</v>
      </c>
      <c r="E7361" s="5">
        <v>-28313</v>
      </c>
      <c r="F7361" s="3" t="s">
        <v>315</v>
      </c>
      <c r="G7361" s="3" t="s">
        <v>549</v>
      </c>
      <c r="H7361" s="2" t="s">
        <v>20</v>
      </c>
      <c r="I7361" s="2" t="s">
        <v>14339</v>
      </c>
      <c r="J7361" s="3" t="str">
        <f>HYPERLINK("https://www.boe.es/gazeta/dias/1822/06/24/pdfs/GMD-1822-182.pdf#page=6","Abrir facsímil")</f>
        <v>Abrir facsímil</v>
      </c>
      <c r="K7361" s="3" t="s">
        <v>22</v>
      </c>
    </row>
    <row r="7362" spans="1:11" ht="42" customHeight="1">
      <c r="A7362" s="2" t="s">
        <v>14282</v>
      </c>
      <c r="B7362" s="2" t="s">
        <v>14282</v>
      </c>
      <c r="C7362" s="2" t="s">
        <v>28</v>
      </c>
      <c r="D7362" s="2" t="s">
        <v>29</v>
      </c>
      <c r="E7362" s="5">
        <v>-28313</v>
      </c>
      <c r="F7362" s="3" t="s">
        <v>315</v>
      </c>
      <c r="G7362" s="3" t="s">
        <v>57</v>
      </c>
      <c r="H7362" s="2" t="s">
        <v>20</v>
      </c>
      <c r="I7362" s="2" t="s">
        <v>14340</v>
      </c>
      <c r="J7362" s="3" t="str">
        <f>HYPERLINK("https://www.boe.es/gazeta/dias/1822/06/24/pdfs/GMD-1822-182.pdf#page=4","Abrir facsímil")</f>
        <v>Abrir facsímil</v>
      </c>
      <c r="K7362" s="3" t="s">
        <v>22</v>
      </c>
    </row>
    <row r="7363" spans="1:11" ht="42" customHeight="1">
      <c r="A7363" s="2" t="s">
        <v>14282</v>
      </c>
      <c r="B7363" s="2" t="s">
        <v>14282</v>
      </c>
      <c r="C7363" s="2" t="s">
        <v>71</v>
      </c>
      <c r="D7363" s="2" t="s">
        <v>17</v>
      </c>
      <c r="E7363" s="5">
        <v>-28312</v>
      </c>
      <c r="F7363" s="3" t="s">
        <v>92</v>
      </c>
      <c r="G7363" s="3" t="s">
        <v>35</v>
      </c>
      <c r="H7363" s="2" t="s">
        <v>20</v>
      </c>
      <c r="I7363" s="2" t="s">
        <v>14341</v>
      </c>
      <c r="J7363" s="3" t="str">
        <f>HYPERLINK("https://www.boe.es/gazeta/dias/1822/06/25/pdfs/GMD-1822-183.pdf#page=2","Abrir facsímil")</f>
        <v>Abrir facsímil</v>
      </c>
      <c r="K7363" s="3" t="s">
        <v>22</v>
      </c>
    </row>
    <row r="7364" spans="1:11" ht="42" customHeight="1">
      <c r="A7364" s="2" t="s">
        <v>14282</v>
      </c>
      <c r="B7364" s="2" t="s">
        <v>14282</v>
      </c>
      <c r="C7364" s="2" t="s">
        <v>28</v>
      </c>
      <c r="D7364" s="2" t="s">
        <v>29</v>
      </c>
      <c r="E7364" s="5">
        <v>-28311</v>
      </c>
      <c r="F7364" s="3" t="s">
        <v>736</v>
      </c>
      <c r="G7364" s="3" t="s">
        <v>35</v>
      </c>
      <c r="H7364" s="2" t="s">
        <v>20</v>
      </c>
      <c r="I7364" s="2" t="s">
        <v>14342</v>
      </c>
      <c r="J7364" s="3" t="str">
        <f>HYPERLINK("https://www.boe.es/gazeta/dias/1822/06/26/pdfs/GMD-1822-184.pdf#page=2","Abrir facsímil")</f>
        <v>Abrir facsímil</v>
      </c>
      <c r="K7364" s="3" t="s">
        <v>22</v>
      </c>
    </row>
    <row r="7365" spans="1:11" ht="42" customHeight="1">
      <c r="A7365" s="2" t="s">
        <v>14282</v>
      </c>
      <c r="B7365" s="2" t="s">
        <v>14282</v>
      </c>
      <c r="C7365" s="2" t="s">
        <v>71</v>
      </c>
      <c r="D7365" s="2" t="s">
        <v>17</v>
      </c>
      <c r="E7365" s="5">
        <v>-28310</v>
      </c>
      <c r="F7365" s="3" t="s">
        <v>241</v>
      </c>
      <c r="G7365" s="3" t="s">
        <v>31</v>
      </c>
      <c r="H7365" s="2" t="s">
        <v>20</v>
      </c>
      <c r="I7365" s="2" t="s">
        <v>14343</v>
      </c>
      <c r="J7365" s="3" t="str">
        <f>HYPERLINK("https://www.boe.es/gazeta/dias/1822/06/27/pdfs/GMD-1822-185.pdf#page=3","Abrir facsímil")</f>
        <v>Abrir facsímil</v>
      </c>
      <c r="K7365" s="3" t="s">
        <v>22</v>
      </c>
    </row>
    <row r="7366" spans="1:11" ht="42" customHeight="1">
      <c r="A7366" s="2" t="s">
        <v>14282</v>
      </c>
      <c r="B7366" s="2" t="s">
        <v>14282</v>
      </c>
      <c r="C7366" s="2" t="s">
        <v>71</v>
      </c>
      <c r="D7366" s="2" t="s">
        <v>17</v>
      </c>
      <c r="E7366" s="5">
        <v>-28310</v>
      </c>
      <c r="F7366" s="3" t="s">
        <v>241</v>
      </c>
      <c r="G7366" s="3" t="s">
        <v>63</v>
      </c>
      <c r="H7366" s="2" t="s">
        <v>20</v>
      </c>
      <c r="I7366" s="2" t="s">
        <v>14344</v>
      </c>
      <c r="J7366" s="3" t="str">
        <f>HYPERLINK("https://www.boe.es/gazeta/dias/1822/06/27/pdfs/GMD-1822-185.pdf#page=6","Abrir facsímil")</f>
        <v>Abrir facsímil</v>
      </c>
      <c r="K7366" s="3" t="s">
        <v>22</v>
      </c>
    </row>
    <row r="7367" spans="1:11" ht="42" customHeight="1">
      <c r="A7367" s="2" t="s">
        <v>14282</v>
      </c>
      <c r="B7367" s="2" t="s">
        <v>14282</v>
      </c>
      <c r="C7367" s="2" t="s">
        <v>71</v>
      </c>
      <c r="D7367" s="2" t="s">
        <v>17</v>
      </c>
      <c r="E7367" s="5">
        <v>-28309</v>
      </c>
      <c r="F7367" s="3" t="s">
        <v>553</v>
      </c>
      <c r="G7367" s="3" t="s">
        <v>671</v>
      </c>
      <c r="H7367" s="2" t="s">
        <v>20</v>
      </c>
      <c r="I7367" s="2" t="s">
        <v>14345</v>
      </c>
      <c r="J7367" s="3" t="str">
        <f>HYPERLINK("https://www.boe.es/gazeta/dias/1822/06/28/pdfs/GMD-1822-186.pdf#page=3","Abrir facsímil")</f>
        <v>Abrir facsímil</v>
      </c>
      <c r="K7367" s="3" t="s">
        <v>22</v>
      </c>
    </row>
    <row r="7368" spans="1:11" ht="42" customHeight="1">
      <c r="A7368" s="2" t="s">
        <v>14282</v>
      </c>
      <c r="B7368" s="2" t="s">
        <v>14282</v>
      </c>
      <c r="C7368" s="2" t="s">
        <v>42</v>
      </c>
      <c r="D7368" s="2" t="s">
        <v>17</v>
      </c>
      <c r="E7368" s="5">
        <v>-28309</v>
      </c>
      <c r="F7368" s="3" t="s">
        <v>553</v>
      </c>
      <c r="G7368" s="3" t="s">
        <v>642</v>
      </c>
      <c r="H7368" s="2" t="s">
        <v>20</v>
      </c>
      <c r="I7368" s="2" t="s">
        <v>14346</v>
      </c>
      <c r="J7368" s="3" t="str">
        <f>HYPERLINK("https://www.boe.es/gazeta/dias/1822/06/28/pdfs/GMD-1822-186.pdf#page=7","Abrir facsímil")</f>
        <v>Abrir facsímil</v>
      </c>
      <c r="K7368" s="3" t="s">
        <v>22</v>
      </c>
    </row>
    <row r="7369" spans="1:11" ht="42" customHeight="1">
      <c r="A7369" s="2" t="s">
        <v>14282</v>
      </c>
      <c r="B7369" s="2" t="s">
        <v>14282</v>
      </c>
      <c r="C7369" s="2" t="s">
        <v>50</v>
      </c>
      <c r="D7369" s="2" t="s">
        <v>51</v>
      </c>
      <c r="E7369" s="5">
        <v>-28308</v>
      </c>
      <c r="F7369" s="3" t="s">
        <v>1050</v>
      </c>
      <c r="G7369" s="3" t="s">
        <v>19</v>
      </c>
      <c r="H7369" s="2" t="s">
        <v>20</v>
      </c>
      <c r="I7369" s="2" t="s">
        <v>14347</v>
      </c>
      <c r="J7369" s="3" t="str">
        <f>HYPERLINK("https://www.boe.es/gazeta/dias/1822/06/29/pdfs/GMD-1822-187.pdf#page=5","Abrir facsímil")</f>
        <v>Abrir facsímil</v>
      </c>
      <c r="K7369" s="3" t="s">
        <v>22</v>
      </c>
    </row>
    <row r="7370" spans="1:11" ht="42" customHeight="1">
      <c r="A7370" s="2" t="s">
        <v>14282</v>
      </c>
      <c r="B7370" s="2" t="s">
        <v>14282</v>
      </c>
      <c r="C7370" s="2" t="s">
        <v>71</v>
      </c>
      <c r="D7370" s="2" t="s">
        <v>17</v>
      </c>
      <c r="E7370" s="5">
        <v>-28307</v>
      </c>
      <c r="F7370" s="3" t="s">
        <v>555</v>
      </c>
      <c r="G7370" s="3" t="s">
        <v>31</v>
      </c>
      <c r="H7370" s="2" t="s">
        <v>20</v>
      </c>
      <c r="I7370" s="2" t="s">
        <v>14348</v>
      </c>
      <c r="J7370" s="3" t="str">
        <f>HYPERLINK("https://www.boe.es/gazeta/dias/1822/06/30/pdfs/GMD-1822-188.pdf#page=3","Abrir facsímil")</f>
        <v>Abrir facsímil</v>
      </c>
      <c r="K7370" s="3" t="s">
        <v>22</v>
      </c>
    </row>
    <row r="7371" spans="1:11" ht="42" customHeight="1">
      <c r="A7371" s="2" t="s">
        <v>14282</v>
      </c>
      <c r="B7371" s="2" t="s">
        <v>14282</v>
      </c>
      <c r="C7371" s="2" t="s">
        <v>42</v>
      </c>
      <c r="D7371" s="2" t="s">
        <v>17</v>
      </c>
      <c r="E7371" s="5">
        <v>-28307</v>
      </c>
      <c r="F7371" s="3" t="s">
        <v>555</v>
      </c>
      <c r="G7371" s="3" t="s">
        <v>63</v>
      </c>
      <c r="H7371" s="2" t="s">
        <v>20</v>
      </c>
      <c r="I7371" s="2" t="s">
        <v>14349</v>
      </c>
      <c r="J7371" s="3" t="str">
        <f>HYPERLINK("https://www.boe.es/gazeta/dias/1822/06/30/pdfs/GMD-1822-188.pdf#page=6","Abrir facsímil")</f>
        <v>Abrir facsímil</v>
      </c>
      <c r="K7371" s="3" t="s">
        <v>22</v>
      </c>
    </row>
    <row r="7372" spans="1:11" ht="42" customHeight="1">
      <c r="A7372" s="2" t="s">
        <v>14282</v>
      </c>
      <c r="B7372" s="2" t="s">
        <v>14282</v>
      </c>
      <c r="C7372" s="2" t="s">
        <v>50</v>
      </c>
      <c r="D7372" s="2" t="s">
        <v>51</v>
      </c>
      <c r="E7372" s="5">
        <v>-28287</v>
      </c>
      <c r="F7372" s="3" t="s">
        <v>1295</v>
      </c>
      <c r="G7372" s="3" t="s">
        <v>57</v>
      </c>
      <c r="H7372" s="2" t="s">
        <v>20</v>
      </c>
      <c r="I7372" s="2" t="s">
        <v>14350</v>
      </c>
      <c r="J7372" s="3" t="str">
        <f>HYPERLINK("https://www.boe.es/gazeta/dias/1822/07/20/pdfs/GMD-1822-212.pdf#page=4","Abrir facsímil")</f>
        <v>Abrir facsímil</v>
      </c>
      <c r="K7372" s="3" t="s">
        <v>22</v>
      </c>
    </row>
    <row r="7373" spans="1:11" ht="42" customHeight="1">
      <c r="A7373" s="2" t="s">
        <v>14282</v>
      </c>
      <c r="B7373" s="2" t="s">
        <v>14282</v>
      </c>
      <c r="C7373" s="2" t="s">
        <v>50</v>
      </c>
      <c r="D7373" s="2" t="s">
        <v>51</v>
      </c>
      <c r="E7373" s="5">
        <v>-28280</v>
      </c>
      <c r="F7373" s="3" t="s">
        <v>56</v>
      </c>
      <c r="G7373" s="3" t="s">
        <v>57</v>
      </c>
      <c r="H7373" s="2" t="s">
        <v>20</v>
      </c>
      <c r="I7373" s="2" t="s">
        <v>14351</v>
      </c>
      <c r="J7373" s="3" t="str">
        <f>HYPERLINK("https://www.boe.es/gazeta/dias/1822/07/27/pdfs/GMD-1822-220.pdf#page=4","Abrir facsímil")</f>
        <v>Abrir facsímil</v>
      </c>
      <c r="K7373" s="3" t="s">
        <v>22</v>
      </c>
    </row>
    <row r="7374" spans="1:11" ht="42" customHeight="1">
      <c r="A7374" s="2" t="s">
        <v>14282</v>
      </c>
      <c r="B7374" s="2" t="s">
        <v>14282</v>
      </c>
      <c r="C7374" s="2" t="s">
        <v>42</v>
      </c>
      <c r="D7374" s="2" t="s">
        <v>17</v>
      </c>
      <c r="E7374" s="5">
        <v>-28278</v>
      </c>
      <c r="F7374" s="3" t="s">
        <v>368</v>
      </c>
      <c r="G7374" s="3" t="s">
        <v>57</v>
      </c>
      <c r="H7374" s="2" t="s">
        <v>20</v>
      </c>
      <c r="I7374" s="2" t="s">
        <v>14352</v>
      </c>
      <c r="J7374" s="3" t="str">
        <f>HYPERLINK("https://www.boe.es/gazeta/dias/1822/07/29/pdfs/GMD-1822-222.pdf#page=4","Abrir facsímil")</f>
        <v>Abrir facsímil</v>
      </c>
      <c r="K7374" s="3" t="s">
        <v>22</v>
      </c>
    </row>
    <row r="7375" spans="1:11" ht="42" customHeight="1">
      <c r="A7375" s="2" t="s">
        <v>14282</v>
      </c>
      <c r="B7375" s="2" t="s">
        <v>14282</v>
      </c>
      <c r="C7375" s="2" t="s">
        <v>42</v>
      </c>
      <c r="D7375" s="2" t="s">
        <v>17</v>
      </c>
      <c r="E7375" s="5">
        <v>-28258</v>
      </c>
      <c r="F7375" s="3" t="s">
        <v>88</v>
      </c>
      <c r="G7375" s="3" t="s">
        <v>35</v>
      </c>
      <c r="H7375" s="2" t="s">
        <v>20</v>
      </c>
      <c r="I7375" s="2" t="s">
        <v>14353</v>
      </c>
      <c r="J7375" s="3" t="str">
        <f>HYPERLINK("https://www.boe.es/gazeta/dias/1822/08/18/pdfs/GMD-1822-242.pdf#page=2","Abrir facsímil")</f>
        <v>Abrir facsímil</v>
      </c>
      <c r="K7375" s="3" t="s">
        <v>22</v>
      </c>
    </row>
    <row r="7376" spans="1:11" ht="42" customHeight="1">
      <c r="A7376" s="2" t="s">
        <v>14282</v>
      </c>
      <c r="B7376" s="2" t="s">
        <v>14282</v>
      </c>
      <c r="C7376" s="2" t="s">
        <v>50</v>
      </c>
      <c r="D7376" s="2" t="s">
        <v>51</v>
      </c>
      <c r="E7376" s="5">
        <v>-28249</v>
      </c>
      <c r="F7376" s="3" t="s">
        <v>3986</v>
      </c>
      <c r="G7376" s="3" t="s">
        <v>31</v>
      </c>
      <c r="H7376" s="2" t="s">
        <v>20</v>
      </c>
      <c r="I7376" s="2" t="s">
        <v>14354</v>
      </c>
      <c r="J7376" s="3" t="str">
        <f>HYPERLINK("https://www.boe.es/gazeta/dias/1822/08/27/pdfs/GMD-1822-251.pdf#page=3","Abrir facsímil")</f>
        <v>Abrir facsímil</v>
      </c>
      <c r="K7376" s="3" t="s">
        <v>22</v>
      </c>
    </row>
    <row r="7377" spans="1:11" ht="42" customHeight="1">
      <c r="A7377" s="2" t="s">
        <v>14282</v>
      </c>
      <c r="B7377" s="2" t="s">
        <v>14282</v>
      </c>
      <c r="C7377" s="2" t="s">
        <v>28</v>
      </c>
      <c r="D7377" s="2" t="s">
        <v>29</v>
      </c>
      <c r="E7377" s="5">
        <v>-28247</v>
      </c>
      <c r="F7377" s="3" t="s">
        <v>2023</v>
      </c>
      <c r="G7377" s="3" t="s">
        <v>57</v>
      </c>
      <c r="H7377" s="2" t="s">
        <v>20</v>
      </c>
      <c r="I7377" s="2" t="s">
        <v>14355</v>
      </c>
      <c r="J7377" s="3" t="str">
        <f>HYPERLINK("https://www.boe.es/gazeta/dias/1822/08/29/pdfs/GMD-1822-253.pdf#page=4","Abrir facsímil")</f>
        <v>Abrir facsímil</v>
      </c>
      <c r="K7377" s="3" t="s">
        <v>22</v>
      </c>
    </row>
    <row r="7378" spans="1:11" ht="42" customHeight="1">
      <c r="A7378" s="2" t="s">
        <v>14282</v>
      </c>
      <c r="B7378" s="2" t="s">
        <v>14282</v>
      </c>
      <c r="C7378" s="2" t="s">
        <v>28</v>
      </c>
      <c r="D7378" s="2" t="s">
        <v>29</v>
      </c>
      <c r="E7378" s="5">
        <v>-28235</v>
      </c>
      <c r="F7378" s="3" t="s">
        <v>1470</v>
      </c>
      <c r="G7378" s="3" t="s">
        <v>57</v>
      </c>
      <c r="H7378" s="2" t="s">
        <v>20</v>
      </c>
      <c r="I7378" s="2" t="s">
        <v>14356</v>
      </c>
      <c r="J7378" s="3" t="str">
        <f>HYPERLINK("https://www.boe.es/gazeta/dias/1822/09/10/pdfs/GMD-1822-266.pdf#page=4","Abrir facsímil")</f>
        <v>Abrir facsímil</v>
      </c>
      <c r="K7378" s="3" t="s">
        <v>22</v>
      </c>
    </row>
    <row r="7379" spans="1:11" ht="42" customHeight="1">
      <c r="A7379" s="2" t="s">
        <v>14357</v>
      </c>
      <c r="B7379" s="2" t="s">
        <v>14357</v>
      </c>
      <c r="C7379" s="2" t="s">
        <v>28</v>
      </c>
      <c r="D7379" s="2" t="s">
        <v>29</v>
      </c>
      <c r="E7379" s="5">
        <v>-28229</v>
      </c>
      <c r="F7379" s="3" t="s">
        <v>2310</v>
      </c>
      <c r="G7379" s="3" t="s">
        <v>57</v>
      </c>
      <c r="H7379" s="2" t="s">
        <v>20</v>
      </c>
      <c r="I7379" s="2" t="s">
        <v>14358</v>
      </c>
      <c r="J7379" s="3" t="str">
        <f>HYPERLINK("https://www.boe.es/gazeta/dias/1822/09/16/pdfs/GMD-1822-272.pdf#page=4","Abrir facsímil")</f>
        <v>Abrir facsímil</v>
      </c>
      <c r="K7379" s="3" t="s">
        <v>22</v>
      </c>
    </row>
    <row r="7380" spans="1:11" ht="42" customHeight="1">
      <c r="A7380" s="2" t="s">
        <v>14282</v>
      </c>
      <c r="B7380" s="2" t="s">
        <v>14282</v>
      </c>
      <c r="C7380" s="2" t="s">
        <v>50</v>
      </c>
      <c r="D7380" s="2" t="s">
        <v>51</v>
      </c>
      <c r="E7380" s="5">
        <v>-28228</v>
      </c>
      <c r="F7380" s="3" t="s">
        <v>718</v>
      </c>
      <c r="G7380" s="3" t="s">
        <v>57</v>
      </c>
      <c r="H7380" s="2" t="s">
        <v>20</v>
      </c>
      <c r="I7380" s="2" t="s">
        <v>14359</v>
      </c>
      <c r="J7380" s="3" t="str">
        <f>HYPERLINK("https://www.boe.es/gazeta/dias/1822/09/17/pdfs/GMD-1822-273.pdf#page=4","Abrir facsímil")</f>
        <v>Abrir facsímil</v>
      </c>
      <c r="K7380" s="3" t="s">
        <v>22</v>
      </c>
    </row>
    <row r="7381" spans="1:11" ht="42" customHeight="1">
      <c r="A7381" s="2" t="s">
        <v>14282</v>
      </c>
      <c r="B7381" s="2" t="s">
        <v>14282</v>
      </c>
      <c r="C7381" s="2" t="s">
        <v>50</v>
      </c>
      <c r="D7381" s="2" t="s">
        <v>51</v>
      </c>
      <c r="E7381" s="5">
        <v>-28219</v>
      </c>
      <c r="F7381" s="3" t="s">
        <v>1082</v>
      </c>
      <c r="G7381" s="3" t="s">
        <v>31</v>
      </c>
      <c r="H7381" s="2" t="s">
        <v>20</v>
      </c>
      <c r="I7381" s="2" t="s">
        <v>14360</v>
      </c>
      <c r="J7381" s="3" t="str">
        <f>HYPERLINK("https://www.boe.es/gazeta/dias/1822/09/26/pdfs/GMD-1822-282.pdf#page=3","Abrir facsímil")</f>
        <v>Abrir facsímil</v>
      </c>
      <c r="K7381" s="3" t="s">
        <v>22</v>
      </c>
    </row>
    <row r="7382" spans="1:11" ht="42" customHeight="1">
      <c r="A7382" s="2" t="s">
        <v>14282</v>
      </c>
      <c r="B7382" s="2" t="s">
        <v>14282</v>
      </c>
      <c r="C7382" s="2" t="s">
        <v>28</v>
      </c>
      <c r="D7382" s="2" t="s">
        <v>29</v>
      </c>
      <c r="E7382" s="5">
        <v>-28213</v>
      </c>
      <c r="F7382" s="3" t="s">
        <v>558</v>
      </c>
      <c r="G7382" s="3" t="s">
        <v>57</v>
      </c>
      <c r="H7382" s="2" t="s">
        <v>20</v>
      </c>
      <c r="I7382" s="2" t="s">
        <v>14361</v>
      </c>
      <c r="J7382" s="3" t="str">
        <f>HYPERLINK("https://www.boe.es/gazeta/dias/1822/10/02/pdfs/GMD-1822-288.pdf#page=4","Abrir facsímil")</f>
        <v>Abrir facsímil</v>
      </c>
      <c r="K7382" s="3" t="s">
        <v>22</v>
      </c>
    </row>
    <row r="7383" spans="1:11" ht="42" customHeight="1">
      <c r="A7383" s="2" t="s">
        <v>14282</v>
      </c>
      <c r="B7383" s="2" t="s">
        <v>14282</v>
      </c>
      <c r="C7383" s="2" t="s">
        <v>71</v>
      </c>
      <c r="D7383" s="2" t="s">
        <v>17</v>
      </c>
      <c r="E7383" s="5">
        <v>-28208</v>
      </c>
      <c r="F7383" s="3" t="s">
        <v>230</v>
      </c>
      <c r="G7383" s="3" t="s">
        <v>57</v>
      </c>
      <c r="H7383" s="2" t="s">
        <v>20</v>
      </c>
      <c r="I7383" s="2" t="s">
        <v>14362</v>
      </c>
      <c r="J7383" s="3" t="str">
        <f>HYPERLINK("https://www.boe.es/gazeta/dias/1822/10/07/pdfs/GMD-1822-293.pdf#page=4","Abrir facsímil")</f>
        <v>Abrir facsímil</v>
      </c>
      <c r="K7383" s="3" t="s">
        <v>22</v>
      </c>
    </row>
    <row r="7384" spans="1:11" ht="42" customHeight="1">
      <c r="A7384" s="2" t="s">
        <v>14282</v>
      </c>
      <c r="B7384" s="2" t="s">
        <v>14282</v>
      </c>
      <c r="C7384" s="2" t="s">
        <v>42</v>
      </c>
      <c r="D7384" s="2" t="s">
        <v>17</v>
      </c>
      <c r="E7384" s="5">
        <v>-28206</v>
      </c>
      <c r="F7384" s="3" t="s">
        <v>562</v>
      </c>
      <c r="G7384" s="3" t="s">
        <v>35</v>
      </c>
      <c r="H7384" s="2" t="s">
        <v>20</v>
      </c>
      <c r="I7384" s="2" t="s">
        <v>14363</v>
      </c>
      <c r="J7384" s="3" t="str">
        <f>HYPERLINK("https://www.boe.es/gazeta/dias/1822/10/09/pdfs/GMD-1822-296.pdf#page=2","Abrir facsímil")</f>
        <v>Abrir facsímil</v>
      </c>
      <c r="K7384" s="3" t="s">
        <v>22</v>
      </c>
    </row>
    <row r="7385" spans="1:11" ht="42" customHeight="1">
      <c r="A7385" s="2" t="s">
        <v>14282</v>
      </c>
      <c r="B7385" s="2" t="s">
        <v>14282</v>
      </c>
      <c r="C7385" s="2" t="s">
        <v>24</v>
      </c>
      <c r="D7385" s="2" t="s">
        <v>17</v>
      </c>
      <c r="E7385" s="5">
        <v>-28205</v>
      </c>
      <c r="F7385" s="3" t="s">
        <v>806</v>
      </c>
      <c r="G7385" s="3" t="s">
        <v>31</v>
      </c>
      <c r="H7385" s="2" t="s">
        <v>20</v>
      </c>
      <c r="I7385" s="2" t="s">
        <v>14364</v>
      </c>
      <c r="J7385" s="3" t="str">
        <f>HYPERLINK("https://www.boe.es/gazeta/dias/1822/10/10/pdfs/GMD-1822-297.pdf#page=3","Abrir facsímil")</f>
        <v>Abrir facsímil</v>
      </c>
      <c r="K7385" s="3" t="s">
        <v>22</v>
      </c>
    </row>
    <row r="7386" spans="1:11" ht="42" customHeight="1">
      <c r="A7386" s="2" t="s">
        <v>14282</v>
      </c>
      <c r="B7386" s="2" t="s">
        <v>14282</v>
      </c>
      <c r="C7386" s="2" t="s">
        <v>28</v>
      </c>
      <c r="D7386" s="2" t="s">
        <v>29</v>
      </c>
      <c r="E7386" s="5">
        <v>-28202</v>
      </c>
      <c r="F7386" s="3" t="s">
        <v>922</v>
      </c>
      <c r="G7386" s="3" t="s">
        <v>19</v>
      </c>
      <c r="H7386" s="2" t="s">
        <v>20</v>
      </c>
      <c r="I7386" s="2" t="s">
        <v>14365</v>
      </c>
      <c r="J7386" s="3" t="str">
        <f>HYPERLINK("https://www.boe.es/gazeta/dias/1822/10/13/pdfs/GMD-1822-300.pdf#page=5","Abrir facsímil")</f>
        <v>Abrir facsímil</v>
      </c>
      <c r="K7386" s="3" t="s">
        <v>22</v>
      </c>
    </row>
    <row r="7387" spans="1:11" ht="42" customHeight="1">
      <c r="A7387" s="2" t="s">
        <v>14282</v>
      </c>
      <c r="B7387" s="2" t="s">
        <v>14282</v>
      </c>
      <c r="C7387" s="2" t="s">
        <v>24</v>
      </c>
      <c r="D7387" s="2" t="s">
        <v>17</v>
      </c>
      <c r="E7387" s="5">
        <v>-28197</v>
      </c>
      <c r="F7387" s="3" t="s">
        <v>568</v>
      </c>
      <c r="G7387" s="3" t="s">
        <v>31</v>
      </c>
      <c r="H7387" s="2" t="s">
        <v>20</v>
      </c>
      <c r="I7387" s="2" t="s">
        <v>14366</v>
      </c>
      <c r="J7387" s="3" t="str">
        <f>HYPERLINK("https://www.boe.es/gazeta/dias/1822/10/18/pdfs/GMD-1822-305.pdf#page=3","Abrir facsímil")</f>
        <v>Abrir facsímil</v>
      </c>
      <c r="K7387" s="3" t="s">
        <v>22</v>
      </c>
    </row>
    <row r="7388" spans="1:11" ht="42" customHeight="1">
      <c r="A7388" s="2" t="s">
        <v>14282</v>
      </c>
      <c r="B7388" s="2" t="s">
        <v>14282</v>
      </c>
      <c r="C7388" s="2" t="s">
        <v>42</v>
      </c>
      <c r="D7388" s="2" t="s">
        <v>17</v>
      </c>
      <c r="E7388" s="5">
        <v>-28197</v>
      </c>
      <c r="F7388" s="3" t="s">
        <v>568</v>
      </c>
      <c r="G7388" s="3" t="s">
        <v>57</v>
      </c>
      <c r="H7388" s="2" t="s">
        <v>20</v>
      </c>
      <c r="I7388" s="2" t="s">
        <v>14367</v>
      </c>
      <c r="J7388" s="3" t="str">
        <f>HYPERLINK("https://www.boe.es/gazeta/dias/1822/10/18/pdfs/GMD-1822-305.pdf#page=4","Abrir facsímil")</f>
        <v>Abrir facsímil</v>
      </c>
      <c r="K7388" s="3" t="s">
        <v>22</v>
      </c>
    </row>
    <row r="7389" spans="1:11" ht="42" customHeight="1">
      <c r="A7389" s="2" t="s">
        <v>14282</v>
      </c>
      <c r="B7389" s="2" t="s">
        <v>14282</v>
      </c>
      <c r="C7389" s="2" t="s">
        <v>28</v>
      </c>
      <c r="D7389" s="2" t="s">
        <v>29</v>
      </c>
      <c r="E7389" s="5">
        <v>-28196</v>
      </c>
      <c r="F7389" s="3" t="s">
        <v>570</v>
      </c>
      <c r="G7389" s="3" t="s">
        <v>35</v>
      </c>
      <c r="H7389" s="2" t="s">
        <v>20</v>
      </c>
      <c r="I7389" s="2" t="s">
        <v>14368</v>
      </c>
      <c r="J7389" s="3" t="str">
        <f>HYPERLINK("https://www.boe.es/gazeta/dias/1822/10/19/pdfs/GMD-1822-306.pdf#page=2","Abrir facsímil")</f>
        <v>Abrir facsímil</v>
      </c>
      <c r="K7389" s="3" t="s">
        <v>22</v>
      </c>
    </row>
    <row r="7390" spans="1:11" ht="42" customHeight="1">
      <c r="A7390" s="2" t="s">
        <v>14282</v>
      </c>
      <c r="B7390" s="2" t="s">
        <v>14282</v>
      </c>
      <c r="C7390" s="2" t="s">
        <v>71</v>
      </c>
      <c r="D7390" s="2" t="s">
        <v>17</v>
      </c>
      <c r="E7390" s="5">
        <v>-28193</v>
      </c>
      <c r="F7390" s="3" t="s">
        <v>574</v>
      </c>
      <c r="G7390" s="3" t="s">
        <v>57</v>
      </c>
      <c r="H7390" s="2" t="s">
        <v>20</v>
      </c>
      <c r="I7390" s="2" t="s">
        <v>14369</v>
      </c>
      <c r="J7390" s="3" t="str">
        <f>HYPERLINK("https://www.boe.es/gazeta/dias/1822/10/22/pdfs/GMD-1822-309.pdf#page=4","Abrir facsímil")</f>
        <v>Abrir facsímil</v>
      </c>
      <c r="K7390" s="3" t="s">
        <v>22</v>
      </c>
    </row>
    <row r="7391" spans="1:11" ht="42" customHeight="1">
      <c r="A7391" s="2" t="s">
        <v>14282</v>
      </c>
      <c r="B7391" s="2" t="s">
        <v>14282</v>
      </c>
      <c r="C7391" s="2" t="s">
        <v>71</v>
      </c>
      <c r="D7391" s="2" t="s">
        <v>17</v>
      </c>
      <c r="E7391" s="5">
        <v>-28192</v>
      </c>
      <c r="F7391" s="3" t="s">
        <v>43</v>
      </c>
      <c r="G7391" s="3" t="s">
        <v>63</v>
      </c>
      <c r="H7391" s="2" t="s">
        <v>20</v>
      </c>
      <c r="I7391" s="2" t="s">
        <v>14370</v>
      </c>
      <c r="J7391" s="3" t="str">
        <f>HYPERLINK("https://www.boe.es/gazeta/dias/1822/10/23/pdfs/GMD-1822-310.pdf#page=6","Abrir facsímil")</f>
        <v>Abrir facsímil</v>
      </c>
      <c r="K7391" s="3" t="s">
        <v>22</v>
      </c>
    </row>
    <row r="7392" spans="1:11" ht="42" customHeight="1">
      <c r="A7392" s="2" t="s">
        <v>14282</v>
      </c>
      <c r="B7392" s="2" t="s">
        <v>14282</v>
      </c>
      <c r="C7392" s="2" t="s">
        <v>42</v>
      </c>
      <c r="D7392" s="2" t="s">
        <v>17</v>
      </c>
      <c r="E7392" s="5">
        <v>-28191</v>
      </c>
      <c r="F7392" s="3" t="s">
        <v>710</v>
      </c>
      <c r="G7392" s="3" t="s">
        <v>63</v>
      </c>
      <c r="H7392" s="2" t="s">
        <v>20</v>
      </c>
      <c r="I7392" s="2" t="s">
        <v>14371</v>
      </c>
      <c r="J7392" s="3" t="str">
        <f>HYPERLINK("https://www.boe.es/gazeta/dias/1822/10/24/pdfs/GMD-1822-311.pdf#page=6","Abrir facsímil")</f>
        <v>Abrir facsímil</v>
      </c>
      <c r="K7392" s="3" t="s">
        <v>22</v>
      </c>
    </row>
    <row r="7393" spans="1:11" ht="42" customHeight="1">
      <c r="A7393" s="2" t="s">
        <v>14282</v>
      </c>
      <c r="B7393" s="2" t="s">
        <v>14282</v>
      </c>
      <c r="C7393" s="2" t="s">
        <v>50</v>
      </c>
      <c r="D7393" s="2" t="s">
        <v>51</v>
      </c>
      <c r="E7393" s="5">
        <v>-28189</v>
      </c>
      <c r="F7393" s="3" t="s">
        <v>645</v>
      </c>
      <c r="G7393" s="3" t="s">
        <v>63</v>
      </c>
      <c r="H7393" s="2" t="s">
        <v>20</v>
      </c>
      <c r="I7393" s="2" t="s">
        <v>14372</v>
      </c>
      <c r="J7393" s="3" t="str">
        <f>HYPERLINK("https://www.boe.es/gazeta/dias/1822/10/26/pdfs/GMD-1822-313.pdf#page=6","Abrir facsímil")</f>
        <v>Abrir facsímil</v>
      </c>
      <c r="K7393" s="3" t="s">
        <v>22</v>
      </c>
    </row>
    <row r="7394" spans="1:11" ht="42" customHeight="1">
      <c r="A7394" s="2" t="s">
        <v>14282</v>
      </c>
      <c r="B7394" s="2" t="s">
        <v>14282</v>
      </c>
      <c r="C7394" s="2" t="s">
        <v>71</v>
      </c>
      <c r="D7394" s="2" t="s">
        <v>17</v>
      </c>
      <c r="E7394" s="5">
        <v>-28187</v>
      </c>
      <c r="F7394" s="3" t="s">
        <v>929</v>
      </c>
      <c r="G7394" s="3" t="s">
        <v>44</v>
      </c>
      <c r="H7394" s="2" t="s">
        <v>20</v>
      </c>
      <c r="I7394" s="2" t="s">
        <v>14373</v>
      </c>
      <c r="J7394" s="3" t="str">
        <f>HYPERLINK("https://www.boe.es/gazeta/dias/1822/10/28/pdfs/GMD-1822-315.pdf#page=1","Abrir facsímil")</f>
        <v>Abrir facsímil</v>
      </c>
      <c r="K7394" s="3" t="s">
        <v>22</v>
      </c>
    </row>
    <row r="7395" spans="1:11" ht="42" customHeight="1">
      <c r="A7395" s="2" t="s">
        <v>14282</v>
      </c>
      <c r="B7395" s="2" t="s">
        <v>14282</v>
      </c>
      <c r="C7395" s="2" t="s">
        <v>50</v>
      </c>
      <c r="D7395" s="2" t="s">
        <v>51</v>
      </c>
      <c r="E7395" s="5">
        <v>-28187</v>
      </c>
      <c r="F7395" s="3" t="s">
        <v>929</v>
      </c>
      <c r="G7395" s="3" t="s">
        <v>57</v>
      </c>
      <c r="H7395" s="2" t="s">
        <v>20</v>
      </c>
      <c r="I7395" s="2" t="s">
        <v>14374</v>
      </c>
      <c r="J7395" s="3" t="str">
        <f>HYPERLINK("https://www.boe.es/gazeta/dias/1822/10/28/pdfs/GMD-1822-315.pdf#page=4","Abrir facsímil")</f>
        <v>Abrir facsímil</v>
      </c>
      <c r="K7395" s="3" t="s">
        <v>22</v>
      </c>
    </row>
    <row r="7396" spans="1:11" ht="42" customHeight="1">
      <c r="A7396" s="2" t="s">
        <v>14282</v>
      </c>
      <c r="B7396" s="2" t="s">
        <v>14282</v>
      </c>
      <c r="C7396" s="2" t="s">
        <v>50</v>
      </c>
      <c r="D7396" s="2" t="s">
        <v>51</v>
      </c>
      <c r="E7396" s="5">
        <v>-28187</v>
      </c>
      <c r="F7396" s="3" t="s">
        <v>929</v>
      </c>
      <c r="G7396" s="3" t="s">
        <v>19</v>
      </c>
      <c r="H7396" s="2" t="s">
        <v>20</v>
      </c>
      <c r="I7396" s="2" t="s">
        <v>14375</v>
      </c>
      <c r="J7396" s="3" t="str">
        <f>HYPERLINK("https://www.boe.es/gazeta/dias/1822/10/28/pdfs/GMD-1822-315.pdf#page=5","Abrir facsímil")</f>
        <v>Abrir facsímil</v>
      </c>
      <c r="K7396" s="3" t="s">
        <v>22</v>
      </c>
    </row>
    <row r="7397" spans="1:11" ht="42" customHeight="1">
      <c r="A7397" s="2" t="s">
        <v>14282</v>
      </c>
      <c r="B7397" s="2" t="s">
        <v>14282</v>
      </c>
      <c r="C7397" s="2" t="s">
        <v>28</v>
      </c>
      <c r="D7397" s="2" t="s">
        <v>29</v>
      </c>
      <c r="E7397" s="5">
        <v>-28183</v>
      </c>
      <c r="F7397" s="3" t="s">
        <v>583</v>
      </c>
      <c r="G7397" s="3" t="s">
        <v>63</v>
      </c>
      <c r="H7397" s="2" t="s">
        <v>20</v>
      </c>
      <c r="I7397" s="2" t="s">
        <v>14376</v>
      </c>
      <c r="J7397" s="3" t="str">
        <f>HYPERLINK("https://www.boe.es/gazeta/dias/1822/11/01/pdfs/GMD-1822-319.pdf#page=6","Abrir facsímil")</f>
        <v>Abrir facsímil</v>
      </c>
      <c r="K7397" s="3" t="s">
        <v>22</v>
      </c>
    </row>
    <row r="7398" spans="1:11" ht="42" customHeight="1">
      <c r="A7398" s="2" t="s">
        <v>14282</v>
      </c>
      <c r="B7398" s="2" t="s">
        <v>14282</v>
      </c>
      <c r="C7398" s="2" t="s">
        <v>362</v>
      </c>
      <c r="D7398" s="2" t="s">
        <v>17</v>
      </c>
      <c r="E7398" s="5">
        <v>-28181</v>
      </c>
      <c r="F7398" s="3" t="s">
        <v>739</v>
      </c>
      <c r="G7398" s="3" t="s">
        <v>63</v>
      </c>
      <c r="H7398" s="2" t="s">
        <v>20</v>
      </c>
      <c r="I7398" s="2" t="s">
        <v>14377</v>
      </c>
      <c r="J7398" s="3" t="str">
        <f>HYPERLINK("https://www.boe.es/gazeta/dias/1822/11/03/pdfs/GMD-1822-321.pdf#page=6","Abrir facsímil")</f>
        <v>Abrir facsímil</v>
      </c>
      <c r="K7398" s="3" t="s">
        <v>22</v>
      </c>
    </row>
    <row r="7399" spans="1:11" ht="42" customHeight="1">
      <c r="A7399" s="2" t="s">
        <v>14282</v>
      </c>
      <c r="B7399" s="2" t="s">
        <v>14282</v>
      </c>
      <c r="C7399" s="2" t="s">
        <v>50</v>
      </c>
      <c r="D7399" s="2" t="s">
        <v>51</v>
      </c>
      <c r="E7399" s="5">
        <v>-28179</v>
      </c>
      <c r="F7399" s="3" t="s">
        <v>935</v>
      </c>
      <c r="G7399" s="3" t="s">
        <v>35</v>
      </c>
      <c r="H7399" s="2" t="s">
        <v>20</v>
      </c>
      <c r="I7399" s="2" t="s">
        <v>14378</v>
      </c>
      <c r="J7399" s="3" t="str">
        <f>HYPERLINK("https://www.boe.es/gazeta/dias/1822/11/05/pdfs/GMD-1822-325.pdf#page=2","Abrir facsímil")</f>
        <v>Abrir facsímil</v>
      </c>
      <c r="K7399" s="3" t="s">
        <v>22</v>
      </c>
    </row>
    <row r="7400" spans="1:11" ht="42" customHeight="1">
      <c r="A7400" s="2" t="s">
        <v>14282</v>
      </c>
      <c r="B7400" s="2" t="s">
        <v>14282</v>
      </c>
      <c r="C7400" s="2" t="s">
        <v>71</v>
      </c>
      <c r="D7400" s="2" t="s">
        <v>17</v>
      </c>
      <c r="E7400" s="5">
        <v>-28178</v>
      </c>
      <c r="F7400" s="3" t="s">
        <v>318</v>
      </c>
      <c r="G7400" s="3" t="s">
        <v>31</v>
      </c>
      <c r="H7400" s="2" t="s">
        <v>20</v>
      </c>
      <c r="I7400" s="2" t="s">
        <v>14379</v>
      </c>
      <c r="J7400" s="3" t="str">
        <f>HYPERLINK("https://www.boe.es/gazeta/dias/1822/11/06/pdfs/GMD-1822-326.pdf#page=3","Abrir facsímil")</f>
        <v>Abrir facsímil</v>
      </c>
      <c r="K7400" s="3" t="s">
        <v>22</v>
      </c>
    </row>
    <row r="7401" spans="1:11" ht="42" customHeight="1">
      <c r="A7401" s="2" t="s">
        <v>14282</v>
      </c>
      <c r="B7401" s="2" t="s">
        <v>14282</v>
      </c>
      <c r="C7401" s="2" t="s">
        <v>50</v>
      </c>
      <c r="D7401" s="2" t="s">
        <v>51</v>
      </c>
      <c r="E7401" s="5">
        <v>-28177</v>
      </c>
      <c r="F7401" s="3" t="s">
        <v>587</v>
      </c>
      <c r="G7401" s="3" t="s">
        <v>35</v>
      </c>
      <c r="H7401" s="2" t="s">
        <v>20</v>
      </c>
      <c r="I7401" s="2" t="s">
        <v>14380</v>
      </c>
      <c r="J7401" s="3" t="str">
        <f>HYPERLINK("https://www.boe.es/gazeta/dias/1822/11/07/pdfs/GMD-1822-327.pdf#page=2","Abrir facsímil")</f>
        <v>Abrir facsímil</v>
      </c>
      <c r="K7401" s="3" t="s">
        <v>22</v>
      </c>
    </row>
    <row r="7402" spans="1:11" ht="42" customHeight="1">
      <c r="A7402" s="2" t="s">
        <v>14282</v>
      </c>
      <c r="B7402" s="2" t="s">
        <v>14282</v>
      </c>
      <c r="C7402" s="2" t="s">
        <v>42</v>
      </c>
      <c r="D7402" s="2" t="s">
        <v>17</v>
      </c>
      <c r="E7402" s="5">
        <v>-28176</v>
      </c>
      <c r="F7402" s="3" t="s">
        <v>780</v>
      </c>
      <c r="G7402" s="3" t="s">
        <v>5014</v>
      </c>
      <c r="H7402" s="2" t="s">
        <v>20</v>
      </c>
      <c r="I7402" s="2" t="s">
        <v>14381</v>
      </c>
      <c r="J7402" s="3" t="str">
        <f>HYPERLINK("https://www.boe.es/gazeta/dias/1822/11/08/pdfs/GMD-1822-328.pdf#page=4","Abrir facsímil")</f>
        <v>Abrir facsímil</v>
      </c>
      <c r="K7402" s="3" t="s">
        <v>22</v>
      </c>
    </row>
    <row r="7403" spans="1:11" ht="42" customHeight="1">
      <c r="A7403" s="2" t="s">
        <v>14282</v>
      </c>
      <c r="B7403" s="2" t="s">
        <v>14282</v>
      </c>
      <c r="C7403" s="2" t="s">
        <v>28</v>
      </c>
      <c r="D7403" s="2" t="s">
        <v>29</v>
      </c>
      <c r="E7403" s="5">
        <v>-28174</v>
      </c>
      <c r="F7403" s="3" t="s">
        <v>881</v>
      </c>
      <c r="G7403" s="3" t="s">
        <v>63</v>
      </c>
      <c r="H7403" s="2" t="s">
        <v>20</v>
      </c>
      <c r="I7403" s="2" t="s">
        <v>14382</v>
      </c>
      <c r="J7403" s="3" t="str">
        <f>HYPERLINK("https://www.boe.es/gazeta/dias/1822/11/10/pdfs/GMD-1822-330.pdf#page=6","Abrir facsímil")</f>
        <v>Abrir facsímil</v>
      </c>
      <c r="K7403" s="3" t="s">
        <v>22</v>
      </c>
    </row>
    <row r="7404" spans="1:11" ht="42" customHeight="1">
      <c r="A7404" s="2" t="s">
        <v>14282</v>
      </c>
      <c r="B7404" s="2" t="s">
        <v>14282</v>
      </c>
      <c r="C7404" s="2" t="s">
        <v>42</v>
      </c>
      <c r="D7404" s="2" t="s">
        <v>17</v>
      </c>
      <c r="E7404" s="5">
        <v>-28173</v>
      </c>
      <c r="F7404" s="3" t="s">
        <v>2959</v>
      </c>
      <c r="G7404" s="3" t="s">
        <v>57</v>
      </c>
      <c r="H7404" s="2" t="s">
        <v>20</v>
      </c>
      <c r="I7404" s="2" t="s">
        <v>14383</v>
      </c>
      <c r="J7404" s="3" t="str">
        <f>HYPERLINK("https://www.boe.es/gazeta/dias/1822/11/11/pdfs/GMD-1822-331.pdf#page=4","Abrir facsímil")</f>
        <v>Abrir facsímil</v>
      </c>
      <c r="K7404" s="3" t="s">
        <v>22</v>
      </c>
    </row>
    <row r="7405" spans="1:11" ht="42" customHeight="1">
      <c r="A7405" s="2" t="s">
        <v>14282</v>
      </c>
      <c r="B7405" s="2" t="s">
        <v>14282</v>
      </c>
      <c r="C7405" s="2" t="s">
        <v>28</v>
      </c>
      <c r="D7405" s="2" t="s">
        <v>29</v>
      </c>
      <c r="E7405" s="5">
        <v>-28171</v>
      </c>
      <c r="F7405" s="3" t="s">
        <v>1075</v>
      </c>
      <c r="G7405" s="3" t="s">
        <v>31</v>
      </c>
      <c r="H7405" s="2" t="s">
        <v>20</v>
      </c>
      <c r="I7405" s="2" t="s">
        <v>14384</v>
      </c>
      <c r="J7405" s="3" t="str">
        <f>HYPERLINK("https://www.boe.es/gazeta/dias/1822/11/13/pdfs/GMD-1822-333.pdf#page=3","Abrir facsímil")</f>
        <v>Abrir facsímil</v>
      </c>
      <c r="K7405" s="3" t="s">
        <v>22</v>
      </c>
    </row>
    <row r="7406" spans="1:11" ht="42" customHeight="1">
      <c r="A7406" s="2" t="s">
        <v>14282</v>
      </c>
      <c r="B7406" s="2" t="s">
        <v>14282</v>
      </c>
      <c r="C7406" s="2" t="s">
        <v>50</v>
      </c>
      <c r="D7406" s="2" t="s">
        <v>51</v>
      </c>
      <c r="E7406" s="5">
        <v>-28171</v>
      </c>
      <c r="F7406" s="3" t="s">
        <v>1075</v>
      </c>
      <c r="G7406" s="3" t="s">
        <v>57</v>
      </c>
      <c r="H7406" s="2" t="s">
        <v>20</v>
      </c>
      <c r="I7406" s="2" t="s">
        <v>14385</v>
      </c>
      <c r="J7406" s="3" t="str">
        <f>HYPERLINK("https://www.boe.es/gazeta/dias/1822/11/13/pdfs/GMD-1822-333.pdf#page=4","Abrir facsímil")</f>
        <v>Abrir facsímil</v>
      </c>
      <c r="K7406" s="3" t="s">
        <v>22</v>
      </c>
    </row>
    <row r="7407" spans="1:11" ht="42" customHeight="1">
      <c r="A7407" s="2" t="s">
        <v>14282</v>
      </c>
      <c r="B7407" s="2" t="s">
        <v>14282</v>
      </c>
      <c r="C7407" s="2" t="s">
        <v>42</v>
      </c>
      <c r="D7407" s="2" t="s">
        <v>17</v>
      </c>
      <c r="E7407" s="5">
        <v>-28168</v>
      </c>
      <c r="F7407" s="3" t="s">
        <v>3672</v>
      </c>
      <c r="G7407" s="3" t="s">
        <v>31</v>
      </c>
      <c r="H7407" s="2" t="s">
        <v>20</v>
      </c>
      <c r="I7407" s="2" t="s">
        <v>14386</v>
      </c>
      <c r="J7407" s="3" t="str">
        <f>HYPERLINK("https://www.boe.es/gazeta/dias/1822/11/16/pdfs/GMD-1822-336.pdf#page=3","Abrir facsímil")</f>
        <v>Abrir facsímil</v>
      </c>
      <c r="K7407" s="3" t="s">
        <v>22</v>
      </c>
    </row>
    <row r="7408" spans="1:11" ht="42" customHeight="1">
      <c r="A7408" s="2" t="s">
        <v>14282</v>
      </c>
      <c r="B7408" s="2" t="s">
        <v>14282</v>
      </c>
      <c r="C7408" s="2" t="s">
        <v>42</v>
      </c>
      <c r="D7408" s="2" t="s">
        <v>17</v>
      </c>
      <c r="E7408" s="5">
        <v>-28168</v>
      </c>
      <c r="F7408" s="3" t="s">
        <v>3672</v>
      </c>
      <c r="G7408" s="3" t="s">
        <v>57</v>
      </c>
      <c r="H7408" s="2" t="s">
        <v>20</v>
      </c>
      <c r="I7408" s="2" t="s">
        <v>14387</v>
      </c>
      <c r="J7408" s="3" t="str">
        <f>HYPERLINK("https://www.boe.es/gazeta/dias/1822/11/16/pdfs/GMD-1822-336.pdf#page=4","Abrir facsímil")</f>
        <v>Abrir facsímil</v>
      </c>
      <c r="K7408" s="3" t="s">
        <v>22</v>
      </c>
    </row>
    <row r="7409" spans="1:11" ht="42" customHeight="1">
      <c r="A7409" s="2" t="s">
        <v>14282</v>
      </c>
      <c r="B7409" s="2" t="s">
        <v>14282</v>
      </c>
      <c r="C7409" s="2" t="s">
        <v>42</v>
      </c>
      <c r="D7409" s="2" t="s">
        <v>17</v>
      </c>
      <c r="E7409" s="5">
        <v>-28167</v>
      </c>
      <c r="F7409" s="3" t="s">
        <v>904</v>
      </c>
      <c r="G7409" s="3" t="s">
        <v>31</v>
      </c>
      <c r="H7409" s="2" t="s">
        <v>20</v>
      </c>
      <c r="I7409" s="2" t="s">
        <v>14388</v>
      </c>
      <c r="J7409" s="3" t="str">
        <f>HYPERLINK("https://www.boe.es/gazeta/dias/1822/11/17/pdfs/GMD-1822-337.pdf#page=3","Abrir facsímil")</f>
        <v>Abrir facsímil</v>
      </c>
      <c r="K7409" s="3" t="s">
        <v>22</v>
      </c>
    </row>
    <row r="7410" spans="1:11" ht="42" customHeight="1">
      <c r="A7410" s="2" t="s">
        <v>14282</v>
      </c>
      <c r="B7410" s="2" t="s">
        <v>14282</v>
      </c>
      <c r="C7410" s="2" t="s">
        <v>50</v>
      </c>
      <c r="D7410" s="2" t="s">
        <v>51</v>
      </c>
      <c r="E7410" s="5">
        <v>-28159</v>
      </c>
      <c r="F7410" s="3" t="s">
        <v>67</v>
      </c>
      <c r="G7410" s="3" t="s">
        <v>35</v>
      </c>
      <c r="H7410" s="2" t="s">
        <v>20</v>
      </c>
      <c r="I7410" s="2" t="s">
        <v>14389</v>
      </c>
      <c r="J7410" s="3" t="str">
        <f>HYPERLINK("https://www.boe.es/gazeta/dias/1822/11/25/pdfs/GMD-1822-345.pdf#page=2","Abrir facsímil")</f>
        <v>Abrir facsímil</v>
      </c>
      <c r="K7410" s="3" t="s">
        <v>22</v>
      </c>
    </row>
    <row r="7411" spans="1:11" ht="42" customHeight="1">
      <c r="A7411" s="2" t="s">
        <v>14282</v>
      </c>
      <c r="B7411" s="2" t="s">
        <v>14282</v>
      </c>
      <c r="C7411" s="2" t="s">
        <v>50</v>
      </c>
      <c r="D7411" s="2" t="s">
        <v>51</v>
      </c>
      <c r="E7411" s="5">
        <v>-28155</v>
      </c>
      <c r="F7411" s="3" t="s">
        <v>833</v>
      </c>
      <c r="G7411" s="3" t="s">
        <v>44</v>
      </c>
      <c r="H7411" s="2" t="s">
        <v>20</v>
      </c>
      <c r="I7411" s="2" t="s">
        <v>14390</v>
      </c>
      <c r="J7411" s="3" t="str">
        <f>HYPERLINK("https://www.boe.es/gazeta/dias/1822/11/29/pdfs/GMD-1822-349.pdf#page=1","Abrir facsímil")</f>
        <v>Abrir facsímil</v>
      </c>
      <c r="K7411" s="3" t="s">
        <v>22</v>
      </c>
    </row>
    <row r="7412" spans="1:11" ht="42" customHeight="1">
      <c r="A7412" s="2" t="s">
        <v>14282</v>
      </c>
      <c r="B7412" s="2" t="s">
        <v>14282</v>
      </c>
      <c r="C7412" s="2" t="s">
        <v>50</v>
      </c>
      <c r="D7412" s="2" t="s">
        <v>51</v>
      </c>
      <c r="E7412" s="5">
        <v>-28153</v>
      </c>
      <c r="F7412" s="3" t="s">
        <v>946</v>
      </c>
      <c r="G7412" s="3" t="s">
        <v>31</v>
      </c>
      <c r="H7412" s="2" t="s">
        <v>20</v>
      </c>
      <c r="I7412" s="2" t="s">
        <v>14391</v>
      </c>
      <c r="J7412" s="3" t="str">
        <f>HYPERLINK("https://www.boe.es/gazeta/dias/1822/12/01/pdfs/GMD-1822-351.pdf#page=3","Abrir facsímil")</f>
        <v>Abrir facsímil</v>
      </c>
      <c r="K7412" s="3" t="s">
        <v>22</v>
      </c>
    </row>
    <row r="7413" spans="1:11" ht="42" customHeight="1">
      <c r="A7413" s="2" t="s">
        <v>14282</v>
      </c>
      <c r="B7413" s="2" t="s">
        <v>14282</v>
      </c>
      <c r="C7413" s="2" t="s">
        <v>28</v>
      </c>
      <c r="D7413" s="2" t="s">
        <v>29</v>
      </c>
      <c r="E7413" s="5">
        <v>-28152</v>
      </c>
      <c r="F7413" s="3" t="s">
        <v>122</v>
      </c>
      <c r="G7413" s="3" t="s">
        <v>35</v>
      </c>
      <c r="H7413" s="2" t="s">
        <v>20</v>
      </c>
      <c r="I7413" s="2" t="s">
        <v>14392</v>
      </c>
      <c r="J7413" s="3" t="str">
        <f>HYPERLINK("https://www.boe.es/gazeta/dias/1822/12/02/pdfs/GMD-1822-352.pdf#page=2","Abrir facsímil")</f>
        <v>Abrir facsímil</v>
      </c>
      <c r="K7413" s="3" t="s">
        <v>22</v>
      </c>
    </row>
    <row r="7414" spans="1:11" ht="42" customHeight="1">
      <c r="A7414" s="2" t="s">
        <v>14282</v>
      </c>
      <c r="B7414" s="2" t="s">
        <v>14282</v>
      </c>
      <c r="C7414" s="2" t="s">
        <v>71</v>
      </c>
      <c r="D7414" s="2" t="s">
        <v>17</v>
      </c>
      <c r="E7414" s="5">
        <v>-28152</v>
      </c>
      <c r="F7414" s="3" t="s">
        <v>122</v>
      </c>
      <c r="G7414" s="3" t="s">
        <v>31</v>
      </c>
      <c r="H7414" s="2" t="s">
        <v>20</v>
      </c>
      <c r="I7414" s="2" t="s">
        <v>14393</v>
      </c>
      <c r="J7414" s="3" t="str">
        <f>HYPERLINK("https://www.boe.es/gazeta/dias/1822/12/02/pdfs/GMD-1822-352.pdf#page=3","Abrir facsímil")</f>
        <v>Abrir facsímil</v>
      </c>
      <c r="K7414" s="3" t="s">
        <v>22</v>
      </c>
    </row>
    <row r="7415" spans="1:11" ht="42" customHeight="1">
      <c r="A7415" s="2" t="s">
        <v>14282</v>
      </c>
      <c r="B7415" s="2" t="s">
        <v>14282</v>
      </c>
      <c r="C7415" s="2" t="s">
        <v>28</v>
      </c>
      <c r="D7415" s="2" t="s">
        <v>29</v>
      </c>
      <c r="E7415" s="5">
        <v>-28152</v>
      </c>
      <c r="F7415" s="3" t="s">
        <v>122</v>
      </c>
      <c r="G7415" s="3" t="s">
        <v>19</v>
      </c>
      <c r="H7415" s="2" t="s">
        <v>20</v>
      </c>
      <c r="I7415" s="2" t="s">
        <v>14394</v>
      </c>
      <c r="J7415" s="3" t="str">
        <f>HYPERLINK("https://www.boe.es/gazeta/dias/1822/12/02/pdfs/GMD-1822-352.pdf#page=5","Abrir facsímil")</f>
        <v>Abrir facsímil</v>
      </c>
      <c r="K7415" s="3" t="s">
        <v>22</v>
      </c>
    </row>
    <row r="7416" spans="1:11" ht="42" customHeight="1">
      <c r="A7416" s="2" t="s">
        <v>14282</v>
      </c>
      <c r="B7416" s="2" t="s">
        <v>14282</v>
      </c>
      <c r="C7416" s="2" t="s">
        <v>50</v>
      </c>
      <c r="D7416" s="2" t="s">
        <v>51</v>
      </c>
      <c r="E7416" s="5">
        <v>-28150</v>
      </c>
      <c r="F7416" s="3" t="s">
        <v>62</v>
      </c>
      <c r="G7416" s="3" t="s">
        <v>57</v>
      </c>
      <c r="H7416" s="2" t="s">
        <v>20</v>
      </c>
      <c r="I7416" s="2" t="s">
        <v>14395</v>
      </c>
      <c r="J7416" s="3" t="str">
        <f>HYPERLINK("https://www.boe.es/gazeta/dias/1822/12/04/pdfs/GMD-1822-354.pdf#page=4","Abrir facsímil")</f>
        <v>Abrir facsímil</v>
      </c>
      <c r="K7416" s="3" t="s">
        <v>22</v>
      </c>
    </row>
    <row r="7417" spans="1:11" ht="42" customHeight="1">
      <c r="A7417" s="2" t="s">
        <v>14282</v>
      </c>
      <c r="B7417" s="2" t="s">
        <v>14282</v>
      </c>
      <c r="C7417" s="2" t="s">
        <v>61</v>
      </c>
      <c r="D7417" s="2" t="s">
        <v>17</v>
      </c>
      <c r="E7417" s="5">
        <v>-28148</v>
      </c>
      <c r="F7417" s="3" t="s">
        <v>1909</v>
      </c>
      <c r="G7417" s="3" t="s">
        <v>63</v>
      </c>
      <c r="H7417" s="2" t="s">
        <v>20</v>
      </c>
      <c r="I7417" s="2" t="s">
        <v>14396</v>
      </c>
      <c r="J7417" s="3" t="str">
        <f>HYPERLINK("https://www.boe.es/gazeta/dias/1822/12/06/pdfs/GMD-1822-356.pdf#page=6","Abrir facsímil")</f>
        <v>Abrir facsímil</v>
      </c>
      <c r="K7417" s="3" t="s">
        <v>22</v>
      </c>
    </row>
    <row r="7418" spans="1:11" ht="42" customHeight="1">
      <c r="A7418" s="2" t="s">
        <v>14282</v>
      </c>
      <c r="B7418" s="2" t="s">
        <v>14282</v>
      </c>
      <c r="C7418" s="2" t="s">
        <v>42</v>
      </c>
      <c r="D7418" s="2" t="s">
        <v>17</v>
      </c>
      <c r="E7418" s="5">
        <v>-28147</v>
      </c>
      <c r="F7418" s="3" t="s">
        <v>1611</v>
      </c>
      <c r="G7418" s="3" t="s">
        <v>31</v>
      </c>
      <c r="H7418" s="2" t="s">
        <v>20</v>
      </c>
      <c r="I7418" s="2" t="s">
        <v>14397</v>
      </c>
      <c r="J7418" s="3" t="str">
        <f>HYPERLINK("https://www.boe.es/gazeta/dias/1822/12/07/pdfs/GMD-1822-357.pdf#page=3","Abrir facsímil")</f>
        <v>Abrir facsímil</v>
      </c>
      <c r="K7418" s="3" t="s">
        <v>22</v>
      </c>
    </row>
    <row r="7419" spans="1:11" ht="42" customHeight="1">
      <c r="A7419" s="2" t="s">
        <v>14357</v>
      </c>
      <c r="B7419" s="2" t="s">
        <v>14357</v>
      </c>
      <c r="C7419" s="2" t="s">
        <v>50</v>
      </c>
      <c r="D7419" s="2" t="s">
        <v>51</v>
      </c>
      <c r="E7419" s="5">
        <v>-28147</v>
      </c>
      <c r="F7419" s="3" t="s">
        <v>1611</v>
      </c>
      <c r="G7419" s="3" t="s">
        <v>19</v>
      </c>
      <c r="H7419" s="2" t="s">
        <v>20</v>
      </c>
      <c r="I7419" s="2" t="s">
        <v>14398</v>
      </c>
      <c r="J7419" s="3" t="str">
        <f>HYPERLINK("https://www.boe.es/gazeta/dias/1822/12/07/pdfs/GMD-1822-357.pdf#page=5","Abrir facsímil")</f>
        <v>Abrir facsímil</v>
      </c>
      <c r="K7419" s="3" t="s">
        <v>22</v>
      </c>
    </row>
    <row r="7420" spans="1:11" ht="42" customHeight="1">
      <c r="A7420" s="2" t="s">
        <v>14282</v>
      </c>
      <c r="B7420" s="2" t="s">
        <v>14282</v>
      </c>
      <c r="C7420" s="2" t="s">
        <v>61</v>
      </c>
      <c r="D7420" s="2" t="s">
        <v>17</v>
      </c>
      <c r="E7420" s="5">
        <v>-28143</v>
      </c>
      <c r="F7420" s="3" t="s">
        <v>2967</v>
      </c>
      <c r="G7420" s="3" t="s">
        <v>6049</v>
      </c>
      <c r="H7420" s="2" t="s">
        <v>20</v>
      </c>
      <c r="I7420" s="2" t="s">
        <v>14399</v>
      </c>
      <c r="J7420" s="3" t="str">
        <f>HYPERLINK("https://www.boe.es/gazeta/dias/1822/12/11/pdfs/GMD-1822-361.pdf#page=3","Abrir facsímil")</f>
        <v>Abrir facsímil</v>
      </c>
      <c r="K7420" s="3" t="s">
        <v>22</v>
      </c>
    </row>
    <row r="7421" spans="1:11" ht="42" customHeight="1">
      <c r="A7421" s="2" t="s">
        <v>14282</v>
      </c>
      <c r="B7421" s="2" t="s">
        <v>14282</v>
      </c>
      <c r="C7421" s="2" t="s">
        <v>71</v>
      </c>
      <c r="D7421" s="2" t="s">
        <v>17</v>
      </c>
      <c r="E7421" s="5">
        <v>-28132</v>
      </c>
      <c r="F7421" s="3" t="s">
        <v>820</v>
      </c>
      <c r="G7421" s="3" t="s">
        <v>31</v>
      </c>
      <c r="H7421" s="2" t="s">
        <v>20</v>
      </c>
      <c r="I7421" s="2" t="s">
        <v>14400</v>
      </c>
      <c r="J7421" s="3" t="str">
        <f>HYPERLINK("https://www.boe.es/gazeta/dias/1822/12/22/pdfs/GMD-1822-372.pdf#page=3","Abrir facsímil")</f>
        <v>Abrir facsímil</v>
      </c>
      <c r="K7421" s="3" t="s">
        <v>22</v>
      </c>
    </row>
    <row r="7422" spans="1:11" ht="42" customHeight="1">
      <c r="A7422" s="2" t="s">
        <v>14282</v>
      </c>
      <c r="B7422" s="2" t="s">
        <v>14282</v>
      </c>
      <c r="C7422" s="2" t="s">
        <v>50</v>
      </c>
      <c r="D7422" s="2" t="s">
        <v>51</v>
      </c>
      <c r="E7422" s="5">
        <v>-28123</v>
      </c>
      <c r="F7422" s="3" t="s">
        <v>603</v>
      </c>
      <c r="G7422" s="3" t="s">
        <v>2642</v>
      </c>
      <c r="H7422" s="2" t="s">
        <v>20</v>
      </c>
      <c r="I7422" s="2" t="s">
        <v>14401</v>
      </c>
      <c r="J7422" s="3" t="str">
        <f>HYPERLINK("https://www.boe.es/gazeta/dias/1822/12/31/pdfs/GMD-1822-381.pdf#page=6","Abrir facsímil")</f>
        <v>Abrir facsímil</v>
      </c>
      <c r="K7422" s="3" t="s">
        <v>22</v>
      </c>
    </row>
    <row r="7423" spans="1:11" ht="42" customHeight="1">
      <c r="A7423" s="2" t="s">
        <v>14402</v>
      </c>
      <c r="B7423" s="2" t="s">
        <v>14403</v>
      </c>
      <c r="C7423" s="2" t="s">
        <v>50</v>
      </c>
      <c r="D7423" s="2" t="s">
        <v>51</v>
      </c>
      <c r="E7423" s="5">
        <v>-28469</v>
      </c>
      <c r="F7423" s="3" t="s">
        <v>1164</v>
      </c>
      <c r="G7423" s="3" t="s">
        <v>57</v>
      </c>
      <c r="H7423" s="2" t="s">
        <v>20</v>
      </c>
      <c r="I7423" s="2" t="s">
        <v>14404</v>
      </c>
      <c r="J7423" s="3" t="str">
        <f>HYPERLINK("https://www.boe.es/gazeta/dias/1822/01/19/pdfs/GMD-1822-19.pdf#page=4","Abrir facsímil")</f>
        <v>Abrir facsímil</v>
      </c>
      <c r="K7423" s="3" t="s">
        <v>22</v>
      </c>
    </row>
    <row r="7424" spans="1:11" ht="42" customHeight="1">
      <c r="A7424" s="2" t="s">
        <v>14405</v>
      </c>
      <c r="B7424" s="2" t="s">
        <v>14406</v>
      </c>
      <c r="C7424" s="2" t="s">
        <v>71</v>
      </c>
      <c r="D7424" s="2" t="s">
        <v>17</v>
      </c>
      <c r="E7424" s="5">
        <v>-28316</v>
      </c>
      <c r="F7424" s="3" t="s">
        <v>1144</v>
      </c>
      <c r="G7424" s="3" t="s">
        <v>31</v>
      </c>
      <c r="H7424" s="2" t="s">
        <v>20</v>
      </c>
      <c r="I7424" s="2" t="s">
        <v>14407</v>
      </c>
      <c r="J7424" s="3" t="str">
        <f>HYPERLINK("https://www.boe.es/gazeta/dias/1822/06/21/pdfs/GMD-1822-179.pdf#page=3","Abrir facsímil")</f>
        <v>Abrir facsímil</v>
      </c>
      <c r="K7424" s="3" t="s">
        <v>22</v>
      </c>
    </row>
    <row r="7425" spans="1:11" ht="42" customHeight="1">
      <c r="A7425" s="2" t="s">
        <v>14408</v>
      </c>
      <c r="B7425" s="2" t="s">
        <v>14409</v>
      </c>
      <c r="C7425" s="2" t="s">
        <v>24</v>
      </c>
      <c r="D7425" s="2" t="s">
        <v>17</v>
      </c>
      <c r="E7425" s="5">
        <v>-28318</v>
      </c>
      <c r="F7425" s="3" t="s">
        <v>397</v>
      </c>
      <c r="G7425" s="3" t="s">
        <v>157</v>
      </c>
      <c r="H7425" s="2" t="s">
        <v>20</v>
      </c>
      <c r="I7425" s="2" t="s">
        <v>14410</v>
      </c>
      <c r="J7425" s="3" t="str">
        <f>HYPERLINK("https://www.boe.es/gazeta/dias/1822/06/19/pdfs/GMD-1822-176.pdf#page=8","Abrir facsímil")</f>
        <v>Abrir facsímil</v>
      </c>
      <c r="K7425" s="3" t="s">
        <v>22</v>
      </c>
    </row>
    <row r="7426" spans="1:11" ht="42" customHeight="1">
      <c r="A7426" s="2" t="s">
        <v>14411</v>
      </c>
      <c r="B7426" s="2" t="s">
        <v>14412</v>
      </c>
      <c r="C7426" s="2" t="s">
        <v>42</v>
      </c>
      <c r="D7426" s="2" t="s">
        <v>17</v>
      </c>
      <c r="E7426" s="5">
        <v>-28127</v>
      </c>
      <c r="F7426" s="3" t="s">
        <v>409</v>
      </c>
      <c r="G7426" s="3" t="s">
        <v>19</v>
      </c>
      <c r="H7426" s="2" t="s">
        <v>20</v>
      </c>
      <c r="I7426" s="2" t="s">
        <v>14413</v>
      </c>
      <c r="J7426" s="3" t="str">
        <f>HYPERLINK("https://www.boe.es/gazeta/dias/1822/12/27/pdfs/GMD-1822-377.pdf#page=5","Abrir facsímil")</f>
        <v>Abrir facsímil</v>
      </c>
      <c r="K7426" s="3" t="s">
        <v>22</v>
      </c>
    </row>
    <row r="7427" spans="1:11" ht="42" customHeight="1">
      <c r="A7427" s="2" t="s">
        <v>14414</v>
      </c>
      <c r="B7427" s="2" t="s">
        <v>14415</v>
      </c>
      <c r="C7427" s="2" t="s">
        <v>42</v>
      </c>
      <c r="D7427" s="2" t="s">
        <v>17</v>
      </c>
      <c r="E7427" s="5">
        <v>-28392</v>
      </c>
      <c r="F7427" s="3" t="s">
        <v>2003</v>
      </c>
      <c r="G7427" s="3" t="s">
        <v>57</v>
      </c>
      <c r="H7427" s="2" t="s">
        <v>20</v>
      </c>
      <c r="I7427" s="2" t="s">
        <v>14416</v>
      </c>
      <c r="J7427" s="3" t="str">
        <f>HYPERLINK("https://www.boe.es/gazeta/dias/1822/04/06/pdfs/GMD-1822-98.pdf#page=4","Abrir facsímil")</f>
        <v>Abrir facsímil</v>
      </c>
      <c r="K7427" s="3" t="s">
        <v>22</v>
      </c>
    </row>
    <row r="7428" spans="1:11" ht="42" customHeight="1">
      <c r="A7428" s="2" t="s">
        <v>14417</v>
      </c>
      <c r="B7428" s="2" t="s">
        <v>14417</v>
      </c>
      <c r="C7428" s="2" t="s">
        <v>50</v>
      </c>
      <c r="D7428" s="2" t="s">
        <v>51</v>
      </c>
      <c r="E7428" s="5">
        <v>-28370</v>
      </c>
      <c r="F7428" s="3" t="s">
        <v>207</v>
      </c>
      <c r="G7428" s="3" t="s">
        <v>63</v>
      </c>
      <c r="H7428" s="2" t="s">
        <v>20</v>
      </c>
      <c r="I7428" s="2" t="s">
        <v>14418</v>
      </c>
      <c r="J7428" s="3" t="str">
        <f>HYPERLINK("https://www.boe.es/gazeta/dias/1822/04/28/pdfs/GMD-1822-120.pdf#page=6","Abrir facsímil")</f>
        <v>Abrir facsímil</v>
      </c>
      <c r="K7428" s="3" t="s">
        <v>22</v>
      </c>
    </row>
    <row r="7429" spans="1:11" ht="42" customHeight="1">
      <c r="A7429" s="2" t="s">
        <v>14419</v>
      </c>
      <c r="B7429" s="2" t="s">
        <v>14419</v>
      </c>
      <c r="C7429" s="2" t="s">
        <v>71</v>
      </c>
      <c r="D7429" s="2" t="s">
        <v>17</v>
      </c>
      <c r="E7429" s="5">
        <v>-28405</v>
      </c>
      <c r="F7429" s="3" t="s">
        <v>466</v>
      </c>
      <c r="G7429" s="3" t="s">
        <v>19</v>
      </c>
      <c r="H7429" s="2" t="s">
        <v>20</v>
      </c>
      <c r="I7429" s="2" t="s">
        <v>14420</v>
      </c>
      <c r="J7429" s="3" t="str">
        <f>HYPERLINK("https://www.boe.es/gazeta/dias/1822/03/24/pdfs/GMD-1822-85.pdf#page=5","Abrir facsímil")</f>
        <v>Abrir facsímil</v>
      </c>
      <c r="K7429" s="3" t="s">
        <v>22</v>
      </c>
    </row>
    <row r="7430" spans="1:11" ht="42" customHeight="1">
      <c r="A7430" s="2" t="s">
        <v>14421</v>
      </c>
      <c r="B7430" s="2" t="s">
        <v>14421</v>
      </c>
      <c r="C7430" s="2" t="s">
        <v>28</v>
      </c>
      <c r="D7430" s="2" t="s">
        <v>29</v>
      </c>
      <c r="E7430" s="5">
        <v>-28364</v>
      </c>
      <c r="F7430" s="3" t="s">
        <v>509</v>
      </c>
      <c r="G7430" s="3" t="s">
        <v>44</v>
      </c>
      <c r="H7430" s="2" t="s">
        <v>20</v>
      </c>
      <c r="I7430" s="2" t="s">
        <v>14422</v>
      </c>
      <c r="J7430" s="3" t="str">
        <f>HYPERLINK("https://www.boe.es/gazeta/dias/1822/05/04/pdfs/GMD-1822-126.pdf#page=1","Abrir facsímil")</f>
        <v>Abrir facsímil</v>
      </c>
      <c r="K7430" s="3" t="s">
        <v>22</v>
      </c>
    </row>
    <row r="7431" spans="1:11" ht="42" customHeight="1">
      <c r="A7431" s="2" t="s">
        <v>14423</v>
      </c>
      <c r="B7431" s="2" t="s">
        <v>14423</v>
      </c>
      <c r="C7431" s="2" t="s">
        <v>50</v>
      </c>
      <c r="D7431" s="2" t="s">
        <v>51</v>
      </c>
      <c r="E7431" s="5">
        <v>-28333</v>
      </c>
      <c r="F7431" s="3" t="s">
        <v>1928</v>
      </c>
      <c r="G7431" s="3" t="s">
        <v>35</v>
      </c>
      <c r="H7431" s="2" t="s">
        <v>20</v>
      </c>
      <c r="I7431" s="2" t="s">
        <v>14424</v>
      </c>
      <c r="J7431" s="3" t="str">
        <f>HYPERLINK("https://www.boe.es/gazeta/dias/1822/06/04/pdfs/GMD-1822-161.pdf#page=2","Abrir facsímil")</f>
        <v>Abrir facsímil</v>
      </c>
      <c r="K7431" s="3" t="s">
        <v>22</v>
      </c>
    </row>
    <row r="7432" spans="1:11" ht="42" customHeight="1">
      <c r="A7432" s="2" t="s">
        <v>14425</v>
      </c>
      <c r="B7432" s="2" t="s">
        <v>14425</v>
      </c>
      <c r="C7432" s="2" t="s">
        <v>28</v>
      </c>
      <c r="D7432" s="2" t="s">
        <v>29</v>
      </c>
      <c r="E7432" s="5">
        <v>-28468</v>
      </c>
      <c r="F7432" s="3" t="s">
        <v>1012</v>
      </c>
      <c r="G7432" s="3" t="s">
        <v>44</v>
      </c>
      <c r="H7432" s="2" t="s">
        <v>20</v>
      </c>
      <c r="I7432" s="2" t="s">
        <v>14426</v>
      </c>
      <c r="J7432" s="3" t="str">
        <f>HYPERLINK("https://www.boe.es/gazeta/dias/1822/01/20/pdfs/GMD-1822-20.pdf#page=1","Abrir facsímil")</f>
        <v>Abrir facsímil</v>
      </c>
      <c r="K7432" s="3" t="s">
        <v>22</v>
      </c>
    </row>
    <row r="7433" spans="1:11" ht="42" customHeight="1">
      <c r="A7433" s="2" t="s">
        <v>14427</v>
      </c>
      <c r="B7433" s="2" t="s">
        <v>14428</v>
      </c>
      <c r="C7433" s="2" t="s">
        <v>50</v>
      </c>
      <c r="D7433" s="2" t="s">
        <v>51</v>
      </c>
      <c r="E7433" s="5">
        <v>-28303</v>
      </c>
      <c r="F7433" s="3" t="s">
        <v>201</v>
      </c>
      <c r="G7433" s="3" t="s">
        <v>31</v>
      </c>
      <c r="H7433" s="2" t="s">
        <v>20</v>
      </c>
      <c r="I7433" s="2" t="s">
        <v>14429</v>
      </c>
      <c r="J7433" s="3" t="str">
        <f>HYPERLINK("https://www.boe.es/gazeta/dias/1822/07/04/pdfs/GMD-1822-193.pdf#page=3","Abrir facsímil")</f>
        <v>Abrir facsímil</v>
      </c>
      <c r="K7433" s="3" t="s">
        <v>22</v>
      </c>
    </row>
    <row r="7434" spans="1:11" ht="42" customHeight="1">
      <c r="A7434" s="2" t="s">
        <v>14430</v>
      </c>
      <c r="B7434" s="2" t="s">
        <v>14430</v>
      </c>
      <c r="C7434" s="2" t="s">
        <v>42</v>
      </c>
      <c r="D7434" s="2" t="s">
        <v>17</v>
      </c>
      <c r="E7434" s="5">
        <v>-28407</v>
      </c>
      <c r="F7434" s="3" t="s">
        <v>460</v>
      </c>
      <c r="G7434" s="3" t="s">
        <v>35</v>
      </c>
      <c r="H7434" s="2" t="s">
        <v>20</v>
      </c>
      <c r="I7434" s="2" t="s">
        <v>14431</v>
      </c>
      <c r="J7434" s="3" t="str">
        <f>HYPERLINK("https://www.boe.es/gazeta/dias/1822/03/22/pdfs/GMD-1822-83.pdf#page=2","Abrir facsímil")</f>
        <v>Abrir facsímil</v>
      </c>
      <c r="K7434" s="3" t="s">
        <v>22</v>
      </c>
    </row>
    <row r="7435" spans="1:11" ht="42" customHeight="1">
      <c r="A7435" s="2" t="s">
        <v>14430</v>
      </c>
      <c r="B7435" s="2" t="s">
        <v>14430</v>
      </c>
      <c r="C7435" s="2" t="s">
        <v>61</v>
      </c>
      <c r="D7435" s="2" t="s">
        <v>17</v>
      </c>
      <c r="E7435" s="5">
        <v>-28364</v>
      </c>
      <c r="F7435" s="3" t="s">
        <v>509</v>
      </c>
      <c r="G7435" s="3" t="s">
        <v>63</v>
      </c>
      <c r="H7435" s="2" t="s">
        <v>20</v>
      </c>
      <c r="I7435" s="2" t="s">
        <v>14432</v>
      </c>
      <c r="J7435" s="3" t="str">
        <f>HYPERLINK("https://www.boe.es/gazeta/dias/1822/05/04/pdfs/GMD-1822-126.pdf#page=6","Abrir facsímil")</f>
        <v>Abrir facsímil</v>
      </c>
      <c r="K7435" s="3" t="s">
        <v>22</v>
      </c>
    </row>
    <row r="7436" spans="1:11" ht="42" customHeight="1">
      <c r="A7436" s="2" t="s">
        <v>14430</v>
      </c>
      <c r="B7436" s="2" t="s">
        <v>14430</v>
      </c>
      <c r="C7436" s="2" t="s">
        <v>28</v>
      </c>
      <c r="D7436" s="2" t="s">
        <v>29</v>
      </c>
      <c r="E7436" s="5">
        <v>-28347</v>
      </c>
      <c r="F7436" s="3" t="s">
        <v>520</v>
      </c>
      <c r="G7436" s="3" t="s">
        <v>44</v>
      </c>
      <c r="H7436" s="2" t="s">
        <v>20</v>
      </c>
      <c r="I7436" s="2" t="s">
        <v>14433</v>
      </c>
      <c r="J7436" s="3" t="str">
        <f>HYPERLINK("https://www.boe.es/gazeta/dias/1822/05/21/pdfs/GMD-1822-144.pdf#page=1","Abrir facsímil")</f>
        <v>Abrir facsímil</v>
      </c>
      <c r="K7436" s="3" t="s">
        <v>22</v>
      </c>
    </row>
    <row r="7437" spans="1:11" ht="42" customHeight="1">
      <c r="A7437" s="2" t="s">
        <v>14430</v>
      </c>
      <c r="B7437" s="2" t="s">
        <v>14430</v>
      </c>
      <c r="C7437" s="2" t="s">
        <v>42</v>
      </c>
      <c r="D7437" s="2" t="s">
        <v>17</v>
      </c>
      <c r="E7437" s="5">
        <v>-28346</v>
      </c>
      <c r="F7437" s="3" t="s">
        <v>191</v>
      </c>
      <c r="G7437" s="3" t="s">
        <v>63</v>
      </c>
      <c r="H7437" s="2" t="s">
        <v>20</v>
      </c>
      <c r="I7437" s="2" t="s">
        <v>14434</v>
      </c>
      <c r="J7437" s="3" t="str">
        <f>HYPERLINK("https://www.boe.es/gazeta/dias/1822/05/22/pdfs/GMD-1822-145.pdf#page=6","Abrir facsímil")</f>
        <v>Abrir facsímil</v>
      </c>
      <c r="K7437" s="3" t="s">
        <v>22</v>
      </c>
    </row>
    <row r="7438" spans="1:11" ht="42" customHeight="1">
      <c r="A7438" s="2" t="s">
        <v>14430</v>
      </c>
      <c r="B7438" s="2" t="s">
        <v>14430</v>
      </c>
      <c r="C7438" s="2" t="s">
        <v>50</v>
      </c>
      <c r="D7438" s="2" t="s">
        <v>51</v>
      </c>
      <c r="E7438" s="5">
        <v>-28340</v>
      </c>
      <c r="F7438" s="3" t="s">
        <v>139</v>
      </c>
      <c r="G7438" s="3" t="s">
        <v>63</v>
      </c>
      <c r="H7438" s="2" t="s">
        <v>20</v>
      </c>
      <c r="I7438" s="2" t="s">
        <v>14435</v>
      </c>
      <c r="J7438" s="3" t="str">
        <f>HYPERLINK("https://www.boe.es/gazeta/dias/1822/05/28/pdfs/GMD-1822-153.pdf#page=6","Abrir facsímil")</f>
        <v>Abrir facsímil</v>
      </c>
      <c r="K7438" s="3" t="s">
        <v>22</v>
      </c>
    </row>
    <row r="7439" spans="1:11" ht="42" customHeight="1">
      <c r="A7439" s="2" t="s">
        <v>14430</v>
      </c>
      <c r="B7439" s="2" t="s">
        <v>14430</v>
      </c>
      <c r="C7439" s="2" t="s">
        <v>28</v>
      </c>
      <c r="D7439" s="2" t="s">
        <v>29</v>
      </c>
      <c r="E7439" s="5">
        <v>-28290</v>
      </c>
      <c r="F7439" s="3" t="s">
        <v>706</v>
      </c>
      <c r="G7439" s="3" t="s">
        <v>57</v>
      </c>
      <c r="H7439" s="2" t="s">
        <v>20</v>
      </c>
      <c r="I7439" s="2" t="s">
        <v>14436</v>
      </c>
      <c r="J7439" s="3" t="str">
        <f>HYPERLINK("https://www.boe.es/gazeta/dias/1822/07/17/pdfs/GMD-1822-207.pdf#page=4","Abrir facsímil")</f>
        <v>Abrir facsímil</v>
      </c>
      <c r="K7439" s="3" t="s">
        <v>22</v>
      </c>
    </row>
    <row r="7440" spans="1:11" ht="42" customHeight="1">
      <c r="A7440" s="2" t="s">
        <v>14430</v>
      </c>
      <c r="B7440" s="2" t="s">
        <v>14430</v>
      </c>
      <c r="C7440" s="2" t="s">
        <v>50</v>
      </c>
      <c r="D7440" s="2" t="s">
        <v>51</v>
      </c>
      <c r="E7440" s="5">
        <v>-28284</v>
      </c>
      <c r="F7440" s="3" t="s">
        <v>6484</v>
      </c>
      <c r="G7440" s="3" t="s">
        <v>35</v>
      </c>
      <c r="H7440" s="2" t="s">
        <v>20</v>
      </c>
      <c r="I7440" s="2" t="s">
        <v>14437</v>
      </c>
      <c r="J7440" s="3" t="str">
        <f>HYPERLINK("https://www.boe.es/gazeta/dias/1822/07/23/pdfs/GMD-1822-216.pdf#page=2","Abrir facsímil")</f>
        <v>Abrir facsímil</v>
      </c>
      <c r="K7440" s="3" t="s">
        <v>22</v>
      </c>
    </row>
    <row r="7441" spans="1:11" ht="42" customHeight="1">
      <c r="A7441" s="2" t="s">
        <v>14430</v>
      </c>
      <c r="B7441" s="2" t="s">
        <v>14430</v>
      </c>
      <c r="C7441" s="2" t="s">
        <v>50</v>
      </c>
      <c r="D7441" s="2" t="s">
        <v>51</v>
      </c>
      <c r="E7441" s="5">
        <v>-28279</v>
      </c>
      <c r="F7441" s="3" t="s">
        <v>662</v>
      </c>
      <c r="G7441" s="3" t="s">
        <v>57</v>
      </c>
      <c r="H7441" s="2" t="s">
        <v>20</v>
      </c>
      <c r="I7441" s="2" t="s">
        <v>14438</v>
      </c>
      <c r="J7441" s="3" t="str">
        <f>HYPERLINK("https://www.boe.es/gazeta/dias/1822/07/28/pdfs/GMD-1822-221.pdf#page=4","Abrir facsímil")</f>
        <v>Abrir facsímil</v>
      </c>
      <c r="K7441" s="3" t="s">
        <v>22</v>
      </c>
    </row>
    <row r="7442" spans="1:11" ht="42" customHeight="1">
      <c r="A7442" s="2" t="s">
        <v>14430</v>
      </c>
      <c r="B7442" s="2" t="s">
        <v>14430</v>
      </c>
      <c r="C7442" s="2" t="s">
        <v>42</v>
      </c>
      <c r="D7442" s="2" t="s">
        <v>17</v>
      </c>
      <c r="E7442" s="5">
        <v>-28270</v>
      </c>
      <c r="F7442" s="3" t="s">
        <v>130</v>
      </c>
      <c r="G7442" s="3" t="s">
        <v>131</v>
      </c>
      <c r="H7442" s="2" t="s">
        <v>20</v>
      </c>
      <c r="I7442" s="2" t="s">
        <v>14439</v>
      </c>
      <c r="J7442" s="3" t="str">
        <f>HYPERLINK("https://www.boe.es/gazeta/dias/1822/08/06/pdfs/GMD-1822-230.pdf#page=6","Abrir facsímil")</f>
        <v>Abrir facsímil</v>
      </c>
      <c r="K7442" s="3" t="s">
        <v>22</v>
      </c>
    </row>
    <row r="7443" spans="1:11" ht="42" customHeight="1">
      <c r="A7443" s="2" t="s">
        <v>14430</v>
      </c>
      <c r="B7443" s="2" t="s">
        <v>14430</v>
      </c>
      <c r="C7443" s="2" t="s">
        <v>61</v>
      </c>
      <c r="D7443" s="2" t="s">
        <v>17</v>
      </c>
      <c r="E7443" s="5">
        <v>-28254</v>
      </c>
      <c r="F7443" s="3" t="s">
        <v>3557</v>
      </c>
      <c r="G7443" s="3" t="s">
        <v>57</v>
      </c>
      <c r="H7443" s="2" t="s">
        <v>20</v>
      </c>
      <c r="I7443" s="2" t="s">
        <v>14440</v>
      </c>
      <c r="J7443" s="3" t="str">
        <f>HYPERLINK("https://www.boe.es/gazeta/dias/1822/08/22/pdfs/GMD-1822-246.pdf#page=4","Abrir facsímil")</f>
        <v>Abrir facsímil</v>
      </c>
      <c r="K7443" s="3" t="s">
        <v>22</v>
      </c>
    </row>
    <row r="7444" spans="1:11" ht="42" customHeight="1">
      <c r="A7444" s="2" t="s">
        <v>14430</v>
      </c>
      <c r="B7444" s="2" t="s">
        <v>14430</v>
      </c>
      <c r="C7444" s="2" t="s">
        <v>42</v>
      </c>
      <c r="D7444" s="2" t="s">
        <v>17</v>
      </c>
      <c r="E7444" s="5">
        <v>-28246</v>
      </c>
      <c r="F7444" s="3" t="s">
        <v>3246</v>
      </c>
      <c r="G7444" s="3" t="s">
        <v>1085</v>
      </c>
      <c r="H7444" s="2" t="s">
        <v>20</v>
      </c>
      <c r="I7444" s="2" t="s">
        <v>14441</v>
      </c>
      <c r="J7444" s="3" t="str">
        <f>HYPERLINK("https://www.boe.es/gazeta/dias/1822/08/30/pdfs/GMD-1822-254.pdf#page=5","Abrir facsímil")</f>
        <v>Abrir facsímil</v>
      </c>
      <c r="K7444" s="3" t="s">
        <v>22</v>
      </c>
    </row>
    <row r="7445" spans="1:11" ht="42" customHeight="1">
      <c r="A7445" s="2" t="s">
        <v>14430</v>
      </c>
      <c r="B7445" s="2" t="s">
        <v>14430</v>
      </c>
      <c r="C7445" s="2" t="s">
        <v>28</v>
      </c>
      <c r="D7445" s="2" t="s">
        <v>29</v>
      </c>
      <c r="E7445" s="5">
        <v>-28246</v>
      </c>
      <c r="F7445" s="3" t="s">
        <v>3246</v>
      </c>
      <c r="G7445" s="3" t="s">
        <v>57</v>
      </c>
      <c r="H7445" s="2" t="s">
        <v>20</v>
      </c>
      <c r="I7445" s="2" t="s">
        <v>14442</v>
      </c>
      <c r="J7445" s="3" t="str">
        <f>HYPERLINK("https://www.boe.es/gazeta/dias/1822/08/30/pdfs/GMD-1822-254.pdf#page=4","Abrir facsímil")</f>
        <v>Abrir facsímil</v>
      </c>
      <c r="K7445" s="3" t="s">
        <v>22</v>
      </c>
    </row>
    <row r="7446" spans="1:11" ht="42" customHeight="1">
      <c r="A7446" s="2" t="s">
        <v>14430</v>
      </c>
      <c r="B7446" s="2" t="s">
        <v>14430</v>
      </c>
      <c r="C7446" s="2" t="s">
        <v>50</v>
      </c>
      <c r="D7446" s="2" t="s">
        <v>51</v>
      </c>
      <c r="E7446" s="5">
        <v>-28234</v>
      </c>
      <c r="F7446" s="3" t="s">
        <v>1331</v>
      </c>
      <c r="G7446" s="3" t="s">
        <v>35</v>
      </c>
      <c r="H7446" s="2" t="s">
        <v>20</v>
      </c>
      <c r="I7446" s="2" t="s">
        <v>14443</v>
      </c>
      <c r="J7446" s="3" t="str">
        <f>HYPERLINK("https://www.boe.es/gazeta/dias/1822/09/11/pdfs/GMD-1822-267.pdf#page=2","Abrir facsímil")</f>
        <v>Abrir facsímil</v>
      </c>
      <c r="K7446" s="3" t="s">
        <v>22</v>
      </c>
    </row>
    <row r="7447" spans="1:11" ht="42" customHeight="1">
      <c r="A7447" s="2" t="s">
        <v>14430</v>
      </c>
      <c r="B7447" s="2" t="s">
        <v>14430</v>
      </c>
      <c r="C7447" s="2" t="s">
        <v>61</v>
      </c>
      <c r="D7447" s="2" t="s">
        <v>17</v>
      </c>
      <c r="E7447" s="5">
        <v>-28216</v>
      </c>
      <c r="F7447" s="3" t="s">
        <v>4661</v>
      </c>
      <c r="G7447" s="3" t="s">
        <v>31</v>
      </c>
      <c r="H7447" s="2" t="s">
        <v>20</v>
      </c>
      <c r="I7447" s="2" t="s">
        <v>14444</v>
      </c>
      <c r="J7447" s="3" t="str">
        <f>HYPERLINK("https://www.boe.es/gazeta/dias/1822/09/29/pdfs/GMD-1822-285.pdf#page=3","Abrir facsímil")</f>
        <v>Abrir facsímil</v>
      </c>
      <c r="K7447" s="3" t="s">
        <v>22</v>
      </c>
    </row>
    <row r="7448" spans="1:11" ht="42" customHeight="1">
      <c r="A7448" s="2" t="s">
        <v>14430</v>
      </c>
      <c r="B7448" s="2" t="s">
        <v>14430</v>
      </c>
      <c r="C7448" s="2" t="s">
        <v>24</v>
      </c>
      <c r="D7448" s="2" t="s">
        <v>17</v>
      </c>
      <c r="E7448" s="5">
        <v>-28214</v>
      </c>
      <c r="F7448" s="3" t="s">
        <v>814</v>
      </c>
      <c r="G7448" s="3" t="s">
        <v>31</v>
      </c>
      <c r="H7448" s="2" t="s">
        <v>20</v>
      </c>
      <c r="I7448" s="2" t="s">
        <v>14445</v>
      </c>
      <c r="J7448" s="3" t="str">
        <f>HYPERLINK("https://www.boe.es/gazeta/dias/1822/10/01/pdfs/GMD-1822-287.pdf#page=3","Abrir facsímil")</f>
        <v>Abrir facsímil</v>
      </c>
      <c r="K7448" s="3" t="s">
        <v>22</v>
      </c>
    </row>
    <row r="7449" spans="1:11" ht="42" customHeight="1">
      <c r="A7449" s="2" t="s">
        <v>14430</v>
      </c>
      <c r="B7449" s="2" t="s">
        <v>14430</v>
      </c>
      <c r="C7449" s="2" t="s">
        <v>50</v>
      </c>
      <c r="D7449" s="2" t="s">
        <v>51</v>
      </c>
      <c r="E7449" s="5">
        <v>-28208</v>
      </c>
      <c r="F7449" s="3" t="s">
        <v>230</v>
      </c>
      <c r="G7449" s="3" t="s">
        <v>57</v>
      </c>
      <c r="H7449" s="2" t="s">
        <v>20</v>
      </c>
      <c r="I7449" s="2" t="s">
        <v>14446</v>
      </c>
      <c r="J7449" s="3" t="str">
        <f>HYPERLINK("https://www.boe.es/gazeta/dias/1822/10/07/pdfs/GMD-1822-293.pdf#page=4","Abrir facsímil")</f>
        <v>Abrir facsímil</v>
      </c>
      <c r="K7449" s="3" t="s">
        <v>22</v>
      </c>
    </row>
    <row r="7450" spans="1:11" ht="42" customHeight="1">
      <c r="A7450" s="2" t="s">
        <v>14430</v>
      </c>
      <c r="B7450" s="2" t="s">
        <v>14430</v>
      </c>
      <c r="C7450" s="2" t="s">
        <v>28</v>
      </c>
      <c r="D7450" s="2" t="s">
        <v>29</v>
      </c>
      <c r="E7450" s="5">
        <v>-28191</v>
      </c>
      <c r="F7450" s="3" t="s">
        <v>710</v>
      </c>
      <c r="G7450" s="3" t="s">
        <v>5038</v>
      </c>
      <c r="H7450" s="2" t="s">
        <v>20</v>
      </c>
      <c r="I7450" s="2" t="s">
        <v>14447</v>
      </c>
      <c r="J7450" s="3" t="str">
        <f>HYPERLINK("https://www.boe.es/gazeta/dias/1822/10/24/pdfs/GMD-1822-311.pdf#page=8","Abrir facsímil")</f>
        <v>Abrir facsímil</v>
      </c>
      <c r="K7450" s="3" t="s">
        <v>22</v>
      </c>
    </row>
    <row r="7451" spans="1:11" ht="42" customHeight="1">
      <c r="A7451" s="2" t="s">
        <v>14430</v>
      </c>
      <c r="B7451" s="2" t="s">
        <v>14430</v>
      </c>
      <c r="C7451" s="2" t="s">
        <v>50</v>
      </c>
      <c r="D7451" s="2" t="s">
        <v>51</v>
      </c>
      <c r="E7451" s="5">
        <v>-28169</v>
      </c>
      <c r="F7451" s="3" t="s">
        <v>2571</v>
      </c>
      <c r="G7451" s="3" t="s">
        <v>63</v>
      </c>
      <c r="H7451" s="2" t="s">
        <v>20</v>
      </c>
      <c r="I7451" s="2" t="s">
        <v>14448</v>
      </c>
      <c r="J7451" s="3" t="str">
        <f>HYPERLINK("https://www.boe.es/gazeta/dias/1822/11/15/pdfs/GMD-1822-335.pdf#page=6","Abrir facsímil")</f>
        <v>Abrir facsímil</v>
      </c>
      <c r="K7451" s="3" t="s">
        <v>22</v>
      </c>
    </row>
    <row r="7452" spans="1:11" ht="42" customHeight="1">
      <c r="A7452" s="2" t="s">
        <v>14430</v>
      </c>
      <c r="B7452" s="2" t="s">
        <v>14430</v>
      </c>
      <c r="C7452" s="2" t="s">
        <v>42</v>
      </c>
      <c r="D7452" s="2" t="s">
        <v>17</v>
      </c>
      <c r="E7452" s="5">
        <v>-28160</v>
      </c>
      <c r="F7452" s="3" t="s">
        <v>148</v>
      </c>
      <c r="G7452" s="3" t="s">
        <v>19</v>
      </c>
      <c r="H7452" s="2" t="s">
        <v>20</v>
      </c>
      <c r="I7452" s="2" t="s">
        <v>14449</v>
      </c>
      <c r="J7452" s="3" t="str">
        <f>HYPERLINK("https://www.boe.es/gazeta/dias/1822/11/24/pdfs/GMD-1822-344.pdf#page=5","Abrir facsímil")</f>
        <v>Abrir facsímil</v>
      </c>
      <c r="K7452" s="3" t="s">
        <v>22</v>
      </c>
    </row>
    <row r="7453" spans="1:11" ht="42" customHeight="1">
      <c r="A7453" s="2" t="s">
        <v>14430</v>
      </c>
      <c r="B7453" s="2" t="s">
        <v>14430</v>
      </c>
      <c r="C7453" s="2" t="s">
        <v>28</v>
      </c>
      <c r="D7453" s="2" t="s">
        <v>29</v>
      </c>
      <c r="E7453" s="5">
        <v>-28145</v>
      </c>
      <c r="F7453" s="3" t="s">
        <v>1350</v>
      </c>
      <c r="G7453" s="3" t="s">
        <v>63</v>
      </c>
      <c r="H7453" s="2" t="s">
        <v>20</v>
      </c>
      <c r="I7453" s="2" t="s">
        <v>14450</v>
      </c>
      <c r="J7453" s="3" t="str">
        <f>HYPERLINK("https://www.boe.es/gazeta/dias/1822/12/09/pdfs/GMD-1822-359.pdf#page=6","Abrir facsímil")</f>
        <v>Abrir facsímil</v>
      </c>
      <c r="K7453" s="3" t="s">
        <v>22</v>
      </c>
    </row>
    <row r="7454" spans="1:11" ht="42" customHeight="1">
      <c r="A7454" s="2" t="s">
        <v>14430</v>
      </c>
      <c r="B7454" s="2" t="s">
        <v>14430</v>
      </c>
      <c r="C7454" s="2" t="s">
        <v>42</v>
      </c>
      <c r="D7454" s="2" t="s">
        <v>17</v>
      </c>
      <c r="E7454" s="5">
        <v>-28139</v>
      </c>
      <c r="F7454" s="3" t="s">
        <v>143</v>
      </c>
      <c r="G7454" s="3" t="s">
        <v>44</v>
      </c>
      <c r="H7454" s="2" t="s">
        <v>20</v>
      </c>
      <c r="I7454" s="2" t="s">
        <v>14451</v>
      </c>
      <c r="J7454" s="3" t="str">
        <f>HYPERLINK("https://www.boe.es/gazeta/dias/1822/12/15/pdfs/GMD-1822-365.pdf#page=1","Abrir facsímil")</f>
        <v>Abrir facsímil</v>
      </c>
      <c r="K7454" s="3" t="s">
        <v>22</v>
      </c>
    </row>
    <row r="7455" spans="1:11" ht="42" customHeight="1">
      <c r="A7455" s="2" t="s">
        <v>14430</v>
      </c>
      <c r="B7455" s="2" t="s">
        <v>14430</v>
      </c>
      <c r="C7455" s="2" t="s">
        <v>71</v>
      </c>
      <c r="D7455" s="2" t="s">
        <v>17</v>
      </c>
      <c r="E7455" s="5">
        <v>-28123</v>
      </c>
      <c r="F7455" s="3" t="s">
        <v>603</v>
      </c>
      <c r="G7455" s="3" t="s">
        <v>2642</v>
      </c>
      <c r="H7455" s="2" t="s">
        <v>20</v>
      </c>
      <c r="I7455" s="2" t="s">
        <v>14452</v>
      </c>
      <c r="J7455" s="3" t="str">
        <f>HYPERLINK("https://www.boe.es/gazeta/dias/1822/12/31/pdfs/GMD-1822-381.pdf#page=6","Abrir facsímil")</f>
        <v>Abrir facsímil</v>
      </c>
      <c r="K7455" s="3" t="s">
        <v>22</v>
      </c>
    </row>
    <row r="7456" spans="1:11" ht="42" customHeight="1">
      <c r="A7456" s="2" t="s">
        <v>14453</v>
      </c>
      <c r="B7456" s="2" t="s">
        <v>14454</v>
      </c>
      <c r="C7456" s="2" t="s">
        <v>50</v>
      </c>
      <c r="D7456" s="2" t="s">
        <v>51</v>
      </c>
      <c r="E7456" s="5">
        <v>-28240</v>
      </c>
      <c r="F7456" s="3" t="s">
        <v>678</v>
      </c>
      <c r="G7456" s="3" t="s">
        <v>31</v>
      </c>
      <c r="H7456" s="2" t="s">
        <v>45</v>
      </c>
      <c r="I7456" s="2" t="s">
        <v>14455</v>
      </c>
      <c r="J7456" s="3" t="str">
        <f>HYPERLINK("https://www.boe.es/gazeta/dias/1822/09/05/pdfs/GMD-1822-260.pdf#page=3","Abrir facsímil")</f>
        <v>Abrir facsímil</v>
      </c>
      <c r="K7456" s="3" t="s">
        <v>47</v>
      </c>
    </row>
    <row r="7457" spans="1:11" ht="42" customHeight="1">
      <c r="A7457" s="2" t="s">
        <v>14456</v>
      </c>
      <c r="B7457" s="2" t="s">
        <v>14457</v>
      </c>
      <c r="C7457" s="2" t="s">
        <v>28</v>
      </c>
      <c r="D7457" s="2" t="s">
        <v>29</v>
      </c>
      <c r="E7457" s="5">
        <v>-28418</v>
      </c>
      <c r="F7457" s="3" t="s">
        <v>205</v>
      </c>
      <c r="G7457" s="3" t="s">
        <v>167</v>
      </c>
      <c r="H7457" s="2" t="s">
        <v>20</v>
      </c>
      <c r="I7457" s="2" t="s">
        <v>14458</v>
      </c>
      <c r="J7457" s="3" t="str">
        <f>HYPERLINK("https://www.boe.es/gazeta/dias/1822/03/11/pdfs/GMD-1822-72.pdf#page=7","Abrir facsímil")</f>
        <v>Abrir facsímil</v>
      </c>
      <c r="K7457" s="3" t="s">
        <v>22</v>
      </c>
    </row>
    <row r="7458" spans="1:11" ht="42" customHeight="1">
      <c r="A7458" s="2" t="s">
        <v>14459</v>
      </c>
      <c r="B7458" s="2" t="s">
        <v>14459</v>
      </c>
      <c r="C7458" s="2" t="s">
        <v>50</v>
      </c>
      <c r="D7458" s="2" t="s">
        <v>51</v>
      </c>
      <c r="E7458" s="5">
        <v>-28302</v>
      </c>
      <c r="F7458" s="3" t="s">
        <v>791</v>
      </c>
      <c r="G7458" s="3" t="s">
        <v>31</v>
      </c>
      <c r="H7458" s="2" t="s">
        <v>20</v>
      </c>
      <c r="I7458" s="2" t="s">
        <v>14460</v>
      </c>
      <c r="J7458" s="3" t="str">
        <f>HYPERLINK("https://www.boe.es/gazeta/dias/1822/07/05/pdfs/GMD-1822-194.pdf#page=3","Abrir facsímil")</f>
        <v>Abrir facsímil</v>
      </c>
      <c r="K7458" s="3" t="s">
        <v>22</v>
      </c>
    </row>
    <row r="7459" spans="1:11" ht="42" customHeight="1">
      <c r="A7459" s="2" t="s">
        <v>14461</v>
      </c>
      <c r="B7459" s="2" t="s">
        <v>14461</v>
      </c>
      <c r="C7459" s="2" t="s">
        <v>50</v>
      </c>
      <c r="D7459" s="2" t="s">
        <v>51</v>
      </c>
      <c r="E7459" s="5">
        <v>-28284</v>
      </c>
      <c r="F7459" s="3" t="s">
        <v>6484</v>
      </c>
      <c r="G7459" s="3" t="s">
        <v>35</v>
      </c>
      <c r="H7459" s="2" t="s">
        <v>20</v>
      </c>
      <c r="I7459" s="2" t="s">
        <v>14462</v>
      </c>
      <c r="J7459" s="3" t="str">
        <f>HYPERLINK("https://www.boe.es/gazeta/dias/1822/07/23/pdfs/GMD-1822-216.pdf#page=2","Abrir facsímil")</f>
        <v>Abrir facsímil</v>
      </c>
      <c r="K7459" s="3" t="s">
        <v>22</v>
      </c>
    </row>
    <row r="7460" spans="1:11" ht="42" customHeight="1">
      <c r="A7460" s="2" t="s">
        <v>14463</v>
      </c>
      <c r="B7460" s="2" t="s">
        <v>14463</v>
      </c>
      <c r="C7460" s="2" t="s">
        <v>50</v>
      </c>
      <c r="D7460" s="2" t="s">
        <v>51</v>
      </c>
      <c r="E7460" s="5">
        <v>-28454</v>
      </c>
      <c r="F7460" s="3" t="s">
        <v>2033</v>
      </c>
      <c r="G7460" s="3" t="s">
        <v>57</v>
      </c>
      <c r="H7460" s="2" t="s">
        <v>20</v>
      </c>
      <c r="I7460" s="2" t="s">
        <v>14464</v>
      </c>
      <c r="J7460" s="3" t="str">
        <f>HYPERLINK("https://www.boe.es/gazeta/dias/1822/02/03/pdfs/GMD-1822-34.pdf#page=4","Abrir facsímil")</f>
        <v>Abrir facsímil</v>
      </c>
      <c r="K7460" s="3" t="s">
        <v>22</v>
      </c>
    </row>
    <row r="7461" spans="1:11" ht="42" customHeight="1">
      <c r="A7461" s="2" t="s">
        <v>14465</v>
      </c>
      <c r="B7461" s="2" t="s">
        <v>14465</v>
      </c>
      <c r="C7461" s="2" t="s">
        <v>50</v>
      </c>
      <c r="D7461" s="2" t="s">
        <v>51</v>
      </c>
      <c r="E7461" s="5">
        <v>-28374</v>
      </c>
      <c r="F7461" s="3" t="s">
        <v>171</v>
      </c>
      <c r="G7461" s="3" t="s">
        <v>35</v>
      </c>
      <c r="H7461" s="2" t="s">
        <v>20</v>
      </c>
      <c r="I7461" s="2" t="s">
        <v>14466</v>
      </c>
      <c r="J7461" s="3" t="str">
        <f>HYPERLINK("https://www.boe.es/gazeta/dias/1822/04/24/pdfs/GMD-1822-116.pdf#page=2","Abrir facsímil")</f>
        <v>Abrir facsímil</v>
      </c>
      <c r="K7461" s="3" t="s">
        <v>22</v>
      </c>
    </row>
    <row r="7462" spans="1:11" ht="42" customHeight="1">
      <c r="A7462" s="2" t="s">
        <v>14465</v>
      </c>
      <c r="B7462" s="2" t="s">
        <v>14465</v>
      </c>
      <c r="C7462" s="2" t="s">
        <v>71</v>
      </c>
      <c r="D7462" s="2" t="s">
        <v>17</v>
      </c>
      <c r="E7462" s="5">
        <v>-28275</v>
      </c>
      <c r="F7462" s="3" t="s">
        <v>1297</v>
      </c>
      <c r="G7462" s="3" t="s">
        <v>57</v>
      </c>
      <c r="H7462" s="2" t="s">
        <v>20</v>
      </c>
      <c r="I7462" s="2" t="s">
        <v>14467</v>
      </c>
      <c r="J7462" s="3" t="str">
        <f>HYPERLINK("https://www.boe.es/gazeta/dias/1822/08/01/pdfs/GMD-1822-225.pdf#page=4","Abrir facsímil")</f>
        <v>Abrir facsímil</v>
      </c>
      <c r="K7462" s="3" t="s">
        <v>22</v>
      </c>
    </row>
    <row r="7463" spans="1:11" ht="42" customHeight="1">
      <c r="A7463" s="2" t="s">
        <v>14468</v>
      </c>
      <c r="B7463" s="2" t="s">
        <v>14468</v>
      </c>
      <c r="C7463" s="2" t="s">
        <v>28</v>
      </c>
      <c r="D7463" s="2" t="s">
        <v>29</v>
      </c>
      <c r="E7463" s="5">
        <v>-28465</v>
      </c>
      <c r="F7463" s="3" t="s">
        <v>1114</v>
      </c>
      <c r="G7463" s="3" t="s">
        <v>19</v>
      </c>
      <c r="H7463" s="2" t="s">
        <v>20</v>
      </c>
      <c r="I7463" s="2" t="s">
        <v>14469</v>
      </c>
      <c r="J7463" s="3" t="str">
        <f>HYPERLINK("https://www.boe.es/gazeta/dias/1822/01/23/pdfs/GMD-1822-23.pdf#page=5","Abrir facsímil")</f>
        <v>Abrir facsímil</v>
      </c>
      <c r="K7463" s="3" t="s">
        <v>22</v>
      </c>
    </row>
    <row r="7464" spans="1:11" ht="42" customHeight="1">
      <c r="A7464" s="2" t="s">
        <v>14468</v>
      </c>
      <c r="B7464" s="2" t="s">
        <v>14468</v>
      </c>
      <c r="C7464" s="2" t="s">
        <v>50</v>
      </c>
      <c r="D7464" s="2" t="s">
        <v>51</v>
      </c>
      <c r="E7464" s="5">
        <v>-28453</v>
      </c>
      <c r="F7464" s="3" t="s">
        <v>2039</v>
      </c>
      <c r="G7464" s="3" t="s">
        <v>57</v>
      </c>
      <c r="H7464" s="2" t="s">
        <v>20</v>
      </c>
      <c r="I7464" s="2" t="s">
        <v>14470</v>
      </c>
      <c r="J7464" s="3" t="str">
        <f>HYPERLINK("https://www.boe.es/gazeta/dias/1822/02/04/pdfs/GMD-1822-35.pdf#page=4","Abrir facsímil")</f>
        <v>Abrir facsímil</v>
      </c>
      <c r="K7464" s="3" t="s">
        <v>22</v>
      </c>
    </row>
    <row r="7465" spans="1:11" ht="42" customHeight="1">
      <c r="A7465" s="2" t="s">
        <v>14468</v>
      </c>
      <c r="B7465" s="2" t="s">
        <v>14468</v>
      </c>
      <c r="C7465" s="2" t="s">
        <v>50</v>
      </c>
      <c r="D7465" s="2" t="s">
        <v>51</v>
      </c>
      <c r="E7465" s="5">
        <v>-28451</v>
      </c>
      <c r="F7465" s="3" t="s">
        <v>1674</v>
      </c>
      <c r="G7465" s="3" t="s">
        <v>63</v>
      </c>
      <c r="H7465" s="2" t="s">
        <v>20</v>
      </c>
      <c r="I7465" s="2" t="s">
        <v>14471</v>
      </c>
      <c r="J7465" s="3" t="str">
        <f>HYPERLINK("https://www.boe.es/gazeta/dias/1822/02/06/pdfs/GMD-1822-37.pdf#page=6","Abrir facsímil")</f>
        <v>Abrir facsímil</v>
      </c>
      <c r="K7465" s="3" t="s">
        <v>22</v>
      </c>
    </row>
    <row r="7466" spans="1:11" ht="42" customHeight="1">
      <c r="A7466" s="2" t="s">
        <v>14468</v>
      </c>
      <c r="B7466" s="2" t="s">
        <v>14468</v>
      </c>
      <c r="C7466" s="2" t="s">
        <v>28</v>
      </c>
      <c r="D7466" s="2" t="s">
        <v>29</v>
      </c>
      <c r="E7466" s="5">
        <v>-28449</v>
      </c>
      <c r="F7466" s="3" t="s">
        <v>1342</v>
      </c>
      <c r="G7466" s="3" t="s">
        <v>44</v>
      </c>
      <c r="H7466" s="2" t="s">
        <v>20</v>
      </c>
      <c r="I7466" s="2" t="s">
        <v>14472</v>
      </c>
      <c r="J7466" s="3" t="str">
        <f>HYPERLINK("https://www.boe.es/gazeta/dias/1822/02/08/pdfs/GMD-1822-39.pdf#page=1","Abrir facsímil")</f>
        <v>Abrir facsímil</v>
      </c>
      <c r="K7466" s="3" t="s">
        <v>22</v>
      </c>
    </row>
    <row r="7467" spans="1:11" ht="42" customHeight="1">
      <c r="A7467" s="2" t="s">
        <v>14468</v>
      </c>
      <c r="B7467" s="2" t="s">
        <v>14468</v>
      </c>
      <c r="C7467" s="2" t="s">
        <v>28</v>
      </c>
      <c r="D7467" s="2" t="s">
        <v>29</v>
      </c>
      <c r="E7467" s="5">
        <v>-28447</v>
      </c>
      <c r="F7467" s="3" t="s">
        <v>997</v>
      </c>
      <c r="G7467" s="3" t="s">
        <v>35</v>
      </c>
      <c r="H7467" s="2" t="s">
        <v>20</v>
      </c>
      <c r="I7467" s="2" t="s">
        <v>14473</v>
      </c>
      <c r="J7467" s="3" t="str">
        <f>HYPERLINK("https://www.boe.es/gazeta/dias/1822/02/10/pdfs/GMD-1822-41.pdf#page=2","Abrir facsímil")</f>
        <v>Abrir facsímil</v>
      </c>
      <c r="K7467" s="3" t="s">
        <v>22</v>
      </c>
    </row>
    <row r="7468" spans="1:11" ht="42" customHeight="1">
      <c r="A7468" s="2" t="s">
        <v>14468</v>
      </c>
      <c r="B7468" s="2" t="s">
        <v>14468</v>
      </c>
      <c r="C7468" s="2" t="s">
        <v>42</v>
      </c>
      <c r="D7468" s="2" t="s">
        <v>17</v>
      </c>
      <c r="E7468" s="5">
        <v>-28443</v>
      </c>
      <c r="F7468" s="3" t="s">
        <v>668</v>
      </c>
      <c r="G7468" s="3" t="s">
        <v>35</v>
      </c>
      <c r="H7468" s="2" t="s">
        <v>20</v>
      </c>
      <c r="I7468" s="2" t="s">
        <v>14474</v>
      </c>
      <c r="J7468" s="3" t="str">
        <f>HYPERLINK("https://www.boe.es/gazeta/dias/1822/02/14/pdfs/GMD-1822-45.pdf#page=2","Abrir facsímil")</f>
        <v>Abrir facsímil</v>
      </c>
      <c r="K7468" s="3" t="s">
        <v>22</v>
      </c>
    </row>
    <row r="7469" spans="1:11" ht="42" customHeight="1">
      <c r="A7469" s="2" t="s">
        <v>14468</v>
      </c>
      <c r="B7469" s="2" t="s">
        <v>14468</v>
      </c>
      <c r="C7469" s="2" t="s">
        <v>28</v>
      </c>
      <c r="D7469" s="2" t="s">
        <v>29</v>
      </c>
      <c r="E7469" s="5">
        <v>-28438</v>
      </c>
      <c r="F7469" s="3" t="s">
        <v>963</v>
      </c>
      <c r="G7469" s="3" t="s">
        <v>57</v>
      </c>
      <c r="H7469" s="2" t="s">
        <v>20</v>
      </c>
      <c r="I7469" s="2" t="s">
        <v>14475</v>
      </c>
      <c r="J7469" s="3" t="str">
        <f>HYPERLINK("https://www.boe.es/gazeta/dias/1822/02/19/pdfs/GMD-1822-51.pdf#page=4","Abrir facsímil")</f>
        <v>Abrir facsímil</v>
      </c>
      <c r="K7469" s="3" t="s">
        <v>22</v>
      </c>
    </row>
    <row r="7470" spans="1:11" ht="42" customHeight="1">
      <c r="A7470" s="2" t="s">
        <v>14468</v>
      </c>
      <c r="B7470" s="2" t="s">
        <v>14468</v>
      </c>
      <c r="C7470" s="2" t="s">
        <v>50</v>
      </c>
      <c r="D7470" s="2" t="s">
        <v>51</v>
      </c>
      <c r="E7470" s="5">
        <v>-28420</v>
      </c>
      <c r="F7470" s="3" t="s">
        <v>449</v>
      </c>
      <c r="G7470" s="3" t="s">
        <v>31</v>
      </c>
      <c r="H7470" s="2" t="s">
        <v>20</v>
      </c>
      <c r="I7470" s="2" t="s">
        <v>14476</v>
      </c>
      <c r="J7470" s="3" t="str">
        <f>HYPERLINK("https://www.boe.es/gazeta/dias/1822/03/09/pdfs/GMD-1822-70.pdf#page=3","Abrir facsímil")</f>
        <v>Abrir facsímil</v>
      </c>
      <c r="K7470" s="3" t="s">
        <v>22</v>
      </c>
    </row>
    <row r="7471" spans="1:11" ht="42" customHeight="1">
      <c r="A7471" s="2" t="s">
        <v>14468</v>
      </c>
      <c r="B7471" s="2" t="s">
        <v>14468</v>
      </c>
      <c r="C7471" s="2" t="s">
        <v>50</v>
      </c>
      <c r="D7471" s="2" t="s">
        <v>51</v>
      </c>
      <c r="E7471" s="5">
        <v>-28420</v>
      </c>
      <c r="F7471" s="3" t="s">
        <v>449</v>
      </c>
      <c r="G7471" s="3" t="s">
        <v>63</v>
      </c>
      <c r="H7471" s="2" t="s">
        <v>20</v>
      </c>
      <c r="I7471" s="2" t="s">
        <v>14477</v>
      </c>
      <c r="J7471" s="3" t="str">
        <f>HYPERLINK("https://www.boe.es/gazeta/dias/1822/03/09/pdfs/GMD-1822-70.pdf#page=6","Abrir facsímil")</f>
        <v>Abrir facsímil</v>
      </c>
      <c r="K7471" s="3" t="s">
        <v>22</v>
      </c>
    </row>
    <row r="7472" spans="1:11" ht="42" customHeight="1">
      <c r="A7472" s="2" t="s">
        <v>14468</v>
      </c>
      <c r="B7472" s="2" t="s">
        <v>14468</v>
      </c>
      <c r="C7472" s="2" t="s">
        <v>50</v>
      </c>
      <c r="D7472" s="2" t="s">
        <v>51</v>
      </c>
      <c r="E7472" s="5">
        <v>-28417</v>
      </c>
      <c r="F7472" s="3" t="s">
        <v>1394</v>
      </c>
      <c r="G7472" s="3" t="s">
        <v>31</v>
      </c>
      <c r="H7472" s="2" t="s">
        <v>20</v>
      </c>
      <c r="I7472" s="2" t="s">
        <v>14478</v>
      </c>
      <c r="J7472" s="3" t="str">
        <f>HYPERLINK("https://www.boe.es/gazeta/dias/1822/03/12/pdfs/GMD-1822-73.pdf#page=3","Abrir facsímil")</f>
        <v>Abrir facsímil</v>
      </c>
      <c r="K7472" s="3" t="s">
        <v>22</v>
      </c>
    </row>
    <row r="7473" spans="1:11" ht="42" customHeight="1">
      <c r="A7473" s="2" t="s">
        <v>14468</v>
      </c>
      <c r="B7473" s="2" t="s">
        <v>14468</v>
      </c>
      <c r="C7473" s="2" t="s">
        <v>28</v>
      </c>
      <c r="D7473" s="2" t="s">
        <v>29</v>
      </c>
      <c r="E7473" s="5">
        <v>-28417</v>
      </c>
      <c r="F7473" s="3" t="s">
        <v>1394</v>
      </c>
      <c r="G7473" s="3" t="s">
        <v>57</v>
      </c>
      <c r="H7473" s="2" t="s">
        <v>20</v>
      </c>
      <c r="I7473" s="2" t="s">
        <v>14479</v>
      </c>
      <c r="J7473" s="3" t="str">
        <f>HYPERLINK("https://www.boe.es/gazeta/dias/1822/03/12/pdfs/GMD-1822-73.pdf#page=4","Abrir facsímil")</f>
        <v>Abrir facsímil</v>
      </c>
      <c r="K7473" s="3" t="s">
        <v>22</v>
      </c>
    </row>
    <row r="7474" spans="1:11" ht="42" customHeight="1">
      <c r="A7474" s="2" t="s">
        <v>14468</v>
      </c>
      <c r="B7474" s="2" t="s">
        <v>14468</v>
      </c>
      <c r="C7474" s="2" t="s">
        <v>50</v>
      </c>
      <c r="D7474" s="2" t="s">
        <v>51</v>
      </c>
      <c r="E7474" s="5">
        <v>-28416</v>
      </c>
      <c r="F7474" s="3" t="s">
        <v>97</v>
      </c>
      <c r="G7474" s="3" t="s">
        <v>44</v>
      </c>
      <c r="H7474" s="2" t="s">
        <v>20</v>
      </c>
      <c r="I7474" s="2" t="s">
        <v>14480</v>
      </c>
      <c r="J7474" s="3" t="str">
        <f>HYPERLINK("https://www.boe.es/gazeta/dias/1822/03/13/pdfs/GMD-1822-74.pdf#page=1","Abrir facsímil")</f>
        <v>Abrir facsímil</v>
      </c>
      <c r="K7474" s="3" t="s">
        <v>22</v>
      </c>
    </row>
    <row r="7475" spans="1:11" ht="42" customHeight="1">
      <c r="A7475" s="2" t="s">
        <v>14468</v>
      </c>
      <c r="B7475" s="2" t="s">
        <v>14468</v>
      </c>
      <c r="C7475" s="2" t="s">
        <v>50</v>
      </c>
      <c r="D7475" s="2" t="s">
        <v>51</v>
      </c>
      <c r="E7475" s="5">
        <v>-28415</v>
      </c>
      <c r="F7475" s="3" t="s">
        <v>77</v>
      </c>
      <c r="G7475" s="3" t="s">
        <v>19</v>
      </c>
      <c r="H7475" s="2" t="s">
        <v>20</v>
      </c>
      <c r="I7475" s="2" t="s">
        <v>14481</v>
      </c>
      <c r="J7475" s="3" t="str">
        <f>HYPERLINK("https://www.boe.es/gazeta/dias/1822/03/14/pdfs/GMD-1822-75.pdf#page=5","Abrir facsímil")</f>
        <v>Abrir facsímil</v>
      </c>
      <c r="K7475" s="3" t="s">
        <v>22</v>
      </c>
    </row>
    <row r="7476" spans="1:11" ht="42" customHeight="1">
      <c r="A7476" s="2" t="s">
        <v>14468</v>
      </c>
      <c r="B7476" s="2" t="s">
        <v>14468</v>
      </c>
      <c r="C7476" s="2" t="s">
        <v>362</v>
      </c>
      <c r="D7476" s="2" t="s">
        <v>17</v>
      </c>
      <c r="E7476" s="5">
        <v>-28408</v>
      </c>
      <c r="F7476" s="3" t="s">
        <v>2561</v>
      </c>
      <c r="G7476" s="3" t="s">
        <v>63</v>
      </c>
      <c r="H7476" s="2" t="s">
        <v>20</v>
      </c>
      <c r="I7476" s="2" t="s">
        <v>14482</v>
      </c>
      <c r="J7476" s="3" t="str">
        <f>HYPERLINK("https://www.boe.es/gazeta/dias/1822/03/21/pdfs/GMD-1822-82.pdf#page=6","Abrir facsímil")</f>
        <v>Abrir facsímil</v>
      </c>
      <c r="K7476" s="3" t="s">
        <v>22</v>
      </c>
    </row>
    <row r="7477" spans="1:11" ht="42" customHeight="1">
      <c r="A7477" s="2" t="s">
        <v>14468</v>
      </c>
      <c r="B7477" s="2" t="s">
        <v>14468</v>
      </c>
      <c r="C7477" s="2" t="s">
        <v>71</v>
      </c>
      <c r="D7477" s="2" t="s">
        <v>17</v>
      </c>
      <c r="E7477" s="5">
        <v>-28406</v>
      </c>
      <c r="F7477" s="3" t="s">
        <v>462</v>
      </c>
      <c r="G7477" s="3" t="s">
        <v>157</v>
      </c>
      <c r="H7477" s="2" t="s">
        <v>20</v>
      </c>
      <c r="I7477" s="2" t="s">
        <v>14483</v>
      </c>
      <c r="J7477" s="3" t="str">
        <f>HYPERLINK("https://www.boe.es/gazeta/dias/1822/03/23/pdfs/GMD-1822-84.pdf#page=8","Abrir facsímil")</f>
        <v>Abrir facsímil</v>
      </c>
      <c r="K7477" s="3" t="s">
        <v>22</v>
      </c>
    </row>
    <row r="7478" spans="1:11" ht="42" customHeight="1">
      <c r="A7478" s="2" t="s">
        <v>14468</v>
      </c>
      <c r="B7478" s="2" t="s">
        <v>14468</v>
      </c>
      <c r="C7478" s="2" t="s">
        <v>50</v>
      </c>
      <c r="D7478" s="2" t="s">
        <v>51</v>
      </c>
      <c r="E7478" s="5">
        <v>-28401</v>
      </c>
      <c r="F7478" s="3" t="s">
        <v>108</v>
      </c>
      <c r="G7478" s="3" t="s">
        <v>35</v>
      </c>
      <c r="H7478" s="2" t="s">
        <v>20</v>
      </c>
      <c r="I7478" s="2" t="s">
        <v>14484</v>
      </c>
      <c r="J7478" s="3" t="str">
        <f>HYPERLINK("https://www.boe.es/gazeta/dias/1822/03/28/pdfs/GMD-1822-89.pdf#page=2","Abrir facsímil")</f>
        <v>Abrir facsímil</v>
      </c>
      <c r="K7478" s="3" t="s">
        <v>22</v>
      </c>
    </row>
    <row r="7479" spans="1:11" ht="42" customHeight="1">
      <c r="A7479" s="2" t="s">
        <v>14468</v>
      </c>
      <c r="B7479" s="2" t="s">
        <v>14468</v>
      </c>
      <c r="C7479" s="2" t="s">
        <v>71</v>
      </c>
      <c r="D7479" s="2" t="s">
        <v>17</v>
      </c>
      <c r="E7479" s="5">
        <v>-28400</v>
      </c>
      <c r="F7479" s="3" t="s">
        <v>1937</v>
      </c>
      <c r="G7479" s="3" t="s">
        <v>31</v>
      </c>
      <c r="H7479" s="2" t="s">
        <v>20</v>
      </c>
      <c r="I7479" s="2" t="s">
        <v>14485</v>
      </c>
      <c r="J7479" s="3" t="str">
        <f>HYPERLINK("https://www.boe.es/gazeta/dias/1822/03/29/pdfs/GMD-1822-90.pdf#page=3","Abrir facsímil")</f>
        <v>Abrir facsímil</v>
      </c>
      <c r="K7479" s="3" t="s">
        <v>22</v>
      </c>
    </row>
    <row r="7480" spans="1:11" ht="42" customHeight="1">
      <c r="A7480" s="2" t="s">
        <v>14468</v>
      </c>
      <c r="B7480" s="2" t="s">
        <v>14468</v>
      </c>
      <c r="C7480" s="2" t="s">
        <v>50</v>
      </c>
      <c r="D7480" s="2" t="s">
        <v>51</v>
      </c>
      <c r="E7480" s="5">
        <v>-28395</v>
      </c>
      <c r="F7480" s="3" t="s">
        <v>237</v>
      </c>
      <c r="G7480" s="3" t="s">
        <v>57</v>
      </c>
      <c r="H7480" s="2" t="s">
        <v>20</v>
      </c>
      <c r="I7480" s="2" t="s">
        <v>14486</v>
      </c>
      <c r="J7480" s="3" t="str">
        <f>HYPERLINK("https://www.boe.es/gazeta/dias/1822/04/03/pdfs/GMD-1822-95.pdf#page=4","Abrir facsímil")</f>
        <v>Abrir facsímil</v>
      </c>
      <c r="K7480" s="3" t="s">
        <v>22</v>
      </c>
    </row>
    <row r="7481" spans="1:11" ht="42" customHeight="1">
      <c r="A7481" s="2" t="s">
        <v>14468</v>
      </c>
      <c r="B7481" s="2" t="s">
        <v>14468</v>
      </c>
      <c r="C7481" s="2" t="s">
        <v>28</v>
      </c>
      <c r="D7481" s="2" t="s">
        <v>29</v>
      </c>
      <c r="E7481" s="5">
        <v>-28394</v>
      </c>
      <c r="F7481" s="3" t="s">
        <v>268</v>
      </c>
      <c r="G7481" s="3" t="s">
        <v>57</v>
      </c>
      <c r="H7481" s="2" t="s">
        <v>20</v>
      </c>
      <c r="I7481" s="2" t="s">
        <v>14487</v>
      </c>
      <c r="J7481" s="3" t="str">
        <f>HYPERLINK("https://www.boe.es/gazeta/dias/1822/04/04/pdfs/GMD-1822-96.pdf#page=4","Abrir facsímil")</f>
        <v>Abrir facsímil</v>
      </c>
      <c r="K7481" s="3" t="s">
        <v>22</v>
      </c>
    </row>
    <row r="7482" spans="1:11" ht="42" customHeight="1">
      <c r="A7482" s="2" t="s">
        <v>14468</v>
      </c>
      <c r="B7482" s="2" t="s">
        <v>14468</v>
      </c>
      <c r="C7482" s="2" t="s">
        <v>50</v>
      </c>
      <c r="D7482" s="2" t="s">
        <v>51</v>
      </c>
      <c r="E7482" s="5">
        <v>-28388</v>
      </c>
      <c r="F7482" s="3" t="s">
        <v>1268</v>
      </c>
      <c r="G7482" s="3" t="s">
        <v>57</v>
      </c>
      <c r="H7482" s="2" t="s">
        <v>20</v>
      </c>
      <c r="I7482" s="2" t="s">
        <v>14488</v>
      </c>
      <c r="J7482" s="3" t="str">
        <f>HYPERLINK("https://www.boe.es/gazeta/dias/1822/04/10/pdfs/GMD-1822-102.pdf#page=4","Abrir facsímil")</f>
        <v>Abrir facsímil</v>
      </c>
      <c r="K7482" s="3" t="s">
        <v>22</v>
      </c>
    </row>
    <row r="7483" spans="1:11" ht="42" customHeight="1">
      <c r="A7483" s="2" t="s">
        <v>14468</v>
      </c>
      <c r="B7483" s="2" t="s">
        <v>14468</v>
      </c>
      <c r="C7483" s="2" t="s">
        <v>28</v>
      </c>
      <c r="D7483" s="2" t="s">
        <v>29</v>
      </c>
      <c r="E7483" s="5">
        <v>-28387</v>
      </c>
      <c r="F7483" s="3" t="s">
        <v>2874</v>
      </c>
      <c r="G7483" s="3" t="s">
        <v>63</v>
      </c>
      <c r="H7483" s="2" t="s">
        <v>20</v>
      </c>
      <c r="I7483" s="2" t="s">
        <v>14489</v>
      </c>
      <c r="J7483" s="3" t="str">
        <f>HYPERLINK("https://www.boe.es/gazeta/dias/1822/04/11/pdfs/GMD-1822-103.pdf#page=6","Abrir facsímil")</f>
        <v>Abrir facsímil</v>
      </c>
      <c r="K7483" s="3" t="s">
        <v>22</v>
      </c>
    </row>
    <row r="7484" spans="1:11" ht="42" customHeight="1">
      <c r="A7484" s="2" t="s">
        <v>14468</v>
      </c>
      <c r="B7484" s="2" t="s">
        <v>14468</v>
      </c>
      <c r="C7484" s="2" t="s">
        <v>50</v>
      </c>
      <c r="D7484" s="2" t="s">
        <v>51</v>
      </c>
      <c r="E7484" s="5">
        <v>-28379</v>
      </c>
      <c r="F7484" s="3" t="s">
        <v>494</v>
      </c>
      <c r="G7484" s="3" t="s">
        <v>63</v>
      </c>
      <c r="H7484" s="2" t="s">
        <v>20</v>
      </c>
      <c r="I7484" s="2" t="s">
        <v>14490</v>
      </c>
      <c r="J7484" s="3" t="str">
        <f>HYPERLINK("https://www.boe.es/gazeta/dias/1822/04/19/pdfs/GMD-1822-111.pdf#page=6","Abrir facsímil")</f>
        <v>Abrir facsímil</v>
      </c>
      <c r="K7484" s="3" t="s">
        <v>22</v>
      </c>
    </row>
    <row r="7485" spans="1:11" ht="42" customHeight="1">
      <c r="A7485" s="2" t="s">
        <v>14468</v>
      </c>
      <c r="B7485" s="2" t="s">
        <v>14468</v>
      </c>
      <c r="C7485" s="2" t="s">
        <v>42</v>
      </c>
      <c r="D7485" s="2" t="s">
        <v>17</v>
      </c>
      <c r="E7485" s="5">
        <v>-28371</v>
      </c>
      <c r="F7485" s="3" t="s">
        <v>401</v>
      </c>
      <c r="G7485" s="3" t="s">
        <v>63</v>
      </c>
      <c r="H7485" s="2" t="s">
        <v>20</v>
      </c>
      <c r="I7485" s="2" t="s">
        <v>14491</v>
      </c>
      <c r="J7485" s="3" t="str">
        <f>HYPERLINK("https://www.boe.es/gazeta/dias/1822/04/27/pdfs/GMD-1822-119.pdf#page=6","Abrir facsímil")</f>
        <v>Abrir facsímil</v>
      </c>
      <c r="K7485" s="3" t="s">
        <v>22</v>
      </c>
    </row>
    <row r="7486" spans="1:11" ht="42" customHeight="1">
      <c r="A7486" s="2" t="s">
        <v>14468</v>
      </c>
      <c r="B7486" s="2" t="s">
        <v>14468</v>
      </c>
      <c r="C7486" s="2" t="s">
        <v>16</v>
      </c>
      <c r="D7486" s="2" t="s">
        <v>17</v>
      </c>
      <c r="E7486" s="5">
        <v>-28366</v>
      </c>
      <c r="F7486" s="3" t="s">
        <v>120</v>
      </c>
      <c r="G7486" s="3" t="s">
        <v>63</v>
      </c>
      <c r="H7486" s="2" t="s">
        <v>20</v>
      </c>
      <c r="I7486" s="2" t="s">
        <v>14492</v>
      </c>
      <c r="J7486" s="3" t="str">
        <f>HYPERLINK("https://www.boe.es/gazeta/dias/1822/05/02/pdfs/GMD-1822-124.pdf#page=6","Abrir facsímil")</f>
        <v>Abrir facsímil</v>
      </c>
      <c r="K7486" s="3" t="s">
        <v>22</v>
      </c>
    </row>
    <row r="7487" spans="1:11" ht="42" customHeight="1">
      <c r="A7487" s="2" t="s">
        <v>14468</v>
      </c>
      <c r="B7487" s="2" t="s">
        <v>14468</v>
      </c>
      <c r="C7487" s="2" t="s">
        <v>42</v>
      </c>
      <c r="D7487" s="2" t="s">
        <v>17</v>
      </c>
      <c r="E7487" s="5">
        <v>-28364</v>
      </c>
      <c r="F7487" s="3" t="s">
        <v>509</v>
      </c>
      <c r="G7487" s="3" t="s">
        <v>63</v>
      </c>
      <c r="H7487" s="2" t="s">
        <v>20</v>
      </c>
      <c r="I7487" s="2" t="s">
        <v>14493</v>
      </c>
      <c r="J7487" s="3" t="str">
        <f>HYPERLINK("https://www.boe.es/gazeta/dias/1822/05/04/pdfs/GMD-1822-126.pdf#page=6","Abrir facsímil")</f>
        <v>Abrir facsímil</v>
      </c>
      <c r="K7487" s="3" t="s">
        <v>22</v>
      </c>
    </row>
    <row r="7488" spans="1:11" ht="42" customHeight="1">
      <c r="A7488" s="2" t="s">
        <v>14468</v>
      </c>
      <c r="B7488" s="2" t="s">
        <v>14468</v>
      </c>
      <c r="C7488" s="2" t="s">
        <v>42</v>
      </c>
      <c r="D7488" s="2" t="s">
        <v>17</v>
      </c>
      <c r="E7488" s="5">
        <v>-28358</v>
      </c>
      <c r="F7488" s="3" t="s">
        <v>211</v>
      </c>
      <c r="G7488" s="3" t="s">
        <v>35</v>
      </c>
      <c r="H7488" s="2" t="s">
        <v>20</v>
      </c>
      <c r="I7488" s="2" t="s">
        <v>14494</v>
      </c>
      <c r="J7488" s="3" t="str">
        <f>HYPERLINK("https://www.boe.es/gazeta/dias/1822/05/10/pdfs/GMD-1822-132.pdf#page=2","Abrir facsímil")</f>
        <v>Abrir facsímil</v>
      </c>
      <c r="K7488" s="3" t="s">
        <v>22</v>
      </c>
    </row>
    <row r="7489" spans="1:11" ht="42" customHeight="1">
      <c r="A7489" s="2" t="s">
        <v>14468</v>
      </c>
      <c r="B7489" s="2" t="s">
        <v>14468</v>
      </c>
      <c r="C7489" s="2" t="s">
        <v>50</v>
      </c>
      <c r="D7489" s="2" t="s">
        <v>51</v>
      </c>
      <c r="E7489" s="5">
        <v>-28354</v>
      </c>
      <c r="F7489" s="3" t="s">
        <v>226</v>
      </c>
      <c r="G7489" s="3" t="s">
        <v>63</v>
      </c>
      <c r="H7489" s="2" t="s">
        <v>20</v>
      </c>
      <c r="I7489" s="2" t="s">
        <v>14495</v>
      </c>
      <c r="J7489" s="3" t="str">
        <f>HYPERLINK("https://www.boe.es/gazeta/dias/1822/05/14/pdfs/GMD-1822-136.pdf#page=6","Abrir facsímil")</f>
        <v>Abrir facsímil</v>
      </c>
      <c r="K7489" s="3" t="s">
        <v>22</v>
      </c>
    </row>
    <row r="7490" spans="1:11" ht="42" customHeight="1">
      <c r="A7490" s="2" t="s">
        <v>14468</v>
      </c>
      <c r="B7490" s="2" t="s">
        <v>14468</v>
      </c>
      <c r="C7490" s="2" t="s">
        <v>16</v>
      </c>
      <c r="D7490" s="2" t="s">
        <v>17</v>
      </c>
      <c r="E7490" s="5">
        <v>-28347</v>
      </c>
      <c r="F7490" s="3" t="s">
        <v>520</v>
      </c>
      <c r="G7490" s="3" t="s">
        <v>35</v>
      </c>
      <c r="H7490" s="2" t="s">
        <v>20</v>
      </c>
      <c r="I7490" s="2" t="s">
        <v>14496</v>
      </c>
      <c r="J7490" s="3" t="str">
        <f>HYPERLINK("https://www.boe.es/gazeta/dias/1822/05/21/pdfs/GMD-1822-144.pdf#page=2","Abrir facsímil")</f>
        <v>Abrir facsímil</v>
      </c>
      <c r="K7490" s="3" t="s">
        <v>22</v>
      </c>
    </row>
    <row r="7491" spans="1:11" ht="42" customHeight="1">
      <c r="A7491" s="2" t="s">
        <v>14468</v>
      </c>
      <c r="B7491" s="2" t="s">
        <v>14468</v>
      </c>
      <c r="C7491" s="2" t="s">
        <v>42</v>
      </c>
      <c r="D7491" s="2" t="s">
        <v>17</v>
      </c>
      <c r="E7491" s="5">
        <v>-28336</v>
      </c>
      <c r="F7491" s="3" t="s">
        <v>156</v>
      </c>
      <c r="G7491" s="3" t="s">
        <v>63</v>
      </c>
      <c r="H7491" s="2" t="s">
        <v>20</v>
      </c>
      <c r="I7491" s="2" t="s">
        <v>14497</v>
      </c>
      <c r="J7491" s="3" t="str">
        <f>HYPERLINK("https://www.boe.es/gazeta/dias/1822/06/01/pdfs/GMD-1822-157.pdf#page=6","Abrir facsímil")</f>
        <v>Abrir facsímil</v>
      </c>
      <c r="K7491" s="3" t="s">
        <v>22</v>
      </c>
    </row>
    <row r="7492" spans="1:11" ht="42" customHeight="1">
      <c r="A7492" s="2" t="s">
        <v>14468</v>
      </c>
      <c r="B7492" s="2" t="s">
        <v>14468</v>
      </c>
      <c r="C7492" s="2" t="s">
        <v>71</v>
      </c>
      <c r="D7492" s="2" t="s">
        <v>17</v>
      </c>
      <c r="E7492" s="5">
        <v>-28334</v>
      </c>
      <c r="F7492" s="3" t="s">
        <v>532</v>
      </c>
      <c r="G7492" s="3" t="s">
        <v>44</v>
      </c>
      <c r="H7492" s="2" t="s">
        <v>20</v>
      </c>
      <c r="I7492" s="2" t="s">
        <v>14498</v>
      </c>
      <c r="J7492" s="3" t="str">
        <f>HYPERLINK("https://www.boe.es/gazeta/dias/1822/06/03/pdfs/GMD-1822-159.pdf#page=1","Abrir facsímil")</f>
        <v>Abrir facsímil</v>
      </c>
      <c r="K7492" s="3" t="s">
        <v>22</v>
      </c>
    </row>
    <row r="7493" spans="1:11" ht="42" customHeight="1">
      <c r="A7493" s="2" t="s">
        <v>14468</v>
      </c>
      <c r="B7493" s="2" t="s">
        <v>14468</v>
      </c>
      <c r="C7493" s="2" t="s">
        <v>28</v>
      </c>
      <c r="D7493" s="2" t="s">
        <v>29</v>
      </c>
      <c r="E7493" s="5">
        <v>-28330</v>
      </c>
      <c r="F7493" s="3" t="s">
        <v>896</v>
      </c>
      <c r="G7493" s="3" t="s">
        <v>57</v>
      </c>
      <c r="H7493" s="2" t="s">
        <v>20</v>
      </c>
      <c r="I7493" s="2" t="s">
        <v>14499</v>
      </c>
      <c r="J7493" s="3" t="str">
        <f>HYPERLINK("https://www.boe.es/gazeta/dias/1822/06/07/pdfs/GMD-1822-164.pdf#page=4","Abrir facsímil")</f>
        <v>Abrir facsímil</v>
      </c>
      <c r="K7493" s="3" t="s">
        <v>22</v>
      </c>
    </row>
    <row r="7494" spans="1:11" ht="42" customHeight="1">
      <c r="A7494" s="2" t="s">
        <v>14468</v>
      </c>
      <c r="B7494" s="2" t="s">
        <v>14468</v>
      </c>
      <c r="C7494" s="2" t="s">
        <v>71</v>
      </c>
      <c r="D7494" s="2" t="s">
        <v>17</v>
      </c>
      <c r="E7494" s="5">
        <v>-28325</v>
      </c>
      <c r="F7494" s="3" t="s">
        <v>104</v>
      </c>
      <c r="G7494" s="3" t="s">
        <v>44</v>
      </c>
      <c r="H7494" s="2" t="s">
        <v>20</v>
      </c>
      <c r="I7494" s="2" t="s">
        <v>14500</v>
      </c>
      <c r="J7494" s="3" t="str">
        <f>HYPERLINK("https://www.boe.es/gazeta/dias/1822/06/12/pdfs/GMD-1822-169.pdf#page=1","Abrir facsímil")</f>
        <v>Abrir facsímil</v>
      </c>
      <c r="K7494" s="3" t="s">
        <v>22</v>
      </c>
    </row>
    <row r="7495" spans="1:11" ht="42" customHeight="1">
      <c r="A7495" s="2" t="s">
        <v>14468</v>
      </c>
      <c r="B7495" s="2" t="s">
        <v>14468</v>
      </c>
      <c r="C7495" s="2" t="s">
        <v>50</v>
      </c>
      <c r="D7495" s="2" t="s">
        <v>51</v>
      </c>
      <c r="E7495" s="5">
        <v>-28318</v>
      </c>
      <c r="F7495" s="3" t="s">
        <v>397</v>
      </c>
      <c r="G7495" s="3" t="s">
        <v>167</v>
      </c>
      <c r="H7495" s="2" t="s">
        <v>20</v>
      </c>
      <c r="I7495" s="2" t="s">
        <v>14501</v>
      </c>
      <c r="J7495" s="3" t="str">
        <f>HYPERLINK("https://www.boe.es/gazeta/dias/1822/06/19/pdfs/GMD-1822-176.pdf#page=7","Abrir facsímil")</f>
        <v>Abrir facsímil</v>
      </c>
      <c r="K7495" s="3" t="s">
        <v>22</v>
      </c>
    </row>
    <row r="7496" spans="1:11" ht="42" customHeight="1">
      <c r="A7496" s="2" t="s">
        <v>14468</v>
      </c>
      <c r="B7496" s="2" t="s">
        <v>14468</v>
      </c>
      <c r="C7496" s="2" t="s">
        <v>50</v>
      </c>
      <c r="D7496" s="2" t="s">
        <v>51</v>
      </c>
      <c r="E7496" s="5">
        <v>-28311</v>
      </c>
      <c r="F7496" s="3" t="s">
        <v>736</v>
      </c>
      <c r="G7496" s="3" t="s">
        <v>44</v>
      </c>
      <c r="H7496" s="2" t="s">
        <v>20</v>
      </c>
      <c r="I7496" s="2" t="s">
        <v>14502</v>
      </c>
      <c r="J7496" s="3" t="str">
        <f>HYPERLINK("https://www.boe.es/gazeta/dias/1822/06/26/pdfs/GMD-1822-184.pdf#page=1","Abrir facsímil")</f>
        <v>Abrir facsímil</v>
      </c>
      <c r="K7496" s="3" t="s">
        <v>22</v>
      </c>
    </row>
    <row r="7497" spans="1:11" ht="42" customHeight="1">
      <c r="A7497" s="2" t="s">
        <v>14468</v>
      </c>
      <c r="B7497" s="2" t="s">
        <v>14468</v>
      </c>
      <c r="C7497" s="2" t="s">
        <v>16</v>
      </c>
      <c r="D7497" s="2" t="s">
        <v>17</v>
      </c>
      <c r="E7497" s="5">
        <v>-28309</v>
      </c>
      <c r="F7497" s="3" t="s">
        <v>553</v>
      </c>
      <c r="G7497" s="3" t="s">
        <v>157</v>
      </c>
      <c r="H7497" s="2" t="s">
        <v>20</v>
      </c>
      <c r="I7497" s="2" t="s">
        <v>14503</v>
      </c>
      <c r="J7497" s="3" t="str">
        <f>HYPERLINK("https://www.boe.es/gazeta/dias/1822/06/28/pdfs/GMD-1822-186.pdf#page=8","Abrir facsímil")</f>
        <v>Abrir facsímil</v>
      </c>
      <c r="K7497" s="3" t="s">
        <v>22</v>
      </c>
    </row>
    <row r="7498" spans="1:11" ht="42" customHeight="1">
      <c r="A7498" s="2" t="s">
        <v>14468</v>
      </c>
      <c r="B7498" s="2" t="s">
        <v>14468</v>
      </c>
      <c r="C7498" s="2" t="s">
        <v>42</v>
      </c>
      <c r="D7498" s="2" t="s">
        <v>17</v>
      </c>
      <c r="E7498" s="5">
        <v>-28308</v>
      </c>
      <c r="F7498" s="3" t="s">
        <v>1050</v>
      </c>
      <c r="G7498" s="3" t="s">
        <v>157</v>
      </c>
      <c r="H7498" s="2" t="s">
        <v>20</v>
      </c>
      <c r="I7498" s="2" t="s">
        <v>14504</v>
      </c>
      <c r="J7498" s="3" t="str">
        <f>HYPERLINK("https://www.boe.es/gazeta/dias/1822/06/29/pdfs/GMD-1822-187.pdf#page=8","Abrir facsímil")</f>
        <v>Abrir facsímil</v>
      </c>
      <c r="K7498" s="3" t="s">
        <v>22</v>
      </c>
    </row>
    <row r="7499" spans="1:11" ht="42" customHeight="1">
      <c r="A7499" s="2" t="s">
        <v>14468</v>
      </c>
      <c r="B7499" s="2" t="s">
        <v>14468</v>
      </c>
      <c r="C7499" s="2" t="s">
        <v>16</v>
      </c>
      <c r="D7499" s="2" t="s">
        <v>17</v>
      </c>
      <c r="E7499" s="5">
        <v>-28307</v>
      </c>
      <c r="F7499" s="3" t="s">
        <v>555</v>
      </c>
      <c r="G7499" s="3" t="s">
        <v>35</v>
      </c>
      <c r="H7499" s="2" t="s">
        <v>20</v>
      </c>
      <c r="I7499" s="2" t="s">
        <v>14505</v>
      </c>
      <c r="J7499" s="3" t="str">
        <f>HYPERLINK("https://www.boe.es/gazeta/dias/1822/06/30/pdfs/GMD-1822-188.pdf#page=2","Abrir facsímil")</f>
        <v>Abrir facsímil</v>
      </c>
      <c r="K7499" s="3" t="s">
        <v>22</v>
      </c>
    </row>
    <row r="7500" spans="1:11" ht="42" customHeight="1">
      <c r="A7500" s="2" t="s">
        <v>14468</v>
      </c>
      <c r="B7500" s="2" t="s">
        <v>14468</v>
      </c>
      <c r="C7500" s="2" t="s">
        <v>42</v>
      </c>
      <c r="D7500" s="2" t="s">
        <v>17</v>
      </c>
      <c r="E7500" s="5">
        <v>-28307</v>
      </c>
      <c r="F7500" s="3" t="s">
        <v>555</v>
      </c>
      <c r="G7500" s="3" t="s">
        <v>157</v>
      </c>
      <c r="H7500" s="2" t="s">
        <v>20</v>
      </c>
      <c r="I7500" s="2" t="s">
        <v>14506</v>
      </c>
      <c r="J7500" s="3" t="str">
        <f>HYPERLINK("https://www.boe.es/gazeta/dias/1822/06/30/pdfs/GMD-1822-188.pdf#page=8","Abrir facsímil")</f>
        <v>Abrir facsímil</v>
      </c>
      <c r="K7500" s="3" t="s">
        <v>22</v>
      </c>
    </row>
    <row r="7501" spans="1:11" ht="42" customHeight="1">
      <c r="A7501" s="2" t="s">
        <v>14468</v>
      </c>
      <c r="B7501" s="2" t="s">
        <v>14468</v>
      </c>
      <c r="C7501" s="2" t="s">
        <v>42</v>
      </c>
      <c r="D7501" s="2" t="s">
        <v>17</v>
      </c>
      <c r="E7501" s="5">
        <v>-28292</v>
      </c>
      <c r="F7501" s="3" t="s">
        <v>222</v>
      </c>
      <c r="G7501" s="3" t="s">
        <v>31</v>
      </c>
      <c r="H7501" s="2" t="s">
        <v>20</v>
      </c>
      <c r="I7501" s="2" t="s">
        <v>14507</v>
      </c>
      <c r="J7501" s="3" t="str">
        <f>HYPERLINK("https://www.boe.es/gazeta/dias/1822/07/15/pdfs/GMD-1822-205.pdf#page=3","Abrir facsímil")</f>
        <v>Abrir facsímil</v>
      </c>
      <c r="K7501" s="3" t="s">
        <v>22</v>
      </c>
    </row>
    <row r="7502" spans="1:11" ht="42" customHeight="1">
      <c r="A7502" s="2" t="s">
        <v>14468</v>
      </c>
      <c r="B7502" s="2" t="s">
        <v>14468</v>
      </c>
      <c r="C7502" s="2" t="s">
        <v>16</v>
      </c>
      <c r="D7502" s="2" t="s">
        <v>17</v>
      </c>
      <c r="E7502" s="5">
        <v>-28289</v>
      </c>
      <c r="F7502" s="3" t="s">
        <v>390</v>
      </c>
      <c r="G7502" s="3" t="s">
        <v>57</v>
      </c>
      <c r="H7502" s="2" t="s">
        <v>20</v>
      </c>
      <c r="I7502" s="2" t="s">
        <v>14508</v>
      </c>
      <c r="J7502" s="3" t="str">
        <f>HYPERLINK("https://www.boe.es/gazeta/dias/1822/07/18/pdfs/GMD-1822-209.pdf#page=4","Abrir facsímil")</f>
        <v>Abrir facsímil</v>
      </c>
      <c r="K7502" s="3" t="s">
        <v>22</v>
      </c>
    </row>
    <row r="7503" spans="1:11" ht="42" customHeight="1">
      <c r="A7503" s="2" t="s">
        <v>14468</v>
      </c>
      <c r="B7503" s="2" t="s">
        <v>14468</v>
      </c>
      <c r="C7503" s="2" t="s">
        <v>42</v>
      </c>
      <c r="D7503" s="2" t="s">
        <v>17</v>
      </c>
      <c r="E7503" s="5">
        <v>-28285</v>
      </c>
      <c r="F7503" s="3" t="s">
        <v>4539</v>
      </c>
      <c r="G7503" s="3" t="s">
        <v>57</v>
      </c>
      <c r="H7503" s="2" t="s">
        <v>20</v>
      </c>
      <c r="I7503" s="2" t="s">
        <v>14509</v>
      </c>
      <c r="J7503" s="3" t="str">
        <f>HYPERLINK("https://www.boe.es/gazeta/dias/1822/07/22/pdfs/GMD-1822-215.pdf#page=4","Abrir facsímil")</f>
        <v>Abrir facsímil</v>
      </c>
      <c r="K7503" s="3" t="s">
        <v>22</v>
      </c>
    </row>
    <row r="7504" spans="1:11" ht="42" customHeight="1">
      <c r="A7504" s="2" t="s">
        <v>14468</v>
      </c>
      <c r="B7504" s="2" t="s">
        <v>14468</v>
      </c>
      <c r="C7504" s="2" t="s">
        <v>50</v>
      </c>
      <c r="D7504" s="2" t="s">
        <v>51</v>
      </c>
      <c r="E7504" s="5">
        <v>-28276</v>
      </c>
      <c r="F7504" s="3" t="s">
        <v>4746</v>
      </c>
      <c r="G7504" s="3" t="s">
        <v>35</v>
      </c>
      <c r="H7504" s="2" t="s">
        <v>20</v>
      </c>
      <c r="I7504" s="2" t="s">
        <v>14510</v>
      </c>
      <c r="J7504" s="3" t="str">
        <f>HYPERLINK("https://www.boe.es/gazeta/dias/1822/07/31/pdfs/GMD-1822-224.pdf#page=2","Abrir facsímil")</f>
        <v>Abrir facsímil</v>
      </c>
      <c r="K7504" s="3" t="s">
        <v>22</v>
      </c>
    </row>
    <row r="7505" spans="1:11" ht="42" customHeight="1">
      <c r="A7505" s="2" t="s">
        <v>14468</v>
      </c>
      <c r="B7505" s="2" t="s">
        <v>14468</v>
      </c>
      <c r="C7505" s="2" t="s">
        <v>50</v>
      </c>
      <c r="D7505" s="2" t="s">
        <v>51</v>
      </c>
      <c r="E7505" s="5">
        <v>-28275</v>
      </c>
      <c r="F7505" s="3" t="s">
        <v>1297</v>
      </c>
      <c r="G7505" s="3" t="s">
        <v>35</v>
      </c>
      <c r="H7505" s="2" t="s">
        <v>20</v>
      </c>
      <c r="I7505" s="2" t="s">
        <v>14511</v>
      </c>
      <c r="J7505" s="3" t="str">
        <f>HYPERLINK("https://www.boe.es/gazeta/dias/1822/08/01/pdfs/GMD-1822-225.pdf#page=2","Abrir facsímil")</f>
        <v>Abrir facsímil</v>
      </c>
      <c r="K7505" s="3" t="s">
        <v>22</v>
      </c>
    </row>
    <row r="7506" spans="1:11" ht="42" customHeight="1">
      <c r="A7506" s="2" t="s">
        <v>14468</v>
      </c>
      <c r="B7506" s="2" t="s">
        <v>14468</v>
      </c>
      <c r="C7506" s="2" t="s">
        <v>71</v>
      </c>
      <c r="D7506" s="2" t="s">
        <v>17</v>
      </c>
      <c r="E7506" s="5">
        <v>-28275</v>
      </c>
      <c r="F7506" s="3" t="s">
        <v>1297</v>
      </c>
      <c r="G7506" s="3" t="s">
        <v>57</v>
      </c>
      <c r="H7506" s="2" t="s">
        <v>20</v>
      </c>
      <c r="I7506" s="2" t="s">
        <v>14512</v>
      </c>
      <c r="J7506" s="3" t="str">
        <f>HYPERLINK("https://www.boe.es/gazeta/dias/1822/08/01/pdfs/GMD-1822-225.pdf#page=4","Abrir facsímil")</f>
        <v>Abrir facsímil</v>
      </c>
      <c r="K7506" s="3" t="s">
        <v>22</v>
      </c>
    </row>
    <row r="7507" spans="1:11" ht="42" customHeight="1">
      <c r="A7507" s="2" t="s">
        <v>14468</v>
      </c>
      <c r="B7507" s="2" t="s">
        <v>14468</v>
      </c>
      <c r="C7507" s="2" t="s">
        <v>50</v>
      </c>
      <c r="D7507" s="2" t="s">
        <v>51</v>
      </c>
      <c r="E7507" s="5">
        <v>-28274</v>
      </c>
      <c r="F7507" s="3" t="s">
        <v>3371</v>
      </c>
      <c r="G7507" s="3" t="s">
        <v>57</v>
      </c>
      <c r="H7507" s="2" t="s">
        <v>20</v>
      </c>
      <c r="I7507" s="2" t="s">
        <v>14513</v>
      </c>
      <c r="J7507" s="3" t="str">
        <f>HYPERLINK("https://www.boe.es/gazeta/dias/1822/08/02/pdfs/GMD-1822-226.pdf#page=4","Abrir facsímil")</f>
        <v>Abrir facsímil</v>
      </c>
      <c r="K7507" s="3" t="s">
        <v>22</v>
      </c>
    </row>
    <row r="7508" spans="1:11" ht="42" customHeight="1">
      <c r="A7508" s="2" t="s">
        <v>14468</v>
      </c>
      <c r="B7508" s="2" t="s">
        <v>14468</v>
      </c>
      <c r="C7508" s="2" t="s">
        <v>28</v>
      </c>
      <c r="D7508" s="2" t="s">
        <v>29</v>
      </c>
      <c r="E7508" s="5">
        <v>-28269</v>
      </c>
      <c r="F7508" s="3" t="s">
        <v>5517</v>
      </c>
      <c r="G7508" s="3" t="s">
        <v>57</v>
      </c>
      <c r="H7508" s="2" t="s">
        <v>20</v>
      </c>
      <c r="I7508" s="2" t="s">
        <v>14514</v>
      </c>
      <c r="J7508" s="3" t="str">
        <f>HYPERLINK("https://www.boe.es/gazeta/dias/1822/08/07/pdfs/GMD-1822-231.pdf#page=4","Abrir facsímil")</f>
        <v>Abrir facsímil</v>
      </c>
      <c r="K7508" s="3" t="s">
        <v>22</v>
      </c>
    </row>
    <row r="7509" spans="1:11" ht="42" customHeight="1">
      <c r="A7509" s="2" t="s">
        <v>14468</v>
      </c>
      <c r="B7509" s="2" t="s">
        <v>14468</v>
      </c>
      <c r="C7509" s="2" t="s">
        <v>50</v>
      </c>
      <c r="D7509" s="2" t="s">
        <v>51</v>
      </c>
      <c r="E7509" s="5">
        <v>-28265</v>
      </c>
      <c r="F7509" s="3" t="s">
        <v>1263</v>
      </c>
      <c r="G7509" s="3" t="s">
        <v>57</v>
      </c>
      <c r="H7509" s="2" t="s">
        <v>20</v>
      </c>
      <c r="I7509" s="2" t="s">
        <v>14515</v>
      </c>
      <c r="J7509" s="3" t="str">
        <f>HYPERLINK("https://www.boe.es/gazeta/dias/1822/08/11/pdfs/GMD-1822-235.pdf#page=4","Abrir facsímil")</f>
        <v>Abrir facsímil</v>
      </c>
      <c r="K7509" s="3" t="s">
        <v>22</v>
      </c>
    </row>
    <row r="7510" spans="1:11" ht="42" customHeight="1">
      <c r="A7510" s="2" t="s">
        <v>14468</v>
      </c>
      <c r="B7510" s="2" t="s">
        <v>14468</v>
      </c>
      <c r="C7510" s="2" t="s">
        <v>50</v>
      </c>
      <c r="D7510" s="2" t="s">
        <v>51</v>
      </c>
      <c r="E7510" s="5">
        <v>-28262</v>
      </c>
      <c r="F7510" s="3" t="s">
        <v>1771</v>
      </c>
      <c r="G7510" s="3" t="s">
        <v>35</v>
      </c>
      <c r="H7510" s="2" t="s">
        <v>20</v>
      </c>
      <c r="I7510" s="2" t="s">
        <v>14516</v>
      </c>
      <c r="J7510" s="3" t="str">
        <f>HYPERLINK("https://www.boe.es/gazeta/dias/1822/08/14/pdfs/GMD-1822-238.pdf#page=2","Abrir facsímil")</f>
        <v>Abrir facsímil</v>
      </c>
      <c r="K7510" s="3" t="s">
        <v>22</v>
      </c>
    </row>
    <row r="7511" spans="1:11" ht="42" customHeight="1">
      <c r="A7511" s="2" t="s">
        <v>14468</v>
      </c>
      <c r="B7511" s="2" t="s">
        <v>14468</v>
      </c>
      <c r="C7511" s="2" t="s">
        <v>61</v>
      </c>
      <c r="D7511" s="2" t="s">
        <v>17</v>
      </c>
      <c r="E7511" s="5">
        <v>-28262</v>
      </c>
      <c r="F7511" s="3" t="s">
        <v>1771</v>
      </c>
      <c r="G7511" s="3" t="s">
        <v>57</v>
      </c>
      <c r="H7511" s="2" t="s">
        <v>20</v>
      </c>
      <c r="I7511" s="2" t="s">
        <v>14517</v>
      </c>
      <c r="J7511" s="3" t="str">
        <f>HYPERLINK("https://www.boe.es/gazeta/dias/1822/08/14/pdfs/GMD-1822-238.pdf#page=4","Abrir facsímil")</f>
        <v>Abrir facsímil</v>
      </c>
      <c r="K7511" s="3" t="s">
        <v>22</v>
      </c>
    </row>
    <row r="7512" spans="1:11" ht="42" customHeight="1">
      <c r="A7512" s="2" t="s">
        <v>14468</v>
      </c>
      <c r="B7512" s="2" t="s">
        <v>14468</v>
      </c>
      <c r="C7512" s="2" t="s">
        <v>16</v>
      </c>
      <c r="D7512" s="2" t="s">
        <v>17</v>
      </c>
      <c r="E7512" s="5">
        <v>-28241</v>
      </c>
      <c r="F7512" s="3" t="s">
        <v>3068</v>
      </c>
      <c r="G7512" s="3" t="s">
        <v>57</v>
      </c>
      <c r="H7512" s="2" t="s">
        <v>20</v>
      </c>
      <c r="I7512" s="2" t="s">
        <v>14518</v>
      </c>
      <c r="J7512" s="3" t="str">
        <f>HYPERLINK("https://www.boe.es/gazeta/dias/1822/09/04/pdfs/GMD-1822-259.pdf#page=4","Abrir facsímil")</f>
        <v>Abrir facsímil</v>
      </c>
      <c r="K7512" s="3" t="s">
        <v>22</v>
      </c>
    </row>
    <row r="7513" spans="1:11" ht="42" customHeight="1">
      <c r="A7513" s="2" t="s">
        <v>14468</v>
      </c>
      <c r="B7513" s="2" t="s">
        <v>14468</v>
      </c>
      <c r="C7513" s="2" t="s">
        <v>24</v>
      </c>
      <c r="D7513" s="2" t="s">
        <v>17</v>
      </c>
      <c r="E7513" s="5">
        <v>-28235</v>
      </c>
      <c r="F7513" s="3" t="s">
        <v>1470</v>
      </c>
      <c r="G7513" s="3" t="s">
        <v>35</v>
      </c>
      <c r="H7513" s="2" t="s">
        <v>20</v>
      </c>
      <c r="I7513" s="2" t="s">
        <v>14519</v>
      </c>
      <c r="J7513" s="3" t="str">
        <f>HYPERLINK("https://www.boe.es/gazeta/dias/1822/09/10/pdfs/GMD-1822-266.pdf#page=2","Abrir facsímil")</f>
        <v>Abrir facsímil</v>
      </c>
      <c r="K7513" s="3" t="s">
        <v>22</v>
      </c>
    </row>
    <row r="7514" spans="1:11" ht="42" customHeight="1">
      <c r="A7514" s="2" t="s">
        <v>14468</v>
      </c>
      <c r="B7514" s="2" t="s">
        <v>14468</v>
      </c>
      <c r="C7514" s="2" t="s">
        <v>50</v>
      </c>
      <c r="D7514" s="2" t="s">
        <v>51</v>
      </c>
      <c r="E7514" s="5">
        <v>-28234</v>
      </c>
      <c r="F7514" s="3" t="s">
        <v>1331</v>
      </c>
      <c r="G7514" s="3" t="s">
        <v>35</v>
      </c>
      <c r="H7514" s="2" t="s">
        <v>20</v>
      </c>
      <c r="I7514" s="2" t="s">
        <v>14520</v>
      </c>
      <c r="J7514" s="3" t="str">
        <f>HYPERLINK("https://www.boe.es/gazeta/dias/1822/09/11/pdfs/GMD-1822-267.pdf#page=2","Abrir facsímil")</f>
        <v>Abrir facsímil</v>
      </c>
      <c r="K7514" s="3" t="s">
        <v>22</v>
      </c>
    </row>
    <row r="7515" spans="1:11" ht="42" customHeight="1">
      <c r="A7515" s="2" t="s">
        <v>14468</v>
      </c>
      <c r="B7515" s="2" t="s">
        <v>14468</v>
      </c>
      <c r="C7515" s="2" t="s">
        <v>28</v>
      </c>
      <c r="D7515" s="2" t="s">
        <v>29</v>
      </c>
      <c r="E7515" s="5">
        <v>-28230</v>
      </c>
      <c r="F7515" s="3" t="s">
        <v>1735</v>
      </c>
      <c r="G7515" s="3" t="s">
        <v>57</v>
      </c>
      <c r="H7515" s="2" t="s">
        <v>20</v>
      </c>
      <c r="I7515" s="2" t="s">
        <v>14521</v>
      </c>
      <c r="J7515" s="3" t="str">
        <f>HYPERLINK("https://www.boe.es/gazeta/dias/1822/09/15/pdfs/GMD-1822-271.pdf#page=4","Abrir facsímil")</f>
        <v>Abrir facsímil</v>
      </c>
      <c r="K7515" s="3" t="s">
        <v>22</v>
      </c>
    </row>
    <row r="7516" spans="1:11" ht="42" customHeight="1">
      <c r="A7516" s="2" t="s">
        <v>14468</v>
      </c>
      <c r="B7516" s="2" t="s">
        <v>14468</v>
      </c>
      <c r="C7516" s="2" t="s">
        <v>50</v>
      </c>
      <c r="D7516" s="2" t="s">
        <v>51</v>
      </c>
      <c r="E7516" s="5">
        <v>-28228</v>
      </c>
      <c r="F7516" s="3" t="s">
        <v>718</v>
      </c>
      <c r="G7516" s="3" t="s">
        <v>719</v>
      </c>
      <c r="H7516" s="2" t="s">
        <v>20</v>
      </c>
      <c r="I7516" s="2" t="s">
        <v>14522</v>
      </c>
      <c r="J7516" s="3" t="str">
        <f>HYPERLINK("https://www.boe.es/gazeta/dias/1822/09/17/pdfs/GMD-1822-273.pdf#page=3","Abrir facsímil")</f>
        <v>Abrir facsímil</v>
      </c>
      <c r="K7516" s="3" t="s">
        <v>22</v>
      </c>
    </row>
    <row r="7517" spans="1:11" ht="42" customHeight="1">
      <c r="A7517" s="2" t="s">
        <v>14468</v>
      </c>
      <c r="B7517" s="2" t="s">
        <v>14468</v>
      </c>
      <c r="C7517" s="2" t="s">
        <v>24</v>
      </c>
      <c r="D7517" s="2" t="s">
        <v>17</v>
      </c>
      <c r="E7517" s="5">
        <v>-28226</v>
      </c>
      <c r="F7517" s="3" t="s">
        <v>812</v>
      </c>
      <c r="G7517" s="3" t="s">
        <v>57</v>
      </c>
      <c r="H7517" s="2" t="s">
        <v>20</v>
      </c>
      <c r="I7517" s="2" t="s">
        <v>14523</v>
      </c>
      <c r="J7517" s="3" t="str">
        <f>HYPERLINK("https://www.boe.es/gazeta/dias/1822/09/19/pdfs/GMD-1822-275.pdf#page=4","Abrir facsímil")</f>
        <v>Abrir facsímil</v>
      </c>
      <c r="K7517" s="3" t="s">
        <v>22</v>
      </c>
    </row>
    <row r="7518" spans="1:11" ht="42" customHeight="1">
      <c r="A7518" s="2" t="s">
        <v>14468</v>
      </c>
      <c r="B7518" s="2" t="s">
        <v>14468</v>
      </c>
      <c r="C7518" s="2" t="s">
        <v>50</v>
      </c>
      <c r="D7518" s="2" t="s">
        <v>51</v>
      </c>
      <c r="E7518" s="5">
        <v>-28208</v>
      </c>
      <c r="F7518" s="3" t="s">
        <v>230</v>
      </c>
      <c r="G7518" s="3" t="s">
        <v>57</v>
      </c>
      <c r="H7518" s="2" t="s">
        <v>20</v>
      </c>
      <c r="I7518" s="2" t="s">
        <v>14524</v>
      </c>
      <c r="J7518" s="3" t="str">
        <f>HYPERLINK("https://www.boe.es/gazeta/dias/1822/10/07/pdfs/GMD-1822-293.pdf#page=4","Abrir facsímil")</f>
        <v>Abrir facsímil</v>
      </c>
      <c r="K7518" s="3" t="s">
        <v>22</v>
      </c>
    </row>
    <row r="7519" spans="1:11" ht="42" customHeight="1">
      <c r="A7519" s="2" t="s">
        <v>14468</v>
      </c>
      <c r="B7519" s="2" t="s">
        <v>14468</v>
      </c>
      <c r="C7519" s="2" t="s">
        <v>71</v>
      </c>
      <c r="D7519" s="2" t="s">
        <v>17</v>
      </c>
      <c r="E7519" s="5">
        <v>-28155</v>
      </c>
      <c r="F7519" s="3" t="s">
        <v>833</v>
      </c>
      <c r="G7519" s="3" t="s">
        <v>63</v>
      </c>
      <c r="H7519" s="2" t="s">
        <v>20</v>
      </c>
      <c r="I7519" s="2" t="s">
        <v>14525</v>
      </c>
      <c r="J7519" s="3" t="str">
        <f>HYPERLINK("https://www.boe.es/gazeta/dias/1822/11/29/pdfs/GMD-1822-349.pdf#page=6","Abrir facsímil")</f>
        <v>Abrir facsímil</v>
      </c>
      <c r="K7519" s="3" t="s">
        <v>22</v>
      </c>
    </row>
    <row r="7520" spans="1:11" ht="42" customHeight="1">
      <c r="A7520" s="2" t="s">
        <v>14468</v>
      </c>
      <c r="B7520" s="2" t="s">
        <v>14468</v>
      </c>
      <c r="C7520" s="2" t="s">
        <v>28</v>
      </c>
      <c r="D7520" s="2" t="s">
        <v>29</v>
      </c>
      <c r="E7520" s="5">
        <v>-28144</v>
      </c>
      <c r="F7520" s="3" t="s">
        <v>288</v>
      </c>
      <c r="G7520" s="3" t="s">
        <v>63</v>
      </c>
      <c r="H7520" s="2" t="s">
        <v>20</v>
      </c>
      <c r="I7520" s="2" t="s">
        <v>14526</v>
      </c>
      <c r="J7520" s="3" t="str">
        <f>HYPERLINK("https://www.boe.es/gazeta/dias/1822/12/10/pdfs/GMD-1822-360.pdf#page=6","Abrir facsímil")</f>
        <v>Abrir facsímil</v>
      </c>
      <c r="K7520" s="3" t="s">
        <v>22</v>
      </c>
    </row>
    <row r="7521" spans="1:11" ht="42" customHeight="1">
      <c r="A7521" s="2" t="s">
        <v>14468</v>
      </c>
      <c r="B7521" s="2" t="s">
        <v>14468</v>
      </c>
      <c r="C7521" s="2" t="s">
        <v>28</v>
      </c>
      <c r="D7521" s="2" t="s">
        <v>29</v>
      </c>
      <c r="E7521" s="5">
        <v>-28127</v>
      </c>
      <c r="F7521" s="3" t="s">
        <v>409</v>
      </c>
      <c r="G7521" s="3" t="s">
        <v>19</v>
      </c>
      <c r="H7521" s="2" t="s">
        <v>20</v>
      </c>
      <c r="I7521" s="2" t="s">
        <v>14527</v>
      </c>
      <c r="J7521" s="3" t="str">
        <f>HYPERLINK("https://www.boe.es/gazeta/dias/1822/12/27/pdfs/GMD-1822-377.pdf#page=5","Abrir facsímil")</f>
        <v>Abrir facsímil</v>
      </c>
      <c r="K7521" s="3" t="s">
        <v>22</v>
      </c>
    </row>
    <row r="7522" spans="1:11" ht="42" customHeight="1">
      <c r="A7522" s="2" t="s">
        <v>14528</v>
      </c>
      <c r="B7522" s="2" t="s">
        <v>14529</v>
      </c>
      <c r="C7522" s="2" t="s">
        <v>61</v>
      </c>
      <c r="D7522" s="2" t="s">
        <v>17</v>
      </c>
      <c r="E7522" s="5">
        <v>-28311</v>
      </c>
      <c r="F7522" s="3" t="s">
        <v>736</v>
      </c>
      <c r="G7522" s="3" t="s">
        <v>157</v>
      </c>
      <c r="H7522" s="2" t="s">
        <v>20</v>
      </c>
      <c r="I7522" s="2" t="s">
        <v>14530</v>
      </c>
      <c r="J7522" s="3" t="str">
        <f>HYPERLINK("https://www.boe.es/gazeta/dias/1822/06/26/pdfs/GMD-1822-184.pdf#page=8","Abrir facsímil")</f>
        <v>Abrir facsímil</v>
      </c>
      <c r="K7522" s="3" t="s">
        <v>22</v>
      </c>
    </row>
    <row r="7523" spans="1:11" ht="42" customHeight="1">
      <c r="A7523" s="2" t="s">
        <v>14528</v>
      </c>
      <c r="B7523" s="2" t="s">
        <v>14529</v>
      </c>
      <c r="C7523" s="2" t="s">
        <v>28</v>
      </c>
      <c r="D7523" s="2" t="s">
        <v>29</v>
      </c>
      <c r="E7523" s="5">
        <v>-28173</v>
      </c>
      <c r="F7523" s="3" t="s">
        <v>2959</v>
      </c>
      <c r="G7523" s="3" t="s">
        <v>44</v>
      </c>
      <c r="H7523" s="2" t="s">
        <v>20</v>
      </c>
      <c r="I7523" s="2" t="s">
        <v>14531</v>
      </c>
      <c r="J7523" s="3" t="str">
        <f>HYPERLINK("https://www.boe.es/gazeta/dias/1822/11/11/pdfs/GMD-1822-331.pdf#page=1","Abrir facsímil")</f>
        <v>Abrir facsímil</v>
      </c>
      <c r="K7523" s="3" t="s">
        <v>22</v>
      </c>
    </row>
    <row r="7524" spans="1:11" ht="42" customHeight="1">
      <c r="A7524" s="2" t="s">
        <v>14532</v>
      </c>
      <c r="B7524" s="2" t="s">
        <v>14533</v>
      </c>
      <c r="C7524" s="2" t="s">
        <v>42</v>
      </c>
      <c r="D7524" s="2" t="s">
        <v>17</v>
      </c>
      <c r="E7524" s="5">
        <v>-28311</v>
      </c>
      <c r="F7524" s="3" t="s">
        <v>736</v>
      </c>
      <c r="G7524" s="3" t="s">
        <v>157</v>
      </c>
      <c r="H7524" s="2" t="s">
        <v>20</v>
      </c>
      <c r="I7524" s="2" t="s">
        <v>14534</v>
      </c>
      <c r="J7524" s="3" t="str">
        <f>HYPERLINK("https://www.boe.es/gazeta/dias/1822/06/26/pdfs/GMD-1822-184.pdf#page=8","Abrir facsímil")</f>
        <v>Abrir facsímil</v>
      </c>
      <c r="K7524" s="3" t="s">
        <v>22</v>
      </c>
    </row>
    <row r="7525" spans="1:11" ht="42" customHeight="1">
      <c r="A7525" s="2" t="s">
        <v>14535</v>
      </c>
      <c r="B7525" s="2" t="s">
        <v>14536</v>
      </c>
      <c r="C7525" s="2" t="s">
        <v>50</v>
      </c>
      <c r="D7525" s="2" t="s">
        <v>51</v>
      </c>
      <c r="E7525" s="5">
        <v>-28482</v>
      </c>
      <c r="F7525" s="3" t="s">
        <v>850</v>
      </c>
      <c r="G7525" s="3" t="s">
        <v>31</v>
      </c>
      <c r="H7525" s="2" t="s">
        <v>45</v>
      </c>
      <c r="I7525" s="2" t="s">
        <v>14537</v>
      </c>
      <c r="J7525" s="3" t="str">
        <f>HYPERLINK("https://www.boe.es/gazeta/dias/1822/01/06/pdfs/GMD-1822-6.pdf#page=3","Abrir facsímil")</f>
        <v>Abrir facsímil</v>
      </c>
      <c r="K7525" s="3" t="s">
        <v>47</v>
      </c>
    </row>
    <row r="7526" spans="1:11" ht="42" customHeight="1">
      <c r="A7526" s="2" t="s">
        <v>14538</v>
      </c>
      <c r="B7526" s="2" t="s">
        <v>14539</v>
      </c>
      <c r="C7526" s="2" t="s">
        <v>28</v>
      </c>
      <c r="D7526" s="2" t="s">
        <v>29</v>
      </c>
      <c r="E7526" s="5">
        <v>-28290</v>
      </c>
      <c r="F7526" s="3" t="s">
        <v>706</v>
      </c>
      <c r="G7526" s="3" t="s">
        <v>57</v>
      </c>
      <c r="H7526" s="2" t="s">
        <v>20</v>
      </c>
      <c r="I7526" s="2" t="s">
        <v>14540</v>
      </c>
      <c r="J7526" s="3" t="str">
        <f>HYPERLINK("https://www.boe.es/gazeta/dias/1822/07/17/pdfs/GMD-1822-207.pdf#page=4","Abrir facsímil")</f>
        <v>Abrir facsímil</v>
      </c>
      <c r="K7526" s="3" t="s">
        <v>22</v>
      </c>
    </row>
    <row r="7527" spans="1:11" ht="42" customHeight="1">
      <c r="A7527" s="2" t="s">
        <v>14541</v>
      </c>
      <c r="B7527" s="2" t="s">
        <v>14542</v>
      </c>
      <c r="C7527" s="2" t="s">
        <v>28</v>
      </c>
      <c r="D7527" s="2" t="s">
        <v>29</v>
      </c>
      <c r="E7527" s="5">
        <v>-28413</v>
      </c>
      <c r="F7527" s="3" t="s">
        <v>458</v>
      </c>
      <c r="G7527" s="3" t="s">
        <v>19</v>
      </c>
      <c r="H7527" s="2" t="s">
        <v>20</v>
      </c>
      <c r="I7527" s="2" t="s">
        <v>14543</v>
      </c>
      <c r="J7527" s="3" t="str">
        <f>HYPERLINK("https://www.boe.es/gazeta/dias/1822/03/16/pdfs/GMD-1822-77.pdf#page=5","Abrir facsímil")</f>
        <v>Abrir facsímil</v>
      </c>
      <c r="K7527" s="3" t="s">
        <v>22</v>
      </c>
    </row>
    <row r="7528" spans="1:11" ht="42" customHeight="1">
      <c r="A7528" s="2" t="s">
        <v>14544</v>
      </c>
      <c r="B7528" s="2" t="s">
        <v>14545</v>
      </c>
      <c r="C7528" s="2" t="s">
        <v>50</v>
      </c>
      <c r="D7528" s="2" t="s">
        <v>51</v>
      </c>
      <c r="E7528" s="5">
        <v>-28477</v>
      </c>
      <c r="F7528" s="3" t="s">
        <v>1668</v>
      </c>
      <c r="G7528" s="3" t="s">
        <v>63</v>
      </c>
      <c r="H7528" s="2" t="s">
        <v>20</v>
      </c>
      <c r="I7528" s="2" t="s">
        <v>14546</v>
      </c>
      <c r="J7528" s="3" t="str">
        <f>HYPERLINK("https://www.boe.es/gazeta/dias/1822/01/11/pdfs/GMD-1822-11.pdf#page=6","Abrir facsímil")</f>
        <v>Abrir facsímil</v>
      </c>
      <c r="K7528" s="3" t="s">
        <v>22</v>
      </c>
    </row>
    <row r="7529" spans="1:11" ht="42" customHeight="1">
      <c r="A7529" s="2" t="s">
        <v>14544</v>
      </c>
      <c r="B7529" s="2" t="s">
        <v>14545</v>
      </c>
      <c r="C7529" s="2" t="s">
        <v>28</v>
      </c>
      <c r="D7529" s="2" t="s">
        <v>29</v>
      </c>
      <c r="E7529" s="5">
        <v>-28427</v>
      </c>
      <c r="F7529" s="3" t="s">
        <v>755</v>
      </c>
      <c r="G7529" s="3" t="s">
        <v>31</v>
      </c>
      <c r="H7529" s="2" t="s">
        <v>20</v>
      </c>
      <c r="I7529" s="2" t="s">
        <v>14547</v>
      </c>
      <c r="J7529" s="3" t="str">
        <f>HYPERLINK("https://www.boe.es/gazeta/dias/1822/03/02/pdfs/GMD-1822-63.pdf#page=3","Abrir facsímil")</f>
        <v>Abrir facsímil</v>
      </c>
      <c r="K7529" s="3" t="s">
        <v>22</v>
      </c>
    </row>
    <row r="7530" spans="1:11" ht="42" customHeight="1">
      <c r="A7530" s="2" t="s">
        <v>14544</v>
      </c>
      <c r="B7530" s="2" t="s">
        <v>14545</v>
      </c>
      <c r="C7530" s="2" t="s">
        <v>50</v>
      </c>
      <c r="D7530" s="2" t="s">
        <v>51</v>
      </c>
      <c r="E7530" s="5">
        <v>-28397</v>
      </c>
      <c r="F7530" s="3" t="s">
        <v>1401</v>
      </c>
      <c r="G7530" s="3" t="s">
        <v>57</v>
      </c>
      <c r="H7530" s="2" t="s">
        <v>20</v>
      </c>
      <c r="I7530" s="2" t="s">
        <v>14548</v>
      </c>
      <c r="J7530" s="3" t="str">
        <f>HYPERLINK("https://www.boe.es/gazeta/dias/1822/04/01/pdfs/GMD-1822-93.pdf#page=4","Abrir facsímil")</f>
        <v>Abrir facsímil</v>
      </c>
      <c r="K7530" s="3" t="s">
        <v>22</v>
      </c>
    </row>
    <row r="7531" spans="1:11" ht="42" customHeight="1">
      <c r="A7531" s="2" t="s">
        <v>14544</v>
      </c>
      <c r="B7531" s="2" t="s">
        <v>14545</v>
      </c>
      <c r="C7531" s="2" t="s">
        <v>50</v>
      </c>
      <c r="D7531" s="2" t="s">
        <v>51</v>
      </c>
      <c r="E7531" s="5">
        <v>-28396</v>
      </c>
      <c r="F7531" s="3" t="s">
        <v>1138</v>
      </c>
      <c r="G7531" s="3" t="s">
        <v>35</v>
      </c>
      <c r="H7531" s="2" t="s">
        <v>20</v>
      </c>
      <c r="I7531" s="2" t="s">
        <v>14549</v>
      </c>
      <c r="J7531" s="3" t="str">
        <f>HYPERLINK("https://www.boe.es/gazeta/dias/1822/04/02/pdfs/GMD-1822-94.pdf#page=2","Abrir facsímil")</f>
        <v>Abrir facsímil</v>
      </c>
      <c r="K7531" s="3" t="s">
        <v>22</v>
      </c>
    </row>
    <row r="7532" spans="1:11" ht="42" customHeight="1">
      <c r="A7532" s="2" t="s">
        <v>14544</v>
      </c>
      <c r="B7532" s="2" t="s">
        <v>14545</v>
      </c>
      <c r="C7532" s="2" t="s">
        <v>50</v>
      </c>
      <c r="D7532" s="2" t="s">
        <v>51</v>
      </c>
      <c r="E7532" s="5">
        <v>-28366</v>
      </c>
      <c r="F7532" s="3" t="s">
        <v>120</v>
      </c>
      <c r="G7532" s="3" t="s">
        <v>35</v>
      </c>
      <c r="H7532" s="2" t="s">
        <v>20</v>
      </c>
      <c r="I7532" s="2" t="s">
        <v>14550</v>
      </c>
      <c r="J7532" s="3" t="str">
        <f>HYPERLINK("https://www.boe.es/gazeta/dias/1822/05/02/pdfs/GMD-1822-124.pdf#page=2","Abrir facsímil")</f>
        <v>Abrir facsímil</v>
      </c>
      <c r="K7532" s="3" t="s">
        <v>22</v>
      </c>
    </row>
    <row r="7533" spans="1:11" ht="42" customHeight="1">
      <c r="A7533" s="2" t="s">
        <v>14544</v>
      </c>
      <c r="B7533" s="2" t="s">
        <v>14545</v>
      </c>
      <c r="C7533" s="2" t="s">
        <v>24</v>
      </c>
      <c r="D7533" s="2" t="s">
        <v>17</v>
      </c>
      <c r="E7533" s="5">
        <v>-28314</v>
      </c>
      <c r="F7533" s="3" t="s">
        <v>309</v>
      </c>
      <c r="G7533" s="3" t="s">
        <v>63</v>
      </c>
      <c r="H7533" s="2" t="s">
        <v>20</v>
      </c>
      <c r="I7533" s="2" t="s">
        <v>14551</v>
      </c>
      <c r="J7533" s="3" t="str">
        <f>HYPERLINK("https://www.boe.es/gazeta/dias/1822/06/23/pdfs/GMD-1822-181.pdf#page=6","Abrir facsímil")</f>
        <v>Abrir facsímil</v>
      </c>
      <c r="K7533" s="3" t="s">
        <v>22</v>
      </c>
    </row>
    <row r="7534" spans="1:11" ht="42" customHeight="1">
      <c r="A7534" s="2" t="s">
        <v>14552</v>
      </c>
      <c r="B7534" s="2" t="s">
        <v>14553</v>
      </c>
      <c r="C7534" s="2" t="s">
        <v>42</v>
      </c>
      <c r="D7534" s="2" t="s">
        <v>17</v>
      </c>
      <c r="E7534" s="5">
        <v>-28395</v>
      </c>
      <c r="F7534" s="3" t="s">
        <v>237</v>
      </c>
      <c r="G7534" s="3" t="s">
        <v>57</v>
      </c>
      <c r="H7534" s="2" t="s">
        <v>20</v>
      </c>
      <c r="I7534" s="2" t="s">
        <v>14554</v>
      </c>
      <c r="J7534" s="3" t="str">
        <f>HYPERLINK("https://www.boe.es/gazeta/dias/1822/04/03/pdfs/GMD-1822-95.pdf#page=4","Abrir facsímil")</f>
        <v>Abrir facsímil</v>
      </c>
      <c r="K7534" s="3" t="s">
        <v>22</v>
      </c>
    </row>
    <row r="7535" spans="1:11" ht="42" customHeight="1">
      <c r="A7535" s="2" t="s">
        <v>14555</v>
      </c>
      <c r="B7535" s="2" t="s">
        <v>14555</v>
      </c>
      <c r="C7535" s="2" t="s">
        <v>24</v>
      </c>
      <c r="D7535" s="2" t="s">
        <v>17</v>
      </c>
      <c r="E7535" s="5">
        <v>-28177</v>
      </c>
      <c r="F7535" s="3" t="s">
        <v>587</v>
      </c>
      <c r="G7535" s="3" t="s">
        <v>44</v>
      </c>
      <c r="H7535" s="2" t="s">
        <v>20</v>
      </c>
      <c r="I7535" s="2" t="s">
        <v>14556</v>
      </c>
      <c r="J7535" s="3" t="str">
        <f>HYPERLINK("https://www.boe.es/gazeta/dias/1822/11/07/pdfs/GMD-1822-327.pdf#page=1","Abrir facsímil")</f>
        <v>Abrir facsímil</v>
      </c>
      <c r="K7535" s="3" t="s">
        <v>22</v>
      </c>
    </row>
    <row r="7536" spans="1:11" ht="42" customHeight="1">
      <c r="A7536" s="2" t="s">
        <v>14557</v>
      </c>
      <c r="B7536" s="2" t="s">
        <v>14557</v>
      </c>
      <c r="C7536" s="2" t="s">
        <v>42</v>
      </c>
      <c r="D7536" s="2" t="s">
        <v>17</v>
      </c>
      <c r="E7536" s="5">
        <v>-28435</v>
      </c>
      <c r="F7536" s="3" t="s">
        <v>1710</v>
      </c>
      <c r="G7536" s="3" t="s">
        <v>35</v>
      </c>
      <c r="H7536" s="2" t="s">
        <v>20</v>
      </c>
      <c r="I7536" s="2" t="s">
        <v>14558</v>
      </c>
      <c r="J7536" s="3" t="str">
        <f>HYPERLINK("https://www.boe.es/gazeta/dias/1822/02/22/pdfs/GMD-1822-54.pdf#page=2","Abrir facsímil")</f>
        <v>Abrir facsímil</v>
      </c>
      <c r="K7536" s="3" t="s">
        <v>22</v>
      </c>
    </row>
    <row r="7537" spans="1:11" ht="42" customHeight="1">
      <c r="A7537" s="2" t="s">
        <v>14559</v>
      </c>
      <c r="B7537" s="2" t="s">
        <v>14559</v>
      </c>
      <c r="C7537" s="2" t="s">
        <v>42</v>
      </c>
      <c r="D7537" s="2" t="s">
        <v>17</v>
      </c>
      <c r="E7537" s="5">
        <v>-28378</v>
      </c>
      <c r="F7537" s="3" t="s">
        <v>496</v>
      </c>
      <c r="G7537" s="3" t="s">
        <v>57</v>
      </c>
      <c r="H7537" s="2" t="s">
        <v>20</v>
      </c>
      <c r="I7537" s="2" t="s">
        <v>14560</v>
      </c>
      <c r="J7537" s="3" t="str">
        <f>HYPERLINK("https://www.boe.es/gazeta/dias/1822/04/20/pdfs/GMD-1822-112.pdf#page=4","Abrir facsímil")</f>
        <v>Abrir facsímil</v>
      </c>
      <c r="K7537" s="3" t="s">
        <v>22</v>
      </c>
    </row>
    <row r="7538" spans="1:11" ht="42" customHeight="1">
      <c r="A7538" s="2" t="s">
        <v>14559</v>
      </c>
      <c r="B7538" s="2" t="s">
        <v>14559</v>
      </c>
      <c r="C7538" s="2" t="s">
        <v>50</v>
      </c>
      <c r="D7538" s="2" t="s">
        <v>51</v>
      </c>
      <c r="E7538" s="5">
        <v>-28359</v>
      </c>
      <c r="F7538" s="3" t="s">
        <v>209</v>
      </c>
      <c r="G7538" s="3" t="s">
        <v>31</v>
      </c>
      <c r="H7538" s="2" t="s">
        <v>20</v>
      </c>
      <c r="I7538" s="2" t="s">
        <v>14561</v>
      </c>
      <c r="J7538" s="3" t="str">
        <f>HYPERLINK("https://www.boe.es/gazeta/dias/1822/05/09/pdfs/GMD-1822-131.pdf#page=3","Abrir facsímil")</f>
        <v>Abrir facsímil</v>
      </c>
      <c r="K7538" s="3" t="s">
        <v>22</v>
      </c>
    </row>
    <row r="7539" spans="1:11" ht="42" customHeight="1">
      <c r="A7539" s="2" t="s">
        <v>14559</v>
      </c>
      <c r="B7539" s="2" t="s">
        <v>14559</v>
      </c>
      <c r="C7539" s="2" t="s">
        <v>24</v>
      </c>
      <c r="D7539" s="2" t="s">
        <v>17</v>
      </c>
      <c r="E7539" s="5">
        <v>-28226</v>
      </c>
      <c r="F7539" s="3" t="s">
        <v>812</v>
      </c>
      <c r="G7539" s="3" t="s">
        <v>57</v>
      </c>
      <c r="H7539" s="2" t="s">
        <v>20</v>
      </c>
      <c r="I7539" s="2" t="s">
        <v>14562</v>
      </c>
      <c r="J7539" s="3" t="str">
        <f>HYPERLINK("https://www.boe.es/gazeta/dias/1822/09/19/pdfs/GMD-1822-275.pdf#page=4","Abrir facsímil")</f>
        <v>Abrir facsímil</v>
      </c>
      <c r="K7539" s="3" t="s">
        <v>22</v>
      </c>
    </row>
    <row r="7540" spans="1:11" ht="42" customHeight="1">
      <c r="A7540" s="2" t="s">
        <v>14563</v>
      </c>
      <c r="B7540" s="2" t="s">
        <v>14564</v>
      </c>
      <c r="C7540" s="2" t="s">
        <v>50</v>
      </c>
      <c r="D7540" s="2" t="s">
        <v>51</v>
      </c>
      <c r="E7540" s="5">
        <v>-28297</v>
      </c>
      <c r="F7540" s="3" t="s">
        <v>1972</v>
      </c>
      <c r="G7540" s="3" t="s">
        <v>57</v>
      </c>
      <c r="H7540" s="2" t="s">
        <v>20</v>
      </c>
      <c r="I7540" s="2" t="s">
        <v>14565</v>
      </c>
      <c r="J7540" s="3" t="str">
        <f>HYPERLINK("https://www.boe.es/gazeta/dias/1822/07/10/pdfs/GMD-1822-200.pdf#page=4","Abrir facsímil")</f>
        <v>Abrir facsímil</v>
      </c>
      <c r="K7540" s="3" t="s">
        <v>22</v>
      </c>
    </row>
    <row r="7541" spans="1:11" ht="42" customHeight="1">
      <c r="A7541" s="2" t="s">
        <v>14566</v>
      </c>
      <c r="B7541" s="2" t="s">
        <v>14567</v>
      </c>
      <c r="C7541" s="2" t="s">
        <v>50</v>
      </c>
      <c r="D7541" s="2" t="s">
        <v>51</v>
      </c>
      <c r="E7541" s="5">
        <v>-28411</v>
      </c>
      <c r="F7541" s="3" t="s">
        <v>1509</v>
      </c>
      <c r="G7541" s="3" t="s">
        <v>44</v>
      </c>
      <c r="H7541" s="2" t="s">
        <v>20</v>
      </c>
      <c r="I7541" s="2" t="s">
        <v>14568</v>
      </c>
      <c r="J7541" s="3" t="str">
        <f>HYPERLINK("https://www.boe.es/gazeta/dias/1822/03/18/pdfs/GMD-1822-79.pdf#page=1","Abrir facsímil")</f>
        <v>Abrir facsímil</v>
      </c>
      <c r="K7541" s="3" t="s">
        <v>22</v>
      </c>
    </row>
    <row r="7542" spans="1:11" ht="42" customHeight="1">
      <c r="A7542" s="2" t="s">
        <v>14569</v>
      </c>
      <c r="B7542" s="2" t="s">
        <v>14569</v>
      </c>
      <c r="C7542" s="2" t="s">
        <v>71</v>
      </c>
      <c r="D7542" s="2" t="s">
        <v>17</v>
      </c>
      <c r="E7542" s="5">
        <v>-28388</v>
      </c>
      <c r="F7542" s="3" t="s">
        <v>1268</v>
      </c>
      <c r="G7542" s="3" t="s">
        <v>44</v>
      </c>
      <c r="H7542" s="2" t="s">
        <v>20</v>
      </c>
      <c r="I7542" s="2" t="s">
        <v>14570</v>
      </c>
      <c r="J7542" s="3" t="str">
        <f>HYPERLINK("https://www.boe.es/gazeta/dias/1822/04/10/pdfs/GMD-1822-102.pdf#page=1","Abrir facsímil")</f>
        <v>Abrir facsímil</v>
      </c>
      <c r="K7542" s="3" t="s">
        <v>22</v>
      </c>
    </row>
    <row r="7543" spans="1:11" ht="42" customHeight="1">
      <c r="A7543" s="2" t="s">
        <v>14571</v>
      </c>
      <c r="B7543" s="2" t="s">
        <v>14572</v>
      </c>
      <c r="C7543" s="2" t="s">
        <v>50</v>
      </c>
      <c r="D7543" s="2" t="s">
        <v>51</v>
      </c>
      <c r="E7543" s="5">
        <v>-28400</v>
      </c>
      <c r="F7543" s="3" t="s">
        <v>1937</v>
      </c>
      <c r="G7543" s="3" t="s">
        <v>35</v>
      </c>
      <c r="H7543" s="2" t="s">
        <v>20</v>
      </c>
      <c r="I7543" s="2" t="s">
        <v>14573</v>
      </c>
      <c r="J7543" s="3" t="str">
        <f>HYPERLINK("https://www.boe.es/gazeta/dias/1822/03/29/pdfs/GMD-1822-90.pdf#page=2","Abrir facsímil")</f>
        <v>Abrir facsímil</v>
      </c>
      <c r="K7543" s="3" t="s">
        <v>22</v>
      </c>
    </row>
    <row r="7544" spans="1:11" ht="42" customHeight="1">
      <c r="A7544" s="2" t="s">
        <v>14574</v>
      </c>
      <c r="B7544" s="2" t="s">
        <v>14574</v>
      </c>
      <c r="C7544" s="2" t="s">
        <v>28</v>
      </c>
      <c r="D7544" s="2" t="s">
        <v>29</v>
      </c>
      <c r="E7544" s="5">
        <v>-28149</v>
      </c>
      <c r="F7544" s="3" t="s">
        <v>1322</v>
      </c>
      <c r="G7544" s="3" t="s">
        <v>57</v>
      </c>
      <c r="H7544" s="2" t="s">
        <v>20</v>
      </c>
      <c r="I7544" s="2" t="s">
        <v>14575</v>
      </c>
      <c r="J7544" s="3" t="str">
        <f>HYPERLINK("https://www.boe.es/gazeta/dias/1822/12/05/pdfs/GMD-1822-355.pdf#page=4","Abrir facsímil")</f>
        <v>Abrir facsímil</v>
      </c>
      <c r="K7544" s="3" t="s">
        <v>22</v>
      </c>
    </row>
    <row r="7545" spans="1:11" ht="42" customHeight="1">
      <c r="A7545" s="2" t="s">
        <v>14576</v>
      </c>
      <c r="B7545" s="2" t="s">
        <v>14576</v>
      </c>
      <c r="C7545" s="2" t="s">
        <v>16</v>
      </c>
      <c r="D7545" s="2" t="s">
        <v>17</v>
      </c>
      <c r="E7545" s="5">
        <v>-28225</v>
      </c>
      <c r="F7545" s="3" t="s">
        <v>177</v>
      </c>
      <c r="G7545" s="3" t="s">
        <v>178</v>
      </c>
      <c r="H7545" s="2" t="s">
        <v>20</v>
      </c>
      <c r="I7545" s="2" t="s">
        <v>14577</v>
      </c>
      <c r="J7545" s="3" t="str">
        <f>HYPERLINK("https://www.boe.es/gazeta/dias/1822/09/20/pdfs/GMD-1822-276.pdf#page=3","Abrir facsímil")</f>
        <v>Abrir facsímil</v>
      </c>
      <c r="K7545" s="3" t="s">
        <v>22</v>
      </c>
    </row>
    <row r="7546" spans="1:11" ht="42" customHeight="1">
      <c r="A7546" s="2" t="s">
        <v>14578</v>
      </c>
      <c r="B7546" s="2" t="s">
        <v>14579</v>
      </c>
      <c r="C7546" s="2" t="s">
        <v>24</v>
      </c>
      <c r="D7546" s="2" t="s">
        <v>17</v>
      </c>
      <c r="E7546" s="5">
        <v>-28407</v>
      </c>
      <c r="F7546" s="3" t="s">
        <v>460</v>
      </c>
      <c r="G7546" s="3" t="s">
        <v>19</v>
      </c>
      <c r="H7546" s="2" t="s">
        <v>20</v>
      </c>
      <c r="I7546" s="2" t="s">
        <v>14580</v>
      </c>
      <c r="J7546" s="3" t="str">
        <f>HYPERLINK("https://www.boe.es/gazeta/dias/1822/03/22/pdfs/GMD-1822-83.pdf#page=5","Abrir facsímil")</f>
        <v>Abrir facsímil</v>
      </c>
      <c r="K7546" s="3" t="s">
        <v>22</v>
      </c>
    </row>
    <row r="7547" spans="1:11" ht="42" customHeight="1">
      <c r="A7547" s="2" t="s">
        <v>14581</v>
      </c>
      <c r="B7547" s="2" t="s">
        <v>14581</v>
      </c>
      <c r="C7547" s="2" t="s">
        <v>50</v>
      </c>
      <c r="D7547" s="2" t="s">
        <v>51</v>
      </c>
      <c r="E7547" s="5">
        <v>-28301</v>
      </c>
      <c r="F7547" s="3" t="s">
        <v>2348</v>
      </c>
      <c r="G7547" s="3" t="s">
        <v>35</v>
      </c>
      <c r="H7547" s="2" t="s">
        <v>20</v>
      </c>
      <c r="I7547" s="2" t="s">
        <v>14582</v>
      </c>
      <c r="J7547" s="3" t="str">
        <f>HYPERLINK("https://www.boe.es/gazeta/dias/1822/07/06/pdfs/GMD-1822-195.pdf#page=2","Abrir facsímil")</f>
        <v>Abrir facsímil</v>
      </c>
      <c r="K7547" s="3" t="s">
        <v>22</v>
      </c>
    </row>
    <row r="7548" spans="1:11" ht="42" customHeight="1">
      <c r="A7548" s="2" t="s">
        <v>14581</v>
      </c>
      <c r="B7548" s="2" t="s">
        <v>14581</v>
      </c>
      <c r="C7548" s="2" t="s">
        <v>16</v>
      </c>
      <c r="D7548" s="2" t="s">
        <v>17</v>
      </c>
      <c r="E7548" s="5">
        <v>-28166</v>
      </c>
      <c r="F7548" s="3" t="s">
        <v>942</v>
      </c>
      <c r="G7548" s="3" t="s">
        <v>1277</v>
      </c>
      <c r="H7548" s="2" t="s">
        <v>20</v>
      </c>
      <c r="I7548" s="2" t="s">
        <v>14583</v>
      </c>
      <c r="J7548" s="3" t="str">
        <f>HYPERLINK("https://www.boe.es/gazeta/dias/1822/11/18/pdfs/GMD-1822-338.pdf#page=6","Abrir facsímil")</f>
        <v>Abrir facsímil</v>
      </c>
      <c r="K7548" s="3" t="s">
        <v>22</v>
      </c>
    </row>
    <row r="7549" spans="1:11" ht="42" customHeight="1">
      <c r="A7549" s="2" t="s">
        <v>14584</v>
      </c>
      <c r="B7549" s="2" t="s">
        <v>14584</v>
      </c>
      <c r="C7549" s="2" t="s">
        <v>50</v>
      </c>
      <c r="D7549" s="2" t="s">
        <v>51</v>
      </c>
      <c r="E7549" s="5">
        <v>-28243</v>
      </c>
      <c r="F7549" s="3" t="s">
        <v>1829</v>
      </c>
      <c r="G7549" s="3" t="s">
        <v>35</v>
      </c>
      <c r="H7549" s="2" t="s">
        <v>20</v>
      </c>
      <c r="I7549" s="2" t="s">
        <v>14585</v>
      </c>
      <c r="J7549" s="3" t="str">
        <f>HYPERLINK("https://www.boe.es/gazeta/dias/1822/09/02/pdfs/GMD-1822-257.pdf#page=2","Abrir facsímil")</f>
        <v>Abrir facsímil</v>
      </c>
      <c r="K7549" s="3" t="s">
        <v>22</v>
      </c>
    </row>
    <row r="7550" spans="1:11" ht="42" customHeight="1">
      <c r="A7550" s="2" t="s">
        <v>14586</v>
      </c>
      <c r="B7550" s="2" t="s">
        <v>14586</v>
      </c>
      <c r="C7550" s="2" t="s">
        <v>50</v>
      </c>
      <c r="D7550" s="2" t="s">
        <v>51</v>
      </c>
      <c r="E7550" s="5">
        <v>-28279</v>
      </c>
      <c r="F7550" s="3" t="s">
        <v>662</v>
      </c>
      <c r="G7550" s="3" t="s">
        <v>57</v>
      </c>
      <c r="H7550" s="2" t="s">
        <v>20</v>
      </c>
      <c r="I7550" s="2" t="s">
        <v>14587</v>
      </c>
      <c r="J7550" s="3" t="str">
        <f>HYPERLINK("https://www.boe.es/gazeta/dias/1822/07/28/pdfs/GMD-1822-221.pdf#page=4","Abrir facsímil")</f>
        <v>Abrir facsímil</v>
      </c>
      <c r="K7550" s="3" t="s">
        <v>22</v>
      </c>
    </row>
    <row r="7551" spans="1:11" ht="42" customHeight="1">
      <c r="A7551" s="2" t="s">
        <v>14586</v>
      </c>
      <c r="B7551" s="2" t="s">
        <v>14586</v>
      </c>
      <c r="C7551" s="2" t="s">
        <v>50</v>
      </c>
      <c r="D7551" s="2" t="s">
        <v>51</v>
      </c>
      <c r="E7551" s="5">
        <v>-28238</v>
      </c>
      <c r="F7551" s="3" t="s">
        <v>2077</v>
      </c>
      <c r="G7551" s="3" t="s">
        <v>44</v>
      </c>
      <c r="H7551" s="2" t="s">
        <v>20</v>
      </c>
      <c r="I7551" s="2" t="s">
        <v>14588</v>
      </c>
      <c r="J7551" s="3" t="str">
        <f>HYPERLINK("https://www.boe.es/gazeta/dias/1822/09/07/pdfs/GMD-1822-262.pdf#page=1","Abrir facsímil")</f>
        <v>Abrir facsímil</v>
      </c>
      <c r="K7551" s="3" t="s">
        <v>22</v>
      </c>
    </row>
    <row r="7552" spans="1:11" ht="42" customHeight="1">
      <c r="A7552" s="2" t="s">
        <v>14589</v>
      </c>
      <c r="B7552" s="2" t="s">
        <v>14589</v>
      </c>
      <c r="C7552" s="2" t="s">
        <v>42</v>
      </c>
      <c r="D7552" s="2" t="s">
        <v>17</v>
      </c>
      <c r="E7552" s="5">
        <v>-28258</v>
      </c>
      <c r="F7552" s="3" t="s">
        <v>88</v>
      </c>
      <c r="G7552" s="3" t="s">
        <v>31</v>
      </c>
      <c r="H7552" s="2" t="s">
        <v>20</v>
      </c>
      <c r="I7552" s="2" t="s">
        <v>14590</v>
      </c>
      <c r="J7552" s="3" t="str">
        <f>HYPERLINK("https://www.boe.es/gazeta/dias/1822/08/18/pdfs/GMD-1822-242.pdf#page=3","Abrir facsímil")</f>
        <v>Abrir facsímil</v>
      </c>
      <c r="K7552" s="3" t="s">
        <v>22</v>
      </c>
    </row>
    <row r="7553" spans="1:11" ht="42" customHeight="1">
      <c r="A7553" s="2" t="s">
        <v>14591</v>
      </c>
      <c r="B7553" s="2" t="s">
        <v>14591</v>
      </c>
      <c r="C7553" s="2" t="s">
        <v>50</v>
      </c>
      <c r="D7553" s="2" t="s">
        <v>51</v>
      </c>
      <c r="E7553" s="5">
        <v>-28383</v>
      </c>
      <c r="F7553" s="3" t="s">
        <v>488</v>
      </c>
      <c r="G7553" s="3" t="s">
        <v>35</v>
      </c>
      <c r="H7553" s="2" t="s">
        <v>20</v>
      </c>
      <c r="I7553" s="2" t="s">
        <v>14592</v>
      </c>
      <c r="J7553" s="3" t="str">
        <f>HYPERLINK("https://www.boe.es/gazeta/dias/1822/04/15/pdfs/GMD-1822-107.pdf#page=2","Abrir facsímil")</f>
        <v>Abrir facsímil</v>
      </c>
      <c r="K7553" s="3" t="s">
        <v>22</v>
      </c>
    </row>
    <row r="7554" spans="1:11" ht="42" customHeight="1">
      <c r="A7554" s="2" t="s">
        <v>14593</v>
      </c>
      <c r="B7554" s="2" t="s">
        <v>14593</v>
      </c>
      <c r="C7554" s="2" t="s">
        <v>28</v>
      </c>
      <c r="D7554" s="2" t="s">
        <v>29</v>
      </c>
      <c r="E7554" s="5">
        <v>-28433</v>
      </c>
      <c r="F7554" s="3" t="s">
        <v>3663</v>
      </c>
      <c r="G7554" s="3" t="s">
        <v>57</v>
      </c>
      <c r="H7554" s="2" t="s">
        <v>20</v>
      </c>
      <c r="I7554" s="2" t="s">
        <v>14594</v>
      </c>
      <c r="J7554" s="3" t="str">
        <f>HYPERLINK("https://www.boe.es/gazeta/dias/1822/02/24/pdfs/GMD-1822-56.pdf#page=4","Abrir facsímil")</f>
        <v>Abrir facsímil</v>
      </c>
      <c r="K7554" s="3" t="s">
        <v>22</v>
      </c>
    </row>
    <row r="7555" spans="1:11" ht="42" customHeight="1">
      <c r="A7555" s="2" t="s">
        <v>14595</v>
      </c>
      <c r="B7555" s="2" t="s">
        <v>14595</v>
      </c>
      <c r="C7555" s="2" t="s">
        <v>50</v>
      </c>
      <c r="D7555" s="2" t="s">
        <v>51</v>
      </c>
      <c r="E7555" s="5">
        <v>-28478</v>
      </c>
      <c r="F7555" s="3" t="s">
        <v>1093</v>
      </c>
      <c r="G7555" s="3" t="s">
        <v>57</v>
      </c>
      <c r="H7555" s="2" t="s">
        <v>20</v>
      </c>
      <c r="I7555" s="2" t="s">
        <v>14596</v>
      </c>
      <c r="J7555" s="3" t="str">
        <f>HYPERLINK("https://www.boe.es/gazeta/dias/1822/01/10/pdfs/GMD-1822-10.pdf#page=4","Abrir facsímil")</f>
        <v>Abrir facsímil</v>
      </c>
      <c r="K7555" s="3" t="s">
        <v>22</v>
      </c>
    </row>
    <row r="7556" spans="1:11" ht="42" customHeight="1">
      <c r="A7556" s="2" t="s">
        <v>14597</v>
      </c>
      <c r="B7556" s="2" t="s">
        <v>14598</v>
      </c>
      <c r="C7556" s="2" t="s">
        <v>50</v>
      </c>
      <c r="D7556" s="2" t="s">
        <v>51</v>
      </c>
      <c r="E7556" s="5">
        <v>-28210</v>
      </c>
      <c r="F7556" s="3" t="s">
        <v>218</v>
      </c>
      <c r="G7556" s="3" t="s">
        <v>19</v>
      </c>
      <c r="H7556" s="2" t="s">
        <v>20</v>
      </c>
      <c r="I7556" s="2" t="s">
        <v>14599</v>
      </c>
      <c r="J7556" s="3" t="str">
        <f>HYPERLINK("https://www.boe.es/gazeta/dias/1822/10/05/pdfs/GMD-1822-291.pdf#page=5","Abrir facsímil")</f>
        <v>Abrir facsímil</v>
      </c>
      <c r="K7556" s="3" t="s">
        <v>22</v>
      </c>
    </row>
    <row r="7557" spans="1:11" ht="42" customHeight="1">
      <c r="A7557" s="2" t="s">
        <v>14600</v>
      </c>
      <c r="B7557" s="2" t="s">
        <v>14601</v>
      </c>
      <c r="C7557" s="2" t="s">
        <v>42</v>
      </c>
      <c r="D7557" s="2" t="s">
        <v>17</v>
      </c>
      <c r="E7557" s="5">
        <v>-28324</v>
      </c>
      <c r="F7557" s="3" t="s">
        <v>305</v>
      </c>
      <c r="G7557" s="3" t="s">
        <v>63</v>
      </c>
      <c r="H7557" s="2" t="s">
        <v>20</v>
      </c>
      <c r="I7557" s="2" t="s">
        <v>14602</v>
      </c>
      <c r="J7557" s="3" t="str">
        <f>HYPERLINK("https://www.boe.es/gazeta/dias/1822/06/13/pdfs/GMD-1822-170.pdf#page=6","Abrir facsímil")</f>
        <v>Abrir facsímil</v>
      </c>
      <c r="K7557" s="3" t="s">
        <v>22</v>
      </c>
    </row>
    <row r="7558" spans="1:11" ht="42" customHeight="1">
      <c r="A7558" s="2" t="s">
        <v>14603</v>
      </c>
      <c r="B7558" s="2" t="s">
        <v>14603</v>
      </c>
      <c r="C7558" s="2" t="s">
        <v>50</v>
      </c>
      <c r="D7558" s="2" t="s">
        <v>51</v>
      </c>
      <c r="E7558" s="5">
        <v>-28445</v>
      </c>
      <c r="F7558" s="3" t="s">
        <v>1622</v>
      </c>
      <c r="G7558" s="3" t="s">
        <v>35</v>
      </c>
      <c r="H7558" s="2" t="s">
        <v>20</v>
      </c>
      <c r="I7558" s="2" t="s">
        <v>14604</v>
      </c>
      <c r="J7558" s="3" t="str">
        <f>HYPERLINK("https://www.boe.es/gazeta/dias/1822/02/12/pdfs/GMD-1822-43.pdf#page=2","Abrir facsímil")</f>
        <v>Abrir facsímil</v>
      </c>
      <c r="K7558" s="3" t="s">
        <v>22</v>
      </c>
    </row>
    <row r="7559" spans="1:11" ht="42" customHeight="1">
      <c r="A7559" s="2" t="s">
        <v>14605</v>
      </c>
      <c r="B7559" s="2" t="s">
        <v>14605</v>
      </c>
      <c r="C7559" s="2" t="s">
        <v>71</v>
      </c>
      <c r="D7559" s="2" t="s">
        <v>17</v>
      </c>
      <c r="E7559" s="5">
        <v>-28280</v>
      </c>
      <c r="F7559" s="3" t="s">
        <v>56</v>
      </c>
      <c r="G7559" s="3" t="s">
        <v>31</v>
      </c>
      <c r="H7559" s="2" t="s">
        <v>20</v>
      </c>
      <c r="I7559" s="2" t="s">
        <v>14606</v>
      </c>
      <c r="J7559" s="3" t="str">
        <f>HYPERLINK("https://www.boe.es/gazeta/dias/1822/07/27/pdfs/GMD-1822-220.pdf#page=3","Abrir facsímil")</f>
        <v>Abrir facsímil</v>
      </c>
      <c r="K7559" s="3" t="s">
        <v>22</v>
      </c>
    </row>
    <row r="7560" spans="1:11" ht="42" customHeight="1">
      <c r="A7560" s="2" t="s">
        <v>14607</v>
      </c>
      <c r="B7560" s="2" t="s">
        <v>14607</v>
      </c>
      <c r="C7560" s="2" t="s">
        <v>50</v>
      </c>
      <c r="D7560" s="2" t="s">
        <v>51</v>
      </c>
      <c r="E7560" s="5">
        <v>-28475</v>
      </c>
      <c r="F7560" s="3" t="s">
        <v>1205</v>
      </c>
      <c r="G7560" s="3" t="s">
        <v>63</v>
      </c>
      <c r="H7560" s="2" t="s">
        <v>20</v>
      </c>
      <c r="I7560" s="2" t="s">
        <v>14608</v>
      </c>
      <c r="J7560" s="3" t="str">
        <f>HYPERLINK("https://www.boe.es/gazeta/dias/1822/01/13/pdfs/GMD-1822-13.pdf#page=6","Abrir facsímil")</f>
        <v>Abrir facsímil</v>
      </c>
      <c r="K7560" s="3" t="s">
        <v>22</v>
      </c>
    </row>
    <row r="7561" spans="1:11" ht="42" customHeight="1">
      <c r="A7561" s="2" t="s">
        <v>14609</v>
      </c>
      <c r="B7561" s="2" t="s">
        <v>14609</v>
      </c>
      <c r="C7561" s="2" t="s">
        <v>50</v>
      </c>
      <c r="D7561" s="2" t="s">
        <v>51</v>
      </c>
      <c r="E7561" s="5">
        <v>-28267</v>
      </c>
      <c r="F7561" s="3" t="s">
        <v>1270</v>
      </c>
      <c r="G7561" s="3" t="s">
        <v>35</v>
      </c>
      <c r="H7561" s="2" t="s">
        <v>20</v>
      </c>
      <c r="I7561" s="2" t="s">
        <v>14610</v>
      </c>
      <c r="J7561" s="3" t="str">
        <f>HYPERLINK("https://www.boe.es/gazeta/dias/1822/08/09/pdfs/GMD-1822-233.pdf#page=2","Abrir facsímil")</f>
        <v>Abrir facsímil</v>
      </c>
      <c r="K7561" s="3" t="s">
        <v>22</v>
      </c>
    </row>
    <row r="7562" spans="1:11" ht="42" customHeight="1">
      <c r="A7562" s="2" t="s">
        <v>14611</v>
      </c>
      <c r="B7562" s="2" t="s">
        <v>14611</v>
      </c>
      <c r="C7562" s="2" t="s">
        <v>28</v>
      </c>
      <c r="D7562" s="2" t="s">
        <v>29</v>
      </c>
      <c r="E7562" s="5">
        <v>-28407</v>
      </c>
      <c r="F7562" s="3" t="s">
        <v>460</v>
      </c>
      <c r="G7562" s="3" t="s">
        <v>35</v>
      </c>
      <c r="H7562" s="2" t="s">
        <v>20</v>
      </c>
      <c r="I7562" s="2" t="s">
        <v>14612</v>
      </c>
      <c r="J7562" s="3" t="str">
        <f>HYPERLINK("https://www.boe.es/gazeta/dias/1822/03/22/pdfs/GMD-1822-83.pdf#page=2","Abrir facsímil")</f>
        <v>Abrir facsímil</v>
      </c>
      <c r="K7562" s="3" t="s">
        <v>22</v>
      </c>
    </row>
    <row r="7563" spans="1:11" ht="42" customHeight="1">
      <c r="A7563" s="2" t="s">
        <v>14613</v>
      </c>
      <c r="B7563" s="2" t="s">
        <v>14613</v>
      </c>
      <c r="C7563" s="2" t="s">
        <v>16</v>
      </c>
      <c r="D7563" s="2" t="s">
        <v>17</v>
      </c>
      <c r="E7563" s="5">
        <v>-28225</v>
      </c>
      <c r="F7563" s="3" t="s">
        <v>177</v>
      </c>
      <c r="G7563" s="3" t="s">
        <v>178</v>
      </c>
      <c r="H7563" s="2" t="s">
        <v>20</v>
      </c>
      <c r="I7563" s="2" t="s">
        <v>14614</v>
      </c>
      <c r="J7563" s="3" t="str">
        <f>HYPERLINK("https://www.boe.es/gazeta/dias/1822/09/20/pdfs/GMD-1822-276.pdf#page=3","Abrir facsímil")</f>
        <v>Abrir facsímil</v>
      </c>
      <c r="K7563" s="3" t="s">
        <v>22</v>
      </c>
    </row>
    <row r="7564" spans="1:11" ht="42" customHeight="1">
      <c r="A7564" s="2" t="s">
        <v>14615</v>
      </c>
      <c r="B7564" s="2" t="s">
        <v>14615</v>
      </c>
      <c r="C7564" s="2" t="s">
        <v>50</v>
      </c>
      <c r="D7564" s="2" t="s">
        <v>51</v>
      </c>
      <c r="E7564" s="5">
        <v>-28167</v>
      </c>
      <c r="F7564" s="3" t="s">
        <v>904</v>
      </c>
      <c r="G7564" s="3" t="s">
        <v>57</v>
      </c>
      <c r="H7564" s="2" t="s">
        <v>20</v>
      </c>
      <c r="I7564" s="2" t="s">
        <v>14616</v>
      </c>
      <c r="J7564" s="3" t="str">
        <f>HYPERLINK("https://www.boe.es/gazeta/dias/1822/11/17/pdfs/GMD-1822-337.pdf#page=4","Abrir facsímil")</f>
        <v>Abrir facsímil</v>
      </c>
      <c r="K7564" s="3" t="s">
        <v>22</v>
      </c>
    </row>
    <row r="7565" spans="1:11" ht="42" customHeight="1">
      <c r="A7565" s="2" t="s">
        <v>14617</v>
      </c>
      <c r="B7565" s="2" t="s">
        <v>14617</v>
      </c>
      <c r="C7565" s="2" t="s">
        <v>61</v>
      </c>
      <c r="D7565" s="2" t="s">
        <v>17</v>
      </c>
      <c r="E7565" s="5">
        <v>-28340</v>
      </c>
      <c r="F7565" s="3" t="s">
        <v>139</v>
      </c>
      <c r="G7565" s="3" t="s">
        <v>35</v>
      </c>
      <c r="H7565" s="2" t="s">
        <v>20</v>
      </c>
      <c r="I7565" s="2" t="s">
        <v>14618</v>
      </c>
      <c r="J7565" s="3" t="str">
        <f>HYPERLINK("https://www.boe.es/gazeta/dias/1822/05/28/pdfs/GMD-1822-153.pdf#page=2","Abrir facsímil")</f>
        <v>Abrir facsímil</v>
      </c>
      <c r="K7565" s="3" t="s">
        <v>22</v>
      </c>
    </row>
    <row r="7566" spans="1:11" ht="42" customHeight="1">
      <c r="A7566" s="2" t="s">
        <v>14619</v>
      </c>
      <c r="B7566" s="2" t="s">
        <v>14619</v>
      </c>
      <c r="C7566" s="2" t="s">
        <v>50</v>
      </c>
      <c r="D7566" s="2" t="s">
        <v>51</v>
      </c>
      <c r="E7566" s="5">
        <v>-28471</v>
      </c>
      <c r="F7566" s="3" t="s">
        <v>1436</v>
      </c>
      <c r="G7566" s="3" t="s">
        <v>35</v>
      </c>
      <c r="H7566" s="2" t="s">
        <v>20</v>
      </c>
      <c r="I7566" s="2" t="s">
        <v>14620</v>
      </c>
      <c r="J7566" s="3" t="str">
        <f>HYPERLINK("https://www.boe.es/gazeta/dias/1822/01/17/pdfs/GMD-1822-17.pdf#page=2","Abrir facsímil")</f>
        <v>Abrir facsímil</v>
      </c>
      <c r="K7566" s="3" t="s">
        <v>22</v>
      </c>
    </row>
    <row r="7567" spans="1:11" ht="42" customHeight="1">
      <c r="A7567" s="2" t="s">
        <v>14619</v>
      </c>
      <c r="B7567" s="2" t="s">
        <v>14619</v>
      </c>
      <c r="C7567" s="2" t="s">
        <v>50</v>
      </c>
      <c r="D7567" s="2" t="s">
        <v>51</v>
      </c>
      <c r="E7567" s="5">
        <v>-28460</v>
      </c>
      <c r="F7567" s="3" t="s">
        <v>112</v>
      </c>
      <c r="G7567" s="3" t="s">
        <v>35</v>
      </c>
      <c r="H7567" s="2" t="s">
        <v>20</v>
      </c>
      <c r="I7567" s="2" t="s">
        <v>14621</v>
      </c>
      <c r="J7567" s="3" t="str">
        <f>HYPERLINK("https://www.boe.es/gazeta/dias/1822/01/28/pdfs/GMD-1822-28.pdf#page=2","Abrir facsímil")</f>
        <v>Abrir facsímil</v>
      </c>
      <c r="K7567" s="3" t="s">
        <v>22</v>
      </c>
    </row>
    <row r="7568" spans="1:11" ht="42" customHeight="1">
      <c r="A7568" s="2" t="s">
        <v>14619</v>
      </c>
      <c r="B7568" s="2" t="s">
        <v>14619</v>
      </c>
      <c r="C7568" s="2" t="s">
        <v>50</v>
      </c>
      <c r="D7568" s="2" t="s">
        <v>51</v>
      </c>
      <c r="E7568" s="5">
        <v>-28458</v>
      </c>
      <c r="F7568" s="3" t="s">
        <v>1151</v>
      </c>
      <c r="G7568" s="3" t="s">
        <v>44</v>
      </c>
      <c r="H7568" s="2" t="s">
        <v>20</v>
      </c>
      <c r="I7568" s="2" t="s">
        <v>14622</v>
      </c>
      <c r="J7568" s="3" t="str">
        <f>HYPERLINK("https://www.boe.es/gazeta/dias/1822/01/30/pdfs/GMD-1822-30.pdf#page=1","Abrir facsímil")</f>
        <v>Abrir facsímil</v>
      </c>
      <c r="K7568" s="3" t="s">
        <v>22</v>
      </c>
    </row>
    <row r="7569" spans="1:11" ht="42" customHeight="1">
      <c r="A7569" s="2" t="s">
        <v>14619</v>
      </c>
      <c r="B7569" s="2" t="s">
        <v>14619</v>
      </c>
      <c r="C7569" s="2" t="s">
        <v>42</v>
      </c>
      <c r="D7569" s="2" t="s">
        <v>17</v>
      </c>
      <c r="E7569" s="5">
        <v>-28453</v>
      </c>
      <c r="F7569" s="3" t="s">
        <v>2039</v>
      </c>
      <c r="G7569" s="3" t="s">
        <v>57</v>
      </c>
      <c r="H7569" s="2" t="s">
        <v>20</v>
      </c>
      <c r="I7569" s="2" t="s">
        <v>14623</v>
      </c>
      <c r="J7569" s="3" t="str">
        <f>HYPERLINK("https://www.boe.es/gazeta/dias/1822/02/04/pdfs/GMD-1822-35.pdf#page=4","Abrir facsímil")</f>
        <v>Abrir facsímil</v>
      </c>
      <c r="K7569" s="3" t="s">
        <v>22</v>
      </c>
    </row>
    <row r="7570" spans="1:11" ht="42" customHeight="1">
      <c r="A7570" s="2" t="s">
        <v>14619</v>
      </c>
      <c r="B7570" s="2" t="s">
        <v>14619</v>
      </c>
      <c r="C7570" s="2" t="s">
        <v>362</v>
      </c>
      <c r="D7570" s="2" t="s">
        <v>17</v>
      </c>
      <c r="E7570" s="5">
        <v>-28450</v>
      </c>
      <c r="F7570" s="3" t="s">
        <v>1450</v>
      </c>
      <c r="G7570" s="3" t="s">
        <v>2247</v>
      </c>
      <c r="H7570" s="2" t="s">
        <v>20</v>
      </c>
      <c r="I7570" s="2" t="s">
        <v>14624</v>
      </c>
      <c r="J7570" s="3" t="str">
        <f>HYPERLINK("https://www.boe.es/gazeta/dias/1822/02/07/pdfs/GMD-1822-38.pdf#page=6","Abrir facsímil")</f>
        <v>Abrir facsímil</v>
      </c>
      <c r="K7570" s="3" t="s">
        <v>22</v>
      </c>
    </row>
    <row r="7571" spans="1:11" ht="42" customHeight="1">
      <c r="A7571" s="2" t="s">
        <v>14619</v>
      </c>
      <c r="B7571" s="2" t="s">
        <v>14619</v>
      </c>
      <c r="C7571" s="2" t="s">
        <v>61</v>
      </c>
      <c r="D7571" s="2" t="s">
        <v>17</v>
      </c>
      <c r="E7571" s="5">
        <v>-28445</v>
      </c>
      <c r="F7571" s="3" t="s">
        <v>1622</v>
      </c>
      <c r="G7571" s="3" t="s">
        <v>44</v>
      </c>
      <c r="H7571" s="2" t="s">
        <v>20</v>
      </c>
      <c r="I7571" s="2" t="s">
        <v>14625</v>
      </c>
      <c r="J7571" s="3" t="str">
        <f>HYPERLINK("https://www.boe.es/gazeta/dias/1822/02/12/pdfs/GMD-1822-43.pdf#page=1","Abrir facsímil")</f>
        <v>Abrir facsímil</v>
      </c>
      <c r="K7571" s="3" t="s">
        <v>22</v>
      </c>
    </row>
    <row r="7572" spans="1:11" ht="42" customHeight="1">
      <c r="A7572" s="2" t="s">
        <v>14619</v>
      </c>
      <c r="B7572" s="2" t="s">
        <v>14619</v>
      </c>
      <c r="C7572" s="2" t="s">
        <v>28</v>
      </c>
      <c r="D7572" s="2" t="s">
        <v>29</v>
      </c>
      <c r="E7572" s="5">
        <v>-28430</v>
      </c>
      <c r="F7572" s="3" t="s">
        <v>3437</v>
      </c>
      <c r="G7572" s="3" t="s">
        <v>57</v>
      </c>
      <c r="H7572" s="2" t="s">
        <v>20</v>
      </c>
      <c r="I7572" s="2" t="s">
        <v>14626</v>
      </c>
      <c r="J7572" s="3" t="str">
        <f>HYPERLINK("https://www.boe.es/gazeta/dias/1822/02/27/pdfs/GMD-1822-59.pdf#page=4","Abrir facsímil")</f>
        <v>Abrir facsímil</v>
      </c>
      <c r="K7572" s="3" t="s">
        <v>22</v>
      </c>
    </row>
    <row r="7573" spans="1:11" ht="42" customHeight="1">
      <c r="A7573" s="2" t="s">
        <v>14619</v>
      </c>
      <c r="B7573" s="2" t="s">
        <v>14619</v>
      </c>
      <c r="C7573" s="2" t="s">
        <v>362</v>
      </c>
      <c r="D7573" s="2" t="s">
        <v>17</v>
      </c>
      <c r="E7573" s="5">
        <v>-28427</v>
      </c>
      <c r="F7573" s="3" t="s">
        <v>755</v>
      </c>
      <c r="G7573" s="3" t="s">
        <v>57</v>
      </c>
      <c r="H7573" s="2" t="s">
        <v>20</v>
      </c>
      <c r="I7573" s="2" t="s">
        <v>14627</v>
      </c>
      <c r="J7573" s="3" t="str">
        <f>HYPERLINK("https://www.boe.es/gazeta/dias/1822/03/02/pdfs/GMD-1822-63.pdf#page=4","Abrir facsímil")</f>
        <v>Abrir facsímil</v>
      </c>
      <c r="K7573" s="3" t="s">
        <v>22</v>
      </c>
    </row>
    <row r="7574" spans="1:11" ht="42" customHeight="1">
      <c r="A7574" s="2" t="s">
        <v>14619</v>
      </c>
      <c r="B7574" s="2" t="s">
        <v>14619</v>
      </c>
      <c r="C7574" s="2" t="s">
        <v>16</v>
      </c>
      <c r="D7574" s="2" t="s">
        <v>17</v>
      </c>
      <c r="E7574" s="5">
        <v>-28426</v>
      </c>
      <c r="F7574" s="3" t="s">
        <v>1178</v>
      </c>
      <c r="G7574" s="3" t="s">
        <v>35</v>
      </c>
      <c r="H7574" s="2" t="s">
        <v>20</v>
      </c>
      <c r="I7574" s="2" t="s">
        <v>14628</v>
      </c>
      <c r="J7574" s="3" t="str">
        <f>HYPERLINK("https://www.boe.es/gazeta/dias/1822/03/03/pdfs/GMD-1822-64.pdf#page=2","Abrir facsímil")</f>
        <v>Abrir facsímil</v>
      </c>
      <c r="K7574" s="3" t="s">
        <v>22</v>
      </c>
    </row>
    <row r="7575" spans="1:11" ht="42" customHeight="1">
      <c r="A7575" s="2" t="s">
        <v>14619</v>
      </c>
      <c r="B7575" s="2" t="s">
        <v>14619</v>
      </c>
      <c r="C7575" s="2" t="s">
        <v>24</v>
      </c>
      <c r="D7575" s="2" t="s">
        <v>17</v>
      </c>
      <c r="E7575" s="5">
        <v>-28421</v>
      </c>
      <c r="F7575" s="3" t="s">
        <v>446</v>
      </c>
      <c r="G7575" s="3" t="s">
        <v>44</v>
      </c>
      <c r="H7575" s="2" t="s">
        <v>20</v>
      </c>
      <c r="I7575" s="2" t="s">
        <v>14629</v>
      </c>
      <c r="J7575" s="3" t="str">
        <f>HYPERLINK("https://www.boe.es/gazeta/dias/1822/03/08/pdfs/GMD-1822-69.pdf#page=1","Abrir facsímil")</f>
        <v>Abrir facsímil</v>
      </c>
      <c r="K7575" s="3" t="s">
        <v>22</v>
      </c>
    </row>
    <row r="7576" spans="1:11" ht="42" customHeight="1">
      <c r="A7576" s="2" t="s">
        <v>14619</v>
      </c>
      <c r="B7576" s="2" t="s">
        <v>14619</v>
      </c>
      <c r="C7576" s="2" t="s">
        <v>28</v>
      </c>
      <c r="D7576" s="2" t="s">
        <v>29</v>
      </c>
      <c r="E7576" s="5">
        <v>-28420</v>
      </c>
      <c r="F7576" s="3" t="s">
        <v>449</v>
      </c>
      <c r="G7576" s="3" t="s">
        <v>57</v>
      </c>
      <c r="H7576" s="2" t="s">
        <v>20</v>
      </c>
      <c r="I7576" s="2" t="s">
        <v>14630</v>
      </c>
      <c r="J7576" s="3" t="str">
        <f>HYPERLINK("https://www.boe.es/gazeta/dias/1822/03/09/pdfs/GMD-1822-70.pdf#page=4","Abrir facsímil")</f>
        <v>Abrir facsímil</v>
      </c>
      <c r="K7576" s="3" t="s">
        <v>22</v>
      </c>
    </row>
    <row r="7577" spans="1:11" ht="42" customHeight="1">
      <c r="A7577" s="2" t="s">
        <v>14619</v>
      </c>
      <c r="B7577" s="2" t="s">
        <v>14619</v>
      </c>
      <c r="C7577" s="2" t="s">
        <v>24</v>
      </c>
      <c r="D7577" s="2" t="s">
        <v>17</v>
      </c>
      <c r="E7577" s="5">
        <v>-28414</v>
      </c>
      <c r="F7577" s="3" t="s">
        <v>187</v>
      </c>
      <c r="G7577" s="3" t="s">
        <v>63</v>
      </c>
      <c r="H7577" s="2" t="s">
        <v>20</v>
      </c>
      <c r="I7577" s="2" t="s">
        <v>14631</v>
      </c>
      <c r="J7577" s="3" t="str">
        <f>HYPERLINK("https://www.boe.es/gazeta/dias/1822/03/15/pdfs/GMD-1822-76.pdf#page=6","Abrir facsímil")</f>
        <v>Abrir facsímil</v>
      </c>
      <c r="K7577" s="3" t="s">
        <v>22</v>
      </c>
    </row>
    <row r="7578" spans="1:11" ht="42" customHeight="1">
      <c r="A7578" s="2" t="s">
        <v>14619</v>
      </c>
      <c r="B7578" s="2" t="s">
        <v>14619</v>
      </c>
      <c r="C7578" s="2" t="s">
        <v>24</v>
      </c>
      <c r="D7578" s="2" t="s">
        <v>17</v>
      </c>
      <c r="E7578" s="5">
        <v>-28413</v>
      </c>
      <c r="F7578" s="3" t="s">
        <v>458</v>
      </c>
      <c r="G7578" s="3" t="s">
        <v>31</v>
      </c>
      <c r="H7578" s="2" t="s">
        <v>20</v>
      </c>
      <c r="I7578" s="2" t="s">
        <v>14632</v>
      </c>
      <c r="J7578" s="3" t="str">
        <f>HYPERLINK("https://www.boe.es/gazeta/dias/1822/03/16/pdfs/GMD-1822-77.pdf#page=3","Abrir facsímil")</f>
        <v>Abrir facsímil</v>
      </c>
      <c r="K7578" s="3" t="s">
        <v>22</v>
      </c>
    </row>
    <row r="7579" spans="1:11" ht="42" customHeight="1">
      <c r="A7579" s="2" t="s">
        <v>14619</v>
      </c>
      <c r="B7579" s="2" t="s">
        <v>14619</v>
      </c>
      <c r="C7579" s="2" t="s">
        <v>50</v>
      </c>
      <c r="D7579" s="2" t="s">
        <v>51</v>
      </c>
      <c r="E7579" s="5">
        <v>-28391</v>
      </c>
      <c r="F7579" s="3" t="s">
        <v>378</v>
      </c>
      <c r="G7579" s="3" t="s">
        <v>63</v>
      </c>
      <c r="H7579" s="2" t="s">
        <v>20</v>
      </c>
      <c r="I7579" s="2" t="s">
        <v>14633</v>
      </c>
      <c r="J7579" s="3" t="str">
        <f>HYPERLINK("https://www.boe.es/gazeta/dias/1822/04/07/pdfs/GMD-1822-99.pdf#page=6","Abrir facsímil")</f>
        <v>Abrir facsímil</v>
      </c>
      <c r="K7579" s="3" t="s">
        <v>22</v>
      </c>
    </row>
    <row r="7580" spans="1:11" ht="42" customHeight="1">
      <c r="A7580" s="2" t="s">
        <v>14619</v>
      </c>
      <c r="B7580" s="2" t="s">
        <v>14619</v>
      </c>
      <c r="C7580" s="2" t="s">
        <v>42</v>
      </c>
      <c r="D7580" s="2" t="s">
        <v>17</v>
      </c>
      <c r="E7580" s="5">
        <v>-28384</v>
      </c>
      <c r="F7580" s="3" t="s">
        <v>258</v>
      </c>
      <c r="G7580" s="3" t="s">
        <v>63</v>
      </c>
      <c r="H7580" s="2" t="s">
        <v>20</v>
      </c>
      <c r="I7580" s="2" t="s">
        <v>14634</v>
      </c>
      <c r="J7580" s="3" t="str">
        <f>HYPERLINK("https://www.boe.es/gazeta/dias/1822/04/14/pdfs/GMD-1822-106.pdf#page=6","Abrir facsímil")</f>
        <v>Abrir facsímil</v>
      </c>
      <c r="K7580" s="3" t="s">
        <v>22</v>
      </c>
    </row>
    <row r="7581" spans="1:11" ht="42" customHeight="1">
      <c r="A7581" s="2" t="s">
        <v>14619</v>
      </c>
      <c r="B7581" s="2" t="s">
        <v>14619</v>
      </c>
      <c r="C7581" s="2" t="s">
        <v>28</v>
      </c>
      <c r="D7581" s="2" t="s">
        <v>29</v>
      </c>
      <c r="E7581" s="5">
        <v>-28382</v>
      </c>
      <c r="F7581" s="3" t="s">
        <v>973</v>
      </c>
      <c r="G7581" s="3" t="s">
        <v>63</v>
      </c>
      <c r="H7581" s="2" t="s">
        <v>20</v>
      </c>
      <c r="I7581" s="2" t="s">
        <v>14635</v>
      </c>
      <c r="J7581" s="3" t="str">
        <f>HYPERLINK("https://www.boe.es/gazeta/dias/1822/04/16/pdfs/GMD-1822-108.pdf#page=6","Abrir facsímil")</f>
        <v>Abrir facsímil</v>
      </c>
      <c r="K7581" s="3" t="s">
        <v>22</v>
      </c>
    </row>
    <row r="7582" spans="1:11" ht="42" customHeight="1">
      <c r="A7582" s="2" t="s">
        <v>14619</v>
      </c>
      <c r="B7582" s="2" t="s">
        <v>14619</v>
      </c>
      <c r="C7582" s="2" t="s">
        <v>50</v>
      </c>
      <c r="D7582" s="2" t="s">
        <v>51</v>
      </c>
      <c r="E7582" s="5">
        <v>-28375</v>
      </c>
      <c r="F7582" s="3" t="s">
        <v>2035</v>
      </c>
      <c r="G7582" s="3" t="s">
        <v>57</v>
      </c>
      <c r="H7582" s="2" t="s">
        <v>20</v>
      </c>
      <c r="I7582" s="2" t="s">
        <v>14636</v>
      </c>
      <c r="J7582" s="3" t="str">
        <f>HYPERLINK("https://www.boe.es/gazeta/dias/1822/04/23/pdfs/GMD-1822-115.pdf#page=4","Abrir facsímil")</f>
        <v>Abrir facsímil</v>
      </c>
      <c r="K7582" s="3" t="s">
        <v>22</v>
      </c>
    </row>
    <row r="7583" spans="1:11" ht="42" customHeight="1">
      <c r="A7583" s="2" t="s">
        <v>14619</v>
      </c>
      <c r="B7583" s="2" t="s">
        <v>14619</v>
      </c>
      <c r="C7583" s="2" t="s">
        <v>28</v>
      </c>
      <c r="D7583" s="2" t="s">
        <v>29</v>
      </c>
      <c r="E7583" s="5">
        <v>-28373</v>
      </c>
      <c r="F7583" s="3" t="s">
        <v>614</v>
      </c>
      <c r="G7583" s="3" t="s">
        <v>57</v>
      </c>
      <c r="H7583" s="2" t="s">
        <v>20</v>
      </c>
      <c r="I7583" s="2" t="s">
        <v>14637</v>
      </c>
      <c r="J7583" s="3" t="str">
        <f>HYPERLINK("https://www.boe.es/gazeta/dias/1822/04/25/pdfs/GMD-1822-117.pdf#page=4","Abrir facsímil")</f>
        <v>Abrir facsímil</v>
      </c>
      <c r="K7583" s="3" t="s">
        <v>22</v>
      </c>
    </row>
    <row r="7584" spans="1:11" ht="42" customHeight="1">
      <c r="A7584" s="2" t="s">
        <v>14619</v>
      </c>
      <c r="B7584" s="2" t="s">
        <v>14619</v>
      </c>
      <c r="C7584" s="2" t="s">
        <v>50</v>
      </c>
      <c r="D7584" s="2" t="s">
        <v>51</v>
      </c>
      <c r="E7584" s="5">
        <v>-28371</v>
      </c>
      <c r="F7584" s="3" t="s">
        <v>401</v>
      </c>
      <c r="G7584" s="3" t="s">
        <v>57</v>
      </c>
      <c r="H7584" s="2" t="s">
        <v>20</v>
      </c>
      <c r="I7584" s="2" t="s">
        <v>14638</v>
      </c>
      <c r="J7584" s="3" t="str">
        <f>HYPERLINK("https://www.boe.es/gazeta/dias/1822/04/27/pdfs/GMD-1822-119.pdf#page=4","Abrir facsímil")</f>
        <v>Abrir facsímil</v>
      </c>
      <c r="K7584" s="3" t="s">
        <v>22</v>
      </c>
    </row>
    <row r="7585" spans="1:11" ht="42" customHeight="1">
      <c r="A7585" s="2" t="s">
        <v>14619</v>
      </c>
      <c r="B7585" s="2" t="s">
        <v>14619</v>
      </c>
      <c r="C7585" s="2" t="s">
        <v>71</v>
      </c>
      <c r="D7585" s="2" t="s">
        <v>17</v>
      </c>
      <c r="E7585" s="5">
        <v>-28370</v>
      </c>
      <c r="F7585" s="3" t="s">
        <v>207</v>
      </c>
      <c r="G7585" s="3" t="s">
        <v>57</v>
      </c>
      <c r="H7585" s="2" t="s">
        <v>20</v>
      </c>
      <c r="I7585" s="2" t="s">
        <v>14639</v>
      </c>
      <c r="J7585" s="3" t="str">
        <f>HYPERLINK("https://www.boe.es/gazeta/dias/1822/04/28/pdfs/GMD-1822-120.pdf#page=4","Abrir facsímil")</f>
        <v>Abrir facsímil</v>
      </c>
      <c r="K7585" s="3" t="s">
        <v>22</v>
      </c>
    </row>
    <row r="7586" spans="1:11" ht="42" customHeight="1">
      <c r="A7586" s="2" t="s">
        <v>14619</v>
      </c>
      <c r="B7586" s="2" t="s">
        <v>14619</v>
      </c>
      <c r="C7586" s="2" t="s">
        <v>28</v>
      </c>
      <c r="D7586" s="2" t="s">
        <v>29</v>
      </c>
      <c r="E7586" s="5">
        <v>-28368</v>
      </c>
      <c r="F7586" s="3" t="s">
        <v>126</v>
      </c>
      <c r="G7586" s="3" t="s">
        <v>57</v>
      </c>
      <c r="H7586" s="2" t="s">
        <v>20</v>
      </c>
      <c r="I7586" s="2" t="s">
        <v>14640</v>
      </c>
      <c r="J7586" s="3" t="str">
        <f>HYPERLINK("https://www.boe.es/gazeta/dias/1822/04/30/pdfs/GMD-1822-122.pdf#page=4","Abrir facsímil")</f>
        <v>Abrir facsímil</v>
      </c>
      <c r="K7586" s="3" t="s">
        <v>22</v>
      </c>
    </row>
    <row r="7587" spans="1:11" ht="42" customHeight="1">
      <c r="A7587" s="2" t="s">
        <v>14619</v>
      </c>
      <c r="B7587" s="2" t="s">
        <v>14619</v>
      </c>
      <c r="C7587" s="2" t="s">
        <v>42</v>
      </c>
      <c r="D7587" s="2" t="s">
        <v>17</v>
      </c>
      <c r="E7587" s="5">
        <v>-28365</v>
      </c>
      <c r="F7587" s="3" t="s">
        <v>506</v>
      </c>
      <c r="G7587" s="3" t="s">
        <v>2093</v>
      </c>
      <c r="H7587" s="2" t="s">
        <v>20</v>
      </c>
      <c r="I7587" s="2" t="s">
        <v>14641</v>
      </c>
      <c r="J7587" s="3" t="str">
        <f>HYPERLINK("https://www.boe.es/gazeta/dias/1822/05/03/pdfs/GMD-1822-125.pdf#page=6","Abrir facsímil")</f>
        <v>Abrir facsímil</v>
      </c>
      <c r="K7587" s="3" t="s">
        <v>22</v>
      </c>
    </row>
    <row r="7588" spans="1:11" ht="42" customHeight="1">
      <c r="A7588" s="2" t="s">
        <v>14619</v>
      </c>
      <c r="B7588" s="2" t="s">
        <v>14619</v>
      </c>
      <c r="C7588" s="2" t="s">
        <v>50</v>
      </c>
      <c r="D7588" s="2" t="s">
        <v>51</v>
      </c>
      <c r="E7588" s="5">
        <v>-28359</v>
      </c>
      <c r="F7588" s="3" t="s">
        <v>209</v>
      </c>
      <c r="G7588" s="3" t="s">
        <v>57</v>
      </c>
      <c r="H7588" s="2" t="s">
        <v>20</v>
      </c>
      <c r="I7588" s="2" t="s">
        <v>14642</v>
      </c>
      <c r="J7588" s="3" t="str">
        <f>HYPERLINK("https://www.boe.es/gazeta/dias/1822/05/09/pdfs/GMD-1822-131.pdf#page=4","Abrir facsímil")</f>
        <v>Abrir facsímil</v>
      </c>
      <c r="K7588" s="3" t="s">
        <v>22</v>
      </c>
    </row>
    <row r="7589" spans="1:11" ht="42" customHeight="1">
      <c r="A7589" s="2" t="s">
        <v>14619</v>
      </c>
      <c r="B7589" s="2" t="s">
        <v>14619</v>
      </c>
      <c r="C7589" s="2" t="s">
        <v>50</v>
      </c>
      <c r="D7589" s="2" t="s">
        <v>51</v>
      </c>
      <c r="E7589" s="5">
        <v>-28354</v>
      </c>
      <c r="F7589" s="3" t="s">
        <v>226</v>
      </c>
      <c r="G7589" s="3" t="s">
        <v>44</v>
      </c>
      <c r="H7589" s="2" t="s">
        <v>20</v>
      </c>
      <c r="I7589" s="2" t="s">
        <v>14643</v>
      </c>
      <c r="J7589" s="3" t="str">
        <f>HYPERLINK("https://www.boe.es/gazeta/dias/1822/05/14/pdfs/GMD-1822-136.pdf#page=1","Abrir facsímil")</f>
        <v>Abrir facsímil</v>
      </c>
      <c r="K7589" s="3" t="s">
        <v>22</v>
      </c>
    </row>
    <row r="7590" spans="1:11" ht="42" customHeight="1">
      <c r="A7590" s="2" t="s">
        <v>14619</v>
      </c>
      <c r="B7590" s="2" t="s">
        <v>14619</v>
      </c>
      <c r="C7590" s="2" t="s">
        <v>28</v>
      </c>
      <c r="D7590" s="2" t="s">
        <v>29</v>
      </c>
      <c r="E7590" s="5">
        <v>-28346</v>
      </c>
      <c r="F7590" s="3" t="s">
        <v>191</v>
      </c>
      <c r="G7590" s="3" t="s">
        <v>63</v>
      </c>
      <c r="H7590" s="2" t="s">
        <v>20</v>
      </c>
      <c r="I7590" s="2" t="s">
        <v>14644</v>
      </c>
      <c r="J7590" s="3" t="str">
        <f>HYPERLINK("https://www.boe.es/gazeta/dias/1822/05/22/pdfs/GMD-1822-145.pdf#page=6","Abrir facsímil")</f>
        <v>Abrir facsímil</v>
      </c>
      <c r="K7590" s="3" t="s">
        <v>22</v>
      </c>
    </row>
    <row r="7591" spans="1:11" ht="42" customHeight="1">
      <c r="A7591" s="2" t="s">
        <v>14619</v>
      </c>
      <c r="B7591" s="2" t="s">
        <v>14619</v>
      </c>
      <c r="C7591" s="2" t="s">
        <v>71</v>
      </c>
      <c r="D7591" s="2" t="s">
        <v>17</v>
      </c>
      <c r="E7591" s="5">
        <v>-28341</v>
      </c>
      <c r="F7591" s="3" t="s">
        <v>284</v>
      </c>
      <c r="G7591" s="3" t="s">
        <v>31</v>
      </c>
      <c r="H7591" s="2" t="s">
        <v>20</v>
      </c>
      <c r="I7591" s="2" t="s">
        <v>14645</v>
      </c>
      <c r="J7591" s="3" t="str">
        <f>HYPERLINK("https://www.boe.es/gazeta/dias/1822/05/27/pdfs/GMD-1822-152.pdf#page=3","Abrir facsímil")</f>
        <v>Abrir facsímil</v>
      </c>
      <c r="K7591" s="3" t="s">
        <v>22</v>
      </c>
    </row>
    <row r="7592" spans="1:11" ht="42" customHeight="1">
      <c r="A7592" s="2" t="s">
        <v>14619</v>
      </c>
      <c r="B7592" s="2" t="s">
        <v>14619</v>
      </c>
      <c r="C7592" s="2" t="s">
        <v>50</v>
      </c>
      <c r="D7592" s="2" t="s">
        <v>51</v>
      </c>
      <c r="E7592" s="5">
        <v>-28340</v>
      </c>
      <c r="F7592" s="3" t="s">
        <v>139</v>
      </c>
      <c r="G7592" s="3" t="s">
        <v>63</v>
      </c>
      <c r="H7592" s="2" t="s">
        <v>20</v>
      </c>
      <c r="I7592" s="2" t="s">
        <v>14646</v>
      </c>
      <c r="J7592" s="3" t="str">
        <f>HYPERLINK("https://www.boe.es/gazeta/dias/1822/05/28/pdfs/GMD-1822-153.pdf#page=6","Abrir facsímil")</f>
        <v>Abrir facsímil</v>
      </c>
      <c r="K7592" s="3" t="s">
        <v>22</v>
      </c>
    </row>
    <row r="7593" spans="1:11" ht="42" customHeight="1">
      <c r="A7593" s="2" t="s">
        <v>14619</v>
      </c>
      <c r="B7593" s="2" t="s">
        <v>14619</v>
      </c>
      <c r="C7593" s="2" t="s">
        <v>50</v>
      </c>
      <c r="D7593" s="2" t="s">
        <v>51</v>
      </c>
      <c r="E7593" s="5">
        <v>-28336</v>
      </c>
      <c r="F7593" s="3" t="s">
        <v>156</v>
      </c>
      <c r="G7593" s="3" t="s">
        <v>35</v>
      </c>
      <c r="H7593" s="2" t="s">
        <v>20</v>
      </c>
      <c r="I7593" s="2" t="s">
        <v>14647</v>
      </c>
      <c r="J7593" s="3" t="str">
        <f>HYPERLINK("https://www.boe.es/gazeta/dias/1822/06/01/pdfs/GMD-1822-157.pdf#page=2","Abrir facsímil")</f>
        <v>Abrir facsímil</v>
      </c>
      <c r="K7593" s="3" t="s">
        <v>22</v>
      </c>
    </row>
    <row r="7594" spans="1:11" ht="42" customHeight="1">
      <c r="A7594" s="2" t="s">
        <v>14619</v>
      </c>
      <c r="B7594" s="2" t="s">
        <v>14619</v>
      </c>
      <c r="C7594" s="2" t="s">
        <v>71</v>
      </c>
      <c r="D7594" s="2" t="s">
        <v>17</v>
      </c>
      <c r="E7594" s="5">
        <v>-28333</v>
      </c>
      <c r="F7594" s="3" t="s">
        <v>1928</v>
      </c>
      <c r="G7594" s="3" t="s">
        <v>63</v>
      </c>
      <c r="H7594" s="2" t="s">
        <v>20</v>
      </c>
      <c r="I7594" s="2" t="s">
        <v>14648</v>
      </c>
      <c r="J7594" s="3" t="str">
        <f>HYPERLINK("https://www.boe.es/gazeta/dias/1822/06/04/pdfs/GMD-1822-161.pdf#page=6","Abrir facsímil")</f>
        <v>Abrir facsímil</v>
      </c>
      <c r="K7594" s="3" t="s">
        <v>22</v>
      </c>
    </row>
    <row r="7595" spans="1:11" ht="42" customHeight="1">
      <c r="A7595" s="2" t="s">
        <v>14619</v>
      </c>
      <c r="B7595" s="2" t="s">
        <v>14619</v>
      </c>
      <c r="C7595" s="2" t="s">
        <v>24</v>
      </c>
      <c r="D7595" s="2" t="s">
        <v>17</v>
      </c>
      <c r="E7595" s="5">
        <v>-28330</v>
      </c>
      <c r="F7595" s="3" t="s">
        <v>896</v>
      </c>
      <c r="G7595" s="3" t="s">
        <v>57</v>
      </c>
      <c r="H7595" s="2" t="s">
        <v>20</v>
      </c>
      <c r="I7595" s="2" t="s">
        <v>14649</v>
      </c>
      <c r="J7595" s="3" t="str">
        <f>HYPERLINK("https://www.boe.es/gazeta/dias/1822/06/07/pdfs/GMD-1822-164.pdf#page=4","Abrir facsímil")</f>
        <v>Abrir facsímil</v>
      </c>
      <c r="K7595" s="3" t="s">
        <v>22</v>
      </c>
    </row>
    <row r="7596" spans="1:11" ht="42" customHeight="1">
      <c r="A7596" s="2" t="s">
        <v>14619</v>
      </c>
      <c r="B7596" s="2" t="s">
        <v>14619</v>
      </c>
      <c r="C7596" s="2" t="s">
        <v>16</v>
      </c>
      <c r="D7596" s="2" t="s">
        <v>17</v>
      </c>
      <c r="E7596" s="5">
        <v>-28327</v>
      </c>
      <c r="F7596" s="3" t="s">
        <v>38</v>
      </c>
      <c r="G7596" s="3" t="s">
        <v>31</v>
      </c>
      <c r="H7596" s="2" t="s">
        <v>20</v>
      </c>
      <c r="I7596" s="2" t="s">
        <v>14650</v>
      </c>
      <c r="J7596" s="3" t="str">
        <f>HYPERLINK("https://www.boe.es/gazeta/dias/1822/06/10/pdfs/GMD-1822-167.pdf#page=3","Abrir facsímil")</f>
        <v>Abrir facsímil</v>
      </c>
      <c r="K7596" s="3" t="s">
        <v>22</v>
      </c>
    </row>
    <row r="7597" spans="1:11" ht="42" customHeight="1">
      <c r="A7597" s="2" t="s">
        <v>14619</v>
      </c>
      <c r="B7597" s="2" t="s">
        <v>14619</v>
      </c>
      <c r="C7597" s="2" t="s">
        <v>71</v>
      </c>
      <c r="D7597" s="2" t="s">
        <v>17</v>
      </c>
      <c r="E7597" s="5">
        <v>-28326</v>
      </c>
      <c r="F7597" s="3" t="s">
        <v>543</v>
      </c>
      <c r="G7597" s="3" t="s">
        <v>44</v>
      </c>
      <c r="H7597" s="2" t="s">
        <v>20</v>
      </c>
      <c r="I7597" s="2" t="s">
        <v>14651</v>
      </c>
      <c r="J7597" s="3" t="str">
        <f>HYPERLINK("https://www.boe.es/gazeta/dias/1822/06/11/pdfs/GMD-1822-168.pdf#page=1","Abrir facsímil")</f>
        <v>Abrir facsímil</v>
      </c>
      <c r="K7597" s="3" t="s">
        <v>22</v>
      </c>
    </row>
    <row r="7598" spans="1:11" ht="42" customHeight="1">
      <c r="A7598" s="2" t="s">
        <v>14619</v>
      </c>
      <c r="B7598" s="2" t="s">
        <v>14619</v>
      </c>
      <c r="C7598" s="2" t="s">
        <v>42</v>
      </c>
      <c r="D7598" s="2" t="s">
        <v>17</v>
      </c>
      <c r="E7598" s="5">
        <v>-28320</v>
      </c>
      <c r="F7598" s="3" t="s">
        <v>700</v>
      </c>
      <c r="G7598" s="3" t="s">
        <v>44</v>
      </c>
      <c r="H7598" s="2" t="s">
        <v>20</v>
      </c>
      <c r="I7598" s="2" t="s">
        <v>14652</v>
      </c>
      <c r="J7598" s="3" t="str">
        <f>HYPERLINK("https://www.boe.es/gazeta/dias/1822/06/17/pdfs/GMD-1822-174.pdf#page=1","Abrir facsímil")</f>
        <v>Abrir facsímil</v>
      </c>
      <c r="K7598" s="3" t="s">
        <v>22</v>
      </c>
    </row>
    <row r="7599" spans="1:11" ht="42" customHeight="1">
      <c r="A7599" s="2" t="s">
        <v>14619</v>
      </c>
      <c r="B7599" s="2" t="s">
        <v>14619</v>
      </c>
      <c r="C7599" s="2" t="s">
        <v>28</v>
      </c>
      <c r="D7599" s="2" t="s">
        <v>29</v>
      </c>
      <c r="E7599" s="5">
        <v>-28318</v>
      </c>
      <c r="F7599" s="3" t="s">
        <v>397</v>
      </c>
      <c r="G7599" s="3" t="s">
        <v>44</v>
      </c>
      <c r="H7599" s="2" t="s">
        <v>20</v>
      </c>
      <c r="I7599" s="2" t="s">
        <v>14653</v>
      </c>
      <c r="J7599" s="3" t="str">
        <f>HYPERLINK("https://www.boe.es/gazeta/dias/1822/06/19/pdfs/GMD-1822-176.pdf#page=1","Abrir facsímil")</f>
        <v>Abrir facsímil</v>
      </c>
      <c r="K7599" s="3" t="s">
        <v>22</v>
      </c>
    </row>
    <row r="7600" spans="1:11" ht="42" customHeight="1">
      <c r="A7600" s="2" t="s">
        <v>14619</v>
      </c>
      <c r="B7600" s="2" t="s">
        <v>14619</v>
      </c>
      <c r="C7600" s="2" t="s">
        <v>42</v>
      </c>
      <c r="D7600" s="2" t="s">
        <v>17</v>
      </c>
      <c r="E7600" s="5">
        <v>-28313</v>
      </c>
      <c r="F7600" s="3" t="s">
        <v>315</v>
      </c>
      <c r="G7600" s="3" t="s">
        <v>157</v>
      </c>
      <c r="H7600" s="2" t="s">
        <v>20</v>
      </c>
      <c r="I7600" s="2" t="s">
        <v>14654</v>
      </c>
      <c r="J7600" s="3" t="str">
        <f>HYPERLINK("https://www.boe.es/gazeta/dias/1822/06/24/pdfs/GMD-1822-182.pdf#page=8","Abrir facsímil")</f>
        <v>Abrir facsímil</v>
      </c>
      <c r="K7600" s="3" t="s">
        <v>22</v>
      </c>
    </row>
    <row r="7601" spans="1:11" ht="42" customHeight="1">
      <c r="A7601" s="2" t="s">
        <v>14619</v>
      </c>
      <c r="B7601" s="2" t="s">
        <v>14619</v>
      </c>
      <c r="C7601" s="2" t="s">
        <v>24</v>
      </c>
      <c r="D7601" s="2" t="s">
        <v>17</v>
      </c>
      <c r="E7601" s="5">
        <v>-28311</v>
      </c>
      <c r="F7601" s="3" t="s">
        <v>736</v>
      </c>
      <c r="G7601" s="3" t="s">
        <v>157</v>
      </c>
      <c r="H7601" s="2" t="s">
        <v>20</v>
      </c>
      <c r="I7601" s="2" t="s">
        <v>14655</v>
      </c>
      <c r="J7601" s="3" t="str">
        <f>HYPERLINK("https://www.boe.es/gazeta/dias/1822/06/26/pdfs/GMD-1822-184.pdf#page=8","Abrir facsímil")</f>
        <v>Abrir facsímil</v>
      </c>
      <c r="K7601" s="3" t="s">
        <v>22</v>
      </c>
    </row>
    <row r="7602" spans="1:11" ht="42" customHeight="1">
      <c r="A7602" s="2" t="s">
        <v>14619</v>
      </c>
      <c r="B7602" s="2" t="s">
        <v>14619</v>
      </c>
      <c r="C7602" s="2" t="s">
        <v>50</v>
      </c>
      <c r="D7602" s="2" t="s">
        <v>51</v>
      </c>
      <c r="E7602" s="5">
        <v>-28307</v>
      </c>
      <c r="F7602" s="3" t="s">
        <v>555</v>
      </c>
      <c r="G7602" s="3" t="s">
        <v>871</v>
      </c>
      <c r="H7602" s="2" t="s">
        <v>20</v>
      </c>
      <c r="I7602" s="2" t="s">
        <v>14656</v>
      </c>
      <c r="J7602" s="3" t="str">
        <f>HYPERLINK("https://www.boe.es/gazeta/dias/1822/06/30/pdfs/GMD-1822-188.pdf#page=4","Abrir facsímil")</f>
        <v>Abrir facsímil</v>
      </c>
      <c r="K7602" s="3" t="s">
        <v>22</v>
      </c>
    </row>
    <row r="7603" spans="1:11" ht="42" customHeight="1">
      <c r="A7603" s="2" t="s">
        <v>14619</v>
      </c>
      <c r="B7603" s="2" t="s">
        <v>14619</v>
      </c>
      <c r="C7603" s="2" t="s">
        <v>42</v>
      </c>
      <c r="D7603" s="2" t="s">
        <v>17</v>
      </c>
      <c r="E7603" s="5">
        <v>-28304</v>
      </c>
      <c r="F7603" s="3" t="s">
        <v>4502</v>
      </c>
      <c r="G7603" s="3" t="s">
        <v>57</v>
      </c>
      <c r="H7603" s="2" t="s">
        <v>20</v>
      </c>
      <c r="I7603" s="2" t="s">
        <v>14657</v>
      </c>
      <c r="J7603" s="3" t="str">
        <f>HYPERLINK("https://www.boe.es/gazeta/dias/1822/07/03/pdfs/GMD-1822-192.pdf#page=4","Abrir facsímil")</f>
        <v>Abrir facsímil</v>
      </c>
      <c r="K7603" s="3" t="s">
        <v>22</v>
      </c>
    </row>
    <row r="7604" spans="1:11" ht="42" customHeight="1">
      <c r="A7604" s="2" t="s">
        <v>14619</v>
      </c>
      <c r="B7604" s="2" t="s">
        <v>14619</v>
      </c>
      <c r="C7604" s="2" t="s">
        <v>61</v>
      </c>
      <c r="D7604" s="2" t="s">
        <v>17</v>
      </c>
      <c r="E7604" s="5">
        <v>-28297</v>
      </c>
      <c r="F7604" s="3" t="s">
        <v>1972</v>
      </c>
      <c r="G7604" s="3" t="s">
        <v>57</v>
      </c>
      <c r="H7604" s="2" t="s">
        <v>20</v>
      </c>
      <c r="I7604" s="2" t="s">
        <v>14658</v>
      </c>
      <c r="J7604" s="3" t="str">
        <f>HYPERLINK("https://www.boe.es/gazeta/dias/1822/07/10/pdfs/GMD-1822-200.pdf#page=4","Abrir facsímil")</f>
        <v>Abrir facsímil</v>
      </c>
      <c r="K7604" s="3" t="s">
        <v>22</v>
      </c>
    </row>
    <row r="7605" spans="1:11" ht="42" customHeight="1">
      <c r="A7605" s="2" t="s">
        <v>14619</v>
      </c>
      <c r="B7605" s="2" t="s">
        <v>14619</v>
      </c>
      <c r="C7605" s="2" t="s">
        <v>24</v>
      </c>
      <c r="D7605" s="2" t="s">
        <v>17</v>
      </c>
      <c r="E7605" s="5">
        <v>-28293</v>
      </c>
      <c r="F7605" s="3" t="s">
        <v>152</v>
      </c>
      <c r="G7605" s="3" t="s">
        <v>31</v>
      </c>
      <c r="H7605" s="2" t="s">
        <v>20</v>
      </c>
      <c r="I7605" s="2" t="s">
        <v>14659</v>
      </c>
      <c r="J7605" s="3" t="str">
        <f>HYPERLINK("https://www.boe.es/gazeta/dias/1822/07/14/pdfs/GMD-1822-204.pdf#page=3","Abrir facsímil")</f>
        <v>Abrir facsímil</v>
      </c>
      <c r="K7605" s="3" t="s">
        <v>22</v>
      </c>
    </row>
    <row r="7606" spans="1:11" ht="42" customHeight="1">
      <c r="A7606" s="2" t="s">
        <v>14619</v>
      </c>
      <c r="B7606" s="2" t="s">
        <v>14619</v>
      </c>
      <c r="C7606" s="2" t="s">
        <v>42</v>
      </c>
      <c r="D7606" s="2" t="s">
        <v>17</v>
      </c>
      <c r="E7606" s="5">
        <v>-28292</v>
      </c>
      <c r="F7606" s="3" t="s">
        <v>222</v>
      </c>
      <c r="G7606" s="3" t="s">
        <v>31</v>
      </c>
      <c r="H7606" s="2" t="s">
        <v>20</v>
      </c>
      <c r="I7606" s="2" t="s">
        <v>14660</v>
      </c>
      <c r="J7606" s="3" t="str">
        <f>HYPERLINK("https://www.boe.es/gazeta/dias/1822/07/15/pdfs/GMD-1822-205.pdf#page=3","Abrir facsímil")</f>
        <v>Abrir facsímil</v>
      </c>
      <c r="K7606" s="3" t="s">
        <v>22</v>
      </c>
    </row>
    <row r="7607" spans="1:11" ht="42" customHeight="1">
      <c r="A7607" s="2" t="s">
        <v>14619</v>
      </c>
      <c r="B7607" s="2" t="s">
        <v>14619</v>
      </c>
      <c r="C7607" s="2" t="s">
        <v>50</v>
      </c>
      <c r="D7607" s="2" t="s">
        <v>51</v>
      </c>
      <c r="E7607" s="5">
        <v>-28290</v>
      </c>
      <c r="F7607" s="3" t="s">
        <v>706</v>
      </c>
      <c r="G7607" s="3" t="s">
        <v>35</v>
      </c>
      <c r="H7607" s="2" t="s">
        <v>20</v>
      </c>
      <c r="I7607" s="2" t="s">
        <v>14661</v>
      </c>
      <c r="J7607" s="3" t="str">
        <f>HYPERLINK("https://www.boe.es/gazeta/dias/1822/07/17/pdfs/GMD-1822-207.pdf#page=2","Abrir facsímil")</f>
        <v>Abrir facsímil</v>
      </c>
      <c r="K7607" s="3" t="s">
        <v>22</v>
      </c>
    </row>
    <row r="7608" spans="1:11" ht="42" customHeight="1">
      <c r="A7608" s="2" t="s">
        <v>14619</v>
      </c>
      <c r="B7608" s="2" t="s">
        <v>14619</v>
      </c>
      <c r="C7608" s="2" t="s">
        <v>50</v>
      </c>
      <c r="D7608" s="2" t="s">
        <v>51</v>
      </c>
      <c r="E7608" s="5">
        <v>-28290</v>
      </c>
      <c r="F7608" s="3" t="s">
        <v>706</v>
      </c>
      <c r="G7608" s="3" t="s">
        <v>31</v>
      </c>
      <c r="H7608" s="2" t="s">
        <v>20</v>
      </c>
      <c r="I7608" s="2" t="s">
        <v>14662</v>
      </c>
      <c r="J7608" s="3" t="str">
        <f>HYPERLINK("https://www.boe.es/gazeta/dias/1822/07/17/pdfs/GMD-1822-207.pdf#page=3","Abrir facsímil")</f>
        <v>Abrir facsímil</v>
      </c>
      <c r="K7608" s="3" t="s">
        <v>22</v>
      </c>
    </row>
    <row r="7609" spans="1:11" ht="42" customHeight="1">
      <c r="A7609" s="2" t="s">
        <v>14619</v>
      </c>
      <c r="B7609" s="2" t="s">
        <v>14619</v>
      </c>
      <c r="C7609" s="2" t="s">
        <v>50</v>
      </c>
      <c r="D7609" s="2" t="s">
        <v>51</v>
      </c>
      <c r="E7609" s="5">
        <v>-28289</v>
      </c>
      <c r="F7609" s="3" t="s">
        <v>390</v>
      </c>
      <c r="G7609" s="3" t="s">
        <v>35</v>
      </c>
      <c r="H7609" s="2" t="s">
        <v>20</v>
      </c>
      <c r="I7609" s="2" t="s">
        <v>14663</v>
      </c>
      <c r="J7609" s="3" t="str">
        <f>HYPERLINK("https://www.boe.es/gazeta/dias/1822/07/18/pdfs/GMD-1822-209.pdf#page=2","Abrir facsímil")</f>
        <v>Abrir facsímil</v>
      </c>
      <c r="K7609" s="3" t="s">
        <v>22</v>
      </c>
    </row>
    <row r="7610" spans="1:11" ht="42" customHeight="1">
      <c r="A7610" s="2" t="s">
        <v>14619</v>
      </c>
      <c r="B7610" s="2" t="s">
        <v>14619</v>
      </c>
      <c r="C7610" s="2" t="s">
        <v>42</v>
      </c>
      <c r="D7610" s="2" t="s">
        <v>17</v>
      </c>
      <c r="E7610" s="5">
        <v>-28285</v>
      </c>
      <c r="F7610" s="3" t="s">
        <v>4539</v>
      </c>
      <c r="G7610" s="3" t="s">
        <v>57</v>
      </c>
      <c r="H7610" s="2" t="s">
        <v>20</v>
      </c>
      <c r="I7610" s="2" t="s">
        <v>14664</v>
      </c>
      <c r="J7610" s="3" t="str">
        <f>HYPERLINK("https://www.boe.es/gazeta/dias/1822/07/22/pdfs/GMD-1822-215.pdf#page=4","Abrir facsímil")</f>
        <v>Abrir facsímil</v>
      </c>
      <c r="K7610" s="3" t="s">
        <v>22</v>
      </c>
    </row>
    <row r="7611" spans="1:11" ht="42" customHeight="1">
      <c r="A7611" s="2" t="s">
        <v>14619</v>
      </c>
      <c r="B7611" s="2" t="s">
        <v>14619</v>
      </c>
      <c r="C7611" s="2" t="s">
        <v>50</v>
      </c>
      <c r="D7611" s="2" t="s">
        <v>51</v>
      </c>
      <c r="E7611" s="5">
        <v>-28275</v>
      </c>
      <c r="F7611" s="3" t="s">
        <v>1297</v>
      </c>
      <c r="G7611" s="3" t="s">
        <v>57</v>
      </c>
      <c r="H7611" s="2" t="s">
        <v>20</v>
      </c>
      <c r="I7611" s="2" t="s">
        <v>14665</v>
      </c>
      <c r="J7611" s="3" t="str">
        <f>HYPERLINK("https://www.boe.es/gazeta/dias/1822/08/01/pdfs/GMD-1822-225.pdf#page=4","Abrir facsímil")</f>
        <v>Abrir facsímil</v>
      </c>
      <c r="K7611" s="3" t="s">
        <v>22</v>
      </c>
    </row>
    <row r="7612" spans="1:11" ht="42" customHeight="1">
      <c r="A7612" s="2" t="s">
        <v>14619</v>
      </c>
      <c r="B7612" s="2" t="s">
        <v>14619</v>
      </c>
      <c r="C7612" s="2" t="s">
        <v>50</v>
      </c>
      <c r="D7612" s="2" t="s">
        <v>51</v>
      </c>
      <c r="E7612" s="5">
        <v>-28272</v>
      </c>
      <c r="F7612" s="3" t="s">
        <v>52</v>
      </c>
      <c r="G7612" s="3" t="s">
        <v>35</v>
      </c>
      <c r="H7612" s="2" t="s">
        <v>20</v>
      </c>
      <c r="I7612" s="2" t="s">
        <v>14666</v>
      </c>
      <c r="J7612" s="3" t="str">
        <f>HYPERLINK("https://www.boe.es/gazeta/dias/1822/08/04/pdfs/GMD-1822-228.pdf#page=2","Abrir facsímil")</f>
        <v>Abrir facsímil</v>
      </c>
      <c r="K7612" s="3" t="s">
        <v>22</v>
      </c>
    </row>
    <row r="7613" spans="1:11" ht="42" customHeight="1">
      <c r="A7613" s="2" t="s">
        <v>14619</v>
      </c>
      <c r="B7613" s="2" t="s">
        <v>14619</v>
      </c>
      <c r="C7613" s="2" t="s">
        <v>42</v>
      </c>
      <c r="D7613" s="2" t="s">
        <v>17</v>
      </c>
      <c r="E7613" s="5">
        <v>-28271</v>
      </c>
      <c r="F7613" s="3" t="s">
        <v>4942</v>
      </c>
      <c r="G7613" s="3" t="s">
        <v>44</v>
      </c>
      <c r="H7613" s="2" t="s">
        <v>20</v>
      </c>
      <c r="I7613" s="2" t="s">
        <v>14667</v>
      </c>
      <c r="J7613" s="3" t="str">
        <f>HYPERLINK("https://www.boe.es/gazeta/dias/1822/08/05/pdfs/GMD-1822-229.pdf#page=1","Abrir facsímil")</f>
        <v>Abrir facsímil</v>
      </c>
      <c r="K7613" s="3" t="s">
        <v>22</v>
      </c>
    </row>
    <row r="7614" spans="1:11" ht="42" customHeight="1">
      <c r="A7614" s="2" t="s">
        <v>14619</v>
      </c>
      <c r="B7614" s="2" t="s">
        <v>14619</v>
      </c>
      <c r="C7614" s="2" t="s">
        <v>71</v>
      </c>
      <c r="D7614" s="2" t="s">
        <v>17</v>
      </c>
      <c r="E7614" s="5">
        <v>-28270</v>
      </c>
      <c r="F7614" s="3" t="s">
        <v>130</v>
      </c>
      <c r="G7614" s="3" t="s">
        <v>131</v>
      </c>
      <c r="H7614" s="2" t="s">
        <v>20</v>
      </c>
      <c r="I7614" s="2" t="s">
        <v>14668</v>
      </c>
      <c r="J7614" s="3" t="str">
        <f>HYPERLINK("https://www.boe.es/gazeta/dias/1822/08/06/pdfs/GMD-1822-230.pdf#page=6","Abrir facsímil")</f>
        <v>Abrir facsímil</v>
      </c>
      <c r="K7614" s="3" t="s">
        <v>22</v>
      </c>
    </row>
    <row r="7615" spans="1:11" ht="42" customHeight="1">
      <c r="A7615" s="2" t="s">
        <v>14619</v>
      </c>
      <c r="B7615" s="2" t="s">
        <v>14619</v>
      </c>
      <c r="C7615" s="2" t="s">
        <v>42</v>
      </c>
      <c r="D7615" s="2" t="s">
        <v>17</v>
      </c>
      <c r="E7615" s="5">
        <v>-28266</v>
      </c>
      <c r="F7615" s="3" t="s">
        <v>1169</v>
      </c>
      <c r="G7615" s="3" t="s">
        <v>57</v>
      </c>
      <c r="H7615" s="2" t="s">
        <v>20</v>
      </c>
      <c r="I7615" s="2" t="s">
        <v>14669</v>
      </c>
      <c r="J7615" s="3" t="str">
        <f>HYPERLINK("https://www.boe.es/gazeta/dias/1822/08/10/pdfs/GMD-1822-234.pdf#page=4","Abrir facsímil")</f>
        <v>Abrir facsímil</v>
      </c>
      <c r="K7615" s="3" t="s">
        <v>22</v>
      </c>
    </row>
    <row r="7616" spans="1:11" ht="42" customHeight="1">
      <c r="A7616" s="2" t="s">
        <v>14619</v>
      </c>
      <c r="B7616" s="2" t="s">
        <v>14619</v>
      </c>
      <c r="C7616" s="2" t="s">
        <v>50</v>
      </c>
      <c r="D7616" s="2" t="s">
        <v>51</v>
      </c>
      <c r="E7616" s="5">
        <v>-28253</v>
      </c>
      <c r="F7616" s="3" t="s">
        <v>413</v>
      </c>
      <c r="G7616" s="3" t="s">
        <v>35</v>
      </c>
      <c r="H7616" s="2" t="s">
        <v>20</v>
      </c>
      <c r="I7616" s="2" t="s">
        <v>14670</v>
      </c>
      <c r="J7616" s="3" t="str">
        <f>HYPERLINK("https://www.boe.es/gazeta/dias/1822/08/23/pdfs/GMD-1822-247.pdf#page=2","Abrir facsímil")</f>
        <v>Abrir facsímil</v>
      </c>
      <c r="K7616" s="3" t="s">
        <v>22</v>
      </c>
    </row>
    <row r="7617" spans="1:11" ht="42" customHeight="1">
      <c r="A7617" s="2" t="s">
        <v>14619</v>
      </c>
      <c r="B7617" s="2" t="s">
        <v>14619</v>
      </c>
      <c r="C7617" s="2" t="s">
        <v>71</v>
      </c>
      <c r="D7617" s="2" t="s">
        <v>17</v>
      </c>
      <c r="E7617" s="5">
        <v>-28243</v>
      </c>
      <c r="F7617" s="3" t="s">
        <v>1829</v>
      </c>
      <c r="G7617" s="3" t="s">
        <v>57</v>
      </c>
      <c r="H7617" s="2" t="s">
        <v>20</v>
      </c>
      <c r="I7617" s="2" t="s">
        <v>14671</v>
      </c>
      <c r="J7617" s="3" t="str">
        <f>HYPERLINK("https://www.boe.es/gazeta/dias/1822/09/02/pdfs/GMD-1822-257.pdf#page=4","Abrir facsímil")</f>
        <v>Abrir facsímil</v>
      </c>
      <c r="K7617" s="3" t="s">
        <v>22</v>
      </c>
    </row>
    <row r="7618" spans="1:11" ht="42" customHeight="1">
      <c r="A7618" s="2" t="s">
        <v>14619</v>
      </c>
      <c r="B7618" s="2" t="s">
        <v>14619</v>
      </c>
      <c r="C7618" s="2" t="s">
        <v>42</v>
      </c>
      <c r="D7618" s="2" t="s">
        <v>17</v>
      </c>
      <c r="E7618" s="5">
        <v>-28230</v>
      </c>
      <c r="F7618" s="3" t="s">
        <v>1735</v>
      </c>
      <c r="G7618" s="3" t="s">
        <v>57</v>
      </c>
      <c r="H7618" s="2" t="s">
        <v>20</v>
      </c>
      <c r="I7618" s="2" t="s">
        <v>14672</v>
      </c>
      <c r="J7618" s="3" t="str">
        <f>HYPERLINK("https://www.boe.es/gazeta/dias/1822/09/15/pdfs/GMD-1822-271.pdf#page=4","Abrir facsímil")</f>
        <v>Abrir facsímil</v>
      </c>
      <c r="K7618" s="3" t="s">
        <v>22</v>
      </c>
    </row>
    <row r="7619" spans="1:11" ht="42" customHeight="1">
      <c r="A7619" s="2" t="s">
        <v>14619</v>
      </c>
      <c r="B7619" s="2" t="s">
        <v>14619</v>
      </c>
      <c r="C7619" s="2" t="s">
        <v>50</v>
      </c>
      <c r="D7619" s="2" t="s">
        <v>51</v>
      </c>
      <c r="E7619" s="5">
        <v>-28218</v>
      </c>
      <c r="F7619" s="3" t="s">
        <v>405</v>
      </c>
      <c r="G7619" s="3" t="s">
        <v>31</v>
      </c>
      <c r="H7619" s="2" t="s">
        <v>20</v>
      </c>
      <c r="I7619" s="2" t="s">
        <v>14673</v>
      </c>
      <c r="J7619" s="3" t="str">
        <f>HYPERLINK("https://www.boe.es/gazeta/dias/1822/09/27/pdfs/GMD-1822-283.pdf#page=3","Abrir facsímil")</f>
        <v>Abrir facsímil</v>
      </c>
      <c r="K7619" s="3" t="s">
        <v>22</v>
      </c>
    </row>
    <row r="7620" spans="1:11" ht="42" customHeight="1">
      <c r="A7620" s="2" t="s">
        <v>14619</v>
      </c>
      <c r="B7620" s="2" t="s">
        <v>14619</v>
      </c>
      <c r="C7620" s="2" t="s">
        <v>50</v>
      </c>
      <c r="D7620" s="2" t="s">
        <v>51</v>
      </c>
      <c r="E7620" s="5">
        <v>-28214</v>
      </c>
      <c r="F7620" s="3" t="s">
        <v>814</v>
      </c>
      <c r="G7620" s="3" t="s">
        <v>35</v>
      </c>
      <c r="H7620" s="2" t="s">
        <v>20</v>
      </c>
      <c r="I7620" s="2" t="s">
        <v>14674</v>
      </c>
      <c r="J7620" s="3" t="str">
        <f>HYPERLINK("https://www.boe.es/gazeta/dias/1822/10/01/pdfs/GMD-1822-287.pdf#page=2","Abrir facsímil")</f>
        <v>Abrir facsímil</v>
      </c>
      <c r="K7620" s="3" t="s">
        <v>22</v>
      </c>
    </row>
    <row r="7621" spans="1:11" ht="42" customHeight="1">
      <c r="A7621" s="2" t="s">
        <v>14619</v>
      </c>
      <c r="B7621" s="2" t="s">
        <v>14619</v>
      </c>
      <c r="C7621" s="2" t="s">
        <v>50</v>
      </c>
      <c r="D7621" s="2" t="s">
        <v>51</v>
      </c>
      <c r="E7621" s="5">
        <v>-28214</v>
      </c>
      <c r="F7621" s="3" t="s">
        <v>814</v>
      </c>
      <c r="G7621" s="3" t="s">
        <v>57</v>
      </c>
      <c r="H7621" s="2" t="s">
        <v>20</v>
      </c>
      <c r="I7621" s="2" t="s">
        <v>14675</v>
      </c>
      <c r="J7621" s="3" t="str">
        <f>HYPERLINK("https://www.boe.es/gazeta/dias/1822/10/01/pdfs/GMD-1822-287.pdf#page=4","Abrir facsímil")</f>
        <v>Abrir facsímil</v>
      </c>
      <c r="K7621" s="3" t="s">
        <v>22</v>
      </c>
    </row>
    <row r="7622" spans="1:11" ht="42" customHeight="1">
      <c r="A7622" s="2" t="s">
        <v>14619</v>
      </c>
      <c r="B7622" s="2" t="s">
        <v>14619</v>
      </c>
      <c r="C7622" s="2" t="s">
        <v>42</v>
      </c>
      <c r="D7622" s="2" t="s">
        <v>17</v>
      </c>
      <c r="E7622" s="5">
        <v>-28204</v>
      </c>
      <c r="F7622" s="3" t="s">
        <v>3190</v>
      </c>
      <c r="G7622" s="3" t="s">
        <v>157</v>
      </c>
      <c r="H7622" s="2" t="s">
        <v>20</v>
      </c>
      <c r="I7622" s="2" t="s">
        <v>14676</v>
      </c>
      <c r="J7622" s="3" t="str">
        <f>HYPERLINK("https://www.boe.es/gazeta/dias/1822/10/11/pdfs/GMD-1822-298.pdf#page=8","Abrir facsímil")</f>
        <v>Abrir facsímil</v>
      </c>
      <c r="K7622" s="3" t="s">
        <v>22</v>
      </c>
    </row>
    <row r="7623" spans="1:11" ht="42" customHeight="1">
      <c r="A7623" s="2" t="s">
        <v>14619</v>
      </c>
      <c r="B7623" s="2" t="s">
        <v>14619</v>
      </c>
      <c r="C7623" s="2" t="s">
        <v>50</v>
      </c>
      <c r="D7623" s="2" t="s">
        <v>51</v>
      </c>
      <c r="E7623" s="5">
        <v>-28193</v>
      </c>
      <c r="F7623" s="3" t="s">
        <v>574</v>
      </c>
      <c r="G7623" s="3" t="s">
        <v>63</v>
      </c>
      <c r="H7623" s="2" t="s">
        <v>20</v>
      </c>
      <c r="I7623" s="2" t="s">
        <v>14677</v>
      </c>
      <c r="J7623" s="3" t="str">
        <f>HYPERLINK("https://www.boe.es/gazeta/dias/1822/10/22/pdfs/GMD-1822-309.pdf#page=6","Abrir facsímil")</f>
        <v>Abrir facsímil</v>
      </c>
      <c r="K7623" s="3" t="s">
        <v>22</v>
      </c>
    </row>
    <row r="7624" spans="1:11" ht="42" customHeight="1">
      <c r="A7624" s="2" t="s">
        <v>14619</v>
      </c>
      <c r="B7624" s="2" t="s">
        <v>14619</v>
      </c>
      <c r="C7624" s="2" t="s">
        <v>42</v>
      </c>
      <c r="D7624" s="2" t="s">
        <v>17</v>
      </c>
      <c r="E7624" s="5">
        <v>-28186</v>
      </c>
      <c r="F7624" s="3" t="s">
        <v>581</v>
      </c>
      <c r="G7624" s="3" t="s">
        <v>44</v>
      </c>
      <c r="H7624" s="2" t="s">
        <v>20</v>
      </c>
      <c r="I7624" s="2" t="s">
        <v>14678</v>
      </c>
      <c r="J7624" s="3" t="str">
        <f>HYPERLINK("https://www.boe.es/gazeta/dias/1822/10/29/pdfs/GMD-1822-316.pdf#page=1","Abrir facsímil")</f>
        <v>Abrir facsímil</v>
      </c>
      <c r="K7624" s="3" t="s">
        <v>22</v>
      </c>
    </row>
    <row r="7625" spans="1:11" ht="42" customHeight="1">
      <c r="A7625" s="2" t="s">
        <v>14619</v>
      </c>
      <c r="B7625" s="2" t="s">
        <v>14619</v>
      </c>
      <c r="C7625" s="2" t="s">
        <v>50</v>
      </c>
      <c r="D7625" s="2" t="s">
        <v>51</v>
      </c>
      <c r="E7625" s="5">
        <v>-28176</v>
      </c>
      <c r="F7625" s="3" t="s">
        <v>780</v>
      </c>
      <c r="G7625" s="3" t="s">
        <v>63</v>
      </c>
      <c r="H7625" s="2" t="s">
        <v>20</v>
      </c>
      <c r="I7625" s="2" t="s">
        <v>14679</v>
      </c>
      <c r="J7625" s="3" t="str">
        <f>HYPERLINK("https://www.boe.es/gazeta/dias/1822/11/08/pdfs/GMD-1822-328.pdf#page=6","Abrir facsímil")</f>
        <v>Abrir facsímil</v>
      </c>
      <c r="K7625" s="3" t="s">
        <v>22</v>
      </c>
    </row>
    <row r="7626" spans="1:11" ht="42" customHeight="1">
      <c r="A7626" s="2" t="s">
        <v>14619</v>
      </c>
      <c r="B7626" s="2" t="s">
        <v>14619</v>
      </c>
      <c r="C7626" s="2" t="s">
        <v>16</v>
      </c>
      <c r="D7626" s="2" t="s">
        <v>17</v>
      </c>
      <c r="E7626" s="5">
        <v>-28160</v>
      </c>
      <c r="F7626" s="3" t="s">
        <v>148</v>
      </c>
      <c r="G7626" s="3" t="s">
        <v>44</v>
      </c>
      <c r="H7626" s="2" t="s">
        <v>20</v>
      </c>
      <c r="I7626" s="2" t="s">
        <v>14680</v>
      </c>
      <c r="J7626" s="3" t="str">
        <f>HYPERLINK("https://www.boe.es/gazeta/dias/1822/11/24/pdfs/GMD-1822-344.pdf#page=1","Abrir facsímil")</f>
        <v>Abrir facsímil</v>
      </c>
      <c r="K7626" s="3" t="s">
        <v>22</v>
      </c>
    </row>
    <row r="7627" spans="1:11" ht="42" customHeight="1">
      <c r="A7627" s="2" t="s">
        <v>14619</v>
      </c>
      <c r="B7627" s="2" t="s">
        <v>14619</v>
      </c>
      <c r="C7627" s="2" t="s">
        <v>42</v>
      </c>
      <c r="D7627" s="2" t="s">
        <v>17</v>
      </c>
      <c r="E7627" s="5">
        <v>-28160</v>
      </c>
      <c r="F7627" s="3" t="s">
        <v>148</v>
      </c>
      <c r="G7627" s="3" t="s">
        <v>19</v>
      </c>
      <c r="H7627" s="2" t="s">
        <v>20</v>
      </c>
      <c r="I7627" s="2" t="s">
        <v>14681</v>
      </c>
      <c r="J7627" s="3" t="str">
        <f>HYPERLINK("https://www.boe.es/gazeta/dias/1822/11/24/pdfs/GMD-1822-344.pdf#page=5","Abrir facsímil")</f>
        <v>Abrir facsímil</v>
      </c>
      <c r="K7627" s="3" t="s">
        <v>22</v>
      </c>
    </row>
    <row r="7628" spans="1:11" ht="42" customHeight="1">
      <c r="A7628" s="2" t="s">
        <v>14619</v>
      </c>
      <c r="B7628" s="2" t="s">
        <v>14619</v>
      </c>
      <c r="C7628" s="2" t="s">
        <v>42</v>
      </c>
      <c r="D7628" s="2" t="s">
        <v>17</v>
      </c>
      <c r="E7628" s="5">
        <v>-28156</v>
      </c>
      <c r="F7628" s="3" t="s">
        <v>1568</v>
      </c>
      <c r="G7628" s="3" t="s">
        <v>44</v>
      </c>
      <c r="H7628" s="2" t="s">
        <v>20</v>
      </c>
      <c r="I7628" s="2" t="s">
        <v>14682</v>
      </c>
      <c r="J7628" s="3" t="str">
        <f>HYPERLINK("https://www.boe.es/gazeta/dias/1822/11/28/pdfs/GMD-1822-348.pdf#page=1","Abrir facsímil")</f>
        <v>Abrir facsímil</v>
      </c>
      <c r="K7628" s="3" t="s">
        <v>22</v>
      </c>
    </row>
    <row r="7629" spans="1:11" ht="42" customHeight="1">
      <c r="A7629" s="2" t="s">
        <v>14619</v>
      </c>
      <c r="B7629" s="2" t="s">
        <v>14619</v>
      </c>
      <c r="C7629" s="2" t="s">
        <v>50</v>
      </c>
      <c r="D7629" s="2" t="s">
        <v>51</v>
      </c>
      <c r="E7629" s="5">
        <v>-28155</v>
      </c>
      <c r="F7629" s="3" t="s">
        <v>833</v>
      </c>
      <c r="G7629" s="3" t="s">
        <v>63</v>
      </c>
      <c r="H7629" s="2" t="s">
        <v>20</v>
      </c>
      <c r="I7629" s="2" t="s">
        <v>14683</v>
      </c>
      <c r="J7629" s="3" t="str">
        <f>HYPERLINK("https://www.boe.es/gazeta/dias/1822/11/29/pdfs/GMD-1822-349.pdf#page=6","Abrir facsímil")</f>
        <v>Abrir facsímil</v>
      </c>
      <c r="K7629" s="3" t="s">
        <v>22</v>
      </c>
    </row>
    <row r="7630" spans="1:11" ht="42" customHeight="1">
      <c r="A7630" s="2" t="s">
        <v>14619</v>
      </c>
      <c r="B7630" s="2" t="s">
        <v>14619</v>
      </c>
      <c r="C7630" s="2" t="s">
        <v>50</v>
      </c>
      <c r="D7630" s="2" t="s">
        <v>51</v>
      </c>
      <c r="E7630" s="5">
        <v>-28148</v>
      </c>
      <c r="F7630" s="3" t="s">
        <v>1909</v>
      </c>
      <c r="G7630" s="3" t="s">
        <v>35</v>
      </c>
      <c r="H7630" s="2" t="s">
        <v>20</v>
      </c>
      <c r="I7630" s="2" t="s">
        <v>14684</v>
      </c>
      <c r="J7630" s="3" t="str">
        <f>HYPERLINK("https://www.boe.es/gazeta/dias/1822/12/06/pdfs/GMD-1822-356.pdf#page=2","Abrir facsímil")</f>
        <v>Abrir facsímil</v>
      </c>
      <c r="K7630" s="3" t="s">
        <v>22</v>
      </c>
    </row>
    <row r="7631" spans="1:11" ht="42" customHeight="1">
      <c r="A7631" s="2" t="s">
        <v>14619</v>
      </c>
      <c r="B7631" s="2" t="s">
        <v>14619</v>
      </c>
      <c r="C7631" s="2" t="s">
        <v>28</v>
      </c>
      <c r="D7631" s="2" t="s">
        <v>29</v>
      </c>
      <c r="E7631" s="5">
        <v>-28143</v>
      </c>
      <c r="F7631" s="3" t="s">
        <v>2967</v>
      </c>
      <c r="G7631" s="3" t="s">
        <v>44</v>
      </c>
      <c r="H7631" s="2" t="s">
        <v>20</v>
      </c>
      <c r="I7631" s="2" t="s">
        <v>14685</v>
      </c>
      <c r="J7631" s="3" t="str">
        <f>HYPERLINK("https://www.boe.es/gazeta/dias/1822/12/11/pdfs/GMD-1822-361.pdf#page=1","Abrir facsímil")</f>
        <v>Abrir facsímil</v>
      </c>
      <c r="K7631" s="3" t="s">
        <v>22</v>
      </c>
    </row>
    <row r="7632" spans="1:11" ht="42" customHeight="1">
      <c r="A7632" s="2" t="s">
        <v>14619</v>
      </c>
      <c r="B7632" s="2" t="s">
        <v>14619</v>
      </c>
      <c r="C7632" s="2" t="s">
        <v>28</v>
      </c>
      <c r="D7632" s="2" t="s">
        <v>29</v>
      </c>
      <c r="E7632" s="5">
        <v>-28141</v>
      </c>
      <c r="F7632" s="3" t="s">
        <v>265</v>
      </c>
      <c r="G7632" s="3" t="s">
        <v>44</v>
      </c>
      <c r="H7632" s="2" t="s">
        <v>20</v>
      </c>
      <c r="I7632" s="2" t="s">
        <v>14686</v>
      </c>
      <c r="J7632" s="3" t="str">
        <f>HYPERLINK("https://www.boe.es/gazeta/dias/1822/12/13/pdfs/GMD-1822-363.pdf#page=1","Abrir facsímil")</f>
        <v>Abrir facsímil</v>
      </c>
      <c r="K7632" s="3" t="s">
        <v>22</v>
      </c>
    </row>
    <row r="7633" spans="1:11" ht="42" customHeight="1">
      <c r="A7633" s="2" t="s">
        <v>14619</v>
      </c>
      <c r="B7633" s="2" t="s">
        <v>14619</v>
      </c>
      <c r="C7633" s="2" t="s">
        <v>28</v>
      </c>
      <c r="D7633" s="2" t="s">
        <v>29</v>
      </c>
      <c r="E7633" s="5">
        <v>-28127</v>
      </c>
      <c r="F7633" s="3" t="s">
        <v>409</v>
      </c>
      <c r="G7633" s="3" t="s">
        <v>19</v>
      </c>
      <c r="H7633" s="2" t="s">
        <v>20</v>
      </c>
      <c r="I7633" s="2" t="s">
        <v>14687</v>
      </c>
      <c r="J7633" s="3" t="str">
        <f>HYPERLINK("https://www.boe.es/gazeta/dias/1822/12/27/pdfs/GMD-1822-377.pdf#page=5","Abrir facsímil")</f>
        <v>Abrir facsímil</v>
      </c>
      <c r="K7633" s="3" t="s">
        <v>22</v>
      </c>
    </row>
    <row r="7634" spans="1:11" ht="42" customHeight="1">
      <c r="A7634" s="2" t="s">
        <v>14688</v>
      </c>
      <c r="B7634" s="2" t="s">
        <v>14689</v>
      </c>
      <c r="C7634" s="2" t="s">
        <v>50</v>
      </c>
      <c r="D7634" s="2" t="s">
        <v>51</v>
      </c>
      <c r="E7634" s="5">
        <v>-28127</v>
      </c>
      <c r="F7634" s="3" t="s">
        <v>409</v>
      </c>
      <c r="G7634" s="3" t="s">
        <v>19</v>
      </c>
      <c r="H7634" s="2" t="s">
        <v>45</v>
      </c>
      <c r="I7634" s="2" t="s">
        <v>14690</v>
      </c>
      <c r="J7634" s="3" t="str">
        <f>HYPERLINK("https://www.boe.es/gazeta/dias/1822/12/27/pdfs/GMD-1822-377.pdf#page=5","Abrir facsímil")</f>
        <v>Abrir facsímil</v>
      </c>
      <c r="K7634" s="3" t="s">
        <v>47</v>
      </c>
    </row>
    <row r="7635" spans="1:11" ht="42" customHeight="1">
      <c r="A7635" s="2" t="s">
        <v>14691</v>
      </c>
      <c r="B7635" s="2" t="s">
        <v>14692</v>
      </c>
      <c r="C7635" s="2" t="s">
        <v>42</v>
      </c>
      <c r="D7635" s="2" t="s">
        <v>17</v>
      </c>
      <c r="E7635" s="5">
        <v>-28136</v>
      </c>
      <c r="F7635" s="3" t="s">
        <v>948</v>
      </c>
      <c r="G7635" s="3" t="s">
        <v>44</v>
      </c>
      <c r="H7635" s="2" t="s">
        <v>45</v>
      </c>
      <c r="I7635" s="2" t="s">
        <v>14693</v>
      </c>
      <c r="J7635" s="3" t="str">
        <f>HYPERLINK("https://www.boe.es/gazeta/dias/1822/12/18/pdfs/GMD-1822-368.pdf#page=1","Abrir facsímil")</f>
        <v>Abrir facsímil</v>
      </c>
      <c r="K7635" s="3" t="s">
        <v>47</v>
      </c>
    </row>
    <row r="7636" spans="1:11" ht="42" customHeight="1">
      <c r="A7636" s="2" t="s">
        <v>14694</v>
      </c>
      <c r="B7636" s="2" t="s">
        <v>14695</v>
      </c>
      <c r="C7636" s="2" t="s">
        <v>42</v>
      </c>
      <c r="D7636" s="2" t="s">
        <v>17</v>
      </c>
      <c r="E7636" s="5">
        <v>-28290</v>
      </c>
      <c r="F7636" s="3" t="s">
        <v>706</v>
      </c>
      <c r="G7636" s="3" t="s">
        <v>57</v>
      </c>
      <c r="H7636" s="2" t="s">
        <v>45</v>
      </c>
      <c r="I7636" s="2" t="s">
        <v>14696</v>
      </c>
      <c r="J7636" s="3" t="str">
        <f>HYPERLINK("https://www.boe.es/gazeta/dias/1822/07/17/pdfs/GMD-1822-207.pdf#page=4","Abrir facsímil")</f>
        <v>Abrir facsímil</v>
      </c>
      <c r="K7636" s="3" t="s">
        <v>47</v>
      </c>
    </row>
    <row r="7637" spans="1:11" ht="42" customHeight="1">
      <c r="A7637" s="2" t="s">
        <v>14697</v>
      </c>
      <c r="B7637" s="2" t="s">
        <v>14698</v>
      </c>
      <c r="C7637" s="2" t="s">
        <v>28</v>
      </c>
      <c r="D7637" s="2" t="s">
        <v>29</v>
      </c>
      <c r="E7637" s="5">
        <v>-28193</v>
      </c>
      <c r="F7637" s="3" t="s">
        <v>574</v>
      </c>
      <c r="G7637" s="3" t="s">
        <v>44</v>
      </c>
      <c r="H7637" s="2" t="s">
        <v>45</v>
      </c>
      <c r="I7637" s="2" t="s">
        <v>14699</v>
      </c>
      <c r="J7637" s="3" t="str">
        <f>HYPERLINK("https://www.boe.es/gazeta/dias/1822/10/22/pdfs/GMD-1822-309.pdf#page=1","Abrir facsímil")</f>
        <v>Abrir facsímil</v>
      </c>
      <c r="K7637" s="3" t="s">
        <v>47</v>
      </c>
    </row>
    <row r="7638" spans="1:11" ht="42" customHeight="1">
      <c r="A7638" s="2" t="s">
        <v>14700</v>
      </c>
      <c r="B7638" s="2" t="s">
        <v>14701</v>
      </c>
      <c r="C7638" s="2" t="s">
        <v>50</v>
      </c>
      <c r="D7638" s="2" t="s">
        <v>51</v>
      </c>
      <c r="E7638" s="5">
        <v>-28264</v>
      </c>
      <c r="F7638" s="3" t="s">
        <v>1329</v>
      </c>
      <c r="G7638" s="3" t="s">
        <v>44</v>
      </c>
      <c r="H7638" s="2" t="s">
        <v>45</v>
      </c>
      <c r="I7638" s="2" t="s">
        <v>14702</v>
      </c>
      <c r="J7638" s="3" t="str">
        <f>HYPERLINK("https://www.boe.es/gazeta/dias/1822/08/12/pdfs/GMD-1822-236.pdf#page=1","Abrir facsímil")</f>
        <v>Abrir facsímil</v>
      </c>
      <c r="K7638" s="3" t="s">
        <v>47</v>
      </c>
    </row>
    <row r="7639" spans="1:11" ht="42" customHeight="1">
      <c r="A7639" s="2" t="s">
        <v>14703</v>
      </c>
      <c r="B7639" s="2" t="s">
        <v>14704</v>
      </c>
      <c r="C7639" s="2" t="s">
        <v>50</v>
      </c>
      <c r="D7639" s="2" t="s">
        <v>51</v>
      </c>
      <c r="E7639" s="5">
        <v>-28258</v>
      </c>
      <c r="F7639" s="3" t="s">
        <v>88</v>
      </c>
      <c r="G7639" s="3" t="s">
        <v>57</v>
      </c>
      <c r="H7639" s="2" t="s">
        <v>20</v>
      </c>
      <c r="I7639" s="2" t="s">
        <v>14705</v>
      </c>
      <c r="J7639" s="3" t="str">
        <f>HYPERLINK("https://www.boe.es/gazeta/dias/1822/08/18/pdfs/GMD-1822-242.pdf#page=4","Abrir facsímil")</f>
        <v>Abrir facsímil</v>
      </c>
      <c r="K7639" s="3" t="s">
        <v>22</v>
      </c>
    </row>
    <row r="7640" spans="1:11" ht="42" customHeight="1">
      <c r="A7640" s="2" t="s">
        <v>14706</v>
      </c>
      <c r="B7640" s="2" t="s">
        <v>14706</v>
      </c>
      <c r="C7640" s="2" t="s">
        <v>50</v>
      </c>
      <c r="D7640" s="2" t="s">
        <v>51</v>
      </c>
      <c r="E7640" s="5">
        <v>-28319</v>
      </c>
      <c r="F7640" s="3" t="s">
        <v>271</v>
      </c>
      <c r="G7640" s="3" t="s">
        <v>63</v>
      </c>
      <c r="H7640" s="2" t="s">
        <v>20</v>
      </c>
      <c r="I7640" s="2" t="s">
        <v>14707</v>
      </c>
      <c r="J7640" s="3" t="str">
        <f>HYPERLINK("https://www.boe.es/gazeta/dias/1822/06/18/pdfs/GMD-1822-175.pdf#page=6","Abrir facsímil")</f>
        <v>Abrir facsímil</v>
      </c>
      <c r="K7640" s="3" t="s">
        <v>22</v>
      </c>
    </row>
    <row r="7641" spans="1:11" ht="42" customHeight="1">
      <c r="A7641" s="2" t="s">
        <v>14706</v>
      </c>
      <c r="B7641" s="2" t="s">
        <v>14706</v>
      </c>
      <c r="C7641" s="2" t="s">
        <v>42</v>
      </c>
      <c r="D7641" s="2" t="s">
        <v>17</v>
      </c>
      <c r="E7641" s="5">
        <v>-28131</v>
      </c>
      <c r="F7641" s="3" t="s">
        <v>893</v>
      </c>
      <c r="G7641" s="3" t="s">
        <v>991</v>
      </c>
      <c r="H7641" s="2" t="s">
        <v>20</v>
      </c>
      <c r="I7641" s="2" t="s">
        <v>14708</v>
      </c>
      <c r="J7641" s="3" t="str">
        <f>HYPERLINK("https://www.boe.es/gazeta/dias/1822/12/23/pdfs/GMD-1822-373.pdf#page=6","Abrir facsímil")</f>
        <v>Abrir facsímil</v>
      </c>
      <c r="K7641" s="3" t="s">
        <v>22</v>
      </c>
    </row>
    <row r="7642" spans="1:11" ht="42" customHeight="1">
      <c r="A7642" s="2" t="s">
        <v>14709</v>
      </c>
      <c r="B7642" s="2" t="s">
        <v>14709</v>
      </c>
      <c r="C7642" s="2" t="s">
        <v>50</v>
      </c>
      <c r="D7642" s="2" t="s">
        <v>51</v>
      </c>
      <c r="E7642" s="5">
        <v>-28415</v>
      </c>
      <c r="F7642" s="3" t="s">
        <v>77</v>
      </c>
      <c r="G7642" s="3" t="s">
        <v>63</v>
      </c>
      <c r="H7642" s="2" t="s">
        <v>20</v>
      </c>
      <c r="I7642" s="2" t="s">
        <v>14710</v>
      </c>
      <c r="J7642" s="3" t="str">
        <f>HYPERLINK("https://www.boe.es/gazeta/dias/1822/03/14/pdfs/GMD-1822-75.pdf#page=6","Abrir facsímil")</f>
        <v>Abrir facsímil</v>
      </c>
      <c r="K7642" s="3" t="s">
        <v>22</v>
      </c>
    </row>
    <row r="7643" spans="1:11" ht="42" customHeight="1">
      <c r="A7643" s="2" t="s">
        <v>14711</v>
      </c>
      <c r="B7643" s="2" t="s">
        <v>14711</v>
      </c>
      <c r="C7643" s="2" t="s">
        <v>71</v>
      </c>
      <c r="D7643" s="2" t="s">
        <v>17</v>
      </c>
      <c r="E7643" s="5">
        <v>-28401</v>
      </c>
      <c r="F7643" s="3" t="s">
        <v>108</v>
      </c>
      <c r="G7643" s="3" t="s">
        <v>44</v>
      </c>
      <c r="H7643" s="2" t="s">
        <v>20</v>
      </c>
      <c r="I7643" s="2" t="s">
        <v>14712</v>
      </c>
      <c r="J7643" s="3" t="str">
        <f>HYPERLINK("https://www.boe.es/gazeta/dias/1822/03/28/pdfs/GMD-1822-89.pdf#page=1","Abrir facsímil")</f>
        <v>Abrir facsímil</v>
      </c>
      <c r="K7643" s="3" t="s">
        <v>22</v>
      </c>
    </row>
    <row r="7644" spans="1:11" ht="42" customHeight="1">
      <c r="A7644" s="2" t="s">
        <v>14711</v>
      </c>
      <c r="B7644" s="2" t="s">
        <v>14711</v>
      </c>
      <c r="C7644" s="2" t="s">
        <v>71</v>
      </c>
      <c r="D7644" s="2" t="s">
        <v>17</v>
      </c>
      <c r="E7644" s="5">
        <v>-28240</v>
      </c>
      <c r="F7644" s="3" t="s">
        <v>678</v>
      </c>
      <c r="G7644" s="3" t="s">
        <v>44</v>
      </c>
      <c r="H7644" s="2" t="s">
        <v>20</v>
      </c>
      <c r="I7644" s="2" t="s">
        <v>14713</v>
      </c>
      <c r="J7644" s="3" t="str">
        <f>HYPERLINK("https://www.boe.es/gazeta/dias/1822/09/05/pdfs/GMD-1822-260.pdf#page=1","Abrir facsímil")</f>
        <v>Abrir facsímil</v>
      </c>
      <c r="K7644" s="3" t="s">
        <v>22</v>
      </c>
    </row>
    <row r="7645" spans="1:11" ht="42" customHeight="1">
      <c r="A7645" s="2" t="s">
        <v>14711</v>
      </c>
      <c r="B7645" s="2" t="s">
        <v>14711</v>
      </c>
      <c r="C7645" s="2" t="s">
        <v>42</v>
      </c>
      <c r="D7645" s="2" t="s">
        <v>17</v>
      </c>
      <c r="E7645" s="5">
        <v>-28135</v>
      </c>
      <c r="F7645" s="3" t="s">
        <v>1030</v>
      </c>
      <c r="G7645" s="3" t="s">
        <v>44</v>
      </c>
      <c r="H7645" s="2" t="s">
        <v>20</v>
      </c>
      <c r="I7645" s="2" t="s">
        <v>14714</v>
      </c>
      <c r="J7645" s="3" t="str">
        <f>HYPERLINK("https://www.boe.es/gazeta/dias/1822/12/19/pdfs/GMD-1822-369.pdf#page=1","Abrir facsímil")</f>
        <v>Abrir facsímil</v>
      </c>
      <c r="K7645" s="3" t="s">
        <v>22</v>
      </c>
    </row>
    <row r="7646" spans="1:11" ht="42" customHeight="1">
      <c r="A7646" s="2" t="s">
        <v>14715</v>
      </c>
      <c r="B7646" s="2" t="s">
        <v>14716</v>
      </c>
      <c r="C7646" s="2" t="s">
        <v>28</v>
      </c>
      <c r="D7646" s="2" t="s">
        <v>29</v>
      </c>
      <c r="E7646" s="5">
        <v>-28353</v>
      </c>
      <c r="F7646" s="3" t="s">
        <v>843</v>
      </c>
      <c r="G7646" s="3" t="s">
        <v>57</v>
      </c>
      <c r="H7646" s="2" t="s">
        <v>20</v>
      </c>
      <c r="I7646" s="2" t="s">
        <v>14717</v>
      </c>
      <c r="J7646" s="3" t="str">
        <f>HYPERLINK("https://www.boe.es/gazeta/dias/1822/05/15/pdfs/GMD-1822-137.pdf#page=4","Abrir facsímil")</f>
        <v>Abrir facsímil</v>
      </c>
      <c r="K7646" s="3" t="s">
        <v>22</v>
      </c>
    </row>
    <row r="7647" spans="1:11" ht="42" customHeight="1">
      <c r="A7647" s="2" t="s">
        <v>14718</v>
      </c>
      <c r="B7647" s="2" t="s">
        <v>14719</v>
      </c>
      <c r="C7647" s="2" t="s">
        <v>50</v>
      </c>
      <c r="D7647" s="2" t="s">
        <v>51</v>
      </c>
      <c r="E7647" s="5">
        <v>-28418</v>
      </c>
      <c r="F7647" s="3" t="s">
        <v>205</v>
      </c>
      <c r="G7647" s="3" t="s">
        <v>31</v>
      </c>
      <c r="H7647" s="2" t="s">
        <v>45</v>
      </c>
      <c r="I7647" s="2" t="s">
        <v>14720</v>
      </c>
      <c r="J7647" s="3" t="str">
        <f>HYPERLINK("https://www.boe.es/gazeta/dias/1822/03/11/pdfs/GMD-1822-72.pdf#page=3","Abrir facsímil")</f>
        <v>Abrir facsímil</v>
      </c>
      <c r="K7647" s="3" t="s">
        <v>47</v>
      </c>
    </row>
    <row r="7648" spans="1:11" ht="42" customHeight="1">
      <c r="A7648" s="2" t="s">
        <v>14721</v>
      </c>
      <c r="B7648" s="2" t="s">
        <v>14721</v>
      </c>
      <c r="C7648" s="2" t="s">
        <v>50</v>
      </c>
      <c r="D7648" s="2" t="s">
        <v>51</v>
      </c>
      <c r="E7648" s="5">
        <v>-28486</v>
      </c>
      <c r="F7648" s="3" t="s">
        <v>1046</v>
      </c>
      <c r="G7648" s="3" t="s">
        <v>57</v>
      </c>
      <c r="H7648" s="2" t="s">
        <v>20</v>
      </c>
      <c r="I7648" s="2" t="s">
        <v>14722</v>
      </c>
      <c r="J7648" s="3" t="str">
        <f>HYPERLINK("https://www.boe.es/gazeta/dias/1822/01/02/pdfs/GMD-1822-2.pdf#page=4","Abrir facsímil")</f>
        <v>Abrir facsímil</v>
      </c>
      <c r="K7648" s="3" t="s">
        <v>22</v>
      </c>
    </row>
    <row r="7649" spans="1:11" ht="42" customHeight="1">
      <c r="A7649" s="2" t="s">
        <v>14723</v>
      </c>
      <c r="B7649" s="2" t="s">
        <v>14724</v>
      </c>
      <c r="C7649" s="2" t="s">
        <v>42</v>
      </c>
      <c r="D7649" s="2" t="s">
        <v>17</v>
      </c>
      <c r="E7649" s="5">
        <v>-28240</v>
      </c>
      <c r="F7649" s="3" t="s">
        <v>678</v>
      </c>
      <c r="G7649" s="3" t="s">
        <v>57</v>
      </c>
      <c r="H7649" s="2" t="s">
        <v>20</v>
      </c>
      <c r="I7649" s="2" t="s">
        <v>14725</v>
      </c>
      <c r="J7649" s="3" t="str">
        <f>HYPERLINK("https://www.boe.es/gazeta/dias/1822/09/05/pdfs/GMD-1822-260.pdf#page=4","Abrir facsímil")</f>
        <v>Abrir facsímil</v>
      </c>
      <c r="K7649" s="3" t="s">
        <v>22</v>
      </c>
    </row>
    <row r="7650" spans="1:11" ht="42" customHeight="1">
      <c r="A7650" s="2" t="s">
        <v>14726</v>
      </c>
      <c r="B7650" s="2" t="s">
        <v>14726</v>
      </c>
      <c r="C7650" s="2" t="s">
        <v>50</v>
      </c>
      <c r="D7650" s="2" t="s">
        <v>51</v>
      </c>
      <c r="E7650" s="5">
        <v>-28182</v>
      </c>
      <c r="F7650" s="3" t="s">
        <v>585</v>
      </c>
      <c r="G7650" s="3" t="s">
        <v>63</v>
      </c>
      <c r="H7650" s="2" t="s">
        <v>20</v>
      </c>
      <c r="I7650" s="2" t="s">
        <v>14727</v>
      </c>
      <c r="J7650" s="3" t="str">
        <f>HYPERLINK("https://www.boe.es/gazeta/dias/1822/11/02/pdfs/GMD-1822-320.pdf#page=6","Abrir facsímil")</f>
        <v>Abrir facsímil</v>
      </c>
      <c r="K7650" s="3" t="s">
        <v>22</v>
      </c>
    </row>
    <row r="7651" spans="1:11" ht="42" customHeight="1">
      <c r="A7651" s="2" t="s">
        <v>14728</v>
      </c>
      <c r="B7651" s="2" t="s">
        <v>14729</v>
      </c>
      <c r="C7651" s="2" t="s">
        <v>28</v>
      </c>
      <c r="D7651" s="2" t="s">
        <v>29</v>
      </c>
      <c r="E7651" s="5">
        <v>-28374</v>
      </c>
      <c r="F7651" s="3" t="s">
        <v>171</v>
      </c>
      <c r="G7651" s="3" t="s">
        <v>35</v>
      </c>
      <c r="H7651" s="2" t="s">
        <v>20</v>
      </c>
      <c r="I7651" s="2" t="s">
        <v>14730</v>
      </c>
      <c r="J7651" s="3" t="str">
        <f>HYPERLINK("https://www.boe.es/gazeta/dias/1822/04/24/pdfs/GMD-1822-116.pdf#page=2","Abrir facsímil")</f>
        <v>Abrir facsímil</v>
      </c>
      <c r="K7651" s="3" t="s">
        <v>22</v>
      </c>
    </row>
    <row r="7652" spans="1:11" ht="42" customHeight="1">
      <c r="A7652" s="2" t="s">
        <v>14731</v>
      </c>
      <c r="B7652" s="2" t="s">
        <v>14731</v>
      </c>
      <c r="C7652" s="2" t="s">
        <v>28</v>
      </c>
      <c r="D7652" s="2" t="s">
        <v>29</v>
      </c>
      <c r="E7652" s="5">
        <v>-28483</v>
      </c>
      <c r="F7652" s="3" t="s">
        <v>254</v>
      </c>
      <c r="G7652" s="3" t="s">
        <v>57</v>
      </c>
      <c r="H7652" s="2" t="s">
        <v>20</v>
      </c>
      <c r="I7652" s="2" t="s">
        <v>14732</v>
      </c>
      <c r="J7652" s="3" t="str">
        <f>HYPERLINK("https://www.boe.es/gazeta/dias/1822/01/05/pdfs/GMD-1822-5.pdf#page=4","Abrir facsímil")</f>
        <v>Abrir facsímil</v>
      </c>
      <c r="K7652" s="3" t="s">
        <v>22</v>
      </c>
    </row>
    <row r="7653" spans="1:11" ht="42" customHeight="1">
      <c r="A7653" s="2" t="s">
        <v>14731</v>
      </c>
      <c r="B7653" s="2" t="s">
        <v>14731</v>
      </c>
      <c r="C7653" s="2" t="s">
        <v>50</v>
      </c>
      <c r="D7653" s="2" t="s">
        <v>51</v>
      </c>
      <c r="E7653" s="5">
        <v>-28349</v>
      </c>
      <c r="F7653" s="3" t="s">
        <v>518</v>
      </c>
      <c r="G7653" s="3" t="s">
        <v>57</v>
      </c>
      <c r="H7653" s="2" t="s">
        <v>20</v>
      </c>
      <c r="I7653" s="2" t="s">
        <v>14733</v>
      </c>
      <c r="J7653" s="3" t="str">
        <f>HYPERLINK("https://www.boe.es/gazeta/dias/1822/05/19/pdfs/GMD-1822-141.pdf#page=4","Abrir facsímil")</f>
        <v>Abrir facsímil</v>
      </c>
      <c r="K7653" s="3" t="s">
        <v>22</v>
      </c>
    </row>
    <row r="7654" spans="1:11" ht="42" customHeight="1">
      <c r="A7654" s="2" t="s">
        <v>14731</v>
      </c>
      <c r="B7654" s="2" t="s">
        <v>14731</v>
      </c>
      <c r="C7654" s="2" t="s">
        <v>28</v>
      </c>
      <c r="D7654" s="2" t="s">
        <v>29</v>
      </c>
      <c r="E7654" s="5">
        <v>-28318</v>
      </c>
      <c r="F7654" s="3" t="s">
        <v>397</v>
      </c>
      <c r="G7654" s="3" t="s">
        <v>157</v>
      </c>
      <c r="H7654" s="2" t="s">
        <v>20</v>
      </c>
      <c r="I7654" s="2" t="s">
        <v>14734</v>
      </c>
      <c r="J7654" s="3" t="str">
        <f>HYPERLINK("https://www.boe.es/gazeta/dias/1822/06/19/pdfs/GMD-1822-176.pdf#page=8","Abrir facsímil")</f>
        <v>Abrir facsímil</v>
      </c>
      <c r="K7654" s="3" t="s">
        <v>22</v>
      </c>
    </row>
    <row r="7655" spans="1:11" ht="42" customHeight="1">
      <c r="A7655" s="2" t="s">
        <v>14731</v>
      </c>
      <c r="B7655" s="2" t="s">
        <v>14731</v>
      </c>
      <c r="C7655" s="2" t="s">
        <v>28</v>
      </c>
      <c r="D7655" s="2" t="s">
        <v>29</v>
      </c>
      <c r="E7655" s="5">
        <v>-28308</v>
      </c>
      <c r="F7655" s="3" t="s">
        <v>1050</v>
      </c>
      <c r="G7655" s="3" t="s">
        <v>157</v>
      </c>
      <c r="H7655" s="2" t="s">
        <v>20</v>
      </c>
      <c r="I7655" s="2" t="s">
        <v>14735</v>
      </c>
      <c r="J7655" s="3" t="str">
        <f>HYPERLINK("https://www.boe.es/gazeta/dias/1822/06/29/pdfs/GMD-1822-187.pdf#page=8","Abrir facsímil")</f>
        <v>Abrir facsímil</v>
      </c>
      <c r="K7655" s="3" t="s">
        <v>22</v>
      </c>
    </row>
    <row r="7656" spans="1:11" ht="42" customHeight="1">
      <c r="A7656" s="2" t="s">
        <v>14731</v>
      </c>
      <c r="B7656" s="2" t="s">
        <v>14731</v>
      </c>
      <c r="C7656" s="2" t="s">
        <v>28</v>
      </c>
      <c r="D7656" s="2" t="s">
        <v>29</v>
      </c>
      <c r="E7656" s="5">
        <v>-28199</v>
      </c>
      <c r="F7656" s="3" t="s">
        <v>656</v>
      </c>
      <c r="G7656" s="3" t="s">
        <v>57</v>
      </c>
      <c r="H7656" s="2" t="s">
        <v>20</v>
      </c>
      <c r="I7656" s="2" t="s">
        <v>14736</v>
      </c>
      <c r="J7656" s="3" t="str">
        <f>HYPERLINK("https://www.boe.es/gazeta/dias/1822/10/16/pdfs/GMD-1822-303.pdf#page=4","Abrir facsímil")</f>
        <v>Abrir facsímil</v>
      </c>
      <c r="K7656" s="3" t="s">
        <v>22</v>
      </c>
    </row>
    <row r="7657" spans="1:11" ht="42" customHeight="1">
      <c r="A7657" s="2" t="s">
        <v>14737</v>
      </c>
      <c r="B7657" s="2" t="s">
        <v>14737</v>
      </c>
      <c r="C7657" s="2" t="s">
        <v>28</v>
      </c>
      <c r="D7657" s="2" t="s">
        <v>29</v>
      </c>
      <c r="E7657" s="5">
        <v>-28332</v>
      </c>
      <c r="F7657" s="3" t="s">
        <v>535</v>
      </c>
      <c r="G7657" s="3" t="s">
        <v>31</v>
      </c>
      <c r="H7657" s="2" t="s">
        <v>20</v>
      </c>
      <c r="I7657" s="2" t="s">
        <v>14738</v>
      </c>
      <c r="J7657" s="3" t="str">
        <f>HYPERLINK("https://www.boe.es/gazeta/dias/1822/06/05/pdfs/GMD-1822-162.pdf#page=3","Abrir facsímil")</f>
        <v>Abrir facsímil</v>
      </c>
      <c r="K7657" s="3" t="s">
        <v>22</v>
      </c>
    </row>
    <row r="7658" spans="1:11" ht="42" customHeight="1">
      <c r="A7658" s="2" t="s">
        <v>14739</v>
      </c>
      <c r="B7658" s="2" t="s">
        <v>14739</v>
      </c>
      <c r="C7658" s="2" t="s">
        <v>50</v>
      </c>
      <c r="D7658" s="2" t="s">
        <v>723</v>
      </c>
      <c r="E7658" s="5">
        <v>-28238</v>
      </c>
      <c r="F7658" s="3" t="s">
        <v>3584</v>
      </c>
      <c r="G7658" s="3" t="s">
        <v>44</v>
      </c>
      <c r="H7658" s="2" t="s">
        <v>20</v>
      </c>
      <c r="I7658" s="2" t="s">
        <v>14740</v>
      </c>
      <c r="J7658" s="3" t="str">
        <f>HYPERLINK("https://www.boe.es/gazeta/dias/1822/09/07/pdfs/GMD-1822-263E.pdf#page=1","Abrir facsímil")</f>
        <v>Abrir facsímil</v>
      </c>
      <c r="K7658" s="3" t="s">
        <v>22</v>
      </c>
    </row>
    <row r="7659" spans="1:11" ht="42" customHeight="1">
      <c r="A7659" s="2" t="s">
        <v>14739</v>
      </c>
      <c r="B7659" s="2" t="s">
        <v>14739</v>
      </c>
      <c r="C7659" s="2" t="s">
        <v>24</v>
      </c>
      <c r="D7659" s="2" t="s">
        <v>17</v>
      </c>
      <c r="E7659" s="5">
        <v>-28199</v>
      </c>
      <c r="F7659" s="3" t="s">
        <v>656</v>
      </c>
      <c r="G7659" s="3" t="s">
        <v>19</v>
      </c>
      <c r="H7659" s="2" t="s">
        <v>20</v>
      </c>
      <c r="I7659" s="2" t="s">
        <v>14741</v>
      </c>
      <c r="J7659" s="3" t="str">
        <f>HYPERLINK("https://www.boe.es/gazeta/dias/1822/10/16/pdfs/GMD-1822-303.pdf#page=5","Abrir facsímil")</f>
        <v>Abrir facsímil</v>
      </c>
      <c r="K7659" s="3" t="s">
        <v>22</v>
      </c>
    </row>
    <row r="7660" spans="1:11" ht="42" customHeight="1">
      <c r="A7660" s="2" t="s">
        <v>14742</v>
      </c>
      <c r="B7660" s="2" t="s">
        <v>14742</v>
      </c>
      <c r="C7660" s="2" t="s">
        <v>50</v>
      </c>
      <c r="D7660" s="2" t="s">
        <v>51</v>
      </c>
      <c r="E7660" s="5">
        <v>-28322</v>
      </c>
      <c r="F7660" s="3" t="s">
        <v>2205</v>
      </c>
      <c r="G7660" s="3" t="s">
        <v>57</v>
      </c>
      <c r="H7660" s="2" t="s">
        <v>20</v>
      </c>
      <c r="I7660" s="2" t="s">
        <v>14743</v>
      </c>
      <c r="J7660" s="3" t="str">
        <f>HYPERLINK("https://www.boe.es/gazeta/dias/1822/06/15/pdfs/GMD-1822-172.pdf#page=4","Abrir facsímil")</f>
        <v>Abrir facsímil</v>
      </c>
      <c r="K7660" s="3" t="s">
        <v>22</v>
      </c>
    </row>
    <row r="7661" spans="1:11" ht="42" customHeight="1">
      <c r="A7661" s="2" t="s">
        <v>14744</v>
      </c>
      <c r="B7661" s="2" t="s">
        <v>14744</v>
      </c>
      <c r="C7661" s="2" t="s">
        <v>50</v>
      </c>
      <c r="D7661" s="2" t="s">
        <v>51</v>
      </c>
      <c r="E7661" s="5">
        <v>-28125</v>
      </c>
      <c r="F7661" s="3" t="s">
        <v>322</v>
      </c>
      <c r="G7661" s="3" t="s">
        <v>31</v>
      </c>
      <c r="H7661" s="2" t="s">
        <v>20</v>
      </c>
      <c r="I7661" s="2" t="s">
        <v>14745</v>
      </c>
      <c r="J7661" s="3" t="str">
        <f>HYPERLINK("https://www.boe.es/gazeta/dias/1822/12/29/pdfs/GMD-1822-379.pdf#page=3","Abrir facsímil")</f>
        <v>Abrir facsímil</v>
      </c>
      <c r="K7661" s="3" t="s">
        <v>22</v>
      </c>
    </row>
    <row r="7662" spans="1:11" ht="42" customHeight="1">
      <c r="A7662" s="2" t="s">
        <v>14746</v>
      </c>
      <c r="B7662" s="2" t="s">
        <v>14746</v>
      </c>
      <c r="C7662" s="2" t="s">
        <v>42</v>
      </c>
      <c r="D7662" s="2" t="s">
        <v>17</v>
      </c>
      <c r="E7662" s="5">
        <v>-28225</v>
      </c>
      <c r="F7662" s="3" t="s">
        <v>177</v>
      </c>
      <c r="G7662" s="3" t="s">
        <v>178</v>
      </c>
      <c r="H7662" s="2" t="s">
        <v>20</v>
      </c>
      <c r="I7662" s="2" t="s">
        <v>14747</v>
      </c>
      <c r="J7662" s="3" t="str">
        <f>HYPERLINK("https://www.boe.es/gazeta/dias/1822/09/20/pdfs/GMD-1822-276.pdf#page=3","Abrir facsímil")</f>
        <v>Abrir facsímil</v>
      </c>
      <c r="K7662" s="3" t="s">
        <v>22</v>
      </c>
    </row>
    <row r="7663" spans="1:11" ht="42" customHeight="1">
      <c r="A7663" s="2" t="s">
        <v>14748</v>
      </c>
      <c r="B7663" s="2" t="s">
        <v>14748</v>
      </c>
      <c r="C7663" s="2" t="s">
        <v>61</v>
      </c>
      <c r="D7663" s="2" t="s">
        <v>17</v>
      </c>
      <c r="E7663" s="5">
        <v>-28285</v>
      </c>
      <c r="F7663" s="3" t="s">
        <v>4539</v>
      </c>
      <c r="G7663" s="3" t="s">
        <v>57</v>
      </c>
      <c r="H7663" s="2" t="s">
        <v>20</v>
      </c>
      <c r="I7663" s="2" t="s">
        <v>14749</v>
      </c>
      <c r="J7663" s="3" t="str">
        <f>HYPERLINK("https://www.boe.es/gazeta/dias/1822/07/22/pdfs/GMD-1822-215.pdf#page=4","Abrir facsímil")</f>
        <v>Abrir facsímil</v>
      </c>
      <c r="K7663" s="3" t="s">
        <v>22</v>
      </c>
    </row>
    <row r="7664" spans="1:11" ht="42" customHeight="1">
      <c r="A7664" s="2" t="s">
        <v>14750</v>
      </c>
      <c r="B7664" s="2" t="s">
        <v>14751</v>
      </c>
      <c r="C7664" s="2" t="s">
        <v>28</v>
      </c>
      <c r="D7664" s="2" t="s">
        <v>29</v>
      </c>
      <c r="E7664" s="5">
        <v>-28380</v>
      </c>
      <c r="F7664" s="3" t="s">
        <v>492</v>
      </c>
      <c r="G7664" s="3" t="s">
        <v>63</v>
      </c>
      <c r="H7664" s="2" t="s">
        <v>45</v>
      </c>
      <c r="I7664" s="2" t="s">
        <v>14752</v>
      </c>
      <c r="J7664" s="3" t="str">
        <f>HYPERLINK("https://www.boe.es/gazeta/dias/1822/04/18/pdfs/GMD-1822-110.pdf#page=6","Abrir facsímil")</f>
        <v>Abrir facsímil</v>
      </c>
      <c r="K7664" s="3" t="s">
        <v>47</v>
      </c>
    </row>
    <row r="7665" spans="1:11" ht="42" customHeight="1">
      <c r="A7665" s="2" t="s">
        <v>14753</v>
      </c>
      <c r="B7665" s="2" t="s">
        <v>14753</v>
      </c>
      <c r="C7665" s="2" t="s">
        <v>42</v>
      </c>
      <c r="D7665" s="2" t="s">
        <v>17</v>
      </c>
      <c r="E7665" s="5">
        <v>-28454</v>
      </c>
      <c r="F7665" s="3" t="s">
        <v>2033</v>
      </c>
      <c r="G7665" s="3" t="s">
        <v>57</v>
      </c>
      <c r="H7665" s="2" t="s">
        <v>20</v>
      </c>
      <c r="I7665" s="2" t="s">
        <v>14754</v>
      </c>
      <c r="J7665" s="3" t="str">
        <f>HYPERLINK("https://www.boe.es/gazeta/dias/1822/02/03/pdfs/GMD-1822-34.pdf#page=4","Abrir facsímil")</f>
        <v>Abrir facsímil</v>
      </c>
      <c r="K7665" s="3" t="s">
        <v>22</v>
      </c>
    </row>
    <row r="7666" spans="1:11" ht="42" customHeight="1">
      <c r="A7666" s="2" t="s">
        <v>14753</v>
      </c>
      <c r="B7666" s="2" t="s">
        <v>14753</v>
      </c>
      <c r="C7666" s="2" t="s">
        <v>61</v>
      </c>
      <c r="D7666" s="2" t="s">
        <v>17</v>
      </c>
      <c r="E7666" s="5">
        <v>-28304</v>
      </c>
      <c r="F7666" s="3" t="s">
        <v>4502</v>
      </c>
      <c r="G7666" s="3" t="s">
        <v>57</v>
      </c>
      <c r="H7666" s="2" t="s">
        <v>20</v>
      </c>
      <c r="I7666" s="2" t="s">
        <v>14755</v>
      </c>
      <c r="J7666" s="3" t="str">
        <f>HYPERLINK("https://www.boe.es/gazeta/dias/1822/07/03/pdfs/GMD-1822-192.pdf#page=4","Abrir facsímil")</f>
        <v>Abrir facsímil</v>
      </c>
      <c r="K7666" s="3" t="s">
        <v>22</v>
      </c>
    </row>
    <row r="7667" spans="1:11" ht="42" customHeight="1">
      <c r="A7667" s="2" t="s">
        <v>14756</v>
      </c>
      <c r="B7667" s="2" t="s">
        <v>14756</v>
      </c>
      <c r="C7667" s="2" t="s">
        <v>50</v>
      </c>
      <c r="D7667" s="2" t="s">
        <v>51</v>
      </c>
      <c r="E7667" s="5">
        <v>-28315</v>
      </c>
      <c r="F7667" s="3" t="s">
        <v>1220</v>
      </c>
      <c r="G7667" s="3" t="s">
        <v>35</v>
      </c>
      <c r="H7667" s="2" t="s">
        <v>20</v>
      </c>
      <c r="I7667" s="2" t="s">
        <v>14757</v>
      </c>
      <c r="J7667" s="3" t="str">
        <f>HYPERLINK("https://www.boe.es/gazeta/dias/1822/06/22/pdfs/GMD-1822-180.pdf#page=2","Abrir facsímil")</f>
        <v>Abrir facsímil</v>
      </c>
      <c r="K7667" s="3" t="s">
        <v>22</v>
      </c>
    </row>
    <row r="7668" spans="1:11" ht="42" customHeight="1">
      <c r="A7668" s="2" t="s">
        <v>14758</v>
      </c>
      <c r="B7668" s="2" t="s">
        <v>14758</v>
      </c>
      <c r="C7668" s="2" t="s">
        <v>28</v>
      </c>
      <c r="D7668" s="2" t="s">
        <v>29</v>
      </c>
      <c r="E7668" s="5">
        <v>-28470</v>
      </c>
      <c r="F7668" s="3" t="s">
        <v>1444</v>
      </c>
      <c r="G7668" s="3" t="s">
        <v>57</v>
      </c>
      <c r="H7668" s="2" t="s">
        <v>20</v>
      </c>
      <c r="I7668" s="2" t="s">
        <v>14759</v>
      </c>
      <c r="J7668" s="3" t="str">
        <f>HYPERLINK("https://www.boe.es/gazeta/dias/1822/01/18/pdfs/GMD-1822-18.pdf#page=4","Abrir facsímil")</f>
        <v>Abrir facsímil</v>
      </c>
      <c r="K7668" s="3" t="s">
        <v>22</v>
      </c>
    </row>
    <row r="7669" spans="1:11" ht="42" customHeight="1">
      <c r="A7669" s="2" t="s">
        <v>14760</v>
      </c>
      <c r="B7669" s="2" t="s">
        <v>14760</v>
      </c>
      <c r="C7669" s="2" t="s">
        <v>50</v>
      </c>
      <c r="D7669" s="2" t="s">
        <v>51</v>
      </c>
      <c r="E7669" s="5">
        <v>-28414</v>
      </c>
      <c r="F7669" s="3" t="s">
        <v>187</v>
      </c>
      <c r="G7669" s="3" t="s">
        <v>35</v>
      </c>
      <c r="H7669" s="2" t="s">
        <v>20</v>
      </c>
      <c r="I7669" s="2" t="s">
        <v>14761</v>
      </c>
      <c r="J7669" s="3" t="str">
        <f>HYPERLINK("https://www.boe.es/gazeta/dias/1822/03/15/pdfs/GMD-1822-76.pdf#page=2","Abrir facsímil")</f>
        <v>Abrir facsímil</v>
      </c>
      <c r="K7669" s="3" t="s">
        <v>22</v>
      </c>
    </row>
    <row r="7670" spans="1:11" ht="42" customHeight="1">
      <c r="A7670" s="2" t="s">
        <v>14762</v>
      </c>
      <c r="B7670" s="2" t="s">
        <v>14763</v>
      </c>
      <c r="C7670" s="2" t="s">
        <v>50</v>
      </c>
      <c r="D7670" s="2" t="s">
        <v>51</v>
      </c>
      <c r="E7670" s="5">
        <v>-28391</v>
      </c>
      <c r="F7670" s="3" t="s">
        <v>378</v>
      </c>
      <c r="G7670" s="3" t="s">
        <v>63</v>
      </c>
      <c r="H7670" s="2" t="s">
        <v>45</v>
      </c>
      <c r="I7670" s="2" t="s">
        <v>14764</v>
      </c>
      <c r="J7670" s="3" t="str">
        <f>HYPERLINK("https://www.boe.es/gazeta/dias/1822/04/07/pdfs/GMD-1822-99.pdf#page=6","Abrir facsímil")</f>
        <v>Abrir facsímil</v>
      </c>
      <c r="K7670" s="3" t="s">
        <v>47</v>
      </c>
    </row>
    <row r="7671" spans="1:11" ht="42" customHeight="1">
      <c r="A7671" s="2" t="s">
        <v>14762</v>
      </c>
      <c r="B7671" s="2" t="s">
        <v>14763</v>
      </c>
      <c r="C7671" s="2" t="s">
        <v>42</v>
      </c>
      <c r="D7671" s="2" t="s">
        <v>17</v>
      </c>
      <c r="E7671" s="5">
        <v>-28366</v>
      </c>
      <c r="F7671" s="3" t="s">
        <v>120</v>
      </c>
      <c r="G7671" s="3" t="s">
        <v>63</v>
      </c>
      <c r="H7671" s="2" t="s">
        <v>45</v>
      </c>
      <c r="I7671" s="2" t="s">
        <v>14765</v>
      </c>
      <c r="J7671" s="3" t="str">
        <f>HYPERLINK("https://www.boe.es/gazeta/dias/1822/05/02/pdfs/GMD-1822-124.pdf#page=6","Abrir facsímil")</f>
        <v>Abrir facsímil</v>
      </c>
      <c r="K7671" s="3" t="s">
        <v>47</v>
      </c>
    </row>
    <row r="7672" spans="1:11" ht="42" customHeight="1">
      <c r="A7672" s="2" t="s">
        <v>14766</v>
      </c>
      <c r="B7672" s="2" t="s">
        <v>14767</v>
      </c>
      <c r="C7672" s="2" t="s">
        <v>362</v>
      </c>
      <c r="D7672" s="2" t="s">
        <v>17</v>
      </c>
      <c r="E7672" s="5">
        <v>-28254</v>
      </c>
      <c r="F7672" s="3" t="s">
        <v>3557</v>
      </c>
      <c r="G7672" s="3" t="s">
        <v>57</v>
      </c>
      <c r="H7672" s="2" t="s">
        <v>45</v>
      </c>
      <c r="I7672" s="2" t="s">
        <v>14768</v>
      </c>
      <c r="J7672" s="3" t="str">
        <f>HYPERLINK("https://www.boe.es/gazeta/dias/1822/08/22/pdfs/GMD-1822-246.pdf#page=4","Abrir facsímil")</f>
        <v>Abrir facsímil</v>
      </c>
      <c r="K7672" s="3" t="s">
        <v>47</v>
      </c>
    </row>
    <row r="7673" spans="1:11" ht="42" customHeight="1">
      <c r="A7673" s="2" t="s">
        <v>14769</v>
      </c>
      <c r="B7673" s="2" t="s">
        <v>14769</v>
      </c>
      <c r="C7673" s="2" t="s">
        <v>28</v>
      </c>
      <c r="D7673" s="2" t="s">
        <v>29</v>
      </c>
      <c r="E7673" s="5">
        <v>-28423</v>
      </c>
      <c r="F7673" s="3" t="s">
        <v>441</v>
      </c>
      <c r="G7673" s="3" t="s">
        <v>35</v>
      </c>
      <c r="H7673" s="2" t="s">
        <v>20</v>
      </c>
      <c r="I7673" s="2" t="s">
        <v>14770</v>
      </c>
      <c r="J7673" s="3" t="str">
        <f>HYPERLINK("https://www.boe.es/gazeta/dias/1822/03/06/pdfs/GMD-1822-67.pdf#page=2","Abrir facsímil")</f>
        <v>Abrir facsímil</v>
      </c>
      <c r="K7673" s="3" t="s">
        <v>22</v>
      </c>
    </row>
    <row r="7674" spans="1:11" ht="42" customHeight="1">
      <c r="A7674" s="2" t="s">
        <v>14771</v>
      </c>
      <c r="B7674" s="2" t="s">
        <v>14772</v>
      </c>
      <c r="C7674" s="2" t="s">
        <v>50</v>
      </c>
      <c r="D7674" s="2" t="s">
        <v>51</v>
      </c>
      <c r="E7674" s="5">
        <v>-28129</v>
      </c>
      <c r="F7674" s="3" t="s">
        <v>599</v>
      </c>
      <c r="G7674" s="3" t="s">
        <v>57</v>
      </c>
      <c r="H7674" s="2" t="s">
        <v>20</v>
      </c>
      <c r="I7674" s="2" t="s">
        <v>14773</v>
      </c>
      <c r="J7674" s="3" t="str">
        <f>HYPERLINK("https://www.boe.es/gazeta/dias/1822/12/25/pdfs/GMD-1822-375.pdf#page=4","Abrir facsímil")</f>
        <v>Abrir facsímil</v>
      </c>
      <c r="K7674" s="3" t="s">
        <v>22</v>
      </c>
    </row>
    <row r="7675" spans="1:11" ht="42" customHeight="1">
      <c r="A7675" s="2" t="s">
        <v>14774</v>
      </c>
      <c r="B7675" s="2" t="s">
        <v>14774</v>
      </c>
      <c r="C7675" s="2" t="s">
        <v>50</v>
      </c>
      <c r="D7675" s="2" t="s">
        <v>51</v>
      </c>
      <c r="E7675" s="5">
        <v>-28416</v>
      </c>
      <c r="F7675" s="3" t="s">
        <v>97</v>
      </c>
      <c r="G7675" s="3" t="s">
        <v>19</v>
      </c>
      <c r="H7675" s="2" t="s">
        <v>20</v>
      </c>
      <c r="I7675" s="2" t="s">
        <v>14775</v>
      </c>
      <c r="J7675" s="3" t="str">
        <f>HYPERLINK("https://www.boe.es/gazeta/dias/1822/03/13/pdfs/GMD-1822-74.pdf#page=5","Abrir facsímil")</f>
        <v>Abrir facsímil</v>
      </c>
      <c r="K7675" s="3" t="s">
        <v>22</v>
      </c>
    </row>
    <row r="7676" spans="1:11" ht="42" customHeight="1">
      <c r="A7676" s="2" t="s">
        <v>14776</v>
      </c>
      <c r="B7676" s="2" t="s">
        <v>14777</v>
      </c>
      <c r="C7676" s="2" t="s">
        <v>42</v>
      </c>
      <c r="D7676" s="2" t="s">
        <v>17</v>
      </c>
      <c r="E7676" s="5">
        <v>-28125</v>
      </c>
      <c r="F7676" s="3" t="s">
        <v>322</v>
      </c>
      <c r="G7676" s="3" t="s">
        <v>19</v>
      </c>
      <c r="H7676" s="2" t="s">
        <v>20</v>
      </c>
      <c r="I7676" s="2" t="s">
        <v>14778</v>
      </c>
      <c r="J7676" s="3" t="str">
        <f>HYPERLINK("https://www.boe.es/gazeta/dias/1822/12/29/pdfs/GMD-1822-379.pdf#page=5","Abrir facsímil")</f>
        <v>Abrir facsímil</v>
      </c>
      <c r="K7676" s="3" t="s">
        <v>22</v>
      </c>
    </row>
    <row r="7677" spans="1:11" ht="42" customHeight="1">
      <c r="A7677" s="2" t="s">
        <v>14779</v>
      </c>
      <c r="B7677" s="2" t="s">
        <v>14779</v>
      </c>
      <c r="C7677" s="2" t="s">
        <v>42</v>
      </c>
      <c r="D7677" s="2" t="s">
        <v>17</v>
      </c>
      <c r="E7677" s="5">
        <v>-28423</v>
      </c>
      <c r="F7677" s="3" t="s">
        <v>441</v>
      </c>
      <c r="G7677" s="3" t="s">
        <v>35</v>
      </c>
      <c r="H7677" s="2" t="s">
        <v>20</v>
      </c>
      <c r="I7677" s="2" t="s">
        <v>14780</v>
      </c>
      <c r="J7677" s="3" t="str">
        <f>HYPERLINK("https://www.boe.es/gazeta/dias/1822/03/06/pdfs/GMD-1822-67.pdf#page=2","Abrir facsímil")</f>
        <v>Abrir facsímil</v>
      </c>
      <c r="K7677" s="3" t="s">
        <v>22</v>
      </c>
    </row>
    <row r="7678" spans="1:11" ht="42" customHeight="1">
      <c r="A7678" s="2" t="s">
        <v>14781</v>
      </c>
      <c r="B7678" s="2" t="s">
        <v>14782</v>
      </c>
      <c r="C7678" s="2" t="s">
        <v>50</v>
      </c>
      <c r="D7678" s="2" t="s">
        <v>51</v>
      </c>
      <c r="E7678" s="5">
        <v>-28264</v>
      </c>
      <c r="F7678" s="3" t="s">
        <v>1329</v>
      </c>
      <c r="G7678" s="3" t="s">
        <v>31</v>
      </c>
      <c r="H7678" s="2" t="s">
        <v>20</v>
      </c>
      <c r="I7678" s="2" t="s">
        <v>14783</v>
      </c>
      <c r="J7678" s="3" t="str">
        <f>HYPERLINK("https://www.boe.es/gazeta/dias/1822/08/12/pdfs/GMD-1822-236.pdf#page=3","Abrir facsímil")</f>
        <v>Abrir facsímil</v>
      </c>
      <c r="K7678" s="3" t="s">
        <v>22</v>
      </c>
    </row>
    <row r="7679" spans="1:11" ht="42" customHeight="1">
      <c r="A7679" s="2" t="s">
        <v>14784</v>
      </c>
      <c r="B7679" s="2" t="s">
        <v>14785</v>
      </c>
      <c r="C7679" s="2" t="s">
        <v>50</v>
      </c>
      <c r="D7679" s="2" t="s">
        <v>51</v>
      </c>
      <c r="E7679" s="5">
        <v>-28252</v>
      </c>
      <c r="F7679" s="3" t="s">
        <v>4333</v>
      </c>
      <c r="G7679" s="3" t="s">
        <v>31</v>
      </c>
      <c r="H7679" s="2" t="s">
        <v>20</v>
      </c>
      <c r="I7679" s="2" t="s">
        <v>14786</v>
      </c>
      <c r="J7679" s="3" t="str">
        <f>HYPERLINK("https://www.boe.es/gazeta/dias/1822/08/24/pdfs/GMD-1822-248.pdf#page=3","Abrir facsímil")</f>
        <v>Abrir facsímil</v>
      </c>
      <c r="K7679" s="3" t="s">
        <v>22</v>
      </c>
    </row>
    <row r="7680" spans="1:11" ht="42" customHeight="1">
      <c r="A7680" s="2" t="s">
        <v>14787</v>
      </c>
      <c r="B7680" s="2" t="s">
        <v>14788</v>
      </c>
      <c r="C7680" s="2" t="s">
        <v>16</v>
      </c>
      <c r="D7680" s="2" t="s">
        <v>17</v>
      </c>
      <c r="E7680" s="5">
        <v>-28322</v>
      </c>
      <c r="F7680" s="3" t="s">
        <v>2205</v>
      </c>
      <c r="G7680" s="3" t="s">
        <v>57</v>
      </c>
      <c r="H7680" s="2" t="s">
        <v>20</v>
      </c>
      <c r="I7680" s="2" t="s">
        <v>14789</v>
      </c>
      <c r="J7680" s="3" t="str">
        <f>HYPERLINK("https://www.boe.es/gazeta/dias/1822/06/15/pdfs/GMD-1822-172.pdf#page=4","Abrir facsímil")</f>
        <v>Abrir facsímil</v>
      </c>
      <c r="K7680" s="3" t="s">
        <v>22</v>
      </c>
    </row>
    <row r="7681" spans="1:11" ht="42" customHeight="1">
      <c r="A7681" s="2" t="s">
        <v>14790</v>
      </c>
      <c r="B7681" s="2" t="s">
        <v>14791</v>
      </c>
      <c r="C7681" s="2" t="s">
        <v>16</v>
      </c>
      <c r="D7681" s="2" t="s">
        <v>17</v>
      </c>
      <c r="E7681" s="5">
        <v>-28308</v>
      </c>
      <c r="F7681" s="3" t="s">
        <v>1050</v>
      </c>
      <c r="G7681" s="3" t="s">
        <v>35</v>
      </c>
      <c r="H7681" s="2" t="s">
        <v>20</v>
      </c>
      <c r="I7681" s="2" t="s">
        <v>14792</v>
      </c>
      <c r="J7681" s="3" t="str">
        <f>HYPERLINK("https://www.boe.es/gazeta/dias/1822/06/29/pdfs/GMD-1822-187.pdf#page=2","Abrir facsímil")</f>
        <v>Abrir facsímil</v>
      </c>
      <c r="K7681" s="3" t="s">
        <v>22</v>
      </c>
    </row>
    <row r="7682" spans="1:11" ht="42" customHeight="1">
      <c r="A7682" s="2" t="s">
        <v>14793</v>
      </c>
      <c r="B7682" s="2" t="s">
        <v>14794</v>
      </c>
      <c r="C7682" s="2" t="s">
        <v>50</v>
      </c>
      <c r="D7682" s="2" t="s">
        <v>51</v>
      </c>
      <c r="E7682" s="5">
        <v>-28418</v>
      </c>
      <c r="F7682" s="3" t="s">
        <v>205</v>
      </c>
      <c r="G7682" s="3" t="s">
        <v>167</v>
      </c>
      <c r="H7682" s="2" t="s">
        <v>20</v>
      </c>
      <c r="I7682" s="2" t="s">
        <v>14795</v>
      </c>
      <c r="J7682" s="3" t="str">
        <f>HYPERLINK("https://www.boe.es/gazeta/dias/1822/03/11/pdfs/GMD-1822-72.pdf#page=7","Abrir facsímil")</f>
        <v>Abrir facsímil</v>
      </c>
      <c r="K7682" s="3" t="s">
        <v>22</v>
      </c>
    </row>
    <row r="7683" spans="1:11" ht="42" customHeight="1">
      <c r="A7683" s="2" t="s">
        <v>14796</v>
      </c>
      <c r="B7683" s="2" t="s">
        <v>14797</v>
      </c>
      <c r="C7683" s="2" t="s">
        <v>16</v>
      </c>
      <c r="D7683" s="2" t="s">
        <v>17</v>
      </c>
      <c r="E7683" s="5">
        <v>-28393</v>
      </c>
      <c r="F7683" s="3" t="s">
        <v>326</v>
      </c>
      <c r="G7683" s="3" t="s">
        <v>57</v>
      </c>
      <c r="H7683" s="2" t="s">
        <v>20</v>
      </c>
      <c r="I7683" s="2" t="s">
        <v>14798</v>
      </c>
      <c r="J7683" s="3" t="str">
        <f>HYPERLINK("https://www.boe.es/gazeta/dias/1822/04/05/pdfs/GMD-1822-97.pdf#page=4","Abrir facsímil")</f>
        <v>Abrir facsímil</v>
      </c>
      <c r="K7683" s="3" t="s">
        <v>22</v>
      </c>
    </row>
    <row r="7684" spans="1:11" ht="42" customHeight="1">
      <c r="A7684" s="2" t="s">
        <v>14799</v>
      </c>
      <c r="B7684" s="2" t="s">
        <v>14800</v>
      </c>
      <c r="C7684" s="2" t="s">
        <v>50</v>
      </c>
      <c r="D7684" s="2" t="s">
        <v>51</v>
      </c>
      <c r="E7684" s="5">
        <v>-28461</v>
      </c>
      <c r="F7684" s="3" t="s">
        <v>1801</v>
      </c>
      <c r="G7684" s="3" t="s">
        <v>44</v>
      </c>
      <c r="H7684" s="2" t="s">
        <v>45</v>
      </c>
      <c r="I7684" s="2" t="s">
        <v>14801</v>
      </c>
      <c r="J7684" s="3" t="str">
        <f>HYPERLINK("https://www.boe.es/gazeta/dias/1822/01/27/pdfs/GMD-1822-27.pdf#page=1","Abrir facsímil")</f>
        <v>Abrir facsímil</v>
      </c>
      <c r="K7684" s="3" t="s">
        <v>47</v>
      </c>
    </row>
    <row r="7685" spans="1:11" ht="42" customHeight="1">
      <c r="A7685" s="2" t="s">
        <v>14802</v>
      </c>
      <c r="B7685" s="2" t="s">
        <v>14802</v>
      </c>
      <c r="C7685" s="2" t="s">
        <v>28</v>
      </c>
      <c r="D7685" s="2" t="s">
        <v>29</v>
      </c>
      <c r="E7685" s="5">
        <v>-28335</v>
      </c>
      <c r="F7685" s="3" t="s">
        <v>3346</v>
      </c>
      <c r="G7685" s="3" t="s">
        <v>63</v>
      </c>
      <c r="H7685" s="2" t="s">
        <v>20</v>
      </c>
      <c r="I7685" s="2" t="s">
        <v>14803</v>
      </c>
      <c r="J7685" s="3" t="str">
        <f>HYPERLINK("https://www.boe.es/gazeta/dias/1822/06/02/pdfs/GMD-1822-158.pdf#page=6","Abrir facsímil")</f>
        <v>Abrir facsímil</v>
      </c>
      <c r="K7685" s="3" t="s">
        <v>22</v>
      </c>
    </row>
    <row r="7686" spans="1:11" ht="42" customHeight="1">
      <c r="A7686" s="2" t="s">
        <v>14804</v>
      </c>
      <c r="B7686" s="2" t="s">
        <v>14805</v>
      </c>
      <c r="C7686" s="2" t="s">
        <v>61</v>
      </c>
      <c r="D7686" s="2" t="s">
        <v>17</v>
      </c>
      <c r="E7686" s="5">
        <v>-28125</v>
      </c>
      <c r="F7686" s="3" t="s">
        <v>322</v>
      </c>
      <c r="G7686" s="3" t="s">
        <v>63</v>
      </c>
      <c r="H7686" s="2" t="s">
        <v>20</v>
      </c>
      <c r="I7686" s="2" t="s">
        <v>14806</v>
      </c>
      <c r="J7686" s="3" t="str">
        <f>HYPERLINK("https://www.boe.es/gazeta/dias/1822/12/29/pdfs/GMD-1822-379.pdf#page=6","Abrir facsímil")</f>
        <v>Abrir facsímil</v>
      </c>
      <c r="K7686" s="3" t="s">
        <v>22</v>
      </c>
    </row>
    <row r="7687" spans="1:11" ht="42" customHeight="1">
      <c r="A7687" s="2" t="s">
        <v>14807</v>
      </c>
      <c r="B7687" s="2" t="s">
        <v>14808</v>
      </c>
      <c r="C7687" s="2" t="s">
        <v>50</v>
      </c>
      <c r="D7687" s="2" t="s">
        <v>51</v>
      </c>
      <c r="E7687" s="5">
        <v>-28239</v>
      </c>
      <c r="F7687" s="3" t="s">
        <v>3154</v>
      </c>
      <c r="G7687" s="3" t="s">
        <v>35</v>
      </c>
      <c r="H7687" s="2" t="s">
        <v>20</v>
      </c>
      <c r="I7687" s="2" t="s">
        <v>14809</v>
      </c>
      <c r="J7687" s="3" t="str">
        <f>HYPERLINK("https://www.boe.es/gazeta/dias/1822/09/06/pdfs/GMD-1822-261.pdf#page=2","Abrir facsímil")</f>
        <v>Abrir facsímil</v>
      </c>
      <c r="K7687" s="3" t="s">
        <v>22</v>
      </c>
    </row>
    <row r="7688" spans="1:11" ht="42" customHeight="1">
      <c r="A7688" s="2" t="s">
        <v>14810</v>
      </c>
      <c r="B7688" s="2" t="s">
        <v>14811</v>
      </c>
      <c r="C7688" s="2" t="s">
        <v>50</v>
      </c>
      <c r="D7688" s="2" t="s">
        <v>51</v>
      </c>
      <c r="E7688" s="5">
        <v>-28364</v>
      </c>
      <c r="F7688" s="3" t="s">
        <v>509</v>
      </c>
      <c r="G7688" s="3" t="s">
        <v>63</v>
      </c>
      <c r="H7688" s="2" t="s">
        <v>20</v>
      </c>
      <c r="I7688" s="2" t="s">
        <v>14812</v>
      </c>
      <c r="J7688" s="3" t="str">
        <f>HYPERLINK("https://www.boe.es/gazeta/dias/1822/05/04/pdfs/GMD-1822-126.pdf#page=6","Abrir facsímil")</f>
        <v>Abrir facsímil</v>
      </c>
      <c r="K7688" s="3" t="s">
        <v>22</v>
      </c>
    </row>
    <row r="7689" spans="1:11" ht="42" customHeight="1">
      <c r="A7689" s="2" t="s">
        <v>14813</v>
      </c>
      <c r="B7689" s="2" t="s">
        <v>14813</v>
      </c>
      <c r="C7689" s="2" t="s">
        <v>42</v>
      </c>
      <c r="D7689" s="2" t="s">
        <v>17</v>
      </c>
      <c r="E7689" s="5">
        <v>-28157</v>
      </c>
      <c r="F7689" s="3" t="s">
        <v>1492</v>
      </c>
      <c r="G7689" s="3" t="s">
        <v>35</v>
      </c>
      <c r="H7689" s="2" t="s">
        <v>20</v>
      </c>
      <c r="I7689" s="2" t="s">
        <v>14814</v>
      </c>
      <c r="J7689" s="3" t="str">
        <f>HYPERLINK("https://www.boe.es/gazeta/dias/1822/11/27/pdfs/GMD-1822-347.pdf#page=2","Abrir facsímil")</f>
        <v>Abrir facsímil</v>
      </c>
      <c r="K7689" s="3" t="s">
        <v>22</v>
      </c>
    </row>
    <row r="7690" spans="1:11" ht="42" customHeight="1">
      <c r="A7690" s="2" t="s">
        <v>14815</v>
      </c>
      <c r="B7690" s="2" t="s">
        <v>14815</v>
      </c>
      <c r="C7690" s="2" t="s">
        <v>50</v>
      </c>
      <c r="D7690" s="2" t="s">
        <v>51</v>
      </c>
      <c r="E7690" s="5">
        <v>-28440</v>
      </c>
      <c r="F7690" s="3" t="s">
        <v>1307</v>
      </c>
      <c r="G7690" s="3" t="s">
        <v>35</v>
      </c>
      <c r="H7690" s="2" t="s">
        <v>20</v>
      </c>
      <c r="I7690" s="2" t="s">
        <v>14816</v>
      </c>
      <c r="J7690" s="3" t="str">
        <f>HYPERLINK("https://www.boe.es/gazeta/dias/1822/02/17/pdfs/GMD-1822-49.pdf#page=2","Abrir facsímil")</f>
        <v>Abrir facsímil</v>
      </c>
      <c r="K7690" s="3" t="s">
        <v>22</v>
      </c>
    </row>
    <row r="7691" spans="1:11" ht="42" customHeight="1">
      <c r="A7691" s="2" t="s">
        <v>14817</v>
      </c>
      <c r="B7691" s="2" t="s">
        <v>14817</v>
      </c>
      <c r="C7691" s="2" t="s">
        <v>16</v>
      </c>
      <c r="D7691" s="2" t="s">
        <v>17</v>
      </c>
      <c r="E7691" s="5">
        <v>-28323</v>
      </c>
      <c r="F7691" s="3" t="s">
        <v>116</v>
      </c>
      <c r="G7691" s="3" t="s">
        <v>31</v>
      </c>
      <c r="H7691" s="2" t="s">
        <v>20</v>
      </c>
      <c r="I7691" s="2" t="s">
        <v>14818</v>
      </c>
      <c r="J7691" s="3" t="str">
        <f>HYPERLINK("https://www.boe.es/gazeta/dias/1822/06/14/pdfs/GMD-1822-171.pdf#page=3","Abrir facsímil")</f>
        <v>Abrir facsímil</v>
      </c>
      <c r="K7691" s="3" t="s">
        <v>22</v>
      </c>
    </row>
    <row r="7692" spans="1:11" ht="42" customHeight="1">
      <c r="A7692" s="2" t="s">
        <v>14819</v>
      </c>
      <c r="B7692" s="2" t="s">
        <v>14819</v>
      </c>
      <c r="C7692" s="2" t="s">
        <v>50</v>
      </c>
      <c r="D7692" s="2" t="s">
        <v>51</v>
      </c>
      <c r="E7692" s="5">
        <v>-28169</v>
      </c>
      <c r="F7692" s="3" t="s">
        <v>2571</v>
      </c>
      <c r="G7692" s="3" t="s">
        <v>19</v>
      </c>
      <c r="H7692" s="2" t="s">
        <v>20</v>
      </c>
      <c r="I7692" s="2" t="s">
        <v>14820</v>
      </c>
      <c r="J7692" s="3" t="str">
        <f>HYPERLINK("https://www.boe.es/gazeta/dias/1822/11/15/pdfs/GMD-1822-335.pdf#page=5","Abrir facsímil")</f>
        <v>Abrir facsímil</v>
      </c>
      <c r="K7692" s="3" t="s">
        <v>22</v>
      </c>
    </row>
    <row r="7693" spans="1:11" ht="42" customHeight="1">
      <c r="A7693" s="2" t="s">
        <v>14821</v>
      </c>
      <c r="B7693" s="2" t="s">
        <v>14822</v>
      </c>
      <c r="C7693" s="2" t="s">
        <v>42</v>
      </c>
      <c r="D7693" s="2" t="s">
        <v>17</v>
      </c>
      <c r="E7693" s="5">
        <v>-28297</v>
      </c>
      <c r="F7693" s="3" t="s">
        <v>1972</v>
      </c>
      <c r="G7693" s="3" t="s">
        <v>31</v>
      </c>
      <c r="H7693" s="2" t="s">
        <v>20</v>
      </c>
      <c r="I7693" s="2" t="s">
        <v>14823</v>
      </c>
      <c r="J7693" s="3" t="str">
        <f>HYPERLINK("https://www.boe.es/gazeta/dias/1822/07/10/pdfs/GMD-1822-200.pdf#page=3","Abrir facsímil")</f>
        <v>Abrir facsímil</v>
      </c>
      <c r="K7693" s="3" t="s">
        <v>22</v>
      </c>
    </row>
    <row r="7694" spans="1:11" ht="42" customHeight="1">
      <c r="A7694" s="2" t="s">
        <v>14824</v>
      </c>
      <c r="B7694" s="2" t="s">
        <v>14824</v>
      </c>
      <c r="C7694" s="2" t="s">
        <v>28</v>
      </c>
      <c r="D7694" s="2" t="s">
        <v>29</v>
      </c>
      <c r="E7694" s="5">
        <v>-28330</v>
      </c>
      <c r="F7694" s="3" t="s">
        <v>896</v>
      </c>
      <c r="G7694" s="3" t="s">
        <v>35</v>
      </c>
      <c r="H7694" s="2" t="s">
        <v>20</v>
      </c>
      <c r="I7694" s="2" t="s">
        <v>14825</v>
      </c>
      <c r="J7694" s="3" t="str">
        <f>HYPERLINK("https://www.boe.es/gazeta/dias/1822/06/07/pdfs/GMD-1822-164.pdf#page=2","Abrir facsímil")</f>
        <v>Abrir facsímil</v>
      </c>
      <c r="K7694" s="3" t="s">
        <v>22</v>
      </c>
    </row>
    <row r="7695" spans="1:11" ht="42" customHeight="1">
      <c r="A7695" s="2" t="s">
        <v>14826</v>
      </c>
      <c r="B7695" s="2" t="s">
        <v>14826</v>
      </c>
      <c r="C7695" s="2" t="s">
        <v>42</v>
      </c>
      <c r="D7695" s="2" t="s">
        <v>17</v>
      </c>
      <c r="E7695" s="5">
        <v>-28143</v>
      </c>
      <c r="F7695" s="3" t="s">
        <v>2967</v>
      </c>
      <c r="G7695" s="3" t="s">
        <v>6049</v>
      </c>
      <c r="H7695" s="2" t="s">
        <v>20</v>
      </c>
      <c r="I7695" s="2" t="s">
        <v>14827</v>
      </c>
      <c r="J7695" s="3" t="str">
        <f>HYPERLINK("https://www.boe.es/gazeta/dias/1822/12/11/pdfs/GMD-1822-361.pdf#page=3","Abrir facsímil")</f>
        <v>Abrir facsímil</v>
      </c>
      <c r="K7695" s="3" t="s">
        <v>22</v>
      </c>
    </row>
    <row r="7696" spans="1:11" ht="42" customHeight="1">
      <c r="A7696" s="2" t="s">
        <v>14828</v>
      </c>
      <c r="B7696" s="2" t="s">
        <v>14828</v>
      </c>
      <c r="C7696" s="2" t="s">
        <v>42</v>
      </c>
      <c r="D7696" s="2" t="s">
        <v>17</v>
      </c>
      <c r="E7696" s="5">
        <v>-28139</v>
      </c>
      <c r="F7696" s="3" t="s">
        <v>143</v>
      </c>
      <c r="G7696" s="3" t="s">
        <v>31</v>
      </c>
      <c r="H7696" s="2" t="s">
        <v>20</v>
      </c>
      <c r="I7696" s="2" t="s">
        <v>14829</v>
      </c>
      <c r="J7696" s="3" t="str">
        <f>HYPERLINK("https://www.boe.es/gazeta/dias/1822/12/15/pdfs/GMD-1822-365.pdf#page=3","Abrir facsímil")</f>
        <v>Abrir facsímil</v>
      </c>
      <c r="K7696" s="3" t="s">
        <v>22</v>
      </c>
    </row>
    <row r="7697" spans="1:11" ht="42" customHeight="1">
      <c r="A7697" s="2" t="s">
        <v>14830</v>
      </c>
      <c r="B7697" s="2" t="s">
        <v>14830</v>
      </c>
      <c r="C7697" s="2" t="s">
        <v>50</v>
      </c>
      <c r="D7697" s="2" t="s">
        <v>51</v>
      </c>
      <c r="E7697" s="5">
        <v>-28427</v>
      </c>
      <c r="F7697" s="3" t="s">
        <v>755</v>
      </c>
      <c r="G7697" s="3" t="s">
        <v>57</v>
      </c>
      <c r="H7697" s="2" t="s">
        <v>20</v>
      </c>
      <c r="I7697" s="2" t="s">
        <v>14831</v>
      </c>
      <c r="J7697" s="3" t="str">
        <f>HYPERLINK("https://www.boe.es/gazeta/dias/1822/03/02/pdfs/GMD-1822-63.pdf#page=4","Abrir facsímil")</f>
        <v>Abrir facsímil</v>
      </c>
      <c r="K7697" s="3" t="s">
        <v>22</v>
      </c>
    </row>
    <row r="7698" spans="1:11" ht="42" customHeight="1">
      <c r="A7698" s="2" t="s">
        <v>14832</v>
      </c>
      <c r="B7698" s="2" t="s">
        <v>14832</v>
      </c>
      <c r="C7698" s="2" t="s">
        <v>50</v>
      </c>
      <c r="D7698" s="2" t="s">
        <v>51</v>
      </c>
      <c r="E7698" s="5">
        <v>-28427</v>
      </c>
      <c r="F7698" s="3" t="s">
        <v>755</v>
      </c>
      <c r="G7698" s="3" t="s">
        <v>57</v>
      </c>
      <c r="H7698" s="2" t="s">
        <v>20</v>
      </c>
      <c r="I7698" s="2" t="s">
        <v>14833</v>
      </c>
      <c r="J7698" s="3" t="str">
        <f>HYPERLINK("https://www.boe.es/gazeta/dias/1822/03/02/pdfs/GMD-1822-63.pdf#page=4","Abrir facsímil")</f>
        <v>Abrir facsímil</v>
      </c>
      <c r="K7698" s="3" t="s">
        <v>22</v>
      </c>
    </row>
    <row r="7699" spans="1:11" ht="42" customHeight="1">
      <c r="A7699" s="2" t="s">
        <v>14834</v>
      </c>
      <c r="B7699" s="2" t="s">
        <v>14835</v>
      </c>
      <c r="C7699" s="2" t="s">
        <v>42</v>
      </c>
      <c r="D7699" s="2" t="s">
        <v>17</v>
      </c>
      <c r="E7699" s="5">
        <v>-28251</v>
      </c>
      <c r="F7699" s="3" t="s">
        <v>1485</v>
      </c>
      <c r="G7699" s="3" t="s">
        <v>35</v>
      </c>
      <c r="H7699" s="2" t="s">
        <v>20</v>
      </c>
      <c r="I7699" s="2" t="s">
        <v>14836</v>
      </c>
      <c r="J7699" s="3" t="str">
        <f>HYPERLINK("https://www.boe.es/gazeta/dias/1822/08/25/pdfs/GMD-1822-249.pdf#page=2","Abrir facsímil")</f>
        <v>Abrir facsímil</v>
      </c>
      <c r="K7699" s="3" t="s">
        <v>22</v>
      </c>
    </row>
    <row r="7700" spans="1:11" ht="42" customHeight="1">
      <c r="A7700" s="2" t="s">
        <v>14837</v>
      </c>
      <c r="B7700" s="2" t="s">
        <v>14837</v>
      </c>
      <c r="C7700" s="2" t="s">
        <v>50</v>
      </c>
      <c r="D7700" s="2" t="s">
        <v>51</v>
      </c>
      <c r="E7700" s="5">
        <v>-28228</v>
      </c>
      <c r="F7700" s="3" t="s">
        <v>718</v>
      </c>
      <c r="G7700" s="3" t="s">
        <v>44</v>
      </c>
      <c r="H7700" s="2" t="s">
        <v>20</v>
      </c>
      <c r="I7700" s="2" t="s">
        <v>14838</v>
      </c>
      <c r="J7700" s="3" t="str">
        <f>HYPERLINK("https://www.boe.es/gazeta/dias/1822/09/17/pdfs/GMD-1822-273.pdf#page=1","Abrir facsímil")</f>
        <v>Abrir facsímil</v>
      </c>
      <c r="K7700" s="3" t="s">
        <v>22</v>
      </c>
    </row>
    <row r="7701" spans="1:11" ht="42" customHeight="1">
      <c r="A7701" s="2" t="s">
        <v>14839</v>
      </c>
      <c r="B7701" s="2" t="s">
        <v>14839</v>
      </c>
      <c r="C7701" s="2" t="s">
        <v>50</v>
      </c>
      <c r="D7701" s="2" t="s">
        <v>51</v>
      </c>
      <c r="E7701" s="5">
        <v>-28428</v>
      </c>
      <c r="F7701" s="3" t="s">
        <v>1924</v>
      </c>
      <c r="G7701" s="3" t="s">
        <v>57</v>
      </c>
      <c r="H7701" s="2" t="s">
        <v>20</v>
      </c>
      <c r="I7701" s="2" t="s">
        <v>14840</v>
      </c>
      <c r="J7701" s="3" t="str">
        <f>HYPERLINK("https://www.boe.es/gazeta/dias/1822/03/01/pdfs/GMD-1822-61.pdf#page=4","Abrir facsímil")</f>
        <v>Abrir facsímil</v>
      </c>
      <c r="K7701" s="3" t="s">
        <v>22</v>
      </c>
    </row>
    <row r="7702" spans="1:11" ht="42" customHeight="1">
      <c r="A7702" s="2" t="s">
        <v>14841</v>
      </c>
      <c r="B7702" s="2" t="s">
        <v>14841</v>
      </c>
      <c r="C7702" s="2" t="s">
        <v>50</v>
      </c>
      <c r="D7702" s="2" t="s">
        <v>51</v>
      </c>
      <c r="E7702" s="5">
        <v>-28431</v>
      </c>
      <c r="F7702" s="3" t="s">
        <v>1258</v>
      </c>
      <c r="G7702" s="3" t="s">
        <v>57</v>
      </c>
      <c r="H7702" s="2" t="s">
        <v>20</v>
      </c>
      <c r="I7702" s="2" t="s">
        <v>14842</v>
      </c>
      <c r="J7702" s="3" t="str">
        <f>HYPERLINK("https://www.boe.es/gazeta/dias/1822/02/26/pdfs/GMD-1822-58.pdf#page=4","Abrir facsímil")</f>
        <v>Abrir facsímil</v>
      </c>
      <c r="K7702" s="3" t="s">
        <v>22</v>
      </c>
    </row>
    <row r="7703" spans="1:11" ht="42" customHeight="1">
      <c r="A7703" s="2" t="s">
        <v>14843</v>
      </c>
      <c r="B7703" s="2" t="s">
        <v>14843</v>
      </c>
      <c r="C7703" s="2" t="s">
        <v>42</v>
      </c>
      <c r="D7703" s="2" t="s">
        <v>17</v>
      </c>
      <c r="E7703" s="5">
        <v>-28129</v>
      </c>
      <c r="F7703" s="3" t="s">
        <v>599</v>
      </c>
      <c r="G7703" s="3" t="s">
        <v>31</v>
      </c>
      <c r="H7703" s="2" t="s">
        <v>20</v>
      </c>
      <c r="I7703" s="2" t="s">
        <v>14844</v>
      </c>
      <c r="J7703" s="3" t="str">
        <f>HYPERLINK("https://www.boe.es/gazeta/dias/1822/12/25/pdfs/GMD-1822-375.pdf#page=3","Abrir facsímil")</f>
        <v>Abrir facsímil</v>
      </c>
      <c r="K7703" s="3" t="s">
        <v>22</v>
      </c>
    </row>
    <row r="7704" spans="1:11" ht="42" customHeight="1">
      <c r="A7704" s="2" t="s">
        <v>14845</v>
      </c>
      <c r="B7704" s="2" t="s">
        <v>14845</v>
      </c>
      <c r="C7704" s="2" t="s">
        <v>50</v>
      </c>
      <c r="D7704" s="2" t="s">
        <v>51</v>
      </c>
      <c r="E7704" s="5">
        <v>-28396</v>
      </c>
      <c r="F7704" s="3" t="s">
        <v>1138</v>
      </c>
      <c r="G7704" s="3" t="s">
        <v>63</v>
      </c>
      <c r="H7704" s="2" t="s">
        <v>20</v>
      </c>
      <c r="I7704" s="2" t="s">
        <v>14846</v>
      </c>
      <c r="J7704" s="3" t="str">
        <f>HYPERLINK("https://www.boe.es/gazeta/dias/1822/04/02/pdfs/GMD-1822-94.pdf#page=6","Abrir facsímil")</f>
        <v>Abrir facsímil</v>
      </c>
      <c r="K7704" s="3" t="s">
        <v>22</v>
      </c>
    </row>
    <row r="7705" spans="1:11" ht="42" customHeight="1">
      <c r="A7705" s="2" t="s">
        <v>14847</v>
      </c>
      <c r="B7705" s="2" t="s">
        <v>14847</v>
      </c>
      <c r="C7705" s="2" t="s">
        <v>42</v>
      </c>
      <c r="D7705" s="2" t="s">
        <v>17</v>
      </c>
      <c r="E7705" s="5">
        <v>-28316</v>
      </c>
      <c r="F7705" s="3" t="s">
        <v>1144</v>
      </c>
      <c r="G7705" s="3" t="s">
        <v>35</v>
      </c>
      <c r="H7705" s="2" t="s">
        <v>20</v>
      </c>
      <c r="I7705" s="2" t="s">
        <v>14848</v>
      </c>
      <c r="J7705" s="3" t="str">
        <f>HYPERLINK("https://www.boe.es/gazeta/dias/1822/06/21/pdfs/GMD-1822-179.pdf#page=2","Abrir facsímil")</f>
        <v>Abrir facsímil</v>
      </c>
      <c r="K7705" s="3" t="s">
        <v>22</v>
      </c>
    </row>
    <row r="7706" spans="1:11" ht="42" customHeight="1">
      <c r="A7706" s="2" t="s">
        <v>14849</v>
      </c>
      <c r="B7706" s="2" t="s">
        <v>14850</v>
      </c>
      <c r="C7706" s="2" t="s">
        <v>50</v>
      </c>
      <c r="D7706" s="2" t="s">
        <v>51</v>
      </c>
      <c r="E7706" s="5">
        <v>-28230</v>
      </c>
      <c r="F7706" s="3" t="s">
        <v>1735</v>
      </c>
      <c r="G7706" s="3" t="s">
        <v>31</v>
      </c>
      <c r="H7706" s="2" t="s">
        <v>20</v>
      </c>
      <c r="I7706" s="2" t="s">
        <v>14851</v>
      </c>
      <c r="J7706" s="3" t="str">
        <f>HYPERLINK("https://www.boe.es/gazeta/dias/1822/09/15/pdfs/GMD-1822-271.pdf#page=3","Abrir facsímil")</f>
        <v>Abrir facsímil</v>
      </c>
      <c r="K7706" s="3" t="s">
        <v>22</v>
      </c>
    </row>
    <row r="7707" spans="1:11" ht="42" customHeight="1">
      <c r="A7707" s="2" t="s">
        <v>14852</v>
      </c>
      <c r="B7707" s="2" t="s">
        <v>14852</v>
      </c>
      <c r="C7707" s="2" t="s">
        <v>71</v>
      </c>
      <c r="D7707" s="2" t="s">
        <v>17</v>
      </c>
      <c r="E7707" s="5">
        <v>-28370</v>
      </c>
      <c r="F7707" s="3" t="s">
        <v>207</v>
      </c>
      <c r="G7707" s="3" t="s">
        <v>19</v>
      </c>
      <c r="H7707" s="2" t="s">
        <v>20</v>
      </c>
      <c r="I7707" s="2" t="s">
        <v>14853</v>
      </c>
      <c r="J7707" s="3" t="str">
        <f>HYPERLINK("https://www.boe.es/gazeta/dias/1822/04/28/pdfs/GMD-1822-120.pdf#page=5","Abrir facsímil")</f>
        <v>Abrir facsímil</v>
      </c>
      <c r="K7707" s="3" t="s">
        <v>22</v>
      </c>
    </row>
    <row r="7708" spans="1:11" ht="42" customHeight="1">
      <c r="A7708" s="2" t="s">
        <v>14852</v>
      </c>
      <c r="B7708" s="2" t="s">
        <v>14852</v>
      </c>
      <c r="C7708" s="2" t="s">
        <v>50</v>
      </c>
      <c r="D7708" s="2" t="s">
        <v>51</v>
      </c>
      <c r="E7708" s="5">
        <v>-28333</v>
      </c>
      <c r="F7708" s="3" t="s">
        <v>1928</v>
      </c>
      <c r="G7708" s="3" t="s">
        <v>31</v>
      </c>
      <c r="H7708" s="2" t="s">
        <v>20</v>
      </c>
      <c r="I7708" s="2" t="s">
        <v>14854</v>
      </c>
      <c r="J7708" s="3" t="str">
        <f>HYPERLINK("https://www.boe.es/gazeta/dias/1822/06/04/pdfs/GMD-1822-161.pdf#page=3","Abrir facsímil")</f>
        <v>Abrir facsímil</v>
      </c>
      <c r="K7708" s="3" t="s">
        <v>22</v>
      </c>
    </row>
    <row r="7709" spans="1:11" ht="42" customHeight="1">
      <c r="A7709" s="2" t="s">
        <v>14852</v>
      </c>
      <c r="B7709" s="2" t="s">
        <v>14852</v>
      </c>
      <c r="C7709" s="2" t="s">
        <v>24</v>
      </c>
      <c r="D7709" s="2" t="s">
        <v>17</v>
      </c>
      <c r="E7709" s="5">
        <v>-28318</v>
      </c>
      <c r="F7709" s="3" t="s">
        <v>397</v>
      </c>
      <c r="G7709" s="3" t="s">
        <v>57</v>
      </c>
      <c r="H7709" s="2" t="s">
        <v>20</v>
      </c>
      <c r="I7709" s="2" t="s">
        <v>14855</v>
      </c>
      <c r="J7709" s="3" t="str">
        <f>HYPERLINK("https://www.boe.es/gazeta/dias/1822/06/19/pdfs/GMD-1822-176.pdf#page=4","Abrir facsímil")</f>
        <v>Abrir facsímil</v>
      </c>
      <c r="K7709" s="3" t="s">
        <v>22</v>
      </c>
    </row>
    <row r="7710" spans="1:11" ht="42" customHeight="1">
      <c r="A7710" s="2" t="s">
        <v>14852</v>
      </c>
      <c r="B7710" s="2" t="s">
        <v>14852</v>
      </c>
      <c r="C7710" s="2" t="s">
        <v>28</v>
      </c>
      <c r="D7710" s="2" t="s">
        <v>29</v>
      </c>
      <c r="E7710" s="5">
        <v>-28190</v>
      </c>
      <c r="F7710" s="3" t="s">
        <v>576</v>
      </c>
      <c r="G7710" s="3" t="s">
        <v>57</v>
      </c>
      <c r="H7710" s="2" t="s">
        <v>20</v>
      </c>
      <c r="I7710" s="2" t="s">
        <v>14856</v>
      </c>
      <c r="J7710" s="3" t="str">
        <f>HYPERLINK("https://www.boe.es/gazeta/dias/1822/10/25/pdfs/GMD-1822-312.pdf#page=4","Abrir facsímil")</f>
        <v>Abrir facsímil</v>
      </c>
      <c r="K7710" s="3" t="s">
        <v>22</v>
      </c>
    </row>
    <row r="7711" spans="1:11" ht="42" customHeight="1">
      <c r="A7711" s="2" t="s">
        <v>14857</v>
      </c>
      <c r="B7711" s="2" t="s">
        <v>14858</v>
      </c>
      <c r="C7711" s="2" t="s">
        <v>50</v>
      </c>
      <c r="D7711" s="2" t="s">
        <v>51</v>
      </c>
      <c r="E7711" s="5">
        <v>-28291</v>
      </c>
      <c r="F7711" s="3" t="s">
        <v>363</v>
      </c>
      <c r="G7711" s="3" t="s">
        <v>31</v>
      </c>
      <c r="H7711" s="2" t="s">
        <v>20</v>
      </c>
      <c r="I7711" s="2" t="s">
        <v>14859</v>
      </c>
      <c r="J7711" s="3" t="str">
        <f>HYPERLINK("https://www.boe.es/gazeta/dias/1822/07/16/pdfs/GMD-1822-206.pdf#page=3","Abrir facsímil")</f>
        <v>Abrir facsímil</v>
      </c>
      <c r="K7711" s="3" t="s">
        <v>22</v>
      </c>
    </row>
    <row r="7712" spans="1:11" ht="42" customHeight="1">
      <c r="A7712" s="2" t="s">
        <v>14860</v>
      </c>
      <c r="B7712" s="2" t="s">
        <v>14861</v>
      </c>
      <c r="C7712" s="2" t="s">
        <v>50</v>
      </c>
      <c r="D7712" s="2" t="s">
        <v>51</v>
      </c>
      <c r="E7712" s="5">
        <v>-28340</v>
      </c>
      <c r="F7712" s="3" t="s">
        <v>139</v>
      </c>
      <c r="G7712" s="3" t="s">
        <v>63</v>
      </c>
      <c r="H7712" s="2" t="s">
        <v>20</v>
      </c>
      <c r="I7712" s="2" t="s">
        <v>14862</v>
      </c>
      <c r="J7712" s="3" t="str">
        <f>HYPERLINK("https://www.boe.es/gazeta/dias/1822/05/28/pdfs/GMD-1822-153.pdf#page=6","Abrir facsímil")</f>
        <v>Abrir facsímil</v>
      </c>
      <c r="K7712" s="3" t="s">
        <v>22</v>
      </c>
    </row>
    <row r="7713" spans="1:11" ht="42" customHeight="1">
      <c r="A7713" s="2" t="s">
        <v>14863</v>
      </c>
      <c r="B7713" s="2" t="s">
        <v>14864</v>
      </c>
      <c r="C7713" s="2" t="s">
        <v>50</v>
      </c>
      <c r="D7713" s="2" t="s">
        <v>51</v>
      </c>
      <c r="E7713" s="5">
        <v>-28240</v>
      </c>
      <c r="F7713" s="3" t="s">
        <v>678</v>
      </c>
      <c r="G7713" s="3" t="s">
        <v>31</v>
      </c>
      <c r="H7713" s="2" t="s">
        <v>45</v>
      </c>
      <c r="I7713" s="2" t="s">
        <v>14865</v>
      </c>
      <c r="J7713" s="3" t="str">
        <f>HYPERLINK("https://www.boe.es/gazeta/dias/1822/09/05/pdfs/GMD-1822-260.pdf#page=3","Abrir facsímil")</f>
        <v>Abrir facsímil</v>
      </c>
      <c r="K7713" s="3" t="s">
        <v>47</v>
      </c>
    </row>
    <row r="7714" spans="1:11" ht="42" customHeight="1">
      <c r="A7714" s="2" t="s">
        <v>14866</v>
      </c>
      <c r="B7714" s="2" t="s">
        <v>14867</v>
      </c>
      <c r="C7714" s="2" t="s">
        <v>42</v>
      </c>
      <c r="D7714" s="2" t="s">
        <v>17</v>
      </c>
      <c r="E7714" s="5">
        <v>-28282</v>
      </c>
      <c r="F7714" s="3" t="s">
        <v>6600</v>
      </c>
      <c r="G7714" s="3" t="s">
        <v>6601</v>
      </c>
      <c r="H7714" s="2" t="s">
        <v>45</v>
      </c>
      <c r="I7714" s="2" t="s">
        <v>14868</v>
      </c>
      <c r="J7714" s="3" t="str">
        <f>HYPERLINK("https://www.boe.es/gazeta/dias/1822/07/25/pdfs/GMD-1822-218.pdf#page=4","Abrir facsímil")</f>
        <v>Abrir facsímil</v>
      </c>
      <c r="K7714" s="3" t="s">
        <v>47</v>
      </c>
    </row>
    <row r="7715" spans="1:11" ht="42" customHeight="1">
      <c r="A7715" s="2" t="s">
        <v>14869</v>
      </c>
      <c r="B7715" s="2" t="s">
        <v>14870</v>
      </c>
      <c r="C7715" s="2" t="s">
        <v>50</v>
      </c>
      <c r="D7715" s="2" t="s">
        <v>51</v>
      </c>
      <c r="E7715" s="5">
        <v>-28234</v>
      </c>
      <c r="F7715" s="3" t="s">
        <v>1331</v>
      </c>
      <c r="G7715" s="3" t="s">
        <v>44</v>
      </c>
      <c r="H7715" s="2" t="s">
        <v>45</v>
      </c>
      <c r="I7715" s="2" t="s">
        <v>14871</v>
      </c>
      <c r="J7715" s="3" t="str">
        <f>HYPERLINK("https://www.boe.es/gazeta/dias/1822/09/11/pdfs/GMD-1822-267.pdf#page=1","Abrir facsímil")</f>
        <v>Abrir facsímil</v>
      </c>
      <c r="K7715" s="3" t="s">
        <v>47</v>
      </c>
    </row>
    <row r="7716" spans="1:11" ht="42" customHeight="1">
      <c r="A7716" s="2" t="s">
        <v>14872</v>
      </c>
      <c r="B7716" s="2" t="s">
        <v>14873</v>
      </c>
      <c r="C7716" s="2" t="s">
        <v>42</v>
      </c>
      <c r="D7716" s="2" t="s">
        <v>17</v>
      </c>
      <c r="E7716" s="5">
        <v>-28243</v>
      </c>
      <c r="F7716" s="3" t="s">
        <v>1829</v>
      </c>
      <c r="G7716" s="3" t="s">
        <v>57</v>
      </c>
      <c r="H7716" s="2" t="s">
        <v>45</v>
      </c>
      <c r="I7716" s="2" t="s">
        <v>14874</v>
      </c>
      <c r="J7716" s="3" t="str">
        <f>HYPERLINK("https://www.boe.es/gazeta/dias/1822/09/02/pdfs/GMD-1822-257.pdf#page=4","Abrir facsímil")</f>
        <v>Abrir facsímil</v>
      </c>
      <c r="K7716" s="3" t="s">
        <v>47</v>
      </c>
    </row>
    <row r="7717" spans="1:11" ht="42" customHeight="1">
      <c r="A7717" s="2" t="s">
        <v>14875</v>
      </c>
      <c r="B7717" s="2" t="s">
        <v>14876</v>
      </c>
      <c r="C7717" s="2" t="s">
        <v>50</v>
      </c>
      <c r="D7717" s="2" t="s">
        <v>51</v>
      </c>
      <c r="E7717" s="5">
        <v>-28413</v>
      </c>
      <c r="F7717" s="3" t="s">
        <v>458</v>
      </c>
      <c r="G7717" s="3" t="s">
        <v>19</v>
      </c>
      <c r="H7717" s="2" t="s">
        <v>45</v>
      </c>
      <c r="I7717" s="2" t="s">
        <v>14877</v>
      </c>
      <c r="J7717" s="3" t="str">
        <f>HYPERLINK("https://www.boe.es/gazeta/dias/1822/03/16/pdfs/GMD-1822-77.pdf#page=5","Abrir facsímil")</f>
        <v>Abrir facsímil</v>
      </c>
      <c r="K7717" s="3" t="s">
        <v>47</v>
      </c>
    </row>
    <row r="7718" spans="1:11" ht="42" customHeight="1">
      <c r="A7718" s="2" t="s">
        <v>14878</v>
      </c>
      <c r="B7718" s="2" t="s">
        <v>14879</v>
      </c>
      <c r="C7718" s="2" t="s">
        <v>50</v>
      </c>
      <c r="D7718" s="2" t="s">
        <v>51</v>
      </c>
      <c r="E7718" s="5">
        <v>-28318</v>
      </c>
      <c r="F7718" s="3" t="s">
        <v>397</v>
      </c>
      <c r="G7718" s="3" t="s">
        <v>167</v>
      </c>
      <c r="H7718" s="2" t="s">
        <v>20</v>
      </c>
      <c r="I7718" s="2" t="s">
        <v>14880</v>
      </c>
      <c r="J7718" s="3" t="str">
        <f>HYPERLINK("https://www.boe.es/gazeta/dias/1822/06/19/pdfs/GMD-1822-176.pdf#page=7","Abrir facsímil")</f>
        <v>Abrir facsímil</v>
      </c>
      <c r="K7718" s="3" t="s">
        <v>22</v>
      </c>
    </row>
    <row r="7719" spans="1:11" ht="42" customHeight="1">
      <c r="A7719" s="2" t="s">
        <v>14881</v>
      </c>
      <c r="B7719" s="2" t="s">
        <v>14881</v>
      </c>
      <c r="C7719" s="2" t="s">
        <v>42</v>
      </c>
      <c r="D7719" s="2" t="s">
        <v>17</v>
      </c>
      <c r="E7719" s="5">
        <v>-28251</v>
      </c>
      <c r="F7719" s="3" t="s">
        <v>1485</v>
      </c>
      <c r="G7719" s="3" t="s">
        <v>35</v>
      </c>
      <c r="H7719" s="2" t="s">
        <v>20</v>
      </c>
      <c r="I7719" s="2" t="s">
        <v>14882</v>
      </c>
      <c r="J7719" s="3" t="str">
        <f>HYPERLINK("https://www.boe.es/gazeta/dias/1822/08/25/pdfs/GMD-1822-249.pdf#page=2","Abrir facsímil")</f>
        <v>Abrir facsímil</v>
      </c>
      <c r="K7719" s="3" t="s">
        <v>22</v>
      </c>
    </row>
    <row r="7720" spans="1:11" ht="42" customHeight="1">
      <c r="A7720" s="2" t="s">
        <v>14883</v>
      </c>
      <c r="B7720" s="2" t="s">
        <v>14883</v>
      </c>
      <c r="C7720" s="2" t="s">
        <v>42</v>
      </c>
      <c r="D7720" s="2" t="s">
        <v>17</v>
      </c>
      <c r="E7720" s="5">
        <v>-28340</v>
      </c>
      <c r="F7720" s="3" t="s">
        <v>139</v>
      </c>
      <c r="G7720" s="3" t="s">
        <v>57</v>
      </c>
      <c r="H7720" s="2" t="s">
        <v>20</v>
      </c>
      <c r="I7720" s="2" t="s">
        <v>14884</v>
      </c>
      <c r="J7720" s="3" t="str">
        <f>HYPERLINK("https://www.boe.es/gazeta/dias/1822/05/28/pdfs/GMD-1822-153.pdf#page=4","Abrir facsímil")</f>
        <v>Abrir facsímil</v>
      </c>
      <c r="K7720" s="3" t="s">
        <v>22</v>
      </c>
    </row>
    <row r="7721" spans="1:11" ht="42" customHeight="1">
      <c r="A7721" s="2" t="s">
        <v>14885</v>
      </c>
      <c r="B7721" s="2" t="s">
        <v>14886</v>
      </c>
      <c r="C7721" s="2" t="s">
        <v>71</v>
      </c>
      <c r="D7721" s="2" t="s">
        <v>17</v>
      </c>
      <c r="E7721" s="5">
        <v>-28193</v>
      </c>
      <c r="F7721" s="3" t="s">
        <v>574</v>
      </c>
      <c r="G7721" s="3" t="s">
        <v>63</v>
      </c>
      <c r="H7721" s="2" t="s">
        <v>20</v>
      </c>
      <c r="I7721" s="2" t="s">
        <v>14887</v>
      </c>
      <c r="J7721" s="3" t="str">
        <f>HYPERLINK("https://www.boe.es/gazeta/dias/1822/10/22/pdfs/GMD-1822-309.pdf#page=6","Abrir facsímil")</f>
        <v>Abrir facsímil</v>
      </c>
      <c r="K7721" s="3" t="s">
        <v>22</v>
      </c>
    </row>
    <row r="7722" spans="1:11" ht="42" customHeight="1">
      <c r="A7722" s="2" t="s">
        <v>14888</v>
      </c>
      <c r="B7722" s="2" t="s">
        <v>14888</v>
      </c>
      <c r="C7722" s="2" t="s">
        <v>42</v>
      </c>
      <c r="D7722" s="2" t="s">
        <v>17</v>
      </c>
      <c r="E7722" s="5">
        <v>-28422</v>
      </c>
      <c r="F7722" s="3" t="s">
        <v>416</v>
      </c>
      <c r="G7722" s="3" t="s">
        <v>35</v>
      </c>
      <c r="H7722" s="2" t="s">
        <v>20</v>
      </c>
      <c r="I7722" s="2" t="s">
        <v>14889</v>
      </c>
      <c r="J7722" s="3" t="str">
        <f>HYPERLINK("https://www.boe.es/gazeta/dias/1822/03/07/pdfs/GMD-1822-68.pdf#page=2","Abrir facsímil")</f>
        <v>Abrir facsímil</v>
      </c>
      <c r="K7722" s="3" t="s">
        <v>22</v>
      </c>
    </row>
    <row r="7723" spans="1:11" ht="42" customHeight="1">
      <c r="A7723" s="2" t="s">
        <v>14888</v>
      </c>
      <c r="B7723" s="2" t="s">
        <v>14888</v>
      </c>
      <c r="C7723" s="2" t="s">
        <v>50</v>
      </c>
      <c r="D7723" s="2" t="s">
        <v>51</v>
      </c>
      <c r="E7723" s="5">
        <v>-28420</v>
      </c>
      <c r="F7723" s="3" t="s">
        <v>449</v>
      </c>
      <c r="G7723" s="3" t="s">
        <v>57</v>
      </c>
      <c r="H7723" s="2" t="s">
        <v>20</v>
      </c>
      <c r="I7723" s="2" t="s">
        <v>14890</v>
      </c>
      <c r="J7723" s="3" t="str">
        <f>HYPERLINK("https://www.boe.es/gazeta/dias/1822/03/09/pdfs/GMD-1822-70.pdf#page=4","Abrir facsímil")</f>
        <v>Abrir facsímil</v>
      </c>
      <c r="K7723" s="3" t="s">
        <v>22</v>
      </c>
    </row>
    <row r="7724" spans="1:11" ht="42" customHeight="1">
      <c r="A7724" s="2" t="s">
        <v>14891</v>
      </c>
      <c r="B7724" s="2" t="s">
        <v>14892</v>
      </c>
      <c r="C7724" s="2" t="s">
        <v>50</v>
      </c>
      <c r="D7724" s="2" t="s">
        <v>51</v>
      </c>
      <c r="E7724" s="5">
        <v>-28319</v>
      </c>
      <c r="F7724" s="3" t="s">
        <v>271</v>
      </c>
      <c r="G7724" s="3" t="s">
        <v>35</v>
      </c>
      <c r="H7724" s="2" t="s">
        <v>20</v>
      </c>
      <c r="I7724" s="2" t="s">
        <v>14893</v>
      </c>
      <c r="J7724" s="3" t="str">
        <f>HYPERLINK("https://www.boe.es/gazeta/dias/1822/06/18/pdfs/GMD-1822-175.pdf#page=2","Abrir facsímil")</f>
        <v>Abrir facsímil</v>
      </c>
      <c r="K7724" s="3" t="s">
        <v>22</v>
      </c>
    </row>
    <row r="7725" spans="1:11" ht="42" customHeight="1">
      <c r="A7725" s="2" t="s">
        <v>14894</v>
      </c>
      <c r="B7725" s="2" t="s">
        <v>14895</v>
      </c>
      <c r="C7725" s="2" t="s">
        <v>24</v>
      </c>
      <c r="D7725" s="2" t="s">
        <v>17</v>
      </c>
      <c r="E7725" s="5">
        <v>-28208</v>
      </c>
      <c r="F7725" s="3" t="s">
        <v>230</v>
      </c>
      <c r="G7725" s="3" t="s">
        <v>57</v>
      </c>
      <c r="H7725" s="2" t="s">
        <v>20</v>
      </c>
      <c r="I7725" s="2" t="s">
        <v>14896</v>
      </c>
      <c r="J7725" s="3" t="str">
        <f>HYPERLINK("https://www.boe.es/gazeta/dias/1822/10/07/pdfs/GMD-1822-293.pdf#page=4","Abrir facsímil")</f>
        <v>Abrir facsímil</v>
      </c>
      <c r="K7725" s="3" t="s">
        <v>22</v>
      </c>
    </row>
    <row r="7726" spans="1:11" ht="42" customHeight="1">
      <c r="A7726" s="2" t="s">
        <v>14897</v>
      </c>
      <c r="B7726" s="2" t="s">
        <v>14898</v>
      </c>
      <c r="C7726" s="2" t="s">
        <v>362</v>
      </c>
      <c r="D7726" s="2" t="s">
        <v>17</v>
      </c>
      <c r="E7726" s="5">
        <v>-28307</v>
      </c>
      <c r="F7726" s="3" t="s">
        <v>555</v>
      </c>
      <c r="G7726" s="3" t="s">
        <v>157</v>
      </c>
      <c r="H7726" s="2" t="s">
        <v>20</v>
      </c>
      <c r="I7726" s="2" t="s">
        <v>14899</v>
      </c>
      <c r="J7726" s="3" t="str">
        <f>HYPERLINK("https://www.boe.es/gazeta/dias/1822/06/30/pdfs/GMD-1822-188.pdf#page=8","Abrir facsímil")</f>
        <v>Abrir facsímil</v>
      </c>
      <c r="K7726" s="3" t="s">
        <v>22</v>
      </c>
    </row>
    <row r="7727" spans="1:11" ht="42" customHeight="1">
      <c r="A7727" s="2" t="s">
        <v>14900</v>
      </c>
      <c r="B7727" s="2" t="s">
        <v>14900</v>
      </c>
      <c r="C7727" s="2" t="s">
        <v>16</v>
      </c>
      <c r="D7727" s="2" t="s">
        <v>17</v>
      </c>
      <c r="E7727" s="5">
        <v>-28479</v>
      </c>
      <c r="F7727" s="3" t="s">
        <v>1091</v>
      </c>
      <c r="G7727" s="3" t="s">
        <v>31</v>
      </c>
      <c r="H7727" s="2" t="s">
        <v>20</v>
      </c>
      <c r="I7727" s="2" t="s">
        <v>14901</v>
      </c>
      <c r="J7727" s="3" t="str">
        <f>HYPERLINK("https://www.boe.es/gazeta/dias/1822/01/09/pdfs/GMD-1822-9.pdf#page=3","Abrir facsímil")</f>
        <v>Abrir facsímil</v>
      </c>
      <c r="K7727" s="3" t="s">
        <v>22</v>
      </c>
    </row>
    <row r="7728" spans="1:11" ht="42" customHeight="1">
      <c r="A7728" s="2" t="s">
        <v>14902</v>
      </c>
      <c r="B7728" s="2" t="s">
        <v>14903</v>
      </c>
      <c r="C7728" s="2" t="s">
        <v>50</v>
      </c>
      <c r="D7728" s="2" t="s">
        <v>51</v>
      </c>
      <c r="E7728" s="5">
        <v>-28468</v>
      </c>
      <c r="F7728" s="3" t="s">
        <v>1012</v>
      </c>
      <c r="G7728" s="3" t="s">
        <v>44</v>
      </c>
      <c r="H7728" s="2" t="s">
        <v>20</v>
      </c>
      <c r="I7728" s="2" t="s">
        <v>14904</v>
      </c>
      <c r="J7728" s="3" t="str">
        <f>HYPERLINK("https://www.boe.es/gazeta/dias/1822/01/20/pdfs/GMD-1822-20.pdf#page=1","Abrir facsímil")</f>
        <v>Abrir facsímil</v>
      </c>
      <c r="K7728" s="3" t="s">
        <v>22</v>
      </c>
    </row>
    <row r="7729" spans="1:11" ht="42" customHeight="1">
      <c r="A7729" s="2" t="s">
        <v>14905</v>
      </c>
      <c r="B7729" s="2" t="s">
        <v>14906</v>
      </c>
      <c r="C7729" s="2" t="s">
        <v>24</v>
      </c>
      <c r="D7729" s="2" t="s">
        <v>17</v>
      </c>
      <c r="E7729" s="5">
        <v>-28208</v>
      </c>
      <c r="F7729" s="3" t="s">
        <v>230</v>
      </c>
      <c r="G7729" s="3" t="s">
        <v>57</v>
      </c>
      <c r="H7729" s="2" t="s">
        <v>20</v>
      </c>
      <c r="I7729" s="2" t="s">
        <v>14907</v>
      </c>
      <c r="J7729" s="3" t="str">
        <f>HYPERLINK("https://www.boe.es/gazeta/dias/1822/10/07/pdfs/GMD-1822-293.pdf#page=4","Abrir facsímil")</f>
        <v>Abrir facsímil</v>
      </c>
      <c r="K7729" s="3" t="s">
        <v>22</v>
      </c>
    </row>
    <row r="7730" spans="1:11" ht="42" customHeight="1">
      <c r="A7730" s="2" t="s">
        <v>14908</v>
      </c>
      <c r="B7730" s="2" t="s">
        <v>14909</v>
      </c>
      <c r="C7730" s="2" t="s">
        <v>50</v>
      </c>
      <c r="D7730" s="2" t="s">
        <v>51</v>
      </c>
      <c r="E7730" s="5">
        <v>-28288</v>
      </c>
      <c r="F7730" s="3" t="s">
        <v>970</v>
      </c>
      <c r="G7730" s="3" t="s">
        <v>44</v>
      </c>
      <c r="H7730" s="2" t="s">
        <v>20</v>
      </c>
      <c r="I7730" s="2" t="s">
        <v>14910</v>
      </c>
      <c r="J7730" s="3" t="str">
        <f>HYPERLINK("https://www.boe.es/gazeta/dias/1822/07/19/pdfs/GMD-1822-211.pdf#page=1","Abrir facsímil")</f>
        <v>Abrir facsímil</v>
      </c>
      <c r="K7730" s="3" t="s">
        <v>22</v>
      </c>
    </row>
    <row r="7731" spans="1:11" ht="42" customHeight="1">
      <c r="A7731" s="2" t="s">
        <v>14911</v>
      </c>
      <c r="B7731" s="2" t="s">
        <v>14912</v>
      </c>
      <c r="C7731" s="2" t="s">
        <v>50</v>
      </c>
      <c r="D7731" s="2" t="s">
        <v>51</v>
      </c>
      <c r="E7731" s="5">
        <v>-28291</v>
      </c>
      <c r="F7731" s="3" t="s">
        <v>363</v>
      </c>
      <c r="G7731" s="3" t="s">
        <v>31</v>
      </c>
      <c r="H7731" s="2" t="s">
        <v>20</v>
      </c>
      <c r="I7731" s="2" t="s">
        <v>14913</v>
      </c>
      <c r="J7731" s="3" t="str">
        <f>HYPERLINK("https://www.boe.es/gazeta/dias/1822/07/16/pdfs/GMD-1822-206.pdf#page=3","Abrir facsímil")</f>
        <v>Abrir facsímil</v>
      </c>
      <c r="K7731" s="3" t="s">
        <v>22</v>
      </c>
    </row>
    <row r="7732" spans="1:11" ht="42" customHeight="1">
      <c r="A7732" s="2" t="s">
        <v>14914</v>
      </c>
      <c r="B7732" s="2" t="s">
        <v>14915</v>
      </c>
      <c r="C7732" s="2" t="s">
        <v>50</v>
      </c>
      <c r="D7732" s="2" t="s">
        <v>51</v>
      </c>
      <c r="E7732" s="5">
        <v>-28210</v>
      </c>
      <c r="F7732" s="3" t="s">
        <v>218</v>
      </c>
      <c r="G7732" s="3" t="s">
        <v>19</v>
      </c>
      <c r="H7732" s="2" t="s">
        <v>20</v>
      </c>
      <c r="I7732" s="2" t="s">
        <v>14916</v>
      </c>
      <c r="J7732" s="3" t="str">
        <f>HYPERLINK("https://www.boe.es/gazeta/dias/1822/10/05/pdfs/GMD-1822-291.pdf#page=5","Abrir facsímil")</f>
        <v>Abrir facsímil</v>
      </c>
      <c r="K7732" s="3" t="s">
        <v>22</v>
      </c>
    </row>
    <row r="7733" spans="1:11" ht="42" customHeight="1">
      <c r="A7733" s="2" t="s">
        <v>14917</v>
      </c>
      <c r="B7733" s="2" t="s">
        <v>14918</v>
      </c>
      <c r="C7733" s="2" t="s">
        <v>50</v>
      </c>
      <c r="D7733" s="2" t="s">
        <v>51</v>
      </c>
      <c r="E7733" s="5">
        <v>-28137</v>
      </c>
      <c r="F7733" s="3" t="s">
        <v>312</v>
      </c>
      <c r="G7733" s="3" t="s">
        <v>63</v>
      </c>
      <c r="H7733" s="2" t="s">
        <v>20</v>
      </c>
      <c r="I7733" s="2" t="s">
        <v>14919</v>
      </c>
      <c r="J7733" s="3" t="str">
        <f>HYPERLINK("https://www.boe.es/gazeta/dias/1822/12/17/pdfs/GMD-1822-367.pdf#page=6","Abrir facsímil")</f>
        <v>Abrir facsímil</v>
      </c>
      <c r="K7733" s="3" t="s">
        <v>22</v>
      </c>
    </row>
    <row r="7734" spans="1:11" ht="42" customHeight="1">
      <c r="A7734" s="2" t="s">
        <v>14920</v>
      </c>
      <c r="B7734" s="2" t="s">
        <v>14920</v>
      </c>
      <c r="C7734" s="2" t="s">
        <v>28</v>
      </c>
      <c r="D7734" s="2" t="s">
        <v>29</v>
      </c>
      <c r="E7734" s="5">
        <v>-28397</v>
      </c>
      <c r="F7734" s="3" t="s">
        <v>1401</v>
      </c>
      <c r="G7734" s="3" t="s">
        <v>63</v>
      </c>
      <c r="H7734" s="2" t="s">
        <v>20</v>
      </c>
      <c r="I7734" s="2" t="s">
        <v>14921</v>
      </c>
      <c r="J7734" s="3" t="str">
        <f>HYPERLINK("https://www.boe.es/gazeta/dias/1822/04/01/pdfs/GMD-1822-93.pdf#page=6","Abrir facsímil")</f>
        <v>Abrir facsímil</v>
      </c>
      <c r="K7734" s="3" t="s">
        <v>22</v>
      </c>
    </row>
    <row r="7735" spans="1:11" ht="42" customHeight="1">
      <c r="A7735" s="2" t="s">
        <v>14922</v>
      </c>
      <c r="B7735" s="2" t="s">
        <v>14922</v>
      </c>
      <c r="C7735" s="2" t="s">
        <v>50</v>
      </c>
      <c r="D7735" s="2" t="s">
        <v>51</v>
      </c>
      <c r="E7735" s="5">
        <v>-28248</v>
      </c>
      <c r="F7735" s="3" t="s">
        <v>4807</v>
      </c>
      <c r="G7735" s="3" t="s">
        <v>44</v>
      </c>
      <c r="H7735" s="2" t="s">
        <v>20</v>
      </c>
      <c r="I7735" s="2" t="s">
        <v>14923</v>
      </c>
      <c r="J7735" s="3" t="str">
        <f>HYPERLINK("https://www.boe.es/gazeta/dias/1822/08/28/pdfs/GMD-1822-252.pdf#page=1","Abrir facsímil")</f>
        <v>Abrir facsímil</v>
      </c>
      <c r="K7735" s="3" t="s">
        <v>22</v>
      </c>
    </row>
    <row r="7736" spans="1:11" ht="42" customHeight="1">
      <c r="A7736" s="2" t="s">
        <v>14924</v>
      </c>
      <c r="B7736" s="2" t="s">
        <v>14925</v>
      </c>
      <c r="C7736" s="2" t="s">
        <v>50</v>
      </c>
      <c r="D7736" s="2" t="s">
        <v>51</v>
      </c>
      <c r="E7736" s="5">
        <v>-28264</v>
      </c>
      <c r="F7736" s="3" t="s">
        <v>1329</v>
      </c>
      <c r="G7736" s="3" t="s">
        <v>31</v>
      </c>
      <c r="H7736" s="2" t="s">
        <v>20</v>
      </c>
      <c r="I7736" s="2" t="s">
        <v>14926</v>
      </c>
      <c r="J7736" s="3" t="str">
        <f>HYPERLINK("https://www.boe.es/gazeta/dias/1822/08/12/pdfs/GMD-1822-236.pdf#page=3","Abrir facsímil")</f>
        <v>Abrir facsímil</v>
      </c>
      <c r="K7736" s="3" t="s">
        <v>22</v>
      </c>
    </row>
    <row r="7737" spans="1:11" ht="42" customHeight="1">
      <c r="A7737" s="2" t="s">
        <v>14927</v>
      </c>
      <c r="B7737" s="2" t="s">
        <v>14928</v>
      </c>
      <c r="C7737" s="2" t="s">
        <v>50</v>
      </c>
      <c r="D7737" s="2" t="s">
        <v>51</v>
      </c>
      <c r="E7737" s="5">
        <v>-28280</v>
      </c>
      <c r="F7737" s="3" t="s">
        <v>56</v>
      </c>
      <c r="G7737" s="3" t="s">
        <v>57</v>
      </c>
      <c r="H7737" s="2" t="s">
        <v>20</v>
      </c>
      <c r="I7737" s="2" t="s">
        <v>14929</v>
      </c>
      <c r="J7737" s="3" t="str">
        <f>HYPERLINK("https://www.boe.es/gazeta/dias/1822/07/27/pdfs/GMD-1822-220.pdf#page=4","Abrir facsímil")</f>
        <v>Abrir facsímil</v>
      </c>
      <c r="K7737" s="3" t="s">
        <v>22</v>
      </c>
    </row>
    <row r="7738" spans="1:11" ht="42" customHeight="1">
      <c r="A7738" s="2" t="s">
        <v>14930</v>
      </c>
      <c r="B7738" s="2" t="s">
        <v>14931</v>
      </c>
      <c r="C7738" s="2" t="s">
        <v>42</v>
      </c>
      <c r="D7738" s="2" t="s">
        <v>17</v>
      </c>
      <c r="E7738" s="5">
        <v>-28240</v>
      </c>
      <c r="F7738" s="3" t="s">
        <v>678</v>
      </c>
      <c r="G7738" s="3" t="s">
        <v>57</v>
      </c>
      <c r="H7738" s="2" t="s">
        <v>45</v>
      </c>
      <c r="I7738" s="2" t="s">
        <v>14932</v>
      </c>
      <c r="J7738" s="3" t="str">
        <f>HYPERLINK("https://www.boe.es/gazeta/dias/1822/09/05/pdfs/GMD-1822-260.pdf#page=4","Abrir facsímil")</f>
        <v>Abrir facsímil</v>
      </c>
      <c r="K7738" s="3" t="s">
        <v>47</v>
      </c>
    </row>
    <row r="7739" spans="1:11" ht="42" customHeight="1">
      <c r="A7739" s="2" t="s">
        <v>14933</v>
      </c>
      <c r="B7739" s="2" t="s">
        <v>14933</v>
      </c>
      <c r="C7739" s="2" t="s">
        <v>28</v>
      </c>
      <c r="D7739" s="2" t="s">
        <v>29</v>
      </c>
      <c r="E7739" s="5">
        <v>-28440</v>
      </c>
      <c r="F7739" s="3" t="s">
        <v>1307</v>
      </c>
      <c r="G7739" s="3" t="s">
        <v>31</v>
      </c>
      <c r="H7739" s="2" t="s">
        <v>20</v>
      </c>
      <c r="I7739" s="2" t="s">
        <v>14934</v>
      </c>
      <c r="J7739" s="3" t="str">
        <f>HYPERLINK("https://www.boe.es/gazeta/dias/1822/02/17/pdfs/GMD-1822-49.pdf#page=3","Abrir facsímil")</f>
        <v>Abrir facsímil</v>
      </c>
      <c r="K7739" s="3" t="s">
        <v>22</v>
      </c>
    </row>
    <row r="7740" spans="1:11" ht="42" customHeight="1">
      <c r="A7740" s="2" t="s">
        <v>14935</v>
      </c>
      <c r="B7740" s="2" t="s">
        <v>14936</v>
      </c>
      <c r="C7740" s="2" t="s">
        <v>50</v>
      </c>
      <c r="D7740" s="2" t="s">
        <v>51</v>
      </c>
      <c r="E7740" s="5">
        <v>-28441</v>
      </c>
      <c r="F7740" s="3" t="s">
        <v>429</v>
      </c>
      <c r="G7740" s="3" t="s">
        <v>14937</v>
      </c>
      <c r="H7740" s="2" t="s">
        <v>20</v>
      </c>
      <c r="I7740" s="2" t="s">
        <v>14938</v>
      </c>
      <c r="J7740" s="3" t="str">
        <f>HYPERLINK("https://www.boe.es/gazeta/dias/1822/02/16/pdfs/GMD-1822-48.pdf#page=4","Abrir facsímil")</f>
        <v>Abrir facsímil</v>
      </c>
      <c r="K7740" s="3" t="s">
        <v>22</v>
      </c>
    </row>
    <row r="7741" spans="1:11" ht="42" customHeight="1">
      <c r="A7741" s="2" t="s">
        <v>14935</v>
      </c>
      <c r="B7741" s="2" t="s">
        <v>14936</v>
      </c>
      <c r="C7741" s="2" t="s">
        <v>42</v>
      </c>
      <c r="D7741" s="2" t="s">
        <v>17</v>
      </c>
      <c r="E7741" s="5">
        <v>-28186</v>
      </c>
      <c r="F7741" s="3" t="s">
        <v>581</v>
      </c>
      <c r="G7741" s="3" t="s">
        <v>57</v>
      </c>
      <c r="H7741" s="2" t="s">
        <v>20</v>
      </c>
      <c r="I7741" s="2" t="s">
        <v>14939</v>
      </c>
      <c r="J7741" s="3" t="str">
        <f>HYPERLINK("https://www.boe.es/gazeta/dias/1822/10/29/pdfs/GMD-1822-316.pdf#page=4","Abrir facsímil")</f>
        <v>Abrir facsímil</v>
      </c>
      <c r="K7741" s="3" t="s">
        <v>22</v>
      </c>
    </row>
    <row r="7742" spans="1:11" ht="42" customHeight="1">
      <c r="A7742" s="2" t="s">
        <v>14940</v>
      </c>
      <c r="B7742" s="2" t="s">
        <v>14941</v>
      </c>
      <c r="C7742" s="2" t="s">
        <v>50</v>
      </c>
      <c r="D7742" s="2" t="s">
        <v>51</v>
      </c>
      <c r="E7742" s="5">
        <v>-28393</v>
      </c>
      <c r="F7742" s="3" t="s">
        <v>326</v>
      </c>
      <c r="G7742" s="3" t="s">
        <v>57</v>
      </c>
      <c r="H7742" s="2" t="s">
        <v>20</v>
      </c>
      <c r="I7742" s="2" t="s">
        <v>14942</v>
      </c>
      <c r="J7742" s="3" t="str">
        <f>HYPERLINK("https://www.boe.es/gazeta/dias/1822/04/05/pdfs/GMD-1822-97.pdf#page=4","Abrir facsímil")</f>
        <v>Abrir facsímil</v>
      </c>
      <c r="K7742" s="3" t="s">
        <v>22</v>
      </c>
    </row>
    <row r="7743" spans="1:11" ht="42" customHeight="1">
      <c r="A7743" s="2" t="s">
        <v>14943</v>
      </c>
      <c r="B7743" s="2" t="s">
        <v>14944</v>
      </c>
      <c r="C7743" s="2" t="s">
        <v>50</v>
      </c>
      <c r="D7743" s="2" t="s">
        <v>51</v>
      </c>
      <c r="E7743" s="5">
        <v>-28379</v>
      </c>
      <c r="F7743" s="3" t="s">
        <v>494</v>
      </c>
      <c r="G7743" s="3" t="s">
        <v>63</v>
      </c>
      <c r="H7743" s="2" t="s">
        <v>20</v>
      </c>
      <c r="I7743" s="2" t="s">
        <v>14945</v>
      </c>
      <c r="J7743" s="3" t="str">
        <f>HYPERLINK("https://www.boe.es/gazeta/dias/1822/04/19/pdfs/GMD-1822-111.pdf#page=6","Abrir facsímil")</f>
        <v>Abrir facsímil</v>
      </c>
      <c r="K7743" s="3" t="s">
        <v>22</v>
      </c>
    </row>
    <row r="7744" spans="1:11" ht="42" customHeight="1">
      <c r="A7744" s="2" t="s">
        <v>14946</v>
      </c>
      <c r="B7744" s="2" t="s">
        <v>14947</v>
      </c>
      <c r="C7744" s="2" t="s">
        <v>16</v>
      </c>
      <c r="D7744" s="2" t="s">
        <v>17</v>
      </c>
      <c r="E7744" s="5">
        <v>-28134</v>
      </c>
      <c r="F7744" s="3" t="s">
        <v>620</v>
      </c>
      <c r="G7744" s="3" t="s">
        <v>57</v>
      </c>
      <c r="H7744" s="2" t="s">
        <v>20</v>
      </c>
      <c r="I7744" s="2" t="s">
        <v>14948</v>
      </c>
      <c r="J7744" s="3" t="str">
        <f>HYPERLINK("https://www.boe.es/gazeta/dias/1822/12/20/pdfs/GMD-1822-370.pdf#page=4","Abrir facsímil")</f>
        <v>Abrir facsímil</v>
      </c>
      <c r="K7744" s="3" t="s">
        <v>22</v>
      </c>
    </row>
    <row r="7745" spans="1:11" ht="42" customHeight="1">
      <c r="A7745" s="2" t="s">
        <v>14949</v>
      </c>
      <c r="B7745" s="2" t="s">
        <v>14949</v>
      </c>
      <c r="C7745" s="2" t="s">
        <v>50</v>
      </c>
      <c r="D7745" s="2" t="s">
        <v>51</v>
      </c>
      <c r="E7745" s="5">
        <v>-28395</v>
      </c>
      <c r="F7745" s="3" t="s">
        <v>237</v>
      </c>
      <c r="G7745" s="3" t="s">
        <v>31</v>
      </c>
      <c r="H7745" s="2" t="s">
        <v>20</v>
      </c>
      <c r="I7745" s="2" t="s">
        <v>14950</v>
      </c>
      <c r="J7745" s="3" t="str">
        <f>HYPERLINK("https://www.boe.es/gazeta/dias/1822/04/03/pdfs/GMD-1822-95.pdf#page=3","Abrir facsímil")</f>
        <v>Abrir facsímil</v>
      </c>
      <c r="K7745" s="3" t="s">
        <v>22</v>
      </c>
    </row>
    <row r="7746" spans="1:11" ht="42" customHeight="1">
      <c r="A7746" s="2" t="s">
        <v>14949</v>
      </c>
      <c r="B7746" s="2" t="s">
        <v>14949</v>
      </c>
      <c r="C7746" s="2" t="s">
        <v>50</v>
      </c>
      <c r="D7746" s="2" t="s">
        <v>51</v>
      </c>
      <c r="E7746" s="5">
        <v>-28363</v>
      </c>
      <c r="F7746" s="3" t="s">
        <v>72</v>
      </c>
      <c r="G7746" s="3" t="s">
        <v>31</v>
      </c>
      <c r="H7746" s="2" t="s">
        <v>20</v>
      </c>
      <c r="I7746" s="2" t="s">
        <v>14951</v>
      </c>
      <c r="J7746" s="3" t="str">
        <f>HYPERLINK("https://www.boe.es/gazeta/dias/1822/05/05/pdfs/GMD-1822-127.pdf#page=3","Abrir facsímil")</f>
        <v>Abrir facsímil</v>
      </c>
      <c r="K7746" s="3" t="s">
        <v>22</v>
      </c>
    </row>
    <row r="7747" spans="1:11" ht="42" customHeight="1">
      <c r="A7747" s="2" t="s">
        <v>14949</v>
      </c>
      <c r="B7747" s="2" t="s">
        <v>14949</v>
      </c>
      <c r="C7747" s="2" t="s">
        <v>50</v>
      </c>
      <c r="D7747" s="2" t="s">
        <v>51</v>
      </c>
      <c r="E7747" s="5">
        <v>-28363</v>
      </c>
      <c r="F7747" s="3" t="s">
        <v>72</v>
      </c>
      <c r="G7747" s="3" t="s">
        <v>57</v>
      </c>
      <c r="H7747" s="2" t="s">
        <v>20</v>
      </c>
      <c r="I7747" s="2" t="s">
        <v>14952</v>
      </c>
      <c r="J7747" s="3" t="str">
        <f>HYPERLINK("https://www.boe.es/gazeta/dias/1822/05/05/pdfs/GMD-1822-127.pdf#page=4","Abrir facsímil")</f>
        <v>Abrir facsímil</v>
      </c>
      <c r="K7747" s="3" t="s">
        <v>22</v>
      </c>
    </row>
    <row r="7748" spans="1:11" ht="42" customHeight="1">
      <c r="A7748" s="2" t="s">
        <v>14953</v>
      </c>
      <c r="B7748" s="2" t="s">
        <v>14954</v>
      </c>
      <c r="C7748" s="2" t="s">
        <v>50</v>
      </c>
      <c r="D7748" s="2" t="s">
        <v>51</v>
      </c>
      <c r="E7748" s="5">
        <v>-28256</v>
      </c>
      <c r="F7748" s="3" t="s">
        <v>1949</v>
      </c>
      <c r="G7748" s="3" t="s">
        <v>35</v>
      </c>
      <c r="H7748" s="2" t="s">
        <v>20</v>
      </c>
      <c r="I7748" s="2" t="s">
        <v>14955</v>
      </c>
      <c r="J7748" s="3" t="str">
        <f>HYPERLINK("https://www.boe.es/gazeta/dias/1822/08/20/pdfs/GMD-1822-244.pdf#page=2","Abrir facsímil")</f>
        <v>Abrir facsímil</v>
      </c>
      <c r="K7748" s="3" t="s">
        <v>22</v>
      </c>
    </row>
    <row r="7749" spans="1:11" ht="42" customHeight="1">
      <c r="A7749" s="2" t="s">
        <v>14953</v>
      </c>
      <c r="B7749" s="2" t="s">
        <v>14954</v>
      </c>
      <c r="C7749" s="2" t="s">
        <v>50</v>
      </c>
      <c r="D7749" s="2" t="s">
        <v>51</v>
      </c>
      <c r="E7749" s="5">
        <v>-28232</v>
      </c>
      <c r="F7749" s="3" t="s">
        <v>3875</v>
      </c>
      <c r="G7749" s="3" t="s">
        <v>31</v>
      </c>
      <c r="H7749" s="2" t="s">
        <v>20</v>
      </c>
      <c r="I7749" s="2" t="s">
        <v>14956</v>
      </c>
      <c r="J7749" s="3" t="str">
        <f>HYPERLINK("https://www.boe.es/gazeta/dias/1822/09/13/pdfs/GMD-1822-269.pdf#page=3","Abrir facsímil")</f>
        <v>Abrir facsímil</v>
      </c>
      <c r="K7749" s="3" t="s">
        <v>22</v>
      </c>
    </row>
    <row r="7750" spans="1:11" ht="42" customHeight="1">
      <c r="A7750" s="2" t="s">
        <v>14957</v>
      </c>
      <c r="B7750" s="2" t="s">
        <v>14958</v>
      </c>
      <c r="C7750" s="2" t="s">
        <v>28</v>
      </c>
      <c r="D7750" s="2" t="s">
        <v>29</v>
      </c>
      <c r="E7750" s="5">
        <v>-28420</v>
      </c>
      <c r="F7750" s="3" t="s">
        <v>449</v>
      </c>
      <c r="G7750" s="3" t="s">
        <v>63</v>
      </c>
      <c r="H7750" s="2" t="s">
        <v>20</v>
      </c>
      <c r="I7750" s="2" t="s">
        <v>14959</v>
      </c>
      <c r="J7750" s="3" t="str">
        <f>HYPERLINK("https://www.boe.es/gazeta/dias/1822/03/09/pdfs/GMD-1822-70.pdf#page=6","Abrir facsímil")</f>
        <v>Abrir facsímil</v>
      </c>
      <c r="K7750" s="3" t="s">
        <v>22</v>
      </c>
    </row>
    <row r="7751" spans="1:11" ht="42" customHeight="1">
      <c r="A7751" s="2" t="s">
        <v>14960</v>
      </c>
      <c r="B7751" s="2" t="s">
        <v>14961</v>
      </c>
      <c r="C7751" s="2" t="s">
        <v>50</v>
      </c>
      <c r="D7751" s="2" t="s">
        <v>51</v>
      </c>
      <c r="E7751" s="5">
        <v>-28432</v>
      </c>
      <c r="F7751" s="3" t="s">
        <v>195</v>
      </c>
      <c r="G7751" s="3" t="s">
        <v>35</v>
      </c>
      <c r="H7751" s="2" t="s">
        <v>20</v>
      </c>
      <c r="I7751" s="2" t="s">
        <v>14962</v>
      </c>
      <c r="J7751" s="3" t="str">
        <f>HYPERLINK("https://www.boe.es/gazeta/dias/1822/02/25/pdfs/GMD-1822-57.pdf#page=2","Abrir facsímil")</f>
        <v>Abrir facsímil</v>
      </c>
      <c r="K7751" s="3" t="s">
        <v>22</v>
      </c>
    </row>
    <row r="7752" spans="1:11" ht="42" customHeight="1">
      <c r="A7752" s="2" t="s">
        <v>14963</v>
      </c>
      <c r="B7752" s="2" t="s">
        <v>14963</v>
      </c>
      <c r="C7752" s="2" t="s">
        <v>50</v>
      </c>
      <c r="D7752" s="2" t="s">
        <v>51</v>
      </c>
      <c r="E7752" s="5">
        <v>-28229</v>
      </c>
      <c r="F7752" s="3" t="s">
        <v>2310</v>
      </c>
      <c r="G7752" s="3" t="s">
        <v>57</v>
      </c>
      <c r="H7752" s="2" t="s">
        <v>20</v>
      </c>
      <c r="I7752" s="2" t="s">
        <v>14964</v>
      </c>
      <c r="J7752" s="3" t="str">
        <f>HYPERLINK("https://www.boe.es/gazeta/dias/1822/09/16/pdfs/GMD-1822-272.pdf#page=4","Abrir facsímil")</f>
        <v>Abrir facsímil</v>
      </c>
      <c r="K7752" s="3" t="s">
        <v>22</v>
      </c>
    </row>
    <row r="7753" spans="1:11" ht="42" customHeight="1">
      <c r="A7753" s="2" t="s">
        <v>14965</v>
      </c>
      <c r="B7753" s="2" t="s">
        <v>14966</v>
      </c>
      <c r="C7753" s="2" t="s">
        <v>50</v>
      </c>
      <c r="D7753" s="2" t="s">
        <v>51</v>
      </c>
      <c r="E7753" s="5">
        <v>-28270</v>
      </c>
      <c r="F7753" s="3" t="s">
        <v>130</v>
      </c>
      <c r="G7753" s="3" t="s">
        <v>131</v>
      </c>
      <c r="H7753" s="2" t="s">
        <v>20</v>
      </c>
      <c r="I7753" s="2" t="s">
        <v>14967</v>
      </c>
      <c r="J7753" s="3" t="str">
        <f>HYPERLINK("https://www.boe.es/gazeta/dias/1822/08/06/pdfs/GMD-1822-230.pdf#page=6","Abrir facsímil")</f>
        <v>Abrir facsímil</v>
      </c>
      <c r="K7753" s="3" t="s">
        <v>22</v>
      </c>
    </row>
    <row r="7754" spans="1:11" ht="42" customHeight="1">
      <c r="A7754" s="2" t="s">
        <v>14968</v>
      </c>
      <c r="B7754" s="2" t="s">
        <v>14969</v>
      </c>
      <c r="C7754" s="2" t="s">
        <v>50</v>
      </c>
      <c r="D7754" s="2" t="s">
        <v>51</v>
      </c>
      <c r="E7754" s="5">
        <v>-28179</v>
      </c>
      <c r="F7754" s="3" t="s">
        <v>935</v>
      </c>
      <c r="G7754" s="3" t="s">
        <v>63</v>
      </c>
      <c r="H7754" s="2" t="s">
        <v>20</v>
      </c>
      <c r="I7754" s="2" t="s">
        <v>14970</v>
      </c>
      <c r="J7754" s="3" t="str">
        <f>HYPERLINK("https://www.boe.es/gazeta/dias/1822/11/05/pdfs/GMD-1822-325.pdf#page=6","Abrir facsímil")</f>
        <v>Abrir facsímil</v>
      </c>
      <c r="K7754" s="3" t="s">
        <v>22</v>
      </c>
    </row>
    <row r="7755" spans="1:11" ht="42" customHeight="1">
      <c r="A7755" s="2" t="s">
        <v>14971</v>
      </c>
      <c r="B7755" s="2" t="s">
        <v>14971</v>
      </c>
      <c r="C7755" s="2" t="s">
        <v>71</v>
      </c>
      <c r="D7755" s="2" t="s">
        <v>17</v>
      </c>
      <c r="E7755" s="5">
        <v>-28365</v>
      </c>
      <c r="F7755" s="3" t="s">
        <v>506</v>
      </c>
      <c r="G7755" s="3" t="s">
        <v>35</v>
      </c>
      <c r="H7755" s="2" t="s">
        <v>20</v>
      </c>
      <c r="I7755" s="2" t="s">
        <v>14972</v>
      </c>
      <c r="J7755" s="3" t="str">
        <f>HYPERLINK("https://www.boe.es/gazeta/dias/1822/05/03/pdfs/GMD-1822-125.pdf#page=2","Abrir facsímil")</f>
        <v>Abrir facsímil</v>
      </c>
      <c r="K7755" s="3" t="s">
        <v>22</v>
      </c>
    </row>
    <row r="7756" spans="1:11" ht="42" customHeight="1">
      <c r="A7756" s="2" t="s">
        <v>14971</v>
      </c>
      <c r="B7756" s="2" t="s">
        <v>14971</v>
      </c>
      <c r="C7756" s="2" t="s">
        <v>28</v>
      </c>
      <c r="D7756" s="2" t="s">
        <v>29</v>
      </c>
      <c r="E7756" s="5">
        <v>-28364</v>
      </c>
      <c r="F7756" s="3" t="s">
        <v>509</v>
      </c>
      <c r="G7756" s="3" t="s">
        <v>35</v>
      </c>
      <c r="H7756" s="2" t="s">
        <v>20</v>
      </c>
      <c r="I7756" s="2" t="s">
        <v>14973</v>
      </c>
      <c r="J7756" s="3" t="str">
        <f>HYPERLINK("https://www.boe.es/gazeta/dias/1822/05/04/pdfs/GMD-1822-126.pdf#page=2","Abrir facsímil")</f>
        <v>Abrir facsímil</v>
      </c>
      <c r="K7756" s="3" t="s">
        <v>22</v>
      </c>
    </row>
    <row r="7757" spans="1:11" ht="42" customHeight="1">
      <c r="A7757" s="2" t="s">
        <v>14971</v>
      </c>
      <c r="B7757" s="2" t="s">
        <v>14971</v>
      </c>
      <c r="C7757" s="2" t="s">
        <v>28</v>
      </c>
      <c r="D7757" s="2" t="s">
        <v>29</v>
      </c>
      <c r="E7757" s="5">
        <v>-28359</v>
      </c>
      <c r="F7757" s="3" t="s">
        <v>209</v>
      </c>
      <c r="G7757" s="3" t="s">
        <v>19</v>
      </c>
      <c r="H7757" s="2" t="s">
        <v>20</v>
      </c>
      <c r="I7757" s="2" t="s">
        <v>14974</v>
      </c>
      <c r="J7757" s="3" t="str">
        <f>HYPERLINK("https://www.boe.es/gazeta/dias/1822/05/09/pdfs/GMD-1822-131.pdf#page=5","Abrir facsímil")</f>
        <v>Abrir facsímil</v>
      </c>
      <c r="K7757" s="3" t="s">
        <v>22</v>
      </c>
    </row>
    <row r="7758" spans="1:11" ht="42" customHeight="1">
      <c r="A7758" s="2" t="s">
        <v>14971</v>
      </c>
      <c r="B7758" s="2" t="s">
        <v>14971</v>
      </c>
      <c r="C7758" s="2" t="s">
        <v>42</v>
      </c>
      <c r="D7758" s="2" t="s">
        <v>17</v>
      </c>
      <c r="E7758" s="5">
        <v>-28323</v>
      </c>
      <c r="F7758" s="3" t="s">
        <v>116</v>
      </c>
      <c r="G7758" s="3" t="s">
        <v>35</v>
      </c>
      <c r="H7758" s="2" t="s">
        <v>20</v>
      </c>
      <c r="I7758" s="2" t="s">
        <v>14975</v>
      </c>
      <c r="J7758" s="3" t="str">
        <f>HYPERLINK("https://www.boe.es/gazeta/dias/1822/06/14/pdfs/GMD-1822-171.pdf#page=2","Abrir facsímil")</f>
        <v>Abrir facsímil</v>
      </c>
      <c r="K7758" s="3" t="s">
        <v>22</v>
      </c>
    </row>
    <row r="7759" spans="1:11" ht="42" customHeight="1">
      <c r="A7759" s="2" t="s">
        <v>14971</v>
      </c>
      <c r="B7759" s="2" t="s">
        <v>14971</v>
      </c>
      <c r="C7759" s="2" t="s">
        <v>71</v>
      </c>
      <c r="D7759" s="2" t="s">
        <v>17</v>
      </c>
      <c r="E7759" s="5">
        <v>-28314</v>
      </c>
      <c r="F7759" s="3" t="s">
        <v>309</v>
      </c>
      <c r="G7759" s="3" t="s">
        <v>19</v>
      </c>
      <c r="H7759" s="2" t="s">
        <v>20</v>
      </c>
      <c r="I7759" s="2" t="s">
        <v>14976</v>
      </c>
      <c r="J7759" s="3" t="str">
        <f>HYPERLINK("https://www.boe.es/gazeta/dias/1822/06/23/pdfs/GMD-1822-181.pdf#page=5","Abrir facsímil")</f>
        <v>Abrir facsímil</v>
      </c>
      <c r="K7759" s="3" t="s">
        <v>22</v>
      </c>
    </row>
    <row r="7760" spans="1:11" ht="42" customHeight="1">
      <c r="A7760" s="2" t="s">
        <v>14971</v>
      </c>
      <c r="B7760" s="2" t="s">
        <v>14971</v>
      </c>
      <c r="C7760" s="2" t="s">
        <v>28</v>
      </c>
      <c r="D7760" s="2" t="s">
        <v>29</v>
      </c>
      <c r="E7760" s="5">
        <v>-28313</v>
      </c>
      <c r="F7760" s="3" t="s">
        <v>315</v>
      </c>
      <c r="G7760" s="3" t="s">
        <v>44</v>
      </c>
      <c r="H7760" s="2" t="s">
        <v>20</v>
      </c>
      <c r="I7760" s="2" t="s">
        <v>14977</v>
      </c>
      <c r="J7760" s="3" t="str">
        <f>HYPERLINK("https://www.boe.es/gazeta/dias/1822/06/24/pdfs/GMD-1822-182.pdf#page=1","Abrir facsímil")</f>
        <v>Abrir facsímil</v>
      </c>
      <c r="K7760" s="3" t="s">
        <v>22</v>
      </c>
    </row>
    <row r="7761" spans="1:11" ht="42" customHeight="1">
      <c r="A7761" s="2" t="s">
        <v>14971</v>
      </c>
      <c r="B7761" s="2" t="s">
        <v>14971</v>
      </c>
      <c r="C7761" s="2" t="s">
        <v>50</v>
      </c>
      <c r="D7761" s="2" t="s">
        <v>51</v>
      </c>
      <c r="E7761" s="5">
        <v>-28307</v>
      </c>
      <c r="F7761" s="3" t="s">
        <v>555</v>
      </c>
      <c r="G7761" s="3" t="s">
        <v>63</v>
      </c>
      <c r="H7761" s="2" t="s">
        <v>20</v>
      </c>
      <c r="I7761" s="2" t="s">
        <v>14978</v>
      </c>
      <c r="J7761" s="3" t="str">
        <f>HYPERLINK("https://www.boe.es/gazeta/dias/1822/06/30/pdfs/GMD-1822-188.pdf#page=6","Abrir facsímil")</f>
        <v>Abrir facsímil</v>
      </c>
      <c r="K7761" s="3" t="s">
        <v>22</v>
      </c>
    </row>
    <row r="7762" spans="1:11" ht="42" customHeight="1">
      <c r="A7762" s="2" t="s">
        <v>14971</v>
      </c>
      <c r="B7762" s="2" t="s">
        <v>14971</v>
      </c>
      <c r="C7762" s="2" t="s">
        <v>50</v>
      </c>
      <c r="D7762" s="2" t="s">
        <v>51</v>
      </c>
      <c r="E7762" s="5">
        <v>-28162</v>
      </c>
      <c r="F7762" s="3" t="s">
        <v>3949</v>
      </c>
      <c r="G7762" s="3" t="s">
        <v>31</v>
      </c>
      <c r="H7762" s="2" t="s">
        <v>20</v>
      </c>
      <c r="I7762" s="2" t="s">
        <v>14979</v>
      </c>
      <c r="J7762" s="3" t="str">
        <f>HYPERLINK("https://www.boe.es/gazeta/dias/1822/11/22/pdfs/GMD-1822-342.pdf#page=3","Abrir facsímil")</f>
        <v>Abrir facsímil</v>
      </c>
      <c r="K7762" s="3" t="s">
        <v>22</v>
      </c>
    </row>
    <row r="7763" spans="1:11" ht="42" customHeight="1">
      <c r="A7763" s="2" t="s">
        <v>14980</v>
      </c>
      <c r="B7763" s="2" t="s">
        <v>14981</v>
      </c>
      <c r="C7763" s="2" t="s">
        <v>24</v>
      </c>
      <c r="D7763" s="2" t="s">
        <v>17</v>
      </c>
      <c r="E7763" s="5">
        <v>-28486</v>
      </c>
      <c r="F7763" s="3" t="s">
        <v>1046</v>
      </c>
      <c r="G7763" s="3" t="s">
        <v>57</v>
      </c>
      <c r="H7763" s="2" t="s">
        <v>20</v>
      </c>
      <c r="I7763" s="2" t="s">
        <v>14982</v>
      </c>
      <c r="J7763" s="3" t="str">
        <f>HYPERLINK("https://www.boe.es/gazeta/dias/1822/01/02/pdfs/GMD-1822-2.pdf#page=4","Abrir facsímil")</f>
        <v>Abrir facsímil</v>
      </c>
      <c r="K7763" s="3" t="s">
        <v>22</v>
      </c>
    </row>
    <row r="7764" spans="1:11" ht="42" customHeight="1">
      <c r="A7764" s="2" t="s">
        <v>14983</v>
      </c>
      <c r="B7764" s="2" t="s">
        <v>14983</v>
      </c>
      <c r="C7764" s="2" t="s">
        <v>71</v>
      </c>
      <c r="D7764" s="2" t="s">
        <v>17</v>
      </c>
      <c r="E7764" s="5">
        <v>-28381</v>
      </c>
      <c r="F7764" s="3" t="s">
        <v>358</v>
      </c>
      <c r="G7764" s="3" t="s">
        <v>2269</v>
      </c>
      <c r="H7764" s="2" t="s">
        <v>20</v>
      </c>
      <c r="I7764" s="2" t="s">
        <v>14984</v>
      </c>
      <c r="J7764" s="3" t="str">
        <f>HYPERLINK("https://www.boe.es/gazeta/dias/1822/04/17/pdfs/GMD-1822-109.pdf#page=3","Abrir facsímil")</f>
        <v>Abrir facsímil</v>
      </c>
      <c r="K7764" s="3" t="s">
        <v>22</v>
      </c>
    </row>
    <row r="7765" spans="1:11" ht="42" customHeight="1">
      <c r="A7765" s="2" t="s">
        <v>14983</v>
      </c>
      <c r="B7765" s="2" t="s">
        <v>14983</v>
      </c>
      <c r="C7765" s="2" t="s">
        <v>50</v>
      </c>
      <c r="D7765" s="2" t="s">
        <v>51</v>
      </c>
      <c r="E7765" s="5">
        <v>-28365</v>
      </c>
      <c r="F7765" s="3" t="s">
        <v>506</v>
      </c>
      <c r="G7765" s="3" t="s">
        <v>44</v>
      </c>
      <c r="H7765" s="2" t="s">
        <v>20</v>
      </c>
      <c r="I7765" s="2" t="s">
        <v>14985</v>
      </c>
      <c r="J7765" s="3" t="str">
        <f>HYPERLINK("https://www.boe.es/gazeta/dias/1822/05/03/pdfs/GMD-1822-125.pdf#page=1","Abrir facsímil")</f>
        <v>Abrir facsímil</v>
      </c>
      <c r="K7765" s="3" t="s">
        <v>22</v>
      </c>
    </row>
    <row r="7766" spans="1:11" ht="42" customHeight="1">
      <c r="A7766" s="2" t="s">
        <v>14986</v>
      </c>
      <c r="B7766" s="2" t="s">
        <v>14986</v>
      </c>
      <c r="C7766" s="2" t="s">
        <v>71</v>
      </c>
      <c r="D7766" s="2" t="s">
        <v>17</v>
      </c>
      <c r="E7766" s="5">
        <v>-28364</v>
      </c>
      <c r="F7766" s="3" t="s">
        <v>509</v>
      </c>
      <c r="G7766" s="3" t="s">
        <v>35</v>
      </c>
      <c r="H7766" s="2" t="s">
        <v>20</v>
      </c>
      <c r="I7766" s="2" t="s">
        <v>14987</v>
      </c>
      <c r="J7766" s="3" t="str">
        <f>HYPERLINK("https://www.boe.es/gazeta/dias/1822/05/04/pdfs/GMD-1822-126.pdf#page=2","Abrir facsímil")</f>
        <v>Abrir facsímil</v>
      </c>
      <c r="K7766" s="3" t="s">
        <v>22</v>
      </c>
    </row>
    <row r="7767" spans="1:11" ht="42" customHeight="1">
      <c r="A7767" s="2" t="s">
        <v>14988</v>
      </c>
      <c r="B7767" s="2" t="s">
        <v>14989</v>
      </c>
      <c r="C7767" s="2" t="s">
        <v>71</v>
      </c>
      <c r="D7767" s="2" t="s">
        <v>17</v>
      </c>
      <c r="E7767" s="5">
        <v>-28297</v>
      </c>
      <c r="F7767" s="3" t="s">
        <v>1972</v>
      </c>
      <c r="G7767" s="3" t="s">
        <v>57</v>
      </c>
      <c r="H7767" s="2" t="s">
        <v>20</v>
      </c>
      <c r="I7767" s="2" t="s">
        <v>14990</v>
      </c>
      <c r="J7767" s="3" t="str">
        <f>HYPERLINK("https://www.boe.es/gazeta/dias/1822/07/10/pdfs/GMD-1822-200.pdf#page=4","Abrir facsímil")</f>
        <v>Abrir facsímil</v>
      </c>
      <c r="K7767" s="3" t="s">
        <v>22</v>
      </c>
    </row>
    <row r="7768" spans="1:11" ht="42" customHeight="1">
      <c r="A7768" s="2" t="s">
        <v>14991</v>
      </c>
      <c r="B7768" s="2" t="s">
        <v>14991</v>
      </c>
      <c r="C7768" s="2" t="s">
        <v>50</v>
      </c>
      <c r="D7768" s="2" t="s">
        <v>51</v>
      </c>
      <c r="E7768" s="5">
        <v>-28475</v>
      </c>
      <c r="F7768" s="3" t="s">
        <v>1205</v>
      </c>
      <c r="G7768" s="3" t="s">
        <v>31</v>
      </c>
      <c r="H7768" s="2" t="s">
        <v>20</v>
      </c>
      <c r="I7768" s="2" t="s">
        <v>14992</v>
      </c>
      <c r="J7768" s="3" t="str">
        <f>HYPERLINK("https://www.boe.es/gazeta/dias/1822/01/13/pdfs/GMD-1822-13.pdf#page=3","Abrir facsímil")</f>
        <v>Abrir facsímil</v>
      </c>
      <c r="K7768" s="3" t="s">
        <v>22</v>
      </c>
    </row>
    <row r="7769" spans="1:11" ht="42" customHeight="1">
      <c r="A7769" s="2" t="s">
        <v>14991</v>
      </c>
      <c r="B7769" s="2" t="s">
        <v>14991</v>
      </c>
      <c r="C7769" s="2" t="s">
        <v>42</v>
      </c>
      <c r="D7769" s="2" t="s">
        <v>17</v>
      </c>
      <c r="E7769" s="5">
        <v>-28471</v>
      </c>
      <c r="F7769" s="3" t="s">
        <v>1436</v>
      </c>
      <c r="G7769" s="3" t="s">
        <v>31</v>
      </c>
      <c r="H7769" s="2" t="s">
        <v>20</v>
      </c>
      <c r="I7769" s="2" t="s">
        <v>14993</v>
      </c>
      <c r="J7769" s="3" t="str">
        <f>HYPERLINK("https://www.boe.es/gazeta/dias/1822/01/17/pdfs/GMD-1822-17.pdf#page=3","Abrir facsímil")</f>
        <v>Abrir facsímil</v>
      </c>
      <c r="K7769" s="3" t="s">
        <v>22</v>
      </c>
    </row>
    <row r="7770" spans="1:11" ht="42" customHeight="1">
      <c r="A7770" s="2" t="s">
        <v>14994</v>
      </c>
      <c r="B7770" s="2" t="s">
        <v>14995</v>
      </c>
      <c r="C7770" s="2" t="s">
        <v>24</v>
      </c>
      <c r="D7770" s="2" t="s">
        <v>17</v>
      </c>
      <c r="E7770" s="5">
        <v>-28139</v>
      </c>
      <c r="F7770" s="3" t="s">
        <v>143</v>
      </c>
      <c r="G7770" s="3" t="s">
        <v>144</v>
      </c>
      <c r="H7770" s="2" t="s">
        <v>20</v>
      </c>
      <c r="I7770" s="2" t="s">
        <v>14996</v>
      </c>
      <c r="J7770" s="3" t="str">
        <f>HYPERLINK("https://www.boe.es/gazeta/dias/1822/12/15/pdfs/GMD-1822-365.pdf#page=4","Abrir facsímil")</f>
        <v>Abrir facsímil</v>
      </c>
      <c r="K7770" s="3" t="s">
        <v>22</v>
      </c>
    </row>
    <row r="7771" spans="1:11" ht="42" customHeight="1">
      <c r="A7771" s="2" t="s">
        <v>14997</v>
      </c>
      <c r="B7771" s="2" t="s">
        <v>14997</v>
      </c>
      <c r="C7771" s="2" t="s">
        <v>61</v>
      </c>
      <c r="D7771" s="2" t="s">
        <v>17</v>
      </c>
      <c r="E7771" s="5">
        <v>-28363</v>
      </c>
      <c r="F7771" s="3" t="s">
        <v>72</v>
      </c>
      <c r="G7771" s="3" t="s">
        <v>35</v>
      </c>
      <c r="H7771" s="2" t="s">
        <v>20</v>
      </c>
      <c r="I7771" s="2" t="s">
        <v>14998</v>
      </c>
      <c r="J7771" s="3" t="str">
        <f>HYPERLINK("https://www.boe.es/gazeta/dias/1822/05/05/pdfs/GMD-1822-127.pdf#page=2","Abrir facsímil")</f>
        <v>Abrir facsímil</v>
      </c>
      <c r="K7771" s="3" t="s">
        <v>22</v>
      </c>
    </row>
    <row r="7772" spans="1:11" ht="42" customHeight="1">
      <c r="A7772" s="2" t="s">
        <v>14997</v>
      </c>
      <c r="B7772" s="2" t="s">
        <v>14997</v>
      </c>
      <c r="C7772" s="2" t="s">
        <v>28</v>
      </c>
      <c r="D7772" s="2" t="s">
        <v>29</v>
      </c>
      <c r="E7772" s="5">
        <v>-28308</v>
      </c>
      <c r="F7772" s="3" t="s">
        <v>1050</v>
      </c>
      <c r="G7772" s="3" t="s">
        <v>35</v>
      </c>
      <c r="H7772" s="2" t="s">
        <v>20</v>
      </c>
      <c r="I7772" s="2" t="s">
        <v>14999</v>
      </c>
      <c r="J7772" s="3" t="str">
        <f>HYPERLINK("https://www.boe.es/gazeta/dias/1822/06/29/pdfs/GMD-1822-187.pdf#page=2","Abrir facsímil")</f>
        <v>Abrir facsímil</v>
      </c>
      <c r="K7772" s="3" t="s">
        <v>22</v>
      </c>
    </row>
    <row r="7773" spans="1:11" ht="42" customHeight="1">
      <c r="A7773" s="2" t="s">
        <v>15000</v>
      </c>
      <c r="B7773" s="2" t="s">
        <v>15000</v>
      </c>
      <c r="C7773" s="2" t="s">
        <v>42</v>
      </c>
      <c r="D7773" s="2" t="s">
        <v>17</v>
      </c>
      <c r="E7773" s="5">
        <v>-28307</v>
      </c>
      <c r="F7773" s="3" t="s">
        <v>555</v>
      </c>
      <c r="G7773" s="3" t="s">
        <v>19</v>
      </c>
      <c r="H7773" s="2" t="s">
        <v>20</v>
      </c>
      <c r="I7773" s="2" t="s">
        <v>15001</v>
      </c>
      <c r="J7773" s="3" t="str">
        <f>HYPERLINK("https://www.boe.es/gazeta/dias/1822/06/30/pdfs/GMD-1822-188.pdf#page=5","Abrir facsímil")</f>
        <v>Abrir facsímil</v>
      </c>
      <c r="K7773" s="3" t="s">
        <v>22</v>
      </c>
    </row>
    <row r="7774" spans="1:11" ht="42" customHeight="1">
      <c r="A7774" s="2" t="s">
        <v>15002</v>
      </c>
      <c r="B7774" s="2" t="s">
        <v>15003</v>
      </c>
      <c r="C7774" s="2" t="s">
        <v>28</v>
      </c>
      <c r="D7774" s="2" t="s">
        <v>29</v>
      </c>
      <c r="E7774" s="5">
        <v>-28279</v>
      </c>
      <c r="F7774" s="3" t="s">
        <v>662</v>
      </c>
      <c r="G7774" s="3" t="s">
        <v>57</v>
      </c>
      <c r="H7774" s="2" t="s">
        <v>20</v>
      </c>
      <c r="I7774" s="2" t="s">
        <v>15004</v>
      </c>
      <c r="J7774" s="3" t="str">
        <f>HYPERLINK("https://www.boe.es/gazeta/dias/1822/07/28/pdfs/GMD-1822-221.pdf#page=4","Abrir facsímil")</f>
        <v>Abrir facsímil</v>
      </c>
      <c r="K7774" s="3" t="s">
        <v>22</v>
      </c>
    </row>
    <row r="7775" spans="1:11" ht="42" customHeight="1">
      <c r="A7775" s="2" t="s">
        <v>15005</v>
      </c>
      <c r="B7775" s="2" t="s">
        <v>15006</v>
      </c>
      <c r="C7775" s="2" t="s">
        <v>42</v>
      </c>
      <c r="D7775" s="2" t="s">
        <v>17</v>
      </c>
      <c r="E7775" s="5">
        <v>-28481</v>
      </c>
      <c r="F7775" s="3" t="s">
        <v>1089</v>
      </c>
      <c r="G7775" s="3" t="s">
        <v>35</v>
      </c>
      <c r="H7775" s="2" t="s">
        <v>20</v>
      </c>
      <c r="I7775" s="2" t="s">
        <v>15007</v>
      </c>
      <c r="J7775" s="3" t="str">
        <f>HYPERLINK("https://www.boe.es/gazeta/dias/1822/01/07/pdfs/GMD-1822-7.pdf#page=2","Abrir facsímil")</f>
        <v>Abrir facsímil</v>
      </c>
      <c r="K7775" s="3" t="s">
        <v>22</v>
      </c>
    </row>
    <row r="7776" spans="1:11" ht="42" customHeight="1">
      <c r="A7776" s="2" t="s">
        <v>15008</v>
      </c>
      <c r="B7776" s="2" t="s">
        <v>15009</v>
      </c>
      <c r="C7776" s="2" t="s">
        <v>28</v>
      </c>
      <c r="D7776" s="2" t="s">
        <v>29</v>
      </c>
      <c r="E7776" s="5">
        <v>-28390</v>
      </c>
      <c r="F7776" s="3" t="s">
        <v>665</v>
      </c>
      <c r="G7776" s="3" t="s">
        <v>57</v>
      </c>
      <c r="H7776" s="2" t="s">
        <v>20</v>
      </c>
      <c r="I7776" s="2" t="s">
        <v>15010</v>
      </c>
      <c r="J7776" s="3" t="str">
        <f>HYPERLINK("https://www.boe.es/gazeta/dias/1822/04/08/pdfs/GMD-1822-100.pdf#page=4","Abrir facsímil")</f>
        <v>Abrir facsímil</v>
      </c>
      <c r="K7776" s="3" t="s">
        <v>22</v>
      </c>
    </row>
    <row r="7777" spans="1:11" ht="42" customHeight="1">
      <c r="A7777" s="2" t="s">
        <v>15011</v>
      </c>
      <c r="B7777" s="2" t="s">
        <v>15011</v>
      </c>
      <c r="C7777" s="2" t="s">
        <v>71</v>
      </c>
      <c r="D7777" s="2" t="s">
        <v>17</v>
      </c>
      <c r="E7777" s="5">
        <v>-28459</v>
      </c>
      <c r="F7777" s="3" t="s">
        <v>1102</v>
      </c>
      <c r="G7777" s="3" t="s">
        <v>35</v>
      </c>
      <c r="H7777" s="2" t="s">
        <v>20</v>
      </c>
      <c r="I7777" s="2" t="s">
        <v>15012</v>
      </c>
      <c r="J7777" s="3" t="str">
        <f>HYPERLINK("https://www.boe.es/gazeta/dias/1822/01/29/pdfs/GMD-1822-29.pdf#page=2","Abrir facsímil")</f>
        <v>Abrir facsímil</v>
      </c>
      <c r="K7777" s="3" t="s">
        <v>22</v>
      </c>
    </row>
    <row r="7778" spans="1:11" ht="42" customHeight="1">
      <c r="A7778" s="2" t="s">
        <v>15011</v>
      </c>
      <c r="B7778" s="2" t="s">
        <v>15011</v>
      </c>
      <c r="C7778" s="2" t="s">
        <v>71</v>
      </c>
      <c r="D7778" s="2" t="s">
        <v>17</v>
      </c>
      <c r="E7778" s="5">
        <v>-28444</v>
      </c>
      <c r="F7778" s="3" t="s">
        <v>681</v>
      </c>
      <c r="G7778" s="3" t="s">
        <v>57</v>
      </c>
      <c r="H7778" s="2" t="s">
        <v>20</v>
      </c>
      <c r="I7778" s="2" t="s">
        <v>15013</v>
      </c>
      <c r="J7778" s="3" t="str">
        <f>HYPERLINK("https://www.boe.es/gazeta/dias/1822/02/13/pdfs/GMD-1822-44.pdf#page=4","Abrir facsímil")</f>
        <v>Abrir facsímil</v>
      </c>
      <c r="K7778" s="3" t="s">
        <v>22</v>
      </c>
    </row>
    <row r="7779" spans="1:11" ht="42" customHeight="1">
      <c r="A7779" s="2" t="s">
        <v>15014</v>
      </c>
      <c r="B7779" s="2" t="s">
        <v>15015</v>
      </c>
      <c r="C7779" s="2" t="s">
        <v>42</v>
      </c>
      <c r="D7779" s="2" t="s">
        <v>723</v>
      </c>
      <c r="E7779" s="5">
        <v>-28181</v>
      </c>
      <c r="F7779" s="3" t="s">
        <v>724</v>
      </c>
      <c r="G7779" s="3" t="s">
        <v>44</v>
      </c>
      <c r="H7779" s="2" t="s">
        <v>20</v>
      </c>
      <c r="I7779" s="2" t="s">
        <v>15016</v>
      </c>
      <c r="J7779" s="3" t="str">
        <f>HYPERLINK("https://www.boe.es/gazeta/dias/1822/11/03/pdfs/GMD-1822-322E.pdf#page=1","Abrir facsímil")</f>
        <v>Abrir facsímil</v>
      </c>
      <c r="K7779" s="3" t="s">
        <v>22</v>
      </c>
    </row>
    <row r="7780" spans="1:11" ht="42" customHeight="1">
      <c r="A7780" s="2" t="s">
        <v>15017</v>
      </c>
      <c r="B7780" s="2" t="s">
        <v>15017</v>
      </c>
      <c r="C7780" s="2" t="s">
        <v>71</v>
      </c>
      <c r="D7780" s="2" t="s">
        <v>17</v>
      </c>
      <c r="E7780" s="5">
        <v>-28443</v>
      </c>
      <c r="F7780" s="3" t="s">
        <v>668</v>
      </c>
      <c r="G7780" s="3" t="s">
        <v>57</v>
      </c>
      <c r="H7780" s="2" t="s">
        <v>20</v>
      </c>
      <c r="I7780" s="2" t="s">
        <v>15018</v>
      </c>
      <c r="J7780" s="3" t="str">
        <f>HYPERLINK("https://www.boe.es/gazeta/dias/1822/02/14/pdfs/GMD-1822-45.pdf#page=4","Abrir facsímil")</f>
        <v>Abrir facsímil</v>
      </c>
      <c r="K7780" s="3" t="s">
        <v>22</v>
      </c>
    </row>
    <row r="7781" spans="1:11" ht="42" customHeight="1">
      <c r="A7781" s="2" t="s">
        <v>15019</v>
      </c>
      <c r="B7781" s="2" t="s">
        <v>15020</v>
      </c>
      <c r="C7781" s="2" t="s">
        <v>42</v>
      </c>
      <c r="D7781" s="2" t="s">
        <v>17</v>
      </c>
      <c r="E7781" s="5">
        <v>-28210</v>
      </c>
      <c r="F7781" s="3" t="s">
        <v>218</v>
      </c>
      <c r="G7781" s="3" t="s">
        <v>19</v>
      </c>
      <c r="H7781" s="2" t="s">
        <v>20</v>
      </c>
      <c r="I7781" s="2" t="s">
        <v>15021</v>
      </c>
      <c r="J7781" s="3" t="str">
        <f>HYPERLINK("https://www.boe.es/gazeta/dias/1822/10/05/pdfs/GMD-1822-291.pdf#page=5","Abrir facsímil")</f>
        <v>Abrir facsímil</v>
      </c>
      <c r="K7781" s="3" t="s">
        <v>22</v>
      </c>
    </row>
    <row r="7782" spans="1:11" ht="42" customHeight="1">
      <c r="A7782" s="2" t="s">
        <v>15022</v>
      </c>
      <c r="B7782" s="2" t="s">
        <v>15022</v>
      </c>
      <c r="C7782" s="2" t="s">
        <v>28</v>
      </c>
      <c r="D7782" s="2" t="s">
        <v>29</v>
      </c>
      <c r="E7782" s="5">
        <v>-28333</v>
      </c>
      <c r="F7782" s="3" t="s">
        <v>1928</v>
      </c>
      <c r="G7782" s="3" t="s">
        <v>44</v>
      </c>
      <c r="H7782" s="2" t="s">
        <v>20</v>
      </c>
      <c r="I7782" s="2" t="s">
        <v>15023</v>
      </c>
      <c r="J7782" s="3" t="str">
        <f>HYPERLINK("https://www.boe.es/gazeta/dias/1822/06/04/pdfs/GMD-1822-161.pdf#page=1","Abrir facsímil")</f>
        <v>Abrir facsímil</v>
      </c>
      <c r="K7782" s="3" t="s">
        <v>22</v>
      </c>
    </row>
    <row r="7783" spans="1:11" ht="42" customHeight="1">
      <c r="A7783" s="2" t="s">
        <v>15024</v>
      </c>
      <c r="B7783" s="2" t="s">
        <v>15025</v>
      </c>
      <c r="C7783" s="2" t="s">
        <v>362</v>
      </c>
      <c r="D7783" s="2" t="s">
        <v>17</v>
      </c>
      <c r="E7783" s="5">
        <v>-28225</v>
      </c>
      <c r="F7783" s="3" t="s">
        <v>177</v>
      </c>
      <c r="G7783" s="3" t="s">
        <v>3273</v>
      </c>
      <c r="H7783" s="2" t="s">
        <v>20</v>
      </c>
      <c r="I7783" s="2" t="s">
        <v>15026</v>
      </c>
      <c r="J7783" s="3" t="str">
        <f>HYPERLINK("https://www.boe.es/gazeta/dias/1822/09/20/pdfs/GMD-1822-276.pdf#page=4","Abrir facsímil")</f>
        <v>Abrir facsímil</v>
      </c>
      <c r="K7783" s="3" t="s">
        <v>22</v>
      </c>
    </row>
    <row r="7784" spans="1:11" ht="42" customHeight="1">
      <c r="A7784" s="2" t="s">
        <v>15027</v>
      </c>
      <c r="B7784" s="2" t="s">
        <v>15028</v>
      </c>
      <c r="C7784" s="2" t="s">
        <v>362</v>
      </c>
      <c r="D7784" s="2" t="s">
        <v>17</v>
      </c>
      <c r="E7784" s="5">
        <v>-28243</v>
      </c>
      <c r="F7784" s="3" t="s">
        <v>1829</v>
      </c>
      <c r="G7784" s="3" t="s">
        <v>57</v>
      </c>
      <c r="H7784" s="2" t="s">
        <v>20</v>
      </c>
      <c r="I7784" s="2" t="s">
        <v>15029</v>
      </c>
      <c r="J7784" s="3" t="str">
        <f>HYPERLINK("https://www.boe.es/gazeta/dias/1822/09/02/pdfs/GMD-1822-257.pdf#page=4","Abrir facsímil")</f>
        <v>Abrir facsímil</v>
      </c>
      <c r="K7784" s="3" t="s">
        <v>22</v>
      </c>
    </row>
    <row r="7785" spans="1:11" ht="42" customHeight="1">
      <c r="A7785" s="2" t="s">
        <v>15030</v>
      </c>
      <c r="B7785" s="2" t="s">
        <v>15031</v>
      </c>
      <c r="C7785" s="2" t="s">
        <v>42</v>
      </c>
      <c r="D7785" s="2" t="s">
        <v>17</v>
      </c>
      <c r="E7785" s="5">
        <v>-28199</v>
      </c>
      <c r="F7785" s="3" t="s">
        <v>656</v>
      </c>
      <c r="G7785" s="3" t="s">
        <v>19</v>
      </c>
      <c r="H7785" s="2" t="s">
        <v>45</v>
      </c>
      <c r="I7785" s="2" t="s">
        <v>15032</v>
      </c>
      <c r="J7785" s="3" t="str">
        <f>HYPERLINK("https://www.boe.es/gazeta/dias/1822/10/16/pdfs/GMD-1822-303.pdf#page=5","Abrir facsímil")</f>
        <v>Abrir facsímil</v>
      </c>
      <c r="K7785" s="3" t="s">
        <v>47</v>
      </c>
    </row>
    <row r="7786" spans="1:11" ht="42" customHeight="1">
      <c r="A7786" s="2" t="s">
        <v>15033</v>
      </c>
      <c r="B7786" s="2" t="s">
        <v>15034</v>
      </c>
      <c r="C7786" s="2" t="s">
        <v>50</v>
      </c>
      <c r="D7786" s="2" t="s">
        <v>51</v>
      </c>
      <c r="E7786" s="5">
        <v>-28329</v>
      </c>
      <c r="F7786" s="3" t="s">
        <v>354</v>
      </c>
      <c r="G7786" s="3" t="s">
        <v>19</v>
      </c>
      <c r="H7786" s="2" t="s">
        <v>20</v>
      </c>
      <c r="I7786" s="2" t="s">
        <v>15035</v>
      </c>
      <c r="J7786" s="3" t="str">
        <f>HYPERLINK("https://www.boe.es/gazeta/dias/1822/06/08/pdfs/GMD-1822-165.pdf#page=5","Abrir facsímil")</f>
        <v>Abrir facsímil</v>
      </c>
      <c r="K7786" s="3" t="s">
        <v>22</v>
      </c>
    </row>
    <row r="7787" spans="1:11" ht="42" customHeight="1">
      <c r="A7787" s="2" t="s">
        <v>15036</v>
      </c>
      <c r="B7787" s="2" t="s">
        <v>15036</v>
      </c>
      <c r="C7787" s="2" t="s">
        <v>50</v>
      </c>
      <c r="D7787" s="2" t="s">
        <v>51</v>
      </c>
      <c r="E7787" s="5">
        <v>-28256</v>
      </c>
      <c r="F7787" s="3" t="s">
        <v>1949</v>
      </c>
      <c r="G7787" s="3" t="s">
        <v>35</v>
      </c>
      <c r="H7787" s="2" t="s">
        <v>20</v>
      </c>
      <c r="I7787" s="2" t="s">
        <v>15037</v>
      </c>
      <c r="J7787" s="3" t="str">
        <f>HYPERLINK("https://www.boe.es/gazeta/dias/1822/08/20/pdfs/GMD-1822-244.pdf#page=2","Abrir facsímil")</f>
        <v>Abrir facsímil</v>
      </c>
      <c r="K7787" s="3" t="s">
        <v>22</v>
      </c>
    </row>
    <row r="7788" spans="1:11" ht="42" customHeight="1">
      <c r="A7788" s="2" t="s">
        <v>15038</v>
      </c>
      <c r="B7788" s="2" t="s">
        <v>15039</v>
      </c>
      <c r="C7788" s="2" t="s">
        <v>71</v>
      </c>
      <c r="D7788" s="2" t="s">
        <v>17</v>
      </c>
      <c r="E7788" s="5">
        <v>-28463</v>
      </c>
      <c r="F7788" s="3" t="s">
        <v>25</v>
      </c>
      <c r="G7788" s="3" t="s">
        <v>31</v>
      </c>
      <c r="H7788" s="2" t="s">
        <v>20</v>
      </c>
      <c r="I7788" s="2" t="s">
        <v>15040</v>
      </c>
      <c r="J7788" s="3" t="str">
        <f>HYPERLINK("https://www.boe.es/gazeta/dias/1822/01/25/pdfs/GMD-1822-25.pdf#page=3","Abrir facsímil")</f>
        <v>Abrir facsímil</v>
      </c>
      <c r="K7788" s="3" t="s">
        <v>22</v>
      </c>
    </row>
    <row r="7789" spans="1:11" ht="42" customHeight="1">
      <c r="A7789" s="2" t="s">
        <v>15041</v>
      </c>
      <c r="B7789" s="2" t="s">
        <v>15042</v>
      </c>
      <c r="C7789" s="2" t="s">
        <v>50</v>
      </c>
      <c r="D7789" s="2" t="s">
        <v>51</v>
      </c>
      <c r="E7789" s="5">
        <v>-28391</v>
      </c>
      <c r="F7789" s="3" t="s">
        <v>378</v>
      </c>
      <c r="G7789" s="3" t="s">
        <v>63</v>
      </c>
      <c r="H7789" s="2" t="s">
        <v>20</v>
      </c>
      <c r="I7789" s="2" t="s">
        <v>15043</v>
      </c>
      <c r="J7789" s="3" t="str">
        <f>HYPERLINK("https://www.boe.es/gazeta/dias/1822/04/07/pdfs/GMD-1822-99.pdf#page=6","Abrir facsímil")</f>
        <v>Abrir facsímil</v>
      </c>
      <c r="K7789" s="3" t="s">
        <v>22</v>
      </c>
    </row>
    <row r="7790" spans="1:11" ht="42" customHeight="1">
      <c r="A7790" s="2" t="s">
        <v>15041</v>
      </c>
      <c r="B7790" s="2" t="s">
        <v>15042</v>
      </c>
      <c r="C7790" s="2" t="s">
        <v>28</v>
      </c>
      <c r="D7790" s="2" t="s">
        <v>29</v>
      </c>
      <c r="E7790" s="5">
        <v>-28345</v>
      </c>
      <c r="F7790" s="3" t="s">
        <v>294</v>
      </c>
      <c r="G7790" s="3" t="s">
        <v>63</v>
      </c>
      <c r="H7790" s="2" t="s">
        <v>20</v>
      </c>
      <c r="I7790" s="2" t="s">
        <v>15044</v>
      </c>
      <c r="J7790" s="3" t="str">
        <f>HYPERLINK("https://www.boe.es/gazeta/dias/1822/05/23/pdfs/GMD-1822-147.pdf#page=6","Abrir facsímil")</f>
        <v>Abrir facsímil</v>
      </c>
      <c r="K7790" s="3" t="s">
        <v>22</v>
      </c>
    </row>
    <row r="7791" spans="1:11" ht="42" customHeight="1">
      <c r="A7791" s="2" t="s">
        <v>15041</v>
      </c>
      <c r="B7791" s="2" t="s">
        <v>15042</v>
      </c>
      <c r="C7791" s="2" t="s">
        <v>42</v>
      </c>
      <c r="D7791" s="2" t="s">
        <v>17</v>
      </c>
      <c r="E7791" s="5">
        <v>-28298</v>
      </c>
      <c r="F7791" s="3" t="s">
        <v>6405</v>
      </c>
      <c r="G7791" s="3" t="s">
        <v>31</v>
      </c>
      <c r="H7791" s="2" t="s">
        <v>20</v>
      </c>
      <c r="I7791" s="2" t="s">
        <v>15045</v>
      </c>
      <c r="J7791" s="3" t="str">
        <f>HYPERLINK("https://www.boe.es/gazeta/dias/1822/07/09/pdfs/GMD-1822-199.pdf#page=3","Abrir facsímil")</f>
        <v>Abrir facsímil</v>
      </c>
      <c r="K7791" s="3" t="s">
        <v>22</v>
      </c>
    </row>
    <row r="7792" spans="1:11" ht="42" customHeight="1">
      <c r="A7792" s="2" t="s">
        <v>15046</v>
      </c>
      <c r="B7792" s="2" t="s">
        <v>15047</v>
      </c>
      <c r="C7792" s="2" t="s">
        <v>24</v>
      </c>
      <c r="D7792" s="2" t="s">
        <v>17</v>
      </c>
      <c r="E7792" s="5">
        <v>-28330</v>
      </c>
      <c r="F7792" s="3" t="s">
        <v>896</v>
      </c>
      <c r="G7792" s="3" t="s">
        <v>57</v>
      </c>
      <c r="H7792" s="2" t="s">
        <v>20</v>
      </c>
      <c r="I7792" s="2" t="s">
        <v>15048</v>
      </c>
      <c r="J7792" s="3" t="str">
        <f>HYPERLINK("https://www.boe.es/gazeta/dias/1822/06/07/pdfs/GMD-1822-164.pdf#page=4","Abrir facsímil")</f>
        <v>Abrir facsímil</v>
      </c>
      <c r="K7792" s="3" t="s">
        <v>22</v>
      </c>
    </row>
    <row r="7793" spans="1:11" ht="42" customHeight="1">
      <c r="A7793" s="2" t="s">
        <v>15049</v>
      </c>
      <c r="B7793" s="2" t="s">
        <v>15050</v>
      </c>
      <c r="C7793" s="2" t="s">
        <v>28</v>
      </c>
      <c r="D7793" s="2" t="s">
        <v>29</v>
      </c>
      <c r="E7793" s="5">
        <v>-28191</v>
      </c>
      <c r="F7793" s="3" t="s">
        <v>710</v>
      </c>
      <c r="G7793" s="3" t="s">
        <v>5038</v>
      </c>
      <c r="H7793" s="2" t="s">
        <v>20</v>
      </c>
      <c r="I7793" s="2" t="s">
        <v>15051</v>
      </c>
      <c r="J7793" s="3" t="str">
        <f>HYPERLINK("https://www.boe.es/gazeta/dias/1822/10/24/pdfs/GMD-1822-311.pdf#page=8","Abrir facsímil")</f>
        <v>Abrir facsímil</v>
      </c>
      <c r="K7793" s="3" t="s">
        <v>22</v>
      </c>
    </row>
    <row r="7794" spans="1:11" ht="42" customHeight="1">
      <c r="A7794" s="2" t="s">
        <v>15052</v>
      </c>
      <c r="B7794" s="2" t="s">
        <v>15053</v>
      </c>
      <c r="C7794" s="2" t="s">
        <v>16</v>
      </c>
      <c r="D7794" s="2" t="s">
        <v>17</v>
      </c>
      <c r="E7794" s="5">
        <v>-28391</v>
      </c>
      <c r="F7794" s="3" t="s">
        <v>378</v>
      </c>
      <c r="G7794" s="3" t="s">
        <v>63</v>
      </c>
      <c r="H7794" s="2" t="s">
        <v>20</v>
      </c>
      <c r="I7794" s="2" t="s">
        <v>15054</v>
      </c>
      <c r="J7794" s="3" t="str">
        <f>HYPERLINK("https://www.boe.es/gazeta/dias/1822/04/07/pdfs/GMD-1822-99.pdf#page=6","Abrir facsímil")</f>
        <v>Abrir facsímil</v>
      </c>
      <c r="K7794" s="3" t="s">
        <v>22</v>
      </c>
    </row>
    <row r="7795" spans="1:11" ht="42" customHeight="1">
      <c r="A7795" s="2" t="s">
        <v>15055</v>
      </c>
      <c r="B7795" s="2" t="s">
        <v>15056</v>
      </c>
      <c r="C7795" s="2" t="s">
        <v>42</v>
      </c>
      <c r="D7795" s="2" t="s">
        <v>17</v>
      </c>
      <c r="E7795" s="5">
        <v>-28275</v>
      </c>
      <c r="F7795" s="3" t="s">
        <v>1297</v>
      </c>
      <c r="G7795" s="3" t="s">
        <v>57</v>
      </c>
      <c r="H7795" s="2" t="s">
        <v>20</v>
      </c>
      <c r="I7795" s="2" t="s">
        <v>15057</v>
      </c>
      <c r="J7795" s="3" t="str">
        <f>HYPERLINK("https://www.boe.es/gazeta/dias/1822/08/01/pdfs/GMD-1822-225.pdf#page=4","Abrir facsímil")</f>
        <v>Abrir facsímil</v>
      </c>
      <c r="K7795" s="3" t="s">
        <v>22</v>
      </c>
    </row>
    <row r="7796" spans="1:11" ht="42" customHeight="1">
      <c r="A7796" s="2" t="s">
        <v>15058</v>
      </c>
      <c r="B7796" s="2" t="s">
        <v>15059</v>
      </c>
      <c r="C7796" s="2" t="s">
        <v>42</v>
      </c>
      <c r="D7796" s="2" t="s">
        <v>17</v>
      </c>
      <c r="E7796" s="5">
        <v>-28395</v>
      </c>
      <c r="F7796" s="3" t="s">
        <v>237</v>
      </c>
      <c r="G7796" s="3" t="s">
        <v>31</v>
      </c>
      <c r="H7796" s="2" t="s">
        <v>20</v>
      </c>
      <c r="I7796" s="2" t="s">
        <v>15060</v>
      </c>
      <c r="J7796" s="3" t="str">
        <f>HYPERLINK("https://www.boe.es/gazeta/dias/1822/04/03/pdfs/GMD-1822-95.pdf#page=3","Abrir facsímil")</f>
        <v>Abrir facsímil</v>
      </c>
      <c r="K7796" s="3" t="s">
        <v>22</v>
      </c>
    </row>
    <row r="7797" spans="1:11" ht="42" customHeight="1">
      <c r="A7797" s="2" t="s">
        <v>15061</v>
      </c>
      <c r="B7797" s="2" t="s">
        <v>15062</v>
      </c>
      <c r="C7797" s="2" t="s">
        <v>61</v>
      </c>
      <c r="D7797" s="2" t="s">
        <v>17</v>
      </c>
      <c r="E7797" s="5">
        <v>-28162</v>
      </c>
      <c r="F7797" s="3" t="s">
        <v>3949</v>
      </c>
      <c r="G7797" s="3" t="s">
        <v>57</v>
      </c>
      <c r="H7797" s="2" t="s">
        <v>20</v>
      </c>
      <c r="I7797" s="2" t="s">
        <v>15063</v>
      </c>
      <c r="J7797" s="3" t="str">
        <f>HYPERLINK("https://www.boe.es/gazeta/dias/1822/11/22/pdfs/GMD-1822-342.pdf#page=4","Abrir facsímil")</f>
        <v>Abrir facsímil</v>
      </c>
      <c r="K7797" s="3" t="s">
        <v>22</v>
      </c>
    </row>
    <row r="7798" spans="1:11" ht="42" customHeight="1">
      <c r="A7798" s="2" t="s">
        <v>15064</v>
      </c>
      <c r="B7798" s="2" t="s">
        <v>15065</v>
      </c>
      <c r="C7798" s="2" t="s">
        <v>28</v>
      </c>
      <c r="D7798" s="2" t="s">
        <v>29</v>
      </c>
      <c r="E7798" s="5">
        <v>-28308</v>
      </c>
      <c r="F7798" s="3" t="s">
        <v>1050</v>
      </c>
      <c r="G7798" s="3" t="s">
        <v>35</v>
      </c>
      <c r="H7798" s="2" t="s">
        <v>20</v>
      </c>
      <c r="I7798" s="2" t="s">
        <v>15066</v>
      </c>
      <c r="J7798" s="3" t="str">
        <f>HYPERLINK("https://www.boe.es/gazeta/dias/1822/06/29/pdfs/GMD-1822-187.pdf#page=2","Abrir facsímil")</f>
        <v>Abrir facsímil</v>
      </c>
      <c r="K7798" s="3" t="s">
        <v>22</v>
      </c>
    </row>
    <row r="7799" spans="1:11" ht="42" customHeight="1">
      <c r="A7799" s="2" t="s">
        <v>15067</v>
      </c>
      <c r="B7799" s="2" t="s">
        <v>15067</v>
      </c>
      <c r="C7799" s="2" t="s">
        <v>28</v>
      </c>
      <c r="D7799" s="2" t="s">
        <v>29</v>
      </c>
      <c r="E7799" s="5">
        <v>-28246</v>
      </c>
      <c r="F7799" s="3" t="s">
        <v>3246</v>
      </c>
      <c r="G7799" s="3" t="s">
        <v>63</v>
      </c>
      <c r="H7799" s="2" t="s">
        <v>20</v>
      </c>
      <c r="I7799" s="2" t="s">
        <v>15068</v>
      </c>
      <c r="J7799" s="3" t="str">
        <f>HYPERLINK("https://www.boe.es/gazeta/dias/1822/08/30/pdfs/GMD-1822-254.pdf#page=6","Abrir facsímil")</f>
        <v>Abrir facsímil</v>
      </c>
      <c r="K7799" s="3" t="s">
        <v>22</v>
      </c>
    </row>
    <row r="7800" spans="1:11" ht="42" customHeight="1">
      <c r="A7800" s="2" t="s">
        <v>15069</v>
      </c>
      <c r="B7800" s="2" t="s">
        <v>15069</v>
      </c>
      <c r="C7800" s="2" t="s">
        <v>24</v>
      </c>
      <c r="D7800" s="2" t="s">
        <v>17</v>
      </c>
      <c r="E7800" s="5">
        <v>-28317</v>
      </c>
      <c r="F7800" s="3" t="s">
        <v>546</v>
      </c>
      <c r="G7800" s="3" t="s">
        <v>57</v>
      </c>
      <c r="H7800" s="2" t="s">
        <v>20</v>
      </c>
      <c r="I7800" s="2" t="s">
        <v>15070</v>
      </c>
      <c r="J7800" s="3" t="str">
        <f>HYPERLINK("https://www.boe.es/gazeta/dias/1822/06/20/pdfs/GMD-1822-177.pdf#page=4","Abrir facsímil")</f>
        <v>Abrir facsímil</v>
      </c>
      <c r="K7800" s="3" t="s">
        <v>22</v>
      </c>
    </row>
    <row r="7801" spans="1:11" ht="42" customHeight="1">
      <c r="A7801" s="2" t="s">
        <v>15071</v>
      </c>
      <c r="B7801" s="2" t="s">
        <v>15071</v>
      </c>
      <c r="C7801" s="2" t="s">
        <v>1141</v>
      </c>
      <c r="D7801" s="2" t="s">
        <v>29</v>
      </c>
      <c r="E7801" s="5">
        <v>-28362</v>
      </c>
      <c r="F7801" s="3" t="s">
        <v>511</v>
      </c>
      <c r="G7801" s="3" t="s">
        <v>57</v>
      </c>
      <c r="H7801" s="2" t="s">
        <v>20</v>
      </c>
      <c r="I7801" s="2" t="s">
        <v>15072</v>
      </c>
      <c r="J7801" s="3" t="str">
        <f>HYPERLINK("https://www.boe.es/gazeta/dias/1822/05/06/pdfs/GMD-1822-128.pdf#page=4","Abrir facsímil")</f>
        <v>Abrir facsímil</v>
      </c>
      <c r="K7801" s="3" t="s">
        <v>22</v>
      </c>
    </row>
    <row r="7802" spans="1:11" ht="42" customHeight="1">
      <c r="A7802" s="2" t="s">
        <v>15073</v>
      </c>
      <c r="B7802" s="2" t="s">
        <v>15074</v>
      </c>
      <c r="C7802" s="2" t="s">
        <v>42</v>
      </c>
      <c r="D7802" s="2" t="s">
        <v>17</v>
      </c>
      <c r="E7802" s="5">
        <v>-28357</v>
      </c>
      <c r="F7802" s="3" t="s">
        <v>690</v>
      </c>
      <c r="G7802" s="3" t="s">
        <v>31</v>
      </c>
      <c r="H7802" s="2" t="s">
        <v>20</v>
      </c>
      <c r="I7802" s="2" t="s">
        <v>15075</v>
      </c>
      <c r="J7802" s="3" t="str">
        <f>HYPERLINK("https://www.boe.es/gazeta/dias/1822/05/11/pdfs/GMD-1822-133.pdf#page=3","Abrir facsímil")</f>
        <v>Abrir facsímil</v>
      </c>
      <c r="K7802" s="3" t="s">
        <v>22</v>
      </c>
    </row>
    <row r="7803" spans="1:11" ht="42" customHeight="1">
      <c r="A7803" s="2" t="s">
        <v>15076</v>
      </c>
      <c r="B7803" s="2" t="s">
        <v>15076</v>
      </c>
      <c r="C7803" s="2" t="s">
        <v>42</v>
      </c>
      <c r="D7803" s="2" t="s">
        <v>17</v>
      </c>
      <c r="E7803" s="5">
        <v>-28380</v>
      </c>
      <c r="F7803" s="3" t="s">
        <v>492</v>
      </c>
      <c r="G7803" s="3" t="s">
        <v>19</v>
      </c>
      <c r="H7803" s="2" t="s">
        <v>20</v>
      </c>
      <c r="I7803" s="2" t="s">
        <v>15077</v>
      </c>
      <c r="J7803" s="3" t="str">
        <f>HYPERLINK("https://www.boe.es/gazeta/dias/1822/04/18/pdfs/GMD-1822-110.pdf#page=5","Abrir facsímil")</f>
        <v>Abrir facsímil</v>
      </c>
      <c r="K7803" s="3" t="s">
        <v>22</v>
      </c>
    </row>
    <row r="7804" spans="1:11" ht="42" customHeight="1">
      <c r="A7804" s="2" t="s">
        <v>15076</v>
      </c>
      <c r="B7804" s="2" t="s">
        <v>15076</v>
      </c>
      <c r="C7804" s="2" t="s">
        <v>42</v>
      </c>
      <c r="D7804" s="2" t="s">
        <v>17</v>
      </c>
      <c r="E7804" s="5">
        <v>-28323</v>
      </c>
      <c r="F7804" s="3" t="s">
        <v>116</v>
      </c>
      <c r="G7804" s="3" t="s">
        <v>35</v>
      </c>
      <c r="H7804" s="2" t="s">
        <v>20</v>
      </c>
      <c r="I7804" s="2" t="s">
        <v>15078</v>
      </c>
      <c r="J7804" s="3" t="str">
        <f>HYPERLINK("https://www.boe.es/gazeta/dias/1822/06/14/pdfs/GMD-1822-171.pdf#page=2","Abrir facsímil")</f>
        <v>Abrir facsímil</v>
      </c>
      <c r="K7804" s="3" t="s">
        <v>22</v>
      </c>
    </row>
    <row r="7805" spans="1:11" ht="42" customHeight="1">
      <c r="A7805" s="2" t="s">
        <v>15079</v>
      </c>
      <c r="B7805" s="2" t="s">
        <v>15079</v>
      </c>
      <c r="C7805" s="2" t="s">
        <v>42</v>
      </c>
      <c r="D7805" s="2" t="s">
        <v>17</v>
      </c>
      <c r="E7805" s="5">
        <v>-28381</v>
      </c>
      <c r="F7805" s="3" t="s">
        <v>358</v>
      </c>
      <c r="G7805" s="3" t="s">
        <v>57</v>
      </c>
      <c r="H7805" s="2" t="s">
        <v>20</v>
      </c>
      <c r="I7805" s="2" t="s">
        <v>15080</v>
      </c>
      <c r="J7805" s="3" t="str">
        <f>HYPERLINK("https://www.boe.es/gazeta/dias/1822/04/17/pdfs/GMD-1822-109.pdf#page=4","Abrir facsímil")</f>
        <v>Abrir facsímil</v>
      </c>
      <c r="K7805" s="3" t="s">
        <v>22</v>
      </c>
    </row>
    <row r="7806" spans="1:11" ht="42" customHeight="1">
      <c r="A7806" s="2" t="s">
        <v>15081</v>
      </c>
      <c r="B7806" s="2" t="s">
        <v>15081</v>
      </c>
      <c r="C7806" s="2" t="s">
        <v>42</v>
      </c>
      <c r="D7806" s="2" t="s">
        <v>17</v>
      </c>
      <c r="E7806" s="5">
        <v>-28390</v>
      </c>
      <c r="F7806" s="3" t="s">
        <v>665</v>
      </c>
      <c r="G7806" s="3" t="s">
        <v>31</v>
      </c>
      <c r="H7806" s="2" t="s">
        <v>20</v>
      </c>
      <c r="I7806" s="2" t="s">
        <v>15082</v>
      </c>
      <c r="J7806" s="3" t="str">
        <f>HYPERLINK("https://www.boe.es/gazeta/dias/1822/04/08/pdfs/GMD-1822-100.pdf#page=3","Abrir facsímil")</f>
        <v>Abrir facsímil</v>
      </c>
      <c r="K7806" s="3" t="s">
        <v>22</v>
      </c>
    </row>
    <row r="7807" spans="1:11" ht="42" customHeight="1">
      <c r="A7807" s="2" t="s">
        <v>15083</v>
      </c>
      <c r="B7807" s="2" t="s">
        <v>15083</v>
      </c>
      <c r="C7807" s="2" t="s">
        <v>28</v>
      </c>
      <c r="D7807" s="2" t="s">
        <v>29</v>
      </c>
      <c r="E7807" s="5">
        <v>-28434</v>
      </c>
      <c r="F7807" s="3" t="s">
        <v>433</v>
      </c>
      <c r="G7807" s="3" t="s">
        <v>57</v>
      </c>
      <c r="H7807" s="2" t="s">
        <v>20</v>
      </c>
      <c r="I7807" s="2" t="s">
        <v>15084</v>
      </c>
      <c r="J7807" s="3" t="str">
        <f>HYPERLINK("https://www.boe.es/gazeta/dias/1822/02/23/pdfs/GMD-1822-55.pdf#page=4","Abrir facsímil")</f>
        <v>Abrir facsímil</v>
      </c>
      <c r="K7807" s="3" t="s">
        <v>22</v>
      </c>
    </row>
    <row r="7808" spans="1:11" ht="42" customHeight="1">
      <c r="A7808" s="2" t="s">
        <v>15083</v>
      </c>
      <c r="B7808" s="2" t="s">
        <v>15083</v>
      </c>
      <c r="C7808" s="2" t="s">
        <v>71</v>
      </c>
      <c r="D7808" s="2" t="s">
        <v>17</v>
      </c>
      <c r="E7808" s="5">
        <v>-28426</v>
      </c>
      <c r="F7808" s="3" t="s">
        <v>1178</v>
      </c>
      <c r="G7808" s="3" t="s">
        <v>57</v>
      </c>
      <c r="H7808" s="2" t="s">
        <v>20</v>
      </c>
      <c r="I7808" s="2" t="s">
        <v>15085</v>
      </c>
      <c r="J7808" s="3" t="str">
        <f>HYPERLINK("https://www.boe.es/gazeta/dias/1822/03/03/pdfs/GMD-1822-64.pdf#page=4","Abrir facsímil")</f>
        <v>Abrir facsímil</v>
      </c>
      <c r="K7808" s="3" t="s">
        <v>22</v>
      </c>
    </row>
    <row r="7809" spans="1:11" ht="42" customHeight="1">
      <c r="A7809" s="2" t="s">
        <v>15083</v>
      </c>
      <c r="B7809" s="2" t="s">
        <v>15083</v>
      </c>
      <c r="C7809" s="2" t="s">
        <v>71</v>
      </c>
      <c r="D7809" s="2" t="s">
        <v>17</v>
      </c>
      <c r="E7809" s="5">
        <v>-28421</v>
      </c>
      <c r="F7809" s="3" t="s">
        <v>446</v>
      </c>
      <c r="G7809" s="3" t="s">
        <v>57</v>
      </c>
      <c r="H7809" s="2" t="s">
        <v>20</v>
      </c>
      <c r="I7809" s="2" t="s">
        <v>15086</v>
      </c>
      <c r="J7809" s="3" t="str">
        <f>HYPERLINK("https://www.boe.es/gazeta/dias/1822/03/08/pdfs/GMD-1822-69.pdf#page=4","Abrir facsímil")</f>
        <v>Abrir facsímil</v>
      </c>
      <c r="K7809" s="3" t="s">
        <v>22</v>
      </c>
    </row>
    <row r="7810" spans="1:11" ht="42" customHeight="1">
      <c r="A7810" s="2" t="s">
        <v>15083</v>
      </c>
      <c r="B7810" s="2" t="s">
        <v>15083</v>
      </c>
      <c r="C7810" s="2" t="s">
        <v>50</v>
      </c>
      <c r="D7810" s="2" t="s">
        <v>51</v>
      </c>
      <c r="E7810" s="5">
        <v>-28415</v>
      </c>
      <c r="F7810" s="3" t="s">
        <v>77</v>
      </c>
      <c r="G7810" s="3" t="s">
        <v>57</v>
      </c>
      <c r="H7810" s="2" t="s">
        <v>20</v>
      </c>
      <c r="I7810" s="2" t="s">
        <v>15087</v>
      </c>
      <c r="J7810" s="3" t="str">
        <f>HYPERLINK("https://www.boe.es/gazeta/dias/1822/03/14/pdfs/GMD-1822-75.pdf#page=4","Abrir facsímil")</f>
        <v>Abrir facsímil</v>
      </c>
      <c r="K7810" s="3" t="s">
        <v>22</v>
      </c>
    </row>
    <row r="7811" spans="1:11" ht="42" customHeight="1">
      <c r="A7811" s="2" t="s">
        <v>15083</v>
      </c>
      <c r="B7811" s="2" t="s">
        <v>15083</v>
      </c>
      <c r="C7811" s="2" t="s">
        <v>50</v>
      </c>
      <c r="D7811" s="2" t="s">
        <v>51</v>
      </c>
      <c r="E7811" s="5">
        <v>-28412</v>
      </c>
      <c r="F7811" s="3" t="s">
        <v>825</v>
      </c>
      <c r="G7811" s="3" t="s">
        <v>31</v>
      </c>
      <c r="H7811" s="2" t="s">
        <v>20</v>
      </c>
      <c r="I7811" s="2" t="s">
        <v>15088</v>
      </c>
      <c r="J7811" s="3" t="str">
        <f>HYPERLINK("https://www.boe.es/gazeta/dias/1822/03/17/pdfs/GMD-1822-78.pdf#page=3","Abrir facsímil")</f>
        <v>Abrir facsímil</v>
      </c>
      <c r="K7811" s="3" t="s">
        <v>22</v>
      </c>
    </row>
    <row r="7812" spans="1:11" ht="42" customHeight="1">
      <c r="A7812" s="2" t="s">
        <v>15083</v>
      </c>
      <c r="B7812" s="2" t="s">
        <v>15083</v>
      </c>
      <c r="C7812" s="2" t="s">
        <v>42</v>
      </c>
      <c r="D7812" s="2" t="s">
        <v>17</v>
      </c>
      <c r="E7812" s="5">
        <v>-28412</v>
      </c>
      <c r="F7812" s="3" t="s">
        <v>825</v>
      </c>
      <c r="G7812" s="3" t="s">
        <v>57</v>
      </c>
      <c r="H7812" s="2" t="s">
        <v>20</v>
      </c>
      <c r="I7812" s="2" t="s">
        <v>15089</v>
      </c>
      <c r="J7812" s="3" t="str">
        <f>HYPERLINK("https://www.boe.es/gazeta/dias/1822/03/17/pdfs/GMD-1822-78.pdf#page=4","Abrir facsímil")</f>
        <v>Abrir facsímil</v>
      </c>
      <c r="K7812" s="3" t="s">
        <v>22</v>
      </c>
    </row>
    <row r="7813" spans="1:11" ht="42" customHeight="1">
      <c r="A7813" s="2" t="s">
        <v>15083</v>
      </c>
      <c r="B7813" s="2" t="s">
        <v>15083</v>
      </c>
      <c r="C7813" s="2" t="s">
        <v>28</v>
      </c>
      <c r="D7813" s="2" t="s">
        <v>29</v>
      </c>
      <c r="E7813" s="5">
        <v>-28402</v>
      </c>
      <c r="F7813" s="3" t="s">
        <v>473</v>
      </c>
      <c r="G7813" s="3" t="s">
        <v>57</v>
      </c>
      <c r="H7813" s="2" t="s">
        <v>20</v>
      </c>
      <c r="I7813" s="2" t="s">
        <v>15090</v>
      </c>
      <c r="J7813" s="3" t="str">
        <f>HYPERLINK("https://www.boe.es/gazeta/dias/1822/03/27/pdfs/GMD-1822-88.pdf#page=4","Abrir facsímil")</f>
        <v>Abrir facsímil</v>
      </c>
      <c r="K7813" s="3" t="s">
        <v>22</v>
      </c>
    </row>
    <row r="7814" spans="1:11" ht="42" customHeight="1">
      <c r="A7814" s="2" t="s">
        <v>15083</v>
      </c>
      <c r="B7814" s="2" t="s">
        <v>15083</v>
      </c>
      <c r="C7814" s="2" t="s">
        <v>28</v>
      </c>
      <c r="D7814" s="2" t="s">
        <v>29</v>
      </c>
      <c r="E7814" s="5">
        <v>-28399</v>
      </c>
      <c r="F7814" s="3" t="s">
        <v>476</v>
      </c>
      <c r="G7814" s="3" t="s">
        <v>57</v>
      </c>
      <c r="H7814" s="2" t="s">
        <v>20</v>
      </c>
      <c r="I7814" s="2" t="s">
        <v>15091</v>
      </c>
      <c r="J7814" s="3" t="str">
        <f>HYPERLINK("https://www.boe.es/gazeta/dias/1822/03/30/pdfs/GMD-1822-91.pdf#page=4","Abrir facsímil")</f>
        <v>Abrir facsímil</v>
      </c>
      <c r="K7814" s="3" t="s">
        <v>22</v>
      </c>
    </row>
    <row r="7815" spans="1:11" ht="42" customHeight="1">
      <c r="A7815" s="2" t="s">
        <v>15083</v>
      </c>
      <c r="B7815" s="2" t="s">
        <v>15083</v>
      </c>
      <c r="C7815" s="2" t="s">
        <v>28</v>
      </c>
      <c r="D7815" s="2" t="s">
        <v>29</v>
      </c>
      <c r="E7815" s="5">
        <v>-28391</v>
      </c>
      <c r="F7815" s="3" t="s">
        <v>378</v>
      </c>
      <c r="G7815" s="3" t="s">
        <v>31</v>
      </c>
      <c r="H7815" s="2" t="s">
        <v>20</v>
      </c>
      <c r="I7815" s="2" t="s">
        <v>15092</v>
      </c>
      <c r="J7815" s="3" t="str">
        <f>HYPERLINK("https://www.boe.es/gazeta/dias/1822/04/07/pdfs/GMD-1822-99.pdf#page=3","Abrir facsímil")</f>
        <v>Abrir facsímil</v>
      </c>
      <c r="K7815" s="3" t="s">
        <v>22</v>
      </c>
    </row>
    <row r="7816" spans="1:11" ht="42" customHeight="1">
      <c r="A7816" s="2" t="s">
        <v>15083</v>
      </c>
      <c r="B7816" s="2" t="s">
        <v>15083</v>
      </c>
      <c r="C7816" s="2" t="s">
        <v>28</v>
      </c>
      <c r="D7816" s="2" t="s">
        <v>29</v>
      </c>
      <c r="E7816" s="5">
        <v>-28387</v>
      </c>
      <c r="F7816" s="3" t="s">
        <v>2874</v>
      </c>
      <c r="G7816" s="3" t="s">
        <v>63</v>
      </c>
      <c r="H7816" s="2" t="s">
        <v>20</v>
      </c>
      <c r="I7816" s="2" t="s">
        <v>15093</v>
      </c>
      <c r="J7816" s="3" t="str">
        <f>HYPERLINK("https://www.boe.es/gazeta/dias/1822/04/11/pdfs/GMD-1822-103.pdf#page=6","Abrir facsímil")</f>
        <v>Abrir facsímil</v>
      </c>
      <c r="K7816" s="3" t="s">
        <v>22</v>
      </c>
    </row>
    <row r="7817" spans="1:11" ht="42" customHeight="1">
      <c r="A7817" s="2" t="s">
        <v>15083</v>
      </c>
      <c r="B7817" s="2" t="s">
        <v>15083</v>
      </c>
      <c r="C7817" s="2" t="s">
        <v>28</v>
      </c>
      <c r="D7817" s="2" t="s">
        <v>29</v>
      </c>
      <c r="E7817" s="5">
        <v>-28385</v>
      </c>
      <c r="F7817" s="3" t="s">
        <v>484</v>
      </c>
      <c r="G7817" s="3" t="s">
        <v>35</v>
      </c>
      <c r="H7817" s="2" t="s">
        <v>20</v>
      </c>
      <c r="I7817" s="2" t="s">
        <v>15094</v>
      </c>
      <c r="J7817" s="3" t="str">
        <f>HYPERLINK("https://www.boe.es/gazeta/dias/1822/04/13/pdfs/GMD-1822-105.pdf#page=2","Abrir facsímil")</f>
        <v>Abrir facsímil</v>
      </c>
      <c r="K7817" s="3" t="s">
        <v>22</v>
      </c>
    </row>
    <row r="7818" spans="1:11" ht="42" customHeight="1">
      <c r="A7818" s="2" t="s">
        <v>15083</v>
      </c>
      <c r="B7818" s="2" t="s">
        <v>15083</v>
      </c>
      <c r="C7818" s="2" t="s">
        <v>16</v>
      </c>
      <c r="D7818" s="2" t="s">
        <v>17</v>
      </c>
      <c r="E7818" s="5">
        <v>-28385</v>
      </c>
      <c r="F7818" s="3" t="s">
        <v>484</v>
      </c>
      <c r="G7818" s="3" t="s">
        <v>57</v>
      </c>
      <c r="H7818" s="2" t="s">
        <v>20</v>
      </c>
      <c r="I7818" s="2" t="s">
        <v>15095</v>
      </c>
      <c r="J7818" s="3" t="str">
        <f>HYPERLINK("https://www.boe.es/gazeta/dias/1822/04/13/pdfs/GMD-1822-105.pdf#page=4","Abrir facsímil")</f>
        <v>Abrir facsímil</v>
      </c>
      <c r="K7818" s="3" t="s">
        <v>22</v>
      </c>
    </row>
    <row r="7819" spans="1:11" ht="42" customHeight="1">
      <c r="A7819" s="2" t="s">
        <v>15083</v>
      </c>
      <c r="B7819" s="2" t="s">
        <v>15083</v>
      </c>
      <c r="C7819" s="2" t="s">
        <v>42</v>
      </c>
      <c r="D7819" s="2" t="s">
        <v>17</v>
      </c>
      <c r="E7819" s="5">
        <v>-28381</v>
      </c>
      <c r="F7819" s="3" t="s">
        <v>358</v>
      </c>
      <c r="G7819" s="3" t="s">
        <v>57</v>
      </c>
      <c r="H7819" s="2" t="s">
        <v>20</v>
      </c>
      <c r="I7819" s="2" t="s">
        <v>15096</v>
      </c>
      <c r="J7819" s="3" t="str">
        <f>HYPERLINK("https://www.boe.es/gazeta/dias/1822/04/17/pdfs/GMD-1822-109.pdf#page=4","Abrir facsímil")</f>
        <v>Abrir facsímil</v>
      </c>
      <c r="K7819" s="3" t="s">
        <v>22</v>
      </c>
    </row>
    <row r="7820" spans="1:11" ht="42" customHeight="1">
      <c r="A7820" s="2" t="s">
        <v>15083</v>
      </c>
      <c r="B7820" s="2" t="s">
        <v>15083</v>
      </c>
      <c r="C7820" s="2" t="s">
        <v>42</v>
      </c>
      <c r="D7820" s="2" t="s">
        <v>17</v>
      </c>
      <c r="E7820" s="5">
        <v>-28371</v>
      </c>
      <c r="F7820" s="3" t="s">
        <v>401</v>
      </c>
      <c r="G7820" s="3" t="s">
        <v>35</v>
      </c>
      <c r="H7820" s="2" t="s">
        <v>20</v>
      </c>
      <c r="I7820" s="2" t="s">
        <v>15097</v>
      </c>
      <c r="J7820" s="3" t="str">
        <f>HYPERLINK("https://www.boe.es/gazeta/dias/1822/04/27/pdfs/GMD-1822-119.pdf#page=2","Abrir facsímil")</f>
        <v>Abrir facsímil</v>
      </c>
      <c r="K7820" s="3" t="s">
        <v>22</v>
      </c>
    </row>
    <row r="7821" spans="1:11" ht="42" customHeight="1">
      <c r="A7821" s="2" t="s">
        <v>15083</v>
      </c>
      <c r="B7821" s="2" t="s">
        <v>15083</v>
      </c>
      <c r="C7821" s="2" t="s">
        <v>42</v>
      </c>
      <c r="D7821" s="2" t="s">
        <v>17</v>
      </c>
      <c r="E7821" s="5">
        <v>-28362</v>
      </c>
      <c r="F7821" s="3" t="s">
        <v>511</v>
      </c>
      <c r="G7821" s="3" t="s">
        <v>57</v>
      </c>
      <c r="H7821" s="2" t="s">
        <v>20</v>
      </c>
      <c r="I7821" s="2" t="s">
        <v>15098</v>
      </c>
      <c r="J7821" s="3" t="str">
        <f>HYPERLINK("https://www.boe.es/gazeta/dias/1822/05/06/pdfs/GMD-1822-128.pdf#page=4","Abrir facsímil")</f>
        <v>Abrir facsímil</v>
      </c>
      <c r="K7821" s="3" t="s">
        <v>22</v>
      </c>
    </row>
    <row r="7822" spans="1:11" ht="42" customHeight="1">
      <c r="A7822" s="2" t="s">
        <v>15083</v>
      </c>
      <c r="B7822" s="2" t="s">
        <v>15083</v>
      </c>
      <c r="C7822" s="2" t="s">
        <v>28</v>
      </c>
      <c r="D7822" s="2" t="s">
        <v>29</v>
      </c>
      <c r="E7822" s="5">
        <v>-28357</v>
      </c>
      <c r="F7822" s="3" t="s">
        <v>690</v>
      </c>
      <c r="G7822" s="3" t="s">
        <v>35</v>
      </c>
      <c r="H7822" s="2" t="s">
        <v>20</v>
      </c>
      <c r="I7822" s="2" t="s">
        <v>15099</v>
      </c>
      <c r="J7822" s="3" t="str">
        <f>HYPERLINK("https://www.boe.es/gazeta/dias/1822/05/11/pdfs/GMD-1822-133.pdf#page=2","Abrir facsímil")</f>
        <v>Abrir facsímil</v>
      </c>
      <c r="K7822" s="3" t="s">
        <v>22</v>
      </c>
    </row>
    <row r="7823" spans="1:11" ht="42" customHeight="1">
      <c r="A7823" s="2" t="s">
        <v>15083</v>
      </c>
      <c r="B7823" s="2" t="s">
        <v>15083</v>
      </c>
      <c r="C7823" s="2" t="s">
        <v>16</v>
      </c>
      <c r="D7823" s="2" t="s">
        <v>17</v>
      </c>
      <c r="E7823" s="5">
        <v>-28351</v>
      </c>
      <c r="F7823" s="3" t="s">
        <v>282</v>
      </c>
      <c r="G7823" s="3" t="s">
        <v>44</v>
      </c>
      <c r="H7823" s="2" t="s">
        <v>20</v>
      </c>
      <c r="I7823" s="2" t="s">
        <v>15100</v>
      </c>
      <c r="J7823" s="3" t="str">
        <f>HYPERLINK("https://www.boe.es/gazeta/dias/1822/05/17/pdfs/GMD-1822-139.pdf#page=1","Abrir facsímil")</f>
        <v>Abrir facsímil</v>
      </c>
      <c r="K7823" s="3" t="s">
        <v>22</v>
      </c>
    </row>
    <row r="7824" spans="1:11" ht="42" customHeight="1">
      <c r="A7824" s="2" t="s">
        <v>15083</v>
      </c>
      <c r="B7824" s="2" t="s">
        <v>15083</v>
      </c>
      <c r="C7824" s="2" t="s">
        <v>42</v>
      </c>
      <c r="D7824" s="2" t="s">
        <v>17</v>
      </c>
      <c r="E7824" s="5">
        <v>-28340</v>
      </c>
      <c r="F7824" s="3" t="s">
        <v>139</v>
      </c>
      <c r="G7824" s="3" t="s">
        <v>31</v>
      </c>
      <c r="H7824" s="2" t="s">
        <v>20</v>
      </c>
      <c r="I7824" s="2" t="s">
        <v>15101</v>
      </c>
      <c r="J7824" s="3" t="str">
        <f>HYPERLINK("https://www.boe.es/gazeta/dias/1822/05/28/pdfs/GMD-1822-153.pdf#page=3","Abrir facsímil")</f>
        <v>Abrir facsímil</v>
      </c>
      <c r="K7824" s="3" t="s">
        <v>22</v>
      </c>
    </row>
    <row r="7825" spans="1:11" ht="42" customHeight="1">
      <c r="A7825" s="2" t="s">
        <v>15083</v>
      </c>
      <c r="B7825" s="2" t="s">
        <v>15083</v>
      </c>
      <c r="C7825" s="2" t="s">
        <v>71</v>
      </c>
      <c r="D7825" s="2" t="s">
        <v>17</v>
      </c>
      <c r="E7825" s="5">
        <v>-28307</v>
      </c>
      <c r="F7825" s="3" t="s">
        <v>555</v>
      </c>
      <c r="G7825" s="3" t="s">
        <v>35</v>
      </c>
      <c r="H7825" s="2" t="s">
        <v>20</v>
      </c>
      <c r="I7825" s="2" t="s">
        <v>15102</v>
      </c>
      <c r="J7825" s="3" t="str">
        <f>HYPERLINK("https://www.boe.es/gazeta/dias/1822/06/30/pdfs/GMD-1822-188.pdf#page=2","Abrir facsímil")</f>
        <v>Abrir facsímil</v>
      </c>
      <c r="K7825" s="3" t="s">
        <v>22</v>
      </c>
    </row>
    <row r="7826" spans="1:11" ht="42" customHeight="1">
      <c r="A7826" s="2" t="s">
        <v>15083</v>
      </c>
      <c r="B7826" s="2" t="s">
        <v>15083</v>
      </c>
      <c r="C7826" s="2" t="s">
        <v>50</v>
      </c>
      <c r="D7826" s="2" t="s">
        <v>51</v>
      </c>
      <c r="E7826" s="5">
        <v>-28181</v>
      </c>
      <c r="F7826" s="3" t="s">
        <v>739</v>
      </c>
      <c r="G7826" s="3" t="s">
        <v>35</v>
      </c>
      <c r="H7826" s="2" t="s">
        <v>20</v>
      </c>
      <c r="I7826" s="2" t="s">
        <v>15103</v>
      </c>
      <c r="J7826" s="3" t="str">
        <f>HYPERLINK("https://www.boe.es/gazeta/dias/1822/11/03/pdfs/GMD-1822-321.pdf#page=2","Abrir facsímil")</f>
        <v>Abrir facsímil</v>
      </c>
      <c r="K7826" s="3" t="s">
        <v>22</v>
      </c>
    </row>
    <row r="7827" spans="1:11" ht="42" customHeight="1">
      <c r="A7827" s="2" t="s">
        <v>15083</v>
      </c>
      <c r="B7827" s="2" t="s">
        <v>15083</v>
      </c>
      <c r="C7827" s="2" t="s">
        <v>71</v>
      </c>
      <c r="D7827" s="2" t="s">
        <v>17</v>
      </c>
      <c r="E7827" s="5">
        <v>-28158</v>
      </c>
      <c r="F7827" s="3" t="s">
        <v>590</v>
      </c>
      <c r="G7827" s="3" t="s">
        <v>57</v>
      </c>
      <c r="H7827" s="2" t="s">
        <v>20</v>
      </c>
      <c r="I7827" s="2" t="s">
        <v>15104</v>
      </c>
      <c r="J7827" s="3" t="str">
        <f>HYPERLINK("https://www.boe.es/gazeta/dias/1822/11/26/pdfs/GMD-1822-346.pdf#page=4","Abrir facsímil")</f>
        <v>Abrir facsímil</v>
      </c>
      <c r="K7827" s="3" t="s">
        <v>22</v>
      </c>
    </row>
    <row r="7828" spans="1:11" ht="42" customHeight="1">
      <c r="A7828" s="2" t="s">
        <v>15083</v>
      </c>
      <c r="B7828" s="2" t="s">
        <v>15083</v>
      </c>
      <c r="C7828" s="2" t="s">
        <v>28</v>
      </c>
      <c r="D7828" s="2" t="s">
        <v>29</v>
      </c>
      <c r="E7828" s="5">
        <v>-28158</v>
      </c>
      <c r="F7828" s="3" t="s">
        <v>590</v>
      </c>
      <c r="G7828" s="3" t="s">
        <v>19</v>
      </c>
      <c r="H7828" s="2" t="s">
        <v>20</v>
      </c>
      <c r="I7828" s="2" t="s">
        <v>15105</v>
      </c>
      <c r="J7828" s="3" t="str">
        <f>HYPERLINK("https://www.boe.es/gazeta/dias/1822/11/26/pdfs/GMD-1822-346.pdf#page=5","Abrir facsímil")</f>
        <v>Abrir facsímil</v>
      </c>
      <c r="K7828" s="3" t="s">
        <v>22</v>
      </c>
    </row>
    <row r="7829" spans="1:11" ht="42" customHeight="1">
      <c r="A7829" s="2" t="s">
        <v>15106</v>
      </c>
      <c r="B7829" s="2" t="s">
        <v>15107</v>
      </c>
      <c r="C7829" s="2" t="s">
        <v>28</v>
      </c>
      <c r="D7829" s="2" t="s">
        <v>29</v>
      </c>
      <c r="E7829" s="5">
        <v>-28436</v>
      </c>
      <c r="F7829" s="3" t="s">
        <v>431</v>
      </c>
      <c r="G7829" s="3" t="s">
        <v>1428</v>
      </c>
      <c r="H7829" s="2" t="s">
        <v>20</v>
      </c>
      <c r="I7829" s="2" t="s">
        <v>15108</v>
      </c>
      <c r="J7829" s="3" t="str">
        <f>HYPERLINK("https://www.boe.es/gazeta/dias/1822/02/21/pdfs/GMD-1822-53.pdf#page=3","Abrir facsímil")</f>
        <v>Abrir facsímil</v>
      </c>
      <c r="K7829" s="3" t="s">
        <v>22</v>
      </c>
    </row>
    <row r="7830" spans="1:11" ht="42" customHeight="1">
      <c r="A7830" s="2" t="s">
        <v>15109</v>
      </c>
      <c r="B7830" s="2" t="s">
        <v>15109</v>
      </c>
      <c r="C7830" s="2" t="s">
        <v>42</v>
      </c>
      <c r="D7830" s="2" t="s">
        <v>17</v>
      </c>
      <c r="E7830" s="5">
        <v>-28390</v>
      </c>
      <c r="F7830" s="3" t="s">
        <v>665</v>
      </c>
      <c r="G7830" s="3" t="s">
        <v>31</v>
      </c>
      <c r="H7830" s="2" t="s">
        <v>20</v>
      </c>
      <c r="I7830" s="2" t="s">
        <v>15110</v>
      </c>
      <c r="J7830" s="3" t="str">
        <f>HYPERLINK("https://www.boe.es/gazeta/dias/1822/04/08/pdfs/GMD-1822-100.pdf#page=3","Abrir facsímil")</f>
        <v>Abrir facsímil</v>
      </c>
      <c r="K7830" s="3" t="s">
        <v>22</v>
      </c>
    </row>
    <row r="7831" spans="1:11" ht="42" customHeight="1">
      <c r="A7831" s="2" t="s">
        <v>15111</v>
      </c>
      <c r="B7831" s="2" t="s">
        <v>15111</v>
      </c>
      <c r="C7831" s="2" t="s">
        <v>28</v>
      </c>
      <c r="D7831" s="2" t="s">
        <v>29</v>
      </c>
      <c r="E7831" s="5">
        <v>-28432</v>
      </c>
      <c r="F7831" s="3" t="s">
        <v>195</v>
      </c>
      <c r="G7831" s="3" t="s">
        <v>31</v>
      </c>
      <c r="H7831" s="2" t="s">
        <v>20</v>
      </c>
      <c r="I7831" s="2" t="s">
        <v>15112</v>
      </c>
      <c r="J7831" s="3" t="str">
        <f>HYPERLINK("https://www.boe.es/gazeta/dias/1822/02/25/pdfs/GMD-1822-57.pdf#page=3","Abrir facsímil")</f>
        <v>Abrir facsímil</v>
      </c>
      <c r="K7831" s="3" t="s">
        <v>22</v>
      </c>
    </row>
    <row r="7832" spans="1:11" ht="42" customHeight="1">
      <c r="A7832" s="2" t="s">
        <v>15113</v>
      </c>
      <c r="B7832" s="2" t="s">
        <v>15113</v>
      </c>
      <c r="C7832" s="2" t="s">
        <v>71</v>
      </c>
      <c r="D7832" s="2" t="s">
        <v>17</v>
      </c>
      <c r="E7832" s="5">
        <v>-28397</v>
      </c>
      <c r="F7832" s="3" t="s">
        <v>1401</v>
      </c>
      <c r="G7832" s="3" t="s">
        <v>63</v>
      </c>
      <c r="H7832" s="2" t="s">
        <v>20</v>
      </c>
      <c r="I7832" s="2" t="s">
        <v>15114</v>
      </c>
      <c r="J7832" s="3" t="str">
        <f>HYPERLINK("https://www.boe.es/gazeta/dias/1822/04/01/pdfs/GMD-1822-93.pdf#page=6","Abrir facsímil")</f>
        <v>Abrir facsímil</v>
      </c>
      <c r="K7832" s="3" t="s">
        <v>22</v>
      </c>
    </row>
    <row r="7833" spans="1:11" ht="42" customHeight="1">
      <c r="A7833" s="2" t="s">
        <v>15115</v>
      </c>
      <c r="B7833" s="2" t="s">
        <v>15116</v>
      </c>
      <c r="C7833" s="2" t="s">
        <v>50</v>
      </c>
      <c r="D7833" s="2" t="s">
        <v>51</v>
      </c>
      <c r="E7833" s="5">
        <v>-28349</v>
      </c>
      <c r="F7833" s="3" t="s">
        <v>518</v>
      </c>
      <c r="G7833" s="3" t="s">
        <v>57</v>
      </c>
      <c r="H7833" s="2" t="s">
        <v>20</v>
      </c>
      <c r="I7833" s="2" t="s">
        <v>15117</v>
      </c>
      <c r="J7833" s="3" t="str">
        <f>HYPERLINK("https://www.boe.es/gazeta/dias/1822/05/19/pdfs/GMD-1822-141.pdf#page=4","Abrir facsímil")</f>
        <v>Abrir facsímil</v>
      </c>
      <c r="K7833" s="3" t="s">
        <v>22</v>
      </c>
    </row>
    <row r="7834" spans="1:11" ht="42" customHeight="1">
      <c r="A7834" s="2" t="s">
        <v>15118</v>
      </c>
      <c r="B7834" s="2" t="s">
        <v>15119</v>
      </c>
      <c r="C7834" s="2" t="s">
        <v>42</v>
      </c>
      <c r="D7834" s="2" t="s">
        <v>17</v>
      </c>
      <c r="E7834" s="5">
        <v>-28290</v>
      </c>
      <c r="F7834" s="3" t="s">
        <v>706</v>
      </c>
      <c r="G7834" s="3" t="s">
        <v>57</v>
      </c>
      <c r="H7834" s="2" t="s">
        <v>20</v>
      </c>
      <c r="I7834" s="2" t="s">
        <v>15120</v>
      </c>
      <c r="J7834" s="3" t="str">
        <f>HYPERLINK("https://www.boe.es/gazeta/dias/1822/07/17/pdfs/GMD-1822-207.pdf#page=4","Abrir facsímil")</f>
        <v>Abrir facsímil</v>
      </c>
      <c r="K7834" s="3" t="s">
        <v>22</v>
      </c>
    </row>
    <row r="7835" spans="1:11" ht="42" customHeight="1">
      <c r="A7835" s="2" t="s">
        <v>15121</v>
      </c>
      <c r="B7835" s="2" t="s">
        <v>15122</v>
      </c>
      <c r="C7835" s="2" t="s">
        <v>61</v>
      </c>
      <c r="D7835" s="2" t="s">
        <v>17</v>
      </c>
      <c r="E7835" s="5">
        <v>-28158</v>
      </c>
      <c r="F7835" s="3" t="s">
        <v>590</v>
      </c>
      <c r="G7835" s="3" t="s">
        <v>63</v>
      </c>
      <c r="H7835" s="2" t="s">
        <v>20</v>
      </c>
      <c r="I7835" s="2" t="s">
        <v>15123</v>
      </c>
      <c r="J7835" s="3" t="str">
        <f>HYPERLINK("https://www.boe.es/gazeta/dias/1822/11/26/pdfs/GMD-1822-346.pdf#page=6","Abrir facsímil")</f>
        <v>Abrir facsímil</v>
      </c>
      <c r="K7835" s="3" t="s">
        <v>22</v>
      </c>
    </row>
    <row r="7836" spans="1:11" ht="42" customHeight="1">
      <c r="A7836" s="2" t="s">
        <v>15124</v>
      </c>
      <c r="B7836" s="2" t="s">
        <v>15125</v>
      </c>
      <c r="C7836" s="2" t="s">
        <v>28</v>
      </c>
      <c r="D7836" s="2" t="s">
        <v>29</v>
      </c>
      <c r="E7836" s="5">
        <v>-28427</v>
      </c>
      <c r="F7836" s="3" t="s">
        <v>755</v>
      </c>
      <c r="G7836" s="3" t="s">
        <v>31</v>
      </c>
      <c r="H7836" s="2" t="s">
        <v>45</v>
      </c>
      <c r="I7836" s="2" t="s">
        <v>15126</v>
      </c>
      <c r="J7836" s="3" t="str">
        <f>HYPERLINK("https://www.boe.es/gazeta/dias/1822/03/02/pdfs/GMD-1822-63.pdf#page=3","Abrir facsímil")</f>
        <v>Abrir facsímil</v>
      </c>
      <c r="K7836" s="3" t="s">
        <v>47</v>
      </c>
    </row>
    <row r="7837" spans="1:11" ht="42" customHeight="1">
      <c r="A7837" s="2" t="s">
        <v>15124</v>
      </c>
      <c r="B7837" s="2" t="s">
        <v>15125</v>
      </c>
      <c r="C7837" s="2" t="s">
        <v>28</v>
      </c>
      <c r="D7837" s="2" t="s">
        <v>29</v>
      </c>
      <c r="E7837" s="5">
        <v>-28189</v>
      </c>
      <c r="F7837" s="3" t="s">
        <v>645</v>
      </c>
      <c r="G7837" s="3" t="s">
        <v>63</v>
      </c>
      <c r="H7837" s="2" t="s">
        <v>45</v>
      </c>
      <c r="I7837" s="2" t="s">
        <v>15127</v>
      </c>
      <c r="J7837" s="3" t="str">
        <f>HYPERLINK("https://www.boe.es/gazeta/dias/1822/10/26/pdfs/GMD-1822-313.pdf#page=6","Abrir facsímil")</f>
        <v>Abrir facsímil</v>
      </c>
      <c r="K7837" s="3" t="s">
        <v>47</v>
      </c>
    </row>
    <row r="7838" spans="1:11" ht="42" customHeight="1">
      <c r="A7838" s="2" t="s">
        <v>15124</v>
      </c>
      <c r="B7838" s="2" t="s">
        <v>15125</v>
      </c>
      <c r="C7838" s="2" t="s">
        <v>50</v>
      </c>
      <c r="D7838" s="2" t="s">
        <v>51</v>
      </c>
      <c r="E7838" s="5">
        <v>-28157</v>
      </c>
      <c r="F7838" s="3" t="s">
        <v>1492</v>
      </c>
      <c r="G7838" s="3" t="s">
        <v>63</v>
      </c>
      <c r="H7838" s="2" t="s">
        <v>45</v>
      </c>
      <c r="I7838" s="2" t="s">
        <v>15128</v>
      </c>
      <c r="J7838" s="3" t="str">
        <f>HYPERLINK("https://www.boe.es/gazeta/dias/1822/11/27/pdfs/GMD-1822-347.pdf#page=6","Abrir facsímil")</f>
        <v>Abrir facsímil</v>
      </c>
      <c r="K7838" s="3" t="s">
        <v>47</v>
      </c>
    </row>
    <row r="7839" spans="1:11" ht="42" customHeight="1">
      <c r="A7839" s="2" t="s">
        <v>15124</v>
      </c>
      <c r="B7839" s="2" t="s">
        <v>15125</v>
      </c>
      <c r="C7839" s="2" t="s">
        <v>28</v>
      </c>
      <c r="D7839" s="2" t="s">
        <v>29</v>
      </c>
      <c r="E7839" s="5">
        <v>-28130</v>
      </c>
      <c r="F7839" s="3" t="s">
        <v>34</v>
      </c>
      <c r="G7839" s="3" t="s">
        <v>63</v>
      </c>
      <c r="H7839" s="2" t="s">
        <v>45</v>
      </c>
      <c r="I7839" s="2" t="s">
        <v>15129</v>
      </c>
      <c r="J7839" s="3" t="str">
        <f>HYPERLINK("https://www.boe.es/gazeta/dias/1822/12/24/pdfs/GMD-1822-374.pdf#page=6","Abrir facsímil")</f>
        <v>Abrir facsímil</v>
      </c>
      <c r="K7839" s="3" t="s">
        <v>47</v>
      </c>
    </row>
    <row r="7840" spans="1:11" ht="42" customHeight="1">
      <c r="A7840" s="2" t="s">
        <v>15124</v>
      </c>
      <c r="B7840" s="2" t="s">
        <v>15125</v>
      </c>
      <c r="C7840" s="2" t="s">
        <v>50</v>
      </c>
      <c r="D7840" s="2" t="s">
        <v>51</v>
      </c>
      <c r="E7840" s="5">
        <v>-28124</v>
      </c>
      <c r="F7840" s="3" t="s">
        <v>301</v>
      </c>
      <c r="G7840" s="3" t="s">
        <v>63</v>
      </c>
      <c r="H7840" s="2" t="s">
        <v>45</v>
      </c>
      <c r="I7840" s="2" t="s">
        <v>15130</v>
      </c>
      <c r="J7840" s="3" t="str">
        <f>HYPERLINK("https://www.boe.es/gazeta/dias/1822/12/30/pdfs/GMD-1822-380.pdf#page=6","Abrir facsímil")</f>
        <v>Abrir facsímil</v>
      </c>
      <c r="K7840" s="3" t="s">
        <v>47</v>
      </c>
    </row>
    <row r="7841" spans="1:11" ht="42" customHeight="1">
      <c r="A7841" s="2" t="s">
        <v>15131</v>
      </c>
      <c r="B7841" s="2" t="s">
        <v>15131</v>
      </c>
      <c r="C7841" s="2" t="s">
        <v>50</v>
      </c>
      <c r="D7841" s="2" t="s">
        <v>51</v>
      </c>
      <c r="E7841" s="5">
        <v>-28447</v>
      </c>
      <c r="F7841" s="3" t="s">
        <v>997</v>
      </c>
      <c r="G7841" s="3" t="s">
        <v>31</v>
      </c>
      <c r="H7841" s="2" t="s">
        <v>20</v>
      </c>
      <c r="I7841" s="2" t="s">
        <v>15132</v>
      </c>
      <c r="J7841" s="3" t="str">
        <f>HYPERLINK("https://www.boe.es/gazeta/dias/1822/02/10/pdfs/GMD-1822-41.pdf#page=3","Abrir facsímil")</f>
        <v>Abrir facsímil</v>
      </c>
      <c r="K7841" s="3" t="s">
        <v>22</v>
      </c>
    </row>
    <row r="7842" spans="1:11" ht="42" customHeight="1">
      <c r="A7842" s="2" t="s">
        <v>15133</v>
      </c>
      <c r="B7842" s="2" t="s">
        <v>15134</v>
      </c>
      <c r="C7842" s="2" t="s">
        <v>16</v>
      </c>
      <c r="D7842" s="2" t="s">
        <v>17</v>
      </c>
      <c r="E7842" s="5">
        <v>-28152</v>
      </c>
      <c r="F7842" s="3" t="s">
        <v>122</v>
      </c>
      <c r="G7842" s="3" t="s">
        <v>19</v>
      </c>
      <c r="H7842" s="2" t="s">
        <v>20</v>
      </c>
      <c r="I7842" s="2" t="s">
        <v>15135</v>
      </c>
      <c r="J7842" s="3" t="str">
        <f>HYPERLINK("https://www.boe.es/gazeta/dias/1822/12/02/pdfs/GMD-1822-352.pdf#page=5","Abrir facsímil")</f>
        <v>Abrir facsímil</v>
      </c>
      <c r="K7842" s="3" t="s">
        <v>22</v>
      </c>
    </row>
    <row r="7843" spans="1:11" ht="42" customHeight="1">
      <c r="A7843" s="2" t="s">
        <v>15136</v>
      </c>
      <c r="B7843" s="2" t="s">
        <v>15136</v>
      </c>
      <c r="C7843" s="2" t="s">
        <v>24</v>
      </c>
      <c r="D7843" s="2" t="s">
        <v>17</v>
      </c>
      <c r="E7843" s="5">
        <v>-28139</v>
      </c>
      <c r="F7843" s="3" t="s">
        <v>143</v>
      </c>
      <c r="G7843" s="3" t="s">
        <v>144</v>
      </c>
      <c r="H7843" s="2" t="s">
        <v>20</v>
      </c>
      <c r="I7843" s="2" t="s">
        <v>15137</v>
      </c>
      <c r="J7843" s="3" t="str">
        <f>HYPERLINK("https://www.boe.es/gazeta/dias/1822/12/15/pdfs/GMD-1822-365.pdf#page=4","Abrir facsímil")</f>
        <v>Abrir facsímil</v>
      </c>
      <c r="K7843" s="3" t="s">
        <v>22</v>
      </c>
    </row>
    <row r="7844" spans="1:11" ht="42" customHeight="1">
      <c r="A7844" s="2" t="s">
        <v>15138</v>
      </c>
      <c r="B7844" s="2" t="s">
        <v>15139</v>
      </c>
      <c r="C7844" s="2" t="s">
        <v>42</v>
      </c>
      <c r="D7844" s="2" t="s">
        <v>17</v>
      </c>
      <c r="E7844" s="5">
        <v>-28395</v>
      </c>
      <c r="F7844" s="3" t="s">
        <v>237</v>
      </c>
      <c r="G7844" s="3" t="s">
        <v>57</v>
      </c>
      <c r="H7844" s="2" t="s">
        <v>20</v>
      </c>
      <c r="I7844" s="2" t="s">
        <v>15140</v>
      </c>
      <c r="J7844" s="3" t="str">
        <f>HYPERLINK("https://www.boe.es/gazeta/dias/1822/04/03/pdfs/GMD-1822-95.pdf#page=4","Abrir facsímil")</f>
        <v>Abrir facsímil</v>
      </c>
      <c r="K7844" s="3" t="s">
        <v>22</v>
      </c>
    </row>
    <row r="7845" spans="1:11" ht="42" customHeight="1">
      <c r="A7845" s="2" t="s">
        <v>15141</v>
      </c>
      <c r="B7845" s="2" t="s">
        <v>15142</v>
      </c>
      <c r="C7845" s="2" t="s">
        <v>50</v>
      </c>
      <c r="D7845" s="2" t="s">
        <v>51</v>
      </c>
      <c r="E7845" s="5">
        <v>-28265</v>
      </c>
      <c r="F7845" s="3" t="s">
        <v>1263</v>
      </c>
      <c r="G7845" s="3" t="s">
        <v>57</v>
      </c>
      <c r="H7845" s="2" t="s">
        <v>20</v>
      </c>
      <c r="I7845" s="2" t="s">
        <v>15143</v>
      </c>
      <c r="J7845" s="3" t="str">
        <f>HYPERLINK("https://www.boe.es/gazeta/dias/1822/08/11/pdfs/GMD-1822-235.pdf#page=4","Abrir facsímil")</f>
        <v>Abrir facsímil</v>
      </c>
      <c r="K7845" s="3" t="s">
        <v>22</v>
      </c>
    </row>
    <row r="7846" spans="1:11" ht="42" customHeight="1">
      <c r="A7846" s="2" t="s">
        <v>15144</v>
      </c>
      <c r="B7846" s="2" t="s">
        <v>15145</v>
      </c>
      <c r="C7846" s="2" t="s">
        <v>71</v>
      </c>
      <c r="D7846" s="2" t="s">
        <v>17</v>
      </c>
      <c r="E7846" s="5">
        <v>-28483</v>
      </c>
      <c r="F7846" s="3" t="s">
        <v>254</v>
      </c>
      <c r="G7846" s="3" t="s">
        <v>44</v>
      </c>
      <c r="H7846" s="2" t="s">
        <v>20</v>
      </c>
      <c r="I7846" s="2" t="s">
        <v>15146</v>
      </c>
      <c r="J7846" s="3" t="str">
        <f>HYPERLINK("https://www.boe.es/gazeta/dias/1822/01/05/pdfs/GMD-1822-5.pdf#page=1","Abrir facsímil")</f>
        <v>Abrir facsímil</v>
      </c>
      <c r="K7846" s="3" t="s">
        <v>22</v>
      </c>
    </row>
    <row r="7847" spans="1:11" ht="42" customHeight="1">
      <c r="A7847" s="2" t="s">
        <v>15147</v>
      </c>
      <c r="B7847" s="2" t="s">
        <v>15148</v>
      </c>
      <c r="C7847" s="2" t="s">
        <v>24</v>
      </c>
      <c r="D7847" s="2" t="s">
        <v>17</v>
      </c>
      <c r="E7847" s="5">
        <v>-28306</v>
      </c>
      <c r="F7847" s="3" t="s">
        <v>348</v>
      </c>
      <c r="G7847" s="3" t="s">
        <v>57</v>
      </c>
      <c r="H7847" s="2" t="s">
        <v>20</v>
      </c>
      <c r="I7847" s="2" t="s">
        <v>15149</v>
      </c>
      <c r="J7847" s="3" t="str">
        <f>HYPERLINK("https://www.boe.es/gazeta/dias/1822/07/01/pdfs/GMD-1822-190.pdf#page=4","Abrir facsímil")</f>
        <v>Abrir facsímil</v>
      </c>
      <c r="K7847" s="3" t="s">
        <v>22</v>
      </c>
    </row>
    <row r="7848" spans="1:11" ht="42" customHeight="1">
      <c r="A7848" s="2" t="s">
        <v>15150</v>
      </c>
      <c r="B7848" s="2" t="s">
        <v>15151</v>
      </c>
      <c r="C7848" s="2" t="s">
        <v>50</v>
      </c>
      <c r="D7848" s="2" t="s">
        <v>51</v>
      </c>
      <c r="E7848" s="5">
        <v>-28358</v>
      </c>
      <c r="F7848" s="3" t="s">
        <v>211</v>
      </c>
      <c r="G7848" s="3" t="s">
        <v>157</v>
      </c>
      <c r="H7848" s="2" t="s">
        <v>20</v>
      </c>
      <c r="I7848" s="2" t="s">
        <v>15152</v>
      </c>
      <c r="J7848" s="3" t="str">
        <f>HYPERLINK("https://www.boe.es/gazeta/dias/1822/05/10/pdfs/GMD-1822-132.pdf#page=8","Abrir facsímil")</f>
        <v>Abrir facsímil</v>
      </c>
      <c r="K7848" s="3" t="s">
        <v>22</v>
      </c>
    </row>
    <row r="7849" spans="1:11" ht="42" customHeight="1">
      <c r="A7849" s="2" t="s">
        <v>15153</v>
      </c>
      <c r="B7849" s="2" t="s">
        <v>15154</v>
      </c>
      <c r="C7849" s="2" t="s">
        <v>50</v>
      </c>
      <c r="D7849" s="2" t="s">
        <v>51</v>
      </c>
      <c r="E7849" s="5">
        <v>-28234</v>
      </c>
      <c r="F7849" s="3" t="s">
        <v>1331</v>
      </c>
      <c r="G7849" s="3" t="s">
        <v>35</v>
      </c>
      <c r="H7849" s="2" t="s">
        <v>20</v>
      </c>
      <c r="I7849" s="2" t="s">
        <v>15155</v>
      </c>
      <c r="J7849" s="3" t="str">
        <f>HYPERLINK("https://www.boe.es/gazeta/dias/1822/09/11/pdfs/GMD-1822-267.pdf#page=2","Abrir facsímil")</f>
        <v>Abrir facsímil</v>
      </c>
      <c r="K7849" s="3" t="s">
        <v>22</v>
      </c>
    </row>
    <row r="7850" spans="1:11" ht="42" customHeight="1">
      <c r="A7850" s="2" t="s">
        <v>15156</v>
      </c>
      <c r="B7850" s="2" t="s">
        <v>15157</v>
      </c>
      <c r="C7850" s="2" t="s">
        <v>42</v>
      </c>
      <c r="D7850" s="2" t="s">
        <v>17</v>
      </c>
      <c r="E7850" s="5">
        <v>-28382</v>
      </c>
      <c r="F7850" s="3" t="s">
        <v>973</v>
      </c>
      <c r="G7850" s="3" t="s">
        <v>63</v>
      </c>
      <c r="H7850" s="2" t="s">
        <v>20</v>
      </c>
      <c r="I7850" s="2" t="s">
        <v>15158</v>
      </c>
      <c r="J7850" s="3" t="str">
        <f>HYPERLINK("https://www.boe.es/gazeta/dias/1822/04/16/pdfs/GMD-1822-108.pdf#page=6","Abrir facsímil")</f>
        <v>Abrir facsímil</v>
      </c>
      <c r="K7850" s="3" t="s">
        <v>22</v>
      </c>
    </row>
    <row r="7851" spans="1:11" ht="42" customHeight="1">
      <c r="A7851" s="2" t="s">
        <v>15159</v>
      </c>
      <c r="B7851" s="2" t="s">
        <v>15160</v>
      </c>
      <c r="C7851" s="2" t="s">
        <v>50</v>
      </c>
      <c r="D7851" s="2" t="s">
        <v>51</v>
      </c>
      <c r="E7851" s="5">
        <v>-28367</v>
      </c>
      <c r="F7851" s="3" t="s">
        <v>280</v>
      </c>
      <c r="G7851" s="3" t="s">
        <v>44</v>
      </c>
      <c r="H7851" s="2" t="s">
        <v>20</v>
      </c>
      <c r="I7851" s="2" t="s">
        <v>15161</v>
      </c>
      <c r="J7851" s="3" t="str">
        <f>HYPERLINK("https://www.boe.es/gazeta/dias/1822/05/01/pdfs/GMD-1822-123.pdf#page=1","Abrir facsímil")</f>
        <v>Abrir facsímil</v>
      </c>
      <c r="K7851" s="3" t="s">
        <v>22</v>
      </c>
    </row>
    <row r="7852" spans="1:11" ht="42" customHeight="1">
      <c r="A7852" s="2" t="s">
        <v>15162</v>
      </c>
      <c r="B7852" s="2" t="s">
        <v>15163</v>
      </c>
      <c r="C7852" s="2" t="s">
        <v>50</v>
      </c>
      <c r="D7852" s="2" t="s">
        <v>51</v>
      </c>
      <c r="E7852" s="5">
        <v>-28303</v>
      </c>
      <c r="F7852" s="3" t="s">
        <v>201</v>
      </c>
      <c r="G7852" s="3" t="s">
        <v>31</v>
      </c>
      <c r="H7852" s="2" t="s">
        <v>20</v>
      </c>
      <c r="I7852" s="2" t="s">
        <v>15164</v>
      </c>
      <c r="J7852" s="3" t="str">
        <f>HYPERLINK("https://www.boe.es/gazeta/dias/1822/07/04/pdfs/GMD-1822-193.pdf#page=3","Abrir facsímil")</f>
        <v>Abrir facsímil</v>
      </c>
      <c r="K7852" s="3" t="s">
        <v>22</v>
      </c>
    </row>
    <row r="7853" spans="1:11" ht="42" customHeight="1">
      <c r="A7853" s="2" t="s">
        <v>15165</v>
      </c>
      <c r="B7853" s="2" t="s">
        <v>15166</v>
      </c>
      <c r="C7853" s="2" t="s">
        <v>42</v>
      </c>
      <c r="D7853" s="2" t="s">
        <v>17</v>
      </c>
      <c r="E7853" s="5">
        <v>-28258</v>
      </c>
      <c r="F7853" s="3" t="s">
        <v>88</v>
      </c>
      <c r="G7853" s="3" t="s">
        <v>31</v>
      </c>
      <c r="H7853" s="2" t="s">
        <v>20</v>
      </c>
      <c r="I7853" s="2" t="s">
        <v>15167</v>
      </c>
      <c r="J7853" s="3" t="str">
        <f>HYPERLINK("https://www.boe.es/gazeta/dias/1822/08/18/pdfs/GMD-1822-242.pdf#page=3","Abrir facsímil")</f>
        <v>Abrir facsímil</v>
      </c>
      <c r="K7853" s="3" t="s">
        <v>22</v>
      </c>
    </row>
    <row r="7854" spans="1:11" ht="42" customHeight="1">
      <c r="A7854" s="2" t="s">
        <v>15168</v>
      </c>
      <c r="B7854" s="2" t="s">
        <v>15168</v>
      </c>
      <c r="C7854" s="2" t="s">
        <v>42</v>
      </c>
      <c r="D7854" s="2" t="s">
        <v>17</v>
      </c>
      <c r="E7854" s="5">
        <v>-28414</v>
      </c>
      <c r="F7854" s="3" t="s">
        <v>187</v>
      </c>
      <c r="G7854" s="3" t="s">
        <v>19</v>
      </c>
      <c r="H7854" s="2" t="s">
        <v>20</v>
      </c>
      <c r="I7854" s="2" t="s">
        <v>15169</v>
      </c>
      <c r="J7854" s="3" t="str">
        <f>HYPERLINK("https://www.boe.es/gazeta/dias/1822/03/15/pdfs/GMD-1822-76.pdf#page=5","Abrir facsímil")</f>
        <v>Abrir facsímil</v>
      </c>
      <c r="K7854" s="3" t="s">
        <v>22</v>
      </c>
    </row>
    <row r="7855" spans="1:11" ht="42" customHeight="1">
      <c r="A7855" s="2" t="s">
        <v>15170</v>
      </c>
      <c r="B7855" s="2" t="s">
        <v>15171</v>
      </c>
      <c r="C7855" s="2" t="s">
        <v>28</v>
      </c>
      <c r="D7855" s="2" t="s">
        <v>29</v>
      </c>
      <c r="E7855" s="5">
        <v>-28387</v>
      </c>
      <c r="F7855" s="3" t="s">
        <v>2874</v>
      </c>
      <c r="G7855" s="3" t="s">
        <v>31</v>
      </c>
      <c r="H7855" s="2" t="s">
        <v>20</v>
      </c>
      <c r="I7855" s="2" t="s">
        <v>15172</v>
      </c>
      <c r="J7855" s="3" t="str">
        <f>HYPERLINK("https://www.boe.es/gazeta/dias/1822/04/11/pdfs/GMD-1822-103.pdf#page=3","Abrir facsímil")</f>
        <v>Abrir facsímil</v>
      </c>
      <c r="K7855" s="3" t="s">
        <v>22</v>
      </c>
    </row>
    <row r="7856" spans="1:11" ht="42" customHeight="1">
      <c r="A7856" s="2" t="s">
        <v>15173</v>
      </c>
      <c r="B7856" s="2" t="s">
        <v>15173</v>
      </c>
      <c r="C7856" s="2" t="s">
        <v>71</v>
      </c>
      <c r="D7856" s="2" t="s">
        <v>17</v>
      </c>
      <c r="E7856" s="5">
        <v>-28468</v>
      </c>
      <c r="F7856" s="3" t="s">
        <v>1012</v>
      </c>
      <c r="G7856" s="3" t="s">
        <v>63</v>
      </c>
      <c r="H7856" s="2" t="s">
        <v>20</v>
      </c>
      <c r="I7856" s="2" t="s">
        <v>15174</v>
      </c>
      <c r="J7856" s="3" t="str">
        <f>HYPERLINK("https://www.boe.es/gazeta/dias/1822/01/20/pdfs/GMD-1822-20.pdf#page=6","Abrir facsímil")</f>
        <v>Abrir facsímil</v>
      </c>
      <c r="K7856" s="3" t="s">
        <v>22</v>
      </c>
    </row>
    <row r="7857" spans="1:11" ht="42" customHeight="1">
      <c r="A7857" s="2" t="s">
        <v>15175</v>
      </c>
      <c r="B7857" s="2" t="s">
        <v>15175</v>
      </c>
      <c r="C7857" s="2" t="s">
        <v>42</v>
      </c>
      <c r="D7857" s="2" t="s">
        <v>17</v>
      </c>
      <c r="E7857" s="5">
        <v>-28308</v>
      </c>
      <c r="F7857" s="3" t="s">
        <v>1050</v>
      </c>
      <c r="G7857" s="3" t="s">
        <v>35</v>
      </c>
      <c r="H7857" s="2" t="s">
        <v>20</v>
      </c>
      <c r="I7857" s="2" t="s">
        <v>15176</v>
      </c>
      <c r="J7857" s="3" t="str">
        <f>HYPERLINK("https://www.boe.es/gazeta/dias/1822/06/29/pdfs/GMD-1822-187.pdf#page=2","Abrir facsímil")</f>
        <v>Abrir facsímil</v>
      </c>
      <c r="K7857" s="3" t="s">
        <v>22</v>
      </c>
    </row>
    <row r="7858" spans="1:11" ht="42" customHeight="1">
      <c r="A7858" s="2" t="s">
        <v>15177</v>
      </c>
      <c r="B7858" s="2" t="s">
        <v>15178</v>
      </c>
      <c r="C7858" s="2" t="s">
        <v>50</v>
      </c>
      <c r="D7858" s="2" t="s">
        <v>51</v>
      </c>
      <c r="E7858" s="5">
        <v>-28385</v>
      </c>
      <c r="F7858" s="3" t="s">
        <v>484</v>
      </c>
      <c r="G7858" s="3" t="s">
        <v>35</v>
      </c>
      <c r="H7858" s="2" t="s">
        <v>20</v>
      </c>
      <c r="I7858" s="2" t="s">
        <v>15179</v>
      </c>
      <c r="J7858" s="3" t="str">
        <f>HYPERLINK("https://www.boe.es/gazeta/dias/1822/04/13/pdfs/GMD-1822-105.pdf#page=2","Abrir facsímil")</f>
        <v>Abrir facsímil</v>
      </c>
      <c r="K7858" s="3" t="s">
        <v>22</v>
      </c>
    </row>
    <row r="7859" spans="1:11" ht="42" customHeight="1">
      <c r="A7859" s="2" t="s">
        <v>15177</v>
      </c>
      <c r="B7859" s="2" t="s">
        <v>15178</v>
      </c>
      <c r="C7859" s="2" t="s">
        <v>50</v>
      </c>
      <c r="D7859" s="2" t="s">
        <v>51</v>
      </c>
      <c r="E7859" s="5">
        <v>-28271</v>
      </c>
      <c r="F7859" s="3" t="s">
        <v>4942</v>
      </c>
      <c r="G7859" s="3" t="s">
        <v>57</v>
      </c>
      <c r="H7859" s="2" t="s">
        <v>20</v>
      </c>
      <c r="I7859" s="2" t="s">
        <v>15180</v>
      </c>
      <c r="J7859" s="3" t="str">
        <f>HYPERLINK("https://www.boe.es/gazeta/dias/1822/08/05/pdfs/GMD-1822-229.pdf#page=4","Abrir facsímil")</f>
        <v>Abrir facsímil</v>
      </c>
      <c r="K7859" s="3" t="s">
        <v>22</v>
      </c>
    </row>
    <row r="7860" spans="1:11" ht="42" customHeight="1">
      <c r="A7860" s="2" t="s">
        <v>15181</v>
      </c>
      <c r="B7860" s="2" t="s">
        <v>15181</v>
      </c>
      <c r="C7860" s="2" t="s">
        <v>71</v>
      </c>
      <c r="D7860" s="2" t="s">
        <v>17</v>
      </c>
      <c r="E7860" s="5">
        <v>-28449</v>
      </c>
      <c r="F7860" s="3" t="s">
        <v>1342</v>
      </c>
      <c r="G7860" s="3" t="s">
        <v>57</v>
      </c>
      <c r="H7860" s="2" t="s">
        <v>20</v>
      </c>
      <c r="I7860" s="2" t="s">
        <v>15182</v>
      </c>
      <c r="J7860" s="3" t="str">
        <f>HYPERLINK("https://www.boe.es/gazeta/dias/1822/02/08/pdfs/GMD-1822-39.pdf#page=4","Abrir facsímil")</f>
        <v>Abrir facsímil</v>
      </c>
      <c r="K7860" s="3" t="s">
        <v>22</v>
      </c>
    </row>
    <row r="7861" spans="1:11" ht="42" customHeight="1">
      <c r="A7861" s="2" t="s">
        <v>15183</v>
      </c>
      <c r="B7861" s="2" t="s">
        <v>15183</v>
      </c>
      <c r="C7861" s="2" t="s">
        <v>71</v>
      </c>
      <c r="D7861" s="2" t="s">
        <v>17</v>
      </c>
      <c r="E7861" s="5">
        <v>-28457</v>
      </c>
      <c r="F7861" s="3" t="s">
        <v>1655</v>
      </c>
      <c r="G7861" s="3" t="s">
        <v>35</v>
      </c>
      <c r="H7861" s="2" t="s">
        <v>20</v>
      </c>
      <c r="I7861" s="2" t="s">
        <v>15184</v>
      </c>
      <c r="J7861" s="3" t="str">
        <f>HYPERLINK("https://www.boe.es/gazeta/dias/1822/01/31/pdfs/GMD-1822-31.pdf#page=2","Abrir facsímil")</f>
        <v>Abrir facsímil</v>
      </c>
      <c r="K7861" s="3" t="s">
        <v>22</v>
      </c>
    </row>
    <row r="7862" spans="1:11" ht="42" customHeight="1">
      <c r="A7862" s="2" t="s">
        <v>15183</v>
      </c>
      <c r="B7862" s="2" t="s">
        <v>15183</v>
      </c>
      <c r="C7862" s="2" t="s">
        <v>50</v>
      </c>
      <c r="D7862" s="2" t="s">
        <v>51</v>
      </c>
      <c r="E7862" s="5">
        <v>-28450</v>
      </c>
      <c r="F7862" s="3" t="s">
        <v>1450</v>
      </c>
      <c r="G7862" s="3" t="s">
        <v>31</v>
      </c>
      <c r="H7862" s="2" t="s">
        <v>20</v>
      </c>
      <c r="I7862" s="2" t="s">
        <v>15185</v>
      </c>
      <c r="J7862" s="3" t="str">
        <f>HYPERLINK("https://www.boe.es/gazeta/dias/1822/02/07/pdfs/GMD-1822-38.pdf#page=3","Abrir facsímil")</f>
        <v>Abrir facsímil</v>
      </c>
      <c r="K7862" s="3" t="s">
        <v>22</v>
      </c>
    </row>
    <row r="7863" spans="1:11" ht="42" customHeight="1">
      <c r="A7863" s="2" t="s">
        <v>15183</v>
      </c>
      <c r="B7863" s="2" t="s">
        <v>15183</v>
      </c>
      <c r="C7863" s="2" t="s">
        <v>28</v>
      </c>
      <c r="D7863" s="2" t="s">
        <v>29</v>
      </c>
      <c r="E7863" s="5">
        <v>-28449</v>
      </c>
      <c r="F7863" s="3" t="s">
        <v>1342</v>
      </c>
      <c r="G7863" s="3" t="s">
        <v>31</v>
      </c>
      <c r="H7863" s="2" t="s">
        <v>20</v>
      </c>
      <c r="I7863" s="2" t="s">
        <v>15186</v>
      </c>
      <c r="J7863" s="3" t="str">
        <f>HYPERLINK("https://www.boe.es/gazeta/dias/1822/02/08/pdfs/GMD-1822-39.pdf#page=3","Abrir facsímil")</f>
        <v>Abrir facsímil</v>
      </c>
      <c r="K7863" s="3" t="s">
        <v>22</v>
      </c>
    </row>
    <row r="7864" spans="1:11" ht="42" customHeight="1">
      <c r="A7864" s="2" t="s">
        <v>15183</v>
      </c>
      <c r="B7864" s="2" t="s">
        <v>15183</v>
      </c>
      <c r="C7864" s="2" t="s">
        <v>28</v>
      </c>
      <c r="D7864" s="2" t="s">
        <v>29</v>
      </c>
      <c r="E7864" s="5">
        <v>-28447</v>
      </c>
      <c r="F7864" s="3" t="s">
        <v>997</v>
      </c>
      <c r="G7864" s="3" t="s">
        <v>35</v>
      </c>
      <c r="H7864" s="2" t="s">
        <v>20</v>
      </c>
      <c r="I7864" s="2" t="s">
        <v>15187</v>
      </c>
      <c r="J7864" s="3" t="str">
        <f>HYPERLINK("https://www.boe.es/gazeta/dias/1822/02/10/pdfs/GMD-1822-41.pdf#page=2","Abrir facsímil")</f>
        <v>Abrir facsímil</v>
      </c>
      <c r="K7864" s="3" t="s">
        <v>22</v>
      </c>
    </row>
    <row r="7865" spans="1:11" ht="42" customHeight="1">
      <c r="A7865" s="2" t="s">
        <v>15183</v>
      </c>
      <c r="B7865" s="2" t="s">
        <v>15183</v>
      </c>
      <c r="C7865" s="2" t="s">
        <v>24</v>
      </c>
      <c r="D7865" s="2" t="s">
        <v>17</v>
      </c>
      <c r="E7865" s="5">
        <v>-28445</v>
      </c>
      <c r="F7865" s="3" t="s">
        <v>1622</v>
      </c>
      <c r="G7865" s="3" t="s">
        <v>44</v>
      </c>
      <c r="H7865" s="2" t="s">
        <v>20</v>
      </c>
      <c r="I7865" s="2" t="s">
        <v>15188</v>
      </c>
      <c r="J7865" s="3" t="str">
        <f>HYPERLINK("https://www.boe.es/gazeta/dias/1822/02/12/pdfs/GMD-1822-43.pdf#page=1","Abrir facsímil")</f>
        <v>Abrir facsímil</v>
      </c>
      <c r="K7865" s="3" t="s">
        <v>22</v>
      </c>
    </row>
    <row r="7866" spans="1:11" ht="42" customHeight="1">
      <c r="A7866" s="2" t="s">
        <v>15189</v>
      </c>
      <c r="B7866" s="2" t="s">
        <v>15189</v>
      </c>
      <c r="C7866" s="2" t="s">
        <v>16</v>
      </c>
      <c r="D7866" s="2" t="s">
        <v>17</v>
      </c>
      <c r="E7866" s="5">
        <v>-28483</v>
      </c>
      <c r="F7866" s="3" t="s">
        <v>254</v>
      </c>
      <c r="G7866" s="3" t="s">
        <v>57</v>
      </c>
      <c r="H7866" s="2" t="s">
        <v>20</v>
      </c>
      <c r="I7866" s="2" t="s">
        <v>15190</v>
      </c>
      <c r="J7866" s="3" t="str">
        <f>HYPERLINK("https://www.boe.es/gazeta/dias/1822/01/05/pdfs/GMD-1822-5.pdf#page=4","Abrir facsímil")</f>
        <v>Abrir facsímil</v>
      </c>
      <c r="K7866" s="3" t="s">
        <v>22</v>
      </c>
    </row>
    <row r="7867" spans="1:11" ht="42" customHeight="1">
      <c r="A7867" s="2" t="s">
        <v>15189</v>
      </c>
      <c r="B7867" s="2" t="s">
        <v>15189</v>
      </c>
      <c r="C7867" s="2" t="s">
        <v>50</v>
      </c>
      <c r="D7867" s="2" t="s">
        <v>51</v>
      </c>
      <c r="E7867" s="5">
        <v>-28447</v>
      </c>
      <c r="F7867" s="3" t="s">
        <v>997</v>
      </c>
      <c r="G7867" s="3" t="s">
        <v>31</v>
      </c>
      <c r="H7867" s="2" t="s">
        <v>20</v>
      </c>
      <c r="I7867" s="2" t="s">
        <v>15191</v>
      </c>
      <c r="J7867" s="3" t="str">
        <f>HYPERLINK("https://www.boe.es/gazeta/dias/1822/02/10/pdfs/GMD-1822-41.pdf#page=3","Abrir facsímil")</f>
        <v>Abrir facsímil</v>
      </c>
      <c r="K7867" s="3" t="s">
        <v>22</v>
      </c>
    </row>
    <row r="7868" spans="1:11" ht="42" customHeight="1">
      <c r="A7868" s="2" t="s">
        <v>15189</v>
      </c>
      <c r="B7868" s="2" t="s">
        <v>15189</v>
      </c>
      <c r="C7868" s="2" t="s">
        <v>71</v>
      </c>
      <c r="D7868" s="2" t="s">
        <v>17</v>
      </c>
      <c r="E7868" s="5">
        <v>-28447</v>
      </c>
      <c r="F7868" s="3" t="s">
        <v>997</v>
      </c>
      <c r="G7868" s="3" t="s">
        <v>57</v>
      </c>
      <c r="H7868" s="2" t="s">
        <v>20</v>
      </c>
      <c r="I7868" s="2" t="s">
        <v>15192</v>
      </c>
      <c r="J7868" s="3" t="str">
        <f>HYPERLINK("https://www.boe.es/gazeta/dias/1822/02/10/pdfs/GMD-1822-41.pdf#page=4","Abrir facsímil")</f>
        <v>Abrir facsímil</v>
      </c>
      <c r="K7868" s="3" t="s">
        <v>22</v>
      </c>
    </row>
    <row r="7869" spans="1:11" ht="42" customHeight="1">
      <c r="A7869" s="2" t="s">
        <v>15193</v>
      </c>
      <c r="B7869" s="2" t="s">
        <v>15193</v>
      </c>
      <c r="C7869" s="2" t="s">
        <v>42</v>
      </c>
      <c r="D7869" s="2" t="s">
        <v>17</v>
      </c>
      <c r="E7869" s="5">
        <v>-28134</v>
      </c>
      <c r="F7869" s="3" t="s">
        <v>620</v>
      </c>
      <c r="G7869" s="3" t="s">
        <v>44</v>
      </c>
      <c r="H7869" s="2" t="s">
        <v>20</v>
      </c>
      <c r="I7869" s="2" t="s">
        <v>15194</v>
      </c>
      <c r="J7869" s="3" t="str">
        <f>HYPERLINK("https://www.boe.es/gazeta/dias/1822/12/20/pdfs/GMD-1822-370.pdf#page=1","Abrir facsímil")</f>
        <v>Abrir facsímil</v>
      </c>
      <c r="K7869" s="3" t="s">
        <v>22</v>
      </c>
    </row>
    <row r="7870" spans="1:11" ht="42" customHeight="1">
      <c r="A7870" s="2" t="s">
        <v>15195</v>
      </c>
      <c r="B7870" s="2" t="s">
        <v>15195</v>
      </c>
      <c r="C7870" s="2" t="s">
        <v>50</v>
      </c>
      <c r="D7870" s="2" t="s">
        <v>51</v>
      </c>
      <c r="E7870" s="5">
        <v>-28449</v>
      </c>
      <c r="F7870" s="3" t="s">
        <v>1342</v>
      </c>
      <c r="G7870" s="3" t="s">
        <v>35</v>
      </c>
      <c r="H7870" s="2" t="s">
        <v>20</v>
      </c>
      <c r="I7870" s="2" t="s">
        <v>15196</v>
      </c>
      <c r="J7870" s="3" t="str">
        <f>HYPERLINK("https://www.boe.es/gazeta/dias/1822/02/08/pdfs/GMD-1822-39.pdf#page=2","Abrir facsímil")</f>
        <v>Abrir facsímil</v>
      </c>
      <c r="K7870" s="3" t="s">
        <v>22</v>
      </c>
    </row>
    <row r="7871" spans="1:11" ht="42" customHeight="1">
      <c r="A7871" s="2" t="s">
        <v>15197</v>
      </c>
      <c r="B7871" s="2" t="s">
        <v>15197</v>
      </c>
      <c r="C7871" s="2" t="s">
        <v>50</v>
      </c>
      <c r="D7871" s="2" t="s">
        <v>51</v>
      </c>
      <c r="E7871" s="5">
        <v>-28383</v>
      </c>
      <c r="F7871" s="3" t="s">
        <v>488</v>
      </c>
      <c r="G7871" s="3" t="s">
        <v>57</v>
      </c>
      <c r="H7871" s="2" t="s">
        <v>20</v>
      </c>
      <c r="I7871" s="2" t="s">
        <v>15198</v>
      </c>
      <c r="J7871" s="3" t="str">
        <f>HYPERLINK("https://www.boe.es/gazeta/dias/1822/04/15/pdfs/GMD-1822-107.pdf#page=4","Abrir facsímil")</f>
        <v>Abrir facsímil</v>
      </c>
      <c r="K7871" s="3" t="s">
        <v>22</v>
      </c>
    </row>
    <row r="7872" spans="1:11" ht="42" customHeight="1">
      <c r="A7872" s="2" t="s">
        <v>15199</v>
      </c>
      <c r="B7872" s="2" t="s">
        <v>15199</v>
      </c>
      <c r="C7872" s="2" t="s">
        <v>50</v>
      </c>
      <c r="D7872" s="2" t="s">
        <v>51</v>
      </c>
      <c r="E7872" s="5">
        <v>-28435</v>
      </c>
      <c r="F7872" s="3" t="s">
        <v>1710</v>
      </c>
      <c r="G7872" s="3" t="s">
        <v>35</v>
      </c>
      <c r="H7872" s="2" t="s">
        <v>20</v>
      </c>
      <c r="I7872" s="2" t="s">
        <v>15200</v>
      </c>
      <c r="J7872" s="3" t="str">
        <f>HYPERLINK("https://www.boe.es/gazeta/dias/1822/02/22/pdfs/GMD-1822-54.pdf#page=2","Abrir facsímil")</f>
        <v>Abrir facsímil</v>
      </c>
      <c r="K7872" s="3" t="s">
        <v>22</v>
      </c>
    </row>
    <row r="7873" spans="1:11" ht="42" customHeight="1">
      <c r="A7873" s="2" t="s">
        <v>15199</v>
      </c>
      <c r="B7873" s="2" t="s">
        <v>15199</v>
      </c>
      <c r="C7873" s="2" t="s">
        <v>50</v>
      </c>
      <c r="D7873" s="2" t="s">
        <v>51</v>
      </c>
      <c r="E7873" s="5">
        <v>-28339</v>
      </c>
      <c r="F7873" s="3" t="s">
        <v>197</v>
      </c>
      <c r="G7873" s="3" t="s">
        <v>57</v>
      </c>
      <c r="H7873" s="2" t="s">
        <v>20</v>
      </c>
      <c r="I7873" s="2" t="s">
        <v>15201</v>
      </c>
      <c r="J7873" s="3" t="str">
        <f>HYPERLINK("https://www.boe.es/gazeta/dias/1822/05/29/pdfs/GMD-1822-154.pdf#page=4","Abrir facsímil")</f>
        <v>Abrir facsímil</v>
      </c>
      <c r="K7873" s="3" t="s">
        <v>22</v>
      </c>
    </row>
    <row r="7874" spans="1:11" ht="42" customHeight="1">
      <c r="A7874" s="2" t="s">
        <v>15202</v>
      </c>
      <c r="B7874" s="2" t="s">
        <v>15203</v>
      </c>
      <c r="C7874" s="2" t="s">
        <v>50</v>
      </c>
      <c r="D7874" s="2" t="s">
        <v>51</v>
      </c>
      <c r="E7874" s="5">
        <v>-28163</v>
      </c>
      <c r="F7874" s="3" t="s">
        <v>891</v>
      </c>
      <c r="G7874" s="3" t="s">
        <v>63</v>
      </c>
      <c r="H7874" s="2" t="s">
        <v>20</v>
      </c>
      <c r="I7874" s="2" t="s">
        <v>15204</v>
      </c>
      <c r="J7874" s="3" t="str">
        <f>HYPERLINK("https://www.boe.es/gazeta/dias/1822/11/21/pdfs/GMD-1822-341.pdf#page=6","Abrir facsímil")</f>
        <v>Abrir facsímil</v>
      </c>
      <c r="K7874" s="3" t="s">
        <v>22</v>
      </c>
    </row>
    <row r="7875" spans="1:11" ht="42" customHeight="1">
      <c r="A7875" s="2" t="s">
        <v>15205</v>
      </c>
      <c r="B7875" s="2" t="s">
        <v>15205</v>
      </c>
      <c r="C7875" s="2" t="s">
        <v>28</v>
      </c>
      <c r="D7875" s="2" t="s">
        <v>29</v>
      </c>
      <c r="E7875" s="5">
        <v>-28475</v>
      </c>
      <c r="F7875" s="3" t="s">
        <v>1205</v>
      </c>
      <c r="G7875" s="3" t="s">
        <v>31</v>
      </c>
      <c r="H7875" s="2" t="s">
        <v>20</v>
      </c>
      <c r="I7875" s="2" t="s">
        <v>15206</v>
      </c>
      <c r="J7875" s="3" t="str">
        <f>HYPERLINK("https://www.boe.es/gazeta/dias/1822/01/13/pdfs/GMD-1822-13.pdf#page=3","Abrir facsímil")</f>
        <v>Abrir facsímil</v>
      </c>
      <c r="K7875" s="3" t="s">
        <v>22</v>
      </c>
    </row>
    <row r="7876" spans="1:11" ht="42" customHeight="1">
      <c r="A7876" s="2" t="s">
        <v>15207</v>
      </c>
      <c r="B7876" s="2" t="s">
        <v>15208</v>
      </c>
      <c r="C7876" s="2" t="s">
        <v>50</v>
      </c>
      <c r="D7876" s="2" t="s">
        <v>51</v>
      </c>
      <c r="E7876" s="5">
        <v>-28230</v>
      </c>
      <c r="F7876" s="3" t="s">
        <v>1735</v>
      </c>
      <c r="G7876" s="3" t="s">
        <v>57</v>
      </c>
      <c r="H7876" s="2" t="s">
        <v>45</v>
      </c>
      <c r="I7876" s="2" t="s">
        <v>15209</v>
      </c>
      <c r="J7876" s="3" t="str">
        <f>HYPERLINK("https://www.boe.es/gazeta/dias/1822/09/15/pdfs/GMD-1822-271.pdf#page=4","Abrir facsímil")</f>
        <v>Abrir facsímil</v>
      </c>
      <c r="K7876" s="3" t="s">
        <v>47</v>
      </c>
    </row>
    <row r="7877" spans="1:11" ht="42" customHeight="1">
      <c r="A7877" s="2" t="s">
        <v>15207</v>
      </c>
      <c r="B7877" s="2" t="s">
        <v>15208</v>
      </c>
      <c r="C7877" s="2" t="s">
        <v>28</v>
      </c>
      <c r="D7877" s="2" t="s">
        <v>29</v>
      </c>
      <c r="E7877" s="5">
        <v>-28139</v>
      </c>
      <c r="F7877" s="3" t="s">
        <v>143</v>
      </c>
      <c r="G7877" s="3" t="s">
        <v>144</v>
      </c>
      <c r="H7877" s="2" t="s">
        <v>45</v>
      </c>
      <c r="I7877" s="2" t="s">
        <v>15210</v>
      </c>
      <c r="J7877" s="3" t="str">
        <f>HYPERLINK("https://www.boe.es/gazeta/dias/1822/12/15/pdfs/GMD-1822-365.pdf#page=4","Abrir facsímil")</f>
        <v>Abrir facsímil</v>
      </c>
      <c r="K7877" s="3" t="s">
        <v>47</v>
      </c>
    </row>
    <row r="7878" spans="1:11" ht="42" customHeight="1">
      <c r="A7878" s="2" t="s">
        <v>15211</v>
      </c>
      <c r="B7878" s="2" t="s">
        <v>15211</v>
      </c>
      <c r="C7878" s="2" t="s">
        <v>61</v>
      </c>
      <c r="D7878" s="2" t="s">
        <v>17</v>
      </c>
      <c r="E7878" s="5">
        <v>-28375</v>
      </c>
      <c r="F7878" s="3" t="s">
        <v>2035</v>
      </c>
      <c r="G7878" s="3" t="s">
        <v>35</v>
      </c>
      <c r="H7878" s="2" t="s">
        <v>20</v>
      </c>
      <c r="I7878" s="2" t="s">
        <v>15212</v>
      </c>
      <c r="J7878" s="3" t="str">
        <f>HYPERLINK("https://www.boe.es/gazeta/dias/1822/04/23/pdfs/GMD-1822-115.pdf#page=2","Abrir facsímil")</f>
        <v>Abrir facsímil</v>
      </c>
      <c r="K7878" s="3" t="s">
        <v>22</v>
      </c>
    </row>
    <row r="7879" spans="1:11" ht="42" customHeight="1">
      <c r="A7879" s="2" t="s">
        <v>15213</v>
      </c>
      <c r="B7879" s="2" t="s">
        <v>15213</v>
      </c>
      <c r="C7879" s="2" t="s">
        <v>50</v>
      </c>
      <c r="D7879" s="2" t="s">
        <v>51</v>
      </c>
      <c r="E7879" s="5">
        <v>-28270</v>
      </c>
      <c r="F7879" s="3" t="s">
        <v>130</v>
      </c>
      <c r="G7879" s="3" t="s">
        <v>35</v>
      </c>
      <c r="H7879" s="2" t="s">
        <v>20</v>
      </c>
      <c r="I7879" s="2" t="s">
        <v>15214</v>
      </c>
      <c r="J7879" s="3" t="str">
        <f>HYPERLINK("https://www.boe.es/gazeta/dias/1822/08/06/pdfs/GMD-1822-230.pdf#page=2","Abrir facsímil")</f>
        <v>Abrir facsímil</v>
      </c>
      <c r="K7879" s="3" t="s">
        <v>22</v>
      </c>
    </row>
    <row r="7880" spans="1:11" ht="42" customHeight="1">
      <c r="A7880" s="2" t="s">
        <v>15215</v>
      </c>
      <c r="B7880" s="2" t="s">
        <v>15216</v>
      </c>
      <c r="C7880" s="2" t="s">
        <v>61</v>
      </c>
      <c r="D7880" s="2" t="s">
        <v>17</v>
      </c>
      <c r="E7880" s="5">
        <v>-28254</v>
      </c>
      <c r="F7880" s="3" t="s">
        <v>3557</v>
      </c>
      <c r="G7880" s="3" t="s">
        <v>57</v>
      </c>
      <c r="H7880" s="2" t="s">
        <v>20</v>
      </c>
      <c r="I7880" s="2" t="s">
        <v>15217</v>
      </c>
      <c r="J7880" s="3" t="str">
        <f>HYPERLINK("https://www.boe.es/gazeta/dias/1822/08/22/pdfs/GMD-1822-246.pdf#page=4","Abrir facsímil")</f>
        <v>Abrir facsímil</v>
      </c>
      <c r="K7880" s="3" t="s">
        <v>22</v>
      </c>
    </row>
    <row r="7881" spans="1:11" ht="42" customHeight="1">
      <c r="A7881" s="2" t="s">
        <v>15218</v>
      </c>
      <c r="B7881" s="2" t="s">
        <v>15218</v>
      </c>
      <c r="C7881" s="2" t="s">
        <v>50</v>
      </c>
      <c r="D7881" s="2" t="s">
        <v>51</v>
      </c>
      <c r="E7881" s="5">
        <v>-28414</v>
      </c>
      <c r="F7881" s="3" t="s">
        <v>187</v>
      </c>
      <c r="G7881" s="3" t="s">
        <v>63</v>
      </c>
      <c r="H7881" s="2" t="s">
        <v>20</v>
      </c>
      <c r="I7881" s="2" t="s">
        <v>15219</v>
      </c>
      <c r="J7881" s="3" t="str">
        <f>HYPERLINK("https://www.boe.es/gazeta/dias/1822/03/15/pdfs/GMD-1822-76.pdf#page=6","Abrir facsímil")</f>
        <v>Abrir facsímil</v>
      </c>
      <c r="K7881" s="3" t="s">
        <v>22</v>
      </c>
    </row>
    <row r="7882" spans="1:11" ht="42" customHeight="1">
      <c r="A7882" s="2" t="s">
        <v>15220</v>
      </c>
      <c r="B7882" s="2" t="s">
        <v>15220</v>
      </c>
      <c r="C7882" s="2" t="s">
        <v>50</v>
      </c>
      <c r="D7882" s="2" t="s">
        <v>51</v>
      </c>
      <c r="E7882" s="5">
        <v>-28391</v>
      </c>
      <c r="F7882" s="3" t="s">
        <v>378</v>
      </c>
      <c r="G7882" s="3" t="s">
        <v>63</v>
      </c>
      <c r="H7882" s="2" t="s">
        <v>20</v>
      </c>
      <c r="I7882" s="2" t="s">
        <v>15221</v>
      </c>
      <c r="J7882" s="3" t="str">
        <f>HYPERLINK("https://www.boe.es/gazeta/dias/1822/04/07/pdfs/GMD-1822-99.pdf#page=6","Abrir facsímil")</f>
        <v>Abrir facsímil</v>
      </c>
      <c r="K7882" s="3" t="s">
        <v>22</v>
      </c>
    </row>
    <row r="7883" spans="1:11" ht="42" customHeight="1">
      <c r="A7883" s="2" t="s">
        <v>15220</v>
      </c>
      <c r="B7883" s="2" t="s">
        <v>15220</v>
      </c>
      <c r="C7883" s="2" t="s">
        <v>28</v>
      </c>
      <c r="D7883" s="2" t="s">
        <v>29</v>
      </c>
      <c r="E7883" s="5">
        <v>-28337</v>
      </c>
      <c r="F7883" s="3" t="s">
        <v>1836</v>
      </c>
      <c r="G7883" s="3" t="s">
        <v>35</v>
      </c>
      <c r="H7883" s="2" t="s">
        <v>20</v>
      </c>
      <c r="I7883" s="2" t="s">
        <v>15222</v>
      </c>
      <c r="J7883" s="3" t="str">
        <f>HYPERLINK("https://www.boe.es/gazeta/dias/1822/05/31/pdfs/GMD-1822-156.pdf#page=2","Abrir facsímil")</f>
        <v>Abrir facsímil</v>
      </c>
      <c r="K7883" s="3" t="s">
        <v>22</v>
      </c>
    </row>
    <row r="7884" spans="1:11" ht="42" customHeight="1">
      <c r="A7884" s="2" t="s">
        <v>15223</v>
      </c>
      <c r="B7884" s="2" t="s">
        <v>15224</v>
      </c>
      <c r="C7884" s="2" t="s">
        <v>50</v>
      </c>
      <c r="D7884" s="2" t="s">
        <v>51</v>
      </c>
      <c r="E7884" s="5">
        <v>-28392</v>
      </c>
      <c r="F7884" s="3" t="s">
        <v>2003</v>
      </c>
      <c r="G7884" s="3" t="s">
        <v>57</v>
      </c>
      <c r="H7884" s="2" t="s">
        <v>20</v>
      </c>
      <c r="I7884" s="2" t="s">
        <v>15225</v>
      </c>
      <c r="J7884" s="3" t="str">
        <f>HYPERLINK("https://www.boe.es/gazeta/dias/1822/04/06/pdfs/GMD-1822-98.pdf#page=4","Abrir facsímil")</f>
        <v>Abrir facsímil</v>
      </c>
      <c r="K7884" s="3" t="s">
        <v>22</v>
      </c>
    </row>
    <row r="7885" spans="1:11" ht="42" customHeight="1">
      <c r="A7885" s="2" t="s">
        <v>15226</v>
      </c>
      <c r="B7885" s="2" t="s">
        <v>15226</v>
      </c>
      <c r="C7885" s="2" t="s">
        <v>50</v>
      </c>
      <c r="D7885" s="2" t="s">
        <v>51</v>
      </c>
      <c r="E7885" s="5">
        <v>-28410</v>
      </c>
      <c r="F7885" s="3" t="s">
        <v>966</v>
      </c>
      <c r="G7885" s="3" t="s">
        <v>44</v>
      </c>
      <c r="H7885" s="2" t="s">
        <v>20</v>
      </c>
      <c r="I7885" s="2" t="s">
        <v>15227</v>
      </c>
      <c r="J7885" s="3" t="str">
        <f>HYPERLINK("https://www.boe.es/gazeta/dias/1822/03/19/pdfs/GMD-1822-80.pdf#page=1","Abrir facsímil")</f>
        <v>Abrir facsímil</v>
      </c>
      <c r="K7885" s="3" t="s">
        <v>22</v>
      </c>
    </row>
    <row r="7886" spans="1:11" ht="42" customHeight="1">
      <c r="A7886" s="2" t="s">
        <v>15228</v>
      </c>
      <c r="B7886" s="2" t="s">
        <v>15229</v>
      </c>
      <c r="C7886" s="2" t="s">
        <v>50</v>
      </c>
      <c r="D7886" s="2" t="s">
        <v>51</v>
      </c>
      <c r="E7886" s="5">
        <v>-28483</v>
      </c>
      <c r="F7886" s="3" t="s">
        <v>254</v>
      </c>
      <c r="G7886" s="3" t="s">
        <v>44</v>
      </c>
      <c r="H7886" s="2" t="s">
        <v>20</v>
      </c>
      <c r="I7886" s="2" t="s">
        <v>15230</v>
      </c>
      <c r="J7886" s="3" t="str">
        <f>HYPERLINK("https://www.boe.es/gazeta/dias/1822/01/05/pdfs/GMD-1822-5.pdf#page=1","Abrir facsímil")</f>
        <v>Abrir facsímil</v>
      </c>
      <c r="K7886" s="3" t="s">
        <v>22</v>
      </c>
    </row>
    <row r="7887" spans="1:11" ht="42" customHeight="1">
      <c r="A7887" s="2" t="s">
        <v>15231</v>
      </c>
      <c r="B7887" s="2" t="s">
        <v>15231</v>
      </c>
      <c r="C7887" s="2" t="s">
        <v>28</v>
      </c>
      <c r="D7887" s="2" t="s">
        <v>29</v>
      </c>
      <c r="E7887" s="5">
        <v>-28443</v>
      </c>
      <c r="F7887" s="3" t="s">
        <v>668</v>
      </c>
      <c r="G7887" s="3" t="s">
        <v>31</v>
      </c>
      <c r="H7887" s="2" t="s">
        <v>20</v>
      </c>
      <c r="I7887" s="2" t="s">
        <v>15232</v>
      </c>
      <c r="J7887" s="3" t="str">
        <f>HYPERLINK("https://www.boe.es/gazeta/dias/1822/02/14/pdfs/GMD-1822-45.pdf#page=3","Abrir facsímil")</f>
        <v>Abrir facsímil</v>
      </c>
      <c r="K7887" s="3" t="s">
        <v>22</v>
      </c>
    </row>
    <row r="7888" spans="1:11" ht="42" customHeight="1">
      <c r="A7888" s="2" t="s">
        <v>15233</v>
      </c>
      <c r="B7888" s="2" t="s">
        <v>15233</v>
      </c>
      <c r="C7888" s="2" t="s">
        <v>42</v>
      </c>
      <c r="D7888" s="2" t="s">
        <v>17</v>
      </c>
      <c r="E7888" s="5">
        <v>-28461</v>
      </c>
      <c r="F7888" s="3" t="s">
        <v>1801</v>
      </c>
      <c r="G7888" s="3" t="s">
        <v>35</v>
      </c>
      <c r="H7888" s="2" t="s">
        <v>20</v>
      </c>
      <c r="I7888" s="2" t="s">
        <v>15234</v>
      </c>
      <c r="J7888" s="3" t="str">
        <f>HYPERLINK("https://www.boe.es/gazeta/dias/1822/01/27/pdfs/GMD-1822-27.pdf#page=2","Abrir facsímil")</f>
        <v>Abrir facsímil</v>
      </c>
      <c r="K7888" s="3" t="s">
        <v>22</v>
      </c>
    </row>
    <row r="7889" spans="1:11" ht="42" customHeight="1">
      <c r="A7889" s="2" t="s">
        <v>15235</v>
      </c>
      <c r="B7889" s="2" t="s">
        <v>15235</v>
      </c>
      <c r="C7889" s="2" t="s">
        <v>50</v>
      </c>
      <c r="D7889" s="2" t="s">
        <v>51</v>
      </c>
      <c r="E7889" s="5">
        <v>-28288</v>
      </c>
      <c r="F7889" s="3" t="s">
        <v>970</v>
      </c>
      <c r="G7889" s="3" t="s">
        <v>57</v>
      </c>
      <c r="H7889" s="2" t="s">
        <v>20</v>
      </c>
      <c r="I7889" s="2" t="s">
        <v>15236</v>
      </c>
      <c r="J7889" s="3" t="str">
        <f>HYPERLINK("https://www.boe.es/gazeta/dias/1822/07/19/pdfs/GMD-1822-211.pdf#page=4","Abrir facsímil")</f>
        <v>Abrir facsímil</v>
      </c>
      <c r="K7889" s="3" t="s">
        <v>22</v>
      </c>
    </row>
    <row r="7890" spans="1:11" ht="42" customHeight="1">
      <c r="A7890" s="2" t="s">
        <v>15237</v>
      </c>
      <c r="B7890" s="2" t="s">
        <v>15238</v>
      </c>
      <c r="C7890" s="2" t="s">
        <v>362</v>
      </c>
      <c r="D7890" s="2" t="s">
        <v>17</v>
      </c>
      <c r="E7890" s="5">
        <v>-28398</v>
      </c>
      <c r="F7890" s="3" t="s">
        <v>1961</v>
      </c>
      <c r="G7890" s="3" t="s">
        <v>2262</v>
      </c>
      <c r="H7890" s="2" t="s">
        <v>20</v>
      </c>
      <c r="I7890" s="2" t="s">
        <v>15239</v>
      </c>
      <c r="J7890" s="3" t="str">
        <f>HYPERLINK("https://www.boe.es/gazeta/dias/1822/03/31/pdfs/GMD-1822-92.pdf#page=4","Abrir facsímil")</f>
        <v>Abrir facsímil</v>
      </c>
      <c r="K7890" s="3" t="s">
        <v>22</v>
      </c>
    </row>
    <row r="7891" spans="1:11" ht="42" customHeight="1">
      <c r="A7891" s="2" t="s">
        <v>15240</v>
      </c>
      <c r="B7891" s="2" t="s">
        <v>15241</v>
      </c>
      <c r="C7891" s="2" t="s">
        <v>24</v>
      </c>
      <c r="D7891" s="2" t="s">
        <v>17</v>
      </c>
      <c r="E7891" s="5">
        <v>-28323</v>
      </c>
      <c r="F7891" s="3" t="s">
        <v>116</v>
      </c>
      <c r="G7891" s="3" t="s">
        <v>35</v>
      </c>
      <c r="H7891" s="2" t="s">
        <v>20</v>
      </c>
      <c r="I7891" s="2" t="s">
        <v>15242</v>
      </c>
      <c r="J7891" s="3" t="str">
        <f>HYPERLINK("https://www.boe.es/gazeta/dias/1822/06/14/pdfs/GMD-1822-171.pdf#page=2","Abrir facsímil")</f>
        <v>Abrir facsímil</v>
      </c>
      <c r="K7891" s="3" t="s">
        <v>22</v>
      </c>
    </row>
    <row r="7892" spans="1:11" ht="42" customHeight="1">
      <c r="A7892" s="2" t="s">
        <v>15243</v>
      </c>
      <c r="B7892" s="2" t="s">
        <v>15244</v>
      </c>
      <c r="C7892" s="2" t="s">
        <v>61</v>
      </c>
      <c r="D7892" s="2" t="s">
        <v>17</v>
      </c>
      <c r="E7892" s="5">
        <v>-28258</v>
      </c>
      <c r="F7892" s="3" t="s">
        <v>88</v>
      </c>
      <c r="G7892" s="3" t="s">
        <v>31</v>
      </c>
      <c r="H7892" s="2" t="s">
        <v>20</v>
      </c>
      <c r="I7892" s="2" t="s">
        <v>15245</v>
      </c>
      <c r="J7892" s="3" t="str">
        <f>HYPERLINK("https://www.boe.es/gazeta/dias/1822/08/18/pdfs/GMD-1822-242.pdf#page=3","Abrir facsímil")</f>
        <v>Abrir facsímil</v>
      </c>
      <c r="K7892" s="3" t="s">
        <v>22</v>
      </c>
    </row>
    <row r="7893" spans="1:11" ht="42" customHeight="1">
      <c r="A7893" s="2" t="s">
        <v>15246</v>
      </c>
      <c r="B7893" s="2" t="s">
        <v>15246</v>
      </c>
      <c r="C7893" s="2" t="s">
        <v>71</v>
      </c>
      <c r="D7893" s="2" t="s">
        <v>17</v>
      </c>
      <c r="E7893" s="5">
        <v>-28344</v>
      </c>
      <c r="F7893" s="3" t="s">
        <v>524</v>
      </c>
      <c r="G7893" s="3" t="s">
        <v>1040</v>
      </c>
      <c r="H7893" s="2" t="s">
        <v>20</v>
      </c>
      <c r="I7893" s="2" t="s">
        <v>15247</v>
      </c>
      <c r="J7893" s="3" t="str">
        <f>HYPERLINK("https://www.boe.es/gazeta/dias/1822/05/24/pdfs/GMD-1822-148.pdf#page=2","Abrir facsímil")</f>
        <v>Abrir facsímil</v>
      </c>
      <c r="K7893" s="3" t="s">
        <v>22</v>
      </c>
    </row>
    <row r="7894" spans="1:11" ht="42" customHeight="1">
      <c r="A7894" s="2" t="s">
        <v>15248</v>
      </c>
      <c r="B7894" s="2" t="s">
        <v>15249</v>
      </c>
      <c r="C7894" s="2" t="s">
        <v>50</v>
      </c>
      <c r="D7894" s="2" t="s">
        <v>51</v>
      </c>
      <c r="E7894" s="5">
        <v>-28265</v>
      </c>
      <c r="F7894" s="3" t="s">
        <v>1263</v>
      </c>
      <c r="G7894" s="3" t="s">
        <v>57</v>
      </c>
      <c r="H7894" s="2" t="s">
        <v>20</v>
      </c>
      <c r="I7894" s="2" t="s">
        <v>15250</v>
      </c>
      <c r="J7894" s="3" t="str">
        <f>HYPERLINK("https://www.boe.es/gazeta/dias/1822/08/11/pdfs/GMD-1822-235.pdf#page=4","Abrir facsímil")</f>
        <v>Abrir facsímil</v>
      </c>
      <c r="K7894" s="3" t="s">
        <v>22</v>
      </c>
    </row>
    <row r="7895" spans="1:11" ht="42" customHeight="1">
      <c r="A7895" s="2" t="s">
        <v>15251</v>
      </c>
      <c r="B7895" s="2" t="s">
        <v>15252</v>
      </c>
      <c r="C7895" s="2" t="s">
        <v>28</v>
      </c>
      <c r="D7895" s="2" t="s">
        <v>29</v>
      </c>
      <c r="E7895" s="5">
        <v>-28199</v>
      </c>
      <c r="F7895" s="3" t="s">
        <v>656</v>
      </c>
      <c r="G7895" s="3" t="s">
        <v>19</v>
      </c>
      <c r="H7895" s="2" t="s">
        <v>20</v>
      </c>
      <c r="I7895" s="2" t="s">
        <v>15253</v>
      </c>
      <c r="J7895" s="3" t="str">
        <f>HYPERLINK("https://www.boe.es/gazeta/dias/1822/10/16/pdfs/GMD-1822-303.pdf#page=5","Abrir facsímil")</f>
        <v>Abrir facsímil</v>
      </c>
      <c r="K7895" s="3" t="s">
        <v>22</v>
      </c>
    </row>
    <row r="7896" spans="1:11" ht="42" customHeight="1">
      <c r="A7896" s="2" t="s">
        <v>15254</v>
      </c>
      <c r="B7896" s="2" t="s">
        <v>15255</v>
      </c>
      <c r="C7896" s="2" t="s">
        <v>50</v>
      </c>
      <c r="D7896" s="2" t="s">
        <v>51</v>
      </c>
      <c r="E7896" s="5">
        <v>-28329</v>
      </c>
      <c r="F7896" s="3" t="s">
        <v>354</v>
      </c>
      <c r="G7896" s="3" t="s">
        <v>63</v>
      </c>
      <c r="H7896" s="2" t="s">
        <v>20</v>
      </c>
      <c r="I7896" s="2" t="s">
        <v>15256</v>
      </c>
      <c r="J7896" s="3" t="str">
        <f>HYPERLINK("https://www.boe.es/gazeta/dias/1822/06/08/pdfs/GMD-1822-165.pdf#page=6","Abrir facsímil")</f>
        <v>Abrir facsímil</v>
      </c>
      <c r="K7896" s="3" t="s">
        <v>22</v>
      </c>
    </row>
    <row r="7897" spans="1:11" ht="42" customHeight="1">
      <c r="A7897" s="2" t="s">
        <v>15257</v>
      </c>
      <c r="B7897" s="2" t="s">
        <v>15257</v>
      </c>
      <c r="C7897" s="2" t="s">
        <v>42</v>
      </c>
      <c r="D7897" s="2" t="s">
        <v>17</v>
      </c>
      <c r="E7897" s="5">
        <v>-28449</v>
      </c>
      <c r="F7897" s="3" t="s">
        <v>1342</v>
      </c>
      <c r="G7897" s="3" t="s">
        <v>44</v>
      </c>
      <c r="H7897" s="2" t="s">
        <v>20</v>
      </c>
      <c r="I7897" s="2" t="s">
        <v>15258</v>
      </c>
      <c r="J7897" s="3" t="str">
        <f>HYPERLINK("https://www.boe.es/gazeta/dias/1822/02/08/pdfs/GMD-1822-39.pdf#page=1","Abrir facsímil")</f>
        <v>Abrir facsímil</v>
      </c>
      <c r="K7897" s="3" t="s">
        <v>22</v>
      </c>
    </row>
    <row r="7898" spans="1:11" ht="42" customHeight="1">
      <c r="A7898" s="2" t="s">
        <v>15257</v>
      </c>
      <c r="B7898" s="2" t="s">
        <v>15257</v>
      </c>
      <c r="C7898" s="2" t="s">
        <v>28</v>
      </c>
      <c r="D7898" s="2" t="s">
        <v>29</v>
      </c>
      <c r="E7898" s="5">
        <v>-28403</v>
      </c>
      <c r="F7898" s="3" t="s">
        <v>471</v>
      </c>
      <c r="G7898" s="3" t="s">
        <v>63</v>
      </c>
      <c r="H7898" s="2" t="s">
        <v>20</v>
      </c>
      <c r="I7898" s="2" t="s">
        <v>15259</v>
      </c>
      <c r="J7898" s="3" t="str">
        <f>HYPERLINK("https://www.boe.es/gazeta/dias/1822/03/26/pdfs/GMD-1822-87.pdf#page=6","Abrir facsímil")</f>
        <v>Abrir facsímil</v>
      </c>
      <c r="K7898" s="3" t="s">
        <v>22</v>
      </c>
    </row>
    <row r="7899" spans="1:11" ht="42" customHeight="1">
      <c r="A7899" s="2" t="s">
        <v>15260</v>
      </c>
      <c r="B7899" s="2" t="s">
        <v>15261</v>
      </c>
      <c r="C7899" s="2" t="s">
        <v>42</v>
      </c>
      <c r="D7899" s="2" t="s">
        <v>17</v>
      </c>
      <c r="E7899" s="5">
        <v>-28264</v>
      </c>
      <c r="F7899" s="3" t="s">
        <v>1329</v>
      </c>
      <c r="G7899" s="3" t="s">
        <v>31</v>
      </c>
      <c r="H7899" s="2" t="s">
        <v>20</v>
      </c>
      <c r="I7899" s="2" t="s">
        <v>15262</v>
      </c>
      <c r="J7899" s="3" t="str">
        <f>HYPERLINK("https://www.boe.es/gazeta/dias/1822/08/12/pdfs/GMD-1822-236.pdf#page=3","Abrir facsímil")</f>
        <v>Abrir facsímil</v>
      </c>
      <c r="K7899" s="3" t="s">
        <v>22</v>
      </c>
    </row>
    <row r="7900" spans="1:11" ht="42" customHeight="1">
      <c r="A7900" s="2" t="s">
        <v>15263</v>
      </c>
      <c r="B7900" s="2" t="s">
        <v>15264</v>
      </c>
      <c r="C7900" s="2" t="s">
        <v>71</v>
      </c>
      <c r="D7900" s="2" t="s">
        <v>17</v>
      </c>
      <c r="E7900" s="5">
        <v>-28165</v>
      </c>
      <c r="F7900" s="3" t="s">
        <v>846</v>
      </c>
      <c r="G7900" s="3" t="s">
        <v>35</v>
      </c>
      <c r="H7900" s="2" t="s">
        <v>20</v>
      </c>
      <c r="I7900" s="2" t="s">
        <v>15265</v>
      </c>
      <c r="J7900" s="3" t="str">
        <f>HYPERLINK("https://www.boe.es/gazeta/dias/1822/11/19/pdfs/GMD-1822-339.pdf#page=2","Abrir facsímil")</f>
        <v>Abrir facsímil</v>
      </c>
      <c r="K7900" s="3" t="s">
        <v>22</v>
      </c>
    </row>
    <row r="7901" spans="1:11" ht="42" customHeight="1">
      <c r="A7901" s="2" t="s">
        <v>15266</v>
      </c>
      <c r="B7901" s="2" t="s">
        <v>15266</v>
      </c>
      <c r="C7901" s="2" t="s">
        <v>28</v>
      </c>
      <c r="D7901" s="2" t="s">
        <v>29</v>
      </c>
      <c r="E7901" s="5">
        <v>-28432</v>
      </c>
      <c r="F7901" s="3" t="s">
        <v>195</v>
      </c>
      <c r="G7901" s="3" t="s">
        <v>57</v>
      </c>
      <c r="H7901" s="2" t="s">
        <v>20</v>
      </c>
      <c r="I7901" s="2" t="s">
        <v>15267</v>
      </c>
      <c r="J7901" s="3" t="str">
        <f>HYPERLINK("https://www.boe.es/gazeta/dias/1822/02/25/pdfs/GMD-1822-57.pdf#page=4","Abrir facsímil")</f>
        <v>Abrir facsímil</v>
      </c>
      <c r="K7901" s="3" t="s">
        <v>22</v>
      </c>
    </row>
    <row r="7902" spans="1:11" ht="42" customHeight="1">
      <c r="A7902" s="2" t="s">
        <v>15266</v>
      </c>
      <c r="B7902" s="2" t="s">
        <v>15266</v>
      </c>
      <c r="C7902" s="2" t="s">
        <v>42</v>
      </c>
      <c r="D7902" s="2" t="s">
        <v>17</v>
      </c>
      <c r="E7902" s="5">
        <v>-28391</v>
      </c>
      <c r="F7902" s="3" t="s">
        <v>378</v>
      </c>
      <c r="G7902" s="3" t="s">
        <v>63</v>
      </c>
      <c r="H7902" s="2" t="s">
        <v>20</v>
      </c>
      <c r="I7902" s="2" t="s">
        <v>15268</v>
      </c>
      <c r="J7902" s="3" t="str">
        <f>HYPERLINK("https://www.boe.es/gazeta/dias/1822/04/07/pdfs/GMD-1822-99.pdf#page=6","Abrir facsímil")</f>
        <v>Abrir facsímil</v>
      </c>
      <c r="K7902" s="3" t="s">
        <v>22</v>
      </c>
    </row>
    <row r="7903" spans="1:11" ht="42" customHeight="1">
      <c r="A7903" s="2" t="s">
        <v>15269</v>
      </c>
      <c r="B7903" s="2" t="s">
        <v>15270</v>
      </c>
      <c r="C7903" s="2" t="s">
        <v>42</v>
      </c>
      <c r="D7903" s="2" t="s">
        <v>17</v>
      </c>
      <c r="E7903" s="5">
        <v>-28361</v>
      </c>
      <c r="F7903" s="3" t="s">
        <v>374</v>
      </c>
      <c r="G7903" s="3" t="s">
        <v>63</v>
      </c>
      <c r="H7903" s="2" t="s">
        <v>20</v>
      </c>
      <c r="I7903" s="2" t="s">
        <v>15271</v>
      </c>
      <c r="J7903" s="3" t="str">
        <f>HYPERLINK("https://www.boe.es/gazeta/dias/1822/05/07/pdfs/GMD-1822-129.pdf#page=6","Abrir facsímil")</f>
        <v>Abrir facsímil</v>
      </c>
      <c r="K7903" s="3" t="s">
        <v>22</v>
      </c>
    </row>
    <row r="7904" spans="1:11" ht="42" customHeight="1">
      <c r="A7904" s="2" t="s">
        <v>15272</v>
      </c>
      <c r="B7904" s="2" t="s">
        <v>15273</v>
      </c>
      <c r="C7904" s="2" t="s">
        <v>42</v>
      </c>
      <c r="D7904" s="2" t="s">
        <v>17</v>
      </c>
      <c r="E7904" s="5">
        <v>-28410</v>
      </c>
      <c r="F7904" s="3" t="s">
        <v>966</v>
      </c>
      <c r="G7904" s="3" t="s">
        <v>35</v>
      </c>
      <c r="H7904" s="2" t="s">
        <v>20</v>
      </c>
      <c r="I7904" s="2" t="s">
        <v>15274</v>
      </c>
      <c r="J7904" s="3" t="str">
        <f>HYPERLINK("https://www.boe.es/gazeta/dias/1822/03/19/pdfs/GMD-1822-80.pdf#page=2","Abrir facsímil")</f>
        <v>Abrir facsímil</v>
      </c>
      <c r="K7904" s="3" t="s">
        <v>22</v>
      </c>
    </row>
    <row r="7905" spans="1:11" ht="42" customHeight="1">
      <c r="A7905" s="2" t="s">
        <v>15275</v>
      </c>
      <c r="B7905" s="2" t="s">
        <v>15276</v>
      </c>
      <c r="C7905" s="2" t="s">
        <v>28</v>
      </c>
      <c r="D7905" s="2" t="s">
        <v>29</v>
      </c>
      <c r="E7905" s="5">
        <v>-28246</v>
      </c>
      <c r="F7905" s="3" t="s">
        <v>3246</v>
      </c>
      <c r="G7905" s="3" t="s">
        <v>1085</v>
      </c>
      <c r="H7905" s="2" t="s">
        <v>20</v>
      </c>
      <c r="I7905" s="2" t="s">
        <v>15277</v>
      </c>
      <c r="J7905" s="3" t="str">
        <f>HYPERLINK("https://www.boe.es/gazeta/dias/1822/08/30/pdfs/GMD-1822-254.pdf#page=5","Abrir facsímil")</f>
        <v>Abrir facsímil</v>
      </c>
      <c r="K7905" s="3" t="s">
        <v>22</v>
      </c>
    </row>
    <row r="7906" spans="1:11" ht="42" customHeight="1">
      <c r="A7906" s="2" t="s">
        <v>15278</v>
      </c>
      <c r="B7906" s="2" t="s">
        <v>15279</v>
      </c>
      <c r="C7906" s="2" t="s">
        <v>16</v>
      </c>
      <c r="D7906" s="2" t="s">
        <v>17</v>
      </c>
      <c r="E7906" s="5">
        <v>-28199</v>
      </c>
      <c r="F7906" s="3" t="s">
        <v>656</v>
      </c>
      <c r="G7906" s="3" t="s">
        <v>63</v>
      </c>
      <c r="H7906" s="2" t="s">
        <v>20</v>
      </c>
      <c r="I7906" s="2" t="s">
        <v>15280</v>
      </c>
      <c r="J7906" s="3" t="str">
        <f>HYPERLINK("https://www.boe.es/gazeta/dias/1822/10/16/pdfs/GMD-1822-303.pdf#page=6","Abrir facsímil")</f>
        <v>Abrir facsímil</v>
      </c>
      <c r="K7906" s="3" t="s">
        <v>22</v>
      </c>
    </row>
    <row r="7907" spans="1:11" ht="42" customHeight="1">
      <c r="A7907" s="2" t="s">
        <v>15281</v>
      </c>
      <c r="B7907" s="2" t="s">
        <v>15281</v>
      </c>
      <c r="C7907" s="2" t="s">
        <v>16</v>
      </c>
      <c r="D7907" s="2" t="s">
        <v>17</v>
      </c>
      <c r="E7907" s="5">
        <v>-28473</v>
      </c>
      <c r="F7907" s="3" t="s">
        <v>2337</v>
      </c>
      <c r="G7907" s="3" t="s">
        <v>31</v>
      </c>
      <c r="H7907" s="2" t="s">
        <v>20</v>
      </c>
      <c r="I7907" s="2" t="s">
        <v>15282</v>
      </c>
      <c r="J7907" s="3" t="str">
        <f>HYPERLINK("https://www.boe.es/gazeta/dias/1822/01/15/pdfs/GMD-1822-15.pdf#page=3","Abrir facsímil")</f>
        <v>Abrir facsímil</v>
      </c>
      <c r="K7907" s="3" t="s">
        <v>22</v>
      </c>
    </row>
    <row r="7908" spans="1:11" ht="42" customHeight="1">
      <c r="A7908" s="2" t="s">
        <v>15281</v>
      </c>
      <c r="B7908" s="2" t="s">
        <v>15281</v>
      </c>
      <c r="C7908" s="2" t="s">
        <v>42</v>
      </c>
      <c r="D7908" s="2" t="s">
        <v>17</v>
      </c>
      <c r="E7908" s="5">
        <v>-28198</v>
      </c>
      <c r="F7908" s="3" t="s">
        <v>981</v>
      </c>
      <c r="G7908" s="3" t="s">
        <v>31</v>
      </c>
      <c r="H7908" s="2" t="s">
        <v>20</v>
      </c>
      <c r="I7908" s="2" t="s">
        <v>15283</v>
      </c>
      <c r="J7908" s="3" t="str">
        <f>HYPERLINK("https://www.boe.es/gazeta/dias/1822/10/17/pdfs/GMD-1822-304.pdf#page=3","Abrir facsímil")</f>
        <v>Abrir facsímil</v>
      </c>
      <c r="K7908" s="3" t="s">
        <v>22</v>
      </c>
    </row>
    <row r="7909" spans="1:11" ht="42" customHeight="1">
      <c r="A7909" s="2" t="s">
        <v>15284</v>
      </c>
      <c r="B7909" s="2" t="s">
        <v>15285</v>
      </c>
      <c r="C7909" s="2" t="s">
        <v>24</v>
      </c>
      <c r="D7909" s="2" t="s">
        <v>17</v>
      </c>
      <c r="E7909" s="5">
        <v>-28196</v>
      </c>
      <c r="F7909" s="3" t="s">
        <v>570</v>
      </c>
      <c r="G7909" s="3" t="s">
        <v>63</v>
      </c>
      <c r="H7909" s="2" t="s">
        <v>20</v>
      </c>
      <c r="I7909" s="2" t="s">
        <v>15286</v>
      </c>
      <c r="J7909" s="3" t="str">
        <f>HYPERLINK("https://www.boe.es/gazeta/dias/1822/10/19/pdfs/GMD-1822-306.pdf#page=6","Abrir facsímil")</f>
        <v>Abrir facsímil</v>
      </c>
      <c r="K7909" s="3" t="s">
        <v>22</v>
      </c>
    </row>
    <row r="7910" spans="1:11" ht="42" customHeight="1">
      <c r="A7910" s="2" t="s">
        <v>15287</v>
      </c>
      <c r="B7910" s="2" t="s">
        <v>15288</v>
      </c>
      <c r="C7910" s="2" t="s">
        <v>50</v>
      </c>
      <c r="D7910" s="2" t="s">
        <v>51</v>
      </c>
      <c r="E7910" s="5">
        <v>-28199</v>
      </c>
      <c r="F7910" s="3" t="s">
        <v>656</v>
      </c>
      <c r="G7910" s="3" t="s">
        <v>19</v>
      </c>
      <c r="H7910" s="2" t="s">
        <v>20</v>
      </c>
      <c r="I7910" s="2" t="s">
        <v>15289</v>
      </c>
      <c r="J7910" s="3" t="str">
        <f>HYPERLINK("https://www.boe.es/gazeta/dias/1822/10/16/pdfs/GMD-1822-303.pdf#page=5","Abrir facsímil")</f>
        <v>Abrir facsímil</v>
      </c>
      <c r="K7910" s="3" t="s">
        <v>22</v>
      </c>
    </row>
    <row r="7911" spans="1:11" ht="42" customHeight="1">
      <c r="A7911" s="2" t="s">
        <v>15290</v>
      </c>
      <c r="B7911" s="2" t="s">
        <v>15291</v>
      </c>
      <c r="C7911" s="2" t="s">
        <v>42</v>
      </c>
      <c r="D7911" s="2" t="s">
        <v>17</v>
      </c>
      <c r="E7911" s="5">
        <v>-28201</v>
      </c>
      <c r="F7911" s="3" t="s">
        <v>163</v>
      </c>
      <c r="G7911" s="3" t="s">
        <v>63</v>
      </c>
      <c r="H7911" s="2" t="s">
        <v>20</v>
      </c>
      <c r="I7911" s="2" t="s">
        <v>15292</v>
      </c>
      <c r="J7911" s="3" t="str">
        <f>HYPERLINK("https://www.boe.es/gazeta/dias/1822/10/14/pdfs/GMD-1822-301.pdf#page=6","Abrir facsímil")</f>
        <v>Abrir facsímil</v>
      </c>
      <c r="K7911" s="3" t="s">
        <v>22</v>
      </c>
    </row>
    <row r="7912" spans="1:11" ht="42" customHeight="1">
      <c r="A7912" s="2" t="s">
        <v>15290</v>
      </c>
      <c r="B7912" s="2" t="s">
        <v>15291</v>
      </c>
      <c r="C7912" s="2" t="s">
        <v>28</v>
      </c>
      <c r="D7912" s="2" t="s">
        <v>29</v>
      </c>
      <c r="E7912" s="5">
        <v>-28200</v>
      </c>
      <c r="F7912" s="3" t="s">
        <v>1037</v>
      </c>
      <c r="G7912" s="3" t="s">
        <v>63</v>
      </c>
      <c r="H7912" s="2" t="s">
        <v>20</v>
      </c>
      <c r="I7912" s="2" t="s">
        <v>15293</v>
      </c>
      <c r="J7912" s="3" t="str">
        <f>HYPERLINK("https://www.boe.es/gazeta/dias/1822/10/15/pdfs/GMD-1822-302.pdf#page=6","Abrir facsímil")</f>
        <v>Abrir facsímil</v>
      </c>
      <c r="K7912" s="3" t="s">
        <v>22</v>
      </c>
    </row>
    <row r="7913" spans="1:11" ht="42" customHeight="1">
      <c r="A7913" s="2" t="s">
        <v>15290</v>
      </c>
      <c r="B7913" s="2" t="s">
        <v>15291</v>
      </c>
      <c r="C7913" s="2" t="s">
        <v>28</v>
      </c>
      <c r="D7913" s="2" t="s">
        <v>29</v>
      </c>
      <c r="E7913" s="5">
        <v>-28199</v>
      </c>
      <c r="F7913" s="3" t="s">
        <v>656</v>
      </c>
      <c r="G7913" s="3" t="s">
        <v>63</v>
      </c>
      <c r="H7913" s="2" t="s">
        <v>20</v>
      </c>
      <c r="I7913" s="2" t="s">
        <v>15294</v>
      </c>
      <c r="J7913" s="3" t="str">
        <f>HYPERLINK("https://www.boe.es/gazeta/dias/1822/10/16/pdfs/GMD-1822-303.pdf#page=6","Abrir facsímil")</f>
        <v>Abrir facsímil</v>
      </c>
      <c r="K7913" s="3" t="s">
        <v>22</v>
      </c>
    </row>
    <row r="7914" spans="1:11" ht="42" customHeight="1">
      <c r="A7914" s="2" t="s">
        <v>15290</v>
      </c>
      <c r="B7914" s="2" t="s">
        <v>15291</v>
      </c>
      <c r="C7914" s="2" t="s">
        <v>28</v>
      </c>
      <c r="D7914" s="2" t="s">
        <v>29</v>
      </c>
      <c r="E7914" s="5">
        <v>-28197</v>
      </c>
      <c r="F7914" s="3" t="s">
        <v>568</v>
      </c>
      <c r="G7914" s="3" t="s">
        <v>19</v>
      </c>
      <c r="H7914" s="2" t="s">
        <v>20</v>
      </c>
      <c r="I7914" s="2" t="s">
        <v>15295</v>
      </c>
      <c r="J7914" s="3" t="str">
        <f>HYPERLINK("https://www.boe.es/gazeta/dias/1822/10/18/pdfs/GMD-1822-305.pdf#page=5","Abrir facsímil")</f>
        <v>Abrir facsímil</v>
      </c>
      <c r="K7914" s="3" t="s">
        <v>22</v>
      </c>
    </row>
    <row r="7915" spans="1:11" ht="42" customHeight="1">
      <c r="A7915" s="2" t="s">
        <v>15296</v>
      </c>
      <c r="B7915" s="2" t="s">
        <v>15297</v>
      </c>
      <c r="C7915" s="2" t="s">
        <v>16</v>
      </c>
      <c r="D7915" s="2" t="s">
        <v>17</v>
      </c>
      <c r="E7915" s="5">
        <v>-28203</v>
      </c>
      <c r="F7915" s="3" t="s">
        <v>564</v>
      </c>
      <c r="G7915" s="3" t="s">
        <v>63</v>
      </c>
      <c r="H7915" s="2" t="s">
        <v>20</v>
      </c>
      <c r="I7915" s="2" t="s">
        <v>15298</v>
      </c>
      <c r="J7915" s="3" t="str">
        <f>HYPERLINK("https://www.boe.es/gazeta/dias/1822/10/12/pdfs/GMD-1822-299.pdf#page=6","Abrir facsímil")</f>
        <v>Abrir facsímil</v>
      </c>
      <c r="K7915" s="3" t="s">
        <v>22</v>
      </c>
    </row>
    <row r="7916" spans="1:11" ht="42" customHeight="1">
      <c r="A7916" s="2" t="s">
        <v>15296</v>
      </c>
      <c r="B7916" s="2" t="s">
        <v>15297</v>
      </c>
      <c r="C7916" s="2" t="s">
        <v>28</v>
      </c>
      <c r="D7916" s="2" t="s">
        <v>29</v>
      </c>
      <c r="E7916" s="5">
        <v>-28201</v>
      </c>
      <c r="F7916" s="3" t="s">
        <v>163</v>
      </c>
      <c r="G7916" s="3" t="s">
        <v>63</v>
      </c>
      <c r="H7916" s="2" t="s">
        <v>20</v>
      </c>
      <c r="I7916" s="2" t="s">
        <v>15299</v>
      </c>
      <c r="J7916" s="3" t="str">
        <f>HYPERLINK("https://www.boe.es/gazeta/dias/1822/10/14/pdfs/GMD-1822-301.pdf#page=6","Abrir facsímil")</f>
        <v>Abrir facsímil</v>
      </c>
      <c r="K7916" s="3" t="s">
        <v>22</v>
      </c>
    </row>
    <row r="7917" spans="1:11" ht="42" customHeight="1">
      <c r="A7917" s="2" t="s">
        <v>15296</v>
      </c>
      <c r="B7917" s="2" t="s">
        <v>15297</v>
      </c>
      <c r="C7917" s="2" t="s">
        <v>16</v>
      </c>
      <c r="D7917" s="2" t="s">
        <v>17</v>
      </c>
      <c r="E7917" s="5">
        <v>-28200</v>
      </c>
      <c r="F7917" s="3" t="s">
        <v>1037</v>
      </c>
      <c r="G7917" s="3" t="s">
        <v>63</v>
      </c>
      <c r="H7917" s="2" t="s">
        <v>20</v>
      </c>
      <c r="I7917" s="2" t="s">
        <v>15300</v>
      </c>
      <c r="J7917" s="3" t="str">
        <f>HYPERLINK("https://www.boe.es/gazeta/dias/1822/10/15/pdfs/GMD-1822-302.pdf#page=6","Abrir facsímil")</f>
        <v>Abrir facsímil</v>
      </c>
      <c r="K7917" s="3" t="s">
        <v>22</v>
      </c>
    </row>
    <row r="7918" spans="1:11" ht="42" customHeight="1">
      <c r="A7918" s="2" t="s">
        <v>15296</v>
      </c>
      <c r="B7918" s="2" t="s">
        <v>15297</v>
      </c>
      <c r="C7918" s="2" t="s">
        <v>16</v>
      </c>
      <c r="D7918" s="2" t="s">
        <v>17</v>
      </c>
      <c r="E7918" s="5">
        <v>-28197</v>
      </c>
      <c r="F7918" s="3" t="s">
        <v>568</v>
      </c>
      <c r="G7918" s="3" t="s">
        <v>19</v>
      </c>
      <c r="H7918" s="2" t="s">
        <v>20</v>
      </c>
      <c r="I7918" s="2" t="s">
        <v>15301</v>
      </c>
      <c r="J7918" s="3" t="str">
        <f>HYPERLINK("https://www.boe.es/gazeta/dias/1822/10/18/pdfs/GMD-1822-305.pdf#page=5","Abrir facsímil")</f>
        <v>Abrir facsímil</v>
      </c>
      <c r="K7918" s="3" t="s">
        <v>22</v>
      </c>
    </row>
    <row r="7919" spans="1:11" ht="42" customHeight="1">
      <c r="A7919" s="2" t="s">
        <v>15296</v>
      </c>
      <c r="B7919" s="2" t="s">
        <v>15297</v>
      </c>
      <c r="C7919" s="2" t="s">
        <v>28</v>
      </c>
      <c r="D7919" s="2" t="s">
        <v>29</v>
      </c>
      <c r="E7919" s="5">
        <v>-28196</v>
      </c>
      <c r="F7919" s="3" t="s">
        <v>570</v>
      </c>
      <c r="G7919" s="3" t="s">
        <v>63</v>
      </c>
      <c r="H7919" s="2" t="s">
        <v>20</v>
      </c>
      <c r="I7919" s="2" t="s">
        <v>15302</v>
      </c>
      <c r="J7919" s="3" t="str">
        <f>HYPERLINK("https://www.boe.es/gazeta/dias/1822/10/19/pdfs/GMD-1822-306.pdf#page=6","Abrir facsímil")</f>
        <v>Abrir facsímil</v>
      </c>
      <c r="K7919" s="3" t="s">
        <v>22</v>
      </c>
    </row>
    <row r="7920" spans="1:11" ht="42" customHeight="1">
      <c r="A7920" s="2" t="s">
        <v>15303</v>
      </c>
      <c r="B7920" s="2" t="s">
        <v>15304</v>
      </c>
      <c r="C7920" s="2" t="s">
        <v>28</v>
      </c>
      <c r="D7920" s="2" t="s">
        <v>29</v>
      </c>
      <c r="E7920" s="5">
        <v>-28196</v>
      </c>
      <c r="F7920" s="3" t="s">
        <v>570</v>
      </c>
      <c r="G7920" s="3" t="s">
        <v>63</v>
      </c>
      <c r="H7920" s="2" t="s">
        <v>20</v>
      </c>
      <c r="I7920" s="2" t="s">
        <v>15305</v>
      </c>
      <c r="J7920" s="3" t="str">
        <f>HYPERLINK("https://www.boe.es/gazeta/dias/1822/10/19/pdfs/GMD-1822-306.pdf#page=6","Abrir facsímil")</f>
        <v>Abrir facsímil</v>
      </c>
      <c r="K7920" s="3" t="s">
        <v>22</v>
      </c>
    </row>
    <row r="7921" spans="1:11" ht="42" customHeight="1">
      <c r="A7921" s="2" t="s">
        <v>15306</v>
      </c>
      <c r="B7921" s="2" t="s">
        <v>15307</v>
      </c>
      <c r="C7921" s="2" t="s">
        <v>71</v>
      </c>
      <c r="D7921" s="2" t="s">
        <v>17</v>
      </c>
      <c r="E7921" s="5">
        <v>-28238</v>
      </c>
      <c r="F7921" s="3" t="s">
        <v>2077</v>
      </c>
      <c r="G7921" s="3" t="s">
        <v>31</v>
      </c>
      <c r="H7921" s="2" t="s">
        <v>20</v>
      </c>
      <c r="I7921" s="2" t="s">
        <v>15308</v>
      </c>
      <c r="J7921" s="3" t="str">
        <f>HYPERLINK("https://www.boe.es/gazeta/dias/1822/09/07/pdfs/GMD-1822-262.pdf#page=3","Abrir facsímil")</f>
        <v>Abrir facsímil</v>
      </c>
      <c r="K7921" s="3" t="s">
        <v>22</v>
      </c>
    </row>
    <row r="7922" spans="1:11" ht="42" customHeight="1">
      <c r="A7922" s="2" t="s">
        <v>15309</v>
      </c>
      <c r="B7922" s="2" t="s">
        <v>15310</v>
      </c>
      <c r="C7922" s="2" t="s">
        <v>50</v>
      </c>
      <c r="D7922" s="2" t="s">
        <v>51</v>
      </c>
      <c r="E7922" s="5">
        <v>-28279</v>
      </c>
      <c r="F7922" s="3" t="s">
        <v>662</v>
      </c>
      <c r="G7922" s="3" t="s">
        <v>57</v>
      </c>
      <c r="H7922" s="2" t="s">
        <v>20</v>
      </c>
      <c r="I7922" s="2" t="s">
        <v>15311</v>
      </c>
      <c r="J7922" s="3" t="str">
        <f>HYPERLINK("https://www.boe.es/gazeta/dias/1822/07/28/pdfs/GMD-1822-221.pdf#page=4","Abrir facsímil")</f>
        <v>Abrir facsímil</v>
      </c>
      <c r="K7922" s="3" t="s">
        <v>22</v>
      </c>
    </row>
    <row r="7923" spans="1:11" ht="42" customHeight="1">
      <c r="A7923" s="2" t="s">
        <v>15312</v>
      </c>
      <c r="B7923" s="2" t="s">
        <v>15312</v>
      </c>
      <c r="C7923" s="2" t="s">
        <v>50</v>
      </c>
      <c r="D7923" s="2" t="s">
        <v>51</v>
      </c>
      <c r="E7923" s="5">
        <v>-28380</v>
      </c>
      <c r="F7923" s="3" t="s">
        <v>492</v>
      </c>
      <c r="G7923" s="3" t="s">
        <v>35</v>
      </c>
      <c r="H7923" s="2" t="s">
        <v>20</v>
      </c>
      <c r="I7923" s="2" t="s">
        <v>15313</v>
      </c>
      <c r="J7923" s="3" t="str">
        <f>HYPERLINK("https://www.boe.es/gazeta/dias/1822/04/18/pdfs/GMD-1822-110.pdf#page=2","Abrir facsímil")</f>
        <v>Abrir facsímil</v>
      </c>
      <c r="K7923" s="3" t="s">
        <v>22</v>
      </c>
    </row>
    <row r="7924" spans="1:11" ht="42" customHeight="1">
      <c r="A7924" s="2" t="s">
        <v>15314</v>
      </c>
      <c r="B7924" s="2" t="s">
        <v>15315</v>
      </c>
      <c r="C7924" s="2" t="s">
        <v>42</v>
      </c>
      <c r="D7924" s="2" t="s">
        <v>17</v>
      </c>
      <c r="E7924" s="5">
        <v>-28308</v>
      </c>
      <c r="F7924" s="3" t="s">
        <v>1050</v>
      </c>
      <c r="G7924" s="3" t="s">
        <v>35</v>
      </c>
      <c r="H7924" s="2" t="s">
        <v>20</v>
      </c>
      <c r="I7924" s="2" t="s">
        <v>15316</v>
      </c>
      <c r="J7924" s="3" t="str">
        <f>HYPERLINK("https://www.boe.es/gazeta/dias/1822/06/29/pdfs/GMD-1822-187.pdf#page=2","Abrir facsímil")</f>
        <v>Abrir facsímil</v>
      </c>
      <c r="K7924" s="3" t="s">
        <v>22</v>
      </c>
    </row>
    <row r="7925" spans="1:11" ht="42" customHeight="1">
      <c r="A7925" s="2" t="s">
        <v>15317</v>
      </c>
      <c r="B7925" s="2" t="s">
        <v>15318</v>
      </c>
      <c r="C7925" s="2" t="s">
        <v>28</v>
      </c>
      <c r="D7925" s="2" t="s">
        <v>29</v>
      </c>
      <c r="E7925" s="5">
        <v>-28351</v>
      </c>
      <c r="F7925" s="3" t="s">
        <v>282</v>
      </c>
      <c r="G7925" s="3" t="s">
        <v>35</v>
      </c>
      <c r="H7925" s="2" t="s">
        <v>20</v>
      </c>
      <c r="I7925" s="2" t="s">
        <v>15319</v>
      </c>
      <c r="J7925" s="3" t="str">
        <f>HYPERLINK("https://www.boe.es/gazeta/dias/1822/05/17/pdfs/GMD-1822-139.pdf#page=2","Abrir facsímil")</f>
        <v>Abrir facsímil</v>
      </c>
      <c r="K7925" s="3" t="s">
        <v>22</v>
      </c>
    </row>
    <row r="7926" spans="1:11" ht="42" customHeight="1">
      <c r="A7926" s="2" t="s">
        <v>15320</v>
      </c>
      <c r="B7926" s="2" t="s">
        <v>15321</v>
      </c>
      <c r="C7926" s="2" t="s">
        <v>50</v>
      </c>
      <c r="D7926" s="2" t="s">
        <v>51</v>
      </c>
      <c r="E7926" s="5">
        <v>-28430</v>
      </c>
      <c r="F7926" s="3" t="s">
        <v>3437</v>
      </c>
      <c r="G7926" s="3" t="s">
        <v>57</v>
      </c>
      <c r="H7926" s="2" t="s">
        <v>45</v>
      </c>
      <c r="I7926" s="2" t="s">
        <v>15322</v>
      </c>
      <c r="J7926" s="3" t="str">
        <f>HYPERLINK("https://www.boe.es/gazeta/dias/1822/02/27/pdfs/GMD-1822-59.pdf#page=4","Abrir facsímil")</f>
        <v>Abrir facsímil</v>
      </c>
      <c r="K7926" s="3" t="s">
        <v>47</v>
      </c>
    </row>
    <row r="7927" spans="1:11" ht="42" customHeight="1">
      <c r="A7927" s="2" t="s">
        <v>15323</v>
      </c>
      <c r="B7927" s="2" t="s">
        <v>15324</v>
      </c>
      <c r="C7927" s="2" t="s">
        <v>50</v>
      </c>
      <c r="D7927" s="2" t="s">
        <v>51</v>
      </c>
      <c r="E7927" s="5">
        <v>-28303</v>
      </c>
      <c r="F7927" s="3" t="s">
        <v>201</v>
      </c>
      <c r="G7927" s="3" t="s">
        <v>31</v>
      </c>
      <c r="H7927" s="2" t="s">
        <v>20</v>
      </c>
      <c r="I7927" s="2" t="s">
        <v>15325</v>
      </c>
      <c r="J7927" s="3" t="str">
        <f>HYPERLINK("https://www.boe.es/gazeta/dias/1822/07/04/pdfs/GMD-1822-193.pdf#page=3","Abrir facsímil")</f>
        <v>Abrir facsímil</v>
      </c>
      <c r="K7927" s="3" t="s">
        <v>22</v>
      </c>
    </row>
    <row r="7928" spans="1:11" ht="42" customHeight="1">
      <c r="A7928" s="2" t="s">
        <v>15326</v>
      </c>
      <c r="B7928" s="2" t="s">
        <v>15327</v>
      </c>
      <c r="C7928" s="2" t="s">
        <v>50</v>
      </c>
      <c r="D7928" s="2" t="s">
        <v>51</v>
      </c>
      <c r="E7928" s="5">
        <v>-28406</v>
      </c>
      <c r="F7928" s="3" t="s">
        <v>462</v>
      </c>
      <c r="G7928" s="3" t="s">
        <v>31</v>
      </c>
      <c r="H7928" s="2" t="s">
        <v>20</v>
      </c>
      <c r="I7928" s="2" t="s">
        <v>15328</v>
      </c>
      <c r="J7928" s="3" t="str">
        <f>HYPERLINK("https://www.boe.es/gazeta/dias/1822/03/23/pdfs/GMD-1822-84.pdf#page=3","Abrir facsímil")</f>
        <v>Abrir facsímil</v>
      </c>
      <c r="K7928" s="3" t="s">
        <v>22</v>
      </c>
    </row>
    <row r="7929" spans="1:11" ht="42" customHeight="1">
      <c r="A7929" s="2" t="s">
        <v>15329</v>
      </c>
      <c r="B7929" s="2" t="s">
        <v>15329</v>
      </c>
      <c r="C7929" s="2" t="s">
        <v>50</v>
      </c>
      <c r="D7929" s="2" t="s">
        <v>51</v>
      </c>
      <c r="E7929" s="5">
        <v>-28130</v>
      </c>
      <c r="F7929" s="3" t="s">
        <v>34</v>
      </c>
      <c r="G7929" s="3" t="s">
        <v>63</v>
      </c>
      <c r="H7929" s="2" t="s">
        <v>20</v>
      </c>
      <c r="I7929" s="2" t="s">
        <v>15330</v>
      </c>
      <c r="J7929" s="3" t="str">
        <f>HYPERLINK("https://www.boe.es/gazeta/dias/1822/12/24/pdfs/GMD-1822-374.pdf#page=6","Abrir facsímil")</f>
        <v>Abrir facsímil</v>
      </c>
      <c r="K7929" s="3" t="s">
        <v>22</v>
      </c>
    </row>
    <row r="7930" spans="1:11" ht="42" customHeight="1">
      <c r="A7930" s="2" t="s">
        <v>15331</v>
      </c>
      <c r="B7930" s="2" t="s">
        <v>15332</v>
      </c>
      <c r="C7930" s="2" t="s">
        <v>61</v>
      </c>
      <c r="D7930" s="2" t="s">
        <v>17</v>
      </c>
      <c r="E7930" s="5">
        <v>-28353</v>
      </c>
      <c r="F7930" s="3" t="s">
        <v>843</v>
      </c>
      <c r="G7930" s="3" t="s">
        <v>63</v>
      </c>
      <c r="H7930" s="2" t="s">
        <v>20</v>
      </c>
      <c r="I7930" s="2" t="s">
        <v>15333</v>
      </c>
      <c r="J7930" s="3" t="str">
        <f>HYPERLINK("https://www.boe.es/gazeta/dias/1822/05/15/pdfs/GMD-1822-137.pdf#page=6","Abrir facsímil")</f>
        <v>Abrir facsímil</v>
      </c>
      <c r="K7930" s="3" t="s">
        <v>22</v>
      </c>
    </row>
    <row r="7931" spans="1:11" ht="42" customHeight="1">
      <c r="A7931" s="2" t="s">
        <v>15334</v>
      </c>
      <c r="B7931" s="2" t="s">
        <v>15335</v>
      </c>
      <c r="C7931" s="2" t="s">
        <v>50</v>
      </c>
      <c r="D7931" s="2" t="s">
        <v>51</v>
      </c>
      <c r="E7931" s="5">
        <v>-28412</v>
      </c>
      <c r="F7931" s="3" t="s">
        <v>825</v>
      </c>
      <c r="G7931" s="3" t="s">
        <v>35</v>
      </c>
      <c r="H7931" s="2" t="s">
        <v>45</v>
      </c>
      <c r="I7931" s="2" t="s">
        <v>15336</v>
      </c>
      <c r="J7931" s="3" t="str">
        <f>HYPERLINK("https://www.boe.es/gazeta/dias/1822/03/17/pdfs/GMD-1822-78.pdf#page=2","Abrir facsímil")</f>
        <v>Abrir facsímil</v>
      </c>
      <c r="K7931" s="3" t="s">
        <v>47</v>
      </c>
    </row>
    <row r="7932" spans="1:11" ht="42" customHeight="1">
      <c r="A7932" s="2" t="s">
        <v>15337</v>
      </c>
      <c r="B7932" s="2" t="s">
        <v>15337</v>
      </c>
      <c r="C7932" s="2" t="s">
        <v>42</v>
      </c>
      <c r="D7932" s="2" t="s">
        <v>17</v>
      </c>
      <c r="E7932" s="5">
        <v>-28359</v>
      </c>
      <c r="F7932" s="3" t="s">
        <v>209</v>
      </c>
      <c r="G7932" s="3" t="s">
        <v>63</v>
      </c>
      <c r="H7932" s="2" t="s">
        <v>20</v>
      </c>
      <c r="I7932" s="2" t="s">
        <v>15338</v>
      </c>
      <c r="J7932" s="3" t="str">
        <f>HYPERLINK("https://www.boe.es/gazeta/dias/1822/05/09/pdfs/GMD-1822-131.pdf#page=6","Abrir facsímil")</f>
        <v>Abrir facsímil</v>
      </c>
      <c r="K7932" s="3" t="s">
        <v>22</v>
      </c>
    </row>
    <row r="7933" spans="1:11" ht="42" customHeight="1">
      <c r="A7933" s="2" t="s">
        <v>15339</v>
      </c>
      <c r="B7933" s="2" t="s">
        <v>15340</v>
      </c>
      <c r="C7933" s="2" t="s">
        <v>50</v>
      </c>
      <c r="D7933" s="2" t="s">
        <v>51</v>
      </c>
      <c r="E7933" s="5">
        <v>-28345</v>
      </c>
      <c r="F7933" s="3" t="s">
        <v>294</v>
      </c>
      <c r="G7933" s="3" t="s">
        <v>19</v>
      </c>
      <c r="H7933" s="2" t="s">
        <v>20</v>
      </c>
      <c r="I7933" s="2" t="s">
        <v>15341</v>
      </c>
      <c r="J7933" s="3" t="str">
        <f>HYPERLINK("https://www.boe.es/gazeta/dias/1822/05/23/pdfs/GMD-1822-147.pdf#page=5","Abrir facsímil")</f>
        <v>Abrir facsímil</v>
      </c>
      <c r="K7933" s="3" t="s">
        <v>22</v>
      </c>
    </row>
    <row r="7934" spans="1:11" ht="42" customHeight="1">
      <c r="A7934" s="2" t="s">
        <v>15342</v>
      </c>
      <c r="B7934" s="2" t="s">
        <v>15343</v>
      </c>
      <c r="C7934" s="2" t="s">
        <v>50</v>
      </c>
      <c r="D7934" s="2" t="s">
        <v>51</v>
      </c>
      <c r="E7934" s="5">
        <v>-28130</v>
      </c>
      <c r="F7934" s="3" t="s">
        <v>34</v>
      </c>
      <c r="G7934" s="3" t="s">
        <v>63</v>
      </c>
      <c r="H7934" s="2" t="s">
        <v>45</v>
      </c>
      <c r="I7934" s="2" t="s">
        <v>15344</v>
      </c>
      <c r="J7934" s="3" t="str">
        <f>HYPERLINK("https://www.boe.es/gazeta/dias/1822/12/24/pdfs/GMD-1822-374.pdf#page=6","Abrir facsímil")</f>
        <v>Abrir facsímil</v>
      </c>
      <c r="K7934" s="3" t="s">
        <v>47</v>
      </c>
    </row>
    <row r="7935" spans="1:11" ht="42" customHeight="1">
      <c r="A7935" s="2" t="s">
        <v>15345</v>
      </c>
      <c r="B7935" s="2" t="s">
        <v>15345</v>
      </c>
      <c r="C7935" s="2" t="s">
        <v>50</v>
      </c>
      <c r="D7935" s="2" t="s">
        <v>51</v>
      </c>
      <c r="E7935" s="5">
        <v>-28312</v>
      </c>
      <c r="F7935" s="3" t="s">
        <v>92</v>
      </c>
      <c r="G7935" s="3" t="s">
        <v>44</v>
      </c>
      <c r="H7935" s="2" t="s">
        <v>20</v>
      </c>
      <c r="I7935" s="2" t="s">
        <v>15346</v>
      </c>
      <c r="J7935" s="3" t="str">
        <f>HYPERLINK("https://www.boe.es/gazeta/dias/1822/06/25/pdfs/GMD-1822-183.pdf#page=1","Abrir facsímil")</f>
        <v>Abrir facsímil</v>
      </c>
      <c r="K7935" s="3" t="s">
        <v>22</v>
      </c>
    </row>
    <row r="7936" spans="1:11" ht="42" customHeight="1">
      <c r="A7936" s="2" t="s">
        <v>15347</v>
      </c>
      <c r="B7936" s="2" t="s">
        <v>15348</v>
      </c>
      <c r="C7936" s="2" t="s">
        <v>42</v>
      </c>
      <c r="D7936" s="2" t="s">
        <v>17</v>
      </c>
      <c r="E7936" s="5">
        <v>-28308</v>
      </c>
      <c r="F7936" s="3" t="s">
        <v>1050</v>
      </c>
      <c r="G7936" s="3" t="s">
        <v>157</v>
      </c>
      <c r="H7936" s="2" t="s">
        <v>20</v>
      </c>
      <c r="I7936" s="2" t="s">
        <v>15349</v>
      </c>
      <c r="J7936" s="3" t="str">
        <f>HYPERLINK("https://www.boe.es/gazeta/dias/1822/06/29/pdfs/GMD-1822-187.pdf#page=8","Abrir facsímil")</f>
        <v>Abrir facsímil</v>
      </c>
      <c r="K7936" s="3" t="s">
        <v>22</v>
      </c>
    </row>
    <row r="7937" spans="1:11" ht="42" customHeight="1">
      <c r="A7937" s="2" t="s">
        <v>15350</v>
      </c>
      <c r="B7937" s="2" t="s">
        <v>15351</v>
      </c>
      <c r="C7937" s="2" t="s">
        <v>71</v>
      </c>
      <c r="D7937" s="2" t="s">
        <v>17</v>
      </c>
      <c r="E7937" s="5">
        <v>-28418</v>
      </c>
      <c r="F7937" s="3" t="s">
        <v>205</v>
      </c>
      <c r="G7937" s="3" t="s">
        <v>167</v>
      </c>
      <c r="H7937" s="2" t="s">
        <v>20</v>
      </c>
      <c r="I7937" s="2" t="s">
        <v>15352</v>
      </c>
      <c r="J7937" s="3" t="str">
        <f>HYPERLINK("https://www.boe.es/gazeta/dias/1822/03/11/pdfs/GMD-1822-72.pdf#page=7","Abrir facsímil")</f>
        <v>Abrir facsímil</v>
      </c>
      <c r="K7937" s="3" t="s">
        <v>22</v>
      </c>
    </row>
    <row r="7938" spans="1:11" ht="42" customHeight="1">
      <c r="A7938" s="2" t="s">
        <v>15353</v>
      </c>
      <c r="B7938" s="2" t="s">
        <v>15353</v>
      </c>
      <c r="C7938" s="2" t="s">
        <v>28</v>
      </c>
      <c r="D7938" s="2" t="s">
        <v>29</v>
      </c>
      <c r="E7938" s="5">
        <v>-28344</v>
      </c>
      <c r="F7938" s="3" t="s">
        <v>524</v>
      </c>
      <c r="G7938" s="3" t="s">
        <v>31</v>
      </c>
      <c r="H7938" s="2" t="s">
        <v>20</v>
      </c>
      <c r="I7938" s="2" t="s">
        <v>15354</v>
      </c>
      <c r="J7938" s="3" t="str">
        <f>HYPERLINK("https://www.boe.es/gazeta/dias/1822/05/24/pdfs/GMD-1822-148.pdf#page=3","Abrir facsímil")</f>
        <v>Abrir facsímil</v>
      </c>
      <c r="K7938" s="3" t="s">
        <v>22</v>
      </c>
    </row>
    <row r="7939" spans="1:11" ht="42" customHeight="1">
      <c r="A7939" s="2" t="s">
        <v>15355</v>
      </c>
      <c r="B7939" s="2" t="s">
        <v>15356</v>
      </c>
      <c r="C7939" s="2" t="s">
        <v>71</v>
      </c>
      <c r="D7939" s="2" t="s">
        <v>17</v>
      </c>
      <c r="E7939" s="5">
        <v>-28447</v>
      </c>
      <c r="F7939" s="3" t="s">
        <v>997</v>
      </c>
      <c r="G7939" s="3" t="s">
        <v>57</v>
      </c>
      <c r="H7939" s="2" t="s">
        <v>20</v>
      </c>
      <c r="I7939" s="2" t="s">
        <v>15357</v>
      </c>
      <c r="J7939" s="3" t="str">
        <f>HYPERLINK("https://www.boe.es/gazeta/dias/1822/02/10/pdfs/GMD-1822-41.pdf#page=4","Abrir facsímil")</f>
        <v>Abrir facsímil</v>
      </c>
      <c r="K7939" s="3" t="s">
        <v>22</v>
      </c>
    </row>
    <row r="7940" spans="1:11" ht="42" customHeight="1">
      <c r="A7940" s="2" t="s">
        <v>15358</v>
      </c>
      <c r="B7940" s="2" t="s">
        <v>15359</v>
      </c>
      <c r="C7940" s="2" t="s">
        <v>42</v>
      </c>
      <c r="D7940" s="2" t="s">
        <v>17</v>
      </c>
      <c r="E7940" s="5">
        <v>-28214</v>
      </c>
      <c r="F7940" s="3" t="s">
        <v>814</v>
      </c>
      <c r="G7940" s="3" t="s">
        <v>57</v>
      </c>
      <c r="H7940" s="2" t="s">
        <v>20</v>
      </c>
      <c r="I7940" s="2" t="s">
        <v>15360</v>
      </c>
      <c r="J7940" s="3" t="str">
        <f>HYPERLINK("https://www.boe.es/gazeta/dias/1822/10/01/pdfs/GMD-1822-287.pdf#page=4","Abrir facsímil")</f>
        <v>Abrir facsímil</v>
      </c>
      <c r="K7940" s="3" t="s">
        <v>22</v>
      </c>
    </row>
    <row r="7941" spans="1:11" ht="42" customHeight="1">
      <c r="A7941" s="2" t="s">
        <v>15361</v>
      </c>
      <c r="B7941" s="2" t="s">
        <v>15362</v>
      </c>
      <c r="C7941" s="2" t="s">
        <v>16</v>
      </c>
      <c r="D7941" s="2" t="s">
        <v>17</v>
      </c>
      <c r="E7941" s="5">
        <v>-28370</v>
      </c>
      <c r="F7941" s="3" t="s">
        <v>207</v>
      </c>
      <c r="G7941" s="3" t="s">
        <v>63</v>
      </c>
      <c r="H7941" s="2" t="s">
        <v>20</v>
      </c>
      <c r="I7941" s="2" t="s">
        <v>15363</v>
      </c>
      <c r="J7941" s="3" t="str">
        <f>HYPERLINK("https://www.boe.es/gazeta/dias/1822/04/28/pdfs/GMD-1822-120.pdf#page=6","Abrir facsímil")</f>
        <v>Abrir facsímil</v>
      </c>
      <c r="K7941" s="3" t="s">
        <v>22</v>
      </c>
    </row>
    <row r="7942" spans="1:11" ht="42" customHeight="1">
      <c r="A7942" s="2" t="s">
        <v>15364</v>
      </c>
      <c r="B7942" s="2" t="s">
        <v>15365</v>
      </c>
      <c r="C7942" s="2" t="s">
        <v>42</v>
      </c>
      <c r="D7942" s="2" t="s">
        <v>17</v>
      </c>
      <c r="E7942" s="5">
        <v>-28131</v>
      </c>
      <c r="F7942" s="3" t="s">
        <v>893</v>
      </c>
      <c r="G7942" s="3" t="s">
        <v>991</v>
      </c>
      <c r="H7942" s="2" t="s">
        <v>20</v>
      </c>
      <c r="I7942" s="2" t="s">
        <v>15366</v>
      </c>
      <c r="J7942" s="3" t="str">
        <f>HYPERLINK("https://www.boe.es/gazeta/dias/1822/12/23/pdfs/GMD-1822-373.pdf#page=6","Abrir facsímil")</f>
        <v>Abrir facsímil</v>
      </c>
      <c r="K7942" s="3" t="s">
        <v>22</v>
      </c>
    </row>
    <row r="7943" spans="1:11" ht="42" customHeight="1">
      <c r="A7943" s="2" t="s">
        <v>15367</v>
      </c>
      <c r="B7943" s="2" t="s">
        <v>15368</v>
      </c>
      <c r="C7943" s="2" t="s">
        <v>50</v>
      </c>
      <c r="D7943" s="2" t="s">
        <v>51</v>
      </c>
      <c r="E7943" s="5">
        <v>-28324</v>
      </c>
      <c r="F7943" s="3" t="s">
        <v>305</v>
      </c>
      <c r="G7943" s="3" t="s">
        <v>19</v>
      </c>
      <c r="H7943" s="2" t="s">
        <v>20</v>
      </c>
      <c r="I7943" s="2" t="s">
        <v>15369</v>
      </c>
      <c r="J7943" s="3" t="str">
        <f>HYPERLINK("https://www.boe.es/gazeta/dias/1822/06/13/pdfs/GMD-1822-170.pdf#page=5","Abrir facsímil")</f>
        <v>Abrir facsímil</v>
      </c>
      <c r="K7943" s="3" t="s">
        <v>22</v>
      </c>
    </row>
    <row r="7944" spans="1:11" ht="42" customHeight="1">
      <c r="A7944" s="2" t="s">
        <v>15370</v>
      </c>
      <c r="B7944" s="2" t="s">
        <v>15370</v>
      </c>
      <c r="C7944" s="2" t="s">
        <v>42</v>
      </c>
      <c r="D7944" s="2" t="s">
        <v>17</v>
      </c>
      <c r="E7944" s="5">
        <v>-28450</v>
      </c>
      <c r="F7944" s="3" t="s">
        <v>1450</v>
      </c>
      <c r="G7944" s="3" t="s">
        <v>31</v>
      </c>
      <c r="H7944" s="2" t="s">
        <v>20</v>
      </c>
      <c r="I7944" s="2" t="s">
        <v>15371</v>
      </c>
      <c r="J7944" s="3" t="str">
        <f>HYPERLINK("https://www.boe.es/gazeta/dias/1822/02/07/pdfs/GMD-1822-38.pdf#page=3","Abrir facsímil")</f>
        <v>Abrir facsímil</v>
      </c>
      <c r="K7944" s="3" t="s">
        <v>22</v>
      </c>
    </row>
    <row r="7945" spans="1:11" ht="42" customHeight="1">
      <c r="A7945" s="2" t="s">
        <v>15372</v>
      </c>
      <c r="B7945" s="2" t="s">
        <v>15372</v>
      </c>
      <c r="C7945" s="2" t="s">
        <v>50</v>
      </c>
      <c r="D7945" s="2" t="s">
        <v>51</v>
      </c>
      <c r="E7945" s="5">
        <v>-28394</v>
      </c>
      <c r="F7945" s="3" t="s">
        <v>268</v>
      </c>
      <c r="G7945" s="3" t="s">
        <v>57</v>
      </c>
      <c r="H7945" s="2" t="s">
        <v>20</v>
      </c>
      <c r="I7945" s="2" t="s">
        <v>15373</v>
      </c>
      <c r="J7945" s="3" t="str">
        <f>HYPERLINK("https://www.boe.es/gazeta/dias/1822/04/04/pdfs/GMD-1822-96.pdf#page=4","Abrir facsímil")</f>
        <v>Abrir facsímil</v>
      </c>
      <c r="K7945" s="3" t="s">
        <v>22</v>
      </c>
    </row>
    <row r="7946" spans="1:11" ht="42" customHeight="1">
      <c r="A7946" s="2" t="s">
        <v>15374</v>
      </c>
      <c r="B7946" s="2" t="s">
        <v>15375</v>
      </c>
      <c r="C7946" s="2" t="s">
        <v>50</v>
      </c>
      <c r="D7946" s="2" t="s">
        <v>51</v>
      </c>
      <c r="E7946" s="5">
        <v>-28458</v>
      </c>
      <c r="F7946" s="3" t="s">
        <v>1151</v>
      </c>
      <c r="G7946" s="3" t="s">
        <v>57</v>
      </c>
      <c r="H7946" s="2" t="s">
        <v>20</v>
      </c>
      <c r="I7946" s="2" t="s">
        <v>15376</v>
      </c>
      <c r="J7946" s="3" t="str">
        <f>HYPERLINK("https://www.boe.es/gazeta/dias/1822/01/30/pdfs/GMD-1822-30.pdf#page=4","Abrir facsímil")</f>
        <v>Abrir facsímil</v>
      </c>
      <c r="K7946" s="3" t="s">
        <v>22</v>
      </c>
    </row>
    <row r="7947" spans="1:11" ht="42" customHeight="1">
      <c r="A7947" s="2" t="s">
        <v>15377</v>
      </c>
      <c r="B7947" s="2" t="s">
        <v>15377</v>
      </c>
      <c r="C7947" s="2" t="s">
        <v>50</v>
      </c>
      <c r="D7947" s="2" t="s">
        <v>51</v>
      </c>
      <c r="E7947" s="5">
        <v>-28211</v>
      </c>
      <c r="F7947" s="3" t="s">
        <v>273</v>
      </c>
      <c r="G7947" s="3" t="s">
        <v>57</v>
      </c>
      <c r="H7947" s="2" t="s">
        <v>20</v>
      </c>
      <c r="I7947" s="2" t="s">
        <v>15378</v>
      </c>
      <c r="J7947" s="3" t="str">
        <f>HYPERLINK("https://www.boe.es/gazeta/dias/1822/10/04/pdfs/GMD-1822-290.pdf#page=4","Abrir facsímil")</f>
        <v>Abrir facsímil</v>
      </c>
      <c r="K7947" s="3" t="s">
        <v>22</v>
      </c>
    </row>
    <row r="7948" spans="1:11" ht="42" customHeight="1">
      <c r="A7948" s="2" t="s">
        <v>15379</v>
      </c>
      <c r="B7948" s="2" t="s">
        <v>15380</v>
      </c>
      <c r="C7948" s="2" t="s">
        <v>50</v>
      </c>
      <c r="D7948" s="2" t="s">
        <v>51</v>
      </c>
      <c r="E7948" s="5">
        <v>-28288</v>
      </c>
      <c r="F7948" s="3" t="s">
        <v>970</v>
      </c>
      <c r="G7948" s="3" t="s">
        <v>44</v>
      </c>
      <c r="H7948" s="2" t="s">
        <v>20</v>
      </c>
      <c r="I7948" s="2" t="s">
        <v>15381</v>
      </c>
      <c r="J7948" s="3" t="str">
        <f>HYPERLINK("https://www.boe.es/gazeta/dias/1822/07/19/pdfs/GMD-1822-211.pdf#page=1","Abrir facsímil")</f>
        <v>Abrir facsímil</v>
      </c>
      <c r="K7948" s="3" t="s">
        <v>22</v>
      </c>
    </row>
    <row r="7949" spans="1:11" ht="42" customHeight="1">
      <c r="A7949" s="2" t="s">
        <v>15382</v>
      </c>
      <c r="B7949" s="2" t="s">
        <v>15383</v>
      </c>
      <c r="C7949" s="2" t="s">
        <v>71</v>
      </c>
      <c r="D7949" s="2" t="s">
        <v>17</v>
      </c>
      <c r="E7949" s="5">
        <v>-28275</v>
      </c>
      <c r="F7949" s="3" t="s">
        <v>1297</v>
      </c>
      <c r="G7949" s="3" t="s">
        <v>57</v>
      </c>
      <c r="H7949" s="2" t="s">
        <v>20</v>
      </c>
      <c r="I7949" s="2" t="s">
        <v>15384</v>
      </c>
      <c r="J7949" s="3" t="str">
        <f>HYPERLINK("https://www.boe.es/gazeta/dias/1822/08/01/pdfs/GMD-1822-225.pdf#page=4","Abrir facsímil")</f>
        <v>Abrir facsímil</v>
      </c>
      <c r="K7949" s="3" t="s">
        <v>22</v>
      </c>
    </row>
    <row r="7950" spans="1:11" ht="42" customHeight="1">
      <c r="A7950" s="2" t="s">
        <v>15385</v>
      </c>
      <c r="B7950" s="2" t="s">
        <v>15386</v>
      </c>
      <c r="C7950" s="2" t="s">
        <v>42</v>
      </c>
      <c r="D7950" s="2" t="s">
        <v>17</v>
      </c>
      <c r="E7950" s="5">
        <v>-28162</v>
      </c>
      <c r="F7950" s="3" t="s">
        <v>3949</v>
      </c>
      <c r="G7950" s="3" t="s">
        <v>63</v>
      </c>
      <c r="H7950" s="2" t="s">
        <v>45</v>
      </c>
      <c r="I7950" s="2" t="s">
        <v>15387</v>
      </c>
      <c r="J7950" s="3" t="str">
        <f>HYPERLINK("https://www.boe.es/gazeta/dias/1822/11/22/pdfs/GMD-1822-342.pdf#page=6","Abrir facsímil")</f>
        <v>Abrir facsímil</v>
      </c>
      <c r="K7950" s="3" t="s">
        <v>47</v>
      </c>
    </row>
    <row r="7951" spans="1:11" ht="42" customHeight="1">
      <c r="A7951" s="2" t="s">
        <v>15388</v>
      </c>
      <c r="B7951" s="2" t="s">
        <v>15388</v>
      </c>
      <c r="C7951" s="2" t="s">
        <v>50</v>
      </c>
      <c r="D7951" s="2" t="s">
        <v>51</v>
      </c>
      <c r="E7951" s="5">
        <v>-28333</v>
      </c>
      <c r="F7951" s="3" t="s">
        <v>1928</v>
      </c>
      <c r="G7951" s="3" t="s">
        <v>19</v>
      </c>
      <c r="H7951" s="2" t="s">
        <v>20</v>
      </c>
      <c r="I7951" s="2" t="s">
        <v>15389</v>
      </c>
      <c r="J7951" s="3" t="str">
        <f>HYPERLINK("https://www.boe.es/gazeta/dias/1822/06/04/pdfs/GMD-1822-161.pdf#page=5","Abrir facsímil")</f>
        <v>Abrir facsímil</v>
      </c>
      <c r="K7951" s="3" t="s">
        <v>22</v>
      </c>
    </row>
    <row r="7952" spans="1:11" ht="42" customHeight="1">
      <c r="A7952" s="2" t="s">
        <v>15388</v>
      </c>
      <c r="B7952" s="2" t="s">
        <v>15388</v>
      </c>
      <c r="C7952" s="2" t="s">
        <v>42</v>
      </c>
      <c r="D7952" s="2" t="s">
        <v>17</v>
      </c>
      <c r="E7952" s="5">
        <v>-28212</v>
      </c>
      <c r="F7952" s="3" t="s">
        <v>560</v>
      </c>
      <c r="G7952" s="3" t="s">
        <v>44</v>
      </c>
      <c r="H7952" s="2" t="s">
        <v>20</v>
      </c>
      <c r="I7952" s="2" t="s">
        <v>15390</v>
      </c>
      <c r="J7952" s="3" t="str">
        <f>HYPERLINK("https://www.boe.es/gazeta/dias/1822/10/03/pdfs/GMD-1822-289.pdf#page=1","Abrir facsímil")</f>
        <v>Abrir facsímil</v>
      </c>
      <c r="K7952" s="3" t="s">
        <v>22</v>
      </c>
    </row>
    <row r="7953" spans="1:11" ht="42" customHeight="1">
      <c r="A7953" s="2" t="s">
        <v>15391</v>
      </c>
      <c r="B7953" s="2" t="s">
        <v>15392</v>
      </c>
      <c r="C7953" s="2" t="s">
        <v>50</v>
      </c>
      <c r="D7953" s="2" t="s">
        <v>51</v>
      </c>
      <c r="E7953" s="5">
        <v>-28354</v>
      </c>
      <c r="F7953" s="3" t="s">
        <v>226</v>
      </c>
      <c r="G7953" s="3" t="s">
        <v>57</v>
      </c>
      <c r="H7953" s="2" t="s">
        <v>20</v>
      </c>
      <c r="I7953" s="2" t="s">
        <v>15393</v>
      </c>
      <c r="J7953" s="3" t="str">
        <f>HYPERLINK("https://www.boe.es/gazeta/dias/1822/05/14/pdfs/GMD-1822-136.pdf#page=4","Abrir facsímil")</f>
        <v>Abrir facsímil</v>
      </c>
      <c r="K7953" s="3" t="s">
        <v>22</v>
      </c>
    </row>
    <row r="7954" spans="1:11" ht="42" customHeight="1">
      <c r="A7954" s="2" t="s">
        <v>15394</v>
      </c>
      <c r="B7954" s="2" t="s">
        <v>15395</v>
      </c>
      <c r="C7954" s="2" t="s">
        <v>50</v>
      </c>
      <c r="D7954" s="2" t="s">
        <v>51</v>
      </c>
      <c r="E7954" s="5">
        <v>-28169</v>
      </c>
      <c r="F7954" s="3" t="s">
        <v>2571</v>
      </c>
      <c r="G7954" s="3" t="s">
        <v>63</v>
      </c>
      <c r="H7954" s="2" t="s">
        <v>20</v>
      </c>
      <c r="I7954" s="2" t="s">
        <v>15396</v>
      </c>
      <c r="J7954" s="3" t="str">
        <f>HYPERLINK("https://www.boe.es/gazeta/dias/1822/11/15/pdfs/GMD-1822-335.pdf#page=6","Abrir facsímil")</f>
        <v>Abrir facsímil</v>
      </c>
      <c r="K7954" s="3" t="s">
        <v>22</v>
      </c>
    </row>
    <row r="7955" spans="1:11" ht="42" customHeight="1">
      <c r="A7955" s="2" t="s">
        <v>15397</v>
      </c>
      <c r="B7955" s="2" t="s">
        <v>15398</v>
      </c>
      <c r="C7955" s="2" t="s">
        <v>61</v>
      </c>
      <c r="D7955" s="2" t="s">
        <v>17</v>
      </c>
      <c r="E7955" s="5">
        <v>-28328</v>
      </c>
      <c r="F7955" s="3" t="s">
        <v>540</v>
      </c>
      <c r="G7955" s="3" t="s">
        <v>31</v>
      </c>
      <c r="H7955" s="2" t="s">
        <v>20</v>
      </c>
      <c r="I7955" s="2" t="s">
        <v>15399</v>
      </c>
      <c r="J7955" s="3" t="str">
        <f>HYPERLINK("https://www.boe.es/gazeta/dias/1822/06/09/pdfs/GMD-1822-166.pdf#page=3","Abrir facsímil")</f>
        <v>Abrir facsímil</v>
      </c>
      <c r="K7955" s="3" t="s">
        <v>22</v>
      </c>
    </row>
    <row r="7956" spans="1:11" ht="42" customHeight="1">
      <c r="A7956" s="2" t="s">
        <v>15400</v>
      </c>
      <c r="B7956" s="2" t="s">
        <v>15401</v>
      </c>
      <c r="C7956" s="2" t="s">
        <v>28</v>
      </c>
      <c r="D7956" s="2" t="s">
        <v>29</v>
      </c>
      <c r="E7956" s="5">
        <v>-28329</v>
      </c>
      <c r="F7956" s="3" t="s">
        <v>354</v>
      </c>
      <c r="G7956" s="3" t="s">
        <v>35</v>
      </c>
      <c r="H7956" s="2" t="s">
        <v>20</v>
      </c>
      <c r="I7956" s="2" t="s">
        <v>15402</v>
      </c>
      <c r="J7956" s="3" t="str">
        <f>HYPERLINK("https://www.boe.es/gazeta/dias/1822/06/08/pdfs/GMD-1822-165.pdf#page=2","Abrir facsímil")</f>
        <v>Abrir facsímil</v>
      </c>
      <c r="K7956" s="3" t="s">
        <v>22</v>
      </c>
    </row>
    <row r="7957" spans="1:11" ht="42" customHeight="1">
      <c r="A7957" s="2" t="s">
        <v>15403</v>
      </c>
      <c r="B7957" s="2" t="s">
        <v>15404</v>
      </c>
      <c r="C7957" s="2" t="s">
        <v>28</v>
      </c>
      <c r="D7957" s="2" t="s">
        <v>29</v>
      </c>
      <c r="E7957" s="5">
        <v>-28229</v>
      </c>
      <c r="F7957" s="3" t="s">
        <v>2310</v>
      </c>
      <c r="G7957" s="3" t="s">
        <v>57</v>
      </c>
      <c r="H7957" s="2" t="s">
        <v>20</v>
      </c>
      <c r="I7957" s="2" t="s">
        <v>15405</v>
      </c>
      <c r="J7957" s="3" t="str">
        <f>HYPERLINK("https://www.boe.es/gazeta/dias/1822/09/16/pdfs/GMD-1822-272.pdf#page=4","Abrir facsímil")</f>
        <v>Abrir facsímil</v>
      </c>
      <c r="K7957" s="3" t="s">
        <v>22</v>
      </c>
    </row>
    <row r="7958" spans="1:11" ht="42" customHeight="1">
      <c r="A7958" s="2" t="s">
        <v>15406</v>
      </c>
      <c r="B7958" s="2" t="s">
        <v>15407</v>
      </c>
      <c r="C7958" s="2" t="s">
        <v>50</v>
      </c>
      <c r="D7958" s="2" t="s">
        <v>51</v>
      </c>
      <c r="E7958" s="5">
        <v>-28306</v>
      </c>
      <c r="F7958" s="3" t="s">
        <v>348</v>
      </c>
      <c r="G7958" s="3" t="s">
        <v>57</v>
      </c>
      <c r="H7958" s="2" t="s">
        <v>20</v>
      </c>
      <c r="I7958" s="2" t="s">
        <v>15408</v>
      </c>
      <c r="J7958" s="3" t="str">
        <f>HYPERLINK("https://www.boe.es/gazeta/dias/1822/07/01/pdfs/GMD-1822-190.pdf#page=4","Abrir facsímil")</f>
        <v>Abrir facsímil</v>
      </c>
      <c r="K7958" s="3" t="s">
        <v>22</v>
      </c>
    </row>
    <row r="7959" spans="1:11" ht="42" customHeight="1">
      <c r="A7959" s="2" t="s">
        <v>15409</v>
      </c>
      <c r="B7959" s="2" t="s">
        <v>15409</v>
      </c>
      <c r="C7959" s="2" t="s">
        <v>50</v>
      </c>
      <c r="D7959" s="2" t="s">
        <v>51</v>
      </c>
      <c r="E7959" s="5">
        <v>-28139</v>
      </c>
      <c r="F7959" s="3" t="s">
        <v>143</v>
      </c>
      <c r="G7959" s="3" t="s">
        <v>44</v>
      </c>
      <c r="H7959" s="2" t="s">
        <v>20</v>
      </c>
      <c r="I7959" s="2" t="s">
        <v>15410</v>
      </c>
      <c r="J7959" s="3" t="str">
        <f>HYPERLINK("https://www.boe.es/gazeta/dias/1822/12/15/pdfs/GMD-1822-365.pdf#page=1","Abrir facsímil")</f>
        <v>Abrir facsímil</v>
      </c>
      <c r="K7959" s="3" t="s">
        <v>22</v>
      </c>
    </row>
    <row r="7960" spans="1:11" ht="42" customHeight="1">
      <c r="A7960" s="2" t="s">
        <v>15411</v>
      </c>
      <c r="B7960" s="2" t="s">
        <v>15412</v>
      </c>
      <c r="C7960" s="2" t="s">
        <v>28</v>
      </c>
      <c r="D7960" s="2" t="s">
        <v>29</v>
      </c>
      <c r="E7960" s="5">
        <v>-28432</v>
      </c>
      <c r="F7960" s="3" t="s">
        <v>195</v>
      </c>
      <c r="G7960" s="3" t="s">
        <v>57</v>
      </c>
      <c r="H7960" s="2" t="s">
        <v>45</v>
      </c>
      <c r="I7960" s="2" t="s">
        <v>15413</v>
      </c>
      <c r="J7960" s="3" t="str">
        <f>HYPERLINK("https://www.boe.es/gazeta/dias/1822/02/25/pdfs/GMD-1822-57.pdf#page=4","Abrir facsímil")</f>
        <v>Abrir facsímil</v>
      </c>
      <c r="K7960" s="3" t="s">
        <v>47</v>
      </c>
    </row>
    <row r="7961" spans="1:11" ht="42" customHeight="1">
      <c r="A7961" s="2" t="s">
        <v>15414</v>
      </c>
      <c r="B7961" s="2" t="s">
        <v>15414</v>
      </c>
      <c r="C7961" s="2" t="s">
        <v>24</v>
      </c>
      <c r="D7961" s="2" t="s">
        <v>17</v>
      </c>
      <c r="E7961" s="5">
        <v>-28463</v>
      </c>
      <c r="F7961" s="3" t="s">
        <v>25</v>
      </c>
      <c r="G7961" s="3" t="s">
        <v>63</v>
      </c>
      <c r="H7961" s="2" t="s">
        <v>20</v>
      </c>
      <c r="I7961" s="2" t="s">
        <v>15415</v>
      </c>
      <c r="J7961" s="3" t="str">
        <f>HYPERLINK("https://www.boe.es/gazeta/dias/1822/01/25/pdfs/GMD-1822-25.pdf#page=6","Abrir facsímil")</f>
        <v>Abrir facsímil</v>
      </c>
      <c r="K7961" s="3" t="s">
        <v>22</v>
      </c>
    </row>
    <row r="7962" spans="1:11" ht="42" customHeight="1">
      <c r="A7962" s="2" t="s">
        <v>15414</v>
      </c>
      <c r="B7962" s="2" t="s">
        <v>15414</v>
      </c>
      <c r="C7962" s="2" t="s">
        <v>28</v>
      </c>
      <c r="D7962" s="2" t="s">
        <v>29</v>
      </c>
      <c r="E7962" s="5">
        <v>-28414</v>
      </c>
      <c r="F7962" s="3" t="s">
        <v>187</v>
      </c>
      <c r="G7962" s="3" t="s">
        <v>63</v>
      </c>
      <c r="H7962" s="2" t="s">
        <v>20</v>
      </c>
      <c r="I7962" s="2" t="s">
        <v>15416</v>
      </c>
      <c r="J7962" s="3" t="str">
        <f>HYPERLINK("https://www.boe.es/gazeta/dias/1822/03/15/pdfs/GMD-1822-76.pdf#page=6","Abrir facsímil")</f>
        <v>Abrir facsímil</v>
      </c>
      <c r="K7962" s="3" t="s">
        <v>22</v>
      </c>
    </row>
    <row r="7963" spans="1:11" ht="42" customHeight="1">
      <c r="A7963" s="2" t="s">
        <v>15417</v>
      </c>
      <c r="B7963" s="2" t="s">
        <v>15417</v>
      </c>
      <c r="C7963" s="2" t="s">
        <v>28</v>
      </c>
      <c r="D7963" s="2" t="s">
        <v>29</v>
      </c>
      <c r="E7963" s="5">
        <v>-28198</v>
      </c>
      <c r="F7963" s="3" t="s">
        <v>981</v>
      </c>
      <c r="G7963" s="3" t="s">
        <v>63</v>
      </c>
      <c r="H7963" s="2" t="s">
        <v>20</v>
      </c>
      <c r="I7963" s="2" t="s">
        <v>15418</v>
      </c>
      <c r="J7963" s="3" t="str">
        <f>HYPERLINK("https://www.boe.es/gazeta/dias/1822/10/17/pdfs/GMD-1822-304.pdf#page=6","Abrir facsímil")</f>
        <v>Abrir facsímil</v>
      </c>
      <c r="K7963" s="3" t="s">
        <v>22</v>
      </c>
    </row>
    <row r="7964" spans="1:11" ht="42" customHeight="1">
      <c r="A7964" s="2" t="s">
        <v>15419</v>
      </c>
      <c r="B7964" s="2" t="s">
        <v>15420</v>
      </c>
      <c r="C7964" s="2" t="s">
        <v>50</v>
      </c>
      <c r="D7964" s="2" t="s">
        <v>51</v>
      </c>
      <c r="E7964" s="5">
        <v>-28383</v>
      </c>
      <c r="F7964" s="3" t="s">
        <v>488</v>
      </c>
      <c r="G7964" s="3" t="s">
        <v>44</v>
      </c>
      <c r="H7964" s="2" t="s">
        <v>20</v>
      </c>
      <c r="I7964" s="2" t="s">
        <v>15421</v>
      </c>
      <c r="J7964" s="3" t="str">
        <f>HYPERLINK("https://www.boe.es/gazeta/dias/1822/04/15/pdfs/GMD-1822-107.pdf#page=1","Abrir facsímil")</f>
        <v>Abrir facsímil</v>
      </c>
      <c r="K7964" s="3" t="s">
        <v>22</v>
      </c>
    </row>
    <row r="7965" spans="1:11" ht="42" customHeight="1">
      <c r="A7965" s="2" t="s">
        <v>15422</v>
      </c>
      <c r="B7965" s="2" t="s">
        <v>15423</v>
      </c>
      <c r="C7965" s="2" t="s">
        <v>50</v>
      </c>
      <c r="D7965" s="2" t="s">
        <v>51</v>
      </c>
      <c r="E7965" s="5">
        <v>-28383</v>
      </c>
      <c r="F7965" s="3" t="s">
        <v>488</v>
      </c>
      <c r="G7965" s="3" t="s">
        <v>35</v>
      </c>
      <c r="H7965" s="2" t="s">
        <v>20</v>
      </c>
      <c r="I7965" s="2" t="s">
        <v>15424</v>
      </c>
      <c r="J7965" s="3" t="str">
        <f>HYPERLINK("https://www.boe.es/gazeta/dias/1822/04/15/pdfs/GMD-1822-107.pdf#page=2","Abrir facsímil")</f>
        <v>Abrir facsímil</v>
      </c>
      <c r="K7965" s="3" t="s">
        <v>22</v>
      </c>
    </row>
    <row r="7966" spans="1:11" ht="42" customHeight="1">
      <c r="A7966" s="2" t="s">
        <v>15425</v>
      </c>
      <c r="B7966" s="2" t="s">
        <v>15426</v>
      </c>
      <c r="C7966" s="2" t="s">
        <v>50</v>
      </c>
      <c r="D7966" s="2" t="s">
        <v>51</v>
      </c>
      <c r="E7966" s="5">
        <v>-28383</v>
      </c>
      <c r="F7966" s="3" t="s">
        <v>488</v>
      </c>
      <c r="G7966" s="3" t="s">
        <v>35</v>
      </c>
      <c r="H7966" s="2" t="s">
        <v>20</v>
      </c>
      <c r="I7966" s="2" t="s">
        <v>15427</v>
      </c>
      <c r="J7966" s="3" t="str">
        <f>HYPERLINK("https://www.boe.es/gazeta/dias/1822/04/15/pdfs/GMD-1822-107.pdf#page=2","Abrir facsímil")</f>
        <v>Abrir facsímil</v>
      </c>
      <c r="K7966" s="3" t="s">
        <v>22</v>
      </c>
    </row>
    <row r="7967" spans="1:11" ht="42" customHeight="1">
      <c r="A7967" s="2" t="s">
        <v>15428</v>
      </c>
      <c r="B7967" s="2" t="s">
        <v>15429</v>
      </c>
      <c r="C7967" s="2" t="s">
        <v>50</v>
      </c>
      <c r="D7967" s="2" t="s">
        <v>51</v>
      </c>
      <c r="E7967" s="5">
        <v>-28381</v>
      </c>
      <c r="F7967" s="3" t="s">
        <v>358</v>
      </c>
      <c r="G7967" s="3" t="s">
        <v>35</v>
      </c>
      <c r="H7967" s="2" t="s">
        <v>20</v>
      </c>
      <c r="I7967" s="2" t="s">
        <v>15430</v>
      </c>
      <c r="J7967" s="3" t="str">
        <f>HYPERLINK("https://www.boe.es/gazeta/dias/1822/04/17/pdfs/GMD-1822-109.pdf#page=2","Abrir facsímil")</f>
        <v>Abrir facsímil</v>
      </c>
      <c r="K7967" s="3" t="s">
        <v>22</v>
      </c>
    </row>
    <row r="7968" spans="1:11" ht="42" customHeight="1">
      <c r="A7968" s="2" t="s">
        <v>15431</v>
      </c>
      <c r="B7968" s="2" t="s">
        <v>15432</v>
      </c>
      <c r="C7968" s="2" t="s">
        <v>50</v>
      </c>
      <c r="D7968" s="2" t="s">
        <v>51</v>
      </c>
      <c r="E7968" s="5">
        <v>-28277</v>
      </c>
      <c r="F7968" s="3" t="s">
        <v>296</v>
      </c>
      <c r="G7968" s="3" t="s">
        <v>63</v>
      </c>
      <c r="H7968" s="2" t="s">
        <v>20</v>
      </c>
      <c r="I7968" s="2" t="s">
        <v>15433</v>
      </c>
      <c r="J7968" s="3" t="str">
        <f>HYPERLINK("https://www.boe.es/gazeta/dias/1822/07/30/pdfs/GMD-1822-223.pdf#page=6","Abrir facsímil")</f>
        <v>Abrir facsímil</v>
      </c>
      <c r="K7968" s="3" t="s">
        <v>22</v>
      </c>
    </row>
    <row r="7969" spans="1:11" ht="42" customHeight="1">
      <c r="A7969" s="2" t="s">
        <v>15434</v>
      </c>
      <c r="B7969" s="2" t="s">
        <v>15434</v>
      </c>
      <c r="C7969" s="2" t="s">
        <v>50</v>
      </c>
      <c r="D7969" s="2" t="s">
        <v>51</v>
      </c>
      <c r="E7969" s="5">
        <v>-28172</v>
      </c>
      <c r="F7969" s="3" t="s">
        <v>674</v>
      </c>
      <c r="G7969" s="3" t="s">
        <v>31</v>
      </c>
      <c r="H7969" s="2" t="s">
        <v>20</v>
      </c>
      <c r="I7969" s="2" t="s">
        <v>15435</v>
      </c>
      <c r="J7969" s="3" t="str">
        <f>HYPERLINK("https://www.boe.es/gazeta/dias/1822/11/12/pdfs/GMD-1822-332.pdf#page=3","Abrir facsímil")</f>
        <v>Abrir facsímil</v>
      </c>
      <c r="K7969" s="3" t="s">
        <v>22</v>
      </c>
    </row>
    <row r="7970" spans="1:11" ht="42" customHeight="1">
      <c r="A7970" s="2" t="s">
        <v>15436</v>
      </c>
      <c r="B7970" s="2" t="s">
        <v>15437</v>
      </c>
      <c r="C7970" s="2" t="s">
        <v>24</v>
      </c>
      <c r="D7970" s="2" t="s">
        <v>17</v>
      </c>
      <c r="E7970" s="5">
        <v>-28329</v>
      </c>
      <c r="F7970" s="3" t="s">
        <v>354</v>
      </c>
      <c r="G7970" s="3" t="s">
        <v>35</v>
      </c>
      <c r="H7970" s="2" t="s">
        <v>20</v>
      </c>
      <c r="I7970" s="2" t="s">
        <v>15438</v>
      </c>
      <c r="J7970" s="3" t="str">
        <f>HYPERLINK("https://www.boe.es/gazeta/dias/1822/06/08/pdfs/GMD-1822-165.pdf#page=2","Abrir facsímil")</f>
        <v>Abrir facsímil</v>
      </c>
      <c r="K7970" s="3" t="s">
        <v>22</v>
      </c>
    </row>
    <row r="7971" spans="1:11" ht="42" customHeight="1">
      <c r="A7971" s="2" t="s">
        <v>15439</v>
      </c>
      <c r="B7971" s="2" t="s">
        <v>15439</v>
      </c>
      <c r="C7971" s="2" t="s">
        <v>42</v>
      </c>
      <c r="D7971" s="2" t="s">
        <v>17</v>
      </c>
      <c r="E7971" s="5">
        <v>-28180</v>
      </c>
      <c r="F7971" s="3" t="s">
        <v>839</v>
      </c>
      <c r="G7971" s="3" t="s">
        <v>31</v>
      </c>
      <c r="H7971" s="2" t="s">
        <v>20</v>
      </c>
      <c r="I7971" s="2" t="s">
        <v>15440</v>
      </c>
      <c r="J7971" s="3" t="str">
        <f>HYPERLINK("https://www.boe.es/gazeta/dias/1822/11/04/pdfs/GMD-1822-323.pdf#page=3","Abrir facsímil")</f>
        <v>Abrir facsímil</v>
      </c>
      <c r="K7971" s="3" t="s">
        <v>22</v>
      </c>
    </row>
    <row r="7972" spans="1:11" ht="42" customHeight="1">
      <c r="A7972" s="2" t="s">
        <v>15441</v>
      </c>
      <c r="B7972" s="2" t="s">
        <v>15441</v>
      </c>
      <c r="C7972" s="2" t="s">
        <v>71</v>
      </c>
      <c r="D7972" s="2" t="s">
        <v>17</v>
      </c>
      <c r="E7972" s="5">
        <v>-28382</v>
      </c>
      <c r="F7972" s="3" t="s">
        <v>973</v>
      </c>
      <c r="G7972" s="3" t="s">
        <v>31</v>
      </c>
      <c r="H7972" s="2" t="s">
        <v>20</v>
      </c>
      <c r="I7972" s="2" t="s">
        <v>15442</v>
      </c>
      <c r="J7972" s="3" t="str">
        <f>HYPERLINK("https://www.boe.es/gazeta/dias/1822/04/16/pdfs/GMD-1822-108.pdf#page=3","Abrir facsímil")</f>
        <v>Abrir facsímil</v>
      </c>
      <c r="K7972" s="3" t="s">
        <v>22</v>
      </c>
    </row>
    <row r="7973" spans="1:11" ht="42" customHeight="1">
      <c r="A7973" s="2" t="s">
        <v>15443</v>
      </c>
      <c r="B7973" s="2" t="s">
        <v>15443</v>
      </c>
      <c r="C7973" s="2" t="s">
        <v>50</v>
      </c>
      <c r="D7973" s="2" t="s">
        <v>51</v>
      </c>
      <c r="E7973" s="5">
        <v>-28184</v>
      </c>
      <c r="F7973" s="3" t="s">
        <v>1423</v>
      </c>
      <c r="G7973" s="3" t="s">
        <v>57</v>
      </c>
      <c r="H7973" s="2" t="s">
        <v>20</v>
      </c>
      <c r="I7973" s="2" t="s">
        <v>15444</v>
      </c>
      <c r="J7973" s="3" t="str">
        <f>HYPERLINK("https://www.boe.es/gazeta/dias/1822/10/31/pdfs/GMD-1822-318.pdf#page=4","Abrir facsímil")</f>
        <v>Abrir facsímil</v>
      </c>
      <c r="K7973" s="3" t="s">
        <v>22</v>
      </c>
    </row>
    <row r="7974" spans="1:11" ht="42" customHeight="1">
      <c r="A7974" s="2" t="s">
        <v>15445</v>
      </c>
      <c r="B7974" s="2" t="s">
        <v>15445</v>
      </c>
      <c r="C7974" s="2" t="s">
        <v>42</v>
      </c>
      <c r="D7974" s="2" t="s">
        <v>17</v>
      </c>
      <c r="E7974" s="5">
        <v>-28422</v>
      </c>
      <c r="F7974" s="3" t="s">
        <v>416</v>
      </c>
      <c r="G7974" s="3" t="s">
        <v>35</v>
      </c>
      <c r="H7974" s="2" t="s">
        <v>20</v>
      </c>
      <c r="I7974" s="2" t="s">
        <v>15446</v>
      </c>
      <c r="J7974" s="3" t="str">
        <f>HYPERLINK("https://www.boe.es/gazeta/dias/1822/03/07/pdfs/GMD-1822-68.pdf#page=2","Abrir facsímil")</f>
        <v>Abrir facsímil</v>
      </c>
      <c r="K7974" s="3" t="s">
        <v>22</v>
      </c>
    </row>
    <row r="7975" spans="1:11" ht="42" customHeight="1">
      <c r="A7975" s="2" t="s">
        <v>15445</v>
      </c>
      <c r="B7975" s="2" t="s">
        <v>15445</v>
      </c>
      <c r="C7975" s="2" t="s">
        <v>42</v>
      </c>
      <c r="D7975" s="2" t="s">
        <v>17</v>
      </c>
      <c r="E7975" s="5">
        <v>-28164</v>
      </c>
      <c r="F7975" s="3" t="s">
        <v>2172</v>
      </c>
      <c r="G7975" s="3" t="s">
        <v>57</v>
      </c>
      <c r="H7975" s="2" t="s">
        <v>20</v>
      </c>
      <c r="I7975" s="2" t="s">
        <v>15447</v>
      </c>
      <c r="J7975" s="3" t="str">
        <f>HYPERLINK("https://www.boe.es/gazeta/dias/1822/11/20/pdfs/GMD-1822-340.pdf#page=4","Abrir facsímil")</f>
        <v>Abrir facsímil</v>
      </c>
      <c r="K7975" s="3" t="s">
        <v>22</v>
      </c>
    </row>
    <row r="7976" spans="1:11" ht="42" customHeight="1">
      <c r="A7976" s="2" t="s">
        <v>15448</v>
      </c>
      <c r="B7976" s="2" t="s">
        <v>15448</v>
      </c>
      <c r="C7976" s="2" t="s">
        <v>50</v>
      </c>
      <c r="D7976" s="2" t="s">
        <v>51</v>
      </c>
      <c r="E7976" s="5">
        <v>-28396</v>
      </c>
      <c r="F7976" s="3" t="s">
        <v>1138</v>
      </c>
      <c r="G7976" s="3" t="s">
        <v>157</v>
      </c>
      <c r="H7976" s="2" t="s">
        <v>20</v>
      </c>
      <c r="I7976" s="2" t="s">
        <v>15449</v>
      </c>
      <c r="J7976" s="3" t="str">
        <f>HYPERLINK("https://www.boe.es/gazeta/dias/1822/04/02/pdfs/GMD-1822-94.pdf#page=8","Abrir facsímil")</f>
        <v>Abrir facsímil</v>
      </c>
      <c r="K7976" s="3" t="s">
        <v>22</v>
      </c>
    </row>
    <row r="7977" spans="1:11" ht="42" customHeight="1">
      <c r="A7977" s="2" t="s">
        <v>15450</v>
      </c>
      <c r="B7977" s="2" t="s">
        <v>15450</v>
      </c>
      <c r="C7977" s="2" t="s">
        <v>16</v>
      </c>
      <c r="D7977" s="2" t="s">
        <v>17</v>
      </c>
      <c r="E7977" s="5">
        <v>-28419</v>
      </c>
      <c r="F7977" s="3" t="s">
        <v>1392</v>
      </c>
      <c r="G7977" s="3" t="s">
        <v>31</v>
      </c>
      <c r="H7977" s="2" t="s">
        <v>20</v>
      </c>
      <c r="I7977" s="2" t="s">
        <v>15451</v>
      </c>
      <c r="J7977" s="3" t="str">
        <f>HYPERLINK("https://www.boe.es/gazeta/dias/1822/03/10/pdfs/GMD-1822-71.pdf#page=3","Abrir facsímil")</f>
        <v>Abrir facsímil</v>
      </c>
      <c r="K7977" s="3" t="s">
        <v>22</v>
      </c>
    </row>
    <row r="7978" spans="1:11" ht="42" customHeight="1">
      <c r="A7978" s="2" t="s">
        <v>15450</v>
      </c>
      <c r="B7978" s="2" t="s">
        <v>15450</v>
      </c>
      <c r="C7978" s="2" t="s">
        <v>50</v>
      </c>
      <c r="D7978" s="2" t="s">
        <v>51</v>
      </c>
      <c r="E7978" s="5">
        <v>-28313</v>
      </c>
      <c r="F7978" s="3" t="s">
        <v>315</v>
      </c>
      <c r="G7978" s="3" t="s">
        <v>19</v>
      </c>
      <c r="H7978" s="2" t="s">
        <v>20</v>
      </c>
      <c r="I7978" s="2" t="s">
        <v>15452</v>
      </c>
      <c r="J7978" s="3" t="str">
        <f>HYPERLINK("https://www.boe.es/gazeta/dias/1822/06/24/pdfs/GMD-1822-182.pdf#page=5","Abrir facsímil")</f>
        <v>Abrir facsímil</v>
      </c>
      <c r="K7978" s="3" t="s">
        <v>22</v>
      </c>
    </row>
    <row r="7979" spans="1:11" ht="42" customHeight="1">
      <c r="A7979" s="2" t="s">
        <v>15450</v>
      </c>
      <c r="B7979" s="2" t="s">
        <v>15450</v>
      </c>
      <c r="C7979" s="2" t="s">
        <v>42</v>
      </c>
      <c r="D7979" s="2" t="s">
        <v>17</v>
      </c>
      <c r="E7979" s="5">
        <v>-28188</v>
      </c>
      <c r="F7979" s="3" t="s">
        <v>578</v>
      </c>
      <c r="G7979" s="3" t="s">
        <v>31</v>
      </c>
      <c r="H7979" s="2" t="s">
        <v>20</v>
      </c>
      <c r="I7979" s="2" t="s">
        <v>15453</v>
      </c>
      <c r="J7979" s="3" t="str">
        <f>HYPERLINK("https://www.boe.es/gazeta/dias/1822/10/27/pdfs/GMD-1822-314.pdf#page=3","Abrir facsímil")</f>
        <v>Abrir facsímil</v>
      </c>
      <c r="K7979" s="3" t="s">
        <v>22</v>
      </c>
    </row>
    <row r="7980" spans="1:11" ht="42" customHeight="1">
      <c r="A7980" s="2" t="s">
        <v>15450</v>
      </c>
      <c r="B7980" s="2" t="s">
        <v>15450</v>
      </c>
      <c r="C7980" s="2" t="s">
        <v>50</v>
      </c>
      <c r="D7980" s="2" t="s">
        <v>51</v>
      </c>
      <c r="E7980" s="5">
        <v>-28148</v>
      </c>
      <c r="F7980" s="3" t="s">
        <v>1909</v>
      </c>
      <c r="G7980" s="3" t="s">
        <v>31</v>
      </c>
      <c r="H7980" s="2" t="s">
        <v>20</v>
      </c>
      <c r="I7980" s="2" t="s">
        <v>15454</v>
      </c>
      <c r="J7980" s="3" t="str">
        <f>HYPERLINK("https://www.boe.es/gazeta/dias/1822/12/06/pdfs/GMD-1822-356.pdf#page=3","Abrir facsímil")</f>
        <v>Abrir facsímil</v>
      </c>
      <c r="K7980" s="3" t="s">
        <v>22</v>
      </c>
    </row>
    <row r="7981" spans="1:11" ht="42" customHeight="1">
      <c r="A7981" s="2" t="s">
        <v>15455</v>
      </c>
      <c r="B7981" s="2" t="s">
        <v>15456</v>
      </c>
      <c r="C7981" s="2" t="s">
        <v>61</v>
      </c>
      <c r="D7981" s="2" t="s">
        <v>17</v>
      </c>
      <c r="E7981" s="5">
        <v>-28436</v>
      </c>
      <c r="F7981" s="3" t="s">
        <v>431</v>
      </c>
      <c r="G7981" s="3" t="s">
        <v>1428</v>
      </c>
      <c r="H7981" s="2" t="s">
        <v>45</v>
      </c>
      <c r="I7981" s="2" t="s">
        <v>15457</v>
      </c>
      <c r="J7981" s="3" t="str">
        <f>HYPERLINK("https://www.boe.es/gazeta/dias/1822/02/21/pdfs/GMD-1822-53.pdf#page=3","Abrir facsímil")</f>
        <v>Abrir facsímil</v>
      </c>
      <c r="K7981" s="3" t="s">
        <v>47</v>
      </c>
    </row>
    <row r="7982" spans="1:11" ht="42" customHeight="1">
      <c r="A7982" s="2" t="s">
        <v>15458</v>
      </c>
      <c r="B7982" s="2" t="s">
        <v>15459</v>
      </c>
      <c r="C7982" s="2" t="s">
        <v>28</v>
      </c>
      <c r="D7982" s="2" t="s">
        <v>29</v>
      </c>
      <c r="E7982" s="5">
        <v>-28415</v>
      </c>
      <c r="F7982" s="3" t="s">
        <v>77</v>
      </c>
      <c r="G7982" s="3" t="s">
        <v>19</v>
      </c>
      <c r="H7982" s="2" t="s">
        <v>20</v>
      </c>
      <c r="I7982" s="2" t="s">
        <v>15460</v>
      </c>
      <c r="J7982" s="3" t="str">
        <f>HYPERLINK("https://www.boe.es/gazeta/dias/1822/03/14/pdfs/GMD-1822-75.pdf#page=5","Abrir facsímil")</f>
        <v>Abrir facsímil</v>
      </c>
      <c r="K7982" s="3" t="s">
        <v>22</v>
      </c>
    </row>
    <row r="7983" spans="1:11" ht="42" customHeight="1">
      <c r="A7983" s="2" t="s">
        <v>15461</v>
      </c>
      <c r="B7983" s="2" t="s">
        <v>15461</v>
      </c>
      <c r="C7983" s="2" t="s">
        <v>42</v>
      </c>
      <c r="D7983" s="2" t="s">
        <v>17</v>
      </c>
      <c r="E7983" s="5">
        <v>-28188</v>
      </c>
      <c r="F7983" s="3" t="s">
        <v>578</v>
      </c>
      <c r="G7983" s="3" t="s">
        <v>31</v>
      </c>
      <c r="H7983" s="2" t="s">
        <v>20</v>
      </c>
      <c r="I7983" s="2" t="s">
        <v>15462</v>
      </c>
      <c r="J7983" s="3" t="str">
        <f>HYPERLINK("https://www.boe.es/gazeta/dias/1822/10/27/pdfs/GMD-1822-314.pdf#page=3","Abrir facsímil")</f>
        <v>Abrir facsímil</v>
      </c>
      <c r="K7983" s="3" t="s">
        <v>22</v>
      </c>
    </row>
    <row r="7984" spans="1:11" ht="42" customHeight="1">
      <c r="A7984" s="2" t="s">
        <v>15463</v>
      </c>
      <c r="B7984" s="2" t="s">
        <v>15464</v>
      </c>
      <c r="C7984" s="2" t="s">
        <v>28</v>
      </c>
      <c r="D7984" s="2" t="s">
        <v>29</v>
      </c>
      <c r="E7984" s="5">
        <v>-28432</v>
      </c>
      <c r="F7984" s="3" t="s">
        <v>195</v>
      </c>
      <c r="G7984" s="3" t="s">
        <v>57</v>
      </c>
      <c r="H7984" s="2" t="s">
        <v>20</v>
      </c>
      <c r="I7984" s="2" t="s">
        <v>15465</v>
      </c>
      <c r="J7984" s="3" t="str">
        <f>HYPERLINK("https://www.boe.es/gazeta/dias/1822/02/25/pdfs/GMD-1822-57.pdf#page=4","Abrir facsímil")</f>
        <v>Abrir facsímil</v>
      </c>
      <c r="K7984" s="3" t="s">
        <v>22</v>
      </c>
    </row>
    <row r="7985" spans="1:11" ht="42" customHeight="1">
      <c r="A7985" s="2" t="s">
        <v>15466</v>
      </c>
      <c r="B7985" s="2" t="s">
        <v>15467</v>
      </c>
      <c r="C7985" s="2" t="s">
        <v>28</v>
      </c>
      <c r="D7985" s="2" t="s">
        <v>29</v>
      </c>
      <c r="E7985" s="5">
        <v>-28227</v>
      </c>
      <c r="F7985" s="3" t="s">
        <v>2148</v>
      </c>
      <c r="G7985" s="3" t="s">
        <v>57</v>
      </c>
      <c r="H7985" s="2" t="s">
        <v>20</v>
      </c>
      <c r="I7985" s="2" t="s">
        <v>15468</v>
      </c>
      <c r="J7985" s="3" t="str">
        <f>HYPERLINK("https://www.boe.es/gazeta/dias/1822/09/18/pdfs/GMD-1822-274.pdf#page=4","Abrir facsímil")</f>
        <v>Abrir facsímil</v>
      </c>
      <c r="K7985" s="3" t="s">
        <v>22</v>
      </c>
    </row>
    <row r="7986" spans="1:11" ht="42" customHeight="1">
      <c r="A7986" s="2" t="s">
        <v>15469</v>
      </c>
      <c r="B7986" s="2" t="s">
        <v>15469</v>
      </c>
      <c r="C7986" s="2" t="s">
        <v>28</v>
      </c>
      <c r="D7986" s="2" t="s">
        <v>29</v>
      </c>
      <c r="E7986" s="5">
        <v>-28485</v>
      </c>
      <c r="F7986" s="3" t="s">
        <v>1117</v>
      </c>
      <c r="G7986" s="3" t="s">
        <v>57</v>
      </c>
      <c r="H7986" s="2" t="s">
        <v>20</v>
      </c>
      <c r="I7986" s="2" t="s">
        <v>15470</v>
      </c>
      <c r="J7986" s="3" t="str">
        <f>HYPERLINK("https://www.boe.es/gazeta/dias/1822/01/03/pdfs/GMD-1822-3.pdf#page=4","Abrir facsímil")</f>
        <v>Abrir facsímil</v>
      </c>
      <c r="K7986" s="3" t="s">
        <v>22</v>
      </c>
    </row>
    <row r="7987" spans="1:11" ht="42" customHeight="1">
      <c r="A7987" s="2" t="s">
        <v>15469</v>
      </c>
      <c r="B7987" s="2" t="s">
        <v>15469</v>
      </c>
      <c r="C7987" s="2" t="s">
        <v>28</v>
      </c>
      <c r="D7987" s="2" t="s">
        <v>29</v>
      </c>
      <c r="E7987" s="5">
        <v>-28483</v>
      </c>
      <c r="F7987" s="3" t="s">
        <v>254</v>
      </c>
      <c r="G7987" s="3" t="s">
        <v>31</v>
      </c>
      <c r="H7987" s="2" t="s">
        <v>20</v>
      </c>
      <c r="I7987" s="2" t="s">
        <v>15471</v>
      </c>
      <c r="J7987" s="3" t="str">
        <f>HYPERLINK("https://www.boe.es/gazeta/dias/1822/01/05/pdfs/GMD-1822-5.pdf#page=3","Abrir facsímil")</f>
        <v>Abrir facsímil</v>
      </c>
      <c r="K7987" s="3" t="s">
        <v>22</v>
      </c>
    </row>
    <row r="7988" spans="1:11" ht="42" customHeight="1">
      <c r="A7988" s="2" t="s">
        <v>15469</v>
      </c>
      <c r="B7988" s="2" t="s">
        <v>15469</v>
      </c>
      <c r="C7988" s="2" t="s">
        <v>42</v>
      </c>
      <c r="D7988" s="2" t="s">
        <v>17</v>
      </c>
      <c r="E7988" s="5">
        <v>-28473</v>
      </c>
      <c r="F7988" s="3" t="s">
        <v>2337</v>
      </c>
      <c r="G7988" s="3" t="s">
        <v>31</v>
      </c>
      <c r="H7988" s="2" t="s">
        <v>20</v>
      </c>
      <c r="I7988" s="2" t="s">
        <v>15472</v>
      </c>
      <c r="J7988" s="3" t="str">
        <f>HYPERLINK("https://www.boe.es/gazeta/dias/1822/01/15/pdfs/GMD-1822-15.pdf#page=3","Abrir facsímil")</f>
        <v>Abrir facsímil</v>
      </c>
      <c r="K7988" s="3" t="s">
        <v>22</v>
      </c>
    </row>
    <row r="7989" spans="1:11" ht="42" customHeight="1">
      <c r="A7989" s="2" t="s">
        <v>15473</v>
      </c>
      <c r="B7989" s="2" t="s">
        <v>15474</v>
      </c>
      <c r="C7989" s="2" t="s">
        <v>50</v>
      </c>
      <c r="D7989" s="2" t="s">
        <v>51</v>
      </c>
      <c r="E7989" s="5">
        <v>-28366</v>
      </c>
      <c r="F7989" s="3" t="s">
        <v>120</v>
      </c>
      <c r="G7989" s="3" t="s">
        <v>63</v>
      </c>
      <c r="H7989" s="2" t="s">
        <v>20</v>
      </c>
      <c r="I7989" s="2" t="s">
        <v>15475</v>
      </c>
      <c r="J7989" s="3" t="str">
        <f>HYPERLINK("https://www.boe.es/gazeta/dias/1822/05/02/pdfs/GMD-1822-124.pdf#page=6","Abrir facsímil")</f>
        <v>Abrir facsímil</v>
      </c>
      <c r="K7989" s="3" t="s">
        <v>22</v>
      </c>
    </row>
    <row r="7990" spans="1:11" ht="42" customHeight="1">
      <c r="A7990" s="2" t="s">
        <v>15473</v>
      </c>
      <c r="B7990" s="2" t="s">
        <v>15474</v>
      </c>
      <c r="C7990" s="2" t="s">
        <v>50</v>
      </c>
      <c r="D7990" s="2" t="s">
        <v>51</v>
      </c>
      <c r="E7990" s="5">
        <v>-28241</v>
      </c>
      <c r="F7990" s="3" t="s">
        <v>3068</v>
      </c>
      <c r="G7990" s="3" t="s">
        <v>57</v>
      </c>
      <c r="H7990" s="2" t="s">
        <v>20</v>
      </c>
      <c r="I7990" s="2" t="s">
        <v>15476</v>
      </c>
      <c r="J7990" s="3" t="str">
        <f>HYPERLINK("https://www.boe.es/gazeta/dias/1822/09/04/pdfs/GMD-1822-259.pdf#page=4","Abrir facsímil")</f>
        <v>Abrir facsímil</v>
      </c>
      <c r="K7990" s="3" t="s">
        <v>22</v>
      </c>
    </row>
    <row r="7991" spans="1:11" ht="42" customHeight="1">
      <c r="A7991" s="2" t="s">
        <v>15477</v>
      </c>
      <c r="B7991" s="2" t="s">
        <v>15478</v>
      </c>
      <c r="C7991" s="2" t="s">
        <v>42</v>
      </c>
      <c r="D7991" s="2" t="s">
        <v>17</v>
      </c>
      <c r="E7991" s="5">
        <v>-28487</v>
      </c>
      <c r="F7991" s="3" t="s">
        <v>426</v>
      </c>
      <c r="G7991" s="3" t="s">
        <v>57</v>
      </c>
      <c r="H7991" s="2" t="s">
        <v>20</v>
      </c>
      <c r="I7991" s="2" t="s">
        <v>15479</v>
      </c>
      <c r="J7991" s="3" t="str">
        <f>HYPERLINK("https://www.boe.es/gazeta/dias/1822/01/01/pdfs/GMD-1822-1.pdf#page=4","Abrir facsímil")</f>
        <v>Abrir facsímil</v>
      </c>
      <c r="K7991" s="3" t="s">
        <v>22</v>
      </c>
    </row>
    <row r="7992" spans="1:11" ht="42" customHeight="1">
      <c r="A7992" s="2" t="s">
        <v>15477</v>
      </c>
      <c r="B7992" s="2" t="s">
        <v>15478</v>
      </c>
      <c r="C7992" s="2" t="s">
        <v>28</v>
      </c>
      <c r="D7992" s="2" t="s">
        <v>29</v>
      </c>
      <c r="E7992" s="5">
        <v>-28484</v>
      </c>
      <c r="F7992" s="3" t="s">
        <v>743</v>
      </c>
      <c r="G7992" s="3" t="s">
        <v>31</v>
      </c>
      <c r="H7992" s="2" t="s">
        <v>20</v>
      </c>
      <c r="I7992" s="2" t="s">
        <v>15480</v>
      </c>
      <c r="J7992" s="3" t="str">
        <f>HYPERLINK("https://www.boe.es/gazeta/dias/1822/01/04/pdfs/GMD-1822-4.pdf#page=3","Abrir facsímil")</f>
        <v>Abrir facsímil</v>
      </c>
      <c r="K7992" s="3" t="s">
        <v>22</v>
      </c>
    </row>
    <row r="7993" spans="1:11" ht="42" customHeight="1">
      <c r="A7993" s="2" t="s">
        <v>15477</v>
      </c>
      <c r="B7993" s="2" t="s">
        <v>15478</v>
      </c>
      <c r="C7993" s="2" t="s">
        <v>28</v>
      </c>
      <c r="D7993" s="2" t="s">
        <v>29</v>
      </c>
      <c r="E7993" s="5">
        <v>-28459</v>
      </c>
      <c r="F7993" s="3" t="s">
        <v>1102</v>
      </c>
      <c r="G7993" s="3" t="s">
        <v>31</v>
      </c>
      <c r="H7993" s="2" t="s">
        <v>20</v>
      </c>
      <c r="I7993" s="2" t="s">
        <v>15481</v>
      </c>
      <c r="J7993" s="3" t="str">
        <f>HYPERLINK("https://www.boe.es/gazeta/dias/1822/01/29/pdfs/GMD-1822-29.pdf#page=3","Abrir facsímil")</f>
        <v>Abrir facsímil</v>
      </c>
      <c r="K7993" s="3" t="s">
        <v>22</v>
      </c>
    </row>
    <row r="7994" spans="1:11" ht="42" customHeight="1">
      <c r="A7994" s="2" t="s">
        <v>15482</v>
      </c>
      <c r="B7994" s="2" t="s">
        <v>15483</v>
      </c>
      <c r="C7994" s="2" t="s">
        <v>50</v>
      </c>
      <c r="D7994" s="2" t="s">
        <v>51</v>
      </c>
      <c r="E7994" s="5">
        <v>-28415</v>
      </c>
      <c r="F7994" s="3" t="s">
        <v>77</v>
      </c>
      <c r="G7994" s="3" t="s">
        <v>19</v>
      </c>
      <c r="H7994" s="2" t="s">
        <v>20</v>
      </c>
      <c r="I7994" s="2" t="s">
        <v>15484</v>
      </c>
      <c r="J7994" s="3" t="str">
        <f>HYPERLINK("https://www.boe.es/gazeta/dias/1822/03/14/pdfs/GMD-1822-75.pdf#page=5","Abrir facsímil")</f>
        <v>Abrir facsímil</v>
      </c>
      <c r="K7994" s="3" t="s">
        <v>22</v>
      </c>
    </row>
    <row r="7995" spans="1:11" ht="42" customHeight="1">
      <c r="A7995" s="2" t="s">
        <v>15485</v>
      </c>
      <c r="B7995" s="2" t="s">
        <v>15485</v>
      </c>
      <c r="C7995" s="2" t="s">
        <v>16</v>
      </c>
      <c r="D7995" s="2" t="s">
        <v>17</v>
      </c>
      <c r="E7995" s="5">
        <v>-28262</v>
      </c>
      <c r="F7995" s="3" t="s">
        <v>1771</v>
      </c>
      <c r="G7995" s="3" t="s">
        <v>44</v>
      </c>
      <c r="H7995" s="2" t="s">
        <v>20</v>
      </c>
      <c r="I7995" s="2" t="s">
        <v>15486</v>
      </c>
      <c r="J7995" s="3" t="str">
        <f>HYPERLINK("https://www.boe.es/gazeta/dias/1822/08/14/pdfs/GMD-1822-238.pdf#page=1","Abrir facsímil")</f>
        <v>Abrir facsímil</v>
      </c>
      <c r="K7995" s="3" t="s">
        <v>22</v>
      </c>
    </row>
    <row r="7996" spans="1:11" ht="42" customHeight="1">
      <c r="A7996" s="2" t="s">
        <v>15487</v>
      </c>
      <c r="B7996" s="2" t="s">
        <v>15488</v>
      </c>
      <c r="C7996" s="2" t="s">
        <v>42</v>
      </c>
      <c r="D7996" s="2" t="s">
        <v>17</v>
      </c>
      <c r="E7996" s="5">
        <v>-28395</v>
      </c>
      <c r="F7996" s="3" t="s">
        <v>237</v>
      </c>
      <c r="G7996" s="3" t="s">
        <v>57</v>
      </c>
      <c r="H7996" s="2" t="s">
        <v>20</v>
      </c>
      <c r="I7996" s="2" t="s">
        <v>15489</v>
      </c>
      <c r="J7996" s="3" t="str">
        <f>HYPERLINK("https://www.boe.es/gazeta/dias/1822/04/03/pdfs/GMD-1822-95.pdf#page=4","Abrir facsímil")</f>
        <v>Abrir facsímil</v>
      </c>
      <c r="K7996" s="3" t="s">
        <v>22</v>
      </c>
    </row>
    <row r="7997" spans="1:11" ht="42" customHeight="1">
      <c r="A7997" s="2" t="s">
        <v>15490</v>
      </c>
      <c r="B7997" s="2" t="s">
        <v>15490</v>
      </c>
      <c r="C7997" s="2" t="s">
        <v>71</v>
      </c>
      <c r="D7997" s="2" t="s">
        <v>17</v>
      </c>
      <c r="E7997" s="5">
        <v>-28207</v>
      </c>
      <c r="F7997" s="3" t="s">
        <v>1325</v>
      </c>
      <c r="G7997" s="3" t="s">
        <v>31</v>
      </c>
      <c r="H7997" s="2" t="s">
        <v>20</v>
      </c>
      <c r="I7997" s="2" t="s">
        <v>15491</v>
      </c>
      <c r="J7997" s="3" t="str">
        <f>HYPERLINK("https://www.boe.es/gazeta/dias/1822/10/08/pdfs/GMD-1822-295.pdf#page=3","Abrir facsímil")</f>
        <v>Abrir facsímil</v>
      </c>
      <c r="K7997" s="3" t="s">
        <v>22</v>
      </c>
    </row>
    <row r="7998" spans="1:11" ht="42" customHeight="1">
      <c r="A7998" s="2" t="s">
        <v>15492</v>
      </c>
      <c r="B7998" s="2" t="s">
        <v>15493</v>
      </c>
      <c r="C7998" s="2" t="s">
        <v>42</v>
      </c>
      <c r="D7998" s="2" t="s">
        <v>17</v>
      </c>
      <c r="E7998" s="5">
        <v>-28230</v>
      </c>
      <c r="F7998" s="3" t="s">
        <v>1735</v>
      </c>
      <c r="G7998" s="3" t="s">
        <v>31</v>
      </c>
      <c r="H7998" s="2" t="s">
        <v>20</v>
      </c>
      <c r="I7998" s="2" t="s">
        <v>15494</v>
      </c>
      <c r="J7998" s="3" t="str">
        <f>HYPERLINK("https://www.boe.es/gazeta/dias/1822/09/15/pdfs/GMD-1822-271.pdf#page=3","Abrir facsímil")</f>
        <v>Abrir facsímil</v>
      </c>
      <c r="K7998" s="3" t="s">
        <v>22</v>
      </c>
    </row>
    <row r="7999" spans="1:11" ht="42" customHeight="1">
      <c r="A7999" s="2" t="s">
        <v>15495</v>
      </c>
      <c r="B7999" s="2" t="s">
        <v>15495</v>
      </c>
      <c r="C7999" s="2" t="s">
        <v>28</v>
      </c>
      <c r="D7999" s="2" t="s">
        <v>29</v>
      </c>
      <c r="E7999" s="5">
        <v>-28277</v>
      </c>
      <c r="F7999" s="3" t="s">
        <v>296</v>
      </c>
      <c r="G7999" s="3" t="s">
        <v>31</v>
      </c>
      <c r="H7999" s="2" t="s">
        <v>20</v>
      </c>
      <c r="I7999" s="2" t="s">
        <v>15496</v>
      </c>
      <c r="J7999" s="3" t="str">
        <f>HYPERLINK("https://www.boe.es/gazeta/dias/1822/07/30/pdfs/GMD-1822-223.pdf#page=3","Abrir facsímil")</f>
        <v>Abrir facsímil</v>
      </c>
      <c r="K7999" s="3" t="s">
        <v>22</v>
      </c>
    </row>
    <row r="8000" spans="1:11" ht="42" customHeight="1">
      <c r="A8000" s="2" t="s">
        <v>15497</v>
      </c>
      <c r="B8000" s="2" t="s">
        <v>15498</v>
      </c>
      <c r="C8000" s="2" t="s">
        <v>71</v>
      </c>
      <c r="D8000" s="2" t="s">
        <v>17</v>
      </c>
      <c r="E8000" s="5">
        <v>-28341</v>
      </c>
      <c r="F8000" s="3" t="s">
        <v>284</v>
      </c>
      <c r="G8000" s="3" t="s">
        <v>31</v>
      </c>
      <c r="H8000" s="2" t="s">
        <v>20</v>
      </c>
      <c r="I8000" s="2" t="s">
        <v>15499</v>
      </c>
      <c r="J8000" s="3" t="str">
        <f>HYPERLINK("https://www.boe.es/gazeta/dias/1822/05/27/pdfs/GMD-1822-152.pdf#page=3","Abrir facsímil")</f>
        <v>Abrir facsímil</v>
      </c>
      <c r="K8000" s="3" t="s">
        <v>22</v>
      </c>
    </row>
    <row r="8001" spans="1:11" ht="42" customHeight="1">
      <c r="A8001" s="2" t="s">
        <v>15500</v>
      </c>
      <c r="B8001" s="2" t="s">
        <v>15501</v>
      </c>
      <c r="C8001" s="2" t="s">
        <v>50</v>
      </c>
      <c r="D8001" s="2" t="s">
        <v>51</v>
      </c>
      <c r="E8001" s="5">
        <v>-28260</v>
      </c>
      <c r="F8001" s="3" t="s">
        <v>135</v>
      </c>
      <c r="G8001" s="3" t="s">
        <v>63</v>
      </c>
      <c r="H8001" s="2" t="s">
        <v>20</v>
      </c>
      <c r="I8001" s="2" t="s">
        <v>15502</v>
      </c>
      <c r="J8001" s="3" t="str">
        <f>HYPERLINK("https://www.boe.es/gazeta/dias/1822/08/16/pdfs/GMD-1822-240.pdf#page=6","Abrir facsímil")</f>
        <v>Abrir facsímil</v>
      </c>
      <c r="K8001" s="3" t="s">
        <v>22</v>
      </c>
    </row>
    <row r="8002" spans="1:11" ht="42" customHeight="1">
      <c r="A8002" s="2" t="s">
        <v>15503</v>
      </c>
      <c r="B8002" s="2" t="s">
        <v>15504</v>
      </c>
      <c r="C8002" s="2" t="s">
        <v>28</v>
      </c>
      <c r="D8002" s="2" t="s">
        <v>29</v>
      </c>
      <c r="E8002" s="5">
        <v>-28197</v>
      </c>
      <c r="F8002" s="3" t="s">
        <v>568</v>
      </c>
      <c r="G8002" s="3" t="s">
        <v>31</v>
      </c>
      <c r="H8002" s="2" t="s">
        <v>20</v>
      </c>
      <c r="I8002" s="2" t="s">
        <v>15505</v>
      </c>
      <c r="J8002" s="3" t="str">
        <f>HYPERLINK("https://www.boe.es/gazeta/dias/1822/10/18/pdfs/GMD-1822-305.pdf#page=3","Abrir facsímil")</f>
        <v>Abrir facsímil</v>
      </c>
      <c r="K8002" s="3" t="s">
        <v>22</v>
      </c>
    </row>
    <row r="8003" spans="1:11" ht="42" customHeight="1">
      <c r="A8003" s="2" t="s">
        <v>15506</v>
      </c>
      <c r="B8003" s="2" t="s">
        <v>15507</v>
      </c>
      <c r="C8003" s="2" t="s">
        <v>28</v>
      </c>
      <c r="D8003" s="2" t="s">
        <v>29</v>
      </c>
      <c r="E8003" s="5">
        <v>-28396</v>
      </c>
      <c r="F8003" s="3" t="s">
        <v>1138</v>
      </c>
      <c r="G8003" s="3" t="s">
        <v>57</v>
      </c>
      <c r="H8003" s="2" t="s">
        <v>20</v>
      </c>
      <c r="I8003" s="2" t="s">
        <v>15508</v>
      </c>
      <c r="J8003" s="3" t="str">
        <f>HYPERLINK("https://www.boe.es/gazeta/dias/1822/04/02/pdfs/GMD-1822-94.pdf#page=4","Abrir facsímil")</f>
        <v>Abrir facsímil</v>
      </c>
      <c r="K8003" s="3" t="s">
        <v>22</v>
      </c>
    </row>
    <row r="8004" spans="1:11" ht="42" customHeight="1">
      <c r="A8004" s="2" t="s">
        <v>15509</v>
      </c>
      <c r="B8004" s="2" t="s">
        <v>15510</v>
      </c>
      <c r="C8004" s="2" t="s">
        <v>71</v>
      </c>
      <c r="D8004" s="2" t="s">
        <v>17</v>
      </c>
      <c r="E8004" s="5">
        <v>-28333</v>
      </c>
      <c r="F8004" s="3" t="s">
        <v>1928</v>
      </c>
      <c r="G8004" s="3" t="s">
        <v>31</v>
      </c>
      <c r="H8004" s="2" t="s">
        <v>20</v>
      </c>
      <c r="I8004" s="2" t="s">
        <v>15511</v>
      </c>
      <c r="J8004" s="3" t="str">
        <f>HYPERLINK("https://www.boe.es/gazeta/dias/1822/06/04/pdfs/GMD-1822-161.pdf#page=3","Abrir facsímil")</f>
        <v>Abrir facsímil</v>
      </c>
      <c r="K8004" s="3" t="s">
        <v>22</v>
      </c>
    </row>
    <row r="8005" spans="1:11" ht="42" customHeight="1">
      <c r="A8005" s="2" t="s">
        <v>15512</v>
      </c>
      <c r="B8005" s="2" t="s">
        <v>15513</v>
      </c>
      <c r="C8005" s="2" t="s">
        <v>28</v>
      </c>
      <c r="D8005" s="2" t="s">
        <v>29</v>
      </c>
      <c r="E8005" s="5">
        <v>-28352</v>
      </c>
      <c r="F8005" s="3" t="s">
        <v>1575</v>
      </c>
      <c r="G8005" s="3" t="s">
        <v>19</v>
      </c>
      <c r="H8005" s="2" t="s">
        <v>20</v>
      </c>
      <c r="I8005" s="2" t="s">
        <v>15514</v>
      </c>
      <c r="J8005" s="3" t="str">
        <f>HYPERLINK("https://www.boe.es/gazeta/dias/1822/05/16/pdfs/GMD-1822-138.pdf#page=5","Abrir facsímil")</f>
        <v>Abrir facsímil</v>
      </c>
      <c r="K8005" s="3" t="s">
        <v>22</v>
      </c>
    </row>
    <row r="8006" spans="1:11" ht="42" customHeight="1">
      <c r="A8006" s="2" t="s">
        <v>15515</v>
      </c>
      <c r="B8006" s="2" t="s">
        <v>15516</v>
      </c>
      <c r="C8006" s="2" t="s">
        <v>24</v>
      </c>
      <c r="D8006" s="2" t="s">
        <v>17</v>
      </c>
      <c r="E8006" s="5">
        <v>-28194</v>
      </c>
      <c r="F8006" s="3" t="s">
        <v>18</v>
      </c>
      <c r="G8006" s="3" t="s">
        <v>44</v>
      </c>
      <c r="H8006" s="2" t="s">
        <v>20</v>
      </c>
      <c r="I8006" s="2" t="s">
        <v>15517</v>
      </c>
      <c r="J8006" s="3" t="str">
        <f>HYPERLINK("https://www.boe.es/gazeta/dias/1822/10/21/pdfs/GMD-1822-308.pdf#page=1","Abrir facsímil")</f>
        <v>Abrir facsímil</v>
      </c>
      <c r="K8006" s="3" t="s">
        <v>22</v>
      </c>
    </row>
    <row r="8007" spans="1:11" ht="42" customHeight="1">
      <c r="A8007" s="2" t="s">
        <v>15518</v>
      </c>
      <c r="B8007" s="2" t="s">
        <v>15519</v>
      </c>
      <c r="C8007" s="2" t="s">
        <v>28</v>
      </c>
      <c r="D8007" s="2" t="s">
        <v>29</v>
      </c>
      <c r="E8007" s="5">
        <v>-28329</v>
      </c>
      <c r="F8007" s="3" t="s">
        <v>354</v>
      </c>
      <c r="G8007" s="3" t="s">
        <v>35</v>
      </c>
      <c r="H8007" s="2" t="s">
        <v>20</v>
      </c>
      <c r="I8007" s="2" t="s">
        <v>15520</v>
      </c>
      <c r="J8007" s="3" t="str">
        <f>HYPERLINK("https://www.boe.es/gazeta/dias/1822/06/08/pdfs/GMD-1822-165.pdf#page=2","Abrir facsímil")</f>
        <v>Abrir facsímil</v>
      </c>
      <c r="K8007" s="3" t="s">
        <v>22</v>
      </c>
    </row>
    <row r="8008" spans="1:11" ht="42" customHeight="1">
      <c r="A8008" s="2" t="s">
        <v>15521</v>
      </c>
      <c r="B8008" s="2" t="s">
        <v>15522</v>
      </c>
      <c r="C8008" s="2" t="s">
        <v>42</v>
      </c>
      <c r="D8008" s="2" t="s">
        <v>17</v>
      </c>
      <c r="E8008" s="5">
        <v>-28421</v>
      </c>
      <c r="F8008" s="3" t="s">
        <v>446</v>
      </c>
      <c r="G8008" s="3" t="s">
        <v>31</v>
      </c>
      <c r="H8008" s="2" t="s">
        <v>20</v>
      </c>
      <c r="I8008" s="2" t="s">
        <v>15523</v>
      </c>
      <c r="J8008" s="3" t="str">
        <f>HYPERLINK("https://www.boe.es/gazeta/dias/1822/03/08/pdfs/GMD-1822-69.pdf#page=3","Abrir facsímil")</f>
        <v>Abrir facsímil</v>
      </c>
      <c r="K8008" s="3" t="s">
        <v>22</v>
      </c>
    </row>
    <row r="8009" spans="1:11" ht="42" customHeight="1">
      <c r="A8009" s="2" t="s">
        <v>15521</v>
      </c>
      <c r="B8009" s="2" t="s">
        <v>15522</v>
      </c>
      <c r="C8009" s="2" t="s">
        <v>42</v>
      </c>
      <c r="D8009" s="2" t="s">
        <v>17</v>
      </c>
      <c r="E8009" s="5">
        <v>-28354</v>
      </c>
      <c r="F8009" s="3" t="s">
        <v>226</v>
      </c>
      <c r="G8009" s="3" t="s">
        <v>31</v>
      </c>
      <c r="H8009" s="2" t="s">
        <v>20</v>
      </c>
      <c r="I8009" s="2" t="s">
        <v>15524</v>
      </c>
      <c r="J8009" s="3" t="str">
        <f>HYPERLINK("https://www.boe.es/gazeta/dias/1822/05/14/pdfs/GMD-1822-136.pdf#page=3","Abrir facsímil")</f>
        <v>Abrir facsímil</v>
      </c>
      <c r="K8009" s="3" t="s">
        <v>22</v>
      </c>
    </row>
    <row r="8010" spans="1:11" ht="42" customHeight="1">
      <c r="A8010" s="2" t="s">
        <v>15521</v>
      </c>
      <c r="B8010" s="2" t="s">
        <v>15522</v>
      </c>
      <c r="C8010" s="2" t="s">
        <v>42</v>
      </c>
      <c r="D8010" s="2" t="s">
        <v>17</v>
      </c>
      <c r="E8010" s="5">
        <v>-28349</v>
      </c>
      <c r="F8010" s="3" t="s">
        <v>518</v>
      </c>
      <c r="G8010" s="3" t="s">
        <v>31</v>
      </c>
      <c r="H8010" s="2" t="s">
        <v>20</v>
      </c>
      <c r="I8010" s="2" t="s">
        <v>15525</v>
      </c>
      <c r="J8010" s="3" t="str">
        <f>HYPERLINK("https://www.boe.es/gazeta/dias/1822/05/19/pdfs/GMD-1822-141.pdf#page=3","Abrir facsímil")</f>
        <v>Abrir facsímil</v>
      </c>
      <c r="K8010" s="3" t="s">
        <v>22</v>
      </c>
    </row>
    <row r="8011" spans="1:11" ht="42" customHeight="1">
      <c r="A8011" s="2" t="s">
        <v>15521</v>
      </c>
      <c r="B8011" s="2" t="s">
        <v>15522</v>
      </c>
      <c r="C8011" s="2" t="s">
        <v>42</v>
      </c>
      <c r="D8011" s="2" t="s">
        <v>17</v>
      </c>
      <c r="E8011" s="5">
        <v>-28345</v>
      </c>
      <c r="F8011" s="3" t="s">
        <v>294</v>
      </c>
      <c r="G8011" s="3" t="s">
        <v>35</v>
      </c>
      <c r="H8011" s="2" t="s">
        <v>20</v>
      </c>
      <c r="I8011" s="2" t="s">
        <v>15526</v>
      </c>
      <c r="J8011" s="3" t="str">
        <f>HYPERLINK("https://www.boe.es/gazeta/dias/1822/05/23/pdfs/GMD-1822-147.pdf#page=2","Abrir facsímil")</f>
        <v>Abrir facsímil</v>
      </c>
      <c r="K8011" s="3" t="s">
        <v>22</v>
      </c>
    </row>
    <row r="8012" spans="1:11" ht="42" customHeight="1">
      <c r="A8012" s="2" t="s">
        <v>15521</v>
      </c>
      <c r="B8012" s="2" t="s">
        <v>15522</v>
      </c>
      <c r="C8012" s="2" t="s">
        <v>42</v>
      </c>
      <c r="D8012" s="2" t="s">
        <v>17</v>
      </c>
      <c r="E8012" s="5">
        <v>-28333</v>
      </c>
      <c r="F8012" s="3" t="s">
        <v>1928</v>
      </c>
      <c r="G8012" s="3" t="s">
        <v>57</v>
      </c>
      <c r="H8012" s="2" t="s">
        <v>20</v>
      </c>
      <c r="I8012" s="2" t="s">
        <v>15527</v>
      </c>
      <c r="J8012" s="3" t="str">
        <f>HYPERLINK("https://www.boe.es/gazeta/dias/1822/06/04/pdfs/GMD-1822-161.pdf#page=4","Abrir facsímil")</f>
        <v>Abrir facsímil</v>
      </c>
      <c r="K8012" s="3" t="s">
        <v>22</v>
      </c>
    </row>
    <row r="8013" spans="1:11" ht="42" customHeight="1">
      <c r="A8013" s="2" t="s">
        <v>15521</v>
      </c>
      <c r="B8013" s="2" t="s">
        <v>15522</v>
      </c>
      <c r="C8013" s="2" t="s">
        <v>71</v>
      </c>
      <c r="D8013" s="2" t="s">
        <v>17</v>
      </c>
      <c r="E8013" s="5">
        <v>-28329</v>
      </c>
      <c r="F8013" s="3" t="s">
        <v>354</v>
      </c>
      <c r="G8013" s="3" t="s">
        <v>44</v>
      </c>
      <c r="H8013" s="2" t="s">
        <v>20</v>
      </c>
      <c r="I8013" s="2" t="s">
        <v>15528</v>
      </c>
      <c r="J8013" s="3" t="str">
        <f>HYPERLINK("https://www.boe.es/gazeta/dias/1822/06/08/pdfs/GMD-1822-165.pdf#page=1","Abrir facsímil")</f>
        <v>Abrir facsímil</v>
      </c>
      <c r="K8013" s="3" t="s">
        <v>22</v>
      </c>
    </row>
    <row r="8014" spans="1:11" ht="42" customHeight="1">
      <c r="A8014" s="2" t="s">
        <v>15521</v>
      </c>
      <c r="B8014" s="2" t="s">
        <v>15522</v>
      </c>
      <c r="C8014" s="2" t="s">
        <v>24</v>
      </c>
      <c r="D8014" s="2" t="s">
        <v>17</v>
      </c>
      <c r="E8014" s="5">
        <v>-28329</v>
      </c>
      <c r="F8014" s="3" t="s">
        <v>354</v>
      </c>
      <c r="G8014" s="3" t="s">
        <v>35</v>
      </c>
      <c r="H8014" s="2" t="s">
        <v>20</v>
      </c>
      <c r="I8014" s="2" t="s">
        <v>15529</v>
      </c>
      <c r="J8014" s="3" t="str">
        <f>HYPERLINK("https://www.boe.es/gazeta/dias/1822/06/08/pdfs/GMD-1822-165.pdf#page=2","Abrir facsímil")</f>
        <v>Abrir facsímil</v>
      </c>
      <c r="K8014" s="3" t="s">
        <v>22</v>
      </c>
    </row>
    <row r="8015" spans="1:11" ht="42" customHeight="1">
      <c r="A8015" s="2" t="s">
        <v>15530</v>
      </c>
      <c r="B8015" s="2" t="s">
        <v>15531</v>
      </c>
      <c r="C8015" s="2" t="s">
        <v>42</v>
      </c>
      <c r="D8015" s="2" t="s">
        <v>17</v>
      </c>
      <c r="E8015" s="5">
        <v>-28329</v>
      </c>
      <c r="F8015" s="3" t="s">
        <v>354</v>
      </c>
      <c r="G8015" s="3" t="s">
        <v>35</v>
      </c>
      <c r="H8015" s="2" t="s">
        <v>20</v>
      </c>
      <c r="I8015" s="2" t="s">
        <v>15532</v>
      </c>
      <c r="J8015" s="3" t="str">
        <f>HYPERLINK("https://www.boe.es/gazeta/dias/1822/06/08/pdfs/GMD-1822-165.pdf#page=2","Abrir facsímil")</f>
        <v>Abrir facsímil</v>
      </c>
      <c r="K8015" s="3" t="s">
        <v>22</v>
      </c>
    </row>
    <row r="8016" spans="1:11" ht="42" customHeight="1">
      <c r="A8016" s="2" t="s">
        <v>15533</v>
      </c>
      <c r="B8016" s="2" t="s">
        <v>15534</v>
      </c>
      <c r="C8016" s="2" t="s">
        <v>28</v>
      </c>
      <c r="D8016" s="2" t="s">
        <v>29</v>
      </c>
      <c r="E8016" s="5">
        <v>-28329</v>
      </c>
      <c r="F8016" s="3" t="s">
        <v>354</v>
      </c>
      <c r="G8016" s="3" t="s">
        <v>35</v>
      </c>
      <c r="H8016" s="2" t="s">
        <v>20</v>
      </c>
      <c r="I8016" s="2" t="s">
        <v>15535</v>
      </c>
      <c r="J8016" s="3" t="str">
        <f>HYPERLINK("https://www.boe.es/gazeta/dias/1822/06/08/pdfs/GMD-1822-165.pdf#page=2","Abrir facsímil")</f>
        <v>Abrir facsímil</v>
      </c>
      <c r="K8016" s="3" t="s">
        <v>22</v>
      </c>
    </row>
    <row r="8017" spans="1:11" ht="42" customHeight="1">
      <c r="A8017" s="2" t="s">
        <v>15536</v>
      </c>
      <c r="B8017" s="2" t="s">
        <v>15537</v>
      </c>
      <c r="C8017" s="2" t="s">
        <v>71</v>
      </c>
      <c r="D8017" s="2" t="s">
        <v>17</v>
      </c>
      <c r="E8017" s="5">
        <v>-28333</v>
      </c>
      <c r="F8017" s="3" t="s">
        <v>1928</v>
      </c>
      <c r="G8017" s="3" t="s">
        <v>31</v>
      </c>
      <c r="H8017" s="2" t="s">
        <v>20</v>
      </c>
      <c r="I8017" s="2" t="s">
        <v>15538</v>
      </c>
      <c r="J8017" s="3" t="str">
        <f>HYPERLINK("https://www.boe.es/gazeta/dias/1822/06/04/pdfs/GMD-1822-161.pdf#page=3","Abrir facsímil")</f>
        <v>Abrir facsímil</v>
      </c>
      <c r="K8017" s="3" t="s">
        <v>22</v>
      </c>
    </row>
    <row r="8018" spans="1:11" ht="42" customHeight="1">
      <c r="A8018" s="2" t="s">
        <v>15539</v>
      </c>
      <c r="B8018" s="2" t="s">
        <v>15540</v>
      </c>
      <c r="C8018" s="2" t="s">
        <v>28</v>
      </c>
      <c r="D8018" s="2" t="s">
        <v>29</v>
      </c>
      <c r="E8018" s="5">
        <v>-28397</v>
      </c>
      <c r="F8018" s="3" t="s">
        <v>1401</v>
      </c>
      <c r="G8018" s="3" t="s">
        <v>57</v>
      </c>
      <c r="H8018" s="2" t="s">
        <v>20</v>
      </c>
      <c r="I8018" s="2" t="s">
        <v>15541</v>
      </c>
      <c r="J8018" s="3" t="str">
        <f>HYPERLINK("https://www.boe.es/gazeta/dias/1822/04/01/pdfs/GMD-1822-93.pdf#page=4","Abrir facsímil")</f>
        <v>Abrir facsímil</v>
      </c>
      <c r="K8018" s="3" t="s">
        <v>22</v>
      </c>
    </row>
    <row r="8019" spans="1:11" ht="42" customHeight="1">
      <c r="A8019" s="2" t="s">
        <v>15542</v>
      </c>
      <c r="B8019" s="2" t="s">
        <v>15543</v>
      </c>
      <c r="C8019" s="2" t="s">
        <v>50</v>
      </c>
      <c r="D8019" s="2" t="s">
        <v>51</v>
      </c>
      <c r="E8019" s="5">
        <v>-28167</v>
      </c>
      <c r="F8019" s="3" t="s">
        <v>904</v>
      </c>
      <c r="G8019" s="3" t="s">
        <v>57</v>
      </c>
      <c r="H8019" s="2" t="s">
        <v>20</v>
      </c>
      <c r="I8019" s="2" t="s">
        <v>15544</v>
      </c>
      <c r="J8019" s="3" t="str">
        <f>HYPERLINK("https://www.boe.es/gazeta/dias/1822/11/17/pdfs/GMD-1822-337.pdf#page=4","Abrir facsímil")</f>
        <v>Abrir facsímil</v>
      </c>
      <c r="K8019" s="3" t="s">
        <v>22</v>
      </c>
    </row>
    <row r="8020" spans="1:11" ht="42" customHeight="1">
      <c r="A8020" s="2" t="s">
        <v>15545</v>
      </c>
      <c r="B8020" s="2" t="s">
        <v>15546</v>
      </c>
      <c r="C8020" s="2" t="s">
        <v>50</v>
      </c>
      <c r="D8020" s="2" t="s">
        <v>51</v>
      </c>
      <c r="E8020" s="5">
        <v>-28197</v>
      </c>
      <c r="F8020" s="3" t="s">
        <v>568</v>
      </c>
      <c r="G8020" s="3" t="s">
        <v>31</v>
      </c>
      <c r="H8020" s="2" t="s">
        <v>20</v>
      </c>
      <c r="I8020" s="2" t="s">
        <v>15547</v>
      </c>
      <c r="J8020" s="3" t="str">
        <f>HYPERLINK("https://www.boe.es/gazeta/dias/1822/10/18/pdfs/GMD-1822-305.pdf#page=3","Abrir facsímil")</f>
        <v>Abrir facsímil</v>
      </c>
      <c r="K8020" s="3" t="s">
        <v>22</v>
      </c>
    </row>
    <row r="8021" spans="1:11" ht="42" customHeight="1">
      <c r="A8021" s="2" t="s">
        <v>15545</v>
      </c>
      <c r="B8021" s="2" t="s">
        <v>15546</v>
      </c>
      <c r="C8021" s="2" t="s">
        <v>42</v>
      </c>
      <c r="D8021" s="2" t="s">
        <v>17</v>
      </c>
      <c r="E8021" s="5">
        <v>-28192</v>
      </c>
      <c r="F8021" s="3" t="s">
        <v>43</v>
      </c>
      <c r="G8021" s="3" t="s">
        <v>63</v>
      </c>
      <c r="H8021" s="2" t="s">
        <v>20</v>
      </c>
      <c r="I8021" s="2" t="s">
        <v>15548</v>
      </c>
      <c r="J8021" s="3" t="str">
        <f>HYPERLINK("https://www.boe.es/gazeta/dias/1822/10/23/pdfs/GMD-1822-310.pdf#page=6","Abrir facsímil")</f>
        <v>Abrir facsímil</v>
      </c>
      <c r="K8021" s="3" t="s">
        <v>22</v>
      </c>
    </row>
    <row r="8022" spans="1:11" ht="42" customHeight="1">
      <c r="A8022" s="2" t="s">
        <v>15545</v>
      </c>
      <c r="B8022" s="2" t="s">
        <v>15546</v>
      </c>
      <c r="C8022" s="2" t="s">
        <v>71</v>
      </c>
      <c r="D8022" s="2" t="s">
        <v>17</v>
      </c>
      <c r="E8022" s="5">
        <v>-28182</v>
      </c>
      <c r="F8022" s="3" t="s">
        <v>585</v>
      </c>
      <c r="G8022" s="3" t="s">
        <v>44</v>
      </c>
      <c r="H8022" s="2" t="s">
        <v>20</v>
      </c>
      <c r="I8022" s="2" t="s">
        <v>15549</v>
      </c>
      <c r="J8022" s="3" t="str">
        <f>HYPERLINK("https://www.boe.es/gazeta/dias/1822/11/02/pdfs/GMD-1822-320.pdf#page=1","Abrir facsímil")</f>
        <v>Abrir facsímil</v>
      </c>
      <c r="K8022" s="3" t="s">
        <v>22</v>
      </c>
    </row>
    <row r="8023" spans="1:11" ht="42" customHeight="1">
      <c r="A8023" s="2" t="s">
        <v>15545</v>
      </c>
      <c r="B8023" s="2" t="s">
        <v>15546</v>
      </c>
      <c r="C8023" s="2" t="s">
        <v>71</v>
      </c>
      <c r="D8023" s="2" t="s">
        <v>17</v>
      </c>
      <c r="E8023" s="5">
        <v>-28178</v>
      </c>
      <c r="F8023" s="3" t="s">
        <v>318</v>
      </c>
      <c r="G8023" s="3" t="s">
        <v>31</v>
      </c>
      <c r="H8023" s="2" t="s">
        <v>20</v>
      </c>
      <c r="I8023" s="2" t="s">
        <v>15550</v>
      </c>
      <c r="J8023" s="3" t="str">
        <f>HYPERLINK("https://www.boe.es/gazeta/dias/1822/11/06/pdfs/GMD-1822-326.pdf#page=3","Abrir facsímil")</f>
        <v>Abrir facsímil</v>
      </c>
      <c r="K8023" s="3" t="s">
        <v>22</v>
      </c>
    </row>
    <row r="8024" spans="1:11" ht="42" customHeight="1">
      <c r="A8024" s="2" t="s">
        <v>15545</v>
      </c>
      <c r="B8024" s="2" t="s">
        <v>15546</v>
      </c>
      <c r="C8024" s="2" t="s">
        <v>42</v>
      </c>
      <c r="D8024" s="2" t="s">
        <v>17</v>
      </c>
      <c r="E8024" s="5">
        <v>-28173</v>
      </c>
      <c r="F8024" s="3" t="s">
        <v>2959</v>
      </c>
      <c r="G8024" s="3" t="s">
        <v>31</v>
      </c>
      <c r="H8024" s="2" t="s">
        <v>20</v>
      </c>
      <c r="I8024" s="2" t="s">
        <v>15551</v>
      </c>
      <c r="J8024" s="3" t="str">
        <f>HYPERLINK("https://www.boe.es/gazeta/dias/1822/11/11/pdfs/GMD-1822-331.pdf#page=3","Abrir facsímil")</f>
        <v>Abrir facsímil</v>
      </c>
      <c r="K8024" s="3" t="s">
        <v>22</v>
      </c>
    </row>
    <row r="8025" spans="1:11" ht="42" customHeight="1">
      <c r="A8025" s="2" t="s">
        <v>15545</v>
      </c>
      <c r="B8025" s="2" t="s">
        <v>15546</v>
      </c>
      <c r="C8025" s="2" t="s">
        <v>42</v>
      </c>
      <c r="D8025" s="2" t="s">
        <v>17</v>
      </c>
      <c r="E8025" s="5">
        <v>-28145</v>
      </c>
      <c r="F8025" s="3" t="s">
        <v>1350</v>
      </c>
      <c r="G8025" s="3" t="s">
        <v>35</v>
      </c>
      <c r="H8025" s="2" t="s">
        <v>20</v>
      </c>
      <c r="I8025" s="2" t="s">
        <v>15552</v>
      </c>
      <c r="J8025" s="3" t="str">
        <f>HYPERLINK("https://www.boe.es/gazeta/dias/1822/12/09/pdfs/GMD-1822-359.pdf#page=2","Abrir facsímil")</f>
        <v>Abrir facsímil</v>
      </c>
      <c r="K8025" s="3" t="s">
        <v>22</v>
      </c>
    </row>
    <row r="8026" spans="1:11" ht="42" customHeight="1">
      <c r="A8026" s="2" t="s">
        <v>15553</v>
      </c>
      <c r="B8026" s="2" t="s">
        <v>15554</v>
      </c>
      <c r="C8026" s="2" t="s">
        <v>42</v>
      </c>
      <c r="D8026" s="2" t="s">
        <v>17</v>
      </c>
      <c r="E8026" s="5">
        <v>-28311</v>
      </c>
      <c r="F8026" s="3" t="s">
        <v>736</v>
      </c>
      <c r="G8026" s="3" t="s">
        <v>63</v>
      </c>
      <c r="H8026" s="2" t="s">
        <v>20</v>
      </c>
      <c r="I8026" s="2" t="s">
        <v>15555</v>
      </c>
      <c r="J8026" s="3" t="str">
        <f>HYPERLINK("https://www.boe.es/gazeta/dias/1822/06/26/pdfs/GMD-1822-184.pdf#page=6","Abrir facsímil")</f>
        <v>Abrir facsímil</v>
      </c>
      <c r="K8026" s="3" t="s">
        <v>22</v>
      </c>
    </row>
    <row r="8027" spans="1:11" ht="42" customHeight="1">
      <c r="A8027" s="2" t="s">
        <v>15556</v>
      </c>
      <c r="B8027" s="2" t="s">
        <v>15557</v>
      </c>
      <c r="C8027" s="2" t="s">
        <v>50</v>
      </c>
      <c r="D8027" s="2" t="s">
        <v>51</v>
      </c>
      <c r="E8027" s="5">
        <v>-28420</v>
      </c>
      <c r="F8027" s="3" t="s">
        <v>449</v>
      </c>
      <c r="G8027" s="3" t="s">
        <v>31</v>
      </c>
      <c r="H8027" s="2" t="s">
        <v>20</v>
      </c>
      <c r="I8027" s="2" t="s">
        <v>15558</v>
      </c>
      <c r="J8027" s="3" t="str">
        <f>HYPERLINK("https://www.boe.es/gazeta/dias/1822/03/09/pdfs/GMD-1822-70.pdf#page=3","Abrir facsímil")</f>
        <v>Abrir facsímil</v>
      </c>
      <c r="K8027" s="3" t="s">
        <v>22</v>
      </c>
    </row>
    <row r="8028" spans="1:11" ht="42" customHeight="1">
      <c r="A8028" s="2" t="s">
        <v>15559</v>
      </c>
      <c r="B8028" s="2" t="s">
        <v>15560</v>
      </c>
      <c r="C8028" s="2" t="s">
        <v>42</v>
      </c>
      <c r="D8028" s="2" t="s">
        <v>17</v>
      </c>
      <c r="E8028" s="5">
        <v>-28357</v>
      </c>
      <c r="F8028" s="3" t="s">
        <v>690</v>
      </c>
      <c r="G8028" s="3" t="s">
        <v>35</v>
      </c>
      <c r="H8028" s="2" t="s">
        <v>20</v>
      </c>
      <c r="I8028" s="2" t="s">
        <v>15561</v>
      </c>
      <c r="J8028" s="3" t="str">
        <f>HYPERLINK("https://www.boe.es/gazeta/dias/1822/05/11/pdfs/GMD-1822-133.pdf#page=2","Abrir facsímil")</f>
        <v>Abrir facsímil</v>
      </c>
      <c r="K8028" s="3" t="s">
        <v>22</v>
      </c>
    </row>
    <row r="8029" spans="1:11" ht="42" customHeight="1">
      <c r="A8029" s="2" t="s">
        <v>15559</v>
      </c>
      <c r="B8029" s="2" t="s">
        <v>15560</v>
      </c>
      <c r="C8029" s="2" t="s">
        <v>71</v>
      </c>
      <c r="D8029" s="2" t="s">
        <v>17</v>
      </c>
      <c r="E8029" s="5">
        <v>-28313</v>
      </c>
      <c r="F8029" s="3" t="s">
        <v>315</v>
      </c>
      <c r="G8029" s="3" t="s">
        <v>57</v>
      </c>
      <c r="H8029" s="2" t="s">
        <v>20</v>
      </c>
      <c r="I8029" s="2" t="s">
        <v>15562</v>
      </c>
      <c r="J8029" s="3" t="str">
        <f>HYPERLINK("https://www.boe.es/gazeta/dias/1822/06/24/pdfs/GMD-1822-182.pdf#page=4","Abrir facsímil")</f>
        <v>Abrir facsímil</v>
      </c>
      <c r="K8029" s="3" t="s">
        <v>22</v>
      </c>
    </row>
    <row r="8030" spans="1:11" ht="42" customHeight="1">
      <c r="A8030" s="2" t="s">
        <v>15563</v>
      </c>
      <c r="B8030" s="2" t="s">
        <v>15564</v>
      </c>
      <c r="C8030" s="2" t="s">
        <v>71</v>
      </c>
      <c r="D8030" s="2" t="s">
        <v>17</v>
      </c>
      <c r="E8030" s="5">
        <v>-28146</v>
      </c>
      <c r="F8030" s="3" t="s">
        <v>180</v>
      </c>
      <c r="G8030" s="3" t="s">
        <v>44</v>
      </c>
      <c r="H8030" s="2" t="s">
        <v>20</v>
      </c>
      <c r="I8030" s="2" t="s">
        <v>15565</v>
      </c>
      <c r="J8030" s="3" t="str">
        <f>HYPERLINK("https://www.boe.es/gazeta/dias/1822/12/08/pdfs/GMD-1822-358.pdf#page=1","Abrir facsímil")</f>
        <v>Abrir facsímil</v>
      </c>
      <c r="K8030" s="3" t="s">
        <v>22</v>
      </c>
    </row>
    <row r="8031" spans="1:11" ht="42" customHeight="1">
      <c r="A8031" s="2" t="s">
        <v>15566</v>
      </c>
      <c r="B8031" s="2" t="s">
        <v>15567</v>
      </c>
      <c r="C8031" s="2" t="s">
        <v>50</v>
      </c>
      <c r="D8031" s="2" t="s">
        <v>51</v>
      </c>
      <c r="E8031" s="5">
        <v>-28328</v>
      </c>
      <c r="F8031" s="3" t="s">
        <v>540</v>
      </c>
      <c r="G8031" s="3" t="s">
        <v>31</v>
      </c>
      <c r="H8031" s="2" t="s">
        <v>20</v>
      </c>
      <c r="I8031" s="2" t="s">
        <v>15568</v>
      </c>
      <c r="J8031" s="3" t="str">
        <f>HYPERLINK("https://www.boe.es/gazeta/dias/1822/06/09/pdfs/GMD-1822-166.pdf#page=3","Abrir facsímil")</f>
        <v>Abrir facsímil</v>
      </c>
      <c r="K8031" s="3" t="s">
        <v>22</v>
      </c>
    </row>
    <row r="8032" spans="1:11" ht="42" customHeight="1">
      <c r="A8032" s="2" t="s">
        <v>15566</v>
      </c>
      <c r="B8032" s="2" t="s">
        <v>15567</v>
      </c>
      <c r="C8032" s="2" t="s">
        <v>42</v>
      </c>
      <c r="D8032" s="2" t="s">
        <v>17</v>
      </c>
      <c r="E8032" s="5">
        <v>-28325</v>
      </c>
      <c r="F8032" s="3" t="s">
        <v>104</v>
      </c>
      <c r="G8032" s="3" t="s">
        <v>31</v>
      </c>
      <c r="H8032" s="2" t="s">
        <v>20</v>
      </c>
      <c r="I8032" s="2" t="s">
        <v>15569</v>
      </c>
      <c r="J8032" s="3" t="str">
        <f>HYPERLINK("https://www.boe.es/gazeta/dias/1822/06/12/pdfs/GMD-1822-169.pdf#page=3","Abrir facsímil")</f>
        <v>Abrir facsímil</v>
      </c>
      <c r="K8032" s="3" t="s">
        <v>22</v>
      </c>
    </row>
    <row r="8033" spans="1:11" ht="42" customHeight="1">
      <c r="A8033" s="2" t="s">
        <v>15570</v>
      </c>
      <c r="B8033" s="2" t="s">
        <v>15571</v>
      </c>
      <c r="C8033" s="2" t="s">
        <v>71</v>
      </c>
      <c r="D8033" s="2" t="s">
        <v>17</v>
      </c>
      <c r="E8033" s="5">
        <v>-28324</v>
      </c>
      <c r="F8033" s="3" t="s">
        <v>305</v>
      </c>
      <c r="G8033" s="3" t="s">
        <v>31</v>
      </c>
      <c r="H8033" s="2" t="s">
        <v>20</v>
      </c>
      <c r="I8033" s="2" t="s">
        <v>15572</v>
      </c>
      <c r="J8033" s="3" t="str">
        <f>HYPERLINK("https://www.boe.es/gazeta/dias/1822/06/13/pdfs/GMD-1822-170.pdf#page=3","Abrir facsímil")</f>
        <v>Abrir facsímil</v>
      </c>
      <c r="K8033" s="3" t="s">
        <v>22</v>
      </c>
    </row>
    <row r="8034" spans="1:11" ht="42" customHeight="1">
      <c r="A8034" s="2" t="s">
        <v>15570</v>
      </c>
      <c r="B8034" s="2" t="s">
        <v>15571</v>
      </c>
      <c r="C8034" s="2" t="s">
        <v>71</v>
      </c>
      <c r="D8034" s="2" t="s">
        <v>17</v>
      </c>
      <c r="E8034" s="5">
        <v>-28221</v>
      </c>
      <c r="F8034" s="3" t="s">
        <v>2591</v>
      </c>
      <c r="G8034" s="3" t="s">
        <v>57</v>
      </c>
      <c r="H8034" s="2" t="s">
        <v>20</v>
      </c>
      <c r="I8034" s="2" t="s">
        <v>15573</v>
      </c>
      <c r="J8034" s="3" t="str">
        <f>HYPERLINK("https://www.boe.es/gazeta/dias/1822/09/24/pdfs/GMD-1822-280.pdf#page=4","Abrir facsímil")</f>
        <v>Abrir facsímil</v>
      </c>
      <c r="K8034" s="3" t="s">
        <v>22</v>
      </c>
    </row>
    <row r="8035" spans="1:11" ht="42" customHeight="1">
      <c r="A8035" s="2" t="s">
        <v>15570</v>
      </c>
      <c r="B8035" s="2" t="s">
        <v>15571</v>
      </c>
      <c r="C8035" s="2" t="s">
        <v>50</v>
      </c>
      <c r="D8035" s="2" t="s">
        <v>51</v>
      </c>
      <c r="E8035" s="5">
        <v>-28146</v>
      </c>
      <c r="F8035" s="3" t="s">
        <v>180</v>
      </c>
      <c r="G8035" s="3" t="s">
        <v>44</v>
      </c>
      <c r="H8035" s="2" t="s">
        <v>20</v>
      </c>
      <c r="I8035" s="2" t="s">
        <v>15574</v>
      </c>
      <c r="J8035" s="3" t="str">
        <f>HYPERLINK("https://www.boe.es/gazeta/dias/1822/12/08/pdfs/GMD-1822-358.pdf#page=1","Abrir facsímil")</f>
        <v>Abrir facsímil</v>
      </c>
      <c r="K8035" s="3" t="s">
        <v>22</v>
      </c>
    </row>
    <row r="8036" spans="1:11" ht="42" customHeight="1">
      <c r="A8036" s="2" t="s">
        <v>15570</v>
      </c>
      <c r="B8036" s="2" t="s">
        <v>15571</v>
      </c>
      <c r="C8036" s="2" t="s">
        <v>16</v>
      </c>
      <c r="D8036" s="2" t="s">
        <v>17</v>
      </c>
      <c r="E8036" s="5">
        <v>-28129</v>
      </c>
      <c r="F8036" s="3" t="s">
        <v>599</v>
      </c>
      <c r="G8036" s="3" t="s">
        <v>35</v>
      </c>
      <c r="H8036" s="2" t="s">
        <v>20</v>
      </c>
      <c r="I8036" s="2" t="s">
        <v>15575</v>
      </c>
      <c r="J8036" s="3" t="str">
        <f>HYPERLINK("https://www.boe.es/gazeta/dias/1822/12/25/pdfs/GMD-1822-375.pdf#page=2","Abrir facsímil")</f>
        <v>Abrir facsímil</v>
      </c>
      <c r="K8036" s="3" t="s">
        <v>22</v>
      </c>
    </row>
    <row r="8037" spans="1:11" ht="42" customHeight="1">
      <c r="A8037" s="2" t="s">
        <v>15576</v>
      </c>
      <c r="B8037" s="2" t="s">
        <v>15577</v>
      </c>
      <c r="C8037" s="2" t="s">
        <v>61</v>
      </c>
      <c r="D8037" s="2" t="s">
        <v>17</v>
      </c>
      <c r="E8037" s="5">
        <v>-28270</v>
      </c>
      <c r="F8037" s="3" t="s">
        <v>130</v>
      </c>
      <c r="G8037" s="3" t="s">
        <v>6347</v>
      </c>
      <c r="H8037" s="2" t="s">
        <v>20</v>
      </c>
      <c r="I8037" s="2" t="s">
        <v>15578</v>
      </c>
      <c r="J8037" s="3" t="str">
        <f>HYPERLINK("https://www.boe.es/gazeta/dias/1822/08/06/pdfs/GMD-1822-230.pdf#page=4","Abrir facsímil")</f>
        <v>Abrir facsímil</v>
      </c>
      <c r="K8037" s="3" t="s">
        <v>22</v>
      </c>
    </row>
    <row r="8038" spans="1:11" ht="42" customHeight="1">
      <c r="A8038" s="2" t="s">
        <v>15576</v>
      </c>
      <c r="B8038" s="2" t="s">
        <v>15577</v>
      </c>
      <c r="C8038" s="2" t="s">
        <v>28</v>
      </c>
      <c r="D8038" s="2" t="s">
        <v>29</v>
      </c>
      <c r="E8038" s="5">
        <v>-28213</v>
      </c>
      <c r="F8038" s="3" t="s">
        <v>558</v>
      </c>
      <c r="G8038" s="3" t="s">
        <v>57</v>
      </c>
      <c r="H8038" s="2" t="s">
        <v>20</v>
      </c>
      <c r="I8038" s="2" t="s">
        <v>15579</v>
      </c>
      <c r="J8038" s="3" t="str">
        <f>HYPERLINK("https://www.boe.es/gazeta/dias/1822/10/02/pdfs/GMD-1822-288.pdf#page=4","Abrir facsímil")</f>
        <v>Abrir facsímil</v>
      </c>
      <c r="K8038" s="3" t="s">
        <v>22</v>
      </c>
    </row>
    <row r="8039" spans="1:11" ht="42" customHeight="1">
      <c r="A8039" s="2" t="s">
        <v>15576</v>
      </c>
      <c r="B8039" s="2" t="s">
        <v>15577</v>
      </c>
      <c r="C8039" s="2" t="s">
        <v>28</v>
      </c>
      <c r="D8039" s="2" t="s">
        <v>29</v>
      </c>
      <c r="E8039" s="5">
        <v>-28192</v>
      </c>
      <c r="F8039" s="3" t="s">
        <v>43</v>
      </c>
      <c r="G8039" s="3" t="s">
        <v>157</v>
      </c>
      <c r="H8039" s="2" t="s">
        <v>20</v>
      </c>
      <c r="I8039" s="2" t="s">
        <v>15580</v>
      </c>
      <c r="J8039" s="3" t="str">
        <f>HYPERLINK("https://www.boe.es/gazeta/dias/1822/10/23/pdfs/GMD-1822-310.pdf#page=8","Abrir facsímil")</f>
        <v>Abrir facsímil</v>
      </c>
      <c r="K8039" s="3" t="s">
        <v>22</v>
      </c>
    </row>
    <row r="8040" spans="1:11" ht="42" customHeight="1">
      <c r="A8040" s="2" t="s">
        <v>15581</v>
      </c>
      <c r="B8040" s="2" t="s">
        <v>15582</v>
      </c>
      <c r="C8040" s="2" t="s">
        <v>28</v>
      </c>
      <c r="D8040" s="2" t="s">
        <v>29</v>
      </c>
      <c r="E8040" s="5">
        <v>-28221</v>
      </c>
      <c r="F8040" s="3" t="s">
        <v>2591</v>
      </c>
      <c r="G8040" s="3" t="s">
        <v>57</v>
      </c>
      <c r="H8040" s="2" t="s">
        <v>20</v>
      </c>
      <c r="I8040" s="2" t="s">
        <v>15583</v>
      </c>
      <c r="J8040" s="3" t="str">
        <f>HYPERLINK("https://www.boe.es/gazeta/dias/1822/09/24/pdfs/GMD-1822-280.pdf#page=4","Abrir facsímil")</f>
        <v>Abrir facsímil</v>
      </c>
      <c r="K8040" s="3" t="s">
        <v>22</v>
      </c>
    </row>
    <row r="8041" spans="1:11" ht="42" customHeight="1">
      <c r="A8041" s="2" t="s">
        <v>15584</v>
      </c>
      <c r="B8041" s="2" t="s">
        <v>15585</v>
      </c>
      <c r="C8041" s="2" t="s">
        <v>24</v>
      </c>
      <c r="D8041" s="2" t="s">
        <v>17</v>
      </c>
      <c r="E8041" s="5">
        <v>-28379</v>
      </c>
      <c r="F8041" s="3" t="s">
        <v>494</v>
      </c>
      <c r="G8041" s="3" t="s">
        <v>19</v>
      </c>
      <c r="H8041" s="2" t="s">
        <v>20</v>
      </c>
      <c r="I8041" s="2" t="s">
        <v>15586</v>
      </c>
      <c r="J8041" s="3" t="str">
        <f>HYPERLINK("https://www.boe.es/gazeta/dias/1822/04/19/pdfs/GMD-1822-111.pdf#page=5","Abrir facsímil")</f>
        <v>Abrir facsímil</v>
      </c>
      <c r="K8041" s="3" t="s">
        <v>22</v>
      </c>
    </row>
    <row r="8042" spans="1:11" ht="42" customHeight="1">
      <c r="A8042" s="2" t="s">
        <v>15584</v>
      </c>
      <c r="B8042" s="2" t="s">
        <v>15585</v>
      </c>
      <c r="C8042" s="2" t="s">
        <v>42</v>
      </c>
      <c r="D8042" s="2" t="s">
        <v>17</v>
      </c>
      <c r="E8042" s="5">
        <v>-28234</v>
      </c>
      <c r="F8042" s="3" t="s">
        <v>1331</v>
      </c>
      <c r="G8042" s="3" t="s">
        <v>57</v>
      </c>
      <c r="H8042" s="2" t="s">
        <v>20</v>
      </c>
      <c r="I8042" s="2" t="s">
        <v>15587</v>
      </c>
      <c r="J8042" s="3" t="str">
        <f>HYPERLINK("https://www.boe.es/gazeta/dias/1822/09/11/pdfs/GMD-1822-267.pdf#page=4","Abrir facsímil")</f>
        <v>Abrir facsímil</v>
      </c>
      <c r="K8042" s="3" t="s">
        <v>22</v>
      </c>
    </row>
    <row r="8043" spans="1:11" ht="42" customHeight="1">
      <c r="A8043" s="2" t="s">
        <v>15588</v>
      </c>
      <c r="B8043" s="2" t="s">
        <v>15588</v>
      </c>
      <c r="C8043" s="2" t="s">
        <v>50</v>
      </c>
      <c r="D8043" s="2" t="s">
        <v>51</v>
      </c>
      <c r="E8043" s="5">
        <v>-28413</v>
      </c>
      <c r="F8043" s="3" t="s">
        <v>458</v>
      </c>
      <c r="G8043" s="3" t="s">
        <v>63</v>
      </c>
      <c r="H8043" s="2" t="s">
        <v>20</v>
      </c>
      <c r="I8043" s="2" t="s">
        <v>15589</v>
      </c>
      <c r="J8043" s="3" t="str">
        <f>HYPERLINK("https://www.boe.es/gazeta/dias/1822/03/16/pdfs/GMD-1822-77.pdf#page=6","Abrir facsímil")</f>
        <v>Abrir facsímil</v>
      </c>
      <c r="K8043" s="3" t="s">
        <v>22</v>
      </c>
    </row>
    <row r="8044" spans="1:11" ht="42" customHeight="1">
      <c r="A8044" s="2" t="s">
        <v>15588</v>
      </c>
      <c r="B8044" s="2" t="s">
        <v>15588</v>
      </c>
      <c r="C8044" s="2" t="s">
        <v>61</v>
      </c>
      <c r="D8044" s="2" t="s">
        <v>17</v>
      </c>
      <c r="E8044" s="5">
        <v>-28330</v>
      </c>
      <c r="F8044" s="3" t="s">
        <v>896</v>
      </c>
      <c r="G8044" s="3" t="s">
        <v>44</v>
      </c>
      <c r="H8044" s="2" t="s">
        <v>20</v>
      </c>
      <c r="I8044" s="2" t="s">
        <v>15590</v>
      </c>
      <c r="J8044" s="3" t="str">
        <f>HYPERLINK("https://www.boe.es/gazeta/dias/1822/06/07/pdfs/GMD-1822-164.pdf#page=1","Abrir facsímil")</f>
        <v>Abrir facsímil</v>
      </c>
      <c r="K8044" s="3" t="s">
        <v>22</v>
      </c>
    </row>
    <row r="8045" spans="1:11" ht="42" customHeight="1">
      <c r="A8045" s="2" t="s">
        <v>15588</v>
      </c>
      <c r="B8045" s="2" t="s">
        <v>15588</v>
      </c>
      <c r="C8045" s="2" t="s">
        <v>50</v>
      </c>
      <c r="D8045" s="2" t="s">
        <v>51</v>
      </c>
      <c r="E8045" s="5">
        <v>-28323</v>
      </c>
      <c r="F8045" s="3" t="s">
        <v>116</v>
      </c>
      <c r="G8045" s="3" t="s">
        <v>19</v>
      </c>
      <c r="H8045" s="2" t="s">
        <v>20</v>
      </c>
      <c r="I8045" s="2" t="s">
        <v>15591</v>
      </c>
      <c r="J8045" s="3" t="str">
        <f>HYPERLINK("https://www.boe.es/gazeta/dias/1822/06/14/pdfs/GMD-1822-171.pdf#page=5","Abrir facsímil")</f>
        <v>Abrir facsímil</v>
      </c>
      <c r="K8045" s="3" t="s">
        <v>22</v>
      </c>
    </row>
    <row r="8046" spans="1:11" ht="42" customHeight="1">
      <c r="A8046" s="2" t="s">
        <v>15588</v>
      </c>
      <c r="B8046" s="2" t="s">
        <v>15588</v>
      </c>
      <c r="C8046" s="2" t="s">
        <v>71</v>
      </c>
      <c r="D8046" s="2" t="s">
        <v>17</v>
      </c>
      <c r="E8046" s="5">
        <v>-28312</v>
      </c>
      <c r="F8046" s="3" t="s">
        <v>92</v>
      </c>
      <c r="G8046" s="3" t="s">
        <v>35</v>
      </c>
      <c r="H8046" s="2" t="s">
        <v>20</v>
      </c>
      <c r="I8046" s="2" t="s">
        <v>15592</v>
      </c>
      <c r="J8046" s="3" t="str">
        <f>HYPERLINK("https://www.boe.es/gazeta/dias/1822/06/25/pdfs/GMD-1822-183.pdf#page=2","Abrir facsímil")</f>
        <v>Abrir facsímil</v>
      </c>
      <c r="K8046" s="3" t="s">
        <v>22</v>
      </c>
    </row>
    <row r="8047" spans="1:11" ht="42" customHeight="1">
      <c r="A8047" s="2" t="s">
        <v>15593</v>
      </c>
      <c r="B8047" s="2" t="s">
        <v>15593</v>
      </c>
      <c r="C8047" s="2" t="s">
        <v>71</v>
      </c>
      <c r="D8047" s="2" t="s">
        <v>17</v>
      </c>
      <c r="E8047" s="5">
        <v>-28412</v>
      </c>
      <c r="F8047" s="3" t="s">
        <v>825</v>
      </c>
      <c r="G8047" s="3" t="s">
        <v>44</v>
      </c>
      <c r="H8047" s="2" t="s">
        <v>20</v>
      </c>
      <c r="I8047" s="2" t="s">
        <v>15594</v>
      </c>
      <c r="J8047" s="3" t="str">
        <f>HYPERLINK("https://www.boe.es/gazeta/dias/1822/03/17/pdfs/GMD-1822-78.pdf#page=1","Abrir facsímil")</f>
        <v>Abrir facsímil</v>
      </c>
      <c r="K8047" s="3" t="s">
        <v>22</v>
      </c>
    </row>
    <row r="8048" spans="1:11" ht="42" customHeight="1">
      <c r="A8048" s="2" t="s">
        <v>15593</v>
      </c>
      <c r="B8048" s="2" t="s">
        <v>15593</v>
      </c>
      <c r="C8048" s="2" t="s">
        <v>42</v>
      </c>
      <c r="D8048" s="2" t="s">
        <v>17</v>
      </c>
      <c r="E8048" s="5">
        <v>-28268</v>
      </c>
      <c r="F8048" s="3" t="s">
        <v>7231</v>
      </c>
      <c r="G8048" s="3" t="s">
        <v>44</v>
      </c>
      <c r="H8048" s="2" t="s">
        <v>20</v>
      </c>
      <c r="I8048" s="2" t="s">
        <v>15595</v>
      </c>
      <c r="J8048" s="3" t="str">
        <f>HYPERLINK("https://www.boe.es/gazeta/dias/1822/08/08/pdfs/GMD-1822-232.pdf#page=1","Abrir facsímil")</f>
        <v>Abrir facsímil</v>
      </c>
      <c r="K8048" s="3" t="s">
        <v>22</v>
      </c>
    </row>
    <row r="8049" spans="1:11" ht="42" customHeight="1">
      <c r="A8049" s="2" t="s">
        <v>15593</v>
      </c>
      <c r="B8049" s="2" t="s">
        <v>15593</v>
      </c>
      <c r="C8049" s="2" t="s">
        <v>42</v>
      </c>
      <c r="D8049" s="2" t="s">
        <v>17</v>
      </c>
      <c r="E8049" s="5">
        <v>-28250</v>
      </c>
      <c r="F8049" s="3" t="s">
        <v>1174</v>
      </c>
      <c r="G8049" s="3" t="s">
        <v>31</v>
      </c>
      <c r="H8049" s="2" t="s">
        <v>20</v>
      </c>
      <c r="I8049" s="2" t="s">
        <v>15596</v>
      </c>
      <c r="J8049" s="3" t="str">
        <f>HYPERLINK("https://www.boe.es/gazeta/dias/1822/08/26/pdfs/GMD-1822-250.pdf#page=3","Abrir facsímil")</f>
        <v>Abrir facsímil</v>
      </c>
      <c r="K8049" s="3" t="s">
        <v>22</v>
      </c>
    </row>
    <row r="8050" spans="1:11" ht="42" customHeight="1">
      <c r="A8050" s="2" t="s">
        <v>15593</v>
      </c>
      <c r="B8050" s="2" t="s">
        <v>15593</v>
      </c>
      <c r="C8050" s="2" t="s">
        <v>28</v>
      </c>
      <c r="D8050" s="2" t="s">
        <v>29</v>
      </c>
      <c r="E8050" s="5">
        <v>-28242</v>
      </c>
      <c r="F8050" s="3" t="s">
        <v>831</v>
      </c>
      <c r="G8050" s="3" t="s">
        <v>44</v>
      </c>
      <c r="H8050" s="2" t="s">
        <v>20</v>
      </c>
      <c r="I8050" s="2" t="s">
        <v>15597</v>
      </c>
      <c r="J8050" s="3" t="str">
        <f>HYPERLINK("https://www.boe.es/gazeta/dias/1822/09/03/pdfs/GMD-1822-258.pdf#page=1","Abrir facsímil")</f>
        <v>Abrir facsímil</v>
      </c>
      <c r="K8050" s="3" t="s">
        <v>22</v>
      </c>
    </row>
    <row r="8051" spans="1:11" ht="42" customHeight="1">
      <c r="A8051" s="2" t="s">
        <v>15593</v>
      </c>
      <c r="B8051" s="2" t="s">
        <v>15593</v>
      </c>
      <c r="C8051" s="2" t="s">
        <v>42</v>
      </c>
      <c r="D8051" s="2" t="s">
        <v>17</v>
      </c>
      <c r="E8051" s="5">
        <v>-28229</v>
      </c>
      <c r="F8051" s="3" t="s">
        <v>2310</v>
      </c>
      <c r="G8051" s="3" t="s">
        <v>31</v>
      </c>
      <c r="H8051" s="2" t="s">
        <v>20</v>
      </c>
      <c r="I8051" s="2" t="s">
        <v>15598</v>
      </c>
      <c r="J8051" s="3" t="str">
        <f>HYPERLINK("https://www.boe.es/gazeta/dias/1822/09/16/pdfs/GMD-1822-272.pdf#page=3","Abrir facsímil")</f>
        <v>Abrir facsímil</v>
      </c>
      <c r="K8051" s="3" t="s">
        <v>22</v>
      </c>
    </row>
    <row r="8052" spans="1:11" ht="42" customHeight="1">
      <c r="A8052" s="2" t="s">
        <v>15593</v>
      </c>
      <c r="B8052" s="2" t="s">
        <v>15593</v>
      </c>
      <c r="C8052" s="2" t="s">
        <v>42</v>
      </c>
      <c r="D8052" s="2" t="s">
        <v>17</v>
      </c>
      <c r="E8052" s="5">
        <v>-28223</v>
      </c>
      <c r="F8052" s="3" t="s">
        <v>2374</v>
      </c>
      <c r="G8052" s="3" t="s">
        <v>44</v>
      </c>
      <c r="H8052" s="2" t="s">
        <v>20</v>
      </c>
      <c r="I8052" s="2" t="s">
        <v>15599</v>
      </c>
      <c r="J8052" s="3" t="str">
        <f>HYPERLINK("https://www.boe.es/gazeta/dias/1822/09/22/pdfs/GMD-1822-278.pdf#page=1","Abrir facsímil")</f>
        <v>Abrir facsímil</v>
      </c>
      <c r="K8052" s="3" t="s">
        <v>22</v>
      </c>
    </row>
    <row r="8053" spans="1:11" ht="42" customHeight="1">
      <c r="A8053" s="2" t="s">
        <v>15593</v>
      </c>
      <c r="B8053" s="2" t="s">
        <v>15593</v>
      </c>
      <c r="C8053" s="2" t="s">
        <v>71</v>
      </c>
      <c r="D8053" s="2" t="s">
        <v>17</v>
      </c>
      <c r="E8053" s="5">
        <v>-28220</v>
      </c>
      <c r="F8053" s="3" t="s">
        <v>1914</v>
      </c>
      <c r="G8053" s="3" t="s">
        <v>57</v>
      </c>
      <c r="H8053" s="2" t="s">
        <v>20</v>
      </c>
      <c r="I8053" s="2" t="s">
        <v>15600</v>
      </c>
      <c r="J8053" s="3" t="str">
        <f>HYPERLINK("https://www.boe.es/gazeta/dias/1822/09/25/pdfs/GMD-1822-281.pdf#page=4","Abrir facsímil")</f>
        <v>Abrir facsímil</v>
      </c>
      <c r="K8053" s="3" t="s">
        <v>22</v>
      </c>
    </row>
    <row r="8054" spans="1:11" ht="42" customHeight="1">
      <c r="A8054" s="2" t="s">
        <v>15593</v>
      </c>
      <c r="B8054" s="2" t="s">
        <v>15593</v>
      </c>
      <c r="C8054" s="2" t="s">
        <v>50</v>
      </c>
      <c r="D8054" s="2" t="s">
        <v>51</v>
      </c>
      <c r="E8054" s="5">
        <v>-28212</v>
      </c>
      <c r="F8054" s="3" t="s">
        <v>560</v>
      </c>
      <c r="G8054" s="3" t="s">
        <v>44</v>
      </c>
      <c r="H8054" s="2" t="s">
        <v>20</v>
      </c>
      <c r="I8054" s="2" t="s">
        <v>15601</v>
      </c>
      <c r="J8054" s="3" t="str">
        <f>HYPERLINK("https://www.boe.es/gazeta/dias/1822/10/03/pdfs/GMD-1822-289.pdf#page=1","Abrir facsímil")</f>
        <v>Abrir facsímil</v>
      </c>
      <c r="K8054" s="3" t="s">
        <v>22</v>
      </c>
    </row>
    <row r="8055" spans="1:11" ht="42" customHeight="1">
      <c r="A8055" s="2" t="s">
        <v>15593</v>
      </c>
      <c r="B8055" s="2" t="s">
        <v>15593</v>
      </c>
      <c r="C8055" s="2" t="s">
        <v>42</v>
      </c>
      <c r="D8055" s="2" t="s">
        <v>17</v>
      </c>
      <c r="E8055" s="5">
        <v>-28201</v>
      </c>
      <c r="F8055" s="3" t="s">
        <v>163</v>
      </c>
      <c r="G8055" s="3" t="s">
        <v>19</v>
      </c>
      <c r="H8055" s="2" t="s">
        <v>20</v>
      </c>
      <c r="I8055" s="2" t="s">
        <v>15602</v>
      </c>
      <c r="J8055" s="3" t="str">
        <f>HYPERLINK("https://www.boe.es/gazeta/dias/1822/10/14/pdfs/GMD-1822-301.pdf#page=5","Abrir facsímil")</f>
        <v>Abrir facsímil</v>
      </c>
      <c r="K8055" s="3" t="s">
        <v>22</v>
      </c>
    </row>
    <row r="8056" spans="1:11" ht="42" customHeight="1">
      <c r="A8056" s="2" t="s">
        <v>15603</v>
      </c>
      <c r="B8056" s="2" t="s">
        <v>15604</v>
      </c>
      <c r="C8056" s="2" t="s">
        <v>28</v>
      </c>
      <c r="D8056" s="2" t="s">
        <v>29</v>
      </c>
      <c r="E8056" s="5">
        <v>-28334</v>
      </c>
      <c r="F8056" s="3" t="s">
        <v>532</v>
      </c>
      <c r="G8056" s="3" t="s">
        <v>44</v>
      </c>
      <c r="H8056" s="2" t="s">
        <v>20</v>
      </c>
      <c r="I8056" s="2" t="s">
        <v>15605</v>
      </c>
      <c r="J8056" s="3" t="str">
        <f>HYPERLINK("https://www.boe.es/gazeta/dias/1822/06/03/pdfs/GMD-1822-159.pdf#page=1","Abrir facsímil")</f>
        <v>Abrir facsímil</v>
      </c>
      <c r="K8056" s="3" t="s">
        <v>22</v>
      </c>
    </row>
    <row r="8057" spans="1:11" ht="42" customHeight="1">
      <c r="A8057" s="2" t="s">
        <v>15606</v>
      </c>
      <c r="B8057" s="2" t="s">
        <v>15607</v>
      </c>
      <c r="C8057" s="2" t="s">
        <v>42</v>
      </c>
      <c r="D8057" s="2" t="s">
        <v>17</v>
      </c>
      <c r="E8057" s="5">
        <v>-28391</v>
      </c>
      <c r="F8057" s="3" t="s">
        <v>378</v>
      </c>
      <c r="G8057" s="3" t="s">
        <v>63</v>
      </c>
      <c r="H8057" s="2" t="s">
        <v>20</v>
      </c>
      <c r="I8057" s="2" t="s">
        <v>15608</v>
      </c>
      <c r="J8057" s="3" t="str">
        <f>HYPERLINK("https://www.boe.es/gazeta/dias/1822/04/07/pdfs/GMD-1822-99.pdf#page=6","Abrir facsímil")</f>
        <v>Abrir facsímil</v>
      </c>
      <c r="K8057" s="3" t="s">
        <v>22</v>
      </c>
    </row>
    <row r="8058" spans="1:11" ht="42" customHeight="1">
      <c r="A8058" s="2" t="s">
        <v>15606</v>
      </c>
      <c r="B8058" s="2" t="s">
        <v>15607</v>
      </c>
      <c r="C8058" s="2" t="s">
        <v>42</v>
      </c>
      <c r="D8058" s="2" t="s">
        <v>17</v>
      </c>
      <c r="E8058" s="5">
        <v>-28155</v>
      </c>
      <c r="F8058" s="3" t="s">
        <v>833</v>
      </c>
      <c r="G8058" s="3" t="s">
        <v>63</v>
      </c>
      <c r="H8058" s="2" t="s">
        <v>20</v>
      </c>
      <c r="I8058" s="2" t="s">
        <v>15609</v>
      </c>
      <c r="J8058" s="3" t="str">
        <f>HYPERLINK("https://www.boe.es/gazeta/dias/1822/11/29/pdfs/GMD-1822-349.pdf#page=6","Abrir facsímil")</f>
        <v>Abrir facsímil</v>
      </c>
      <c r="K8058" s="3" t="s">
        <v>22</v>
      </c>
    </row>
    <row r="8059" spans="1:11" ht="42" customHeight="1">
      <c r="A8059" s="2" t="s">
        <v>15610</v>
      </c>
      <c r="B8059" s="2" t="s">
        <v>15611</v>
      </c>
      <c r="C8059" s="2" t="s">
        <v>50</v>
      </c>
      <c r="D8059" s="2" t="s">
        <v>723</v>
      </c>
      <c r="E8059" s="5">
        <v>-28181</v>
      </c>
      <c r="F8059" s="3" t="s">
        <v>724</v>
      </c>
      <c r="G8059" s="3" t="s">
        <v>44</v>
      </c>
      <c r="H8059" s="2" t="s">
        <v>20</v>
      </c>
      <c r="I8059" s="2" t="s">
        <v>15612</v>
      </c>
      <c r="J8059" s="3" t="str">
        <f>HYPERLINK("https://www.boe.es/gazeta/dias/1822/11/03/pdfs/GMD-1822-322E.pdf#page=1","Abrir facsímil")</f>
        <v>Abrir facsímil</v>
      </c>
      <c r="K8059" s="3" t="s">
        <v>22</v>
      </c>
    </row>
    <row r="8060" spans="1:11" ht="42" customHeight="1">
      <c r="A8060" s="2" t="s">
        <v>15613</v>
      </c>
      <c r="B8060" s="2" t="s">
        <v>15614</v>
      </c>
      <c r="C8060" s="2" t="s">
        <v>24</v>
      </c>
      <c r="D8060" s="2" t="s">
        <v>17</v>
      </c>
      <c r="E8060" s="5">
        <v>-28319</v>
      </c>
      <c r="F8060" s="3" t="s">
        <v>271</v>
      </c>
      <c r="G8060" s="3" t="s">
        <v>35</v>
      </c>
      <c r="H8060" s="2" t="s">
        <v>20</v>
      </c>
      <c r="I8060" s="2" t="s">
        <v>15615</v>
      </c>
      <c r="J8060" s="3" t="str">
        <f>HYPERLINK("https://www.boe.es/gazeta/dias/1822/06/18/pdfs/GMD-1822-175.pdf#page=2","Abrir facsímil")</f>
        <v>Abrir facsímil</v>
      </c>
      <c r="K8060" s="3" t="s">
        <v>22</v>
      </c>
    </row>
    <row r="8061" spans="1:11" ht="42" customHeight="1">
      <c r="A8061" s="2" t="s">
        <v>15616</v>
      </c>
      <c r="B8061" s="2" t="s">
        <v>15617</v>
      </c>
      <c r="C8061" s="2" t="s">
        <v>50</v>
      </c>
      <c r="D8061" s="2" t="s">
        <v>51</v>
      </c>
      <c r="E8061" s="5">
        <v>-28191</v>
      </c>
      <c r="F8061" s="3" t="s">
        <v>710</v>
      </c>
      <c r="G8061" s="3" t="s">
        <v>5038</v>
      </c>
      <c r="H8061" s="2" t="s">
        <v>20</v>
      </c>
      <c r="I8061" s="2" t="s">
        <v>15618</v>
      </c>
      <c r="J8061" s="3" t="str">
        <f>HYPERLINK("https://www.boe.es/gazeta/dias/1822/10/24/pdfs/GMD-1822-311.pdf#page=8","Abrir facsímil")</f>
        <v>Abrir facsímil</v>
      </c>
      <c r="K8061" s="3" t="s">
        <v>22</v>
      </c>
    </row>
    <row r="8062" spans="1:11" ht="42" customHeight="1">
      <c r="A8062" s="2" t="s">
        <v>15619</v>
      </c>
      <c r="B8062" s="2" t="s">
        <v>15620</v>
      </c>
      <c r="C8062" s="2" t="s">
        <v>50</v>
      </c>
      <c r="D8062" s="2" t="s">
        <v>51</v>
      </c>
      <c r="E8062" s="5">
        <v>-28260</v>
      </c>
      <c r="F8062" s="3" t="s">
        <v>135</v>
      </c>
      <c r="G8062" s="3" t="s">
        <v>31</v>
      </c>
      <c r="H8062" s="2" t="s">
        <v>20</v>
      </c>
      <c r="I8062" s="2" t="s">
        <v>15621</v>
      </c>
      <c r="J8062" s="3" t="str">
        <f>HYPERLINK("https://www.boe.es/gazeta/dias/1822/08/16/pdfs/GMD-1822-240.pdf#page=3","Abrir facsímil")</f>
        <v>Abrir facsímil</v>
      </c>
      <c r="K8062" s="3" t="s">
        <v>22</v>
      </c>
    </row>
    <row r="8063" spans="1:11" ht="42" customHeight="1">
      <c r="A8063" s="2" t="s">
        <v>15622</v>
      </c>
      <c r="B8063" s="2" t="s">
        <v>15622</v>
      </c>
      <c r="C8063" s="2" t="s">
        <v>42</v>
      </c>
      <c r="D8063" s="2" t="s">
        <v>17</v>
      </c>
      <c r="E8063" s="5">
        <v>-28400</v>
      </c>
      <c r="F8063" s="3" t="s">
        <v>1937</v>
      </c>
      <c r="G8063" s="3" t="s">
        <v>44</v>
      </c>
      <c r="H8063" s="2" t="s">
        <v>20</v>
      </c>
      <c r="I8063" s="2" t="s">
        <v>15623</v>
      </c>
      <c r="J8063" s="3" t="str">
        <f>HYPERLINK("https://www.boe.es/gazeta/dias/1822/03/29/pdfs/GMD-1822-90.pdf#page=1","Abrir facsímil")</f>
        <v>Abrir facsímil</v>
      </c>
      <c r="K8063" s="3" t="s">
        <v>22</v>
      </c>
    </row>
    <row r="8064" spans="1:11" ht="42" customHeight="1">
      <c r="A8064" s="2" t="s">
        <v>15624</v>
      </c>
      <c r="B8064" s="2" t="s">
        <v>15625</v>
      </c>
      <c r="C8064" s="2" t="s">
        <v>42</v>
      </c>
      <c r="D8064" s="2" t="s">
        <v>17</v>
      </c>
      <c r="E8064" s="5">
        <v>-28317</v>
      </c>
      <c r="F8064" s="3" t="s">
        <v>546</v>
      </c>
      <c r="G8064" s="3" t="s">
        <v>157</v>
      </c>
      <c r="H8064" s="2" t="s">
        <v>20</v>
      </c>
      <c r="I8064" s="2" t="s">
        <v>15626</v>
      </c>
      <c r="J8064" s="3" t="str">
        <f>HYPERLINK("https://www.boe.es/gazeta/dias/1822/06/20/pdfs/GMD-1822-177.pdf#page=8","Abrir facsímil")</f>
        <v>Abrir facsímil</v>
      </c>
      <c r="K8064" s="3" t="s">
        <v>22</v>
      </c>
    </row>
    <row r="8065" spans="1:11" ht="42" customHeight="1">
      <c r="A8065" s="2" t="s">
        <v>15627</v>
      </c>
      <c r="B8065" s="2" t="s">
        <v>15628</v>
      </c>
      <c r="C8065" s="2" t="s">
        <v>71</v>
      </c>
      <c r="D8065" s="2" t="s">
        <v>17</v>
      </c>
      <c r="E8065" s="5">
        <v>-28370</v>
      </c>
      <c r="F8065" s="3" t="s">
        <v>207</v>
      </c>
      <c r="G8065" s="3" t="s">
        <v>63</v>
      </c>
      <c r="H8065" s="2" t="s">
        <v>20</v>
      </c>
      <c r="I8065" s="2" t="s">
        <v>15629</v>
      </c>
      <c r="J8065" s="3" t="str">
        <f>HYPERLINK("https://www.boe.es/gazeta/dias/1822/04/28/pdfs/GMD-1822-120.pdf#page=6","Abrir facsímil")</f>
        <v>Abrir facsímil</v>
      </c>
      <c r="K8065" s="3" t="s">
        <v>22</v>
      </c>
    </row>
    <row r="8066" spans="1:11" ht="42" customHeight="1">
      <c r="A8066" s="2" t="s">
        <v>15630</v>
      </c>
      <c r="B8066" s="2" t="s">
        <v>15631</v>
      </c>
      <c r="C8066" s="2" t="s">
        <v>42</v>
      </c>
      <c r="D8066" s="2" t="s">
        <v>17</v>
      </c>
      <c r="E8066" s="5">
        <v>-28233</v>
      </c>
      <c r="F8066" s="3" t="s">
        <v>810</v>
      </c>
      <c r="G8066" s="3" t="s">
        <v>57</v>
      </c>
      <c r="H8066" s="2" t="s">
        <v>20</v>
      </c>
      <c r="I8066" s="2" t="s">
        <v>15632</v>
      </c>
      <c r="J8066" s="3" t="str">
        <f>HYPERLINK("https://www.boe.es/gazeta/dias/1822/09/12/pdfs/GMD-1822-268.pdf#page=4","Abrir facsímil")</f>
        <v>Abrir facsímil</v>
      </c>
      <c r="K8066" s="3" t="s">
        <v>22</v>
      </c>
    </row>
    <row r="8067" spans="1:11" ht="42" customHeight="1">
      <c r="A8067" s="2" t="s">
        <v>15630</v>
      </c>
      <c r="B8067" s="2" t="s">
        <v>15631</v>
      </c>
      <c r="C8067" s="2" t="s">
        <v>42</v>
      </c>
      <c r="D8067" s="2" t="s">
        <v>17</v>
      </c>
      <c r="E8067" s="5">
        <v>-28195</v>
      </c>
      <c r="F8067" s="3" t="s">
        <v>770</v>
      </c>
      <c r="G8067" s="3" t="s">
        <v>63</v>
      </c>
      <c r="H8067" s="2" t="s">
        <v>20</v>
      </c>
      <c r="I8067" s="2" t="s">
        <v>15633</v>
      </c>
      <c r="J8067" s="3" t="str">
        <f>HYPERLINK("https://www.boe.es/gazeta/dias/1822/10/20/pdfs/GMD-1822-307.pdf#page=6","Abrir facsímil")</f>
        <v>Abrir facsímil</v>
      </c>
      <c r="K8067" s="3" t="s">
        <v>22</v>
      </c>
    </row>
    <row r="8068" spans="1:11" ht="42" customHeight="1">
      <c r="A8068" s="2" t="s">
        <v>15634</v>
      </c>
      <c r="B8068" s="2" t="s">
        <v>15635</v>
      </c>
      <c r="C8068" s="2" t="s">
        <v>50</v>
      </c>
      <c r="D8068" s="2" t="s">
        <v>51</v>
      </c>
      <c r="E8068" s="5">
        <v>-28340</v>
      </c>
      <c r="F8068" s="3" t="s">
        <v>139</v>
      </c>
      <c r="G8068" s="3" t="s">
        <v>63</v>
      </c>
      <c r="H8068" s="2" t="s">
        <v>20</v>
      </c>
      <c r="I8068" s="2" t="s">
        <v>15636</v>
      </c>
      <c r="J8068" s="3" t="str">
        <f>HYPERLINK("https://www.boe.es/gazeta/dias/1822/05/28/pdfs/GMD-1822-153.pdf#page=6","Abrir facsímil")</f>
        <v>Abrir facsímil</v>
      </c>
      <c r="K8068" s="3" t="s">
        <v>22</v>
      </c>
    </row>
    <row r="8069" spans="1:11" ht="42" customHeight="1">
      <c r="A8069" s="2" t="s">
        <v>15634</v>
      </c>
      <c r="B8069" s="2" t="s">
        <v>15635</v>
      </c>
      <c r="C8069" s="2" t="s">
        <v>71</v>
      </c>
      <c r="D8069" s="2" t="s">
        <v>17</v>
      </c>
      <c r="E8069" s="5">
        <v>-28306</v>
      </c>
      <c r="F8069" s="3" t="s">
        <v>348</v>
      </c>
      <c r="G8069" s="3" t="s">
        <v>57</v>
      </c>
      <c r="H8069" s="2" t="s">
        <v>20</v>
      </c>
      <c r="I8069" s="2" t="s">
        <v>15637</v>
      </c>
      <c r="J8069" s="3" t="str">
        <f>HYPERLINK("https://www.boe.es/gazeta/dias/1822/07/01/pdfs/GMD-1822-190.pdf#page=4","Abrir facsímil")</f>
        <v>Abrir facsímil</v>
      </c>
      <c r="K8069" s="3" t="s">
        <v>22</v>
      </c>
    </row>
    <row r="8070" spans="1:11" ht="42" customHeight="1">
      <c r="A8070" s="2" t="s">
        <v>15634</v>
      </c>
      <c r="B8070" s="2" t="s">
        <v>15635</v>
      </c>
      <c r="C8070" s="2" t="s">
        <v>24</v>
      </c>
      <c r="D8070" s="2" t="s">
        <v>17</v>
      </c>
      <c r="E8070" s="5">
        <v>-28286</v>
      </c>
      <c r="F8070" s="3" t="s">
        <v>1853</v>
      </c>
      <c r="G8070" s="3" t="s">
        <v>57</v>
      </c>
      <c r="H8070" s="2" t="s">
        <v>20</v>
      </c>
      <c r="I8070" s="2" t="s">
        <v>15638</v>
      </c>
      <c r="J8070" s="3" t="str">
        <f>HYPERLINK("https://www.boe.es/gazeta/dias/1822/07/21/pdfs/GMD-1822-213.pdf#page=4","Abrir facsímil")</f>
        <v>Abrir facsímil</v>
      </c>
      <c r="K8070" s="3" t="s">
        <v>22</v>
      </c>
    </row>
    <row r="8071" spans="1:11" ht="42" customHeight="1">
      <c r="A8071" s="2" t="s">
        <v>15639</v>
      </c>
      <c r="B8071" s="2" t="s">
        <v>15640</v>
      </c>
      <c r="C8071" s="2" t="s">
        <v>42</v>
      </c>
      <c r="D8071" s="2" t="s">
        <v>17</v>
      </c>
      <c r="E8071" s="5">
        <v>-28124</v>
      </c>
      <c r="F8071" s="3" t="s">
        <v>301</v>
      </c>
      <c r="G8071" s="3" t="s">
        <v>35</v>
      </c>
      <c r="H8071" s="2" t="s">
        <v>20</v>
      </c>
      <c r="I8071" s="2" t="s">
        <v>15641</v>
      </c>
      <c r="J8071" s="3" t="str">
        <f>HYPERLINK("https://www.boe.es/gazeta/dias/1822/12/30/pdfs/GMD-1822-380.pdf#page=2","Abrir facsímil")</f>
        <v>Abrir facsímil</v>
      </c>
      <c r="K8071" s="3" t="s">
        <v>22</v>
      </c>
    </row>
    <row r="8072" spans="1:11" ht="42" customHeight="1">
      <c r="A8072" s="2" t="s">
        <v>15642</v>
      </c>
      <c r="B8072" s="2" t="s">
        <v>15643</v>
      </c>
      <c r="C8072" s="2" t="s">
        <v>16</v>
      </c>
      <c r="D8072" s="2" t="s">
        <v>17</v>
      </c>
      <c r="E8072" s="5">
        <v>-28382</v>
      </c>
      <c r="F8072" s="3" t="s">
        <v>973</v>
      </c>
      <c r="G8072" s="3" t="s">
        <v>63</v>
      </c>
      <c r="H8072" s="2" t="s">
        <v>20</v>
      </c>
      <c r="I8072" s="2" t="s">
        <v>15644</v>
      </c>
      <c r="J8072" s="3" t="str">
        <f>HYPERLINK("https://www.boe.es/gazeta/dias/1822/04/16/pdfs/GMD-1822-108.pdf#page=6","Abrir facsímil")</f>
        <v>Abrir facsímil</v>
      </c>
      <c r="K8072" s="3" t="s">
        <v>22</v>
      </c>
    </row>
    <row r="8073" spans="1:11" ht="42" customHeight="1">
      <c r="A8073" s="2" t="s">
        <v>15645</v>
      </c>
      <c r="B8073" s="2" t="s">
        <v>15646</v>
      </c>
      <c r="C8073" s="2" t="s">
        <v>50</v>
      </c>
      <c r="D8073" s="2" t="s">
        <v>51</v>
      </c>
      <c r="E8073" s="5">
        <v>-28264</v>
      </c>
      <c r="F8073" s="3" t="s">
        <v>1329</v>
      </c>
      <c r="G8073" s="3" t="s">
        <v>57</v>
      </c>
      <c r="H8073" s="2" t="s">
        <v>20</v>
      </c>
      <c r="I8073" s="2" t="s">
        <v>15647</v>
      </c>
      <c r="J8073" s="3" t="str">
        <f>HYPERLINK("https://www.boe.es/gazeta/dias/1822/08/12/pdfs/GMD-1822-236.pdf#page=4","Abrir facsímil")</f>
        <v>Abrir facsímil</v>
      </c>
      <c r="K8073" s="3" t="s">
        <v>22</v>
      </c>
    </row>
    <row r="8074" spans="1:11" ht="42" customHeight="1">
      <c r="A8074" s="2" t="s">
        <v>15648</v>
      </c>
      <c r="B8074" s="2" t="s">
        <v>15649</v>
      </c>
      <c r="C8074" s="2" t="s">
        <v>42</v>
      </c>
      <c r="D8074" s="2" t="s">
        <v>17</v>
      </c>
      <c r="E8074" s="5">
        <v>-28127</v>
      </c>
      <c r="F8074" s="3" t="s">
        <v>409</v>
      </c>
      <c r="G8074" s="3" t="s">
        <v>5790</v>
      </c>
      <c r="H8074" s="2" t="s">
        <v>20</v>
      </c>
      <c r="I8074" s="2" t="s">
        <v>15650</v>
      </c>
      <c r="J8074" s="3" t="str">
        <f>HYPERLINK("https://www.boe.es/gazeta/dias/1822/12/27/pdfs/GMD-1822-377.pdf#page=6","Abrir facsímil")</f>
        <v>Abrir facsímil</v>
      </c>
      <c r="K8074" s="3" t="s">
        <v>22</v>
      </c>
    </row>
    <row r="8075" spans="1:11" ht="42" customHeight="1">
      <c r="A8075" s="2" t="s">
        <v>15651</v>
      </c>
      <c r="B8075" s="2" t="s">
        <v>15652</v>
      </c>
      <c r="C8075" s="2" t="s">
        <v>42</v>
      </c>
      <c r="D8075" s="2" t="s">
        <v>17</v>
      </c>
      <c r="E8075" s="5">
        <v>-28229</v>
      </c>
      <c r="F8075" s="3" t="s">
        <v>2310</v>
      </c>
      <c r="G8075" s="3" t="s">
        <v>35</v>
      </c>
      <c r="H8075" s="2" t="s">
        <v>45</v>
      </c>
      <c r="I8075" s="2" t="s">
        <v>15653</v>
      </c>
      <c r="J8075" s="3" t="str">
        <f>HYPERLINK("https://www.boe.es/gazeta/dias/1822/09/16/pdfs/GMD-1822-272.pdf#page=2","Abrir facsímil")</f>
        <v>Abrir facsímil</v>
      </c>
      <c r="K8075" s="3" t="s">
        <v>47</v>
      </c>
    </row>
    <row r="8076" spans="1:11" ht="42" customHeight="1">
      <c r="A8076" s="2" t="s">
        <v>15654</v>
      </c>
      <c r="B8076" s="2" t="s">
        <v>15655</v>
      </c>
      <c r="C8076" s="2" t="s">
        <v>71</v>
      </c>
      <c r="D8076" s="2" t="s">
        <v>17</v>
      </c>
      <c r="E8076" s="5">
        <v>-28394</v>
      </c>
      <c r="F8076" s="3" t="s">
        <v>268</v>
      </c>
      <c r="G8076" s="3" t="s">
        <v>57</v>
      </c>
      <c r="H8076" s="2" t="s">
        <v>20</v>
      </c>
      <c r="I8076" s="2" t="s">
        <v>15656</v>
      </c>
      <c r="J8076" s="3" t="str">
        <f>HYPERLINK("https://www.boe.es/gazeta/dias/1822/04/04/pdfs/GMD-1822-96.pdf#page=4","Abrir facsímil")</f>
        <v>Abrir facsímil</v>
      </c>
      <c r="K8076" s="3" t="s">
        <v>22</v>
      </c>
    </row>
    <row r="8077" spans="1:11" ht="42" customHeight="1">
      <c r="A8077" s="2" t="s">
        <v>15657</v>
      </c>
      <c r="B8077" s="2" t="s">
        <v>15658</v>
      </c>
      <c r="C8077" s="2" t="s">
        <v>50</v>
      </c>
      <c r="D8077" s="2" t="s">
        <v>51</v>
      </c>
      <c r="E8077" s="5">
        <v>-28411</v>
      </c>
      <c r="F8077" s="3" t="s">
        <v>1509</v>
      </c>
      <c r="G8077" s="3" t="s">
        <v>44</v>
      </c>
      <c r="H8077" s="2" t="s">
        <v>20</v>
      </c>
      <c r="I8077" s="2" t="s">
        <v>15659</v>
      </c>
      <c r="J8077" s="3" t="str">
        <f>HYPERLINK("https://www.boe.es/gazeta/dias/1822/03/18/pdfs/GMD-1822-79.pdf#page=1","Abrir facsímil")</f>
        <v>Abrir facsímil</v>
      </c>
      <c r="K8077" s="3" t="s">
        <v>22</v>
      </c>
    </row>
    <row r="8078" spans="1:11" ht="42" customHeight="1">
      <c r="A8078" s="2" t="s">
        <v>15660</v>
      </c>
      <c r="B8078" s="2" t="s">
        <v>15661</v>
      </c>
      <c r="C8078" s="2" t="s">
        <v>50</v>
      </c>
      <c r="D8078" s="2" t="s">
        <v>51</v>
      </c>
      <c r="E8078" s="5">
        <v>-28130</v>
      </c>
      <c r="F8078" s="3" t="s">
        <v>34</v>
      </c>
      <c r="G8078" s="3" t="s">
        <v>63</v>
      </c>
      <c r="H8078" s="2" t="s">
        <v>20</v>
      </c>
      <c r="I8078" s="2" t="s">
        <v>15662</v>
      </c>
      <c r="J8078" s="3" t="str">
        <f>HYPERLINK("https://www.boe.es/gazeta/dias/1822/12/24/pdfs/GMD-1822-374.pdf#page=6","Abrir facsímil")</f>
        <v>Abrir facsímil</v>
      </c>
      <c r="K8078" s="3" t="s">
        <v>22</v>
      </c>
    </row>
    <row r="8079" spans="1:11" ht="42" customHeight="1">
      <c r="A8079" s="2" t="s">
        <v>15663</v>
      </c>
      <c r="B8079" s="2" t="s">
        <v>15664</v>
      </c>
      <c r="C8079" s="2" t="s">
        <v>24</v>
      </c>
      <c r="D8079" s="2" t="s">
        <v>17</v>
      </c>
      <c r="E8079" s="5">
        <v>-28307</v>
      </c>
      <c r="F8079" s="3" t="s">
        <v>555</v>
      </c>
      <c r="G8079" s="3" t="s">
        <v>157</v>
      </c>
      <c r="H8079" s="2" t="s">
        <v>20</v>
      </c>
      <c r="I8079" s="2" t="s">
        <v>15665</v>
      </c>
      <c r="J8079" s="3" t="str">
        <f>HYPERLINK("https://www.boe.es/gazeta/dias/1822/06/30/pdfs/GMD-1822-188.pdf#page=8","Abrir facsímil")</f>
        <v>Abrir facsímil</v>
      </c>
      <c r="K8079" s="3" t="s">
        <v>22</v>
      </c>
    </row>
    <row r="8080" spans="1:11" ht="42" customHeight="1">
      <c r="A8080" s="2" t="s">
        <v>15666</v>
      </c>
      <c r="B8080" s="2" t="s">
        <v>15666</v>
      </c>
      <c r="C8080" s="2" t="s">
        <v>28</v>
      </c>
      <c r="D8080" s="2" t="s">
        <v>29</v>
      </c>
      <c r="E8080" s="5">
        <v>-28329</v>
      </c>
      <c r="F8080" s="3" t="s">
        <v>354</v>
      </c>
      <c r="G8080" s="3" t="s">
        <v>19</v>
      </c>
      <c r="H8080" s="2" t="s">
        <v>20</v>
      </c>
      <c r="I8080" s="2" t="s">
        <v>15667</v>
      </c>
      <c r="J8080" s="3" t="str">
        <f>HYPERLINK("https://www.boe.es/gazeta/dias/1822/06/08/pdfs/GMD-1822-165.pdf#page=5","Abrir facsímil")</f>
        <v>Abrir facsímil</v>
      </c>
      <c r="K8080" s="3" t="s">
        <v>22</v>
      </c>
    </row>
    <row r="8081" spans="1:11" ht="42" customHeight="1">
      <c r="A8081" s="2" t="s">
        <v>15668</v>
      </c>
      <c r="B8081" s="2" t="s">
        <v>15668</v>
      </c>
      <c r="C8081" s="2" t="s">
        <v>71</v>
      </c>
      <c r="D8081" s="2" t="s">
        <v>17</v>
      </c>
      <c r="E8081" s="5">
        <v>-28360</v>
      </c>
      <c r="F8081" s="3" t="s">
        <v>514</v>
      </c>
      <c r="G8081" s="3" t="s">
        <v>35</v>
      </c>
      <c r="H8081" s="2" t="s">
        <v>20</v>
      </c>
      <c r="I8081" s="2" t="s">
        <v>15669</v>
      </c>
      <c r="J8081" s="3" t="str">
        <f>HYPERLINK("https://www.boe.es/gazeta/dias/1822/05/08/pdfs/GMD-1822-130.pdf#page=2","Abrir facsímil")</f>
        <v>Abrir facsímil</v>
      </c>
      <c r="K8081" s="3" t="s">
        <v>22</v>
      </c>
    </row>
    <row r="8082" spans="1:11" ht="42" customHeight="1">
      <c r="A8082" s="2" t="s">
        <v>15668</v>
      </c>
      <c r="B8082" s="2" t="s">
        <v>15668</v>
      </c>
      <c r="C8082" s="2" t="s">
        <v>50</v>
      </c>
      <c r="D8082" s="2" t="s">
        <v>51</v>
      </c>
      <c r="E8082" s="5">
        <v>-28197</v>
      </c>
      <c r="F8082" s="3" t="s">
        <v>568</v>
      </c>
      <c r="G8082" s="3" t="s">
        <v>19</v>
      </c>
      <c r="H8082" s="2" t="s">
        <v>20</v>
      </c>
      <c r="I8082" s="2" t="s">
        <v>15670</v>
      </c>
      <c r="J8082" s="3" t="str">
        <f>HYPERLINK("https://www.boe.es/gazeta/dias/1822/10/18/pdfs/GMD-1822-305.pdf#page=5","Abrir facsímil")</f>
        <v>Abrir facsímil</v>
      </c>
      <c r="K8082" s="3" t="s">
        <v>22</v>
      </c>
    </row>
    <row r="8083" spans="1:11" ht="42" customHeight="1">
      <c r="A8083" s="2" t="s">
        <v>15671</v>
      </c>
      <c r="B8083" s="2" t="s">
        <v>15672</v>
      </c>
      <c r="C8083" s="2" t="s">
        <v>50</v>
      </c>
      <c r="D8083" s="2" t="s">
        <v>51</v>
      </c>
      <c r="E8083" s="5">
        <v>-28361</v>
      </c>
      <c r="F8083" s="3" t="s">
        <v>374</v>
      </c>
      <c r="G8083" s="3" t="s">
        <v>63</v>
      </c>
      <c r="H8083" s="2" t="s">
        <v>20</v>
      </c>
      <c r="I8083" s="2" t="s">
        <v>15673</v>
      </c>
      <c r="J8083" s="3" t="str">
        <f>HYPERLINK("https://www.boe.es/gazeta/dias/1822/05/07/pdfs/GMD-1822-129.pdf#page=6","Abrir facsímil")</f>
        <v>Abrir facsímil</v>
      </c>
      <c r="K8083" s="3" t="s">
        <v>22</v>
      </c>
    </row>
    <row r="8084" spans="1:11" ht="42" customHeight="1">
      <c r="A8084" s="2" t="s">
        <v>15671</v>
      </c>
      <c r="B8084" s="2" t="s">
        <v>15672</v>
      </c>
      <c r="C8084" s="2" t="s">
        <v>50</v>
      </c>
      <c r="D8084" s="2" t="s">
        <v>51</v>
      </c>
      <c r="E8084" s="5">
        <v>-28328</v>
      </c>
      <c r="F8084" s="3" t="s">
        <v>540</v>
      </c>
      <c r="G8084" s="3" t="s">
        <v>35</v>
      </c>
      <c r="H8084" s="2" t="s">
        <v>20</v>
      </c>
      <c r="I8084" s="2" t="s">
        <v>15674</v>
      </c>
      <c r="J8084" s="3" t="str">
        <f>HYPERLINK("https://www.boe.es/gazeta/dias/1822/06/09/pdfs/GMD-1822-166.pdf#page=2","Abrir facsímil")</f>
        <v>Abrir facsímil</v>
      </c>
      <c r="K8084" s="3" t="s">
        <v>22</v>
      </c>
    </row>
    <row r="8085" spans="1:11" ht="42" customHeight="1">
      <c r="A8085" s="2" t="s">
        <v>15675</v>
      </c>
      <c r="B8085" s="2" t="s">
        <v>15676</v>
      </c>
      <c r="C8085" s="2" t="s">
        <v>28</v>
      </c>
      <c r="D8085" s="2" t="s">
        <v>29</v>
      </c>
      <c r="E8085" s="5">
        <v>-28379</v>
      </c>
      <c r="F8085" s="3" t="s">
        <v>494</v>
      </c>
      <c r="G8085" s="3" t="s">
        <v>63</v>
      </c>
      <c r="H8085" s="2" t="s">
        <v>20</v>
      </c>
      <c r="I8085" s="2" t="s">
        <v>15677</v>
      </c>
      <c r="J8085" s="3" t="str">
        <f>HYPERLINK("https://www.boe.es/gazeta/dias/1822/04/19/pdfs/GMD-1822-111.pdf#page=6","Abrir facsímil")</f>
        <v>Abrir facsímil</v>
      </c>
      <c r="K8085" s="3" t="s">
        <v>22</v>
      </c>
    </row>
    <row r="8086" spans="1:11" ht="42" customHeight="1">
      <c r="A8086" s="2" t="s">
        <v>15678</v>
      </c>
      <c r="B8086" s="2" t="s">
        <v>15679</v>
      </c>
      <c r="C8086" s="2" t="s">
        <v>42</v>
      </c>
      <c r="D8086" s="2" t="s">
        <v>17</v>
      </c>
      <c r="E8086" s="5">
        <v>-28366</v>
      </c>
      <c r="F8086" s="3" t="s">
        <v>120</v>
      </c>
      <c r="G8086" s="3" t="s">
        <v>63</v>
      </c>
      <c r="H8086" s="2" t="s">
        <v>20</v>
      </c>
      <c r="I8086" s="2" t="s">
        <v>15680</v>
      </c>
      <c r="J8086" s="3" t="str">
        <f>HYPERLINK("https://www.boe.es/gazeta/dias/1822/05/02/pdfs/GMD-1822-124.pdf#page=6","Abrir facsímil")</f>
        <v>Abrir facsímil</v>
      </c>
      <c r="K8086" s="3" t="s">
        <v>22</v>
      </c>
    </row>
    <row r="8087" spans="1:11" ht="42" customHeight="1">
      <c r="A8087" s="2" t="s">
        <v>15681</v>
      </c>
      <c r="B8087" s="2" t="s">
        <v>15682</v>
      </c>
      <c r="C8087" s="2" t="s">
        <v>50</v>
      </c>
      <c r="D8087" s="2" t="s">
        <v>51</v>
      </c>
      <c r="E8087" s="5">
        <v>-28415</v>
      </c>
      <c r="F8087" s="3" t="s">
        <v>77</v>
      </c>
      <c r="G8087" s="3" t="s">
        <v>63</v>
      </c>
      <c r="H8087" s="2" t="s">
        <v>20</v>
      </c>
      <c r="I8087" s="2" t="s">
        <v>15683</v>
      </c>
      <c r="J8087" s="3" t="str">
        <f>HYPERLINK("https://www.boe.es/gazeta/dias/1822/03/14/pdfs/GMD-1822-75.pdf#page=6","Abrir facsímil")</f>
        <v>Abrir facsímil</v>
      </c>
      <c r="K8087" s="3" t="s">
        <v>22</v>
      </c>
    </row>
    <row r="8088" spans="1:11" ht="42" customHeight="1">
      <c r="A8088" s="2" t="s">
        <v>15681</v>
      </c>
      <c r="B8088" s="2" t="s">
        <v>15682</v>
      </c>
      <c r="C8088" s="2" t="s">
        <v>16</v>
      </c>
      <c r="D8088" s="2" t="s">
        <v>17</v>
      </c>
      <c r="E8088" s="5">
        <v>-28408</v>
      </c>
      <c r="F8088" s="3" t="s">
        <v>2561</v>
      </c>
      <c r="G8088" s="3" t="s">
        <v>63</v>
      </c>
      <c r="H8088" s="2" t="s">
        <v>20</v>
      </c>
      <c r="I8088" s="2" t="s">
        <v>15684</v>
      </c>
      <c r="J8088" s="3" t="str">
        <f>HYPERLINK("https://www.boe.es/gazeta/dias/1822/03/21/pdfs/GMD-1822-82.pdf#page=6","Abrir facsímil")</f>
        <v>Abrir facsímil</v>
      </c>
      <c r="K8088" s="3" t="s">
        <v>22</v>
      </c>
    </row>
    <row r="8089" spans="1:11" ht="42" customHeight="1">
      <c r="A8089" s="2" t="s">
        <v>15685</v>
      </c>
      <c r="B8089" s="2" t="s">
        <v>15686</v>
      </c>
      <c r="C8089" s="2" t="s">
        <v>61</v>
      </c>
      <c r="D8089" s="2" t="s">
        <v>17</v>
      </c>
      <c r="E8089" s="5">
        <v>-28148</v>
      </c>
      <c r="F8089" s="3" t="s">
        <v>1909</v>
      </c>
      <c r="G8089" s="3" t="s">
        <v>63</v>
      </c>
      <c r="H8089" s="2" t="s">
        <v>20</v>
      </c>
      <c r="I8089" s="2" t="s">
        <v>15687</v>
      </c>
      <c r="J8089" s="3" t="str">
        <f>HYPERLINK("https://www.boe.es/gazeta/dias/1822/12/06/pdfs/GMD-1822-356.pdf#page=6","Abrir facsímil")</f>
        <v>Abrir facsímil</v>
      </c>
      <c r="K8089" s="3" t="s">
        <v>22</v>
      </c>
    </row>
    <row r="8090" spans="1:11" ht="42" customHeight="1">
      <c r="A8090" s="2" t="s">
        <v>15688</v>
      </c>
      <c r="B8090" s="2" t="s">
        <v>15688</v>
      </c>
      <c r="C8090" s="2" t="s">
        <v>24</v>
      </c>
      <c r="D8090" s="2" t="s">
        <v>17</v>
      </c>
      <c r="E8090" s="5">
        <v>-28187</v>
      </c>
      <c r="F8090" s="3" t="s">
        <v>929</v>
      </c>
      <c r="G8090" s="3" t="s">
        <v>19</v>
      </c>
      <c r="H8090" s="2" t="s">
        <v>20</v>
      </c>
      <c r="I8090" s="2" t="s">
        <v>15689</v>
      </c>
      <c r="J8090" s="3" t="str">
        <f>HYPERLINK("https://www.boe.es/gazeta/dias/1822/10/28/pdfs/GMD-1822-315.pdf#page=5","Abrir facsímil")</f>
        <v>Abrir facsímil</v>
      </c>
      <c r="K8090" s="3" t="s">
        <v>22</v>
      </c>
    </row>
    <row r="8091" spans="1:11" ht="42" customHeight="1">
      <c r="A8091" s="2" t="s">
        <v>15690</v>
      </c>
      <c r="B8091" s="2" t="s">
        <v>15691</v>
      </c>
      <c r="C8091" s="2" t="s">
        <v>28</v>
      </c>
      <c r="D8091" s="2" t="s">
        <v>29</v>
      </c>
      <c r="E8091" s="5">
        <v>-28426</v>
      </c>
      <c r="F8091" s="3" t="s">
        <v>1178</v>
      </c>
      <c r="G8091" s="3" t="s">
        <v>57</v>
      </c>
      <c r="H8091" s="2" t="s">
        <v>20</v>
      </c>
      <c r="I8091" s="2" t="s">
        <v>15692</v>
      </c>
      <c r="J8091" s="3" t="str">
        <f>HYPERLINK("https://www.boe.es/gazeta/dias/1822/03/03/pdfs/GMD-1822-64.pdf#page=4","Abrir facsímil")</f>
        <v>Abrir facsímil</v>
      </c>
      <c r="K8091" s="3" t="s">
        <v>22</v>
      </c>
    </row>
    <row r="8092" spans="1:11" ht="42" customHeight="1">
      <c r="A8092" s="2" t="s">
        <v>15693</v>
      </c>
      <c r="B8092" s="2" t="s">
        <v>15694</v>
      </c>
      <c r="C8092" s="2" t="s">
        <v>42</v>
      </c>
      <c r="D8092" s="2" t="s">
        <v>17</v>
      </c>
      <c r="E8092" s="5">
        <v>-28366</v>
      </c>
      <c r="F8092" s="3" t="s">
        <v>120</v>
      </c>
      <c r="G8092" s="3" t="s">
        <v>63</v>
      </c>
      <c r="H8092" s="2" t="s">
        <v>20</v>
      </c>
      <c r="I8092" s="2" t="s">
        <v>15695</v>
      </c>
      <c r="J8092" s="3" t="str">
        <f>HYPERLINK("https://www.boe.es/gazeta/dias/1822/05/02/pdfs/GMD-1822-124.pdf#page=6","Abrir facsímil")</f>
        <v>Abrir facsímil</v>
      </c>
      <c r="K8092" s="3" t="s">
        <v>22</v>
      </c>
    </row>
    <row r="8093" spans="1:11" ht="42" customHeight="1">
      <c r="A8093" s="2" t="s">
        <v>15693</v>
      </c>
      <c r="B8093" s="2" t="s">
        <v>15694</v>
      </c>
      <c r="C8093" s="2" t="s">
        <v>50</v>
      </c>
      <c r="D8093" s="2" t="s">
        <v>51</v>
      </c>
      <c r="E8093" s="5">
        <v>-28287</v>
      </c>
      <c r="F8093" s="3" t="s">
        <v>1295</v>
      </c>
      <c r="G8093" s="3" t="s">
        <v>63</v>
      </c>
      <c r="H8093" s="2" t="s">
        <v>20</v>
      </c>
      <c r="I8093" s="2" t="s">
        <v>15696</v>
      </c>
      <c r="J8093" s="3" t="str">
        <f>HYPERLINK("https://www.boe.es/gazeta/dias/1822/07/20/pdfs/GMD-1822-212.pdf#page=6","Abrir facsímil")</f>
        <v>Abrir facsímil</v>
      </c>
      <c r="K8093" s="3" t="s">
        <v>22</v>
      </c>
    </row>
    <row r="8094" spans="1:11" ht="42" customHeight="1">
      <c r="A8094" s="2" t="s">
        <v>15693</v>
      </c>
      <c r="B8094" s="2" t="s">
        <v>15694</v>
      </c>
      <c r="C8094" s="2" t="s">
        <v>16</v>
      </c>
      <c r="D8094" s="2" t="s">
        <v>17</v>
      </c>
      <c r="E8094" s="5">
        <v>-28267</v>
      </c>
      <c r="F8094" s="3" t="s">
        <v>1270</v>
      </c>
      <c r="G8094" s="3" t="s">
        <v>57</v>
      </c>
      <c r="H8094" s="2" t="s">
        <v>20</v>
      </c>
      <c r="I8094" s="2" t="s">
        <v>15697</v>
      </c>
      <c r="J8094" s="3" t="str">
        <f>HYPERLINK("https://www.boe.es/gazeta/dias/1822/08/09/pdfs/GMD-1822-233.pdf#page=4","Abrir facsímil")</f>
        <v>Abrir facsímil</v>
      </c>
      <c r="K8094" s="3" t="s">
        <v>22</v>
      </c>
    </row>
    <row r="8095" spans="1:11" ht="42" customHeight="1">
      <c r="A8095" s="2" t="s">
        <v>15693</v>
      </c>
      <c r="B8095" s="2" t="s">
        <v>15694</v>
      </c>
      <c r="C8095" s="2" t="s">
        <v>42</v>
      </c>
      <c r="D8095" s="2" t="s">
        <v>17</v>
      </c>
      <c r="E8095" s="5">
        <v>-28243</v>
      </c>
      <c r="F8095" s="3" t="s">
        <v>1829</v>
      </c>
      <c r="G8095" s="3" t="s">
        <v>57</v>
      </c>
      <c r="H8095" s="2" t="s">
        <v>20</v>
      </c>
      <c r="I8095" s="2" t="s">
        <v>15698</v>
      </c>
      <c r="J8095" s="3" t="str">
        <f>HYPERLINK("https://www.boe.es/gazeta/dias/1822/09/02/pdfs/GMD-1822-257.pdf#page=4","Abrir facsímil")</f>
        <v>Abrir facsímil</v>
      </c>
      <c r="K8095" s="3" t="s">
        <v>22</v>
      </c>
    </row>
    <row r="8096" spans="1:11" ht="42" customHeight="1">
      <c r="A8096" s="2" t="s">
        <v>15699</v>
      </c>
      <c r="B8096" s="2" t="s">
        <v>15699</v>
      </c>
      <c r="C8096" s="2" t="s">
        <v>42</v>
      </c>
      <c r="D8096" s="2" t="s">
        <v>17</v>
      </c>
      <c r="E8096" s="5">
        <v>-28421</v>
      </c>
      <c r="F8096" s="3" t="s">
        <v>446</v>
      </c>
      <c r="G8096" s="3" t="s">
        <v>31</v>
      </c>
      <c r="H8096" s="2" t="s">
        <v>20</v>
      </c>
      <c r="I8096" s="2" t="s">
        <v>15700</v>
      </c>
      <c r="J8096" s="3" t="str">
        <f>HYPERLINK("https://www.boe.es/gazeta/dias/1822/03/08/pdfs/GMD-1822-69.pdf#page=3","Abrir facsímil")</f>
        <v>Abrir facsímil</v>
      </c>
      <c r="K8096" s="3" t="s">
        <v>22</v>
      </c>
    </row>
    <row r="8097" spans="1:11" ht="42" customHeight="1">
      <c r="A8097" s="2" t="s">
        <v>15699</v>
      </c>
      <c r="B8097" s="2" t="s">
        <v>15699</v>
      </c>
      <c r="C8097" s="2" t="s">
        <v>50</v>
      </c>
      <c r="D8097" s="2" t="s">
        <v>51</v>
      </c>
      <c r="E8097" s="5">
        <v>-28418</v>
      </c>
      <c r="F8097" s="3" t="s">
        <v>205</v>
      </c>
      <c r="G8097" s="3" t="s">
        <v>31</v>
      </c>
      <c r="H8097" s="2" t="s">
        <v>20</v>
      </c>
      <c r="I8097" s="2" t="s">
        <v>15701</v>
      </c>
      <c r="J8097" s="3" t="str">
        <f>HYPERLINK("https://www.boe.es/gazeta/dias/1822/03/11/pdfs/GMD-1822-72.pdf#page=3","Abrir facsímil")</f>
        <v>Abrir facsímil</v>
      </c>
      <c r="K8097" s="3" t="s">
        <v>22</v>
      </c>
    </row>
    <row r="8098" spans="1:11" ht="42" customHeight="1">
      <c r="A8098" s="2" t="s">
        <v>15699</v>
      </c>
      <c r="B8098" s="2" t="s">
        <v>15699</v>
      </c>
      <c r="C8098" s="2" t="s">
        <v>50</v>
      </c>
      <c r="D8098" s="2" t="s">
        <v>51</v>
      </c>
      <c r="E8098" s="5">
        <v>-28355</v>
      </c>
      <c r="F8098" s="3" t="s">
        <v>692</v>
      </c>
      <c r="G8098" s="3" t="s">
        <v>44</v>
      </c>
      <c r="H8098" s="2" t="s">
        <v>20</v>
      </c>
      <c r="I8098" s="2" t="s">
        <v>15702</v>
      </c>
      <c r="J8098" s="3" t="str">
        <f>HYPERLINK("https://www.boe.es/gazeta/dias/1822/05/13/pdfs/GMD-1822-135.pdf#page=1","Abrir facsímil")</f>
        <v>Abrir facsímil</v>
      </c>
      <c r="K8098" s="3" t="s">
        <v>22</v>
      </c>
    </row>
    <row r="8099" spans="1:11" ht="42" customHeight="1">
      <c r="A8099" s="2" t="s">
        <v>15699</v>
      </c>
      <c r="B8099" s="2" t="s">
        <v>15699</v>
      </c>
      <c r="C8099" s="2" t="s">
        <v>24</v>
      </c>
      <c r="D8099" s="2" t="s">
        <v>17</v>
      </c>
      <c r="E8099" s="5">
        <v>-28330</v>
      </c>
      <c r="F8099" s="3" t="s">
        <v>896</v>
      </c>
      <c r="G8099" s="3" t="s">
        <v>35</v>
      </c>
      <c r="H8099" s="2" t="s">
        <v>20</v>
      </c>
      <c r="I8099" s="2" t="s">
        <v>15703</v>
      </c>
      <c r="J8099" s="3" t="str">
        <f>HYPERLINK("https://www.boe.es/gazeta/dias/1822/06/07/pdfs/GMD-1822-164.pdf#page=2","Abrir facsímil")</f>
        <v>Abrir facsímil</v>
      </c>
      <c r="K8099" s="3" t="s">
        <v>22</v>
      </c>
    </row>
    <row r="8100" spans="1:11" ht="42" customHeight="1">
      <c r="A8100" s="2" t="s">
        <v>15699</v>
      </c>
      <c r="B8100" s="2" t="s">
        <v>15699</v>
      </c>
      <c r="C8100" s="2" t="s">
        <v>50</v>
      </c>
      <c r="D8100" s="2" t="s">
        <v>51</v>
      </c>
      <c r="E8100" s="5">
        <v>-28327</v>
      </c>
      <c r="F8100" s="3" t="s">
        <v>38</v>
      </c>
      <c r="G8100" s="3" t="s">
        <v>35</v>
      </c>
      <c r="H8100" s="2" t="s">
        <v>20</v>
      </c>
      <c r="I8100" s="2" t="s">
        <v>15704</v>
      </c>
      <c r="J8100" s="3" t="str">
        <f>HYPERLINK("https://www.boe.es/gazeta/dias/1822/06/10/pdfs/GMD-1822-167.pdf#page=2","Abrir facsímil")</f>
        <v>Abrir facsímil</v>
      </c>
      <c r="K8100" s="3" t="s">
        <v>22</v>
      </c>
    </row>
    <row r="8101" spans="1:11" ht="42" customHeight="1">
      <c r="A8101" s="2" t="s">
        <v>15699</v>
      </c>
      <c r="B8101" s="2" t="s">
        <v>15699</v>
      </c>
      <c r="C8101" s="2" t="s">
        <v>28</v>
      </c>
      <c r="D8101" s="2" t="s">
        <v>29</v>
      </c>
      <c r="E8101" s="5">
        <v>-28321</v>
      </c>
      <c r="F8101" s="3" t="s">
        <v>1142</v>
      </c>
      <c r="G8101" s="3" t="s">
        <v>31</v>
      </c>
      <c r="H8101" s="2" t="s">
        <v>20</v>
      </c>
      <c r="I8101" s="2" t="s">
        <v>15705</v>
      </c>
      <c r="J8101" s="3" t="str">
        <f>HYPERLINK("https://www.boe.es/gazeta/dias/1822/06/16/pdfs/GMD-1822-173.pdf#page=3","Abrir facsímil")</f>
        <v>Abrir facsímil</v>
      </c>
      <c r="K8101" s="3" t="s">
        <v>22</v>
      </c>
    </row>
    <row r="8102" spans="1:11" ht="42" customHeight="1">
      <c r="A8102" s="2" t="s">
        <v>15699</v>
      </c>
      <c r="B8102" s="2" t="s">
        <v>15699</v>
      </c>
      <c r="C8102" s="2" t="s">
        <v>50</v>
      </c>
      <c r="D8102" s="2" t="s">
        <v>51</v>
      </c>
      <c r="E8102" s="5">
        <v>-28277</v>
      </c>
      <c r="F8102" s="3" t="s">
        <v>296</v>
      </c>
      <c r="G8102" s="3" t="s">
        <v>35</v>
      </c>
      <c r="H8102" s="2" t="s">
        <v>20</v>
      </c>
      <c r="I8102" s="2" t="s">
        <v>15706</v>
      </c>
      <c r="J8102" s="3" t="str">
        <f>HYPERLINK("https://www.boe.es/gazeta/dias/1822/07/30/pdfs/GMD-1822-223.pdf#page=2","Abrir facsímil")</f>
        <v>Abrir facsímil</v>
      </c>
      <c r="K8102" s="3" t="s">
        <v>22</v>
      </c>
    </row>
    <row r="8103" spans="1:11" ht="42" customHeight="1">
      <c r="A8103" s="2" t="s">
        <v>15707</v>
      </c>
      <c r="B8103" s="2" t="s">
        <v>15708</v>
      </c>
      <c r="C8103" s="2" t="s">
        <v>50</v>
      </c>
      <c r="D8103" s="2" t="s">
        <v>51</v>
      </c>
      <c r="E8103" s="5">
        <v>-28281</v>
      </c>
      <c r="F8103" s="3" t="s">
        <v>3310</v>
      </c>
      <c r="G8103" s="3" t="s">
        <v>44</v>
      </c>
      <c r="H8103" s="2" t="s">
        <v>20</v>
      </c>
      <c r="I8103" s="2" t="s">
        <v>15709</v>
      </c>
      <c r="J8103" s="3" t="str">
        <f>HYPERLINK("https://www.boe.es/gazeta/dias/1822/07/26/pdfs/GMD-1822-219.pdf#page=1","Abrir facsímil")</f>
        <v>Abrir facsímil</v>
      </c>
      <c r="K8103" s="3" t="s">
        <v>22</v>
      </c>
    </row>
    <row r="8104" spans="1:11" ht="42" customHeight="1">
      <c r="A8104" s="2" t="s">
        <v>15710</v>
      </c>
      <c r="B8104" s="2" t="s">
        <v>15711</v>
      </c>
      <c r="C8104" s="2" t="s">
        <v>42</v>
      </c>
      <c r="D8104" s="2" t="s">
        <v>17</v>
      </c>
      <c r="E8104" s="5">
        <v>-28258</v>
      </c>
      <c r="F8104" s="3" t="s">
        <v>88</v>
      </c>
      <c r="G8104" s="3" t="s">
        <v>31</v>
      </c>
      <c r="H8104" s="2" t="s">
        <v>20</v>
      </c>
      <c r="I8104" s="2" t="s">
        <v>15712</v>
      </c>
      <c r="J8104" s="3" t="str">
        <f>HYPERLINK("https://www.boe.es/gazeta/dias/1822/08/18/pdfs/GMD-1822-242.pdf#page=3","Abrir facsímil")</f>
        <v>Abrir facsímil</v>
      </c>
      <c r="K8104" s="3" t="s">
        <v>22</v>
      </c>
    </row>
    <row r="8105" spans="1:11" ht="42" customHeight="1">
      <c r="A8105" s="2" t="s">
        <v>15713</v>
      </c>
      <c r="B8105" s="2" t="s">
        <v>15714</v>
      </c>
      <c r="C8105" s="2" t="s">
        <v>50</v>
      </c>
      <c r="D8105" s="2" t="s">
        <v>51</v>
      </c>
      <c r="E8105" s="5">
        <v>-28303</v>
      </c>
      <c r="F8105" s="3" t="s">
        <v>201</v>
      </c>
      <c r="G8105" s="3" t="s">
        <v>31</v>
      </c>
      <c r="H8105" s="2" t="s">
        <v>20</v>
      </c>
      <c r="I8105" s="2" t="s">
        <v>15715</v>
      </c>
      <c r="J8105" s="3" t="str">
        <f>HYPERLINK("https://www.boe.es/gazeta/dias/1822/07/04/pdfs/GMD-1822-193.pdf#page=3","Abrir facsímil")</f>
        <v>Abrir facsímil</v>
      </c>
      <c r="K8105" s="3" t="s">
        <v>22</v>
      </c>
    </row>
    <row r="8106" spans="1:11" ht="42" customHeight="1">
      <c r="A8106" s="2" t="s">
        <v>15716</v>
      </c>
      <c r="B8106" s="2" t="s">
        <v>15717</v>
      </c>
      <c r="C8106" s="2" t="s">
        <v>16</v>
      </c>
      <c r="D8106" s="2" t="s">
        <v>17</v>
      </c>
      <c r="E8106" s="5">
        <v>-28464</v>
      </c>
      <c r="F8106" s="3" t="s">
        <v>1447</v>
      </c>
      <c r="G8106" s="3" t="s">
        <v>57</v>
      </c>
      <c r="H8106" s="2" t="s">
        <v>20</v>
      </c>
      <c r="I8106" s="2" t="s">
        <v>15718</v>
      </c>
      <c r="J8106" s="3" t="str">
        <f>HYPERLINK("https://www.boe.es/gazeta/dias/1822/01/24/pdfs/GMD-1822-24.pdf#page=4","Abrir facsímil")</f>
        <v>Abrir facsímil</v>
      </c>
      <c r="K8106" s="3" t="s">
        <v>22</v>
      </c>
    </row>
    <row r="8107" spans="1:11" ht="42" customHeight="1">
      <c r="A8107" s="2" t="s">
        <v>15716</v>
      </c>
      <c r="B8107" s="2" t="s">
        <v>15717</v>
      </c>
      <c r="C8107" s="2" t="s">
        <v>50</v>
      </c>
      <c r="D8107" s="2" t="s">
        <v>51</v>
      </c>
      <c r="E8107" s="5">
        <v>-28410</v>
      </c>
      <c r="F8107" s="3" t="s">
        <v>966</v>
      </c>
      <c r="G8107" s="3" t="s">
        <v>57</v>
      </c>
      <c r="H8107" s="2" t="s">
        <v>20</v>
      </c>
      <c r="I8107" s="2" t="s">
        <v>15719</v>
      </c>
      <c r="J8107" s="3" t="str">
        <f>HYPERLINK("https://www.boe.es/gazeta/dias/1822/03/19/pdfs/GMD-1822-80.pdf#page=4","Abrir facsímil")</f>
        <v>Abrir facsímil</v>
      </c>
      <c r="K8107" s="3" t="s">
        <v>22</v>
      </c>
    </row>
    <row r="8108" spans="1:11" ht="42" customHeight="1">
      <c r="A8108" s="2" t="s">
        <v>15720</v>
      </c>
      <c r="B8108" s="2" t="s">
        <v>15721</v>
      </c>
      <c r="C8108" s="2" t="s">
        <v>28</v>
      </c>
      <c r="D8108" s="2" t="s">
        <v>29</v>
      </c>
      <c r="E8108" s="5">
        <v>-28432</v>
      </c>
      <c r="F8108" s="3" t="s">
        <v>195</v>
      </c>
      <c r="G8108" s="3" t="s">
        <v>57</v>
      </c>
      <c r="H8108" s="2" t="s">
        <v>20</v>
      </c>
      <c r="I8108" s="2" t="s">
        <v>15722</v>
      </c>
      <c r="J8108" s="3" t="str">
        <f>HYPERLINK("https://www.boe.es/gazeta/dias/1822/02/25/pdfs/GMD-1822-57.pdf#page=4","Abrir facsímil")</f>
        <v>Abrir facsímil</v>
      </c>
      <c r="K8108" s="3" t="s">
        <v>22</v>
      </c>
    </row>
    <row r="8109" spans="1:11" ht="42" customHeight="1">
      <c r="A8109" s="2" t="s">
        <v>15723</v>
      </c>
      <c r="B8109" s="2" t="s">
        <v>15724</v>
      </c>
      <c r="C8109" s="2" t="s">
        <v>50</v>
      </c>
      <c r="D8109" s="2" t="s">
        <v>51</v>
      </c>
      <c r="E8109" s="5">
        <v>-28129</v>
      </c>
      <c r="F8109" s="3" t="s">
        <v>599</v>
      </c>
      <c r="G8109" s="3" t="s">
        <v>57</v>
      </c>
      <c r="H8109" s="2" t="s">
        <v>20</v>
      </c>
      <c r="I8109" s="2" t="s">
        <v>15725</v>
      </c>
      <c r="J8109" s="3" t="str">
        <f>HYPERLINK("https://www.boe.es/gazeta/dias/1822/12/25/pdfs/GMD-1822-375.pdf#page=4","Abrir facsímil")</f>
        <v>Abrir facsímil</v>
      </c>
      <c r="K8109" s="3" t="s">
        <v>22</v>
      </c>
    </row>
    <row r="8110" spans="1:11" ht="42" customHeight="1">
      <c r="A8110" s="2" t="s">
        <v>15726</v>
      </c>
      <c r="B8110" s="2" t="s">
        <v>15727</v>
      </c>
      <c r="C8110" s="2" t="s">
        <v>50</v>
      </c>
      <c r="D8110" s="2" t="s">
        <v>51</v>
      </c>
      <c r="E8110" s="5">
        <v>-28303</v>
      </c>
      <c r="F8110" s="3" t="s">
        <v>201</v>
      </c>
      <c r="G8110" s="3" t="s">
        <v>31</v>
      </c>
      <c r="H8110" s="2" t="s">
        <v>20</v>
      </c>
      <c r="I8110" s="2" t="s">
        <v>15728</v>
      </c>
      <c r="J8110" s="3" t="str">
        <f>HYPERLINK("https://www.boe.es/gazeta/dias/1822/07/04/pdfs/GMD-1822-193.pdf#page=3","Abrir facsímil")</f>
        <v>Abrir facsímil</v>
      </c>
      <c r="K8110" s="3" t="s">
        <v>22</v>
      </c>
    </row>
    <row r="8111" spans="1:11" ht="42" customHeight="1">
      <c r="A8111" s="2" t="s">
        <v>15729</v>
      </c>
      <c r="B8111" s="2" t="s">
        <v>15730</v>
      </c>
      <c r="C8111" s="2" t="s">
        <v>24</v>
      </c>
      <c r="D8111" s="2" t="s">
        <v>17</v>
      </c>
      <c r="E8111" s="5">
        <v>-28139</v>
      </c>
      <c r="F8111" s="3" t="s">
        <v>143</v>
      </c>
      <c r="G8111" s="3" t="s">
        <v>144</v>
      </c>
      <c r="H8111" s="2" t="s">
        <v>20</v>
      </c>
      <c r="I8111" s="2" t="s">
        <v>15731</v>
      </c>
      <c r="J8111" s="3" t="str">
        <f>HYPERLINK("https://www.boe.es/gazeta/dias/1822/12/15/pdfs/GMD-1822-365.pdf#page=4","Abrir facsímil")</f>
        <v>Abrir facsímil</v>
      </c>
      <c r="K8111" s="3" t="s">
        <v>22</v>
      </c>
    </row>
    <row r="8112" spans="1:11" ht="42" customHeight="1">
      <c r="A8112" s="2" t="s">
        <v>15732</v>
      </c>
      <c r="B8112" s="2" t="s">
        <v>15732</v>
      </c>
      <c r="C8112" s="2" t="s">
        <v>42</v>
      </c>
      <c r="D8112" s="2" t="s">
        <v>17</v>
      </c>
      <c r="E8112" s="5">
        <v>-28333</v>
      </c>
      <c r="F8112" s="3" t="s">
        <v>1928</v>
      </c>
      <c r="G8112" s="3" t="s">
        <v>57</v>
      </c>
      <c r="H8112" s="2" t="s">
        <v>20</v>
      </c>
      <c r="I8112" s="2" t="s">
        <v>15733</v>
      </c>
      <c r="J8112" s="3" t="str">
        <f>HYPERLINK("https://www.boe.es/gazeta/dias/1822/06/04/pdfs/GMD-1822-161.pdf#page=4","Abrir facsímil")</f>
        <v>Abrir facsímil</v>
      </c>
      <c r="K8112" s="3" t="s">
        <v>22</v>
      </c>
    </row>
    <row r="8113" spans="1:11" ht="42" customHeight="1">
      <c r="A8113" s="2" t="s">
        <v>15732</v>
      </c>
      <c r="B8113" s="2" t="s">
        <v>15732</v>
      </c>
      <c r="C8113" s="2" t="s">
        <v>28</v>
      </c>
      <c r="D8113" s="2" t="s">
        <v>29</v>
      </c>
      <c r="E8113" s="5">
        <v>-28333</v>
      </c>
      <c r="F8113" s="3" t="s">
        <v>1928</v>
      </c>
      <c r="G8113" s="3" t="s">
        <v>63</v>
      </c>
      <c r="H8113" s="2" t="s">
        <v>20</v>
      </c>
      <c r="I8113" s="2" t="s">
        <v>15734</v>
      </c>
      <c r="J8113" s="3" t="str">
        <f>HYPERLINK("https://www.boe.es/gazeta/dias/1822/06/04/pdfs/GMD-1822-161.pdf#page=6","Abrir facsímil")</f>
        <v>Abrir facsímil</v>
      </c>
      <c r="K8113" s="3" t="s">
        <v>22</v>
      </c>
    </row>
    <row r="8114" spans="1:11" ht="42" customHeight="1">
      <c r="A8114" s="2" t="s">
        <v>15732</v>
      </c>
      <c r="B8114" s="2" t="s">
        <v>15732</v>
      </c>
      <c r="C8114" s="2" t="s">
        <v>42</v>
      </c>
      <c r="D8114" s="2" t="s">
        <v>17</v>
      </c>
      <c r="E8114" s="5">
        <v>-28332</v>
      </c>
      <c r="F8114" s="3" t="s">
        <v>535</v>
      </c>
      <c r="G8114" s="3" t="s">
        <v>44</v>
      </c>
      <c r="H8114" s="2" t="s">
        <v>20</v>
      </c>
      <c r="I8114" s="2" t="s">
        <v>15735</v>
      </c>
      <c r="J8114" s="3" t="str">
        <f>HYPERLINK("https://www.boe.es/gazeta/dias/1822/06/05/pdfs/GMD-1822-162.pdf#page=1","Abrir facsímil")</f>
        <v>Abrir facsímil</v>
      </c>
      <c r="K8114" s="3" t="s">
        <v>22</v>
      </c>
    </row>
    <row r="8115" spans="1:11" ht="42" customHeight="1">
      <c r="A8115" s="2" t="s">
        <v>15732</v>
      </c>
      <c r="B8115" s="2" t="s">
        <v>15732</v>
      </c>
      <c r="C8115" s="2" t="s">
        <v>50</v>
      </c>
      <c r="D8115" s="2" t="s">
        <v>51</v>
      </c>
      <c r="E8115" s="5">
        <v>-28266</v>
      </c>
      <c r="F8115" s="3" t="s">
        <v>1169</v>
      </c>
      <c r="G8115" s="3" t="s">
        <v>35</v>
      </c>
      <c r="H8115" s="2" t="s">
        <v>20</v>
      </c>
      <c r="I8115" s="2" t="s">
        <v>15736</v>
      </c>
      <c r="J8115" s="3" t="str">
        <f>HYPERLINK("https://www.boe.es/gazeta/dias/1822/08/10/pdfs/GMD-1822-234.pdf#page=2","Abrir facsímil")</f>
        <v>Abrir facsímil</v>
      </c>
      <c r="K8115" s="3" t="s">
        <v>22</v>
      </c>
    </row>
    <row r="8116" spans="1:11" ht="42" customHeight="1">
      <c r="A8116" s="2" t="s">
        <v>15737</v>
      </c>
      <c r="B8116" s="2" t="s">
        <v>15738</v>
      </c>
      <c r="C8116" s="2" t="s">
        <v>28</v>
      </c>
      <c r="D8116" s="2" t="s">
        <v>29</v>
      </c>
      <c r="E8116" s="5">
        <v>-28337</v>
      </c>
      <c r="F8116" s="3" t="s">
        <v>1836</v>
      </c>
      <c r="G8116" s="3" t="s">
        <v>4337</v>
      </c>
      <c r="H8116" s="2" t="s">
        <v>20</v>
      </c>
      <c r="I8116" s="2" t="s">
        <v>15739</v>
      </c>
      <c r="J8116" s="3" t="str">
        <f>HYPERLINK("https://www.boe.es/gazeta/dias/1822/05/31/pdfs/GMD-1822-156.pdf#page=6","Abrir facsímil")</f>
        <v>Abrir facsímil</v>
      </c>
      <c r="K8116" s="3" t="s">
        <v>22</v>
      </c>
    </row>
    <row r="8117" spans="1:11" ht="42" customHeight="1">
      <c r="A8117" s="2" t="s">
        <v>15740</v>
      </c>
      <c r="B8117" s="2" t="s">
        <v>15740</v>
      </c>
      <c r="C8117" s="2" t="s">
        <v>50</v>
      </c>
      <c r="D8117" s="2" t="s">
        <v>51</v>
      </c>
      <c r="E8117" s="5">
        <v>-28361</v>
      </c>
      <c r="F8117" s="3" t="s">
        <v>374</v>
      </c>
      <c r="G8117" s="3" t="s">
        <v>44</v>
      </c>
      <c r="H8117" s="2" t="s">
        <v>20</v>
      </c>
      <c r="I8117" s="2" t="s">
        <v>15741</v>
      </c>
      <c r="J8117" s="3" t="str">
        <f>HYPERLINK("https://www.boe.es/gazeta/dias/1822/05/07/pdfs/GMD-1822-129.pdf#page=1","Abrir facsímil")</f>
        <v>Abrir facsímil</v>
      </c>
      <c r="K8117" s="3" t="s">
        <v>22</v>
      </c>
    </row>
    <row r="8118" spans="1:11" ht="42" customHeight="1">
      <c r="A8118" s="2" t="s">
        <v>15742</v>
      </c>
      <c r="B8118" s="2" t="s">
        <v>15743</v>
      </c>
      <c r="C8118" s="2" t="s">
        <v>28</v>
      </c>
      <c r="D8118" s="2" t="s">
        <v>29</v>
      </c>
      <c r="E8118" s="5">
        <v>-28371</v>
      </c>
      <c r="F8118" s="3" t="s">
        <v>401</v>
      </c>
      <c r="G8118" s="3" t="s">
        <v>35</v>
      </c>
      <c r="H8118" s="2" t="s">
        <v>20</v>
      </c>
      <c r="I8118" s="2" t="s">
        <v>15744</v>
      </c>
      <c r="J8118" s="3" t="str">
        <f>HYPERLINK("https://www.boe.es/gazeta/dias/1822/04/27/pdfs/GMD-1822-119.pdf#page=2","Abrir facsímil")</f>
        <v>Abrir facsímil</v>
      </c>
      <c r="K8118" s="3" t="s">
        <v>22</v>
      </c>
    </row>
    <row r="8119" spans="1:11" ht="42" customHeight="1">
      <c r="A8119" s="2" t="s">
        <v>15745</v>
      </c>
      <c r="B8119" s="2" t="s">
        <v>15746</v>
      </c>
      <c r="C8119" s="2" t="s">
        <v>50</v>
      </c>
      <c r="D8119" s="2" t="s">
        <v>51</v>
      </c>
      <c r="E8119" s="5">
        <v>-28130</v>
      </c>
      <c r="F8119" s="3" t="s">
        <v>34</v>
      </c>
      <c r="G8119" s="3" t="s">
        <v>63</v>
      </c>
      <c r="H8119" s="2" t="s">
        <v>20</v>
      </c>
      <c r="I8119" s="2" t="s">
        <v>15747</v>
      </c>
      <c r="J8119" s="3" t="str">
        <f>HYPERLINK("https://www.boe.es/gazeta/dias/1822/12/24/pdfs/GMD-1822-374.pdf#page=6","Abrir facsímil")</f>
        <v>Abrir facsímil</v>
      </c>
      <c r="K8119" s="3" t="s">
        <v>22</v>
      </c>
    </row>
    <row r="8120" spans="1:11" ht="42" customHeight="1">
      <c r="A8120" s="2" t="s">
        <v>15748</v>
      </c>
      <c r="B8120" s="2" t="s">
        <v>15748</v>
      </c>
      <c r="C8120" s="2" t="s">
        <v>50</v>
      </c>
      <c r="D8120" s="2" t="s">
        <v>51</v>
      </c>
      <c r="E8120" s="5">
        <v>-28402</v>
      </c>
      <c r="F8120" s="3" t="s">
        <v>473</v>
      </c>
      <c r="G8120" s="3" t="s">
        <v>31</v>
      </c>
      <c r="H8120" s="2" t="s">
        <v>20</v>
      </c>
      <c r="I8120" s="2" t="s">
        <v>15749</v>
      </c>
      <c r="J8120" s="3" t="str">
        <f>HYPERLINK("https://www.boe.es/gazeta/dias/1822/03/27/pdfs/GMD-1822-88.pdf#page=3","Abrir facsímil")</f>
        <v>Abrir facsímil</v>
      </c>
      <c r="K8120" s="3" t="s">
        <v>22</v>
      </c>
    </row>
    <row r="8121" spans="1:11" ht="42" customHeight="1">
      <c r="A8121" s="2" t="s">
        <v>15750</v>
      </c>
      <c r="B8121" s="2" t="s">
        <v>15750</v>
      </c>
      <c r="C8121" s="2" t="s">
        <v>42</v>
      </c>
      <c r="D8121" s="2" t="s">
        <v>17</v>
      </c>
      <c r="E8121" s="5">
        <v>-28166</v>
      </c>
      <c r="F8121" s="3" t="s">
        <v>942</v>
      </c>
      <c r="G8121" s="3" t="s">
        <v>1277</v>
      </c>
      <c r="H8121" s="2" t="s">
        <v>20</v>
      </c>
      <c r="I8121" s="2" t="s">
        <v>15751</v>
      </c>
      <c r="J8121" s="3" t="str">
        <f>HYPERLINK("https://www.boe.es/gazeta/dias/1822/11/18/pdfs/GMD-1822-338.pdf#page=6","Abrir facsímil")</f>
        <v>Abrir facsímil</v>
      </c>
      <c r="K8121" s="3" t="s">
        <v>22</v>
      </c>
    </row>
    <row r="8122" spans="1:11" ht="42" customHeight="1">
      <c r="A8122" s="2" t="s">
        <v>15750</v>
      </c>
      <c r="B8122" s="2" t="s">
        <v>15750</v>
      </c>
      <c r="C8122" s="2" t="s">
        <v>50</v>
      </c>
      <c r="D8122" s="2" t="s">
        <v>51</v>
      </c>
      <c r="E8122" s="5">
        <v>-28150</v>
      </c>
      <c r="F8122" s="3" t="s">
        <v>62</v>
      </c>
      <c r="G8122" s="3" t="s">
        <v>19</v>
      </c>
      <c r="H8122" s="2" t="s">
        <v>20</v>
      </c>
      <c r="I8122" s="2" t="s">
        <v>15752</v>
      </c>
      <c r="J8122" s="3" t="str">
        <f>HYPERLINK("https://www.boe.es/gazeta/dias/1822/12/04/pdfs/GMD-1822-354.pdf#page=5","Abrir facsímil")</f>
        <v>Abrir facsímil</v>
      </c>
      <c r="K8122" s="3" t="s">
        <v>22</v>
      </c>
    </row>
    <row r="8123" spans="1:11" ht="42" customHeight="1">
      <c r="A8123" s="2" t="s">
        <v>15750</v>
      </c>
      <c r="B8123" s="2" t="s">
        <v>15750</v>
      </c>
      <c r="C8123" s="2" t="s">
        <v>42</v>
      </c>
      <c r="D8123" s="2" t="s">
        <v>17</v>
      </c>
      <c r="E8123" s="5">
        <v>-28140</v>
      </c>
      <c r="F8123" s="3" t="s">
        <v>84</v>
      </c>
      <c r="G8123" s="3" t="s">
        <v>35</v>
      </c>
      <c r="H8123" s="2" t="s">
        <v>20</v>
      </c>
      <c r="I8123" s="2" t="s">
        <v>15753</v>
      </c>
      <c r="J8123" s="3" t="str">
        <f>HYPERLINK("https://www.boe.es/gazeta/dias/1822/12/14/pdfs/GMD-1822-364.pdf#page=2","Abrir facsímil")</f>
        <v>Abrir facsímil</v>
      </c>
      <c r="K8123" s="3" t="s">
        <v>22</v>
      </c>
    </row>
    <row r="8124" spans="1:11" ht="42" customHeight="1">
      <c r="A8124" s="2" t="s">
        <v>15754</v>
      </c>
      <c r="B8124" s="2" t="s">
        <v>15755</v>
      </c>
      <c r="C8124" s="2" t="s">
        <v>71</v>
      </c>
      <c r="D8124" s="2" t="s">
        <v>17</v>
      </c>
      <c r="E8124" s="5">
        <v>-28346</v>
      </c>
      <c r="F8124" s="3" t="s">
        <v>191</v>
      </c>
      <c r="G8124" s="3" t="s">
        <v>63</v>
      </c>
      <c r="H8124" s="2" t="s">
        <v>20</v>
      </c>
      <c r="I8124" s="2" t="s">
        <v>15756</v>
      </c>
      <c r="J8124" s="3" t="str">
        <f>HYPERLINK("https://www.boe.es/gazeta/dias/1822/05/22/pdfs/GMD-1822-145.pdf#page=6","Abrir facsímil")</f>
        <v>Abrir facsímil</v>
      </c>
      <c r="K8124" s="3" t="s">
        <v>22</v>
      </c>
    </row>
    <row r="8125" spans="1:11" ht="42" customHeight="1">
      <c r="A8125" s="2" t="s">
        <v>15757</v>
      </c>
      <c r="B8125" s="2" t="s">
        <v>15758</v>
      </c>
      <c r="C8125" s="2" t="s">
        <v>28</v>
      </c>
      <c r="D8125" s="2" t="s">
        <v>29</v>
      </c>
      <c r="E8125" s="5">
        <v>-28384</v>
      </c>
      <c r="F8125" s="3" t="s">
        <v>258</v>
      </c>
      <c r="G8125" s="3" t="s">
        <v>31</v>
      </c>
      <c r="H8125" s="2" t="s">
        <v>20</v>
      </c>
      <c r="I8125" s="2" t="s">
        <v>15759</v>
      </c>
      <c r="J8125" s="3" t="str">
        <f>HYPERLINK("https://www.boe.es/gazeta/dias/1822/04/14/pdfs/GMD-1822-106.pdf#page=3","Abrir facsímil")</f>
        <v>Abrir facsímil</v>
      </c>
      <c r="K8125" s="3" t="s">
        <v>22</v>
      </c>
    </row>
    <row r="8126" spans="1:11" ht="42" customHeight="1">
      <c r="A8126" s="2" t="s">
        <v>15760</v>
      </c>
      <c r="B8126" s="2" t="s">
        <v>15761</v>
      </c>
      <c r="C8126" s="2" t="s">
        <v>16</v>
      </c>
      <c r="D8126" s="2" t="s">
        <v>17</v>
      </c>
      <c r="E8126" s="5">
        <v>-28370</v>
      </c>
      <c r="F8126" s="3" t="s">
        <v>207</v>
      </c>
      <c r="G8126" s="3" t="s">
        <v>63</v>
      </c>
      <c r="H8126" s="2" t="s">
        <v>20</v>
      </c>
      <c r="I8126" s="2" t="s">
        <v>15762</v>
      </c>
      <c r="J8126" s="3" t="str">
        <f>HYPERLINK("https://www.boe.es/gazeta/dias/1822/04/28/pdfs/GMD-1822-120.pdf#page=6","Abrir facsímil")</f>
        <v>Abrir facsímil</v>
      </c>
      <c r="K8126" s="3" t="s">
        <v>22</v>
      </c>
    </row>
    <row r="8127" spans="1:11" ht="42" customHeight="1">
      <c r="A8127" s="2" t="s">
        <v>15763</v>
      </c>
      <c r="B8127" s="2" t="s">
        <v>15764</v>
      </c>
      <c r="C8127" s="2" t="s">
        <v>28</v>
      </c>
      <c r="D8127" s="2" t="s">
        <v>29</v>
      </c>
      <c r="E8127" s="5">
        <v>-28366</v>
      </c>
      <c r="F8127" s="3" t="s">
        <v>120</v>
      </c>
      <c r="G8127" s="3" t="s">
        <v>63</v>
      </c>
      <c r="H8127" s="2" t="s">
        <v>20</v>
      </c>
      <c r="I8127" s="2" t="s">
        <v>15765</v>
      </c>
      <c r="J8127" s="3" t="str">
        <f>HYPERLINK("https://www.boe.es/gazeta/dias/1822/05/02/pdfs/GMD-1822-124.pdf#page=6","Abrir facsímil")</f>
        <v>Abrir facsímil</v>
      </c>
      <c r="K8127" s="3" t="s">
        <v>22</v>
      </c>
    </row>
    <row r="8128" spans="1:11" ht="42" customHeight="1">
      <c r="A8128" s="2" t="s">
        <v>15766</v>
      </c>
      <c r="B8128" s="2" t="s">
        <v>15767</v>
      </c>
      <c r="C8128" s="2" t="s">
        <v>24</v>
      </c>
      <c r="D8128" s="2" t="s">
        <v>17</v>
      </c>
      <c r="E8128" s="5">
        <v>-28311</v>
      </c>
      <c r="F8128" s="3" t="s">
        <v>736</v>
      </c>
      <c r="G8128" s="3" t="s">
        <v>157</v>
      </c>
      <c r="H8128" s="2" t="s">
        <v>20</v>
      </c>
      <c r="I8128" s="2" t="s">
        <v>15768</v>
      </c>
      <c r="J8128" s="3" t="str">
        <f>HYPERLINK("https://www.boe.es/gazeta/dias/1822/06/26/pdfs/GMD-1822-184.pdf#page=8","Abrir facsímil")</f>
        <v>Abrir facsímil</v>
      </c>
      <c r="K8128" s="3" t="s">
        <v>22</v>
      </c>
    </row>
    <row r="8129" spans="1:11" ht="42" customHeight="1">
      <c r="A8129" s="2" t="s">
        <v>15769</v>
      </c>
      <c r="B8129" s="2" t="s">
        <v>15769</v>
      </c>
      <c r="C8129" s="2" t="s">
        <v>50</v>
      </c>
      <c r="D8129" s="2" t="s">
        <v>51</v>
      </c>
      <c r="E8129" s="5">
        <v>-28361</v>
      </c>
      <c r="F8129" s="3" t="s">
        <v>374</v>
      </c>
      <c r="G8129" s="3" t="s">
        <v>44</v>
      </c>
      <c r="H8129" s="2" t="s">
        <v>20</v>
      </c>
      <c r="I8129" s="2" t="s">
        <v>15770</v>
      </c>
      <c r="J8129" s="3" t="str">
        <f>HYPERLINK("https://www.boe.es/gazeta/dias/1822/05/07/pdfs/GMD-1822-129.pdf#page=1","Abrir facsímil")</f>
        <v>Abrir facsímil</v>
      </c>
      <c r="K8129" s="3" t="s">
        <v>22</v>
      </c>
    </row>
    <row r="8130" spans="1:11" ht="42" customHeight="1">
      <c r="A8130" s="2" t="s">
        <v>15771</v>
      </c>
      <c r="B8130" s="2" t="s">
        <v>15772</v>
      </c>
      <c r="C8130" s="2" t="s">
        <v>71</v>
      </c>
      <c r="D8130" s="2" t="s">
        <v>17</v>
      </c>
      <c r="E8130" s="5">
        <v>-28382</v>
      </c>
      <c r="F8130" s="3" t="s">
        <v>973</v>
      </c>
      <c r="G8130" s="3" t="s">
        <v>63</v>
      </c>
      <c r="H8130" s="2" t="s">
        <v>45</v>
      </c>
      <c r="I8130" s="2" t="s">
        <v>15773</v>
      </c>
      <c r="J8130" s="3" t="str">
        <f>HYPERLINK("https://www.boe.es/gazeta/dias/1822/04/16/pdfs/GMD-1822-108.pdf#page=6","Abrir facsímil")</f>
        <v>Abrir facsímil</v>
      </c>
      <c r="K8130" s="3" t="s">
        <v>47</v>
      </c>
    </row>
    <row r="8131" spans="1:11" ht="42" customHeight="1">
      <c r="A8131" s="2" t="s">
        <v>15774</v>
      </c>
      <c r="B8131" s="2" t="s">
        <v>15774</v>
      </c>
      <c r="C8131" s="2" t="s">
        <v>28</v>
      </c>
      <c r="D8131" s="2" t="s">
        <v>29</v>
      </c>
      <c r="E8131" s="5">
        <v>-28477</v>
      </c>
      <c r="F8131" s="3" t="s">
        <v>1668</v>
      </c>
      <c r="G8131" s="3" t="s">
        <v>31</v>
      </c>
      <c r="H8131" s="2" t="s">
        <v>20</v>
      </c>
      <c r="I8131" s="2" t="s">
        <v>15775</v>
      </c>
      <c r="J8131" s="3" t="str">
        <f>HYPERLINK("https://www.boe.es/gazeta/dias/1822/01/11/pdfs/GMD-1822-11.pdf#page=3","Abrir facsímil")</f>
        <v>Abrir facsímil</v>
      </c>
      <c r="K8131" s="3" t="s">
        <v>22</v>
      </c>
    </row>
    <row r="8132" spans="1:11" ht="42" customHeight="1">
      <c r="A8132" s="2" t="s">
        <v>15774</v>
      </c>
      <c r="B8132" s="2" t="s">
        <v>15774</v>
      </c>
      <c r="C8132" s="2" t="s">
        <v>71</v>
      </c>
      <c r="D8132" s="2" t="s">
        <v>17</v>
      </c>
      <c r="E8132" s="5">
        <v>-28477</v>
      </c>
      <c r="F8132" s="3" t="s">
        <v>1668</v>
      </c>
      <c r="G8132" s="3" t="s">
        <v>57</v>
      </c>
      <c r="H8132" s="2" t="s">
        <v>20</v>
      </c>
      <c r="I8132" s="2" t="s">
        <v>15776</v>
      </c>
      <c r="J8132" s="3" t="str">
        <f>HYPERLINK("https://www.boe.es/gazeta/dias/1822/01/11/pdfs/GMD-1822-11.pdf#page=4","Abrir facsímil")</f>
        <v>Abrir facsímil</v>
      </c>
      <c r="K8132" s="3" t="s">
        <v>22</v>
      </c>
    </row>
    <row r="8133" spans="1:11" ht="42" customHeight="1">
      <c r="A8133" s="2" t="s">
        <v>15774</v>
      </c>
      <c r="B8133" s="2" t="s">
        <v>15774</v>
      </c>
      <c r="C8133" s="2" t="s">
        <v>61</v>
      </c>
      <c r="D8133" s="2" t="s">
        <v>17</v>
      </c>
      <c r="E8133" s="5">
        <v>-28469</v>
      </c>
      <c r="F8133" s="3" t="s">
        <v>1164</v>
      </c>
      <c r="G8133" s="3" t="s">
        <v>31</v>
      </c>
      <c r="H8133" s="2" t="s">
        <v>20</v>
      </c>
      <c r="I8133" s="2" t="s">
        <v>15777</v>
      </c>
      <c r="J8133" s="3" t="str">
        <f>HYPERLINK("https://www.boe.es/gazeta/dias/1822/01/19/pdfs/GMD-1822-19.pdf#page=3","Abrir facsímil")</f>
        <v>Abrir facsímil</v>
      </c>
      <c r="K8133" s="3" t="s">
        <v>22</v>
      </c>
    </row>
    <row r="8134" spans="1:11" ht="42" customHeight="1">
      <c r="A8134" s="2" t="s">
        <v>15774</v>
      </c>
      <c r="B8134" s="2" t="s">
        <v>15774</v>
      </c>
      <c r="C8134" s="2" t="s">
        <v>71</v>
      </c>
      <c r="D8134" s="2" t="s">
        <v>17</v>
      </c>
      <c r="E8134" s="5">
        <v>-28462</v>
      </c>
      <c r="F8134" s="3" t="s">
        <v>1099</v>
      </c>
      <c r="G8134" s="3" t="s">
        <v>31</v>
      </c>
      <c r="H8134" s="2" t="s">
        <v>20</v>
      </c>
      <c r="I8134" s="2" t="s">
        <v>15778</v>
      </c>
      <c r="J8134" s="3" t="str">
        <f>HYPERLINK("https://www.boe.es/gazeta/dias/1822/01/26/pdfs/GMD-1822-26.pdf#page=3","Abrir facsímil")</f>
        <v>Abrir facsímil</v>
      </c>
      <c r="K8134" s="3" t="s">
        <v>22</v>
      </c>
    </row>
    <row r="8135" spans="1:11" ht="42" customHeight="1">
      <c r="A8135" s="2" t="s">
        <v>15779</v>
      </c>
      <c r="B8135" s="2" t="s">
        <v>15780</v>
      </c>
      <c r="C8135" s="2" t="s">
        <v>42</v>
      </c>
      <c r="D8135" s="2" t="s">
        <v>17</v>
      </c>
      <c r="E8135" s="5">
        <v>-28323</v>
      </c>
      <c r="F8135" s="3" t="s">
        <v>116</v>
      </c>
      <c r="G8135" s="3" t="s">
        <v>35</v>
      </c>
      <c r="H8135" s="2" t="s">
        <v>20</v>
      </c>
      <c r="I8135" s="2" t="s">
        <v>15781</v>
      </c>
      <c r="J8135" s="3" t="str">
        <f>HYPERLINK("https://www.boe.es/gazeta/dias/1822/06/14/pdfs/GMD-1822-171.pdf#page=2","Abrir facsímil")</f>
        <v>Abrir facsímil</v>
      </c>
      <c r="K8135" s="3" t="s">
        <v>22</v>
      </c>
    </row>
    <row r="8136" spans="1:11" ht="42" customHeight="1">
      <c r="A8136" s="2" t="s">
        <v>15782</v>
      </c>
      <c r="B8136" s="2" t="s">
        <v>15783</v>
      </c>
      <c r="C8136" s="2" t="s">
        <v>50</v>
      </c>
      <c r="D8136" s="2" t="s">
        <v>51</v>
      </c>
      <c r="E8136" s="5">
        <v>-28297</v>
      </c>
      <c r="F8136" s="3" t="s">
        <v>1972</v>
      </c>
      <c r="G8136" s="3" t="s">
        <v>31</v>
      </c>
      <c r="H8136" s="2" t="s">
        <v>20</v>
      </c>
      <c r="I8136" s="2" t="s">
        <v>15784</v>
      </c>
      <c r="J8136" s="3" t="str">
        <f>HYPERLINK("https://www.boe.es/gazeta/dias/1822/07/10/pdfs/GMD-1822-200.pdf#page=3","Abrir facsímil")</f>
        <v>Abrir facsímil</v>
      </c>
      <c r="K8136" s="3" t="s">
        <v>22</v>
      </c>
    </row>
    <row r="8137" spans="1:11" ht="42" customHeight="1">
      <c r="A8137" s="2" t="s">
        <v>15785</v>
      </c>
      <c r="B8137" s="2" t="s">
        <v>15786</v>
      </c>
      <c r="C8137" s="2" t="s">
        <v>50</v>
      </c>
      <c r="D8137" s="2" t="s">
        <v>51</v>
      </c>
      <c r="E8137" s="5">
        <v>-28214</v>
      </c>
      <c r="F8137" s="3" t="s">
        <v>814</v>
      </c>
      <c r="G8137" s="3" t="s">
        <v>31</v>
      </c>
      <c r="H8137" s="2" t="s">
        <v>20</v>
      </c>
      <c r="I8137" s="2" t="s">
        <v>15787</v>
      </c>
      <c r="J8137" s="3" t="str">
        <f>HYPERLINK("https://www.boe.es/gazeta/dias/1822/10/01/pdfs/GMD-1822-287.pdf#page=3","Abrir facsímil")</f>
        <v>Abrir facsímil</v>
      </c>
      <c r="K8137" s="3" t="s">
        <v>22</v>
      </c>
    </row>
    <row r="8138" spans="1:11" ht="42" customHeight="1">
      <c r="A8138" s="2" t="s">
        <v>15788</v>
      </c>
      <c r="B8138" s="2" t="s">
        <v>15789</v>
      </c>
      <c r="C8138" s="2" t="s">
        <v>28</v>
      </c>
      <c r="D8138" s="2" t="s">
        <v>29</v>
      </c>
      <c r="E8138" s="5">
        <v>-28445</v>
      </c>
      <c r="F8138" s="3" t="s">
        <v>1622</v>
      </c>
      <c r="G8138" s="3" t="s">
        <v>57</v>
      </c>
      <c r="H8138" s="2" t="s">
        <v>45</v>
      </c>
      <c r="I8138" s="2" t="s">
        <v>15790</v>
      </c>
      <c r="J8138" s="3" t="str">
        <f>HYPERLINK("https://www.boe.es/gazeta/dias/1822/02/12/pdfs/GMD-1822-43.pdf#page=4","Abrir facsímil")</f>
        <v>Abrir facsímil</v>
      </c>
      <c r="K8138" s="3" t="s">
        <v>47</v>
      </c>
    </row>
    <row r="8139" spans="1:11" ht="42" customHeight="1">
      <c r="A8139" s="2" t="s">
        <v>15791</v>
      </c>
      <c r="B8139" s="2" t="s">
        <v>15791</v>
      </c>
      <c r="C8139" s="2" t="s">
        <v>28</v>
      </c>
      <c r="D8139" s="2" t="s">
        <v>29</v>
      </c>
      <c r="E8139" s="5">
        <v>-28318</v>
      </c>
      <c r="F8139" s="3" t="s">
        <v>397</v>
      </c>
      <c r="G8139" s="3" t="s">
        <v>19</v>
      </c>
      <c r="H8139" s="2" t="s">
        <v>20</v>
      </c>
      <c r="I8139" s="2" t="s">
        <v>15792</v>
      </c>
      <c r="J8139" s="3" t="str">
        <f>HYPERLINK("https://www.boe.es/gazeta/dias/1822/06/19/pdfs/GMD-1822-176.pdf#page=5","Abrir facsímil")</f>
        <v>Abrir facsímil</v>
      </c>
      <c r="K8139" s="3" t="s">
        <v>22</v>
      </c>
    </row>
    <row r="8140" spans="1:11" ht="42" customHeight="1">
      <c r="A8140" s="2" t="s">
        <v>15793</v>
      </c>
      <c r="B8140" s="2" t="s">
        <v>15793</v>
      </c>
      <c r="C8140" s="2" t="s">
        <v>61</v>
      </c>
      <c r="D8140" s="2" t="s">
        <v>17</v>
      </c>
      <c r="E8140" s="5">
        <v>-28318</v>
      </c>
      <c r="F8140" s="3" t="s">
        <v>397</v>
      </c>
      <c r="G8140" s="3" t="s">
        <v>63</v>
      </c>
      <c r="H8140" s="2" t="s">
        <v>20</v>
      </c>
      <c r="I8140" s="2" t="s">
        <v>15794</v>
      </c>
      <c r="J8140" s="3" t="str">
        <f>HYPERLINK("https://www.boe.es/gazeta/dias/1822/06/19/pdfs/GMD-1822-176.pdf#page=6","Abrir facsímil")</f>
        <v>Abrir facsímil</v>
      </c>
      <c r="K8140" s="3" t="s">
        <v>22</v>
      </c>
    </row>
    <row r="8141" spans="1:11" ht="42" customHeight="1">
      <c r="A8141" s="2" t="s">
        <v>15795</v>
      </c>
      <c r="B8141" s="2" t="s">
        <v>15795</v>
      </c>
      <c r="C8141" s="2" t="s">
        <v>42</v>
      </c>
      <c r="D8141" s="2" t="s">
        <v>17</v>
      </c>
      <c r="E8141" s="5">
        <v>-28378</v>
      </c>
      <c r="F8141" s="3" t="s">
        <v>496</v>
      </c>
      <c r="G8141" s="3" t="s">
        <v>31</v>
      </c>
      <c r="H8141" s="2" t="s">
        <v>20</v>
      </c>
      <c r="I8141" s="2" t="s">
        <v>15796</v>
      </c>
      <c r="J8141" s="3" t="str">
        <f>HYPERLINK("https://www.boe.es/gazeta/dias/1822/04/20/pdfs/GMD-1822-112.pdf#page=3","Abrir facsímil")</f>
        <v>Abrir facsímil</v>
      </c>
      <c r="K8141" s="3" t="s">
        <v>22</v>
      </c>
    </row>
    <row r="8142" spans="1:11" ht="42" customHeight="1">
      <c r="A8142" s="2" t="s">
        <v>15795</v>
      </c>
      <c r="B8142" s="2" t="s">
        <v>15795</v>
      </c>
      <c r="C8142" s="2" t="s">
        <v>42</v>
      </c>
      <c r="D8142" s="2" t="s">
        <v>17</v>
      </c>
      <c r="E8142" s="5">
        <v>-28359</v>
      </c>
      <c r="F8142" s="3" t="s">
        <v>209</v>
      </c>
      <c r="G8142" s="3" t="s">
        <v>35</v>
      </c>
      <c r="H8142" s="2" t="s">
        <v>20</v>
      </c>
      <c r="I8142" s="2" t="s">
        <v>15797</v>
      </c>
      <c r="J8142" s="3" t="str">
        <f>HYPERLINK("https://www.boe.es/gazeta/dias/1822/05/09/pdfs/GMD-1822-131.pdf#page=2","Abrir facsímil")</f>
        <v>Abrir facsímil</v>
      </c>
      <c r="K8142" s="3" t="s">
        <v>22</v>
      </c>
    </row>
    <row r="8143" spans="1:11" ht="42" customHeight="1">
      <c r="A8143" s="2" t="s">
        <v>15798</v>
      </c>
      <c r="B8143" s="2" t="s">
        <v>15798</v>
      </c>
      <c r="C8143" s="2" t="s">
        <v>42</v>
      </c>
      <c r="D8143" s="2" t="s">
        <v>17</v>
      </c>
      <c r="E8143" s="5">
        <v>-28141</v>
      </c>
      <c r="F8143" s="3" t="s">
        <v>265</v>
      </c>
      <c r="G8143" s="3" t="s">
        <v>35</v>
      </c>
      <c r="H8143" s="2" t="s">
        <v>20</v>
      </c>
      <c r="I8143" s="2" t="s">
        <v>15799</v>
      </c>
      <c r="J8143" s="3" t="str">
        <f>HYPERLINK("https://www.boe.es/gazeta/dias/1822/12/13/pdfs/GMD-1822-363.pdf#page=2","Abrir facsímil")</f>
        <v>Abrir facsímil</v>
      </c>
      <c r="K8143" s="3" t="s">
        <v>22</v>
      </c>
    </row>
    <row r="8144" spans="1:11" ht="42" customHeight="1">
      <c r="A8144" s="2" t="s">
        <v>15800</v>
      </c>
      <c r="B8144" s="2" t="s">
        <v>15800</v>
      </c>
      <c r="C8144" s="2" t="s">
        <v>71</v>
      </c>
      <c r="D8144" s="2" t="s">
        <v>17</v>
      </c>
      <c r="E8144" s="5">
        <v>-28323</v>
      </c>
      <c r="F8144" s="3" t="s">
        <v>116</v>
      </c>
      <c r="G8144" s="3" t="s">
        <v>57</v>
      </c>
      <c r="H8144" s="2" t="s">
        <v>20</v>
      </c>
      <c r="I8144" s="2" t="s">
        <v>15801</v>
      </c>
      <c r="J8144" s="3" t="str">
        <f>HYPERLINK("https://www.boe.es/gazeta/dias/1822/06/14/pdfs/GMD-1822-171.pdf#page=4","Abrir facsímil")</f>
        <v>Abrir facsímil</v>
      </c>
      <c r="K8144" s="3" t="s">
        <v>22</v>
      </c>
    </row>
    <row r="8145" spans="1:11" ht="42" customHeight="1">
      <c r="A8145" s="2" t="s">
        <v>15802</v>
      </c>
      <c r="B8145" s="2" t="s">
        <v>15802</v>
      </c>
      <c r="C8145" s="2" t="s">
        <v>16</v>
      </c>
      <c r="D8145" s="2" t="s">
        <v>17</v>
      </c>
      <c r="E8145" s="5">
        <v>-28419</v>
      </c>
      <c r="F8145" s="3" t="s">
        <v>1392</v>
      </c>
      <c r="G8145" s="3" t="s">
        <v>31</v>
      </c>
      <c r="H8145" s="2" t="s">
        <v>20</v>
      </c>
      <c r="I8145" s="2" t="s">
        <v>15803</v>
      </c>
      <c r="J8145" s="3" t="str">
        <f>HYPERLINK("https://www.boe.es/gazeta/dias/1822/03/10/pdfs/GMD-1822-71.pdf#page=3","Abrir facsímil")</f>
        <v>Abrir facsímil</v>
      </c>
      <c r="K8145" s="3" t="s">
        <v>22</v>
      </c>
    </row>
    <row r="8146" spans="1:11" ht="42" customHeight="1">
      <c r="A8146" s="2" t="s">
        <v>15802</v>
      </c>
      <c r="B8146" s="2" t="s">
        <v>15802</v>
      </c>
      <c r="C8146" s="2" t="s">
        <v>71</v>
      </c>
      <c r="D8146" s="2" t="s">
        <v>17</v>
      </c>
      <c r="E8146" s="5">
        <v>-28414</v>
      </c>
      <c r="F8146" s="3" t="s">
        <v>187</v>
      </c>
      <c r="G8146" s="3" t="s">
        <v>57</v>
      </c>
      <c r="H8146" s="2" t="s">
        <v>20</v>
      </c>
      <c r="I8146" s="2" t="s">
        <v>15804</v>
      </c>
      <c r="J8146" s="3" t="str">
        <f>HYPERLINK("https://www.boe.es/gazeta/dias/1822/03/15/pdfs/GMD-1822-76.pdf#page=4","Abrir facsímil")</f>
        <v>Abrir facsímil</v>
      </c>
      <c r="K8146" s="3" t="s">
        <v>22</v>
      </c>
    </row>
    <row r="8147" spans="1:11" ht="42" customHeight="1">
      <c r="A8147" s="2" t="s">
        <v>15802</v>
      </c>
      <c r="B8147" s="2" t="s">
        <v>15802</v>
      </c>
      <c r="C8147" s="2" t="s">
        <v>71</v>
      </c>
      <c r="D8147" s="2" t="s">
        <v>17</v>
      </c>
      <c r="E8147" s="5">
        <v>-28413</v>
      </c>
      <c r="F8147" s="3" t="s">
        <v>458</v>
      </c>
      <c r="G8147" s="3" t="s">
        <v>31</v>
      </c>
      <c r="H8147" s="2" t="s">
        <v>20</v>
      </c>
      <c r="I8147" s="2" t="s">
        <v>15805</v>
      </c>
      <c r="J8147" s="3" t="str">
        <f>HYPERLINK("https://www.boe.es/gazeta/dias/1822/03/16/pdfs/GMD-1822-77.pdf#page=3","Abrir facsímil")</f>
        <v>Abrir facsímil</v>
      </c>
      <c r="K8147" s="3" t="s">
        <v>22</v>
      </c>
    </row>
    <row r="8148" spans="1:11" ht="42" customHeight="1">
      <c r="A8148" s="2" t="s">
        <v>15802</v>
      </c>
      <c r="B8148" s="2" t="s">
        <v>15802</v>
      </c>
      <c r="C8148" s="2" t="s">
        <v>42</v>
      </c>
      <c r="D8148" s="2" t="s">
        <v>17</v>
      </c>
      <c r="E8148" s="5">
        <v>-28410</v>
      </c>
      <c r="F8148" s="3" t="s">
        <v>966</v>
      </c>
      <c r="G8148" s="3" t="s">
        <v>57</v>
      </c>
      <c r="H8148" s="2" t="s">
        <v>20</v>
      </c>
      <c r="I8148" s="2" t="s">
        <v>15806</v>
      </c>
      <c r="J8148" s="3" t="str">
        <f>HYPERLINK("https://www.boe.es/gazeta/dias/1822/03/19/pdfs/GMD-1822-80.pdf#page=4","Abrir facsímil")</f>
        <v>Abrir facsímil</v>
      </c>
      <c r="K8148" s="3" t="s">
        <v>22</v>
      </c>
    </row>
    <row r="8149" spans="1:11" ht="42" customHeight="1">
      <c r="A8149" s="2" t="s">
        <v>15802</v>
      </c>
      <c r="B8149" s="2" t="s">
        <v>15802</v>
      </c>
      <c r="C8149" s="2" t="s">
        <v>42</v>
      </c>
      <c r="D8149" s="2" t="s">
        <v>17</v>
      </c>
      <c r="E8149" s="5">
        <v>-28383</v>
      </c>
      <c r="F8149" s="3" t="s">
        <v>488</v>
      </c>
      <c r="G8149" s="3" t="s">
        <v>31</v>
      </c>
      <c r="H8149" s="2" t="s">
        <v>20</v>
      </c>
      <c r="I8149" s="2" t="s">
        <v>15807</v>
      </c>
      <c r="J8149" s="3" t="str">
        <f>HYPERLINK("https://www.boe.es/gazeta/dias/1822/04/15/pdfs/GMD-1822-107.pdf#page=3","Abrir facsímil")</f>
        <v>Abrir facsímil</v>
      </c>
      <c r="K8149" s="3" t="s">
        <v>22</v>
      </c>
    </row>
    <row r="8150" spans="1:11" ht="42" customHeight="1">
      <c r="A8150" s="2" t="s">
        <v>15802</v>
      </c>
      <c r="B8150" s="2" t="s">
        <v>15802</v>
      </c>
      <c r="C8150" s="2" t="s">
        <v>28</v>
      </c>
      <c r="D8150" s="2" t="s">
        <v>29</v>
      </c>
      <c r="E8150" s="5">
        <v>-28375</v>
      </c>
      <c r="F8150" s="3" t="s">
        <v>2035</v>
      </c>
      <c r="G8150" s="3" t="s">
        <v>31</v>
      </c>
      <c r="H8150" s="2" t="s">
        <v>20</v>
      </c>
      <c r="I8150" s="2" t="s">
        <v>15808</v>
      </c>
      <c r="J8150" s="3" t="str">
        <f>HYPERLINK("https://www.boe.es/gazeta/dias/1822/04/23/pdfs/GMD-1822-115.pdf#page=3","Abrir facsímil")</f>
        <v>Abrir facsímil</v>
      </c>
      <c r="K8150" s="3" t="s">
        <v>22</v>
      </c>
    </row>
    <row r="8151" spans="1:11" ht="42" customHeight="1">
      <c r="A8151" s="2" t="s">
        <v>15802</v>
      </c>
      <c r="B8151" s="2" t="s">
        <v>15802</v>
      </c>
      <c r="C8151" s="2" t="s">
        <v>61</v>
      </c>
      <c r="D8151" s="2" t="s">
        <v>17</v>
      </c>
      <c r="E8151" s="5">
        <v>-28371</v>
      </c>
      <c r="F8151" s="3" t="s">
        <v>401</v>
      </c>
      <c r="G8151" s="3" t="s">
        <v>31</v>
      </c>
      <c r="H8151" s="2" t="s">
        <v>20</v>
      </c>
      <c r="I8151" s="2" t="s">
        <v>15809</v>
      </c>
      <c r="J8151" s="3" t="str">
        <f>HYPERLINK("https://www.boe.es/gazeta/dias/1822/04/27/pdfs/GMD-1822-119.pdf#page=3","Abrir facsímil")</f>
        <v>Abrir facsímil</v>
      </c>
      <c r="K8151" s="3" t="s">
        <v>22</v>
      </c>
    </row>
    <row r="8152" spans="1:11" ht="42" customHeight="1">
      <c r="A8152" s="2" t="s">
        <v>15802</v>
      </c>
      <c r="B8152" s="2" t="s">
        <v>15802</v>
      </c>
      <c r="C8152" s="2" t="s">
        <v>71</v>
      </c>
      <c r="D8152" s="2" t="s">
        <v>17</v>
      </c>
      <c r="E8152" s="5">
        <v>-28365</v>
      </c>
      <c r="F8152" s="3" t="s">
        <v>506</v>
      </c>
      <c r="G8152" s="3" t="s">
        <v>35</v>
      </c>
      <c r="H8152" s="2" t="s">
        <v>20</v>
      </c>
      <c r="I8152" s="2" t="s">
        <v>15810</v>
      </c>
      <c r="J8152" s="3" t="str">
        <f>HYPERLINK("https://www.boe.es/gazeta/dias/1822/05/03/pdfs/GMD-1822-125.pdf#page=2","Abrir facsímil")</f>
        <v>Abrir facsímil</v>
      </c>
      <c r="K8152" s="3" t="s">
        <v>22</v>
      </c>
    </row>
    <row r="8153" spans="1:11" ht="42" customHeight="1">
      <c r="A8153" s="2" t="s">
        <v>15802</v>
      </c>
      <c r="B8153" s="2" t="s">
        <v>15802</v>
      </c>
      <c r="C8153" s="2" t="s">
        <v>28</v>
      </c>
      <c r="D8153" s="2" t="s">
        <v>29</v>
      </c>
      <c r="E8153" s="5">
        <v>-28365</v>
      </c>
      <c r="F8153" s="3" t="s">
        <v>506</v>
      </c>
      <c r="G8153" s="3" t="s">
        <v>31</v>
      </c>
      <c r="H8153" s="2" t="s">
        <v>20</v>
      </c>
      <c r="I8153" s="2" t="s">
        <v>15811</v>
      </c>
      <c r="J8153" s="3" t="str">
        <f>HYPERLINK("https://www.boe.es/gazeta/dias/1822/05/03/pdfs/GMD-1822-125.pdf#page=3","Abrir facsímil")</f>
        <v>Abrir facsímil</v>
      </c>
      <c r="K8153" s="3" t="s">
        <v>22</v>
      </c>
    </row>
    <row r="8154" spans="1:11" ht="42" customHeight="1">
      <c r="A8154" s="2" t="s">
        <v>15802</v>
      </c>
      <c r="B8154" s="2" t="s">
        <v>15802</v>
      </c>
      <c r="C8154" s="2" t="s">
        <v>28</v>
      </c>
      <c r="D8154" s="2" t="s">
        <v>29</v>
      </c>
      <c r="E8154" s="5">
        <v>-28357</v>
      </c>
      <c r="F8154" s="3" t="s">
        <v>690</v>
      </c>
      <c r="G8154" s="3" t="s">
        <v>35</v>
      </c>
      <c r="H8154" s="2" t="s">
        <v>20</v>
      </c>
      <c r="I8154" s="2" t="s">
        <v>15812</v>
      </c>
      <c r="J8154" s="3" t="str">
        <f>HYPERLINK("https://www.boe.es/gazeta/dias/1822/05/11/pdfs/GMD-1822-133.pdf#page=2","Abrir facsímil")</f>
        <v>Abrir facsímil</v>
      </c>
      <c r="K8154" s="3" t="s">
        <v>22</v>
      </c>
    </row>
    <row r="8155" spans="1:11" ht="42" customHeight="1">
      <c r="A8155" s="2" t="s">
        <v>15802</v>
      </c>
      <c r="B8155" s="2" t="s">
        <v>15802</v>
      </c>
      <c r="C8155" s="2" t="s">
        <v>71</v>
      </c>
      <c r="D8155" s="2" t="s">
        <v>17</v>
      </c>
      <c r="E8155" s="5">
        <v>-28356</v>
      </c>
      <c r="F8155" s="3" t="s">
        <v>4170</v>
      </c>
      <c r="G8155" s="3" t="s">
        <v>35</v>
      </c>
      <c r="H8155" s="2" t="s">
        <v>20</v>
      </c>
      <c r="I8155" s="2" t="s">
        <v>15813</v>
      </c>
      <c r="J8155" s="3" t="str">
        <f>HYPERLINK("https://www.boe.es/gazeta/dias/1822/05/12/pdfs/GMD-1822-134.pdf#page=2","Abrir facsímil")</f>
        <v>Abrir facsímil</v>
      </c>
      <c r="K8155" s="3" t="s">
        <v>22</v>
      </c>
    </row>
    <row r="8156" spans="1:11" ht="42" customHeight="1">
      <c r="A8156" s="2" t="s">
        <v>15802</v>
      </c>
      <c r="B8156" s="2" t="s">
        <v>15802</v>
      </c>
      <c r="C8156" s="2" t="s">
        <v>16</v>
      </c>
      <c r="D8156" s="2" t="s">
        <v>17</v>
      </c>
      <c r="E8156" s="5">
        <v>-28355</v>
      </c>
      <c r="F8156" s="3" t="s">
        <v>692</v>
      </c>
      <c r="G8156" s="3" t="s">
        <v>44</v>
      </c>
      <c r="H8156" s="2" t="s">
        <v>20</v>
      </c>
      <c r="I8156" s="2" t="s">
        <v>15814</v>
      </c>
      <c r="J8156" s="3" t="str">
        <f>HYPERLINK("https://www.boe.es/gazeta/dias/1822/05/13/pdfs/GMD-1822-135.pdf#page=1","Abrir facsímil")</f>
        <v>Abrir facsímil</v>
      </c>
      <c r="K8156" s="3" t="s">
        <v>22</v>
      </c>
    </row>
    <row r="8157" spans="1:11" ht="42" customHeight="1">
      <c r="A8157" s="2" t="s">
        <v>15802</v>
      </c>
      <c r="B8157" s="2" t="s">
        <v>15802</v>
      </c>
      <c r="C8157" s="2" t="s">
        <v>28</v>
      </c>
      <c r="D8157" s="2" t="s">
        <v>29</v>
      </c>
      <c r="E8157" s="5">
        <v>-28351</v>
      </c>
      <c r="F8157" s="3" t="s">
        <v>282</v>
      </c>
      <c r="G8157" s="3" t="s">
        <v>35</v>
      </c>
      <c r="H8157" s="2" t="s">
        <v>20</v>
      </c>
      <c r="I8157" s="2" t="s">
        <v>15815</v>
      </c>
      <c r="J8157" s="3" t="str">
        <f>HYPERLINK("https://www.boe.es/gazeta/dias/1822/05/17/pdfs/GMD-1822-139.pdf#page=2","Abrir facsímil")</f>
        <v>Abrir facsímil</v>
      </c>
      <c r="K8157" s="3" t="s">
        <v>22</v>
      </c>
    </row>
    <row r="8158" spans="1:11" ht="42" customHeight="1">
      <c r="A8158" s="2" t="s">
        <v>15802</v>
      </c>
      <c r="B8158" s="2" t="s">
        <v>15802</v>
      </c>
      <c r="C8158" s="2" t="s">
        <v>42</v>
      </c>
      <c r="D8158" s="2" t="s">
        <v>17</v>
      </c>
      <c r="E8158" s="5">
        <v>-28344</v>
      </c>
      <c r="F8158" s="3" t="s">
        <v>524</v>
      </c>
      <c r="G8158" s="3" t="s">
        <v>1040</v>
      </c>
      <c r="H8158" s="2" t="s">
        <v>20</v>
      </c>
      <c r="I8158" s="2" t="s">
        <v>15816</v>
      </c>
      <c r="J8158" s="3" t="str">
        <f>HYPERLINK("https://www.boe.es/gazeta/dias/1822/05/24/pdfs/GMD-1822-148.pdf#page=2","Abrir facsímil")</f>
        <v>Abrir facsímil</v>
      </c>
      <c r="K8158" s="3" t="s">
        <v>22</v>
      </c>
    </row>
    <row r="8159" spans="1:11" ht="42" customHeight="1">
      <c r="A8159" s="2" t="s">
        <v>15802</v>
      </c>
      <c r="B8159" s="2" t="s">
        <v>15802</v>
      </c>
      <c r="C8159" s="2" t="s">
        <v>71</v>
      </c>
      <c r="D8159" s="2" t="s">
        <v>17</v>
      </c>
      <c r="E8159" s="5">
        <v>-28337</v>
      </c>
      <c r="F8159" s="3" t="s">
        <v>1836</v>
      </c>
      <c r="G8159" s="3" t="s">
        <v>35</v>
      </c>
      <c r="H8159" s="2" t="s">
        <v>20</v>
      </c>
      <c r="I8159" s="2" t="s">
        <v>15817</v>
      </c>
      <c r="J8159" s="3" t="str">
        <f>HYPERLINK("https://www.boe.es/gazeta/dias/1822/05/31/pdfs/GMD-1822-156.pdf#page=2","Abrir facsímil")</f>
        <v>Abrir facsímil</v>
      </c>
      <c r="K8159" s="3" t="s">
        <v>22</v>
      </c>
    </row>
    <row r="8160" spans="1:11" ht="42" customHeight="1">
      <c r="A8160" s="2" t="s">
        <v>15802</v>
      </c>
      <c r="B8160" s="2" t="s">
        <v>15802</v>
      </c>
      <c r="C8160" s="2" t="s">
        <v>61</v>
      </c>
      <c r="D8160" s="2" t="s">
        <v>17</v>
      </c>
      <c r="E8160" s="5">
        <v>-28334</v>
      </c>
      <c r="F8160" s="3" t="s">
        <v>532</v>
      </c>
      <c r="G8160" s="3" t="s">
        <v>57</v>
      </c>
      <c r="H8160" s="2" t="s">
        <v>20</v>
      </c>
      <c r="I8160" s="2" t="s">
        <v>15818</v>
      </c>
      <c r="J8160" s="3" t="str">
        <f>HYPERLINK("https://www.boe.es/gazeta/dias/1822/06/03/pdfs/GMD-1822-159.pdf#page=4","Abrir facsímil")</f>
        <v>Abrir facsímil</v>
      </c>
      <c r="K8160" s="3" t="s">
        <v>22</v>
      </c>
    </row>
    <row r="8161" spans="1:11" ht="42" customHeight="1">
      <c r="A8161" s="2" t="s">
        <v>15802</v>
      </c>
      <c r="B8161" s="2" t="s">
        <v>15802</v>
      </c>
      <c r="C8161" s="2" t="s">
        <v>42</v>
      </c>
      <c r="D8161" s="2" t="s">
        <v>17</v>
      </c>
      <c r="E8161" s="5">
        <v>-28332</v>
      </c>
      <c r="F8161" s="3" t="s">
        <v>535</v>
      </c>
      <c r="G8161" s="3" t="s">
        <v>35</v>
      </c>
      <c r="H8161" s="2" t="s">
        <v>20</v>
      </c>
      <c r="I8161" s="2" t="s">
        <v>15819</v>
      </c>
      <c r="J8161" s="3" t="str">
        <f>HYPERLINK("https://www.boe.es/gazeta/dias/1822/06/05/pdfs/GMD-1822-162.pdf#page=2","Abrir facsímil")</f>
        <v>Abrir facsímil</v>
      </c>
      <c r="K8161" s="3" t="s">
        <v>22</v>
      </c>
    </row>
    <row r="8162" spans="1:11" ht="42" customHeight="1">
      <c r="A8162" s="2" t="s">
        <v>15802</v>
      </c>
      <c r="B8162" s="2" t="s">
        <v>15802</v>
      </c>
      <c r="C8162" s="2" t="s">
        <v>50</v>
      </c>
      <c r="D8162" s="2" t="s">
        <v>51</v>
      </c>
      <c r="E8162" s="5">
        <v>-28327</v>
      </c>
      <c r="F8162" s="3" t="s">
        <v>38</v>
      </c>
      <c r="G8162" s="3" t="s">
        <v>35</v>
      </c>
      <c r="H8162" s="2" t="s">
        <v>20</v>
      </c>
      <c r="I8162" s="2" t="s">
        <v>15820</v>
      </c>
      <c r="J8162" s="3" t="str">
        <f>HYPERLINK("https://www.boe.es/gazeta/dias/1822/06/10/pdfs/GMD-1822-167.pdf#page=2","Abrir facsímil")</f>
        <v>Abrir facsímil</v>
      </c>
      <c r="K8162" s="3" t="s">
        <v>22</v>
      </c>
    </row>
    <row r="8163" spans="1:11" ht="42" customHeight="1">
      <c r="A8163" s="2" t="s">
        <v>15802</v>
      </c>
      <c r="B8163" s="2" t="s">
        <v>15802</v>
      </c>
      <c r="C8163" s="2" t="s">
        <v>42</v>
      </c>
      <c r="D8163" s="2" t="s">
        <v>17</v>
      </c>
      <c r="E8163" s="5">
        <v>-28324</v>
      </c>
      <c r="F8163" s="3" t="s">
        <v>305</v>
      </c>
      <c r="G8163" s="3" t="s">
        <v>57</v>
      </c>
      <c r="H8163" s="2" t="s">
        <v>20</v>
      </c>
      <c r="I8163" s="2" t="s">
        <v>15821</v>
      </c>
      <c r="J8163" s="3" t="str">
        <f>HYPERLINK("https://www.boe.es/gazeta/dias/1822/06/13/pdfs/GMD-1822-170.pdf#page=4","Abrir facsímil")</f>
        <v>Abrir facsímil</v>
      </c>
      <c r="K8163" s="3" t="s">
        <v>22</v>
      </c>
    </row>
    <row r="8164" spans="1:11" ht="42" customHeight="1">
      <c r="A8164" s="2" t="s">
        <v>15802</v>
      </c>
      <c r="B8164" s="2" t="s">
        <v>15802</v>
      </c>
      <c r="C8164" s="2" t="s">
        <v>16</v>
      </c>
      <c r="D8164" s="2" t="s">
        <v>17</v>
      </c>
      <c r="E8164" s="5">
        <v>-28323</v>
      </c>
      <c r="F8164" s="3" t="s">
        <v>116</v>
      </c>
      <c r="G8164" s="3" t="s">
        <v>19</v>
      </c>
      <c r="H8164" s="2" t="s">
        <v>20</v>
      </c>
      <c r="I8164" s="2" t="s">
        <v>15822</v>
      </c>
      <c r="J8164" s="3" t="str">
        <f>HYPERLINK("https://www.boe.es/gazeta/dias/1822/06/14/pdfs/GMD-1822-171.pdf#page=5","Abrir facsímil")</f>
        <v>Abrir facsímil</v>
      </c>
      <c r="K8164" s="3" t="s">
        <v>22</v>
      </c>
    </row>
    <row r="8165" spans="1:11" ht="42" customHeight="1">
      <c r="A8165" s="2" t="s">
        <v>15802</v>
      </c>
      <c r="B8165" s="2" t="s">
        <v>15802</v>
      </c>
      <c r="C8165" s="2" t="s">
        <v>42</v>
      </c>
      <c r="D8165" s="2" t="s">
        <v>17</v>
      </c>
      <c r="E8165" s="5">
        <v>-28317</v>
      </c>
      <c r="F8165" s="3" t="s">
        <v>546</v>
      </c>
      <c r="G8165" s="3" t="s">
        <v>167</v>
      </c>
      <c r="H8165" s="2" t="s">
        <v>20</v>
      </c>
      <c r="I8165" s="2" t="s">
        <v>15823</v>
      </c>
      <c r="J8165" s="3" t="str">
        <f>HYPERLINK("https://www.boe.es/gazeta/dias/1822/06/20/pdfs/GMD-1822-177.pdf#page=7","Abrir facsímil")</f>
        <v>Abrir facsímil</v>
      </c>
      <c r="K8165" s="3" t="s">
        <v>22</v>
      </c>
    </row>
    <row r="8166" spans="1:11" ht="42" customHeight="1">
      <c r="A8166" s="2" t="s">
        <v>15802</v>
      </c>
      <c r="B8166" s="2" t="s">
        <v>15802</v>
      </c>
      <c r="C8166" s="2" t="s">
        <v>71</v>
      </c>
      <c r="D8166" s="2" t="s">
        <v>17</v>
      </c>
      <c r="E8166" s="5">
        <v>-28198</v>
      </c>
      <c r="F8166" s="3" t="s">
        <v>981</v>
      </c>
      <c r="G8166" s="3" t="s">
        <v>35</v>
      </c>
      <c r="H8166" s="2" t="s">
        <v>20</v>
      </c>
      <c r="I8166" s="2" t="s">
        <v>15824</v>
      </c>
      <c r="J8166" s="3" t="str">
        <f>HYPERLINK("https://www.boe.es/gazeta/dias/1822/10/17/pdfs/GMD-1822-304.pdf#page=2","Abrir facsímil")</f>
        <v>Abrir facsímil</v>
      </c>
      <c r="K8166" s="3" t="s">
        <v>22</v>
      </c>
    </row>
    <row r="8167" spans="1:11" ht="42" customHeight="1">
      <c r="A8167" s="2" t="s">
        <v>15802</v>
      </c>
      <c r="B8167" s="2" t="s">
        <v>15802</v>
      </c>
      <c r="C8167" s="2" t="s">
        <v>50</v>
      </c>
      <c r="D8167" s="2" t="s">
        <v>51</v>
      </c>
      <c r="E8167" s="5">
        <v>-28188</v>
      </c>
      <c r="F8167" s="3" t="s">
        <v>578</v>
      </c>
      <c r="G8167" s="3" t="s">
        <v>57</v>
      </c>
      <c r="H8167" s="2" t="s">
        <v>20</v>
      </c>
      <c r="I8167" s="2" t="s">
        <v>15825</v>
      </c>
      <c r="J8167" s="3" t="str">
        <f>HYPERLINK("https://www.boe.es/gazeta/dias/1822/10/27/pdfs/GMD-1822-314.pdf#page=4","Abrir facsímil")</f>
        <v>Abrir facsímil</v>
      </c>
      <c r="K8167" s="3" t="s">
        <v>22</v>
      </c>
    </row>
    <row r="8168" spans="1:11" ht="42" customHeight="1">
      <c r="A8168" s="2" t="s">
        <v>15802</v>
      </c>
      <c r="B8168" s="2" t="s">
        <v>15802</v>
      </c>
      <c r="C8168" s="2" t="s">
        <v>71</v>
      </c>
      <c r="D8168" s="2" t="s">
        <v>17</v>
      </c>
      <c r="E8168" s="5">
        <v>-28138</v>
      </c>
      <c r="F8168" s="3" t="s">
        <v>3542</v>
      </c>
      <c r="G8168" s="3" t="s">
        <v>35</v>
      </c>
      <c r="H8168" s="2" t="s">
        <v>20</v>
      </c>
      <c r="I8168" s="2" t="s">
        <v>15826</v>
      </c>
      <c r="J8168" s="3" t="str">
        <f>HYPERLINK("https://www.boe.es/gazeta/dias/1822/12/16/pdfs/GMD-1822-366.pdf#page=2","Abrir facsímil")</f>
        <v>Abrir facsímil</v>
      </c>
      <c r="K8168" s="3" t="s">
        <v>22</v>
      </c>
    </row>
    <row r="8169" spans="1:11" ht="42" customHeight="1">
      <c r="A8169" s="2" t="s">
        <v>15827</v>
      </c>
      <c r="B8169" s="2" t="s">
        <v>15827</v>
      </c>
      <c r="C8169" s="2" t="s">
        <v>28</v>
      </c>
      <c r="D8169" s="2" t="s">
        <v>29</v>
      </c>
      <c r="E8169" s="5">
        <v>-28376</v>
      </c>
      <c r="F8169" s="3" t="s">
        <v>500</v>
      </c>
      <c r="G8169" s="3" t="s">
        <v>35</v>
      </c>
      <c r="H8169" s="2" t="s">
        <v>20</v>
      </c>
      <c r="I8169" s="2" t="s">
        <v>15828</v>
      </c>
      <c r="J8169" s="3" t="str">
        <f>HYPERLINK("https://www.boe.es/gazeta/dias/1822/04/22/pdfs/GMD-1822-114.pdf#page=2","Abrir facsímil")</f>
        <v>Abrir facsímil</v>
      </c>
      <c r="K8169" s="3" t="s">
        <v>22</v>
      </c>
    </row>
    <row r="8170" spans="1:11" ht="42" customHeight="1">
      <c r="A8170" s="2" t="s">
        <v>15827</v>
      </c>
      <c r="B8170" s="2" t="s">
        <v>15827</v>
      </c>
      <c r="C8170" s="2" t="s">
        <v>42</v>
      </c>
      <c r="D8170" s="2" t="s">
        <v>17</v>
      </c>
      <c r="E8170" s="5">
        <v>-28373</v>
      </c>
      <c r="F8170" s="3" t="s">
        <v>614</v>
      </c>
      <c r="G8170" s="3" t="s">
        <v>35</v>
      </c>
      <c r="H8170" s="2" t="s">
        <v>20</v>
      </c>
      <c r="I8170" s="2" t="s">
        <v>15829</v>
      </c>
      <c r="J8170" s="3" t="str">
        <f>HYPERLINK("https://www.boe.es/gazeta/dias/1822/04/25/pdfs/GMD-1822-117.pdf#page=2","Abrir facsímil")</f>
        <v>Abrir facsímil</v>
      </c>
      <c r="K8170" s="3" t="s">
        <v>22</v>
      </c>
    </row>
    <row r="8171" spans="1:11" ht="42" customHeight="1">
      <c r="A8171" s="2" t="s">
        <v>15827</v>
      </c>
      <c r="B8171" s="2" t="s">
        <v>15827</v>
      </c>
      <c r="C8171" s="2" t="s">
        <v>28</v>
      </c>
      <c r="D8171" s="2" t="s">
        <v>29</v>
      </c>
      <c r="E8171" s="5">
        <v>-28346</v>
      </c>
      <c r="F8171" s="3" t="s">
        <v>191</v>
      </c>
      <c r="G8171" s="3" t="s">
        <v>35</v>
      </c>
      <c r="H8171" s="2" t="s">
        <v>20</v>
      </c>
      <c r="I8171" s="2" t="s">
        <v>15830</v>
      </c>
      <c r="J8171" s="3" t="str">
        <f>HYPERLINK("https://www.boe.es/gazeta/dias/1822/05/22/pdfs/GMD-1822-145.pdf#page=2","Abrir facsímil")</f>
        <v>Abrir facsímil</v>
      </c>
      <c r="K8171" s="3" t="s">
        <v>22</v>
      </c>
    </row>
    <row r="8172" spans="1:11" ht="42" customHeight="1">
      <c r="A8172" s="2" t="s">
        <v>15827</v>
      </c>
      <c r="B8172" s="2" t="s">
        <v>15827</v>
      </c>
      <c r="C8172" s="2" t="s">
        <v>50</v>
      </c>
      <c r="D8172" s="2" t="s">
        <v>51</v>
      </c>
      <c r="E8172" s="5">
        <v>-28324</v>
      </c>
      <c r="F8172" s="3" t="s">
        <v>305</v>
      </c>
      <c r="G8172" s="3" t="s">
        <v>57</v>
      </c>
      <c r="H8172" s="2" t="s">
        <v>20</v>
      </c>
      <c r="I8172" s="2" t="s">
        <v>15831</v>
      </c>
      <c r="J8172" s="3" t="str">
        <f>HYPERLINK("https://www.boe.es/gazeta/dias/1822/06/13/pdfs/GMD-1822-170.pdf#page=4","Abrir facsímil")</f>
        <v>Abrir facsímil</v>
      </c>
      <c r="K8172" s="3" t="s">
        <v>22</v>
      </c>
    </row>
    <row r="8173" spans="1:11" ht="42" customHeight="1">
      <c r="A8173" s="2" t="s">
        <v>15827</v>
      </c>
      <c r="B8173" s="2" t="s">
        <v>15827</v>
      </c>
      <c r="C8173" s="2" t="s">
        <v>42</v>
      </c>
      <c r="D8173" s="2" t="s">
        <v>17</v>
      </c>
      <c r="E8173" s="5">
        <v>-28138</v>
      </c>
      <c r="F8173" s="3" t="s">
        <v>3542</v>
      </c>
      <c r="G8173" s="3" t="s">
        <v>35</v>
      </c>
      <c r="H8173" s="2" t="s">
        <v>20</v>
      </c>
      <c r="I8173" s="2" t="s">
        <v>15832</v>
      </c>
      <c r="J8173" s="3" t="str">
        <f>HYPERLINK("https://www.boe.es/gazeta/dias/1822/12/16/pdfs/GMD-1822-366.pdf#page=2","Abrir facsímil")</f>
        <v>Abrir facsímil</v>
      </c>
      <c r="K8173" s="3" t="s">
        <v>22</v>
      </c>
    </row>
    <row r="8174" spans="1:11" ht="42" customHeight="1">
      <c r="A8174" s="2" t="s">
        <v>15833</v>
      </c>
      <c r="B8174" s="2" t="s">
        <v>15833</v>
      </c>
      <c r="C8174" s="2" t="s">
        <v>28</v>
      </c>
      <c r="D8174" s="2" t="s">
        <v>29</v>
      </c>
      <c r="E8174" s="5">
        <v>-28141</v>
      </c>
      <c r="F8174" s="3" t="s">
        <v>265</v>
      </c>
      <c r="G8174" s="3" t="s">
        <v>31</v>
      </c>
      <c r="H8174" s="2" t="s">
        <v>20</v>
      </c>
      <c r="I8174" s="2" t="s">
        <v>15834</v>
      </c>
      <c r="J8174" s="3" t="str">
        <f>HYPERLINK("https://www.boe.es/gazeta/dias/1822/12/13/pdfs/GMD-1822-363.pdf#page=3","Abrir facsímil")</f>
        <v>Abrir facsímil</v>
      </c>
      <c r="K8174" s="3" t="s">
        <v>22</v>
      </c>
    </row>
    <row r="8175" spans="1:11" ht="42" customHeight="1">
      <c r="A8175" s="2" t="s">
        <v>15835</v>
      </c>
      <c r="B8175" s="2" t="s">
        <v>15835</v>
      </c>
      <c r="C8175" s="2" t="s">
        <v>1141</v>
      </c>
      <c r="D8175" s="2" t="s">
        <v>29</v>
      </c>
      <c r="E8175" s="5">
        <v>-28321</v>
      </c>
      <c r="F8175" s="3" t="s">
        <v>1142</v>
      </c>
      <c r="G8175" s="3" t="s">
        <v>57</v>
      </c>
      <c r="H8175" s="2" t="s">
        <v>20</v>
      </c>
      <c r="I8175" s="2" t="s">
        <v>15836</v>
      </c>
      <c r="J8175" s="3" t="str">
        <f>HYPERLINK("https://www.boe.es/gazeta/dias/1822/06/16/pdfs/GMD-1822-173.pdf#page=4","Abrir facsímil")</f>
        <v>Abrir facsímil</v>
      </c>
      <c r="K8175" s="3" t="s">
        <v>22</v>
      </c>
    </row>
    <row r="8176" spans="1:11" ht="42" customHeight="1">
      <c r="A8176" s="2" t="s">
        <v>15837</v>
      </c>
      <c r="B8176" s="2" t="s">
        <v>15837</v>
      </c>
      <c r="C8176" s="2" t="s">
        <v>28</v>
      </c>
      <c r="D8176" s="2" t="s">
        <v>29</v>
      </c>
      <c r="E8176" s="5">
        <v>-28357</v>
      </c>
      <c r="F8176" s="3" t="s">
        <v>690</v>
      </c>
      <c r="G8176" s="3" t="s">
        <v>31</v>
      </c>
      <c r="H8176" s="2" t="s">
        <v>20</v>
      </c>
      <c r="I8176" s="2" t="s">
        <v>15838</v>
      </c>
      <c r="J8176" s="3" t="str">
        <f>HYPERLINK("https://www.boe.es/gazeta/dias/1822/05/11/pdfs/GMD-1822-133.pdf#page=3","Abrir facsímil")</f>
        <v>Abrir facsímil</v>
      </c>
      <c r="K8176" s="3" t="s">
        <v>22</v>
      </c>
    </row>
    <row r="8177" spans="1:11" ht="42" customHeight="1">
      <c r="A8177" s="2" t="s">
        <v>15839</v>
      </c>
      <c r="B8177" s="2" t="s">
        <v>15840</v>
      </c>
      <c r="C8177" s="2" t="s">
        <v>28</v>
      </c>
      <c r="D8177" s="2" t="s">
        <v>29</v>
      </c>
      <c r="E8177" s="5">
        <v>-28438</v>
      </c>
      <c r="F8177" s="3" t="s">
        <v>963</v>
      </c>
      <c r="G8177" s="3" t="s">
        <v>57</v>
      </c>
      <c r="H8177" s="2" t="s">
        <v>45</v>
      </c>
      <c r="I8177" s="2" t="s">
        <v>15841</v>
      </c>
      <c r="J8177" s="3" t="str">
        <f>HYPERLINK("https://www.boe.es/gazeta/dias/1822/02/19/pdfs/GMD-1822-51.pdf#page=4","Abrir facsímil")</f>
        <v>Abrir facsímil</v>
      </c>
      <c r="K8177" s="3" t="s">
        <v>47</v>
      </c>
    </row>
    <row r="8178" spans="1:11" ht="42" customHeight="1">
      <c r="A8178" s="2" t="s">
        <v>15842</v>
      </c>
      <c r="B8178" s="2" t="s">
        <v>15843</v>
      </c>
      <c r="C8178" s="2" t="s">
        <v>28</v>
      </c>
      <c r="D8178" s="2" t="s">
        <v>29</v>
      </c>
      <c r="E8178" s="5">
        <v>-28464</v>
      </c>
      <c r="F8178" s="3" t="s">
        <v>1447</v>
      </c>
      <c r="G8178" s="3" t="s">
        <v>57</v>
      </c>
      <c r="H8178" s="2" t="s">
        <v>45</v>
      </c>
      <c r="I8178" s="2" t="s">
        <v>15844</v>
      </c>
      <c r="J8178" s="3" t="str">
        <f>HYPERLINK("https://www.boe.es/gazeta/dias/1822/01/24/pdfs/GMD-1822-24.pdf#page=4","Abrir facsímil")</f>
        <v>Abrir facsímil</v>
      </c>
      <c r="K8178" s="3" t="s">
        <v>47</v>
      </c>
    </row>
    <row r="8179" spans="1:11" ht="42" customHeight="1">
      <c r="A8179" s="2" t="s">
        <v>15842</v>
      </c>
      <c r="B8179" s="2" t="s">
        <v>15843</v>
      </c>
      <c r="C8179" s="2" t="s">
        <v>42</v>
      </c>
      <c r="D8179" s="2" t="s">
        <v>17</v>
      </c>
      <c r="E8179" s="5">
        <v>-28393</v>
      </c>
      <c r="F8179" s="3" t="s">
        <v>326</v>
      </c>
      <c r="G8179" s="3" t="s">
        <v>57</v>
      </c>
      <c r="H8179" s="2" t="s">
        <v>45</v>
      </c>
      <c r="I8179" s="2" t="s">
        <v>15845</v>
      </c>
      <c r="J8179" s="3" t="str">
        <f>HYPERLINK("https://www.boe.es/gazeta/dias/1822/04/05/pdfs/GMD-1822-97.pdf#page=4","Abrir facsímil")</f>
        <v>Abrir facsímil</v>
      </c>
      <c r="K8179" s="3" t="s">
        <v>47</v>
      </c>
    </row>
    <row r="8180" spans="1:11" ht="42" customHeight="1">
      <c r="A8180" s="2" t="s">
        <v>15842</v>
      </c>
      <c r="B8180" s="2" t="s">
        <v>15843</v>
      </c>
      <c r="C8180" s="2" t="s">
        <v>28</v>
      </c>
      <c r="D8180" s="2" t="s">
        <v>29</v>
      </c>
      <c r="E8180" s="5">
        <v>-28390</v>
      </c>
      <c r="F8180" s="3" t="s">
        <v>665</v>
      </c>
      <c r="G8180" s="3" t="s">
        <v>57</v>
      </c>
      <c r="H8180" s="2" t="s">
        <v>45</v>
      </c>
      <c r="I8180" s="2" t="s">
        <v>15846</v>
      </c>
      <c r="J8180" s="3" t="str">
        <f>HYPERLINK("https://www.boe.es/gazeta/dias/1822/04/08/pdfs/GMD-1822-100.pdf#page=4","Abrir facsímil")</f>
        <v>Abrir facsímil</v>
      </c>
      <c r="K8180" s="3" t="s">
        <v>47</v>
      </c>
    </row>
    <row r="8181" spans="1:11" ht="42" customHeight="1">
      <c r="A8181" s="2" t="s">
        <v>15842</v>
      </c>
      <c r="B8181" s="2" t="s">
        <v>15843</v>
      </c>
      <c r="C8181" s="2" t="s">
        <v>28</v>
      </c>
      <c r="D8181" s="2" t="s">
        <v>29</v>
      </c>
      <c r="E8181" s="5">
        <v>-28367</v>
      </c>
      <c r="F8181" s="3" t="s">
        <v>280</v>
      </c>
      <c r="G8181" s="3" t="s">
        <v>63</v>
      </c>
      <c r="H8181" s="2" t="s">
        <v>45</v>
      </c>
      <c r="I8181" s="2" t="s">
        <v>15847</v>
      </c>
      <c r="J8181" s="3" t="str">
        <f>HYPERLINK("https://www.boe.es/gazeta/dias/1822/05/01/pdfs/GMD-1822-123.pdf#page=6","Abrir facsímil")</f>
        <v>Abrir facsímil</v>
      </c>
      <c r="K8181" s="3" t="s">
        <v>47</v>
      </c>
    </row>
    <row r="8182" spans="1:11" ht="42" customHeight="1">
      <c r="A8182" s="2" t="s">
        <v>15842</v>
      </c>
      <c r="B8182" s="2" t="s">
        <v>15843</v>
      </c>
      <c r="C8182" s="2" t="s">
        <v>16</v>
      </c>
      <c r="D8182" s="2" t="s">
        <v>17</v>
      </c>
      <c r="E8182" s="5">
        <v>-28330</v>
      </c>
      <c r="F8182" s="3" t="s">
        <v>896</v>
      </c>
      <c r="G8182" s="3" t="s">
        <v>57</v>
      </c>
      <c r="H8182" s="2" t="s">
        <v>45</v>
      </c>
      <c r="I8182" s="2" t="s">
        <v>15848</v>
      </c>
      <c r="J8182" s="3" t="str">
        <f>HYPERLINK("https://www.boe.es/gazeta/dias/1822/06/07/pdfs/GMD-1822-164.pdf#page=4","Abrir facsímil")</f>
        <v>Abrir facsímil</v>
      </c>
      <c r="K8182" s="3" t="s">
        <v>47</v>
      </c>
    </row>
    <row r="8183" spans="1:11" ht="42" customHeight="1">
      <c r="A8183" s="2" t="s">
        <v>15842</v>
      </c>
      <c r="B8183" s="2" t="s">
        <v>15843</v>
      </c>
      <c r="C8183" s="2" t="s">
        <v>61</v>
      </c>
      <c r="D8183" s="2" t="s">
        <v>17</v>
      </c>
      <c r="E8183" s="5">
        <v>-28327</v>
      </c>
      <c r="F8183" s="3" t="s">
        <v>38</v>
      </c>
      <c r="G8183" s="3" t="s">
        <v>63</v>
      </c>
      <c r="H8183" s="2" t="s">
        <v>45</v>
      </c>
      <c r="I8183" s="2" t="s">
        <v>15849</v>
      </c>
      <c r="J8183" s="3" t="str">
        <f>HYPERLINK("https://www.boe.es/gazeta/dias/1822/06/10/pdfs/GMD-1822-167.pdf#page=6","Abrir facsímil")</f>
        <v>Abrir facsímil</v>
      </c>
      <c r="K8183" s="3" t="s">
        <v>47</v>
      </c>
    </row>
    <row r="8184" spans="1:11" ht="42" customHeight="1">
      <c r="A8184" s="2" t="s">
        <v>15842</v>
      </c>
      <c r="B8184" s="2" t="s">
        <v>15843</v>
      </c>
      <c r="C8184" s="2" t="s">
        <v>61</v>
      </c>
      <c r="D8184" s="2" t="s">
        <v>17</v>
      </c>
      <c r="E8184" s="5">
        <v>-28289</v>
      </c>
      <c r="F8184" s="3" t="s">
        <v>390</v>
      </c>
      <c r="G8184" s="3" t="s">
        <v>57</v>
      </c>
      <c r="H8184" s="2" t="s">
        <v>45</v>
      </c>
      <c r="I8184" s="2" t="s">
        <v>15850</v>
      </c>
      <c r="J8184" s="3" t="str">
        <f>HYPERLINK("https://www.boe.es/gazeta/dias/1822/07/18/pdfs/GMD-1822-209.pdf#page=4","Abrir facsímil")</f>
        <v>Abrir facsímil</v>
      </c>
      <c r="K8184" s="3" t="s">
        <v>47</v>
      </c>
    </row>
    <row r="8185" spans="1:11" ht="42" customHeight="1">
      <c r="A8185" s="2" t="s">
        <v>15851</v>
      </c>
      <c r="B8185" s="2" t="s">
        <v>15852</v>
      </c>
      <c r="C8185" s="2" t="s">
        <v>50</v>
      </c>
      <c r="D8185" s="2" t="s">
        <v>51</v>
      </c>
      <c r="E8185" s="5">
        <v>-28161</v>
      </c>
      <c r="F8185" s="3" t="s">
        <v>166</v>
      </c>
      <c r="G8185" s="3" t="s">
        <v>157</v>
      </c>
      <c r="H8185" s="2" t="s">
        <v>45</v>
      </c>
      <c r="I8185" s="2" t="s">
        <v>15853</v>
      </c>
      <c r="J8185" s="3" t="str">
        <f>HYPERLINK("https://www.boe.es/gazeta/dias/1822/11/23/pdfs/GMD-1822-343.pdf#page=8","Abrir facsímil")</f>
        <v>Abrir facsímil</v>
      </c>
      <c r="K8185" s="3" t="s">
        <v>47</v>
      </c>
    </row>
    <row r="8186" spans="1:11" ht="42" customHeight="1">
      <c r="A8186" s="2" t="s">
        <v>15854</v>
      </c>
      <c r="B8186" s="2" t="s">
        <v>15855</v>
      </c>
      <c r="C8186" s="2" t="s">
        <v>42</v>
      </c>
      <c r="D8186" s="2" t="s">
        <v>17</v>
      </c>
      <c r="E8186" s="5">
        <v>-28284</v>
      </c>
      <c r="F8186" s="3" t="s">
        <v>6484</v>
      </c>
      <c r="G8186" s="3" t="s">
        <v>57</v>
      </c>
      <c r="H8186" s="2" t="s">
        <v>45</v>
      </c>
      <c r="I8186" s="2" t="s">
        <v>15856</v>
      </c>
      <c r="J8186" s="3" t="str">
        <f>HYPERLINK("https://www.boe.es/gazeta/dias/1822/07/23/pdfs/GMD-1822-216.pdf#page=4","Abrir facsímil")</f>
        <v>Abrir facsímil</v>
      </c>
      <c r="K8186" s="3" t="s">
        <v>47</v>
      </c>
    </row>
    <row r="8187" spans="1:11" ht="42" customHeight="1">
      <c r="A8187" s="2" t="s">
        <v>15857</v>
      </c>
      <c r="B8187" s="2" t="s">
        <v>15858</v>
      </c>
      <c r="C8187" s="2" t="s">
        <v>50</v>
      </c>
      <c r="D8187" s="2" t="s">
        <v>51</v>
      </c>
      <c r="E8187" s="5">
        <v>-28214</v>
      </c>
      <c r="F8187" s="3" t="s">
        <v>814</v>
      </c>
      <c r="G8187" s="3" t="s">
        <v>57</v>
      </c>
      <c r="H8187" s="2" t="s">
        <v>45</v>
      </c>
      <c r="I8187" s="2" t="s">
        <v>15859</v>
      </c>
      <c r="J8187" s="3" t="str">
        <f>HYPERLINK("https://www.boe.es/gazeta/dias/1822/10/01/pdfs/GMD-1822-287.pdf#page=4","Abrir facsímil")</f>
        <v>Abrir facsímil</v>
      </c>
      <c r="K8187" s="3" t="s">
        <v>47</v>
      </c>
    </row>
    <row r="8188" spans="1:11" ht="42" customHeight="1">
      <c r="A8188" s="2" t="s">
        <v>15860</v>
      </c>
      <c r="B8188" s="2" t="s">
        <v>15861</v>
      </c>
      <c r="C8188" s="2" t="s">
        <v>50</v>
      </c>
      <c r="D8188" s="2" t="s">
        <v>51</v>
      </c>
      <c r="E8188" s="5">
        <v>-28428</v>
      </c>
      <c r="F8188" s="3" t="s">
        <v>1924</v>
      </c>
      <c r="G8188" s="3" t="s">
        <v>57</v>
      </c>
      <c r="H8188" s="2" t="s">
        <v>20</v>
      </c>
      <c r="I8188" s="2" t="s">
        <v>15862</v>
      </c>
      <c r="J8188" s="3" t="str">
        <f>HYPERLINK("https://www.boe.es/gazeta/dias/1822/03/01/pdfs/GMD-1822-61.pdf#page=4","Abrir facsímil")</f>
        <v>Abrir facsímil</v>
      </c>
      <c r="K8188" s="3" t="s">
        <v>22</v>
      </c>
    </row>
    <row r="8189" spans="1:11" ht="42" customHeight="1">
      <c r="A8189" s="2" t="s">
        <v>15860</v>
      </c>
      <c r="B8189" s="2" t="s">
        <v>15861</v>
      </c>
      <c r="C8189" s="2" t="s">
        <v>42</v>
      </c>
      <c r="D8189" s="2" t="s">
        <v>17</v>
      </c>
      <c r="E8189" s="5">
        <v>-28392</v>
      </c>
      <c r="F8189" s="3" t="s">
        <v>2003</v>
      </c>
      <c r="G8189" s="3" t="s">
        <v>57</v>
      </c>
      <c r="H8189" s="2" t="s">
        <v>20</v>
      </c>
      <c r="I8189" s="2" t="s">
        <v>15863</v>
      </c>
      <c r="J8189" s="3" t="str">
        <f>HYPERLINK("https://www.boe.es/gazeta/dias/1822/04/06/pdfs/GMD-1822-98.pdf#page=4","Abrir facsímil")</f>
        <v>Abrir facsímil</v>
      </c>
      <c r="K8189" s="3" t="s">
        <v>22</v>
      </c>
    </row>
    <row r="8190" spans="1:11" ht="42" customHeight="1">
      <c r="A8190" s="2" t="s">
        <v>15864</v>
      </c>
      <c r="B8190" s="2" t="s">
        <v>15864</v>
      </c>
      <c r="C8190" s="2" t="s">
        <v>71</v>
      </c>
      <c r="D8190" s="2" t="s">
        <v>17</v>
      </c>
      <c r="E8190" s="5">
        <v>-28130</v>
      </c>
      <c r="F8190" s="3" t="s">
        <v>34</v>
      </c>
      <c r="G8190" s="3" t="s">
        <v>35</v>
      </c>
      <c r="H8190" s="2" t="s">
        <v>20</v>
      </c>
      <c r="I8190" s="2" t="s">
        <v>15865</v>
      </c>
      <c r="J8190" s="3" t="str">
        <f>HYPERLINK("https://www.boe.es/gazeta/dias/1822/12/24/pdfs/GMD-1822-374.pdf#page=2","Abrir facsímil")</f>
        <v>Abrir facsímil</v>
      </c>
      <c r="K8190" s="3" t="s">
        <v>22</v>
      </c>
    </row>
    <row r="8191" spans="1:11" ht="42" customHeight="1">
      <c r="A8191" s="2" t="s">
        <v>15866</v>
      </c>
      <c r="B8191" s="2" t="s">
        <v>15867</v>
      </c>
      <c r="C8191" s="2" t="s">
        <v>71</v>
      </c>
      <c r="D8191" s="2" t="s">
        <v>17</v>
      </c>
      <c r="E8191" s="5">
        <v>-28384</v>
      </c>
      <c r="F8191" s="3" t="s">
        <v>258</v>
      </c>
      <c r="G8191" s="3" t="s">
        <v>63</v>
      </c>
      <c r="H8191" s="2" t="s">
        <v>20</v>
      </c>
      <c r="I8191" s="2" t="s">
        <v>15868</v>
      </c>
      <c r="J8191" s="3" t="str">
        <f>HYPERLINK("https://www.boe.es/gazeta/dias/1822/04/14/pdfs/GMD-1822-106.pdf#page=6","Abrir facsímil")</f>
        <v>Abrir facsímil</v>
      </c>
      <c r="K8191" s="3" t="s">
        <v>22</v>
      </c>
    </row>
    <row r="8192" spans="1:11" ht="42" customHeight="1">
      <c r="A8192" s="2" t="s">
        <v>15869</v>
      </c>
      <c r="B8192" s="2" t="s">
        <v>15870</v>
      </c>
      <c r="C8192" s="2" t="s">
        <v>61</v>
      </c>
      <c r="D8192" s="2" t="s">
        <v>17</v>
      </c>
      <c r="E8192" s="5">
        <v>-28317</v>
      </c>
      <c r="F8192" s="3" t="s">
        <v>546</v>
      </c>
      <c r="G8192" s="3" t="s">
        <v>157</v>
      </c>
      <c r="H8192" s="2" t="s">
        <v>20</v>
      </c>
      <c r="I8192" s="2" t="s">
        <v>15871</v>
      </c>
      <c r="J8192" s="3" t="str">
        <f>HYPERLINK("https://www.boe.es/gazeta/dias/1822/06/20/pdfs/GMD-1822-177.pdf#page=8","Abrir facsímil")</f>
        <v>Abrir facsímil</v>
      </c>
      <c r="K8192" s="3" t="s">
        <v>22</v>
      </c>
    </row>
    <row r="8193" spans="1:11" ht="42" customHeight="1">
      <c r="A8193" s="2" t="s">
        <v>15872</v>
      </c>
      <c r="B8193" s="2" t="s">
        <v>15872</v>
      </c>
      <c r="C8193" s="2" t="s">
        <v>50</v>
      </c>
      <c r="D8193" s="2" t="s">
        <v>51</v>
      </c>
      <c r="E8193" s="5">
        <v>-28294</v>
      </c>
      <c r="F8193" s="3" t="s">
        <v>2298</v>
      </c>
      <c r="G8193" s="3" t="s">
        <v>35</v>
      </c>
      <c r="H8193" s="2" t="s">
        <v>20</v>
      </c>
      <c r="I8193" s="2" t="s">
        <v>15873</v>
      </c>
      <c r="J8193" s="3" t="str">
        <f>HYPERLINK("https://www.boe.es/gazeta/dias/1822/07/13/pdfs/GMD-1822-203.pdf#page=2","Abrir facsímil")</f>
        <v>Abrir facsímil</v>
      </c>
      <c r="K8193" s="3" t="s">
        <v>22</v>
      </c>
    </row>
    <row r="8194" spans="1:11" ht="42" customHeight="1">
      <c r="A8194" s="2" t="s">
        <v>15874</v>
      </c>
      <c r="B8194" s="2" t="s">
        <v>15874</v>
      </c>
      <c r="C8194" s="2" t="s">
        <v>42</v>
      </c>
      <c r="D8194" s="2" t="s">
        <v>17</v>
      </c>
      <c r="E8194" s="5">
        <v>-28250</v>
      </c>
      <c r="F8194" s="3" t="s">
        <v>1174</v>
      </c>
      <c r="G8194" s="3" t="s">
        <v>31</v>
      </c>
      <c r="H8194" s="2" t="s">
        <v>20</v>
      </c>
      <c r="I8194" s="2" t="s">
        <v>15875</v>
      </c>
      <c r="J8194" s="3" t="str">
        <f>HYPERLINK("https://www.boe.es/gazeta/dias/1822/08/26/pdfs/GMD-1822-250.pdf#page=3","Abrir facsímil")</f>
        <v>Abrir facsímil</v>
      </c>
      <c r="K8194" s="3" t="s">
        <v>22</v>
      </c>
    </row>
    <row r="8195" spans="1:11" ht="42" customHeight="1">
      <c r="A8195" s="2" t="s">
        <v>15876</v>
      </c>
      <c r="B8195" s="2" t="s">
        <v>15876</v>
      </c>
      <c r="C8195" s="2" t="s">
        <v>71</v>
      </c>
      <c r="D8195" s="2" t="s">
        <v>17</v>
      </c>
      <c r="E8195" s="5">
        <v>-28250</v>
      </c>
      <c r="F8195" s="3" t="s">
        <v>1174</v>
      </c>
      <c r="G8195" s="3" t="s">
        <v>44</v>
      </c>
      <c r="H8195" s="2" t="s">
        <v>20</v>
      </c>
      <c r="I8195" s="2" t="s">
        <v>15877</v>
      </c>
      <c r="J8195" s="3" t="str">
        <f>HYPERLINK("https://www.boe.es/gazeta/dias/1822/08/26/pdfs/GMD-1822-250.pdf#page=1","Abrir facsímil")</f>
        <v>Abrir facsímil</v>
      </c>
      <c r="K8195" s="3" t="s">
        <v>22</v>
      </c>
    </row>
    <row r="8196" spans="1:11" ht="42" customHeight="1">
      <c r="A8196" s="2" t="s">
        <v>15878</v>
      </c>
      <c r="B8196" s="2" t="s">
        <v>15878</v>
      </c>
      <c r="C8196" s="2" t="s">
        <v>28</v>
      </c>
      <c r="D8196" s="2" t="s">
        <v>29</v>
      </c>
      <c r="E8196" s="5">
        <v>-28243</v>
      </c>
      <c r="F8196" s="3" t="s">
        <v>1829</v>
      </c>
      <c r="G8196" s="3" t="s">
        <v>35</v>
      </c>
      <c r="H8196" s="2" t="s">
        <v>20</v>
      </c>
      <c r="I8196" s="2" t="s">
        <v>15879</v>
      </c>
      <c r="J8196" s="3" t="str">
        <f>HYPERLINK("https://www.boe.es/gazeta/dias/1822/09/02/pdfs/GMD-1822-257.pdf#page=2","Abrir facsímil")</f>
        <v>Abrir facsímil</v>
      </c>
      <c r="K8196" s="3" t="s">
        <v>22</v>
      </c>
    </row>
    <row r="8197" spans="1:11" ht="42" customHeight="1">
      <c r="A8197" s="2" t="s">
        <v>15878</v>
      </c>
      <c r="B8197" s="2" t="s">
        <v>15878</v>
      </c>
      <c r="C8197" s="2" t="s">
        <v>50</v>
      </c>
      <c r="D8197" s="2" t="s">
        <v>51</v>
      </c>
      <c r="E8197" s="5">
        <v>-28212</v>
      </c>
      <c r="F8197" s="3" t="s">
        <v>560</v>
      </c>
      <c r="G8197" s="3" t="s">
        <v>44</v>
      </c>
      <c r="H8197" s="2" t="s">
        <v>20</v>
      </c>
      <c r="I8197" s="2" t="s">
        <v>15880</v>
      </c>
      <c r="J8197" s="3" t="str">
        <f>HYPERLINK("https://www.boe.es/gazeta/dias/1822/10/03/pdfs/GMD-1822-289.pdf#page=1","Abrir facsímil")</f>
        <v>Abrir facsímil</v>
      </c>
      <c r="K8197" s="3" t="s">
        <v>22</v>
      </c>
    </row>
    <row r="8198" spans="1:11" ht="42" customHeight="1">
      <c r="A8198" s="2" t="s">
        <v>15881</v>
      </c>
      <c r="B8198" s="2" t="s">
        <v>15881</v>
      </c>
      <c r="C8198" s="2" t="s">
        <v>28</v>
      </c>
      <c r="D8198" s="2" t="s">
        <v>29</v>
      </c>
      <c r="E8198" s="5">
        <v>-28189</v>
      </c>
      <c r="F8198" s="3" t="s">
        <v>645</v>
      </c>
      <c r="G8198" s="3" t="s">
        <v>63</v>
      </c>
      <c r="H8198" s="2" t="s">
        <v>20</v>
      </c>
      <c r="I8198" s="2" t="s">
        <v>15882</v>
      </c>
      <c r="J8198" s="3" t="str">
        <f>HYPERLINK("https://www.boe.es/gazeta/dias/1822/10/26/pdfs/GMD-1822-313.pdf#page=6","Abrir facsímil")</f>
        <v>Abrir facsímil</v>
      </c>
      <c r="K8198" s="3" t="s">
        <v>22</v>
      </c>
    </row>
    <row r="8199" spans="1:11" ht="42" customHeight="1">
      <c r="A8199" s="2" t="s">
        <v>15881</v>
      </c>
      <c r="B8199" s="2" t="s">
        <v>15881</v>
      </c>
      <c r="C8199" s="2" t="s">
        <v>42</v>
      </c>
      <c r="D8199" s="2" t="s">
        <v>17</v>
      </c>
      <c r="E8199" s="5">
        <v>-28133</v>
      </c>
      <c r="F8199" s="3" t="s">
        <v>595</v>
      </c>
      <c r="G8199" s="3" t="s">
        <v>44</v>
      </c>
      <c r="H8199" s="2" t="s">
        <v>20</v>
      </c>
      <c r="I8199" s="2" t="s">
        <v>15883</v>
      </c>
      <c r="J8199" s="3" t="str">
        <f>HYPERLINK("https://www.boe.es/gazeta/dias/1822/12/21/pdfs/GMD-1822-371.pdf#page=1","Abrir facsímil")</f>
        <v>Abrir facsímil</v>
      </c>
      <c r="K8199" s="3" t="s">
        <v>22</v>
      </c>
    </row>
    <row r="8200" spans="1:11" ht="42" customHeight="1">
      <c r="A8200" s="2" t="s">
        <v>15884</v>
      </c>
      <c r="B8200" s="2" t="s">
        <v>15884</v>
      </c>
      <c r="C8200" s="2" t="s">
        <v>42</v>
      </c>
      <c r="D8200" s="2" t="s">
        <v>17</v>
      </c>
      <c r="E8200" s="5">
        <v>-28434</v>
      </c>
      <c r="F8200" s="3" t="s">
        <v>433</v>
      </c>
      <c r="G8200" s="3" t="s">
        <v>44</v>
      </c>
      <c r="H8200" s="2" t="s">
        <v>20</v>
      </c>
      <c r="I8200" s="2" t="s">
        <v>15885</v>
      </c>
      <c r="J8200" s="3" t="str">
        <f>HYPERLINK("https://www.boe.es/gazeta/dias/1822/02/23/pdfs/GMD-1822-55.pdf#page=1","Abrir facsímil")</f>
        <v>Abrir facsímil</v>
      </c>
      <c r="K8200" s="3" t="s">
        <v>22</v>
      </c>
    </row>
    <row r="8201" spans="1:11" ht="42" customHeight="1">
      <c r="A8201" s="2" t="s">
        <v>15884</v>
      </c>
      <c r="B8201" s="2" t="s">
        <v>15884</v>
      </c>
      <c r="C8201" s="2" t="s">
        <v>50</v>
      </c>
      <c r="D8201" s="2" t="s">
        <v>51</v>
      </c>
      <c r="E8201" s="5">
        <v>-28135</v>
      </c>
      <c r="F8201" s="3" t="s">
        <v>1030</v>
      </c>
      <c r="G8201" s="3" t="s">
        <v>57</v>
      </c>
      <c r="H8201" s="2" t="s">
        <v>20</v>
      </c>
      <c r="I8201" s="2" t="s">
        <v>15886</v>
      </c>
      <c r="J8201" s="3" t="str">
        <f>HYPERLINK("https://www.boe.es/gazeta/dias/1822/12/19/pdfs/GMD-1822-369.pdf#page=4","Abrir facsímil")</f>
        <v>Abrir facsímil</v>
      </c>
      <c r="K8201" s="3" t="s">
        <v>22</v>
      </c>
    </row>
    <row r="8202" spans="1:11" ht="42" customHeight="1">
      <c r="A8202" s="2" t="s">
        <v>15887</v>
      </c>
      <c r="B8202" s="2" t="s">
        <v>15887</v>
      </c>
      <c r="C8202" s="2" t="s">
        <v>50</v>
      </c>
      <c r="D8202" s="2" t="s">
        <v>51</v>
      </c>
      <c r="E8202" s="5">
        <v>-28124</v>
      </c>
      <c r="F8202" s="3" t="s">
        <v>301</v>
      </c>
      <c r="G8202" s="3" t="s">
        <v>44</v>
      </c>
      <c r="H8202" s="2" t="s">
        <v>20</v>
      </c>
      <c r="I8202" s="2" t="s">
        <v>15888</v>
      </c>
      <c r="J8202" s="3" t="str">
        <f>HYPERLINK("https://www.boe.es/gazeta/dias/1822/12/30/pdfs/GMD-1822-380.pdf#page=1","Abrir facsímil")</f>
        <v>Abrir facsímil</v>
      </c>
      <c r="K8202" s="3" t="s">
        <v>22</v>
      </c>
    </row>
    <row r="8203" spans="1:11" ht="42" customHeight="1">
      <c r="A8203" s="2" t="s">
        <v>15889</v>
      </c>
      <c r="B8203" s="2" t="s">
        <v>15889</v>
      </c>
      <c r="C8203" s="2" t="s">
        <v>42</v>
      </c>
      <c r="D8203" s="2" t="s">
        <v>17</v>
      </c>
      <c r="E8203" s="5">
        <v>-28242</v>
      </c>
      <c r="F8203" s="3" t="s">
        <v>831</v>
      </c>
      <c r="G8203" s="3" t="s">
        <v>44</v>
      </c>
      <c r="H8203" s="2" t="s">
        <v>20</v>
      </c>
      <c r="I8203" s="2" t="s">
        <v>15890</v>
      </c>
      <c r="J8203" s="3" t="str">
        <f>HYPERLINK("https://www.boe.es/gazeta/dias/1822/09/03/pdfs/GMD-1822-258.pdf#page=1","Abrir facsímil")</f>
        <v>Abrir facsímil</v>
      </c>
      <c r="K8203" s="3" t="s">
        <v>22</v>
      </c>
    </row>
    <row r="8204" spans="1:11" ht="42" customHeight="1">
      <c r="A8204" s="2" t="s">
        <v>15891</v>
      </c>
      <c r="B8204" s="2" t="s">
        <v>15891</v>
      </c>
      <c r="C8204" s="2" t="s">
        <v>16</v>
      </c>
      <c r="D8204" s="2" t="s">
        <v>17</v>
      </c>
      <c r="E8204" s="5">
        <v>-28362</v>
      </c>
      <c r="F8204" s="3" t="s">
        <v>511</v>
      </c>
      <c r="G8204" s="3" t="s">
        <v>31</v>
      </c>
      <c r="H8204" s="2" t="s">
        <v>20</v>
      </c>
      <c r="I8204" s="2" t="s">
        <v>15892</v>
      </c>
      <c r="J8204" s="3" t="str">
        <f>HYPERLINK("https://www.boe.es/gazeta/dias/1822/05/06/pdfs/GMD-1822-128.pdf#page=3","Abrir facsímil")</f>
        <v>Abrir facsímil</v>
      </c>
      <c r="K8204" s="3" t="s">
        <v>22</v>
      </c>
    </row>
    <row r="8205" spans="1:11" ht="42" customHeight="1">
      <c r="A8205" s="2" t="s">
        <v>15893</v>
      </c>
      <c r="B8205" s="2" t="s">
        <v>15894</v>
      </c>
      <c r="C8205" s="2" t="s">
        <v>362</v>
      </c>
      <c r="D8205" s="2" t="s">
        <v>17</v>
      </c>
      <c r="E8205" s="5">
        <v>-28304</v>
      </c>
      <c r="F8205" s="3" t="s">
        <v>4502</v>
      </c>
      <c r="G8205" s="3" t="s">
        <v>57</v>
      </c>
      <c r="H8205" s="2" t="s">
        <v>20</v>
      </c>
      <c r="I8205" s="2" t="s">
        <v>15895</v>
      </c>
      <c r="J8205" s="3" t="str">
        <f>HYPERLINK("https://www.boe.es/gazeta/dias/1822/07/03/pdfs/GMD-1822-192.pdf#page=4","Abrir facsímil")</f>
        <v>Abrir facsímil</v>
      </c>
      <c r="K8205" s="3" t="s">
        <v>22</v>
      </c>
    </row>
    <row r="8206" spans="1:11" ht="42" customHeight="1">
      <c r="A8206" s="2" t="s">
        <v>15896</v>
      </c>
      <c r="B8206" s="2" t="s">
        <v>15897</v>
      </c>
      <c r="C8206" s="2" t="s">
        <v>50</v>
      </c>
      <c r="D8206" s="2" t="s">
        <v>51</v>
      </c>
      <c r="E8206" s="5">
        <v>-28403</v>
      </c>
      <c r="F8206" s="3" t="s">
        <v>471</v>
      </c>
      <c r="G8206" s="3" t="s">
        <v>63</v>
      </c>
      <c r="H8206" s="2" t="s">
        <v>20</v>
      </c>
      <c r="I8206" s="2" t="s">
        <v>15898</v>
      </c>
      <c r="J8206" s="3" t="str">
        <f>HYPERLINK("https://www.boe.es/gazeta/dias/1822/03/26/pdfs/GMD-1822-87.pdf#page=6","Abrir facsímil")</f>
        <v>Abrir facsímil</v>
      </c>
      <c r="K8206" s="3" t="s">
        <v>22</v>
      </c>
    </row>
    <row r="8207" spans="1:11" ht="42" customHeight="1">
      <c r="A8207" s="2" t="s">
        <v>15899</v>
      </c>
      <c r="B8207" s="2" t="s">
        <v>15899</v>
      </c>
      <c r="C8207" s="2" t="s">
        <v>50</v>
      </c>
      <c r="D8207" s="2" t="s">
        <v>51</v>
      </c>
      <c r="E8207" s="5">
        <v>-28402</v>
      </c>
      <c r="F8207" s="3" t="s">
        <v>473</v>
      </c>
      <c r="G8207" s="3" t="s">
        <v>19</v>
      </c>
      <c r="H8207" s="2" t="s">
        <v>20</v>
      </c>
      <c r="I8207" s="2" t="s">
        <v>15900</v>
      </c>
      <c r="J8207" s="3" t="str">
        <f>HYPERLINK("https://www.boe.es/gazeta/dias/1822/03/27/pdfs/GMD-1822-88.pdf#page=5","Abrir facsímil")</f>
        <v>Abrir facsímil</v>
      </c>
      <c r="K8207" s="3" t="s">
        <v>22</v>
      </c>
    </row>
    <row r="8208" spans="1:11" ht="42" customHeight="1">
      <c r="A8208" s="2" t="s">
        <v>15899</v>
      </c>
      <c r="B8208" s="2" t="s">
        <v>15899</v>
      </c>
      <c r="C8208" s="2" t="s">
        <v>50</v>
      </c>
      <c r="D8208" s="2" t="s">
        <v>51</v>
      </c>
      <c r="E8208" s="5">
        <v>-28291</v>
      </c>
      <c r="F8208" s="3" t="s">
        <v>363</v>
      </c>
      <c r="G8208" s="3" t="s">
        <v>44</v>
      </c>
      <c r="H8208" s="2" t="s">
        <v>20</v>
      </c>
      <c r="I8208" s="2" t="s">
        <v>15901</v>
      </c>
      <c r="J8208" s="3" t="str">
        <f>HYPERLINK("https://www.boe.es/gazeta/dias/1822/07/16/pdfs/GMD-1822-206.pdf#page=1","Abrir facsímil")</f>
        <v>Abrir facsímil</v>
      </c>
      <c r="K8208" s="3" t="s">
        <v>22</v>
      </c>
    </row>
    <row r="8209" spans="1:11" ht="42" customHeight="1">
      <c r="A8209" s="2" t="s">
        <v>15899</v>
      </c>
      <c r="B8209" s="2" t="s">
        <v>15899</v>
      </c>
      <c r="C8209" s="2" t="s">
        <v>50</v>
      </c>
      <c r="D8209" s="2" t="s">
        <v>51</v>
      </c>
      <c r="E8209" s="5">
        <v>-28127</v>
      </c>
      <c r="F8209" s="3" t="s">
        <v>409</v>
      </c>
      <c r="G8209" s="3" t="s">
        <v>5790</v>
      </c>
      <c r="H8209" s="2" t="s">
        <v>20</v>
      </c>
      <c r="I8209" s="2" t="s">
        <v>15902</v>
      </c>
      <c r="J8209" s="3" t="str">
        <f>HYPERLINK("https://www.boe.es/gazeta/dias/1822/12/27/pdfs/GMD-1822-377.pdf#page=6","Abrir facsímil")</f>
        <v>Abrir facsímil</v>
      </c>
      <c r="K8209" s="3" t="s">
        <v>22</v>
      </c>
    </row>
    <row r="8210" spans="1:11" ht="42" customHeight="1">
      <c r="A8210" s="2" t="s">
        <v>15903</v>
      </c>
      <c r="B8210" s="2" t="s">
        <v>15904</v>
      </c>
      <c r="C8210" s="2" t="s">
        <v>71</v>
      </c>
      <c r="D8210" s="2" t="s">
        <v>17</v>
      </c>
      <c r="E8210" s="5">
        <v>-28455</v>
      </c>
      <c r="F8210" s="3" t="s">
        <v>1107</v>
      </c>
      <c r="G8210" s="3" t="s">
        <v>19</v>
      </c>
      <c r="H8210" s="2" t="s">
        <v>20</v>
      </c>
      <c r="I8210" s="2" t="s">
        <v>15905</v>
      </c>
      <c r="J8210" s="3" t="str">
        <f>HYPERLINK("https://www.boe.es/gazeta/dias/1822/02/02/pdfs/GMD-1822-33.pdf#page=5","Abrir facsímil")</f>
        <v>Abrir facsímil</v>
      </c>
      <c r="K8210" s="3" t="s">
        <v>22</v>
      </c>
    </row>
    <row r="8211" spans="1:11" ht="42" customHeight="1">
      <c r="A8211" s="2" t="s">
        <v>15906</v>
      </c>
      <c r="B8211" s="2" t="s">
        <v>15907</v>
      </c>
      <c r="C8211" s="2" t="s">
        <v>50</v>
      </c>
      <c r="D8211" s="2" t="s">
        <v>51</v>
      </c>
      <c r="E8211" s="5">
        <v>-28337</v>
      </c>
      <c r="F8211" s="3" t="s">
        <v>1836</v>
      </c>
      <c r="G8211" s="3" t="s">
        <v>31</v>
      </c>
      <c r="H8211" s="2" t="s">
        <v>20</v>
      </c>
      <c r="I8211" s="2" t="s">
        <v>15908</v>
      </c>
      <c r="J8211" s="3" t="str">
        <f>HYPERLINK("https://www.boe.es/gazeta/dias/1822/05/31/pdfs/GMD-1822-156.pdf#page=3","Abrir facsímil")</f>
        <v>Abrir facsímil</v>
      </c>
      <c r="K8211" s="3" t="s">
        <v>22</v>
      </c>
    </row>
    <row r="8212" spans="1:11" ht="42" customHeight="1">
      <c r="A8212" s="2" t="s">
        <v>15909</v>
      </c>
      <c r="B8212" s="2" t="s">
        <v>15910</v>
      </c>
      <c r="C8212" s="2" t="s">
        <v>50</v>
      </c>
      <c r="D8212" s="2" t="s">
        <v>51</v>
      </c>
      <c r="E8212" s="5">
        <v>-28478</v>
      </c>
      <c r="F8212" s="3" t="s">
        <v>1093</v>
      </c>
      <c r="G8212" s="3" t="s">
        <v>44</v>
      </c>
      <c r="H8212" s="2" t="s">
        <v>20</v>
      </c>
      <c r="I8212" s="2" t="s">
        <v>15911</v>
      </c>
      <c r="J8212" s="3" t="str">
        <f>HYPERLINK("https://www.boe.es/gazeta/dias/1822/01/10/pdfs/GMD-1822-10.pdf#page=1","Abrir facsímil")</f>
        <v>Abrir facsímil</v>
      </c>
      <c r="K8212" s="3" t="s">
        <v>22</v>
      </c>
    </row>
    <row r="8213" spans="1:11" ht="42" customHeight="1">
      <c r="A8213" s="2" t="s">
        <v>15909</v>
      </c>
      <c r="B8213" s="2" t="s">
        <v>15910</v>
      </c>
      <c r="C8213" s="2" t="s">
        <v>24</v>
      </c>
      <c r="D8213" s="2" t="s">
        <v>17</v>
      </c>
      <c r="E8213" s="5">
        <v>-28195</v>
      </c>
      <c r="F8213" s="3" t="s">
        <v>770</v>
      </c>
      <c r="G8213" s="3" t="s">
        <v>63</v>
      </c>
      <c r="H8213" s="2" t="s">
        <v>20</v>
      </c>
      <c r="I8213" s="2" t="s">
        <v>15912</v>
      </c>
      <c r="J8213" s="3" t="str">
        <f>HYPERLINK("https://www.boe.es/gazeta/dias/1822/10/20/pdfs/GMD-1822-307.pdf#page=6","Abrir facsímil")</f>
        <v>Abrir facsímil</v>
      </c>
      <c r="K8213" s="3" t="s">
        <v>22</v>
      </c>
    </row>
    <row r="8214" spans="1:11" ht="42" customHeight="1">
      <c r="A8214" s="2" t="s">
        <v>15909</v>
      </c>
      <c r="B8214" s="2" t="s">
        <v>15910</v>
      </c>
      <c r="C8214" s="2" t="s">
        <v>50</v>
      </c>
      <c r="D8214" s="2" t="s">
        <v>51</v>
      </c>
      <c r="E8214" s="5">
        <v>-28183</v>
      </c>
      <c r="F8214" s="3" t="s">
        <v>583</v>
      </c>
      <c r="G8214" s="3" t="s">
        <v>63</v>
      </c>
      <c r="H8214" s="2" t="s">
        <v>20</v>
      </c>
      <c r="I8214" s="2" t="s">
        <v>15913</v>
      </c>
      <c r="J8214" s="3" t="str">
        <f>HYPERLINK("https://www.boe.es/gazeta/dias/1822/11/01/pdfs/GMD-1822-319.pdf#page=6","Abrir facsímil")</f>
        <v>Abrir facsímil</v>
      </c>
      <c r="K8214" s="3" t="s">
        <v>22</v>
      </c>
    </row>
    <row r="8215" spans="1:11" ht="42" customHeight="1">
      <c r="A8215" s="2" t="s">
        <v>15914</v>
      </c>
      <c r="B8215" s="2" t="s">
        <v>15914</v>
      </c>
      <c r="C8215" s="2" t="s">
        <v>71</v>
      </c>
      <c r="D8215" s="2" t="s">
        <v>17</v>
      </c>
      <c r="E8215" s="5">
        <v>-28478</v>
      </c>
      <c r="F8215" s="3" t="s">
        <v>1093</v>
      </c>
      <c r="G8215" s="3" t="s">
        <v>35</v>
      </c>
      <c r="H8215" s="2" t="s">
        <v>20</v>
      </c>
      <c r="I8215" s="2" t="s">
        <v>15915</v>
      </c>
      <c r="J8215" s="3" t="str">
        <f>HYPERLINK("https://www.boe.es/gazeta/dias/1822/01/10/pdfs/GMD-1822-10.pdf#page=2","Abrir facsímil")</f>
        <v>Abrir facsímil</v>
      </c>
      <c r="K8215" s="3" t="s">
        <v>22</v>
      </c>
    </row>
    <row r="8216" spans="1:11" ht="42" customHeight="1">
      <c r="A8216" s="2" t="s">
        <v>15916</v>
      </c>
      <c r="B8216" s="2" t="s">
        <v>15916</v>
      </c>
      <c r="C8216" s="2" t="s">
        <v>50</v>
      </c>
      <c r="D8216" s="2" t="s">
        <v>51</v>
      </c>
      <c r="E8216" s="5">
        <v>-28443</v>
      </c>
      <c r="F8216" s="3" t="s">
        <v>668</v>
      </c>
      <c r="G8216" s="3" t="s">
        <v>31</v>
      </c>
      <c r="H8216" s="2" t="s">
        <v>20</v>
      </c>
      <c r="I8216" s="2" t="s">
        <v>15917</v>
      </c>
      <c r="J8216" s="3" t="str">
        <f>HYPERLINK("https://www.boe.es/gazeta/dias/1822/02/14/pdfs/GMD-1822-45.pdf#page=3","Abrir facsímil")</f>
        <v>Abrir facsímil</v>
      </c>
      <c r="K8216" s="3" t="s">
        <v>22</v>
      </c>
    </row>
    <row r="8217" spans="1:11" ht="42" customHeight="1">
      <c r="A8217" s="2" t="s">
        <v>15916</v>
      </c>
      <c r="B8217" s="2" t="s">
        <v>15916</v>
      </c>
      <c r="C8217" s="2" t="s">
        <v>61</v>
      </c>
      <c r="D8217" s="2" t="s">
        <v>17</v>
      </c>
      <c r="E8217" s="5">
        <v>-28443</v>
      </c>
      <c r="F8217" s="3" t="s">
        <v>668</v>
      </c>
      <c r="G8217" s="3" t="s">
        <v>57</v>
      </c>
      <c r="H8217" s="2" t="s">
        <v>20</v>
      </c>
      <c r="I8217" s="2" t="s">
        <v>15918</v>
      </c>
      <c r="J8217" s="3" t="str">
        <f>HYPERLINK("https://www.boe.es/gazeta/dias/1822/02/14/pdfs/GMD-1822-45.pdf#page=4","Abrir facsímil")</f>
        <v>Abrir facsímil</v>
      </c>
      <c r="K8217" s="3" t="s">
        <v>22</v>
      </c>
    </row>
    <row r="8218" spans="1:11" ht="42" customHeight="1">
      <c r="A8218" s="2" t="s">
        <v>15919</v>
      </c>
      <c r="B8218" s="2" t="s">
        <v>15920</v>
      </c>
      <c r="C8218" s="2" t="s">
        <v>71</v>
      </c>
      <c r="D8218" s="2" t="s">
        <v>17</v>
      </c>
      <c r="E8218" s="5">
        <v>-28339</v>
      </c>
      <c r="F8218" s="3" t="s">
        <v>197</v>
      </c>
      <c r="G8218" s="3" t="s">
        <v>35</v>
      </c>
      <c r="H8218" s="2" t="s">
        <v>45</v>
      </c>
      <c r="I8218" s="2" t="s">
        <v>15921</v>
      </c>
      <c r="J8218" s="3" t="str">
        <f>HYPERLINK("https://www.boe.es/gazeta/dias/1822/05/29/pdfs/GMD-1822-154.pdf#page=2","Abrir facsímil")</f>
        <v>Abrir facsímil</v>
      </c>
      <c r="K8218" s="3" t="s">
        <v>47</v>
      </c>
    </row>
    <row r="8219" spans="1:11" ht="42" customHeight="1">
      <c r="A8219" s="2" t="s">
        <v>15922</v>
      </c>
      <c r="B8219" s="2" t="s">
        <v>15923</v>
      </c>
      <c r="C8219" s="2" t="s">
        <v>50</v>
      </c>
      <c r="D8219" s="2" t="s">
        <v>51</v>
      </c>
      <c r="E8219" s="5">
        <v>-28303</v>
      </c>
      <c r="F8219" s="3" t="s">
        <v>201</v>
      </c>
      <c r="G8219" s="3" t="s">
        <v>31</v>
      </c>
      <c r="H8219" s="2" t="s">
        <v>20</v>
      </c>
      <c r="I8219" s="2" t="s">
        <v>15924</v>
      </c>
      <c r="J8219" s="3" t="str">
        <f>HYPERLINK("https://www.boe.es/gazeta/dias/1822/07/04/pdfs/GMD-1822-193.pdf#page=3","Abrir facsímil")</f>
        <v>Abrir facsímil</v>
      </c>
      <c r="K8219" s="3" t="s">
        <v>22</v>
      </c>
    </row>
    <row r="8220" spans="1:11" ht="42" customHeight="1">
      <c r="A8220" s="2" t="s">
        <v>15925</v>
      </c>
      <c r="B8220" s="2" t="s">
        <v>15925</v>
      </c>
      <c r="C8220" s="2" t="s">
        <v>71</v>
      </c>
      <c r="D8220" s="2" t="s">
        <v>17</v>
      </c>
      <c r="E8220" s="5">
        <v>-28486</v>
      </c>
      <c r="F8220" s="3" t="s">
        <v>1046</v>
      </c>
      <c r="G8220" s="3" t="s">
        <v>1085</v>
      </c>
      <c r="H8220" s="2" t="s">
        <v>20</v>
      </c>
      <c r="I8220" s="2" t="s">
        <v>15926</v>
      </c>
      <c r="J8220" s="3" t="str">
        <f>HYPERLINK("https://www.boe.es/gazeta/dias/1822/01/02/pdfs/GMD-1822-2.pdf#page=3","Abrir facsímil")</f>
        <v>Abrir facsímil</v>
      </c>
      <c r="K8220" s="3" t="s">
        <v>22</v>
      </c>
    </row>
    <row r="8221" spans="1:11" ht="42" customHeight="1">
      <c r="A8221" s="2" t="s">
        <v>15925</v>
      </c>
      <c r="B8221" s="2" t="s">
        <v>15925</v>
      </c>
      <c r="C8221" s="2" t="s">
        <v>16</v>
      </c>
      <c r="D8221" s="2" t="s">
        <v>17</v>
      </c>
      <c r="E8221" s="5">
        <v>-28481</v>
      </c>
      <c r="F8221" s="3" t="s">
        <v>1089</v>
      </c>
      <c r="G8221" s="3" t="s">
        <v>35</v>
      </c>
      <c r="H8221" s="2" t="s">
        <v>20</v>
      </c>
      <c r="I8221" s="2" t="s">
        <v>15927</v>
      </c>
      <c r="J8221" s="3" t="str">
        <f>HYPERLINK("https://www.boe.es/gazeta/dias/1822/01/07/pdfs/GMD-1822-7.pdf#page=2","Abrir facsímil")</f>
        <v>Abrir facsímil</v>
      </c>
      <c r="K8221" s="3" t="s">
        <v>22</v>
      </c>
    </row>
    <row r="8222" spans="1:11" ht="42" customHeight="1">
      <c r="A8222" s="2" t="s">
        <v>15925</v>
      </c>
      <c r="B8222" s="2" t="s">
        <v>15925</v>
      </c>
      <c r="C8222" s="2" t="s">
        <v>71</v>
      </c>
      <c r="D8222" s="2" t="s">
        <v>17</v>
      </c>
      <c r="E8222" s="5">
        <v>-28478</v>
      </c>
      <c r="F8222" s="3" t="s">
        <v>1093</v>
      </c>
      <c r="G8222" s="3" t="s">
        <v>35</v>
      </c>
      <c r="H8222" s="2" t="s">
        <v>20</v>
      </c>
      <c r="I8222" s="2" t="s">
        <v>15928</v>
      </c>
      <c r="J8222" s="3" t="str">
        <f>HYPERLINK("https://www.boe.es/gazeta/dias/1822/01/10/pdfs/GMD-1822-10.pdf#page=2","Abrir facsímil")</f>
        <v>Abrir facsímil</v>
      </c>
      <c r="K8222" s="3" t="s">
        <v>22</v>
      </c>
    </row>
    <row r="8223" spans="1:11" ht="42" customHeight="1">
      <c r="A8223" s="2" t="s">
        <v>15925</v>
      </c>
      <c r="B8223" s="2" t="s">
        <v>15925</v>
      </c>
      <c r="C8223" s="2" t="s">
        <v>42</v>
      </c>
      <c r="D8223" s="2" t="s">
        <v>17</v>
      </c>
      <c r="E8223" s="5">
        <v>-28475</v>
      </c>
      <c r="F8223" s="3" t="s">
        <v>1205</v>
      </c>
      <c r="G8223" s="3" t="s">
        <v>1685</v>
      </c>
      <c r="H8223" s="2" t="s">
        <v>20</v>
      </c>
      <c r="I8223" s="2" t="s">
        <v>15929</v>
      </c>
      <c r="J8223" s="3" t="str">
        <f>HYPERLINK("https://www.boe.es/gazeta/dias/1822/01/13/pdfs/GMD-1822-13.pdf#page=4","Abrir facsímil")</f>
        <v>Abrir facsímil</v>
      </c>
      <c r="K8223" s="3" t="s">
        <v>22</v>
      </c>
    </row>
    <row r="8224" spans="1:11" ht="42" customHeight="1">
      <c r="A8224" s="2" t="s">
        <v>15925</v>
      </c>
      <c r="B8224" s="2" t="s">
        <v>15925</v>
      </c>
      <c r="C8224" s="2" t="s">
        <v>24</v>
      </c>
      <c r="D8224" s="2" t="s">
        <v>17</v>
      </c>
      <c r="E8224" s="5">
        <v>-28475</v>
      </c>
      <c r="F8224" s="3" t="s">
        <v>1205</v>
      </c>
      <c r="G8224" s="3" t="s">
        <v>907</v>
      </c>
      <c r="H8224" s="2" t="s">
        <v>20</v>
      </c>
      <c r="I8224" s="2" t="s">
        <v>15930</v>
      </c>
      <c r="J8224" s="3" t="str">
        <f>HYPERLINK("https://www.boe.es/gazeta/dias/1822/01/13/pdfs/GMD-1822-13.pdf#page=5","Abrir facsímil")</f>
        <v>Abrir facsímil</v>
      </c>
      <c r="K8224" s="3" t="s">
        <v>22</v>
      </c>
    </row>
    <row r="8225" spans="1:11" ht="42" customHeight="1">
      <c r="A8225" s="2" t="s">
        <v>15925</v>
      </c>
      <c r="B8225" s="2" t="s">
        <v>15925</v>
      </c>
      <c r="C8225" s="2" t="s">
        <v>50</v>
      </c>
      <c r="D8225" s="2" t="s">
        <v>51</v>
      </c>
      <c r="E8225" s="5">
        <v>-28472</v>
      </c>
      <c r="F8225" s="3" t="s">
        <v>5485</v>
      </c>
      <c r="G8225" s="3" t="s">
        <v>35</v>
      </c>
      <c r="H8225" s="2" t="s">
        <v>20</v>
      </c>
      <c r="I8225" s="2" t="s">
        <v>15931</v>
      </c>
      <c r="J8225" s="3" t="str">
        <f>HYPERLINK("https://www.boe.es/gazeta/dias/1822/01/16/pdfs/GMD-1822-16.pdf#page=2","Abrir facsímil")</f>
        <v>Abrir facsímil</v>
      </c>
      <c r="K8225" s="3" t="s">
        <v>22</v>
      </c>
    </row>
    <row r="8226" spans="1:11" ht="42" customHeight="1">
      <c r="A8226" s="2" t="s">
        <v>15925</v>
      </c>
      <c r="B8226" s="2" t="s">
        <v>15925</v>
      </c>
      <c r="C8226" s="2" t="s">
        <v>42</v>
      </c>
      <c r="D8226" s="2" t="s">
        <v>17</v>
      </c>
      <c r="E8226" s="5">
        <v>-28467</v>
      </c>
      <c r="F8226" s="3" t="s">
        <v>1096</v>
      </c>
      <c r="G8226" s="3" t="s">
        <v>35</v>
      </c>
      <c r="H8226" s="2" t="s">
        <v>20</v>
      </c>
      <c r="I8226" s="2" t="s">
        <v>15932</v>
      </c>
      <c r="J8226" s="3" t="str">
        <f>HYPERLINK("https://www.boe.es/gazeta/dias/1822/01/21/pdfs/GMD-1822-21.pdf#page=2","Abrir facsímil")</f>
        <v>Abrir facsímil</v>
      </c>
      <c r="K8226" s="3" t="s">
        <v>22</v>
      </c>
    </row>
    <row r="8227" spans="1:11" ht="42" customHeight="1">
      <c r="A8227" s="2" t="s">
        <v>15925</v>
      </c>
      <c r="B8227" s="2" t="s">
        <v>15925</v>
      </c>
      <c r="C8227" s="2" t="s">
        <v>42</v>
      </c>
      <c r="D8227" s="2" t="s">
        <v>17</v>
      </c>
      <c r="E8227" s="5">
        <v>-28462</v>
      </c>
      <c r="F8227" s="3" t="s">
        <v>1099</v>
      </c>
      <c r="G8227" s="3" t="s">
        <v>31</v>
      </c>
      <c r="H8227" s="2" t="s">
        <v>20</v>
      </c>
      <c r="I8227" s="2" t="s">
        <v>15933</v>
      </c>
      <c r="J8227" s="3" t="str">
        <f>HYPERLINK("https://www.boe.es/gazeta/dias/1822/01/26/pdfs/GMD-1822-26.pdf#page=3","Abrir facsímil")</f>
        <v>Abrir facsímil</v>
      </c>
      <c r="K8227" s="3" t="s">
        <v>22</v>
      </c>
    </row>
    <row r="8228" spans="1:11" ht="42" customHeight="1">
      <c r="A8228" s="2" t="s">
        <v>15925</v>
      </c>
      <c r="B8228" s="2" t="s">
        <v>15925</v>
      </c>
      <c r="C8228" s="2" t="s">
        <v>71</v>
      </c>
      <c r="D8228" s="2" t="s">
        <v>17</v>
      </c>
      <c r="E8228" s="5">
        <v>-28460</v>
      </c>
      <c r="F8228" s="3" t="s">
        <v>112</v>
      </c>
      <c r="G8228" s="3" t="s">
        <v>57</v>
      </c>
      <c r="H8228" s="2" t="s">
        <v>20</v>
      </c>
      <c r="I8228" s="2" t="s">
        <v>15934</v>
      </c>
      <c r="J8228" s="3" t="str">
        <f>HYPERLINK("https://www.boe.es/gazeta/dias/1822/01/28/pdfs/GMD-1822-28.pdf#page=4","Abrir facsímil")</f>
        <v>Abrir facsímil</v>
      </c>
      <c r="K8228" s="3" t="s">
        <v>22</v>
      </c>
    </row>
    <row r="8229" spans="1:11" ht="42" customHeight="1">
      <c r="A8229" s="2" t="s">
        <v>15925</v>
      </c>
      <c r="B8229" s="2" t="s">
        <v>15925</v>
      </c>
      <c r="C8229" s="2" t="s">
        <v>28</v>
      </c>
      <c r="D8229" s="2" t="s">
        <v>29</v>
      </c>
      <c r="E8229" s="5">
        <v>-28445</v>
      </c>
      <c r="F8229" s="3" t="s">
        <v>1622</v>
      </c>
      <c r="G8229" s="3" t="s">
        <v>57</v>
      </c>
      <c r="H8229" s="2" t="s">
        <v>20</v>
      </c>
      <c r="I8229" s="2" t="s">
        <v>15935</v>
      </c>
      <c r="J8229" s="3" t="str">
        <f>HYPERLINK("https://www.boe.es/gazeta/dias/1822/02/12/pdfs/GMD-1822-43.pdf#page=4","Abrir facsímil")</f>
        <v>Abrir facsímil</v>
      </c>
      <c r="K8229" s="3" t="s">
        <v>22</v>
      </c>
    </row>
    <row r="8230" spans="1:11" ht="42" customHeight="1">
      <c r="A8230" s="2" t="s">
        <v>15925</v>
      </c>
      <c r="B8230" s="2" t="s">
        <v>15925</v>
      </c>
      <c r="C8230" s="2" t="s">
        <v>50</v>
      </c>
      <c r="D8230" s="2" t="s">
        <v>51</v>
      </c>
      <c r="E8230" s="5">
        <v>-28444</v>
      </c>
      <c r="F8230" s="3" t="s">
        <v>681</v>
      </c>
      <c r="G8230" s="3" t="s">
        <v>35</v>
      </c>
      <c r="H8230" s="2" t="s">
        <v>20</v>
      </c>
      <c r="I8230" s="2" t="s">
        <v>15936</v>
      </c>
      <c r="J8230" s="3" t="str">
        <f>HYPERLINK("https://www.boe.es/gazeta/dias/1822/02/13/pdfs/GMD-1822-44.pdf#page=2","Abrir facsímil")</f>
        <v>Abrir facsímil</v>
      </c>
      <c r="K8230" s="3" t="s">
        <v>22</v>
      </c>
    </row>
    <row r="8231" spans="1:11" ht="42" customHeight="1">
      <c r="A8231" s="2" t="s">
        <v>15925</v>
      </c>
      <c r="B8231" s="2" t="s">
        <v>15925</v>
      </c>
      <c r="C8231" s="2" t="s">
        <v>42</v>
      </c>
      <c r="D8231" s="2" t="s">
        <v>17</v>
      </c>
      <c r="E8231" s="5">
        <v>-28444</v>
      </c>
      <c r="F8231" s="3" t="s">
        <v>681</v>
      </c>
      <c r="G8231" s="3" t="s">
        <v>31</v>
      </c>
      <c r="H8231" s="2" t="s">
        <v>20</v>
      </c>
      <c r="I8231" s="2" t="s">
        <v>15937</v>
      </c>
      <c r="J8231" s="3" t="str">
        <f>HYPERLINK("https://www.boe.es/gazeta/dias/1822/02/13/pdfs/GMD-1822-44.pdf#page=3","Abrir facsímil")</f>
        <v>Abrir facsímil</v>
      </c>
      <c r="K8231" s="3" t="s">
        <v>22</v>
      </c>
    </row>
    <row r="8232" spans="1:11" ht="42" customHeight="1">
      <c r="A8232" s="2" t="s">
        <v>15925</v>
      </c>
      <c r="B8232" s="2" t="s">
        <v>15925</v>
      </c>
      <c r="C8232" s="2" t="s">
        <v>28</v>
      </c>
      <c r="D8232" s="2" t="s">
        <v>29</v>
      </c>
      <c r="E8232" s="5">
        <v>-28444</v>
      </c>
      <c r="F8232" s="3" t="s">
        <v>681</v>
      </c>
      <c r="G8232" s="3" t="s">
        <v>57</v>
      </c>
      <c r="H8232" s="2" t="s">
        <v>20</v>
      </c>
      <c r="I8232" s="2" t="s">
        <v>15938</v>
      </c>
      <c r="J8232" s="3" t="str">
        <f>HYPERLINK("https://www.boe.es/gazeta/dias/1822/02/13/pdfs/GMD-1822-44.pdf#page=4","Abrir facsímil")</f>
        <v>Abrir facsímil</v>
      </c>
      <c r="K8232" s="3" t="s">
        <v>22</v>
      </c>
    </row>
    <row r="8233" spans="1:11" ht="42" customHeight="1">
      <c r="A8233" s="2" t="s">
        <v>15925</v>
      </c>
      <c r="B8233" s="2" t="s">
        <v>15925</v>
      </c>
      <c r="C8233" s="2" t="s">
        <v>50</v>
      </c>
      <c r="D8233" s="2" t="s">
        <v>51</v>
      </c>
      <c r="E8233" s="5">
        <v>-28422</v>
      </c>
      <c r="F8233" s="3" t="s">
        <v>416</v>
      </c>
      <c r="G8233" s="3" t="s">
        <v>44</v>
      </c>
      <c r="H8233" s="2" t="s">
        <v>20</v>
      </c>
      <c r="I8233" s="2" t="s">
        <v>15939</v>
      </c>
      <c r="J8233" s="3" t="str">
        <f>HYPERLINK("https://www.boe.es/gazeta/dias/1822/03/07/pdfs/GMD-1822-68.pdf#page=1","Abrir facsímil")</f>
        <v>Abrir facsímil</v>
      </c>
      <c r="K8233" s="3" t="s">
        <v>22</v>
      </c>
    </row>
    <row r="8234" spans="1:11" ht="42" customHeight="1">
      <c r="A8234" s="2" t="s">
        <v>15925</v>
      </c>
      <c r="B8234" s="2" t="s">
        <v>15925</v>
      </c>
      <c r="C8234" s="2" t="s">
        <v>71</v>
      </c>
      <c r="D8234" s="2" t="s">
        <v>17</v>
      </c>
      <c r="E8234" s="5">
        <v>-28198</v>
      </c>
      <c r="F8234" s="3" t="s">
        <v>981</v>
      </c>
      <c r="G8234" s="3" t="s">
        <v>35</v>
      </c>
      <c r="H8234" s="2" t="s">
        <v>20</v>
      </c>
      <c r="I8234" s="2" t="s">
        <v>15940</v>
      </c>
      <c r="J8234" s="3" t="str">
        <f>HYPERLINK("https://www.boe.es/gazeta/dias/1822/10/17/pdfs/GMD-1822-304.pdf#page=2","Abrir facsímil")</f>
        <v>Abrir facsímil</v>
      </c>
      <c r="K8234" s="3" t="s">
        <v>22</v>
      </c>
    </row>
    <row r="8235" spans="1:11" ht="42" customHeight="1">
      <c r="A8235" s="2" t="s">
        <v>15925</v>
      </c>
      <c r="B8235" s="2" t="s">
        <v>15925</v>
      </c>
      <c r="C8235" s="2" t="s">
        <v>42</v>
      </c>
      <c r="D8235" s="2" t="s">
        <v>17</v>
      </c>
      <c r="E8235" s="5">
        <v>-28197</v>
      </c>
      <c r="F8235" s="3" t="s">
        <v>568</v>
      </c>
      <c r="G8235" s="3" t="s">
        <v>57</v>
      </c>
      <c r="H8235" s="2" t="s">
        <v>20</v>
      </c>
      <c r="I8235" s="2" t="s">
        <v>15941</v>
      </c>
      <c r="J8235" s="3" t="str">
        <f>HYPERLINK("https://www.boe.es/gazeta/dias/1822/10/18/pdfs/GMD-1822-305.pdf#page=4","Abrir facsímil")</f>
        <v>Abrir facsímil</v>
      </c>
      <c r="K8235" s="3" t="s">
        <v>22</v>
      </c>
    </row>
    <row r="8236" spans="1:11" ht="42" customHeight="1">
      <c r="A8236" s="2" t="s">
        <v>15942</v>
      </c>
      <c r="B8236" s="2" t="s">
        <v>15943</v>
      </c>
      <c r="C8236" s="2" t="s">
        <v>28</v>
      </c>
      <c r="D8236" s="2" t="s">
        <v>29</v>
      </c>
      <c r="E8236" s="5">
        <v>-28423</v>
      </c>
      <c r="F8236" s="3" t="s">
        <v>441</v>
      </c>
      <c r="G8236" s="3" t="s">
        <v>35</v>
      </c>
      <c r="H8236" s="2" t="s">
        <v>20</v>
      </c>
      <c r="I8236" s="2" t="s">
        <v>15944</v>
      </c>
      <c r="J8236" s="3" t="str">
        <f>HYPERLINK("https://www.boe.es/gazeta/dias/1822/03/06/pdfs/GMD-1822-67.pdf#page=2","Abrir facsímil")</f>
        <v>Abrir facsímil</v>
      </c>
      <c r="K8236" s="3" t="s">
        <v>22</v>
      </c>
    </row>
    <row r="8237" spans="1:11" ht="42" customHeight="1">
      <c r="A8237" s="2" t="s">
        <v>15942</v>
      </c>
      <c r="B8237" s="2" t="s">
        <v>15943</v>
      </c>
      <c r="C8237" s="2" t="s">
        <v>50</v>
      </c>
      <c r="D8237" s="2" t="s">
        <v>51</v>
      </c>
      <c r="E8237" s="5">
        <v>-28371</v>
      </c>
      <c r="F8237" s="3" t="s">
        <v>401</v>
      </c>
      <c r="G8237" s="3" t="s">
        <v>19</v>
      </c>
      <c r="H8237" s="2" t="s">
        <v>20</v>
      </c>
      <c r="I8237" s="2" t="s">
        <v>15945</v>
      </c>
      <c r="J8237" s="3" t="str">
        <f>HYPERLINK("https://www.boe.es/gazeta/dias/1822/04/27/pdfs/GMD-1822-119.pdf#page=5","Abrir facsímil")</f>
        <v>Abrir facsímil</v>
      </c>
      <c r="K8237" s="3" t="s">
        <v>22</v>
      </c>
    </row>
    <row r="8238" spans="1:11" ht="42" customHeight="1">
      <c r="A8238" s="2" t="s">
        <v>15942</v>
      </c>
      <c r="B8238" s="2" t="s">
        <v>15943</v>
      </c>
      <c r="C8238" s="2" t="s">
        <v>50</v>
      </c>
      <c r="D8238" s="2" t="s">
        <v>51</v>
      </c>
      <c r="E8238" s="5">
        <v>-28319</v>
      </c>
      <c r="F8238" s="3" t="s">
        <v>271</v>
      </c>
      <c r="G8238" s="3" t="s">
        <v>19</v>
      </c>
      <c r="H8238" s="2" t="s">
        <v>20</v>
      </c>
      <c r="I8238" s="2" t="s">
        <v>15946</v>
      </c>
      <c r="J8238" s="3" t="str">
        <f>HYPERLINK("https://www.boe.es/gazeta/dias/1822/06/18/pdfs/GMD-1822-175.pdf#page=5","Abrir facsímil")</f>
        <v>Abrir facsímil</v>
      </c>
      <c r="K8238" s="3" t="s">
        <v>22</v>
      </c>
    </row>
    <row r="8239" spans="1:11" ht="42" customHeight="1">
      <c r="A8239" s="2" t="s">
        <v>15947</v>
      </c>
      <c r="B8239" s="2" t="s">
        <v>15948</v>
      </c>
      <c r="C8239" s="2" t="s">
        <v>24</v>
      </c>
      <c r="D8239" s="2" t="s">
        <v>17</v>
      </c>
      <c r="E8239" s="5">
        <v>-28391</v>
      </c>
      <c r="F8239" s="3" t="s">
        <v>378</v>
      </c>
      <c r="G8239" s="3" t="s">
        <v>35</v>
      </c>
      <c r="H8239" s="2" t="s">
        <v>20</v>
      </c>
      <c r="I8239" s="2" t="s">
        <v>15949</v>
      </c>
      <c r="J8239" s="3" t="str">
        <f>HYPERLINK("https://www.boe.es/gazeta/dias/1822/04/07/pdfs/GMD-1822-99.pdf#page=2","Abrir facsímil")</f>
        <v>Abrir facsímil</v>
      </c>
      <c r="K8239" s="3" t="s">
        <v>22</v>
      </c>
    </row>
    <row r="8240" spans="1:11" ht="42" customHeight="1">
      <c r="A8240" s="2" t="s">
        <v>15950</v>
      </c>
      <c r="B8240" s="2" t="s">
        <v>15951</v>
      </c>
      <c r="C8240" s="2" t="s">
        <v>42</v>
      </c>
      <c r="D8240" s="2" t="s">
        <v>17</v>
      </c>
      <c r="E8240" s="5">
        <v>-28251</v>
      </c>
      <c r="F8240" s="3" t="s">
        <v>1485</v>
      </c>
      <c r="G8240" s="3" t="s">
        <v>31</v>
      </c>
      <c r="H8240" s="2" t="s">
        <v>20</v>
      </c>
      <c r="I8240" s="2" t="s">
        <v>15952</v>
      </c>
      <c r="J8240" s="3" t="str">
        <f>HYPERLINK("https://www.boe.es/gazeta/dias/1822/08/25/pdfs/GMD-1822-249.pdf#page=3","Abrir facsímil")</f>
        <v>Abrir facsímil</v>
      </c>
      <c r="K8240" s="3" t="s">
        <v>22</v>
      </c>
    </row>
    <row r="8241" spans="1:11" ht="42" customHeight="1">
      <c r="A8241" s="2" t="s">
        <v>15953</v>
      </c>
      <c r="B8241" s="2" t="s">
        <v>15954</v>
      </c>
      <c r="C8241" s="2" t="s">
        <v>50</v>
      </c>
      <c r="D8241" s="2" t="s">
        <v>51</v>
      </c>
      <c r="E8241" s="5">
        <v>-28264</v>
      </c>
      <c r="F8241" s="3" t="s">
        <v>1329</v>
      </c>
      <c r="G8241" s="3" t="s">
        <v>57</v>
      </c>
      <c r="H8241" s="2" t="s">
        <v>20</v>
      </c>
      <c r="I8241" s="2" t="s">
        <v>15955</v>
      </c>
      <c r="J8241" s="3" t="str">
        <f>HYPERLINK("https://www.boe.es/gazeta/dias/1822/08/12/pdfs/GMD-1822-236.pdf#page=4","Abrir facsímil")</f>
        <v>Abrir facsímil</v>
      </c>
      <c r="K8241" s="3" t="s">
        <v>22</v>
      </c>
    </row>
    <row r="8242" spans="1:11" ht="42" customHeight="1">
      <c r="A8242" s="2" t="s">
        <v>15956</v>
      </c>
      <c r="B8242" s="2" t="s">
        <v>15957</v>
      </c>
      <c r="C8242" s="2" t="s">
        <v>61</v>
      </c>
      <c r="D8242" s="2" t="s">
        <v>17</v>
      </c>
      <c r="E8242" s="5">
        <v>-28208</v>
      </c>
      <c r="F8242" s="3" t="s">
        <v>230</v>
      </c>
      <c r="G8242" s="3" t="s">
        <v>57</v>
      </c>
      <c r="H8242" s="2" t="s">
        <v>20</v>
      </c>
      <c r="I8242" s="2" t="s">
        <v>15958</v>
      </c>
      <c r="J8242" s="3" t="str">
        <f>HYPERLINK("https://www.boe.es/gazeta/dias/1822/10/07/pdfs/GMD-1822-293.pdf#page=4","Abrir facsímil")</f>
        <v>Abrir facsímil</v>
      </c>
      <c r="K8242" s="3" t="s">
        <v>22</v>
      </c>
    </row>
    <row r="8243" spans="1:11" ht="42" customHeight="1">
      <c r="A8243" s="2" t="s">
        <v>15959</v>
      </c>
      <c r="B8243" s="2" t="s">
        <v>15960</v>
      </c>
      <c r="C8243" s="2" t="s">
        <v>50</v>
      </c>
      <c r="D8243" s="2" t="s">
        <v>51</v>
      </c>
      <c r="E8243" s="5">
        <v>-28415</v>
      </c>
      <c r="F8243" s="3" t="s">
        <v>77</v>
      </c>
      <c r="G8243" s="3" t="s">
        <v>35</v>
      </c>
      <c r="H8243" s="2" t="s">
        <v>20</v>
      </c>
      <c r="I8243" s="2" t="s">
        <v>15961</v>
      </c>
      <c r="J8243" s="3" t="str">
        <f>HYPERLINK("https://www.boe.es/gazeta/dias/1822/03/14/pdfs/GMD-1822-75.pdf#page=2","Abrir facsímil")</f>
        <v>Abrir facsímil</v>
      </c>
      <c r="K8243" s="3" t="s">
        <v>22</v>
      </c>
    </row>
    <row r="8244" spans="1:11" ht="42" customHeight="1">
      <c r="A8244" s="2" t="s">
        <v>15962</v>
      </c>
      <c r="B8244" s="2" t="s">
        <v>15963</v>
      </c>
      <c r="C8244" s="2" t="s">
        <v>24</v>
      </c>
      <c r="D8244" s="2" t="s">
        <v>17</v>
      </c>
      <c r="E8244" s="5">
        <v>-28450</v>
      </c>
      <c r="F8244" s="3" t="s">
        <v>1450</v>
      </c>
      <c r="G8244" s="3" t="s">
        <v>2247</v>
      </c>
      <c r="H8244" s="2" t="s">
        <v>20</v>
      </c>
      <c r="I8244" s="2" t="s">
        <v>15964</v>
      </c>
      <c r="J8244" s="3" t="str">
        <f>HYPERLINK("https://www.boe.es/gazeta/dias/1822/02/07/pdfs/GMD-1822-38.pdf#page=6","Abrir facsímil")</f>
        <v>Abrir facsímil</v>
      </c>
      <c r="K8244" s="3" t="s">
        <v>22</v>
      </c>
    </row>
    <row r="8245" spans="1:11" ht="42" customHeight="1">
      <c r="A8245" s="2" t="s">
        <v>15965</v>
      </c>
      <c r="B8245" s="2" t="s">
        <v>15966</v>
      </c>
      <c r="C8245" s="2" t="s">
        <v>71</v>
      </c>
      <c r="D8245" s="2" t="s">
        <v>17</v>
      </c>
      <c r="E8245" s="5">
        <v>-28241</v>
      </c>
      <c r="F8245" s="3" t="s">
        <v>3068</v>
      </c>
      <c r="G8245" s="3" t="s">
        <v>57</v>
      </c>
      <c r="H8245" s="2" t="s">
        <v>20</v>
      </c>
      <c r="I8245" s="2" t="s">
        <v>15967</v>
      </c>
      <c r="J8245" s="3" t="str">
        <f>HYPERLINK("https://www.boe.es/gazeta/dias/1822/09/04/pdfs/GMD-1822-259.pdf#page=4","Abrir facsímil")</f>
        <v>Abrir facsímil</v>
      </c>
      <c r="K8245" s="3" t="s">
        <v>22</v>
      </c>
    </row>
    <row r="8246" spans="1:11" ht="42" customHeight="1">
      <c r="A8246" s="2" t="s">
        <v>15968</v>
      </c>
      <c r="B8246" s="2" t="s">
        <v>15969</v>
      </c>
      <c r="C8246" s="2" t="s">
        <v>50</v>
      </c>
      <c r="D8246" s="2" t="s">
        <v>51</v>
      </c>
      <c r="E8246" s="5">
        <v>-28417</v>
      </c>
      <c r="F8246" s="3" t="s">
        <v>1394</v>
      </c>
      <c r="G8246" s="3" t="s">
        <v>31</v>
      </c>
      <c r="H8246" s="2" t="s">
        <v>20</v>
      </c>
      <c r="I8246" s="2" t="s">
        <v>15970</v>
      </c>
      <c r="J8246" s="3" t="str">
        <f>HYPERLINK("https://www.boe.es/gazeta/dias/1822/03/12/pdfs/GMD-1822-73.pdf#page=3","Abrir facsímil")</f>
        <v>Abrir facsímil</v>
      </c>
      <c r="K8246" s="3" t="s">
        <v>22</v>
      </c>
    </row>
    <row r="8247" spans="1:11" ht="42" customHeight="1">
      <c r="A8247" s="2" t="s">
        <v>15968</v>
      </c>
      <c r="B8247" s="2" t="s">
        <v>15969</v>
      </c>
      <c r="C8247" s="2" t="s">
        <v>50</v>
      </c>
      <c r="D8247" s="2" t="s">
        <v>51</v>
      </c>
      <c r="E8247" s="5">
        <v>-28374</v>
      </c>
      <c r="F8247" s="3" t="s">
        <v>171</v>
      </c>
      <c r="G8247" s="3" t="s">
        <v>57</v>
      </c>
      <c r="H8247" s="2" t="s">
        <v>20</v>
      </c>
      <c r="I8247" s="2" t="s">
        <v>15971</v>
      </c>
      <c r="J8247" s="3" t="str">
        <f>HYPERLINK("https://www.boe.es/gazeta/dias/1822/04/24/pdfs/GMD-1822-116.pdf#page=4","Abrir facsímil")</f>
        <v>Abrir facsímil</v>
      </c>
      <c r="K8247" s="3" t="s">
        <v>22</v>
      </c>
    </row>
    <row r="8248" spans="1:11" ht="42" customHeight="1">
      <c r="A8248" s="2" t="s">
        <v>15968</v>
      </c>
      <c r="B8248" s="2" t="s">
        <v>15969</v>
      </c>
      <c r="C8248" s="2" t="s">
        <v>362</v>
      </c>
      <c r="D8248" s="2" t="s">
        <v>17</v>
      </c>
      <c r="E8248" s="5">
        <v>-28225</v>
      </c>
      <c r="F8248" s="3" t="s">
        <v>177</v>
      </c>
      <c r="G8248" s="3" t="s">
        <v>3273</v>
      </c>
      <c r="H8248" s="2" t="s">
        <v>20</v>
      </c>
      <c r="I8248" s="2" t="s">
        <v>15972</v>
      </c>
      <c r="J8248" s="3" t="str">
        <f>HYPERLINK("https://www.boe.es/gazeta/dias/1822/09/20/pdfs/GMD-1822-276.pdf#page=4","Abrir facsímil")</f>
        <v>Abrir facsímil</v>
      </c>
      <c r="K8248" s="3" t="s">
        <v>22</v>
      </c>
    </row>
    <row r="8249" spans="1:11" ht="42" customHeight="1">
      <c r="A8249" s="2" t="s">
        <v>15968</v>
      </c>
      <c r="B8249" s="2" t="s">
        <v>15969</v>
      </c>
      <c r="C8249" s="2" t="s">
        <v>42</v>
      </c>
      <c r="D8249" s="2" t="s">
        <v>17</v>
      </c>
      <c r="E8249" s="5">
        <v>-28208</v>
      </c>
      <c r="F8249" s="3" t="s">
        <v>230</v>
      </c>
      <c r="G8249" s="3" t="s">
        <v>57</v>
      </c>
      <c r="H8249" s="2" t="s">
        <v>20</v>
      </c>
      <c r="I8249" s="2" t="s">
        <v>15973</v>
      </c>
      <c r="J8249" s="3" t="str">
        <f>HYPERLINK("https://www.boe.es/gazeta/dias/1822/10/07/pdfs/GMD-1822-293.pdf#page=4","Abrir facsímil")</f>
        <v>Abrir facsímil</v>
      </c>
      <c r="K8249" s="3" t="s">
        <v>22</v>
      </c>
    </row>
    <row r="8250" spans="1:11" ht="42" customHeight="1">
      <c r="A8250" s="2" t="s">
        <v>15974</v>
      </c>
      <c r="B8250" s="2" t="s">
        <v>15975</v>
      </c>
      <c r="C8250" s="2" t="s">
        <v>71</v>
      </c>
      <c r="D8250" s="2" t="s">
        <v>17</v>
      </c>
      <c r="E8250" s="5">
        <v>-28417</v>
      </c>
      <c r="F8250" s="3" t="s">
        <v>1394</v>
      </c>
      <c r="G8250" s="3" t="s">
        <v>57</v>
      </c>
      <c r="H8250" s="2" t="s">
        <v>20</v>
      </c>
      <c r="I8250" s="2" t="s">
        <v>15976</v>
      </c>
      <c r="J8250" s="3" t="str">
        <f>HYPERLINK("https://www.boe.es/gazeta/dias/1822/03/12/pdfs/GMD-1822-73.pdf#page=4","Abrir facsímil")</f>
        <v>Abrir facsímil</v>
      </c>
      <c r="K8250" s="3" t="s">
        <v>22</v>
      </c>
    </row>
    <row r="8251" spans="1:11" ht="42" customHeight="1">
      <c r="A8251" s="2" t="s">
        <v>15977</v>
      </c>
      <c r="B8251" s="2" t="s">
        <v>15978</v>
      </c>
      <c r="C8251" s="2" t="s">
        <v>50</v>
      </c>
      <c r="D8251" s="2" t="s">
        <v>51</v>
      </c>
      <c r="E8251" s="5">
        <v>-28221</v>
      </c>
      <c r="F8251" s="3" t="s">
        <v>2591</v>
      </c>
      <c r="G8251" s="3" t="s">
        <v>57</v>
      </c>
      <c r="H8251" s="2" t="s">
        <v>20</v>
      </c>
      <c r="I8251" s="2" t="s">
        <v>15979</v>
      </c>
      <c r="J8251" s="3" t="str">
        <f>HYPERLINK("https://www.boe.es/gazeta/dias/1822/09/24/pdfs/GMD-1822-280.pdf#page=4","Abrir facsímil")</f>
        <v>Abrir facsímil</v>
      </c>
      <c r="K8251" s="3" t="s">
        <v>22</v>
      </c>
    </row>
    <row r="8252" spans="1:11" ht="42" customHeight="1">
      <c r="A8252" s="2" t="s">
        <v>15980</v>
      </c>
      <c r="B8252" s="2" t="s">
        <v>15981</v>
      </c>
      <c r="C8252" s="2" t="s">
        <v>50</v>
      </c>
      <c r="D8252" s="2" t="s">
        <v>51</v>
      </c>
      <c r="E8252" s="5">
        <v>-28264</v>
      </c>
      <c r="F8252" s="3" t="s">
        <v>1329</v>
      </c>
      <c r="G8252" s="3" t="s">
        <v>57</v>
      </c>
      <c r="H8252" s="2" t="s">
        <v>20</v>
      </c>
      <c r="I8252" s="2" t="s">
        <v>15982</v>
      </c>
      <c r="J8252" s="3" t="str">
        <f>HYPERLINK("https://www.boe.es/gazeta/dias/1822/08/12/pdfs/GMD-1822-236.pdf#page=4","Abrir facsímil")</f>
        <v>Abrir facsímil</v>
      </c>
      <c r="K8252" s="3" t="s">
        <v>22</v>
      </c>
    </row>
    <row r="8253" spans="1:11" ht="42" customHeight="1">
      <c r="A8253" s="2" t="s">
        <v>15983</v>
      </c>
      <c r="B8253" s="2" t="s">
        <v>15984</v>
      </c>
      <c r="C8253" s="2" t="s">
        <v>42</v>
      </c>
      <c r="D8253" s="2" t="s">
        <v>17</v>
      </c>
      <c r="E8253" s="5">
        <v>-28487</v>
      </c>
      <c r="F8253" s="3" t="s">
        <v>426</v>
      </c>
      <c r="G8253" s="3" t="s">
        <v>63</v>
      </c>
      <c r="H8253" s="2" t="s">
        <v>20</v>
      </c>
      <c r="I8253" s="2" t="s">
        <v>15985</v>
      </c>
      <c r="J8253" s="3" t="str">
        <f>HYPERLINK("https://www.boe.es/gazeta/dias/1822/01/01/pdfs/GMD-1822-1.pdf#page=6","Abrir facsímil")</f>
        <v>Abrir facsímil</v>
      </c>
      <c r="K8253" s="3" t="s">
        <v>22</v>
      </c>
    </row>
    <row r="8254" spans="1:11" ht="42" customHeight="1">
      <c r="A8254" s="2" t="s">
        <v>15986</v>
      </c>
      <c r="B8254" s="2" t="s">
        <v>15987</v>
      </c>
      <c r="C8254" s="2" t="s">
        <v>50</v>
      </c>
      <c r="D8254" s="2" t="s">
        <v>51</v>
      </c>
      <c r="E8254" s="5">
        <v>-28292</v>
      </c>
      <c r="F8254" s="3" t="s">
        <v>222</v>
      </c>
      <c r="G8254" s="3" t="s">
        <v>31</v>
      </c>
      <c r="H8254" s="2" t="s">
        <v>20</v>
      </c>
      <c r="I8254" s="2" t="s">
        <v>15988</v>
      </c>
      <c r="J8254" s="3" t="str">
        <f>HYPERLINK("https://www.boe.es/gazeta/dias/1822/07/15/pdfs/GMD-1822-205.pdf#page=3","Abrir facsímil")</f>
        <v>Abrir facsímil</v>
      </c>
      <c r="K8254" s="3" t="s">
        <v>22</v>
      </c>
    </row>
    <row r="8255" spans="1:11" ht="42" customHeight="1">
      <c r="A8255" s="2" t="s">
        <v>15989</v>
      </c>
      <c r="B8255" s="2" t="s">
        <v>15990</v>
      </c>
      <c r="C8255" s="2" t="s">
        <v>50</v>
      </c>
      <c r="D8255" s="2" t="s">
        <v>51</v>
      </c>
      <c r="E8255" s="5">
        <v>-28328</v>
      </c>
      <c r="F8255" s="3" t="s">
        <v>540</v>
      </c>
      <c r="G8255" s="3" t="s">
        <v>541</v>
      </c>
      <c r="H8255" s="2" t="s">
        <v>20</v>
      </c>
      <c r="I8255" s="2" t="s">
        <v>15991</v>
      </c>
      <c r="J8255" s="3" t="str">
        <f>HYPERLINK("https://www.boe.es/gazeta/dias/1822/06/09/pdfs/GMD-1822-166.pdf#page=4","Abrir facsímil")</f>
        <v>Abrir facsímil</v>
      </c>
      <c r="K8255" s="3" t="s">
        <v>22</v>
      </c>
    </row>
    <row r="8256" spans="1:11" ht="42" customHeight="1">
      <c r="A8256" s="2" t="s">
        <v>15992</v>
      </c>
      <c r="B8256" s="2" t="s">
        <v>15993</v>
      </c>
      <c r="C8256" s="2" t="s">
        <v>16</v>
      </c>
      <c r="D8256" s="2" t="s">
        <v>17</v>
      </c>
      <c r="E8256" s="5">
        <v>-28463</v>
      </c>
      <c r="F8256" s="3" t="s">
        <v>25</v>
      </c>
      <c r="G8256" s="3" t="s">
        <v>63</v>
      </c>
      <c r="H8256" s="2" t="s">
        <v>45</v>
      </c>
      <c r="I8256" s="2" t="s">
        <v>15994</v>
      </c>
      <c r="J8256" s="3" t="str">
        <f>HYPERLINK("https://www.boe.es/gazeta/dias/1822/01/25/pdfs/GMD-1822-25.pdf#page=6","Abrir facsímil")</f>
        <v>Abrir facsímil</v>
      </c>
      <c r="K8256" s="3" t="s">
        <v>47</v>
      </c>
    </row>
    <row r="8257" spans="1:11" ht="42" customHeight="1">
      <c r="A8257" s="2" t="s">
        <v>15995</v>
      </c>
      <c r="B8257" s="2" t="s">
        <v>15996</v>
      </c>
      <c r="C8257" s="2" t="s">
        <v>362</v>
      </c>
      <c r="D8257" s="2" t="s">
        <v>17</v>
      </c>
      <c r="E8257" s="5">
        <v>-28450</v>
      </c>
      <c r="F8257" s="3" t="s">
        <v>1450</v>
      </c>
      <c r="G8257" s="3" t="s">
        <v>2247</v>
      </c>
      <c r="H8257" s="2" t="s">
        <v>20</v>
      </c>
      <c r="I8257" s="2" t="s">
        <v>15997</v>
      </c>
      <c r="J8257" s="3" t="str">
        <f>HYPERLINK("https://www.boe.es/gazeta/dias/1822/02/07/pdfs/GMD-1822-38.pdf#page=6","Abrir facsímil")</f>
        <v>Abrir facsímil</v>
      </c>
      <c r="K8257" s="3" t="s">
        <v>22</v>
      </c>
    </row>
    <row r="8258" spans="1:11" ht="42" customHeight="1">
      <c r="A8258" s="2" t="s">
        <v>15995</v>
      </c>
      <c r="B8258" s="2" t="s">
        <v>15996</v>
      </c>
      <c r="C8258" s="2" t="s">
        <v>16</v>
      </c>
      <c r="D8258" s="2" t="s">
        <v>17</v>
      </c>
      <c r="E8258" s="5">
        <v>-28401</v>
      </c>
      <c r="F8258" s="3" t="s">
        <v>108</v>
      </c>
      <c r="G8258" s="3" t="s">
        <v>31</v>
      </c>
      <c r="H8258" s="2" t="s">
        <v>20</v>
      </c>
      <c r="I8258" s="2" t="s">
        <v>15998</v>
      </c>
      <c r="J8258" s="3" t="str">
        <f>HYPERLINK("https://www.boe.es/gazeta/dias/1822/03/28/pdfs/GMD-1822-89.pdf#page=3","Abrir facsímil")</f>
        <v>Abrir facsímil</v>
      </c>
      <c r="K8258" s="3" t="s">
        <v>22</v>
      </c>
    </row>
    <row r="8259" spans="1:11" ht="42" customHeight="1">
      <c r="A8259" s="2" t="s">
        <v>15999</v>
      </c>
      <c r="B8259" s="2" t="s">
        <v>16000</v>
      </c>
      <c r="C8259" s="2" t="s">
        <v>24</v>
      </c>
      <c r="D8259" s="2" t="s">
        <v>17</v>
      </c>
      <c r="E8259" s="5">
        <v>-28371</v>
      </c>
      <c r="F8259" s="3" t="s">
        <v>401</v>
      </c>
      <c r="G8259" s="3" t="s">
        <v>63</v>
      </c>
      <c r="H8259" s="2" t="s">
        <v>20</v>
      </c>
      <c r="I8259" s="2" t="s">
        <v>16001</v>
      </c>
      <c r="J8259" s="3" t="str">
        <f>HYPERLINK("https://www.boe.es/gazeta/dias/1822/04/27/pdfs/GMD-1822-119.pdf#page=6","Abrir facsímil")</f>
        <v>Abrir facsímil</v>
      </c>
      <c r="K8259" s="3" t="s">
        <v>22</v>
      </c>
    </row>
    <row r="8260" spans="1:11" ht="42" customHeight="1">
      <c r="A8260" s="2" t="s">
        <v>15999</v>
      </c>
      <c r="B8260" s="2" t="s">
        <v>16000</v>
      </c>
      <c r="C8260" s="2" t="s">
        <v>50</v>
      </c>
      <c r="D8260" s="2" t="s">
        <v>51</v>
      </c>
      <c r="E8260" s="5">
        <v>-28365</v>
      </c>
      <c r="F8260" s="3" t="s">
        <v>506</v>
      </c>
      <c r="G8260" s="3" t="s">
        <v>2093</v>
      </c>
      <c r="H8260" s="2" t="s">
        <v>20</v>
      </c>
      <c r="I8260" s="2" t="s">
        <v>16002</v>
      </c>
      <c r="J8260" s="3" t="str">
        <f>HYPERLINK("https://www.boe.es/gazeta/dias/1822/05/03/pdfs/GMD-1822-125.pdf#page=6","Abrir facsímil")</f>
        <v>Abrir facsímil</v>
      </c>
      <c r="K8260" s="3" t="s">
        <v>22</v>
      </c>
    </row>
    <row r="8261" spans="1:11" ht="42" customHeight="1">
      <c r="A8261" s="2" t="s">
        <v>15999</v>
      </c>
      <c r="B8261" s="2" t="s">
        <v>16000</v>
      </c>
      <c r="C8261" s="2" t="s">
        <v>50</v>
      </c>
      <c r="D8261" s="2" t="s">
        <v>51</v>
      </c>
      <c r="E8261" s="5">
        <v>-28345</v>
      </c>
      <c r="F8261" s="3" t="s">
        <v>294</v>
      </c>
      <c r="G8261" s="3" t="s">
        <v>63</v>
      </c>
      <c r="H8261" s="2" t="s">
        <v>20</v>
      </c>
      <c r="I8261" s="2" t="s">
        <v>16003</v>
      </c>
      <c r="J8261" s="3" t="str">
        <f>HYPERLINK("https://www.boe.es/gazeta/dias/1822/05/23/pdfs/GMD-1822-147.pdf#page=6","Abrir facsímil")</f>
        <v>Abrir facsímil</v>
      </c>
      <c r="K8261" s="3" t="s">
        <v>22</v>
      </c>
    </row>
    <row r="8262" spans="1:11" ht="42" customHeight="1">
      <c r="A8262" s="2" t="s">
        <v>15999</v>
      </c>
      <c r="B8262" s="2" t="s">
        <v>16000</v>
      </c>
      <c r="C8262" s="2" t="s">
        <v>61</v>
      </c>
      <c r="D8262" s="2" t="s">
        <v>17</v>
      </c>
      <c r="E8262" s="5">
        <v>-28311</v>
      </c>
      <c r="F8262" s="3" t="s">
        <v>736</v>
      </c>
      <c r="G8262" s="3" t="s">
        <v>157</v>
      </c>
      <c r="H8262" s="2" t="s">
        <v>20</v>
      </c>
      <c r="I8262" s="2" t="s">
        <v>16004</v>
      </c>
      <c r="J8262" s="3" t="str">
        <f>HYPERLINK("https://www.boe.es/gazeta/dias/1822/06/26/pdfs/GMD-1822-184.pdf#page=8","Abrir facsímil")</f>
        <v>Abrir facsímil</v>
      </c>
      <c r="K8262" s="3" t="s">
        <v>22</v>
      </c>
    </row>
    <row r="8263" spans="1:11" ht="42" customHeight="1">
      <c r="A8263" s="2" t="s">
        <v>15999</v>
      </c>
      <c r="B8263" s="2" t="s">
        <v>16000</v>
      </c>
      <c r="C8263" s="2" t="s">
        <v>61</v>
      </c>
      <c r="D8263" s="2" t="s">
        <v>17</v>
      </c>
      <c r="E8263" s="5">
        <v>-28257</v>
      </c>
      <c r="F8263" s="3" t="s">
        <v>1171</v>
      </c>
      <c r="G8263" s="3" t="s">
        <v>1172</v>
      </c>
      <c r="H8263" s="2" t="s">
        <v>20</v>
      </c>
      <c r="I8263" s="2" t="s">
        <v>16005</v>
      </c>
      <c r="J8263" s="3" t="str">
        <f>HYPERLINK("https://www.boe.es/gazeta/dias/1822/08/19/pdfs/GMD-1822-243.pdf#page=4","Abrir facsímil")</f>
        <v>Abrir facsímil</v>
      </c>
      <c r="K8263" s="3" t="s">
        <v>22</v>
      </c>
    </row>
    <row r="8264" spans="1:11" ht="42" customHeight="1">
      <c r="A8264" s="2" t="s">
        <v>16006</v>
      </c>
      <c r="B8264" s="2" t="s">
        <v>16007</v>
      </c>
      <c r="C8264" s="2" t="s">
        <v>50</v>
      </c>
      <c r="D8264" s="2" t="s">
        <v>51</v>
      </c>
      <c r="E8264" s="5">
        <v>-28260</v>
      </c>
      <c r="F8264" s="3" t="s">
        <v>135</v>
      </c>
      <c r="G8264" s="3" t="s">
        <v>31</v>
      </c>
      <c r="H8264" s="2" t="s">
        <v>20</v>
      </c>
      <c r="I8264" s="2" t="s">
        <v>16008</v>
      </c>
      <c r="J8264" s="3" t="str">
        <f>HYPERLINK("https://www.boe.es/gazeta/dias/1822/08/16/pdfs/GMD-1822-240.pdf#page=3","Abrir facsímil")</f>
        <v>Abrir facsímil</v>
      </c>
      <c r="K8264" s="3" t="s">
        <v>22</v>
      </c>
    </row>
    <row r="8265" spans="1:11" ht="42" customHeight="1">
      <c r="A8265" s="2" t="s">
        <v>16009</v>
      </c>
      <c r="B8265" s="2" t="s">
        <v>16010</v>
      </c>
      <c r="C8265" s="2" t="s">
        <v>16</v>
      </c>
      <c r="D8265" s="2" t="s">
        <v>17</v>
      </c>
      <c r="E8265" s="5">
        <v>-28310</v>
      </c>
      <c r="F8265" s="3" t="s">
        <v>241</v>
      </c>
      <c r="G8265" s="3" t="s">
        <v>57</v>
      </c>
      <c r="H8265" s="2" t="s">
        <v>20</v>
      </c>
      <c r="I8265" s="2" t="s">
        <v>16011</v>
      </c>
      <c r="J8265" s="3" t="str">
        <f>HYPERLINK("https://www.boe.es/gazeta/dias/1822/06/27/pdfs/GMD-1822-185.pdf#page=4","Abrir facsímil")</f>
        <v>Abrir facsímil</v>
      </c>
      <c r="K8265" s="3" t="s">
        <v>22</v>
      </c>
    </row>
    <row r="8266" spans="1:11" ht="42" customHeight="1">
      <c r="A8266" s="2" t="s">
        <v>16012</v>
      </c>
      <c r="B8266" s="2" t="s">
        <v>16013</v>
      </c>
      <c r="C8266" s="2" t="s">
        <v>71</v>
      </c>
      <c r="D8266" s="2" t="s">
        <v>17</v>
      </c>
      <c r="E8266" s="5">
        <v>-28444</v>
      </c>
      <c r="F8266" s="3" t="s">
        <v>681</v>
      </c>
      <c r="G8266" s="3" t="s">
        <v>57</v>
      </c>
      <c r="H8266" s="2" t="s">
        <v>20</v>
      </c>
      <c r="I8266" s="2" t="s">
        <v>16014</v>
      </c>
      <c r="J8266" s="3" t="str">
        <f>HYPERLINK("https://www.boe.es/gazeta/dias/1822/02/13/pdfs/GMD-1822-44.pdf#page=4","Abrir facsímil")</f>
        <v>Abrir facsímil</v>
      </c>
      <c r="K8266" s="3" t="s">
        <v>22</v>
      </c>
    </row>
    <row r="8267" spans="1:11" ht="42" customHeight="1">
      <c r="A8267" s="2" t="s">
        <v>16015</v>
      </c>
      <c r="B8267" s="2" t="s">
        <v>16016</v>
      </c>
      <c r="C8267" s="2" t="s">
        <v>50</v>
      </c>
      <c r="D8267" s="2" t="s">
        <v>51</v>
      </c>
      <c r="E8267" s="5">
        <v>-28484</v>
      </c>
      <c r="F8267" s="3" t="s">
        <v>743</v>
      </c>
      <c r="G8267" s="3" t="s">
        <v>31</v>
      </c>
      <c r="H8267" s="2" t="s">
        <v>20</v>
      </c>
      <c r="I8267" s="2" t="s">
        <v>16017</v>
      </c>
      <c r="J8267" s="3" t="str">
        <f>HYPERLINK("https://www.boe.es/gazeta/dias/1822/01/04/pdfs/GMD-1822-4.pdf#page=3","Abrir facsímil")</f>
        <v>Abrir facsímil</v>
      </c>
      <c r="K8267" s="3" t="s">
        <v>22</v>
      </c>
    </row>
    <row r="8268" spans="1:11" ht="42" customHeight="1">
      <c r="A8268" s="2" t="s">
        <v>16018</v>
      </c>
      <c r="B8268" s="2" t="s">
        <v>16019</v>
      </c>
      <c r="C8268" s="2" t="s">
        <v>42</v>
      </c>
      <c r="D8268" s="2" t="s">
        <v>17</v>
      </c>
      <c r="E8268" s="5">
        <v>-28391</v>
      </c>
      <c r="F8268" s="3" t="s">
        <v>378</v>
      </c>
      <c r="G8268" s="3" t="s">
        <v>63</v>
      </c>
      <c r="H8268" s="2" t="s">
        <v>45</v>
      </c>
      <c r="I8268" s="2" t="s">
        <v>16020</v>
      </c>
      <c r="J8268" s="3" t="str">
        <f>HYPERLINK("https://www.boe.es/gazeta/dias/1822/04/07/pdfs/GMD-1822-99.pdf#page=6","Abrir facsímil")</f>
        <v>Abrir facsímil</v>
      </c>
      <c r="K8268" s="3" t="s">
        <v>47</v>
      </c>
    </row>
    <row r="8269" spans="1:11" ht="42" customHeight="1">
      <c r="A8269" s="2" t="s">
        <v>16021</v>
      </c>
      <c r="B8269" s="2" t="s">
        <v>16022</v>
      </c>
      <c r="C8269" s="2" t="s">
        <v>61</v>
      </c>
      <c r="D8269" s="2" t="s">
        <v>17</v>
      </c>
      <c r="E8269" s="5">
        <v>-28400</v>
      </c>
      <c r="F8269" s="3" t="s">
        <v>1937</v>
      </c>
      <c r="G8269" s="3" t="s">
        <v>35</v>
      </c>
      <c r="H8269" s="2" t="s">
        <v>20</v>
      </c>
      <c r="I8269" s="2" t="s">
        <v>16023</v>
      </c>
      <c r="J8269" s="3" t="str">
        <f>HYPERLINK("https://www.boe.es/gazeta/dias/1822/03/29/pdfs/GMD-1822-90.pdf#page=2","Abrir facsímil")</f>
        <v>Abrir facsímil</v>
      </c>
      <c r="K8269" s="3" t="s">
        <v>22</v>
      </c>
    </row>
    <row r="8270" spans="1:11" ht="42" customHeight="1">
      <c r="A8270" s="2" t="s">
        <v>16024</v>
      </c>
      <c r="B8270" s="2" t="s">
        <v>16025</v>
      </c>
      <c r="C8270" s="2" t="s">
        <v>50</v>
      </c>
      <c r="D8270" s="2" t="s">
        <v>51</v>
      </c>
      <c r="E8270" s="5">
        <v>-28303</v>
      </c>
      <c r="F8270" s="3" t="s">
        <v>201</v>
      </c>
      <c r="G8270" s="3" t="s">
        <v>31</v>
      </c>
      <c r="H8270" s="2" t="s">
        <v>20</v>
      </c>
      <c r="I8270" s="2" t="s">
        <v>16026</v>
      </c>
      <c r="J8270" s="3" t="str">
        <f>HYPERLINK("https://www.boe.es/gazeta/dias/1822/07/04/pdfs/GMD-1822-193.pdf#page=3","Abrir facsímil")</f>
        <v>Abrir facsímil</v>
      </c>
      <c r="K8270" s="3" t="s">
        <v>22</v>
      </c>
    </row>
    <row r="8271" spans="1:11" ht="42" customHeight="1">
      <c r="A8271" s="2" t="s">
        <v>16027</v>
      </c>
      <c r="B8271" s="2" t="s">
        <v>16028</v>
      </c>
      <c r="C8271" s="2" t="s">
        <v>50</v>
      </c>
      <c r="D8271" s="2" t="s">
        <v>51</v>
      </c>
      <c r="E8271" s="5">
        <v>-28477</v>
      </c>
      <c r="F8271" s="3" t="s">
        <v>1668</v>
      </c>
      <c r="G8271" s="3" t="s">
        <v>19</v>
      </c>
      <c r="H8271" s="2" t="s">
        <v>20</v>
      </c>
      <c r="I8271" s="2" t="s">
        <v>16029</v>
      </c>
      <c r="J8271" s="3" t="str">
        <f>HYPERLINK("https://www.boe.es/gazeta/dias/1822/01/11/pdfs/GMD-1822-11.pdf#page=5","Abrir facsímil")</f>
        <v>Abrir facsímil</v>
      </c>
      <c r="K8271" s="3" t="s">
        <v>22</v>
      </c>
    </row>
    <row r="8272" spans="1:11" ht="42" customHeight="1">
      <c r="A8272" s="2" t="s">
        <v>16027</v>
      </c>
      <c r="B8272" s="2" t="s">
        <v>16028</v>
      </c>
      <c r="C8272" s="2" t="s">
        <v>50</v>
      </c>
      <c r="D8272" s="2" t="s">
        <v>51</v>
      </c>
      <c r="E8272" s="5">
        <v>-28155</v>
      </c>
      <c r="F8272" s="3" t="s">
        <v>833</v>
      </c>
      <c r="G8272" s="3" t="s">
        <v>63</v>
      </c>
      <c r="H8272" s="2" t="s">
        <v>20</v>
      </c>
      <c r="I8272" s="2" t="s">
        <v>16030</v>
      </c>
      <c r="J8272" s="3" t="str">
        <f>HYPERLINK("https://www.boe.es/gazeta/dias/1822/11/29/pdfs/GMD-1822-349.pdf#page=6","Abrir facsímil")</f>
        <v>Abrir facsímil</v>
      </c>
      <c r="K8272" s="3" t="s">
        <v>22</v>
      </c>
    </row>
    <row r="8273" spans="1:11" ht="42" customHeight="1">
      <c r="A8273" s="2" t="s">
        <v>16031</v>
      </c>
      <c r="B8273" s="2" t="s">
        <v>16032</v>
      </c>
      <c r="C8273" s="2" t="s">
        <v>50</v>
      </c>
      <c r="D8273" s="2" t="s">
        <v>723</v>
      </c>
      <c r="E8273" s="5">
        <v>-28181</v>
      </c>
      <c r="F8273" s="3" t="s">
        <v>724</v>
      </c>
      <c r="G8273" s="3" t="s">
        <v>35</v>
      </c>
      <c r="H8273" s="2" t="s">
        <v>20</v>
      </c>
      <c r="I8273" s="2" t="s">
        <v>16033</v>
      </c>
      <c r="J8273" s="3" t="str">
        <f>HYPERLINK("https://www.boe.es/gazeta/dias/1822/11/03/pdfs/GMD-1822-322E.pdf#page=2","Abrir facsímil")</f>
        <v>Abrir facsímil</v>
      </c>
      <c r="K8273" s="3" t="s">
        <v>22</v>
      </c>
    </row>
    <row r="8274" spans="1:11" ht="42" customHeight="1">
      <c r="A8274" s="2" t="s">
        <v>16034</v>
      </c>
      <c r="B8274" s="2" t="s">
        <v>16035</v>
      </c>
      <c r="C8274" s="2" t="s">
        <v>50</v>
      </c>
      <c r="D8274" s="2" t="s">
        <v>51</v>
      </c>
      <c r="E8274" s="5">
        <v>-28293</v>
      </c>
      <c r="F8274" s="3" t="s">
        <v>152</v>
      </c>
      <c r="G8274" s="3" t="s">
        <v>31</v>
      </c>
      <c r="H8274" s="2" t="s">
        <v>20</v>
      </c>
      <c r="I8274" s="2" t="s">
        <v>16036</v>
      </c>
      <c r="J8274" s="3" t="str">
        <f>HYPERLINK("https://www.boe.es/gazeta/dias/1822/07/14/pdfs/GMD-1822-204.pdf#page=3","Abrir facsímil")</f>
        <v>Abrir facsímil</v>
      </c>
      <c r="K8274" s="3" t="s">
        <v>22</v>
      </c>
    </row>
    <row r="8275" spans="1:11" ht="42" customHeight="1">
      <c r="A8275" s="2" t="s">
        <v>16037</v>
      </c>
      <c r="B8275" s="2" t="s">
        <v>16038</v>
      </c>
      <c r="C8275" s="2" t="s">
        <v>42</v>
      </c>
      <c r="D8275" s="2" t="s">
        <v>17</v>
      </c>
      <c r="E8275" s="5">
        <v>-28172</v>
      </c>
      <c r="F8275" s="3" t="s">
        <v>674</v>
      </c>
      <c r="G8275" s="3" t="s">
        <v>57</v>
      </c>
      <c r="H8275" s="2" t="s">
        <v>45</v>
      </c>
      <c r="I8275" s="2" t="s">
        <v>16039</v>
      </c>
      <c r="J8275" s="3" t="str">
        <f>HYPERLINK("https://www.boe.es/gazeta/dias/1822/11/12/pdfs/GMD-1822-332.pdf#page=4","Abrir facsímil")</f>
        <v>Abrir facsímil</v>
      </c>
      <c r="K8275" s="3" t="s">
        <v>47</v>
      </c>
    </row>
    <row r="8276" spans="1:11" ht="42" customHeight="1">
      <c r="A8276" s="2" t="s">
        <v>16040</v>
      </c>
      <c r="B8276" s="2" t="s">
        <v>16040</v>
      </c>
      <c r="C8276" s="2" t="s">
        <v>28</v>
      </c>
      <c r="D8276" s="2" t="s">
        <v>29</v>
      </c>
      <c r="E8276" s="5">
        <v>-28472</v>
      </c>
      <c r="F8276" s="3" t="s">
        <v>5485</v>
      </c>
      <c r="G8276" s="3" t="s">
        <v>35</v>
      </c>
      <c r="H8276" s="2" t="s">
        <v>20</v>
      </c>
      <c r="I8276" s="2" t="s">
        <v>16041</v>
      </c>
      <c r="J8276" s="3" t="str">
        <f>HYPERLINK("https://www.boe.es/gazeta/dias/1822/01/16/pdfs/GMD-1822-16.pdf#page=2","Abrir facsímil")</f>
        <v>Abrir facsímil</v>
      </c>
      <c r="K8276" s="3" t="s">
        <v>22</v>
      </c>
    </row>
    <row r="8277" spans="1:11" ht="42" customHeight="1">
      <c r="A8277" s="2" t="s">
        <v>16042</v>
      </c>
      <c r="B8277" s="2" t="s">
        <v>16042</v>
      </c>
      <c r="C8277" s="2" t="s">
        <v>50</v>
      </c>
      <c r="D8277" s="2" t="s">
        <v>51</v>
      </c>
      <c r="E8277" s="5">
        <v>-28486</v>
      </c>
      <c r="F8277" s="3" t="s">
        <v>1046</v>
      </c>
      <c r="G8277" s="3" t="s">
        <v>1085</v>
      </c>
      <c r="H8277" s="2" t="s">
        <v>20</v>
      </c>
      <c r="I8277" s="2" t="s">
        <v>16043</v>
      </c>
      <c r="J8277" s="3" t="str">
        <f>HYPERLINK("https://www.boe.es/gazeta/dias/1822/01/02/pdfs/GMD-1822-2.pdf#page=3","Abrir facsímil")</f>
        <v>Abrir facsímil</v>
      </c>
      <c r="K8277" s="3" t="s">
        <v>22</v>
      </c>
    </row>
    <row r="8278" spans="1:11" ht="42" customHeight="1">
      <c r="A8278" s="2" t="s">
        <v>16044</v>
      </c>
      <c r="B8278" s="2" t="s">
        <v>16045</v>
      </c>
      <c r="C8278" s="2" t="s">
        <v>28</v>
      </c>
      <c r="D8278" s="2" t="s">
        <v>29</v>
      </c>
      <c r="E8278" s="5">
        <v>-28280</v>
      </c>
      <c r="F8278" s="3" t="s">
        <v>56</v>
      </c>
      <c r="G8278" s="3" t="s">
        <v>57</v>
      </c>
      <c r="H8278" s="2" t="s">
        <v>45</v>
      </c>
      <c r="I8278" s="2" t="s">
        <v>16046</v>
      </c>
      <c r="J8278" s="3" t="str">
        <f>HYPERLINK("https://www.boe.es/gazeta/dias/1822/07/27/pdfs/GMD-1822-220.pdf#page=4","Abrir facsímil")</f>
        <v>Abrir facsímil</v>
      </c>
      <c r="K8278" s="3" t="s">
        <v>47</v>
      </c>
    </row>
    <row r="8279" spans="1:11" ht="42" customHeight="1">
      <c r="A8279" s="2" t="s">
        <v>16047</v>
      </c>
      <c r="B8279" s="2" t="s">
        <v>16048</v>
      </c>
      <c r="C8279" s="2" t="s">
        <v>42</v>
      </c>
      <c r="D8279" s="2" t="s">
        <v>17</v>
      </c>
      <c r="E8279" s="5">
        <v>-28160</v>
      </c>
      <c r="F8279" s="3" t="s">
        <v>148</v>
      </c>
      <c r="G8279" s="3" t="s">
        <v>19</v>
      </c>
      <c r="H8279" s="2" t="s">
        <v>20</v>
      </c>
      <c r="I8279" s="2" t="s">
        <v>16049</v>
      </c>
      <c r="J8279" s="3" t="str">
        <f>HYPERLINK("https://www.boe.es/gazeta/dias/1822/11/24/pdfs/GMD-1822-344.pdf#page=5","Abrir facsímil")</f>
        <v>Abrir facsímil</v>
      </c>
      <c r="K8279" s="3" t="s">
        <v>22</v>
      </c>
    </row>
    <row r="8280" spans="1:11" ht="42" customHeight="1">
      <c r="A8280" s="2" t="s">
        <v>16050</v>
      </c>
      <c r="B8280" s="2" t="s">
        <v>16050</v>
      </c>
      <c r="C8280" s="2" t="s">
        <v>71</v>
      </c>
      <c r="D8280" s="2" t="s">
        <v>17</v>
      </c>
      <c r="E8280" s="5">
        <v>-28338</v>
      </c>
      <c r="F8280" s="3" t="s">
        <v>527</v>
      </c>
      <c r="G8280" s="3" t="s">
        <v>57</v>
      </c>
      <c r="H8280" s="2" t="s">
        <v>20</v>
      </c>
      <c r="I8280" s="2" t="s">
        <v>16051</v>
      </c>
      <c r="J8280" s="3" t="str">
        <f>HYPERLINK("https://www.boe.es/gazeta/dias/1822/05/30/pdfs/GMD-1822-155.pdf#page=4","Abrir facsímil")</f>
        <v>Abrir facsímil</v>
      </c>
      <c r="K8280" s="3" t="s">
        <v>22</v>
      </c>
    </row>
    <row r="8281" spans="1:11" ht="42" customHeight="1">
      <c r="A8281" s="2" t="s">
        <v>16052</v>
      </c>
      <c r="B8281" s="2" t="s">
        <v>16053</v>
      </c>
      <c r="C8281" s="2" t="s">
        <v>362</v>
      </c>
      <c r="D8281" s="2" t="s">
        <v>17</v>
      </c>
      <c r="E8281" s="5">
        <v>-28427</v>
      </c>
      <c r="F8281" s="3" t="s">
        <v>755</v>
      </c>
      <c r="G8281" s="3" t="s">
        <v>57</v>
      </c>
      <c r="H8281" s="2" t="s">
        <v>20</v>
      </c>
      <c r="I8281" s="2" t="s">
        <v>16054</v>
      </c>
      <c r="J8281" s="3" t="str">
        <f>HYPERLINK("https://www.boe.es/gazeta/dias/1822/03/02/pdfs/GMD-1822-63.pdf#page=4","Abrir facsímil")</f>
        <v>Abrir facsímil</v>
      </c>
      <c r="K8281" s="3" t="s">
        <v>22</v>
      </c>
    </row>
    <row r="8282" spans="1:11" ht="42" customHeight="1">
      <c r="A8282" s="2" t="s">
        <v>16055</v>
      </c>
      <c r="B8282" s="2" t="s">
        <v>16056</v>
      </c>
      <c r="C8282" s="2" t="s">
        <v>28</v>
      </c>
      <c r="D8282" s="2" t="s">
        <v>29</v>
      </c>
      <c r="E8282" s="5">
        <v>-28229</v>
      </c>
      <c r="F8282" s="3" t="s">
        <v>2310</v>
      </c>
      <c r="G8282" s="3" t="s">
        <v>57</v>
      </c>
      <c r="H8282" s="2" t="s">
        <v>20</v>
      </c>
      <c r="I8282" s="2" t="s">
        <v>16057</v>
      </c>
      <c r="J8282" s="3" t="str">
        <f>HYPERLINK("https://www.boe.es/gazeta/dias/1822/09/16/pdfs/GMD-1822-272.pdf#page=4","Abrir facsímil")</f>
        <v>Abrir facsímil</v>
      </c>
      <c r="K8282" s="3" t="s">
        <v>22</v>
      </c>
    </row>
    <row r="8283" spans="1:11" ht="42" customHeight="1">
      <c r="A8283" s="2" t="s">
        <v>16058</v>
      </c>
      <c r="B8283" s="2" t="s">
        <v>16058</v>
      </c>
      <c r="C8283" s="2" t="s">
        <v>50</v>
      </c>
      <c r="D8283" s="2" t="s">
        <v>51</v>
      </c>
      <c r="E8283" s="5">
        <v>-28230</v>
      </c>
      <c r="F8283" s="3" t="s">
        <v>1735</v>
      </c>
      <c r="G8283" s="3" t="s">
        <v>57</v>
      </c>
      <c r="H8283" s="2" t="s">
        <v>20</v>
      </c>
      <c r="I8283" s="2" t="s">
        <v>16059</v>
      </c>
      <c r="J8283" s="3" t="str">
        <f>HYPERLINK("https://www.boe.es/gazeta/dias/1822/09/15/pdfs/GMD-1822-271.pdf#page=4","Abrir facsímil")</f>
        <v>Abrir facsímil</v>
      </c>
      <c r="K8283" s="3" t="s">
        <v>22</v>
      </c>
    </row>
    <row r="8284" spans="1:11" ht="42" customHeight="1">
      <c r="A8284" s="2" t="s">
        <v>16060</v>
      </c>
      <c r="B8284" s="2" t="s">
        <v>16060</v>
      </c>
      <c r="C8284" s="2" t="s">
        <v>28</v>
      </c>
      <c r="D8284" s="2" t="s">
        <v>29</v>
      </c>
      <c r="E8284" s="5">
        <v>-28321</v>
      </c>
      <c r="F8284" s="3" t="s">
        <v>1142</v>
      </c>
      <c r="G8284" s="3" t="s">
        <v>63</v>
      </c>
      <c r="H8284" s="2" t="s">
        <v>20</v>
      </c>
      <c r="I8284" s="2" t="s">
        <v>16061</v>
      </c>
      <c r="J8284" s="3" t="str">
        <f>HYPERLINK("https://www.boe.es/gazeta/dias/1822/06/16/pdfs/GMD-1822-173.pdf#page=6","Abrir facsímil")</f>
        <v>Abrir facsímil</v>
      </c>
      <c r="K8284" s="3" t="s">
        <v>22</v>
      </c>
    </row>
    <row r="8285" spans="1:11" ht="42" customHeight="1">
      <c r="A8285" s="2" t="s">
        <v>16062</v>
      </c>
      <c r="B8285" s="2" t="s">
        <v>16063</v>
      </c>
      <c r="C8285" s="2" t="s">
        <v>71</v>
      </c>
      <c r="D8285" s="2" t="s">
        <v>17</v>
      </c>
      <c r="E8285" s="5">
        <v>-28308</v>
      </c>
      <c r="F8285" s="3" t="s">
        <v>1050</v>
      </c>
      <c r="G8285" s="3" t="s">
        <v>157</v>
      </c>
      <c r="H8285" s="2" t="s">
        <v>20</v>
      </c>
      <c r="I8285" s="2" t="s">
        <v>16064</v>
      </c>
      <c r="J8285" s="3" t="str">
        <f>HYPERLINK("https://www.boe.es/gazeta/dias/1822/06/29/pdfs/GMD-1822-187.pdf#page=8","Abrir facsímil")</f>
        <v>Abrir facsímil</v>
      </c>
      <c r="K8285" s="3" t="s">
        <v>22</v>
      </c>
    </row>
    <row r="8286" spans="1:11" ht="42" customHeight="1">
      <c r="A8286" s="2" t="s">
        <v>16062</v>
      </c>
      <c r="B8286" s="2" t="s">
        <v>16063</v>
      </c>
      <c r="C8286" s="2" t="s">
        <v>50</v>
      </c>
      <c r="D8286" s="2" t="s">
        <v>51</v>
      </c>
      <c r="E8286" s="5">
        <v>-28260</v>
      </c>
      <c r="F8286" s="3" t="s">
        <v>135</v>
      </c>
      <c r="G8286" s="3" t="s">
        <v>63</v>
      </c>
      <c r="H8286" s="2" t="s">
        <v>20</v>
      </c>
      <c r="I8286" s="2" t="s">
        <v>16065</v>
      </c>
      <c r="J8286" s="3" t="str">
        <f>HYPERLINK("https://www.boe.es/gazeta/dias/1822/08/16/pdfs/GMD-1822-240.pdf#page=6","Abrir facsímil")</f>
        <v>Abrir facsímil</v>
      </c>
      <c r="K8286" s="3" t="s">
        <v>22</v>
      </c>
    </row>
    <row r="8287" spans="1:11" ht="42" customHeight="1">
      <c r="A8287" s="2" t="s">
        <v>16062</v>
      </c>
      <c r="B8287" s="2" t="s">
        <v>16063</v>
      </c>
      <c r="C8287" s="2" t="s">
        <v>42</v>
      </c>
      <c r="D8287" s="2" t="s">
        <v>17</v>
      </c>
      <c r="E8287" s="5">
        <v>-28169</v>
      </c>
      <c r="F8287" s="3" t="s">
        <v>2571</v>
      </c>
      <c r="G8287" s="3" t="s">
        <v>63</v>
      </c>
      <c r="H8287" s="2" t="s">
        <v>20</v>
      </c>
      <c r="I8287" s="2" t="s">
        <v>16066</v>
      </c>
      <c r="J8287" s="3" t="str">
        <f>HYPERLINK("https://www.boe.es/gazeta/dias/1822/11/15/pdfs/GMD-1822-335.pdf#page=6","Abrir facsímil")</f>
        <v>Abrir facsímil</v>
      </c>
      <c r="K8287" s="3" t="s">
        <v>22</v>
      </c>
    </row>
    <row r="8288" spans="1:11" ht="42" customHeight="1">
      <c r="A8288" s="2" t="s">
        <v>16067</v>
      </c>
      <c r="B8288" s="2" t="s">
        <v>16068</v>
      </c>
      <c r="C8288" s="2" t="s">
        <v>50</v>
      </c>
      <c r="D8288" s="2" t="s">
        <v>51</v>
      </c>
      <c r="E8288" s="5">
        <v>-28365</v>
      </c>
      <c r="F8288" s="3" t="s">
        <v>506</v>
      </c>
      <c r="G8288" s="3" t="s">
        <v>2093</v>
      </c>
      <c r="H8288" s="2" t="s">
        <v>20</v>
      </c>
      <c r="I8288" s="2" t="s">
        <v>16069</v>
      </c>
      <c r="J8288" s="3" t="str">
        <f>HYPERLINK("https://www.boe.es/gazeta/dias/1822/05/03/pdfs/GMD-1822-125.pdf#page=6","Abrir facsímil")</f>
        <v>Abrir facsímil</v>
      </c>
      <c r="K8288" s="3" t="s">
        <v>22</v>
      </c>
    </row>
    <row r="8289" spans="1:11" ht="42" customHeight="1">
      <c r="A8289" s="2" t="s">
        <v>16070</v>
      </c>
      <c r="B8289" s="2" t="s">
        <v>16070</v>
      </c>
      <c r="C8289" s="2" t="s">
        <v>42</v>
      </c>
      <c r="D8289" s="2" t="s">
        <v>17</v>
      </c>
      <c r="E8289" s="5">
        <v>-28436</v>
      </c>
      <c r="F8289" s="3" t="s">
        <v>431</v>
      </c>
      <c r="G8289" s="3" t="s">
        <v>1428</v>
      </c>
      <c r="H8289" s="2" t="s">
        <v>20</v>
      </c>
      <c r="I8289" s="2" t="s">
        <v>16071</v>
      </c>
      <c r="J8289" s="3" t="str">
        <f>HYPERLINK("https://www.boe.es/gazeta/dias/1822/02/21/pdfs/GMD-1822-53.pdf#page=3","Abrir facsímil")</f>
        <v>Abrir facsímil</v>
      </c>
      <c r="K8289" s="3" t="s">
        <v>22</v>
      </c>
    </row>
    <row r="8290" spans="1:11" ht="42" customHeight="1">
      <c r="A8290" s="2" t="s">
        <v>16070</v>
      </c>
      <c r="B8290" s="2" t="s">
        <v>16070</v>
      </c>
      <c r="C8290" s="2" t="s">
        <v>362</v>
      </c>
      <c r="D8290" s="2" t="s">
        <v>17</v>
      </c>
      <c r="E8290" s="5">
        <v>-28378</v>
      </c>
      <c r="F8290" s="3" t="s">
        <v>496</v>
      </c>
      <c r="G8290" s="3" t="s">
        <v>57</v>
      </c>
      <c r="H8290" s="2" t="s">
        <v>20</v>
      </c>
      <c r="I8290" s="2" t="s">
        <v>16072</v>
      </c>
      <c r="J8290" s="3" t="str">
        <f>HYPERLINK("https://www.boe.es/gazeta/dias/1822/04/20/pdfs/GMD-1822-112.pdf#page=4","Abrir facsímil")</f>
        <v>Abrir facsímil</v>
      </c>
      <c r="K8290" s="3" t="s">
        <v>22</v>
      </c>
    </row>
    <row r="8291" spans="1:11" ht="42" customHeight="1">
      <c r="A8291" s="2" t="s">
        <v>16070</v>
      </c>
      <c r="B8291" s="2" t="s">
        <v>16070</v>
      </c>
      <c r="C8291" s="2" t="s">
        <v>42</v>
      </c>
      <c r="D8291" s="2" t="s">
        <v>17</v>
      </c>
      <c r="E8291" s="5">
        <v>-28338</v>
      </c>
      <c r="F8291" s="3" t="s">
        <v>527</v>
      </c>
      <c r="G8291" s="3" t="s">
        <v>57</v>
      </c>
      <c r="H8291" s="2" t="s">
        <v>20</v>
      </c>
      <c r="I8291" s="2" t="s">
        <v>16073</v>
      </c>
      <c r="J8291" s="3" t="str">
        <f>HYPERLINK("https://www.boe.es/gazeta/dias/1822/05/30/pdfs/GMD-1822-155.pdf#page=4","Abrir facsímil")</f>
        <v>Abrir facsímil</v>
      </c>
      <c r="K8291" s="3" t="s">
        <v>22</v>
      </c>
    </row>
    <row r="8292" spans="1:11" ht="42" customHeight="1">
      <c r="A8292" s="2" t="s">
        <v>16070</v>
      </c>
      <c r="B8292" s="2" t="s">
        <v>16070</v>
      </c>
      <c r="C8292" s="2" t="s">
        <v>16</v>
      </c>
      <c r="D8292" s="2" t="s">
        <v>17</v>
      </c>
      <c r="E8292" s="5">
        <v>-28260</v>
      </c>
      <c r="F8292" s="3" t="s">
        <v>135</v>
      </c>
      <c r="G8292" s="3" t="s">
        <v>63</v>
      </c>
      <c r="H8292" s="2" t="s">
        <v>20</v>
      </c>
      <c r="I8292" s="2" t="s">
        <v>16074</v>
      </c>
      <c r="J8292" s="3" t="str">
        <f>HYPERLINK("https://www.boe.es/gazeta/dias/1822/08/16/pdfs/GMD-1822-240.pdf#page=6","Abrir facsímil")</f>
        <v>Abrir facsímil</v>
      </c>
      <c r="K8292" s="3" t="s">
        <v>22</v>
      </c>
    </row>
    <row r="8293" spans="1:11" ht="42" customHeight="1">
      <c r="A8293" s="2" t="s">
        <v>16070</v>
      </c>
      <c r="B8293" s="2" t="s">
        <v>16070</v>
      </c>
      <c r="C8293" s="2" t="s">
        <v>61</v>
      </c>
      <c r="D8293" s="2" t="s">
        <v>17</v>
      </c>
      <c r="E8293" s="5">
        <v>-28257</v>
      </c>
      <c r="F8293" s="3" t="s">
        <v>1171</v>
      </c>
      <c r="G8293" s="3" t="s">
        <v>1172</v>
      </c>
      <c r="H8293" s="2" t="s">
        <v>20</v>
      </c>
      <c r="I8293" s="2" t="s">
        <v>16075</v>
      </c>
      <c r="J8293" s="3" t="str">
        <f>HYPERLINK("https://www.boe.es/gazeta/dias/1822/08/19/pdfs/GMD-1822-243.pdf#page=4","Abrir facsímil")</f>
        <v>Abrir facsímil</v>
      </c>
      <c r="K8293" s="3" t="s">
        <v>22</v>
      </c>
    </row>
    <row r="8294" spans="1:11" ht="42" customHeight="1">
      <c r="A8294" s="2" t="s">
        <v>16070</v>
      </c>
      <c r="B8294" s="2" t="s">
        <v>16070</v>
      </c>
      <c r="C8294" s="2" t="s">
        <v>50</v>
      </c>
      <c r="D8294" s="2" t="s">
        <v>51</v>
      </c>
      <c r="E8294" s="5">
        <v>-28254</v>
      </c>
      <c r="F8294" s="3" t="s">
        <v>3557</v>
      </c>
      <c r="G8294" s="3" t="s">
        <v>31</v>
      </c>
      <c r="H8294" s="2" t="s">
        <v>20</v>
      </c>
      <c r="I8294" s="2" t="s">
        <v>16076</v>
      </c>
      <c r="J8294" s="3" t="str">
        <f>HYPERLINK("https://www.boe.es/gazeta/dias/1822/08/22/pdfs/GMD-1822-246.pdf#page=3","Abrir facsímil")</f>
        <v>Abrir facsímil</v>
      </c>
      <c r="K8294" s="3" t="s">
        <v>22</v>
      </c>
    </row>
    <row r="8295" spans="1:11" ht="42" customHeight="1">
      <c r="A8295" s="2" t="s">
        <v>16070</v>
      </c>
      <c r="B8295" s="2" t="s">
        <v>16070</v>
      </c>
      <c r="C8295" s="2" t="s">
        <v>50</v>
      </c>
      <c r="D8295" s="2" t="s">
        <v>51</v>
      </c>
      <c r="E8295" s="5">
        <v>-28232</v>
      </c>
      <c r="F8295" s="3" t="s">
        <v>3875</v>
      </c>
      <c r="G8295" s="3" t="s">
        <v>35</v>
      </c>
      <c r="H8295" s="2" t="s">
        <v>20</v>
      </c>
      <c r="I8295" s="2" t="s">
        <v>16077</v>
      </c>
      <c r="J8295" s="3" t="str">
        <f>HYPERLINK("https://www.boe.es/gazeta/dias/1822/09/13/pdfs/GMD-1822-269.pdf#page=2","Abrir facsímil")</f>
        <v>Abrir facsímil</v>
      </c>
      <c r="K8295" s="3" t="s">
        <v>22</v>
      </c>
    </row>
    <row r="8296" spans="1:11" ht="42" customHeight="1">
      <c r="A8296" s="2" t="s">
        <v>16070</v>
      </c>
      <c r="B8296" s="2" t="s">
        <v>16070</v>
      </c>
      <c r="C8296" s="2" t="s">
        <v>50</v>
      </c>
      <c r="D8296" s="2" t="s">
        <v>51</v>
      </c>
      <c r="E8296" s="5">
        <v>-28208</v>
      </c>
      <c r="F8296" s="3" t="s">
        <v>230</v>
      </c>
      <c r="G8296" s="3" t="s">
        <v>35</v>
      </c>
      <c r="H8296" s="2" t="s">
        <v>20</v>
      </c>
      <c r="I8296" s="2" t="s">
        <v>16078</v>
      </c>
      <c r="J8296" s="3" t="str">
        <f>HYPERLINK("https://www.boe.es/gazeta/dias/1822/10/07/pdfs/GMD-1822-293.pdf#page=2","Abrir facsímil")</f>
        <v>Abrir facsímil</v>
      </c>
      <c r="K8296" s="3" t="s">
        <v>22</v>
      </c>
    </row>
    <row r="8297" spans="1:11" ht="42" customHeight="1">
      <c r="A8297" s="2" t="s">
        <v>16070</v>
      </c>
      <c r="B8297" s="2" t="s">
        <v>16070</v>
      </c>
      <c r="C8297" s="2" t="s">
        <v>42</v>
      </c>
      <c r="D8297" s="2" t="s">
        <v>17</v>
      </c>
      <c r="E8297" s="5">
        <v>-28165</v>
      </c>
      <c r="F8297" s="3" t="s">
        <v>846</v>
      </c>
      <c r="G8297" s="3" t="s">
        <v>57</v>
      </c>
      <c r="H8297" s="2" t="s">
        <v>20</v>
      </c>
      <c r="I8297" s="2" t="s">
        <v>16079</v>
      </c>
      <c r="J8297" s="3" t="str">
        <f>HYPERLINK("https://www.boe.es/gazeta/dias/1822/11/19/pdfs/GMD-1822-339.pdf#page=4","Abrir facsímil")</f>
        <v>Abrir facsímil</v>
      </c>
      <c r="K8297" s="3" t="s">
        <v>22</v>
      </c>
    </row>
    <row r="8298" spans="1:11" ht="42" customHeight="1">
      <c r="A8298" s="2" t="s">
        <v>16070</v>
      </c>
      <c r="B8298" s="2" t="s">
        <v>16070</v>
      </c>
      <c r="C8298" s="2" t="s">
        <v>16</v>
      </c>
      <c r="D8298" s="2" t="s">
        <v>17</v>
      </c>
      <c r="E8298" s="5">
        <v>-28127</v>
      </c>
      <c r="F8298" s="3" t="s">
        <v>409</v>
      </c>
      <c r="G8298" s="3" t="s">
        <v>19</v>
      </c>
      <c r="H8298" s="2" t="s">
        <v>20</v>
      </c>
      <c r="I8298" s="2" t="s">
        <v>16080</v>
      </c>
      <c r="J8298" s="3" t="str">
        <f>HYPERLINK("https://www.boe.es/gazeta/dias/1822/12/27/pdfs/GMD-1822-377.pdf#page=5","Abrir facsímil")</f>
        <v>Abrir facsímil</v>
      </c>
      <c r="K8298" s="3" t="s">
        <v>22</v>
      </c>
    </row>
    <row r="8299" spans="1:11" ht="42" customHeight="1">
      <c r="A8299" s="2" t="s">
        <v>16081</v>
      </c>
      <c r="B8299" s="2" t="s">
        <v>16082</v>
      </c>
      <c r="C8299" s="2" t="s">
        <v>50</v>
      </c>
      <c r="D8299" s="2" t="s">
        <v>51</v>
      </c>
      <c r="E8299" s="5">
        <v>-28314</v>
      </c>
      <c r="F8299" s="3" t="s">
        <v>309</v>
      </c>
      <c r="G8299" s="3" t="s">
        <v>63</v>
      </c>
      <c r="H8299" s="2" t="s">
        <v>45</v>
      </c>
      <c r="I8299" s="2" t="s">
        <v>16083</v>
      </c>
      <c r="J8299" s="3" t="str">
        <f>HYPERLINK("https://www.boe.es/gazeta/dias/1822/06/23/pdfs/GMD-1822-181.pdf#page=6","Abrir facsímil")</f>
        <v>Abrir facsímil</v>
      </c>
      <c r="K8299" s="3" t="s">
        <v>47</v>
      </c>
    </row>
    <row r="8300" spans="1:11" ht="42" customHeight="1">
      <c r="A8300" s="2" t="s">
        <v>16084</v>
      </c>
      <c r="B8300" s="2" t="s">
        <v>16085</v>
      </c>
      <c r="C8300" s="2" t="s">
        <v>28</v>
      </c>
      <c r="D8300" s="2" t="s">
        <v>29</v>
      </c>
      <c r="E8300" s="5">
        <v>-28314</v>
      </c>
      <c r="F8300" s="3" t="s">
        <v>309</v>
      </c>
      <c r="G8300" s="3" t="s">
        <v>63</v>
      </c>
      <c r="H8300" s="2" t="s">
        <v>20</v>
      </c>
      <c r="I8300" s="2" t="s">
        <v>16086</v>
      </c>
      <c r="J8300" s="3" t="str">
        <f>HYPERLINK("https://www.boe.es/gazeta/dias/1822/06/23/pdfs/GMD-1822-181.pdf#page=6","Abrir facsímil")</f>
        <v>Abrir facsímil</v>
      </c>
      <c r="K8300" s="3" t="s">
        <v>22</v>
      </c>
    </row>
    <row r="8301" spans="1:11" ht="42" customHeight="1">
      <c r="A8301" s="2" t="s">
        <v>16087</v>
      </c>
      <c r="B8301" s="2" t="s">
        <v>16088</v>
      </c>
      <c r="C8301" s="2" t="s">
        <v>28</v>
      </c>
      <c r="D8301" s="2" t="s">
        <v>29</v>
      </c>
      <c r="E8301" s="5">
        <v>-28328</v>
      </c>
      <c r="F8301" s="3" t="s">
        <v>540</v>
      </c>
      <c r="G8301" s="3" t="s">
        <v>31</v>
      </c>
      <c r="H8301" s="2" t="s">
        <v>20</v>
      </c>
      <c r="I8301" s="2" t="s">
        <v>16089</v>
      </c>
      <c r="J8301" s="3" t="str">
        <f>HYPERLINK("https://www.boe.es/gazeta/dias/1822/06/09/pdfs/GMD-1822-166.pdf#page=3","Abrir facsímil")</f>
        <v>Abrir facsímil</v>
      </c>
      <c r="K8301" s="3" t="s">
        <v>22</v>
      </c>
    </row>
    <row r="8302" spans="1:11" ht="42" customHeight="1">
      <c r="A8302" s="2" t="s">
        <v>16090</v>
      </c>
      <c r="B8302" s="2" t="s">
        <v>16091</v>
      </c>
      <c r="C8302" s="2" t="s">
        <v>50</v>
      </c>
      <c r="D8302" s="2" t="s">
        <v>51</v>
      </c>
      <c r="E8302" s="5">
        <v>-28358</v>
      </c>
      <c r="F8302" s="3" t="s">
        <v>211</v>
      </c>
      <c r="G8302" s="3" t="s">
        <v>35</v>
      </c>
      <c r="H8302" s="2" t="s">
        <v>20</v>
      </c>
      <c r="I8302" s="2" t="s">
        <v>16092</v>
      </c>
      <c r="J8302" s="3" t="str">
        <f>HYPERLINK("https://www.boe.es/gazeta/dias/1822/05/10/pdfs/GMD-1822-132.pdf#page=2","Abrir facsímil")</f>
        <v>Abrir facsímil</v>
      </c>
      <c r="K8302" s="3" t="s">
        <v>22</v>
      </c>
    </row>
    <row r="8303" spans="1:11" ht="42" customHeight="1">
      <c r="A8303" s="2" t="s">
        <v>16093</v>
      </c>
      <c r="B8303" s="2" t="s">
        <v>16093</v>
      </c>
      <c r="C8303" s="2" t="s">
        <v>42</v>
      </c>
      <c r="D8303" s="2" t="s">
        <v>17</v>
      </c>
      <c r="E8303" s="5">
        <v>-28327</v>
      </c>
      <c r="F8303" s="3" t="s">
        <v>38</v>
      </c>
      <c r="G8303" s="3" t="s">
        <v>35</v>
      </c>
      <c r="H8303" s="2" t="s">
        <v>20</v>
      </c>
      <c r="I8303" s="2" t="s">
        <v>16094</v>
      </c>
      <c r="J8303" s="3" t="str">
        <f>HYPERLINK("https://www.boe.es/gazeta/dias/1822/06/10/pdfs/GMD-1822-167.pdf#page=2","Abrir facsímil")</f>
        <v>Abrir facsímil</v>
      </c>
      <c r="K8303" s="3" t="s">
        <v>22</v>
      </c>
    </row>
    <row r="8304" spans="1:11" ht="42" customHeight="1">
      <c r="A8304" s="2" t="s">
        <v>16095</v>
      </c>
      <c r="B8304" s="2" t="s">
        <v>16096</v>
      </c>
      <c r="C8304" s="2" t="s">
        <v>50</v>
      </c>
      <c r="D8304" s="2" t="s">
        <v>51</v>
      </c>
      <c r="E8304" s="5">
        <v>-28415</v>
      </c>
      <c r="F8304" s="3" t="s">
        <v>77</v>
      </c>
      <c r="G8304" s="3" t="s">
        <v>19</v>
      </c>
      <c r="H8304" s="2" t="s">
        <v>20</v>
      </c>
      <c r="I8304" s="2" t="s">
        <v>16097</v>
      </c>
      <c r="J8304" s="3" t="str">
        <f>HYPERLINK("https://www.boe.es/gazeta/dias/1822/03/14/pdfs/GMD-1822-75.pdf#page=5","Abrir facsímil")</f>
        <v>Abrir facsímil</v>
      </c>
      <c r="K8304" s="3" t="s">
        <v>22</v>
      </c>
    </row>
    <row r="8305" spans="1:11" ht="42" customHeight="1">
      <c r="A8305" s="2" t="s">
        <v>16095</v>
      </c>
      <c r="B8305" s="2" t="s">
        <v>16096</v>
      </c>
      <c r="C8305" s="2" t="s">
        <v>50</v>
      </c>
      <c r="D8305" s="2" t="s">
        <v>51</v>
      </c>
      <c r="E8305" s="5">
        <v>-28161</v>
      </c>
      <c r="F8305" s="3" t="s">
        <v>166</v>
      </c>
      <c r="G8305" s="3" t="s">
        <v>44</v>
      </c>
      <c r="H8305" s="2" t="s">
        <v>20</v>
      </c>
      <c r="I8305" s="2" t="s">
        <v>16098</v>
      </c>
      <c r="J8305" s="3" t="str">
        <f>HYPERLINK("https://www.boe.es/gazeta/dias/1822/11/23/pdfs/GMD-1822-343.pdf#page=1","Abrir facsímil")</f>
        <v>Abrir facsímil</v>
      </c>
      <c r="K8305" s="3" t="s">
        <v>22</v>
      </c>
    </row>
    <row r="8306" spans="1:11" ht="42" customHeight="1">
      <c r="A8306" s="2" t="s">
        <v>16099</v>
      </c>
      <c r="B8306" s="2" t="s">
        <v>16100</v>
      </c>
      <c r="C8306" s="2" t="s">
        <v>42</v>
      </c>
      <c r="D8306" s="2" t="s">
        <v>17</v>
      </c>
      <c r="E8306" s="5">
        <v>-28450</v>
      </c>
      <c r="F8306" s="3" t="s">
        <v>1450</v>
      </c>
      <c r="G8306" s="3" t="s">
        <v>2247</v>
      </c>
      <c r="H8306" s="2" t="s">
        <v>20</v>
      </c>
      <c r="I8306" s="2" t="s">
        <v>16101</v>
      </c>
      <c r="J8306" s="3" t="str">
        <f>HYPERLINK("https://www.boe.es/gazeta/dias/1822/02/07/pdfs/GMD-1822-38.pdf#page=6","Abrir facsímil")</f>
        <v>Abrir facsímil</v>
      </c>
      <c r="K8306" s="3" t="s">
        <v>22</v>
      </c>
    </row>
    <row r="8307" spans="1:11" ht="42" customHeight="1">
      <c r="A8307" s="2" t="s">
        <v>16102</v>
      </c>
      <c r="B8307" s="2" t="s">
        <v>16103</v>
      </c>
      <c r="C8307" s="2" t="s">
        <v>50</v>
      </c>
      <c r="D8307" s="2" t="s">
        <v>51</v>
      </c>
      <c r="E8307" s="5">
        <v>-28349</v>
      </c>
      <c r="F8307" s="3" t="s">
        <v>518</v>
      </c>
      <c r="G8307" s="3" t="s">
        <v>57</v>
      </c>
      <c r="H8307" s="2" t="s">
        <v>20</v>
      </c>
      <c r="I8307" s="2" t="s">
        <v>16104</v>
      </c>
      <c r="J8307" s="3" t="str">
        <f>HYPERLINK("https://www.boe.es/gazeta/dias/1822/05/19/pdfs/GMD-1822-141.pdf#page=4","Abrir facsímil")</f>
        <v>Abrir facsímil</v>
      </c>
      <c r="K8307" s="3" t="s">
        <v>22</v>
      </c>
    </row>
    <row r="8308" spans="1:11" ht="42" customHeight="1">
      <c r="A8308" s="2" t="s">
        <v>16105</v>
      </c>
      <c r="B8308" s="2" t="s">
        <v>16106</v>
      </c>
      <c r="C8308" s="2" t="s">
        <v>42</v>
      </c>
      <c r="D8308" s="2" t="s">
        <v>17</v>
      </c>
      <c r="E8308" s="5">
        <v>-28314</v>
      </c>
      <c r="F8308" s="3" t="s">
        <v>309</v>
      </c>
      <c r="G8308" s="3" t="s">
        <v>63</v>
      </c>
      <c r="H8308" s="2" t="s">
        <v>45</v>
      </c>
      <c r="I8308" s="2" t="s">
        <v>16107</v>
      </c>
      <c r="J8308" s="3" t="str">
        <f>HYPERLINK("https://www.boe.es/gazeta/dias/1822/06/23/pdfs/GMD-1822-181.pdf#page=6","Abrir facsímil")</f>
        <v>Abrir facsímil</v>
      </c>
      <c r="K8308" s="3" t="s">
        <v>47</v>
      </c>
    </row>
    <row r="8309" spans="1:11" ht="42" customHeight="1">
      <c r="A8309" s="2" t="s">
        <v>16108</v>
      </c>
      <c r="B8309" s="2" t="s">
        <v>16109</v>
      </c>
      <c r="C8309" s="2" t="s">
        <v>50</v>
      </c>
      <c r="D8309" s="2" t="s">
        <v>51</v>
      </c>
      <c r="E8309" s="5">
        <v>-28289</v>
      </c>
      <c r="F8309" s="3" t="s">
        <v>390</v>
      </c>
      <c r="G8309" s="3" t="s">
        <v>35</v>
      </c>
      <c r="H8309" s="2" t="s">
        <v>45</v>
      </c>
      <c r="I8309" s="2" t="s">
        <v>16110</v>
      </c>
      <c r="J8309" s="3" t="str">
        <f>HYPERLINK("https://www.boe.es/gazeta/dias/1822/07/18/pdfs/GMD-1822-209.pdf#page=2","Abrir facsímil")</f>
        <v>Abrir facsímil</v>
      </c>
      <c r="K8309" s="3" t="s">
        <v>47</v>
      </c>
    </row>
    <row r="8310" spans="1:11" ht="42" customHeight="1">
      <c r="A8310" s="2" t="s">
        <v>16111</v>
      </c>
      <c r="B8310" s="2" t="s">
        <v>16112</v>
      </c>
      <c r="C8310" s="2" t="s">
        <v>50</v>
      </c>
      <c r="D8310" s="2" t="s">
        <v>51</v>
      </c>
      <c r="E8310" s="5">
        <v>-28415</v>
      </c>
      <c r="F8310" s="3" t="s">
        <v>77</v>
      </c>
      <c r="G8310" s="3" t="s">
        <v>19</v>
      </c>
      <c r="H8310" s="2" t="s">
        <v>20</v>
      </c>
      <c r="I8310" s="2" t="s">
        <v>16113</v>
      </c>
      <c r="J8310" s="3" t="str">
        <f>HYPERLINK("https://www.boe.es/gazeta/dias/1822/03/14/pdfs/GMD-1822-75.pdf#page=5","Abrir facsímil")</f>
        <v>Abrir facsímil</v>
      </c>
      <c r="K8310" s="3" t="s">
        <v>22</v>
      </c>
    </row>
    <row r="8311" spans="1:11" ht="42" customHeight="1">
      <c r="A8311" s="2" t="s">
        <v>16114</v>
      </c>
      <c r="B8311" s="2" t="s">
        <v>16114</v>
      </c>
      <c r="C8311" s="2" t="s">
        <v>28</v>
      </c>
      <c r="D8311" s="2" t="s">
        <v>29</v>
      </c>
      <c r="E8311" s="5">
        <v>-28452</v>
      </c>
      <c r="F8311" s="3" t="s">
        <v>7772</v>
      </c>
      <c r="G8311" s="3" t="s">
        <v>44</v>
      </c>
      <c r="H8311" s="2" t="s">
        <v>20</v>
      </c>
      <c r="I8311" s="2" t="s">
        <v>16115</v>
      </c>
      <c r="J8311" s="3" t="str">
        <f>HYPERLINK("https://www.boe.es/gazeta/dias/1822/02/05/pdfs/GMD-1822-36.pdf#page=1","Abrir facsímil")</f>
        <v>Abrir facsímil</v>
      </c>
      <c r="K8311" s="3" t="s">
        <v>22</v>
      </c>
    </row>
    <row r="8312" spans="1:11" ht="42" customHeight="1">
      <c r="A8312" s="2" t="s">
        <v>16116</v>
      </c>
      <c r="B8312" s="2" t="s">
        <v>16117</v>
      </c>
      <c r="C8312" s="2" t="s">
        <v>50</v>
      </c>
      <c r="D8312" s="2" t="s">
        <v>51</v>
      </c>
      <c r="E8312" s="5">
        <v>-28231</v>
      </c>
      <c r="F8312" s="3" t="s">
        <v>2049</v>
      </c>
      <c r="G8312" s="3" t="s">
        <v>31</v>
      </c>
      <c r="H8312" s="2" t="s">
        <v>45</v>
      </c>
      <c r="I8312" s="2" t="s">
        <v>16118</v>
      </c>
      <c r="J8312" s="3" t="str">
        <f>HYPERLINK("https://www.boe.es/gazeta/dias/1822/09/14/pdfs/GMD-1822-270.pdf#page=3","Abrir facsímil")</f>
        <v>Abrir facsímil</v>
      </c>
      <c r="K8312" s="3" t="s">
        <v>47</v>
      </c>
    </row>
    <row r="8313" spans="1:11" ht="42" customHeight="1">
      <c r="A8313" s="2" t="s">
        <v>16119</v>
      </c>
      <c r="B8313" s="2" t="s">
        <v>16119</v>
      </c>
      <c r="C8313" s="2" t="s">
        <v>42</v>
      </c>
      <c r="D8313" s="2" t="s">
        <v>17</v>
      </c>
      <c r="E8313" s="5">
        <v>-28214</v>
      </c>
      <c r="F8313" s="3" t="s">
        <v>814</v>
      </c>
      <c r="G8313" s="3" t="s">
        <v>57</v>
      </c>
      <c r="H8313" s="2" t="s">
        <v>20</v>
      </c>
      <c r="I8313" s="2" t="s">
        <v>16120</v>
      </c>
      <c r="J8313" s="3" t="str">
        <f>HYPERLINK("https://www.boe.es/gazeta/dias/1822/10/01/pdfs/GMD-1822-287.pdf#page=4","Abrir facsímil")</f>
        <v>Abrir facsímil</v>
      </c>
      <c r="K8313" s="3" t="s">
        <v>22</v>
      </c>
    </row>
    <row r="8314" spans="1:11" ht="42" customHeight="1">
      <c r="A8314" s="2" t="s">
        <v>16121</v>
      </c>
      <c r="B8314" s="2" t="s">
        <v>16122</v>
      </c>
      <c r="C8314" s="2" t="s">
        <v>50</v>
      </c>
      <c r="D8314" s="2" t="s">
        <v>51</v>
      </c>
      <c r="E8314" s="5">
        <v>-28167</v>
      </c>
      <c r="F8314" s="3" t="s">
        <v>904</v>
      </c>
      <c r="G8314" s="3" t="s">
        <v>57</v>
      </c>
      <c r="H8314" s="2" t="s">
        <v>20</v>
      </c>
      <c r="I8314" s="2" t="s">
        <v>16123</v>
      </c>
      <c r="J8314" s="3" t="str">
        <f>HYPERLINK("https://www.boe.es/gazeta/dias/1822/11/17/pdfs/GMD-1822-337.pdf#page=4","Abrir facsímil")</f>
        <v>Abrir facsímil</v>
      </c>
      <c r="K8314" s="3" t="s">
        <v>22</v>
      </c>
    </row>
    <row r="8315" spans="1:11" ht="42" customHeight="1">
      <c r="A8315" s="2" t="s">
        <v>16124</v>
      </c>
      <c r="B8315" s="2" t="s">
        <v>16125</v>
      </c>
      <c r="C8315" s="2" t="s">
        <v>362</v>
      </c>
      <c r="D8315" s="2" t="s">
        <v>17</v>
      </c>
      <c r="E8315" s="5">
        <v>-28427</v>
      </c>
      <c r="F8315" s="3" t="s">
        <v>755</v>
      </c>
      <c r="G8315" s="3" t="s">
        <v>57</v>
      </c>
      <c r="H8315" s="2" t="s">
        <v>20</v>
      </c>
      <c r="I8315" s="2" t="s">
        <v>16126</v>
      </c>
      <c r="J8315" s="3" t="str">
        <f>HYPERLINK("https://www.boe.es/gazeta/dias/1822/03/02/pdfs/GMD-1822-63.pdf#page=4","Abrir facsímil")</f>
        <v>Abrir facsímil</v>
      </c>
      <c r="K8315" s="3" t="s">
        <v>22</v>
      </c>
    </row>
    <row r="8316" spans="1:11" ht="42" customHeight="1">
      <c r="A8316" s="2" t="s">
        <v>16127</v>
      </c>
      <c r="B8316" s="2" t="s">
        <v>16128</v>
      </c>
      <c r="C8316" s="2" t="s">
        <v>71</v>
      </c>
      <c r="D8316" s="2" t="s">
        <v>17</v>
      </c>
      <c r="E8316" s="5">
        <v>-28176</v>
      </c>
      <c r="F8316" s="3" t="s">
        <v>780</v>
      </c>
      <c r="G8316" s="3" t="s">
        <v>63</v>
      </c>
      <c r="H8316" s="2" t="s">
        <v>20</v>
      </c>
      <c r="I8316" s="2" t="s">
        <v>16129</v>
      </c>
      <c r="J8316" s="3" t="str">
        <f>HYPERLINK("https://www.boe.es/gazeta/dias/1822/11/08/pdfs/GMD-1822-328.pdf#page=6","Abrir facsímil")</f>
        <v>Abrir facsímil</v>
      </c>
      <c r="K8316" s="3" t="s">
        <v>22</v>
      </c>
    </row>
    <row r="8317" spans="1:11" ht="42" customHeight="1">
      <c r="A8317" s="2" t="s">
        <v>16130</v>
      </c>
      <c r="B8317" s="2" t="s">
        <v>16131</v>
      </c>
      <c r="C8317" s="2" t="s">
        <v>50</v>
      </c>
      <c r="D8317" s="2" t="s">
        <v>51</v>
      </c>
      <c r="E8317" s="5">
        <v>-28367</v>
      </c>
      <c r="F8317" s="3" t="s">
        <v>280</v>
      </c>
      <c r="G8317" s="3" t="s">
        <v>63</v>
      </c>
      <c r="H8317" s="2" t="s">
        <v>20</v>
      </c>
      <c r="I8317" s="2" t="s">
        <v>16132</v>
      </c>
      <c r="J8317" s="3" t="str">
        <f>HYPERLINK("https://www.boe.es/gazeta/dias/1822/05/01/pdfs/GMD-1822-123.pdf#page=6","Abrir facsímil")</f>
        <v>Abrir facsímil</v>
      </c>
      <c r="K8317" s="3" t="s">
        <v>22</v>
      </c>
    </row>
    <row r="8318" spans="1:11" ht="42" customHeight="1">
      <c r="A8318" s="2" t="s">
        <v>16133</v>
      </c>
      <c r="B8318" s="2" t="s">
        <v>16134</v>
      </c>
      <c r="C8318" s="2" t="s">
        <v>42</v>
      </c>
      <c r="D8318" s="2" t="s">
        <v>17</v>
      </c>
      <c r="E8318" s="5">
        <v>-28214</v>
      </c>
      <c r="F8318" s="3" t="s">
        <v>814</v>
      </c>
      <c r="G8318" s="3" t="s">
        <v>57</v>
      </c>
      <c r="H8318" s="2" t="s">
        <v>20</v>
      </c>
      <c r="I8318" s="2" t="s">
        <v>16135</v>
      </c>
      <c r="J8318" s="3" t="str">
        <f>HYPERLINK("https://www.boe.es/gazeta/dias/1822/10/01/pdfs/GMD-1822-287.pdf#page=4","Abrir facsímil")</f>
        <v>Abrir facsímil</v>
      </c>
      <c r="K8318" s="3" t="s">
        <v>22</v>
      </c>
    </row>
    <row r="8319" spans="1:11" ht="42" customHeight="1">
      <c r="A8319" s="2" t="s">
        <v>16136</v>
      </c>
      <c r="B8319" s="2" t="s">
        <v>16137</v>
      </c>
      <c r="C8319" s="2" t="s">
        <v>362</v>
      </c>
      <c r="D8319" s="2" t="s">
        <v>17</v>
      </c>
      <c r="E8319" s="5">
        <v>-28338</v>
      </c>
      <c r="F8319" s="3" t="s">
        <v>527</v>
      </c>
      <c r="G8319" s="3" t="s">
        <v>35</v>
      </c>
      <c r="H8319" s="2" t="s">
        <v>20</v>
      </c>
      <c r="I8319" s="2" t="s">
        <v>16138</v>
      </c>
      <c r="J8319" s="3" t="str">
        <f>HYPERLINK("https://www.boe.es/gazeta/dias/1822/05/30/pdfs/GMD-1822-155.pdf#page=2","Abrir facsímil")</f>
        <v>Abrir facsímil</v>
      </c>
      <c r="K8319" s="3" t="s">
        <v>22</v>
      </c>
    </row>
    <row r="8320" spans="1:11" ht="42" customHeight="1">
      <c r="A8320" s="2" t="s">
        <v>16139</v>
      </c>
      <c r="B8320" s="2" t="s">
        <v>16140</v>
      </c>
      <c r="C8320" s="2" t="s">
        <v>28</v>
      </c>
      <c r="D8320" s="2" t="s">
        <v>29</v>
      </c>
      <c r="E8320" s="5">
        <v>-28313</v>
      </c>
      <c r="F8320" s="3" t="s">
        <v>315</v>
      </c>
      <c r="G8320" s="3" t="s">
        <v>57</v>
      </c>
      <c r="H8320" s="2" t="s">
        <v>20</v>
      </c>
      <c r="I8320" s="2" t="s">
        <v>16141</v>
      </c>
      <c r="J8320" s="3" t="str">
        <f>HYPERLINK("https://www.boe.es/gazeta/dias/1822/06/24/pdfs/GMD-1822-182.pdf#page=4","Abrir facsímil")</f>
        <v>Abrir facsímil</v>
      </c>
      <c r="K8320" s="3" t="s">
        <v>22</v>
      </c>
    </row>
    <row r="8321" spans="1:11" ht="42" customHeight="1">
      <c r="A8321" s="2" t="s">
        <v>16142</v>
      </c>
      <c r="B8321" s="2" t="s">
        <v>16142</v>
      </c>
      <c r="C8321" s="2" t="s">
        <v>50</v>
      </c>
      <c r="D8321" s="2" t="s">
        <v>51</v>
      </c>
      <c r="E8321" s="5">
        <v>-28395</v>
      </c>
      <c r="F8321" s="3" t="s">
        <v>237</v>
      </c>
      <c r="G8321" s="3" t="s">
        <v>31</v>
      </c>
      <c r="H8321" s="2" t="s">
        <v>20</v>
      </c>
      <c r="I8321" s="2" t="s">
        <v>16143</v>
      </c>
      <c r="J8321" s="3" t="str">
        <f>HYPERLINK("https://www.boe.es/gazeta/dias/1822/04/03/pdfs/GMD-1822-95.pdf#page=3","Abrir facsímil")</f>
        <v>Abrir facsímil</v>
      </c>
      <c r="K8321" s="3" t="s">
        <v>22</v>
      </c>
    </row>
    <row r="8322" spans="1:11" ht="42" customHeight="1">
      <c r="A8322" s="2" t="s">
        <v>16144</v>
      </c>
      <c r="B8322" s="2" t="s">
        <v>16145</v>
      </c>
      <c r="C8322" s="2" t="s">
        <v>28</v>
      </c>
      <c r="D8322" s="2" t="s">
        <v>29</v>
      </c>
      <c r="E8322" s="5">
        <v>-28339</v>
      </c>
      <c r="F8322" s="3" t="s">
        <v>197</v>
      </c>
      <c r="G8322" s="3" t="s">
        <v>35</v>
      </c>
      <c r="H8322" s="2" t="s">
        <v>20</v>
      </c>
      <c r="I8322" s="2" t="s">
        <v>16146</v>
      </c>
      <c r="J8322" s="3" t="str">
        <f>HYPERLINK("https://www.boe.es/gazeta/dias/1822/05/29/pdfs/GMD-1822-154.pdf#page=2","Abrir facsímil")</f>
        <v>Abrir facsímil</v>
      </c>
      <c r="K8322" s="3" t="s">
        <v>22</v>
      </c>
    </row>
    <row r="8323" spans="1:11" ht="42" customHeight="1">
      <c r="A8323" s="2" t="s">
        <v>16147</v>
      </c>
      <c r="B8323" s="2" t="s">
        <v>16147</v>
      </c>
      <c r="C8323" s="2" t="s">
        <v>50</v>
      </c>
      <c r="D8323" s="2" t="s">
        <v>51</v>
      </c>
      <c r="E8323" s="5">
        <v>-28468</v>
      </c>
      <c r="F8323" s="3" t="s">
        <v>1012</v>
      </c>
      <c r="G8323" s="3" t="s">
        <v>19</v>
      </c>
      <c r="H8323" s="2" t="s">
        <v>20</v>
      </c>
      <c r="I8323" s="2" t="s">
        <v>16148</v>
      </c>
      <c r="J8323" s="3" t="str">
        <f>HYPERLINK("https://www.boe.es/gazeta/dias/1822/01/20/pdfs/GMD-1822-20.pdf#page=5","Abrir facsímil")</f>
        <v>Abrir facsímil</v>
      </c>
      <c r="K8323" s="3" t="s">
        <v>22</v>
      </c>
    </row>
    <row r="8324" spans="1:11" ht="42" customHeight="1">
      <c r="A8324" s="2" t="s">
        <v>16149</v>
      </c>
      <c r="B8324" s="2" t="s">
        <v>16149</v>
      </c>
      <c r="C8324" s="2" t="s">
        <v>61</v>
      </c>
      <c r="D8324" s="2" t="s">
        <v>17</v>
      </c>
      <c r="E8324" s="5">
        <v>-28314</v>
      </c>
      <c r="F8324" s="3" t="s">
        <v>309</v>
      </c>
      <c r="G8324" s="3" t="s">
        <v>19</v>
      </c>
      <c r="H8324" s="2" t="s">
        <v>20</v>
      </c>
      <c r="I8324" s="2" t="s">
        <v>16150</v>
      </c>
      <c r="J8324" s="3" t="str">
        <f>HYPERLINK("https://www.boe.es/gazeta/dias/1822/06/23/pdfs/GMD-1822-181.pdf#page=5","Abrir facsímil")</f>
        <v>Abrir facsímil</v>
      </c>
      <c r="K8324" s="3" t="s">
        <v>22</v>
      </c>
    </row>
    <row r="8325" spans="1:11" ht="42" customHeight="1">
      <c r="A8325" s="2" t="s">
        <v>16151</v>
      </c>
      <c r="B8325" s="2" t="s">
        <v>16152</v>
      </c>
      <c r="C8325" s="2" t="s">
        <v>42</v>
      </c>
      <c r="D8325" s="2" t="s">
        <v>17</v>
      </c>
      <c r="E8325" s="5">
        <v>-28366</v>
      </c>
      <c r="F8325" s="3" t="s">
        <v>120</v>
      </c>
      <c r="G8325" s="3" t="s">
        <v>63</v>
      </c>
      <c r="H8325" s="2" t="s">
        <v>20</v>
      </c>
      <c r="I8325" s="2" t="s">
        <v>16153</v>
      </c>
      <c r="J8325" s="3" t="str">
        <f>HYPERLINK("https://www.boe.es/gazeta/dias/1822/05/02/pdfs/GMD-1822-124.pdf#page=6","Abrir facsímil")</f>
        <v>Abrir facsímil</v>
      </c>
      <c r="K8325" s="3" t="s">
        <v>22</v>
      </c>
    </row>
    <row r="8326" spans="1:11" ht="42" customHeight="1">
      <c r="A8326" s="2" t="s">
        <v>16154</v>
      </c>
      <c r="B8326" s="2" t="s">
        <v>16154</v>
      </c>
      <c r="C8326" s="2" t="s">
        <v>42</v>
      </c>
      <c r="D8326" s="2" t="s">
        <v>17</v>
      </c>
      <c r="E8326" s="5">
        <v>-28352</v>
      </c>
      <c r="F8326" s="3" t="s">
        <v>1575</v>
      </c>
      <c r="G8326" s="3" t="s">
        <v>19</v>
      </c>
      <c r="H8326" s="2" t="s">
        <v>20</v>
      </c>
      <c r="I8326" s="2" t="s">
        <v>16155</v>
      </c>
      <c r="J8326" s="3" t="str">
        <f>HYPERLINK("https://www.boe.es/gazeta/dias/1822/05/16/pdfs/GMD-1822-138.pdf#page=5","Abrir facsímil")</f>
        <v>Abrir facsímil</v>
      </c>
      <c r="K8326" s="3" t="s">
        <v>22</v>
      </c>
    </row>
    <row r="8327" spans="1:11" ht="42" customHeight="1">
      <c r="A8327" s="2" t="s">
        <v>16154</v>
      </c>
      <c r="B8327" s="2" t="s">
        <v>16154</v>
      </c>
      <c r="C8327" s="2" t="s">
        <v>50</v>
      </c>
      <c r="D8327" s="2" t="s">
        <v>51</v>
      </c>
      <c r="E8327" s="5">
        <v>-28234</v>
      </c>
      <c r="F8327" s="3" t="s">
        <v>1331</v>
      </c>
      <c r="G8327" s="3" t="s">
        <v>35</v>
      </c>
      <c r="H8327" s="2" t="s">
        <v>20</v>
      </c>
      <c r="I8327" s="2" t="s">
        <v>16156</v>
      </c>
      <c r="J8327" s="3" t="str">
        <f>HYPERLINK("https://www.boe.es/gazeta/dias/1822/09/11/pdfs/GMD-1822-267.pdf#page=2","Abrir facsímil")</f>
        <v>Abrir facsímil</v>
      </c>
      <c r="K8327" s="3" t="s">
        <v>22</v>
      </c>
    </row>
    <row r="8328" spans="1:11" ht="42" customHeight="1">
      <c r="A8328" s="2" t="s">
        <v>16154</v>
      </c>
      <c r="B8328" s="2" t="s">
        <v>16154</v>
      </c>
      <c r="C8328" s="2" t="s">
        <v>42</v>
      </c>
      <c r="D8328" s="2" t="s">
        <v>17</v>
      </c>
      <c r="E8328" s="5">
        <v>-28210</v>
      </c>
      <c r="F8328" s="3" t="s">
        <v>218</v>
      </c>
      <c r="G8328" s="3" t="s">
        <v>19</v>
      </c>
      <c r="H8328" s="2" t="s">
        <v>20</v>
      </c>
      <c r="I8328" s="2" t="s">
        <v>16157</v>
      </c>
      <c r="J8328" s="3" t="str">
        <f>HYPERLINK("https://www.boe.es/gazeta/dias/1822/10/05/pdfs/GMD-1822-291.pdf#page=5","Abrir facsímil")</f>
        <v>Abrir facsímil</v>
      </c>
      <c r="K8328" s="3" t="s">
        <v>22</v>
      </c>
    </row>
    <row r="8329" spans="1:11" ht="42" customHeight="1">
      <c r="A8329" s="2" t="s">
        <v>16154</v>
      </c>
      <c r="B8329" s="2" t="s">
        <v>16154</v>
      </c>
      <c r="C8329" s="2" t="s">
        <v>42</v>
      </c>
      <c r="D8329" s="2" t="s">
        <v>17</v>
      </c>
      <c r="E8329" s="5">
        <v>-28199</v>
      </c>
      <c r="F8329" s="3" t="s">
        <v>656</v>
      </c>
      <c r="G8329" s="3" t="s">
        <v>19</v>
      </c>
      <c r="H8329" s="2" t="s">
        <v>20</v>
      </c>
      <c r="I8329" s="2" t="s">
        <v>16158</v>
      </c>
      <c r="J8329" s="3" t="str">
        <f>HYPERLINK("https://www.boe.es/gazeta/dias/1822/10/16/pdfs/GMD-1822-303.pdf#page=5","Abrir facsímil")</f>
        <v>Abrir facsímil</v>
      </c>
      <c r="K8329" s="3" t="s">
        <v>22</v>
      </c>
    </row>
    <row r="8330" spans="1:11" ht="42" customHeight="1">
      <c r="A8330" s="2" t="s">
        <v>16159</v>
      </c>
      <c r="B8330" s="2" t="s">
        <v>16160</v>
      </c>
      <c r="C8330" s="2" t="s">
        <v>362</v>
      </c>
      <c r="D8330" s="2" t="s">
        <v>17</v>
      </c>
      <c r="E8330" s="5">
        <v>-28348</v>
      </c>
      <c r="F8330" s="3" t="s">
        <v>2903</v>
      </c>
      <c r="G8330" s="3" t="s">
        <v>16161</v>
      </c>
      <c r="H8330" s="2" t="s">
        <v>20</v>
      </c>
      <c r="I8330" s="2" t="s">
        <v>16162</v>
      </c>
      <c r="J8330" s="3" t="str">
        <f>HYPERLINK("https://www.boe.es/gazeta/dias/1822/05/20/pdfs/GMD-1822-143.pdf#page=6","Abrir facsímil")</f>
        <v>Abrir facsímil</v>
      </c>
      <c r="K8330" s="3" t="s">
        <v>22</v>
      </c>
    </row>
    <row r="8331" spans="1:11" ht="42" customHeight="1">
      <c r="A8331" s="2" t="s">
        <v>16163</v>
      </c>
      <c r="B8331" s="2" t="s">
        <v>16164</v>
      </c>
      <c r="C8331" s="2" t="s">
        <v>42</v>
      </c>
      <c r="D8331" s="2" t="s">
        <v>17</v>
      </c>
      <c r="E8331" s="5">
        <v>-28258</v>
      </c>
      <c r="F8331" s="3" t="s">
        <v>88</v>
      </c>
      <c r="G8331" s="3" t="s">
        <v>31</v>
      </c>
      <c r="H8331" s="2" t="s">
        <v>20</v>
      </c>
      <c r="I8331" s="2" t="s">
        <v>16165</v>
      </c>
      <c r="J8331" s="3" t="str">
        <f>HYPERLINK("https://www.boe.es/gazeta/dias/1822/08/18/pdfs/GMD-1822-242.pdf#page=3","Abrir facsímil")</f>
        <v>Abrir facsímil</v>
      </c>
      <c r="K8331" s="3" t="s">
        <v>22</v>
      </c>
    </row>
    <row r="8332" spans="1:11" ht="42" customHeight="1">
      <c r="A8332" s="2" t="s">
        <v>16166</v>
      </c>
      <c r="B8332" s="2" t="s">
        <v>16166</v>
      </c>
      <c r="C8332" s="2" t="s">
        <v>42</v>
      </c>
      <c r="D8332" s="2" t="s">
        <v>17</v>
      </c>
      <c r="E8332" s="5">
        <v>-28477</v>
      </c>
      <c r="F8332" s="3" t="s">
        <v>1668</v>
      </c>
      <c r="G8332" s="3" t="s">
        <v>19</v>
      </c>
      <c r="H8332" s="2" t="s">
        <v>20</v>
      </c>
      <c r="I8332" s="2" t="s">
        <v>16167</v>
      </c>
      <c r="J8332" s="3" t="str">
        <f>HYPERLINK("https://www.boe.es/gazeta/dias/1822/01/11/pdfs/GMD-1822-11.pdf#page=5","Abrir facsímil")</f>
        <v>Abrir facsímil</v>
      </c>
      <c r="K8332" s="3" t="s">
        <v>22</v>
      </c>
    </row>
    <row r="8333" spans="1:11" ht="42" customHeight="1">
      <c r="A8333" s="2" t="s">
        <v>16168</v>
      </c>
      <c r="B8333" s="2" t="s">
        <v>16169</v>
      </c>
      <c r="C8333" s="2" t="s">
        <v>16</v>
      </c>
      <c r="D8333" s="2" t="s">
        <v>17</v>
      </c>
      <c r="E8333" s="5">
        <v>-28125</v>
      </c>
      <c r="F8333" s="3" t="s">
        <v>322</v>
      </c>
      <c r="G8333" s="3" t="s">
        <v>63</v>
      </c>
      <c r="H8333" s="2" t="s">
        <v>20</v>
      </c>
      <c r="I8333" s="2" t="s">
        <v>16170</v>
      </c>
      <c r="J8333" s="3" t="str">
        <f>HYPERLINK("https://www.boe.es/gazeta/dias/1822/12/29/pdfs/GMD-1822-379.pdf#page=6","Abrir facsímil")</f>
        <v>Abrir facsímil</v>
      </c>
      <c r="K8333" s="3" t="s">
        <v>22</v>
      </c>
    </row>
    <row r="8334" spans="1:11" ht="42" customHeight="1">
      <c r="A8334" s="2" t="s">
        <v>16171</v>
      </c>
      <c r="B8334" s="2" t="s">
        <v>16172</v>
      </c>
      <c r="C8334" s="2" t="s">
        <v>42</v>
      </c>
      <c r="D8334" s="2" t="s">
        <v>17</v>
      </c>
      <c r="E8334" s="5">
        <v>-28251</v>
      </c>
      <c r="F8334" s="3" t="s">
        <v>1485</v>
      </c>
      <c r="G8334" s="3" t="s">
        <v>31</v>
      </c>
      <c r="H8334" s="2" t="s">
        <v>20</v>
      </c>
      <c r="I8334" s="2" t="s">
        <v>16173</v>
      </c>
      <c r="J8334" s="3" t="str">
        <f>HYPERLINK("https://www.boe.es/gazeta/dias/1822/08/25/pdfs/GMD-1822-249.pdf#page=3","Abrir facsímil")</f>
        <v>Abrir facsímil</v>
      </c>
      <c r="K8334" s="3" t="s">
        <v>22</v>
      </c>
    </row>
    <row r="8335" spans="1:11" ht="42" customHeight="1">
      <c r="A8335" s="2" t="s">
        <v>16174</v>
      </c>
      <c r="B8335" s="2" t="s">
        <v>16175</v>
      </c>
      <c r="C8335" s="2" t="s">
        <v>50</v>
      </c>
      <c r="D8335" s="2" t="s">
        <v>51</v>
      </c>
      <c r="E8335" s="5">
        <v>-28292</v>
      </c>
      <c r="F8335" s="3" t="s">
        <v>222</v>
      </c>
      <c r="G8335" s="3" t="s">
        <v>31</v>
      </c>
      <c r="H8335" s="2" t="s">
        <v>20</v>
      </c>
      <c r="I8335" s="2" t="s">
        <v>16176</v>
      </c>
      <c r="J8335" s="3" t="str">
        <f>HYPERLINK("https://www.boe.es/gazeta/dias/1822/07/15/pdfs/GMD-1822-205.pdf#page=3","Abrir facsímil")</f>
        <v>Abrir facsímil</v>
      </c>
      <c r="K8335" s="3" t="s">
        <v>22</v>
      </c>
    </row>
    <row r="8336" spans="1:11" ht="42" customHeight="1">
      <c r="A8336" s="2" t="s">
        <v>16177</v>
      </c>
      <c r="B8336" s="2" t="s">
        <v>16177</v>
      </c>
      <c r="C8336" s="2" t="s">
        <v>50</v>
      </c>
      <c r="D8336" s="2" t="s">
        <v>51</v>
      </c>
      <c r="E8336" s="5">
        <v>-28400</v>
      </c>
      <c r="F8336" s="3" t="s">
        <v>1937</v>
      </c>
      <c r="G8336" s="3" t="s">
        <v>2260</v>
      </c>
      <c r="H8336" s="2" t="s">
        <v>20</v>
      </c>
      <c r="I8336" s="2" t="s">
        <v>16178</v>
      </c>
      <c r="J8336" s="3" t="str">
        <f>HYPERLINK("https://www.boe.es/gazeta/dias/1822/03/29/pdfs/GMD-1822-90.pdf#page=4","Abrir facsímil")</f>
        <v>Abrir facsímil</v>
      </c>
      <c r="K8336" s="3" t="s">
        <v>22</v>
      </c>
    </row>
    <row r="8337" spans="1:11" ht="42" customHeight="1">
      <c r="A8337" s="2" t="s">
        <v>16179</v>
      </c>
      <c r="B8337" s="2" t="s">
        <v>16180</v>
      </c>
      <c r="C8337" s="2" t="s">
        <v>28</v>
      </c>
      <c r="D8337" s="2" t="s">
        <v>29</v>
      </c>
      <c r="E8337" s="5">
        <v>-28417</v>
      </c>
      <c r="F8337" s="3" t="s">
        <v>1394</v>
      </c>
      <c r="G8337" s="3" t="s">
        <v>31</v>
      </c>
      <c r="H8337" s="2" t="s">
        <v>20</v>
      </c>
      <c r="I8337" s="2" t="s">
        <v>16181</v>
      </c>
      <c r="J8337" s="3" t="str">
        <f>HYPERLINK("https://www.boe.es/gazeta/dias/1822/03/12/pdfs/GMD-1822-73.pdf#page=3","Abrir facsímil")</f>
        <v>Abrir facsímil</v>
      </c>
      <c r="K8337" s="3" t="s">
        <v>22</v>
      </c>
    </row>
    <row r="8338" spans="1:11" ht="42" customHeight="1">
      <c r="A8338" s="2" t="s">
        <v>16182</v>
      </c>
      <c r="B8338" s="2" t="s">
        <v>16183</v>
      </c>
      <c r="C8338" s="2" t="s">
        <v>16</v>
      </c>
      <c r="D8338" s="2" t="s">
        <v>17</v>
      </c>
      <c r="E8338" s="5">
        <v>-28326</v>
      </c>
      <c r="F8338" s="3" t="s">
        <v>543</v>
      </c>
      <c r="G8338" s="3" t="s">
        <v>63</v>
      </c>
      <c r="H8338" s="2" t="s">
        <v>20</v>
      </c>
      <c r="I8338" s="2" t="s">
        <v>16184</v>
      </c>
      <c r="J8338" s="3" t="str">
        <f>HYPERLINK("https://www.boe.es/gazeta/dias/1822/06/11/pdfs/GMD-1822-168.pdf#page=6","Abrir facsímil")</f>
        <v>Abrir facsímil</v>
      </c>
      <c r="K8338" s="3" t="s">
        <v>22</v>
      </c>
    </row>
    <row r="8339" spans="1:11" ht="42" customHeight="1">
      <c r="A8339" s="2" t="s">
        <v>16185</v>
      </c>
      <c r="B8339" s="2" t="s">
        <v>16185</v>
      </c>
      <c r="C8339" s="2" t="s">
        <v>28</v>
      </c>
      <c r="D8339" s="2" t="s">
        <v>29</v>
      </c>
      <c r="E8339" s="5">
        <v>-28355</v>
      </c>
      <c r="F8339" s="3" t="s">
        <v>692</v>
      </c>
      <c r="G8339" s="3" t="s">
        <v>63</v>
      </c>
      <c r="H8339" s="2" t="s">
        <v>20</v>
      </c>
      <c r="I8339" s="2" t="s">
        <v>16186</v>
      </c>
      <c r="J8339" s="3" t="str">
        <f>HYPERLINK("https://www.boe.es/gazeta/dias/1822/05/13/pdfs/GMD-1822-135.pdf#page=6","Abrir facsímil")</f>
        <v>Abrir facsímil</v>
      </c>
      <c r="K8339" s="3" t="s">
        <v>22</v>
      </c>
    </row>
    <row r="8340" spans="1:11" ht="42" customHeight="1">
      <c r="A8340" s="2" t="s">
        <v>16187</v>
      </c>
      <c r="B8340" s="2" t="s">
        <v>16187</v>
      </c>
      <c r="C8340" s="2" t="s">
        <v>50</v>
      </c>
      <c r="D8340" s="2" t="s">
        <v>51</v>
      </c>
      <c r="E8340" s="5">
        <v>-28352</v>
      </c>
      <c r="F8340" s="3" t="s">
        <v>1575</v>
      </c>
      <c r="G8340" s="3" t="s">
        <v>44</v>
      </c>
      <c r="H8340" s="2" t="s">
        <v>20</v>
      </c>
      <c r="I8340" s="2" t="s">
        <v>16188</v>
      </c>
      <c r="J8340" s="3" t="str">
        <f>HYPERLINK("https://www.boe.es/gazeta/dias/1822/05/16/pdfs/GMD-1822-138.pdf#page=1","Abrir facsímil")</f>
        <v>Abrir facsímil</v>
      </c>
      <c r="K8340" s="3" t="s">
        <v>22</v>
      </c>
    </row>
    <row r="8341" spans="1:11" ht="42" customHeight="1">
      <c r="A8341" s="2" t="s">
        <v>16189</v>
      </c>
      <c r="B8341" s="2" t="s">
        <v>16189</v>
      </c>
      <c r="C8341" s="2" t="s">
        <v>71</v>
      </c>
      <c r="D8341" s="2" t="s">
        <v>17</v>
      </c>
      <c r="E8341" s="5">
        <v>-28207</v>
      </c>
      <c r="F8341" s="3" t="s">
        <v>1325</v>
      </c>
      <c r="G8341" s="3" t="s">
        <v>31</v>
      </c>
      <c r="H8341" s="2" t="s">
        <v>20</v>
      </c>
      <c r="I8341" s="2" t="s">
        <v>16190</v>
      </c>
      <c r="J8341" s="3" t="str">
        <f>HYPERLINK("https://www.boe.es/gazeta/dias/1822/10/08/pdfs/GMD-1822-295.pdf#page=3","Abrir facsímil")</f>
        <v>Abrir facsímil</v>
      </c>
      <c r="K8341" s="3" t="s">
        <v>22</v>
      </c>
    </row>
    <row r="8342" spans="1:11" ht="42" customHeight="1">
      <c r="A8342" s="2" t="s">
        <v>16191</v>
      </c>
      <c r="B8342" s="2" t="s">
        <v>16191</v>
      </c>
      <c r="C8342" s="2" t="s">
        <v>42</v>
      </c>
      <c r="D8342" s="2" t="s">
        <v>17</v>
      </c>
      <c r="E8342" s="5">
        <v>-28415</v>
      </c>
      <c r="F8342" s="3" t="s">
        <v>77</v>
      </c>
      <c r="G8342" s="3" t="s">
        <v>19</v>
      </c>
      <c r="H8342" s="2" t="s">
        <v>20</v>
      </c>
      <c r="I8342" s="2" t="s">
        <v>16192</v>
      </c>
      <c r="J8342" s="3" t="str">
        <f>HYPERLINK("https://www.boe.es/gazeta/dias/1822/03/14/pdfs/GMD-1822-75.pdf#page=5","Abrir facsímil")</f>
        <v>Abrir facsímil</v>
      </c>
      <c r="K8342" s="3" t="s">
        <v>22</v>
      </c>
    </row>
    <row r="8343" spans="1:11" ht="42" customHeight="1">
      <c r="A8343" s="2" t="s">
        <v>16191</v>
      </c>
      <c r="B8343" s="2" t="s">
        <v>16191</v>
      </c>
      <c r="C8343" s="2" t="s">
        <v>50</v>
      </c>
      <c r="D8343" s="2" t="s">
        <v>51</v>
      </c>
      <c r="E8343" s="5">
        <v>-28358</v>
      </c>
      <c r="F8343" s="3" t="s">
        <v>211</v>
      </c>
      <c r="G8343" s="3" t="s">
        <v>57</v>
      </c>
      <c r="H8343" s="2" t="s">
        <v>20</v>
      </c>
      <c r="I8343" s="2" t="s">
        <v>16193</v>
      </c>
      <c r="J8343" s="3" t="str">
        <f>HYPERLINK("https://www.boe.es/gazeta/dias/1822/05/10/pdfs/GMD-1822-132.pdf#page=4","Abrir facsímil")</f>
        <v>Abrir facsímil</v>
      </c>
      <c r="K8343" s="3" t="s">
        <v>22</v>
      </c>
    </row>
    <row r="8344" spans="1:11" ht="42" customHeight="1">
      <c r="A8344" s="2" t="s">
        <v>16191</v>
      </c>
      <c r="B8344" s="2" t="s">
        <v>16191</v>
      </c>
      <c r="C8344" s="2" t="s">
        <v>50</v>
      </c>
      <c r="D8344" s="2" t="s">
        <v>51</v>
      </c>
      <c r="E8344" s="5">
        <v>-28238</v>
      </c>
      <c r="F8344" s="3" t="s">
        <v>2077</v>
      </c>
      <c r="G8344" s="3" t="s">
        <v>35</v>
      </c>
      <c r="H8344" s="2" t="s">
        <v>20</v>
      </c>
      <c r="I8344" s="2" t="s">
        <v>16194</v>
      </c>
      <c r="J8344" s="3" t="str">
        <f>HYPERLINK("https://www.boe.es/gazeta/dias/1822/09/07/pdfs/GMD-1822-262.pdf#page=2","Abrir facsímil")</f>
        <v>Abrir facsímil</v>
      </c>
      <c r="K8344" s="3" t="s">
        <v>22</v>
      </c>
    </row>
    <row r="8345" spans="1:11" ht="42" customHeight="1">
      <c r="A8345" s="2" t="s">
        <v>16191</v>
      </c>
      <c r="B8345" s="2" t="s">
        <v>16191</v>
      </c>
      <c r="C8345" s="2" t="s">
        <v>42</v>
      </c>
      <c r="D8345" s="2" t="s">
        <v>17</v>
      </c>
      <c r="E8345" s="5">
        <v>-28234</v>
      </c>
      <c r="F8345" s="3" t="s">
        <v>1331</v>
      </c>
      <c r="G8345" s="3" t="s">
        <v>31</v>
      </c>
      <c r="H8345" s="2" t="s">
        <v>20</v>
      </c>
      <c r="I8345" s="2" t="s">
        <v>16195</v>
      </c>
      <c r="J8345" s="3" t="str">
        <f>HYPERLINK("https://www.boe.es/gazeta/dias/1822/09/11/pdfs/GMD-1822-267.pdf#page=3","Abrir facsímil")</f>
        <v>Abrir facsímil</v>
      </c>
      <c r="K8345" s="3" t="s">
        <v>22</v>
      </c>
    </row>
    <row r="8346" spans="1:11" ht="42" customHeight="1">
      <c r="A8346" s="2" t="s">
        <v>16191</v>
      </c>
      <c r="B8346" s="2" t="s">
        <v>16191</v>
      </c>
      <c r="C8346" s="2" t="s">
        <v>50</v>
      </c>
      <c r="D8346" s="2" t="s">
        <v>51</v>
      </c>
      <c r="E8346" s="5">
        <v>-28231</v>
      </c>
      <c r="F8346" s="3" t="s">
        <v>2049</v>
      </c>
      <c r="G8346" s="3" t="s">
        <v>57</v>
      </c>
      <c r="H8346" s="2" t="s">
        <v>20</v>
      </c>
      <c r="I8346" s="2" t="s">
        <v>16196</v>
      </c>
      <c r="J8346" s="3" t="str">
        <f>HYPERLINK("https://www.boe.es/gazeta/dias/1822/09/14/pdfs/GMD-1822-270.pdf#page=4","Abrir facsímil")</f>
        <v>Abrir facsímil</v>
      </c>
      <c r="K8346" s="3" t="s">
        <v>22</v>
      </c>
    </row>
    <row r="8347" spans="1:11" ht="42" customHeight="1">
      <c r="A8347" s="2" t="s">
        <v>16191</v>
      </c>
      <c r="B8347" s="2" t="s">
        <v>16191</v>
      </c>
      <c r="C8347" s="2" t="s">
        <v>50</v>
      </c>
      <c r="D8347" s="2" t="s">
        <v>51</v>
      </c>
      <c r="E8347" s="5">
        <v>-28161</v>
      </c>
      <c r="F8347" s="3" t="s">
        <v>166</v>
      </c>
      <c r="G8347" s="3" t="s">
        <v>44</v>
      </c>
      <c r="H8347" s="2" t="s">
        <v>20</v>
      </c>
      <c r="I8347" s="2" t="s">
        <v>16197</v>
      </c>
      <c r="J8347" s="3" t="str">
        <f>HYPERLINK("https://www.boe.es/gazeta/dias/1822/11/23/pdfs/GMD-1822-343.pdf#page=1","Abrir facsímil")</f>
        <v>Abrir facsímil</v>
      </c>
      <c r="K8347" s="3" t="s">
        <v>22</v>
      </c>
    </row>
    <row r="8348" spans="1:11" ht="42" customHeight="1">
      <c r="A8348" s="2" t="s">
        <v>16198</v>
      </c>
      <c r="B8348" s="2" t="s">
        <v>16199</v>
      </c>
      <c r="C8348" s="2" t="s">
        <v>71</v>
      </c>
      <c r="D8348" s="2" t="s">
        <v>17</v>
      </c>
      <c r="E8348" s="5">
        <v>-28486</v>
      </c>
      <c r="F8348" s="3" t="s">
        <v>1046</v>
      </c>
      <c r="G8348" s="3" t="s">
        <v>35</v>
      </c>
      <c r="H8348" s="2" t="s">
        <v>45</v>
      </c>
      <c r="I8348" s="2" t="s">
        <v>16200</v>
      </c>
      <c r="J8348" s="3" t="str">
        <f>HYPERLINK("https://www.boe.es/gazeta/dias/1822/01/02/pdfs/GMD-1822-2.pdf#page=2","Abrir facsímil")</f>
        <v>Abrir facsímil</v>
      </c>
      <c r="K8348" s="3" t="s">
        <v>47</v>
      </c>
    </row>
    <row r="8349" spans="1:11" ht="42" customHeight="1">
      <c r="A8349" s="2" t="s">
        <v>16201</v>
      </c>
      <c r="B8349" s="2" t="s">
        <v>16202</v>
      </c>
      <c r="C8349" s="2" t="s">
        <v>24</v>
      </c>
      <c r="D8349" s="2" t="s">
        <v>17</v>
      </c>
      <c r="E8349" s="5">
        <v>-28421</v>
      </c>
      <c r="F8349" s="3" t="s">
        <v>446</v>
      </c>
      <c r="G8349" s="3" t="s">
        <v>31</v>
      </c>
      <c r="H8349" s="2" t="s">
        <v>20</v>
      </c>
      <c r="I8349" s="2" t="s">
        <v>16203</v>
      </c>
      <c r="J8349" s="3" t="str">
        <f>HYPERLINK("https://www.boe.es/gazeta/dias/1822/03/08/pdfs/GMD-1822-69.pdf#page=3","Abrir facsímil")</f>
        <v>Abrir facsímil</v>
      </c>
      <c r="K8349" s="3" t="s">
        <v>22</v>
      </c>
    </row>
    <row r="8350" spans="1:11" ht="42" customHeight="1">
      <c r="A8350" s="2" t="s">
        <v>16204</v>
      </c>
      <c r="B8350" s="2" t="s">
        <v>16204</v>
      </c>
      <c r="C8350" s="2" t="s">
        <v>50</v>
      </c>
      <c r="D8350" s="2" t="s">
        <v>51</v>
      </c>
      <c r="E8350" s="5">
        <v>-28264</v>
      </c>
      <c r="F8350" s="3" t="s">
        <v>1329</v>
      </c>
      <c r="G8350" s="3" t="s">
        <v>57</v>
      </c>
      <c r="H8350" s="2" t="s">
        <v>20</v>
      </c>
      <c r="I8350" s="2" t="s">
        <v>16205</v>
      </c>
      <c r="J8350" s="3" t="str">
        <f>HYPERLINK("https://www.boe.es/gazeta/dias/1822/08/12/pdfs/GMD-1822-236.pdf#page=4","Abrir facsímil")</f>
        <v>Abrir facsímil</v>
      </c>
      <c r="K8350" s="3" t="s">
        <v>22</v>
      </c>
    </row>
    <row r="8351" spans="1:11" ht="42" customHeight="1">
      <c r="A8351" s="2" t="s">
        <v>16206</v>
      </c>
      <c r="B8351" s="2" t="s">
        <v>16207</v>
      </c>
      <c r="C8351" s="2" t="s">
        <v>16</v>
      </c>
      <c r="D8351" s="2" t="s">
        <v>17</v>
      </c>
      <c r="E8351" s="5">
        <v>-28334</v>
      </c>
      <c r="F8351" s="3" t="s">
        <v>532</v>
      </c>
      <c r="G8351" s="3" t="s">
        <v>157</v>
      </c>
      <c r="H8351" s="2" t="s">
        <v>20</v>
      </c>
      <c r="I8351" s="2" t="s">
        <v>16208</v>
      </c>
      <c r="J8351" s="3" t="str">
        <f>HYPERLINK("https://www.boe.es/gazeta/dias/1822/06/03/pdfs/GMD-1822-159.pdf#page=8","Abrir facsímil")</f>
        <v>Abrir facsímil</v>
      </c>
      <c r="K8351" s="3" t="s">
        <v>22</v>
      </c>
    </row>
    <row r="8352" spans="1:11" ht="42" customHeight="1">
      <c r="A8352" s="2" t="s">
        <v>16209</v>
      </c>
      <c r="B8352" s="2" t="s">
        <v>16209</v>
      </c>
      <c r="C8352" s="2" t="s">
        <v>50</v>
      </c>
      <c r="D8352" s="2" t="s">
        <v>51</v>
      </c>
      <c r="E8352" s="5">
        <v>-28349</v>
      </c>
      <c r="F8352" s="3" t="s">
        <v>518</v>
      </c>
      <c r="G8352" s="3" t="s">
        <v>57</v>
      </c>
      <c r="H8352" s="2" t="s">
        <v>20</v>
      </c>
      <c r="I8352" s="2" t="s">
        <v>16210</v>
      </c>
      <c r="J8352" s="3" t="str">
        <f>HYPERLINK("https://www.boe.es/gazeta/dias/1822/05/19/pdfs/GMD-1822-141.pdf#page=4","Abrir facsímil")</f>
        <v>Abrir facsímil</v>
      </c>
      <c r="K8352" s="3" t="s">
        <v>22</v>
      </c>
    </row>
    <row r="8353" spans="1:11" ht="42" customHeight="1">
      <c r="A8353" s="2" t="s">
        <v>16209</v>
      </c>
      <c r="B8353" s="2" t="s">
        <v>16209</v>
      </c>
      <c r="C8353" s="2" t="s">
        <v>50</v>
      </c>
      <c r="D8353" s="2" t="s">
        <v>51</v>
      </c>
      <c r="E8353" s="5">
        <v>-28315</v>
      </c>
      <c r="F8353" s="3" t="s">
        <v>1220</v>
      </c>
      <c r="G8353" s="3" t="s">
        <v>63</v>
      </c>
      <c r="H8353" s="2" t="s">
        <v>20</v>
      </c>
      <c r="I8353" s="2" t="s">
        <v>16211</v>
      </c>
      <c r="J8353" s="3" t="str">
        <f>HYPERLINK("https://www.boe.es/gazeta/dias/1822/06/22/pdfs/GMD-1822-180.pdf#page=6","Abrir facsímil")</f>
        <v>Abrir facsímil</v>
      </c>
      <c r="K8353" s="3" t="s">
        <v>22</v>
      </c>
    </row>
    <row r="8354" spans="1:11" ht="42" customHeight="1">
      <c r="A8354" s="2" t="s">
        <v>16209</v>
      </c>
      <c r="B8354" s="2" t="s">
        <v>16209</v>
      </c>
      <c r="C8354" s="2" t="s">
        <v>50</v>
      </c>
      <c r="D8354" s="2" t="s">
        <v>51</v>
      </c>
      <c r="E8354" s="5">
        <v>-28297</v>
      </c>
      <c r="F8354" s="3" t="s">
        <v>1972</v>
      </c>
      <c r="G8354" s="3" t="s">
        <v>31</v>
      </c>
      <c r="H8354" s="2" t="s">
        <v>20</v>
      </c>
      <c r="I8354" s="2" t="s">
        <v>16212</v>
      </c>
      <c r="J8354" s="3" t="str">
        <f>HYPERLINK("https://www.boe.es/gazeta/dias/1822/07/10/pdfs/GMD-1822-200.pdf#page=3","Abrir facsímil")</f>
        <v>Abrir facsímil</v>
      </c>
      <c r="K8354" s="3" t="s">
        <v>22</v>
      </c>
    </row>
    <row r="8355" spans="1:11" ht="42" customHeight="1">
      <c r="A8355" s="2" t="s">
        <v>16209</v>
      </c>
      <c r="B8355" s="2" t="s">
        <v>16209</v>
      </c>
      <c r="C8355" s="2" t="s">
        <v>50</v>
      </c>
      <c r="D8355" s="2" t="s">
        <v>723</v>
      </c>
      <c r="E8355" s="5">
        <v>-28238</v>
      </c>
      <c r="F8355" s="3" t="s">
        <v>3584</v>
      </c>
      <c r="G8355" s="3" t="s">
        <v>44</v>
      </c>
      <c r="H8355" s="2" t="s">
        <v>20</v>
      </c>
      <c r="I8355" s="2" t="s">
        <v>16213</v>
      </c>
      <c r="J8355" s="3" t="str">
        <f>HYPERLINK("https://www.boe.es/gazeta/dias/1822/09/07/pdfs/GMD-1822-263E.pdf#page=1","Abrir facsímil")</f>
        <v>Abrir facsímil</v>
      </c>
      <c r="K8355" s="3" t="s">
        <v>22</v>
      </c>
    </row>
    <row r="8356" spans="1:11" ht="42" customHeight="1">
      <c r="A8356" s="2" t="s">
        <v>16209</v>
      </c>
      <c r="B8356" s="2" t="s">
        <v>16209</v>
      </c>
      <c r="C8356" s="2" t="s">
        <v>50</v>
      </c>
      <c r="D8356" s="2" t="s">
        <v>51</v>
      </c>
      <c r="E8356" s="5">
        <v>-28234</v>
      </c>
      <c r="F8356" s="3" t="s">
        <v>1331</v>
      </c>
      <c r="G8356" s="3" t="s">
        <v>31</v>
      </c>
      <c r="H8356" s="2" t="s">
        <v>20</v>
      </c>
      <c r="I8356" s="2" t="s">
        <v>16214</v>
      </c>
      <c r="J8356" s="3" t="str">
        <f>HYPERLINK("https://www.boe.es/gazeta/dias/1822/09/11/pdfs/GMD-1822-267.pdf#page=3","Abrir facsímil")</f>
        <v>Abrir facsímil</v>
      </c>
      <c r="K8356" s="3" t="s">
        <v>22</v>
      </c>
    </row>
    <row r="8357" spans="1:11" ht="42" customHeight="1">
      <c r="A8357" s="2" t="s">
        <v>16209</v>
      </c>
      <c r="B8357" s="2" t="s">
        <v>16209</v>
      </c>
      <c r="C8357" s="2" t="s">
        <v>50</v>
      </c>
      <c r="D8357" s="2" t="s">
        <v>51</v>
      </c>
      <c r="E8357" s="5">
        <v>-28223</v>
      </c>
      <c r="F8357" s="3" t="s">
        <v>2374</v>
      </c>
      <c r="G8357" s="3" t="s">
        <v>31</v>
      </c>
      <c r="H8357" s="2" t="s">
        <v>20</v>
      </c>
      <c r="I8357" s="2" t="s">
        <v>16215</v>
      </c>
      <c r="J8357" s="3" t="str">
        <f>HYPERLINK("https://www.boe.es/gazeta/dias/1822/09/22/pdfs/GMD-1822-278.pdf#page=3","Abrir facsímil")</f>
        <v>Abrir facsímil</v>
      </c>
      <c r="K8357" s="3" t="s">
        <v>22</v>
      </c>
    </row>
    <row r="8358" spans="1:11" ht="42" customHeight="1">
      <c r="A8358" s="2" t="s">
        <v>16209</v>
      </c>
      <c r="B8358" s="2" t="s">
        <v>16209</v>
      </c>
      <c r="C8358" s="2" t="s">
        <v>50</v>
      </c>
      <c r="D8358" s="2" t="s">
        <v>51</v>
      </c>
      <c r="E8358" s="5">
        <v>-28222</v>
      </c>
      <c r="F8358" s="3" t="s">
        <v>2027</v>
      </c>
      <c r="G8358" s="3" t="s">
        <v>57</v>
      </c>
      <c r="H8358" s="2" t="s">
        <v>20</v>
      </c>
      <c r="I8358" s="2" t="s">
        <v>16216</v>
      </c>
      <c r="J8358" s="3" t="str">
        <f>HYPERLINK("https://www.boe.es/gazeta/dias/1822/09/23/pdfs/GMD-1822-279.pdf#page=4","Abrir facsímil")</f>
        <v>Abrir facsímil</v>
      </c>
      <c r="K8358" s="3" t="s">
        <v>22</v>
      </c>
    </row>
    <row r="8359" spans="1:11" ht="42" customHeight="1">
      <c r="A8359" s="2" t="s">
        <v>16209</v>
      </c>
      <c r="B8359" s="2" t="s">
        <v>16209</v>
      </c>
      <c r="C8359" s="2" t="s">
        <v>16</v>
      </c>
      <c r="D8359" s="2" t="s">
        <v>17</v>
      </c>
      <c r="E8359" s="5">
        <v>-28193</v>
      </c>
      <c r="F8359" s="3" t="s">
        <v>574</v>
      </c>
      <c r="G8359" s="3" t="s">
        <v>63</v>
      </c>
      <c r="H8359" s="2" t="s">
        <v>20</v>
      </c>
      <c r="I8359" s="2" t="s">
        <v>16217</v>
      </c>
      <c r="J8359" s="3" t="str">
        <f>HYPERLINK("https://www.boe.es/gazeta/dias/1822/10/22/pdfs/GMD-1822-309.pdf#page=6","Abrir facsímil")</f>
        <v>Abrir facsímil</v>
      </c>
      <c r="K8359" s="3" t="s">
        <v>22</v>
      </c>
    </row>
    <row r="8360" spans="1:11" ht="42" customHeight="1">
      <c r="A8360" s="2" t="s">
        <v>16209</v>
      </c>
      <c r="B8360" s="2" t="s">
        <v>16209</v>
      </c>
      <c r="C8360" s="2" t="s">
        <v>50</v>
      </c>
      <c r="D8360" s="2" t="s">
        <v>51</v>
      </c>
      <c r="E8360" s="5">
        <v>-28178</v>
      </c>
      <c r="F8360" s="3" t="s">
        <v>318</v>
      </c>
      <c r="G8360" s="3" t="s">
        <v>44</v>
      </c>
      <c r="H8360" s="2" t="s">
        <v>20</v>
      </c>
      <c r="I8360" s="2" t="s">
        <v>16218</v>
      </c>
      <c r="J8360" s="3" t="str">
        <f>HYPERLINK("https://www.boe.es/gazeta/dias/1822/11/06/pdfs/GMD-1822-326.pdf#page=1","Abrir facsímil")</f>
        <v>Abrir facsímil</v>
      </c>
      <c r="K8360" s="3" t="s">
        <v>22</v>
      </c>
    </row>
    <row r="8361" spans="1:11" ht="42" customHeight="1">
      <c r="A8361" s="2" t="s">
        <v>16209</v>
      </c>
      <c r="B8361" s="2" t="s">
        <v>16209</v>
      </c>
      <c r="C8361" s="2" t="s">
        <v>42</v>
      </c>
      <c r="D8361" s="2" t="s">
        <v>17</v>
      </c>
      <c r="E8361" s="5">
        <v>-28127</v>
      </c>
      <c r="F8361" s="3" t="s">
        <v>409</v>
      </c>
      <c r="G8361" s="3" t="s">
        <v>5790</v>
      </c>
      <c r="H8361" s="2" t="s">
        <v>20</v>
      </c>
      <c r="I8361" s="2" t="s">
        <v>16219</v>
      </c>
      <c r="J8361" s="3" t="str">
        <f>HYPERLINK("https://www.boe.es/gazeta/dias/1822/12/27/pdfs/GMD-1822-377.pdf#page=6","Abrir facsímil")</f>
        <v>Abrir facsímil</v>
      </c>
      <c r="K8361" s="3" t="s">
        <v>22</v>
      </c>
    </row>
    <row r="8362" spans="1:11" ht="42" customHeight="1">
      <c r="A8362" s="2" t="s">
        <v>16220</v>
      </c>
      <c r="B8362" s="2" t="s">
        <v>16221</v>
      </c>
      <c r="C8362" s="2" t="s">
        <v>61</v>
      </c>
      <c r="D8362" s="2" t="s">
        <v>17</v>
      </c>
      <c r="E8362" s="5">
        <v>-28368</v>
      </c>
      <c r="F8362" s="3" t="s">
        <v>126</v>
      </c>
      <c r="G8362" s="3" t="s">
        <v>35</v>
      </c>
      <c r="H8362" s="2" t="s">
        <v>20</v>
      </c>
      <c r="I8362" s="2" t="s">
        <v>16222</v>
      </c>
      <c r="J8362" s="3" t="str">
        <f>HYPERLINK("https://www.boe.es/gazeta/dias/1822/04/30/pdfs/GMD-1822-122.pdf#page=2","Abrir facsímil")</f>
        <v>Abrir facsímil</v>
      </c>
      <c r="K8362" s="3" t="s">
        <v>22</v>
      </c>
    </row>
    <row r="8363" spans="1:11" ht="42" customHeight="1">
      <c r="A8363" s="2" t="s">
        <v>16220</v>
      </c>
      <c r="B8363" s="2" t="s">
        <v>16221</v>
      </c>
      <c r="C8363" s="2" t="s">
        <v>42</v>
      </c>
      <c r="D8363" s="2" t="s">
        <v>17</v>
      </c>
      <c r="E8363" s="5">
        <v>-28308</v>
      </c>
      <c r="F8363" s="3" t="s">
        <v>1050</v>
      </c>
      <c r="G8363" s="3" t="s">
        <v>167</v>
      </c>
      <c r="H8363" s="2" t="s">
        <v>20</v>
      </c>
      <c r="I8363" s="2" t="s">
        <v>16223</v>
      </c>
      <c r="J8363" s="3" t="str">
        <f>HYPERLINK("https://www.boe.es/gazeta/dias/1822/06/29/pdfs/GMD-1822-187.pdf#page=7","Abrir facsímil")</f>
        <v>Abrir facsímil</v>
      </c>
      <c r="K8363" s="3" t="s">
        <v>22</v>
      </c>
    </row>
    <row r="8364" spans="1:11" ht="42" customHeight="1">
      <c r="A8364" s="2" t="s">
        <v>16220</v>
      </c>
      <c r="B8364" s="2" t="s">
        <v>16221</v>
      </c>
      <c r="C8364" s="2" t="s">
        <v>50</v>
      </c>
      <c r="D8364" s="2" t="s">
        <v>51</v>
      </c>
      <c r="E8364" s="5">
        <v>-28262</v>
      </c>
      <c r="F8364" s="3" t="s">
        <v>1771</v>
      </c>
      <c r="G8364" s="3" t="s">
        <v>35</v>
      </c>
      <c r="H8364" s="2" t="s">
        <v>20</v>
      </c>
      <c r="I8364" s="2" t="s">
        <v>16224</v>
      </c>
      <c r="J8364" s="3" t="str">
        <f>HYPERLINK("https://www.boe.es/gazeta/dias/1822/08/14/pdfs/GMD-1822-238.pdf#page=2","Abrir facsímil")</f>
        <v>Abrir facsímil</v>
      </c>
      <c r="K8364" s="3" t="s">
        <v>22</v>
      </c>
    </row>
    <row r="8365" spans="1:11" ht="42" customHeight="1">
      <c r="A8365" s="2" t="s">
        <v>16225</v>
      </c>
      <c r="B8365" s="2" t="s">
        <v>16226</v>
      </c>
      <c r="C8365" s="2" t="s">
        <v>61</v>
      </c>
      <c r="D8365" s="2" t="s">
        <v>17</v>
      </c>
      <c r="E8365" s="5">
        <v>-28397</v>
      </c>
      <c r="F8365" s="3" t="s">
        <v>1401</v>
      </c>
      <c r="G8365" s="3" t="s">
        <v>3283</v>
      </c>
      <c r="H8365" s="2" t="s">
        <v>20</v>
      </c>
      <c r="I8365" s="2" t="s">
        <v>16227</v>
      </c>
      <c r="J8365" s="3" t="str">
        <f>HYPERLINK("https://www.boe.es/gazeta/dias/1822/04/01/pdfs/GMD-1822-93.pdf#page=3","Abrir facsímil")</f>
        <v>Abrir facsímil</v>
      </c>
      <c r="K8365" s="3" t="s">
        <v>22</v>
      </c>
    </row>
    <row r="8366" spans="1:11" ht="42" customHeight="1">
      <c r="A8366" s="2" t="s">
        <v>16228</v>
      </c>
      <c r="B8366" s="2" t="s">
        <v>16229</v>
      </c>
      <c r="C8366" s="2" t="s">
        <v>50</v>
      </c>
      <c r="D8366" s="2" t="s">
        <v>51</v>
      </c>
      <c r="E8366" s="5">
        <v>-28325</v>
      </c>
      <c r="F8366" s="3" t="s">
        <v>104</v>
      </c>
      <c r="G8366" s="3" t="s">
        <v>44</v>
      </c>
      <c r="H8366" s="2" t="s">
        <v>20</v>
      </c>
      <c r="I8366" s="2" t="s">
        <v>16230</v>
      </c>
      <c r="J8366" s="3" t="str">
        <f>HYPERLINK("https://www.boe.es/gazeta/dias/1822/06/12/pdfs/GMD-1822-169.pdf#page=1","Abrir facsímil")</f>
        <v>Abrir facsímil</v>
      </c>
      <c r="K8366" s="3" t="s">
        <v>22</v>
      </c>
    </row>
    <row r="8367" spans="1:11" ht="42" customHeight="1">
      <c r="A8367" s="2" t="s">
        <v>16231</v>
      </c>
      <c r="B8367" s="2" t="s">
        <v>16232</v>
      </c>
      <c r="C8367" s="2" t="s">
        <v>61</v>
      </c>
      <c r="D8367" s="2" t="s">
        <v>17</v>
      </c>
      <c r="E8367" s="5">
        <v>-28204</v>
      </c>
      <c r="F8367" s="3" t="s">
        <v>3190</v>
      </c>
      <c r="G8367" s="3" t="s">
        <v>157</v>
      </c>
      <c r="H8367" s="2" t="s">
        <v>20</v>
      </c>
      <c r="I8367" s="2" t="s">
        <v>16233</v>
      </c>
      <c r="J8367" s="3" t="str">
        <f>HYPERLINK("https://www.boe.es/gazeta/dias/1822/10/11/pdfs/GMD-1822-298.pdf#page=8","Abrir facsímil")</f>
        <v>Abrir facsímil</v>
      </c>
      <c r="K8367" s="3" t="s">
        <v>22</v>
      </c>
    </row>
    <row r="8368" spans="1:11" ht="42" customHeight="1">
      <c r="A8368" s="2" t="s">
        <v>16234</v>
      </c>
      <c r="B8368" s="2" t="s">
        <v>16235</v>
      </c>
      <c r="C8368" s="2" t="s">
        <v>61</v>
      </c>
      <c r="D8368" s="2" t="s">
        <v>17</v>
      </c>
      <c r="E8368" s="5">
        <v>-28196</v>
      </c>
      <c r="F8368" s="3" t="s">
        <v>570</v>
      </c>
      <c r="G8368" s="3" t="s">
        <v>57</v>
      </c>
      <c r="H8368" s="2" t="s">
        <v>20</v>
      </c>
      <c r="I8368" s="2" t="s">
        <v>16236</v>
      </c>
      <c r="J8368" s="3" t="str">
        <f>HYPERLINK("https://www.boe.es/gazeta/dias/1822/10/19/pdfs/GMD-1822-306.pdf#page=4","Abrir facsímil")</f>
        <v>Abrir facsímil</v>
      </c>
      <c r="K8368" s="3" t="s">
        <v>22</v>
      </c>
    </row>
    <row r="8369" spans="1:11" ht="42" customHeight="1">
      <c r="A8369" s="2" t="s">
        <v>16237</v>
      </c>
      <c r="B8369" s="2" t="s">
        <v>16237</v>
      </c>
      <c r="C8369" s="2" t="s">
        <v>61</v>
      </c>
      <c r="D8369" s="2" t="s">
        <v>17</v>
      </c>
      <c r="E8369" s="5">
        <v>-28319</v>
      </c>
      <c r="F8369" s="3" t="s">
        <v>271</v>
      </c>
      <c r="G8369" s="3" t="s">
        <v>63</v>
      </c>
      <c r="H8369" s="2" t="s">
        <v>20</v>
      </c>
      <c r="I8369" s="2" t="s">
        <v>16238</v>
      </c>
      <c r="J8369" s="3" t="str">
        <f>HYPERLINK("https://www.boe.es/gazeta/dias/1822/06/18/pdfs/GMD-1822-175.pdf#page=6","Abrir facsímil")</f>
        <v>Abrir facsímil</v>
      </c>
      <c r="K8369" s="3" t="s">
        <v>22</v>
      </c>
    </row>
    <row r="8370" spans="1:11" ht="42" customHeight="1">
      <c r="A8370" s="2" t="s">
        <v>16237</v>
      </c>
      <c r="B8370" s="2" t="s">
        <v>16237</v>
      </c>
      <c r="C8370" s="2" t="s">
        <v>50</v>
      </c>
      <c r="D8370" s="2" t="s">
        <v>51</v>
      </c>
      <c r="E8370" s="5">
        <v>-28262</v>
      </c>
      <c r="F8370" s="3" t="s">
        <v>1771</v>
      </c>
      <c r="G8370" s="3" t="s">
        <v>35</v>
      </c>
      <c r="H8370" s="2" t="s">
        <v>20</v>
      </c>
      <c r="I8370" s="2" t="s">
        <v>16239</v>
      </c>
      <c r="J8370" s="3" t="str">
        <f>HYPERLINK("https://www.boe.es/gazeta/dias/1822/08/14/pdfs/GMD-1822-238.pdf#page=2","Abrir facsímil")</f>
        <v>Abrir facsímil</v>
      </c>
      <c r="K8370" s="3" t="s">
        <v>22</v>
      </c>
    </row>
    <row r="8371" spans="1:11" ht="42" customHeight="1">
      <c r="A8371" s="2" t="s">
        <v>16240</v>
      </c>
      <c r="B8371" s="2" t="s">
        <v>16241</v>
      </c>
      <c r="C8371" s="2" t="s">
        <v>42</v>
      </c>
      <c r="D8371" s="2" t="s">
        <v>17</v>
      </c>
      <c r="E8371" s="5">
        <v>-28410</v>
      </c>
      <c r="F8371" s="3" t="s">
        <v>966</v>
      </c>
      <c r="G8371" s="3" t="s">
        <v>57</v>
      </c>
      <c r="H8371" s="2" t="s">
        <v>20</v>
      </c>
      <c r="I8371" s="2" t="s">
        <v>16242</v>
      </c>
      <c r="J8371" s="3" t="str">
        <f>HYPERLINK("https://www.boe.es/gazeta/dias/1822/03/19/pdfs/GMD-1822-80.pdf#page=4","Abrir facsímil")</f>
        <v>Abrir facsímil</v>
      </c>
      <c r="K8371" s="3" t="s">
        <v>22</v>
      </c>
    </row>
    <row r="8372" spans="1:11" ht="42" customHeight="1">
      <c r="A8372" s="2" t="s">
        <v>16243</v>
      </c>
      <c r="B8372" s="2" t="s">
        <v>16243</v>
      </c>
      <c r="C8372" s="2" t="s">
        <v>28</v>
      </c>
      <c r="D8372" s="2" t="s">
        <v>29</v>
      </c>
      <c r="E8372" s="5">
        <v>-28366</v>
      </c>
      <c r="F8372" s="3" t="s">
        <v>120</v>
      </c>
      <c r="G8372" s="3" t="s">
        <v>63</v>
      </c>
      <c r="H8372" s="2" t="s">
        <v>20</v>
      </c>
      <c r="I8372" s="2" t="s">
        <v>16244</v>
      </c>
      <c r="J8372" s="3" t="str">
        <f>HYPERLINK("https://www.boe.es/gazeta/dias/1822/05/02/pdfs/GMD-1822-124.pdf#page=6","Abrir facsímil")</f>
        <v>Abrir facsímil</v>
      </c>
      <c r="K8372" s="3" t="s">
        <v>22</v>
      </c>
    </row>
    <row r="8373" spans="1:11" ht="42" customHeight="1">
      <c r="A8373" s="2" t="s">
        <v>16245</v>
      </c>
      <c r="B8373" s="2" t="s">
        <v>16246</v>
      </c>
      <c r="C8373" s="2" t="s">
        <v>50</v>
      </c>
      <c r="D8373" s="2" t="s">
        <v>51</v>
      </c>
      <c r="E8373" s="5">
        <v>-28395</v>
      </c>
      <c r="F8373" s="3" t="s">
        <v>237</v>
      </c>
      <c r="G8373" s="3" t="s">
        <v>57</v>
      </c>
      <c r="H8373" s="2" t="s">
        <v>20</v>
      </c>
      <c r="I8373" s="2" t="s">
        <v>16247</v>
      </c>
      <c r="J8373" s="3" t="str">
        <f>HYPERLINK("https://www.boe.es/gazeta/dias/1822/04/03/pdfs/GMD-1822-95.pdf#page=4","Abrir facsímil")</f>
        <v>Abrir facsímil</v>
      </c>
      <c r="K8373" s="3" t="s">
        <v>22</v>
      </c>
    </row>
    <row r="8374" spans="1:11" ht="42" customHeight="1">
      <c r="A8374" s="2" t="s">
        <v>16245</v>
      </c>
      <c r="B8374" s="2" t="s">
        <v>16246</v>
      </c>
      <c r="C8374" s="2" t="s">
        <v>42</v>
      </c>
      <c r="D8374" s="2" t="s">
        <v>17</v>
      </c>
      <c r="E8374" s="5">
        <v>-28340</v>
      </c>
      <c r="F8374" s="3" t="s">
        <v>139</v>
      </c>
      <c r="G8374" s="3" t="s">
        <v>63</v>
      </c>
      <c r="H8374" s="2" t="s">
        <v>20</v>
      </c>
      <c r="I8374" s="2" t="s">
        <v>16248</v>
      </c>
      <c r="J8374" s="3" t="str">
        <f>HYPERLINK("https://www.boe.es/gazeta/dias/1822/05/28/pdfs/GMD-1822-153.pdf#page=6","Abrir facsímil")</f>
        <v>Abrir facsímil</v>
      </c>
      <c r="K8374" s="3" t="s">
        <v>22</v>
      </c>
    </row>
    <row r="8375" spans="1:11" ht="42" customHeight="1">
      <c r="A8375" s="2" t="s">
        <v>16245</v>
      </c>
      <c r="B8375" s="2" t="s">
        <v>16246</v>
      </c>
      <c r="C8375" s="2" t="s">
        <v>71</v>
      </c>
      <c r="D8375" s="2" t="s">
        <v>17</v>
      </c>
      <c r="E8375" s="5">
        <v>-28306</v>
      </c>
      <c r="F8375" s="3" t="s">
        <v>348</v>
      </c>
      <c r="G8375" s="3" t="s">
        <v>35</v>
      </c>
      <c r="H8375" s="2" t="s">
        <v>20</v>
      </c>
      <c r="I8375" s="2" t="s">
        <v>16249</v>
      </c>
      <c r="J8375" s="3" t="str">
        <f>HYPERLINK("https://www.boe.es/gazeta/dias/1822/07/01/pdfs/GMD-1822-190.pdf#page=2","Abrir facsímil")</f>
        <v>Abrir facsímil</v>
      </c>
      <c r="K8375" s="3" t="s">
        <v>22</v>
      </c>
    </row>
    <row r="8376" spans="1:11" ht="42" customHeight="1">
      <c r="A8376" s="2" t="s">
        <v>16245</v>
      </c>
      <c r="B8376" s="2" t="s">
        <v>16246</v>
      </c>
      <c r="C8376" s="2" t="s">
        <v>50</v>
      </c>
      <c r="D8376" s="2" t="s">
        <v>51</v>
      </c>
      <c r="E8376" s="5">
        <v>-28221</v>
      </c>
      <c r="F8376" s="3" t="s">
        <v>2591</v>
      </c>
      <c r="G8376" s="3" t="s">
        <v>57</v>
      </c>
      <c r="H8376" s="2" t="s">
        <v>20</v>
      </c>
      <c r="I8376" s="2" t="s">
        <v>16250</v>
      </c>
      <c r="J8376" s="3" t="str">
        <f>HYPERLINK("https://www.boe.es/gazeta/dias/1822/09/24/pdfs/GMD-1822-280.pdf#page=4","Abrir facsímil")</f>
        <v>Abrir facsímil</v>
      </c>
      <c r="K8376" s="3" t="s">
        <v>22</v>
      </c>
    </row>
    <row r="8377" spans="1:11" ht="42" customHeight="1">
      <c r="A8377" s="2" t="s">
        <v>16245</v>
      </c>
      <c r="B8377" s="2" t="s">
        <v>16246</v>
      </c>
      <c r="C8377" s="2" t="s">
        <v>42</v>
      </c>
      <c r="D8377" s="2" t="s">
        <v>17</v>
      </c>
      <c r="E8377" s="5">
        <v>-28195</v>
      </c>
      <c r="F8377" s="3" t="s">
        <v>770</v>
      </c>
      <c r="G8377" s="3" t="s">
        <v>63</v>
      </c>
      <c r="H8377" s="2" t="s">
        <v>20</v>
      </c>
      <c r="I8377" s="2" t="s">
        <v>16251</v>
      </c>
      <c r="J8377" s="3" t="str">
        <f>HYPERLINK("https://www.boe.es/gazeta/dias/1822/10/20/pdfs/GMD-1822-307.pdf#page=6","Abrir facsímil")</f>
        <v>Abrir facsímil</v>
      </c>
      <c r="K8377" s="3" t="s">
        <v>22</v>
      </c>
    </row>
    <row r="8378" spans="1:11" ht="42" customHeight="1">
      <c r="A8378" s="2" t="s">
        <v>16245</v>
      </c>
      <c r="B8378" s="2" t="s">
        <v>16246</v>
      </c>
      <c r="C8378" s="2" t="s">
        <v>71</v>
      </c>
      <c r="D8378" s="2" t="s">
        <v>17</v>
      </c>
      <c r="E8378" s="5">
        <v>-28192</v>
      </c>
      <c r="F8378" s="3" t="s">
        <v>43</v>
      </c>
      <c r="G8378" s="3" t="s">
        <v>157</v>
      </c>
      <c r="H8378" s="2" t="s">
        <v>20</v>
      </c>
      <c r="I8378" s="2" t="s">
        <v>16252</v>
      </c>
      <c r="J8378" s="3" t="str">
        <f>HYPERLINK("https://www.boe.es/gazeta/dias/1822/10/23/pdfs/GMD-1822-310.pdf#page=8","Abrir facsímil")</f>
        <v>Abrir facsímil</v>
      </c>
      <c r="K8378" s="3" t="s">
        <v>22</v>
      </c>
    </row>
    <row r="8379" spans="1:11" ht="42" customHeight="1">
      <c r="A8379" s="2" t="s">
        <v>16253</v>
      </c>
      <c r="B8379" s="2" t="s">
        <v>16253</v>
      </c>
      <c r="C8379" s="2" t="s">
        <v>42</v>
      </c>
      <c r="D8379" s="2" t="s">
        <v>17</v>
      </c>
      <c r="E8379" s="5">
        <v>-28129</v>
      </c>
      <c r="F8379" s="3" t="s">
        <v>599</v>
      </c>
      <c r="G8379" s="3" t="s">
        <v>31</v>
      </c>
      <c r="H8379" s="2" t="s">
        <v>20</v>
      </c>
      <c r="I8379" s="2" t="s">
        <v>16254</v>
      </c>
      <c r="J8379" s="3" t="str">
        <f>HYPERLINK("https://www.boe.es/gazeta/dias/1822/12/25/pdfs/GMD-1822-375.pdf#page=3","Abrir facsímil")</f>
        <v>Abrir facsímil</v>
      </c>
      <c r="K8379" s="3" t="s">
        <v>22</v>
      </c>
    </row>
    <row r="8380" spans="1:11" ht="42" customHeight="1">
      <c r="A8380" s="2" t="s">
        <v>16255</v>
      </c>
      <c r="B8380" s="2" t="s">
        <v>16256</v>
      </c>
      <c r="C8380" s="2" t="s">
        <v>50</v>
      </c>
      <c r="D8380" s="2" t="s">
        <v>51</v>
      </c>
      <c r="E8380" s="5">
        <v>-28211</v>
      </c>
      <c r="F8380" s="3" t="s">
        <v>273</v>
      </c>
      <c r="G8380" s="3" t="s">
        <v>35</v>
      </c>
      <c r="H8380" s="2" t="s">
        <v>20</v>
      </c>
      <c r="I8380" s="2" t="s">
        <v>16257</v>
      </c>
      <c r="J8380" s="3" t="str">
        <f>HYPERLINK("https://www.boe.es/gazeta/dias/1822/10/04/pdfs/GMD-1822-290.pdf#page=2","Abrir facsímil")</f>
        <v>Abrir facsímil</v>
      </c>
      <c r="K8380" s="3" t="s">
        <v>22</v>
      </c>
    </row>
    <row r="8381" spans="1:11" ht="42" customHeight="1">
      <c r="A8381" s="2" t="s">
        <v>16258</v>
      </c>
      <c r="B8381" s="2" t="s">
        <v>16258</v>
      </c>
      <c r="C8381" s="2" t="s">
        <v>42</v>
      </c>
      <c r="D8381" s="2" t="s">
        <v>17</v>
      </c>
      <c r="E8381" s="5">
        <v>-28341</v>
      </c>
      <c r="F8381" s="3" t="s">
        <v>284</v>
      </c>
      <c r="G8381" s="3" t="s">
        <v>44</v>
      </c>
      <c r="H8381" s="2" t="s">
        <v>20</v>
      </c>
      <c r="I8381" s="2" t="s">
        <v>16259</v>
      </c>
      <c r="J8381" s="3" t="str">
        <f>HYPERLINK("https://www.boe.es/gazeta/dias/1822/05/27/pdfs/GMD-1822-152.pdf#page=1","Abrir facsímil")</f>
        <v>Abrir facsímil</v>
      </c>
      <c r="K8381" s="3" t="s">
        <v>22</v>
      </c>
    </row>
    <row r="8382" spans="1:11" ht="42" customHeight="1">
      <c r="A8382" s="2" t="s">
        <v>16258</v>
      </c>
      <c r="B8382" s="2" t="s">
        <v>16258</v>
      </c>
      <c r="C8382" s="2" t="s">
        <v>71</v>
      </c>
      <c r="D8382" s="2" t="s">
        <v>17</v>
      </c>
      <c r="E8382" s="5">
        <v>-28166</v>
      </c>
      <c r="F8382" s="3" t="s">
        <v>942</v>
      </c>
      <c r="G8382" s="3" t="s">
        <v>44</v>
      </c>
      <c r="H8382" s="2" t="s">
        <v>20</v>
      </c>
      <c r="I8382" s="2" t="s">
        <v>16260</v>
      </c>
      <c r="J8382" s="3" t="str">
        <f>HYPERLINK("https://www.boe.es/gazeta/dias/1822/11/18/pdfs/GMD-1822-338.pdf#page=1","Abrir facsímil")</f>
        <v>Abrir facsímil</v>
      </c>
      <c r="K8382" s="3" t="s">
        <v>22</v>
      </c>
    </row>
    <row r="8383" spans="1:11" ht="42" customHeight="1">
      <c r="A8383" s="2" t="s">
        <v>16258</v>
      </c>
      <c r="B8383" s="2" t="s">
        <v>16258</v>
      </c>
      <c r="C8383" s="2" t="s">
        <v>42</v>
      </c>
      <c r="D8383" s="2" t="s">
        <v>17</v>
      </c>
      <c r="E8383" s="5">
        <v>-28152</v>
      </c>
      <c r="F8383" s="3" t="s">
        <v>122</v>
      </c>
      <c r="G8383" s="3" t="s">
        <v>44</v>
      </c>
      <c r="H8383" s="2" t="s">
        <v>20</v>
      </c>
      <c r="I8383" s="2" t="s">
        <v>16261</v>
      </c>
      <c r="J8383" s="3" t="str">
        <f>HYPERLINK("https://www.boe.es/gazeta/dias/1822/12/02/pdfs/GMD-1822-352.pdf#page=1","Abrir facsímil")</f>
        <v>Abrir facsímil</v>
      </c>
      <c r="K8383" s="3" t="s">
        <v>22</v>
      </c>
    </row>
    <row r="8384" spans="1:11" ht="42" customHeight="1">
      <c r="A8384" s="2" t="s">
        <v>16262</v>
      </c>
      <c r="B8384" s="2" t="s">
        <v>16263</v>
      </c>
      <c r="C8384" s="2" t="s">
        <v>61</v>
      </c>
      <c r="D8384" s="2" t="s">
        <v>17</v>
      </c>
      <c r="E8384" s="5">
        <v>-28258</v>
      </c>
      <c r="F8384" s="3" t="s">
        <v>88</v>
      </c>
      <c r="G8384" s="3" t="s">
        <v>31</v>
      </c>
      <c r="H8384" s="2" t="s">
        <v>20</v>
      </c>
      <c r="I8384" s="2" t="s">
        <v>16264</v>
      </c>
      <c r="J8384" s="3" t="str">
        <f>HYPERLINK("https://www.boe.es/gazeta/dias/1822/08/18/pdfs/GMD-1822-242.pdf#page=3","Abrir facsímil")</f>
        <v>Abrir facsímil</v>
      </c>
      <c r="K8384" s="3" t="s">
        <v>22</v>
      </c>
    </row>
    <row r="8385" spans="1:11" ht="42" customHeight="1">
      <c r="A8385" s="2" t="s">
        <v>16265</v>
      </c>
      <c r="B8385" s="2" t="s">
        <v>16265</v>
      </c>
      <c r="C8385" s="2" t="s">
        <v>50</v>
      </c>
      <c r="D8385" s="2" t="s">
        <v>51</v>
      </c>
      <c r="E8385" s="5">
        <v>-28314</v>
      </c>
      <c r="F8385" s="3" t="s">
        <v>309</v>
      </c>
      <c r="G8385" s="3" t="s">
        <v>35</v>
      </c>
      <c r="H8385" s="2" t="s">
        <v>20</v>
      </c>
      <c r="I8385" s="2" t="s">
        <v>16266</v>
      </c>
      <c r="J8385" s="3" t="str">
        <f>HYPERLINK("https://www.boe.es/gazeta/dias/1822/06/23/pdfs/GMD-1822-181.pdf#page=2","Abrir facsímil")</f>
        <v>Abrir facsímil</v>
      </c>
      <c r="K8385" s="3" t="s">
        <v>22</v>
      </c>
    </row>
    <row r="8386" spans="1:11" ht="42" customHeight="1">
      <c r="A8386" s="2" t="s">
        <v>16267</v>
      </c>
      <c r="B8386" s="2" t="s">
        <v>16268</v>
      </c>
      <c r="C8386" s="2" t="s">
        <v>42</v>
      </c>
      <c r="D8386" s="2" t="s">
        <v>17</v>
      </c>
      <c r="E8386" s="5">
        <v>-28235</v>
      </c>
      <c r="F8386" s="3" t="s">
        <v>1470</v>
      </c>
      <c r="G8386" s="3" t="s">
        <v>57</v>
      </c>
      <c r="H8386" s="2" t="s">
        <v>20</v>
      </c>
      <c r="I8386" s="2" t="s">
        <v>16269</v>
      </c>
      <c r="J8386" s="3" t="str">
        <f>HYPERLINK("https://www.boe.es/gazeta/dias/1822/09/10/pdfs/GMD-1822-266.pdf#page=4","Abrir facsímil")</f>
        <v>Abrir facsímil</v>
      </c>
      <c r="K8386" s="3" t="s">
        <v>22</v>
      </c>
    </row>
    <row r="8387" spans="1:11" ht="42" customHeight="1">
      <c r="A8387" s="2" t="s">
        <v>16270</v>
      </c>
      <c r="B8387" s="2" t="s">
        <v>16271</v>
      </c>
      <c r="C8387" s="2" t="s">
        <v>28</v>
      </c>
      <c r="D8387" s="2" t="s">
        <v>29</v>
      </c>
      <c r="E8387" s="5">
        <v>-28341</v>
      </c>
      <c r="F8387" s="3" t="s">
        <v>284</v>
      </c>
      <c r="G8387" s="3" t="s">
        <v>63</v>
      </c>
      <c r="H8387" s="2" t="s">
        <v>20</v>
      </c>
      <c r="I8387" s="2" t="s">
        <v>16272</v>
      </c>
      <c r="J8387" s="3" t="str">
        <f>HYPERLINK("https://www.boe.es/gazeta/dias/1822/05/27/pdfs/GMD-1822-152.pdf#page=6","Abrir facsímil")</f>
        <v>Abrir facsímil</v>
      </c>
      <c r="K8387" s="3" t="s">
        <v>22</v>
      </c>
    </row>
    <row r="8388" spans="1:11" ht="42" customHeight="1">
      <c r="A8388" s="2" t="s">
        <v>16270</v>
      </c>
      <c r="B8388" s="2" t="s">
        <v>16271</v>
      </c>
      <c r="C8388" s="2" t="s">
        <v>42</v>
      </c>
      <c r="D8388" s="2" t="s">
        <v>17</v>
      </c>
      <c r="E8388" s="5">
        <v>-28131</v>
      </c>
      <c r="F8388" s="3" t="s">
        <v>893</v>
      </c>
      <c r="G8388" s="3" t="s">
        <v>991</v>
      </c>
      <c r="H8388" s="2" t="s">
        <v>20</v>
      </c>
      <c r="I8388" s="2" t="s">
        <v>16273</v>
      </c>
      <c r="J8388" s="3" t="str">
        <f>HYPERLINK("https://www.boe.es/gazeta/dias/1822/12/23/pdfs/GMD-1822-373.pdf#page=6","Abrir facsímil")</f>
        <v>Abrir facsímil</v>
      </c>
      <c r="K8388" s="3" t="s">
        <v>22</v>
      </c>
    </row>
    <row r="8389" spans="1:11" ht="42" customHeight="1">
      <c r="A8389" s="2" t="s">
        <v>16274</v>
      </c>
      <c r="B8389" s="2" t="s">
        <v>16275</v>
      </c>
      <c r="C8389" s="2" t="s">
        <v>1141</v>
      </c>
      <c r="D8389" s="2" t="s">
        <v>29</v>
      </c>
      <c r="E8389" s="5">
        <v>-28436</v>
      </c>
      <c r="F8389" s="3" t="s">
        <v>431</v>
      </c>
      <c r="G8389" s="3" t="s">
        <v>1428</v>
      </c>
      <c r="H8389" s="2" t="s">
        <v>20</v>
      </c>
      <c r="I8389" s="2" t="s">
        <v>16276</v>
      </c>
      <c r="J8389" s="3" t="str">
        <f>HYPERLINK("https://www.boe.es/gazeta/dias/1822/02/21/pdfs/GMD-1822-53.pdf#page=3","Abrir facsímil")</f>
        <v>Abrir facsímil</v>
      </c>
      <c r="K8389" s="3" t="s">
        <v>22</v>
      </c>
    </row>
    <row r="8390" spans="1:11" ht="42" customHeight="1">
      <c r="A8390" s="2" t="s">
        <v>16277</v>
      </c>
      <c r="B8390" s="2" t="s">
        <v>16277</v>
      </c>
      <c r="C8390" s="2" t="s">
        <v>42</v>
      </c>
      <c r="D8390" s="2" t="s">
        <v>17</v>
      </c>
      <c r="E8390" s="5">
        <v>-28252</v>
      </c>
      <c r="F8390" s="3" t="s">
        <v>4333</v>
      </c>
      <c r="G8390" s="3" t="s">
        <v>31</v>
      </c>
      <c r="H8390" s="2" t="s">
        <v>20</v>
      </c>
      <c r="I8390" s="2" t="s">
        <v>16278</v>
      </c>
      <c r="J8390" s="3" t="str">
        <f>HYPERLINK("https://www.boe.es/gazeta/dias/1822/08/24/pdfs/GMD-1822-248.pdf#page=3","Abrir facsímil")</f>
        <v>Abrir facsímil</v>
      </c>
      <c r="K8390" s="3" t="s">
        <v>22</v>
      </c>
    </row>
    <row r="8391" spans="1:11" ht="42" customHeight="1">
      <c r="A8391" s="2" t="s">
        <v>16279</v>
      </c>
      <c r="B8391" s="2" t="s">
        <v>16279</v>
      </c>
      <c r="C8391" s="2" t="s">
        <v>42</v>
      </c>
      <c r="D8391" s="2" t="s">
        <v>17</v>
      </c>
      <c r="E8391" s="5">
        <v>-28278</v>
      </c>
      <c r="F8391" s="3" t="s">
        <v>368</v>
      </c>
      <c r="G8391" s="3" t="s">
        <v>35</v>
      </c>
      <c r="H8391" s="2" t="s">
        <v>20</v>
      </c>
      <c r="I8391" s="2" t="s">
        <v>16280</v>
      </c>
      <c r="J8391" s="3" t="str">
        <f>HYPERLINK("https://www.boe.es/gazeta/dias/1822/07/29/pdfs/GMD-1822-222.pdf#page=2","Abrir facsímil")</f>
        <v>Abrir facsímil</v>
      </c>
      <c r="K8391" s="3" t="s">
        <v>22</v>
      </c>
    </row>
    <row r="8392" spans="1:11" ht="42" customHeight="1">
      <c r="A8392" s="2" t="s">
        <v>16281</v>
      </c>
      <c r="B8392" s="2" t="s">
        <v>16282</v>
      </c>
      <c r="C8392" s="2" t="s">
        <v>28</v>
      </c>
      <c r="D8392" s="2" t="s">
        <v>29</v>
      </c>
      <c r="E8392" s="5">
        <v>-28486</v>
      </c>
      <c r="F8392" s="3" t="s">
        <v>1046</v>
      </c>
      <c r="G8392" s="3" t="s">
        <v>57</v>
      </c>
      <c r="H8392" s="2" t="s">
        <v>20</v>
      </c>
      <c r="I8392" s="2" t="s">
        <v>16283</v>
      </c>
      <c r="J8392" s="3" t="str">
        <f>HYPERLINK("https://www.boe.es/gazeta/dias/1822/01/02/pdfs/GMD-1822-2.pdf#page=4","Abrir facsímil")</f>
        <v>Abrir facsímil</v>
      </c>
      <c r="K8392" s="3" t="s">
        <v>22</v>
      </c>
    </row>
    <row r="8393" spans="1:11" ht="42" customHeight="1">
      <c r="A8393" s="2" t="s">
        <v>16284</v>
      </c>
      <c r="B8393" s="2" t="s">
        <v>16284</v>
      </c>
      <c r="C8393" s="2" t="s">
        <v>61</v>
      </c>
      <c r="D8393" s="2" t="s">
        <v>17</v>
      </c>
      <c r="E8393" s="5">
        <v>-28257</v>
      </c>
      <c r="F8393" s="3" t="s">
        <v>1171</v>
      </c>
      <c r="G8393" s="3" t="s">
        <v>44</v>
      </c>
      <c r="H8393" s="2" t="s">
        <v>20</v>
      </c>
      <c r="I8393" s="2" t="s">
        <v>16285</v>
      </c>
      <c r="J8393" s="3" t="str">
        <f>HYPERLINK("https://www.boe.es/gazeta/dias/1822/08/19/pdfs/GMD-1822-243.pdf#page=1","Abrir facsímil")</f>
        <v>Abrir facsímil</v>
      </c>
      <c r="K8393" s="3" t="s">
        <v>22</v>
      </c>
    </row>
    <row r="8394" spans="1:11" ht="42" customHeight="1">
      <c r="A8394" s="2" t="s">
        <v>16286</v>
      </c>
      <c r="B8394" s="2" t="s">
        <v>16286</v>
      </c>
      <c r="C8394" s="2" t="s">
        <v>42</v>
      </c>
      <c r="D8394" s="2" t="s">
        <v>17</v>
      </c>
      <c r="E8394" s="5">
        <v>-28480</v>
      </c>
      <c r="F8394" s="3" t="s">
        <v>995</v>
      </c>
      <c r="G8394" s="3" t="s">
        <v>44</v>
      </c>
      <c r="H8394" s="2" t="s">
        <v>20</v>
      </c>
      <c r="I8394" s="2" t="s">
        <v>16287</v>
      </c>
      <c r="J8394" s="3" t="str">
        <f>HYPERLINK("https://www.boe.es/gazeta/dias/1822/01/08/pdfs/GMD-1822-8.pdf#page=1","Abrir facsímil")</f>
        <v>Abrir facsímil</v>
      </c>
      <c r="K8394" s="3" t="s">
        <v>22</v>
      </c>
    </row>
    <row r="8395" spans="1:11" ht="42" customHeight="1">
      <c r="A8395" s="2" t="s">
        <v>16288</v>
      </c>
      <c r="B8395" s="2" t="s">
        <v>16288</v>
      </c>
      <c r="C8395" s="2" t="s">
        <v>50</v>
      </c>
      <c r="D8395" s="2" t="s">
        <v>51</v>
      </c>
      <c r="E8395" s="5">
        <v>-28473</v>
      </c>
      <c r="F8395" s="3" t="s">
        <v>2337</v>
      </c>
      <c r="G8395" s="3" t="s">
        <v>44</v>
      </c>
      <c r="H8395" s="2" t="s">
        <v>20</v>
      </c>
      <c r="I8395" s="2" t="s">
        <v>16289</v>
      </c>
      <c r="J8395" s="3" t="str">
        <f>HYPERLINK("https://www.boe.es/gazeta/dias/1822/01/15/pdfs/GMD-1822-15.pdf#page=1","Abrir facsímil")</f>
        <v>Abrir facsímil</v>
      </c>
      <c r="K8395" s="3" t="s">
        <v>22</v>
      </c>
    </row>
    <row r="8396" spans="1:11" ht="42" customHeight="1">
      <c r="A8396" s="2" t="s">
        <v>16290</v>
      </c>
      <c r="B8396" s="2" t="s">
        <v>16291</v>
      </c>
      <c r="C8396" s="2" t="s">
        <v>42</v>
      </c>
      <c r="D8396" s="2" t="s">
        <v>17</v>
      </c>
      <c r="E8396" s="5">
        <v>-28240</v>
      </c>
      <c r="F8396" s="3" t="s">
        <v>678</v>
      </c>
      <c r="G8396" s="3" t="s">
        <v>44</v>
      </c>
      <c r="H8396" s="2" t="s">
        <v>20</v>
      </c>
      <c r="I8396" s="2" t="s">
        <v>16292</v>
      </c>
      <c r="J8396" s="3" t="str">
        <f>HYPERLINK("https://www.boe.es/gazeta/dias/1822/09/05/pdfs/GMD-1822-260.pdf#page=1","Abrir facsímil")</f>
        <v>Abrir facsímil</v>
      </c>
      <c r="K8396" s="3" t="s">
        <v>22</v>
      </c>
    </row>
    <row r="8397" spans="1:11" ht="42" customHeight="1">
      <c r="A8397" s="2" t="s">
        <v>16293</v>
      </c>
      <c r="B8397" s="2" t="s">
        <v>16294</v>
      </c>
      <c r="C8397" s="2" t="s">
        <v>50</v>
      </c>
      <c r="D8397" s="2" t="s">
        <v>51</v>
      </c>
      <c r="E8397" s="5">
        <v>-28484</v>
      </c>
      <c r="F8397" s="3" t="s">
        <v>743</v>
      </c>
      <c r="G8397" s="3" t="s">
        <v>31</v>
      </c>
      <c r="H8397" s="2" t="s">
        <v>20</v>
      </c>
      <c r="I8397" s="2" t="s">
        <v>16295</v>
      </c>
      <c r="J8397" s="3" t="str">
        <f>HYPERLINK("https://www.boe.es/gazeta/dias/1822/01/04/pdfs/GMD-1822-4.pdf#page=3","Abrir facsímil")</f>
        <v>Abrir facsímil</v>
      </c>
      <c r="K8397" s="3" t="s">
        <v>22</v>
      </c>
    </row>
    <row r="8398" spans="1:11" ht="42" customHeight="1">
      <c r="A8398" s="2" t="s">
        <v>16296</v>
      </c>
      <c r="B8398" s="2" t="s">
        <v>16297</v>
      </c>
      <c r="C8398" s="2" t="s">
        <v>42</v>
      </c>
      <c r="D8398" s="2" t="s">
        <v>17</v>
      </c>
      <c r="E8398" s="5">
        <v>-28225</v>
      </c>
      <c r="F8398" s="3" t="s">
        <v>177</v>
      </c>
      <c r="G8398" s="3" t="s">
        <v>178</v>
      </c>
      <c r="H8398" s="2" t="s">
        <v>45</v>
      </c>
      <c r="I8398" s="2" t="s">
        <v>16298</v>
      </c>
      <c r="J8398" s="3" t="str">
        <f>HYPERLINK("https://www.boe.es/gazeta/dias/1822/09/20/pdfs/GMD-1822-276.pdf#page=3","Abrir facsímil")</f>
        <v>Abrir facsímil</v>
      </c>
      <c r="K8398" s="3" t="s">
        <v>47</v>
      </c>
    </row>
    <row r="8399" spans="1:11" ht="42" customHeight="1">
      <c r="A8399" s="2" t="s">
        <v>16299</v>
      </c>
      <c r="B8399" s="2" t="s">
        <v>16300</v>
      </c>
      <c r="C8399" s="2" t="s">
        <v>24</v>
      </c>
      <c r="D8399" s="2" t="s">
        <v>17</v>
      </c>
      <c r="E8399" s="5">
        <v>-28395</v>
      </c>
      <c r="F8399" s="3" t="s">
        <v>237</v>
      </c>
      <c r="G8399" s="3" t="s">
        <v>57</v>
      </c>
      <c r="H8399" s="2" t="s">
        <v>20</v>
      </c>
      <c r="I8399" s="2" t="s">
        <v>16301</v>
      </c>
      <c r="J8399" s="3" t="str">
        <f>HYPERLINK("https://www.boe.es/gazeta/dias/1822/04/03/pdfs/GMD-1822-95.pdf#page=4","Abrir facsímil")</f>
        <v>Abrir facsímil</v>
      </c>
      <c r="K8399" s="3" t="s">
        <v>22</v>
      </c>
    </row>
    <row r="8400" spans="1:11" ht="42" customHeight="1">
      <c r="A8400" s="2" t="s">
        <v>16302</v>
      </c>
      <c r="B8400" s="2" t="s">
        <v>16303</v>
      </c>
      <c r="C8400" s="2" t="s">
        <v>50</v>
      </c>
      <c r="D8400" s="2" t="s">
        <v>51</v>
      </c>
      <c r="E8400" s="5">
        <v>-28189</v>
      </c>
      <c r="F8400" s="3" t="s">
        <v>645</v>
      </c>
      <c r="G8400" s="3" t="s">
        <v>63</v>
      </c>
      <c r="H8400" s="2" t="s">
        <v>45</v>
      </c>
      <c r="I8400" s="2" t="s">
        <v>16304</v>
      </c>
      <c r="J8400" s="3" t="str">
        <f>HYPERLINK("https://www.boe.es/gazeta/dias/1822/10/26/pdfs/GMD-1822-313.pdf#page=6","Abrir facsímil")</f>
        <v>Abrir facsímil</v>
      </c>
      <c r="K8400" s="3" t="s">
        <v>47</v>
      </c>
    </row>
    <row r="8401" spans="1:11" ht="42" customHeight="1">
      <c r="A8401" s="2" t="s">
        <v>16305</v>
      </c>
      <c r="B8401" s="2" t="s">
        <v>16306</v>
      </c>
      <c r="C8401" s="2" t="s">
        <v>50</v>
      </c>
      <c r="D8401" s="2" t="s">
        <v>51</v>
      </c>
      <c r="E8401" s="5">
        <v>-28348</v>
      </c>
      <c r="F8401" s="3" t="s">
        <v>2903</v>
      </c>
      <c r="G8401" s="3" t="s">
        <v>16161</v>
      </c>
      <c r="H8401" s="2" t="s">
        <v>20</v>
      </c>
      <c r="I8401" s="2" t="s">
        <v>16307</v>
      </c>
      <c r="J8401" s="3" t="str">
        <f>HYPERLINK("https://www.boe.es/gazeta/dias/1822/05/20/pdfs/GMD-1822-143.pdf#page=6","Abrir facsímil")</f>
        <v>Abrir facsímil</v>
      </c>
      <c r="K8401" s="3" t="s">
        <v>22</v>
      </c>
    </row>
    <row r="8402" spans="1:11" ht="42" customHeight="1">
      <c r="A8402" s="2" t="s">
        <v>16308</v>
      </c>
      <c r="B8402" s="2" t="s">
        <v>16308</v>
      </c>
      <c r="C8402" s="2" t="s">
        <v>50</v>
      </c>
      <c r="D8402" s="2" t="s">
        <v>51</v>
      </c>
      <c r="E8402" s="5">
        <v>-28140</v>
      </c>
      <c r="F8402" s="3" t="s">
        <v>84</v>
      </c>
      <c r="G8402" s="3" t="s">
        <v>44</v>
      </c>
      <c r="H8402" s="2" t="s">
        <v>20</v>
      </c>
      <c r="I8402" s="2" t="s">
        <v>16309</v>
      </c>
      <c r="J8402" s="3" t="str">
        <f>HYPERLINK("https://www.boe.es/gazeta/dias/1822/12/14/pdfs/GMD-1822-364.pdf#page=1","Abrir facsímil")</f>
        <v>Abrir facsímil</v>
      </c>
      <c r="K8402" s="3" t="s">
        <v>22</v>
      </c>
    </row>
    <row r="8403" spans="1:11" ht="42" customHeight="1">
      <c r="A8403" s="2" t="s">
        <v>16310</v>
      </c>
      <c r="B8403" s="2" t="s">
        <v>16311</v>
      </c>
      <c r="C8403" s="2" t="s">
        <v>24</v>
      </c>
      <c r="D8403" s="2" t="s">
        <v>17</v>
      </c>
      <c r="E8403" s="5">
        <v>-28345</v>
      </c>
      <c r="F8403" s="3" t="s">
        <v>294</v>
      </c>
      <c r="G8403" s="3" t="s">
        <v>35</v>
      </c>
      <c r="H8403" s="2" t="s">
        <v>20</v>
      </c>
      <c r="I8403" s="2" t="s">
        <v>16312</v>
      </c>
      <c r="J8403" s="3" t="str">
        <f>HYPERLINK("https://www.boe.es/gazeta/dias/1822/05/23/pdfs/GMD-1822-147.pdf#page=2","Abrir facsímil")</f>
        <v>Abrir facsímil</v>
      </c>
      <c r="K8403" s="3" t="s">
        <v>22</v>
      </c>
    </row>
    <row r="8404" spans="1:11" ht="42" customHeight="1">
      <c r="A8404" s="2" t="s">
        <v>16313</v>
      </c>
      <c r="B8404" s="2" t="s">
        <v>16313</v>
      </c>
      <c r="C8404" s="2" t="s">
        <v>50</v>
      </c>
      <c r="D8404" s="2" t="s">
        <v>51</v>
      </c>
      <c r="E8404" s="5">
        <v>-28126</v>
      </c>
      <c r="F8404" s="3" t="s">
        <v>952</v>
      </c>
      <c r="G8404" s="3" t="s">
        <v>44</v>
      </c>
      <c r="H8404" s="2" t="s">
        <v>20</v>
      </c>
      <c r="I8404" s="2" t="s">
        <v>16314</v>
      </c>
      <c r="J8404" s="3" t="str">
        <f>HYPERLINK("https://www.boe.es/gazeta/dias/1822/12/28/pdfs/GMD-1822-378.pdf#page=1","Abrir facsímil")</f>
        <v>Abrir facsímil</v>
      </c>
      <c r="K8404" s="3" t="s">
        <v>22</v>
      </c>
    </row>
    <row r="8405" spans="1:11" ht="42" customHeight="1">
      <c r="A8405" s="2" t="s">
        <v>16315</v>
      </c>
      <c r="B8405" s="2" t="s">
        <v>16316</v>
      </c>
      <c r="C8405" s="2" t="s">
        <v>42</v>
      </c>
      <c r="D8405" s="2" t="s">
        <v>17</v>
      </c>
      <c r="E8405" s="5">
        <v>-28210</v>
      </c>
      <c r="F8405" s="3" t="s">
        <v>218</v>
      </c>
      <c r="G8405" s="3" t="s">
        <v>19</v>
      </c>
      <c r="H8405" s="2" t="s">
        <v>45</v>
      </c>
      <c r="I8405" s="2" t="s">
        <v>16317</v>
      </c>
      <c r="J8405" s="3" t="str">
        <f>HYPERLINK("https://www.boe.es/gazeta/dias/1822/10/05/pdfs/GMD-1822-291.pdf#page=5","Abrir facsímil")</f>
        <v>Abrir facsímil</v>
      </c>
      <c r="K8405" s="3" t="s">
        <v>47</v>
      </c>
    </row>
    <row r="8406" spans="1:11" ht="42" customHeight="1">
      <c r="A8406" s="2" t="s">
        <v>16318</v>
      </c>
      <c r="B8406" s="2" t="s">
        <v>16319</v>
      </c>
      <c r="C8406" s="2" t="s">
        <v>50</v>
      </c>
      <c r="D8406" s="2" t="s">
        <v>51</v>
      </c>
      <c r="E8406" s="5">
        <v>-28416</v>
      </c>
      <c r="F8406" s="3" t="s">
        <v>97</v>
      </c>
      <c r="G8406" s="3" t="s">
        <v>63</v>
      </c>
      <c r="H8406" s="2" t="s">
        <v>45</v>
      </c>
      <c r="I8406" s="2" t="s">
        <v>16320</v>
      </c>
      <c r="J8406" s="3" t="str">
        <f>HYPERLINK("https://www.boe.es/gazeta/dias/1822/03/13/pdfs/GMD-1822-74.pdf#page=6","Abrir facsímil")</f>
        <v>Abrir facsímil</v>
      </c>
      <c r="K8406" s="3" t="s">
        <v>47</v>
      </c>
    </row>
    <row r="8407" spans="1:11" ht="42" customHeight="1">
      <c r="A8407" s="2" t="s">
        <v>16321</v>
      </c>
      <c r="B8407" s="2" t="s">
        <v>16322</v>
      </c>
      <c r="C8407" s="2" t="s">
        <v>71</v>
      </c>
      <c r="D8407" s="2" t="s">
        <v>17</v>
      </c>
      <c r="E8407" s="5">
        <v>-28331</v>
      </c>
      <c r="F8407" s="3" t="s">
        <v>537</v>
      </c>
      <c r="G8407" s="3" t="s">
        <v>31</v>
      </c>
      <c r="H8407" s="2" t="s">
        <v>45</v>
      </c>
      <c r="I8407" s="2" t="s">
        <v>16323</v>
      </c>
      <c r="J8407" s="3" t="str">
        <f>HYPERLINK("https://www.boe.es/gazeta/dias/1822/06/06/pdfs/GMD-1822-163.pdf#page=3","Abrir facsímil")</f>
        <v>Abrir facsímil</v>
      </c>
      <c r="K8407" s="3" t="s">
        <v>47</v>
      </c>
    </row>
    <row r="8408" spans="1:11" ht="42" customHeight="1">
      <c r="A8408" s="2" t="s">
        <v>16324</v>
      </c>
      <c r="B8408" s="2" t="s">
        <v>16325</v>
      </c>
      <c r="C8408" s="2" t="s">
        <v>50</v>
      </c>
      <c r="D8408" s="2" t="s">
        <v>51</v>
      </c>
      <c r="E8408" s="5">
        <v>-28260</v>
      </c>
      <c r="F8408" s="3" t="s">
        <v>135</v>
      </c>
      <c r="G8408" s="3" t="s">
        <v>31</v>
      </c>
      <c r="H8408" s="2" t="s">
        <v>45</v>
      </c>
      <c r="I8408" s="2" t="s">
        <v>16326</v>
      </c>
      <c r="J8408" s="3" t="str">
        <f>HYPERLINK("https://www.boe.es/gazeta/dias/1822/08/16/pdfs/GMD-1822-240.pdf#page=3","Abrir facsímil")</f>
        <v>Abrir facsímil</v>
      </c>
      <c r="K8408" s="3" t="s">
        <v>47</v>
      </c>
    </row>
    <row r="8409" spans="1:11" ht="42" customHeight="1">
      <c r="A8409" s="2" t="s">
        <v>16327</v>
      </c>
      <c r="B8409" s="2" t="s">
        <v>16328</v>
      </c>
      <c r="C8409" s="2" t="s">
        <v>16</v>
      </c>
      <c r="D8409" s="2" t="s">
        <v>17</v>
      </c>
      <c r="E8409" s="5">
        <v>-28200</v>
      </c>
      <c r="F8409" s="3" t="s">
        <v>1037</v>
      </c>
      <c r="G8409" s="3" t="s">
        <v>19</v>
      </c>
      <c r="H8409" s="2" t="s">
        <v>45</v>
      </c>
      <c r="I8409" s="2" t="s">
        <v>16329</v>
      </c>
      <c r="J8409" s="3" t="str">
        <f>HYPERLINK("https://www.boe.es/gazeta/dias/1822/10/15/pdfs/GMD-1822-302.pdf#page=5","Abrir facsímil")</f>
        <v>Abrir facsímil</v>
      </c>
      <c r="K8409" s="3" t="s">
        <v>47</v>
      </c>
    </row>
    <row r="8410" spans="1:11" ht="42" customHeight="1">
      <c r="A8410" s="2" t="s">
        <v>16330</v>
      </c>
      <c r="B8410" s="2" t="s">
        <v>16331</v>
      </c>
      <c r="C8410" s="2" t="s">
        <v>50</v>
      </c>
      <c r="D8410" s="2" t="s">
        <v>51</v>
      </c>
      <c r="E8410" s="5">
        <v>-28238</v>
      </c>
      <c r="F8410" s="3" t="s">
        <v>2077</v>
      </c>
      <c r="G8410" s="3" t="s">
        <v>35</v>
      </c>
      <c r="H8410" s="2" t="s">
        <v>45</v>
      </c>
      <c r="I8410" s="2" t="s">
        <v>16332</v>
      </c>
      <c r="J8410" s="3" t="str">
        <f>HYPERLINK("https://www.boe.es/gazeta/dias/1822/09/07/pdfs/GMD-1822-262.pdf#page=2","Abrir facsímil")</f>
        <v>Abrir facsímil</v>
      </c>
      <c r="K8410" s="3" t="s">
        <v>47</v>
      </c>
    </row>
    <row r="8411" spans="1:11" ht="42" customHeight="1">
      <c r="A8411" s="2" t="s">
        <v>16333</v>
      </c>
      <c r="B8411" s="2" t="s">
        <v>16334</v>
      </c>
      <c r="C8411" s="2" t="s">
        <v>16</v>
      </c>
      <c r="D8411" s="2" t="s">
        <v>17</v>
      </c>
      <c r="E8411" s="5">
        <v>-28237</v>
      </c>
      <c r="F8411" s="3" t="s">
        <v>878</v>
      </c>
      <c r="G8411" s="3" t="s">
        <v>57</v>
      </c>
      <c r="H8411" s="2" t="s">
        <v>45</v>
      </c>
      <c r="I8411" s="2" t="s">
        <v>16335</v>
      </c>
      <c r="J8411" s="3" t="str">
        <f>HYPERLINK("https://www.boe.es/gazeta/dias/1822/09/08/pdfs/GMD-1822-264.pdf#page=4","Abrir facsímil")</f>
        <v>Abrir facsímil</v>
      </c>
      <c r="K8411" s="3" t="s">
        <v>47</v>
      </c>
    </row>
    <row r="8412" spans="1:11" ht="42" customHeight="1">
      <c r="A8412" s="2" t="s">
        <v>16336</v>
      </c>
      <c r="B8412" s="2" t="s">
        <v>16337</v>
      </c>
      <c r="C8412" s="2" t="s">
        <v>50</v>
      </c>
      <c r="D8412" s="2" t="s">
        <v>51</v>
      </c>
      <c r="E8412" s="5">
        <v>-28245</v>
      </c>
      <c r="F8412" s="3" t="s">
        <v>2307</v>
      </c>
      <c r="G8412" s="3" t="s">
        <v>35</v>
      </c>
      <c r="H8412" s="2" t="s">
        <v>45</v>
      </c>
      <c r="I8412" s="2" t="s">
        <v>16338</v>
      </c>
      <c r="J8412" s="3" t="str">
        <f>HYPERLINK("https://www.boe.es/gazeta/dias/1822/08/31/pdfs/GMD-1822-255.pdf#page=2","Abrir facsímil")</f>
        <v>Abrir facsímil</v>
      </c>
      <c r="K8412" s="3" t="s">
        <v>47</v>
      </c>
    </row>
    <row r="8413" spans="1:11" ht="42" customHeight="1">
      <c r="A8413" s="2" t="s">
        <v>16339</v>
      </c>
      <c r="B8413" s="2" t="s">
        <v>16340</v>
      </c>
      <c r="C8413" s="2" t="s">
        <v>71</v>
      </c>
      <c r="D8413" s="2" t="s">
        <v>17</v>
      </c>
      <c r="E8413" s="5">
        <v>-28221</v>
      </c>
      <c r="F8413" s="3" t="s">
        <v>2591</v>
      </c>
      <c r="G8413" s="3" t="s">
        <v>57</v>
      </c>
      <c r="H8413" s="2" t="s">
        <v>45</v>
      </c>
      <c r="I8413" s="2" t="s">
        <v>16341</v>
      </c>
      <c r="J8413" s="3" t="str">
        <f>HYPERLINK("https://www.boe.es/gazeta/dias/1822/09/24/pdfs/GMD-1822-280.pdf#page=4","Abrir facsímil")</f>
        <v>Abrir facsímil</v>
      </c>
      <c r="K8413" s="3" t="s">
        <v>47</v>
      </c>
    </row>
    <row r="8414" spans="1:11" ht="42" customHeight="1">
      <c r="A8414" s="2" t="s">
        <v>16339</v>
      </c>
      <c r="B8414" s="2" t="s">
        <v>16340</v>
      </c>
      <c r="C8414" s="2" t="s">
        <v>16</v>
      </c>
      <c r="D8414" s="2" t="s">
        <v>17</v>
      </c>
      <c r="E8414" s="5">
        <v>-28201</v>
      </c>
      <c r="F8414" s="3" t="s">
        <v>163</v>
      </c>
      <c r="G8414" s="3" t="s">
        <v>44</v>
      </c>
      <c r="H8414" s="2" t="s">
        <v>45</v>
      </c>
      <c r="I8414" s="2" t="s">
        <v>16342</v>
      </c>
      <c r="J8414" s="3" t="str">
        <f>HYPERLINK("https://www.boe.es/gazeta/dias/1822/10/14/pdfs/GMD-1822-301.pdf#page=1","Abrir facsímil")</f>
        <v>Abrir facsímil</v>
      </c>
      <c r="K8414" s="3" t="s">
        <v>47</v>
      </c>
    </row>
    <row r="8415" spans="1:11" ht="42" customHeight="1">
      <c r="A8415" s="2" t="s">
        <v>16343</v>
      </c>
      <c r="B8415" s="2" t="s">
        <v>16344</v>
      </c>
      <c r="C8415" s="2" t="s">
        <v>42</v>
      </c>
      <c r="D8415" s="2" t="s">
        <v>17</v>
      </c>
      <c r="E8415" s="5">
        <v>-28295</v>
      </c>
      <c r="F8415" s="3" t="s">
        <v>81</v>
      </c>
      <c r="G8415" s="3" t="s">
        <v>57</v>
      </c>
      <c r="H8415" s="2" t="s">
        <v>45</v>
      </c>
      <c r="I8415" s="2" t="s">
        <v>16345</v>
      </c>
      <c r="J8415" s="3" t="str">
        <f>HYPERLINK("https://www.boe.es/gazeta/dias/1822/07/12/pdfs/GMD-1822-202.pdf#page=4","Abrir facsímil")</f>
        <v>Abrir facsímil</v>
      </c>
      <c r="K8415" s="3" t="s">
        <v>47</v>
      </c>
    </row>
    <row r="8416" spans="1:11" ht="42" customHeight="1">
      <c r="A8416" s="2" t="s">
        <v>16346</v>
      </c>
      <c r="B8416" s="2" t="s">
        <v>16347</v>
      </c>
      <c r="C8416" s="2" t="s">
        <v>28</v>
      </c>
      <c r="D8416" s="2" t="s">
        <v>29</v>
      </c>
      <c r="E8416" s="5">
        <v>-28406</v>
      </c>
      <c r="F8416" s="3" t="s">
        <v>462</v>
      </c>
      <c r="G8416" s="3" t="s">
        <v>157</v>
      </c>
      <c r="H8416" s="2" t="s">
        <v>45</v>
      </c>
      <c r="I8416" s="2" t="s">
        <v>16348</v>
      </c>
      <c r="J8416" s="3" t="str">
        <f>HYPERLINK("https://www.boe.es/gazeta/dias/1822/03/23/pdfs/GMD-1822-84.pdf#page=8","Abrir facsímil")</f>
        <v>Abrir facsímil</v>
      </c>
      <c r="K8416" s="3" t="s">
        <v>47</v>
      </c>
    </row>
    <row r="8417" spans="1:11" ht="42" customHeight="1">
      <c r="A8417" s="2" t="s">
        <v>16349</v>
      </c>
      <c r="B8417" s="2" t="s">
        <v>16350</v>
      </c>
      <c r="C8417" s="2" t="s">
        <v>50</v>
      </c>
      <c r="D8417" s="2" t="s">
        <v>51</v>
      </c>
      <c r="E8417" s="5">
        <v>-28249</v>
      </c>
      <c r="F8417" s="3" t="s">
        <v>3986</v>
      </c>
      <c r="G8417" s="3" t="s">
        <v>35</v>
      </c>
      <c r="H8417" s="2" t="s">
        <v>45</v>
      </c>
      <c r="I8417" s="2" t="s">
        <v>16351</v>
      </c>
      <c r="J8417" s="3" t="str">
        <f>HYPERLINK("https://www.boe.es/gazeta/dias/1822/08/27/pdfs/GMD-1822-251.pdf#page=2","Abrir facsímil")</f>
        <v>Abrir facsímil</v>
      </c>
      <c r="K8417" s="3" t="s">
        <v>47</v>
      </c>
    </row>
    <row r="8418" spans="1:11" ht="42" customHeight="1">
      <c r="A8418" s="2" t="s">
        <v>16352</v>
      </c>
      <c r="B8418" s="2" t="s">
        <v>16353</v>
      </c>
      <c r="C8418" s="2" t="s">
        <v>28</v>
      </c>
      <c r="D8418" s="2" t="s">
        <v>29</v>
      </c>
      <c r="E8418" s="5">
        <v>-28415</v>
      </c>
      <c r="F8418" s="3" t="s">
        <v>77</v>
      </c>
      <c r="G8418" s="3" t="s">
        <v>19</v>
      </c>
      <c r="H8418" s="2" t="s">
        <v>45</v>
      </c>
      <c r="I8418" s="2" t="s">
        <v>16354</v>
      </c>
      <c r="J8418" s="3" t="str">
        <f>HYPERLINK("https://www.boe.es/gazeta/dias/1822/03/14/pdfs/GMD-1822-75.pdf#page=5","Abrir facsímil")</f>
        <v>Abrir facsímil</v>
      </c>
      <c r="K8418" s="3" t="s">
        <v>47</v>
      </c>
    </row>
    <row r="8419" spans="1:11" ht="42" customHeight="1">
      <c r="A8419" s="2" t="s">
        <v>16352</v>
      </c>
      <c r="B8419" s="2" t="s">
        <v>16353</v>
      </c>
      <c r="C8419" s="2" t="s">
        <v>50</v>
      </c>
      <c r="D8419" s="2" t="s">
        <v>723</v>
      </c>
      <c r="E8419" s="5">
        <v>-28290</v>
      </c>
      <c r="F8419" s="3" t="s">
        <v>16355</v>
      </c>
      <c r="G8419" s="3" t="s">
        <v>44</v>
      </c>
      <c r="H8419" s="2" t="s">
        <v>45</v>
      </c>
      <c r="I8419" s="2" t="s">
        <v>16356</v>
      </c>
      <c r="J8419" s="3" t="str">
        <f>HYPERLINK("https://www.boe.es/gazeta/dias/1822/07/17/pdfs/GMD-1822-208E.pdf#page=1","Abrir facsímil")</f>
        <v>Abrir facsímil</v>
      </c>
      <c r="K8419" s="3" t="s">
        <v>47</v>
      </c>
    </row>
    <row r="8420" spans="1:11" ht="42" customHeight="1">
      <c r="A8420" s="2" t="s">
        <v>16357</v>
      </c>
      <c r="B8420" s="2" t="s">
        <v>16358</v>
      </c>
      <c r="C8420" s="2" t="s">
        <v>42</v>
      </c>
      <c r="D8420" s="2" t="s">
        <v>17</v>
      </c>
      <c r="E8420" s="5">
        <v>-28208</v>
      </c>
      <c r="F8420" s="3" t="s">
        <v>230</v>
      </c>
      <c r="G8420" s="3" t="s">
        <v>57</v>
      </c>
      <c r="H8420" s="2" t="s">
        <v>45</v>
      </c>
      <c r="I8420" s="2" t="s">
        <v>16359</v>
      </c>
      <c r="J8420" s="3" t="str">
        <f>HYPERLINK("https://www.boe.es/gazeta/dias/1822/10/07/pdfs/GMD-1822-293.pdf#page=4","Abrir facsímil")</f>
        <v>Abrir facsímil</v>
      </c>
      <c r="K8420" s="3" t="s">
        <v>47</v>
      </c>
    </row>
    <row r="8421" spans="1:11" ht="42" customHeight="1">
      <c r="A8421" s="2" t="s">
        <v>16360</v>
      </c>
      <c r="B8421" s="2" t="s">
        <v>16361</v>
      </c>
      <c r="C8421" s="2" t="s">
        <v>50</v>
      </c>
      <c r="D8421" s="2" t="s">
        <v>51</v>
      </c>
      <c r="E8421" s="5">
        <v>-28282</v>
      </c>
      <c r="F8421" s="3" t="s">
        <v>6600</v>
      </c>
      <c r="G8421" s="3" t="s">
        <v>6601</v>
      </c>
      <c r="H8421" s="2" t="s">
        <v>45</v>
      </c>
      <c r="I8421" s="2" t="s">
        <v>16362</v>
      </c>
      <c r="J8421" s="3" t="str">
        <f>HYPERLINK("https://www.boe.es/gazeta/dias/1822/07/25/pdfs/GMD-1822-218.pdf#page=4","Abrir facsímil")</f>
        <v>Abrir facsímil</v>
      </c>
      <c r="K8421" s="3" t="s">
        <v>47</v>
      </c>
    </row>
    <row r="8422" spans="1:11" ht="42" customHeight="1">
      <c r="A8422" s="2" t="s">
        <v>16363</v>
      </c>
      <c r="B8422" s="2" t="s">
        <v>16364</v>
      </c>
      <c r="C8422" s="2" t="s">
        <v>42</v>
      </c>
      <c r="D8422" s="2" t="s">
        <v>17</v>
      </c>
      <c r="E8422" s="5">
        <v>-28210</v>
      </c>
      <c r="F8422" s="3" t="s">
        <v>218</v>
      </c>
      <c r="G8422" s="3" t="s">
        <v>19</v>
      </c>
      <c r="H8422" s="2" t="s">
        <v>45</v>
      </c>
      <c r="I8422" s="2" t="s">
        <v>16365</v>
      </c>
      <c r="J8422" s="3" t="str">
        <f>HYPERLINK("https://www.boe.es/gazeta/dias/1822/10/05/pdfs/GMD-1822-291.pdf#page=5","Abrir facsímil")</f>
        <v>Abrir facsímil</v>
      </c>
      <c r="K8422" s="3" t="s">
        <v>47</v>
      </c>
    </row>
    <row r="8423" spans="1:11" ht="42" customHeight="1">
      <c r="A8423" s="2" t="s">
        <v>16366</v>
      </c>
      <c r="B8423" s="2" t="s">
        <v>16367</v>
      </c>
      <c r="C8423" s="2" t="s">
        <v>50</v>
      </c>
      <c r="D8423" s="2" t="s">
        <v>51</v>
      </c>
      <c r="E8423" s="5">
        <v>-28358</v>
      </c>
      <c r="F8423" s="3" t="s">
        <v>211</v>
      </c>
      <c r="G8423" s="3" t="s">
        <v>157</v>
      </c>
      <c r="H8423" s="2" t="s">
        <v>45</v>
      </c>
      <c r="I8423" s="2" t="s">
        <v>16368</v>
      </c>
      <c r="J8423" s="3" t="str">
        <f>HYPERLINK("https://www.boe.es/gazeta/dias/1822/05/10/pdfs/GMD-1822-132.pdf#page=8","Abrir facsímil")</f>
        <v>Abrir facsímil</v>
      </c>
      <c r="K8423" s="3" t="s">
        <v>47</v>
      </c>
    </row>
    <row r="8424" spans="1:11" ht="42" customHeight="1">
      <c r="A8424" s="2" t="s">
        <v>16369</v>
      </c>
      <c r="B8424" s="2" t="s">
        <v>16370</v>
      </c>
      <c r="C8424" s="2" t="s">
        <v>16</v>
      </c>
      <c r="D8424" s="2" t="s">
        <v>17</v>
      </c>
      <c r="E8424" s="5">
        <v>-28357</v>
      </c>
      <c r="F8424" s="3" t="s">
        <v>690</v>
      </c>
      <c r="G8424" s="3" t="s">
        <v>31</v>
      </c>
      <c r="H8424" s="2" t="s">
        <v>45</v>
      </c>
      <c r="I8424" s="2" t="s">
        <v>16371</v>
      </c>
      <c r="J8424" s="3" t="str">
        <f>HYPERLINK("https://www.boe.es/gazeta/dias/1822/05/11/pdfs/GMD-1822-133.pdf#page=3","Abrir facsímil")</f>
        <v>Abrir facsímil</v>
      </c>
      <c r="K8424" s="3" t="s">
        <v>47</v>
      </c>
    </row>
    <row r="8425" spans="1:11" ht="42" customHeight="1">
      <c r="A8425" s="2" t="s">
        <v>16369</v>
      </c>
      <c r="B8425" s="2" t="s">
        <v>16370</v>
      </c>
      <c r="C8425" s="2" t="s">
        <v>42</v>
      </c>
      <c r="D8425" s="2" t="s">
        <v>17</v>
      </c>
      <c r="E8425" s="5">
        <v>-28226</v>
      </c>
      <c r="F8425" s="3" t="s">
        <v>812</v>
      </c>
      <c r="G8425" s="3" t="s">
        <v>31</v>
      </c>
      <c r="H8425" s="2" t="s">
        <v>45</v>
      </c>
      <c r="I8425" s="2" t="s">
        <v>16372</v>
      </c>
      <c r="J8425" s="3" t="str">
        <f>HYPERLINK("https://www.boe.es/gazeta/dias/1822/09/19/pdfs/GMD-1822-275.pdf#page=3","Abrir facsímil")</f>
        <v>Abrir facsímil</v>
      </c>
      <c r="K8425" s="3" t="s">
        <v>47</v>
      </c>
    </row>
    <row r="8426" spans="1:11" ht="42" customHeight="1">
      <c r="A8426" s="2" t="s">
        <v>16373</v>
      </c>
      <c r="B8426" s="2" t="s">
        <v>16374</v>
      </c>
      <c r="C8426" s="2" t="s">
        <v>50</v>
      </c>
      <c r="D8426" s="2" t="s">
        <v>51</v>
      </c>
      <c r="E8426" s="5">
        <v>-28289</v>
      </c>
      <c r="F8426" s="3" t="s">
        <v>390</v>
      </c>
      <c r="G8426" s="3" t="s">
        <v>35</v>
      </c>
      <c r="H8426" s="2" t="s">
        <v>45</v>
      </c>
      <c r="I8426" s="2" t="s">
        <v>16375</v>
      </c>
      <c r="J8426" s="3" t="str">
        <f>HYPERLINK("https://www.boe.es/gazeta/dias/1822/07/18/pdfs/GMD-1822-209.pdf#page=2","Abrir facsímil")</f>
        <v>Abrir facsímil</v>
      </c>
      <c r="K8426" s="3" t="s">
        <v>47</v>
      </c>
    </row>
    <row r="8427" spans="1:11" ht="42" customHeight="1">
      <c r="A8427" s="2" t="s">
        <v>16376</v>
      </c>
      <c r="B8427" s="2" t="s">
        <v>16377</v>
      </c>
      <c r="C8427" s="2" t="s">
        <v>42</v>
      </c>
      <c r="D8427" s="2" t="s">
        <v>17</v>
      </c>
      <c r="E8427" s="5">
        <v>-28358</v>
      </c>
      <c r="F8427" s="3" t="s">
        <v>211</v>
      </c>
      <c r="G8427" s="3" t="s">
        <v>684</v>
      </c>
      <c r="H8427" s="2" t="s">
        <v>45</v>
      </c>
      <c r="I8427" s="2" t="s">
        <v>16378</v>
      </c>
      <c r="J8427" s="3" t="str">
        <f>HYPERLINK("https://www.boe.es/gazeta/dias/1822/05/10/pdfs/GMD-1822-132.pdf#page=5","Abrir facsímil")</f>
        <v>Abrir facsímil</v>
      </c>
      <c r="K8427" s="3" t="s">
        <v>47</v>
      </c>
    </row>
    <row r="8428" spans="1:11" ht="42" customHeight="1">
      <c r="A8428" s="2" t="s">
        <v>16379</v>
      </c>
      <c r="B8428" s="2" t="s">
        <v>16380</v>
      </c>
      <c r="C8428" s="2" t="s">
        <v>42</v>
      </c>
      <c r="D8428" s="2" t="s">
        <v>17</v>
      </c>
      <c r="E8428" s="5">
        <v>-28139</v>
      </c>
      <c r="F8428" s="3" t="s">
        <v>143</v>
      </c>
      <c r="G8428" s="3" t="s">
        <v>44</v>
      </c>
      <c r="H8428" s="2" t="s">
        <v>45</v>
      </c>
      <c r="I8428" s="2" t="s">
        <v>16381</v>
      </c>
      <c r="J8428" s="3" t="str">
        <f>HYPERLINK("https://www.boe.es/gazeta/dias/1822/12/15/pdfs/GMD-1822-365.pdf#page=1","Abrir facsímil")</f>
        <v>Abrir facsímil</v>
      </c>
      <c r="K8428" s="3" t="s">
        <v>47</v>
      </c>
    </row>
    <row r="8429" spans="1:11" ht="42" customHeight="1">
      <c r="A8429" s="2" t="s">
        <v>16382</v>
      </c>
      <c r="B8429" s="2" t="s">
        <v>16383</v>
      </c>
      <c r="C8429" s="2" t="s">
        <v>50</v>
      </c>
      <c r="D8429" s="2" t="s">
        <v>51</v>
      </c>
      <c r="E8429" s="5">
        <v>-28203</v>
      </c>
      <c r="F8429" s="3" t="s">
        <v>564</v>
      </c>
      <c r="G8429" s="3" t="s">
        <v>19</v>
      </c>
      <c r="H8429" s="2" t="s">
        <v>45</v>
      </c>
      <c r="I8429" s="2" t="s">
        <v>16384</v>
      </c>
      <c r="J8429" s="3" t="str">
        <f>HYPERLINK("https://www.boe.es/gazeta/dias/1822/10/12/pdfs/GMD-1822-299.pdf#page=5","Abrir facsímil")</f>
        <v>Abrir facsímil</v>
      </c>
      <c r="K8429" s="3" t="s">
        <v>47</v>
      </c>
    </row>
    <row r="8430" spans="1:11" ht="42" customHeight="1">
      <c r="A8430" s="2" t="s">
        <v>16385</v>
      </c>
      <c r="B8430" s="2" t="s">
        <v>16386</v>
      </c>
      <c r="C8430" s="2" t="s">
        <v>28</v>
      </c>
      <c r="D8430" s="2" t="s">
        <v>29</v>
      </c>
      <c r="E8430" s="5">
        <v>-28244</v>
      </c>
      <c r="F8430" s="3" t="s">
        <v>6163</v>
      </c>
      <c r="G8430" s="3" t="s">
        <v>57</v>
      </c>
      <c r="H8430" s="2" t="s">
        <v>45</v>
      </c>
      <c r="I8430" s="2" t="s">
        <v>16387</v>
      </c>
      <c r="J8430" s="3" t="str">
        <f>HYPERLINK("https://www.boe.es/gazeta/dias/1822/09/01/pdfs/GMD-1822-256.pdf#page=4","Abrir facsímil")</f>
        <v>Abrir facsímil</v>
      </c>
      <c r="K8430" s="3" t="s">
        <v>47</v>
      </c>
    </row>
    <row r="8431" spans="1:11" ht="42" customHeight="1">
      <c r="A8431" s="2" t="s">
        <v>16388</v>
      </c>
      <c r="B8431" s="2" t="s">
        <v>16389</v>
      </c>
      <c r="C8431" s="2" t="s">
        <v>71</v>
      </c>
      <c r="D8431" s="2" t="s">
        <v>17</v>
      </c>
      <c r="E8431" s="5">
        <v>-28204</v>
      </c>
      <c r="F8431" s="3" t="s">
        <v>3190</v>
      </c>
      <c r="G8431" s="3" t="s">
        <v>44</v>
      </c>
      <c r="H8431" s="2" t="s">
        <v>45</v>
      </c>
      <c r="I8431" s="2" t="s">
        <v>16390</v>
      </c>
      <c r="J8431" s="3" t="str">
        <f>HYPERLINK("https://www.boe.es/gazeta/dias/1822/10/11/pdfs/GMD-1822-298.pdf#page=1","Abrir facsímil")</f>
        <v>Abrir facsímil</v>
      </c>
      <c r="K8431" s="3" t="s">
        <v>47</v>
      </c>
    </row>
    <row r="8432" spans="1:11" ht="42" customHeight="1">
      <c r="A8432" s="2" t="s">
        <v>16391</v>
      </c>
      <c r="B8432" s="2" t="s">
        <v>16392</v>
      </c>
      <c r="C8432" s="2" t="s">
        <v>24</v>
      </c>
      <c r="D8432" s="2" t="s">
        <v>17</v>
      </c>
      <c r="E8432" s="5">
        <v>-28142</v>
      </c>
      <c r="F8432" s="3" t="s">
        <v>290</v>
      </c>
      <c r="G8432" s="3" t="s">
        <v>57</v>
      </c>
      <c r="H8432" s="2" t="s">
        <v>45</v>
      </c>
      <c r="I8432" s="2" t="s">
        <v>16393</v>
      </c>
      <c r="J8432" s="3" t="str">
        <f>HYPERLINK("https://www.boe.es/gazeta/dias/1822/12/12/pdfs/GMD-1822-362.pdf#page=4","Abrir facsímil")</f>
        <v>Abrir facsímil</v>
      </c>
      <c r="K8432" s="3" t="s">
        <v>47</v>
      </c>
    </row>
    <row r="8433" spans="1:11" ht="42" customHeight="1">
      <c r="A8433" s="2" t="s">
        <v>16394</v>
      </c>
      <c r="B8433" s="2" t="s">
        <v>16395</v>
      </c>
      <c r="C8433" s="2" t="s">
        <v>28</v>
      </c>
      <c r="D8433" s="2" t="s">
        <v>29</v>
      </c>
      <c r="E8433" s="5">
        <v>-28468</v>
      </c>
      <c r="F8433" s="3" t="s">
        <v>1012</v>
      </c>
      <c r="G8433" s="3" t="s">
        <v>44</v>
      </c>
      <c r="H8433" s="2" t="s">
        <v>45</v>
      </c>
      <c r="I8433" s="2" t="s">
        <v>16396</v>
      </c>
      <c r="J8433" s="3" t="str">
        <f>HYPERLINK("https://www.boe.es/gazeta/dias/1822/01/20/pdfs/GMD-1822-20.pdf#page=1","Abrir facsímil")</f>
        <v>Abrir facsímil</v>
      </c>
      <c r="K8433" s="3" t="s">
        <v>47</v>
      </c>
    </row>
    <row r="8434" spans="1:11" ht="42" customHeight="1">
      <c r="A8434" s="2" t="s">
        <v>16397</v>
      </c>
      <c r="B8434" s="2" t="s">
        <v>16398</v>
      </c>
      <c r="C8434" s="2" t="s">
        <v>42</v>
      </c>
      <c r="D8434" s="2" t="s">
        <v>17</v>
      </c>
      <c r="E8434" s="5">
        <v>-28396</v>
      </c>
      <c r="F8434" s="3" t="s">
        <v>1138</v>
      </c>
      <c r="G8434" s="3" t="s">
        <v>167</v>
      </c>
      <c r="H8434" s="2" t="s">
        <v>45</v>
      </c>
      <c r="I8434" s="2" t="s">
        <v>16399</v>
      </c>
      <c r="J8434" s="3" t="str">
        <f>HYPERLINK("https://www.boe.es/gazeta/dias/1822/04/02/pdfs/GMD-1822-94.pdf#page=7","Abrir facsímil")</f>
        <v>Abrir facsímil</v>
      </c>
      <c r="K8434" s="3" t="s">
        <v>47</v>
      </c>
    </row>
    <row r="8435" spans="1:11" ht="42" customHeight="1">
      <c r="A8435" s="2" t="s">
        <v>16400</v>
      </c>
      <c r="B8435" s="2" t="s">
        <v>16400</v>
      </c>
      <c r="C8435" s="2" t="s">
        <v>50</v>
      </c>
      <c r="D8435" s="2" t="s">
        <v>51</v>
      </c>
      <c r="E8435" s="5">
        <v>-28268</v>
      </c>
      <c r="F8435" s="3" t="s">
        <v>7231</v>
      </c>
      <c r="G8435" s="3" t="s">
        <v>31</v>
      </c>
      <c r="H8435" s="2" t="s">
        <v>20</v>
      </c>
      <c r="I8435" s="2" t="s">
        <v>16401</v>
      </c>
      <c r="J8435" s="3" t="str">
        <f>HYPERLINK("https://www.boe.es/gazeta/dias/1822/08/08/pdfs/GMD-1822-232.pdf#page=3","Abrir facsímil")</f>
        <v>Abrir facsímil</v>
      </c>
      <c r="K8435" s="3" t="s">
        <v>22</v>
      </c>
    </row>
    <row r="8436" spans="1:11" ht="42" customHeight="1">
      <c r="A8436" s="2" t="s">
        <v>16402</v>
      </c>
      <c r="B8436" s="2" t="s">
        <v>16402</v>
      </c>
      <c r="C8436" s="2" t="s">
        <v>61</v>
      </c>
      <c r="D8436" s="2" t="s">
        <v>17</v>
      </c>
      <c r="E8436" s="5">
        <v>-28170</v>
      </c>
      <c r="F8436" s="3" t="s">
        <v>1457</v>
      </c>
      <c r="G8436" s="3" t="s">
        <v>19</v>
      </c>
      <c r="H8436" s="2" t="s">
        <v>20</v>
      </c>
      <c r="I8436" s="2" t="s">
        <v>16403</v>
      </c>
      <c r="J8436" s="3" t="str">
        <f>HYPERLINK("https://www.boe.es/gazeta/dias/1822/11/14/pdfs/GMD-1822-334.pdf#page=5","Abrir facsímil")</f>
        <v>Abrir facsímil</v>
      </c>
      <c r="K8436" s="3" t="s">
        <v>22</v>
      </c>
    </row>
    <row r="8437" spans="1:11" ht="42" customHeight="1">
      <c r="A8437" s="2" t="s">
        <v>16404</v>
      </c>
      <c r="B8437" s="2" t="s">
        <v>16404</v>
      </c>
      <c r="C8437" s="2" t="s">
        <v>50</v>
      </c>
      <c r="D8437" s="2" t="s">
        <v>51</v>
      </c>
      <c r="E8437" s="5">
        <v>-28402</v>
      </c>
      <c r="F8437" s="3" t="s">
        <v>473</v>
      </c>
      <c r="G8437" s="3" t="s">
        <v>31</v>
      </c>
      <c r="H8437" s="2" t="s">
        <v>20</v>
      </c>
      <c r="I8437" s="2" t="s">
        <v>16405</v>
      </c>
      <c r="J8437" s="3" t="str">
        <f>HYPERLINK("https://www.boe.es/gazeta/dias/1822/03/27/pdfs/GMD-1822-88.pdf#page=3","Abrir facsímil")</f>
        <v>Abrir facsímil</v>
      </c>
      <c r="K8437" s="3" t="s">
        <v>22</v>
      </c>
    </row>
    <row r="8438" spans="1:11" ht="42" customHeight="1">
      <c r="A8438" s="2" t="s">
        <v>16406</v>
      </c>
      <c r="B8438" s="2" t="s">
        <v>16406</v>
      </c>
      <c r="C8438" s="2" t="s">
        <v>71</v>
      </c>
      <c r="D8438" s="2" t="s">
        <v>17</v>
      </c>
      <c r="E8438" s="5">
        <v>-28387</v>
      </c>
      <c r="F8438" s="3" t="s">
        <v>2874</v>
      </c>
      <c r="G8438" s="3" t="s">
        <v>19</v>
      </c>
      <c r="H8438" s="2" t="s">
        <v>20</v>
      </c>
      <c r="I8438" s="2" t="s">
        <v>16407</v>
      </c>
      <c r="J8438" s="3" t="str">
        <f>HYPERLINK("https://www.boe.es/gazeta/dias/1822/04/11/pdfs/GMD-1822-103.pdf#page=5","Abrir facsímil")</f>
        <v>Abrir facsímil</v>
      </c>
      <c r="K8438" s="3" t="s">
        <v>22</v>
      </c>
    </row>
    <row r="8439" spans="1:11" ht="42" customHeight="1">
      <c r="A8439" s="2" t="s">
        <v>16408</v>
      </c>
      <c r="B8439" s="2" t="s">
        <v>16409</v>
      </c>
      <c r="C8439" s="2" t="s">
        <v>71</v>
      </c>
      <c r="D8439" s="2" t="s">
        <v>17</v>
      </c>
      <c r="E8439" s="5">
        <v>-28192</v>
      </c>
      <c r="F8439" s="3" t="s">
        <v>43</v>
      </c>
      <c r="G8439" s="3" t="s">
        <v>157</v>
      </c>
      <c r="H8439" s="2" t="s">
        <v>20</v>
      </c>
      <c r="I8439" s="2" t="s">
        <v>16410</v>
      </c>
      <c r="J8439" s="3" t="str">
        <f>HYPERLINK("https://www.boe.es/gazeta/dias/1822/10/23/pdfs/GMD-1822-310.pdf#page=8","Abrir facsímil")</f>
        <v>Abrir facsímil</v>
      </c>
      <c r="K8439" s="3" t="s">
        <v>22</v>
      </c>
    </row>
    <row r="8440" spans="1:11" ht="42" customHeight="1">
      <c r="A8440" s="2" t="s">
        <v>16411</v>
      </c>
      <c r="B8440" s="2" t="s">
        <v>16411</v>
      </c>
      <c r="C8440" s="2" t="s">
        <v>28</v>
      </c>
      <c r="D8440" s="2" t="s">
        <v>29</v>
      </c>
      <c r="E8440" s="5">
        <v>-28471</v>
      </c>
      <c r="F8440" s="3" t="s">
        <v>1436</v>
      </c>
      <c r="G8440" s="3" t="s">
        <v>19</v>
      </c>
      <c r="H8440" s="2" t="s">
        <v>20</v>
      </c>
      <c r="I8440" s="2" t="s">
        <v>16412</v>
      </c>
      <c r="J8440" s="3" t="str">
        <f>HYPERLINK("https://www.boe.es/gazeta/dias/1822/01/17/pdfs/GMD-1822-17.pdf#page=5","Abrir facsímil")</f>
        <v>Abrir facsímil</v>
      </c>
      <c r="K8440" s="3" t="s">
        <v>22</v>
      </c>
    </row>
    <row r="8441" spans="1:11" ht="42" customHeight="1">
      <c r="A8441" s="2" t="s">
        <v>16413</v>
      </c>
      <c r="B8441" s="2" t="s">
        <v>16413</v>
      </c>
      <c r="C8441" s="2" t="s">
        <v>16</v>
      </c>
      <c r="D8441" s="2" t="s">
        <v>17</v>
      </c>
      <c r="E8441" s="5">
        <v>-28467</v>
      </c>
      <c r="F8441" s="3" t="s">
        <v>1096</v>
      </c>
      <c r="G8441" s="3" t="s">
        <v>57</v>
      </c>
      <c r="H8441" s="2" t="s">
        <v>20</v>
      </c>
      <c r="I8441" s="2" t="s">
        <v>16414</v>
      </c>
      <c r="J8441" s="3" t="str">
        <f>HYPERLINK("https://www.boe.es/gazeta/dias/1822/01/21/pdfs/GMD-1822-21.pdf#page=4","Abrir facsímil")</f>
        <v>Abrir facsímil</v>
      </c>
      <c r="K8441" s="3" t="s">
        <v>22</v>
      </c>
    </row>
    <row r="8442" spans="1:11" ht="42" customHeight="1">
      <c r="A8442" s="2" t="s">
        <v>16413</v>
      </c>
      <c r="B8442" s="2" t="s">
        <v>16413</v>
      </c>
      <c r="C8442" s="2" t="s">
        <v>42</v>
      </c>
      <c r="D8442" s="2" t="s">
        <v>17</v>
      </c>
      <c r="E8442" s="5">
        <v>-28458</v>
      </c>
      <c r="F8442" s="3" t="s">
        <v>1151</v>
      </c>
      <c r="G8442" s="3" t="s">
        <v>44</v>
      </c>
      <c r="H8442" s="2" t="s">
        <v>20</v>
      </c>
      <c r="I8442" s="2" t="s">
        <v>16415</v>
      </c>
      <c r="J8442" s="3" t="str">
        <f>HYPERLINK("https://www.boe.es/gazeta/dias/1822/01/30/pdfs/GMD-1822-30.pdf#page=1","Abrir facsímil")</f>
        <v>Abrir facsímil</v>
      </c>
      <c r="K8442" s="3" t="s">
        <v>22</v>
      </c>
    </row>
    <row r="8443" spans="1:11" ht="42" customHeight="1">
      <c r="A8443" s="2" t="s">
        <v>16413</v>
      </c>
      <c r="B8443" s="2" t="s">
        <v>16413</v>
      </c>
      <c r="C8443" s="2" t="s">
        <v>24</v>
      </c>
      <c r="D8443" s="2" t="s">
        <v>17</v>
      </c>
      <c r="E8443" s="5">
        <v>-28450</v>
      </c>
      <c r="F8443" s="3" t="s">
        <v>1450</v>
      </c>
      <c r="G8443" s="3" t="s">
        <v>2247</v>
      </c>
      <c r="H8443" s="2" t="s">
        <v>20</v>
      </c>
      <c r="I8443" s="2" t="s">
        <v>16416</v>
      </c>
      <c r="J8443" s="3" t="str">
        <f>HYPERLINK("https://www.boe.es/gazeta/dias/1822/02/07/pdfs/GMD-1822-38.pdf#page=6","Abrir facsímil")</f>
        <v>Abrir facsímil</v>
      </c>
      <c r="K8443" s="3" t="s">
        <v>22</v>
      </c>
    </row>
    <row r="8444" spans="1:11" ht="42" customHeight="1">
      <c r="A8444" s="2" t="s">
        <v>16413</v>
      </c>
      <c r="B8444" s="2" t="s">
        <v>16413</v>
      </c>
      <c r="C8444" s="2" t="s">
        <v>28</v>
      </c>
      <c r="D8444" s="2" t="s">
        <v>29</v>
      </c>
      <c r="E8444" s="5">
        <v>-28437</v>
      </c>
      <c r="F8444" s="3" t="s">
        <v>2192</v>
      </c>
      <c r="G8444" s="3" t="s">
        <v>57</v>
      </c>
      <c r="H8444" s="2" t="s">
        <v>20</v>
      </c>
      <c r="I8444" s="2" t="s">
        <v>16417</v>
      </c>
      <c r="J8444" s="3" t="str">
        <f>HYPERLINK("https://www.boe.es/gazeta/dias/1822/02/20/pdfs/GMD-1822-52.pdf#page=4","Abrir facsímil")</f>
        <v>Abrir facsímil</v>
      </c>
      <c r="K8444" s="3" t="s">
        <v>22</v>
      </c>
    </row>
    <row r="8445" spans="1:11" ht="42" customHeight="1">
      <c r="A8445" s="2" t="s">
        <v>16413</v>
      </c>
      <c r="B8445" s="2" t="s">
        <v>16413</v>
      </c>
      <c r="C8445" s="2" t="s">
        <v>50</v>
      </c>
      <c r="D8445" s="2" t="s">
        <v>51</v>
      </c>
      <c r="E8445" s="5">
        <v>-28391</v>
      </c>
      <c r="F8445" s="3" t="s">
        <v>378</v>
      </c>
      <c r="G8445" s="3" t="s">
        <v>63</v>
      </c>
      <c r="H8445" s="2" t="s">
        <v>20</v>
      </c>
      <c r="I8445" s="2" t="s">
        <v>16418</v>
      </c>
      <c r="J8445" s="3" t="str">
        <f>HYPERLINK("https://www.boe.es/gazeta/dias/1822/04/07/pdfs/GMD-1822-99.pdf#page=6","Abrir facsímil")</f>
        <v>Abrir facsímil</v>
      </c>
      <c r="K8445" s="3" t="s">
        <v>22</v>
      </c>
    </row>
    <row r="8446" spans="1:11" ht="42" customHeight="1">
      <c r="A8446" s="2" t="s">
        <v>16413</v>
      </c>
      <c r="B8446" s="2" t="s">
        <v>16413</v>
      </c>
      <c r="C8446" s="2" t="s">
        <v>50</v>
      </c>
      <c r="D8446" s="2" t="s">
        <v>51</v>
      </c>
      <c r="E8446" s="5">
        <v>-28374</v>
      </c>
      <c r="F8446" s="3" t="s">
        <v>171</v>
      </c>
      <c r="G8446" s="3" t="s">
        <v>35</v>
      </c>
      <c r="H8446" s="2" t="s">
        <v>20</v>
      </c>
      <c r="I8446" s="2" t="s">
        <v>16419</v>
      </c>
      <c r="J8446" s="3" t="str">
        <f>HYPERLINK("https://www.boe.es/gazeta/dias/1822/04/24/pdfs/GMD-1822-116.pdf#page=2","Abrir facsímil")</f>
        <v>Abrir facsímil</v>
      </c>
      <c r="K8446" s="3" t="s">
        <v>22</v>
      </c>
    </row>
    <row r="8447" spans="1:11" ht="42" customHeight="1">
      <c r="A8447" s="2" t="s">
        <v>16413</v>
      </c>
      <c r="B8447" s="2" t="s">
        <v>16413</v>
      </c>
      <c r="C8447" s="2" t="s">
        <v>50</v>
      </c>
      <c r="D8447" s="2" t="s">
        <v>51</v>
      </c>
      <c r="E8447" s="5">
        <v>-28373</v>
      </c>
      <c r="F8447" s="3" t="s">
        <v>614</v>
      </c>
      <c r="G8447" s="3" t="s">
        <v>57</v>
      </c>
      <c r="H8447" s="2" t="s">
        <v>20</v>
      </c>
      <c r="I8447" s="2" t="s">
        <v>16420</v>
      </c>
      <c r="J8447" s="3" t="str">
        <f>HYPERLINK("https://www.boe.es/gazeta/dias/1822/04/25/pdfs/GMD-1822-117.pdf#page=4","Abrir facsímil")</f>
        <v>Abrir facsímil</v>
      </c>
      <c r="K8447" s="3" t="s">
        <v>22</v>
      </c>
    </row>
    <row r="8448" spans="1:11" ht="42" customHeight="1">
      <c r="A8448" s="2" t="s">
        <v>16413</v>
      </c>
      <c r="B8448" s="2" t="s">
        <v>16413</v>
      </c>
      <c r="C8448" s="2" t="s">
        <v>71</v>
      </c>
      <c r="D8448" s="2" t="s">
        <v>17</v>
      </c>
      <c r="E8448" s="5">
        <v>-28369</v>
      </c>
      <c r="F8448" s="3" t="s">
        <v>1590</v>
      </c>
      <c r="G8448" s="3" t="s">
        <v>35</v>
      </c>
      <c r="H8448" s="2" t="s">
        <v>20</v>
      </c>
      <c r="I8448" s="2" t="s">
        <v>16421</v>
      </c>
      <c r="J8448" s="3" t="str">
        <f>HYPERLINK("https://www.boe.es/gazeta/dias/1822/04/29/pdfs/GMD-1822-121.pdf#page=2","Abrir facsímil")</f>
        <v>Abrir facsímil</v>
      </c>
      <c r="K8448" s="3" t="s">
        <v>22</v>
      </c>
    </row>
    <row r="8449" spans="1:11" ht="42" customHeight="1">
      <c r="A8449" s="2" t="s">
        <v>16413</v>
      </c>
      <c r="B8449" s="2" t="s">
        <v>16413</v>
      </c>
      <c r="C8449" s="2" t="s">
        <v>50</v>
      </c>
      <c r="D8449" s="2" t="s">
        <v>51</v>
      </c>
      <c r="E8449" s="5">
        <v>-28367</v>
      </c>
      <c r="F8449" s="3" t="s">
        <v>280</v>
      </c>
      <c r="G8449" s="3" t="s">
        <v>19</v>
      </c>
      <c r="H8449" s="2" t="s">
        <v>20</v>
      </c>
      <c r="I8449" s="2" t="s">
        <v>16422</v>
      </c>
      <c r="J8449" s="3" t="str">
        <f>HYPERLINK("https://www.boe.es/gazeta/dias/1822/05/01/pdfs/GMD-1822-123.pdf#page=5","Abrir facsímil")</f>
        <v>Abrir facsímil</v>
      </c>
      <c r="K8449" s="3" t="s">
        <v>22</v>
      </c>
    </row>
    <row r="8450" spans="1:11" ht="42" customHeight="1">
      <c r="A8450" s="2" t="s">
        <v>16413</v>
      </c>
      <c r="B8450" s="2" t="s">
        <v>16413</v>
      </c>
      <c r="C8450" s="2" t="s">
        <v>28</v>
      </c>
      <c r="D8450" s="2" t="s">
        <v>29</v>
      </c>
      <c r="E8450" s="5">
        <v>-28361</v>
      </c>
      <c r="F8450" s="3" t="s">
        <v>374</v>
      </c>
      <c r="G8450" s="3" t="s">
        <v>57</v>
      </c>
      <c r="H8450" s="2" t="s">
        <v>20</v>
      </c>
      <c r="I8450" s="2" t="s">
        <v>16423</v>
      </c>
      <c r="J8450" s="3" t="str">
        <f>HYPERLINK("https://www.boe.es/gazeta/dias/1822/05/07/pdfs/GMD-1822-129.pdf#page=4","Abrir facsímil")</f>
        <v>Abrir facsímil</v>
      </c>
      <c r="K8450" s="3" t="s">
        <v>22</v>
      </c>
    </row>
    <row r="8451" spans="1:11" ht="42" customHeight="1">
      <c r="A8451" s="2" t="s">
        <v>16413</v>
      </c>
      <c r="B8451" s="2" t="s">
        <v>16413</v>
      </c>
      <c r="C8451" s="2" t="s">
        <v>50</v>
      </c>
      <c r="D8451" s="2" t="s">
        <v>51</v>
      </c>
      <c r="E8451" s="5">
        <v>-28352</v>
      </c>
      <c r="F8451" s="3" t="s">
        <v>1575</v>
      </c>
      <c r="G8451" s="3" t="s">
        <v>63</v>
      </c>
      <c r="H8451" s="2" t="s">
        <v>20</v>
      </c>
      <c r="I8451" s="2" t="s">
        <v>16424</v>
      </c>
      <c r="J8451" s="3" t="str">
        <f>HYPERLINK("https://www.boe.es/gazeta/dias/1822/05/16/pdfs/GMD-1822-138.pdf#page=6","Abrir facsímil")</f>
        <v>Abrir facsímil</v>
      </c>
      <c r="K8451" s="3" t="s">
        <v>22</v>
      </c>
    </row>
    <row r="8452" spans="1:11" ht="42" customHeight="1">
      <c r="A8452" s="2" t="s">
        <v>16413</v>
      </c>
      <c r="B8452" s="2" t="s">
        <v>16413</v>
      </c>
      <c r="C8452" s="2" t="s">
        <v>71</v>
      </c>
      <c r="D8452" s="2" t="s">
        <v>17</v>
      </c>
      <c r="E8452" s="5">
        <v>-28342</v>
      </c>
      <c r="F8452" s="3" t="s">
        <v>2281</v>
      </c>
      <c r="G8452" s="3" t="s">
        <v>35</v>
      </c>
      <c r="H8452" s="2" t="s">
        <v>20</v>
      </c>
      <c r="I8452" s="2" t="s">
        <v>16425</v>
      </c>
      <c r="J8452" s="3" t="str">
        <f>HYPERLINK("https://www.boe.es/gazeta/dias/1822/05/26/pdfs/GMD-1822-151.pdf#page=2","Abrir facsímil")</f>
        <v>Abrir facsímil</v>
      </c>
      <c r="K8452" s="3" t="s">
        <v>22</v>
      </c>
    </row>
    <row r="8453" spans="1:11" ht="42" customHeight="1">
      <c r="A8453" s="2" t="s">
        <v>16413</v>
      </c>
      <c r="B8453" s="2" t="s">
        <v>16413</v>
      </c>
      <c r="C8453" s="2" t="s">
        <v>28</v>
      </c>
      <c r="D8453" s="2" t="s">
        <v>29</v>
      </c>
      <c r="E8453" s="5">
        <v>-28341</v>
      </c>
      <c r="F8453" s="3" t="s">
        <v>284</v>
      </c>
      <c r="G8453" s="3" t="s">
        <v>63</v>
      </c>
      <c r="H8453" s="2" t="s">
        <v>20</v>
      </c>
      <c r="I8453" s="2" t="s">
        <v>16426</v>
      </c>
      <c r="J8453" s="3" t="str">
        <f>HYPERLINK("https://www.boe.es/gazeta/dias/1822/05/27/pdfs/GMD-1822-152.pdf#page=6","Abrir facsímil")</f>
        <v>Abrir facsímil</v>
      </c>
      <c r="K8453" s="3" t="s">
        <v>22</v>
      </c>
    </row>
    <row r="8454" spans="1:11" ht="42" customHeight="1">
      <c r="A8454" s="2" t="s">
        <v>16413</v>
      </c>
      <c r="B8454" s="2" t="s">
        <v>16413</v>
      </c>
      <c r="C8454" s="2" t="s">
        <v>71</v>
      </c>
      <c r="D8454" s="2" t="s">
        <v>17</v>
      </c>
      <c r="E8454" s="5">
        <v>-28323</v>
      </c>
      <c r="F8454" s="3" t="s">
        <v>116</v>
      </c>
      <c r="G8454" s="3" t="s">
        <v>35</v>
      </c>
      <c r="H8454" s="2" t="s">
        <v>20</v>
      </c>
      <c r="I8454" s="2" t="s">
        <v>16427</v>
      </c>
      <c r="J8454" s="3" t="str">
        <f>HYPERLINK("https://www.boe.es/gazeta/dias/1822/06/14/pdfs/GMD-1822-171.pdf#page=2","Abrir facsímil")</f>
        <v>Abrir facsímil</v>
      </c>
      <c r="K8454" s="3" t="s">
        <v>22</v>
      </c>
    </row>
    <row r="8455" spans="1:11" ht="42" customHeight="1">
      <c r="A8455" s="2" t="s">
        <v>16413</v>
      </c>
      <c r="B8455" s="2" t="s">
        <v>16413</v>
      </c>
      <c r="C8455" s="2" t="s">
        <v>50</v>
      </c>
      <c r="D8455" s="2" t="s">
        <v>51</v>
      </c>
      <c r="E8455" s="5">
        <v>-28283</v>
      </c>
      <c r="F8455" s="3" t="s">
        <v>1477</v>
      </c>
      <c r="G8455" s="3" t="s">
        <v>57</v>
      </c>
      <c r="H8455" s="2" t="s">
        <v>20</v>
      </c>
      <c r="I8455" s="2" t="s">
        <v>16428</v>
      </c>
      <c r="J8455" s="3" t="str">
        <f>HYPERLINK("https://www.boe.es/gazeta/dias/1822/07/24/pdfs/GMD-1822-217.pdf#page=4","Abrir facsímil")</f>
        <v>Abrir facsímil</v>
      </c>
      <c r="K8455" s="3" t="s">
        <v>22</v>
      </c>
    </row>
    <row r="8456" spans="1:11" ht="42" customHeight="1">
      <c r="A8456" s="2" t="s">
        <v>16413</v>
      </c>
      <c r="B8456" s="2" t="s">
        <v>16413</v>
      </c>
      <c r="C8456" s="2" t="s">
        <v>42</v>
      </c>
      <c r="D8456" s="2" t="s">
        <v>17</v>
      </c>
      <c r="E8456" s="5">
        <v>-28235</v>
      </c>
      <c r="F8456" s="3" t="s">
        <v>1470</v>
      </c>
      <c r="G8456" s="3" t="s">
        <v>35</v>
      </c>
      <c r="H8456" s="2" t="s">
        <v>20</v>
      </c>
      <c r="I8456" s="2" t="s">
        <v>16429</v>
      </c>
      <c r="J8456" s="3" t="str">
        <f>HYPERLINK("https://www.boe.es/gazeta/dias/1822/09/10/pdfs/GMD-1822-266.pdf#page=2","Abrir facsímil")</f>
        <v>Abrir facsímil</v>
      </c>
      <c r="K8456" s="3" t="s">
        <v>22</v>
      </c>
    </row>
    <row r="8457" spans="1:11" ht="42" customHeight="1">
      <c r="A8457" s="2" t="s">
        <v>16413</v>
      </c>
      <c r="B8457" s="2" t="s">
        <v>16413</v>
      </c>
      <c r="C8457" s="2" t="s">
        <v>50</v>
      </c>
      <c r="D8457" s="2" t="s">
        <v>51</v>
      </c>
      <c r="E8457" s="5">
        <v>-28230</v>
      </c>
      <c r="F8457" s="3" t="s">
        <v>1735</v>
      </c>
      <c r="G8457" s="3" t="s">
        <v>57</v>
      </c>
      <c r="H8457" s="2" t="s">
        <v>20</v>
      </c>
      <c r="I8457" s="2" t="s">
        <v>16430</v>
      </c>
      <c r="J8457" s="3" t="str">
        <f>HYPERLINK("https://www.boe.es/gazeta/dias/1822/09/15/pdfs/GMD-1822-271.pdf#page=4","Abrir facsímil")</f>
        <v>Abrir facsímil</v>
      </c>
      <c r="K8457" s="3" t="s">
        <v>22</v>
      </c>
    </row>
    <row r="8458" spans="1:11" ht="42" customHeight="1">
      <c r="A8458" s="2" t="s">
        <v>16413</v>
      </c>
      <c r="B8458" s="2" t="s">
        <v>16413</v>
      </c>
      <c r="C8458" s="2" t="s">
        <v>362</v>
      </c>
      <c r="D8458" s="2" t="s">
        <v>17</v>
      </c>
      <c r="E8458" s="5">
        <v>-28208</v>
      </c>
      <c r="F8458" s="3" t="s">
        <v>230</v>
      </c>
      <c r="G8458" s="3" t="s">
        <v>57</v>
      </c>
      <c r="H8458" s="2" t="s">
        <v>20</v>
      </c>
      <c r="I8458" s="2" t="s">
        <v>16431</v>
      </c>
      <c r="J8458" s="3" t="str">
        <f>HYPERLINK("https://www.boe.es/gazeta/dias/1822/10/07/pdfs/GMD-1822-293.pdf#page=4","Abrir facsímil")</f>
        <v>Abrir facsímil</v>
      </c>
      <c r="K8458" s="3" t="s">
        <v>22</v>
      </c>
    </row>
    <row r="8459" spans="1:11" ht="42" customHeight="1">
      <c r="A8459" s="2" t="s">
        <v>16413</v>
      </c>
      <c r="B8459" s="2" t="s">
        <v>16413</v>
      </c>
      <c r="C8459" s="2" t="s">
        <v>50</v>
      </c>
      <c r="D8459" s="2" t="s">
        <v>51</v>
      </c>
      <c r="E8459" s="5">
        <v>-28130</v>
      </c>
      <c r="F8459" s="3" t="s">
        <v>34</v>
      </c>
      <c r="G8459" s="3" t="s">
        <v>63</v>
      </c>
      <c r="H8459" s="2" t="s">
        <v>20</v>
      </c>
      <c r="I8459" s="2" t="s">
        <v>16432</v>
      </c>
      <c r="J8459" s="3" t="str">
        <f>HYPERLINK("https://www.boe.es/gazeta/dias/1822/12/24/pdfs/GMD-1822-374.pdf#page=6","Abrir facsímil")</f>
        <v>Abrir facsímil</v>
      </c>
      <c r="K8459" s="3" t="s">
        <v>22</v>
      </c>
    </row>
    <row r="8460" spans="1:11" ht="42" customHeight="1">
      <c r="A8460" s="2" t="s">
        <v>16413</v>
      </c>
      <c r="B8460" s="2" t="s">
        <v>16413</v>
      </c>
      <c r="C8460" s="2" t="s">
        <v>50</v>
      </c>
      <c r="D8460" s="2" t="s">
        <v>51</v>
      </c>
      <c r="E8460" s="5">
        <v>-28125</v>
      </c>
      <c r="F8460" s="3" t="s">
        <v>322</v>
      </c>
      <c r="G8460" s="3" t="s">
        <v>63</v>
      </c>
      <c r="H8460" s="2" t="s">
        <v>20</v>
      </c>
      <c r="I8460" s="2" t="s">
        <v>16433</v>
      </c>
      <c r="J8460" s="3" t="str">
        <f>HYPERLINK("https://www.boe.es/gazeta/dias/1822/12/29/pdfs/GMD-1822-379.pdf#page=6","Abrir facsímil")</f>
        <v>Abrir facsímil</v>
      </c>
      <c r="K8460" s="3" t="s">
        <v>22</v>
      </c>
    </row>
    <row r="8461" spans="1:11" ht="42" customHeight="1">
      <c r="A8461" s="2" t="s">
        <v>16434</v>
      </c>
      <c r="B8461" s="2" t="s">
        <v>16435</v>
      </c>
      <c r="C8461" s="2" t="s">
        <v>42</v>
      </c>
      <c r="D8461" s="2" t="s">
        <v>17</v>
      </c>
      <c r="E8461" s="5">
        <v>-28214</v>
      </c>
      <c r="F8461" s="3" t="s">
        <v>814</v>
      </c>
      <c r="G8461" s="3" t="s">
        <v>31</v>
      </c>
      <c r="H8461" s="2" t="s">
        <v>20</v>
      </c>
      <c r="I8461" s="2" t="s">
        <v>16436</v>
      </c>
      <c r="J8461" s="3" t="str">
        <f>HYPERLINK("https://www.boe.es/gazeta/dias/1822/10/01/pdfs/GMD-1822-287.pdf#page=3","Abrir facsímil")</f>
        <v>Abrir facsímil</v>
      </c>
      <c r="K8461" s="3" t="s">
        <v>22</v>
      </c>
    </row>
    <row r="8462" spans="1:11" ht="42" customHeight="1">
      <c r="A8462" s="2" t="s">
        <v>16437</v>
      </c>
      <c r="B8462" s="2" t="s">
        <v>16438</v>
      </c>
      <c r="C8462" s="2" t="s">
        <v>50</v>
      </c>
      <c r="D8462" s="2" t="s">
        <v>51</v>
      </c>
      <c r="E8462" s="5">
        <v>-28142</v>
      </c>
      <c r="F8462" s="3" t="s">
        <v>290</v>
      </c>
      <c r="G8462" s="3" t="s">
        <v>57</v>
      </c>
      <c r="H8462" s="2" t="s">
        <v>20</v>
      </c>
      <c r="I8462" s="2" t="s">
        <v>16439</v>
      </c>
      <c r="J8462" s="3" t="str">
        <f>HYPERLINK("https://www.boe.es/gazeta/dias/1822/12/12/pdfs/GMD-1822-362.pdf#page=4","Abrir facsímil")</f>
        <v>Abrir facsímil</v>
      </c>
      <c r="K8462" s="3" t="s">
        <v>22</v>
      </c>
    </row>
    <row r="8463" spans="1:11" ht="42" customHeight="1">
      <c r="A8463" s="2" t="s">
        <v>16440</v>
      </c>
      <c r="B8463" s="2" t="s">
        <v>16441</v>
      </c>
      <c r="C8463" s="2" t="s">
        <v>61</v>
      </c>
      <c r="D8463" s="2" t="s">
        <v>17</v>
      </c>
      <c r="E8463" s="5">
        <v>-28297</v>
      </c>
      <c r="F8463" s="3" t="s">
        <v>1972</v>
      </c>
      <c r="G8463" s="3" t="s">
        <v>57</v>
      </c>
      <c r="H8463" s="2" t="s">
        <v>20</v>
      </c>
      <c r="I8463" s="2" t="s">
        <v>16442</v>
      </c>
      <c r="J8463" s="3" t="str">
        <f>HYPERLINK("https://www.boe.es/gazeta/dias/1822/07/10/pdfs/GMD-1822-200.pdf#page=4","Abrir facsímil")</f>
        <v>Abrir facsímil</v>
      </c>
      <c r="K8463" s="3" t="s">
        <v>22</v>
      </c>
    </row>
    <row r="8464" spans="1:11" ht="42" customHeight="1">
      <c r="A8464" s="2" t="s">
        <v>16443</v>
      </c>
      <c r="B8464" s="2" t="s">
        <v>16444</v>
      </c>
      <c r="C8464" s="2" t="s">
        <v>50</v>
      </c>
      <c r="D8464" s="2" t="s">
        <v>51</v>
      </c>
      <c r="E8464" s="5">
        <v>-28303</v>
      </c>
      <c r="F8464" s="3" t="s">
        <v>201</v>
      </c>
      <c r="G8464" s="3" t="s">
        <v>31</v>
      </c>
      <c r="H8464" s="2" t="s">
        <v>20</v>
      </c>
      <c r="I8464" s="2" t="s">
        <v>16445</v>
      </c>
      <c r="J8464" s="3" t="str">
        <f>HYPERLINK("https://www.boe.es/gazeta/dias/1822/07/04/pdfs/GMD-1822-193.pdf#page=3","Abrir facsímil")</f>
        <v>Abrir facsímil</v>
      </c>
      <c r="K8464" s="3" t="s">
        <v>22</v>
      </c>
    </row>
    <row r="8465" spans="1:11" ht="42" customHeight="1">
      <c r="A8465" s="2" t="s">
        <v>16446</v>
      </c>
      <c r="B8465" s="2" t="s">
        <v>16447</v>
      </c>
      <c r="C8465" s="2" t="s">
        <v>50</v>
      </c>
      <c r="D8465" s="2" t="s">
        <v>51</v>
      </c>
      <c r="E8465" s="5">
        <v>-28271</v>
      </c>
      <c r="F8465" s="3" t="s">
        <v>4942</v>
      </c>
      <c r="G8465" s="3" t="s">
        <v>57</v>
      </c>
      <c r="H8465" s="2" t="s">
        <v>20</v>
      </c>
      <c r="I8465" s="2" t="s">
        <v>16448</v>
      </c>
      <c r="J8465" s="3" t="str">
        <f>HYPERLINK("https://www.boe.es/gazeta/dias/1822/08/05/pdfs/GMD-1822-229.pdf#page=4","Abrir facsímil")</f>
        <v>Abrir facsímil</v>
      </c>
      <c r="K8465" s="3" t="s">
        <v>22</v>
      </c>
    </row>
    <row r="8466" spans="1:11" ht="42" customHeight="1">
      <c r="A8466" s="2" t="s">
        <v>16449</v>
      </c>
      <c r="B8466" s="2" t="s">
        <v>16450</v>
      </c>
      <c r="C8466" s="2" t="s">
        <v>28</v>
      </c>
      <c r="D8466" s="2" t="s">
        <v>29</v>
      </c>
      <c r="E8466" s="5">
        <v>-28384</v>
      </c>
      <c r="F8466" s="3" t="s">
        <v>258</v>
      </c>
      <c r="G8466" s="3" t="s">
        <v>63</v>
      </c>
      <c r="H8466" s="2" t="s">
        <v>20</v>
      </c>
      <c r="I8466" s="2" t="s">
        <v>16451</v>
      </c>
      <c r="J8466" s="3" t="str">
        <f>HYPERLINK("https://www.boe.es/gazeta/dias/1822/04/14/pdfs/GMD-1822-106.pdf#page=6","Abrir facsímil")</f>
        <v>Abrir facsímil</v>
      </c>
      <c r="K8466" s="3" t="s">
        <v>22</v>
      </c>
    </row>
    <row r="8467" spans="1:11" ht="42" customHeight="1">
      <c r="A8467" s="2" t="s">
        <v>16449</v>
      </c>
      <c r="B8467" s="2" t="s">
        <v>16450</v>
      </c>
      <c r="C8467" s="2" t="s">
        <v>50</v>
      </c>
      <c r="D8467" s="2" t="s">
        <v>51</v>
      </c>
      <c r="E8467" s="5">
        <v>-28373</v>
      </c>
      <c r="F8467" s="3" t="s">
        <v>614</v>
      </c>
      <c r="G8467" s="3" t="s">
        <v>57</v>
      </c>
      <c r="H8467" s="2" t="s">
        <v>20</v>
      </c>
      <c r="I8467" s="2" t="s">
        <v>16452</v>
      </c>
      <c r="J8467" s="3" t="str">
        <f>HYPERLINK("https://www.boe.es/gazeta/dias/1822/04/25/pdfs/GMD-1822-117.pdf#page=4","Abrir facsímil")</f>
        <v>Abrir facsímil</v>
      </c>
      <c r="K8467" s="3" t="s">
        <v>22</v>
      </c>
    </row>
    <row r="8468" spans="1:11" ht="42" customHeight="1">
      <c r="A8468" s="2" t="s">
        <v>16449</v>
      </c>
      <c r="B8468" s="2" t="s">
        <v>16450</v>
      </c>
      <c r="C8468" s="2" t="s">
        <v>28</v>
      </c>
      <c r="D8468" s="2" t="s">
        <v>29</v>
      </c>
      <c r="E8468" s="5">
        <v>-28339</v>
      </c>
      <c r="F8468" s="3" t="s">
        <v>197</v>
      </c>
      <c r="G8468" s="3" t="s">
        <v>63</v>
      </c>
      <c r="H8468" s="2" t="s">
        <v>20</v>
      </c>
      <c r="I8468" s="2" t="s">
        <v>16453</v>
      </c>
      <c r="J8468" s="3" t="str">
        <f>HYPERLINK("https://www.boe.es/gazeta/dias/1822/05/29/pdfs/GMD-1822-154.pdf#page=6","Abrir facsímil")</f>
        <v>Abrir facsímil</v>
      </c>
      <c r="K8468" s="3" t="s">
        <v>22</v>
      </c>
    </row>
    <row r="8469" spans="1:11" ht="42" customHeight="1">
      <c r="A8469" s="2" t="s">
        <v>16449</v>
      </c>
      <c r="B8469" s="2" t="s">
        <v>16450</v>
      </c>
      <c r="C8469" s="2" t="s">
        <v>71</v>
      </c>
      <c r="D8469" s="2" t="s">
        <v>17</v>
      </c>
      <c r="E8469" s="5">
        <v>-28328</v>
      </c>
      <c r="F8469" s="3" t="s">
        <v>540</v>
      </c>
      <c r="G8469" s="3" t="s">
        <v>541</v>
      </c>
      <c r="H8469" s="2" t="s">
        <v>20</v>
      </c>
      <c r="I8469" s="2" t="s">
        <v>16454</v>
      </c>
      <c r="J8469" s="3" t="str">
        <f>HYPERLINK("https://www.boe.es/gazeta/dias/1822/06/09/pdfs/GMD-1822-166.pdf#page=4","Abrir facsímil")</f>
        <v>Abrir facsímil</v>
      </c>
      <c r="K8469" s="3" t="s">
        <v>22</v>
      </c>
    </row>
    <row r="8470" spans="1:11" ht="42" customHeight="1">
      <c r="A8470" s="2" t="s">
        <v>16455</v>
      </c>
      <c r="B8470" s="2" t="s">
        <v>16456</v>
      </c>
      <c r="C8470" s="2" t="s">
        <v>42</v>
      </c>
      <c r="D8470" s="2" t="s">
        <v>17</v>
      </c>
      <c r="E8470" s="5">
        <v>-28340</v>
      </c>
      <c r="F8470" s="3" t="s">
        <v>139</v>
      </c>
      <c r="G8470" s="3" t="s">
        <v>63</v>
      </c>
      <c r="H8470" s="2" t="s">
        <v>20</v>
      </c>
      <c r="I8470" s="2" t="s">
        <v>16457</v>
      </c>
      <c r="J8470" s="3" t="str">
        <f>HYPERLINK("https://www.boe.es/gazeta/dias/1822/05/28/pdfs/GMD-1822-153.pdf#page=6","Abrir facsímil")</f>
        <v>Abrir facsímil</v>
      </c>
      <c r="K8470" s="3" t="s">
        <v>22</v>
      </c>
    </row>
    <row r="8471" spans="1:11" ht="42" customHeight="1">
      <c r="A8471" s="2" t="s">
        <v>16458</v>
      </c>
      <c r="B8471" s="2" t="s">
        <v>16459</v>
      </c>
      <c r="C8471" s="2" t="s">
        <v>71</v>
      </c>
      <c r="D8471" s="2" t="s">
        <v>17</v>
      </c>
      <c r="E8471" s="5">
        <v>-28361</v>
      </c>
      <c r="F8471" s="3" t="s">
        <v>374</v>
      </c>
      <c r="G8471" s="3" t="s">
        <v>63</v>
      </c>
      <c r="H8471" s="2" t="s">
        <v>20</v>
      </c>
      <c r="I8471" s="2" t="s">
        <v>16460</v>
      </c>
      <c r="J8471" s="3" t="str">
        <f>HYPERLINK("https://www.boe.es/gazeta/dias/1822/05/07/pdfs/GMD-1822-129.pdf#page=6","Abrir facsímil")</f>
        <v>Abrir facsímil</v>
      </c>
      <c r="K8471" s="3" t="s">
        <v>22</v>
      </c>
    </row>
    <row r="8472" spans="1:11" ht="42" customHeight="1">
      <c r="A8472" s="2" t="s">
        <v>16461</v>
      </c>
      <c r="B8472" s="2" t="s">
        <v>16462</v>
      </c>
      <c r="C8472" s="2" t="s">
        <v>42</v>
      </c>
      <c r="D8472" s="2" t="s">
        <v>17</v>
      </c>
      <c r="E8472" s="5">
        <v>-28314</v>
      </c>
      <c r="F8472" s="3" t="s">
        <v>309</v>
      </c>
      <c r="G8472" s="3" t="s">
        <v>63</v>
      </c>
      <c r="H8472" s="2" t="s">
        <v>20</v>
      </c>
      <c r="I8472" s="2" t="s">
        <v>16463</v>
      </c>
      <c r="J8472" s="3" t="str">
        <f>HYPERLINK("https://www.boe.es/gazeta/dias/1822/06/23/pdfs/GMD-1822-181.pdf#page=6","Abrir facsímil")</f>
        <v>Abrir facsímil</v>
      </c>
      <c r="K8472" s="3" t="s">
        <v>22</v>
      </c>
    </row>
    <row r="8473" spans="1:11" ht="42" customHeight="1">
      <c r="A8473" s="2" t="s">
        <v>16464</v>
      </c>
      <c r="B8473" s="2" t="s">
        <v>16465</v>
      </c>
      <c r="C8473" s="2" t="s">
        <v>42</v>
      </c>
      <c r="D8473" s="2" t="s">
        <v>17</v>
      </c>
      <c r="E8473" s="5">
        <v>-28158</v>
      </c>
      <c r="F8473" s="3" t="s">
        <v>590</v>
      </c>
      <c r="G8473" s="3" t="s">
        <v>63</v>
      </c>
      <c r="H8473" s="2" t="s">
        <v>20</v>
      </c>
      <c r="I8473" s="2" t="s">
        <v>16466</v>
      </c>
      <c r="J8473" s="3" t="str">
        <f>HYPERLINK("https://www.boe.es/gazeta/dias/1822/11/26/pdfs/GMD-1822-346.pdf#page=6","Abrir facsímil")</f>
        <v>Abrir facsímil</v>
      </c>
      <c r="K8473" s="3" t="s">
        <v>22</v>
      </c>
    </row>
    <row r="8474" spans="1:11" ht="42" customHeight="1">
      <c r="A8474" s="2" t="s">
        <v>16467</v>
      </c>
      <c r="B8474" s="2" t="s">
        <v>16467</v>
      </c>
      <c r="C8474" s="2" t="s">
        <v>50</v>
      </c>
      <c r="D8474" s="2" t="s">
        <v>51</v>
      </c>
      <c r="E8474" s="5">
        <v>-28211</v>
      </c>
      <c r="F8474" s="3" t="s">
        <v>273</v>
      </c>
      <c r="G8474" s="3" t="s">
        <v>57</v>
      </c>
      <c r="H8474" s="2" t="s">
        <v>20</v>
      </c>
      <c r="I8474" s="2" t="s">
        <v>16468</v>
      </c>
      <c r="J8474" s="3" t="str">
        <f>HYPERLINK("https://www.boe.es/gazeta/dias/1822/10/04/pdfs/GMD-1822-290.pdf#page=4","Abrir facsímil")</f>
        <v>Abrir facsímil</v>
      </c>
      <c r="K8474" s="3" t="s">
        <v>22</v>
      </c>
    </row>
    <row r="8475" spans="1:11" ht="42" customHeight="1">
      <c r="A8475" s="2" t="s">
        <v>16469</v>
      </c>
      <c r="B8475" s="2" t="s">
        <v>16470</v>
      </c>
      <c r="C8475" s="2" t="s">
        <v>50</v>
      </c>
      <c r="D8475" s="2" t="s">
        <v>51</v>
      </c>
      <c r="E8475" s="5">
        <v>-28195</v>
      </c>
      <c r="F8475" s="3" t="s">
        <v>770</v>
      </c>
      <c r="G8475" s="3" t="s">
        <v>63</v>
      </c>
      <c r="H8475" s="2" t="s">
        <v>20</v>
      </c>
      <c r="I8475" s="2" t="s">
        <v>16471</v>
      </c>
      <c r="J8475" s="3" t="str">
        <f>HYPERLINK("https://www.boe.es/gazeta/dias/1822/10/20/pdfs/GMD-1822-307.pdf#page=6","Abrir facsímil")</f>
        <v>Abrir facsímil</v>
      </c>
      <c r="K8475" s="3" t="s">
        <v>22</v>
      </c>
    </row>
    <row r="8476" spans="1:11" ht="42" customHeight="1">
      <c r="A8476" s="2" t="s">
        <v>16472</v>
      </c>
      <c r="B8476" s="2" t="s">
        <v>16472</v>
      </c>
      <c r="C8476" s="2" t="s">
        <v>42</v>
      </c>
      <c r="D8476" s="2" t="s">
        <v>17</v>
      </c>
      <c r="E8476" s="5">
        <v>-28225</v>
      </c>
      <c r="F8476" s="3" t="s">
        <v>177</v>
      </c>
      <c r="G8476" s="3" t="s">
        <v>178</v>
      </c>
      <c r="H8476" s="2" t="s">
        <v>20</v>
      </c>
      <c r="I8476" s="2" t="s">
        <v>16473</v>
      </c>
      <c r="J8476" s="3" t="str">
        <f>HYPERLINK("https://www.boe.es/gazeta/dias/1822/09/20/pdfs/GMD-1822-276.pdf#page=3","Abrir facsímil")</f>
        <v>Abrir facsímil</v>
      </c>
      <c r="K8476" s="3" t="s">
        <v>22</v>
      </c>
    </row>
    <row r="8477" spans="1:11" ht="42" customHeight="1">
      <c r="A8477" s="2" t="s">
        <v>16474</v>
      </c>
      <c r="B8477" s="2" t="s">
        <v>16474</v>
      </c>
      <c r="C8477" s="2" t="s">
        <v>16</v>
      </c>
      <c r="D8477" s="2" t="s">
        <v>17</v>
      </c>
      <c r="E8477" s="5">
        <v>-28484</v>
      </c>
      <c r="F8477" s="3" t="s">
        <v>743</v>
      </c>
      <c r="G8477" s="3" t="s">
        <v>44</v>
      </c>
      <c r="H8477" s="2" t="s">
        <v>20</v>
      </c>
      <c r="I8477" s="2" t="s">
        <v>16475</v>
      </c>
      <c r="J8477" s="3" t="str">
        <f>HYPERLINK("https://www.boe.es/gazeta/dias/1822/01/04/pdfs/GMD-1822-4.pdf#page=1","Abrir facsímil")</f>
        <v>Abrir facsímil</v>
      </c>
      <c r="K8477" s="3" t="s">
        <v>22</v>
      </c>
    </row>
    <row r="8478" spans="1:11" ht="42" customHeight="1">
      <c r="A8478" s="2" t="s">
        <v>16476</v>
      </c>
      <c r="B8478" s="2" t="s">
        <v>16477</v>
      </c>
      <c r="C8478" s="2" t="s">
        <v>28</v>
      </c>
      <c r="D8478" s="2" t="s">
        <v>29</v>
      </c>
      <c r="E8478" s="5">
        <v>-28353</v>
      </c>
      <c r="F8478" s="3" t="s">
        <v>843</v>
      </c>
      <c r="G8478" s="3" t="s">
        <v>44</v>
      </c>
      <c r="H8478" s="2" t="s">
        <v>20</v>
      </c>
      <c r="I8478" s="2" t="s">
        <v>16478</v>
      </c>
      <c r="J8478" s="3" t="str">
        <f>HYPERLINK("https://www.boe.es/gazeta/dias/1822/05/15/pdfs/GMD-1822-137.pdf#page=1","Abrir facsímil")</f>
        <v>Abrir facsímil</v>
      </c>
      <c r="K8478" s="3" t="s">
        <v>22</v>
      </c>
    </row>
    <row r="8479" spans="1:11" ht="42" customHeight="1">
      <c r="A8479" s="2" t="s">
        <v>16479</v>
      </c>
      <c r="B8479" s="2" t="s">
        <v>16480</v>
      </c>
      <c r="C8479" s="2" t="s">
        <v>42</v>
      </c>
      <c r="D8479" s="2" t="s">
        <v>17</v>
      </c>
      <c r="E8479" s="5">
        <v>-28295</v>
      </c>
      <c r="F8479" s="3" t="s">
        <v>81</v>
      </c>
      <c r="G8479" s="3" t="s">
        <v>35</v>
      </c>
      <c r="H8479" s="2" t="s">
        <v>20</v>
      </c>
      <c r="I8479" s="2" t="s">
        <v>16481</v>
      </c>
      <c r="J8479" s="3" t="str">
        <f>HYPERLINK("https://www.boe.es/gazeta/dias/1822/07/12/pdfs/GMD-1822-202.pdf#page=2","Abrir facsímil")</f>
        <v>Abrir facsímil</v>
      </c>
      <c r="K8479" s="3" t="s">
        <v>22</v>
      </c>
    </row>
    <row r="8480" spans="1:11" ht="42" customHeight="1">
      <c r="A8480" s="2" t="s">
        <v>16479</v>
      </c>
      <c r="B8480" s="2" t="s">
        <v>16480</v>
      </c>
      <c r="C8480" s="2" t="s">
        <v>42</v>
      </c>
      <c r="D8480" s="2" t="s">
        <v>17</v>
      </c>
      <c r="E8480" s="5">
        <v>-28251</v>
      </c>
      <c r="F8480" s="3" t="s">
        <v>1485</v>
      </c>
      <c r="G8480" s="3" t="s">
        <v>35</v>
      </c>
      <c r="H8480" s="2" t="s">
        <v>20</v>
      </c>
      <c r="I8480" s="2" t="s">
        <v>16482</v>
      </c>
      <c r="J8480" s="3" t="str">
        <f>HYPERLINK("https://www.boe.es/gazeta/dias/1822/08/25/pdfs/GMD-1822-249.pdf#page=2","Abrir facsímil")</f>
        <v>Abrir facsímil</v>
      </c>
      <c r="K8480" s="3" t="s">
        <v>22</v>
      </c>
    </row>
    <row r="8481" spans="1:11" ht="42" customHeight="1">
      <c r="A8481" s="2" t="s">
        <v>16483</v>
      </c>
      <c r="B8481" s="2" t="s">
        <v>16484</v>
      </c>
      <c r="C8481" s="2" t="s">
        <v>71</v>
      </c>
      <c r="D8481" s="2" t="s">
        <v>17</v>
      </c>
      <c r="E8481" s="5">
        <v>-28176</v>
      </c>
      <c r="F8481" s="3" t="s">
        <v>780</v>
      </c>
      <c r="G8481" s="3" t="s">
        <v>63</v>
      </c>
      <c r="H8481" s="2" t="s">
        <v>20</v>
      </c>
      <c r="I8481" s="2" t="s">
        <v>16485</v>
      </c>
      <c r="J8481" s="3" t="str">
        <f>HYPERLINK("https://www.boe.es/gazeta/dias/1822/11/08/pdfs/GMD-1822-328.pdf#page=6","Abrir facsímil")</f>
        <v>Abrir facsímil</v>
      </c>
      <c r="K8481" s="3" t="s">
        <v>22</v>
      </c>
    </row>
    <row r="8482" spans="1:11" ht="42" customHeight="1">
      <c r="A8482" s="2" t="s">
        <v>16486</v>
      </c>
      <c r="B8482" s="2" t="s">
        <v>16487</v>
      </c>
      <c r="C8482" s="2" t="s">
        <v>50</v>
      </c>
      <c r="D8482" s="2" t="s">
        <v>51</v>
      </c>
      <c r="E8482" s="5">
        <v>-28415</v>
      </c>
      <c r="F8482" s="3" t="s">
        <v>77</v>
      </c>
      <c r="G8482" s="3" t="s">
        <v>19</v>
      </c>
      <c r="H8482" s="2" t="s">
        <v>20</v>
      </c>
      <c r="I8482" s="2" t="s">
        <v>16488</v>
      </c>
      <c r="J8482" s="3" t="str">
        <f>HYPERLINK("https://www.boe.es/gazeta/dias/1822/03/14/pdfs/GMD-1822-75.pdf#page=5","Abrir facsímil")</f>
        <v>Abrir facsímil</v>
      </c>
      <c r="K8482" s="3" t="s">
        <v>22</v>
      </c>
    </row>
    <row r="8483" spans="1:11" ht="42" customHeight="1">
      <c r="A8483" s="2" t="s">
        <v>16489</v>
      </c>
      <c r="B8483" s="2" t="s">
        <v>16490</v>
      </c>
      <c r="C8483" s="2" t="s">
        <v>42</v>
      </c>
      <c r="D8483" s="2" t="s">
        <v>17</v>
      </c>
      <c r="E8483" s="5">
        <v>-28258</v>
      </c>
      <c r="F8483" s="3" t="s">
        <v>88</v>
      </c>
      <c r="G8483" s="3" t="s">
        <v>31</v>
      </c>
      <c r="H8483" s="2" t="s">
        <v>20</v>
      </c>
      <c r="I8483" s="2" t="s">
        <v>16491</v>
      </c>
      <c r="J8483" s="3" t="str">
        <f>HYPERLINK("https://www.boe.es/gazeta/dias/1822/08/18/pdfs/GMD-1822-242.pdf#page=3","Abrir facsímil")</f>
        <v>Abrir facsímil</v>
      </c>
      <c r="K8483" s="3" t="s">
        <v>22</v>
      </c>
    </row>
    <row r="8484" spans="1:11" ht="42" customHeight="1">
      <c r="A8484" s="2" t="s">
        <v>16492</v>
      </c>
      <c r="B8484" s="2" t="s">
        <v>16492</v>
      </c>
      <c r="C8484" s="2" t="s">
        <v>50</v>
      </c>
      <c r="D8484" s="2" t="s">
        <v>51</v>
      </c>
      <c r="E8484" s="5">
        <v>-28260</v>
      </c>
      <c r="F8484" s="3" t="s">
        <v>135</v>
      </c>
      <c r="G8484" s="3" t="s">
        <v>31</v>
      </c>
      <c r="H8484" s="2" t="s">
        <v>20</v>
      </c>
      <c r="I8484" s="2" t="s">
        <v>16493</v>
      </c>
      <c r="J8484" s="3" t="str">
        <f>HYPERLINK("https://www.boe.es/gazeta/dias/1822/08/16/pdfs/GMD-1822-240.pdf#page=3","Abrir facsímil")</f>
        <v>Abrir facsímil</v>
      </c>
      <c r="K8484" s="3" t="s">
        <v>22</v>
      </c>
    </row>
    <row r="8485" spans="1:11" ht="42" customHeight="1">
      <c r="A8485" s="2" t="s">
        <v>16494</v>
      </c>
      <c r="B8485" s="2" t="s">
        <v>16494</v>
      </c>
      <c r="C8485" s="2" t="s">
        <v>50</v>
      </c>
      <c r="D8485" s="2" t="s">
        <v>51</v>
      </c>
      <c r="E8485" s="5">
        <v>-28236</v>
      </c>
      <c r="F8485" s="3" t="s">
        <v>714</v>
      </c>
      <c r="G8485" s="3" t="s">
        <v>35</v>
      </c>
      <c r="H8485" s="2" t="s">
        <v>20</v>
      </c>
      <c r="I8485" s="2" t="s">
        <v>16495</v>
      </c>
      <c r="J8485" s="3" t="str">
        <f>HYPERLINK("https://www.boe.es/gazeta/dias/1822/09/09/pdfs/GMD-1822-265.pdf#page=2","Abrir facsímil")</f>
        <v>Abrir facsímil</v>
      </c>
      <c r="K8485" s="3" t="s">
        <v>22</v>
      </c>
    </row>
    <row r="8486" spans="1:11" ht="42" customHeight="1">
      <c r="A8486" s="2" t="s">
        <v>16496</v>
      </c>
      <c r="B8486" s="2" t="s">
        <v>16496</v>
      </c>
      <c r="C8486" s="2" t="s">
        <v>50</v>
      </c>
      <c r="D8486" s="2" t="s">
        <v>51</v>
      </c>
      <c r="E8486" s="5">
        <v>-28170</v>
      </c>
      <c r="F8486" s="3" t="s">
        <v>1457</v>
      </c>
      <c r="G8486" s="3" t="s">
        <v>19</v>
      </c>
      <c r="H8486" s="2" t="s">
        <v>20</v>
      </c>
      <c r="I8486" s="2" t="s">
        <v>16497</v>
      </c>
      <c r="J8486" s="3" t="str">
        <f>HYPERLINK("https://www.boe.es/gazeta/dias/1822/11/14/pdfs/GMD-1822-334.pdf#page=5","Abrir facsímil")</f>
        <v>Abrir facsímil</v>
      </c>
      <c r="K8486" s="3" t="s">
        <v>22</v>
      </c>
    </row>
    <row r="8487" spans="1:11" ht="42" customHeight="1">
      <c r="A8487" s="2" t="s">
        <v>16498</v>
      </c>
      <c r="B8487" s="2" t="s">
        <v>16499</v>
      </c>
      <c r="C8487" s="2" t="s">
        <v>24</v>
      </c>
      <c r="D8487" s="2" t="s">
        <v>17</v>
      </c>
      <c r="E8487" s="5">
        <v>-28486</v>
      </c>
      <c r="F8487" s="3" t="s">
        <v>1046</v>
      </c>
      <c r="G8487" s="3" t="s">
        <v>57</v>
      </c>
      <c r="H8487" s="2" t="s">
        <v>20</v>
      </c>
      <c r="I8487" s="2" t="s">
        <v>16500</v>
      </c>
      <c r="J8487" s="3" t="str">
        <f>HYPERLINK("https://www.boe.es/gazeta/dias/1822/01/02/pdfs/GMD-1822-2.pdf#page=4","Abrir facsímil")</f>
        <v>Abrir facsímil</v>
      </c>
      <c r="K8487" s="3" t="s">
        <v>22</v>
      </c>
    </row>
    <row r="8488" spans="1:11" ht="42" customHeight="1">
      <c r="A8488" s="2" t="s">
        <v>16501</v>
      </c>
      <c r="B8488" s="2" t="s">
        <v>16502</v>
      </c>
      <c r="C8488" s="2" t="s">
        <v>61</v>
      </c>
      <c r="D8488" s="2" t="s">
        <v>17</v>
      </c>
      <c r="E8488" s="5">
        <v>-28148</v>
      </c>
      <c r="F8488" s="3" t="s">
        <v>1909</v>
      </c>
      <c r="G8488" s="3" t="s">
        <v>63</v>
      </c>
      <c r="H8488" s="2" t="s">
        <v>45</v>
      </c>
      <c r="I8488" s="2" t="s">
        <v>16503</v>
      </c>
      <c r="J8488" s="3" t="str">
        <f>HYPERLINK("https://www.boe.es/gazeta/dias/1822/12/06/pdfs/GMD-1822-356.pdf#page=6","Abrir facsímil")</f>
        <v>Abrir facsímil</v>
      </c>
      <c r="K8488" s="3" t="s">
        <v>47</v>
      </c>
    </row>
    <row r="8489" spans="1:11" ht="42" customHeight="1">
      <c r="A8489" s="2" t="s">
        <v>16504</v>
      </c>
      <c r="B8489" s="2" t="s">
        <v>16505</v>
      </c>
      <c r="C8489" s="2" t="s">
        <v>42</v>
      </c>
      <c r="D8489" s="2" t="s">
        <v>17</v>
      </c>
      <c r="E8489" s="5">
        <v>-28258</v>
      </c>
      <c r="F8489" s="3" t="s">
        <v>88</v>
      </c>
      <c r="G8489" s="3" t="s">
        <v>31</v>
      </c>
      <c r="H8489" s="2" t="s">
        <v>20</v>
      </c>
      <c r="I8489" s="2" t="s">
        <v>16506</v>
      </c>
      <c r="J8489" s="3" t="str">
        <f>HYPERLINK("https://www.boe.es/gazeta/dias/1822/08/18/pdfs/GMD-1822-242.pdf#page=3","Abrir facsímil")</f>
        <v>Abrir facsímil</v>
      </c>
      <c r="K8489" s="3" t="s">
        <v>22</v>
      </c>
    </row>
    <row r="8490" spans="1:11" ht="42" customHeight="1">
      <c r="A8490" s="2" t="s">
        <v>16507</v>
      </c>
      <c r="B8490" s="2" t="s">
        <v>16508</v>
      </c>
      <c r="C8490" s="2" t="s">
        <v>28</v>
      </c>
      <c r="D8490" s="2" t="s">
        <v>29</v>
      </c>
      <c r="E8490" s="5">
        <v>-28468</v>
      </c>
      <c r="F8490" s="3" t="s">
        <v>1012</v>
      </c>
      <c r="G8490" s="3" t="s">
        <v>44</v>
      </c>
      <c r="H8490" s="2" t="s">
        <v>20</v>
      </c>
      <c r="I8490" s="2" t="s">
        <v>16509</v>
      </c>
      <c r="J8490" s="3" t="str">
        <f>HYPERLINK("https://www.boe.es/gazeta/dias/1822/01/20/pdfs/GMD-1822-20.pdf#page=1","Abrir facsímil")</f>
        <v>Abrir facsímil</v>
      </c>
      <c r="K8490" s="3" t="s">
        <v>22</v>
      </c>
    </row>
    <row r="8491" spans="1:11" ht="42" customHeight="1">
      <c r="A8491" s="2" t="s">
        <v>16510</v>
      </c>
      <c r="B8491" s="2" t="s">
        <v>16511</v>
      </c>
      <c r="C8491" s="2" t="s">
        <v>28</v>
      </c>
      <c r="D8491" s="2" t="s">
        <v>29</v>
      </c>
      <c r="E8491" s="5">
        <v>-28468</v>
      </c>
      <c r="F8491" s="3" t="s">
        <v>1012</v>
      </c>
      <c r="G8491" s="3" t="s">
        <v>44</v>
      </c>
      <c r="H8491" s="2" t="s">
        <v>20</v>
      </c>
      <c r="I8491" s="2" t="s">
        <v>16512</v>
      </c>
      <c r="J8491" s="3" t="str">
        <f>HYPERLINK("https://www.boe.es/gazeta/dias/1822/01/20/pdfs/GMD-1822-20.pdf#page=1","Abrir facsímil")</f>
        <v>Abrir facsímil</v>
      </c>
      <c r="K8491" s="3" t="s">
        <v>22</v>
      </c>
    </row>
    <row r="8492" spans="1:11" ht="42" customHeight="1">
      <c r="A8492" s="2" t="s">
        <v>16513</v>
      </c>
      <c r="B8492" s="2" t="s">
        <v>16514</v>
      </c>
      <c r="C8492" s="2" t="s">
        <v>28</v>
      </c>
      <c r="D8492" s="2" t="s">
        <v>29</v>
      </c>
      <c r="E8492" s="5">
        <v>-28280</v>
      </c>
      <c r="F8492" s="3" t="s">
        <v>56</v>
      </c>
      <c r="G8492" s="3" t="s">
        <v>57</v>
      </c>
      <c r="H8492" s="2" t="s">
        <v>20</v>
      </c>
      <c r="I8492" s="2" t="s">
        <v>16515</v>
      </c>
      <c r="J8492" s="3" t="str">
        <f>HYPERLINK("https://www.boe.es/gazeta/dias/1822/07/27/pdfs/GMD-1822-220.pdf#page=4","Abrir facsímil")</f>
        <v>Abrir facsímil</v>
      </c>
      <c r="K8492" s="3" t="s">
        <v>22</v>
      </c>
    </row>
    <row r="8493" spans="1:11" ht="42" customHeight="1">
      <c r="A8493" s="2" t="s">
        <v>16516</v>
      </c>
      <c r="B8493" s="2" t="s">
        <v>16517</v>
      </c>
      <c r="C8493" s="2" t="s">
        <v>24</v>
      </c>
      <c r="D8493" s="2" t="s">
        <v>17</v>
      </c>
      <c r="E8493" s="5">
        <v>-28471</v>
      </c>
      <c r="F8493" s="3" t="s">
        <v>1436</v>
      </c>
      <c r="G8493" s="3" t="s">
        <v>31</v>
      </c>
      <c r="H8493" s="2" t="s">
        <v>20</v>
      </c>
      <c r="I8493" s="2" t="s">
        <v>16518</v>
      </c>
      <c r="J8493" s="3" t="str">
        <f>HYPERLINK("https://www.boe.es/gazeta/dias/1822/01/17/pdfs/GMD-1822-17.pdf#page=3","Abrir facsímil")</f>
        <v>Abrir facsímil</v>
      </c>
      <c r="K8493" s="3" t="s">
        <v>22</v>
      </c>
    </row>
    <row r="8494" spans="1:11" ht="42" customHeight="1">
      <c r="A8494" s="2" t="s">
        <v>16519</v>
      </c>
      <c r="B8494" s="2" t="s">
        <v>16520</v>
      </c>
      <c r="C8494" s="2" t="s">
        <v>362</v>
      </c>
      <c r="D8494" s="2" t="s">
        <v>17</v>
      </c>
      <c r="E8494" s="5">
        <v>-28201</v>
      </c>
      <c r="F8494" s="3" t="s">
        <v>163</v>
      </c>
      <c r="G8494" s="3" t="s">
        <v>63</v>
      </c>
      <c r="H8494" s="2" t="s">
        <v>20</v>
      </c>
      <c r="I8494" s="2" t="s">
        <v>16521</v>
      </c>
      <c r="J8494" s="3" t="str">
        <f>HYPERLINK("https://www.boe.es/gazeta/dias/1822/10/14/pdfs/GMD-1822-301.pdf#page=6","Abrir facsímil")</f>
        <v>Abrir facsímil</v>
      </c>
      <c r="K8494" s="3" t="s">
        <v>22</v>
      </c>
    </row>
    <row r="8495" spans="1:11" ht="42" customHeight="1">
      <c r="A8495" s="2" t="s">
        <v>16522</v>
      </c>
      <c r="B8495" s="2" t="s">
        <v>16523</v>
      </c>
      <c r="C8495" s="2" t="s">
        <v>50</v>
      </c>
      <c r="D8495" s="2" t="s">
        <v>51</v>
      </c>
      <c r="E8495" s="5">
        <v>-28325</v>
      </c>
      <c r="F8495" s="3" t="s">
        <v>104</v>
      </c>
      <c r="G8495" s="3" t="s">
        <v>31</v>
      </c>
      <c r="H8495" s="2" t="s">
        <v>20</v>
      </c>
      <c r="I8495" s="2" t="s">
        <v>16524</v>
      </c>
      <c r="J8495" s="3" t="str">
        <f>HYPERLINK("https://www.boe.es/gazeta/dias/1822/06/12/pdfs/GMD-1822-169.pdf#page=3","Abrir facsímil")</f>
        <v>Abrir facsímil</v>
      </c>
      <c r="K8495" s="3" t="s">
        <v>22</v>
      </c>
    </row>
    <row r="8496" spans="1:11" ht="42" customHeight="1">
      <c r="A8496" s="2" t="s">
        <v>16525</v>
      </c>
      <c r="B8496" s="2" t="s">
        <v>16525</v>
      </c>
      <c r="C8496" s="2" t="s">
        <v>50</v>
      </c>
      <c r="D8496" s="2" t="s">
        <v>51</v>
      </c>
      <c r="E8496" s="5">
        <v>-28159</v>
      </c>
      <c r="F8496" s="3" t="s">
        <v>67</v>
      </c>
      <c r="G8496" s="3" t="s">
        <v>44</v>
      </c>
      <c r="H8496" s="2" t="s">
        <v>20</v>
      </c>
      <c r="I8496" s="2" t="s">
        <v>16526</v>
      </c>
      <c r="J8496" s="3" t="str">
        <f>HYPERLINK("https://www.boe.es/gazeta/dias/1822/11/25/pdfs/GMD-1822-345.pdf#page=1","Abrir facsímil")</f>
        <v>Abrir facsímil</v>
      </c>
      <c r="K8496" s="3" t="s">
        <v>22</v>
      </c>
    </row>
    <row r="8497" spans="1:11" ht="42" customHeight="1">
      <c r="A8497" s="2" t="s">
        <v>16527</v>
      </c>
      <c r="B8497" s="2" t="s">
        <v>16528</v>
      </c>
      <c r="C8497" s="2" t="s">
        <v>28</v>
      </c>
      <c r="D8497" s="2" t="s">
        <v>29</v>
      </c>
      <c r="E8497" s="5">
        <v>-28290</v>
      </c>
      <c r="F8497" s="3" t="s">
        <v>706</v>
      </c>
      <c r="G8497" s="3" t="s">
        <v>57</v>
      </c>
      <c r="H8497" s="2" t="s">
        <v>20</v>
      </c>
      <c r="I8497" s="2" t="s">
        <v>16529</v>
      </c>
      <c r="J8497" s="3" t="str">
        <f>HYPERLINK("https://www.boe.es/gazeta/dias/1822/07/17/pdfs/GMD-1822-207.pdf#page=4","Abrir facsímil")</f>
        <v>Abrir facsímil</v>
      </c>
      <c r="K8497" s="3" t="s">
        <v>22</v>
      </c>
    </row>
    <row r="8498" spans="1:11" ht="42" customHeight="1">
      <c r="A8498" s="2" t="s">
        <v>16530</v>
      </c>
      <c r="B8498" s="2" t="s">
        <v>16531</v>
      </c>
      <c r="C8498" s="2" t="s">
        <v>42</v>
      </c>
      <c r="D8498" s="2" t="s">
        <v>17</v>
      </c>
      <c r="E8498" s="5">
        <v>-28462</v>
      </c>
      <c r="F8498" s="3" t="s">
        <v>1099</v>
      </c>
      <c r="G8498" s="3" t="s">
        <v>44</v>
      </c>
      <c r="H8498" s="2" t="s">
        <v>20</v>
      </c>
      <c r="I8498" s="2" t="s">
        <v>16532</v>
      </c>
      <c r="J8498" s="3" t="str">
        <f>HYPERLINK("https://www.boe.es/gazeta/dias/1822/01/26/pdfs/GMD-1822-26.pdf#page=1","Abrir facsímil")</f>
        <v>Abrir facsímil</v>
      </c>
      <c r="K8498" s="3" t="s">
        <v>22</v>
      </c>
    </row>
    <row r="8499" spans="1:11" ht="42" customHeight="1">
      <c r="A8499" s="2" t="s">
        <v>16533</v>
      </c>
      <c r="B8499" s="2" t="s">
        <v>16534</v>
      </c>
      <c r="C8499" s="2" t="s">
        <v>24</v>
      </c>
      <c r="D8499" s="2" t="s">
        <v>17</v>
      </c>
      <c r="E8499" s="5">
        <v>-28432</v>
      </c>
      <c r="F8499" s="3" t="s">
        <v>195</v>
      </c>
      <c r="G8499" s="3" t="s">
        <v>57</v>
      </c>
      <c r="H8499" s="2" t="s">
        <v>20</v>
      </c>
      <c r="I8499" s="2" t="s">
        <v>16535</v>
      </c>
      <c r="J8499" s="3" t="str">
        <f>HYPERLINK("https://www.boe.es/gazeta/dias/1822/02/25/pdfs/GMD-1822-57.pdf#page=4","Abrir facsímil")</f>
        <v>Abrir facsímil</v>
      </c>
      <c r="K8499" s="3" t="s">
        <v>22</v>
      </c>
    </row>
    <row r="8500" spans="1:11" ht="42" customHeight="1">
      <c r="A8500" s="2" t="s">
        <v>16536</v>
      </c>
      <c r="B8500" s="2" t="s">
        <v>16537</v>
      </c>
      <c r="C8500" s="2" t="s">
        <v>28</v>
      </c>
      <c r="D8500" s="2" t="s">
        <v>29</v>
      </c>
      <c r="E8500" s="5">
        <v>-28426</v>
      </c>
      <c r="F8500" s="3" t="s">
        <v>1178</v>
      </c>
      <c r="G8500" s="3" t="s">
        <v>31</v>
      </c>
      <c r="H8500" s="2" t="s">
        <v>45</v>
      </c>
      <c r="I8500" s="2" t="s">
        <v>16538</v>
      </c>
      <c r="J8500" s="3" t="str">
        <f>HYPERLINK("https://www.boe.es/gazeta/dias/1822/03/03/pdfs/GMD-1822-64.pdf#page=3","Abrir facsímil")</f>
        <v>Abrir facsímil</v>
      </c>
      <c r="K8500" s="3" t="s">
        <v>47</v>
      </c>
    </row>
    <row r="8501" spans="1:11" ht="42" customHeight="1">
      <c r="A8501" s="2" t="s">
        <v>16539</v>
      </c>
      <c r="B8501" s="2" t="s">
        <v>16540</v>
      </c>
      <c r="C8501" s="2" t="s">
        <v>50</v>
      </c>
      <c r="D8501" s="2" t="s">
        <v>51</v>
      </c>
      <c r="E8501" s="5">
        <v>-28260</v>
      </c>
      <c r="F8501" s="3" t="s">
        <v>135</v>
      </c>
      <c r="G8501" s="3" t="s">
        <v>31</v>
      </c>
      <c r="H8501" s="2" t="s">
        <v>20</v>
      </c>
      <c r="I8501" s="2" t="s">
        <v>16541</v>
      </c>
      <c r="J8501" s="3" t="str">
        <f>HYPERLINK("https://www.boe.es/gazeta/dias/1822/08/16/pdfs/GMD-1822-240.pdf#page=3","Abrir facsímil")</f>
        <v>Abrir facsímil</v>
      </c>
      <c r="K8501" s="3" t="s">
        <v>22</v>
      </c>
    </row>
    <row r="8502" spans="1:11" ht="42" customHeight="1">
      <c r="A8502" s="2" t="s">
        <v>16542</v>
      </c>
      <c r="B8502" s="2" t="s">
        <v>16542</v>
      </c>
      <c r="C8502" s="2" t="s">
        <v>50</v>
      </c>
      <c r="D8502" s="2" t="s">
        <v>51</v>
      </c>
      <c r="E8502" s="5">
        <v>-28239</v>
      </c>
      <c r="F8502" s="3" t="s">
        <v>3154</v>
      </c>
      <c r="G8502" s="3" t="s">
        <v>35</v>
      </c>
      <c r="H8502" s="2" t="s">
        <v>20</v>
      </c>
      <c r="I8502" s="2" t="s">
        <v>16543</v>
      </c>
      <c r="J8502" s="3" t="str">
        <f>HYPERLINK("https://www.boe.es/gazeta/dias/1822/09/06/pdfs/GMD-1822-261.pdf#page=2","Abrir facsímil")</f>
        <v>Abrir facsímil</v>
      </c>
      <c r="K8502" s="3" t="s">
        <v>22</v>
      </c>
    </row>
    <row r="8503" spans="1:11" ht="42" customHeight="1">
      <c r="A8503" s="2" t="s">
        <v>16544</v>
      </c>
      <c r="B8503" s="2" t="s">
        <v>16545</v>
      </c>
      <c r="C8503" s="2" t="s">
        <v>50</v>
      </c>
      <c r="D8503" s="2" t="s">
        <v>51</v>
      </c>
      <c r="E8503" s="5">
        <v>-28279</v>
      </c>
      <c r="F8503" s="3" t="s">
        <v>662</v>
      </c>
      <c r="G8503" s="3" t="s">
        <v>57</v>
      </c>
      <c r="H8503" s="2" t="s">
        <v>20</v>
      </c>
      <c r="I8503" s="2" t="s">
        <v>16546</v>
      </c>
      <c r="J8503" s="3" t="str">
        <f>HYPERLINK("https://www.boe.es/gazeta/dias/1822/07/28/pdfs/GMD-1822-221.pdf#page=4","Abrir facsímil")</f>
        <v>Abrir facsímil</v>
      </c>
      <c r="K8503" s="3" t="s">
        <v>22</v>
      </c>
    </row>
    <row r="8504" spans="1:11" ht="42" customHeight="1">
      <c r="A8504" s="2" t="s">
        <v>16547</v>
      </c>
      <c r="B8504" s="2" t="s">
        <v>16548</v>
      </c>
      <c r="C8504" s="2" t="s">
        <v>50</v>
      </c>
      <c r="D8504" s="2" t="s">
        <v>51</v>
      </c>
      <c r="E8504" s="5">
        <v>-28276</v>
      </c>
      <c r="F8504" s="3" t="s">
        <v>4746</v>
      </c>
      <c r="G8504" s="3" t="s">
        <v>44</v>
      </c>
      <c r="H8504" s="2" t="s">
        <v>20</v>
      </c>
      <c r="I8504" s="2" t="s">
        <v>16549</v>
      </c>
      <c r="J8504" s="3" t="str">
        <f>HYPERLINK("https://www.boe.es/gazeta/dias/1822/07/31/pdfs/GMD-1822-224.pdf#page=1","Abrir facsímil")</f>
        <v>Abrir facsímil</v>
      </c>
      <c r="K8504" s="3" t="s">
        <v>22</v>
      </c>
    </row>
    <row r="8505" spans="1:11" ht="42" customHeight="1">
      <c r="A8505" s="2" t="s">
        <v>16550</v>
      </c>
      <c r="B8505" s="2" t="s">
        <v>16551</v>
      </c>
      <c r="C8505" s="2" t="s">
        <v>42</v>
      </c>
      <c r="D8505" s="2" t="s">
        <v>17</v>
      </c>
      <c r="E8505" s="5">
        <v>-28376</v>
      </c>
      <c r="F8505" s="3" t="s">
        <v>500</v>
      </c>
      <c r="G8505" s="3" t="s">
        <v>501</v>
      </c>
      <c r="H8505" s="2" t="s">
        <v>20</v>
      </c>
      <c r="I8505" s="2" t="s">
        <v>16552</v>
      </c>
      <c r="J8505" s="3" t="str">
        <f>HYPERLINK("https://www.boe.es/gazeta/dias/1822/04/22/pdfs/GMD-1822-114.pdf#page=3","Abrir facsímil")</f>
        <v>Abrir facsímil</v>
      </c>
      <c r="K8505" s="3" t="s">
        <v>22</v>
      </c>
    </row>
    <row r="8506" spans="1:11" ht="42" customHeight="1">
      <c r="A8506" s="2" t="s">
        <v>16553</v>
      </c>
      <c r="B8506" s="2" t="s">
        <v>16553</v>
      </c>
      <c r="C8506" s="2" t="s">
        <v>42</v>
      </c>
      <c r="D8506" s="2" t="s">
        <v>17</v>
      </c>
      <c r="E8506" s="5">
        <v>-28189</v>
      </c>
      <c r="F8506" s="3" t="s">
        <v>645</v>
      </c>
      <c r="G8506" s="3" t="s">
        <v>19</v>
      </c>
      <c r="H8506" s="2" t="s">
        <v>20</v>
      </c>
      <c r="I8506" s="2" t="s">
        <v>16554</v>
      </c>
      <c r="J8506" s="3" t="str">
        <f>HYPERLINK("https://www.boe.es/gazeta/dias/1822/10/26/pdfs/GMD-1822-313.pdf#page=5","Abrir facsímil")</f>
        <v>Abrir facsímil</v>
      </c>
      <c r="K8506" s="3" t="s">
        <v>22</v>
      </c>
    </row>
    <row r="8507" spans="1:11" ht="42" customHeight="1">
      <c r="A8507" s="2" t="s">
        <v>16555</v>
      </c>
      <c r="B8507" s="2" t="s">
        <v>16556</v>
      </c>
      <c r="C8507" s="2" t="s">
        <v>50</v>
      </c>
      <c r="D8507" s="2" t="s">
        <v>51</v>
      </c>
      <c r="E8507" s="5">
        <v>-28175</v>
      </c>
      <c r="F8507" s="3" t="s">
        <v>341</v>
      </c>
      <c r="G8507" s="3" t="s">
        <v>63</v>
      </c>
      <c r="H8507" s="2" t="s">
        <v>20</v>
      </c>
      <c r="I8507" s="2" t="s">
        <v>16557</v>
      </c>
      <c r="J8507" s="3" t="str">
        <f>HYPERLINK("https://www.boe.es/gazeta/dias/1822/11/09/pdfs/GMD-1822-329.pdf#page=6","Abrir facsímil")</f>
        <v>Abrir facsímil</v>
      </c>
      <c r="K8507" s="3" t="s">
        <v>22</v>
      </c>
    </row>
    <row r="8508" spans="1:11" ht="42" customHeight="1">
      <c r="A8508" s="2" t="s">
        <v>16558</v>
      </c>
      <c r="B8508" s="2" t="s">
        <v>16558</v>
      </c>
      <c r="C8508" s="2" t="s">
        <v>50</v>
      </c>
      <c r="D8508" s="2" t="s">
        <v>51</v>
      </c>
      <c r="E8508" s="5">
        <v>-28322</v>
      </c>
      <c r="F8508" s="3" t="s">
        <v>2205</v>
      </c>
      <c r="G8508" s="3" t="s">
        <v>44</v>
      </c>
      <c r="H8508" s="2" t="s">
        <v>20</v>
      </c>
      <c r="I8508" s="2" t="s">
        <v>16559</v>
      </c>
      <c r="J8508" s="3" t="str">
        <f>HYPERLINK("https://www.boe.es/gazeta/dias/1822/06/15/pdfs/GMD-1822-172.pdf#page=1","Abrir facsímil")</f>
        <v>Abrir facsímil</v>
      </c>
      <c r="K8508" s="3" t="s">
        <v>22</v>
      </c>
    </row>
    <row r="8509" spans="1:11" ht="42" customHeight="1">
      <c r="A8509" s="2" t="s">
        <v>16560</v>
      </c>
      <c r="B8509" s="2" t="s">
        <v>16561</v>
      </c>
      <c r="C8509" s="2" t="s">
        <v>42</v>
      </c>
      <c r="D8509" s="2" t="s">
        <v>17</v>
      </c>
      <c r="E8509" s="5">
        <v>-28338</v>
      </c>
      <c r="F8509" s="3" t="s">
        <v>527</v>
      </c>
      <c r="G8509" s="3" t="s">
        <v>44</v>
      </c>
      <c r="H8509" s="2" t="s">
        <v>20</v>
      </c>
      <c r="I8509" s="2" t="s">
        <v>16562</v>
      </c>
      <c r="J8509" s="3" t="str">
        <f>HYPERLINK("https://www.boe.es/gazeta/dias/1822/05/30/pdfs/GMD-1822-155.pdf#page=1","Abrir facsímil")</f>
        <v>Abrir facsímil</v>
      </c>
      <c r="K8509" s="3" t="s">
        <v>22</v>
      </c>
    </row>
    <row r="8510" spans="1:11" ht="42" customHeight="1">
      <c r="A8510" s="2" t="s">
        <v>16563</v>
      </c>
      <c r="B8510" s="2" t="s">
        <v>16564</v>
      </c>
      <c r="C8510" s="2" t="s">
        <v>42</v>
      </c>
      <c r="D8510" s="2" t="s">
        <v>17</v>
      </c>
      <c r="E8510" s="5">
        <v>-28302</v>
      </c>
      <c r="F8510" s="3" t="s">
        <v>791</v>
      </c>
      <c r="G8510" s="3" t="s">
        <v>31</v>
      </c>
      <c r="H8510" s="2" t="s">
        <v>20</v>
      </c>
      <c r="I8510" s="2" t="s">
        <v>16565</v>
      </c>
      <c r="J8510" s="3" t="str">
        <f>HYPERLINK("https://www.boe.es/gazeta/dias/1822/07/05/pdfs/GMD-1822-194.pdf#page=3","Abrir facsímil")</f>
        <v>Abrir facsímil</v>
      </c>
      <c r="K8510" s="3" t="s">
        <v>22</v>
      </c>
    </row>
    <row r="8511" spans="1:11" ht="42" customHeight="1">
      <c r="A8511" s="2" t="s">
        <v>16566</v>
      </c>
      <c r="B8511" s="2" t="s">
        <v>16566</v>
      </c>
      <c r="C8511" s="2" t="s">
        <v>28</v>
      </c>
      <c r="D8511" s="2" t="s">
        <v>29</v>
      </c>
      <c r="E8511" s="5">
        <v>-28341</v>
      </c>
      <c r="F8511" s="3" t="s">
        <v>284</v>
      </c>
      <c r="G8511" s="3" t="s">
        <v>19</v>
      </c>
      <c r="H8511" s="2" t="s">
        <v>20</v>
      </c>
      <c r="I8511" s="2" t="s">
        <v>16567</v>
      </c>
      <c r="J8511" s="3" t="str">
        <f>HYPERLINK("https://www.boe.es/gazeta/dias/1822/05/27/pdfs/GMD-1822-152.pdf#page=5","Abrir facsímil")</f>
        <v>Abrir facsímil</v>
      </c>
      <c r="K8511" s="3" t="s">
        <v>22</v>
      </c>
    </row>
    <row r="8512" spans="1:11" ht="42" customHeight="1">
      <c r="A8512" s="2" t="s">
        <v>16568</v>
      </c>
      <c r="B8512" s="2" t="s">
        <v>16569</v>
      </c>
      <c r="C8512" s="2" t="s">
        <v>362</v>
      </c>
      <c r="D8512" s="2" t="s">
        <v>17</v>
      </c>
      <c r="E8512" s="5">
        <v>-28330</v>
      </c>
      <c r="F8512" s="3" t="s">
        <v>896</v>
      </c>
      <c r="G8512" s="3" t="s">
        <v>57</v>
      </c>
      <c r="H8512" s="2" t="s">
        <v>20</v>
      </c>
      <c r="I8512" s="2" t="s">
        <v>16570</v>
      </c>
      <c r="J8512" s="3" t="str">
        <f>HYPERLINK("https://www.boe.es/gazeta/dias/1822/06/07/pdfs/GMD-1822-164.pdf#page=4","Abrir facsímil")</f>
        <v>Abrir facsímil</v>
      </c>
      <c r="K8512" s="3" t="s">
        <v>22</v>
      </c>
    </row>
    <row r="8513" spans="1:11" ht="42" customHeight="1">
      <c r="A8513" s="2" t="s">
        <v>16571</v>
      </c>
      <c r="B8513" s="2" t="s">
        <v>16571</v>
      </c>
      <c r="C8513" s="2" t="s">
        <v>50</v>
      </c>
      <c r="D8513" s="2" t="s">
        <v>51</v>
      </c>
      <c r="E8513" s="5">
        <v>-28301</v>
      </c>
      <c r="F8513" s="3" t="s">
        <v>2348</v>
      </c>
      <c r="G8513" s="3" t="s">
        <v>35</v>
      </c>
      <c r="H8513" s="2" t="s">
        <v>20</v>
      </c>
      <c r="I8513" s="2" t="s">
        <v>16572</v>
      </c>
      <c r="J8513" s="3" t="str">
        <f>HYPERLINK("https://www.boe.es/gazeta/dias/1822/07/06/pdfs/GMD-1822-195.pdf#page=2","Abrir facsímil")</f>
        <v>Abrir facsímil</v>
      </c>
      <c r="K8513" s="3" t="s">
        <v>22</v>
      </c>
    </row>
    <row r="8514" spans="1:11" ht="42" customHeight="1">
      <c r="A8514" s="2" t="s">
        <v>16573</v>
      </c>
      <c r="B8514" s="2" t="s">
        <v>16573</v>
      </c>
      <c r="C8514" s="2" t="s">
        <v>50</v>
      </c>
      <c r="D8514" s="2" t="s">
        <v>51</v>
      </c>
      <c r="E8514" s="5">
        <v>-28377</v>
      </c>
      <c r="F8514" s="3" t="s">
        <v>498</v>
      </c>
      <c r="G8514" s="3" t="s">
        <v>57</v>
      </c>
      <c r="H8514" s="2" t="s">
        <v>20</v>
      </c>
      <c r="I8514" s="2" t="s">
        <v>16574</v>
      </c>
      <c r="J8514" s="3" t="str">
        <f>HYPERLINK("https://www.boe.es/gazeta/dias/1822/04/21/pdfs/GMD-1822-113.pdf#page=4","Abrir facsímil")</f>
        <v>Abrir facsímil</v>
      </c>
      <c r="K8514" s="3" t="s">
        <v>22</v>
      </c>
    </row>
    <row r="8515" spans="1:11" ht="42" customHeight="1">
      <c r="A8515" s="2" t="s">
        <v>16575</v>
      </c>
      <c r="B8515" s="2" t="s">
        <v>16575</v>
      </c>
      <c r="C8515" s="2" t="s">
        <v>50</v>
      </c>
      <c r="D8515" s="2" t="s">
        <v>51</v>
      </c>
      <c r="E8515" s="5">
        <v>-28299</v>
      </c>
      <c r="F8515" s="3" t="s">
        <v>423</v>
      </c>
      <c r="G8515" s="3" t="s">
        <v>35</v>
      </c>
      <c r="H8515" s="2" t="s">
        <v>20</v>
      </c>
      <c r="I8515" s="2" t="s">
        <v>16576</v>
      </c>
      <c r="J8515" s="3" t="str">
        <f>HYPERLINK("https://www.boe.es/gazeta/dias/1822/07/08/pdfs/GMD-1822-197.pdf#page=2","Abrir facsímil")</f>
        <v>Abrir facsímil</v>
      </c>
      <c r="K8515" s="3" t="s">
        <v>22</v>
      </c>
    </row>
    <row r="8516" spans="1:11" ht="42" customHeight="1">
      <c r="A8516" s="2" t="s">
        <v>16577</v>
      </c>
      <c r="B8516" s="2" t="s">
        <v>16578</v>
      </c>
      <c r="C8516" s="2" t="s">
        <v>28</v>
      </c>
      <c r="D8516" s="2" t="s">
        <v>29</v>
      </c>
      <c r="E8516" s="5">
        <v>-28423</v>
      </c>
      <c r="F8516" s="3" t="s">
        <v>441</v>
      </c>
      <c r="G8516" s="3" t="s">
        <v>35</v>
      </c>
      <c r="H8516" s="2" t="s">
        <v>20</v>
      </c>
      <c r="I8516" s="2" t="s">
        <v>16579</v>
      </c>
      <c r="J8516" s="3" t="str">
        <f>HYPERLINK("https://www.boe.es/gazeta/dias/1822/03/06/pdfs/GMD-1822-67.pdf#page=2","Abrir facsímil")</f>
        <v>Abrir facsímil</v>
      </c>
      <c r="K8516" s="3" t="s">
        <v>22</v>
      </c>
    </row>
    <row r="8517" spans="1:11" ht="42" customHeight="1">
      <c r="A8517" s="2" t="s">
        <v>16580</v>
      </c>
      <c r="B8517" s="2" t="s">
        <v>16580</v>
      </c>
      <c r="C8517" s="2" t="s">
        <v>28</v>
      </c>
      <c r="D8517" s="2" t="s">
        <v>29</v>
      </c>
      <c r="E8517" s="5">
        <v>-28166</v>
      </c>
      <c r="F8517" s="3" t="s">
        <v>942</v>
      </c>
      <c r="G8517" s="3" t="s">
        <v>31</v>
      </c>
      <c r="H8517" s="2" t="s">
        <v>20</v>
      </c>
      <c r="I8517" s="2" t="s">
        <v>16581</v>
      </c>
      <c r="J8517" s="3" t="str">
        <f>HYPERLINK("https://www.boe.es/gazeta/dias/1822/11/18/pdfs/GMD-1822-338.pdf#page=3","Abrir facsímil")</f>
        <v>Abrir facsímil</v>
      </c>
      <c r="K8517" s="3" t="s">
        <v>22</v>
      </c>
    </row>
    <row r="8518" spans="1:11" ht="42" customHeight="1">
      <c r="A8518" s="2" t="s">
        <v>16582</v>
      </c>
      <c r="B8518" s="2" t="s">
        <v>16583</v>
      </c>
      <c r="C8518" s="2" t="s">
        <v>42</v>
      </c>
      <c r="D8518" s="2" t="s">
        <v>17</v>
      </c>
      <c r="E8518" s="5">
        <v>-28210</v>
      </c>
      <c r="F8518" s="3" t="s">
        <v>218</v>
      </c>
      <c r="G8518" s="3" t="s">
        <v>19</v>
      </c>
      <c r="H8518" s="2" t="s">
        <v>20</v>
      </c>
      <c r="I8518" s="2" t="s">
        <v>16584</v>
      </c>
      <c r="J8518" s="3" t="str">
        <f>HYPERLINK("https://www.boe.es/gazeta/dias/1822/10/05/pdfs/GMD-1822-291.pdf#page=5","Abrir facsímil")</f>
        <v>Abrir facsímil</v>
      </c>
      <c r="K8518" s="3" t="s">
        <v>22</v>
      </c>
    </row>
    <row r="8519" spans="1:11" ht="42" customHeight="1">
      <c r="A8519" s="2" t="s">
        <v>16585</v>
      </c>
      <c r="B8519" s="2" t="s">
        <v>16586</v>
      </c>
      <c r="C8519" s="2" t="s">
        <v>16</v>
      </c>
      <c r="D8519" s="2" t="s">
        <v>17</v>
      </c>
      <c r="E8519" s="5">
        <v>-28193</v>
      </c>
      <c r="F8519" s="3" t="s">
        <v>574</v>
      </c>
      <c r="G8519" s="3" t="s">
        <v>63</v>
      </c>
      <c r="H8519" s="2" t="s">
        <v>20</v>
      </c>
      <c r="I8519" s="2" t="s">
        <v>16587</v>
      </c>
      <c r="J8519" s="3" t="str">
        <f>HYPERLINK("https://www.boe.es/gazeta/dias/1822/10/22/pdfs/GMD-1822-309.pdf#page=6","Abrir facsímil")</f>
        <v>Abrir facsímil</v>
      </c>
      <c r="K8519" s="3" t="s">
        <v>22</v>
      </c>
    </row>
    <row r="8520" spans="1:11" ht="42" customHeight="1">
      <c r="A8520" s="2" t="s">
        <v>16588</v>
      </c>
      <c r="B8520" s="2" t="s">
        <v>16589</v>
      </c>
      <c r="C8520" s="2" t="s">
        <v>42</v>
      </c>
      <c r="D8520" s="2" t="s">
        <v>17</v>
      </c>
      <c r="E8520" s="5">
        <v>-28303</v>
      </c>
      <c r="F8520" s="3" t="s">
        <v>201</v>
      </c>
      <c r="G8520" s="3" t="s">
        <v>57</v>
      </c>
      <c r="H8520" s="2" t="s">
        <v>20</v>
      </c>
      <c r="I8520" s="2" t="s">
        <v>16590</v>
      </c>
      <c r="J8520" s="3" t="str">
        <f>HYPERLINK("https://www.boe.es/gazeta/dias/1822/07/04/pdfs/GMD-1822-193.pdf#page=4","Abrir facsímil")</f>
        <v>Abrir facsímil</v>
      </c>
      <c r="K8520" s="3" t="s">
        <v>22</v>
      </c>
    </row>
    <row r="8521" spans="1:11" ht="42" customHeight="1">
      <c r="A8521" s="2" t="s">
        <v>16591</v>
      </c>
      <c r="B8521" s="2" t="s">
        <v>16591</v>
      </c>
      <c r="C8521" s="2" t="s">
        <v>71</v>
      </c>
      <c r="D8521" s="2" t="s">
        <v>723</v>
      </c>
      <c r="E8521" s="5">
        <v>-28290</v>
      </c>
      <c r="F8521" s="3" t="s">
        <v>16355</v>
      </c>
      <c r="G8521" s="3" t="s">
        <v>44</v>
      </c>
      <c r="H8521" s="2" t="s">
        <v>20</v>
      </c>
      <c r="I8521" s="2" t="s">
        <v>16592</v>
      </c>
      <c r="J8521" s="3" t="str">
        <f>HYPERLINK("https://www.boe.es/gazeta/dias/1822/07/17/pdfs/GMD-1822-208E.pdf#page=1","Abrir facsímil")</f>
        <v>Abrir facsímil</v>
      </c>
      <c r="K8521" s="3" t="s">
        <v>22</v>
      </c>
    </row>
    <row r="8522" spans="1:11" ht="42" customHeight="1">
      <c r="A8522" s="2" t="s">
        <v>16593</v>
      </c>
      <c r="B8522" s="2" t="s">
        <v>16593</v>
      </c>
      <c r="C8522" s="2" t="s">
        <v>61</v>
      </c>
      <c r="D8522" s="2" t="s">
        <v>17</v>
      </c>
      <c r="E8522" s="5">
        <v>-28158</v>
      </c>
      <c r="F8522" s="3" t="s">
        <v>590</v>
      </c>
      <c r="G8522" s="3" t="s">
        <v>19</v>
      </c>
      <c r="H8522" s="2" t="s">
        <v>20</v>
      </c>
      <c r="I8522" s="2" t="s">
        <v>16594</v>
      </c>
      <c r="J8522" s="3" t="str">
        <f>HYPERLINK("https://www.boe.es/gazeta/dias/1822/11/26/pdfs/GMD-1822-346.pdf#page=5","Abrir facsímil")</f>
        <v>Abrir facsímil</v>
      </c>
      <c r="K8522" s="3" t="s">
        <v>22</v>
      </c>
    </row>
    <row r="8523" spans="1:11" ht="42" customHeight="1">
      <c r="A8523" s="2" t="s">
        <v>16595</v>
      </c>
      <c r="B8523" s="2" t="s">
        <v>16595</v>
      </c>
      <c r="C8523" s="2" t="s">
        <v>42</v>
      </c>
      <c r="D8523" s="2" t="s">
        <v>17</v>
      </c>
      <c r="E8523" s="5">
        <v>-28385</v>
      </c>
      <c r="F8523" s="3" t="s">
        <v>484</v>
      </c>
      <c r="G8523" s="3" t="s">
        <v>63</v>
      </c>
      <c r="H8523" s="2" t="s">
        <v>20</v>
      </c>
      <c r="I8523" s="2" t="s">
        <v>16596</v>
      </c>
      <c r="J8523" s="3" t="str">
        <f>HYPERLINK("https://www.boe.es/gazeta/dias/1822/04/13/pdfs/GMD-1822-105.pdf#page=6","Abrir facsímil")</f>
        <v>Abrir facsímil</v>
      </c>
      <c r="K8523" s="3" t="s">
        <v>22</v>
      </c>
    </row>
    <row r="8524" spans="1:11" ht="42" customHeight="1">
      <c r="A8524" s="2" t="s">
        <v>16595</v>
      </c>
      <c r="B8524" s="2" t="s">
        <v>16595</v>
      </c>
      <c r="C8524" s="2" t="s">
        <v>50</v>
      </c>
      <c r="D8524" s="2" t="s">
        <v>51</v>
      </c>
      <c r="E8524" s="5">
        <v>-28352</v>
      </c>
      <c r="F8524" s="3" t="s">
        <v>1575</v>
      </c>
      <c r="G8524" s="3" t="s">
        <v>63</v>
      </c>
      <c r="H8524" s="2" t="s">
        <v>20</v>
      </c>
      <c r="I8524" s="2" t="s">
        <v>16597</v>
      </c>
      <c r="J8524" s="3" t="str">
        <f>HYPERLINK("https://www.boe.es/gazeta/dias/1822/05/16/pdfs/GMD-1822-138.pdf#page=6","Abrir facsímil")</f>
        <v>Abrir facsímil</v>
      </c>
      <c r="K8524" s="3" t="s">
        <v>22</v>
      </c>
    </row>
    <row r="8525" spans="1:11" ht="42" customHeight="1">
      <c r="A8525" s="2" t="s">
        <v>16598</v>
      </c>
      <c r="B8525" s="2" t="s">
        <v>16598</v>
      </c>
      <c r="C8525" s="2" t="s">
        <v>16</v>
      </c>
      <c r="D8525" s="2" t="s">
        <v>17</v>
      </c>
      <c r="E8525" s="5">
        <v>-28166</v>
      </c>
      <c r="F8525" s="3" t="s">
        <v>942</v>
      </c>
      <c r="G8525" s="3" t="s">
        <v>19</v>
      </c>
      <c r="H8525" s="2" t="s">
        <v>20</v>
      </c>
      <c r="I8525" s="2" t="s">
        <v>16599</v>
      </c>
      <c r="J8525" s="3" t="str">
        <f>HYPERLINK("https://www.boe.es/gazeta/dias/1822/11/18/pdfs/GMD-1822-338.pdf#page=5","Abrir facsímil")</f>
        <v>Abrir facsímil</v>
      </c>
      <c r="K8525" s="3" t="s">
        <v>22</v>
      </c>
    </row>
    <row r="8526" spans="1:11" ht="42" customHeight="1">
      <c r="A8526" s="2" t="s">
        <v>16600</v>
      </c>
      <c r="B8526" s="2" t="s">
        <v>16600</v>
      </c>
      <c r="C8526" s="2" t="s">
        <v>28</v>
      </c>
      <c r="D8526" s="2" t="s">
        <v>29</v>
      </c>
      <c r="E8526" s="5">
        <v>-28317</v>
      </c>
      <c r="F8526" s="3" t="s">
        <v>546</v>
      </c>
      <c r="G8526" s="3" t="s">
        <v>167</v>
      </c>
      <c r="H8526" s="2" t="s">
        <v>20</v>
      </c>
      <c r="I8526" s="2" t="s">
        <v>16601</v>
      </c>
      <c r="J8526" s="3" t="str">
        <f>HYPERLINK("https://www.boe.es/gazeta/dias/1822/06/20/pdfs/GMD-1822-177.pdf#page=7","Abrir facsímil")</f>
        <v>Abrir facsímil</v>
      </c>
      <c r="K8526" s="3" t="s">
        <v>22</v>
      </c>
    </row>
    <row r="8527" spans="1:11" ht="42" customHeight="1">
      <c r="A8527" s="2" t="s">
        <v>16602</v>
      </c>
      <c r="B8527" s="2" t="s">
        <v>16603</v>
      </c>
      <c r="C8527" s="2" t="s">
        <v>24</v>
      </c>
      <c r="D8527" s="2" t="s">
        <v>17</v>
      </c>
      <c r="E8527" s="5">
        <v>-28321</v>
      </c>
      <c r="F8527" s="3" t="s">
        <v>1142</v>
      </c>
      <c r="G8527" s="3" t="s">
        <v>63</v>
      </c>
      <c r="H8527" s="2" t="s">
        <v>20</v>
      </c>
      <c r="I8527" s="2" t="s">
        <v>16604</v>
      </c>
      <c r="J8527" s="3" t="str">
        <f>HYPERLINK("https://www.boe.es/gazeta/dias/1822/06/16/pdfs/GMD-1822-173.pdf#page=6","Abrir facsímil")</f>
        <v>Abrir facsímil</v>
      </c>
      <c r="K8527" s="3" t="s">
        <v>22</v>
      </c>
    </row>
    <row r="8528" spans="1:11" ht="42" customHeight="1">
      <c r="A8528" s="2" t="s">
        <v>16605</v>
      </c>
      <c r="B8528" s="2" t="s">
        <v>16605</v>
      </c>
      <c r="C8528" s="2" t="s">
        <v>24</v>
      </c>
      <c r="D8528" s="2" t="s">
        <v>17</v>
      </c>
      <c r="E8528" s="5">
        <v>-28157</v>
      </c>
      <c r="F8528" s="3" t="s">
        <v>1492</v>
      </c>
      <c r="G8528" s="3" t="s">
        <v>31</v>
      </c>
      <c r="H8528" s="2" t="s">
        <v>20</v>
      </c>
      <c r="I8528" s="2" t="s">
        <v>16606</v>
      </c>
      <c r="J8528" s="3" t="str">
        <f>HYPERLINK("https://www.boe.es/gazeta/dias/1822/11/27/pdfs/GMD-1822-347.pdf#page=3","Abrir facsímil")</f>
        <v>Abrir facsímil</v>
      </c>
      <c r="K8528" s="3" t="s">
        <v>22</v>
      </c>
    </row>
    <row r="8529" spans="1:11" ht="42" customHeight="1">
      <c r="A8529" s="2" t="s">
        <v>16607</v>
      </c>
      <c r="B8529" s="2" t="s">
        <v>16607</v>
      </c>
      <c r="C8529" s="2" t="s">
        <v>28</v>
      </c>
      <c r="D8529" s="2" t="s">
        <v>29</v>
      </c>
      <c r="E8529" s="5">
        <v>-28244</v>
      </c>
      <c r="F8529" s="3" t="s">
        <v>6163</v>
      </c>
      <c r="G8529" s="3" t="s">
        <v>57</v>
      </c>
      <c r="H8529" s="2" t="s">
        <v>20</v>
      </c>
      <c r="I8529" s="2" t="s">
        <v>16608</v>
      </c>
      <c r="J8529" s="3" t="str">
        <f>HYPERLINK("https://www.boe.es/gazeta/dias/1822/09/01/pdfs/GMD-1822-256.pdf#page=4","Abrir facsímil")</f>
        <v>Abrir facsímil</v>
      </c>
      <c r="K8529" s="3" t="s">
        <v>22</v>
      </c>
    </row>
    <row r="8530" spans="1:11" ht="42" customHeight="1">
      <c r="A8530" s="2" t="s">
        <v>16609</v>
      </c>
      <c r="B8530" s="2" t="s">
        <v>16610</v>
      </c>
      <c r="C8530" s="2" t="s">
        <v>50</v>
      </c>
      <c r="D8530" s="2" t="s">
        <v>51</v>
      </c>
      <c r="E8530" s="5">
        <v>-28284</v>
      </c>
      <c r="F8530" s="3" t="s">
        <v>6484</v>
      </c>
      <c r="G8530" s="3" t="s">
        <v>35</v>
      </c>
      <c r="H8530" s="2" t="s">
        <v>20</v>
      </c>
      <c r="I8530" s="2" t="s">
        <v>16611</v>
      </c>
      <c r="J8530" s="3" t="str">
        <f>HYPERLINK("https://www.boe.es/gazeta/dias/1822/07/23/pdfs/GMD-1822-216.pdf#page=2","Abrir facsímil")</f>
        <v>Abrir facsímil</v>
      </c>
      <c r="K8530" s="3" t="s">
        <v>22</v>
      </c>
    </row>
    <row r="8531" spans="1:11" ht="42" customHeight="1">
      <c r="A8531" s="2" t="s">
        <v>16612</v>
      </c>
      <c r="B8531" s="2" t="s">
        <v>16612</v>
      </c>
      <c r="C8531" s="2" t="s">
        <v>50</v>
      </c>
      <c r="D8531" s="2" t="s">
        <v>51</v>
      </c>
      <c r="E8531" s="5">
        <v>-28153</v>
      </c>
      <c r="F8531" s="3" t="s">
        <v>946</v>
      </c>
      <c r="G8531" s="3" t="s">
        <v>63</v>
      </c>
      <c r="H8531" s="2" t="s">
        <v>20</v>
      </c>
      <c r="I8531" s="2" t="s">
        <v>16613</v>
      </c>
      <c r="J8531" s="3" t="str">
        <f>HYPERLINK("https://www.boe.es/gazeta/dias/1822/12/01/pdfs/GMD-1822-351.pdf#page=6","Abrir facsímil")</f>
        <v>Abrir facsímil</v>
      </c>
      <c r="K8531" s="3" t="s">
        <v>22</v>
      </c>
    </row>
    <row r="8532" spans="1:11" ht="42" customHeight="1">
      <c r="A8532" s="2" t="s">
        <v>16614</v>
      </c>
      <c r="B8532" s="2" t="s">
        <v>16615</v>
      </c>
      <c r="C8532" s="2" t="s">
        <v>42</v>
      </c>
      <c r="D8532" s="2" t="s">
        <v>17</v>
      </c>
      <c r="E8532" s="5">
        <v>-28289</v>
      </c>
      <c r="F8532" s="3" t="s">
        <v>390</v>
      </c>
      <c r="G8532" s="3" t="s">
        <v>35</v>
      </c>
      <c r="H8532" s="2" t="s">
        <v>45</v>
      </c>
      <c r="I8532" s="2" t="s">
        <v>16616</v>
      </c>
      <c r="J8532" s="3" t="str">
        <f>HYPERLINK("https://www.boe.es/gazeta/dias/1822/07/18/pdfs/GMD-1822-209.pdf#page=2","Abrir facsímil")</f>
        <v>Abrir facsímil</v>
      </c>
      <c r="K8532" s="3" t="s">
        <v>47</v>
      </c>
    </row>
    <row r="8533" spans="1:11" ht="42" customHeight="1">
      <c r="A8533" s="2" t="s">
        <v>16617</v>
      </c>
      <c r="B8533" s="2" t="s">
        <v>16618</v>
      </c>
      <c r="C8533" s="2" t="s">
        <v>50</v>
      </c>
      <c r="D8533" s="2" t="s">
        <v>51</v>
      </c>
      <c r="E8533" s="5">
        <v>-28409</v>
      </c>
      <c r="F8533" s="3" t="s">
        <v>394</v>
      </c>
      <c r="G8533" s="3" t="s">
        <v>57</v>
      </c>
      <c r="H8533" s="2" t="s">
        <v>20</v>
      </c>
      <c r="I8533" s="2" t="s">
        <v>16619</v>
      </c>
      <c r="J8533" s="3" t="str">
        <f>HYPERLINK("https://www.boe.es/gazeta/dias/1822/03/20/pdfs/GMD-1822-81.pdf#page=4","Abrir facsímil")</f>
        <v>Abrir facsímil</v>
      </c>
      <c r="K8533" s="3" t="s">
        <v>22</v>
      </c>
    </row>
    <row r="8534" spans="1:11" ht="42" customHeight="1">
      <c r="A8534" s="2" t="s">
        <v>16617</v>
      </c>
      <c r="B8534" s="2" t="s">
        <v>16618</v>
      </c>
      <c r="C8534" s="2" t="s">
        <v>50</v>
      </c>
      <c r="D8534" s="2" t="s">
        <v>51</v>
      </c>
      <c r="E8534" s="5">
        <v>-28395</v>
      </c>
      <c r="F8534" s="3" t="s">
        <v>237</v>
      </c>
      <c r="G8534" s="3" t="s">
        <v>31</v>
      </c>
      <c r="H8534" s="2" t="s">
        <v>20</v>
      </c>
      <c r="I8534" s="2" t="s">
        <v>16620</v>
      </c>
      <c r="J8534" s="3" t="str">
        <f>HYPERLINK("https://www.boe.es/gazeta/dias/1822/04/03/pdfs/GMD-1822-95.pdf#page=3","Abrir facsímil")</f>
        <v>Abrir facsímil</v>
      </c>
      <c r="K8534" s="3" t="s">
        <v>22</v>
      </c>
    </row>
    <row r="8535" spans="1:11" ht="42" customHeight="1">
      <c r="A8535" s="2" t="s">
        <v>16621</v>
      </c>
      <c r="B8535" s="2" t="s">
        <v>16622</v>
      </c>
      <c r="C8535" s="2" t="s">
        <v>61</v>
      </c>
      <c r="D8535" s="2" t="s">
        <v>17</v>
      </c>
      <c r="E8535" s="5">
        <v>-28339</v>
      </c>
      <c r="F8535" s="3" t="s">
        <v>197</v>
      </c>
      <c r="G8535" s="3" t="s">
        <v>35</v>
      </c>
      <c r="H8535" s="2" t="s">
        <v>20</v>
      </c>
      <c r="I8535" s="2" t="s">
        <v>16623</v>
      </c>
      <c r="J8535" s="3" t="str">
        <f>HYPERLINK("https://www.boe.es/gazeta/dias/1822/05/29/pdfs/GMD-1822-154.pdf#page=2","Abrir facsímil")</f>
        <v>Abrir facsímil</v>
      </c>
      <c r="K8535" s="3" t="s">
        <v>22</v>
      </c>
    </row>
    <row r="8536" spans="1:11" ht="42" customHeight="1">
      <c r="A8536" s="2" t="s">
        <v>16624</v>
      </c>
      <c r="B8536" s="2" t="s">
        <v>16625</v>
      </c>
      <c r="C8536" s="2" t="s">
        <v>28</v>
      </c>
      <c r="D8536" s="2" t="s">
        <v>29</v>
      </c>
      <c r="E8536" s="5">
        <v>-28130</v>
      </c>
      <c r="F8536" s="3" t="s">
        <v>34</v>
      </c>
      <c r="G8536" s="3" t="s">
        <v>63</v>
      </c>
      <c r="H8536" s="2" t="s">
        <v>20</v>
      </c>
      <c r="I8536" s="2" t="s">
        <v>16626</v>
      </c>
      <c r="J8536" s="3" t="str">
        <f>HYPERLINK("https://www.boe.es/gazeta/dias/1822/12/24/pdfs/GMD-1822-374.pdf#page=6","Abrir facsímil")</f>
        <v>Abrir facsímil</v>
      </c>
      <c r="K8536" s="3" t="s">
        <v>22</v>
      </c>
    </row>
    <row r="8537" spans="1:11" ht="42" customHeight="1">
      <c r="A8537" s="2" t="s">
        <v>16627</v>
      </c>
      <c r="B8537" s="2" t="s">
        <v>16627</v>
      </c>
      <c r="C8537" s="2" t="s">
        <v>42</v>
      </c>
      <c r="D8537" s="2" t="s">
        <v>17</v>
      </c>
      <c r="E8537" s="5">
        <v>-28143</v>
      </c>
      <c r="F8537" s="3" t="s">
        <v>2967</v>
      </c>
      <c r="G8537" s="3" t="s">
        <v>57</v>
      </c>
      <c r="H8537" s="2" t="s">
        <v>20</v>
      </c>
      <c r="I8537" s="2" t="s">
        <v>16628</v>
      </c>
      <c r="J8537" s="3" t="str">
        <f>HYPERLINK("https://www.boe.es/gazeta/dias/1822/12/11/pdfs/GMD-1822-361.pdf#page=4","Abrir facsímil")</f>
        <v>Abrir facsímil</v>
      </c>
      <c r="K8537" s="3" t="s">
        <v>22</v>
      </c>
    </row>
    <row r="8538" spans="1:11" ht="42" customHeight="1">
      <c r="A8538" s="2" t="s">
        <v>16629</v>
      </c>
      <c r="B8538" s="2" t="s">
        <v>16630</v>
      </c>
      <c r="C8538" s="2" t="s">
        <v>71</v>
      </c>
      <c r="D8538" s="2" t="s">
        <v>17</v>
      </c>
      <c r="E8538" s="5">
        <v>-28367</v>
      </c>
      <c r="F8538" s="3" t="s">
        <v>280</v>
      </c>
      <c r="G8538" s="3" t="s">
        <v>44</v>
      </c>
      <c r="H8538" s="2" t="s">
        <v>20</v>
      </c>
      <c r="I8538" s="2" t="s">
        <v>16631</v>
      </c>
      <c r="J8538" s="3" t="str">
        <f>HYPERLINK("https://www.boe.es/gazeta/dias/1822/05/01/pdfs/GMD-1822-123.pdf#page=1","Abrir facsímil")</f>
        <v>Abrir facsímil</v>
      </c>
      <c r="K8538" s="3" t="s">
        <v>22</v>
      </c>
    </row>
    <row r="8539" spans="1:11" ht="42" customHeight="1">
      <c r="A8539" s="2" t="s">
        <v>16632</v>
      </c>
      <c r="B8539" s="2" t="s">
        <v>16633</v>
      </c>
      <c r="C8539" s="2" t="s">
        <v>50</v>
      </c>
      <c r="D8539" s="2" t="s">
        <v>51</v>
      </c>
      <c r="E8539" s="5">
        <v>-28211</v>
      </c>
      <c r="F8539" s="3" t="s">
        <v>273</v>
      </c>
      <c r="G8539" s="3" t="s">
        <v>31</v>
      </c>
      <c r="H8539" s="2" t="s">
        <v>20</v>
      </c>
      <c r="I8539" s="2" t="s">
        <v>16634</v>
      </c>
      <c r="J8539" s="3" t="str">
        <f>HYPERLINK("https://www.boe.es/gazeta/dias/1822/10/04/pdfs/GMD-1822-290.pdf#page=3","Abrir facsímil")</f>
        <v>Abrir facsímil</v>
      </c>
      <c r="K8539" s="3" t="s">
        <v>22</v>
      </c>
    </row>
    <row r="8540" spans="1:11" ht="42" customHeight="1">
      <c r="A8540" s="2" t="s">
        <v>16635</v>
      </c>
      <c r="B8540" s="2" t="s">
        <v>16636</v>
      </c>
      <c r="C8540" s="2" t="s">
        <v>16</v>
      </c>
      <c r="D8540" s="2" t="s">
        <v>17</v>
      </c>
      <c r="E8540" s="5">
        <v>-28315</v>
      </c>
      <c r="F8540" s="3" t="s">
        <v>1220</v>
      </c>
      <c r="G8540" s="3" t="s">
        <v>57</v>
      </c>
      <c r="H8540" s="2" t="s">
        <v>20</v>
      </c>
      <c r="I8540" s="2" t="s">
        <v>16637</v>
      </c>
      <c r="J8540" s="3" t="str">
        <f>HYPERLINK("https://www.boe.es/gazeta/dias/1822/06/22/pdfs/GMD-1822-180.pdf#page=4","Abrir facsímil")</f>
        <v>Abrir facsímil</v>
      </c>
      <c r="K8540" s="3" t="s">
        <v>22</v>
      </c>
    </row>
    <row r="8541" spans="1:11" ht="42" customHeight="1">
      <c r="A8541" s="2" t="s">
        <v>16638</v>
      </c>
      <c r="B8541" s="2" t="s">
        <v>16639</v>
      </c>
      <c r="C8541" s="2" t="s">
        <v>71</v>
      </c>
      <c r="D8541" s="2" t="s">
        <v>17</v>
      </c>
      <c r="E8541" s="5">
        <v>-28159</v>
      </c>
      <c r="F8541" s="3" t="s">
        <v>67</v>
      </c>
      <c r="G8541" s="3" t="s">
        <v>31</v>
      </c>
      <c r="H8541" s="2" t="s">
        <v>20</v>
      </c>
      <c r="I8541" s="2" t="s">
        <v>16640</v>
      </c>
      <c r="J8541" s="3" t="str">
        <f>HYPERLINK("https://www.boe.es/gazeta/dias/1822/11/25/pdfs/GMD-1822-345.pdf#page=3","Abrir facsímil")</f>
        <v>Abrir facsímil</v>
      </c>
      <c r="K8541" s="3" t="s">
        <v>22</v>
      </c>
    </row>
    <row r="8542" spans="1:11" ht="42" customHeight="1">
      <c r="A8542" s="2" t="s">
        <v>16641</v>
      </c>
      <c r="B8542" s="2" t="s">
        <v>16641</v>
      </c>
      <c r="C8542" s="2" t="s">
        <v>42</v>
      </c>
      <c r="D8542" s="2" t="s">
        <v>17</v>
      </c>
      <c r="E8542" s="5">
        <v>-28324</v>
      </c>
      <c r="F8542" s="3" t="s">
        <v>305</v>
      </c>
      <c r="G8542" s="3" t="s">
        <v>63</v>
      </c>
      <c r="H8542" s="2" t="s">
        <v>20</v>
      </c>
      <c r="I8542" s="2" t="s">
        <v>16642</v>
      </c>
      <c r="J8542" s="3" t="str">
        <f>HYPERLINK("https://www.boe.es/gazeta/dias/1822/06/13/pdfs/GMD-1822-170.pdf#page=6","Abrir facsímil")</f>
        <v>Abrir facsímil</v>
      </c>
      <c r="K8542" s="3" t="s">
        <v>22</v>
      </c>
    </row>
    <row r="8543" spans="1:11" ht="42" customHeight="1">
      <c r="A8543" s="2" t="s">
        <v>16643</v>
      </c>
      <c r="B8543" s="2" t="s">
        <v>16643</v>
      </c>
      <c r="C8543" s="2" t="s">
        <v>28</v>
      </c>
      <c r="D8543" s="2" t="s">
        <v>29</v>
      </c>
      <c r="E8543" s="5">
        <v>-28323</v>
      </c>
      <c r="F8543" s="3" t="s">
        <v>116</v>
      </c>
      <c r="G8543" s="3" t="s">
        <v>35</v>
      </c>
      <c r="H8543" s="2" t="s">
        <v>20</v>
      </c>
      <c r="I8543" s="2" t="s">
        <v>16644</v>
      </c>
      <c r="J8543" s="3" t="str">
        <f>HYPERLINK("https://www.boe.es/gazeta/dias/1822/06/14/pdfs/GMD-1822-171.pdf#page=2","Abrir facsímil")</f>
        <v>Abrir facsímil</v>
      </c>
      <c r="K8543" s="3" t="s">
        <v>22</v>
      </c>
    </row>
    <row r="8544" spans="1:11" ht="42" customHeight="1">
      <c r="A8544" s="2" t="s">
        <v>16645</v>
      </c>
      <c r="B8544" s="2" t="s">
        <v>16646</v>
      </c>
      <c r="C8544" s="2" t="s">
        <v>42</v>
      </c>
      <c r="D8544" s="2" t="s">
        <v>17</v>
      </c>
      <c r="E8544" s="5">
        <v>-28435</v>
      </c>
      <c r="F8544" s="3" t="s">
        <v>1710</v>
      </c>
      <c r="G8544" s="3" t="s">
        <v>35</v>
      </c>
      <c r="H8544" s="2" t="s">
        <v>45</v>
      </c>
      <c r="I8544" s="2" t="s">
        <v>16647</v>
      </c>
      <c r="J8544" s="3" t="str">
        <f>HYPERLINK("https://www.boe.es/gazeta/dias/1822/02/22/pdfs/GMD-1822-54.pdf#page=2","Abrir facsímil")</f>
        <v>Abrir facsímil</v>
      </c>
      <c r="K8544" s="3" t="s">
        <v>47</v>
      </c>
    </row>
    <row r="8545" spans="1:11" ht="42" customHeight="1">
      <c r="A8545" s="2" t="s">
        <v>16648</v>
      </c>
      <c r="B8545" s="2" t="s">
        <v>16649</v>
      </c>
      <c r="C8545" s="2" t="s">
        <v>50</v>
      </c>
      <c r="D8545" s="2" t="s">
        <v>51</v>
      </c>
      <c r="E8545" s="5">
        <v>-28265</v>
      </c>
      <c r="F8545" s="3" t="s">
        <v>1263</v>
      </c>
      <c r="G8545" s="3" t="s">
        <v>57</v>
      </c>
      <c r="H8545" s="2" t="s">
        <v>20</v>
      </c>
      <c r="I8545" s="2" t="s">
        <v>16650</v>
      </c>
      <c r="J8545" s="3" t="str">
        <f>HYPERLINK("https://www.boe.es/gazeta/dias/1822/08/11/pdfs/GMD-1822-235.pdf#page=4","Abrir facsímil")</f>
        <v>Abrir facsímil</v>
      </c>
      <c r="K8545" s="3" t="s">
        <v>22</v>
      </c>
    </row>
    <row r="8546" spans="1:11" ht="42" customHeight="1">
      <c r="A8546" s="2" t="s">
        <v>16651</v>
      </c>
      <c r="B8546" s="2" t="s">
        <v>16652</v>
      </c>
      <c r="C8546" s="2" t="s">
        <v>50</v>
      </c>
      <c r="D8546" s="2" t="s">
        <v>51</v>
      </c>
      <c r="E8546" s="5">
        <v>-28194</v>
      </c>
      <c r="F8546" s="3" t="s">
        <v>18</v>
      </c>
      <c r="G8546" s="3" t="s">
        <v>63</v>
      </c>
      <c r="H8546" s="2" t="s">
        <v>20</v>
      </c>
      <c r="I8546" s="2" t="s">
        <v>16653</v>
      </c>
      <c r="J8546" s="3" t="str">
        <f>HYPERLINK("https://www.boe.es/gazeta/dias/1822/10/21/pdfs/GMD-1822-308.pdf#page=6","Abrir facsímil")</f>
        <v>Abrir facsímil</v>
      </c>
      <c r="K8546" s="3" t="s">
        <v>22</v>
      </c>
    </row>
    <row r="8547" spans="1:11" ht="42" customHeight="1">
      <c r="A8547" s="2" t="s">
        <v>16654</v>
      </c>
      <c r="B8547" s="2" t="s">
        <v>16655</v>
      </c>
      <c r="C8547" s="2" t="s">
        <v>50</v>
      </c>
      <c r="D8547" s="2" t="s">
        <v>51</v>
      </c>
      <c r="E8547" s="5">
        <v>-28147</v>
      </c>
      <c r="F8547" s="3" t="s">
        <v>1611</v>
      </c>
      <c r="G8547" s="3" t="s">
        <v>63</v>
      </c>
      <c r="H8547" s="2" t="s">
        <v>20</v>
      </c>
      <c r="I8547" s="2" t="s">
        <v>16656</v>
      </c>
      <c r="J8547" s="3" t="str">
        <f>HYPERLINK("https://www.boe.es/gazeta/dias/1822/12/07/pdfs/GMD-1822-357.pdf#page=6","Abrir facsímil")</f>
        <v>Abrir facsímil</v>
      </c>
      <c r="K8547" s="3" t="s">
        <v>22</v>
      </c>
    </row>
    <row r="8548" spans="1:11" ht="42" customHeight="1">
      <c r="A8548" s="2" t="s">
        <v>16657</v>
      </c>
      <c r="B8548" s="2" t="s">
        <v>16658</v>
      </c>
      <c r="C8548" s="2" t="s">
        <v>61</v>
      </c>
      <c r="D8548" s="2" t="s">
        <v>17</v>
      </c>
      <c r="E8548" s="5">
        <v>-28348</v>
      </c>
      <c r="F8548" s="3" t="s">
        <v>2903</v>
      </c>
      <c r="G8548" s="3" t="s">
        <v>57</v>
      </c>
      <c r="H8548" s="2" t="s">
        <v>20</v>
      </c>
      <c r="I8548" s="2" t="s">
        <v>16659</v>
      </c>
      <c r="J8548" s="3" t="str">
        <f>HYPERLINK("https://www.boe.es/gazeta/dias/1822/05/20/pdfs/GMD-1822-143.pdf#page=4","Abrir facsímil")</f>
        <v>Abrir facsímil</v>
      </c>
      <c r="K8548" s="3" t="s">
        <v>22</v>
      </c>
    </row>
    <row r="8549" spans="1:11" ht="42" customHeight="1">
      <c r="A8549" s="2" t="s">
        <v>16660</v>
      </c>
      <c r="B8549" s="2" t="s">
        <v>16661</v>
      </c>
      <c r="C8549" s="2" t="s">
        <v>16</v>
      </c>
      <c r="D8549" s="2" t="s">
        <v>17</v>
      </c>
      <c r="E8549" s="5">
        <v>-28217</v>
      </c>
      <c r="F8549" s="3" t="s">
        <v>1892</v>
      </c>
      <c r="G8549" s="3" t="s">
        <v>57</v>
      </c>
      <c r="H8549" s="2" t="s">
        <v>20</v>
      </c>
      <c r="I8549" s="2" t="s">
        <v>16662</v>
      </c>
      <c r="J8549" s="3" t="str">
        <f>HYPERLINK("https://www.boe.es/gazeta/dias/1822/09/28/pdfs/GMD-1822-284.pdf#page=4","Abrir facsímil")</f>
        <v>Abrir facsímil</v>
      </c>
      <c r="K8549" s="3" t="s">
        <v>22</v>
      </c>
    </row>
    <row r="8550" spans="1:11" ht="42" customHeight="1">
      <c r="A8550" s="2" t="s">
        <v>16663</v>
      </c>
      <c r="B8550" s="2" t="s">
        <v>16664</v>
      </c>
      <c r="C8550" s="2" t="s">
        <v>50</v>
      </c>
      <c r="D8550" s="2" t="s">
        <v>51</v>
      </c>
      <c r="E8550" s="5">
        <v>-28240</v>
      </c>
      <c r="F8550" s="3" t="s">
        <v>678</v>
      </c>
      <c r="G8550" s="3" t="s">
        <v>57</v>
      </c>
      <c r="H8550" s="2" t="s">
        <v>45</v>
      </c>
      <c r="I8550" s="2" t="s">
        <v>16665</v>
      </c>
      <c r="J8550" s="3" t="str">
        <f>HYPERLINK("https://www.boe.es/gazeta/dias/1822/09/05/pdfs/GMD-1822-260.pdf#page=4","Abrir facsímil")</f>
        <v>Abrir facsímil</v>
      </c>
      <c r="K8550" s="3" t="s">
        <v>47</v>
      </c>
    </row>
    <row r="8551" spans="1:11" ht="42" customHeight="1">
      <c r="A8551" s="2" t="s">
        <v>16663</v>
      </c>
      <c r="B8551" s="2" t="s">
        <v>16664</v>
      </c>
      <c r="C8551" s="2" t="s">
        <v>50</v>
      </c>
      <c r="D8551" s="2" t="s">
        <v>51</v>
      </c>
      <c r="E8551" s="5">
        <v>-28189</v>
      </c>
      <c r="F8551" s="3" t="s">
        <v>645</v>
      </c>
      <c r="G8551" s="3" t="s">
        <v>63</v>
      </c>
      <c r="H8551" s="2" t="s">
        <v>45</v>
      </c>
      <c r="I8551" s="2" t="s">
        <v>16666</v>
      </c>
      <c r="J8551" s="3" t="str">
        <f>HYPERLINK("https://www.boe.es/gazeta/dias/1822/10/26/pdfs/GMD-1822-313.pdf#page=6","Abrir facsímil")</f>
        <v>Abrir facsímil</v>
      </c>
      <c r="K8551" s="3" t="s">
        <v>47</v>
      </c>
    </row>
    <row r="8552" spans="1:11" ht="42" customHeight="1">
      <c r="A8552" s="2" t="s">
        <v>16667</v>
      </c>
      <c r="B8552" s="2" t="s">
        <v>16668</v>
      </c>
      <c r="C8552" s="2" t="s">
        <v>50</v>
      </c>
      <c r="D8552" s="2" t="s">
        <v>51</v>
      </c>
      <c r="E8552" s="5">
        <v>-28158</v>
      </c>
      <c r="F8552" s="3" t="s">
        <v>590</v>
      </c>
      <c r="G8552" s="3" t="s">
        <v>63</v>
      </c>
      <c r="H8552" s="2" t="s">
        <v>20</v>
      </c>
      <c r="I8552" s="2" t="s">
        <v>16669</v>
      </c>
      <c r="J8552" s="3" t="str">
        <f>HYPERLINK("https://www.boe.es/gazeta/dias/1822/11/26/pdfs/GMD-1822-346.pdf#page=6","Abrir facsímil")</f>
        <v>Abrir facsímil</v>
      </c>
      <c r="K8552" s="3" t="s">
        <v>22</v>
      </c>
    </row>
    <row r="8553" spans="1:11" ht="42" customHeight="1">
      <c r="A8553" s="2" t="s">
        <v>16670</v>
      </c>
      <c r="B8553" s="2" t="s">
        <v>16671</v>
      </c>
      <c r="C8553" s="2" t="s">
        <v>28</v>
      </c>
      <c r="D8553" s="2" t="s">
        <v>29</v>
      </c>
      <c r="E8553" s="5">
        <v>-28311</v>
      </c>
      <c r="F8553" s="3" t="s">
        <v>736</v>
      </c>
      <c r="G8553" s="3" t="s">
        <v>157</v>
      </c>
      <c r="H8553" s="2" t="s">
        <v>20</v>
      </c>
      <c r="I8553" s="2" t="s">
        <v>16672</v>
      </c>
      <c r="J8553" s="3" t="str">
        <f>HYPERLINK("https://www.boe.es/gazeta/dias/1822/06/26/pdfs/GMD-1822-184.pdf#page=8","Abrir facsímil")</f>
        <v>Abrir facsímil</v>
      </c>
      <c r="K8553" s="3" t="s">
        <v>22</v>
      </c>
    </row>
    <row r="8554" spans="1:11" ht="42" customHeight="1">
      <c r="A8554" s="2" t="s">
        <v>16673</v>
      </c>
      <c r="B8554" s="2" t="s">
        <v>16674</v>
      </c>
      <c r="C8554" s="2" t="s">
        <v>28</v>
      </c>
      <c r="D8554" s="2" t="s">
        <v>29</v>
      </c>
      <c r="E8554" s="5">
        <v>-28144</v>
      </c>
      <c r="F8554" s="3" t="s">
        <v>288</v>
      </c>
      <c r="G8554" s="3" t="s">
        <v>63</v>
      </c>
      <c r="H8554" s="2" t="s">
        <v>20</v>
      </c>
      <c r="I8554" s="2" t="s">
        <v>16675</v>
      </c>
      <c r="J8554" s="3" t="str">
        <f>HYPERLINK("https://www.boe.es/gazeta/dias/1822/12/10/pdfs/GMD-1822-360.pdf#page=6","Abrir facsímil")</f>
        <v>Abrir facsímil</v>
      </c>
      <c r="K8554" s="3" t="s">
        <v>22</v>
      </c>
    </row>
    <row r="8555" spans="1:11" ht="42" customHeight="1">
      <c r="A8555" s="2" t="s">
        <v>16676</v>
      </c>
      <c r="B8555" s="2" t="s">
        <v>16676</v>
      </c>
      <c r="C8555" s="2" t="s">
        <v>42</v>
      </c>
      <c r="D8555" s="2" t="s">
        <v>17</v>
      </c>
      <c r="E8555" s="5">
        <v>-28421</v>
      </c>
      <c r="F8555" s="3" t="s">
        <v>446</v>
      </c>
      <c r="G8555" s="3" t="s">
        <v>31</v>
      </c>
      <c r="H8555" s="2" t="s">
        <v>20</v>
      </c>
      <c r="I8555" s="2" t="s">
        <v>16677</v>
      </c>
      <c r="J8555" s="3" t="str">
        <f>HYPERLINK("https://www.boe.es/gazeta/dias/1822/03/08/pdfs/GMD-1822-69.pdf#page=3","Abrir facsímil")</f>
        <v>Abrir facsímil</v>
      </c>
      <c r="K8555" s="3" t="s">
        <v>22</v>
      </c>
    </row>
    <row r="8556" spans="1:11" ht="42" customHeight="1">
      <c r="A8556" s="2" t="s">
        <v>16676</v>
      </c>
      <c r="B8556" s="2" t="s">
        <v>16676</v>
      </c>
      <c r="C8556" s="2" t="s">
        <v>71</v>
      </c>
      <c r="D8556" s="2" t="s">
        <v>17</v>
      </c>
      <c r="E8556" s="5">
        <v>-28365</v>
      </c>
      <c r="F8556" s="3" t="s">
        <v>506</v>
      </c>
      <c r="G8556" s="3" t="s">
        <v>57</v>
      </c>
      <c r="H8556" s="2" t="s">
        <v>20</v>
      </c>
      <c r="I8556" s="2" t="s">
        <v>16678</v>
      </c>
      <c r="J8556" s="3" t="str">
        <f>HYPERLINK("https://www.boe.es/gazeta/dias/1822/05/03/pdfs/GMD-1822-125.pdf#page=4","Abrir facsímil")</f>
        <v>Abrir facsímil</v>
      </c>
      <c r="K8556" s="3" t="s">
        <v>22</v>
      </c>
    </row>
    <row r="8557" spans="1:11" ht="42" customHeight="1">
      <c r="A8557" s="2" t="s">
        <v>16676</v>
      </c>
      <c r="B8557" s="2" t="s">
        <v>16676</v>
      </c>
      <c r="C8557" s="2" t="s">
        <v>42</v>
      </c>
      <c r="D8557" s="2" t="s">
        <v>17</v>
      </c>
      <c r="E8557" s="5">
        <v>-28352</v>
      </c>
      <c r="F8557" s="3" t="s">
        <v>1575</v>
      </c>
      <c r="G8557" s="3" t="s">
        <v>63</v>
      </c>
      <c r="H8557" s="2" t="s">
        <v>20</v>
      </c>
      <c r="I8557" s="2" t="s">
        <v>16679</v>
      </c>
      <c r="J8557" s="3" t="str">
        <f>HYPERLINK("https://www.boe.es/gazeta/dias/1822/05/16/pdfs/GMD-1822-138.pdf#page=6","Abrir facsímil")</f>
        <v>Abrir facsímil</v>
      </c>
      <c r="K8557" s="3" t="s">
        <v>22</v>
      </c>
    </row>
    <row r="8558" spans="1:11" ht="42" customHeight="1">
      <c r="A8558" s="2" t="s">
        <v>16676</v>
      </c>
      <c r="B8558" s="2" t="s">
        <v>16676</v>
      </c>
      <c r="C8558" s="2" t="s">
        <v>50</v>
      </c>
      <c r="D8558" s="2" t="s">
        <v>51</v>
      </c>
      <c r="E8558" s="5">
        <v>-28318</v>
      </c>
      <c r="F8558" s="3" t="s">
        <v>397</v>
      </c>
      <c r="G8558" s="3" t="s">
        <v>167</v>
      </c>
      <c r="H8558" s="2" t="s">
        <v>20</v>
      </c>
      <c r="I8558" s="2" t="s">
        <v>16680</v>
      </c>
      <c r="J8558" s="3" t="str">
        <f>HYPERLINK("https://www.boe.es/gazeta/dias/1822/06/19/pdfs/GMD-1822-176.pdf#page=7","Abrir facsímil")</f>
        <v>Abrir facsímil</v>
      </c>
      <c r="K8558" s="3" t="s">
        <v>22</v>
      </c>
    </row>
    <row r="8559" spans="1:11" ht="42" customHeight="1">
      <c r="A8559" s="2" t="s">
        <v>16676</v>
      </c>
      <c r="B8559" s="2" t="s">
        <v>16676</v>
      </c>
      <c r="C8559" s="2" t="s">
        <v>50</v>
      </c>
      <c r="D8559" s="2" t="s">
        <v>51</v>
      </c>
      <c r="E8559" s="5">
        <v>-28314</v>
      </c>
      <c r="F8559" s="3" t="s">
        <v>309</v>
      </c>
      <c r="G8559" s="3" t="s">
        <v>35</v>
      </c>
      <c r="H8559" s="2" t="s">
        <v>20</v>
      </c>
      <c r="I8559" s="2" t="s">
        <v>16681</v>
      </c>
      <c r="J8559" s="3" t="str">
        <f>HYPERLINK("https://www.boe.es/gazeta/dias/1822/06/23/pdfs/GMD-1822-181.pdf#page=2","Abrir facsímil")</f>
        <v>Abrir facsímil</v>
      </c>
      <c r="K8559" s="3" t="s">
        <v>22</v>
      </c>
    </row>
    <row r="8560" spans="1:11" ht="42" customHeight="1">
      <c r="A8560" s="2" t="s">
        <v>16676</v>
      </c>
      <c r="B8560" s="2" t="s">
        <v>16676</v>
      </c>
      <c r="C8560" s="2" t="s">
        <v>24</v>
      </c>
      <c r="D8560" s="2" t="s">
        <v>17</v>
      </c>
      <c r="E8560" s="5">
        <v>-28167</v>
      </c>
      <c r="F8560" s="3" t="s">
        <v>904</v>
      </c>
      <c r="G8560" s="3" t="s">
        <v>57</v>
      </c>
      <c r="H8560" s="2" t="s">
        <v>20</v>
      </c>
      <c r="I8560" s="2" t="s">
        <v>16682</v>
      </c>
      <c r="J8560" s="3" t="str">
        <f>HYPERLINK("https://www.boe.es/gazeta/dias/1822/11/17/pdfs/GMD-1822-337.pdf#page=4","Abrir facsímil")</f>
        <v>Abrir facsímil</v>
      </c>
      <c r="K8560" s="3" t="s">
        <v>22</v>
      </c>
    </row>
    <row r="8561" spans="1:11" ht="42" customHeight="1">
      <c r="A8561" s="2" t="s">
        <v>16676</v>
      </c>
      <c r="B8561" s="2" t="s">
        <v>16676</v>
      </c>
      <c r="C8561" s="2" t="s">
        <v>71</v>
      </c>
      <c r="D8561" s="2" t="s">
        <v>17</v>
      </c>
      <c r="E8561" s="5">
        <v>-28152</v>
      </c>
      <c r="F8561" s="3" t="s">
        <v>122</v>
      </c>
      <c r="G8561" s="3" t="s">
        <v>35</v>
      </c>
      <c r="H8561" s="2" t="s">
        <v>20</v>
      </c>
      <c r="I8561" s="2" t="s">
        <v>16683</v>
      </c>
      <c r="J8561" s="3" t="str">
        <f>HYPERLINK("https://www.boe.es/gazeta/dias/1822/12/02/pdfs/GMD-1822-352.pdf#page=2","Abrir facsímil")</f>
        <v>Abrir facsímil</v>
      </c>
      <c r="K8561" s="3" t="s">
        <v>22</v>
      </c>
    </row>
    <row r="8562" spans="1:11" ht="42" customHeight="1">
      <c r="A8562" s="2" t="s">
        <v>16676</v>
      </c>
      <c r="B8562" s="2" t="s">
        <v>16676</v>
      </c>
      <c r="C8562" s="2" t="s">
        <v>50</v>
      </c>
      <c r="D8562" s="2" t="s">
        <v>51</v>
      </c>
      <c r="E8562" s="5">
        <v>-28140</v>
      </c>
      <c r="F8562" s="3" t="s">
        <v>84</v>
      </c>
      <c r="G8562" s="3" t="s">
        <v>44</v>
      </c>
      <c r="H8562" s="2" t="s">
        <v>20</v>
      </c>
      <c r="I8562" s="2" t="s">
        <v>16684</v>
      </c>
      <c r="J8562" s="3" t="str">
        <f>HYPERLINK("https://www.boe.es/gazeta/dias/1822/12/14/pdfs/GMD-1822-364.pdf#page=1","Abrir facsímil")</f>
        <v>Abrir facsímil</v>
      </c>
      <c r="K8562" s="3" t="s">
        <v>22</v>
      </c>
    </row>
    <row r="8563" spans="1:11" ht="42" customHeight="1">
      <c r="A8563" s="2" t="s">
        <v>16685</v>
      </c>
      <c r="B8563" s="2" t="s">
        <v>16686</v>
      </c>
      <c r="C8563" s="2" t="s">
        <v>28</v>
      </c>
      <c r="D8563" s="2" t="s">
        <v>29</v>
      </c>
      <c r="E8563" s="5">
        <v>-28436</v>
      </c>
      <c r="F8563" s="3" t="s">
        <v>431</v>
      </c>
      <c r="G8563" s="3" t="s">
        <v>1428</v>
      </c>
      <c r="H8563" s="2" t="s">
        <v>20</v>
      </c>
      <c r="I8563" s="2" t="s">
        <v>16687</v>
      </c>
      <c r="J8563" s="3" t="str">
        <f>HYPERLINK("https://www.boe.es/gazeta/dias/1822/02/21/pdfs/GMD-1822-53.pdf#page=3","Abrir facsímil")</f>
        <v>Abrir facsímil</v>
      </c>
      <c r="K8563" s="3" t="s">
        <v>22</v>
      </c>
    </row>
    <row r="8564" spans="1:11" ht="42" customHeight="1">
      <c r="A8564" s="2" t="s">
        <v>16688</v>
      </c>
      <c r="B8564" s="2" t="s">
        <v>16689</v>
      </c>
      <c r="C8564" s="2" t="s">
        <v>42</v>
      </c>
      <c r="D8564" s="2" t="s">
        <v>17</v>
      </c>
      <c r="E8564" s="5">
        <v>-28210</v>
      </c>
      <c r="F8564" s="3" t="s">
        <v>218</v>
      </c>
      <c r="G8564" s="3" t="s">
        <v>31</v>
      </c>
      <c r="H8564" s="2" t="s">
        <v>20</v>
      </c>
      <c r="I8564" s="2" t="s">
        <v>16690</v>
      </c>
      <c r="J8564" s="3" t="str">
        <f>HYPERLINK("https://www.boe.es/gazeta/dias/1822/10/05/pdfs/GMD-1822-291.pdf#page=3","Abrir facsímil")</f>
        <v>Abrir facsímil</v>
      </c>
      <c r="K8564" s="3" t="s">
        <v>22</v>
      </c>
    </row>
    <row r="8565" spans="1:11" ht="42" customHeight="1">
      <c r="A8565" s="2" t="s">
        <v>16691</v>
      </c>
      <c r="B8565" s="2" t="s">
        <v>16692</v>
      </c>
      <c r="C8565" s="2" t="s">
        <v>42</v>
      </c>
      <c r="D8565" s="2" t="s">
        <v>17</v>
      </c>
      <c r="E8565" s="5">
        <v>-28352</v>
      </c>
      <c r="F8565" s="3" t="s">
        <v>1575</v>
      </c>
      <c r="G8565" s="3" t="s">
        <v>63</v>
      </c>
      <c r="H8565" s="2" t="s">
        <v>20</v>
      </c>
      <c r="I8565" s="2" t="s">
        <v>16693</v>
      </c>
      <c r="J8565" s="3" t="str">
        <f>HYPERLINK("https://www.boe.es/gazeta/dias/1822/05/16/pdfs/GMD-1822-138.pdf#page=6","Abrir facsímil")</f>
        <v>Abrir facsímil</v>
      </c>
      <c r="K8565" s="3" t="s">
        <v>22</v>
      </c>
    </row>
    <row r="8566" spans="1:11" ht="42" customHeight="1">
      <c r="A8566" s="2" t="s">
        <v>16691</v>
      </c>
      <c r="B8566" s="2" t="s">
        <v>16692</v>
      </c>
      <c r="C8566" s="2" t="s">
        <v>50</v>
      </c>
      <c r="D8566" s="2" t="s">
        <v>51</v>
      </c>
      <c r="E8566" s="5">
        <v>-28346</v>
      </c>
      <c r="F8566" s="3" t="s">
        <v>191</v>
      </c>
      <c r="G8566" s="3" t="s">
        <v>31</v>
      </c>
      <c r="H8566" s="2" t="s">
        <v>20</v>
      </c>
      <c r="I8566" s="2" t="s">
        <v>16694</v>
      </c>
      <c r="J8566" s="3" t="str">
        <f>HYPERLINK("https://www.boe.es/gazeta/dias/1822/05/22/pdfs/GMD-1822-145.pdf#page=3","Abrir facsímil")</f>
        <v>Abrir facsímil</v>
      </c>
      <c r="K8566" s="3" t="s">
        <v>22</v>
      </c>
    </row>
    <row r="8567" spans="1:11" ht="42" customHeight="1">
      <c r="A8567" s="2" t="s">
        <v>16691</v>
      </c>
      <c r="B8567" s="2" t="s">
        <v>16692</v>
      </c>
      <c r="C8567" s="2" t="s">
        <v>50</v>
      </c>
      <c r="D8567" s="2" t="s">
        <v>51</v>
      </c>
      <c r="E8567" s="5">
        <v>-28207</v>
      </c>
      <c r="F8567" s="3" t="s">
        <v>1325</v>
      </c>
      <c r="G8567" s="3" t="s">
        <v>44</v>
      </c>
      <c r="H8567" s="2" t="s">
        <v>20</v>
      </c>
      <c r="I8567" s="2" t="s">
        <v>16695</v>
      </c>
      <c r="J8567" s="3" t="str">
        <f>HYPERLINK("https://www.boe.es/gazeta/dias/1822/10/08/pdfs/GMD-1822-295.pdf#page=1","Abrir facsímil")</f>
        <v>Abrir facsímil</v>
      </c>
      <c r="K8567" s="3" t="s">
        <v>22</v>
      </c>
    </row>
    <row r="8568" spans="1:11" ht="42" customHeight="1">
      <c r="A8568" s="2" t="s">
        <v>16691</v>
      </c>
      <c r="B8568" s="2" t="s">
        <v>16692</v>
      </c>
      <c r="C8568" s="2" t="s">
        <v>50</v>
      </c>
      <c r="D8568" s="2" t="s">
        <v>51</v>
      </c>
      <c r="E8568" s="5">
        <v>-28207</v>
      </c>
      <c r="F8568" s="3" t="s">
        <v>1325</v>
      </c>
      <c r="G8568" s="3" t="s">
        <v>35</v>
      </c>
      <c r="H8568" s="2" t="s">
        <v>20</v>
      </c>
      <c r="I8568" s="2" t="s">
        <v>16696</v>
      </c>
      <c r="J8568" s="3" t="str">
        <f>HYPERLINK("https://www.boe.es/gazeta/dias/1822/10/08/pdfs/GMD-1822-295.pdf#page=2","Abrir facsímil")</f>
        <v>Abrir facsímil</v>
      </c>
      <c r="K8568" s="3" t="s">
        <v>22</v>
      </c>
    </row>
    <row r="8569" spans="1:11" ht="42" customHeight="1">
      <c r="A8569" s="2" t="s">
        <v>16697</v>
      </c>
      <c r="B8569" s="2" t="s">
        <v>16697</v>
      </c>
      <c r="C8569" s="2" t="s">
        <v>42</v>
      </c>
      <c r="D8569" s="2" t="s">
        <v>17</v>
      </c>
      <c r="E8569" s="5">
        <v>-28396</v>
      </c>
      <c r="F8569" s="3" t="s">
        <v>1138</v>
      </c>
      <c r="G8569" s="3" t="s">
        <v>63</v>
      </c>
      <c r="H8569" s="2" t="s">
        <v>20</v>
      </c>
      <c r="I8569" s="2" t="s">
        <v>16698</v>
      </c>
      <c r="J8569" s="3" t="str">
        <f>HYPERLINK("https://www.boe.es/gazeta/dias/1822/04/02/pdfs/GMD-1822-94.pdf#page=6","Abrir facsímil")</f>
        <v>Abrir facsímil</v>
      </c>
      <c r="K8569" s="3" t="s">
        <v>22</v>
      </c>
    </row>
    <row r="8570" spans="1:11" ht="42" customHeight="1">
      <c r="A8570" s="2" t="s">
        <v>16697</v>
      </c>
      <c r="B8570" s="2" t="s">
        <v>16697</v>
      </c>
      <c r="C8570" s="2" t="s">
        <v>50</v>
      </c>
      <c r="D8570" s="2" t="s">
        <v>51</v>
      </c>
      <c r="E8570" s="5">
        <v>-28314</v>
      </c>
      <c r="F8570" s="3" t="s">
        <v>309</v>
      </c>
      <c r="G8570" s="3" t="s">
        <v>35</v>
      </c>
      <c r="H8570" s="2" t="s">
        <v>20</v>
      </c>
      <c r="I8570" s="2" t="s">
        <v>16699</v>
      </c>
      <c r="J8570" s="3" t="str">
        <f>HYPERLINK("https://www.boe.es/gazeta/dias/1822/06/23/pdfs/GMD-1822-181.pdf#page=2","Abrir facsímil")</f>
        <v>Abrir facsímil</v>
      </c>
      <c r="K8570" s="3" t="s">
        <v>22</v>
      </c>
    </row>
    <row r="8571" spans="1:11" ht="42" customHeight="1">
      <c r="A8571" s="2" t="s">
        <v>16697</v>
      </c>
      <c r="B8571" s="2" t="s">
        <v>16697</v>
      </c>
      <c r="C8571" s="2" t="s">
        <v>24</v>
      </c>
      <c r="D8571" s="2" t="s">
        <v>17</v>
      </c>
      <c r="E8571" s="5">
        <v>-28307</v>
      </c>
      <c r="F8571" s="3" t="s">
        <v>555</v>
      </c>
      <c r="G8571" s="3" t="s">
        <v>31</v>
      </c>
      <c r="H8571" s="2" t="s">
        <v>20</v>
      </c>
      <c r="I8571" s="2" t="s">
        <v>16700</v>
      </c>
      <c r="J8571" s="3" t="str">
        <f>HYPERLINK("https://www.boe.es/gazeta/dias/1822/06/30/pdfs/GMD-1822-188.pdf#page=3","Abrir facsímil")</f>
        <v>Abrir facsímil</v>
      </c>
      <c r="K8571" s="3" t="s">
        <v>22</v>
      </c>
    </row>
    <row r="8572" spans="1:11" ht="42" customHeight="1">
      <c r="A8572" s="2" t="s">
        <v>16697</v>
      </c>
      <c r="B8572" s="2" t="s">
        <v>16697</v>
      </c>
      <c r="C8572" s="2" t="s">
        <v>42</v>
      </c>
      <c r="D8572" s="2" t="s">
        <v>17</v>
      </c>
      <c r="E8572" s="5">
        <v>-28246</v>
      </c>
      <c r="F8572" s="3" t="s">
        <v>3246</v>
      </c>
      <c r="G8572" s="3" t="s">
        <v>1085</v>
      </c>
      <c r="H8572" s="2" t="s">
        <v>20</v>
      </c>
      <c r="I8572" s="2" t="s">
        <v>16701</v>
      </c>
      <c r="J8572" s="3" t="str">
        <f>HYPERLINK("https://www.boe.es/gazeta/dias/1822/08/30/pdfs/GMD-1822-254.pdf#page=5","Abrir facsímil")</f>
        <v>Abrir facsímil</v>
      </c>
      <c r="K8572" s="3" t="s">
        <v>22</v>
      </c>
    </row>
    <row r="8573" spans="1:11" ht="42" customHeight="1">
      <c r="A8573" s="2" t="s">
        <v>16697</v>
      </c>
      <c r="B8573" s="2" t="s">
        <v>16697</v>
      </c>
      <c r="C8573" s="2" t="s">
        <v>42</v>
      </c>
      <c r="D8573" s="2" t="s">
        <v>17</v>
      </c>
      <c r="E8573" s="5">
        <v>-28160</v>
      </c>
      <c r="F8573" s="3" t="s">
        <v>148</v>
      </c>
      <c r="G8573" s="3" t="s">
        <v>19</v>
      </c>
      <c r="H8573" s="2" t="s">
        <v>20</v>
      </c>
      <c r="I8573" s="2" t="s">
        <v>16702</v>
      </c>
      <c r="J8573" s="3" t="str">
        <f>HYPERLINK("https://www.boe.es/gazeta/dias/1822/11/24/pdfs/GMD-1822-344.pdf#page=5","Abrir facsímil")</f>
        <v>Abrir facsímil</v>
      </c>
      <c r="K8573" s="3" t="s">
        <v>22</v>
      </c>
    </row>
    <row r="8574" spans="1:11" ht="42" customHeight="1">
      <c r="A8574" s="2" t="s">
        <v>16703</v>
      </c>
      <c r="B8574" s="2" t="s">
        <v>16703</v>
      </c>
      <c r="C8574" s="2" t="s">
        <v>28</v>
      </c>
      <c r="D8574" s="2" t="s">
        <v>29</v>
      </c>
      <c r="E8574" s="5">
        <v>-28223</v>
      </c>
      <c r="F8574" s="3" t="s">
        <v>2374</v>
      </c>
      <c r="G8574" s="3" t="s">
        <v>57</v>
      </c>
      <c r="H8574" s="2" t="s">
        <v>20</v>
      </c>
      <c r="I8574" s="2" t="s">
        <v>16704</v>
      </c>
      <c r="J8574" s="3" t="str">
        <f>HYPERLINK("https://www.boe.es/gazeta/dias/1822/09/22/pdfs/GMD-1822-278.pdf#page=4","Abrir facsímil")</f>
        <v>Abrir facsímil</v>
      </c>
      <c r="K8574" s="3" t="s">
        <v>22</v>
      </c>
    </row>
    <row r="8575" spans="1:11" ht="42" customHeight="1">
      <c r="A8575" s="2" t="s">
        <v>16705</v>
      </c>
      <c r="B8575" s="2" t="s">
        <v>16705</v>
      </c>
      <c r="C8575" s="2" t="s">
        <v>28</v>
      </c>
      <c r="D8575" s="2" t="s">
        <v>29</v>
      </c>
      <c r="E8575" s="5">
        <v>-28159</v>
      </c>
      <c r="F8575" s="3" t="s">
        <v>67</v>
      </c>
      <c r="G8575" s="3" t="s">
        <v>31</v>
      </c>
      <c r="H8575" s="2" t="s">
        <v>20</v>
      </c>
      <c r="I8575" s="2" t="s">
        <v>16706</v>
      </c>
      <c r="J8575" s="3" t="str">
        <f>HYPERLINK("https://www.boe.es/gazeta/dias/1822/11/25/pdfs/GMD-1822-345.pdf#page=3","Abrir facsímil")</f>
        <v>Abrir facsímil</v>
      </c>
      <c r="K8575" s="3" t="s">
        <v>22</v>
      </c>
    </row>
    <row r="8576" spans="1:11" ht="42" customHeight="1">
      <c r="A8576" s="2" t="s">
        <v>16707</v>
      </c>
      <c r="B8576" s="2" t="s">
        <v>16707</v>
      </c>
      <c r="C8576" s="2" t="s">
        <v>71</v>
      </c>
      <c r="D8576" s="2" t="s">
        <v>17</v>
      </c>
      <c r="E8576" s="5">
        <v>-28138</v>
      </c>
      <c r="F8576" s="3" t="s">
        <v>3542</v>
      </c>
      <c r="G8576" s="3" t="s">
        <v>31</v>
      </c>
      <c r="H8576" s="2" t="s">
        <v>20</v>
      </c>
      <c r="I8576" s="2" t="s">
        <v>16708</v>
      </c>
      <c r="J8576" s="3" t="str">
        <f>HYPERLINK("https://www.boe.es/gazeta/dias/1822/12/16/pdfs/GMD-1822-366.pdf#page=3","Abrir facsímil")</f>
        <v>Abrir facsímil</v>
      </c>
      <c r="K8576" s="3" t="s">
        <v>22</v>
      </c>
    </row>
    <row r="8577" spans="1:11" ht="42" customHeight="1">
      <c r="A8577" s="2" t="s">
        <v>16709</v>
      </c>
      <c r="B8577" s="2" t="s">
        <v>16709</v>
      </c>
      <c r="C8577" s="2" t="s">
        <v>71</v>
      </c>
      <c r="D8577" s="2" t="s">
        <v>17</v>
      </c>
      <c r="E8577" s="5">
        <v>-28126</v>
      </c>
      <c r="F8577" s="3" t="s">
        <v>952</v>
      </c>
      <c r="G8577" s="3" t="s">
        <v>35</v>
      </c>
      <c r="H8577" s="2" t="s">
        <v>20</v>
      </c>
      <c r="I8577" s="2" t="s">
        <v>16710</v>
      </c>
      <c r="J8577" s="3" t="str">
        <f>HYPERLINK("https://www.boe.es/gazeta/dias/1822/12/28/pdfs/GMD-1822-378.pdf#page=2","Abrir facsímil")</f>
        <v>Abrir facsímil</v>
      </c>
      <c r="K8577" s="3" t="s">
        <v>22</v>
      </c>
    </row>
    <row r="8578" spans="1:11" ht="42" customHeight="1">
      <c r="A8578" s="2" t="s">
        <v>16711</v>
      </c>
      <c r="B8578" s="2" t="s">
        <v>16711</v>
      </c>
      <c r="C8578" s="2" t="s">
        <v>16</v>
      </c>
      <c r="D8578" s="2" t="s">
        <v>17</v>
      </c>
      <c r="E8578" s="5">
        <v>-28181</v>
      </c>
      <c r="F8578" s="3" t="s">
        <v>739</v>
      </c>
      <c r="G8578" s="3" t="s">
        <v>31</v>
      </c>
      <c r="H8578" s="2" t="s">
        <v>20</v>
      </c>
      <c r="I8578" s="2" t="s">
        <v>16712</v>
      </c>
      <c r="J8578" s="3" t="str">
        <f>HYPERLINK("https://www.boe.es/gazeta/dias/1822/11/03/pdfs/GMD-1822-321.pdf#page=3","Abrir facsímil")</f>
        <v>Abrir facsímil</v>
      </c>
      <c r="K8578" s="3" t="s">
        <v>22</v>
      </c>
    </row>
    <row r="8579" spans="1:11" ht="42" customHeight="1">
      <c r="A8579" s="2" t="s">
        <v>16713</v>
      </c>
      <c r="B8579" s="2" t="s">
        <v>16713</v>
      </c>
      <c r="C8579" s="2" t="s">
        <v>61</v>
      </c>
      <c r="D8579" s="2" t="s">
        <v>17</v>
      </c>
      <c r="E8579" s="5">
        <v>-28142</v>
      </c>
      <c r="F8579" s="3" t="s">
        <v>290</v>
      </c>
      <c r="G8579" s="3" t="s">
        <v>31</v>
      </c>
      <c r="H8579" s="2" t="s">
        <v>20</v>
      </c>
      <c r="I8579" s="2" t="s">
        <v>16714</v>
      </c>
      <c r="J8579" s="3" t="str">
        <f>HYPERLINK("https://www.boe.es/gazeta/dias/1822/12/12/pdfs/GMD-1822-362.pdf#page=3","Abrir facsímil")</f>
        <v>Abrir facsímil</v>
      </c>
      <c r="K8579" s="3" t="s">
        <v>22</v>
      </c>
    </row>
    <row r="8580" spans="1:11" ht="42" customHeight="1">
      <c r="A8580" s="2" t="s">
        <v>16715</v>
      </c>
      <c r="B8580" s="2" t="s">
        <v>16716</v>
      </c>
      <c r="C8580" s="2" t="s">
        <v>50</v>
      </c>
      <c r="D8580" s="2" t="s">
        <v>51</v>
      </c>
      <c r="E8580" s="5">
        <v>-28303</v>
      </c>
      <c r="F8580" s="3" t="s">
        <v>201</v>
      </c>
      <c r="G8580" s="3" t="s">
        <v>31</v>
      </c>
      <c r="H8580" s="2" t="s">
        <v>20</v>
      </c>
      <c r="I8580" s="2" t="s">
        <v>16717</v>
      </c>
      <c r="J8580" s="3" t="str">
        <f>HYPERLINK("https://www.boe.es/gazeta/dias/1822/07/04/pdfs/GMD-1822-193.pdf#page=3","Abrir facsímil")</f>
        <v>Abrir facsímil</v>
      </c>
      <c r="K8580" s="3" t="s">
        <v>22</v>
      </c>
    </row>
    <row r="8581" spans="1:11" ht="42" customHeight="1">
      <c r="A8581" s="2" t="s">
        <v>16718</v>
      </c>
      <c r="B8581" s="2" t="s">
        <v>16718</v>
      </c>
      <c r="C8581" s="2" t="s">
        <v>50</v>
      </c>
      <c r="D8581" s="2" t="s">
        <v>51</v>
      </c>
      <c r="E8581" s="5">
        <v>-28137</v>
      </c>
      <c r="F8581" s="3" t="s">
        <v>312</v>
      </c>
      <c r="G8581" s="3" t="s">
        <v>57</v>
      </c>
      <c r="H8581" s="2" t="s">
        <v>20</v>
      </c>
      <c r="I8581" s="2" t="s">
        <v>16719</v>
      </c>
      <c r="J8581" s="3" t="str">
        <f>HYPERLINK("https://www.boe.es/gazeta/dias/1822/12/17/pdfs/GMD-1822-367.pdf#page=4","Abrir facsímil")</f>
        <v>Abrir facsímil</v>
      </c>
      <c r="K8581" s="3" t="s">
        <v>22</v>
      </c>
    </row>
    <row r="8582" spans="1:11" ht="42" customHeight="1">
      <c r="A8582" s="2" t="s">
        <v>16720</v>
      </c>
      <c r="B8582" s="2" t="s">
        <v>16720</v>
      </c>
      <c r="C8582" s="2" t="s">
        <v>24</v>
      </c>
      <c r="D8582" s="2" t="s">
        <v>17</v>
      </c>
      <c r="E8582" s="5">
        <v>-28478</v>
      </c>
      <c r="F8582" s="3" t="s">
        <v>1093</v>
      </c>
      <c r="G8582" s="3" t="s">
        <v>44</v>
      </c>
      <c r="H8582" s="2" t="s">
        <v>20</v>
      </c>
      <c r="I8582" s="2" t="s">
        <v>16721</v>
      </c>
      <c r="J8582" s="3" t="str">
        <f>HYPERLINK("https://www.boe.es/gazeta/dias/1822/01/10/pdfs/GMD-1822-10.pdf#page=1","Abrir facsímil")</f>
        <v>Abrir facsímil</v>
      </c>
      <c r="K8582" s="3" t="s">
        <v>22</v>
      </c>
    </row>
    <row r="8583" spans="1:11" ht="42" customHeight="1">
      <c r="A8583" s="2" t="s">
        <v>16720</v>
      </c>
      <c r="B8583" s="2" t="s">
        <v>16720</v>
      </c>
      <c r="C8583" s="2" t="s">
        <v>16</v>
      </c>
      <c r="D8583" s="2" t="s">
        <v>17</v>
      </c>
      <c r="E8583" s="5">
        <v>-28474</v>
      </c>
      <c r="F8583" s="3" t="s">
        <v>30</v>
      </c>
      <c r="G8583" s="3" t="s">
        <v>31</v>
      </c>
      <c r="H8583" s="2" t="s">
        <v>20</v>
      </c>
      <c r="I8583" s="2" t="s">
        <v>16722</v>
      </c>
      <c r="J8583" s="3" t="str">
        <f>HYPERLINK("https://www.boe.es/gazeta/dias/1822/01/14/pdfs/GMD-1822-14.pdf#page=3","Abrir facsímil")</f>
        <v>Abrir facsímil</v>
      </c>
      <c r="K8583" s="3" t="s">
        <v>22</v>
      </c>
    </row>
    <row r="8584" spans="1:11" ht="42" customHeight="1">
      <c r="A8584" s="2" t="s">
        <v>16720</v>
      </c>
      <c r="B8584" s="2" t="s">
        <v>16720</v>
      </c>
      <c r="C8584" s="2" t="s">
        <v>50</v>
      </c>
      <c r="D8584" s="2" t="s">
        <v>51</v>
      </c>
      <c r="E8584" s="5">
        <v>-28473</v>
      </c>
      <c r="F8584" s="3" t="s">
        <v>2337</v>
      </c>
      <c r="G8584" s="3" t="s">
        <v>63</v>
      </c>
      <c r="H8584" s="2" t="s">
        <v>20</v>
      </c>
      <c r="I8584" s="2" t="s">
        <v>16723</v>
      </c>
      <c r="J8584" s="3" t="str">
        <f>HYPERLINK("https://www.boe.es/gazeta/dias/1822/01/15/pdfs/GMD-1822-15.pdf#page=6","Abrir facsímil")</f>
        <v>Abrir facsímil</v>
      </c>
      <c r="K8584" s="3" t="s">
        <v>22</v>
      </c>
    </row>
    <row r="8585" spans="1:11" ht="42" customHeight="1">
      <c r="A8585" s="2" t="s">
        <v>16720</v>
      </c>
      <c r="B8585" s="2" t="s">
        <v>16720</v>
      </c>
      <c r="C8585" s="2" t="s">
        <v>24</v>
      </c>
      <c r="D8585" s="2" t="s">
        <v>17</v>
      </c>
      <c r="E8585" s="5">
        <v>-28450</v>
      </c>
      <c r="F8585" s="3" t="s">
        <v>1450</v>
      </c>
      <c r="G8585" s="3" t="s">
        <v>2247</v>
      </c>
      <c r="H8585" s="2" t="s">
        <v>20</v>
      </c>
      <c r="I8585" s="2" t="s">
        <v>16724</v>
      </c>
      <c r="J8585" s="3" t="str">
        <f>HYPERLINK("https://www.boe.es/gazeta/dias/1822/02/07/pdfs/GMD-1822-38.pdf#page=6","Abrir facsímil")</f>
        <v>Abrir facsímil</v>
      </c>
      <c r="K8585" s="3" t="s">
        <v>22</v>
      </c>
    </row>
    <row r="8586" spans="1:11" ht="42" customHeight="1">
      <c r="A8586" s="2" t="s">
        <v>16720</v>
      </c>
      <c r="B8586" s="2" t="s">
        <v>16720</v>
      </c>
      <c r="C8586" s="2" t="s">
        <v>362</v>
      </c>
      <c r="D8586" s="2" t="s">
        <v>17</v>
      </c>
      <c r="E8586" s="5">
        <v>-28442</v>
      </c>
      <c r="F8586" s="3" t="s">
        <v>2250</v>
      </c>
      <c r="G8586" s="3" t="s">
        <v>2251</v>
      </c>
      <c r="H8586" s="2" t="s">
        <v>20</v>
      </c>
      <c r="I8586" s="2" t="s">
        <v>16725</v>
      </c>
      <c r="J8586" s="3" t="str">
        <f>HYPERLINK("https://www.boe.es/gazeta/dias/1822/02/15/pdfs/GMD-1822-47.pdf#page=4","Abrir facsímil")</f>
        <v>Abrir facsímil</v>
      </c>
      <c r="K8586" s="3" t="s">
        <v>22</v>
      </c>
    </row>
    <row r="8587" spans="1:11" ht="42" customHeight="1">
      <c r="A8587" s="2" t="s">
        <v>16720</v>
      </c>
      <c r="B8587" s="2" t="s">
        <v>16720</v>
      </c>
      <c r="C8587" s="2" t="s">
        <v>42</v>
      </c>
      <c r="D8587" s="2" t="s">
        <v>17</v>
      </c>
      <c r="E8587" s="5">
        <v>-28439</v>
      </c>
      <c r="F8587" s="3" t="s">
        <v>2752</v>
      </c>
      <c r="G8587" s="3" t="s">
        <v>57</v>
      </c>
      <c r="H8587" s="2" t="s">
        <v>20</v>
      </c>
      <c r="I8587" s="2" t="s">
        <v>16726</v>
      </c>
      <c r="J8587" s="3" t="str">
        <f>HYPERLINK("https://www.boe.es/gazeta/dias/1822/02/18/pdfs/GMD-1822-50.pdf#page=4","Abrir facsímil")</f>
        <v>Abrir facsímil</v>
      </c>
      <c r="K8587" s="3" t="s">
        <v>22</v>
      </c>
    </row>
    <row r="8588" spans="1:11" ht="42" customHeight="1">
      <c r="A8588" s="2" t="s">
        <v>16720</v>
      </c>
      <c r="B8588" s="2" t="s">
        <v>16720</v>
      </c>
      <c r="C8588" s="2" t="s">
        <v>50</v>
      </c>
      <c r="D8588" s="2" t="s">
        <v>51</v>
      </c>
      <c r="E8588" s="5">
        <v>-28427</v>
      </c>
      <c r="F8588" s="3" t="s">
        <v>755</v>
      </c>
      <c r="G8588" s="3" t="s">
        <v>31</v>
      </c>
      <c r="H8588" s="2" t="s">
        <v>20</v>
      </c>
      <c r="I8588" s="2" t="s">
        <v>16727</v>
      </c>
      <c r="J8588" s="3" t="str">
        <f>HYPERLINK("https://www.boe.es/gazeta/dias/1822/03/02/pdfs/GMD-1822-63.pdf#page=3","Abrir facsímil")</f>
        <v>Abrir facsímil</v>
      </c>
      <c r="K8588" s="3" t="s">
        <v>22</v>
      </c>
    </row>
    <row r="8589" spans="1:11" ht="42" customHeight="1">
      <c r="A8589" s="2" t="s">
        <v>16720</v>
      </c>
      <c r="B8589" s="2" t="s">
        <v>16720</v>
      </c>
      <c r="C8589" s="2" t="s">
        <v>362</v>
      </c>
      <c r="D8589" s="2" t="s">
        <v>17</v>
      </c>
      <c r="E8589" s="5">
        <v>-28426</v>
      </c>
      <c r="F8589" s="3" t="s">
        <v>1178</v>
      </c>
      <c r="G8589" s="3" t="s">
        <v>35</v>
      </c>
      <c r="H8589" s="2" t="s">
        <v>20</v>
      </c>
      <c r="I8589" s="2" t="s">
        <v>16728</v>
      </c>
      <c r="J8589" s="3" t="str">
        <f>HYPERLINK("https://www.boe.es/gazeta/dias/1822/03/03/pdfs/GMD-1822-64.pdf#page=2","Abrir facsímil")</f>
        <v>Abrir facsímil</v>
      </c>
      <c r="K8589" s="3" t="s">
        <v>22</v>
      </c>
    </row>
    <row r="8590" spans="1:11" ht="42" customHeight="1">
      <c r="A8590" s="2" t="s">
        <v>16720</v>
      </c>
      <c r="B8590" s="2" t="s">
        <v>16720</v>
      </c>
      <c r="C8590" s="2" t="s">
        <v>50</v>
      </c>
      <c r="D8590" s="2" t="s">
        <v>51</v>
      </c>
      <c r="E8590" s="5">
        <v>-28424</v>
      </c>
      <c r="F8590" s="3" t="s">
        <v>439</v>
      </c>
      <c r="G8590" s="3" t="s">
        <v>31</v>
      </c>
      <c r="H8590" s="2" t="s">
        <v>20</v>
      </c>
      <c r="I8590" s="2" t="s">
        <v>16729</v>
      </c>
      <c r="J8590" s="3" t="str">
        <f>HYPERLINK("https://www.boe.es/gazeta/dias/1822/03/05/pdfs/GMD-1822-66.pdf#page=3","Abrir facsímil")</f>
        <v>Abrir facsímil</v>
      </c>
      <c r="K8590" s="3" t="s">
        <v>22</v>
      </c>
    </row>
    <row r="8591" spans="1:11" ht="42" customHeight="1">
      <c r="A8591" s="2" t="s">
        <v>16720</v>
      </c>
      <c r="B8591" s="2" t="s">
        <v>16720</v>
      </c>
      <c r="C8591" s="2" t="s">
        <v>28</v>
      </c>
      <c r="D8591" s="2" t="s">
        <v>29</v>
      </c>
      <c r="E8591" s="5">
        <v>-28423</v>
      </c>
      <c r="F8591" s="3" t="s">
        <v>441</v>
      </c>
      <c r="G8591" s="3" t="s">
        <v>35</v>
      </c>
      <c r="H8591" s="2" t="s">
        <v>20</v>
      </c>
      <c r="I8591" s="2" t="s">
        <v>16730</v>
      </c>
      <c r="J8591" s="3" t="str">
        <f>HYPERLINK("https://www.boe.es/gazeta/dias/1822/03/06/pdfs/GMD-1822-67.pdf#page=2","Abrir facsímil")</f>
        <v>Abrir facsímil</v>
      </c>
      <c r="K8591" s="3" t="s">
        <v>22</v>
      </c>
    </row>
    <row r="8592" spans="1:11" ht="42" customHeight="1">
      <c r="A8592" s="2" t="s">
        <v>16720</v>
      </c>
      <c r="B8592" s="2" t="s">
        <v>16720</v>
      </c>
      <c r="C8592" s="2" t="s">
        <v>28</v>
      </c>
      <c r="D8592" s="2" t="s">
        <v>29</v>
      </c>
      <c r="E8592" s="5">
        <v>-28421</v>
      </c>
      <c r="F8592" s="3" t="s">
        <v>446</v>
      </c>
      <c r="G8592" s="3" t="s">
        <v>57</v>
      </c>
      <c r="H8592" s="2" t="s">
        <v>20</v>
      </c>
      <c r="I8592" s="2" t="s">
        <v>16731</v>
      </c>
      <c r="J8592" s="3" t="str">
        <f>HYPERLINK("https://www.boe.es/gazeta/dias/1822/03/08/pdfs/GMD-1822-69.pdf#page=4","Abrir facsímil")</f>
        <v>Abrir facsímil</v>
      </c>
      <c r="K8592" s="3" t="s">
        <v>22</v>
      </c>
    </row>
    <row r="8593" spans="1:11" ht="42" customHeight="1">
      <c r="A8593" s="2" t="s">
        <v>16720</v>
      </c>
      <c r="B8593" s="2" t="s">
        <v>16720</v>
      </c>
      <c r="C8593" s="2" t="s">
        <v>28</v>
      </c>
      <c r="D8593" s="2" t="s">
        <v>29</v>
      </c>
      <c r="E8593" s="5">
        <v>-28421</v>
      </c>
      <c r="F8593" s="3" t="s">
        <v>446</v>
      </c>
      <c r="G8593" s="3" t="s">
        <v>19</v>
      </c>
      <c r="H8593" s="2" t="s">
        <v>20</v>
      </c>
      <c r="I8593" s="2" t="s">
        <v>16732</v>
      </c>
      <c r="J8593" s="3" t="str">
        <f>HYPERLINK("https://www.boe.es/gazeta/dias/1822/03/08/pdfs/GMD-1822-69.pdf#page=5","Abrir facsímil")</f>
        <v>Abrir facsímil</v>
      </c>
      <c r="K8593" s="3" t="s">
        <v>22</v>
      </c>
    </row>
    <row r="8594" spans="1:11" ht="42" customHeight="1">
      <c r="A8594" s="2" t="s">
        <v>16720</v>
      </c>
      <c r="B8594" s="2" t="s">
        <v>16720</v>
      </c>
      <c r="C8594" s="2" t="s">
        <v>71</v>
      </c>
      <c r="D8594" s="2" t="s">
        <v>17</v>
      </c>
      <c r="E8594" s="5">
        <v>-28417</v>
      </c>
      <c r="F8594" s="3" t="s">
        <v>1394</v>
      </c>
      <c r="G8594" s="3" t="s">
        <v>35</v>
      </c>
      <c r="H8594" s="2" t="s">
        <v>20</v>
      </c>
      <c r="I8594" s="2" t="s">
        <v>16733</v>
      </c>
      <c r="J8594" s="3" t="str">
        <f>HYPERLINK("https://www.boe.es/gazeta/dias/1822/03/12/pdfs/GMD-1822-73.pdf#page=2","Abrir facsímil")</f>
        <v>Abrir facsímil</v>
      </c>
      <c r="K8594" s="3" t="s">
        <v>22</v>
      </c>
    </row>
    <row r="8595" spans="1:11" ht="42" customHeight="1">
      <c r="A8595" s="2" t="s">
        <v>16720</v>
      </c>
      <c r="B8595" s="2" t="s">
        <v>16720</v>
      </c>
      <c r="C8595" s="2" t="s">
        <v>42</v>
      </c>
      <c r="D8595" s="2" t="s">
        <v>17</v>
      </c>
      <c r="E8595" s="5">
        <v>-28416</v>
      </c>
      <c r="F8595" s="3" t="s">
        <v>97</v>
      </c>
      <c r="G8595" s="3" t="s">
        <v>63</v>
      </c>
      <c r="H8595" s="2" t="s">
        <v>20</v>
      </c>
      <c r="I8595" s="2" t="s">
        <v>16734</v>
      </c>
      <c r="J8595" s="3" t="str">
        <f>HYPERLINK("https://www.boe.es/gazeta/dias/1822/03/13/pdfs/GMD-1822-74.pdf#page=6","Abrir facsímil")</f>
        <v>Abrir facsímil</v>
      </c>
      <c r="K8595" s="3" t="s">
        <v>22</v>
      </c>
    </row>
    <row r="8596" spans="1:11" ht="42" customHeight="1">
      <c r="A8596" s="2" t="s">
        <v>16720</v>
      </c>
      <c r="B8596" s="2" t="s">
        <v>16720</v>
      </c>
      <c r="C8596" s="2" t="s">
        <v>28</v>
      </c>
      <c r="D8596" s="2" t="s">
        <v>29</v>
      </c>
      <c r="E8596" s="5">
        <v>-28414</v>
      </c>
      <c r="F8596" s="3" t="s">
        <v>187</v>
      </c>
      <c r="G8596" s="3" t="s">
        <v>31</v>
      </c>
      <c r="H8596" s="2" t="s">
        <v>20</v>
      </c>
      <c r="I8596" s="2" t="s">
        <v>16735</v>
      </c>
      <c r="J8596" s="3" t="str">
        <f>HYPERLINK("https://www.boe.es/gazeta/dias/1822/03/15/pdfs/GMD-1822-76.pdf#page=3","Abrir facsímil")</f>
        <v>Abrir facsímil</v>
      </c>
      <c r="K8596" s="3" t="s">
        <v>22</v>
      </c>
    </row>
    <row r="8597" spans="1:11" ht="42" customHeight="1">
      <c r="A8597" s="2" t="s">
        <v>16720</v>
      </c>
      <c r="B8597" s="2" t="s">
        <v>16720</v>
      </c>
      <c r="C8597" s="2" t="s">
        <v>42</v>
      </c>
      <c r="D8597" s="2" t="s">
        <v>17</v>
      </c>
      <c r="E8597" s="5">
        <v>-28411</v>
      </c>
      <c r="F8597" s="3" t="s">
        <v>1509</v>
      </c>
      <c r="G8597" s="3" t="s">
        <v>57</v>
      </c>
      <c r="H8597" s="2" t="s">
        <v>20</v>
      </c>
      <c r="I8597" s="2" t="s">
        <v>16736</v>
      </c>
      <c r="J8597" s="3" t="str">
        <f>HYPERLINK("https://www.boe.es/gazeta/dias/1822/03/18/pdfs/GMD-1822-79.pdf#page=4","Abrir facsímil")</f>
        <v>Abrir facsímil</v>
      </c>
      <c r="K8597" s="3" t="s">
        <v>22</v>
      </c>
    </row>
    <row r="8598" spans="1:11" ht="42" customHeight="1">
      <c r="A8598" s="2" t="s">
        <v>16720</v>
      </c>
      <c r="B8598" s="2" t="s">
        <v>16720</v>
      </c>
      <c r="C8598" s="2" t="s">
        <v>50</v>
      </c>
      <c r="D8598" s="2" t="s">
        <v>51</v>
      </c>
      <c r="E8598" s="5">
        <v>-28409</v>
      </c>
      <c r="F8598" s="3" t="s">
        <v>394</v>
      </c>
      <c r="G8598" s="3" t="s">
        <v>19</v>
      </c>
      <c r="H8598" s="2" t="s">
        <v>20</v>
      </c>
      <c r="I8598" s="2" t="s">
        <v>16737</v>
      </c>
      <c r="J8598" s="3" t="str">
        <f>HYPERLINK("https://www.boe.es/gazeta/dias/1822/03/20/pdfs/GMD-1822-81.pdf#page=5","Abrir facsímil")</f>
        <v>Abrir facsímil</v>
      </c>
      <c r="K8598" s="3" t="s">
        <v>22</v>
      </c>
    </row>
    <row r="8599" spans="1:11" ht="42" customHeight="1">
      <c r="A8599" s="2" t="s">
        <v>16720</v>
      </c>
      <c r="B8599" s="2" t="s">
        <v>16720</v>
      </c>
      <c r="C8599" s="2" t="s">
        <v>61</v>
      </c>
      <c r="D8599" s="2" t="s">
        <v>17</v>
      </c>
      <c r="E8599" s="5">
        <v>-28407</v>
      </c>
      <c r="F8599" s="3" t="s">
        <v>460</v>
      </c>
      <c r="G8599" s="3" t="s">
        <v>19</v>
      </c>
      <c r="H8599" s="2" t="s">
        <v>20</v>
      </c>
      <c r="I8599" s="2" t="s">
        <v>16738</v>
      </c>
      <c r="J8599" s="3" t="str">
        <f>HYPERLINK("https://www.boe.es/gazeta/dias/1822/03/22/pdfs/GMD-1822-83.pdf#page=5","Abrir facsímil")</f>
        <v>Abrir facsímil</v>
      </c>
      <c r="K8599" s="3" t="s">
        <v>22</v>
      </c>
    </row>
    <row r="8600" spans="1:11" ht="42" customHeight="1">
      <c r="A8600" s="2" t="s">
        <v>16720</v>
      </c>
      <c r="B8600" s="2" t="s">
        <v>16720</v>
      </c>
      <c r="C8600" s="2" t="s">
        <v>42</v>
      </c>
      <c r="D8600" s="2" t="s">
        <v>17</v>
      </c>
      <c r="E8600" s="5">
        <v>-28404</v>
      </c>
      <c r="F8600" s="3" t="s">
        <v>421</v>
      </c>
      <c r="G8600" s="3" t="s">
        <v>57</v>
      </c>
      <c r="H8600" s="2" t="s">
        <v>20</v>
      </c>
      <c r="I8600" s="2" t="s">
        <v>16739</v>
      </c>
      <c r="J8600" s="3" t="str">
        <f>HYPERLINK("https://www.boe.es/gazeta/dias/1822/03/25/pdfs/GMD-1822-86.pdf#page=4","Abrir facsímil")</f>
        <v>Abrir facsímil</v>
      </c>
      <c r="K8600" s="3" t="s">
        <v>22</v>
      </c>
    </row>
    <row r="8601" spans="1:11" ht="42" customHeight="1">
      <c r="A8601" s="2" t="s">
        <v>16720</v>
      </c>
      <c r="B8601" s="2" t="s">
        <v>16720</v>
      </c>
      <c r="C8601" s="2" t="s">
        <v>28</v>
      </c>
      <c r="D8601" s="2" t="s">
        <v>29</v>
      </c>
      <c r="E8601" s="5">
        <v>-28403</v>
      </c>
      <c r="F8601" s="3" t="s">
        <v>471</v>
      </c>
      <c r="G8601" s="3" t="s">
        <v>31</v>
      </c>
      <c r="H8601" s="2" t="s">
        <v>20</v>
      </c>
      <c r="I8601" s="2" t="s">
        <v>16740</v>
      </c>
      <c r="J8601" s="3" t="str">
        <f>HYPERLINK("https://www.boe.es/gazeta/dias/1822/03/26/pdfs/GMD-1822-87.pdf#page=3","Abrir facsímil")</f>
        <v>Abrir facsímil</v>
      </c>
      <c r="K8601" s="3" t="s">
        <v>22</v>
      </c>
    </row>
    <row r="8602" spans="1:11" ht="42" customHeight="1">
      <c r="A8602" s="2" t="s">
        <v>16720</v>
      </c>
      <c r="B8602" s="2" t="s">
        <v>16720</v>
      </c>
      <c r="C8602" s="2" t="s">
        <v>42</v>
      </c>
      <c r="D8602" s="2" t="s">
        <v>17</v>
      </c>
      <c r="E8602" s="5">
        <v>-28403</v>
      </c>
      <c r="F8602" s="3" t="s">
        <v>471</v>
      </c>
      <c r="G8602" s="3" t="s">
        <v>19</v>
      </c>
      <c r="H8602" s="2" t="s">
        <v>20</v>
      </c>
      <c r="I8602" s="2" t="s">
        <v>16741</v>
      </c>
      <c r="J8602" s="3" t="str">
        <f>HYPERLINK("https://www.boe.es/gazeta/dias/1822/03/26/pdfs/GMD-1822-87.pdf#page=5","Abrir facsímil")</f>
        <v>Abrir facsímil</v>
      </c>
      <c r="K8602" s="3" t="s">
        <v>22</v>
      </c>
    </row>
    <row r="8603" spans="1:11" ht="42" customHeight="1">
      <c r="A8603" s="2" t="s">
        <v>16720</v>
      </c>
      <c r="B8603" s="2" t="s">
        <v>16720</v>
      </c>
      <c r="C8603" s="2" t="s">
        <v>71</v>
      </c>
      <c r="D8603" s="2" t="s">
        <v>17</v>
      </c>
      <c r="E8603" s="5">
        <v>-28402</v>
      </c>
      <c r="F8603" s="3" t="s">
        <v>473</v>
      </c>
      <c r="G8603" s="3" t="s">
        <v>31</v>
      </c>
      <c r="H8603" s="2" t="s">
        <v>20</v>
      </c>
      <c r="I8603" s="2" t="s">
        <v>16742</v>
      </c>
      <c r="J8603" s="3" t="str">
        <f>HYPERLINK("https://www.boe.es/gazeta/dias/1822/03/27/pdfs/GMD-1822-88.pdf#page=3","Abrir facsímil")</f>
        <v>Abrir facsímil</v>
      </c>
      <c r="K8603" s="3" t="s">
        <v>22</v>
      </c>
    </row>
    <row r="8604" spans="1:11" ht="42" customHeight="1">
      <c r="A8604" s="2" t="s">
        <v>16720</v>
      </c>
      <c r="B8604" s="2" t="s">
        <v>16720</v>
      </c>
      <c r="C8604" s="2" t="s">
        <v>42</v>
      </c>
      <c r="D8604" s="2" t="s">
        <v>17</v>
      </c>
      <c r="E8604" s="5">
        <v>-28402</v>
      </c>
      <c r="F8604" s="3" t="s">
        <v>473</v>
      </c>
      <c r="G8604" s="3" t="s">
        <v>63</v>
      </c>
      <c r="H8604" s="2" t="s">
        <v>20</v>
      </c>
      <c r="I8604" s="2" t="s">
        <v>16743</v>
      </c>
      <c r="J8604" s="3" t="str">
        <f>HYPERLINK("https://www.boe.es/gazeta/dias/1822/03/27/pdfs/GMD-1822-88.pdf#page=6","Abrir facsímil")</f>
        <v>Abrir facsímil</v>
      </c>
      <c r="K8604" s="3" t="s">
        <v>22</v>
      </c>
    </row>
    <row r="8605" spans="1:11" ht="42" customHeight="1">
      <c r="A8605" s="2" t="s">
        <v>16720</v>
      </c>
      <c r="B8605" s="2" t="s">
        <v>16720</v>
      </c>
      <c r="C8605" s="2" t="s">
        <v>71</v>
      </c>
      <c r="D8605" s="2" t="s">
        <v>17</v>
      </c>
      <c r="E8605" s="5">
        <v>-28401</v>
      </c>
      <c r="F8605" s="3" t="s">
        <v>108</v>
      </c>
      <c r="G8605" s="3" t="s">
        <v>31</v>
      </c>
      <c r="H8605" s="2" t="s">
        <v>20</v>
      </c>
      <c r="I8605" s="2" t="s">
        <v>16744</v>
      </c>
      <c r="J8605" s="3" t="str">
        <f>HYPERLINK("https://www.boe.es/gazeta/dias/1822/03/28/pdfs/GMD-1822-89.pdf#page=3","Abrir facsímil")</f>
        <v>Abrir facsímil</v>
      </c>
      <c r="K8605" s="3" t="s">
        <v>22</v>
      </c>
    </row>
    <row r="8606" spans="1:11" ht="42" customHeight="1">
      <c r="A8606" s="2" t="s">
        <v>16720</v>
      </c>
      <c r="B8606" s="2" t="s">
        <v>16720</v>
      </c>
      <c r="C8606" s="2" t="s">
        <v>50</v>
      </c>
      <c r="D8606" s="2" t="s">
        <v>51</v>
      </c>
      <c r="E8606" s="5">
        <v>-28400</v>
      </c>
      <c r="F8606" s="3" t="s">
        <v>1937</v>
      </c>
      <c r="G8606" s="3" t="s">
        <v>35</v>
      </c>
      <c r="H8606" s="2" t="s">
        <v>20</v>
      </c>
      <c r="I8606" s="2" t="s">
        <v>16745</v>
      </c>
      <c r="J8606" s="3" t="str">
        <f>HYPERLINK("https://www.boe.es/gazeta/dias/1822/03/29/pdfs/GMD-1822-90.pdf#page=2","Abrir facsímil")</f>
        <v>Abrir facsímil</v>
      </c>
      <c r="K8606" s="3" t="s">
        <v>22</v>
      </c>
    </row>
    <row r="8607" spans="1:11" ht="42" customHeight="1">
      <c r="A8607" s="2" t="s">
        <v>16720</v>
      </c>
      <c r="B8607" s="2" t="s">
        <v>16720</v>
      </c>
      <c r="C8607" s="2" t="s">
        <v>28</v>
      </c>
      <c r="D8607" s="2" t="s">
        <v>29</v>
      </c>
      <c r="E8607" s="5">
        <v>-28396</v>
      </c>
      <c r="F8607" s="3" t="s">
        <v>1138</v>
      </c>
      <c r="G8607" s="3" t="s">
        <v>63</v>
      </c>
      <c r="H8607" s="2" t="s">
        <v>20</v>
      </c>
      <c r="I8607" s="2" t="s">
        <v>16746</v>
      </c>
      <c r="J8607" s="3" t="str">
        <f>HYPERLINK("https://www.boe.es/gazeta/dias/1822/04/02/pdfs/GMD-1822-94.pdf#page=6","Abrir facsímil")</f>
        <v>Abrir facsímil</v>
      </c>
      <c r="K8607" s="3" t="s">
        <v>22</v>
      </c>
    </row>
    <row r="8608" spans="1:11" ht="42" customHeight="1">
      <c r="A8608" s="2" t="s">
        <v>16720</v>
      </c>
      <c r="B8608" s="2" t="s">
        <v>16720</v>
      </c>
      <c r="C8608" s="2" t="s">
        <v>50</v>
      </c>
      <c r="D8608" s="2" t="s">
        <v>51</v>
      </c>
      <c r="E8608" s="5">
        <v>-28395</v>
      </c>
      <c r="F8608" s="3" t="s">
        <v>237</v>
      </c>
      <c r="G8608" s="3" t="s">
        <v>57</v>
      </c>
      <c r="H8608" s="2" t="s">
        <v>20</v>
      </c>
      <c r="I8608" s="2" t="s">
        <v>16747</v>
      </c>
      <c r="J8608" s="3" t="str">
        <f>HYPERLINK("https://www.boe.es/gazeta/dias/1822/04/03/pdfs/GMD-1822-95.pdf#page=4","Abrir facsímil")</f>
        <v>Abrir facsímil</v>
      </c>
      <c r="K8608" s="3" t="s">
        <v>22</v>
      </c>
    </row>
    <row r="8609" spans="1:11" ht="42" customHeight="1">
      <c r="A8609" s="2" t="s">
        <v>16720</v>
      </c>
      <c r="B8609" s="2" t="s">
        <v>16720</v>
      </c>
      <c r="C8609" s="2" t="s">
        <v>50</v>
      </c>
      <c r="D8609" s="2" t="s">
        <v>51</v>
      </c>
      <c r="E8609" s="5">
        <v>-28394</v>
      </c>
      <c r="F8609" s="3" t="s">
        <v>268</v>
      </c>
      <c r="G8609" s="3" t="s">
        <v>57</v>
      </c>
      <c r="H8609" s="2" t="s">
        <v>20</v>
      </c>
      <c r="I8609" s="2" t="s">
        <v>16748</v>
      </c>
      <c r="J8609" s="3" t="str">
        <f>HYPERLINK("https://www.boe.es/gazeta/dias/1822/04/04/pdfs/GMD-1822-96.pdf#page=4","Abrir facsímil")</f>
        <v>Abrir facsímil</v>
      </c>
      <c r="K8609" s="3" t="s">
        <v>22</v>
      </c>
    </row>
    <row r="8610" spans="1:11" ht="42" customHeight="1">
      <c r="A8610" s="2" t="s">
        <v>16720</v>
      </c>
      <c r="B8610" s="2" t="s">
        <v>16720</v>
      </c>
      <c r="C8610" s="2" t="s">
        <v>42</v>
      </c>
      <c r="D8610" s="2" t="s">
        <v>17</v>
      </c>
      <c r="E8610" s="5">
        <v>-28391</v>
      </c>
      <c r="F8610" s="3" t="s">
        <v>378</v>
      </c>
      <c r="G8610" s="3" t="s">
        <v>63</v>
      </c>
      <c r="H8610" s="2" t="s">
        <v>20</v>
      </c>
      <c r="I8610" s="2" t="s">
        <v>16749</v>
      </c>
      <c r="J8610" s="3" t="str">
        <f>HYPERLINK("https://www.boe.es/gazeta/dias/1822/04/07/pdfs/GMD-1822-99.pdf#page=6","Abrir facsímil")</f>
        <v>Abrir facsímil</v>
      </c>
      <c r="K8610" s="3" t="s">
        <v>22</v>
      </c>
    </row>
    <row r="8611" spans="1:11" ht="42" customHeight="1">
      <c r="A8611" s="2" t="s">
        <v>16720</v>
      </c>
      <c r="B8611" s="2" t="s">
        <v>16720</v>
      </c>
      <c r="C8611" s="2" t="s">
        <v>24</v>
      </c>
      <c r="D8611" s="2" t="s">
        <v>17</v>
      </c>
      <c r="E8611" s="5">
        <v>-28389</v>
      </c>
      <c r="F8611" s="3" t="s">
        <v>481</v>
      </c>
      <c r="G8611" s="3" t="s">
        <v>31</v>
      </c>
      <c r="H8611" s="2" t="s">
        <v>20</v>
      </c>
      <c r="I8611" s="2" t="s">
        <v>16750</v>
      </c>
      <c r="J8611" s="3" t="str">
        <f>HYPERLINK("https://www.boe.es/gazeta/dias/1822/04/09/pdfs/GMD-1822-101.pdf#page=3","Abrir facsímil")</f>
        <v>Abrir facsímil</v>
      </c>
      <c r="K8611" s="3" t="s">
        <v>22</v>
      </c>
    </row>
    <row r="8612" spans="1:11" ht="42" customHeight="1">
      <c r="A8612" s="2" t="s">
        <v>16720</v>
      </c>
      <c r="B8612" s="2" t="s">
        <v>16720</v>
      </c>
      <c r="C8612" s="2" t="s">
        <v>28</v>
      </c>
      <c r="D8612" s="2" t="s">
        <v>29</v>
      </c>
      <c r="E8612" s="5">
        <v>-28378</v>
      </c>
      <c r="F8612" s="3" t="s">
        <v>496</v>
      </c>
      <c r="G8612" s="3" t="s">
        <v>57</v>
      </c>
      <c r="H8612" s="2" t="s">
        <v>20</v>
      </c>
      <c r="I8612" s="2" t="s">
        <v>16751</v>
      </c>
      <c r="J8612" s="3" t="str">
        <f>HYPERLINK("https://www.boe.es/gazeta/dias/1822/04/20/pdfs/GMD-1822-112.pdf#page=4","Abrir facsímil")</f>
        <v>Abrir facsímil</v>
      </c>
      <c r="K8612" s="3" t="s">
        <v>22</v>
      </c>
    </row>
    <row r="8613" spans="1:11" ht="42" customHeight="1">
      <c r="A8613" s="2" t="s">
        <v>16720</v>
      </c>
      <c r="B8613" s="2" t="s">
        <v>16720</v>
      </c>
      <c r="C8613" s="2" t="s">
        <v>50</v>
      </c>
      <c r="D8613" s="2" t="s">
        <v>51</v>
      </c>
      <c r="E8613" s="5">
        <v>-28364</v>
      </c>
      <c r="F8613" s="3" t="s">
        <v>509</v>
      </c>
      <c r="G8613" s="3" t="s">
        <v>63</v>
      </c>
      <c r="H8613" s="2" t="s">
        <v>20</v>
      </c>
      <c r="I8613" s="2" t="s">
        <v>16752</v>
      </c>
      <c r="J8613" s="3" t="str">
        <f>HYPERLINK("https://www.boe.es/gazeta/dias/1822/05/04/pdfs/GMD-1822-126.pdf#page=6","Abrir facsímil")</f>
        <v>Abrir facsímil</v>
      </c>
      <c r="K8613" s="3" t="s">
        <v>22</v>
      </c>
    </row>
    <row r="8614" spans="1:11" ht="42" customHeight="1">
      <c r="A8614" s="2" t="s">
        <v>16720</v>
      </c>
      <c r="B8614" s="2" t="s">
        <v>16720</v>
      </c>
      <c r="C8614" s="2" t="s">
        <v>42</v>
      </c>
      <c r="D8614" s="2" t="s">
        <v>17</v>
      </c>
      <c r="E8614" s="5">
        <v>-28363</v>
      </c>
      <c r="F8614" s="3" t="s">
        <v>72</v>
      </c>
      <c r="G8614" s="3" t="s">
        <v>35</v>
      </c>
      <c r="H8614" s="2" t="s">
        <v>20</v>
      </c>
      <c r="I8614" s="2" t="s">
        <v>16753</v>
      </c>
      <c r="J8614" s="3" t="str">
        <f>HYPERLINK("https://www.boe.es/gazeta/dias/1822/05/05/pdfs/GMD-1822-127.pdf#page=2","Abrir facsímil")</f>
        <v>Abrir facsímil</v>
      </c>
      <c r="K8614" s="3" t="s">
        <v>22</v>
      </c>
    </row>
    <row r="8615" spans="1:11" ht="42" customHeight="1">
      <c r="A8615" s="2" t="s">
        <v>16720</v>
      </c>
      <c r="B8615" s="2" t="s">
        <v>16720</v>
      </c>
      <c r="C8615" s="2" t="s">
        <v>16</v>
      </c>
      <c r="D8615" s="2" t="s">
        <v>17</v>
      </c>
      <c r="E8615" s="5">
        <v>-28358</v>
      </c>
      <c r="F8615" s="3" t="s">
        <v>211</v>
      </c>
      <c r="G8615" s="3" t="s">
        <v>57</v>
      </c>
      <c r="H8615" s="2" t="s">
        <v>20</v>
      </c>
      <c r="I8615" s="2" t="s">
        <v>16754</v>
      </c>
      <c r="J8615" s="3" t="str">
        <f>HYPERLINK("https://www.boe.es/gazeta/dias/1822/05/10/pdfs/GMD-1822-132.pdf#page=4","Abrir facsímil")</f>
        <v>Abrir facsímil</v>
      </c>
      <c r="K8615" s="3" t="s">
        <v>22</v>
      </c>
    </row>
    <row r="8616" spans="1:11" ht="42" customHeight="1">
      <c r="A8616" s="2" t="s">
        <v>16720</v>
      </c>
      <c r="B8616" s="2" t="s">
        <v>16720</v>
      </c>
      <c r="C8616" s="2" t="s">
        <v>28</v>
      </c>
      <c r="D8616" s="2" t="s">
        <v>29</v>
      </c>
      <c r="E8616" s="5">
        <v>-28353</v>
      </c>
      <c r="F8616" s="3" t="s">
        <v>843</v>
      </c>
      <c r="G8616" s="3" t="s">
        <v>57</v>
      </c>
      <c r="H8616" s="2" t="s">
        <v>20</v>
      </c>
      <c r="I8616" s="2" t="s">
        <v>16755</v>
      </c>
      <c r="J8616" s="3" t="str">
        <f>HYPERLINK("https://www.boe.es/gazeta/dias/1822/05/15/pdfs/GMD-1822-137.pdf#page=4","Abrir facsímil")</f>
        <v>Abrir facsímil</v>
      </c>
      <c r="K8616" s="3" t="s">
        <v>22</v>
      </c>
    </row>
    <row r="8617" spans="1:11" ht="42" customHeight="1">
      <c r="A8617" s="2" t="s">
        <v>16720</v>
      </c>
      <c r="B8617" s="2" t="s">
        <v>16720</v>
      </c>
      <c r="C8617" s="2" t="s">
        <v>71</v>
      </c>
      <c r="D8617" s="2" t="s">
        <v>17</v>
      </c>
      <c r="E8617" s="5">
        <v>-28353</v>
      </c>
      <c r="F8617" s="3" t="s">
        <v>843</v>
      </c>
      <c r="G8617" s="3" t="s">
        <v>63</v>
      </c>
      <c r="H8617" s="2" t="s">
        <v>20</v>
      </c>
      <c r="I8617" s="2" t="s">
        <v>16756</v>
      </c>
      <c r="J8617" s="3" t="str">
        <f>HYPERLINK("https://www.boe.es/gazeta/dias/1822/05/15/pdfs/GMD-1822-137.pdf#page=6","Abrir facsímil")</f>
        <v>Abrir facsímil</v>
      </c>
      <c r="K8617" s="3" t="s">
        <v>22</v>
      </c>
    </row>
    <row r="8618" spans="1:11" ht="42" customHeight="1">
      <c r="A8618" s="2" t="s">
        <v>16720</v>
      </c>
      <c r="B8618" s="2" t="s">
        <v>16720</v>
      </c>
      <c r="C8618" s="2" t="s">
        <v>42</v>
      </c>
      <c r="D8618" s="2" t="s">
        <v>17</v>
      </c>
      <c r="E8618" s="5">
        <v>-28351</v>
      </c>
      <c r="F8618" s="3" t="s">
        <v>282</v>
      </c>
      <c r="G8618" s="3" t="s">
        <v>35</v>
      </c>
      <c r="H8618" s="2" t="s">
        <v>20</v>
      </c>
      <c r="I8618" s="2" t="s">
        <v>16757</v>
      </c>
      <c r="J8618" s="3" t="str">
        <f>HYPERLINK("https://www.boe.es/gazeta/dias/1822/05/17/pdfs/GMD-1822-139.pdf#page=2","Abrir facsímil")</f>
        <v>Abrir facsímil</v>
      </c>
      <c r="K8618" s="3" t="s">
        <v>22</v>
      </c>
    </row>
    <row r="8619" spans="1:11" ht="42" customHeight="1">
      <c r="A8619" s="2" t="s">
        <v>16720</v>
      </c>
      <c r="B8619" s="2" t="s">
        <v>16720</v>
      </c>
      <c r="C8619" s="2" t="s">
        <v>50</v>
      </c>
      <c r="D8619" s="2" t="s">
        <v>51</v>
      </c>
      <c r="E8619" s="5">
        <v>-28350</v>
      </c>
      <c r="F8619" s="3" t="s">
        <v>352</v>
      </c>
      <c r="G8619" s="3" t="s">
        <v>63</v>
      </c>
      <c r="H8619" s="2" t="s">
        <v>20</v>
      </c>
      <c r="I8619" s="2" t="s">
        <v>16758</v>
      </c>
      <c r="J8619" s="3" t="str">
        <f>HYPERLINK("https://www.boe.es/gazeta/dias/1822/05/18/pdfs/GMD-1822-140.pdf#page=6","Abrir facsímil")</f>
        <v>Abrir facsímil</v>
      </c>
      <c r="K8619" s="3" t="s">
        <v>22</v>
      </c>
    </row>
    <row r="8620" spans="1:11" ht="42" customHeight="1">
      <c r="A8620" s="2" t="s">
        <v>16720</v>
      </c>
      <c r="B8620" s="2" t="s">
        <v>16720</v>
      </c>
      <c r="C8620" s="2" t="s">
        <v>16</v>
      </c>
      <c r="D8620" s="2" t="s">
        <v>17</v>
      </c>
      <c r="E8620" s="5">
        <v>-28349</v>
      </c>
      <c r="F8620" s="3" t="s">
        <v>518</v>
      </c>
      <c r="G8620" s="3" t="s">
        <v>31</v>
      </c>
      <c r="H8620" s="2" t="s">
        <v>20</v>
      </c>
      <c r="I8620" s="2" t="s">
        <v>16759</v>
      </c>
      <c r="J8620" s="3" t="str">
        <f>HYPERLINK("https://www.boe.es/gazeta/dias/1822/05/19/pdfs/GMD-1822-141.pdf#page=3","Abrir facsímil")</f>
        <v>Abrir facsímil</v>
      </c>
      <c r="K8620" s="3" t="s">
        <v>22</v>
      </c>
    </row>
    <row r="8621" spans="1:11" ht="42" customHeight="1">
      <c r="A8621" s="2" t="s">
        <v>16720</v>
      </c>
      <c r="B8621" s="2" t="s">
        <v>16720</v>
      </c>
      <c r="C8621" s="2" t="s">
        <v>42</v>
      </c>
      <c r="D8621" s="2" t="s">
        <v>17</v>
      </c>
      <c r="E8621" s="5">
        <v>-28347</v>
      </c>
      <c r="F8621" s="3" t="s">
        <v>520</v>
      </c>
      <c r="G8621" s="3" t="s">
        <v>35</v>
      </c>
      <c r="H8621" s="2" t="s">
        <v>20</v>
      </c>
      <c r="I8621" s="2" t="s">
        <v>16760</v>
      </c>
      <c r="J8621" s="3" t="str">
        <f>HYPERLINK("https://www.boe.es/gazeta/dias/1822/05/21/pdfs/GMD-1822-144.pdf#page=2","Abrir facsímil")</f>
        <v>Abrir facsímil</v>
      </c>
      <c r="K8621" s="3" t="s">
        <v>22</v>
      </c>
    </row>
    <row r="8622" spans="1:11" ht="42" customHeight="1">
      <c r="A8622" s="2" t="s">
        <v>16720</v>
      </c>
      <c r="B8622" s="2" t="s">
        <v>16720</v>
      </c>
      <c r="C8622" s="2" t="s">
        <v>28</v>
      </c>
      <c r="D8622" s="2" t="s">
        <v>29</v>
      </c>
      <c r="E8622" s="5">
        <v>-28347</v>
      </c>
      <c r="F8622" s="3" t="s">
        <v>520</v>
      </c>
      <c r="G8622" s="3" t="s">
        <v>63</v>
      </c>
      <c r="H8622" s="2" t="s">
        <v>20</v>
      </c>
      <c r="I8622" s="2" t="s">
        <v>16761</v>
      </c>
      <c r="J8622" s="3" t="str">
        <f>HYPERLINK("https://www.boe.es/gazeta/dias/1822/05/21/pdfs/GMD-1822-144.pdf#page=6","Abrir facsímil")</f>
        <v>Abrir facsímil</v>
      </c>
      <c r="K8622" s="3" t="s">
        <v>22</v>
      </c>
    </row>
    <row r="8623" spans="1:11" ht="42" customHeight="1">
      <c r="A8623" s="2" t="s">
        <v>16720</v>
      </c>
      <c r="B8623" s="2" t="s">
        <v>16720</v>
      </c>
      <c r="C8623" s="2" t="s">
        <v>71</v>
      </c>
      <c r="D8623" s="2" t="s">
        <v>17</v>
      </c>
      <c r="E8623" s="5">
        <v>-28346</v>
      </c>
      <c r="F8623" s="3" t="s">
        <v>191</v>
      </c>
      <c r="G8623" s="3" t="s">
        <v>2823</v>
      </c>
      <c r="H8623" s="2" t="s">
        <v>20</v>
      </c>
      <c r="I8623" s="2" t="s">
        <v>16762</v>
      </c>
      <c r="J8623" s="3" t="str">
        <f>HYPERLINK("https://www.boe.es/gazeta/dias/1822/05/22/pdfs/GMD-1822-145.pdf#page=4","Abrir facsímil")</f>
        <v>Abrir facsímil</v>
      </c>
      <c r="K8623" s="3" t="s">
        <v>22</v>
      </c>
    </row>
    <row r="8624" spans="1:11" ht="42" customHeight="1">
      <c r="A8624" s="2" t="s">
        <v>16720</v>
      </c>
      <c r="B8624" s="2" t="s">
        <v>16720</v>
      </c>
      <c r="C8624" s="2" t="s">
        <v>71</v>
      </c>
      <c r="D8624" s="2" t="s">
        <v>17</v>
      </c>
      <c r="E8624" s="5">
        <v>-28346</v>
      </c>
      <c r="F8624" s="3" t="s">
        <v>191</v>
      </c>
      <c r="G8624" s="3" t="s">
        <v>63</v>
      </c>
      <c r="H8624" s="2" t="s">
        <v>20</v>
      </c>
      <c r="I8624" s="2" t="s">
        <v>16763</v>
      </c>
      <c r="J8624" s="3" t="str">
        <f>HYPERLINK("https://www.boe.es/gazeta/dias/1822/05/22/pdfs/GMD-1822-145.pdf#page=6","Abrir facsímil")</f>
        <v>Abrir facsímil</v>
      </c>
      <c r="K8624" s="3" t="s">
        <v>22</v>
      </c>
    </row>
    <row r="8625" spans="1:11" ht="42" customHeight="1">
      <c r="A8625" s="2" t="s">
        <v>16720</v>
      </c>
      <c r="B8625" s="2" t="s">
        <v>16720</v>
      </c>
      <c r="C8625" s="2" t="s">
        <v>42</v>
      </c>
      <c r="D8625" s="2" t="s">
        <v>17</v>
      </c>
      <c r="E8625" s="5">
        <v>-28345</v>
      </c>
      <c r="F8625" s="3" t="s">
        <v>294</v>
      </c>
      <c r="G8625" s="3" t="s">
        <v>31</v>
      </c>
      <c r="H8625" s="2" t="s">
        <v>20</v>
      </c>
      <c r="I8625" s="2" t="s">
        <v>16764</v>
      </c>
      <c r="J8625" s="3" t="str">
        <f>HYPERLINK("https://www.boe.es/gazeta/dias/1822/05/23/pdfs/GMD-1822-147.pdf#page=3","Abrir facsímil")</f>
        <v>Abrir facsímil</v>
      </c>
      <c r="K8625" s="3" t="s">
        <v>22</v>
      </c>
    </row>
    <row r="8626" spans="1:11" ht="42" customHeight="1">
      <c r="A8626" s="2" t="s">
        <v>16720</v>
      </c>
      <c r="B8626" s="2" t="s">
        <v>16720</v>
      </c>
      <c r="C8626" s="2" t="s">
        <v>24</v>
      </c>
      <c r="D8626" s="2" t="s">
        <v>17</v>
      </c>
      <c r="E8626" s="5">
        <v>-28344</v>
      </c>
      <c r="F8626" s="3" t="s">
        <v>524</v>
      </c>
      <c r="G8626" s="3" t="s">
        <v>19</v>
      </c>
      <c r="H8626" s="2" t="s">
        <v>20</v>
      </c>
      <c r="I8626" s="2" t="s">
        <v>16765</v>
      </c>
      <c r="J8626" s="3" t="str">
        <f>HYPERLINK("https://www.boe.es/gazeta/dias/1822/05/24/pdfs/GMD-1822-148.pdf#page=5","Abrir facsímil")</f>
        <v>Abrir facsímil</v>
      </c>
      <c r="K8626" s="3" t="s">
        <v>22</v>
      </c>
    </row>
    <row r="8627" spans="1:11" ht="42" customHeight="1">
      <c r="A8627" s="2" t="s">
        <v>16720</v>
      </c>
      <c r="B8627" s="2" t="s">
        <v>16720</v>
      </c>
      <c r="C8627" s="2" t="s">
        <v>24</v>
      </c>
      <c r="D8627" s="2" t="s">
        <v>17</v>
      </c>
      <c r="E8627" s="5">
        <v>-28339</v>
      </c>
      <c r="F8627" s="3" t="s">
        <v>197</v>
      </c>
      <c r="G8627" s="3" t="s">
        <v>63</v>
      </c>
      <c r="H8627" s="2" t="s">
        <v>20</v>
      </c>
      <c r="I8627" s="2" t="s">
        <v>16766</v>
      </c>
      <c r="J8627" s="3" t="str">
        <f>HYPERLINK("https://www.boe.es/gazeta/dias/1822/05/29/pdfs/GMD-1822-154.pdf#page=6","Abrir facsímil")</f>
        <v>Abrir facsímil</v>
      </c>
      <c r="K8627" s="3" t="s">
        <v>22</v>
      </c>
    </row>
    <row r="8628" spans="1:11" ht="42" customHeight="1">
      <c r="A8628" s="2" t="s">
        <v>16720</v>
      </c>
      <c r="B8628" s="2" t="s">
        <v>16720</v>
      </c>
      <c r="C8628" s="2" t="s">
        <v>71</v>
      </c>
      <c r="D8628" s="2" t="s">
        <v>17</v>
      </c>
      <c r="E8628" s="5">
        <v>-28332</v>
      </c>
      <c r="F8628" s="3" t="s">
        <v>535</v>
      </c>
      <c r="G8628" s="3" t="s">
        <v>35</v>
      </c>
      <c r="H8628" s="2" t="s">
        <v>20</v>
      </c>
      <c r="I8628" s="2" t="s">
        <v>16767</v>
      </c>
      <c r="J8628" s="3" t="str">
        <f>HYPERLINK("https://www.boe.es/gazeta/dias/1822/06/05/pdfs/GMD-1822-162.pdf#page=2","Abrir facsímil")</f>
        <v>Abrir facsímil</v>
      </c>
      <c r="K8628" s="3" t="s">
        <v>22</v>
      </c>
    </row>
    <row r="8629" spans="1:11" ht="42" customHeight="1">
      <c r="A8629" s="2" t="s">
        <v>16720</v>
      </c>
      <c r="B8629" s="2" t="s">
        <v>16720</v>
      </c>
      <c r="C8629" s="2" t="s">
        <v>42</v>
      </c>
      <c r="D8629" s="2" t="s">
        <v>17</v>
      </c>
      <c r="E8629" s="5">
        <v>-28326</v>
      </c>
      <c r="F8629" s="3" t="s">
        <v>543</v>
      </c>
      <c r="G8629" s="3" t="s">
        <v>19</v>
      </c>
      <c r="H8629" s="2" t="s">
        <v>20</v>
      </c>
      <c r="I8629" s="2" t="s">
        <v>16768</v>
      </c>
      <c r="J8629" s="3" t="str">
        <f>HYPERLINK("https://www.boe.es/gazeta/dias/1822/06/11/pdfs/GMD-1822-168.pdf#page=5","Abrir facsímil")</f>
        <v>Abrir facsímil</v>
      </c>
      <c r="K8629" s="3" t="s">
        <v>22</v>
      </c>
    </row>
    <row r="8630" spans="1:11" ht="42" customHeight="1">
      <c r="A8630" s="2" t="s">
        <v>16720</v>
      </c>
      <c r="B8630" s="2" t="s">
        <v>16720</v>
      </c>
      <c r="C8630" s="2" t="s">
        <v>50</v>
      </c>
      <c r="D8630" s="2" t="s">
        <v>51</v>
      </c>
      <c r="E8630" s="5">
        <v>-28325</v>
      </c>
      <c r="F8630" s="3" t="s">
        <v>104</v>
      </c>
      <c r="G8630" s="3" t="s">
        <v>31</v>
      </c>
      <c r="H8630" s="2" t="s">
        <v>20</v>
      </c>
      <c r="I8630" s="2" t="s">
        <v>16769</v>
      </c>
      <c r="J8630" s="3" t="str">
        <f>HYPERLINK("https://www.boe.es/gazeta/dias/1822/06/12/pdfs/GMD-1822-169.pdf#page=3","Abrir facsímil")</f>
        <v>Abrir facsímil</v>
      </c>
      <c r="K8630" s="3" t="s">
        <v>22</v>
      </c>
    </row>
    <row r="8631" spans="1:11" ht="42" customHeight="1">
      <c r="A8631" s="2" t="s">
        <v>16720</v>
      </c>
      <c r="B8631" s="2" t="s">
        <v>16720</v>
      </c>
      <c r="C8631" s="2" t="s">
        <v>50</v>
      </c>
      <c r="D8631" s="2" t="s">
        <v>51</v>
      </c>
      <c r="E8631" s="5">
        <v>-28324</v>
      </c>
      <c r="F8631" s="3" t="s">
        <v>305</v>
      </c>
      <c r="G8631" s="3" t="s">
        <v>57</v>
      </c>
      <c r="H8631" s="2" t="s">
        <v>20</v>
      </c>
      <c r="I8631" s="2" t="s">
        <v>16770</v>
      </c>
      <c r="J8631" s="3" t="str">
        <f>HYPERLINK("https://www.boe.es/gazeta/dias/1822/06/13/pdfs/GMD-1822-170.pdf#page=4","Abrir facsímil")</f>
        <v>Abrir facsímil</v>
      </c>
      <c r="K8631" s="3" t="s">
        <v>22</v>
      </c>
    </row>
    <row r="8632" spans="1:11" ht="42" customHeight="1">
      <c r="A8632" s="2" t="s">
        <v>16720</v>
      </c>
      <c r="B8632" s="2" t="s">
        <v>16720</v>
      </c>
      <c r="C8632" s="2" t="s">
        <v>42</v>
      </c>
      <c r="D8632" s="2" t="s">
        <v>17</v>
      </c>
      <c r="E8632" s="5">
        <v>-28323</v>
      </c>
      <c r="F8632" s="3" t="s">
        <v>116</v>
      </c>
      <c r="G8632" s="3" t="s">
        <v>19</v>
      </c>
      <c r="H8632" s="2" t="s">
        <v>20</v>
      </c>
      <c r="I8632" s="2" t="s">
        <v>16771</v>
      </c>
      <c r="J8632" s="3" t="str">
        <f>HYPERLINK("https://www.boe.es/gazeta/dias/1822/06/14/pdfs/GMD-1822-171.pdf#page=5","Abrir facsímil")</f>
        <v>Abrir facsímil</v>
      </c>
      <c r="K8632" s="3" t="s">
        <v>22</v>
      </c>
    </row>
    <row r="8633" spans="1:11" ht="42" customHeight="1">
      <c r="A8633" s="2" t="s">
        <v>16720</v>
      </c>
      <c r="B8633" s="2" t="s">
        <v>16720</v>
      </c>
      <c r="C8633" s="2" t="s">
        <v>28</v>
      </c>
      <c r="D8633" s="2" t="s">
        <v>29</v>
      </c>
      <c r="E8633" s="5">
        <v>-28317</v>
      </c>
      <c r="F8633" s="3" t="s">
        <v>546</v>
      </c>
      <c r="G8633" s="3" t="s">
        <v>57</v>
      </c>
      <c r="H8633" s="2" t="s">
        <v>20</v>
      </c>
      <c r="I8633" s="2" t="s">
        <v>16772</v>
      </c>
      <c r="J8633" s="3" t="str">
        <f>HYPERLINK("https://www.boe.es/gazeta/dias/1822/06/20/pdfs/GMD-1822-177.pdf#page=4","Abrir facsímil")</f>
        <v>Abrir facsímil</v>
      </c>
      <c r="K8633" s="3" t="s">
        <v>22</v>
      </c>
    </row>
    <row r="8634" spans="1:11" ht="42" customHeight="1">
      <c r="A8634" s="2" t="s">
        <v>16720</v>
      </c>
      <c r="B8634" s="2" t="s">
        <v>16720</v>
      </c>
      <c r="C8634" s="2" t="s">
        <v>50</v>
      </c>
      <c r="D8634" s="2" t="s">
        <v>51</v>
      </c>
      <c r="E8634" s="5">
        <v>-28315</v>
      </c>
      <c r="F8634" s="3" t="s">
        <v>1220</v>
      </c>
      <c r="G8634" s="3" t="s">
        <v>57</v>
      </c>
      <c r="H8634" s="2" t="s">
        <v>20</v>
      </c>
      <c r="I8634" s="2" t="s">
        <v>16773</v>
      </c>
      <c r="J8634" s="3" t="str">
        <f>HYPERLINK("https://www.boe.es/gazeta/dias/1822/06/22/pdfs/GMD-1822-180.pdf#page=4","Abrir facsímil")</f>
        <v>Abrir facsímil</v>
      </c>
      <c r="K8634" s="3" t="s">
        <v>22</v>
      </c>
    </row>
    <row r="8635" spans="1:11" ht="42" customHeight="1">
      <c r="A8635" s="2" t="s">
        <v>16720</v>
      </c>
      <c r="B8635" s="2" t="s">
        <v>16720</v>
      </c>
      <c r="C8635" s="2" t="s">
        <v>1141</v>
      </c>
      <c r="D8635" s="2" t="s">
        <v>29</v>
      </c>
      <c r="E8635" s="5">
        <v>-28315</v>
      </c>
      <c r="F8635" s="3" t="s">
        <v>1220</v>
      </c>
      <c r="G8635" s="3" t="s">
        <v>19</v>
      </c>
      <c r="H8635" s="2" t="s">
        <v>20</v>
      </c>
      <c r="I8635" s="2" t="s">
        <v>16774</v>
      </c>
      <c r="J8635" s="3" t="str">
        <f>HYPERLINK("https://www.boe.es/gazeta/dias/1822/06/22/pdfs/GMD-1822-180.pdf#page=5","Abrir facsímil")</f>
        <v>Abrir facsímil</v>
      </c>
      <c r="K8635" s="3" t="s">
        <v>22</v>
      </c>
    </row>
    <row r="8636" spans="1:11" ht="42" customHeight="1">
      <c r="A8636" s="2" t="s">
        <v>16720</v>
      </c>
      <c r="B8636" s="2" t="s">
        <v>16720</v>
      </c>
      <c r="C8636" s="2" t="s">
        <v>16</v>
      </c>
      <c r="D8636" s="2" t="s">
        <v>17</v>
      </c>
      <c r="E8636" s="5">
        <v>-28314</v>
      </c>
      <c r="F8636" s="3" t="s">
        <v>309</v>
      </c>
      <c r="G8636" s="3" t="s">
        <v>35</v>
      </c>
      <c r="H8636" s="2" t="s">
        <v>20</v>
      </c>
      <c r="I8636" s="2" t="s">
        <v>16775</v>
      </c>
      <c r="J8636" s="3" t="str">
        <f>HYPERLINK("https://www.boe.es/gazeta/dias/1822/06/23/pdfs/GMD-1822-181.pdf#page=2","Abrir facsímil")</f>
        <v>Abrir facsímil</v>
      </c>
      <c r="K8636" s="3" t="s">
        <v>22</v>
      </c>
    </row>
    <row r="8637" spans="1:11" ht="42" customHeight="1">
      <c r="A8637" s="2" t="s">
        <v>16720</v>
      </c>
      <c r="B8637" s="2" t="s">
        <v>16720</v>
      </c>
      <c r="C8637" s="2" t="s">
        <v>71</v>
      </c>
      <c r="D8637" s="2" t="s">
        <v>17</v>
      </c>
      <c r="E8637" s="5">
        <v>-28313</v>
      </c>
      <c r="F8637" s="3" t="s">
        <v>315</v>
      </c>
      <c r="G8637" s="3" t="s">
        <v>549</v>
      </c>
      <c r="H8637" s="2" t="s">
        <v>20</v>
      </c>
      <c r="I8637" s="2" t="s">
        <v>16776</v>
      </c>
      <c r="J8637" s="3" t="str">
        <f>HYPERLINK("https://www.boe.es/gazeta/dias/1822/06/24/pdfs/GMD-1822-182.pdf#page=6","Abrir facsímil")</f>
        <v>Abrir facsímil</v>
      </c>
      <c r="K8637" s="3" t="s">
        <v>22</v>
      </c>
    </row>
    <row r="8638" spans="1:11" ht="42" customHeight="1">
      <c r="A8638" s="2" t="s">
        <v>16720</v>
      </c>
      <c r="B8638" s="2" t="s">
        <v>16720</v>
      </c>
      <c r="C8638" s="2" t="s">
        <v>61</v>
      </c>
      <c r="D8638" s="2" t="s">
        <v>17</v>
      </c>
      <c r="E8638" s="5">
        <v>-28312</v>
      </c>
      <c r="F8638" s="3" t="s">
        <v>92</v>
      </c>
      <c r="G8638" s="3" t="s">
        <v>93</v>
      </c>
      <c r="H8638" s="2" t="s">
        <v>20</v>
      </c>
      <c r="I8638" s="2" t="s">
        <v>16777</v>
      </c>
      <c r="J8638" s="3" t="str">
        <f>HYPERLINK("https://www.boe.es/gazeta/dias/1822/06/25/pdfs/GMD-1822-183.pdf#page=4","Abrir facsímil")</f>
        <v>Abrir facsímil</v>
      </c>
      <c r="K8638" s="3" t="s">
        <v>22</v>
      </c>
    </row>
    <row r="8639" spans="1:11" ht="42" customHeight="1">
      <c r="A8639" s="2" t="s">
        <v>16720</v>
      </c>
      <c r="B8639" s="2" t="s">
        <v>16720</v>
      </c>
      <c r="C8639" s="2" t="s">
        <v>42</v>
      </c>
      <c r="D8639" s="2" t="s">
        <v>17</v>
      </c>
      <c r="E8639" s="5">
        <v>-28312</v>
      </c>
      <c r="F8639" s="3" t="s">
        <v>92</v>
      </c>
      <c r="G8639" s="3" t="s">
        <v>35</v>
      </c>
      <c r="H8639" s="2" t="s">
        <v>20</v>
      </c>
      <c r="I8639" s="2" t="s">
        <v>16778</v>
      </c>
      <c r="J8639" s="3" t="str">
        <f>HYPERLINK("https://www.boe.es/gazeta/dias/1822/06/25/pdfs/GMD-1822-183.pdf#page=2","Abrir facsímil")</f>
        <v>Abrir facsímil</v>
      </c>
      <c r="K8639" s="3" t="s">
        <v>22</v>
      </c>
    </row>
    <row r="8640" spans="1:11" ht="42" customHeight="1">
      <c r="A8640" s="2" t="s">
        <v>16720</v>
      </c>
      <c r="B8640" s="2" t="s">
        <v>16720</v>
      </c>
      <c r="C8640" s="2" t="s">
        <v>71</v>
      </c>
      <c r="D8640" s="2" t="s">
        <v>17</v>
      </c>
      <c r="E8640" s="5">
        <v>-28311</v>
      </c>
      <c r="F8640" s="3" t="s">
        <v>736</v>
      </c>
      <c r="G8640" s="3" t="s">
        <v>44</v>
      </c>
      <c r="H8640" s="2" t="s">
        <v>20</v>
      </c>
      <c r="I8640" s="2" t="s">
        <v>16779</v>
      </c>
      <c r="J8640" s="3" t="str">
        <f>HYPERLINK("https://www.boe.es/gazeta/dias/1822/06/26/pdfs/GMD-1822-184.pdf#page=1","Abrir facsímil")</f>
        <v>Abrir facsímil</v>
      </c>
      <c r="K8640" s="3" t="s">
        <v>22</v>
      </c>
    </row>
    <row r="8641" spans="1:11" ht="42" customHeight="1">
      <c r="A8641" s="2" t="s">
        <v>16720</v>
      </c>
      <c r="B8641" s="2" t="s">
        <v>16720</v>
      </c>
      <c r="C8641" s="2" t="s">
        <v>28</v>
      </c>
      <c r="D8641" s="2" t="s">
        <v>29</v>
      </c>
      <c r="E8641" s="5">
        <v>-28310</v>
      </c>
      <c r="F8641" s="3" t="s">
        <v>241</v>
      </c>
      <c r="G8641" s="3" t="s">
        <v>35</v>
      </c>
      <c r="H8641" s="2" t="s">
        <v>20</v>
      </c>
      <c r="I8641" s="2" t="s">
        <v>16780</v>
      </c>
      <c r="J8641" s="3" t="str">
        <f>HYPERLINK("https://www.boe.es/gazeta/dias/1822/06/27/pdfs/GMD-1822-185.pdf#page=2","Abrir facsímil")</f>
        <v>Abrir facsímil</v>
      </c>
      <c r="K8641" s="3" t="s">
        <v>22</v>
      </c>
    </row>
    <row r="8642" spans="1:11" ht="42" customHeight="1">
      <c r="A8642" s="2" t="s">
        <v>16720</v>
      </c>
      <c r="B8642" s="2" t="s">
        <v>16720</v>
      </c>
      <c r="C8642" s="2" t="s">
        <v>16</v>
      </c>
      <c r="D8642" s="2" t="s">
        <v>17</v>
      </c>
      <c r="E8642" s="5">
        <v>-28307</v>
      </c>
      <c r="F8642" s="3" t="s">
        <v>555</v>
      </c>
      <c r="G8642" s="3" t="s">
        <v>31</v>
      </c>
      <c r="H8642" s="2" t="s">
        <v>20</v>
      </c>
      <c r="I8642" s="2" t="s">
        <v>16781</v>
      </c>
      <c r="J8642" s="3" t="str">
        <f>HYPERLINK("https://www.boe.es/gazeta/dias/1822/06/30/pdfs/GMD-1822-188.pdf#page=3","Abrir facsímil")</f>
        <v>Abrir facsímil</v>
      </c>
      <c r="K8642" s="3" t="s">
        <v>22</v>
      </c>
    </row>
    <row r="8643" spans="1:11" ht="42" customHeight="1">
      <c r="A8643" s="2" t="s">
        <v>16720</v>
      </c>
      <c r="B8643" s="2" t="s">
        <v>16720</v>
      </c>
      <c r="C8643" s="2" t="s">
        <v>24</v>
      </c>
      <c r="D8643" s="2" t="s">
        <v>17</v>
      </c>
      <c r="E8643" s="5">
        <v>-28307</v>
      </c>
      <c r="F8643" s="3" t="s">
        <v>555</v>
      </c>
      <c r="G8643" s="3" t="s">
        <v>63</v>
      </c>
      <c r="H8643" s="2" t="s">
        <v>20</v>
      </c>
      <c r="I8643" s="2" t="s">
        <v>16782</v>
      </c>
      <c r="J8643" s="3" t="str">
        <f>HYPERLINK("https://www.boe.es/gazeta/dias/1822/06/30/pdfs/GMD-1822-188.pdf#page=6","Abrir facsímil")</f>
        <v>Abrir facsímil</v>
      </c>
      <c r="K8643" s="3" t="s">
        <v>22</v>
      </c>
    </row>
    <row r="8644" spans="1:11" ht="42" customHeight="1">
      <c r="A8644" s="2" t="s">
        <v>16720</v>
      </c>
      <c r="B8644" s="2" t="s">
        <v>16720</v>
      </c>
      <c r="C8644" s="2" t="s">
        <v>50</v>
      </c>
      <c r="D8644" s="2" t="s">
        <v>51</v>
      </c>
      <c r="E8644" s="5">
        <v>-28307</v>
      </c>
      <c r="F8644" s="3" t="s">
        <v>555</v>
      </c>
      <c r="G8644" s="3" t="s">
        <v>167</v>
      </c>
      <c r="H8644" s="2" t="s">
        <v>20</v>
      </c>
      <c r="I8644" s="2" t="s">
        <v>16783</v>
      </c>
      <c r="J8644" s="3" t="str">
        <f>HYPERLINK("https://www.boe.es/gazeta/dias/1822/06/30/pdfs/GMD-1822-188.pdf#page=7","Abrir facsímil")</f>
        <v>Abrir facsímil</v>
      </c>
      <c r="K8644" s="3" t="s">
        <v>22</v>
      </c>
    </row>
    <row r="8645" spans="1:11" ht="42" customHeight="1">
      <c r="A8645" s="2" t="s">
        <v>16720</v>
      </c>
      <c r="B8645" s="2" t="s">
        <v>16720</v>
      </c>
      <c r="C8645" s="2" t="s">
        <v>28</v>
      </c>
      <c r="D8645" s="2" t="s">
        <v>29</v>
      </c>
      <c r="E8645" s="5">
        <v>-28293</v>
      </c>
      <c r="F8645" s="3" t="s">
        <v>152</v>
      </c>
      <c r="G8645" s="3" t="s">
        <v>57</v>
      </c>
      <c r="H8645" s="2" t="s">
        <v>20</v>
      </c>
      <c r="I8645" s="2" t="s">
        <v>16784</v>
      </c>
      <c r="J8645" s="3" t="str">
        <f>HYPERLINK("https://www.boe.es/gazeta/dias/1822/07/14/pdfs/GMD-1822-204.pdf#page=4","Abrir facsímil")</f>
        <v>Abrir facsímil</v>
      </c>
      <c r="K8645" s="3" t="s">
        <v>22</v>
      </c>
    </row>
    <row r="8646" spans="1:11" ht="42" customHeight="1">
      <c r="A8646" s="2" t="s">
        <v>16720</v>
      </c>
      <c r="B8646" s="2" t="s">
        <v>16720</v>
      </c>
      <c r="C8646" s="2" t="s">
        <v>42</v>
      </c>
      <c r="D8646" s="2" t="s">
        <v>17</v>
      </c>
      <c r="E8646" s="5">
        <v>-28288</v>
      </c>
      <c r="F8646" s="3" t="s">
        <v>970</v>
      </c>
      <c r="G8646" s="3" t="s">
        <v>44</v>
      </c>
      <c r="H8646" s="2" t="s">
        <v>20</v>
      </c>
      <c r="I8646" s="2" t="s">
        <v>16785</v>
      </c>
      <c r="J8646" s="3" t="str">
        <f>HYPERLINK("https://www.boe.es/gazeta/dias/1822/07/19/pdfs/GMD-1822-211.pdf#page=1","Abrir facsímil")</f>
        <v>Abrir facsímil</v>
      </c>
      <c r="K8646" s="3" t="s">
        <v>22</v>
      </c>
    </row>
    <row r="8647" spans="1:11" ht="42" customHeight="1">
      <c r="A8647" s="2" t="s">
        <v>16720</v>
      </c>
      <c r="B8647" s="2" t="s">
        <v>16720</v>
      </c>
      <c r="C8647" s="2" t="s">
        <v>50</v>
      </c>
      <c r="D8647" s="2" t="s">
        <v>51</v>
      </c>
      <c r="E8647" s="5">
        <v>-28281</v>
      </c>
      <c r="F8647" s="3" t="s">
        <v>3310</v>
      </c>
      <c r="G8647" s="3" t="s">
        <v>31</v>
      </c>
      <c r="H8647" s="2" t="s">
        <v>20</v>
      </c>
      <c r="I8647" s="2" t="s">
        <v>16786</v>
      </c>
      <c r="J8647" s="3" t="str">
        <f>HYPERLINK("https://www.boe.es/gazeta/dias/1822/07/26/pdfs/GMD-1822-219.pdf#page=3","Abrir facsímil")</f>
        <v>Abrir facsímil</v>
      </c>
      <c r="K8647" s="3" t="s">
        <v>22</v>
      </c>
    </row>
    <row r="8648" spans="1:11" ht="42" customHeight="1">
      <c r="A8648" s="2" t="s">
        <v>16720</v>
      </c>
      <c r="B8648" s="2" t="s">
        <v>16720</v>
      </c>
      <c r="C8648" s="2" t="s">
        <v>28</v>
      </c>
      <c r="D8648" s="2" t="s">
        <v>29</v>
      </c>
      <c r="E8648" s="5">
        <v>-28267</v>
      </c>
      <c r="F8648" s="3" t="s">
        <v>1270</v>
      </c>
      <c r="G8648" s="3" t="s">
        <v>44</v>
      </c>
      <c r="H8648" s="2" t="s">
        <v>20</v>
      </c>
      <c r="I8648" s="2" t="s">
        <v>16787</v>
      </c>
      <c r="J8648" s="3" t="str">
        <f>HYPERLINK("https://www.boe.es/gazeta/dias/1822/08/09/pdfs/GMD-1822-233.pdf#page=1","Abrir facsímil")</f>
        <v>Abrir facsímil</v>
      </c>
      <c r="K8648" s="3" t="s">
        <v>22</v>
      </c>
    </row>
    <row r="8649" spans="1:11" ht="42" customHeight="1">
      <c r="A8649" s="2" t="s">
        <v>16720</v>
      </c>
      <c r="B8649" s="2" t="s">
        <v>16720</v>
      </c>
      <c r="C8649" s="2" t="s">
        <v>50</v>
      </c>
      <c r="D8649" s="2" t="s">
        <v>51</v>
      </c>
      <c r="E8649" s="5">
        <v>-28261</v>
      </c>
      <c r="F8649" s="3" t="s">
        <v>5685</v>
      </c>
      <c r="G8649" s="3" t="s">
        <v>35</v>
      </c>
      <c r="H8649" s="2" t="s">
        <v>20</v>
      </c>
      <c r="I8649" s="2" t="s">
        <v>16788</v>
      </c>
      <c r="J8649" s="3" t="str">
        <f>HYPERLINK("https://www.boe.es/gazeta/dias/1822/08/15/pdfs/GMD-1822-239.pdf#page=2","Abrir facsímil")</f>
        <v>Abrir facsímil</v>
      </c>
      <c r="K8649" s="3" t="s">
        <v>22</v>
      </c>
    </row>
    <row r="8650" spans="1:11" ht="42" customHeight="1">
      <c r="A8650" s="2" t="s">
        <v>16720</v>
      </c>
      <c r="B8650" s="2" t="s">
        <v>16720</v>
      </c>
      <c r="C8650" s="2" t="s">
        <v>61</v>
      </c>
      <c r="D8650" s="2" t="s">
        <v>17</v>
      </c>
      <c r="E8650" s="5">
        <v>-28254</v>
      </c>
      <c r="F8650" s="3" t="s">
        <v>3557</v>
      </c>
      <c r="G8650" s="3" t="s">
        <v>57</v>
      </c>
      <c r="H8650" s="2" t="s">
        <v>20</v>
      </c>
      <c r="I8650" s="2" t="s">
        <v>16789</v>
      </c>
      <c r="J8650" s="3" t="str">
        <f>HYPERLINK("https://www.boe.es/gazeta/dias/1822/08/22/pdfs/GMD-1822-246.pdf#page=4","Abrir facsímil")</f>
        <v>Abrir facsímil</v>
      </c>
      <c r="K8650" s="3" t="s">
        <v>22</v>
      </c>
    </row>
    <row r="8651" spans="1:11" ht="42" customHeight="1">
      <c r="A8651" s="2" t="s">
        <v>16720</v>
      </c>
      <c r="B8651" s="2" t="s">
        <v>16720</v>
      </c>
      <c r="C8651" s="2" t="s">
        <v>50</v>
      </c>
      <c r="D8651" s="2" t="s">
        <v>51</v>
      </c>
      <c r="E8651" s="5">
        <v>-28249</v>
      </c>
      <c r="F8651" s="3" t="s">
        <v>3986</v>
      </c>
      <c r="G8651" s="3" t="s">
        <v>35</v>
      </c>
      <c r="H8651" s="2" t="s">
        <v>20</v>
      </c>
      <c r="I8651" s="2" t="s">
        <v>16790</v>
      </c>
      <c r="J8651" s="3" t="str">
        <f>HYPERLINK("https://www.boe.es/gazeta/dias/1822/08/27/pdfs/GMD-1822-251.pdf#page=2","Abrir facsímil")</f>
        <v>Abrir facsímil</v>
      </c>
      <c r="K8651" s="3" t="s">
        <v>22</v>
      </c>
    </row>
    <row r="8652" spans="1:11" ht="42" customHeight="1">
      <c r="A8652" s="2" t="s">
        <v>16720</v>
      </c>
      <c r="B8652" s="2" t="s">
        <v>16720</v>
      </c>
      <c r="C8652" s="2" t="s">
        <v>42</v>
      </c>
      <c r="D8652" s="2" t="s">
        <v>17</v>
      </c>
      <c r="E8652" s="5">
        <v>-28235</v>
      </c>
      <c r="F8652" s="3" t="s">
        <v>1470</v>
      </c>
      <c r="G8652" s="3" t="s">
        <v>35</v>
      </c>
      <c r="H8652" s="2" t="s">
        <v>20</v>
      </c>
      <c r="I8652" s="2" t="s">
        <v>16791</v>
      </c>
      <c r="J8652" s="3" t="str">
        <f>HYPERLINK("https://www.boe.es/gazeta/dias/1822/09/10/pdfs/GMD-1822-266.pdf#page=2","Abrir facsímil")</f>
        <v>Abrir facsímil</v>
      </c>
      <c r="K8652" s="3" t="s">
        <v>22</v>
      </c>
    </row>
    <row r="8653" spans="1:11" ht="42" customHeight="1">
      <c r="A8653" s="2" t="s">
        <v>16720</v>
      </c>
      <c r="B8653" s="2" t="s">
        <v>16720</v>
      </c>
      <c r="C8653" s="2" t="s">
        <v>42</v>
      </c>
      <c r="D8653" s="2" t="s">
        <v>17</v>
      </c>
      <c r="E8653" s="5">
        <v>-28210</v>
      </c>
      <c r="F8653" s="3" t="s">
        <v>218</v>
      </c>
      <c r="G8653" s="3" t="s">
        <v>19</v>
      </c>
      <c r="H8653" s="2" t="s">
        <v>20</v>
      </c>
      <c r="I8653" s="2" t="s">
        <v>16792</v>
      </c>
      <c r="J8653" s="3" t="str">
        <f>HYPERLINK("https://www.boe.es/gazeta/dias/1822/10/05/pdfs/GMD-1822-291.pdf#page=5","Abrir facsímil")</f>
        <v>Abrir facsímil</v>
      </c>
      <c r="K8653" s="3" t="s">
        <v>22</v>
      </c>
    </row>
    <row r="8654" spans="1:11" ht="42" customHeight="1">
      <c r="A8654" s="2" t="s">
        <v>16720</v>
      </c>
      <c r="B8654" s="2" t="s">
        <v>16720</v>
      </c>
      <c r="C8654" s="2" t="s">
        <v>42</v>
      </c>
      <c r="D8654" s="2" t="s">
        <v>17</v>
      </c>
      <c r="E8654" s="5">
        <v>-28208</v>
      </c>
      <c r="F8654" s="3" t="s">
        <v>230</v>
      </c>
      <c r="G8654" s="3" t="s">
        <v>57</v>
      </c>
      <c r="H8654" s="2" t="s">
        <v>20</v>
      </c>
      <c r="I8654" s="2" t="s">
        <v>16793</v>
      </c>
      <c r="J8654" s="3" t="str">
        <f>HYPERLINK("https://www.boe.es/gazeta/dias/1822/10/07/pdfs/GMD-1822-293.pdf#page=4","Abrir facsímil")</f>
        <v>Abrir facsímil</v>
      </c>
      <c r="K8654" s="3" t="s">
        <v>22</v>
      </c>
    </row>
    <row r="8655" spans="1:11" ht="42" customHeight="1">
      <c r="A8655" s="2" t="s">
        <v>16720</v>
      </c>
      <c r="B8655" s="2" t="s">
        <v>16720</v>
      </c>
      <c r="C8655" s="2" t="s">
        <v>50</v>
      </c>
      <c r="D8655" s="2" t="s">
        <v>51</v>
      </c>
      <c r="E8655" s="5">
        <v>-28203</v>
      </c>
      <c r="F8655" s="3" t="s">
        <v>564</v>
      </c>
      <c r="G8655" s="3" t="s">
        <v>4185</v>
      </c>
      <c r="H8655" s="2" t="s">
        <v>20</v>
      </c>
      <c r="I8655" s="2" t="s">
        <v>16794</v>
      </c>
      <c r="J8655" s="3" t="str">
        <f>HYPERLINK("https://www.boe.es/gazeta/dias/1822/10/12/pdfs/GMD-1822-299.pdf#page=2","Abrir facsímil")</f>
        <v>Abrir facsímil</v>
      </c>
      <c r="K8655" s="3" t="s">
        <v>22</v>
      </c>
    </row>
    <row r="8656" spans="1:11" ht="42" customHeight="1">
      <c r="A8656" s="2" t="s">
        <v>16720</v>
      </c>
      <c r="B8656" s="2" t="s">
        <v>16720</v>
      </c>
      <c r="C8656" s="2" t="s">
        <v>42</v>
      </c>
      <c r="D8656" s="2" t="s">
        <v>17</v>
      </c>
      <c r="E8656" s="5">
        <v>-28201</v>
      </c>
      <c r="F8656" s="3" t="s">
        <v>163</v>
      </c>
      <c r="G8656" s="3" t="s">
        <v>57</v>
      </c>
      <c r="H8656" s="2" t="s">
        <v>20</v>
      </c>
      <c r="I8656" s="2" t="s">
        <v>16795</v>
      </c>
      <c r="J8656" s="3" t="str">
        <f>HYPERLINK("https://www.boe.es/gazeta/dias/1822/10/14/pdfs/GMD-1822-301.pdf#page=4","Abrir facsímil")</f>
        <v>Abrir facsímil</v>
      </c>
      <c r="K8656" s="3" t="s">
        <v>22</v>
      </c>
    </row>
    <row r="8657" spans="1:11" ht="42" customHeight="1">
      <c r="A8657" s="2" t="s">
        <v>16720</v>
      </c>
      <c r="B8657" s="2" t="s">
        <v>16720</v>
      </c>
      <c r="C8657" s="2" t="s">
        <v>50</v>
      </c>
      <c r="D8657" s="2" t="s">
        <v>51</v>
      </c>
      <c r="E8657" s="5">
        <v>-28199</v>
      </c>
      <c r="F8657" s="3" t="s">
        <v>656</v>
      </c>
      <c r="G8657" s="3" t="s">
        <v>44</v>
      </c>
      <c r="H8657" s="2" t="s">
        <v>20</v>
      </c>
      <c r="I8657" s="2" t="s">
        <v>16796</v>
      </c>
      <c r="J8657" s="3" t="str">
        <f>HYPERLINK("https://www.boe.es/gazeta/dias/1822/10/16/pdfs/GMD-1822-303.pdf#page=1","Abrir facsímil")</f>
        <v>Abrir facsímil</v>
      </c>
      <c r="K8657" s="3" t="s">
        <v>22</v>
      </c>
    </row>
    <row r="8658" spans="1:11" ht="42" customHeight="1">
      <c r="A8658" s="2" t="s">
        <v>16720</v>
      </c>
      <c r="B8658" s="2" t="s">
        <v>16720</v>
      </c>
      <c r="C8658" s="2" t="s">
        <v>42</v>
      </c>
      <c r="D8658" s="2" t="s">
        <v>17</v>
      </c>
      <c r="E8658" s="5">
        <v>-28199</v>
      </c>
      <c r="F8658" s="3" t="s">
        <v>656</v>
      </c>
      <c r="G8658" s="3" t="s">
        <v>57</v>
      </c>
      <c r="H8658" s="2" t="s">
        <v>20</v>
      </c>
      <c r="I8658" s="2" t="s">
        <v>16797</v>
      </c>
      <c r="J8658" s="3" t="str">
        <f>HYPERLINK("https://www.boe.es/gazeta/dias/1822/10/16/pdfs/GMD-1822-303.pdf#page=4","Abrir facsímil")</f>
        <v>Abrir facsímil</v>
      </c>
      <c r="K8658" s="3" t="s">
        <v>22</v>
      </c>
    </row>
    <row r="8659" spans="1:11" ht="42" customHeight="1">
      <c r="A8659" s="2" t="s">
        <v>16720</v>
      </c>
      <c r="B8659" s="2" t="s">
        <v>16720</v>
      </c>
      <c r="C8659" s="2" t="s">
        <v>16</v>
      </c>
      <c r="D8659" s="2" t="s">
        <v>17</v>
      </c>
      <c r="E8659" s="5">
        <v>-28194</v>
      </c>
      <c r="F8659" s="3" t="s">
        <v>18</v>
      </c>
      <c r="G8659" s="3" t="s">
        <v>57</v>
      </c>
      <c r="H8659" s="2" t="s">
        <v>20</v>
      </c>
      <c r="I8659" s="2" t="s">
        <v>16798</v>
      </c>
      <c r="J8659" s="3" t="str">
        <f>HYPERLINK("https://www.boe.es/gazeta/dias/1822/10/21/pdfs/GMD-1822-308.pdf#page=4","Abrir facsímil")</f>
        <v>Abrir facsímil</v>
      </c>
      <c r="K8659" s="3" t="s">
        <v>22</v>
      </c>
    </row>
    <row r="8660" spans="1:11" ht="42" customHeight="1">
      <c r="A8660" s="2" t="s">
        <v>16720</v>
      </c>
      <c r="B8660" s="2" t="s">
        <v>16720</v>
      </c>
      <c r="C8660" s="2" t="s">
        <v>28</v>
      </c>
      <c r="D8660" s="2" t="s">
        <v>29</v>
      </c>
      <c r="E8660" s="5">
        <v>-28193</v>
      </c>
      <c r="F8660" s="3" t="s">
        <v>574</v>
      </c>
      <c r="G8660" s="3" t="s">
        <v>44</v>
      </c>
      <c r="H8660" s="2" t="s">
        <v>20</v>
      </c>
      <c r="I8660" s="2" t="s">
        <v>16799</v>
      </c>
      <c r="J8660" s="3" t="str">
        <f>HYPERLINK("https://www.boe.es/gazeta/dias/1822/10/22/pdfs/GMD-1822-309.pdf#page=1","Abrir facsímil")</f>
        <v>Abrir facsímil</v>
      </c>
      <c r="K8660" s="3" t="s">
        <v>22</v>
      </c>
    </row>
    <row r="8661" spans="1:11" ht="42" customHeight="1">
      <c r="A8661" s="2" t="s">
        <v>16720</v>
      </c>
      <c r="B8661" s="2" t="s">
        <v>16720</v>
      </c>
      <c r="C8661" s="2" t="s">
        <v>42</v>
      </c>
      <c r="D8661" s="2" t="s">
        <v>17</v>
      </c>
      <c r="E8661" s="5">
        <v>-28192</v>
      </c>
      <c r="F8661" s="3" t="s">
        <v>43</v>
      </c>
      <c r="G8661" s="3" t="s">
        <v>63</v>
      </c>
      <c r="H8661" s="2" t="s">
        <v>20</v>
      </c>
      <c r="I8661" s="2" t="s">
        <v>16800</v>
      </c>
      <c r="J8661" s="3" t="str">
        <f>HYPERLINK("https://www.boe.es/gazeta/dias/1822/10/23/pdfs/GMD-1822-310.pdf#page=6","Abrir facsímil")</f>
        <v>Abrir facsímil</v>
      </c>
      <c r="K8661" s="3" t="s">
        <v>22</v>
      </c>
    </row>
    <row r="8662" spans="1:11" ht="42" customHeight="1">
      <c r="A8662" s="2" t="s">
        <v>16720</v>
      </c>
      <c r="B8662" s="2" t="s">
        <v>16720</v>
      </c>
      <c r="C8662" s="2" t="s">
        <v>71</v>
      </c>
      <c r="D8662" s="2" t="s">
        <v>17</v>
      </c>
      <c r="E8662" s="5">
        <v>-28191</v>
      </c>
      <c r="F8662" s="3" t="s">
        <v>710</v>
      </c>
      <c r="G8662" s="3" t="s">
        <v>44</v>
      </c>
      <c r="H8662" s="2" t="s">
        <v>20</v>
      </c>
      <c r="I8662" s="2" t="s">
        <v>16801</v>
      </c>
      <c r="J8662" s="3" t="str">
        <f>HYPERLINK("https://www.boe.es/gazeta/dias/1822/10/24/pdfs/GMD-1822-311.pdf#page=1","Abrir facsímil")</f>
        <v>Abrir facsímil</v>
      </c>
      <c r="K8662" s="3" t="s">
        <v>22</v>
      </c>
    </row>
    <row r="8663" spans="1:11" ht="42" customHeight="1">
      <c r="A8663" s="2" t="s">
        <v>16720</v>
      </c>
      <c r="B8663" s="2" t="s">
        <v>16720</v>
      </c>
      <c r="C8663" s="2" t="s">
        <v>42</v>
      </c>
      <c r="D8663" s="2" t="s">
        <v>17</v>
      </c>
      <c r="E8663" s="5">
        <v>-28191</v>
      </c>
      <c r="F8663" s="3" t="s">
        <v>710</v>
      </c>
      <c r="G8663" s="3" t="s">
        <v>63</v>
      </c>
      <c r="H8663" s="2" t="s">
        <v>20</v>
      </c>
      <c r="I8663" s="2" t="s">
        <v>16802</v>
      </c>
      <c r="J8663" s="3" t="str">
        <f>HYPERLINK("https://www.boe.es/gazeta/dias/1822/10/24/pdfs/GMD-1822-311.pdf#page=6","Abrir facsímil")</f>
        <v>Abrir facsímil</v>
      </c>
      <c r="K8663" s="3" t="s">
        <v>22</v>
      </c>
    </row>
    <row r="8664" spans="1:11" ht="42" customHeight="1">
      <c r="A8664" s="2" t="s">
        <v>16720</v>
      </c>
      <c r="B8664" s="2" t="s">
        <v>16720</v>
      </c>
      <c r="C8664" s="2" t="s">
        <v>50</v>
      </c>
      <c r="D8664" s="2" t="s">
        <v>51</v>
      </c>
      <c r="E8664" s="5">
        <v>-28188</v>
      </c>
      <c r="F8664" s="3" t="s">
        <v>578</v>
      </c>
      <c r="G8664" s="3" t="s">
        <v>63</v>
      </c>
      <c r="H8664" s="2" t="s">
        <v>20</v>
      </c>
      <c r="I8664" s="2" t="s">
        <v>16803</v>
      </c>
      <c r="J8664" s="3" t="str">
        <f>HYPERLINK("https://www.boe.es/gazeta/dias/1822/10/27/pdfs/GMD-1822-314.pdf#page=6","Abrir facsímil")</f>
        <v>Abrir facsímil</v>
      </c>
      <c r="K8664" s="3" t="s">
        <v>22</v>
      </c>
    </row>
    <row r="8665" spans="1:11" ht="42" customHeight="1">
      <c r="A8665" s="2" t="s">
        <v>16720</v>
      </c>
      <c r="B8665" s="2" t="s">
        <v>16720</v>
      </c>
      <c r="C8665" s="2" t="s">
        <v>42</v>
      </c>
      <c r="D8665" s="2" t="s">
        <v>17</v>
      </c>
      <c r="E8665" s="5">
        <v>-28186</v>
      </c>
      <c r="F8665" s="3" t="s">
        <v>581</v>
      </c>
      <c r="G8665" s="3" t="s">
        <v>35</v>
      </c>
      <c r="H8665" s="2" t="s">
        <v>20</v>
      </c>
      <c r="I8665" s="2" t="s">
        <v>16804</v>
      </c>
      <c r="J8665" s="3" t="str">
        <f>HYPERLINK("https://www.boe.es/gazeta/dias/1822/10/29/pdfs/GMD-1822-316.pdf#page=2","Abrir facsímil")</f>
        <v>Abrir facsímil</v>
      </c>
      <c r="K8665" s="3" t="s">
        <v>22</v>
      </c>
    </row>
    <row r="8666" spans="1:11" ht="42" customHeight="1">
      <c r="A8666" s="2" t="s">
        <v>16720</v>
      </c>
      <c r="B8666" s="2" t="s">
        <v>16720</v>
      </c>
      <c r="C8666" s="2" t="s">
        <v>24</v>
      </c>
      <c r="D8666" s="2" t="s">
        <v>17</v>
      </c>
      <c r="E8666" s="5">
        <v>-28183</v>
      </c>
      <c r="F8666" s="3" t="s">
        <v>583</v>
      </c>
      <c r="G8666" s="3" t="s">
        <v>63</v>
      </c>
      <c r="H8666" s="2" t="s">
        <v>20</v>
      </c>
      <c r="I8666" s="2" t="s">
        <v>16805</v>
      </c>
      <c r="J8666" s="3" t="str">
        <f>HYPERLINK("https://www.boe.es/gazeta/dias/1822/11/01/pdfs/GMD-1822-319.pdf#page=6","Abrir facsímil")</f>
        <v>Abrir facsímil</v>
      </c>
      <c r="K8666" s="3" t="s">
        <v>22</v>
      </c>
    </row>
    <row r="8667" spans="1:11" ht="42" customHeight="1">
      <c r="A8667" s="2" t="s">
        <v>16720</v>
      </c>
      <c r="B8667" s="2" t="s">
        <v>16720</v>
      </c>
      <c r="C8667" s="2" t="s">
        <v>42</v>
      </c>
      <c r="D8667" s="2" t="s">
        <v>17</v>
      </c>
      <c r="E8667" s="5">
        <v>-28182</v>
      </c>
      <c r="F8667" s="3" t="s">
        <v>585</v>
      </c>
      <c r="G8667" s="3" t="s">
        <v>19</v>
      </c>
      <c r="H8667" s="2" t="s">
        <v>20</v>
      </c>
      <c r="I8667" s="2" t="s">
        <v>16806</v>
      </c>
      <c r="J8667" s="3" t="str">
        <f>HYPERLINK("https://www.boe.es/gazeta/dias/1822/11/02/pdfs/GMD-1822-320.pdf#page=5","Abrir facsímil")</f>
        <v>Abrir facsímil</v>
      </c>
      <c r="K8667" s="3" t="s">
        <v>22</v>
      </c>
    </row>
    <row r="8668" spans="1:11" ht="42" customHeight="1">
      <c r="A8668" s="2" t="s">
        <v>16720</v>
      </c>
      <c r="B8668" s="2" t="s">
        <v>16720</v>
      </c>
      <c r="C8668" s="2" t="s">
        <v>50</v>
      </c>
      <c r="D8668" s="2" t="s">
        <v>723</v>
      </c>
      <c r="E8668" s="5">
        <v>-28181</v>
      </c>
      <c r="F8668" s="3" t="s">
        <v>724</v>
      </c>
      <c r="G8668" s="3" t="s">
        <v>35</v>
      </c>
      <c r="H8668" s="2" t="s">
        <v>20</v>
      </c>
      <c r="I8668" s="2" t="s">
        <v>16807</v>
      </c>
      <c r="J8668" s="3" t="str">
        <f>HYPERLINK("https://www.boe.es/gazeta/dias/1822/11/03/pdfs/GMD-1822-322E.pdf#page=2","Abrir facsímil")</f>
        <v>Abrir facsímil</v>
      </c>
      <c r="K8668" s="3" t="s">
        <v>22</v>
      </c>
    </row>
    <row r="8669" spans="1:11" ht="42" customHeight="1">
      <c r="A8669" s="2" t="s">
        <v>16720</v>
      </c>
      <c r="B8669" s="2" t="s">
        <v>16720</v>
      </c>
      <c r="C8669" s="2" t="s">
        <v>50</v>
      </c>
      <c r="D8669" s="2" t="s">
        <v>51</v>
      </c>
      <c r="E8669" s="5">
        <v>-28178</v>
      </c>
      <c r="F8669" s="3" t="s">
        <v>318</v>
      </c>
      <c r="G8669" s="3" t="s">
        <v>44</v>
      </c>
      <c r="H8669" s="2" t="s">
        <v>20</v>
      </c>
      <c r="I8669" s="2" t="s">
        <v>16808</v>
      </c>
      <c r="J8669" s="3" t="str">
        <f>HYPERLINK("https://www.boe.es/gazeta/dias/1822/11/06/pdfs/GMD-1822-326.pdf#page=1","Abrir facsímil")</f>
        <v>Abrir facsímil</v>
      </c>
      <c r="K8669" s="3" t="s">
        <v>22</v>
      </c>
    </row>
    <row r="8670" spans="1:11" ht="42" customHeight="1">
      <c r="A8670" s="2" t="s">
        <v>16720</v>
      </c>
      <c r="B8670" s="2" t="s">
        <v>16720</v>
      </c>
      <c r="C8670" s="2" t="s">
        <v>50</v>
      </c>
      <c r="D8670" s="2" t="s">
        <v>51</v>
      </c>
      <c r="E8670" s="5">
        <v>-28170</v>
      </c>
      <c r="F8670" s="3" t="s">
        <v>1457</v>
      </c>
      <c r="G8670" s="3" t="s">
        <v>35</v>
      </c>
      <c r="H8670" s="2" t="s">
        <v>20</v>
      </c>
      <c r="I8670" s="2" t="s">
        <v>16809</v>
      </c>
      <c r="J8670" s="3" t="str">
        <f>HYPERLINK("https://www.boe.es/gazeta/dias/1822/11/14/pdfs/GMD-1822-334.pdf#page=2","Abrir facsímil")</f>
        <v>Abrir facsímil</v>
      </c>
      <c r="K8670" s="3" t="s">
        <v>22</v>
      </c>
    </row>
    <row r="8671" spans="1:11" ht="42" customHeight="1">
      <c r="A8671" s="2" t="s">
        <v>16720</v>
      </c>
      <c r="B8671" s="2" t="s">
        <v>16720</v>
      </c>
      <c r="C8671" s="2" t="s">
        <v>71</v>
      </c>
      <c r="D8671" s="2" t="s">
        <v>17</v>
      </c>
      <c r="E8671" s="5">
        <v>-28163</v>
      </c>
      <c r="F8671" s="3" t="s">
        <v>891</v>
      </c>
      <c r="G8671" s="3" t="s">
        <v>31</v>
      </c>
      <c r="H8671" s="2" t="s">
        <v>20</v>
      </c>
      <c r="I8671" s="2" t="s">
        <v>16810</v>
      </c>
      <c r="J8671" s="3" t="str">
        <f>HYPERLINK("https://www.boe.es/gazeta/dias/1822/11/21/pdfs/GMD-1822-341.pdf#page=3","Abrir facsímil")</f>
        <v>Abrir facsímil</v>
      </c>
      <c r="K8671" s="3" t="s">
        <v>22</v>
      </c>
    </row>
    <row r="8672" spans="1:11" ht="42" customHeight="1">
      <c r="A8672" s="2" t="s">
        <v>16720</v>
      </c>
      <c r="B8672" s="2" t="s">
        <v>16720</v>
      </c>
      <c r="C8672" s="2" t="s">
        <v>42</v>
      </c>
      <c r="D8672" s="2" t="s">
        <v>17</v>
      </c>
      <c r="E8672" s="5">
        <v>-28162</v>
      </c>
      <c r="F8672" s="3" t="s">
        <v>3949</v>
      </c>
      <c r="G8672" s="3" t="s">
        <v>31</v>
      </c>
      <c r="H8672" s="2" t="s">
        <v>20</v>
      </c>
      <c r="I8672" s="2" t="s">
        <v>16811</v>
      </c>
      <c r="J8672" s="3" t="str">
        <f>HYPERLINK("https://www.boe.es/gazeta/dias/1822/11/22/pdfs/GMD-1822-342.pdf#page=3","Abrir facsímil")</f>
        <v>Abrir facsímil</v>
      </c>
      <c r="K8672" s="3" t="s">
        <v>22</v>
      </c>
    </row>
    <row r="8673" spans="1:11" ht="42" customHeight="1">
      <c r="A8673" s="2" t="s">
        <v>16720</v>
      </c>
      <c r="B8673" s="2" t="s">
        <v>16720</v>
      </c>
      <c r="C8673" s="2" t="s">
        <v>71</v>
      </c>
      <c r="D8673" s="2" t="s">
        <v>17</v>
      </c>
      <c r="E8673" s="5">
        <v>-28158</v>
      </c>
      <c r="F8673" s="3" t="s">
        <v>590</v>
      </c>
      <c r="G8673" s="3" t="s">
        <v>35</v>
      </c>
      <c r="H8673" s="2" t="s">
        <v>20</v>
      </c>
      <c r="I8673" s="2" t="s">
        <v>16812</v>
      </c>
      <c r="J8673" s="3" t="str">
        <f>HYPERLINK("https://www.boe.es/gazeta/dias/1822/11/26/pdfs/GMD-1822-346.pdf#page=2","Abrir facsímil")</f>
        <v>Abrir facsímil</v>
      </c>
      <c r="K8673" s="3" t="s">
        <v>22</v>
      </c>
    </row>
    <row r="8674" spans="1:11" ht="42" customHeight="1">
      <c r="A8674" s="2" t="s">
        <v>16720</v>
      </c>
      <c r="B8674" s="2" t="s">
        <v>16720</v>
      </c>
      <c r="C8674" s="2" t="s">
        <v>42</v>
      </c>
      <c r="D8674" s="2" t="s">
        <v>17</v>
      </c>
      <c r="E8674" s="5">
        <v>-28149</v>
      </c>
      <c r="F8674" s="3" t="s">
        <v>1322</v>
      </c>
      <c r="G8674" s="3" t="s">
        <v>57</v>
      </c>
      <c r="H8674" s="2" t="s">
        <v>20</v>
      </c>
      <c r="I8674" s="2" t="s">
        <v>16813</v>
      </c>
      <c r="J8674" s="3" t="str">
        <f>HYPERLINK("https://www.boe.es/gazeta/dias/1822/12/05/pdfs/GMD-1822-355.pdf#page=4","Abrir facsímil")</f>
        <v>Abrir facsímil</v>
      </c>
      <c r="K8674" s="3" t="s">
        <v>22</v>
      </c>
    </row>
    <row r="8675" spans="1:11" ht="42" customHeight="1">
      <c r="A8675" s="2" t="s">
        <v>16720</v>
      </c>
      <c r="B8675" s="2" t="s">
        <v>16720</v>
      </c>
      <c r="C8675" s="2" t="s">
        <v>42</v>
      </c>
      <c r="D8675" s="2" t="s">
        <v>17</v>
      </c>
      <c r="E8675" s="5">
        <v>-28143</v>
      </c>
      <c r="F8675" s="3" t="s">
        <v>2967</v>
      </c>
      <c r="G8675" s="3" t="s">
        <v>57</v>
      </c>
      <c r="H8675" s="2" t="s">
        <v>20</v>
      </c>
      <c r="I8675" s="2" t="s">
        <v>16814</v>
      </c>
      <c r="J8675" s="3" t="str">
        <f>HYPERLINK("https://www.boe.es/gazeta/dias/1822/12/11/pdfs/GMD-1822-361.pdf#page=4","Abrir facsímil")</f>
        <v>Abrir facsímil</v>
      </c>
      <c r="K8675" s="3" t="s">
        <v>22</v>
      </c>
    </row>
    <row r="8676" spans="1:11" ht="42" customHeight="1">
      <c r="A8676" s="2" t="s">
        <v>16720</v>
      </c>
      <c r="B8676" s="2" t="s">
        <v>16720</v>
      </c>
      <c r="C8676" s="2" t="s">
        <v>28</v>
      </c>
      <c r="D8676" s="2" t="s">
        <v>29</v>
      </c>
      <c r="E8676" s="5">
        <v>-28142</v>
      </c>
      <c r="F8676" s="3" t="s">
        <v>290</v>
      </c>
      <c r="G8676" s="3" t="s">
        <v>35</v>
      </c>
      <c r="H8676" s="2" t="s">
        <v>20</v>
      </c>
      <c r="I8676" s="2" t="s">
        <v>16815</v>
      </c>
      <c r="J8676" s="3" t="str">
        <f>HYPERLINK("https://www.boe.es/gazeta/dias/1822/12/12/pdfs/GMD-1822-362.pdf#page=2","Abrir facsímil")</f>
        <v>Abrir facsímil</v>
      </c>
      <c r="K8676" s="3" t="s">
        <v>22</v>
      </c>
    </row>
    <row r="8677" spans="1:11" ht="42" customHeight="1">
      <c r="A8677" s="2" t="s">
        <v>16720</v>
      </c>
      <c r="B8677" s="2" t="s">
        <v>16720</v>
      </c>
      <c r="C8677" s="2" t="s">
        <v>71</v>
      </c>
      <c r="D8677" s="2" t="s">
        <v>17</v>
      </c>
      <c r="E8677" s="5">
        <v>-28142</v>
      </c>
      <c r="F8677" s="3" t="s">
        <v>290</v>
      </c>
      <c r="G8677" s="3" t="s">
        <v>31</v>
      </c>
      <c r="H8677" s="2" t="s">
        <v>20</v>
      </c>
      <c r="I8677" s="2" t="s">
        <v>16816</v>
      </c>
      <c r="J8677" s="3" t="str">
        <f>HYPERLINK("https://www.boe.es/gazeta/dias/1822/12/12/pdfs/GMD-1822-362.pdf#page=3","Abrir facsímil")</f>
        <v>Abrir facsímil</v>
      </c>
      <c r="K8677" s="3" t="s">
        <v>22</v>
      </c>
    </row>
    <row r="8678" spans="1:11" ht="42" customHeight="1">
      <c r="A8678" s="2" t="s">
        <v>16720</v>
      </c>
      <c r="B8678" s="2" t="s">
        <v>16720</v>
      </c>
      <c r="C8678" s="2" t="s">
        <v>28</v>
      </c>
      <c r="D8678" s="2" t="s">
        <v>29</v>
      </c>
      <c r="E8678" s="5">
        <v>-28141</v>
      </c>
      <c r="F8678" s="3" t="s">
        <v>265</v>
      </c>
      <c r="G8678" s="3" t="s">
        <v>31</v>
      </c>
      <c r="H8678" s="2" t="s">
        <v>20</v>
      </c>
      <c r="I8678" s="2" t="s">
        <v>16817</v>
      </c>
      <c r="J8678" s="3" t="str">
        <f>HYPERLINK("https://www.boe.es/gazeta/dias/1822/12/13/pdfs/GMD-1822-363.pdf#page=3","Abrir facsímil")</f>
        <v>Abrir facsímil</v>
      </c>
      <c r="K8678" s="3" t="s">
        <v>22</v>
      </c>
    </row>
    <row r="8679" spans="1:11" ht="42" customHeight="1">
      <c r="A8679" s="2" t="s">
        <v>16720</v>
      </c>
      <c r="B8679" s="2" t="s">
        <v>16720</v>
      </c>
      <c r="C8679" s="2" t="s">
        <v>50</v>
      </c>
      <c r="D8679" s="2" t="s">
        <v>51</v>
      </c>
      <c r="E8679" s="5">
        <v>-28141</v>
      </c>
      <c r="F8679" s="3" t="s">
        <v>265</v>
      </c>
      <c r="G8679" s="3" t="s">
        <v>57</v>
      </c>
      <c r="H8679" s="2" t="s">
        <v>20</v>
      </c>
      <c r="I8679" s="2" t="s">
        <v>16818</v>
      </c>
      <c r="J8679" s="3" t="str">
        <f>HYPERLINK("https://www.boe.es/gazeta/dias/1822/12/13/pdfs/GMD-1822-363.pdf#page=4","Abrir facsímil")</f>
        <v>Abrir facsímil</v>
      </c>
      <c r="K8679" s="3" t="s">
        <v>22</v>
      </c>
    </row>
    <row r="8680" spans="1:11" ht="42" customHeight="1">
      <c r="A8680" s="2" t="s">
        <v>16720</v>
      </c>
      <c r="B8680" s="2" t="s">
        <v>16720</v>
      </c>
      <c r="C8680" s="2" t="s">
        <v>42</v>
      </c>
      <c r="D8680" s="2" t="s">
        <v>17</v>
      </c>
      <c r="E8680" s="5">
        <v>-28139</v>
      </c>
      <c r="F8680" s="3" t="s">
        <v>143</v>
      </c>
      <c r="G8680" s="3" t="s">
        <v>31</v>
      </c>
      <c r="H8680" s="2" t="s">
        <v>20</v>
      </c>
      <c r="I8680" s="2" t="s">
        <v>16819</v>
      </c>
      <c r="J8680" s="3" t="str">
        <f>HYPERLINK("https://www.boe.es/gazeta/dias/1822/12/15/pdfs/GMD-1822-365.pdf#page=3","Abrir facsímil")</f>
        <v>Abrir facsímil</v>
      </c>
      <c r="K8680" s="3" t="s">
        <v>22</v>
      </c>
    </row>
    <row r="8681" spans="1:11" ht="42" customHeight="1">
      <c r="A8681" s="2" t="s">
        <v>16720</v>
      </c>
      <c r="B8681" s="2" t="s">
        <v>16720</v>
      </c>
      <c r="C8681" s="2" t="s">
        <v>42</v>
      </c>
      <c r="D8681" s="2" t="s">
        <v>17</v>
      </c>
      <c r="E8681" s="5">
        <v>-28133</v>
      </c>
      <c r="F8681" s="3" t="s">
        <v>595</v>
      </c>
      <c r="G8681" s="3" t="s">
        <v>31</v>
      </c>
      <c r="H8681" s="2" t="s">
        <v>20</v>
      </c>
      <c r="I8681" s="2" t="s">
        <v>16820</v>
      </c>
      <c r="J8681" s="3" t="str">
        <f>HYPERLINK("https://www.boe.es/gazeta/dias/1822/12/21/pdfs/GMD-1822-371.pdf#page=3","Abrir facsímil")</f>
        <v>Abrir facsímil</v>
      </c>
      <c r="K8681" s="3" t="s">
        <v>22</v>
      </c>
    </row>
    <row r="8682" spans="1:11" ht="42" customHeight="1">
      <c r="A8682" s="2" t="s">
        <v>16720</v>
      </c>
      <c r="B8682" s="2" t="s">
        <v>16720</v>
      </c>
      <c r="C8682" s="2" t="s">
        <v>28</v>
      </c>
      <c r="D8682" s="2" t="s">
        <v>29</v>
      </c>
      <c r="E8682" s="5">
        <v>-28126</v>
      </c>
      <c r="F8682" s="3" t="s">
        <v>952</v>
      </c>
      <c r="G8682" s="3" t="s">
        <v>35</v>
      </c>
      <c r="H8682" s="2" t="s">
        <v>20</v>
      </c>
      <c r="I8682" s="2" t="s">
        <v>16821</v>
      </c>
      <c r="J8682" s="3" t="str">
        <f>HYPERLINK("https://www.boe.es/gazeta/dias/1822/12/28/pdfs/GMD-1822-378.pdf#page=2","Abrir facsímil")</f>
        <v>Abrir facsímil</v>
      </c>
      <c r="K8682" s="3" t="s">
        <v>22</v>
      </c>
    </row>
    <row r="8683" spans="1:11" ht="42" customHeight="1">
      <c r="A8683" s="2" t="s">
        <v>16720</v>
      </c>
      <c r="B8683" s="2" t="s">
        <v>16720</v>
      </c>
      <c r="C8683" s="2" t="s">
        <v>28</v>
      </c>
      <c r="D8683" s="2" t="s">
        <v>29</v>
      </c>
      <c r="E8683" s="5">
        <v>-28125</v>
      </c>
      <c r="F8683" s="3" t="s">
        <v>322</v>
      </c>
      <c r="G8683" s="3" t="s">
        <v>19</v>
      </c>
      <c r="H8683" s="2" t="s">
        <v>20</v>
      </c>
      <c r="I8683" s="2" t="s">
        <v>16822</v>
      </c>
      <c r="J8683" s="3" t="str">
        <f>HYPERLINK("https://www.boe.es/gazeta/dias/1822/12/29/pdfs/GMD-1822-379.pdf#page=5","Abrir facsímil")</f>
        <v>Abrir facsímil</v>
      </c>
      <c r="K8683" s="3" t="s">
        <v>22</v>
      </c>
    </row>
    <row r="8684" spans="1:11" ht="42" customHeight="1">
      <c r="A8684" s="2" t="s">
        <v>16720</v>
      </c>
      <c r="B8684" s="2" t="s">
        <v>16720</v>
      </c>
      <c r="C8684" s="2" t="s">
        <v>50</v>
      </c>
      <c r="D8684" s="2" t="s">
        <v>51</v>
      </c>
      <c r="E8684" s="5">
        <v>-28124</v>
      </c>
      <c r="F8684" s="3" t="s">
        <v>301</v>
      </c>
      <c r="G8684" s="3" t="s">
        <v>19</v>
      </c>
      <c r="H8684" s="2" t="s">
        <v>20</v>
      </c>
      <c r="I8684" s="2" t="s">
        <v>16823</v>
      </c>
      <c r="J8684" s="3" t="str">
        <f>HYPERLINK("https://www.boe.es/gazeta/dias/1822/12/30/pdfs/GMD-1822-380.pdf#page=5","Abrir facsímil")</f>
        <v>Abrir facsímil</v>
      </c>
      <c r="K8684" s="3" t="s">
        <v>22</v>
      </c>
    </row>
    <row r="8685" spans="1:11" ht="42" customHeight="1">
      <c r="A8685" s="2" t="s">
        <v>16824</v>
      </c>
      <c r="B8685" s="2" t="s">
        <v>16825</v>
      </c>
      <c r="C8685" s="2" t="s">
        <v>61</v>
      </c>
      <c r="D8685" s="2" t="s">
        <v>17</v>
      </c>
      <c r="E8685" s="5">
        <v>-28487</v>
      </c>
      <c r="F8685" s="3" t="s">
        <v>426</v>
      </c>
      <c r="G8685" s="3" t="s">
        <v>57</v>
      </c>
      <c r="H8685" s="2" t="s">
        <v>20</v>
      </c>
      <c r="I8685" s="2" t="s">
        <v>16826</v>
      </c>
      <c r="J8685" s="3" t="str">
        <f>HYPERLINK("https://www.boe.es/gazeta/dias/1822/01/01/pdfs/GMD-1822-1.pdf#page=4","Abrir facsímil")</f>
        <v>Abrir facsímil</v>
      </c>
      <c r="K8685" s="3" t="s">
        <v>22</v>
      </c>
    </row>
    <row r="8686" spans="1:11" ht="42" customHeight="1">
      <c r="A8686" s="2" t="s">
        <v>16824</v>
      </c>
      <c r="B8686" s="2" t="s">
        <v>16825</v>
      </c>
      <c r="C8686" s="2" t="s">
        <v>42</v>
      </c>
      <c r="D8686" s="2" t="s">
        <v>17</v>
      </c>
      <c r="E8686" s="5">
        <v>-28470</v>
      </c>
      <c r="F8686" s="3" t="s">
        <v>1444</v>
      </c>
      <c r="G8686" s="3" t="s">
        <v>31</v>
      </c>
      <c r="H8686" s="2" t="s">
        <v>20</v>
      </c>
      <c r="I8686" s="2" t="s">
        <v>16827</v>
      </c>
      <c r="J8686" s="3" t="str">
        <f>HYPERLINK("https://www.boe.es/gazeta/dias/1822/01/18/pdfs/GMD-1822-18.pdf#page=3","Abrir facsímil")</f>
        <v>Abrir facsímil</v>
      </c>
      <c r="K8686" s="3" t="s">
        <v>22</v>
      </c>
    </row>
    <row r="8687" spans="1:11" ht="42" customHeight="1">
      <c r="A8687" s="2" t="s">
        <v>16824</v>
      </c>
      <c r="B8687" s="2" t="s">
        <v>16825</v>
      </c>
      <c r="C8687" s="2" t="s">
        <v>61</v>
      </c>
      <c r="D8687" s="2" t="s">
        <v>17</v>
      </c>
      <c r="E8687" s="5">
        <v>-28464</v>
      </c>
      <c r="F8687" s="3" t="s">
        <v>1447</v>
      </c>
      <c r="G8687" s="3" t="s">
        <v>35</v>
      </c>
      <c r="H8687" s="2" t="s">
        <v>20</v>
      </c>
      <c r="I8687" s="2" t="s">
        <v>16828</v>
      </c>
      <c r="J8687" s="3" t="str">
        <f>HYPERLINK("https://www.boe.es/gazeta/dias/1822/01/24/pdfs/GMD-1822-24.pdf#page=2","Abrir facsímil")</f>
        <v>Abrir facsímil</v>
      </c>
      <c r="K8687" s="3" t="s">
        <v>22</v>
      </c>
    </row>
    <row r="8688" spans="1:11" ht="42" customHeight="1">
      <c r="A8688" s="2" t="s">
        <v>16824</v>
      </c>
      <c r="B8688" s="2" t="s">
        <v>16825</v>
      </c>
      <c r="C8688" s="2" t="s">
        <v>42</v>
      </c>
      <c r="D8688" s="2" t="s">
        <v>17</v>
      </c>
      <c r="E8688" s="5">
        <v>-28461</v>
      </c>
      <c r="F8688" s="3" t="s">
        <v>1801</v>
      </c>
      <c r="G8688" s="3" t="s">
        <v>5459</v>
      </c>
      <c r="H8688" s="2" t="s">
        <v>20</v>
      </c>
      <c r="I8688" s="2" t="s">
        <v>16829</v>
      </c>
      <c r="J8688" s="3" t="str">
        <f>HYPERLINK("https://www.boe.es/gazeta/dias/1822/01/27/pdfs/GMD-1822-27.pdf#page=3","Abrir facsímil")</f>
        <v>Abrir facsímil</v>
      </c>
      <c r="K8688" s="3" t="s">
        <v>22</v>
      </c>
    </row>
    <row r="8689" spans="1:11" ht="42" customHeight="1">
      <c r="A8689" s="2" t="s">
        <v>16824</v>
      </c>
      <c r="B8689" s="2" t="s">
        <v>16825</v>
      </c>
      <c r="C8689" s="2" t="s">
        <v>24</v>
      </c>
      <c r="D8689" s="2" t="s">
        <v>17</v>
      </c>
      <c r="E8689" s="5">
        <v>-28458</v>
      </c>
      <c r="F8689" s="3" t="s">
        <v>1151</v>
      </c>
      <c r="G8689" s="3" t="s">
        <v>35</v>
      </c>
      <c r="H8689" s="2" t="s">
        <v>20</v>
      </c>
      <c r="I8689" s="2" t="s">
        <v>16830</v>
      </c>
      <c r="J8689" s="3" t="str">
        <f>HYPERLINK("https://www.boe.es/gazeta/dias/1822/01/30/pdfs/GMD-1822-30.pdf#page=2","Abrir facsímil")</f>
        <v>Abrir facsímil</v>
      </c>
      <c r="K8689" s="3" t="s">
        <v>22</v>
      </c>
    </row>
    <row r="8690" spans="1:11" ht="42" customHeight="1">
      <c r="A8690" s="2" t="s">
        <v>16824</v>
      </c>
      <c r="B8690" s="2" t="s">
        <v>16825</v>
      </c>
      <c r="C8690" s="2" t="s">
        <v>16</v>
      </c>
      <c r="D8690" s="2" t="s">
        <v>17</v>
      </c>
      <c r="E8690" s="5">
        <v>-28436</v>
      </c>
      <c r="F8690" s="3" t="s">
        <v>431</v>
      </c>
      <c r="G8690" s="3" t="s">
        <v>57</v>
      </c>
      <c r="H8690" s="2" t="s">
        <v>20</v>
      </c>
      <c r="I8690" s="2" t="s">
        <v>16831</v>
      </c>
      <c r="J8690" s="3" t="str">
        <f>HYPERLINK("https://www.boe.es/gazeta/dias/1822/02/21/pdfs/GMD-1822-53.pdf#page=4","Abrir facsímil")</f>
        <v>Abrir facsímil</v>
      </c>
      <c r="K8690" s="3" t="s">
        <v>22</v>
      </c>
    </row>
    <row r="8691" spans="1:11" ht="42" customHeight="1">
      <c r="A8691" s="2" t="s">
        <v>16824</v>
      </c>
      <c r="B8691" s="2" t="s">
        <v>16825</v>
      </c>
      <c r="C8691" s="2" t="s">
        <v>50</v>
      </c>
      <c r="D8691" s="2" t="s">
        <v>51</v>
      </c>
      <c r="E8691" s="5">
        <v>-28420</v>
      </c>
      <c r="F8691" s="3" t="s">
        <v>449</v>
      </c>
      <c r="G8691" s="3" t="s">
        <v>57</v>
      </c>
      <c r="H8691" s="2" t="s">
        <v>20</v>
      </c>
      <c r="I8691" s="2" t="s">
        <v>16832</v>
      </c>
      <c r="J8691" s="3" t="str">
        <f>HYPERLINK("https://www.boe.es/gazeta/dias/1822/03/09/pdfs/GMD-1822-70.pdf#page=4","Abrir facsímil")</f>
        <v>Abrir facsímil</v>
      </c>
      <c r="K8691" s="3" t="s">
        <v>22</v>
      </c>
    </row>
    <row r="8692" spans="1:11" ht="42" customHeight="1">
      <c r="A8692" s="2" t="s">
        <v>16833</v>
      </c>
      <c r="B8692" s="2" t="s">
        <v>16834</v>
      </c>
      <c r="C8692" s="2" t="s">
        <v>362</v>
      </c>
      <c r="D8692" s="2" t="s">
        <v>17</v>
      </c>
      <c r="E8692" s="5">
        <v>-28427</v>
      </c>
      <c r="F8692" s="3" t="s">
        <v>755</v>
      </c>
      <c r="G8692" s="3" t="s">
        <v>57</v>
      </c>
      <c r="H8692" s="2" t="s">
        <v>20</v>
      </c>
      <c r="I8692" s="2" t="s">
        <v>16835</v>
      </c>
      <c r="J8692" s="3" t="str">
        <f>HYPERLINK("https://www.boe.es/gazeta/dias/1822/03/02/pdfs/GMD-1822-63.pdf#page=4","Abrir facsímil")</f>
        <v>Abrir facsímil</v>
      </c>
      <c r="K8692" s="3" t="s">
        <v>22</v>
      </c>
    </row>
    <row r="8693" spans="1:11" ht="42" customHeight="1">
      <c r="A8693" s="2" t="s">
        <v>16836</v>
      </c>
      <c r="B8693" s="2" t="s">
        <v>16837</v>
      </c>
      <c r="C8693" s="2" t="s">
        <v>71</v>
      </c>
      <c r="D8693" s="2" t="s">
        <v>17</v>
      </c>
      <c r="E8693" s="5">
        <v>-28210</v>
      </c>
      <c r="F8693" s="3" t="s">
        <v>218</v>
      </c>
      <c r="G8693" s="3" t="s">
        <v>19</v>
      </c>
      <c r="H8693" s="2" t="s">
        <v>20</v>
      </c>
      <c r="I8693" s="2" t="s">
        <v>16838</v>
      </c>
      <c r="J8693" s="3" t="str">
        <f>HYPERLINK("https://www.boe.es/gazeta/dias/1822/10/05/pdfs/GMD-1822-291.pdf#page=5","Abrir facsímil")</f>
        <v>Abrir facsímil</v>
      </c>
      <c r="K8693" s="3" t="s">
        <v>22</v>
      </c>
    </row>
    <row r="8694" spans="1:11" ht="42" customHeight="1">
      <c r="A8694" s="2" t="s">
        <v>16839</v>
      </c>
      <c r="B8694" s="2" t="s">
        <v>16840</v>
      </c>
      <c r="C8694" s="2" t="s">
        <v>16</v>
      </c>
      <c r="D8694" s="2" t="s">
        <v>17</v>
      </c>
      <c r="E8694" s="5">
        <v>-28347</v>
      </c>
      <c r="F8694" s="3" t="s">
        <v>520</v>
      </c>
      <c r="G8694" s="3" t="s">
        <v>35</v>
      </c>
      <c r="H8694" s="2" t="s">
        <v>20</v>
      </c>
      <c r="I8694" s="2" t="s">
        <v>16841</v>
      </c>
      <c r="J8694" s="3" t="str">
        <f>HYPERLINK("https://www.boe.es/gazeta/dias/1822/05/21/pdfs/GMD-1822-144.pdf#page=2","Abrir facsímil")</f>
        <v>Abrir facsímil</v>
      </c>
      <c r="K8694" s="3" t="s">
        <v>22</v>
      </c>
    </row>
    <row r="8695" spans="1:11" ht="42" customHeight="1">
      <c r="A8695" s="2" t="s">
        <v>16839</v>
      </c>
      <c r="B8695" s="2" t="s">
        <v>16840</v>
      </c>
      <c r="C8695" s="2" t="s">
        <v>16</v>
      </c>
      <c r="D8695" s="2" t="s">
        <v>17</v>
      </c>
      <c r="E8695" s="5">
        <v>-28160</v>
      </c>
      <c r="F8695" s="3" t="s">
        <v>148</v>
      </c>
      <c r="G8695" s="3" t="s">
        <v>19</v>
      </c>
      <c r="H8695" s="2" t="s">
        <v>20</v>
      </c>
      <c r="I8695" s="2" t="s">
        <v>16842</v>
      </c>
      <c r="J8695" s="3" t="str">
        <f>HYPERLINK("https://www.boe.es/gazeta/dias/1822/11/24/pdfs/GMD-1822-344.pdf#page=5","Abrir facsímil")</f>
        <v>Abrir facsímil</v>
      </c>
      <c r="K8695" s="3" t="s">
        <v>22</v>
      </c>
    </row>
    <row r="8696" spans="1:11" ht="42" customHeight="1">
      <c r="A8696" s="2" t="s">
        <v>16843</v>
      </c>
      <c r="B8696" s="2" t="s">
        <v>16844</v>
      </c>
      <c r="C8696" s="2" t="s">
        <v>28</v>
      </c>
      <c r="D8696" s="2" t="s">
        <v>29</v>
      </c>
      <c r="E8696" s="5">
        <v>-28434</v>
      </c>
      <c r="F8696" s="3" t="s">
        <v>433</v>
      </c>
      <c r="G8696" s="3" t="s">
        <v>31</v>
      </c>
      <c r="H8696" s="2" t="s">
        <v>45</v>
      </c>
      <c r="I8696" s="2" t="s">
        <v>16845</v>
      </c>
      <c r="J8696" s="3" t="str">
        <f>HYPERLINK("https://www.boe.es/gazeta/dias/1822/02/23/pdfs/GMD-1822-55.pdf#page=3","Abrir facsímil")</f>
        <v>Abrir facsímil</v>
      </c>
      <c r="K8696" s="3" t="s">
        <v>47</v>
      </c>
    </row>
    <row r="8697" spans="1:11" ht="42" customHeight="1">
      <c r="A8697" s="2" t="s">
        <v>16846</v>
      </c>
      <c r="B8697" s="2" t="s">
        <v>16847</v>
      </c>
      <c r="C8697" s="2" t="s">
        <v>16</v>
      </c>
      <c r="D8697" s="2" t="s">
        <v>17</v>
      </c>
      <c r="E8697" s="5">
        <v>-28478</v>
      </c>
      <c r="F8697" s="3" t="s">
        <v>1093</v>
      </c>
      <c r="G8697" s="3" t="s">
        <v>44</v>
      </c>
      <c r="H8697" s="2" t="s">
        <v>20</v>
      </c>
      <c r="I8697" s="2" t="s">
        <v>16848</v>
      </c>
      <c r="J8697" s="3" t="str">
        <f>HYPERLINK("https://www.boe.es/gazeta/dias/1822/01/10/pdfs/GMD-1822-10.pdf#page=1","Abrir facsímil")</f>
        <v>Abrir facsímil</v>
      </c>
      <c r="K8697" s="3" t="s">
        <v>22</v>
      </c>
    </row>
    <row r="8698" spans="1:11" ht="42" customHeight="1">
      <c r="A8698" s="2" t="s">
        <v>16849</v>
      </c>
      <c r="B8698" s="2" t="s">
        <v>16850</v>
      </c>
      <c r="C8698" s="2" t="s">
        <v>16</v>
      </c>
      <c r="D8698" s="2" t="s">
        <v>17</v>
      </c>
      <c r="E8698" s="5">
        <v>-28433</v>
      </c>
      <c r="F8698" s="3" t="s">
        <v>3663</v>
      </c>
      <c r="G8698" s="3" t="s">
        <v>31</v>
      </c>
      <c r="H8698" s="2" t="s">
        <v>20</v>
      </c>
      <c r="I8698" s="2" t="s">
        <v>16851</v>
      </c>
      <c r="J8698" s="3" t="str">
        <f>HYPERLINK("https://www.boe.es/gazeta/dias/1822/02/24/pdfs/GMD-1822-56.pdf#page=3","Abrir facsímil")</f>
        <v>Abrir facsímil</v>
      </c>
      <c r="K8698" s="3" t="s">
        <v>22</v>
      </c>
    </row>
    <row r="8699" spans="1:11" ht="42" customHeight="1">
      <c r="A8699" s="2" t="s">
        <v>16852</v>
      </c>
      <c r="B8699" s="2" t="s">
        <v>16853</v>
      </c>
      <c r="C8699" s="2" t="s">
        <v>28</v>
      </c>
      <c r="D8699" s="2" t="s">
        <v>29</v>
      </c>
      <c r="E8699" s="5">
        <v>-28429</v>
      </c>
      <c r="F8699" s="3" t="s">
        <v>2397</v>
      </c>
      <c r="G8699" s="3" t="s">
        <v>57</v>
      </c>
      <c r="H8699" s="2" t="s">
        <v>20</v>
      </c>
      <c r="I8699" s="2" t="s">
        <v>16854</v>
      </c>
      <c r="J8699" s="3" t="str">
        <f>HYPERLINK("https://www.boe.es/gazeta/dias/1822/02/28/pdfs/GMD-1822-60.pdf#page=4","Abrir facsímil")</f>
        <v>Abrir facsímil</v>
      </c>
      <c r="K8699" s="3" t="s">
        <v>22</v>
      </c>
    </row>
    <row r="8700" spans="1:11" ht="42" customHeight="1">
      <c r="A8700" s="2" t="s">
        <v>16855</v>
      </c>
      <c r="B8700" s="2" t="s">
        <v>16856</v>
      </c>
      <c r="C8700" s="2" t="s">
        <v>28</v>
      </c>
      <c r="D8700" s="2" t="s">
        <v>29</v>
      </c>
      <c r="E8700" s="5">
        <v>-28400</v>
      </c>
      <c r="F8700" s="3" t="s">
        <v>1937</v>
      </c>
      <c r="G8700" s="3" t="s">
        <v>31</v>
      </c>
      <c r="H8700" s="2" t="s">
        <v>20</v>
      </c>
      <c r="I8700" s="2" t="s">
        <v>16857</v>
      </c>
      <c r="J8700" s="3" t="str">
        <f>HYPERLINK("https://www.boe.es/gazeta/dias/1822/03/29/pdfs/GMD-1822-90.pdf#page=3","Abrir facsímil")</f>
        <v>Abrir facsímil</v>
      </c>
      <c r="K8700" s="3" t="s">
        <v>22</v>
      </c>
    </row>
    <row r="8701" spans="1:11" ht="42" customHeight="1">
      <c r="A8701" s="2" t="s">
        <v>16858</v>
      </c>
      <c r="B8701" s="2" t="s">
        <v>16859</v>
      </c>
      <c r="C8701" s="2" t="s">
        <v>50</v>
      </c>
      <c r="D8701" s="2" t="s">
        <v>51</v>
      </c>
      <c r="E8701" s="5">
        <v>-28478</v>
      </c>
      <c r="F8701" s="3" t="s">
        <v>1093</v>
      </c>
      <c r="G8701" s="3" t="s">
        <v>57</v>
      </c>
      <c r="H8701" s="2" t="s">
        <v>20</v>
      </c>
      <c r="I8701" s="2" t="s">
        <v>16860</v>
      </c>
      <c r="J8701" s="3" t="str">
        <f>HYPERLINK("https://www.boe.es/gazeta/dias/1822/01/10/pdfs/GMD-1822-10.pdf#page=4","Abrir facsímil")</f>
        <v>Abrir facsímil</v>
      </c>
      <c r="K8701" s="3" t="s">
        <v>22</v>
      </c>
    </row>
    <row r="8702" spans="1:11" ht="42" customHeight="1">
      <c r="A8702" s="2" t="s">
        <v>16861</v>
      </c>
      <c r="B8702" s="2" t="s">
        <v>16862</v>
      </c>
      <c r="C8702" s="2" t="s">
        <v>42</v>
      </c>
      <c r="D8702" s="2" t="s">
        <v>17</v>
      </c>
      <c r="E8702" s="5">
        <v>-28475</v>
      </c>
      <c r="F8702" s="3" t="s">
        <v>1205</v>
      </c>
      <c r="G8702" s="3" t="s">
        <v>31</v>
      </c>
      <c r="H8702" s="2" t="s">
        <v>20</v>
      </c>
      <c r="I8702" s="2" t="s">
        <v>16863</v>
      </c>
      <c r="J8702" s="3" t="str">
        <f>HYPERLINK("https://www.boe.es/gazeta/dias/1822/01/13/pdfs/GMD-1822-13.pdf#page=3","Abrir facsímil")</f>
        <v>Abrir facsímil</v>
      </c>
      <c r="K8702" s="3" t="s">
        <v>22</v>
      </c>
    </row>
    <row r="8703" spans="1:11" ht="42" customHeight="1">
      <c r="A8703" s="2" t="s">
        <v>16864</v>
      </c>
      <c r="B8703" s="2" t="s">
        <v>16864</v>
      </c>
      <c r="C8703" s="2" t="s">
        <v>50</v>
      </c>
      <c r="D8703" s="2" t="s">
        <v>51</v>
      </c>
      <c r="E8703" s="5">
        <v>-28150</v>
      </c>
      <c r="F8703" s="3" t="s">
        <v>62</v>
      </c>
      <c r="G8703" s="3" t="s">
        <v>19</v>
      </c>
      <c r="H8703" s="2" t="s">
        <v>20</v>
      </c>
      <c r="I8703" s="2" t="s">
        <v>16865</v>
      </c>
      <c r="J8703" s="3" t="str">
        <f>HYPERLINK("https://www.boe.es/gazeta/dias/1822/12/04/pdfs/GMD-1822-354.pdf#page=5","Abrir facsímil")</f>
        <v>Abrir facsímil</v>
      </c>
      <c r="K8703" s="3" t="s">
        <v>22</v>
      </c>
    </row>
    <row r="8704" spans="1:11" ht="42" customHeight="1">
      <c r="A8704" s="2" t="s">
        <v>16866</v>
      </c>
      <c r="B8704" s="2" t="s">
        <v>16867</v>
      </c>
      <c r="C8704" s="2" t="s">
        <v>50</v>
      </c>
      <c r="D8704" s="2" t="s">
        <v>51</v>
      </c>
      <c r="E8704" s="5">
        <v>-28474</v>
      </c>
      <c r="F8704" s="3" t="s">
        <v>30</v>
      </c>
      <c r="G8704" s="3" t="s">
        <v>57</v>
      </c>
      <c r="H8704" s="2" t="s">
        <v>20</v>
      </c>
      <c r="I8704" s="2" t="s">
        <v>16868</v>
      </c>
      <c r="J8704" s="3" t="str">
        <f>HYPERLINK("https://www.boe.es/gazeta/dias/1822/01/14/pdfs/GMD-1822-14.pdf#page=4","Abrir facsímil")</f>
        <v>Abrir facsímil</v>
      </c>
      <c r="K8704" s="3" t="s">
        <v>22</v>
      </c>
    </row>
    <row r="8705" spans="1:11" ht="42" customHeight="1">
      <c r="A8705" s="2" t="s">
        <v>16869</v>
      </c>
      <c r="B8705" s="2" t="s">
        <v>16870</v>
      </c>
      <c r="C8705" s="2" t="s">
        <v>50</v>
      </c>
      <c r="D8705" s="2" t="s">
        <v>51</v>
      </c>
      <c r="E8705" s="5">
        <v>-28210</v>
      </c>
      <c r="F8705" s="3" t="s">
        <v>218</v>
      </c>
      <c r="G8705" s="3" t="s">
        <v>19</v>
      </c>
      <c r="H8705" s="2" t="s">
        <v>20</v>
      </c>
      <c r="I8705" s="2" t="s">
        <v>16871</v>
      </c>
      <c r="J8705" s="3" t="str">
        <f>HYPERLINK("https://www.boe.es/gazeta/dias/1822/10/05/pdfs/GMD-1822-291.pdf#page=5","Abrir facsímil")</f>
        <v>Abrir facsímil</v>
      </c>
      <c r="K8705" s="3" t="s">
        <v>22</v>
      </c>
    </row>
    <row r="8706" spans="1:11" ht="42" customHeight="1">
      <c r="A8706" s="2" t="s">
        <v>16872</v>
      </c>
      <c r="B8706" s="2" t="s">
        <v>16873</v>
      </c>
      <c r="C8706" s="2" t="s">
        <v>50</v>
      </c>
      <c r="D8706" s="2" t="s">
        <v>51</v>
      </c>
      <c r="E8706" s="5">
        <v>-28402</v>
      </c>
      <c r="F8706" s="3" t="s">
        <v>473</v>
      </c>
      <c r="G8706" s="3" t="s">
        <v>44</v>
      </c>
      <c r="H8706" s="2" t="s">
        <v>20</v>
      </c>
      <c r="I8706" s="2" t="s">
        <v>16874</v>
      </c>
      <c r="J8706" s="3" t="str">
        <f>HYPERLINK("https://www.boe.es/gazeta/dias/1822/03/27/pdfs/GMD-1822-88.pdf#page=1","Abrir facsímil")</f>
        <v>Abrir facsímil</v>
      </c>
      <c r="K8706" s="3" t="s">
        <v>22</v>
      </c>
    </row>
    <row r="8707" spans="1:11" ht="42" customHeight="1">
      <c r="A8707" s="2" t="s">
        <v>16872</v>
      </c>
      <c r="B8707" s="2" t="s">
        <v>16873</v>
      </c>
      <c r="C8707" s="2" t="s">
        <v>16</v>
      </c>
      <c r="D8707" s="2" t="s">
        <v>17</v>
      </c>
      <c r="E8707" s="5">
        <v>-28390</v>
      </c>
      <c r="F8707" s="3" t="s">
        <v>665</v>
      </c>
      <c r="G8707" s="3" t="s">
        <v>57</v>
      </c>
      <c r="H8707" s="2" t="s">
        <v>20</v>
      </c>
      <c r="I8707" s="2" t="s">
        <v>16875</v>
      </c>
      <c r="J8707" s="3" t="str">
        <f>HYPERLINK("https://www.boe.es/gazeta/dias/1822/04/08/pdfs/GMD-1822-100.pdf#page=4","Abrir facsímil")</f>
        <v>Abrir facsímil</v>
      </c>
      <c r="K8707" s="3" t="s">
        <v>22</v>
      </c>
    </row>
    <row r="8708" spans="1:11" ht="42" customHeight="1">
      <c r="A8708" s="2" t="s">
        <v>16872</v>
      </c>
      <c r="B8708" s="2" t="s">
        <v>16873</v>
      </c>
      <c r="C8708" s="2" t="s">
        <v>16</v>
      </c>
      <c r="D8708" s="2" t="s">
        <v>17</v>
      </c>
      <c r="E8708" s="5">
        <v>-28282</v>
      </c>
      <c r="F8708" s="3" t="s">
        <v>6600</v>
      </c>
      <c r="G8708" s="3" t="s">
        <v>6601</v>
      </c>
      <c r="H8708" s="2" t="s">
        <v>20</v>
      </c>
      <c r="I8708" s="2" t="s">
        <v>16876</v>
      </c>
      <c r="J8708" s="3" t="str">
        <f>HYPERLINK("https://www.boe.es/gazeta/dias/1822/07/25/pdfs/GMD-1822-218.pdf#page=4","Abrir facsímil")</f>
        <v>Abrir facsímil</v>
      </c>
      <c r="K8708" s="3" t="s">
        <v>22</v>
      </c>
    </row>
    <row r="8709" spans="1:11" ht="42" customHeight="1">
      <c r="A8709" s="2" t="s">
        <v>16877</v>
      </c>
      <c r="B8709" s="2" t="s">
        <v>16878</v>
      </c>
      <c r="C8709" s="2" t="s">
        <v>50</v>
      </c>
      <c r="D8709" s="2" t="s">
        <v>51</v>
      </c>
      <c r="E8709" s="5">
        <v>-28303</v>
      </c>
      <c r="F8709" s="3" t="s">
        <v>201</v>
      </c>
      <c r="G8709" s="3" t="s">
        <v>31</v>
      </c>
      <c r="H8709" s="2" t="s">
        <v>20</v>
      </c>
      <c r="I8709" s="2" t="s">
        <v>16879</v>
      </c>
      <c r="J8709" s="3" t="str">
        <f>HYPERLINK("https://www.boe.es/gazeta/dias/1822/07/04/pdfs/GMD-1822-193.pdf#page=3","Abrir facsímil")</f>
        <v>Abrir facsímil</v>
      </c>
      <c r="K8709" s="3" t="s">
        <v>22</v>
      </c>
    </row>
    <row r="8710" spans="1:11" ht="42" customHeight="1">
      <c r="A8710" s="2" t="s">
        <v>16880</v>
      </c>
      <c r="B8710" s="2" t="s">
        <v>16881</v>
      </c>
      <c r="C8710" s="2" t="s">
        <v>362</v>
      </c>
      <c r="D8710" s="2" t="s">
        <v>17</v>
      </c>
      <c r="E8710" s="5">
        <v>-28224</v>
      </c>
      <c r="F8710" s="3" t="s">
        <v>1902</v>
      </c>
      <c r="G8710" s="3" t="s">
        <v>57</v>
      </c>
      <c r="H8710" s="2" t="s">
        <v>20</v>
      </c>
      <c r="I8710" s="2" t="s">
        <v>16882</v>
      </c>
      <c r="J8710" s="3" t="str">
        <f>HYPERLINK("https://www.boe.es/gazeta/dias/1822/09/21/pdfs/GMD-1822-277.pdf#page=4","Abrir facsímil")</f>
        <v>Abrir facsímil</v>
      </c>
      <c r="K8710" s="3" t="s">
        <v>22</v>
      </c>
    </row>
    <row r="8711" spans="1:11" ht="42" customHeight="1">
      <c r="A8711" s="2" t="s">
        <v>16883</v>
      </c>
      <c r="B8711" s="2" t="s">
        <v>16883</v>
      </c>
      <c r="C8711" s="2" t="s">
        <v>61</v>
      </c>
      <c r="D8711" s="2" t="s">
        <v>17</v>
      </c>
      <c r="E8711" s="5">
        <v>-28418</v>
      </c>
      <c r="F8711" s="3" t="s">
        <v>205</v>
      </c>
      <c r="G8711" s="3" t="s">
        <v>167</v>
      </c>
      <c r="H8711" s="2" t="s">
        <v>20</v>
      </c>
      <c r="I8711" s="2" t="s">
        <v>16884</v>
      </c>
      <c r="J8711" s="3" t="str">
        <f>HYPERLINK("https://www.boe.es/gazeta/dias/1822/03/11/pdfs/GMD-1822-72.pdf#page=7","Abrir facsímil")</f>
        <v>Abrir facsímil</v>
      </c>
      <c r="K8711" s="3" t="s">
        <v>22</v>
      </c>
    </row>
    <row r="8712" spans="1:11" ht="42" customHeight="1">
      <c r="A8712" s="2" t="s">
        <v>16883</v>
      </c>
      <c r="B8712" s="2" t="s">
        <v>16883</v>
      </c>
      <c r="C8712" s="2" t="s">
        <v>42</v>
      </c>
      <c r="D8712" s="2" t="s">
        <v>17</v>
      </c>
      <c r="E8712" s="5">
        <v>-28416</v>
      </c>
      <c r="F8712" s="3" t="s">
        <v>97</v>
      </c>
      <c r="G8712" s="3" t="s">
        <v>63</v>
      </c>
      <c r="H8712" s="2" t="s">
        <v>20</v>
      </c>
      <c r="I8712" s="2" t="s">
        <v>16885</v>
      </c>
      <c r="J8712" s="3" t="str">
        <f>HYPERLINK("https://www.boe.es/gazeta/dias/1822/03/13/pdfs/GMD-1822-74.pdf#page=6","Abrir facsímil")</f>
        <v>Abrir facsímil</v>
      </c>
      <c r="K8712" s="3" t="s">
        <v>22</v>
      </c>
    </row>
    <row r="8713" spans="1:11" ht="42" customHeight="1">
      <c r="A8713" s="2" t="s">
        <v>16883</v>
      </c>
      <c r="B8713" s="2" t="s">
        <v>16883</v>
      </c>
      <c r="C8713" s="2" t="s">
        <v>42</v>
      </c>
      <c r="D8713" s="2" t="s">
        <v>17</v>
      </c>
      <c r="E8713" s="5">
        <v>-28414</v>
      </c>
      <c r="F8713" s="3" t="s">
        <v>187</v>
      </c>
      <c r="G8713" s="3" t="s">
        <v>19</v>
      </c>
      <c r="H8713" s="2" t="s">
        <v>20</v>
      </c>
      <c r="I8713" s="2" t="s">
        <v>16886</v>
      </c>
      <c r="J8713" s="3" t="str">
        <f>HYPERLINK("https://www.boe.es/gazeta/dias/1822/03/15/pdfs/GMD-1822-76.pdf#page=5","Abrir facsímil")</f>
        <v>Abrir facsímil</v>
      </c>
      <c r="K8713" s="3" t="s">
        <v>22</v>
      </c>
    </row>
    <row r="8714" spans="1:11" ht="42" customHeight="1">
      <c r="A8714" s="2" t="s">
        <v>16883</v>
      </c>
      <c r="B8714" s="2" t="s">
        <v>16883</v>
      </c>
      <c r="C8714" s="2" t="s">
        <v>42</v>
      </c>
      <c r="D8714" s="2" t="s">
        <v>17</v>
      </c>
      <c r="E8714" s="5">
        <v>-28210</v>
      </c>
      <c r="F8714" s="3" t="s">
        <v>218</v>
      </c>
      <c r="G8714" s="3" t="s">
        <v>19</v>
      </c>
      <c r="H8714" s="2" t="s">
        <v>20</v>
      </c>
      <c r="I8714" s="2" t="s">
        <v>16887</v>
      </c>
      <c r="J8714" s="3" t="str">
        <f>HYPERLINK("https://www.boe.es/gazeta/dias/1822/10/05/pdfs/GMD-1822-291.pdf#page=5","Abrir facsímil")</f>
        <v>Abrir facsímil</v>
      </c>
      <c r="K8714" s="3" t="s">
        <v>22</v>
      </c>
    </row>
    <row r="8715" spans="1:11" ht="42" customHeight="1">
      <c r="A8715" s="2" t="s">
        <v>16888</v>
      </c>
      <c r="B8715" s="2" t="s">
        <v>16889</v>
      </c>
      <c r="C8715" s="2" t="s">
        <v>28</v>
      </c>
      <c r="D8715" s="2" t="s">
        <v>29</v>
      </c>
      <c r="E8715" s="5">
        <v>-28436</v>
      </c>
      <c r="F8715" s="3" t="s">
        <v>431</v>
      </c>
      <c r="G8715" s="3" t="s">
        <v>1428</v>
      </c>
      <c r="H8715" s="2" t="s">
        <v>20</v>
      </c>
      <c r="I8715" s="2" t="s">
        <v>16890</v>
      </c>
      <c r="J8715" s="3" t="str">
        <f>HYPERLINK("https://www.boe.es/gazeta/dias/1822/02/21/pdfs/GMD-1822-53.pdf#page=3","Abrir facsímil")</f>
        <v>Abrir facsímil</v>
      </c>
      <c r="K8715" s="3" t="s">
        <v>22</v>
      </c>
    </row>
    <row r="8716" spans="1:11" ht="42" customHeight="1">
      <c r="A8716" s="2" t="s">
        <v>16891</v>
      </c>
      <c r="B8716" s="2" t="s">
        <v>16892</v>
      </c>
      <c r="C8716" s="2" t="s">
        <v>50</v>
      </c>
      <c r="D8716" s="2" t="s">
        <v>51</v>
      </c>
      <c r="E8716" s="5">
        <v>-28381</v>
      </c>
      <c r="F8716" s="3" t="s">
        <v>358</v>
      </c>
      <c r="G8716" s="3" t="s">
        <v>35</v>
      </c>
      <c r="H8716" s="2" t="s">
        <v>20</v>
      </c>
      <c r="I8716" s="2" t="s">
        <v>16893</v>
      </c>
      <c r="J8716" s="3" t="str">
        <f>HYPERLINK("https://www.boe.es/gazeta/dias/1822/04/17/pdfs/GMD-1822-109.pdf#page=2","Abrir facsímil")</f>
        <v>Abrir facsímil</v>
      </c>
      <c r="K8716" s="3" t="s">
        <v>22</v>
      </c>
    </row>
    <row r="8717" spans="1:11" ht="42" customHeight="1">
      <c r="A8717" s="2" t="s">
        <v>16894</v>
      </c>
      <c r="B8717" s="2" t="s">
        <v>16895</v>
      </c>
      <c r="C8717" s="2" t="s">
        <v>50</v>
      </c>
      <c r="D8717" s="2" t="s">
        <v>51</v>
      </c>
      <c r="E8717" s="5">
        <v>-28415</v>
      </c>
      <c r="F8717" s="3" t="s">
        <v>77</v>
      </c>
      <c r="G8717" s="3" t="s">
        <v>19</v>
      </c>
      <c r="H8717" s="2" t="s">
        <v>20</v>
      </c>
      <c r="I8717" s="2" t="s">
        <v>16896</v>
      </c>
      <c r="J8717" s="3" t="str">
        <f>HYPERLINK("https://www.boe.es/gazeta/dias/1822/03/14/pdfs/GMD-1822-75.pdf#page=5","Abrir facsímil")</f>
        <v>Abrir facsímil</v>
      </c>
      <c r="K8717" s="3" t="s">
        <v>22</v>
      </c>
    </row>
    <row r="8718" spans="1:11" ht="42" customHeight="1">
      <c r="A8718" s="2" t="s">
        <v>16897</v>
      </c>
      <c r="B8718" s="2" t="s">
        <v>16898</v>
      </c>
      <c r="C8718" s="2" t="s">
        <v>71</v>
      </c>
      <c r="D8718" s="2" t="s">
        <v>17</v>
      </c>
      <c r="E8718" s="5">
        <v>-28326</v>
      </c>
      <c r="F8718" s="3" t="s">
        <v>543</v>
      </c>
      <c r="G8718" s="3" t="s">
        <v>44</v>
      </c>
      <c r="H8718" s="2" t="s">
        <v>20</v>
      </c>
      <c r="I8718" s="2" t="s">
        <v>16899</v>
      </c>
      <c r="J8718" s="3" t="str">
        <f>HYPERLINK("https://www.boe.es/gazeta/dias/1822/06/11/pdfs/GMD-1822-168.pdf#page=1","Abrir facsímil")</f>
        <v>Abrir facsímil</v>
      </c>
      <c r="K8718" s="3" t="s">
        <v>22</v>
      </c>
    </row>
    <row r="8719" spans="1:11" ht="42" customHeight="1">
      <c r="A8719" s="2" t="s">
        <v>16900</v>
      </c>
      <c r="B8719" s="2" t="s">
        <v>16901</v>
      </c>
      <c r="C8719" s="2" t="s">
        <v>28</v>
      </c>
      <c r="D8719" s="2" t="s">
        <v>29</v>
      </c>
      <c r="E8719" s="5">
        <v>-28174</v>
      </c>
      <c r="F8719" s="3" t="s">
        <v>881</v>
      </c>
      <c r="G8719" s="3" t="s">
        <v>44</v>
      </c>
      <c r="H8719" s="2" t="s">
        <v>20</v>
      </c>
      <c r="I8719" s="2" t="s">
        <v>16902</v>
      </c>
      <c r="J8719" s="3" t="str">
        <f>HYPERLINK("https://www.boe.es/gazeta/dias/1822/11/10/pdfs/GMD-1822-330.pdf#page=1","Abrir facsímil")</f>
        <v>Abrir facsímil</v>
      </c>
      <c r="K8719" s="3" t="s">
        <v>22</v>
      </c>
    </row>
    <row r="8720" spans="1:11" ht="42" customHeight="1">
      <c r="A8720" s="2" t="s">
        <v>16903</v>
      </c>
      <c r="B8720" s="2" t="s">
        <v>16904</v>
      </c>
      <c r="C8720" s="2" t="s">
        <v>42</v>
      </c>
      <c r="D8720" s="2" t="s">
        <v>17</v>
      </c>
      <c r="E8720" s="5">
        <v>-28154</v>
      </c>
      <c r="F8720" s="3" t="s">
        <v>2321</v>
      </c>
      <c r="G8720" s="3" t="s">
        <v>31</v>
      </c>
      <c r="H8720" s="2" t="s">
        <v>20</v>
      </c>
      <c r="I8720" s="2" t="s">
        <v>16905</v>
      </c>
      <c r="J8720" s="3" t="str">
        <f>HYPERLINK("https://www.boe.es/gazeta/dias/1822/11/30/pdfs/GMD-1822-350.pdf#page=3","Abrir facsímil")</f>
        <v>Abrir facsímil</v>
      </c>
      <c r="K8720" s="3" t="s">
        <v>22</v>
      </c>
    </row>
    <row r="8721" spans="1:11" ht="42" customHeight="1">
      <c r="A8721" s="2" t="s">
        <v>16906</v>
      </c>
      <c r="B8721" s="2" t="s">
        <v>16907</v>
      </c>
      <c r="C8721" s="2" t="s">
        <v>50</v>
      </c>
      <c r="D8721" s="2" t="s">
        <v>51</v>
      </c>
      <c r="E8721" s="5">
        <v>-28424</v>
      </c>
      <c r="F8721" s="3" t="s">
        <v>439</v>
      </c>
      <c r="G8721" s="3" t="s">
        <v>35</v>
      </c>
      <c r="H8721" s="2" t="s">
        <v>45</v>
      </c>
      <c r="I8721" s="2" t="s">
        <v>16908</v>
      </c>
      <c r="J8721" s="3" t="str">
        <f>HYPERLINK("https://www.boe.es/gazeta/dias/1822/03/05/pdfs/GMD-1822-66.pdf#page=2","Abrir facsímil")</f>
        <v>Abrir facsímil</v>
      </c>
      <c r="K8721" s="3" t="s">
        <v>47</v>
      </c>
    </row>
    <row r="8722" spans="1:11" ht="42" customHeight="1">
      <c r="A8722" s="2" t="s">
        <v>16909</v>
      </c>
      <c r="B8722" s="2" t="s">
        <v>16910</v>
      </c>
      <c r="C8722" s="2" t="s">
        <v>16</v>
      </c>
      <c r="D8722" s="2" t="s">
        <v>17</v>
      </c>
      <c r="E8722" s="5">
        <v>-28142</v>
      </c>
      <c r="F8722" s="3" t="s">
        <v>290</v>
      </c>
      <c r="G8722" s="3" t="s">
        <v>57</v>
      </c>
      <c r="H8722" s="2" t="s">
        <v>20</v>
      </c>
      <c r="I8722" s="2" t="s">
        <v>16911</v>
      </c>
      <c r="J8722" s="3" t="str">
        <f>HYPERLINK("https://www.boe.es/gazeta/dias/1822/12/12/pdfs/GMD-1822-362.pdf#page=4","Abrir facsímil")</f>
        <v>Abrir facsímil</v>
      </c>
      <c r="K8722" s="3" t="s">
        <v>22</v>
      </c>
    </row>
    <row r="8723" spans="1:11" ht="42" customHeight="1">
      <c r="A8723" s="2" t="s">
        <v>16912</v>
      </c>
      <c r="B8723" s="2" t="s">
        <v>16912</v>
      </c>
      <c r="C8723" s="2" t="s">
        <v>61</v>
      </c>
      <c r="D8723" s="2" t="s">
        <v>17</v>
      </c>
      <c r="E8723" s="5">
        <v>-28166</v>
      </c>
      <c r="F8723" s="3" t="s">
        <v>942</v>
      </c>
      <c r="G8723" s="3" t="s">
        <v>19</v>
      </c>
      <c r="H8723" s="2" t="s">
        <v>20</v>
      </c>
      <c r="I8723" s="2" t="s">
        <v>16913</v>
      </c>
      <c r="J8723" s="3" t="str">
        <f>HYPERLINK("https://www.boe.es/gazeta/dias/1822/11/18/pdfs/GMD-1822-338.pdf#page=5","Abrir facsímil")</f>
        <v>Abrir facsímil</v>
      </c>
      <c r="K8723" s="3" t="s">
        <v>22</v>
      </c>
    </row>
    <row r="8724" spans="1:11" ht="42" customHeight="1">
      <c r="A8724" s="2" t="s">
        <v>16914</v>
      </c>
      <c r="B8724" s="2" t="s">
        <v>16914</v>
      </c>
      <c r="C8724" s="2" t="s">
        <v>28</v>
      </c>
      <c r="D8724" s="2" t="s">
        <v>29</v>
      </c>
      <c r="E8724" s="5">
        <v>-28359</v>
      </c>
      <c r="F8724" s="3" t="s">
        <v>209</v>
      </c>
      <c r="G8724" s="3" t="s">
        <v>31</v>
      </c>
      <c r="H8724" s="2" t="s">
        <v>20</v>
      </c>
      <c r="I8724" s="2" t="s">
        <v>16915</v>
      </c>
      <c r="J8724" s="3" t="str">
        <f>HYPERLINK("https://www.boe.es/gazeta/dias/1822/05/09/pdfs/GMD-1822-131.pdf#page=3","Abrir facsímil")</f>
        <v>Abrir facsímil</v>
      </c>
      <c r="K8724" s="3" t="s">
        <v>22</v>
      </c>
    </row>
    <row r="8725" spans="1:11" ht="42" customHeight="1">
      <c r="A8725" s="2" t="s">
        <v>16916</v>
      </c>
      <c r="B8725" s="2" t="s">
        <v>16916</v>
      </c>
      <c r="C8725" s="2" t="s">
        <v>61</v>
      </c>
      <c r="D8725" s="2" t="s">
        <v>17</v>
      </c>
      <c r="E8725" s="5">
        <v>-28175</v>
      </c>
      <c r="F8725" s="3" t="s">
        <v>341</v>
      </c>
      <c r="G8725" s="3" t="s">
        <v>31</v>
      </c>
      <c r="H8725" s="2" t="s">
        <v>20</v>
      </c>
      <c r="I8725" s="2" t="s">
        <v>16917</v>
      </c>
      <c r="J8725" s="3" t="str">
        <f>HYPERLINK("https://www.boe.es/gazeta/dias/1822/11/09/pdfs/GMD-1822-329.pdf#page=3","Abrir facsímil")</f>
        <v>Abrir facsímil</v>
      </c>
      <c r="K8725" s="3" t="s">
        <v>22</v>
      </c>
    </row>
    <row r="8726" spans="1:11" ht="42" customHeight="1">
      <c r="A8726" s="2" t="s">
        <v>16918</v>
      </c>
      <c r="B8726" s="2" t="s">
        <v>16918</v>
      </c>
      <c r="C8726" s="2" t="s">
        <v>42</v>
      </c>
      <c r="D8726" s="2" t="s">
        <v>17</v>
      </c>
      <c r="E8726" s="5">
        <v>-28127</v>
      </c>
      <c r="F8726" s="3" t="s">
        <v>409</v>
      </c>
      <c r="G8726" s="3" t="s">
        <v>19</v>
      </c>
      <c r="H8726" s="2" t="s">
        <v>20</v>
      </c>
      <c r="I8726" s="2" t="s">
        <v>16919</v>
      </c>
      <c r="J8726" s="3" t="str">
        <f>HYPERLINK("https://www.boe.es/gazeta/dias/1822/12/27/pdfs/GMD-1822-377.pdf#page=5","Abrir facsímil")</f>
        <v>Abrir facsímil</v>
      </c>
      <c r="K8726" s="3" t="s">
        <v>22</v>
      </c>
    </row>
    <row r="8727" spans="1:11" ht="42" customHeight="1">
      <c r="A8727" s="2" t="s">
        <v>16920</v>
      </c>
      <c r="B8727" s="2" t="s">
        <v>16920</v>
      </c>
      <c r="C8727" s="2" t="s">
        <v>50</v>
      </c>
      <c r="D8727" s="2" t="s">
        <v>51</v>
      </c>
      <c r="E8727" s="5">
        <v>-28132</v>
      </c>
      <c r="F8727" s="3" t="s">
        <v>820</v>
      </c>
      <c r="G8727" s="3" t="s">
        <v>31</v>
      </c>
      <c r="H8727" s="2" t="s">
        <v>20</v>
      </c>
      <c r="I8727" s="2" t="s">
        <v>16921</v>
      </c>
      <c r="J8727" s="3" t="str">
        <f>HYPERLINK("https://www.boe.es/gazeta/dias/1822/12/22/pdfs/GMD-1822-372.pdf#page=3","Abrir facsímil")</f>
        <v>Abrir facsímil</v>
      </c>
      <c r="K8727" s="3" t="s">
        <v>22</v>
      </c>
    </row>
    <row r="8728" spans="1:11" ht="42" customHeight="1">
      <c r="A8728" s="2" t="s">
        <v>16922</v>
      </c>
      <c r="B8728" s="2" t="s">
        <v>16922</v>
      </c>
      <c r="C8728" s="2" t="s">
        <v>71</v>
      </c>
      <c r="D8728" s="2" t="s">
        <v>17</v>
      </c>
      <c r="E8728" s="5">
        <v>-28199</v>
      </c>
      <c r="F8728" s="3" t="s">
        <v>656</v>
      </c>
      <c r="G8728" s="3" t="s">
        <v>31</v>
      </c>
      <c r="H8728" s="2" t="s">
        <v>20</v>
      </c>
      <c r="I8728" s="2" t="s">
        <v>16923</v>
      </c>
      <c r="J8728" s="3" t="str">
        <f>HYPERLINK("https://www.boe.es/gazeta/dias/1822/10/16/pdfs/GMD-1822-303.pdf#page=3","Abrir facsímil")</f>
        <v>Abrir facsímil</v>
      </c>
      <c r="K8728" s="3" t="s">
        <v>22</v>
      </c>
    </row>
    <row r="8729" spans="1:11" ht="42" customHeight="1">
      <c r="A8729" s="2" t="s">
        <v>16924</v>
      </c>
      <c r="B8729" s="2" t="s">
        <v>16925</v>
      </c>
      <c r="C8729" s="2" t="s">
        <v>50</v>
      </c>
      <c r="D8729" s="2" t="s">
        <v>51</v>
      </c>
      <c r="E8729" s="5">
        <v>-28334</v>
      </c>
      <c r="F8729" s="3" t="s">
        <v>532</v>
      </c>
      <c r="G8729" s="3" t="s">
        <v>44</v>
      </c>
      <c r="H8729" s="2" t="s">
        <v>20</v>
      </c>
      <c r="I8729" s="2" t="s">
        <v>16926</v>
      </c>
      <c r="J8729" s="3" t="str">
        <f>HYPERLINK("https://www.boe.es/gazeta/dias/1822/06/03/pdfs/GMD-1822-159.pdf#page=1","Abrir facsímil")</f>
        <v>Abrir facsímil</v>
      </c>
      <c r="K8729" s="3" t="s">
        <v>22</v>
      </c>
    </row>
    <row r="8730" spans="1:11" ht="42" customHeight="1">
      <c r="A8730" s="2" t="s">
        <v>16927</v>
      </c>
      <c r="B8730" s="2" t="s">
        <v>16928</v>
      </c>
      <c r="C8730" s="2" t="s">
        <v>16</v>
      </c>
      <c r="D8730" s="2" t="s">
        <v>17</v>
      </c>
      <c r="E8730" s="5">
        <v>-28344</v>
      </c>
      <c r="F8730" s="3" t="s">
        <v>524</v>
      </c>
      <c r="G8730" s="3" t="s">
        <v>31</v>
      </c>
      <c r="H8730" s="2" t="s">
        <v>20</v>
      </c>
      <c r="I8730" s="2" t="s">
        <v>16929</v>
      </c>
      <c r="J8730" s="3" t="str">
        <f>HYPERLINK("https://www.boe.es/gazeta/dias/1822/05/24/pdfs/GMD-1822-148.pdf#page=3","Abrir facsímil")</f>
        <v>Abrir facsímil</v>
      </c>
      <c r="K8730" s="3" t="s">
        <v>22</v>
      </c>
    </row>
    <row r="8731" spans="1:11" ht="42" customHeight="1">
      <c r="A8731" s="2" t="s">
        <v>16930</v>
      </c>
      <c r="B8731" s="2" t="s">
        <v>16930</v>
      </c>
      <c r="C8731" s="2" t="s">
        <v>50</v>
      </c>
      <c r="D8731" s="2" t="s">
        <v>51</v>
      </c>
      <c r="E8731" s="5">
        <v>-28418</v>
      </c>
      <c r="F8731" s="3" t="s">
        <v>205</v>
      </c>
      <c r="G8731" s="3" t="s">
        <v>19</v>
      </c>
      <c r="H8731" s="2" t="s">
        <v>20</v>
      </c>
      <c r="I8731" s="2" t="s">
        <v>16931</v>
      </c>
      <c r="J8731" s="3" t="str">
        <f>HYPERLINK("https://www.boe.es/gazeta/dias/1822/03/11/pdfs/GMD-1822-72.pdf#page=5","Abrir facsímil")</f>
        <v>Abrir facsímil</v>
      </c>
      <c r="K8731" s="3" t="s">
        <v>22</v>
      </c>
    </row>
    <row r="8732" spans="1:11" ht="42" customHeight="1">
      <c r="A8732" s="2" t="s">
        <v>16930</v>
      </c>
      <c r="B8732" s="2" t="s">
        <v>16930</v>
      </c>
      <c r="C8732" s="2" t="s">
        <v>50</v>
      </c>
      <c r="D8732" s="2" t="s">
        <v>51</v>
      </c>
      <c r="E8732" s="5">
        <v>-28406</v>
      </c>
      <c r="F8732" s="3" t="s">
        <v>462</v>
      </c>
      <c r="G8732" s="3" t="s">
        <v>19</v>
      </c>
      <c r="H8732" s="2" t="s">
        <v>20</v>
      </c>
      <c r="I8732" s="2" t="s">
        <v>16932</v>
      </c>
      <c r="J8732" s="3" t="str">
        <f>HYPERLINK("https://www.boe.es/gazeta/dias/1822/03/23/pdfs/GMD-1822-84.pdf#page=5","Abrir facsímil")</f>
        <v>Abrir facsímil</v>
      </c>
      <c r="K8732" s="3" t="s">
        <v>22</v>
      </c>
    </row>
    <row r="8733" spans="1:11" ht="42" customHeight="1">
      <c r="A8733" s="2" t="s">
        <v>16930</v>
      </c>
      <c r="B8733" s="2" t="s">
        <v>16930</v>
      </c>
      <c r="C8733" s="2" t="s">
        <v>42</v>
      </c>
      <c r="D8733" s="2" t="s">
        <v>17</v>
      </c>
      <c r="E8733" s="5">
        <v>-28404</v>
      </c>
      <c r="F8733" s="3" t="s">
        <v>421</v>
      </c>
      <c r="G8733" s="3" t="s">
        <v>35</v>
      </c>
      <c r="H8733" s="2" t="s">
        <v>20</v>
      </c>
      <c r="I8733" s="2" t="s">
        <v>16933</v>
      </c>
      <c r="J8733" s="3" t="str">
        <f>HYPERLINK("https://www.boe.es/gazeta/dias/1822/03/25/pdfs/GMD-1822-86.pdf#page=2","Abrir facsímil")</f>
        <v>Abrir facsímil</v>
      </c>
      <c r="K8733" s="3" t="s">
        <v>22</v>
      </c>
    </row>
    <row r="8734" spans="1:11" ht="42" customHeight="1">
      <c r="A8734" s="2" t="s">
        <v>16930</v>
      </c>
      <c r="B8734" s="2" t="s">
        <v>16930</v>
      </c>
      <c r="C8734" s="2" t="s">
        <v>28</v>
      </c>
      <c r="D8734" s="2" t="s">
        <v>29</v>
      </c>
      <c r="E8734" s="5">
        <v>-28404</v>
      </c>
      <c r="F8734" s="3" t="s">
        <v>421</v>
      </c>
      <c r="G8734" s="3" t="s">
        <v>31</v>
      </c>
      <c r="H8734" s="2" t="s">
        <v>20</v>
      </c>
      <c r="I8734" s="2" t="s">
        <v>16934</v>
      </c>
      <c r="J8734" s="3" t="str">
        <f>HYPERLINK("https://www.boe.es/gazeta/dias/1822/03/25/pdfs/GMD-1822-86.pdf#page=3","Abrir facsímil")</f>
        <v>Abrir facsímil</v>
      </c>
      <c r="K8734" s="3" t="s">
        <v>22</v>
      </c>
    </row>
    <row r="8735" spans="1:11" ht="42" customHeight="1">
      <c r="A8735" s="2" t="s">
        <v>16930</v>
      </c>
      <c r="B8735" s="2" t="s">
        <v>16930</v>
      </c>
      <c r="C8735" s="2" t="s">
        <v>61</v>
      </c>
      <c r="D8735" s="2" t="s">
        <v>17</v>
      </c>
      <c r="E8735" s="5">
        <v>-28386</v>
      </c>
      <c r="F8735" s="3" t="s">
        <v>2993</v>
      </c>
      <c r="G8735" s="3" t="s">
        <v>44</v>
      </c>
      <c r="H8735" s="2" t="s">
        <v>20</v>
      </c>
      <c r="I8735" s="2" t="s">
        <v>16935</v>
      </c>
      <c r="J8735" s="3" t="str">
        <f>HYPERLINK("https://www.boe.es/gazeta/dias/1822/04/12/pdfs/GMD-1822-104.pdf#page=1","Abrir facsímil")</f>
        <v>Abrir facsímil</v>
      </c>
      <c r="K8735" s="3" t="s">
        <v>22</v>
      </c>
    </row>
    <row r="8736" spans="1:11" ht="42" customHeight="1">
      <c r="A8736" s="2" t="s">
        <v>16930</v>
      </c>
      <c r="B8736" s="2" t="s">
        <v>16930</v>
      </c>
      <c r="C8736" s="2" t="s">
        <v>71</v>
      </c>
      <c r="D8736" s="2" t="s">
        <v>17</v>
      </c>
      <c r="E8736" s="5">
        <v>-28384</v>
      </c>
      <c r="F8736" s="3" t="s">
        <v>258</v>
      </c>
      <c r="G8736" s="3" t="s">
        <v>31</v>
      </c>
      <c r="H8736" s="2" t="s">
        <v>20</v>
      </c>
      <c r="I8736" s="2" t="s">
        <v>16936</v>
      </c>
      <c r="J8736" s="3" t="str">
        <f>HYPERLINK("https://www.boe.es/gazeta/dias/1822/04/14/pdfs/GMD-1822-106.pdf#page=3","Abrir facsímil")</f>
        <v>Abrir facsímil</v>
      </c>
      <c r="K8736" s="3" t="s">
        <v>22</v>
      </c>
    </row>
    <row r="8737" spans="1:11" ht="42" customHeight="1">
      <c r="A8737" s="2" t="s">
        <v>16930</v>
      </c>
      <c r="B8737" s="2" t="s">
        <v>16930</v>
      </c>
      <c r="C8737" s="2" t="s">
        <v>42</v>
      </c>
      <c r="D8737" s="2" t="s">
        <v>17</v>
      </c>
      <c r="E8737" s="5">
        <v>-28382</v>
      </c>
      <c r="F8737" s="3" t="s">
        <v>973</v>
      </c>
      <c r="G8737" s="3" t="s">
        <v>57</v>
      </c>
      <c r="H8737" s="2" t="s">
        <v>20</v>
      </c>
      <c r="I8737" s="2" t="s">
        <v>16937</v>
      </c>
      <c r="J8737" s="3" t="str">
        <f>HYPERLINK("https://www.boe.es/gazeta/dias/1822/04/16/pdfs/GMD-1822-108.pdf#page=4","Abrir facsímil")</f>
        <v>Abrir facsímil</v>
      </c>
      <c r="K8737" s="3" t="s">
        <v>22</v>
      </c>
    </row>
    <row r="8738" spans="1:11" ht="42" customHeight="1">
      <c r="A8738" s="2" t="s">
        <v>16930</v>
      </c>
      <c r="B8738" s="2" t="s">
        <v>16930</v>
      </c>
      <c r="C8738" s="2" t="s">
        <v>50</v>
      </c>
      <c r="D8738" s="2" t="s">
        <v>51</v>
      </c>
      <c r="E8738" s="5">
        <v>-28379</v>
      </c>
      <c r="F8738" s="3" t="s">
        <v>494</v>
      </c>
      <c r="G8738" s="3" t="s">
        <v>31</v>
      </c>
      <c r="H8738" s="2" t="s">
        <v>20</v>
      </c>
      <c r="I8738" s="2" t="s">
        <v>16938</v>
      </c>
      <c r="J8738" s="3" t="str">
        <f>HYPERLINK("https://www.boe.es/gazeta/dias/1822/04/19/pdfs/GMD-1822-111.pdf#page=3","Abrir facsímil")</f>
        <v>Abrir facsímil</v>
      </c>
      <c r="K8738" s="3" t="s">
        <v>22</v>
      </c>
    </row>
    <row r="8739" spans="1:11" ht="42" customHeight="1">
      <c r="A8739" s="2" t="s">
        <v>16930</v>
      </c>
      <c r="B8739" s="2" t="s">
        <v>16930</v>
      </c>
      <c r="C8739" s="2" t="s">
        <v>16</v>
      </c>
      <c r="D8739" s="2" t="s">
        <v>17</v>
      </c>
      <c r="E8739" s="5">
        <v>-28378</v>
      </c>
      <c r="F8739" s="3" t="s">
        <v>496</v>
      </c>
      <c r="G8739" s="3" t="s">
        <v>35</v>
      </c>
      <c r="H8739" s="2" t="s">
        <v>20</v>
      </c>
      <c r="I8739" s="2" t="s">
        <v>16939</v>
      </c>
      <c r="J8739" s="3" t="str">
        <f>HYPERLINK("https://www.boe.es/gazeta/dias/1822/04/20/pdfs/GMD-1822-112.pdf#page=2","Abrir facsímil")</f>
        <v>Abrir facsímil</v>
      </c>
      <c r="K8739" s="3" t="s">
        <v>22</v>
      </c>
    </row>
    <row r="8740" spans="1:11" ht="42" customHeight="1">
      <c r="A8740" s="2" t="s">
        <v>16930</v>
      </c>
      <c r="B8740" s="2" t="s">
        <v>16930</v>
      </c>
      <c r="C8740" s="2" t="s">
        <v>28</v>
      </c>
      <c r="D8740" s="2" t="s">
        <v>29</v>
      </c>
      <c r="E8740" s="5">
        <v>-28372</v>
      </c>
      <c r="F8740" s="3" t="s">
        <v>503</v>
      </c>
      <c r="G8740" s="3" t="s">
        <v>31</v>
      </c>
      <c r="H8740" s="2" t="s">
        <v>20</v>
      </c>
      <c r="I8740" s="2" t="s">
        <v>16940</v>
      </c>
      <c r="J8740" s="3" t="str">
        <f>HYPERLINK("https://www.boe.es/gazeta/dias/1822/04/26/pdfs/GMD-1822-118.pdf#page=3","Abrir facsímil")</f>
        <v>Abrir facsímil</v>
      </c>
      <c r="K8740" s="3" t="s">
        <v>22</v>
      </c>
    </row>
    <row r="8741" spans="1:11" ht="42" customHeight="1">
      <c r="A8741" s="2" t="s">
        <v>16930</v>
      </c>
      <c r="B8741" s="2" t="s">
        <v>16930</v>
      </c>
      <c r="C8741" s="2" t="s">
        <v>50</v>
      </c>
      <c r="D8741" s="2" t="s">
        <v>51</v>
      </c>
      <c r="E8741" s="5">
        <v>-28361</v>
      </c>
      <c r="F8741" s="3" t="s">
        <v>374</v>
      </c>
      <c r="G8741" s="3" t="s">
        <v>35</v>
      </c>
      <c r="H8741" s="2" t="s">
        <v>20</v>
      </c>
      <c r="I8741" s="2" t="s">
        <v>16941</v>
      </c>
      <c r="J8741" s="3" t="str">
        <f>HYPERLINK("https://www.boe.es/gazeta/dias/1822/05/07/pdfs/GMD-1822-129.pdf#page=2","Abrir facsímil")</f>
        <v>Abrir facsímil</v>
      </c>
      <c r="K8741" s="3" t="s">
        <v>22</v>
      </c>
    </row>
    <row r="8742" spans="1:11" ht="42" customHeight="1">
      <c r="A8742" s="2" t="s">
        <v>16930</v>
      </c>
      <c r="B8742" s="2" t="s">
        <v>16930</v>
      </c>
      <c r="C8742" s="2" t="s">
        <v>71</v>
      </c>
      <c r="D8742" s="2" t="s">
        <v>17</v>
      </c>
      <c r="E8742" s="5">
        <v>-28357</v>
      </c>
      <c r="F8742" s="3" t="s">
        <v>690</v>
      </c>
      <c r="G8742" s="3" t="s">
        <v>35</v>
      </c>
      <c r="H8742" s="2" t="s">
        <v>20</v>
      </c>
      <c r="I8742" s="2" t="s">
        <v>16942</v>
      </c>
      <c r="J8742" s="3" t="str">
        <f>HYPERLINK("https://www.boe.es/gazeta/dias/1822/05/11/pdfs/GMD-1822-133.pdf#page=2","Abrir facsímil")</f>
        <v>Abrir facsímil</v>
      </c>
      <c r="K8742" s="3" t="s">
        <v>22</v>
      </c>
    </row>
    <row r="8743" spans="1:11" ht="42" customHeight="1">
      <c r="A8743" s="2" t="s">
        <v>16930</v>
      </c>
      <c r="B8743" s="2" t="s">
        <v>16930</v>
      </c>
      <c r="C8743" s="2" t="s">
        <v>71</v>
      </c>
      <c r="D8743" s="2" t="s">
        <v>17</v>
      </c>
      <c r="E8743" s="5">
        <v>-28346</v>
      </c>
      <c r="F8743" s="3" t="s">
        <v>191</v>
      </c>
      <c r="G8743" s="3" t="s">
        <v>31</v>
      </c>
      <c r="H8743" s="2" t="s">
        <v>20</v>
      </c>
      <c r="I8743" s="2" t="s">
        <v>16943</v>
      </c>
      <c r="J8743" s="3" t="str">
        <f>HYPERLINK("https://www.boe.es/gazeta/dias/1822/05/22/pdfs/GMD-1822-145.pdf#page=3","Abrir facsímil")</f>
        <v>Abrir facsímil</v>
      </c>
      <c r="K8743" s="3" t="s">
        <v>22</v>
      </c>
    </row>
    <row r="8744" spans="1:11" ht="42" customHeight="1">
      <c r="A8744" s="2" t="s">
        <v>16930</v>
      </c>
      <c r="B8744" s="2" t="s">
        <v>16930</v>
      </c>
      <c r="C8744" s="2" t="s">
        <v>42</v>
      </c>
      <c r="D8744" s="2" t="s">
        <v>17</v>
      </c>
      <c r="E8744" s="5">
        <v>-28345</v>
      </c>
      <c r="F8744" s="3" t="s">
        <v>294</v>
      </c>
      <c r="G8744" s="3" t="s">
        <v>31</v>
      </c>
      <c r="H8744" s="2" t="s">
        <v>20</v>
      </c>
      <c r="I8744" s="2" t="s">
        <v>16944</v>
      </c>
      <c r="J8744" s="3" t="str">
        <f>HYPERLINK("https://www.boe.es/gazeta/dias/1822/05/23/pdfs/GMD-1822-147.pdf#page=3","Abrir facsímil")</f>
        <v>Abrir facsímil</v>
      </c>
      <c r="K8744" s="3" t="s">
        <v>22</v>
      </c>
    </row>
    <row r="8745" spans="1:11" ht="42" customHeight="1">
      <c r="A8745" s="2" t="s">
        <v>16930</v>
      </c>
      <c r="B8745" s="2" t="s">
        <v>16930</v>
      </c>
      <c r="C8745" s="2" t="s">
        <v>24</v>
      </c>
      <c r="D8745" s="2" t="s">
        <v>17</v>
      </c>
      <c r="E8745" s="5">
        <v>-28344</v>
      </c>
      <c r="F8745" s="3" t="s">
        <v>524</v>
      </c>
      <c r="G8745" s="3" t="s">
        <v>31</v>
      </c>
      <c r="H8745" s="2" t="s">
        <v>20</v>
      </c>
      <c r="I8745" s="2" t="s">
        <v>16945</v>
      </c>
      <c r="J8745" s="3" t="str">
        <f>HYPERLINK("https://www.boe.es/gazeta/dias/1822/05/24/pdfs/GMD-1822-148.pdf#page=3","Abrir facsímil")</f>
        <v>Abrir facsímil</v>
      </c>
      <c r="K8745" s="3" t="s">
        <v>22</v>
      </c>
    </row>
    <row r="8746" spans="1:11" ht="42" customHeight="1">
      <c r="A8746" s="2" t="s">
        <v>16930</v>
      </c>
      <c r="B8746" s="2" t="s">
        <v>16930</v>
      </c>
      <c r="C8746" s="2" t="s">
        <v>42</v>
      </c>
      <c r="D8746" s="2" t="s">
        <v>17</v>
      </c>
      <c r="E8746" s="5">
        <v>-28341</v>
      </c>
      <c r="F8746" s="3" t="s">
        <v>284</v>
      </c>
      <c r="G8746" s="3" t="s">
        <v>19</v>
      </c>
      <c r="H8746" s="2" t="s">
        <v>20</v>
      </c>
      <c r="I8746" s="2" t="s">
        <v>16946</v>
      </c>
      <c r="J8746" s="3" t="str">
        <f>HYPERLINK("https://www.boe.es/gazeta/dias/1822/05/27/pdfs/GMD-1822-152.pdf#page=5","Abrir facsímil")</f>
        <v>Abrir facsímil</v>
      </c>
      <c r="K8746" s="3" t="s">
        <v>22</v>
      </c>
    </row>
    <row r="8747" spans="1:11" ht="42" customHeight="1">
      <c r="A8747" s="2" t="s">
        <v>16930</v>
      </c>
      <c r="B8747" s="2" t="s">
        <v>16930</v>
      </c>
      <c r="C8747" s="2" t="s">
        <v>71</v>
      </c>
      <c r="D8747" s="2" t="s">
        <v>17</v>
      </c>
      <c r="E8747" s="5">
        <v>-28326</v>
      </c>
      <c r="F8747" s="3" t="s">
        <v>543</v>
      </c>
      <c r="G8747" s="3" t="s">
        <v>35</v>
      </c>
      <c r="H8747" s="2" t="s">
        <v>20</v>
      </c>
      <c r="I8747" s="2" t="s">
        <v>16947</v>
      </c>
      <c r="J8747" s="3" t="str">
        <f>HYPERLINK("https://www.boe.es/gazeta/dias/1822/06/11/pdfs/GMD-1822-168.pdf#page=2","Abrir facsímil")</f>
        <v>Abrir facsímil</v>
      </c>
      <c r="K8747" s="3" t="s">
        <v>22</v>
      </c>
    </row>
    <row r="8748" spans="1:11" ht="42" customHeight="1">
      <c r="A8748" s="2" t="s">
        <v>16930</v>
      </c>
      <c r="B8748" s="2" t="s">
        <v>16930</v>
      </c>
      <c r="C8748" s="2" t="s">
        <v>28</v>
      </c>
      <c r="D8748" s="2" t="s">
        <v>29</v>
      </c>
      <c r="E8748" s="5">
        <v>-28206</v>
      </c>
      <c r="F8748" s="3" t="s">
        <v>562</v>
      </c>
      <c r="G8748" s="3" t="s">
        <v>35</v>
      </c>
      <c r="H8748" s="2" t="s">
        <v>20</v>
      </c>
      <c r="I8748" s="2" t="s">
        <v>16948</v>
      </c>
      <c r="J8748" s="3" t="str">
        <f>HYPERLINK("https://www.boe.es/gazeta/dias/1822/10/09/pdfs/GMD-1822-296.pdf#page=2","Abrir facsímil")</f>
        <v>Abrir facsímil</v>
      </c>
      <c r="K8748" s="3" t="s">
        <v>22</v>
      </c>
    </row>
    <row r="8749" spans="1:11" ht="42" customHeight="1">
      <c r="A8749" s="2" t="s">
        <v>16930</v>
      </c>
      <c r="B8749" s="2" t="s">
        <v>16930</v>
      </c>
      <c r="C8749" s="2" t="s">
        <v>42</v>
      </c>
      <c r="D8749" s="2" t="s">
        <v>17</v>
      </c>
      <c r="E8749" s="5">
        <v>-28205</v>
      </c>
      <c r="F8749" s="3" t="s">
        <v>806</v>
      </c>
      <c r="G8749" s="3" t="s">
        <v>19</v>
      </c>
      <c r="H8749" s="2" t="s">
        <v>20</v>
      </c>
      <c r="I8749" s="2" t="s">
        <v>16949</v>
      </c>
      <c r="J8749" s="3" t="str">
        <f>HYPERLINK("https://www.boe.es/gazeta/dias/1822/10/10/pdfs/GMD-1822-297.pdf#page=5","Abrir facsímil")</f>
        <v>Abrir facsímil</v>
      </c>
      <c r="K8749" s="3" t="s">
        <v>22</v>
      </c>
    </row>
    <row r="8750" spans="1:11" ht="42" customHeight="1">
      <c r="A8750" s="2" t="s">
        <v>16930</v>
      </c>
      <c r="B8750" s="2" t="s">
        <v>16930</v>
      </c>
      <c r="C8750" s="2" t="s">
        <v>28</v>
      </c>
      <c r="D8750" s="2" t="s">
        <v>29</v>
      </c>
      <c r="E8750" s="5">
        <v>-28198</v>
      </c>
      <c r="F8750" s="3" t="s">
        <v>981</v>
      </c>
      <c r="G8750" s="3" t="s">
        <v>31</v>
      </c>
      <c r="H8750" s="2" t="s">
        <v>20</v>
      </c>
      <c r="I8750" s="2" t="s">
        <v>16950</v>
      </c>
      <c r="J8750" s="3" t="str">
        <f>HYPERLINK("https://www.boe.es/gazeta/dias/1822/10/17/pdfs/GMD-1822-304.pdf#page=3","Abrir facsímil")</f>
        <v>Abrir facsímil</v>
      </c>
      <c r="K8750" s="3" t="s">
        <v>22</v>
      </c>
    </row>
    <row r="8751" spans="1:11" ht="42" customHeight="1">
      <c r="A8751" s="2" t="s">
        <v>16930</v>
      </c>
      <c r="B8751" s="2" t="s">
        <v>16930</v>
      </c>
      <c r="C8751" s="2" t="s">
        <v>71</v>
      </c>
      <c r="D8751" s="2" t="s">
        <v>17</v>
      </c>
      <c r="E8751" s="5">
        <v>-28197</v>
      </c>
      <c r="F8751" s="3" t="s">
        <v>568</v>
      </c>
      <c r="G8751" s="3" t="s">
        <v>35</v>
      </c>
      <c r="H8751" s="2" t="s">
        <v>20</v>
      </c>
      <c r="I8751" s="2" t="s">
        <v>16951</v>
      </c>
      <c r="J8751" s="3" t="str">
        <f>HYPERLINK("https://www.boe.es/gazeta/dias/1822/10/18/pdfs/GMD-1822-305.pdf#page=2","Abrir facsímil")</f>
        <v>Abrir facsímil</v>
      </c>
      <c r="K8751" s="3" t="s">
        <v>22</v>
      </c>
    </row>
    <row r="8752" spans="1:11" ht="42" customHeight="1">
      <c r="A8752" s="2" t="s">
        <v>16930</v>
      </c>
      <c r="B8752" s="2" t="s">
        <v>16930</v>
      </c>
      <c r="C8752" s="2" t="s">
        <v>42</v>
      </c>
      <c r="D8752" s="2" t="s">
        <v>17</v>
      </c>
      <c r="E8752" s="5">
        <v>-28197</v>
      </c>
      <c r="F8752" s="3" t="s">
        <v>568</v>
      </c>
      <c r="G8752" s="3" t="s">
        <v>31</v>
      </c>
      <c r="H8752" s="2" t="s">
        <v>20</v>
      </c>
      <c r="I8752" s="2" t="s">
        <v>16952</v>
      </c>
      <c r="J8752" s="3" t="str">
        <f>HYPERLINK("https://www.boe.es/gazeta/dias/1822/10/18/pdfs/GMD-1822-305.pdf#page=3","Abrir facsímil")</f>
        <v>Abrir facsímil</v>
      </c>
      <c r="K8752" s="3" t="s">
        <v>22</v>
      </c>
    </row>
    <row r="8753" spans="1:11" ht="42" customHeight="1">
      <c r="A8753" s="2" t="s">
        <v>16930</v>
      </c>
      <c r="B8753" s="2" t="s">
        <v>16930</v>
      </c>
      <c r="C8753" s="2" t="s">
        <v>42</v>
      </c>
      <c r="D8753" s="2" t="s">
        <v>17</v>
      </c>
      <c r="E8753" s="5">
        <v>-28194</v>
      </c>
      <c r="F8753" s="3" t="s">
        <v>18</v>
      </c>
      <c r="G8753" s="3" t="s">
        <v>44</v>
      </c>
      <c r="H8753" s="2" t="s">
        <v>20</v>
      </c>
      <c r="I8753" s="2" t="s">
        <v>16953</v>
      </c>
      <c r="J8753" s="3" t="str">
        <f>HYPERLINK("https://www.boe.es/gazeta/dias/1822/10/21/pdfs/GMD-1822-308.pdf#page=1","Abrir facsímil")</f>
        <v>Abrir facsímil</v>
      </c>
      <c r="K8753" s="3" t="s">
        <v>22</v>
      </c>
    </row>
    <row r="8754" spans="1:11" ht="42" customHeight="1">
      <c r="A8754" s="2" t="s">
        <v>16930</v>
      </c>
      <c r="B8754" s="2" t="s">
        <v>16930</v>
      </c>
      <c r="C8754" s="2" t="s">
        <v>42</v>
      </c>
      <c r="D8754" s="2" t="s">
        <v>17</v>
      </c>
      <c r="E8754" s="5">
        <v>-28189</v>
      </c>
      <c r="F8754" s="3" t="s">
        <v>645</v>
      </c>
      <c r="G8754" s="3" t="s">
        <v>31</v>
      </c>
      <c r="H8754" s="2" t="s">
        <v>20</v>
      </c>
      <c r="I8754" s="2" t="s">
        <v>16954</v>
      </c>
      <c r="J8754" s="3" t="str">
        <f>HYPERLINK("https://www.boe.es/gazeta/dias/1822/10/26/pdfs/GMD-1822-313.pdf#page=3","Abrir facsímil")</f>
        <v>Abrir facsímil</v>
      </c>
      <c r="K8754" s="3" t="s">
        <v>22</v>
      </c>
    </row>
    <row r="8755" spans="1:11" ht="42" customHeight="1">
      <c r="A8755" s="2" t="s">
        <v>16930</v>
      </c>
      <c r="B8755" s="2" t="s">
        <v>16930</v>
      </c>
      <c r="C8755" s="2" t="s">
        <v>71</v>
      </c>
      <c r="D8755" s="2" t="s">
        <v>17</v>
      </c>
      <c r="E8755" s="5">
        <v>-28188</v>
      </c>
      <c r="F8755" s="3" t="s">
        <v>578</v>
      </c>
      <c r="G8755" s="3" t="s">
        <v>44</v>
      </c>
      <c r="H8755" s="2" t="s">
        <v>20</v>
      </c>
      <c r="I8755" s="2" t="s">
        <v>16955</v>
      </c>
      <c r="J8755" s="3" t="str">
        <f>HYPERLINK("https://www.boe.es/gazeta/dias/1822/10/27/pdfs/GMD-1822-314.pdf#page=1","Abrir facsímil")</f>
        <v>Abrir facsímil</v>
      </c>
      <c r="K8755" s="3" t="s">
        <v>22</v>
      </c>
    </row>
    <row r="8756" spans="1:11" ht="42" customHeight="1">
      <c r="A8756" s="2" t="s">
        <v>16930</v>
      </c>
      <c r="B8756" s="2" t="s">
        <v>16930</v>
      </c>
      <c r="C8756" s="2" t="s">
        <v>50</v>
      </c>
      <c r="D8756" s="2" t="s">
        <v>51</v>
      </c>
      <c r="E8756" s="5">
        <v>-28186</v>
      </c>
      <c r="F8756" s="3" t="s">
        <v>581</v>
      </c>
      <c r="G8756" s="3" t="s">
        <v>35</v>
      </c>
      <c r="H8756" s="2" t="s">
        <v>20</v>
      </c>
      <c r="I8756" s="2" t="s">
        <v>16956</v>
      </c>
      <c r="J8756" s="3" t="str">
        <f>HYPERLINK("https://www.boe.es/gazeta/dias/1822/10/29/pdfs/GMD-1822-316.pdf#page=2","Abrir facsímil")</f>
        <v>Abrir facsímil</v>
      </c>
      <c r="K8756" s="3" t="s">
        <v>22</v>
      </c>
    </row>
    <row r="8757" spans="1:11" ht="42" customHeight="1">
      <c r="A8757" s="2" t="s">
        <v>16930</v>
      </c>
      <c r="B8757" s="2" t="s">
        <v>16930</v>
      </c>
      <c r="C8757" s="2" t="s">
        <v>50</v>
      </c>
      <c r="D8757" s="2" t="s">
        <v>51</v>
      </c>
      <c r="E8757" s="5">
        <v>-28184</v>
      </c>
      <c r="F8757" s="3" t="s">
        <v>1423</v>
      </c>
      <c r="G8757" s="3" t="s">
        <v>35</v>
      </c>
      <c r="H8757" s="2" t="s">
        <v>20</v>
      </c>
      <c r="I8757" s="2" t="s">
        <v>16957</v>
      </c>
      <c r="J8757" s="3" t="str">
        <f>HYPERLINK("https://www.boe.es/gazeta/dias/1822/10/31/pdfs/GMD-1822-318.pdf#page=2","Abrir facsímil")</f>
        <v>Abrir facsímil</v>
      </c>
      <c r="K8757" s="3" t="s">
        <v>22</v>
      </c>
    </row>
    <row r="8758" spans="1:11" ht="42" customHeight="1">
      <c r="A8758" s="2" t="s">
        <v>16930</v>
      </c>
      <c r="B8758" s="2" t="s">
        <v>16930</v>
      </c>
      <c r="C8758" s="2" t="s">
        <v>42</v>
      </c>
      <c r="D8758" s="2" t="s">
        <v>17</v>
      </c>
      <c r="E8758" s="5">
        <v>-28181</v>
      </c>
      <c r="F8758" s="3" t="s">
        <v>739</v>
      </c>
      <c r="G8758" s="3" t="s">
        <v>35</v>
      </c>
      <c r="H8758" s="2" t="s">
        <v>20</v>
      </c>
      <c r="I8758" s="2" t="s">
        <v>16958</v>
      </c>
      <c r="J8758" s="3" t="str">
        <f>HYPERLINK("https://www.boe.es/gazeta/dias/1822/11/03/pdfs/GMD-1822-321.pdf#page=2","Abrir facsímil")</f>
        <v>Abrir facsímil</v>
      </c>
      <c r="K8758" s="3" t="s">
        <v>22</v>
      </c>
    </row>
    <row r="8759" spans="1:11" ht="42" customHeight="1">
      <c r="A8759" s="2" t="s">
        <v>16930</v>
      </c>
      <c r="B8759" s="2" t="s">
        <v>16930</v>
      </c>
      <c r="C8759" s="2" t="s">
        <v>42</v>
      </c>
      <c r="D8759" s="2" t="s">
        <v>17</v>
      </c>
      <c r="E8759" s="5">
        <v>-28181</v>
      </c>
      <c r="F8759" s="3" t="s">
        <v>739</v>
      </c>
      <c r="G8759" s="3" t="s">
        <v>31</v>
      </c>
      <c r="H8759" s="2" t="s">
        <v>20</v>
      </c>
      <c r="I8759" s="2" t="s">
        <v>16959</v>
      </c>
      <c r="J8759" s="3" t="str">
        <f>HYPERLINK("https://www.boe.es/gazeta/dias/1822/11/03/pdfs/GMD-1822-321.pdf#page=3","Abrir facsímil")</f>
        <v>Abrir facsímil</v>
      </c>
      <c r="K8759" s="3" t="s">
        <v>22</v>
      </c>
    </row>
    <row r="8760" spans="1:11" ht="42" customHeight="1">
      <c r="A8760" s="2" t="s">
        <v>16930</v>
      </c>
      <c r="B8760" s="2" t="s">
        <v>16930</v>
      </c>
      <c r="C8760" s="2" t="s">
        <v>42</v>
      </c>
      <c r="D8760" s="2" t="s">
        <v>17</v>
      </c>
      <c r="E8760" s="5">
        <v>-28177</v>
      </c>
      <c r="F8760" s="3" t="s">
        <v>587</v>
      </c>
      <c r="G8760" s="3" t="s">
        <v>888</v>
      </c>
      <c r="H8760" s="2" t="s">
        <v>20</v>
      </c>
      <c r="I8760" s="2" t="s">
        <v>16960</v>
      </c>
      <c r="J8760" s="3" t="str">
        <f>HYPERLINK("https://www.boe.es/gazeta/dias/1822/11/07/pdfs/GMD-1822-327.pdf#page=4","Abrir facsímil")</f>
        <v>Abrir facsímil</v>
      </c>
      <c r="K8760" s="3" t="s">
        <v>22</v>
      </c>
    </row>
    <row r="8761" spans="1:11" ht="42" customHeight="1">
      <c r="A8761" s="2" t="s">
        <v>16930</v>
      </c>
      <c r="B8761" s="2" t="s">
        <v>16930</v>
      </c>
      <c r="C8761" s="2" t="s">
        <v>71</v>
      </c>
      <c r="D8761" s="2" t="s">
        <v>17</v>
      </c>
      <c r="E8761" s="5">
        <v>-28177</v>
      </c>
      <c r="F8761" s="3" t="s">
        <v>587</v>
      </c>
      <c r="G8761" s="3" t="s">
        <v>35</v>
      </c>
      <c r="H8761" s="2" t="s">
        <v>20</v>
      </c>
      <c r="I8761" s="2" t="s">
        <v>16961</v>
      </c>
      <c r="J8761" s="3" t="str">
        <f>HYPERLINK("https://www.boe.es/gazeta/dias/1822/11/07/pdfs/GMD-1822-327.pdf#page=2","Abrir facsímil")</f>
        <v>Abrir facsímil</v>
      </c>
      <c r="K8761" s="3" t="s">
        <v>22</v>
      </c>
    </row>
    <row r="8762" spans="1:11" ht="42" customHeight="1">
      <c r="A8762" s="2" t="s">
        <v>16930</v>
      </c>
      <c r="B8762" s="2" t="s">
        <v>16930</v>
      </c>
      <c r="C8762" s="2" t="s">
        <v>50</v>
      </c>
      <c r="D8762" s="2" t="s">
        <v>51</v>
      </c>
      <c r="E8762" s="5">
        <v>-28175</v>
      </c>
      <c r="F8762" s="3" t="s">
        <v>341</v>
      </c>
      <c r="G8762" s="3" t="s">
        <v>63</v>
      </c>
      <c r="H8762" s="2" t="s">
        <v>20</v>
      </c>
      <c r="I8762" s="2" t="s">
        <v>16962</v>
      </c>
      <c r="J8762" s="3" t="str">
        <f>HYPERLINK("https://www.boe.es/gazeta/dias/1822/11/09/pdfs/GMD-1822-329.pdf#page=6","Abrir facsímil")</f>
        <v>Abrir facsímil</v>
      </c>
      <c r="K8762" s="3" t="s">
        <v>22</v>
      </c>
    </row>
    <row r="8763" spans="1:11" ht="42" customHeight="1">
      <c r="A8763" s="2" t="s">
        <v>16930</v>
      </c>
      <c r="B8763" s="2" t="s">
        <v>16930</v>
      </c>
      <c r="C8763" s="2" t="s">
        <v>42</v>
      </c>
      <c r="D8763" s="2" t="s">
        <v>17</v>
      </c>
      <c r="E8763" s="5">
        <v>-28167</v>
      </c>
      <c r="F8763" s="3" t="s">
        <v>904</v>
      </c>
      <c r="G8763" s="3" t="s">
        <v>35</v>
      </c>
      <c r="H8763" s="2" t="s">
        <v>20</v>
      </c>
      <c r="I8763" s="2" t="s">
        <v>16963</v>
      </c>
      <c r="J8763" s="3" t="str">
        <f>HYPERLINK("https://www.boe.es/gazeta/dias/1822/11/17/pdfs/GMD-1822-337.pdf#page=2","Abrir facsímil")</f>
        <v>Abrir facsímil</v>
      </c>
      <c r="K8763" s="3" t="s">
        <v>22</v>
      </c>
    </row>
    <row r="8764" spans="1:11" ht="42" customHeight="1">
      <c r="A8764" s="2" t="s">
        <v>16930</v>
      </c>
      <c r="B8764" s="2" t="s">
        <v>16930</v>
      </c>
      <c r="C8764" s="2" t="s">
        <v>71</v>
      </c>
      <c r="D8764" s="2" t="s">
        <v>17</v>
      </c>
      <c r="E8764" s="5">
        <v>-28165</v>
      </c>
      <c r="F8764" s="3" t="s">
        <v>846</v>
      </c>
      <c r="G8764" s="3" t="s">
        <v>35</v>
      </c>
      <c r="H8764" s="2" t="s">
        <v>20</v>
      </c>
      <c r="I8764" s="2" t="s">
        <v>16964</v>
      </c>
      <c r="J8764" s="3" t="str">
        <f>HYPERLINK("https://www.boe.es/gazeta/dias/1822/11/19/pdfs/GMD-1822-339.pdf#page=2","Abrir facsímil")</f>
        <v>Abrir facsímil</v>
      </c>
      <c r="K8764" s="3" t="s">
        <v>22</v>
      </c>
    </row>
    <row r="8765" spans="1:11" ht="42" customHeight="1">
      <c r="A8765" s="2" t="s">
        <v>16930</v>
      </c>
      <c r="B8765" s="2" t="s">
        <v>16930</v>
      </c>
      <c r="C8765" s="2" t="s">
        <v>50</v>
      </c>
      <c r="D8765" s="2" t="s">
        <v>51</v>
      </c>
      <c r="E8765" s="5">
        <v>-28162</v>
      </c>
      <c r="F8765" s="3" t="s">
        <v>3949</v>
      </c>
      <c r="G8765" s="3" t="s">
        <v>35</v>
      </c>
      <c r="H8765" s="2" t="s">
        <v>20</v>
      </c>
      <c r="I8765" s="2" t="s">
        <v>16965</v>
      </c>
      <c r="J8765" s="3" t="str">
        <f>HYPERLINK("https://www.boe.es/gazeta/dias/1822/11/22/pdfs/GMD-1822-342.pdf#page=2","Abrir facsímil")</f>
        <v>Abrir facsímil</v>
      </c>
      <c r="K8765" s="3" t="s">
        <v>22</v>
      </c>
    </row>
    <row r="8766" spans="1:11" ht="42" customHeight="1">
      <c r="A8766" s="2" t="s">
        <v>16930</v>
      </c>
      <c r="B8766" s="2" t="s">
        <v>16930</v>
      </c>
      <c r="C8766" s="2" t="s">
        <v>50</v>
      </c>
      <c r="D8766" s="2" t="s">
        <v>51</v>
      </c>
      <c r="E8766" s="5">
        <v>-28161</v>
      </c>
      <c r="F8766" s="3" t="s">
        <v>166</v>
      </c>
      <c r="G8766" s="3" t="s">
        <v>35</v>
      </c>
      <c r="H8766" s="2" t="s">
        <v>20</v>
      </c>
      <c r="I8766" s="2" t="s">
        <v>16966</v>
      </c>
      <c r="J8766" s="3" t="str">
        <f>HYPERLINK("https://www.boe.es/gazeta/dias/1822/11/23/pdfs/GMD-1822-343.pdf#page=2","Abrir facsímil")</f>
        <v>Abrir facsímil</v>
      </c>
      <c r="K8766" s="3" t="s">
        <v>22</v>
      </c>
    </row>
    <row r="8767" spans="1:11" ht="42" customHeight="1">
      <c r="A8767" s="2" t="s">
        <v>16930</v>
      </c>
      <c r="B8767" s="2" t="s">
        <v>16930</v>
      </c>
      <c r="C8767" s="2" t="s">
        <v>42</v>
      </c>
      <c r="D8767" s="2" t="s">
        <v>17</v>
      </c>
      <c r="E8767" s="5">
        <v>-28160</v>
      </c>
      <c r="F8767" s="3" t="s">
        <v>148</v>
      </c>
      <c r="G8767" s="3" t="s">
        <v>57</v>
      </c>
      <c r="H8767" s="2" t="s">
        <v>20</v>
      </c>
      <c r="I8767" s="2" t="s">
        <v>16967</v>
      </c>
      <c r="J8767" s="3" t="str">
        <f>HYPERLINK("https://www.boe.es/gazeta/dias/1822/11/24/pdfs/GMD-1822-344.pdf#page=4","Abrir facsímil")</f>
        <v>Abrir facsímil</v>
      </c>
      <c r="K8767" s="3" t="s">
        <v>22</v>
      </c>
    </row>
    <row r="8768" spans="1:11" ht="42" customHeight="1">
      <c r="A8768" s="2" t="s">
        <v>16930</v>
      </c>
      <c r="B8768" s="2" t="s">
        <v>16930</v>
      </c>
      <c r="C8768" s="2" t="s">
        <v>42</v>
      </c>
      <c r="D8768" s="2" t="s">
        <v>17</v>
      </c>
      <c r="E8768" s="5">
        <v>-28154</v>
      </c>
      <c r="F8768" s="3" t="s">
        <v>2321</v>
      </c>
      <c r="G8768" s="3" t="s">
        <v>31</v>
      </c>
      <c r="H8768" s="2" t="s">
        <v>20</v>
      </c>
      <c r="I8768" s="2" t="s">
        <v>16968</v>
      </c>
      <c r="J8768" s="3" t="str">
        <f>HYPERLINK("https://www.boe.es/gazeta/dias/1822/11/30/pdfs/GMD-1822-350.pdf#page=3","Abrir facsímil")</f>
        <v>Abrir facsímil</v>
      </c>
      <c r="K8768" s="3" t="s">
        <v>22</v>
      </c>
    </row>
    <row r="8769" spans="1:11" ht="42" customHeight="1">
      <c r="A8769" s="2" t="s">
        <v>16930</v>
      </c>
      <c r="B8769" s="2" t="s">
        <v>16930</v>
      </c>
      <c r="C8769" s="2" t="s">
        <v>50</v>
      </c>
      <c r="D8769" s="2" t="s">
        <v>51</v>
      </c>
      <c r="E8769" s="5">
        <v>-28139</v>
      </c>
      <c r="F8769" s="3" t="s">
        <v>143</v>
      </c>
      <c r="G8769" s="3" t="s">
        <v>35</v>
      </c>
      <c r="H8769" s="2" t="s">
        <v>20</v>
      </c>
      <c r="I8769" s="2" t="s">
        <v>16969</v>
      </c>
      <c r="J8769" s="3" t="str">
        <f>HYPERLINK("https://www.boe.es/gazeta/dias/1822/12/15/pdfs/GMD-1822-365.pdf#page=2","Abrir facsímil")</f>
        <v>Abrir facsímil</v>
      </c>
      <c r="K8769" s="3" t="s">
        <v>22</v>
      </c>
    </row>
    <row r="8770" spans="1:11" ht="42" customHeight="1">
      <c r="A8770" s="2" t="s">
        <v>16970</v>
      </c>
      <c r="B8770" s="2" t="s">
        <v>16971</v>
      </c>
      <c r="C8770" s="2" t="s">
        <v>28</v>
      </c>
      <c r="D8770" s="2" t="s">
        <v>29</v>
      </c>
      <c r="E8770" s="5">
        <v>-28175</v>
      </c>
      <c r="F8770" s="3" t="s">
        <v>341</v>
      </c>
      <c r="G8770" s="3" t="s">
        <v>63</v>
      </c>
      <c r="H8770" s="2" t="s">
        <v>20</v>
      </c>
      <c r="I8770" s="2" t="s">
        <v>16972</v>
      </c>
      <c r="J8770" s="3" t="str">
        <f>HYPERLINK("https://www.boe.es/gazeta/dias/1822/11/09/pdfs/GMD-1822-329.pdf#page=6","Abrir facsímil")</f>
        <v>Abrir facsímil</v>
      </c>
      <c r="K8770" s="3" t="s">
        <v>22</v>
      </c>
    </row>
    <row r="8771" spans="1:11" ht="42" customHeight="1">
      <c r="A8771" s="2" t="s">
        <v>16973</v>
      </c>
      <c r="B8771" s="2" t="s">
        <v>16974</v>
      </c>
      <c r="C8771" s="2" t="s">
        <v>28</v>
      </c>
      <c r="D8771" s="2" t="s">
        <v>29</v>
      </c>
      <c r="E8771" s="5">
        <v>-28415</v>
      </c>
      <c r="F8771" s="3" t="s">
        <v>77</v>
      </c>
      <c r="G8771" s="3" t="s">
        <v>19</v>
      </c>
      <c r="H8771" s="2" t="s">
        <v>20</v>
      </c>
      <c r="I8771" s="2" t="s">
        <v>16975</v>
      </c>
      <c r="J8771" s="3" t="str">
        <f>HYPERLINK("https://www.boe.es/gazeta/dias/1822/03/14/pdfs/GMD-1822-75.pdf#page=5","Abrir facsímil")</f>
        <v>Abrir facsímil</v>
      </c>
      <c r="K8771" s="3" t="s">
        <v>22</v>
      </c>
    </row>
    <row r="8772" spans="1:11" ht="42" customHeight="1">
      <c r="A8772" s="2" t="s">
        <v>16976</v>
      </c>
      <c r="B8772" s="2" t="s">
        <v>16976</v>
      </c>
      <c r="C8772" s="2" t="s">
        <v>42</v>
      </c>
      <c r="D8772" s="2" t="s">
        <v>17</v>
      </c>
      <c r="E8772" s="5">
        <v>-28141</v>
      </c>
      <c r="F8772" s="3" t="s">
        <v>265</v>
      </c>
      <c r="G8772" s="3" t="s">
        <v>31</v>
      </c>
      <c r="H8772" s="2" t="s">
        <v>20</v>
      </c>
      <c r="I8772" s="2" t="s">
        <v>16977</v>
      </c>
      <c r="J8772" s="3" t="str">
        <f>HYPERLINK("https://www.boe.es/gazeta/dias/1822/12/13/pdfs/GMD-1822-363.pdf#page=3","Abrir facsímil")</f>
        <v>Abrir facsímil</v>
      </c>
      <c r="K8772" s="3" t="s">
        <v>22</v>
      </c>
    </row>
    <row r="8773" spans="1:11" ht="42" customHeight="1">
      <c r="A8773" s="2" t="s">
        <v>16978</v>
      </c>
      <c r="B8773" s="2" t="s">
        <v>16978</v>
      </c>
      <c r="C8773" s="2" t="s">
        <v>50</v>
      </c>
      <c r="D8773" s="2" t="s">
        <v>51</v>
      </c>
      <c r="E8773" s="5">
        <v>-28178</v>
      </c>
      <c r="F8773" s="3" t="s">
        <v>318</v>
      </c>
      <c r="G8773" s="3" t="s">
        <v>35</v>
      </c>
      <c r="H8773" s="2" t="s">
        <v>20</v>
      </c>
      <c r="I8773" s="2" t="s">
        <v>16979</v>
      </c>
      <c r="J8773" s="3" t="str">
        <f>HYPERLINK("https://www.boe.es/gazeta/dias/1822/11/06/pdfs/GMD-1822-326.pdf#page=2","Abrir facsímil")</f>
        <v>Abrir facsímil</v>
      </c>
      <c r="K8773" s="3" t="s">
        <v>22</v>
      </c>
    </row>
    <row r="8774" spans="1:11" ht="42" customHeight="1">
      <c r="A8774" s="2" t="s">
        <v>16980</v>
      </c>
      <c r="B8774" s="2" t="s">
        <v>16981</v>
      </c>
      <c r="C8774" s="2" t="s">
        <v>61</v>
      </c>
      <c r="D8774" s="2" t="s">
        <v>17</v>
      </c>
      <c r="E8774" s="5">
        <v>-28213</v>
      </c>
      <c r="F8774" s="3" t="s">
        <v>558</v>
      </c>
      <c r="G8774" s="3" t="s">
        <v>57</v>
      </c>
      <c r="H8774" s="2" t="s">
        <v>20</v>
      </c>
      <c r="I8774" s="2" t="s">
        <v>16982</v>
      </c>
      <c r="J8774" s="3" t="str">
        <f>HYPERLINK("https://www.boe.es/gazeta/dias/1822/10/02/pdfs/GMD-1822-288.pdf#page=4","Abrir facsímil")</f>
        <v>Abrir facsímil</v>
      </c>
      <c r="K8774" s="3" t="s">
        <v>22</v>
      </c>
    </row>
    <row r="8775" spans="1:11" ht="42" customHeight="1">
      <c r="A8775" s="2" t="s">
        <v>16983</v>
      </c>
      <c r="B8775" s="2" t="s">
        <v>16983</v>
      </c>
      <c r="C8775" s="2" t="s">
        <v>42</v>
      </c>
      <c r="D8775" s="2" t="s">
        <v>17</v>
      </c>
      <c r="E8775" s="5">
        <v>-28421</v>
      </c>
      <c r="F8775" s="3" t="s">
        <v>446</v>
      </c>
      <c r="G8775" s="3" t="s">
        <v>31</v>
      </c>
      <c r="H8775" s="2" t="s">
        <v>20</v>
      </c>
      <c r="I8775" s="2" t="s">
        <v>16984</v>
      </c>
      <c r="J8775" s="3" t="str">
        <f>HYPERLINK("https://www.boe.es/gazeta/dias/1822/03/08/pdfs/GMD-1822-69.pdf#page=3","Abrir facsímil")</f>
        <v>Abrir facsímil</v>
      </c>
      <c r="K8775" s="3" t="s">
        <v>22</v>
      </c>
    </row>
    <row r="8776" spans="1:11" ht="42" customHeight="1">
      <c r="A8776" s="2" t="s">
        <v>16983</v>
      </c>
      <c r="B8776" s="2" t="s">
        <v>16983</v>
      </c>
      <c r="C8776" s="2" t="s">
        <v>71</v>
      </c>
      <c r="D8776" s="2" t="s">
        <v>17</v>
      </c>
      <c r="E8776" s="5">
        <v>-28378</v>
      </c>
      <c r="F8776" s="3" t="s">
        <v>496</v>
      </c>
      <c r="G8776" s="3" t="s">
        <v>35</v>
      </c>
      <c r="H8776" s="2" t="s">
        <v>20</v>
      </c>
      <c r="I8776" s="2" t="s">
        <v>16985</v>
      </c>
      <c r="J8776" s="3" t="str">
        <f>HYPERLINK("https://www.boe.es/gazeta/dias/1822/04/20/pdfs/GMD-1822-112.pdf#page=2","Abrir facsímil")</f>
        <v>Abrir facsímil</v>
      </c>
      <c r="K8776" s="3" t="s">
        <v>22</v>
      </c>
    </row>
    <row r="8777" spans="1:11" ht="42" customHeight="1">
      <c r="A8777" s="2" t="s">
        <v>16983</v>
      </c>
      <c r="B8777" s="2" t="s">
        <v>16983</v>
      </c>
      <c r="C8777" s="2" t="s">
        <v>16</v>
      </c>
      <c r="D8777" s="2" t="s">
        <v>17</v>
      </c>
      <c r="E8777" s="5">
        <v>-28370</v>
      </c>
      <c r="F8777" s="3" t="s">
        <v>207</v>
      </c>
      <c r="G8777" s="3" t="s">
        <v>19</v>
      </c>
      <c r="H8777" s="2" t="s">
        <v>20</v>
      </c>
      <c r="I8777" s="2" t="s">
        <v>16986</v>
      </c>
      <c r="J8777" s="3" t="str">
        <f>HYPERLINK("https://www.boe.es/gazeta/dias/1822/04/28/pdfs/GMD-1822-120.pdf#page=5","Abrir facsímil")</f>
        <v>Abrir facsímil</v>
      </c>
      <c r="K8777" s="3" t="s">
        <v>22</v>
      </c>
    </row>
    <row r="8778" spans="1:11" ht="42" customHeight="1">
      <c r="A8778" s="2" t="s">
        <v>16983</v>
      </c>
      <c r="B8778" s="2" t="s">
        <v>16983</v>
      </c>
      <c r="C8778" s="2" t="s">
        <v>50</v>
      </c>
      <c r="D8778" s="2" t="s">
        <v>51</v>
      </c>
      <c r="E8778" s="5">
        <v>-28365</v>
      </c>
      <c r="F8778" s="3" t="s">
        <v>506</v>
      </c>
      <c r="G8778" s="3" t="s">
        <v>31</v>
      </c>
      <c r="H8778" s="2" t="s">
        <v>20</v>
      </c>
      <c r="I8778" s="2" t="s">
        <v>16987</v>
      </c>
      <c r="J8778" s="3" t="str">
        <f>HYPERLINK("https://www.boe.es/gazeta/dias/1822/05/03/pdfs/GMD-1822-125.pdf#page=3","Abrir facsímil")</f>
        <v>Abrir facsímil</v>
      </c>
      <c r="K8778" s="3" t="s">
        <v>22</v>
      </c>
    </row>
    <row r="8779" spans="1:11" ht="42" customHeight="1">
      <c r="A8779" s="2" t="s">
        <v>16983</v>
      </c>
      <c r="B8779" s="2" t="s">
        <v>16983</v>
      </c>
      <c r="C8779" s="2" t="s">
        <v>42</v>
      </c>
      <c r="D8779" s="2" t="s">
        <v>17</v>
      </c>
      <c r="E8779" s="5">
        <v>-28361</v>
      </c>
      <c r="F8779" s="3" t="s">
        <v>374</v>
      </c>
      <c r="G8779" s="3" t="s">
        <v>31</v>
      </c>
      <c r="H8779" s="2" t="s">
        <v>20</v>
      </c>
      <c r="I8779" s="2" t="s">
        <v>16988</v>
      </c>
      <c r="J8779" s="3" t="str">
        <f>HYPERLINK("https://www.boe.es/gazeta/dias/1822/05/07/pdfs/GMD-1822-129.pdf#page=3","Abrir facsímil")</f>
        <v>Abrir facsímil</v>
      </c>
      <c r="K8779" s="3" t="s">
        <v>22</v>
      </c>
    </row>
    <row r="8780" spans="1:11" ht="42" customHeight="1">
      <c r="A8780" s="2" t="s">
        <v>16989</v>
      </c>
      <c r="B8780" s="2" t="s">
        <v>16990</v>
      </c>
      <c r="C8780" s="2" t="s">
        <v>28</v>
      </c>
      <c r="D8780" s="2" t="s">
        <v>29</v>
      </c>
      <c r="E8780" s="5">
        <v>-28318</v>
      </c>
      <c r="F8780" s="3" t="s">
        <v>397</v>
      </c>
      <c r="G8780" s="3" t="s">
        <v>157</v>
      </c>
      <c r="H8780" s="2" t="s">
        <v>20</v>
      </c>
      <c r="I8780" s="2" t="s">
        <v>16991</v>
      </c>
      <c r="J8780" s="3" t="str">
        <f>HYPERLINK("https://www.boe.es/gazeta/dias/1822/06/19/pdfs/GMD-1822-176.pdf#page=8","Abrir facsímil")</f>
        <v>Abrir facsímil</v>
      </c>
      <c r="K8780" s="3" t="s">
        <v>22</v>
      </c>
    </row>
    <row r="8781" spans="1:11" ht="42" customHeight="1">
      <c r="A8781" s="2" t="s">
        <v>16992</v>
      </c>
      <c r="B8781" s="2" t="s">
        <v>16993</v>
      </c>
      <c r="C8781" s="2" t="s">
        <v>28</v>
      </c>
      <c r="D8781" s="2" t="s">
        <v>29</v>
      </c>
      <c r="E8781" s="5">
        <v>-28436</v>
      </c>
      <c r="F8781" s="3" t="s">
        <v>431</v>
      </c>
      <c r="G8781" s="3" t="s">
        <v>1428</v>
      </c>
      <c r="H8781" s="2" t="s">
        <v>20</v>
      </c>
      <c r="I8781" s="2" t="s">
        <v>16994</v>
      </c>
      <c r="J8781" s="3" t="str">
        <f>HYPERLINK("https://www.boe.es/gazeta/dias/1822/02/21/pdfs/GMD-1822-53.pdf#page=3","Abrir facsímil")</f>
        <v>Abrir facsímil</v>
      </c>
      <c r="K8781" s="3" t="s">
        <v>22</v>
      </c>
    </row>
    <row r="8782" spans="1:11" ht="42" customHeight="1">
      <c r="A8782" s="2" t="s">
        <v>16995</v>
      </c>
      <c r="B8782" s="2" t="s">
        <v>16996</v>
      </c>
      <c r="C8782" s="2" t="s">
        <v>24</v>
      </c>
      <c r="D8782" s="2" t="s">
        <v>17</v>
      </c>
      <c r="E8782" s="5">
        <v>-28377</v>
      </c>
      <c r="F8782" s="3" t="s">
        <v>498</v>
      </c>
      <c r="G8782" s="3" t="s">
        <v>57</v>
      </c>
      <c r="H8782" s="2" t="s">
        <v>45</v>
      </c>
      <c r="I8782" s="2" t="s">
        <v>16997</v>
      </c>
      <c r="J8782" s="3" t="str">
        <f>HYPERLINK("https://www.boe.es/gazeta/dias/1822/04/21/pdfs/GMD-1822-113.pdf#page=4","Abrir facsímil")</f>
        <v>Abrir facsímil</v>
      </c>
      <c r="K8782" s="3" t="s">
        <v>47</v>
      </c>
    </row>
    <row r="8783" spans="1:11" ht="42" customHeight="1">
      <c r="A8783" s="2" t="s">
        <v>16998</v>
      </c>
      <c r="B8783" s="2" t="s">
        <v>16998</v>
      </c>
      <c r="C8783" s="2" t="s">
        <v>42</v>
      </c>
      <c r="D8783" s="2" t="s">
        <v>17</v>
      </c>
      <c r="E8783" s="5">
        <v>-28487</v>
      </c>
      <c r="F8783" s="3" t="s">
        <v>426</v>
      </c>
      <c r="G8783" s="3" t="s">
        <v>31</v>
      </c>
      <c r="H8783" s="2" t="s">
        <v>20</v>
      </c>
      <c r="I8783" s="2" t="s">
        <v>16999</v>
      </c>
      <c r="J8783" s="3" t="str">
        <f>HYPERLINK("https://www.boe.es/gazeta/dias/1822/01/01/pdfs/GMD-1822-1.pdf#page=3","Abrir facsímil")</f>
        <v>Abrir facsímil</v>
      </c>
      <c r="K8783" s="3" t="s">
        <v>22</v>
      </c>
    </row>
    <row r="8784" spans="1:11" ht="42" customHeight="1">
      <c r="A8784" s="2" t="s">
        <v>16998</v>
      </c>
      <c r="B8784" s="2" t="s">
        <v>16998</v>
      </c>
      <c r="C8784" s="2" t="s">
        <v>50</v>
      </c>
      <c r="D8784" s="2" t="s">
        <v>51</v>
      </c>
      <c r="E8784" s="5">
        <v>-28486</v>
      </c>
      <c r="F8784" s="3" t="s">
        <v>1046</v>
      </c>
      <c r="G8784" s="3" t="s">
        <v>1085</v>
      </c>
      <c r="H8784" s="2" t="s">
        <v>20</v>
      </c>
      <c r="I8784" s="2" t="s">
        <v>17000</v>
      </c>
      <c r="J8784" s="3" t="str">
        <f>HYPERLINK("https://www.boe.es/gazeta/dias/1822/01/02/pdfs/GMD-1822-2.pdf#page=3","Abrir facsímil")</f>
        <v>Abrir facsímil</v>
      </c>
      <c r="K8784" s="3" t="s">
        <v>22</v>
      </c>
    </row>
    <row r="8785" spans="1:11" ht="42" customHeight="1">
      <c r="A8785" s="2" t="s">
        <v>16998</v>
      </c>
      <c r="B8785" s="2" t="s">
        <v>16998</v>
      </c>
      <c r="C8785" s="2" t="s">
        <v>50</v>
      </c>
      <c r="D8785" s="2" t="s">
        <v>51</v>
      </c>
      <c r="E8785" s="5">
        <v>-28486</v>
      </c>
      <c r="F8785" s="3" t="s">
        <v>1046</v>
      </c>
      <c r="G8785" s="3" t="s">
        <v>35</v>
      </c>
      <c r="H8785" s="2" t="s">
        <v>20</v>
      </c>
      <c r="I8785" s="2" t="s">
        <v>17001</v>
      </c>
      <c r="J8785" s="3" t="str">
        <f>HYPERLINK("https://www.boe.es/gazeta/dias/1822/01/02/pdfs/GMD-1822-2.pdf#page=2","Abrir facsímil")</f>
        <v>Abrir facsímil</v>
      </c>
      <c r="K8785" s="3" t="s">
        <v>22</v>
      </c>
    </row>
    <row r="8786" spans="1:11" ht="42" customHeight="1">
      <c r="A8786" s="2" t="s">
        <v>16998</v>
      </c>
      <c r="B8786" s="2" t="s">
        <v>16998</v>
      </c>
      <c r="C8786" s="2" t="s">
        <v>16</v>
      </c>
      <c r="D8786" s="2" t="s">
        <v>17</v>
      </c>
      <c r="E8786" s="5">
        <v>-28481</v>
      </c>
      <c r="F8786" s="3" t="s">
        <v>1089</v>
      </c>
      <c r="G8786" s="3" t="s">
        <v>35</v>
      </c>
      <c r="H8786" s="2" t="s">
        <v>20</v>
      </c>
      <c r="I8786" s="2" t="s">
        <v>17002</v>
      </c>
      <c r="J8786" s="3" t="str">
        <f>HYPERLINK("https://www.boe.es/gazeta/dias/1822/01/07/pdfs/GMD-1822-7.pdf#page=2","Abrir facsímil")</f>
        <v>Abrir facsímil</v>
      </c>
      <c r="K8786" s="3" t="s">
        <v>22</v>
      </c>
    </row>
    <row r="8787" spans="1:11" ht="42" customHeight="1">
      <c r="A8787" s="2" t="s">
        <v>16998</v>
      </c>
      <c r="B8787" s="2" t="s">
        <v>16998</v>
      </c>
      <c r="C8787" s="2" t="s">
        <v>71</v>
      </c>
      <c r="D8787" s="2" t="s">
        <v>17</v>
      </c>
      <c r="E8787" s="5">
        <v>-28478</v>
      </c>
      <c r="F8787" s="3" t="s">
        <v>1093</v>
      </c>
      <c r="G8787" s="3" t="s">
        <v>35</v>
      </c>
      <c r="H8787" s="2" t="s">
        <v>20</v>
      </c>
      <c r="I8787" s="2" t="s">
        <v>17003</v>
      </c>
      <c r="J8787" s="3" t="str">
        <f>HYPERLINK("https://www.boe.es/gazeta/dias/1822/01/10/pdfs/GMD-1822-10.pdf#page=2","Abrir facsímil")</f>
        <v>Abrir facsímil</v>
      </c>
      <c r="K8787" s="3" t="s">
        <v>22</v>
      </c>
    </row>
    <row r="8788" spans="1:11" ht="42" customHeight="1">
      <c r="A8788" s="2" t="s">
        <v>16998</v>
      </c>
      <c r="B8788" s="2" t="s">
        <v>16998</v>
      </c>
      <c r="C8788" s="2" t="s">
        <v>42</v>
      </c>
      <c r="D8788" s="2" t="s">
        <v>17</v>
      </c>
      <c r="E8788" s="5">
        <v>-28475</v>
      </c>
      <c r="F8788" s="3" t="s">
        <v>1205</v>
      </c>
      <c r="G8788" s="3" t="s">
        <v>1685</v>
      </c>
      <c r="H8788" s="2" t="s">
        <v>20</v>
      </c>
      <c r="I8788" s="2" t="s">
        <v>17004</v>
      </c>
      <c r="J8788" s="3" t="str">
        <f>HYPERLINK("https://www.boe.es/gazeta/dias/1822/01/13/pdfs/GMD-1822-13.pdf#page=4","Abrir facsímil")</f>
        <v>Abrir facsímil</v>
      </c>
      <c r="K8788" s="3" t="s">
        <v>22</v>
      </c>
    </row>
    <row r="8789" spans="1:11" ht="42" customHeight="1">
      <c r="A8789" s="2" t="s">
        <v>16998</v>
      </c>
      <c r="B8789" s="2" t="s">
        <v>16998</v>
      </c>
      <c r="C8789" s="2" t="s">
        <v>50</v>
      </c>
      <c r="D8789" s="2" t="s">
        <v>51</v>
      </c>
      <c r="E8789" s="5">
        <v>-28474</v>
      </c>
      <c r="F8789" s="3" t="s">
        <v>30</v>
      </c>
      <c r="G8789" s="3" t="s">
        <v>57</v>
      </c>
      <c r="H8789" s="2" t="s">
        <v>20</v>
      </c>
      <c r="I8789" s="2" t="s">
        <v>17005</v>
      </c>
      <c r="J8789" s="3" t="str">
        <f>HYPERLINK("https://www.boe.es/gazeta/dias/1822/01/14/pdfs/GMD-1822-14.pdf#page=4","Abrir facsímil")</f>
        <v>Abrir facsímil</v>
      </c>
      <c r="K8789" s="3" t="s">
        <v>22</v>
      </c>
    </row>
    <row r="8790" spans="1:11" ht="42" customHeight="1">
      <c r="A8790" s="2" t="s">
        <v>16998</v>
      </c>
      <c r="B8790" s="2" t="s">
        <v>16998</v>
      </c>
      <c r="C8790" s="2" t="s">
        <v>42</v>
      </c>
      <c r="D8790" s="2" t="s">
        <v>17</v>
      </c>
      <c r="E8790" s="5">
        <v>-28467</v>
      </c>
      <c r="F8790" s="3" t="s">
        <v>1096</v>
      </c>
      <c r="G8790" s="3" t="s">
        <v>35</v>
      </c>
      <c r="H8790" s="2" t="s">
        <v>20</v>
      </c>
      <c r="I8790" s="2" t="s">
        <v>17006</v>
      </c>
      <c r="J8790" s="3" t="str">
        <f>HYPERLINK("https://www.boe.es/gazeta/dias/1822/01/21/pdfs/GMD-1822-21.pdf#page=2","Abrir facsímil")</f>
        <v>Abrir facsímil</v>
      </c>
      <c r="K8790" s="3" t="s">
        <v>22</v>
      </c>
    </row>
    <row r="8791" spans="1:11" ht="42" customHeight="1">
      <c r="A8791" s="2" t="s">
        <v>16998</v>
      </c>
      <c r="B8791" s="2" t="s">
        <v>16998</v>
      </c>
      <c r="C8791" s="2" t="s">
        <v>42</v>
      </c>
      <c r="D8791" s="2" t="s">
        <v>17</v>
      </c>
      <c r="E8791" s="5">
        <v>-28462</v>
      </c>
      <c r="F8791" s="3" t="s">
        <v>1099</v>
      </c>
      <c r="G8791" s="3" t="s">
        <v>31</v>
      </c>
      <c r="H8791" s="2" t="s">
        <v>20</v>
      </c>
      <c r="I8791" s="2" t="s">
        <v>17007</v>
      </c>
      <c r="J8791" s="3" t="str">
        <f>HYPERLINK("https://www.boe.es/gazeta/dias/1822/01/26/pdfs/GMD-1822-26.pdf#page=3","Abrir facsímil")</f>
        <v>Abrir facsímil</v>
      </c>
      <c r="K8791" s="3" t="s">
        <v>22</v>
      </c>
    </row>
    <row r="8792" spans="1:11" ht="42" customHeight="1">
      <c r="A8792" s="2" t="s">
        <v>16998</v>
      </c>
      <c r="B8792" s="2" t="s">
        <v>16998</v>
      </c>
      <c r="C8792" s="2" t="s">
        <v>71</v>
      </c>
      <c r="D8792" s="2" t="s">
        <v>17</v>
      </c>
      <c r="E8792" s="5">
        <v>-28460</v>
      </c>
      <c r="F8792" s="3" t="s">
        <v>112</v>
      </c>
      <c r="G8792" s="3" t="s">
        <v>57</v>
      </c>
      <c r="H8792" s="2" t="s">
        <v>20</v>
      </c>
      <c r="I8792" s="2" t="s">
        <v>17008</v>
      </c>
      <c r="J8792" s="3" t="str">
        <f>HYPERLINK("https://www.boe.es/gazeta/dias/1822/01/28/pdfs/GMD-1822-28.pdf#page=4","Abrir facsímil")</f>
        <v>Abrir facsímil</v>
      </c>
      <c r="K8792" s="3" t="s">
        <v>22</v>
      </c>
    </row>
    <row r="8793" spans="1:11" ht="42" customHeight="1">
      <c r="A8793" s="2" t="s">
        <v>16998</v>
      </c>
      <c r="B8793" s="2" t="s">
        <v>16998</v>
      </c>
      <c r="C8793" s="2" t="s">
        <v>42</v>
      </c>
      <c r="D8793" s="2" t="s">
        <v>17</v>
      </c>
      <c r="E8793" s="5">
        <v>-28459</v>
      </c>
      <c r="F8793" s="3" t="s">
        <v>1102</v>
      </c>
      <c r="G8793" s="3" t="s">
        <v>31</v>
      </c>
      <c r="H8793" s="2" t="s">
        <v>20</v>
      </c>
      <c r="I8793" s="2" t="s">
        <v>17009</v>
      </c>
      <c r="J8793" s="3" t="str">
        <f>HYPERLINK("https://www.boe.es/gazeta/dias/1822/01/29/pdfs/GMD-1822-29.pdf#page=3","Abrir facsímil")</f>
        <v>Abrir facsímil</v>
      </c>
      <c r="K8793" s="3" t="s">
        <v>22</v>
      </c>
    </row>
    <row r="8794" spans="1:11" ht="42" customHeight="1">
      <c r="A8794" s="2" t="s">
        <v>16998</v>
      </c>
      <c r="B8794" s="2" t="s">
        <v>16998</v>
      </c>
      <c r="C8794" s="2" t="s">
        <v>28</v>
      </c>
      <c r="D8794" s="2" t="s">
        <v>29</v>
      </c>
      <c r="E8794" s="5">
        <v>-28454</v>
      </c>
      <c r="F8794" s="3" t="s">
        <v>2033</v>
      </c>
      <c r="G8794" s="3" t="s">
        <v>57</v>
      </c>
      <c r="H8794" s="2" t="s">
        <v>20</v>
      </c>
      <c r="I8794" s="2" t="s">
        <v>17010</v>
      </c>
      <c r="J8794" s="3" t="str">
        <f>HYPERLINK("https://www.boe.es/gazeta/dias/1822/02/03/pdfs/GMD-1822-34.pdf#page=4","Abrir facsímil")</f>
        <v>Abrir facsímil</v>
      </c>
      <c r="K8794" s="3" t="s">
        <v>22</v>
      </c>
    </row>
    <row r="8795" spans="1:11" ht="42" customHeight="1">
      <c r="A8795" s="2" t="s">
        <v>16998</v>
      </c>
      <c r="B8795" s="2" t="s">
        <v>16998</v>
      </c>
      <c r="C8795" s="2" t="s">
        <v>42</v>
      </c>
      <c r="D8795" s="2" t="s">
        <v>17</v>
      </c>
      <c r="E8795" s="5">
        <v>-28453</v>
      </c>
      <c r="F8795" s="3" t="s">
        <v>2039</v>
      </c>
      <c r="G8795" s="3" t="s">
        <v>57</v>
      </c>
      <c r="H8795" s="2" t="s">
        <v>20</v>
      </c>
      <c r="I8795" s="2" t="s">
        <v>17011</v>
      </c>
      <c r="J8795" s="3" t="str">
        <f>HYPERLINK("https://www.boe.es/gazeta/dias/1822/02/04/pdfs/GMD-1822-35.pdf#page=4","Abrir facsímil")</f>
        <v>Abrir facsímil</v>
      </c>
      <c r="K8795" s="3" t="s">
        <v>22</v>
      </c>
    </row>
    <row r="8796" spans="1:11" ht="42" customHeight="1">
      <c r="A8796" s="2" t="s">
        <v>16998</v>
      </c>
      <c r="B8796" s="2" t="s">
        <v>16998</v>
      </c>
      <c r="C8796" s="2" t="s">
        <v>28</v>
      </c>
      <c r="D8796" s="2" t="s">
        <v>29</v>
      </c>
      <c r="E8796" s="5">
        <v>-28445</v>
      </c>
      <c r="F8796" s="3" t="s">
        <v>1622</v>
      </c>
      <c r="G8796" s="3" t="s">
        <v>57</v>
      </c>
      <c r="H8796" s="2" t="s">
        <v>20</v>
      </c>
      <c r="I8796" s="2" t="s">
        <v>17012</v>
      </c>
      <c r="J8796" s="3" t="str">
        <f>HYPERLINK("https://www.boe.es/gazeta/dias/1822/02/12/pdfs/GMD-1822-43.pdf#page=4","Abrir facsímil")</f>
        <v>Abrir facsímil</v>
      </c>
      <c r="K8796" s="3" t="s">
        <v>22</v>
      </c>
    </row>
    <row r="8797" spans="1:11" ht="42" customHeight="1">
      <c r="A8797" s="2" t="s">
        <v>16998</v>
      </c>
      <c r="B8797" s="2" t="s">
        <v>16998</v>
      </c>
      <c r="C8797" s="2" t="s">
        <v>50</v>
      </c>
      <c r="D8797" s="2" t="s">
        <v>51</v>
      </c>
      <c r="E8797" s="5">
        <v>-28444</v>
      </c>
      <c r="F8797" s="3" t="s">
        <v>681</v>
      </c>
      <c r="G8797" s="3" t="s">
        <v>35</v>
      </c>
      <c r="H8797" s="2" t="s">
        <v>20</v>
      </c>
      <c r="I8797" s="2" t="s">
        <v>17013</v>
      </c>
      <c r="J8797" s="3" t="str">
        <f>HYPERLINK("https://www.boe.es/gazeta/dias/1822/02/13/pdfs/GMD-1822-44.pdf#page=2","Abrir facsímil")</f>
        <v>Abrir facsímil</v>
      </c>
      <c r="K8797" s="3" t="s">
        <v>22</v>
      </c>
    </row>
    <row r="8798" spans="1:11" ht="42" customHeight="1">
      <c r="A8798" s="2" t="s">
        <v>16998</v>
      </c>
      <c r="B8798" s="2" t="s">
        <v>16998</v>
      </c>
      <c r="C8798" s="2" t="s">
        <v>42</v>
      </c>
      <c r="D8798" s="2" t="s">
        <v>17</v>
      </c>
      <c r="E8798" s="5">
        <v>-28443</v>
      </c>
      <c r="F8798" s="3" t="s">
        <v>668</v>
      </c>
      <c r="G8798" s="3" t="s">
        <v>35</v>
      </c>
      <c r="H8798" s="2" t="s">
        <v>20</v>
      </c>
      <c r="I8798" s="2" t="s">
        <v>17014</v>
      </c>
      <c r="J8798" s="3" t="str">
        <f>HYPERLINK("https://www.boe.es/gazeta/dias/1822/02/14/pdfs/GMD-1822-45.pdf#page=2","Abrir facsímil")</f>
        <v>Abrir facsímil</v>
      </c>
      <c r="K8798" s="3" t="s">
        <v>22</v>
      </c>
    </row>
    <row r="8799" spans="1:11" ht="42" customHeight="1">
      <c r="A8799" s="2" t="s">
        <v>16998</v>
      </c>
      <c r="B8799" s="2" t="s">
        <v>16998</v>
      </c>
      <c r="C8799" s="2" t="s">
        <v>61</v>
      </c>
      <c r="D8799" s="2" t="s">
        <v>17</v>
      </c>
      <c r="E8799" s="5">
        <v>-28443</v>
      </c>
      <c r="F8799" s="3" t="s">
        <v>668</v>
      </c>
      <c r="G8799" s="3" t="s">
        <v>57</v>
      </c>
      <c r="H8799" s="2" t="s">
        <v>20</v>
      </c>
      <c r="I8799" s="2" t="s">
        <v>17015</v>
      </c>
      <c r="J8799" s="3" t="str">
        <f>HYPERLINK("https://www.boe.es/gazeta/dias/1822/02/14/pdfs/GMD-1822-45.pdf#page=4","Abrir facsímil")</f>
        <v>Abrir facsímil</v>
      </c>
      <c r="K8799" s="3" t="s">
        <v>22</v>
      </c>
    </row>
    <row r="8800" spans="1:11" ht="42" customHeight="1">
      <c r="A8800" s="2" t="s">
        <v>16998</v>
      </c>
      <c r="B8800" s="2" t="s">
        <v>16998</v>
      </c>
      <c r="C8800" s="2" t="s">
        <v>42</v>
      </c>
      <c r="D8800" s="2" t="s">
        <v>17</v>
      </c>
      <c r="E8800" s="5">
        <v>-28442</v>
      </c>
      <c r="F8800" s="3" t="s">
        <v>2250</v>
      </c>
      <c r="G8800" s="3" t="s">
        <v>5459</v>
      </c>
      <c r="H8800" s="2" t="s">
        <v>20</v>
      </c>
      <c r="I8800" s="2" t="s">
        <v>17016</v>
      </c>
      <c r="J8800" s="3" t="str">
        <f>HYPERLINK("https://www.boe.es/gazeta/dias/1822/02/15/pdfs/GMD-1822-47.pdf#page=3","Abrir facsímil")</f>
        <v>Abrir facsímil</v>
      </c>
      <c r="K8800" s="3" t="s">
        <v>22</v>
      </c>
    </row>
    <row r="8801" spans="1:11" ht="42" customHeight="1">
      <c r="A8801" s="2" t="s">
        <v>16998</v>
      </c>
      <c r="B8801" s="2" t="s">
        <v>16998</v>
      </c>
      <c r="C8801" s="2" t="s">
        <v>50</v>
      </c>
      <c r="D8801" s="2" t="s">
        <v>51</v>
      </c>
      <c r="E8801" s="5">
        <v>-28353</v>
      </c>
      <c r="F8801" s="3" t="s">
        <v>843</v>
      </c>
      <c r="G8801" s="3" t="s">
        <v>35</v>
      </c>
      <c r="H8801" s="2" t="s">
        <v>20</v>
      </c>
      <c r="I8801" s="2" t="s">
        <v>17017</v>
      </c>
      <c r="J8801" s="3" t="str">
        <f>HYPERLINK("https://www.boe.es/gazeta/dias/1822/05/15/pdfs/GMD-1822-137.pdf#page=2","Abrir facsímil")</f>
        <v>Abrir facsímil</v>
      </c>
      <c r="K8801" s="3" t="s">
        <v>22</v>
      </c>
    </row>
    <row r="8802" spans="1:11" ht="42" customHeight="1">
      <c r="A8802" s="2" t="s">
        <v>17018</v>
      </c>
      <c r="B8802" s="2" t="s">
        <v>17018</v>
      </c>
      <c r="C8802" s="2" t="s">
        <v>16</v>
      </c>
      <c r="D8802" s="2" t="s">
        <v>17</v>
      </c>
      <c r="E8802" s="5">
        <v>-28330</v>
      </c>
      <c r="F8802" s="3" t="s">
        <v>896</v>
      </c>
      <c r="G8802" s="3" t="s">
        <v>57</v>
      </c>
      <c r="H8802" s="2" t="s">
        <v>20</v>
      </c>
      <c r="I8802" s="2" t="s">
        <v>17019</v>
      </c>
      <c r="J8802" s="3" t="str">
        <f>HYPERLINK("https://www.boe.es/gazeta/dias/1822/06/07/pdfs/GMD-1822-164.pdf#page=4","Abrir facsímil")</f>
        <v>Abrir facsímil</v>
      </c>
      <c r="K8802" s="3" t="s">
        <v>22</v>
      </c>
    </row>
    <row r="8803" spans="1:11" ht="42" customHeight="1">
      <c r="A8803" s="2" t="s">
        <v>17020</v>
      </c>
      <c r="B8803" s="2" t="s">
        <v>17021</v>
      </c>
      <c r="C8803" s="2" t="s">
        <v>50</v>
      </c>
      <c r="D8803" s="2" t="s">
        <v>51</v>
      </c>
      <c r="E8803" s="5">
        <v>-28190</v>
      </c>
      <c r="F8803" s="3" t="s">
        <v>576</v>
      </c>
      <c r="G8803" s="3" t="s">
        <v>63</v>
      </c>
      <c r="H8803" s="2" t="s">
        <v>20</v>
      </c>
      <c r="I8803" s="2" t="s">
        <v>17022</v>
      </c>
      <c r="J8803" s="3" t="str">
        <f>HYPERLINK("https://www.boe.es/gazeta/dias/1822/10/25/pdfs/GMD-1822-312.pdf#page=6","Abrir facsímil")</f>
        <v>Abrir facsímil</v>
      </c>
      <c r="K8803" s="3" t="s">
        <v>22</v>
      </c>
    </row>
    <row r="8804" spans="1:11" ht="42" customHeight="1">
      <c r="A8804" s="2" t="s">
        <v>17023</v>
      </c>
      <c r="B8804" s="2" t="s">
        <v>17024</v>
      </c>
      <c r="C8804" s="2" t="s">
        <v>42</v>
      </c>
      <c r="D8804" s="2" t="s">
        <v>17</v>
      </c>
      <c r="E8804" s="5">
        <v>-28168</v>
      </c>
      <c r="F8804" s="3" t="s">
        <v>3672</v>
      </c>
      <c r="G8804" s="3" t="s">
        <v>57</v>
      </c>
      <c r="H8804" s="2" t="s">
        <v>20</v>
      </c>
      <c r="I8804" s="2" t="s">
        <v>17025</v>
      </c>
      <c r="J8804" s="3" t="str">
        <f>HYPERLINK("https://www.boe.es/gazeta/dias/1822/11/16/pdfs/GMD-1822-336.pdf#page=4","Abrir facsímil")</f>
        <v>Abrir facsímil</v>
      </c>
      <c r="K8804" s="3" t="s">
        <v>22</v>
      </c>
    </row>
    <row r="8805" spans="1:11" ht="42" customHeight="1">
      <c r="A8805" s="2" t="s">
        <v>17026</v>
      </c>
      <c r="B8805" s="2" t="s">
        <v>17027</v>
      </c>
      <c r="C8805" s="2" t="s">
        <v>50</v>
      </c>
      <c r="D8805" s="2" t="s">
        <v>51</v>
      </c>
      <c r="E8805" s="5">
        <v>-28250</v>
      </c>
      <c r="F8805" s="3" t="s">
        <v>1174</v>
      </c>
      <c r="G8805" s="3" t="s">
        <v>35</v>
      </c>
      <c r="H8805" s="2" t="s">
        <v>20</v>
      </c>
      <c r="I8805" s="2" t="s">
        <v>17028</v>
      </c>
      <c r="J8805" s="3" t="str">
        <f>HYPERLINK("https://www.boe.es/gazeta/dias/1822/08/26/pdfs/GMD-1822-250.pdf#page=2","Abrir facsímil")</f>
        <v>Abrir facsímil</v>
      </c>
      <c r="K8805" s="3" t="s">
        <v>22</v>
      </c>
    </row>
    <row r="8806" spans="1:11" ht="42" customHeight="1">
      <c r="A8806" s="2" t="s">
        <v>17029</v>
      </c>
      <c r="B8806" s="2" t="s">
        <v>17029</v>
      </c>
      <c r="C8806" s="2" t="s">
        <v>24</v>
      </c>
      <c r="D8806" s="2" t="s">
        <v>17</v>
      </c>
      <c r="E8806" s="5">
        <v>-28352</v>
      </c>
      <c r="F8806" s="3" t="s">
        <v>1575</v>
      </c>
      <c r="G8806" s="3" t="s">
        <v>63</v>
      </c>
      <c r="H8806" s="2" t="s">
        <v>20</v>
      </c>
      <c r="I8806" s="2" t="s">
        <v>17030</v>
      </c>
      <c r="J8806" s="3" t="str">
        <f>HYPERLINK("https://www.boe.es/gazeta/dias/1822/05/16/pdfs/GMD-1822-138.pdf#page=6","Abrir facsímil")</f>
        <v>Abrir facsímil</v>
      </c>
      <c r="K8806" s="3" t="s">
        <v>22</v>
      </c>
    </row>
    <row r="8807" spans="1:11" ht="42" customHeight="1">
      <c r="A8807" s="2" t="s">
        <v>17031</v>
      </c>
      <c r="B8807" s="2" t="s">
        <v>17032</v>
      </c>
      <c r="C8807" s="2" t="s">
        <v>50</v>
      </c>
      <c r="D8807" s="2" t="s">
        <v>51</v>
      </c>
      <c r="E8807" s="5">
        <v>-28205</v>
      </c>
      <c r="F8807" s="3" t="s">
        <v>806</v>
      </c>
      <c r="G8807" s="3" t="s">
        <v>63</v>
      </c>
      <c r="H8807" s="2" t="s">
        <v>20</v>
      </c>
      <c r="I8807" s="2" t="s">
        <v>17033</v>
      </c>
      <c r="J8807" s="3" t="str">
        <f>HYPERLINK("https://www.boe.es/gazeta/dias/1822/10/10/pdfs/GMD-1822-297.pdf#page=6","Abrir facsímil")</f>
        <v>Abrir facsímil</v>
      </c>
      <c r="K8807" s="3" t="s">
        <v>22</v>
      </c>
    </row>
    <row r="8808" spans="1:11" ht="42" customHeight="1">
      <c r="A8808" s="2" t="s">
        <v>17034</v>
      </c>
      <c r="B8808" s="2" t="s">
        <v>17035</v>
      </c>
      <c r="C8808" s="2" t="s">
        <v>1141</v>
      </c>
      <c r="D8808" s="2" t="s">
        <v>29</v>
      </c>
      <c r="E8808" s="5">
        <v>-28318</v>
      </c>
      <c r="F8808" s="3" t="s">
        <v>397</v>
      </c>
      <c r="G8808" s="3" t="s">
        <v>44</v>
      </c>
      <c r="H8808" s="2" t="s">
        <v>20</v>
      </c>
      <c r="I8808" s="2" t="s">
        <v>17036</v>
      </c>
      <c r="J8808" s="3" t="str">
        <f>HYPERLINK("https://www.boe.es/gazeta/dias/1822/06/19/pdfs/GMD-1822-176.pdf#page=1","Abrir facsímil")</f>
        <v>Abrir facsímil</v>
      </c>
      <c r="K8808" s="3" t="s">
        <v>22</v>
      </c>
    </row>
    <row r="8809" spans="1:11" ht="42" customHeight="1">
      <c r="A8809" s="2" t="s">
        <v>17037</v>
      </c>
      <c r="B8809" s="2" t="s">
        <v>17038</v>
      </c>
      <c r="C8809" s="2" t="s">
        <v>28</v>
      </c>
      <c r="D8809" s="2" t="s">
        <v>29</v>
      </c>
      <c r="E8809" s="5">
        <v>-28321</v>
      </c>
      <c r="F8809" s="3" t="s">
        <v>1142</v>
      </c>
      <c r="G8809" s="3" t="s">
        <v>63</v>
      </c>
      <c r="H8809" s="2" t="s">
        <v>20</v>
      </c>
      <c r="I8809" s="2" t="s">
        <v>17039</v>
      </c>
      <c r="J8809" s="3" t="str">
        <f>HYPERLINK("https://www.boe.es/gazeta/dias/1822/06/16/pdfs/GMD-1822-173.pdf#page=6","Abrir facsímil")</f>
        <v>Abrir facsímil</v>
      </c>
      <c r="K8809" s="3" t="s">
        <v>22</v>
      </c>
    </row>
    <row r="8810" spans="1:11" ht="42" customHeight="1">
      <c r="A8810" s="2" t="s">
        <v>17040</v>
      </c>
      <c r="B8810" s="2" t="s">
        <v>17041</v>
      </c>
      <c r="C8810" s="2" t="s">
        <v>50</v>
      </c>
      <c r="D8810" s="2" t="s">
        <v>723</v>
      </c>
      <c r="E8810" s="5">
        <v>-28181</v>
      </c>
      <c r="F8810" s="3" t="s">
        <v>724</v>
      </c>
      <c r="G8810" s="3" t="s">
        <v>35</v>
      </c>
      <c r="H8810" s="2" t="s">
        <v>20</v>
      </c>
      <c r="I8810" s="2" t="s">
        <v>17042</v>
      </c>
      <c r="J8810" s="3" t="str">
        <f>HYPERLINK("https://www.boe.es/gazeta/dias/1822/11/03/pdfs/GMD-1822-322E.pdf#page=2","Abrir facsímil")</f>
        <v>Abrir facsímil</v>
      </c>
      <c r="K8810" s="3" t="s">
        <v>22</v>
      </c>
    </row>
    <row r="8811" spans="1:11" ht="42" customHeight="1">
      <c r="A8811" s="2" t="s">
        <v>17043</v>
      </c>
      <c r="B8811" s="2" t="s">
        <v>17043</v>
      </c>
      <c r="C8811" s="2" t="s">
        <v>50</v>
      </c>
      <c r="D8811" s="2" t="s">
        <v>51</v>
      </c>
      <c r="E8811" s="5">
        <v>-28340</v>
      </c>
      <c r="F8811" s="3" t="s">
        <v>139</v>
      </c>
      <c r="G8811" s="3" t="s">
        <v>44</v>
      </c>
      <c r="H8811" s="2" t="s">
        <v>20</v>
      </c>
      <c r="I8811" s="2" t="s">
        <v>17044</v>
      </c>
      <c r="J8811" s="3" t="str">
        <f>HYPERLINK("https://www.boe.es/gazeta/dias/1822/05/28/pdfs/GMD-1822-153.pdf#page=1","Abrir facsímil")</f>
        <v>Abrir facsímil</v>
      </c>
      <c r="K8811" s="3" t="s">
        <v>22</v>
      </c>
    </row>
    <row r="8812" spans="1:11" ht="42" customHeight="1">
      <c r="A8812" s="2" t="s">
        <v>17043</v>
      </c>
      <c r="B8812" s="2" t="s">
        <v>17043</v>
      </c>
      <c r="C8812" s="2" t="s">
        <v>42</v>
      </c>
      <c r="D8812" s="2" t="s">
        <v>17</v>
      </c>
      <c r="E8812" s="5">
        <v>-28154</v>
      </c>
      <c r="F8812" s="3" t="s">
        <v>2321</v>
      </c>
      <c r="G8812" s="3" t="s">
        <v>44</v>
      </c>
      <c r="H8812" s="2" t="s">
        <v>20</v>
      </c>
      <c r="I8812" s="2" t="s">
        <v>17045</v>
      </c>
      <c r="J8812" s="3" t="str">
        <f>HYPERLINK("https://www.boe.es/gazeta/dias/1822/11/30/pdfs/GMD-1822-350.pdf#page=1","Abrir facsímil")</f>
        <v>Abrir facsímil</v>
      </c>
      <c r="K8812" s="3" t="s">
        <v>22</v>
      </c>
    </row>
    <row r="8813" spans="1:11" ht="42" customHeight="1">
      <c r="A8813" s="2" t="s">
        <v>17046</v>
      </c>
      <c r="B8813" s="2" t="s">
        <v>17046</v>
      </c>
      <c r="C8813" s="2" t="s">
        <v>50</v>
      </c>
      <c r="D8813" s="2" t="s">
        <v>51</v>
      </c>
      <c r="E8813" s="5">
        <v>-28427</v>
      </c>
      <c r="F8813" s="3" t="s">
        <v>755</v>
      </c>
      <c r="G8813" s="3" t="s">
        <v>57</v>
      </c>
      <c r="H8813" s="2" t="s">
        <v>20</v>
      </c>
      <c r="I8813" s="2" t="s">
        <v>17047</v>
      </c>
      <c r="J8813" s="3" t="str">
        <f>HYPERLINK("https://www.boe.es/gazeta/dias/1822/03/02/pdfs/GMD-1822-63.pdf#page=4","Abrir facsímil")</f>
        <v>Abrir facsímil</v>
      </c>
      <c r="K8813" s="3" t="s">
        <v>22</v>
      </c>
    </row>
    <row r="8814" spans="1:11" ht="42" customHeight="1">
      <c r="A8814" s="2" t="s">
        <v>17048</v>
      </c>
      <c r="B8814" s="2" t="s">
        <v>17048</v>
      </c>
      <c r="C8814" s="2" t="s">
        <v>28</v>
      </c>
      <c r="D8814" s="2" t="s">
        <v>29</v>
      </c>
      <c r="E8814" s="5">
        <v>-28279</v>
      </c>
      <c r="F8814" s="3" t="s">
        <v>662</v>
      </c>
      <c r="G8814" s="3" t="s">
        <v>57</v>
      </c>
      <c r="H8814" s="2" t="s">
        <v>20</v>
      </c>
      <c r="I8814" s="2" t="s">
        <v>17049</v>
      </c>
      <c r="J8814" s="3" t="str">
        <f>HYPERLINK("https://www.boe.es/gazeta/dias/1822/07/28/pdfs/GMD-1822-221.pdf#page=4","Abrir facsímil")</f>
        <v>Abrir facsímil</v>
      </c>
      <c r="K8814" s="3" t="s">
        <v>22</v>
      </c>
    </row>
    <row r="8815" spans="1:11" ht="42" customHeight="1">
      <c r="A8815" s="2" t="s">
        <v>17050</v>
      </c>
      <c r="B8815" s="2" t="s">
        <v>17051</v>
      </c>
      <c r="C8815" s="2" t="s">
        <v>50</v>
      </c>
      <c r="D8815" s="2" t="s">
        <v>51</v>
      </c>
      <c r="E8815" s="5">
        <v>-28257</v>
      </c>
      <c r="F8815" s="3" t="s">
        <v>1171</v>
      </c>
      <c r="G8815" s="3" t="s">
        <v>35</v>
      </c>
      <c r="H8815" s="2" t="s">
        <v>20</v>
      </c>
      <c r="I8815" s="2" t="s">
        <v>17052</v>
      </c>
      <c r="J8815" s="3" t="str">
        <f>HYPERLINK("https://www.boe.es/gazeta/dias/1822/08/19/pdfs/GMD-1822-243.pdf#page=2","Abrir facsímil")</f>
        <v>Abrir facsímil</v>
      </c>
      <c r="K8815" s="3" t="s">
        <v>22</v>
      </c>
    </row>
    <row r="8816" spans="1:11" ht="42" customHeight="1">
      <c r="A8816" s="2" t="s">
        <v>17053</v>
      </c>
      <c r="B8816" s="2" t="s">
        <v>17054</v>
      </c>
      <c r="C8816" s="2" t="s">
        <v>28</v>
      </c>
      <c r="D8816" s="2" t="s">
        <v>29</v>
      </c>
      <c r="E8816" s="5">
        <v>-28426</v>
      </c>
      <c r="F8816" s="3" t="s">
        <v>1178</v>
      </c>
      <c r="G8816" s="3" t="s">
        <v>31</v>
      </c>
      <c r="H8816" s="2" t="s">
        <v>20</v>
      </c>
      <c r="I8816" s="2" t="s">
        <v>17055</v>
      </c>
      <c r="J8816" s="3" t="str">
        <f>HYPERLINK("https://www.boe.es/gazeta/dias/1822/03/03/pdfs/GMD-1822-64.pdf#page=3","Abrir facsímil")</f>
        <v>Abrir facsímil</v>
      </c>
      <c r="K8816" s="3" t="s">
        <v>22</v>
      </c>
    </row>
    <row r="8817" spans="1:11" ht="42" customHeight="1">
      <c r="A8817" s="2" t="s">
        <v>17056</v>
      </c>
      <c r="B8817" s="2" t="s">
        <v>17056</v>
      </c>
      <c r="C8817" s="2" t="s">
        <v>28</v>
      </c>
      <c r="D8817" s="2" t="s">
        <v>29</v>
      </c>
      <c r="E8817" s="5">
        <v>-28380</v>
      </c>
      <c r="F8817" s="3" t="s">
        <v>492</v>
      </c>
      <c r="G8817" s="3" t="s">
        <v>35</v>
      </c>
      <c r="H8817" s="2" t="s">
        <v>20</v>
      </c>
      <c r="I8817" s="2" t="s">
        <v>17057</v>
      </c>
      <c r="J8817" s="3" t="str">
        <f>HYPERLINK("https://www.boe.es/gazeta/dias/1822/04/18/pdfs/GMD-1822-110.pdf#page=2","Abrir facsímil")</f>
        <v>Abrir facsímil</v>
      </c>
      <c r="K8817" s="3" t="s">
        <v>22</v>
      </c>
    </row>
    <row r="8818" spans="1:11" ht="42" customHeight="1">
      <c r="A8818" s="2" t="s">
        <v>17056</v>
      </c>
      <c r="B8818" s="2" t="s">
        <v>17056</v>
      </c>
      <c r="C8818" s="2" t="s">
        <v>42</v>
      </c>
      <c r="D8818" s="2" t="s">
        <v>17</v>
      </c>
      <c r="E8818" s="5">
        <v>-28353</v>
      </c>
      <c r="F8818" s="3" t="s">
        <v>843</v>
      </c>
      <c r="G8818" s="3" t="s">
        <v>19</v>
      </c>
      <c r="H8818" s="2" t="s">
        <v>20</v>
      </c>
      <c r="I8818" s="2" t="s">
        <v>17058</v>
      </c>
      <c r="J8818" s="3" t="str">
        <f>HYPERLINK("https://www.boe.es/gazeta/dias/1822/05/15/pdfs/GMD-1822-137.pdf#page=5","Abrir facsímil")</f>
        <v>Abrir facsímil</v>
      </c>
      <c r="K8818" s="3" t="s">
        <v>22</v>
      </c>
    </row>
    <row r="8819" spans="1:11" ht="42" customHeight="1">
      <c r="A8819" s="2" t="s">
        <v>17056</v>
      </c>
      <c r="B8819" s="2" t="s">
        <v>17056</v>
      </c>
      <c r="C8819" s="2" t="s">
        <v>50</v>
      </c>
      <c r="D8819" s="2" t="s">
        <v>51</v>
      </c>
      <c r="E8819" s="5">
        <v>-28340</v>
      </c>
      <c r="F8819" s="3" t="s">
        <v>139</v>
      </c>
      <c r="G8819" s="3" t="s">
        <v>35</v>
      </c>
      <c r="H8819" s="2" t="s">
        <v>20</v>
      </c>
      <c r="I8819" s="2" t="s">
        <v>17059</v>
      </c>
      <c r="J8819" s="3" t="str">
        <f>HYPERLINK("https://www.boe.es/gazeta/dias/1822/05/28/pdfs/GMD-1822-153.pdf#page=2","Abrir facsímil")</f>
        <v>Abrir facsímil</v>
      </c>
      <c r="K8819" s="3" t="s">
        <v>22</v>
      </c>
    </row>
    <row r="8820" spans="1:11" ht="42" customHeight="1">
      <c r="A8820" s="2" t="s">
        <v>17056</v>
      </c>
      <c r="B8820" s="2" t="s">
        <v>17056</v>
      </c>
      <c r="C8820" s="2" t="s">
        <v>71</v>
      </c>
      <c r="D8820" s="2" t="s">
        <v>17</v>
      </c>
      <c r="E8820" s="5">
        <v>-28328</v>
      </c>
      <c r="F8820" s="3" t="s">
        <v>540</v>
      </c>
      <c r="G8820" s="3" t="s">
        <v>44</v>
      </c>
      <c r="H8820" s="2" t="s">
        <v>20</v>
      </c>
      <c r="I8820" s="2" t="s">
        <v>17060</v>
      </c>
      <c r="J8820" s="3" t="str">
        <f>HYPERLINK("https://www.boe.es/gazeta/dias/1822/06/09/pdfs/GMD-1822-166.pdf#page=1","Abrir facsímil")</f>
        <v>Abrir facsímil</v>
      </c>
      <c r="K8820" s="3" t="s">
        <v>22</v>
      </c>
    </row>
    <row r="8821" spans="1:11" ht="42" customHeight="1">
      <c r="A8821" s="2" t="s">
        <v>17056</v>
      </c>
      <c r="B8821" s="2" t="s">
        <v>17056</v>
      </c>
      <c r="C8821" s="2" t="s">
        <v>16</v>
      </c>
      <c r="D8821" s="2" t="s">
        <v>17</v>
      </c>
      <c r="E8821" s="5">
        <v>-28328</v>
      </c>
      <c r="F8821" s="3" t="s">
        <v>540</v>
      </c>
      <c r="G8821" s="3" t="s">
        <v>63</v>
      </c>
      <c r="H8821" s="2" t="s">
        <v>20</v>
      </c>
      <c r="I8821" s="2" t="s">
        <v>17061</v>
      </c>
      <c r="J8821" s="3" t="str">
        <f>HYPERLINK("https://www.boe.es/gazeta/dias/1822/06/09/pdfs/GMD-1822-166.pdf#page=6","Abrir facsímil")</f>
        <v>Abrir facsímil</v>
      </c>
      <c r="K8821" s="3" t="s">
        <v>22</v>
      </c>
    </row>
    <row r="8822" spans="1:11" ht="42" customHeight="1">
      <c r="A8822" s="2" t="s">
        <v>17056</v>
      </c>
      <c r="B8822" s="2" t="s">
        <v>17056</v>
      </c>
      <c r="C8822" s="2" t="s">
        <v>16</v>
      </c>
      <c r="D8822" s="2" t="s">
        <v>17</v>
      </c>
      <c r="E8822" s="5">
        <v>-28322</v>
      </c>
      <c r="F8822" s="3" t="s">
        <v>2205</v>
      </c>
      <c r="G8822" s="3" t="s">
        <v>31</v>
      </c>
      <c r="H8822" s="2" t="s">
        <v>20</v>
      </c>
      <c r="I8822" s="2" t="s">
        <v>17062</v>
      </c>
      <c r="J8822" s="3" t="str">
        <f>HYPERLINK("https://www.boe.es/gazeta/dias/1822/06/15/pdfs/GMD-1822-172.pdf#page=3","Abrir facsímil")</f>
        <v>Abrir facsímil</v>
      </c>
      <c r="K8822" s="3" t="s">
        <v>22</v>
      </c>
    </row>
    <row r="8823" spans="1:11" ht="42" customHeight="1">
      <c r="A8823" s="2" t="s">
        <v>17063</v>
      </c>
      <c r="B8823" s="2" t="s">
        <v>17063</v>
      </c>
      <c r="C8823" s="2" t="s">
        <v>28</v>
      </c>
      <c r="D8823" s="2" t="s">
        <v>29</v>
      </c>
      <c r="E8823" s="5">
        <v>-28244</v>
      </c>
      <c r="F8823" s="3" t="s">
        <v>6163</v>
      </c>
      <c r="G8823" s="3" t="s">
        <v>57</v>
      </c>
      <c r="H8823" s="2" t="s">
        <v>20</v>
      </c>
      <c r="I8823" s="2" t="s">
        <v>17064</v>
      </c>
      <c r="J8823" s="3" t="str">
        <f>HYPERLINK("https://www.boe.es/gazeta/dias/1822/09/01/pdfs/GMD-1822-256.pdf#page=4","Abrir facsímil")</f>
        <v>Abrir facsímil</v>
      </c>
      <c r="K8823" s="3" t="s">
        <v>22</v>
      </c>
    </row>
    <row r="8824" spans="1:11" ht="42" customHeight="1">
      <c r="A8824" s="2" t="s">
        <v>17063</v>
      </c>
      <c r="B8824" s="2" t="s">
        <v>17063</v>
      </c>
      <c r="C8824" s="2" t="s">
        <v>50</v>
      </c>
      <c r="D8824" s="2" t="s">
        <v>51</v>
      </c>
      <c r="E8824" s="5">
        <v>-28229</v>
      </c>
      <c r="F8824" s="3" t="s">
        <v>2310</v>
      </c>
      <c r="G8824" s="3" t="s">
        <v>35</v>
      </c>
      <c r="H8824" s="2" t="s">
        <v>20</v>
      </c>
      <c r="I8824" s="2" t="s">
        <v>17065</v>
      </c>
      <c r="J8824" s="3" t="str">
        <f>HYPERLINK("https://www.boe.es/gazeta/dias/1822/09/16/pdfs/GMD-1822-272.pdf#page=2","Abrir facsímil")</f>
        <v>Abrir facsímil</v>
      </c>
      <c r="K8824" s="3" t="s">
        <v>22</v>
      </c>
    </row>
    <row r="8825" spans="1:11" ht="42" customHeight="1">
      <c r="A8825" s="2" t="s">
        <v>17056</v>
      </c>
      <c r="B8825" s="2" t="s">
        <v>17056</v>
      </c>
      <c r="C8825" s="2" t="s">
        <v>50</v>
      </c>
      <c r="D8825" s="2" t="s">
        <v>51</v>
      </c>
      <c r="E8825" s="5">
        <v>-28207</v>
      </c>
      <c r="F8825" s="3" t="s">
        <v>1325</v>
      </c>
      <c r="G8825" s="3" t="s">
        <v>57</v>
      </c>
      <c r="H8825" s="2" t="s">
        <v>20</v>
      </c>
      <c r="I8825" s="2" t="s">
        <v>17066</v>
      </c>
      <c r="J8825" s="3" t="str">
        <f>HYPERLINK("https://www.boe.es/gazeta/dias/1822/10/08/pdfs/GMD-1822-295.pdf#page=4","Abrir facsímil")</f>
        <v>Abrir facsímil</v>
      </c>
      <c r="K8825" s="3" t="s">
        <v>22</v>
      </c>
    </row>
    <row r="8826" spans="1:11" ht="42" customHeight="1">
      <c r="A8826" s="2" t="s">
        <v>17056</v>
      </c>
      <c r="B8826" s="2" t="s">
        <v>17056</v>
      </c>
      <c r="C8826" s="2" t="s">
        <v>71</v>
      </c>
      <c r="D8826" s="2" t="s">
        <v>17</v>
      </c>
      <c r="E8826" s="5">
        <v>-28174</v>
      </c>
      <c r="F8826" s="3" t="s">
        <v>881</v>
      </c>
      <c r="G8826" s="3" t="s">
        <v>44</v>
      </c>
      <c r="H8826" s="2" t="s">
        <v>20</v>
      </c>
      <c r="I8826" s="2" t="s">
        <v>17067</v>
      </c>
      <c r="J8826" s="3" t="str">
        <f>HYPERLINK("https://www.boe.es/gazeta/dias/1822/11/10/pdfs/GMD-1822-330.pdf#page=1","Abrir facsímil")</f>
        <v>Abrir facsímil</v>
      </c>
      <c r="K8826" s="3" t="s">
        <v>22</v>
      </c>
    </row>
    <row r="8827" spans="1:11" ht="42" customHeight="1">
      <c r="A8827" s="2" t="s">
        <v>17056</v>
      </c>
      <c r="B8827" s="2" t="s">
        <v>17056</v>
      </c>
      <c r="C8827" s="2" t="s">
        <v>61</v>
      </c>
      <c r="D8827" s="2" t="s">
        <v>17</v>
      </c>
      <c r="E8827" s="5">
        <v>-28145</v>
      </c>
      <c r="F8827" s="3" t="s">
        <v>1350</v>
      </c>
      <c r="G8827" s="3" t="s">
        <v>63</v>
      </c>
      <c r="H8827" s="2" t="s">
        <v>20</v>
      </c>
      <c r="I8827" s="2" t="s">
        <v>17068</v>
      </c>
      <c r="J8827" s="3" t="str">
        <f>HYPERLINK("https://www.boe.es/gazeta/dias/1822/12/09/pdfs/GMD-1822-359.pdf#page=6","Abrir facsímil")</f>
        <v>Abrir facsímil</v>
      </c>
      <c r="K8827" s="3" t="s">
        <v>22</v>
      </c>
    </row>
    <row r="8828" spans="1:11" ht="42" customHeight="1">
      <c r="A8828" s="2" t="s">
        <v>17056</v>
      </c>
      <c r="B8828" s="2" t="s">
        <v>17056</v>
      </c>
      <c r="C8828" s="2" t="s">
        <v>42</v>
      </c>
      <c r="D8828" s="2" t="s">
        <v>17</v>
      </c>
      <c r="E8828" s="5">
        <v>-28131</v>
      </c>
      <c r="F8828" s="3" t="s">
        <v>893</v>
      </c>
      <c r="G8828" s="3" t="s">
        <v>991</v>
      </c>
      <c r="H8828" s="2" t="s">
        <v>20</v>
      </c>
      <c r="I8828" s="2" t="s">
        <v>17069</v>
      </c>
      <c r="J8828" s="3" t="str">
        <f>HYPERLINK("https://www.boe.es/gazeta/dias/1822/12/23/pdfs/GMD-1822-373.pdf#page=6","Abrir facsímil")</f>
        <v>Abrir facsímil</v>
      </c>
      <c r="K8828" s="3" t="s">
        <v>22</v>
      </c>
    </row>
    <row r="8829" spans="1:11" ht="42" customHeight="1">
      <c r="A8829" s="2" t="s">
        <v>17070</v>
      </c>
      <c r="B8829" s="2" t="s">
        <v>17071</v>
      </c>
      <c r="C8829" s="2" t="s">
        <v>28</v>
      </c>
      <c r="D8829" s="2" t="s">
        <v>29</v>
      </c>
      <c r="E8829" s="5">
        <v>-28378</v>
      </c>
      <c r="F8829" s="3" t="s">
        <v>496</v>
      </c>
      <c r="G8829" s="3" t="s">
        <v>57</v>
      </c>
      <c r="H8829" s="2" t="s">
        <v>20</v>
      </c>
      <c r="I8829" s="2" t="s">
        <v>17072</v>
      </c>
      <c r="J8829" s="3" t="str">
        <f>HYPERLINK("https://www.boe.es/gazeta/dias/1822/04/20/pdfs/GMD-1822-112.pdf#page=4","Abrir facsímil")</f>
        <v>Abrir facsímil</v>
      </c>
      <c r="K8829" s="3" t="s">
        <v>22</v>
      </c>
    </row>
    <row r="8830" spans="1:11" ht="42" customHeight="1">
      <c r="A8830" s="2" t="s">
        <v>17073</v>
      </c>
      <c r="B8830" s="2" t="s">
        <v>17074</v>
      </c>
      <c r="C8830" s="2" t="s">
        <v>71</v>
      </c>
      <c r="D8830" s="2" t="s">
        <v>17</v>
      </c>
      <c r="E8830" s="5">
        <v>-28378</v>
      </c>
      <c r="F8830" s="3" t="s">
        <v>496</v>
      </c>
      <c r="G8830" s="3" t="s">
        <v>57</v>
      </c>
      <c r="H8830" s="2" t="s">
        <v>20</v>
      </c>
      <c r="I8830" s="2" t="s">
        <v>17075</v>
      </c>
      <c r="J8830" s="3" t="str">
        <f>HYPERLINK("https://www.boe.es/gazeta/dias/1822/04/20/pdfs/GMD-1822-112.pdf#page=4","Abrir facsímil")</f>
        <v>Abrir facsímil</v>
      </c>
      <c r="K8830" s="3" t="s">
        <v>22</v>
      </c>
    </row>
    <row r="8831" spans="1:11" ht="42" customHeight="1">
      <c r="A8831" s="2" t="s">
        <v>17076</v>
      </c>
      <c r="B8831" s="2" t="s">
        <v>17077</v>
      </c>
      <c r="C8831" s="2" t="s">
        <v>71</v>
      </c>
      <c r="D8831" s="2" t="s">
        <v>17</v>
      </c>
      <c r="E8831" s="5">
        <v>-28398</v>
      </c>
      <c r="F8831" s="3" t="s">
        <v>1961</v>
      </c>
      <c r="G8831" s="3" t="s">
        <v>31</v>
      </c>
      <c r="H8831" s="2" t="s">
        <v>20</v>
      </c>
      <c r="I8831" s="2" t="s">
        <v>17078</v>
      </c>
      <c r="J8831" s="3" t="str">
        <f>HYPERLINK("https://www.boe.es/gazeta/dias/1822/03/31/pdfs/GMD-1822-92.pdf#page=3","Abrir facsímil")</f>
        <v>Abrir facsímil</v>
      </c>
      <c r="K8831" s="3" t="s">
        <v>22</v>
      </c>
    </row>
    <row r="8832" spans="1:11" ht="42" customHeight="1">
      <c r="A8832" s="2" t="s">
        <v>17079</v>
      </c>
      <c r="B8832" s="2" t="s">
        <v>17080</v>
      </c>
      <c r="C8832" s="2" t="s">
        <v>24</v>
      </c>
      <c r="D8832" s="2" t="s">
        <v>17</v>
      </c>
      <c r="E8832" s="5">
        <v>-28440</v>
      </c>
      <c r="F8832" s="3" t="s">
        <v>1307</v>
      </c>
      <c r="G8832" s="3" t="s">
        <v>35</v>
      </c>
      <c r="H8832" s="2" t="s">
        <v>20</v>
      </c>
      <c r="I8832" s="2" t="s">
        <v>17081</v>
      </c>
      <c r="J8832" s="3" t="str">
        <f>HYPERLINK("https://www.boe.es/gazeta/dias/1822/02/17/pdfs/GMD-1822-49.pdf#page=2","Abrir facsímil")</f>
        <v>Abrir facsímil</v>
      </c>
      <c r="K8832" s="3" t="s">
        <v>22</v>
      </c>
    </row>
    <row r="8833" spans="1:11" ht="42" customHeight="1">
      <c r="A8833" s="2" t="s">
        <v>17082</v>
      </c>
      <c r="B8833" s="2" t="s">
        <v>17083</v>
      </c>
      <c r="C8833" s="2" t="s">
        <v>28</v>
      </c>
      <c r="D8833" s="2" t="s">
        <v>29</v>
      </c>
      <c r="E8833" s="5">
        <v>-28400</v>
      </c>
      <c r="F8833" s="3" t="s">
        <v>1937</v>
      </c>
      <c r="G8833" s="3" t="s">
        <v>2260</v>
      </c>
      <c r="H8833" s="2" t="s">
        <v>20</v>
      </c>
      <c r="I8833" s="2" t="s">
        <v>17084</v>
      </c>
      <c r="J8833" s="3" t="str">
        <f>HYPERLINK("https://www.boe.es/gazeta/dias/1822/03/29/pdfs/GMD-1822-90.pdf#page=4","Abrir facsímil")</f>
        <v>Abrir facsímil</v>
      </c>
      <c r="K8833" s="3" t="s">
        <v>22</v>
      </c>
    </row>
    <row r="8834" spans="1:11" ht="42" customHeight="1">
      <c r="A8834" s="2" t="s">
        <v>17085</v>
      </c>
      <c r="B8834" s="2" t="s">
        <v>17086</v>
      </c>
      <c r="C8834" s="2" t="s">
        <v>50</v>
      </c>
      <c r="D8834" s="2" t="s">
        <v>51</v>
      </c>
      <c r="E8834" s="5">
        <v>-28449</v>
      </c>
      <c r="F8834" s="3" t="s">
        <v>1342</v>
      </c>
      <c r="G8834" s="3" t="s">
        <v>44</v>
      </c>
      <c r="H8834" s="2" t="s">
        <v>20</v>
      </c>
      <c r="I8834" s="2" t="s">
        <v>17087</v>
      </c>
      <c r="J8834" s="3" t="str">
        <f>HYPERLINK("https://www.boe.es/gazeta/dias/1822/02/08/pdfs/GMD-1822-39.pdf#page=1","Abrir facsímil")</f>
        <v>Abrir facsímil</v>
      </c>
      <c r="K8834" s="3" t="s">
        <v>22</v>
      </c>
    </row>
    <row r="8835" spans="1:11" ht="42" customHeight="1">
      <c r="A8835" s="2" t="s">
        <v>17088</v>
      </c>
      <c r="B8835" s="2" t="s">
        <v>17089</v>
      </c>
      <c r="C8835" s="2" t="s">
        <v>24</v>
      </c>
      <c r="D8835" s="2" t="s">
        <v>17</v>
      </c>
      <c r="E8835" s="5">
        <v>-28441</v>
      </c>
      <c r="F8835" s="3" t="s">
        <v>429</v>
      </c>
      <c r="G8835" s="3" t="s">
        <v>14937</v>
      </c>
      <c r="H8835" s="2" t="s">
        <v>20</v>
      </c>
      <c r="I8835" s="2" t="s">
        <v>17090</v>
      </c>
      <c r="J8835" s="3" t="str">
        <f>HYPERLINK("https://www.boe.es/gazeta/dias/1822/02/16/pdfs/GMD-1822-48.pdf#page=4","Abrir facsímil")</f>
        <v>Abrir facsímil</v>
      </c>
      <c r="K8835" s="3" t="s">
        <v>22</v>
      </c>
    </row>
    <row r="8836" spans="1:11" ht="42" customHeight="1">
      <c r="A8836" s="2" t="s">
        <v>17091</v>
      </c>
      <c r="B8836" s="2" t="s">
        <v>17092</v>
      </c>
      <c r="C8836" s="2" t="s">
        <v>42</v>
      </c>
      <c r="D8836" s="2" t="s">
        <v>17</v>
      </c>
      <c r="E8836" s="5">
        <v>-28410</v>
      </c>
      <c r="F8836" s="3" t="s">
        <v>966</v>
      </c>
      <c r="G8836" s="3" t="s">
        <v>35</v>
      </c>
      <c r="H8836" s="2" t="s">
        <v>20</v>
      </c>
      <c r="I8836" s="2" t="s">
        <v>17093</v>
      </c>
      <c r="J8836" s="3" t="str">
        <f>HYPERLINK("https://www.boe.es/gazeta/dias/1822/03/19/pdfs/GMD-1822-80.pdf#page=2","Abrir facsímil")</f>
        <v>Abrir facsímil</v>
      </c>
      <c r="K8836" s="3" t="s">
        <v>22</v>
      </c>
    </row>
    <row r="8837" spans="1:11" ht="42" customHeight="1">
      <c r="A8837" s="2" t="s">
        <v>17091</v>
      </c>
      <c r="B8837" s="2" t="s">
        <v>17092</v>
      </c>
      <c r="C8837" s="2" t="s">
        <v>24</v>
      </c>
      <c r="D8837" s="2" t="s">
        <v>17</v>
      </c>
      <c r="E8837" s="5">
        <v>-28382</v>
      </c>
      <c r="F8837" s="3" t="s">
        <v>973</v>
      </c>
      <c r="G8837" s="3" t="s">
        <v>63</v>
      </c>
      <c r="H8837" s="2" t="s">
        <v>20</v>
      </c>
      <c r="I8837" s="2" t="s">
        <v>17094</v>
      </c>
      <c r="J8837" s="3" t="str">
        <f>HYPERLINK("https://www.boe.es/gazeta/dias/1822/04/16/pdfs/GMD-1822-108.pdf#page=6","Abrir facsímil")</f>
        <v>Abrir facsímil</v>
      </c>
      <c r="K8837" s="3" t="s">
        <v>22</v>
      </c>
    </row>
    <row r="8838" spans="1:11" ht="42" customHeight="1">
      <c r="A8838" s="2" t="s">
        <v>17091</v>
      </c>
      <c r="B8838" s="2" t="s">
        <v>17092</v>
      </c>
      <c r="C8838" s="2" t="s">
        <v>50</v>
      </c>
      <c r="D8838" s="2" t="s">
        <v>51</v>
      </c>
      <c r="E8838" s="5">
        <v>-28366</v>
      </c>
      <c r="F8838" s="3" t="s">
        <v>120</v>
      </c>
      <c r="G8838" s="3" t="s">
        <v>19</v>
      </c>
      <c r="H8838" s="2" t="s">
        <v>20</v>
      </c>
      <c r="I8838" s="2" t="s">
        <v>17095</v>
      </c>
      <c r="J8838" s="3" t="str">
        <f>HYPERLINK("https://www.boe.es/gazeta/dias/1822/05/02/pdfs/GMD-1822-124.pdf#page=5","Abrir facsímil")</f>
        <v>Abrir facsímil</v>
      </c>
      <c r="K8838" s="3" t="s">
        <v>22</v>
      </c>
    </row>
    <row r="8839" spans="1:11" ht="42" customHeight="1">
      <c r="A8839" s="2" t="s">
        <v>17091</v>
      </c>
      <c r="B8839" s="2" t="s">
        <v>17092</v>
      </c>
      <c r="C8839" s="2" t="s">
        <v>28</v>
      </c>
      <c r="D8839" s="2" t="s">
        <v>29</v>
      </c>
      <c r="E8839" s="5">
        <v>-28345</v>
      </c>
      <c r="F8839" s="3" t="s">
        <v>294</v>
      </c>
      <c r="G8839" s="3" t="s">
        <v>63</v>
      </c>
      <c r="H8839" s="2" t="s">
        <v>20</v>
      </c>
      <c r="I8839" s="2" t="s">
        <v>17096</v>
      </c>
      <c r="J8839" s="3" t="str">
        <f>HYPERLINK("https://www.boe.es/gazeta/dias/1822/05/23/pdfs/GMD-1822-147.pdf#page=6","Abrir facsímil")</f>
        <v>Abrir facsímil</v>
      </c>
      <c r="K8839" s="3" t="s">
        <v>22</v>
      </c>
    </row>
    <row r="8840" spans="1:11" ht="42" customHeight="1">
      <c r="A8840" s="2" t="s">
        <v>17091</v>
      </c>
      <c r="B8840" s="2" t="s">
        <v>17092</v>
      </c>
      <c r="C8840" s="2" t="s">
        <v>50</v>
      </c>
      <c r="D8840" s="2" t="s">
        <v>51</v>
      </c>
      <c r="E8840" s="5">
        <v>-28313</v>
      </c>
      <c r="F8840" s="3" t="s">
        <v>315</v>
      </c>
      <c r="G8840" s="3" t="s">
        <v>157</v>
      </c>
      <c r="H8840" s="2" t="s">
        <v>20</v>
      </c>
      <c r="I8840" s="2" t="s">
        <v>17097</v>
      </c>
      <c r="J8840" s="3" t="str">
        <f>HYPERLINK("https://www.boe.es/gazeta/dias/1822/06/24/pdfs/GMD-1822-182.pdf#page=8","Abrir facsímil")</f>
        <v>Abrir facsímil</v>
      </c>
      <c r="K8840" s="3" t="s">
        <v>22</v>
      </c>
    </row>
    <row r="8841" spans="1:11" ht="42" customHeight="1">
      <c r="A8841" s="2" t="s">
        <v>17091</v>
      </c>
      <c r="B8841" s="2" t="s">
        <v>17092</v>
      </c>
      <c r="C8841" s="2" t="s">
        <v>50</v>
      </c>
      <c r="D8841" s="2" t="s">
        <v>51</v>
      </c>
      <c r="E8841" s="5">
        <v>-28301</v>
      </c>
      <c r="F8841" s="3" t="s">
        <v>2348</v>
      </c>
      <c r="G8841" s="3" t="s">
        <v>35</v>
      </c>
      <c r="H8841" s="2" t="s">
        <v>20</v>
      </c>
      <c r="I8841" s="2" t="s">
        <v>17098</v>
      </c>
      <c r="J8841" s="3" t="str">
        <f>HYPERLINK("https://www.boe.es/gazeta/dias/1822/07/06/pdfs/GMD-1822-195.pdf#page=2","Abrir facsímil")</f>
        <v>Abrir facsímil</v>
      </c>
      <c r="K8841" s="3" t="s">
        <v>22</v>
      </c>
    </row>
    <row r="8842" spans="1:11" ht="42" customHeight="1">
      <c r="A8842" s="2" t="s">
        <v>17091</v>
      </c>
      <c r="B8842" s="2" t="s">
        <v>17092</v>
      </c>
      <c r="C8842" s="2" t="s">
        <v>42</v>
      </c>
      <c r="D8842" s="2" t="s">
        <v>17</v>
      </c>
      <c r="E8842" s="5">
        <v>-28230</v>
      </c>
      <c r="F8842" s="3" t="s">
        <v>1735</v>
      </c>
      <c r="G8842" s="3" t="s">
        <v>31</v>
      </c>
      <c r="H8842" s="2" t="s">
        <v>20</v>
      </c>
      <c r="I8842" s="2" t="s">
        <v>17099</v>
      </c>
      <c r="J8842" s="3" t="str">
        <f>HYPERLINK("https://www.boe.es/gazeta/dias/1822/09/15/pdfs/GMD-1822-271.pdf#page=3","Abrir facsímil")</f>
        <v>Abrir facsímil</v>
      </c>
      <c r="K8842" s="3" t="s">
        <v>22</v>
      </c>
    </row>
    <row r="8843" spans="1:11" ht="42" customHeight="1">
      <c r="A8843" s="2" t="s">
        <v>17100</v>
      </c>
      <c r="B8843" s="2" t="s">
        <v>17101</v>
      </c>
      <c r="C8843" s="2" t="s">
        <v>24</v>
      </c>
      <c r="D8843" s="2" t="s">
        <v>17</v>
      </c>
      <c r="E8843" s="5">
        <v>-28274</v>
      </c>
      <c r="F8843" s="3" t="s">
        <v>3371</v>
      </c>
      <c r="G8843" s="3" t="s">
        <v>44</v>
      </c>
      <c r="H8843" s="2" t="s">
        <v>20</v>
      </c>
      <c r="I8843" s="2" t="s">
        <v>17102</v>
      </c>
      <c r="J8843" s="3" t="str">
        <f>HYPERLINK("https://www.boe.es/gazeta/dias/1822/08/02/pdfs/GMD-1822-226.pdf#page=1","Abrir facsímil")</f>
        <v>Abrir facsímil</v>
      </c>
      <c r="K8843" s="3" t="s">
        <v>22</v>
      </c>
    </row>
    <row r="8844" spans="1:11" ht="42" customHeight="1">
      <c r="A8844" s="2" t="s">
        <v>17103</v>
      </c>
      <c r="B8844" s="2" t="s">
        <v>17104</v>
      </c>
      <c r="C8844" s="2" t="s">
        <v>28</v>
      </c>
      <c r="D8844" s="2" t="s">
        <v>29</v>
      </c>
      <c r="E8844" s="5">
        <v>-28411</v>
      </c>
      <c r="F8844" s="3" t="s">
        <v>1509</v>
      </c>
      <c r="G8844" s="3" t="s">
        <v>57</v>
      </c>
      <c r="H8844" s="2" t="s">
        <v>20</v>
      </c>
      <c r="I8844" s="2" t="s">
        <v>17105</v>
      </c>
      <c r="J8844" s="3" t="str">
        <f>HYPERLINK("https://www.boe.es/gazeta/dias/1822/03/18/pdfs/GMD-1822-79.pdf#page=4","Abrir facsímil")</f>
        <v>Abrir facsímil</v>
      </c>
      <c r="K8844" s="3" t="s">
        <v>22</v>
      </c>
    </row>
    <row r="8845" spans="1:11" ht="42" customHeight="1">
      <c r="A8845" s="2" t="s">
        <v>17103</v>
      </c>
      <c r="B8845" s="2" t="s">
        <v>17104</v>
      </c>
      <c r="C8845" s="2" t="s">
        <v>28</v>
      </c>
      <c r="D8845" s="2" t="s">
        <v>29</v>
      </c>
      <c r="E8845" s="5">
        <v>-28278</v>
      </c>
      <c r="F8845" s="3" t="s">
        <v>368</v>
      </c>
      <c r="G8845" s="3" t="s">
        <v>57</v>
      </c>
      <c r="H8845" s="2" t="s">
        <v>20</v>
      </c>
      <c r="I8845" s="2" t="s">
        <v>17106</v>
      </c>
      <c r="J8845" s="3" t="str">
        <f>HYPERLINK("https://www.boe.es/gazeta/dias/1822/07/29/pdfs/GMD-1822-222.pdf#page=4","Abrir facsímil")</f>
        <v>Abrir facsímil</v>
      </c>
      <c r="K8845" s="3" t="s">
        <v>22</v>
      </c>
    </row>
    <row r="8846" spans="1:11" ht="42" customHeight="1">
      <c r="A8846" s="2" t="s">
        <v>17107</v>
      </c>
      <c r="B8846" s="2" t="s">
        <v>17108</v>
      </c>
      <c r="C8846" s="2" t="s">
        <v>71</v>
      </c>
      <c r="D8846" s="2" t="s">
        <v>17</v>
      </c>
      <c r="E8846" s="5">
        <v>-28323</v>
      </c>
      <c r="F8846" s="3" t="s">
        <v>116</v>
      </c>
      <c r="G8846" s="3" t="s">
        <v>44</v>
      </c>
      <c r="H8846" s="2" t="s">
        <v>20</v>
      </c>
      <c r="I8846" s="2" t="s">
        <v>17109</v>
      </c>
      <c r="J8846" s="3" t="str">
        <f>HYPERLINK("https://www.boe.es/gazeta/dias/1822/06/14/pdfs/GMD-1822-171.pdf#page=1","Abrir facsímil")</f>
        <v>Abrir facsímil</v>
      </c>
      <c r="K8846" s="3" t="s">
        <v>22</v>
      </c>
    </row>
    <row r="8847" spans="1:11" ht="42" customHeight="1">
      <c r="A8847" t="s">
        <v>17110</v>
      </c>
      <c r="B8847" t="s">
        <v>17111</v>
      </c>
      <c r="C8847" t="s">
        <v>50</v>
      </c>
      <c r="D8847" t="s">
        <v>51</v>
      </c>
      <c r="E8847" s="6">
        <v>-28185</v>
      </c>
      <c r="F8847" t="s">
        <v>933</v>
      </c>
      <c r="G8847" t="s">
        <v>57</v>
      </c>
      <c r="H8847" t="s">
        <v>20</v>
      </c>
      <c r="I8847" t="s">
        <v>17112</v>
      </c>
      <c r="J8847" t="str">
        <f>HYPERLINK("https://www.boe.es/gazeta/dias/1822/10/30/pdfs/GMD-1822-317.pdf#page=4","Abrir facsímil")</f>
        <v>Abrir facsímil</v>
      </c>
      <c r="K8847" t="s">
        <v>22</v>
      </c>
    </row>
    <row r="8848" spans="1:11" ht="42" customHeight="1">
      <c r="A8848" t="s">
        <v>17113</v>
      </c>
      <c r="B8848" t="s">
        <v>17114</v>
      </c>
      <c r="C8848" t="s">
        <v>50</v>
      </c>
      <c r="D8848" t="s">
        <v>51</v>
      </c>
      <c r="E8848" s="6">
        <v>-28264</v>
      </c>
      <c r="F8848" t="s">
        <v>1329</v>
      </c>
      <c r="G8848" t="s">
        <v>57</v>
      </c>
      <c r="H8848" t="s">
        <v>20</v>
      </c>
      <c r="I8848" t="s">
        <v>17115</v>
      </c>
      <c r="J8848" t="str">
        <f>HYPERLINK("https://www.boe.es/gazeta/dias/1822/08/12/pdfs/GMD-1822-236.pdf#page=4","Abrir facsímil")</f>
        <v>Abrir facsímil</v>
      </c>
      <c r="K8848" t="s">
        <v>22</v>
      </c>
    </row>
    <row r="8849" spans="1:11" ht="42" customHeight="1">
      <c r="A8849" t="s">
        <v>17116</v>
      </c>
      <c r="B8849" t="s">
        <v>17117</v>
      </c>
      <c r="C8849" t="s">
        <v>28</v>
      </c>
      <c r="D8849" t="s">
        <v>29</v>
      </c>
      <c r="E8849" s="6">
        <v>-28142</v>
      </c>
      <c r="F8849" t="s">
        <v>290</v>
      </c>
      <c r="G8849" t="s">
        <v>57</v>
      </c>
      <c r="H8849" t="s">
        <v>20</v>
      </c>
      <c r="I8849" t="s">
        <v>17118</v>
      </c>
      <c r="J8849" t="str">
        <f>HYPERLINK("https://www.boe.es/gazeta/dias/1822/12/12/pdfs/GMD-1822-362.pdf#page=4","Abrir facsímil")</f>
        <v>Abrir facsímil</v>
      </c>
      <c r="K8849" t="s">
        <v>22</v>
      </c>
    </row>
    <row r="8850" spans="1:11" ht="42" customHeight="1">
      <c r="A8850" t="s">
        <v>17119</v>
      </c>
      <c r="B8850" t="s">
        <v>17119</v>
      </c>
      <c r="C8850" t="s">
        <v>50</v>
      </c>
      <c r="D8850" t="s">
        <v>51</v>
      </c>
      <c r="E8850" s="6">
        <v>-28416</v>
      </c>
      <c r="F8850" t="s">
        <v>97</v>
      </c>
      <c r="G8850" t="s">
        <v>63</v>
      </c>
      <c r="H8850" t="s">
        <v>20</v>
      </c>
      <c r="I8850" t="s">
        <v>17120</v>
      </c>
      <c r="J8850" t="str">
        <f>HYPERLINK("https://www.boe.es/gazeta/dias/1822/03/13/pdfs/GMD-1822-74.pdf#page=6","Abrir facsímil")</f>
        <v>Abrir facsímil</v>
      </c>
      <c r="K8850" t="s">
        <v>22</v>
      </c>
    </row>
    <row r="8851" spans="1:11" ht="42" customHeight="1">
      <c r="A8851" t="s">
        <v>17119</v>
      </c>
      <c r="B8851" t="s">
        <v>17119</v>
      </c>
      <c r="C8851" t="s">
        <v>71</v>
      </c>
      <c r="D8851" t="s">
        <v>17</v>
      </c>
      <c r="E8851" s="6">
        <v>-28396</v>
      </c>
      <c r="F8851" t="s">
        <v>1138</v>
      </c>
      <c r="G8851" t="s">
        <v>167</v>
      </c>
      <c r="H8851" t="s">
        <v>20</v>
      </c>
      <c r="I8851" t="s">
        <v>17121</v>
      </c>
      <c r="J8851" t="str">
        <f>HYPERLINK("https://www.boe.es/gazeta/dias/1822/04/02/pdfs/GMD-1822-94.pdf#page=7","Abrir facsímil")</f>
        <v>Abrir facsímil</v>
      </c>
      <c r="K8851" t="s">
        <v>22</v>
      </c>
    </row>
    <row r="8852" spans="1:11" ht="42" customHeight="1">
      <c r="A8852" t="s">
        <v>17119</v>
      </c>
      <c r="B8852" t="s">
        <v>17119</v>
      </c>
      <c r="C8852" t="s">
        <v>42</v>
      </c>
      <c r="D8852" t="s">
        <v>17</v>
      </c>
      <c r="E8852" s="6">
        <v>-28366</v>
      </c>
      <c r="F8852" t="s">
        <v>120</v>
      </c>
      <c r="G8852" t="s">
        <v>63</v>
      </c>
      <c r="H8852" t="s">
        <v>20</v>
      </c>
      <c r="I8852" t="s">
        <v>17122</v>
      </c>
      <c r="J8852" t="str">
        <f>HYPERLINK("https://www.boe.es/gazeta/dias/1822/05/02/pdfs/GMD-1822-124.pdf#page=6","Abrir facsímil")</f>
        <v>Abrir facsímil</v>
      </c>
      <c r="K8852" t="s">
        <v>22</v>
      </c>
    </row>
    <row r="8853" spans="1:11" ht="42" customHeight="1">
      <c r="A8853" t="s">
        <v>17119</v>
      </c>
      <c r="B8853" t="s">
        <v>17119</v>
      </c>
      <c r="C8853" t="s">
        <v>24</v>
      </c>
      <c r="D8853" t="s">
        <v>17</v>
      </c>
      <c r="E8853" s="6">
        <v>-28348</v>
      </c>
      <c r="F8853" t="s">
        <v>2903</v>
      </c>
      <c r="G8853" t="s">
        <v>31</v>
      </c>
      <c r="H8853" t="s">
        <v>20</v>
      </c>
      <c r="I8853" t="s">
        <v>17123</v>
      </c>
      <c r="J8853" t="str">
        <f>HYPERLINK("https://www.boe.es/gazeta/dias/1822/05/20/pdfs/GMD-1822-143.pdf#page=3","Abrir facsímil")</f>
        <v>Abrir facsímil</v>
      </c>
      <c r="K8853" t="s">
        <v>22</v>
      </c>
    </row>
    <row r="8854" spans="1:11" ht="42" customHeight="1">
      <c r="A8854" t="s">
        <v>17119</v>
      </c>
      <c r="B8854" t="s">
        <v>17119</v>
      </c>
      <c r="C8854" t="s">
        <v>61</v>
      </c>
      <c r="D8854" t="s">
        <v>17</v>
      </c>
      <c r="E8854" s="6">
        <v>-28311</v>
      </c>
      <c r="F8854" t="s">
        <v>736</v>
      </c>
      <c r="G8854" t="s">
        <v>157</v>
      </c>
      <c r="H8854" t="s">
        <v>20</v>
      </c>
      <c r="I8854" t="s">
        <v>17124</v>
      </c>
      <c r="J8854" t="str">
        <f>HYPERLINK("https://www.boe.es/gazeta/dias/1822/06/26/pdfs/GMD-1822-184.pdf#page=8","Abrir facsímil")</f>
        <v>Abrir facsímil</v>
      </c>
      <c r="K8854" t="s">
        <v>22</v>
      </c>
    </row>
    <row r="8855" spans="1:11" ht="42" customHeight="1">
      <c r="A8855" t="s">
        <v>17119</v>
      </c>
      <c r="B8855" t="s">
        <v>17119</v>
      </c>
      <c r="C8855" t="s">
        <v>28</v>
      </c>
      <c r="D8855" t="s">
        <v>29</v>
      </c>
      <c r="E8855" s="6">
        <v>-28274</v>
      </c>
      <c r="F8855" t="s">
        <v>3371</v>
      </c>
      <c r="G8855" t="s">
        <v>44</v>
      </c>
      <c r="H8855" t="s">
        <v>20</v>
      </c>
      <c r="I8855" t="s">
        <v>17125</v>
      </c>
      <c r="J8855" t="str">
        <f>HYPERLINK("https://www.boe.es/gazeta/dias/1822/08/02/pdfs/GMD-1822-226.pdf#page=1","Abrir facsímil")</f>
        <v>Abrir facsímil</v>
      </c>
      <c r="K8855" t="s">
        <v>22</v>
      </c>
    </row>
    <row r="8856" spans="1:11" ht="42" customHeight="1">
      <c r="A8856" t="s">
        <v>17119</v>
      </c>
      <c r="B8856" t="s">
        <v>17119</v>
      </c>
      <c r="C8856" t="s">
        <v>24</v>
      </c>
      <c r="D8856" t="s">
        <v>17</v>
      </c>
      <c r="E8856" s="6">
        <v>-28271</v>
      </c>
      <c r="F8856" t="s">
        <v>4942</v>
      </c>
      <c r="G8856" t="s">
        <v>57</v>
      </c>
      <c r="H8856" t="s">
        <v>20</v>
      </c>
      <c r="I8856" t="s">
        <v>17126</v>
      </c>
      <c r="J8856" t="str">
        <f>HYPERLINK("https://www.boe.es/gazeta/dias/1822/08/05/pdfs/GMD-1822-229.pdf#page=4","Abrir facsímil")</f>
        <v>Abrir facsímil</v>
      </c>
      <c r="K8856" t="s">
        <v>22</v>
      </c>
    </row>
    <row r="8857" spans="1:11" ht="42" customHeight="1">
      <c r="A8857" t="s">
        <v>17119</v>
      </c>
      <c r="B8857" t="s">
        <v>17119</v>
      </c>
      <c r="C8857" t="s">
        <v>42</v>
      </c>
      <c r="D8857" t="s">
        <v>17</v>
      </c>
      <c r="E8857" s="6">
        <v>-28214</v>
      </c>
      <c r="F8857" t="s">
        <v>814</v>
      </c>
      <c r="G8857" t="s">
        <v>31</v>
      </c>
      <c r="H8857" t="s">
        <v>20</v>
      </c>
      <c r="I8857" t="s">
        <v>17127</v>
      </c>
      <c r="J8857" t="str">
        <f>HYPERLINK("https://www.boe.es/gazeta/dias/1822/10/01/pdfs/GMD-1822-287.pdf#page=3","Abrir facsímil")</f>
        <v>Abrir facsímil</v>
      </c>
      <c r="K8857" t="s">
        <v>22</v>
      </c>
    </row>
    <row r="8858" spans="1:11" ht="42" customHeight="1">
      <c r="A8858" t="s">
        <v>17119</v>
      </c>
      <c r="B8858" t="s">
        <v>17119</v>
      </c>
      <c r="C8858" t="s">
        <v>50</v>
      </c>
      <c r="D8858" t="s">
        <v>51</v>
      </c>
      <c r="E8858" s="6">
        <v>-28208</v>
      </c>
      <c r="F8858" t="s">
        <v>230</v>
      </c>
      <c r="G8858" t="s">
        <v>31</v>
      </c>
      <c r="H8858" t="s">
        <v>20</v>
      </c>
      <c r="I8858" t="s">
        <v>17128</v>
      </c>
      <c r="J8858" t="str">
        <f>HYPERLINK("https://www.boe.es/gazeta/dias/1822/10/07/pdfs/GMD-1822-293.pdf#page=3","Abrir facsímil")</f>
        <v>Abrir facsímil</v>
      </c>
      <c r="K8858" t="s">
        <v>22</v>
      </c>
    </row>
    <row r="8859" spans="1:11" ht="42" customHeight="1">
      <c r="A8859" t="s">
        <v>17129</v>
      </c>
      <c r="B8859" t="s">
        <v>17130</v>
      </c>
      <c r="C8859" t="s">
        <v>42</v>
      </c>
      <c r="D8859" t="s">
        <v>17</v>
      </c>
      <c r="E8859" s="6">
        <v>-28274</v>
      </c>
      <c r="F8859" t="s">
        <v>3371</v>
      </c>
      <c r="G8859" t="s">
        <v>44</v>
      </c>
      <c r="H8859" t="s">
        <v>20</v>
      </c>
      <c r="I8859" t="s">
        <v>17131</v>
      </c>
      <c r="J8859" t="str">
        <f>HYPERLINK("https://www.boe.es/gazeta/dias/1822/08/02/pdfs/GMD-1822-226.pdf#page=1","Abrir facsímil")</f>
        <v>Abrir facsímil</v>
      </c>
      <c r="K8859" t="s">
        <v>22</v>
      </c>
    </row>
    <row r="8860" spans="1:11" ht="42" customHeight="1">
      <c r="A8860" t="s">
        <v>17132</v>
      </c>
      <c r="B8860" t="s">
        <v>17133</v>
      </c>
      <c r="C8860" t="s">
        <v>50</v>
      </c>
      <c r="D8860" t="s">
        <v>51</v>
      </c>
      <c r="E8860" s="6">
        <v>-28318</v>
      </c>
      <c r="F8860" t="s">
        <v>397</v>
      </c>
      <c r="G8860" t="s">
        <v>167</v>
      </c>
      <c r="H8860" t="s">
        <v>20</v>
      </c>
      <c r="I8860" t="s">
        <v>17134</v>
      </c>
      <c r="J8860" t="str">
        <f>HYPERLINK("https://www.boe.es/gazeta/dias/1822/06/19/pdfs/GMD-1822-176.pdf#page=7","Abrir facsímil")</f>
        <v>Abrir facsímil</v>
      </c>
      <c r="K8860" t="s">
        <v>22</v>
      </c>
    </row>
    <row r="8861" spans="1:11" ht="42" customHeight="1">
      <c r="A8861" t="s">
        <v>17135</v>
      </c>
      <c r="B8861" t="s">
        <v>17135</v>
      </c>
      <c r="C8861" t="s">
        <v>71</v>
      </c>
      <c r="D8861" t="s">
        <v>17</v>
      </c>
      <c r="E8861" s="6">
        <v>-28449</v>
      </c>
      <c r="F8861" t="s">
        <v>1342</v>
      </c>
      <c r="G8861" t="s">
        <v>31</v>
      </c>
      <c r="H8861" t="s">
        <v>20</v>
      </c>
      <c r="I8861" t="s">
        <v>17136</v>
      </c>
      <c r="J8861" t="str">
        <f>HYPERLINK("https://www.boe.es/gazeta/dias/1822/02/08/pdfs/GMD-1822-39.pdf#page=3","Abrir facsímil")</f>
        <v>Abrir facsímil</v>
      </c>
      <c r="K8861" t="s">
        <v>22</v>
      </c>
    </row>
    <row r="8862" spans="1:11" ht="42" customHeight="1">
      <c r="A8862" t="s">
        <v>17137</v>
      </c>
      <c r="B8862" t="s">
        <v>17137</v>
      </c>
      <c r="C8862" t="s">
        <v>50</v>
      </c>
      <c r="D8862" t="s">
        <v>51</v>
      </c>
      <c r="E8862" s="6">
        <v>-28483</v>
      </c>
      <c r="F8862" t="s">
        <v>254</v>
      </c>
      <c r="G8862" t="s">
        <v>57</v>
      </c>
      <c r="H8862" t="s">
        <v>20</v>
      </c>
      <c r="I8862" t="s">
        <v>17138</v>
      </c>
      <c r="J8862" t="str">
        <f>HYPERLINK("https://www.boe.es/gazeta/dias/1822/01/05/pdfs/GMD-1822-5.pdf#page=4","Abrir facsímil")</f>
        <v>Abrir facsímil</v>
      </c>
      <c r="K8862" t="s">
        <v>22</v>
      </c>
    </row>
    <row r="8863" spans="1:11" ht="42" customHeight="1">
      <c r="A8863" t="s">
        <v>17137</v>
      </c>
      <c r="B8863" t="s">
        <v>17137</v>
      </c>
      <c r="C8863" t="s">
        <v>42</v>
      </c>
      <c r="D8863" t="s">
        <v>17</v>
      </c>
      <c r="E8863" s="6">
        <v>-28463</v>
      </c>
      <c r="F8863" t="s">
        <v>25</v>
      </c>
      <c r="G8863" t="s">
        <v>31</v>
      </c>
      <c r="H8863" t="s">
        <v>20</v>
      </c>
      <c r="I8863" t="s">
        <v>17139</v>
      </c>
      <c r="J8863" t="str">
        <f>HYPERLINK("https://www.boe.es/gazeta/dias/1822/01/25/pdfs/GMD-1822-25.pdf#page=3","Abrir facsímil")</f>
        <v>Abrir facsímil</v>
      </c>
      <c r="K8863" t="s">
        <v>22</v>
      </c>
    </row>
    <row r="8864" spans="1:11" ht="42" customHeight="1">
      <c r="A8864" t="s">
        <v>17140</v>
      </c>
      <c r="B8864" t="s">
        <v>17141</v>
      </c>
      <c r="C8864" t="s">
        <v>28</v>
      </c>
      <c r="D8864" t="s">
        <v>29</v>
      </c>
      <c r="E8864" s="6">
        <v>-28258</v>
      </c>
      <c r="F8864" t="s">
        <v>88</v>
      </c>
      <c r="G8864" t="s">
        <v>31</v>
      </c>
      <c r="H8864" t="s">
        <v>20</v>
      </c>
      <c r="I8864" t="s">
        <v>17142</v>
      </c>
      <c r="J8864" t="str">
        <f>HYPERLINK("https://www.boe.es/gazeta/dias/1822/08/18/pdfs/GMD-1822-242.pdf#page=3","Abrir facsímil")</f>
        <v>Abrir facsímil</v>
      </c>
      <c r="K8864" t="s">
        <v>22</v>
      </c>
    </row>
    <row r="8865" spans="1:11" ht="42" customHeight="1">
      <c r="A8865" t="s">
        <v>17140</v>
      </c>
      <c r="B8865" t="s">
        <v>17141</v>
      </c>
      <c r="C8865" t="s">
        <v>28</v>
      </c>
      <c r="D8865" t="s">
        <v>29</v>
      </c>
      <c r="E8865" s="6">
        <v>-28125</v>
      </c>
      <c r="F8865" t="s">
        <v>322</v>
      </c>
      <c r="G8865" t="s">
        <v>19</v>
      </c>
      <c r="H8865" t="s">
        <v>20</v>
      </c>
      <c r="I8865" t="s">
        <v>17143</v>
      </c>
      <c r="J8865" t="str">
        <f>HYPERLINK("https://www.boe.es/gazeta/dias/1822/12/29/pdfs/GMD-1822-379.pdf#page=5","Abrir facsímil")</f>
        <v>Abrir facsímil</v>
      </c>
      <c r="K8865" t="s">
        <v>22</v>
      </c>
    </row>
    <row r="8866" spans="1:11" ht="42" customHeight="1">
      <c r="A8866" t="s">
        <v>17144</v>
      </c>
      <c r="B8866" t="s">
        <v>17145</v>
      </c>
      <c r="C8866" t="s">
        <v>50</v>
      </c>
      <c r="D8866" t="s">
        <v>51</v>
      </c>
      <c r="E8866" s="6">
        <v>-28222</v>
      </c>
      <c r="F8866" t="s">
        <v>2027</v>
      </c>
      <c r="G8866" t="s">
        <v>57</v>
      </c>
      <c r="H8866" t="s">
        <v>20</v>
      </c>
      <c r="I8866" t="s">
        <v>17146</v>
      </c>
      <c r="J8866" t="str">
        <f>HYPERLINK("https://www.boe.es/gazeta/dias/1822/09/23/pdfs/GMD-1822-279.pdf#page=4","Abrir facsímil")</f>
        <v>Abrir facsímil</v>
      </c>
      <c r="K8866" t="s">
        <v>22</v>
      </c>
    </row>
    <row r="8867" spans="1:11" ht="42" customHeight="1">
      <c r="A8867" t="s">
        <v>17147</v>
      </c>
      <c r="B8867" t="s">
        <v>17148</v>
      </c>
      <c r="C8867" t="s">
        <v>71</v>
      </c>
      <c r="D8867" t="s">
        <v>17</v>
      </c>
      <c r="E8867" s="6">
        <v>-28444</v>
      </c>
      <c r="F8867" t="s">
        <v>681</v>
      </c>
      <c r="G8867" t="s">
        <v>57</v>
      </c>
      <c r="H8867" t="s">
        <v>20</v>
      </c>
      <c r="I8867" t="s">
        <v>17149</v>
      </c>
      <c r="J8867" t="str">
        <f>HYPERLINK("https://www.boe.es/gazeta/dias/1822/02/13/pdfs/GMD-1822-44.pdf#page=4","Abrir facsímil")</f>
        <v>Abrir facsímil</v>
      </c>
      <c r="K8867" t="s">
        <v>22</v>
      </c>
    </row>
    <row r="8868" spans="1:11" ht="42" customHeight="1">
      <c r="A8868" t="s">
        <v>17150</v>
      </c>
      <c r="B8868" t="s">
        <v>17150</v>
      </c>
      <c r="C8868" t="s">
        <v>362</v>
      </c>
      <c r="D8868" t="s">
        <v>17</v>
      </c>
      <c r="E8868" s="6">
        <v>-28483</v>
      </c>
      <c r="F8868" t="s">
        <v>254</v>
      </c>
      <c r="G8868" t="s">
        <v>31</v>
      </c>
      <c r="H8868" t="s">
        <v>20</v>
      </c>
      <c r="I8868" t="s">
        <v>17151</v>
      </c>
      <c r="J8868" t="str">
        <f>HYPERLINK("https://www.boe.es/gazeta/dias/1822/01/05/pdfs/GMD-1822-5.pdf#page=3","Abrir facsímil")</f>
        <v>Abrir facsímil</v>
      </c>
      <c r="K8868" t="s">
        <v>22</v>
      </c>
    </row>
    <row r="8869" spans="1:11" ht="42" customHeight="1">
      <c r="A8869" t="s">
        <v>17150</v>
      </c>
      <c r="B8869" t="s">
        <v>17150</v>
      </c>
      <c r="C8869" t="s">
        <v>42</v>
      </c>
      <c r="D8869" t="s">
        <v>17</v>
      </c>
      <c r="E8869" s="6">
        <v>-28483</v>
      </c>
      <c r="F8869" t="s">
        <v>254</v>
      </c>
      <c r="G8869" t="s">
        <v>57</v>
      </c>
      <c r="H8869" t="s">
        <v>20</v>
      </c>
      <c r="I8869" t="s">
        <v>17152</v>
      </c>
      <c r="J8869" t="str">
        <f>HYPERLINK("https://www.boe.es/gazeta/dias/1822/01/05/pdfs/GMD-1822-5.pdf#page=4","Abrir facsímil")</f>
        <v>Abrir facsímil</v>
      </c>
      <c r="K8869" t="s">
        <v>22</v>
      </c>
    </row>
    <row r="8870" spans="1:11" ht="42" customHeight="1">
      <c r="A8870" t="s">
        <v>17150</v>
      </c>
      <c r="B8870" t="s">
        <v>17150</v>
      </c>
      <c r="C8870" t="s">
        <v>71</v>
      </c>
      <c r="D8870" t="s">
        <v>17</v>
      </c>
      <c r="E8870" s="6">
        <v>-28481</v>
      </c>
      <c r="F8870" t="s">
        <v>1089</v>
      </c>
      <c r="G8870" t="s">
        <v>31</v>
      </c>
      <c r="H8870" t="s">
        <v>20</v>
      </c>
      <c r="I8870" t="s">
        <v>17153</v>
      </c>
      <c r="J8870" t="str">
        <f>HYPERLINK("https://www.boe.es/gazeta/dias/1822/01/07/pdfs/GMD-1822-7.pdf#page=3","Abrir facsímil")</f>
        <v>Abrir facsímil</v>
      </c>
      <c r="K8870" t="s">
        <v>22</v>
      </c>
    </row>
    <row r="8871" spans="1:11" ht="42" customHeight="1">
      <c r="A8871" t="s">
        <v>17150</v>
      </c>
      <c r="B8871" t="s">
        <v>17150</v>
      </c>
      <c r="C8871" t="s">
        <v>71</v>
      </c>
      <c r="D8871" t="s">
        <v>17</v>
      </c>
      <c r="E8871" s="6">
        <v>-28364</v>
      </c>
      <c r="F8871" t="s">
        <v>509</v>
      </c>
      <c r="G8871" t="s">
        <v>19</v>
      </c>
      <c r="H8871" t="s">
        <v>20</v>
      </c>
      <c r="I8871" t="s">
        <v>17154</v>
      </c>
      <c r="J8871" t="str">
        <f>HYPERLINK("https://www.boe.es/gazeta/dias/1822/05/04/pdfs/GMD-1822-126.pdf#page=5","Abrir facsímil")</f>
        <v>Abrir facsímil</v>
      </c>
      <c r="K8871" t="s">
        <v>22</v>
      </c>
    </row>
    <row r="8872" spans="1:11" ht="42" customHeight="1">
      <c r="A8872" t="s">
        <v>17150</v>
      </c>
      <c r="B8872" t="s">
        <v>17150</v>
      </c>
      <c r="C8872" t="s">
        <v>42</v>
      </c>
      <c r="D8872" t="s">
        <v>17</v>
      </c>
      <c r="E8872" s="6">
        <v>-28347</v>
      </c>
      <c r="F8872" t="s">
        <v>520</v>
      </c>
      <c r="G8872" t="s">
        <v>19</v>
      </c>
      <c r="H8872" t="s">
        <v>20</v>
      </c>
      <c r="I8872" t="s">
        <v>17155</v>
      </c>
      <c r="J8872" t="str">
        <f>HYPERLINK("https://www.boe.es/gazeta/dias/1822/05/21/pdfs/GMD-1822-144.pdf#page=5","Abrir facsímil")</f>
        <v>Abrir facsímil</v>
      </c>
      <c r="K8872" t="s">
        <v>22</v>
      </c>
    </row>
    <row r="8873" spans="1:11" ht="42" customHeight="1">
      <c r="A8873" t="s">
        <v>17156</v>
      </c>
      <c r="B8873" t="s">
        <v>17157</v>
      </c>
      <c r="C8873" t="s">
        <v>42</v>
      </c>
      <c r="D8873" t="s">
        <v>17</v>
      </c>
      <c r="E8873" s="6">
        <v>-28250</v>
      </c>
      <c r="F8873" t="s">
        <v>1174</v>
      </c>
      <c r="G8873" t="s">
        <v>57</v>
      </c>
      <c r="H8873" t="s">
        <v>20</v>
      </c>
      <c r="I8873" t="s">
        <v>17158</v>
      </c>
      <c r="J8873" t="str">
        <f>HYPERLINK("https://www.boe.es/gazeta/dias/1822/08/26/pdfs/GMD-1822-250.pdf#page=4","Abrir facsímil")</f>
        <v>Abrir facsímil</v>
      </c>
      <c r="K8873" t="s">
        <v>22</v>
      </c>
    </row>
    <row r="8874" spans="1:11" ht="42" customHeight="1">
      <c r="A8874" t="s">
        <v>17159</v>
      </c>
      <c r="B8874" t="s">
        <v>17160</v>
      </c>
      <c r="C8874" t="s">
        <v>42</v>
      </c>
      <c r="D8874" t="s">
        <v>17</v>
      </c>
      <c r="E8874" s="6">
        <v>-28208</v>
      </c>
      <c r="F8874" t="s">
        <v>230</v>
      </c>
      <c r="G8874" t="s">
        <v>57</v>
      </c>
      <c r="H8874" t="s">
        <v>20</v>
      </c>
      <c r="I8874" t="s">
        <v>17161</v>
      </c>
      <c r="J8874" t="str">
        <f>HYPERLINK("https://www.boe.es/gazeta/dias/1822/10/07/pdfs/GMD-1822-293.pdf#page=4","Abrir facsímil")</f>
        <v>Abrir facsímil</v>
      </c>
      <c r="K8874" t="s">
        <v>22</v>
      </c>
    </row>
    <row r="8875" spans="1:11" ht="42" customHeight="1">
      <c r="A8875" t="s">
        <v>17162</v>
      </c>
      <c r="B8875" t="s">
        <v>17163</v>
      </c>
      <c r="C8875" t="s">
        <v>28</v>
      </c>
      <c r="D8875" t="s">
        <v>29</v>
      </c>
      <c r="E8875" s="6">
        <v>-28486</v>
      </c>
      <c r="F8875" t="s">
        <v>1046</v>
      </c>
      <c r="G8875" t="s">
        <v>57</v>
      </c>
      <c r="H8875" t="s">
        <v>20</v>
      </c>
      <c r="I8875" t="s">
        <v>17164</v>
      </c>
      <c r="J8875" t="str">
        <f>HYPERLINK("https://www.boe.es/gazeta/dias/1822/01/02/pdfs/GMD-1822-2.pdf#page=4","Abrir facsímil")</f>
        <v>Abrir facsímil</v>
      </c>
      <c r="K8875" t="s">
        <v>22</v>
      </c>
    </row>
    <row r="8876" spans="1:11" ht="42" customHeight="1">
      <c r="A8876" t="s">
        <v>17162</v>
      </c>
      <c r="B8876" t="s">
        <v>17163</v>
      </c>
      <c r="C8876" t="s">
        <v>42</v>
      </c>
      <c r="D8876" t="s">
        <v>17</v>
      </c>
      <c r="E8876" s="6">
        <v>-28306</v>
      </c>
      <c r="F8876" t="s">
        <v>348</v>
      </c>
      <c r="G8876" t="s">
        <v>57</v>
      </c>
      <c r="H8876" t="s">
        <v>20</v>
      </c>
      <c r="I8876" t="s">
        <v>17165</v>
      </c>
      <c r="J8876" t="str">
        <f>HYPERLINK("https://www.boe.es/gazeta/dias/1822/07/01/pdfs/GMD-1822-190.pdf#page=4","Abrir facsímil")</f>
        <v>Abrir facsímil</v>
      </c>
      <c r="K8876" t="s">
        <v>22</v>
      </c>
    </row>
    <row r="8877" spans="1:11" ht="42" customHeight="1">
      <c r="A8877" t="s">
        <v>17162</v>
      </c>
      <c r="B8877" t="s">
        <v>17163</v>
      </c>
      <c r="C8877" t="s">
        <v>50</v>
      </c>
      <c r="D8877" t="s">
        <v>51</v>
      </c>
      <c r="E8877" s="6">
        <v>-28240</v>
      </c>
      <c r="F8877" t="s">
        <v>678</v>
      </c>
      <c r="G8877" t="s">
        <v>57</v>
      </c>
      <c r="H8877" t="s">
        <v>20</v>
      </c>
      <c r="I8877" t="s">
        <v>17166</v>
      </c>
      <c r="J8877" t="str">
        <f>HYPERLINK("https://www.boe.es/gazeta/dias/1822/09/05/pdfs/GMD-1822-260.pdf#page=4","Abrir facsímil")</f>
        <v>Abrir facsímil</v>
      </c>
      <c r="K8877" t="s">
        <v>22</v>
      </c>
    </row>
    <row r="8878" spans="1:11" ht="42" customHeight="1">
      <c r="A8878" t="s">
        <v>17167</v>
      </c>
      <c r="B8878" t="s">
        <v>17168</v>
      </c>
      <c r="C8878" t="s">
        <v>28</v>
      </c>
      <c r="D8878" t="s">
        <v>29</v>
      </c>
      <c r="E8878" s="6">
        <v>-28175</v>
      </c>
      <c r="F8878" t="s">
        <v>341</v>
      </c>
      <c r="G8878" t="s">
        <v>63</v>
      </c>
      <c r="H8878" t="s">
        <v>20</v>
      </c>
      <c r="I8878" t="s">
        <v>17169</v>
      </c>
      <c r="J8878" t="str">
        <f>HYPERLINK("https://www.boe.es/gazeta/dias/1822/11/09/pdfs/GMD-1822-329.pdf#page=6","Abrir facsímil")</f>
        <v>Abrir facsímil</v>
      </c>
      <c r="K8878" t="s">
        <v>22</v>
      </c>
    </row>
    <row r="8879" spans="1:11" ht="42" customHeight="1">
      <c r="A8879" t="s">
        <v>17170</v>
      </c>
      <c r="B8879" t="s">
        <v>17171</v>
      </c>
      <c r="C8879" t="s">
        <v>28</v>
      </c>
      <c r="D8879" t="s">
        <v>29</v>
      </c>
      <c r="E8879" s="6">
        <v>-28203</v>
      </c>
      <c r="F8879" t="s">
        <v>564</v>
      </c>
      <c r="G8879" t="s">
        <v>44</v>
      </c>
      <c r="H8879" t="s">
        <v>20</v>
      </c>
      <c r="I8879" t="s">
        <v>17172</v>
      </c>
      <c r="J8879" t="str">
        <f>HYPERLINK("https://www.boe.es/gazeta/dias/1822/10/12/pdfs/GMD-1822-299.pdf#page=1","Abrir facsímil")</f>
        <v>Abrir facsímil</v>
      </c>
      <c r="K8879" t="s">
        <v>22</v>
      </c>
    </row>
    <row r="8880" spans="1:11" ht="42" customHeight="1">
      <c r="A8880" t="s">
        <v>17173</v>
      </c>
      <c r="B8880" t="s">
        <v>17174</v>
      </c>
      <c r="C8880" t="s">
        <v>61</v>
      </c>
      <c r="D8880" t="s">
        <v>17</v>
      </c>
      <c r="E8880" s="6">
        <v>-28311</v>
      </c>
      <c r="F8880" t="s">
        <v>736</v>
      </c>
      <c r="G8880" t="s">
        <v>157</v>
      </c>
      <c r="H8880" t="s">
        <v>20</v>
      </c>
      <c r="I8880" t="s">
        <v>17175</v>
      </c>
      <c r="J8880" t="str">
        <f>HYPERLINK("https://www.boe.es/gazeta/dias/1822/06/26/pdfs/GMD-1822-184.pdf#page=8","Abrir facsímil")</f>
        <v>Abrir facsímil</v>
      </c>
      <c r="K8880" t="s">
        <v>22</v>
      </c>
    </row>
    <row r="8881" spans="1:11" ht="42" customHeight="1">
      <c r="A8881" t="s">
        <v>17176</v>
      </c>
      <c r="B8881" t="s">
        <v>17177</v>
      </c>
      <c r="C8881" t="s">
        <v>24</v>
      </c>
      <c r="D8881" t="s">
        <v>17</v>
      </c>
      <c r="E8881" s="6">
        <v>-28475</v>
      </c>
      <c r="F8881" t="s">
        <v>1205</v>
      </c>
      <c r="G8881" t="s">
        <v>1685</v>
      </c>
      <c r="H8881" t="s">
        <v>20</v>
      </c>
      <c r="I8881" t="s">
        <v>17178</v>
      </c>
      <c r="J8881" t="str">
        <f>HYPERLINK("https://www.boe.es/gazeta/dias/1822/01/13/pdfs/GMD-1822-13.pdf#page=4","Abrir facsímil")</f>
        <v>Abrir facsímil</v>
      </c>
      <c r="K8881" t="s">
        <v>22</v>
      </c>
    </row>
    <row r="8882" spans="1:11" ht="42" customHeight="1">
      <c r="A8882" t="s">
        <v>17179</v>
      </c>
      <c r="B8882" t="s">
        <v>17180</v>
      </c>
      <c r="C8882" t="s">
        <v>24</v>
      </c>
      <c r="D8882" t="s">
        <v>17</v>
      </c>
      <c r="E8882" s="6">
        <v>-28314</v>
      </c>
      <c r="F8882" t="s">
        <v>309</v>
      </c>
      <c r="G8882" t="s">
        <v>63</v>
      </c>
      <c r="H8882" t="s">
        <v>20</v>
      </c>
      <c r="I8882" t="s">
        <v>17181</v>
      </c>
      <c r="J8882" t="str">
        <f>HYPERLINK("https://www.boe.es/gazeta/dias/1822/06/23/pdfs/GMD-1822-181.pdf#page=6","Abrir facsímil")</f>
        <v>Abrir facsímil</v>
      </c>
      <c r="K8882" t="s">
        <v>22</v>
      </c>
    </row>
    <row r="8883" spans="1:11" ht="42" customHeight="1">
      <c r="A8883" t="s">
        <v>17182</v>
      </c>
      <c r="B8883" t="s">
        <v>17182</v>
      </c>
      <c r="C8883" t="s">
        <v>50</v>
      </c>
      <c r="D8883" t="s">
        <v>51</v>
      </c>
      <c r="E8883" s="6">
        <v>-28484</v>
      </c>
      <c r="F8883" t="s">
        <v>743</v>
      </c>
      <c r="G8883" t="s">
        <v>63</v>
      </c>
      <c r="H8883" t="s">
        <v>20</v>
      </c>
      <c r="I8883" t="s">
        <v>17183</v>
      </c>
      <c r="J8883" t="str">
        <f>HYPERLINK("https://www.boe.es/gazeta/dias/1822/01/04/pdfs/GMD-1822-4.pdf#page=6","Abrir facsímil")</f>
        <v>Abrir facsímil</v>
      </c>
      <c r="K8883" t="s">
        <v>22</v>
      </c>
    </row>
    <row r="8884" spans="1:11" ht="42" customHeight="1">
      <c r="A8884" t="s">
        <v>17184</v>
      </c>
      <c r="B8884" t="s">
        <v>17185</v>
      </c>
      <c r="C8884" t="s">
        <v>50</v>
      </c>
      <c r="D8884" t="s">
        <v>51</v>
      </c>
      <c r="E8884" s="6">
        <v>-28381</v>
      </c>
      <c r="F8884" t="s">
        <v>358</v>
      </c>
      <c r="G8884" t="s">
        <v>35</v>
      </c>
      <c r="H8884" t="s">
        <v>20</v>
      </c>
      <c r="I8884" t="s">
        <v>17186</v>
      </c>
      <c r="J8884" t="str">
        <f>HYPERLINK("https://www.boe.es/gazeta/dias/1822/04/17/pdfs/GMD-1822-109.pdf#page=2","Abrir facsímil")</f>
        <v>Abrir facsímil</v>
      </c>
      <c r="K8884" t="s">
        <v>22</v>
      </c>
    </row>
    <row r="8885" spans="1:11" ht="42" customHeight="1">
      <c r="A8885" t="s">
        <v>17187</v>
      </c>
      <c r="B8885" t="s">
        <v>17188</v>
      </c>
      <c r="C8885" t="s">
        <v>42</v>
      </c>
      <c r="D8885" t="s">
        <v>723</v>
      </c>
      <c r="E8885" s="6">
        <v>-28181</v>
      </c>
      <c r="F8885" t="s">
        <v>724</v>
      </c>
      <c r="G8885" t="s">
        <v>44</v>
      </c>
      <c r="H8885" t="s">
        <v>20</v>
      </c>
      <c r="I8885" t="s">
        <v>17189</v>
      </c>
      <c r="J8885" t="str">
        <f>HYPERLINK("https://www.boe.es/gazeta/dias/1822/11/03/pdfs/GMD-1822-322E.pdf#page=1","Abrir facsímil")</f>
        <v>Abrir facsímil</v>
      </c>
      <c r="K8885" t="s">
        <v>22</v>
      </c>
    </row>
    <row r="8886" spans="1:11" ht="42" customHeight="1">
      <c r="A8886" t="s">
        <v>17190</v>
      </c>
      <c r="B8886" t="s">
        <v>17191</v>
      </c>
      <c r="C8886" t="s">
        <v>71</v>
      </c>
      <c r="D8886" t="s">
        <v>17</v>
      </c>
      <c r="E8886" s="6">
        <v>-28325</v>
      </c>
      <c r="F8886" t="s">
        <v>104</v>
      </c>
      <c r="G8886" t="s">
        <v>31</v>
      </c>
      <c r="H8886" t="s">
        <v>20</v>
      </c>
      <c r="I8886" t="s">
        <v>17192</v>
      </c>
      <c r="J8886" t="str">
        <f>HYPERLINK("https://www.boe.es/gazeta/dias/1822/06/12/pdfs/GMD-1822-169.pdf#page=3","Abrir facsímil")</f>
        <v>Abrir facsímil</v>
      </c>
      <c r="K8886" t="s">
        <v>22</v>
      </c>
    </row>
    <row r="8887" spans="1:11" ht="42" customHeight="1">
      <c r="A8887" t="s">
        <v>17193</v>
      </c>
      <c r="B8887" t="s">
        <v>17194</v>
      </c>
      <c r="C8887" t="s">
        <v>71</v>
      </c>
      <c r="D8887" t="s">
        <v>17</v>
      </c>
      <c r="E8887" s="6">
        <v>-28329</v>
      </c>
      <c r="F8887" t="s">
        <v>354</v>
      </c>
      <c r="G8887" t="s">
        <v>44</v>
      </c>
      <c r="H8887" t="s">
        <v>20</v>
      </c>
      <c r="I8887" t="s">
        <v>17195</v>
      </c>
      <c r="J8887" t="str">
        <f>HYPERLINK("https://www.boe.es/gazeta/dias/1822/06/08/pdfs/GMD-1822-165.pdf#page=1","Abrir facsímil")</f>
        <v>Abrir facsímil</v>
      </c>
      <c r="K8887" t="s">
        <v>22</v>
      </c>
    </row>
    <row r="8888" spans="1:11" ht="42" customHeight="1">
      <c r="A8888" t="s">
        <v>17196</v>
      </c>
      <c r="B8888" t="s">
        <v>17197</v>
      </c>
      <c r="C8888" t="s">
        <v>24</v>
      </c>
      <c r="D8888" t="s">
        <v>17</v>
      </c>
      <c r="E8888" s="6">
        <v>-28258</v>
      </c>
      <c r="F8888" t="s">
        <v>88</v>
      </c>
      <c r="G8888" t="s">
        <v>31</v>
      </c>
      <c r="H8888" t="s">
        <v>20</v>
      </c>
      <c r="I8888" t="s">
        <v>17198</v>
      </c>
      <c r="J8888" t="str">
        <f>HYPERLINK("https://www.boe.es/gazeta/dias/1822/08/18/pdfs/GMD-1822-242.pdf#page=3","Abrir facsímil")</f>
        <v>Abrir facsímil</v>
      </c>
      <c r="K8888" t="s">
        <v>22</v>
      </c>
    </row>
    <row r="8889" spans="1:11" ht="42" customHeight="1">
      <c r="A8889" t="s">
        <v>17199</v>
      </c>
      <c r="B8889" t="s">
        <v>17200</v>
      </c>
      <c r="C8889" t="s">
        <v>50</v>
      </c>
      <c r="D8889" t="s">
        <v>51</v>
      </c>
      <c r="E8889" s="6">
        <v>-28381</v>
      </c>
      <c r="F8889" t="s">
        <v>358</v>
      </c>
      <c r="G8889" t="s">
        <v>35</v>
      </c>
      <c r="H8889" t="s">
        <v>20</v>
      </c>
      <c r="I8889" t="s">
        <v>17201</v>
      </c>
      <c r="J8889" t="str">
        <f>HYPERLINK("https://www.boe.es/gazeta/dias/1822/04/17/pdfs/GMD-1822-109.pdf#page=2","Abrir facsímil")</f>
        <v>Abrir facsímil</v>
      </c>
      <c r="K8889" t="s">
        <v>22</v>
      </c>
    </row>
    <row r="8890" spans="1:11" ht="42" customHeight="1">
      <c r="A8890" t="s">
        <v>17202</v>
      </c>
      <c r="B8890" t="s">
        <v>17203</v>
      </c>
      <c r="C8890" t="s">
        <v>50</v>
      </c>
      <c r="D8890" t="s">
        <v>51</v>
      </c>
      <c r="E8890" s="6">
        <v>-28383</v>
      </c>
      <c r="F8890" t="s">
        <v>488</v>
      </c>
      <c r="G8890" t="s">
        <v>35</v>
      </c>
      <c r="H8890" t="s">
        <v>20</v>
      </c>
      <c r="I8890" t="s">
        <v>17204</v>
      </c>
      <c r="J8890" t="str">
        <f>HYPERLINK("https://www.boe.es/gazeta/dias/1822/04/15/pdfs/GMD-1822-107.pdf#page=2","Abrir facsímil")</f>
        <v>Abrir facsímil</v>
      </c>
      <c r="K8890" t="s">
        <v>22</v>
      </c>
    </row>
    <row r="8891" spans="1:11" ht="42" customHeight="1">
      <c r="A8891" t="s">
        <v>17205</v>
      </c>
      <c r="B8891" t="s">
        <v>17206</v>
      </c>
      <c r="C8891" t="s">
        <v>16</v>
      </c>
      <c r="D8891" t="s">
        <v>17</v>
      </c>
      <c r="E8891" s="6">
        <v>-28271</v>
      </c>
      <c r="F8891" t="s">
        <v>4942</v>
      </c>
      <c r="G8891" t="s">
        <v>57</v>
      </c>
      <c r="H8891" t="s">
        <v>20</v>
      </c>
      <c r="I8891" t="s">
        <v>17207</v>
      </c>
      <c r="J8891" t="str">
        <f>HYPERLINK("https://www.boe.es/gazeta/dias/1822/08/05/pdfs/GMD-1822-229.pdf#page=4","Abrir facsímil")</f>
        <v>Abrir facsímil</v>
      </c>
      <c r="K8891" t="s">
        <v>22</v>
      </c>
    </row>
    <row r="8892" spans="1:11" ht="42" customHeight="1">
      <c r="A8892" t="s">
        <v>17208</v>
      </c>
      <c r="B8892" t="s">
        <v>17209</v>
      </c>
      <c r="C8892" t="s">
        <v>71</v>
      </c>
      <c r="D8892" t="s">
        <v>17</v>
      </c>
      <c r="E8892" s="6">
        <v>-28407</v>
      </c>
      <c r="F8892" t="s">
        <v>460</v>
      </c>
      <c r="G8892" t="s">
        <v>19</v>
      </c>
      <c r="H8892" t="s">
        <v>20</v>
      </c>
      <c r="I8892" t="s">
        <v>17210</v>
      </c>
      <c r="J8892" t="str">
        <f>HYPERLINK("https://www.boe.es/gazeta/dias/1822/03/22/pdfs/GMD-1822-83.pdf#page=5","Abrir facsímil")</f>
        <v>Abrir facsímil</v>
      </c>
      <c r="K8892" t="s">
        <v>22</v>
      </c>
    </row>
    <row r="8893" spans="1:11" ht="42" customHeight="1">
      <c r="A8893" t="s">
        <v>17211</v>
      </c>
      <c r="B8893" t="s">
        <v>17212</v>
      </c>
      <c r="C8893" t="s">
        <v>16</v>
      </c>
      <c r="D8893" t="s">
        <v>17</v>
      </c>
      <c r="E8893" s="6">
        <v>-28362</v>
      </c>
      <c r="F8893" t="s">
        <v>511</v>
      </c>
      <c r="G8893" t="s">
        <v>63</v>
      </c>
      <c r="H8893" t="s">
        <v>20</v>
      </c>
      <c r="I8893" t="s">
        <v>17213</v>
      </c>
      <c r="J8893" t="str">
        <f>HYPERLINK("https://www.boe.es/gazeta/dias/1822/05/06/pdfs/GMD-1822-128.pdf#page=6","Abrir facsímil")</f>
        <v>Abrir facsímil</v>
      </c>
      <c r="K8893" t="s">
        <v>22</v>
      </c>
    </row>
    <row r="8894" spans="1:11" ht="42" customHeight="1">
      <c r="A8894" t="s">
        <v>17214</v>
      </c>
      <c r="B8894" t="s">
        <v>17215</v>
      </c>
      <c r="C8894" t="s">
        <v>50</v>
      </c>
      <c r="D8894" t="s">
        <v>51</v>
      </c>
      <c r="E8894" s="6">
        <v>-28290</v>
      </c>
      <c r="F8894" t="s">
        <v>706</v>
      </c>
      <c r="G8894" t="s">
        <v>35</v>
      </c>
      <c r="H8894" t="s">
        <v>20</v>
      </c>
      <c r="I8894" t="s">
        <v>17216</v>
      </c>
      <c r="J8894" t="str">
        <f>HYPERLINK("https://www.boe.es/gazeta/dias/1822/07/17/pdfs/GMD-1822-207.pdf#page=2","Abrir facsímil")</f>
        <v>Abrir facsímil</v>
      </c>
      <c r="K8894" t="s">
        <v>22</v>
      </c>
    </row>
    <row r="8895" spans="1:11" ht="42" customHeight="1">
      <c r="A8895" t="s">
        <v>17217</v>
      </c>
      <c r="B8895" t="s">
        <v>17217</v>
      </c>
      <c r="C8895" t="s">
        <v>28</v>
      </c>
      <c r="D8895" t="s">
        <v>29</v>
      </c>
      <c r="E8895" s="6">
        <v>-28451</v>
      </c>
      <c r="F8895" t="s">
        <v>1674</v>
      </c>
      <c r="G8895" t="s">
        <v>31</v>
      </c>
      <c r="H8895" t="s">
        <v>20</v>
      </c>
      <c r="I8895" t="s">
        <v>17218</v>
      </c>
      <c r="J8895" t="str">
        <f>HYPERLINK("https://www.boe.es/gazeta/dias/1822/02/06/pdfs/GMD-1822-37.pdf#page=3","Abrir facsímil")</f>
        <v>Abrir facsímil</v>
      </c>
      <c r="K8895" t="s">
        <v>22</v>
      </c>
    </row>
    <row r="8896" spans="1:11" ht="42" customHeight="1">
      <c r="A8896" t="s">
        <v>17219</v>
      </c>
      <c r="B8896" t="s">
        <v>17220</v>
      </c>
      <c r="C8896" t="s">
        <v>50</v>
      </c>
      <c r="D8896" t="s">
        <v>51</v>
      </c>
      <c r="E8896" s="6">
        <v>-28415</v>
      </c>
      <c r="F8896" t="s">
        <v>77</v>
      </c>
      <c r="G8896" t="s">
        <v>19</v>
      </c>
      <c r="H8896" t="s">
        <v>20</v>
      </c>
      <c r="I8896" t="s">
        <v>17221</v>
      </c>
      <c r="J8896" t="str">
        <f>HYPERLINK("https://www.boe.es/gazeta/dias/1822/03/14/pdfs/GMD-1822-75.pdf#page=5","Abrir facsímil")</f>
        <v>Abrir facsímil</v>
      </c>
      <c r="K8896" t="s">
        <v>22</v>
      </c>
    </row>
    <row r="8897" spans="1:11" ht="42" customHeight="1">
      <c r="A8897" t="s">
        <v>17222</v>
      </c>
      <c r="B8897" t="s">
        <v>17223</v>
      </c>
      <c r="C8897" t="s">
        <v>50</v>
      </c>
      <c r="D8897" t="s">
        <v>51</v>
      </c>
      <c r="E8897" s="6">
        <v>-28243</v>
      </c>
      <c r="F8897" t="s">
        <v>1829</v>
      </c>
      <c r="G8897" t="s">
        <v>57</v>
      </c>
      <c r="H8897" t="s">
        <v>20</v>
      </c>
      <c r="I8897" t="s">
        <v>17224</v>
      </c>
      <c r="J8897" t="str">
        <f>HYPERLINK("https://www.boe.es/gazeta/dias/1822/09/02/pdfs/GMD-1822-257.pdf#page=4","Abrir facsímil")</f>
        <v>Abrir facsímil</v>
      </c>
      <c r="K8897" t="s">
        <v>22</v>
      </c>
    </row>
    <row r="8898" spans="1:11" ht="42" customHeight="1">
      <c r="A8898" t="s">
        <v>17222</v>
      </c>
      <c r="B8898" t="s">
        <v>17223</v>
      </c>
      <c r="C8898" t="s">
        <v>362</v>
      </c>
      <c r="D8898" t="s">
        <v>17</v>
      </c>
      <c r="E8898" s="6">
        <v>-28220</v>
      </c>
      <c r="F8898" t="s">
        <v>1914</v>
      </c>
      <c r="G8898" t="s">
        <v>57</v>
      </c>
      <c r="H8898" t="s">
        <v>20</v>
      </c>
      <c r="I8898" t="s">
        <v>17225</v>
      </c>
      <c r="J8898" t="str">
        <f>HYPERLINK("https://www.boe.es/gazeta/dias/1822/09/25/pdfs/GMD-1822-281.pdf#page=4","Abrir facsímil")</f>
        <v>Abrir facsímil</v>
      </c>
      <c r="K8898" t="s">
        <v>22</v>
      </c>
    </row>
    <row r="8899" spans="1:11" ht="42" customHeight="1">
      <c r="A8899" t="s">
        <v>17226</v>
      </c>
      <c r="B8899" t="s">
        <v>17227</v>
      </c>
      <c r="C8899" t="s">
        <v>50</v>
      </c>
      <c r="D8899" t="s">
        <v>51</v>
      </c>
      <c r="E8899" s="6">
        <v>-28275</v>
      </c>
      <c r="F8899" t="s">
        <v>1297</v>
      </c>
      <c r="G8899" t="s">
        <v>57</v>
      </c>
      <c r="H8899" t="s">
        <v>20</v>
      </c>
      <c r="I8899" t="s">
        <v>17228</v>
      </c>
      <c r="J8899" t="str">
        <f>HYPERLINK("https://www.boe.es/gazeta/dias/1822/08/01/pdfs/GMD-1822-225.pdf#page=4","Abrir facsímil")</f>
        <v>Abrir facsímil</v>
      </c>
      <c r="K8899" t="s">
        <v>22</v>
      </c>
    </row>
    <row r="8900" spans="1:11" ht="42" customHeight="1">
      <c r="A8900" t="s">
        <v>17229</v>
      </c>
      <c r="B8900" t="s">
        <v>17230</v>
      </c>
      <c r="C8900" t="s">
        <v>50</v>
      </c>
      <c r="D8900" t="s">
        <v>51</v>
      </c>
      <c r="E8900" s="6">
        <v>-28371</v>
      </c>
      <c r="F8900" t="s">
        <v>401</v>
      </c>
      <c r="G8900" t="s">
        <v>19</v>
      </c>
      <c r="H8900" t="s">
        <v>20</v>
      </c>
      <c r="I8900" t="s">
        <v>17231</v>
      </c>
      <c r="J8900" t="str">
        <f>HYPERLINK("https://www.boe.es/gazeta/dias/1822/04/27/pdfs/GMD-1822-119.pdf#page=5","Abrir facsímil")</f>
        <v>Abrir facsímil</v>
      </c>
      <c r="K8900" t="s">
        <v>22</v>
      </c>
    </row>
    <row r="8901" spans="1:11" ht="42" customHeight="1">
      <c r="A8901" t="s">
        <v>17232</v>
      </c>
      <c r="B8901" t="s">
        <v>17233</v>
      </c>
      <c r="C8901" t="s">
        <v>50</v>
      </c>
      <c r="D8901" t="s">
        <v>51</v>
      </c>
      <c r="E8901" s="6">
        <v>-28319</v>
      </c>
      <c r="F8901" t="s">
        <v>271</v>
      </c>
      <c r="G8901" t="s">
        <v>63</v>
      </c>
      <c r="H8901" t="s">
        <v>20</v>
      </c>
      <c r="I8901" t="s">
        <v>17234</v>
      </c>
      <c r="J8901" t="str">
        <f>HYPERLINK("https://www.boe.es/gazeta/dias/1822/06/18/pdfs/GMD-1822-175.pdf#page=6","Abrir facsímil")</f>
        <v>Abrir facsímil</v>
      </c>
      <c r="K8901" t="s">
        <v>22</v>
      </c>
    </row>
    <row r="8902" spans="1:11" ht="42" customHeight="1">
      <c r="A8902" t="s">
        <v>17235</v>
      </c>
      <c r="B8902" t="s">
        <v>17235</v>
      </c>
      <c r="C8902" t="s">
        <v>42</v>
      </c>
      <c r="D8902" t="s">
        <v>17</v>
      </c>
      <c r="E8902" s="6">
        <v>-28477</v>
      </c>
      <c r="F8902" t="s">
        <v>1668</v>
      </c>
      <c r="G8902" t="s">
        <v>57</v>
      </c>
      <c r="H8902" t="s">
        <v>20</v>
      </c>
      <c r="I8902" t="s">
        <v>17236</v>
      </c>
      <c r="J8902" t="str">
        <f>HYPERLINK("https://www.boe.es/gazeta/dias/1822/01/11/pdfs/GMD-1822-11.pdf#page=4","Abrir facsímil")</f>
        <v>Abrir facsímil</v>
      </c>
      <c r="K8902" t="s">
        <v>22</v>
      </c>
    </row>
    <row r="8903" spans="1:11" ht="42" customHeight="1">
      <c r="A8903" t="s">
        <v>17235</v>
      </c>
      <c r="B8903" t="s">
        <v>17235</v>
      </c>
      <c r="C8903" t="s">
        <v>28</v>
      </c>
      <c r="D8903" t="s">
        <v>29</v>
      </c>
      <c r="E8903" s="6">
        <v>-28477</v>
      </c>
      <c r="F8903" t="s">
        <v>1668</v>
      </c>
      <c r="G8903" t="s">
        <v>19</v>
      </c>
      <c r="H8903" t="s">
        <v>20</v>
      </c>
      <c r="I8903" t="s">
        <v>17237</v>
      </c>
      <c r="J8903" t="str">
        <f>HYPERLINK("https://www.boe.es/gazeta/dias/1822/01/11/pdfs/GMD-1822-11.pdf#page=5","Abrir facsímil")</f>
        <v>Abrir facsímil</v>
      </c>
      <c r="K8903" t="s">
        <v>22</v>
      </c>
    </row>
    <row r="8904" spans="1:11" ht="42" customHeight="1">
      <c r="A8904" t="s">
        <v>17238</v>
      </c>
      <c r="B8904" t="s">
        <v>17239</v>
      </c>
      <c r="C8904" t="s">
        <v>50</v>
      </c>
      <c r="D8904" t="s">
        <v>51</v>
      </c>
      <c r="E8904" s="6">
        <v>-28292</v>
      </c>
      <c r="F8904" t="s">
        <v>222</v>
      </c>
      <c r="G8904" t="s">
        <v>31</v>
      </c>
      <c r="H8904" t="s">
        <v>20</v>
      </c>
      <c r="I8904" t="s">
        <v>17240</v>
      </c>
      <c r="J8904" t="str">
        <f>HYPERLINK("https://www.boe.es/gazeta/dias/1822/07/15/pdfs/GMD-1822-205.pdf#page=3","Abrir facsímil")</f>
        <v>Abrir facsímil</v>
      </c>
      <c r="K8904" t="s">
        <v>22</v>
      </c>
    </row>
    <row r="8905" spans="1:11" ht="42" customHeight="1">
      <c r="A8905" t="s">
        <v>17241</v>
      </c>
      <c r="B8905" t="s">
        <v>17241</v>
      </c>
      <c r="C8905" t="s">
        <v>42</v>
      </c>
      <c r="D8905" t="s">
        <v>17</v>
      </c>
      <c r="E8905" s="6">
        <v>-28487</v>
      </c>
      <c r="F8905" t="s">
        <v>426</v>
      </c>
      <c r="G8905" t="s">
        <v>57</v>
      </c>
      <c r="H8905" t="s">
        <v>20</v>
      </c>
      <c r="I8905" t="s">
        <v>17242</v>
      </c>
      <c r="J8905" t="str">
        <f>HYPERLINK("https://www.boe.es/gazeta/dias/1822/01/01/pdfs/GMD-1822-1.pdf#page=4","Abrir facsímil")</f>
        <v>Abrir facsímil</v>
      </c>
      <c r="K8905" t="s">
        <v>22</v>
      </c>
    </row>
    <row r="8906" spans="1:11" ht="42" customHeight="1">
      <c r="A8906" t="s">
        <v>17241</v>
      </c>
      <c r="B8906" t="s">
        <v>17241</v>
      </c>
      <c r="C8906" t="s">
        <v>50</v>
      </c>
      <c r="D8906" t="s">
        <v>51</v>
      </c>
      <c r="E8906" s="6">
        <v>-28480</v>
      </c>
      <c r="F8906" t="s">
        <v>995</v>
      </c>
      <c r="G8906" t="s">
        <v>57</v>
      </c>
      <c r="H8906" t="s">
        <v>20</v>
      </c>
      <c r="I8906" t="s">
        <v>17243</v>
      </c>
      <c r="J8906" t="str">
        <f>HYPERLINK("https://www.boe.es/gazeta/dias/1822/01/08/pdfs/GMD-1822-8.pdf#page=4","Abrir facsímil")</f>
        <v>Abrir facsímil</v>
      </c>
      <c r="K8906" t="s">
        <v>22</v>
      </c>
    </row>
    <row r="8907" spans="1:11" ht="42" customHeight="1">
      <c r="A8907" t="s">
        <v>17241</v>
      </c>
      <c r="B8907" t="s">
        <v>17241</v>
      </c>
      <c r="C8907" t="s">
        <v>42</v>
      </c>
      <c r="D8907" t="s">
        <v>17</v>
      </c>
      <c r="E8907" s="6">
        <v>-28477</v>
      </c>
      <c r="F8907" t="s">
        <v>1668</v>
      </c>
      <c r="G8907" t="s">
        <v>57</v>
      </c>
      <c r="H8907" t="s">
        <v>20</v>
      </c>
      <c r="I8907" t="s">
        <v>17244</v>
      </c>
      <c r="J8907" t="str">
        <f>HYPERLINK("https://www.boe.es/gazeta/dias/1822/01/11/pdfs/GMD-1822-11.pdf#page=4","Abrir facsímil")</f>
        <v>Abrir facsímil</v>
      </c>
      <c r="K8907" t="s">
        <v>22</v>
      </c>
    </row>
    <row r="8908" spans="1:11" ht="42" customHeight="1">
      <c r="A8908" t="s">
        <v>17241</v>
      </c>
      <c r="B8908" t="s">
        <v>17241</v>
      </c>
      <c r="C8908" t="s">
        <v>42</v>
      </c>
      <c r="D8908" t="s">
        <v>17</v>
      </c>
      <c r="E8908" s="6">
        <v>-28477</v>
      </c>
      <c r="F8908" t="s">
        <v>1668</v>
      </c>
      <c r="G8908" t="s">
        <v>19</v>
      </c>
      <c r="H8908" t="s">
        <v>20</v>
      </c>
      <c r="I8908" t="s">
        <v>17245</v>
      </c>
      <c r="J8908" t="str">
        <f>HYPERLINK("https://www.boe.es/gazeta/dias/1822/01/11/pdfs/GMD-1822-11.pdf#page=5","Abrir facsímil")</f>
        <v>Abrir facsímil</v>
      </c>
      <c r="K8908" t="s">
        <v>22</v>
      </c>
    </row>
    <row r="8909" spans="1:11" ht="42" customHeight="1">
      <c r="A8909" t="s">
        <v>17241</v>
      </c>
      <c r="B8909" t="s">
        <v>17241</v>
      </c>
      <c r="C8909" t="s">
        <v>28</v>
      </c>
      <c r="D8909" t="s">
        <v>29</v>
      </c>
      <c r="E8909" s="6">
        <v>-28475</v>
      </c>
      <c r="F8909" t="s">
        <v>1205</v>
      </c>
      <c r="G8909" t="s">
        <v>1685</v>
      </c>
      <c r="H8909" t="s">
        <v>20</v>
      </c>
      <c r="I8909" t="s">
        <v>17246</v>
      </c>
      <c r="J8909" t="str">
        <f>HYPERLINK("https://www.boe.es/gazeta/dias/1822/01/13/pdfs/GMD-1822-13.pdf#page=4","Abrir facsímil")</f>
        <v>Abrir facsímil</v>
      </c>
      <c r="K8909" t="s">
        <v>22</v>
      </c>
    </row>
    <row r="8910" spans="1:11" ht="42" customHeight="1">
      <c r="A8910" t="s">
        <v>17241</v>
      </c>
      <c r="B8910" t="s">
        <v>17241</v>
      </c>
      <c r="C8910" t="s">
        <v>71</v>
      </c>
      <c r="D8910" t="s">
        <v>17</v>
      </c>
      <c r="E8910" s="6">
        <v>-28474</v>
      </c>
      <c r="F8910" t="s">
        <v>30</v>
      </c>
      <c r="G8910" t="s">
        <v>31</v>
      </c>
      <c r="H8910" t="s">
        <v>20</v>
      </c>
      <c r="I8910" t="s">
        <v>17247</v>
      </c>
      <c r="J8910" t="str">
        <f>HYPERLINK("https://www.boe.es/gazeta/dias/1822/01/14/pdfs/GMD-1822-14.pdf#page=3","Abrir facsímil")</f>
        <v>Abrir facsímil</v>
      </c>
      <c r="K8910" t="s">
        <v>22</v>
      </c>
    </row>
    <row r="8911" spans="1:11" ht="42" customHeight="1">
      <c r="A8911" t="s">
        <v>17241</v>
      </c>
      <c r="B8911" t="s">
        <v>17241</v>
      </c>
      <c r="C8911" t="s">
        <v>28</v>
      </c>
      <c r="D8911" t="s">
        <v>29</v>
      </c>
      <c r="E8911" s="6">
        <v>-28462</v>
      </c>
      <c r="F8911" t="s">
        <v>1099</v>
      </c>
      <c r="G8911" t="s">
        <v>31</v>
      </c>
      <c r="H8911" t="s">
        <v>20</v>
      </c>
      <c r="I8911" t="s">
        <v>17248</v>
      </c>
      <c r="J8911" t="str">
        <f>HYPERLINK("https://www.boe.es/gazeta/dias/1822/01/26/pdfs/GMD-1822-26.pdf#page=3","Abrir facsímil")</f>
        <v>Abrir facsímil</v>
      </c>
      <c r="K8911" t="s">
        <v>22</v>
      </c>
    </row>
    <row r="8912" spans="1:11" ht="42" customHeight="1">
      <c r="A8912" t="s">
        <v>17241</v>
      </c>
      <c r="B8912" t="s">
        <v>17241</v>
      </c>
      <c r="C8912" t="s">
        <v>42</v>
      </c>
      <c r="D8912" t="s">
        <v>17</v>
      </c>
      <c r="E8912" s="6">
        <v>-28444</v>
      </c>
      <c r="F8912" t="s">
        <v>681</v>
      </c>
      <c r="G8912" t="s">
        <v>35</v>
      </c>
      <c r="H8912" t="s">
        <v>20</v>
      </c>
      <c r="I8912" t="s">
        <v>17249</v>
      </c>
      <c r="J8912" t="str">
        <f>HYPERLINK("https://www.boe.es/gazeta/dias/1822/02/13/pdfs/GMD-1822-44.pdf#page=2","Abrir facsímil")</f>
        <v>Abrir facsímil</v>
      </c>
      <c r="K8912" t="s">
        <v>22</v>
      </c>
    </row>
    <row r="8913" spans="1:11" ht="42" customHeight="1">
      <c r="A8913" t="s">
        <v>17250</v>
      </c>
      <c r="B8913" t="s">
        <v>17250</v>
      </c>
      <c r="C8913" t="s">
        <v>24</v>
      </c>
      <c r="D8913" t="s">
        <v>17</v>
      </c>
      <c r="E8913" s="6">
        <v>-28466</v>
      </c>
      <c r="F8913" t="s">
        <v>4119</v>
      </c>
      <c r="G8913" t="s">
        <v>44</v>
      </c>
      <c r="H8913" t="s">
        <v>20</v>
      </c>
      <c r="I8913" t="s">
        <v>17251</v>
      </c>
      <c r="J8913" t="str">
        <f>HYPERLINK("https://www.boe.es/gazeta/dias/1822/01/22/pdfs/GMD-1822-22.pdf#page=1","Abrir facsímil")</f>
        <v>Abrir facsímil</v>
      </c>
      <c r="K8913" t="s">
        <v>22</v>
      </c>
    </row>
    <row r="8914" spans="1:11" ht="42" customHeight="1">
      <c r="A8914" t="s">
        <v>17252</v>
      </c>
      <c r="B8914" t="s">
        <v>17252</v>
      </c>
      <c r="C8914" t="s">
        <v>71</v>
      </c>
      <c r="D8914" t="s">
        <v>17</v>
      </c>
      <c r="E8914" s="6">
        <v>-28382</v>
      </c>
      <c r="F8914" t="s">
        <v>973</v>
      </c>
      <c r="G8914" t="s">
        <v>44</v>
      </c>
      <c r="H8914" t="s">
        <v>20</v>
      </c>
      <c r="I8914" t="s">
        <v>17253</v>
      </c>
      <c r="J8914" t="str">
        <f>HYPERLINK("https://www.boe.es/gazeta/dias/1822/04/16/pdfs/GMD-1822-108.pdf#page=1","Abrir facsímil")</f>
        <v>Abrir facsímil</v>
      </c>
      <c r="K8914" t="s">
        <v>22</v>
      </c>
    </row>
    <row r="8915" spans="1:11" ht="42" customHeight="1">
      <c r="A8915" t="s">
        <v>17250</v>
      </c>
      <c r="B8915" t="s">
        <v>17250</v>
      </c>
      <c r="C8915" t="s">
        <v>24</v>
      </c>
      <c r="D8915" t="s">
        <v>17</v>
      </c>
      <c r="E8915" s="6">
        <v>-28221</v>
      </c>
      <c r="F8915" t="s">
        <v>2591</v>
      </c>
      <c r="G8915" t="s">
        <v>44</v>
      </c>
      <c r="H8915" t="s">
        <v>20</v>
      </c>
      <c r="I8915" t="s">
        <v>17254</v>
      </c>
      <c r="J8915" t="str">
        <f>HYPERLINK("https://www.boe.es/gazeta/dias/1822/09/24/pdfs/GMD-1822-280.pdf#page=1","Abrir facsímil")</f>
        <v>Abrir facsímil</v>
      </c>
      <c r="K8915" t="s">
        <v>22</v>
      </c>
    </row>
    <row r="8916" spans="1:11" ht="42" customHeight="1">
      <c r="A8916" t="s">
        <v>17255</v>
      </c>
      <c r="B8916" t="s">
        <v>17256</v>
      </c>
      <c r="C8916" t="s">
        <v>50</v>
      </c>
      <c r="D8916" t="s">
        <v>51</v>
      </c>
      <c r="E8916" s="6">
        <v>-28423</v>
      </c>
      <c r="F8916" t="s">
        <v>441</v>
      </c>
      <c r="G8916" t="s">
        <v>35</v>
      </c>
      <c r="H8916" t="s">
        <v>20</v>
      </c>
      <c r="I8916" t="s">
        <v>17257</v>
      </c>
      <c r="J8916" t="str">
        <f>HYPERLINK("https://www.boe.es/gazeta/dias/1822/03/06/pdfs/GMD-1822-67.pdf#page=2","Abrir facsímil")</f>
        <v>Abrir facsímil</v>
      </c>
      <c r="K8916" t="s">
        <v>22</v>
      </c>
    </row>
    <row r="8917" spans="1:11" ht="42" customHeight="1">
      <c r="A8917" t="s">
        <v>17258</v>
      </c>
      <c r="B8917" t="s">
        <v>17258</v>
      </c>
      <c r="C8917" t="s">
        <v>24</v>
      </c>
      <c r="D8917" t="s">
        <v>17</v>
      </c>
      <c r="E8917" s="6">
        <v>-28381</v>
      </c>
      <c r="F8917" t="s">
        <v>358</v>
      </c>
      <c r="G8917" t="s">
        <v>19</v>
      </c>
      <c r="H8917" t="s">
        <v>20</v>
      </c>
      <c r="I8917" t="s">
        <v>17259</v>
      </c>
      <c r="J8917" t="str">
        <f>HYPERLINK("https://www.boe.es/gazeta/dias/1822/04/17/pdfs/GMD-1822-109.pdf#page=5","Abrir facsímil")</f>
        <v>Abrir facsímil</v>
      </c>
      <c r="K8917" t="s">
        <v>22</v>
      </c>
    </row>
    <row r="8918" spans="1:11" ht="42" customHeight="1">
      <c r="A8918" t="s">
        <v>17260</v>
      </c>
      <c r="B8918" t="s">
        <v>17260</v>
      </c>
      <c r="C8918" t="s">
        <v>42</v>
      </c>
      <c r="D8918" t="s">
        <v>17</v>
      </c>
      <c r="E8918" s="6">
        <v>-28198</v>
      </c>
      <c r="F8918" t="s">
        <v>981</v>
      </c>
      <c r="G8918" t="s">
        <v>44</v>
      </c>
      <c r="H8918" t="s">
        <v>20</v>
      </c>
      <c r="I8918" t="s">
        <v>17261</v>
      </c>
      <c r="J8918" t="str">
        <f>HYPERLINK("https://www.boe.es/gazeta/dias/1822/10/17/pdfs/GMD-1822-304.pdf#page=1","Abrir facsímil")</f>
        <v>Abrir facsímil</v>
      </c>
      <c r="K8918" t="s">
        <v>22</v>
      </c>
    </row>
    <row r="8919" spans="1:11" ht="42" customHeight="1">
      <c r="A8919" t="s">
        <v>17258</v>
      </c>
      <c r="B8919" t="s">
        <v>17258</v>
      </c>
      <c r="C8919" t="s">
        <v>61</v>
      </c>
      <c r="D8919" t="s">
        <v>17</v>
      </c>
      <c r="E8919" s="6">
        <v>-28185</v>
      </c>
      <c r="F8919" t="s">
        <v>933</v>
      </c>
      <c r="G8919" t="s">
        <v>44</v>
      </c>
      <c r="H8919" t="s">
        <v>20</v>
      </c>
      <c r="I8919" t="s">
        <v>17262</v>
      </c>
      <c r="J8919" t="str">
        <f>HYPERLINK("https://www.boe.es/gazeta/dias/1822/10/30/pdfs/GMD-1822-317.pdf#page=1","Abrir facsímil")</f>
        <v>Abrir facsímil</v>
      </c>
      <c r="K8919" t="s">
        <v>22</v>
      </c>
    </row>
    <row r="8920" spans="1:11" ht="42" customHeight="1">
      <c r="A8920" t="s">
        <v>17258</v>
      </c>
      <c r="B8920" t="s">
        <v>17258</v>
      </c>
      <c r="C8920" t="s">
        <v>71</v>
      </c>
      <c r="D8920" t="s">
        <v>17</v>
      </c>
      <c r="E8920" s="6">
        <v>-28185</v>
      </c>
      <c r="F8920" t="s">
        <v>933</v>
      </c>
      <c r="G8920" t="s">
        <v>35</v>
      </c>
      <c r="H8920" t="s">
        <v>20</v>
      </c>
      <c r="I8920" t="s">
        <v>17263</v>
      </c>
      <c r="J8920" t="str">
        <f>HYPERLINK("https://www.boe.es/gazeta/dias/1822/10/30/pdfs/GMD-1822-317.pdf#page=2","Abrir facsímil")</f>
        <v>Abrir facsímil</v>
      </c>
      <c r="K8920" t="s">
        <v>22</v>
      </c>
    </row>
    <row r="8921" spans="1:11" ht="42" customHeight="1">
      <c r="A8921" t="s">
        <v>17260</v>
      </c>
      <c r="B8921" t="s">
        <v>17260</v>
      </c>
      <c r="C8921" t="s">
        <v>50</v>
      </c>
      <c r="D8921" t="s">
        <v>51</v>
      </c>
      <c r="E8921" s="6">
        <v>-28161</v>
      </c>
      <c r="F8921" t="s">
        <v>166</v>
      </c>
      <c r="G8921" t="s">
        <v>157</v>
      </c>
      <c r="H8921" t="s">
        <v>20</v>
      </c>
      <c r="I8921" t="s">
        <v>17264</v>
      </c>
      <c r="J8921" t="str">
        <f>HYPERLINK("https://www.boe.es/gazeta/dias/1822/11/23/pdfs/GMD-1822-343.pdf#page=8","Abrir facsímil")</f>
        <v>Abrir facsímil</v>
      </c>
      <c r="K8921" t="s">
        <v>22</v>
      </c>
    </row>
    <row r="8922" spans="1:11" ht="42" customHeight="1">
      <c r="A8922" t="s">
        <v>17260</v>
      </c>
      <c r="B8922" t="s">
        <v>17260</v>
      </c>
      <c r="C8922" t="s">
        <v>50</v>
      </c>
      <c r="D8922" t="s">
        <v>51</v>
      </c>
      <c r="E8922" s="6">
        <v>-28148</v>
      </c>
      <c r="F8922" t="s">
        <v>1909</v>
      </c>
      <c r="G8922" t="s">
        <v>35</v>
      </c>
      <c r="H8922" t="s">
        <v>20</v>
      </c>
      <c r="I8922" t="s">
        <v>17265</v>
      </c>
      <c r="J8922" t="str">
        <f>HYPERLINK("https://www.boe.es/gazeta/dias/1822/12/06/pdfs/GMD-1822-356.pdf#page=2","Abrir facsímil")</f>
        <v>Abrir facsímil</v>
      </c>
      <c r="K8922" t="s">
        <v>22</v>
      </c>
    </row>
    <row r="8923" spans="1:11" ht="42" customHeight="1">
      <c r="A8923" t="s">
        <v>17266</v>
      </c>
      <c r="B8923" t="s">
        <v>17267</v>
      </c>
      <c r="C8923" t="s">
        <v>50</v>
      </c>
      <c r="D8923" t="s">
        <v>51</v>
      </c>
      <c r="E8923" s="6">
        <v>-28158</v>
      </c>
      <c r="F8923" t="s">
        <v>590</v>
      </c>
      <c r="G8923" t="s">
        <v>63</v>
      </c>
      <c r="H8923" t="s">
        <v>20</v>
      </c>
      <c r="I8923" t="s">
        <v>17268</v>
      </c>
      <c r="J8923" t="str">
        <f>HYPERLINK("https://www.boe.es/gazeta/dias/1822/11/26/pdfs/GMD-1822-346.pdf#page=6","Abrir facsímil")</f>
        <v>Abrir facsímil</v>
      </c>
      <c r="K8923" t="s">
        <v>22</v>
      </c>
    </row>
    <row r="8924" spans="1:11" ht="42" customHeight="1">
      <c r="A8924" t="s">
        <v>17269</v>
      </c>
      <c r="B8924" t="s">
        <v>17270</v>
      </c>
      <c r="C8924" t="s">
        <v>50</v>
      </c>
      <c r="D8924" t="s">
        <v>51</v>
      </c>
      <c r="E8924" s="6">
        <v>-28158</v>
      </c>
      <c r="F8924" t="s">
        <v>590</v>
      </c>
      <c r="G8924" t="s">
        <v>35</v>
      </c>
      <c r="H8924" t="s">
        <v>20</v>
      </c>
      <c r="I8924" t="s">
        <v>17271</v>
      </c>
      <c r="J8924" t="str">
        <f>HYPERLINK("https://www.boe.es/gazeta/dias/1822/11/26/pdfs/GMD-1822-346.pdf#page=2","Abrir facsímil")</f>
        <v>Abrir facsímil</v>
      </c>
      <c r="K8924" t="s">
        <v>22</v>
      </c>
    </row>
    <row r="8925" spans="1:11" ht="42" customHeight="1">
      <c r="A8925" t="s">
        <v>17272</v>
      </c>
      <c r="B8925" t="s">
        <v>17273</v>
      </c>
      <c r="C8925" t="s">
        <v>42</v>
      </c>
      <c r="D8925" t="s">
        <v>17</v>
      </c>
      <c r="E8925" s="6">
        <v>-28338</v>
      </c>
      <c r="F8925" t="s">
        <v>527</v>
      </c>
      <c r="G8925" t="s">
        <v>35</v>
      </c>
      <c r="H8925" t="s">
        <v>20</v>
      </c>
      <c r="I8925" t="s">
        <v>17274</v>
      </c>
      <c r="J8925" t="str">
        <f>HYPERLINK("https://www.boe.es/gazeta/dias/1822/05/30/pdfs/GMD-1822-155.pdf#page=2","Abrir facsímil")</f>
        <v>Abrir facsímil</v>
      </c>
      <c r="K8925" t="s">
        <v>22</v>
      </c>
    </row>
    <row r="8926" spans="1:11" ht="42" customHeight="1">
      <c r="A8926" t="s">
        <v>17275</v>
      </c>
      <c r="B8926" t="s">
        <v>17276</v>
      </c>
      <c r="C8926" t="s">
        <v>50</v>
      </c>
      <c r="D8926" t="s">
        <v>51</v>
      </c>
      <c r="E8926" s="6">
        <v>-28352</v>
      </c>
      <c r="F8926" t="s">
        <v>1575</v>
      </c>
      <c r="G8926" t="s">
        <v>31</v>
      </c>
      <c r="H8926" t="s">
        <v>20</v>
      </c>
      <c r="I8926" t="s">
        <v>17277</v>
      </c>
      <c r="J8926" t="str">
        <f>HYPERLINK("https://www.boe.es/gazeta/dias/1822/05/16/pdfs/GMD-1822-138.pdf#page=3","Abrir facsímil")</f>
        <v>Abrir facsímil</v>
      </c>
      <c r="K8926" t="s">
        <v>22</v>
      </c>
    </row>
    <row r="8927" spans="1:11" ht="42" customHeight="1">
      <c r="A8927" t="s">
        <v>17278</v>
      </c>
      <c r="B8927" t="s">
        <v>17279</v>
      </c>
      <c r="C8927" t="s">
        <v>28</v>
      </c>
      <c r="D8927" t="s">
        <v>29</v>
      </c>
      <c r="E8927" s="6">
        <v>-28253</v>
      </c>
      <c r="F8927" t="s">
        <v>413</v>
      </c>
      <c r="G8927" t="s">
        <v>57</v>
      </c>
      <c r="H8927" t="s">
        <v>20</v>
      </c>
      <c r="I8927" t="s">
        <v>17280</v>
      </c>
      <c r="J8927" t="str">
        <f>HYPERLINK("https://www.boe.es/gazeta/dias/1822/08/23/pdfs/GMD-1822-247.pdf#page=4","Abrir facsímil")</f>
        <v>Abrir facsímil</v>
      </c>
      <c r="K8927" t="s">
        <v>22</v>
      </c>
    </row>
    <row r="8928" spans="1:11" ht="42" customHeight="1">
      <c r="A8928" t="s">
        <v>17281</v>
      </c>
      <c r="B8928" t="s">
        <v>17282</v>
      </c>
      <c r="C8928" t="s">
        <v>28</v>
      </c>
      <c r="D8928" t="s">
        <v>29</v>
      </c>
      <c r="E8928" s="6">
        <v>-28436</v>
      </c>
      <c r="F8928" t="s">
        <v>431</v>
      </c>
      <c r="G8928" t="s">
        <v>1428</v>
      </c>
      <c r="H8928" t="s">
        <v>20</v>
      </c>
      <c r="I8928" t="s">
        <v>17283</v>
      </c>
      <c r="J8928" t="str">
        <f>HYPERLINK("https://www.boe.es/gazeta/dias/1822/02/21/pdfs/GMD-1822-53.pdf#page=3","Abrir facsímil")</f>
        <v>Abrir facsímil</v>
      </c>
      <c r="K8928" t="s">
        <v>22</v>
      </c>
    </row>
    <row r="8929" spans="1:11" ht="42" customHeight="1">
      <c r="A8929" t="s">
        <v>17284</v>
      </c>
      <c r="B8929" t="s">
        <v>17285</v>
      </c>
      <c r="C8929" t="s">
        <v>50</v>
      </c>
      <c r="D8929" t="s">
        <v>51</v>
      </c>
      <c r="E8929" s="6">
        <v>-28307</v>
      </c>
      <c r="F8929" t="s">
        <v>555</v>
      </c>
      <c r="G8929" t="s">
        <v>871</v>
      </c>
      <c r="H8929" t="s">
        <v>20</v>
      </c>
      <c r="I8929" t="s">
        <v>17286</v>
      </c>
      <c r="J8929" t="str">
        <f>HYPERLINK("https://www.boe.es/gazeta/dias/1822/06/30/pdfs/GMD-1822-188.pdf#page=4","Abrir facsímil")</f>
        <v>Abrir facsímil</v>
      </c>
      <c r="K8929" t="s">
        <v>22</v>
      </c>
    </row>
    <row r="8930" spans="1:11" ht="42" customHeight="1">
      <c r="A8930" t="s">
        <v>17284</v>
      </c>
      <c r="B8930" t="s">
        <v>17285</v>
      </c>
      <c r="C8930" t="s">
        <v>50</v>
      </c>
      <c r="D8930" t="s">
        <v>51</v>
      </c>
      <c r="E8930" s="6">
        <v>-28286</v>
      </c>
      <c r="F8930" t="s">
        <v>1853</v>
      </c>
      <c r="G8930" t="s">
        <v>57</v>
      </c>
      <c r="H8930" t="s">
        <v>20</v>
      </c>
      <c r="I8930" t="s">
        <v>17287</v>
      </c>
      <c r="J8930" t="str">
        <f>HYPERLINK("https://www.boe.es/gazeta/dias/1822/07/21/pdfs/GMD-1822-213.pdf#page=4","Abrir facsímil")</f>
        <v>Abrir facsímil</v>
      </c>
      <c r="K8930" t="s">
        <v>22</v>
      </c>
    </row>
    <row r="8931" spans="1:11" ht="42" customHeight="1">
      <c r="A8931" t="s">
        <v>17288</v>
      </c>
      <c r="B8931" t="s">
        <v>17289</v>
      </c>
      <c r="C8931" t="s">
        <v>28</v>
      </c>
      <c r="D8931" t="s">
        <v>29</v>
      </c>
      <c r="E8931" s="6">
        <v>-28213</v>
      </c>
      <c r="F8931" t="s">
        <v>558</v>
      </c>
      <c r="G8931" t="s">
        <v>57</v>
      </c>
      <c r="H8931" t="s">
        <v>20</v>
      </c>
      <c r="I8931" t="s">
        <v>17290</v>
      </c>
      <c r="J8931" t="str">
        <f>HYPERLINK("https://www.boe.es/gazeta/dias/1822/10/02/pdfs/GMD-1822-288.pdf#page=4","Abrir facsímil")</f>
        <v>Abrir facsímil</v>
      </c>
      <c r="K8931" t="s">
        <v>22</v>
      </c>
    </row>
    <row r="8932" spans="1:11" ht="42" customHeight="1">
      <c r="A8932" t="s">
        <v>17291</v>
      </c>
      <c r="B8932" t="s">
        <v>17292</v>
      </c>
      <c r="C8932" t="s">
        <v>71</v>
      </c>
      <c r="D8932" t="s">
        <v>17</v>
      </c>
      <c r="E8932" s="6">
        <v>-28461</v>
      </c>
      <c r="F8932" t="s">
        <v>1801</v>
      </c>
      <c r="G8932" t="s">
        <v>57</v>
      </c>
      <c r="H8932" t="s">
        <v>20</v>
      </c>
      <c r="I8932" t="s">
        <v>17293</v>
      </c>
      <c r="J8932" t="str">
        <f>HYPERLINK("https://www.boe.es/gazeta/dias/1822/01/27/pdfs/GMD-1822-27.pdf#page=4","Abrir facsímil")</f>
        <v>Abrir facsímil</v>
      </c>
      <c r="K8932" t="s">
        <v>22</v>
      </c>
    </row>
    <row r="8933" spans="1:11" ht="42" customHeight="1">
      <c r="A8933" t="s">
        <v>17294</v>
      </c>
      <c r="B8933" t="s">
        <v>17295</v>
      </c>
      <c r="C8933" t="s">
        <v>28</v>
      </c>
      <c r="D8933" t="s">
        <v>29</v>
      </c>
      <c r="E8933" s="6">
        <v>-28182</v>
      </c>
      <c r="F8933" t="s">
        <v>585</v>
      </c>
      <c r="G8933" t="s">
        <v>63</v>
      </c>
      <c r="H8933" t="s">
        <v>20</v>
      </c>
      <c r="I8933" t="s">
        <v>17296</v>
      </c>
      <c r="J8933" t="str">
        <f>HYPERLINK("https://www.boe.es/gazeta/dias/1822/11/02/pdfs/GMD-1822-320.pdf#page=6","Abrir facsímil")</f>
        <v>Abrir facsímil</v>
      </c>
      <c r="K8933" t="s">
        <v>22</v>
      </c>
    </row>
    <row r="8934" spans="1:11" ht="42" customHeight="1">
      <c r="A8934" t="s">
        <v>17297</v>
      </c>
      <c r="B8934" t="s">
        <v>17298</v>
      </c>
      <c r="C8934" t="s">
        <v>71</v>
      </c>
      <c r="D8934" t="s">
        <v>17</v>
      </c>
      <c r="E8934" s="6">
        <v>-28378</v>
      </c>
      <c r="F8934" t="s">
        <v>496</v>
      </c>
      <c r="G8934" t="s">
        <v>57</v>
      </c>
      <c r="H8934" t="s">
        <v>45</v>
      </c>
      <c r="I8934" t="s">
        <v>17299</v>
      </c>
      <c r="J8934" t="str">
        <f>HYPERLINK("https://www.boe.es/gazeta/dias/1822/04/20/pdfs/GMD-1822-112.pdf#page=4","Abrir facsímil")</f>
        <v>Abrir facsímil</v>
      </c>
      <c r="K8934" t="s">
        <v>47</v>
      </c>
    </row>
    <row r="8935" spans="1:11" ht="42" customHeight="1">
      <c r="A8935" t="s">
        <v>17300</v>
      </c>
      <c r="B8935" t="s">
        <v>17300</v>
      </c>
      <c r="C8935" t="s">
        <v>28</v>
      </c>
      <c r="D8935" t="s">
        <v>29</v>
      </c>
      <c r="E8935" s="6">
        <v>-28486</v>
      </c>
      <c r="F8935" t="s">
        <v>1046</v>
      </c>
      <c r="G8935" t="s">
        <v>57</v>
      </c>
      <c r="H8935" t="s">
        <v>20</v>
      </c>
      <c r="I8935" t="s">
        <v>17301</v>
      </c>
      <c r="J8935" t="str">
        <f>HYPERLINK("https://www.boe.es/gazeta/dias/1822/01/02/pdfs/GMD-1822-2.pdf#page=4","Abrir facsímil")</f>
        <v>Abrir facsímil</v>
      </c>
      <c r="K8935" t="s">
        <v>22</v>
      </c>
    </row>
    <row r="8936" spans="1:11" ht="42" customHeight="1">
      <c r="A8936" t="s">
        <v>17300</v>
      </c>
      <c r="B8936" t="s">
        <v>17300</v>
      </c>
      <c r="C8936" t="s">
        <v>71</v>
      </c>
      <c r="D8936" t="s">
        <v>17</v>
      </c>
      <c r="E8936" s="6">
        <v>-28453</v>
      </c>
      <c r="F8936" t="s">
        <v>2039</v>
      </c>
      <c r="G8936" t="s">
        <v>35</v>
      </c>
      <c r="H8936" t="s">
        <v>20</v>
      </c>
      <c r="I8936" t="s">
        <v>17302</v>
      </c>
      <c r="J8936" t="str">
        <f>HYPERLINK("https://www.boe.es/gazeta/dias/1822/02/04/pdfs/GMD-1822-35.pdf#page=2","Abrir facsímil")</f>
        <v>Abrir facsímil</v>
      </c>
      <c r="K8936" t="s">
        <v>22</v>
      </c>
    </row>
    <row r="8937" spans="1:11" ht="42" customHeight="1">
      <c r="A8937" t="s">
        <v>17300</v>
      </c>
      <c r="B8937" t="s">
        <v>17300</v>
      </c>
      <c r="C8937" t="s">
        <v>28</v>
      </c>
      <c r="D8937" t="s">
        <v>29</v>
      </c>
      <c r="E8937" s="6">
        <v>-28308</v>
      </c>
      <c r="F8937" t="s">
        <v>1050</v>
      </c>
      <c r="G8937" t="s">
        <v>157</v>
      </c>
      <c r="H8937" t="s">
        <v>20</v>
      </c>
      <c r="I8937" t="s">
        <v>17303</v>
      </c>
      <c r="J8937" t="str">
        <f>HYPERLINK("https://www.boe.es/gazeta/dias/1822/06/29/pdfs/GMD-1822-187.pdf#page=8","Abrir facsímil")</f>
        <v>Abrir facsímil</v>
      </c>
      <c r="K8937" t="s">
        <v>22</v>
      </c>
    </row>
    <row r="8938" spans="1:11" ht="42" customHeight="1">
      <c r="A8938" t="s">
        <v>17300</v>
      </c>
      <c r="B8938" t="s">
        <v>17300</v>
      </c>
      <c r="C8938" t="s">
        <v>28</v>
      </c>
      <c r="D8938" t="s">
        <v>29</v>
      </c>
      <c r="E8938" s="6">
        <v>-28272</v>
      </c>
      <c r="F8938" t="s">
        <v>52</v>
      </c>
      <c r="G8938" t="s">
        <v>44</v>
      </c>
      <c r="H8938" t="s">
        <v>20</v>
      </c>
      <c r="I8938" t="s">
        <v>17304</v>
      </c>
      <c r="J8938" t="str">
        <f>HYPERLINK("https://www.boe.es/gazeta/dias/1822/08/04/pdfs/GMD-1822-228.pdf#page=1","Abrir facsímil")</f>
        <v>Abrir facsímil</v>
      </c>
      <c r="K8938" t="s">
        <v>22</v>
      </c>
    </row>
    <row r="8939" spans="1:11" ht="42" customHeight="1">
      <c r="A8939" t="s">
        <v>17300</v>
      </c>
      <c r="B8939" t="s">
        <v>17300</v>
      </c>
      <c r="C8939" t="s">
        <v>50</v>
      </c>
      <c r="D8939" t="s">
        <v>51</v>
      </c>
      <c r="E8939" s="6">
        <v>-28265</v>
      </c>
      <c r="F8939" t="s">
        <v>1263</v>
      </c>
      <c r="G8939" t="s">
        <v>57</v>
      </c>
      <c r="H8939" t="s">
        <v>20</v>
      </c>
      <c r="I8939" t="s">
        <v>17305</v>
      </c>
      <c r="J8939" t="str">
        <f>HYPERLINK("https://www.boe.es/gazeta/dias/1822/08/11/pdfs/GMD-1822-235.pdf#page=4","Abrir facsímil")</f>
        <v>Abrir facsímil</v>
      </c>
      <c r="K8939" t="s">
        <v>22</v>
      </c>
    </row>
    <row r="8940" spans="1:11" ht="42" customHeight="1">
      <c r="A8940" t="s">
        <v>17300</v>
      </c>
      <c r="B8940" t="s">
        <v>17300</v>
      </c>
      <c r="C8940" t="s">
        <v>42</v>
      </c>
      <c r="D8940" t="s">
        <v>17</v>
      </c>
      <c r="E8940" s="6">
        <v>-28196</v>
      </c>
      <c r="F8940" t="s">
        <v>570</v>
      </c>
      <c r="G8940" t="s">
        <v>57</v>
      </c>
      <c r="H8940" t="s">
        <v>20</v>
      </c>
      <c r="I8940" t="s">
        <v>17306</v>
      </c>
      <c r="J8940" t="str">
        <f>HYPERLINK("https://www.boe.es/gazeta/dias/1822/10/19/pdfs/GMD-1822-306.pdf#page=4","Abrir facsímil")</f>
        <v>Abrir facsímil</v>
      </c>
      <c r="K8940" t="s">
        <v>22</v>
      </c>
    </row>
    <row r="8941" spans="1:11" ht="42" customHeight="1">
      <c r="A8941" t="s">
        <v>17300</v>
      </c>
      <c r="B8941" t="s">
        <v>17300</v>
      </c>
      <c r="C8941" t="s">
        <v>42</v>
      </c>
      <c r="D8941" t="s">
        <v>17</v>
      </c>
      <c r="E8941" s="6">
        <v>-28160</v>
      </c>
      <c r="F8941" t="s">
        <v>148</v>
      </c>
      <c r="G8941" t="s">
        <v>19</v>
      </c>
      <c r="H8941" t="s">
        <v>20</v>
      </c>
      <c r="I8941" t="s">
        <v>17307</v>
      </c>
      <c r="J8941" t="str">
        <f>HYPERLINK("https://www.boe.es/gazeta/dias/1822/11/24/pdfs/GMD-1822-344.pdf#page=5","Abrir facsímil")</f>
        <v>Abrir facsímil</v>
      </c>
      <c r="K8941" t="s">
        <v>22</v>
      </c>
    </row>
    <row r="8942" spans="1:11" ht="42" customHeight="1">
      <c r="A8942" t="s">
        <v>17300</v>
      </c>
      <c r="B8942" t="s">
        <v>17300</v>
      </c>
      <c r="C8942" t="s">
        <v>28</v>
      </c>
      <c r="D8942" t="s">
        <v>29</v>
      </c>
      <c r="E8942" s="6">
        <v>-28139</v>
      </c>
      <c r="F8942" t="s">
        <v>143</v>
      </c>
      <c r="G8942" t="s">
        <v>144</v>
      </c>
      <c r="H8942" t="s">
        <v>20</v>
      </c>
      <c r="I8942" t="s">
        <v>17308</v>
      </c>
      <c r="J8942" t="str">
        <f>HYPERLINK("https://www.boe.es/gazeta/dias/1822/12/15/pdfs/GMD-1822-365.pdf#page=4","Abrir facsímil")</f>
        <v>Abrir facsímil</v>
      </c>
      <c r="K8942" t="s">
        <v>22</v>
      </c>
    </row>
    <row r="8943" spans="1:11" ht="42" customHeight="1">
      <c r="A8943" t="s">
        <v>17309</v>
      </c>
      <c r="B8943" t="s">
        <v>17310</v>
      </c>
      <c r="C8943" t="s">
        <v>28</v>
      </c>
      <c r="D8943" t="s">
        <v>29</v>
      </c>
      <c r="E8943" s="6">
        <v>-28252</v>
      </c>
      <c r="F8943" t="s">
        <v>4333</v>
      </c>
      <c r="G8943" t="s">
        <v>31</v>
      </c>
      <c r="H8943" t="s">
        <v>20</v>
      </c>
      <c r="I8943" t="s">
        <v>17311</v>
      </c>
      <c r="J8943" t="str">
        <f>HYPERLINK("https://www.boe.es/gazeta/dias/1822/08/24/pdfs/GMD-1822-248.pdf#page=3","Abrir facsímil")</f>
        <v>Abrir facsímil</v>
      </c>
      <c r="K8943" t="s">
        <v>22</v>
      </c>
    </row>
    <row r="8944" spans="1:11" ht="42" customHeight="1">
      <c r="A8944" t="s">
        <v>17312</v>
      </c>
      <c r="B8944" t="s">
        <v>17313</v>
      </c>
      <c r="C8944" t="s">
        <v>42</v>
      </c>
      <c r="D8944" t="s">
        <v>17</v>
      </c>
      <c r="E8944" s="6">
        <v>-28259</v>
      </c>
      <c r="F8944" t="s">
        <v>1912</v>
      </c>
      <c r="G8944" t="s">
        <v>57</v>
      </c>
      <c r="H8944" t="s">
        <v>20</v>
      </c>
      <c r="I8944" t="s">
        <v>17314</v>
      </c>
      <c r="J8944" t="str">
        <f>HYPERLINK("https://www.boe.es/gazeta/dias/1822/08/17/pdfs/GMD-1822-241.pdf#page=4","Abrir facsímil")</f>
        <v>Abrir facsímil</v>
      </c>
      <c r="K8944" t="s">
        <v>22</v>
      </c>
    </row>
    <row r="8945" spans="1:11" ht="42" customHeight="1">
      <c r="A8945" t="s">
        <v>17315</v>
      </c>
      <c r="B8945" t="s">
        <v>17316</v>
      </c>
      <c r="C8945" t="s">
        <v>42</v>
      </c>
      <c r="D8945" t="s">
        <v>17</v>
      </c>
      <c r="E8945" s="6">
        <v>-28391</v>
      </c>
      <c r="F8945" t="s">
        <v>378</v>
      </c>
      <c r="G8945" t="s">
        <v>63</v>
      </c>
      <c r="H8945" t="s">
        <v>20</v>
      </c>
      <c r="I8945" t="s">
        <v>17317</v>
      </c>
      <c r="J8945" t="str">
        <f>HYPERLINK("https://www.boe.es/gazeta/dias/1822/04/07/pdfs/GMD-1822-99.pdf#page=6","Abrir facsímil")</f>
        <v>Abrir facsímil</v>
      </c>
      <c r="K8945" t="s">
        <v>22</v>
      </c>
    </row>
    <row r="8946" spans="1:11" ht="42" customHeight="1">
      <c r="A8946" t="s">
        <v>17315</v>
      </c>
      <c r="B8946" t="s">
        <v>17316</v>
      </c>
      <c r="C8946" t="s">
        <v>61</v>
      </c>
      <c r="D8946" t="s">
        <v>17</v>
      </c>
      <c r="E8946" s="6">
        <v>-28257</v>
      </c>
      <c r="F8946" t="s">
        <v>1171</v>
      </c>
      <c r="G8946" t="s">
        <v>1172</v>
      </c>
      <c r="H8946" t="s">
        <v>20</v>
      </c>
      <c r="I8946" t="s">
        <v>17318</v>
      </c>
      <c r="J8946" t="str">
        <f>HYPERLINK("https://www.boe.es/gazeta/dias/1822/08/19/pdfs/GMD-1822-243.pdf#page=4","Abrir facsímil")</f>
        <v>Abrir facsímil</v>
      </c>
      <c r="K8946" t="s">
        <v>22</v>
      </c>
    </row>
    <row r="8947" spans="1:11" ht="42" customHeight="1">
      <c r="A8947" t="s">
        <v>17315</v>
      </c>
      <c r="B8947" t="s">
        <v>17316</v>
      </c>
      <c r="C8947" t="s">
        <v>50</v>
      </c>
      <c r="D8947" t="s">
        <v>51</v>
      </c>
      <c r="E8947" s="6">
        <v>-28240</v>
      </c>
      <c r="F8947" t="s">
        <v>678</v>
      </c>
      <c r="G8947" t="s">
        <v>57</v>
      </c>
      <c r="H8947" t="s">
        <v>20</v>
      </c>
      <c r="I8947" t="s">
        <v>17319</v>
      </c>
      <c r="J8947" t="str">
        <f>HYPERLINK("https://www.boe.es/gazeta/dias/1822/09/05/pdfs/GMD-1822-260.pdf#page=4","Abrir facsímil")</f>
        <v>Abrir facsímil</v>
      </c>
      <c r="K8947" t="s">
        <v>22</v>
      </c>
    </row>
    <row r="8948" spans="1:11" ht="42" customHeight="1">
      <c r="A8948" t="s">
        <v>17320</v>
      </c>
      <c r="B8948" t="s">
        <v>17321</v>
      </c>
      <c r="C8948" t="s">
        <v>50</v>
      </c>
      <c r="D8948" t="s">
        <v>51</v>
      </c>
      <c r="E8948" s="6">
        <v>-28292</v>
      </c>
      <c r="F8948" t="s">
        <v>222</v>
      </c>
      <c r="G8948" t="s">
        <v>31</v>
      </c>
      <c r="H8948" t="s">
        <v>20</v>
      </c>
      <c r="I8948" t="s">
        <v>17322</v>
      </c>
      <c r="J8948" t="str">
        <f>HYPERLINK("https://www.boe.es/gazeta/dias/1822/07/15/pdfs/GMD-1822-205.pdf#page=3","Abrir facsímil")</f>
        <v>Abrir facsímil</v>
      </c>
      <c r="K8948" t="s">
        <v>22</v>
      </c>
    </row>
    <row r="8949" spans="1:11" ht="42" customHeight="1">
      <c r="A8949" t="s">
        <v>17323</v>
      </c>
      <c r="B8949" t="s">
        <v>17324</v>
      </c>
      <c r="C8949" t="s">
        <v>71</v>
      </c>
      <c r="D8949" t="s">
        <v>17</v>
      </c>
      <c r="E8949" s="6">
        <v>-28326</v>
      </c>
      <c r="F8949" t="s">
        <v>543</v>
      </c>
      <c r="G8949" t="s">
        <v>31</v>
      </c>
      <c r="H8949" t="s">
        <v>45</v>
      </c>
      <c r="I8949" t="s">
        <v>17325</v>
      </c>
      <c r="J8949" t="str">
        <f>HYPERLINK("https://www.boe.es/gazeta/dias/1822/06/11/pdfs/GMD-1822-168.pdf#page=3","Abrir facsímil")</f>
        <v>Abrir facsímil</v>
      </c>
      <c r="K8949" t="s">
        <v>47</v>
      </c>
    </row>
    <row r="8950" spans="1:11" ht="42" customHeight="1">
      <c r="A8950" t="s">
        <v>17326</v>
      </c>
      <c r="B8950" t="s">
        <v>17327</v>
      </c>
      <c r="C8950" t="s">
        <v>24</v>
      </c>
      <c r="D8950" t="s">
        <v>17</v>
      </c>
      <c r="E8950" s="6">
        <v>-28412</v>
      </c>
      <c r="F8950" t="s">
        <v>825</v>
      </c>
      <c r="G8950" t="s">
        <v>35</v>
      </c>
      <c r="H8950" t="s">
        <v>45</v>
      </c>
      <c r="I8950" t="s">
        <v>17328</v>
      </c>
      <c r="J8950" t="str">
        <f>HYPERLINK("https://www.boe.es/gazeta/dias/1822/03/17/pdfs/GMD-1822-78.pdf#page=2","Abrir facsímil")</f>
        <v>Abrir facsímil</v>
      </c>
      <c r="K8950" t="s">
        <v>47</v>
      </c>
    </row>
    <row r="8951" spans="1:11" ht="42" customHeight="1">
      <c r="A8951" t="s">
        <v>17329</v>
      </c>
      <c r="B8951" t="s">
        <v>17330</v>
      </c>
      <c r="C8951" t="s">
        <v>50</v>
      </c>
      <c r="D8951" t="s">
        <v>51</v>
      </c>
      <c r="E8951" s="6">
        <v>-28400</v>
      </c>
      <c r="F8951" t="s">
        <v>1937</v>
      </c>
      <c r="G8951" t="s">
        <v>2260</v>
      </c>
      <c r="H8951" t="s">
        <v>45</v>
      </c>
      <c r="I8951" t="s">
        <v>17331</v>
      </c>
      <c r="J8951" t="str">
        <f>HYPERLINK("https://www.boe.es/gazeta/dias/1822/03/29/pdfs/GMD-1822-90.pdf#page=4","Abrir facsímil")</f>
        <v>Abrir facsímil</v>
      </c>
      <c r="K8951" t="s">
        <v>47</v>
      </c>
    </row>
    <row r="8952" spans="1:11" ht="42" customHeight="1">
      <c r="A8952" t="s">
        <v>17332</v>
      </c>
      <c r="B8952" t="s">
        <v>17333</v>
      </c>
      <c r="C8952" t="s">
        <v>50</v>
      </c>
      <c r="D8952" t="s">
        <v>51</v>
      </c>
      <c r="E8952" s="6">
        <v>-28396</v>
      </c>
      <c r="F8952" t="s">
        <v>1138</v>
      </c>
      <c r="G8952" t="s">
        <v>63</v>
      </c>
      <c r="H8952" t="s">
        <v>20</v>
      </c>
      <c r="I8952" t="s">
        <v>17334</v>
      </c>
      <c r="J8952" t="str">
        <f>HYPERLINK("https://www.boe.es/gazeta/dias/1822/04/02/pdfs/GMD-1822-94.pdf#page=6","Abrir facsímil")</f>
        <v>Abrir facsímil</v>
      </c>
      <c r="K8952" t="s">
        <v>22</v>
      </c>
    </row>
    <row r="8953" spans="1:11" ht="42" customHeight="1">
      <c r="A8953" t="s">
        <v>17335</v>
      </c>
      <c r="B8953" t="s">
        <v>17336</v>
      </c>
      <c r="C8953" t="s">
        <v>42</v>
      </c>
      <c r="D8953" t="s">
        <v>17</v>
      </c>
      <c r="E8953" s="6">
        <v>-28292</v>
      </c>
      <c r="F8953" t="s">
        <v>222</v>
      </c>
      <c r="G8953" t="s">
        <v>31</v>
      </c>
      <c r="H8953" t="s">
        <v>20</v>
      </c>
      <c r="I8953" t="s">
        <v>17337</v>
      </c>
      <c r="J8953" t="str">
        <f>HYPERLINK("https://www.boe.es/gazeta/dias/1822/07/15/pdfs/GMD-1822-205.pdf#page=3","Abrir facsímil")</f>
        <v>Abrir facsímil</v>
      </c>
      <c r="K8953" t="s">
        <v>22</v>
      </c>
    </row>
    <row r="8954" spans="1:11" ht="42" customHeight="1">
      <c r="A8954" t="s">
        <v>17338</v>
      </c>
      <c r="B8954" t="s">
        <v>17339</v>
      </c>
      <c r="C8954" t="s">
        <v>50</v>
      </c>
      <c r="D8954" t="s">
        <v>51</v>
      </c>
      <c r="E8954" s="6">
        <v>-28144</v>
      </c>
      <c r="F8954" t="s">
        <v>288</v>
      </c>
      <c r="G8954" t="s">
        <v>44</v>
      </c>
      <c r="H8954" t="s">
        <v>20</v>
      </c>
      <c r="I8954" t="s">
        <v>17340</v>
      </c>
      <c r="J8954" t="str">
        <f>HYPERLINK("https://www.boe.es/gazeta/dias/1822/12/10/pdfs/GMD-1822-360.pdf#page=1","Abrir facsímil")</f>
        <v>Abrir facsímil</v>
      </c>
      <c r="K8954" t="s">
        <v>22</v>
      </c>
    </row>
    <row r="8955" spans="1:11" ht="42" customHeight="1">
      <c r="A8955" t="s">
        <v>17341</v>
      </c>
      <c r="B8955" t="s">
        <v>17342</v>
      </c>
      <c r="C8955" t="s">
        <v>24</v>
      </c>
      <c r="D8955" t="s">
        <v>17</v>
      </c>
      <c r="E8955" s="6">
        <v>-28403</v>
      </c>
      <c r="F8955" t="s">
        <v>471</v>
      </c>
      <c r="G8955" t="s">
        <v>63</v>
      </c>
      <c r="H8955" t="s">
        <v>20</v>
      </c>
      <c r="I8955" t="s">
        <v>17343</v>
      </c>
      <c r="J8955" t="str">
        <f>HYPERLINK("https://www.boe.es/gazeta/dias/1822/03/26/pdfs/GMD-1822-87.pdf#page=6","Abrir facsímil")</f>
        <v>Abrir facsímil</v>
      </c>
      <c r="K8955" t="s">
        <v>22</v>
      </c>
    </row>
    <row r="8956" spans="1:11" ht="42" customHeight="1">
      <c r="A8956" t="s">
        <v>17344</v>
      </c>
      <c r="B8956" t="s">
        <v>17345</v>
      </c>
      <c r="C8956" t="s">
        <v>50</v>
      </c>
      <c r="D8956" t="s">
        <v>51</v>
      </c>
      <c r="E8956" s="6">
        <v>-28264</v>
      </c>
      <c r="F8956" t="s">
        <v>1329</v>
      </c>
      <c r="G8956" t="s">
        <v>57</v>
      </c>
      <c r="H8956" t="s">
        <v>20</v>
      </c>
      <c r="I8956" t="s">
        <v>17346</v>
      </c>
      <c r="J8956" t="str">
        <f>HYPERLINK("https://www.boe.es/gazeta/dias/1822/08/12/pdfs/GMD-1822-236.pdf#page=4","Abrir facsímil")</f>
        <v>Abrir facsímil</v>
      </c>
      <c r="K8956" t="s">
        <v>22</v>
      </c>
    </row>
    <row r="8957" spans="1:11" ht="42" customHeight="1">
      <c r="A8957" t="s">
        <v>17347</v>
      </c>
      <c r="B8957" t="s">
        <v>17348</v>
      </c>
      <c r="C8957" t="s">
        <v>50</v>
      </c>
      <c r="D8957" t="s">
        <v>51</v>
      </c>
      <c r="E8957" s="6">
        <v>-28302</v>
      </c>
      <c r="F8957" t="s">
        <v>791</v>
      </c>
      <c r="G8957" t="s">
        <v>44</v>
      </c>
      <c r="H8957" t="s">
        <v>45</v>
      </c>
      <c r="I8957" t="s">
        <v>17349</v>
      </c>
      <c r="J8957" t="str">
        <f>HYPERLINK("https://www.boe.es/gazeta/dias/1822/07/05/pdfs/GMD-1822-194.pdf#page=1","Abrir facsímil")</f>
        <v>Abrir facsímil</v>
      </c>
      <c r="K8957" t="s">
        <v>47</v>
      </c>
    </row>
    <row r="8958" spans="1:11" ht="42" customHeight="1">
      <c r="A8958" t="s">
        <v>17350</v>
      </c>
      <c r="B8958" t="s">
        <v>17351</v>
      </c>
      <c r="C8958" t="s">
        <v>50</v>
      </c>
      <c r="D8958" t="s">
        <v>51</v>
      </c>
      <c r="E8958" s="6">
        <v>-28460</v>
      </c>
      <c r="F8958" t="s">
        <v>112</v>
      </c>
      <c r="G8958" t="s">
        <v>63</v>
      </c>
      <c r="H8958" t="s">
        <v>20</v>
      </c>
      <c r="I8958" t="s">
        <v>17352</v>
      </c>
      <c r="J8958" t="str">
        <f>HYPERLINK("https://www.boe.es/gazeta/dias/1822/01/28/pdfs/GMD-1822-28.pdf#page=6","Abrir facsímil")</f>
        <v>Abrir facsímil</v>
      </c>
      <c r="K8958" t="s">
        <v>22</v>
      </c>
    </row>
    <row r="8959" spans="1:11" ht="42" customHeight="1">
      <c r="A8959" t="s">
        <v>17353</v>
      </c>
      <c r="B8959" t="s">
        <v>17354</v>
      </c>
      <c r="C8959" t="s">
        <v>50</v>
      </c>
      <c r="D8959" t="s">
        <v>51</v>
      </c>
      <c r="E8959" s="6">
        <v>-28264</v>
      </c>
      <c r="F8959" t="s">
        <v>1329</v>
      </c>
      <c r="G8959" t="s">
        <v>57</v>
      </c>
      <c r="H8959" t="s">
        <v>20</v>
      </c>
      <c r="I8959" t="s">
        <v>17355</v>
      </c>
      <c r="J8959" t="str">
        <f>HYPERLINK("https://www.boe.es/gazeta/dias/1822/08/12/pdfs/GMD-1822-236.pdf#page=4","Abrir facsímil")</f>
        <v>Abrir facsímil</v>
      </c>
      <c r="K8959" t="s">
        <v>22</v>
      </c>
    </row>
    <row r="8960" spans="1:11" ht="42" customHeight="1">
      <c r="A8960" t="s">
        <v>17356</v>
      </c>
      <c r="B8960" t="s">
        <v>17356</v>
      </c>
      <c r="C8960" t="s">
        <v>28</v>
      </c>
      <c r="D8960" t="s">
        <v>29</v>
      </c>
      <c r="E8960" s="6">
        <v>-28453</v>
      </c>
      <c r="F8960" t="s">
        <v>2039</v>
      </c>
      <c r="G8960" t="s">
        <v>31</v>
      </c>
      <c r="H8960" t="s">
        <v>20</v>
      </c>
      <c r="I8960" t="s">
        <v>17357</v>
      </c>
      <c r="J8960" t="str">
        <f>HYPERLINK("https://www.boe.es/gazeta/dias/1822/02/04/pdfs/GMD-1822-35.pdf#page=3","Abrir facsímil")</f>
        <v>Abrir facsímil</v>
      </c>
      <c r="K8960" t="s">
        <v>22</v>
      </c>
    </row>
    <row r="8961" spans="1:11" ht="42" customHeight="1">
      <c r="A8961" t="s">
        <v>17358</v>
      </c>
      <c r="B8961" t="s">
        <v>17359</v>
      </c>
      <c r="C8961" t="s">
        <v>24</v>
      </c>
      <c r="D8961" t="s">
        <v>17</v>
      </c>
      <c r="E8961" s="6">
        <v>-28314</v>
      </c>
      <c r="F8961" t="s">
        <v>309</v>
      </c>
      <c r="G8961" t="s">
        <v>63</v>
      </c>
      <c r="H8961" t="s">
        <v>20</v>
      </c>
      <c r="I8961" t="s">
        <v>17360</v>
      </c>
      <c r="J8961" t="str">
        <f>HYPERLINK("https://www.boe.es/gazeta/dias/1822/06/23/pdfs/GMD-1822-181.pdf#page=6","Abrir facsímil")</f>
        <v>Abrir facsímil</v>
      </c>
      <c r="K8961" t="s">
        <v>22</v>
      </c>
    </row>
    <row r="8962" spans="1:11" ht="42" customHeight="1">
      <c r="A8962" t="s">
        <v>17361</v>
      </c>
      <c r="B8962" t="s">
        <v>17362</v>
      </c>
      <c r="C8962" t="s">
        <v>50</v>
      </c>
      <c r="D8962" t="s">
        <v>51</v>
      </c>
      <c r="E8962" s="6">
        <v>-28408</v>
      </c>
      <c r="F8962" t="s">
        <v>2561</v>
      </c>
      <c r="G8962" t="s">
        <v>63</v>
      </c>
      <c r="H8962" t="s">
        <v>20</v>
      </c>
      <c r="I8962" t="s">
        <v>17363</v>
      </c>
      <c r="J8962" t="str">
        <f>HYPERLINK("https://www.boe.es/gazeta/dias/1822/03/21/pdfs/GMD-1822-82.pdf#page=6","Abrir facsímil")</f>
        <v>Abrir facsímil</v>
      </c>
      <c r="K8962" t="s">
        <v>22</v>
      </c>
    </row>
    <row r="8963" spans="1:11" ht="42" customHeight="1">
      <c r="A8963" t="s">
        <v>17364</v>
      </c>
      <c r="B8963" t="s">
        <v>17364</v>
      </c>
      <c r="C8963" t="s">
        <v>61</v>
      </c>
      <c r="D8963" t="s">
        <v>17</v>
      </c>
      <c r="E8963" s="6">
        <v>-28161</v>
      </c>
      <c r="F8963" t="s">
        <v>166</v>
      </c>
      <c r="G8963" t="s">
        <v>157</v>
      </c>
      <c r="H8963" t="s">
        <v>20</v>
      </c>
      <c r="I8963" t="s">
        <v>17365</v>
      </c>
      <c r="J8963" t="str">
        <f>HYPERLINK("https://www.boe.es/gazeta/dias/1822/11/23/pdfs/GMD-1822-343.pdf#page=8","Abrir facsímil")</f>
        <v>Abrir facsímil</v>
      </c>
      <c r="K8963" t="s">
        <v>22</v>
      </c>
    </row>
    <row r="8964" spans="1:11" ht="42" customHeight="1">
      <c r="A8964" t="s">
        <v>17366</v>
      </c>
      <c r="B8964" t="s">
        <v>17366</v>
      </c>
      <c r="C8964" t="s">
        <v>42</v>
      </c>
      <c r="D8964" t="s">
        <v>17</v>
      </c>
      <c r="E8964" s="6">
        <v>-28486</v>
      </c>
      <c r="F8964" t="s">
        <v>1046</v>
      </c>
      <c r="G8964" t="s">
        <v>1085</v>
      </c>
      <c r="H8964" t="s">
        <v>20</v>
      </c>
      <c r="I8964" t="s">
        <v>17367</v>
      </c>
      <c r="J8964" t="str">
        <f>HYPERLINK("https://www.boe.es/gazeta/dias/1822/01/02/pdfs/GMD-1822-2.pdf#page=3","Abrir facsímil")</f>
        <v>Abrir facsímil</v>
      </c>
      <c r="K8964" t="s">
        <v>22</v>
      </c>
    </row>
    <row r="8965" spans="1:11" ht="42" customHeight="1">
      <c r="A8965" t="s">
        <v>17366</v>
      </c>
      <c r="B8965" t="s">
        <v>17366</v>
      </c>
      <c r="C8965" t="s">
        <v>50</v>
      </c>
      <c r="D8965" t="s">
        <v>51</v>
      </c>
      <c r="E8965" s="6">
        <v>-28471</v>
      </c>
      <c r="F8965" t="s">
        <v>1436</v>
      </c>
      <c r="G8965" t="s">
        <v>63</v>
      </c>
      <c r="H8965" t="s">
        <v>20</v>
      </c>
      <c r="I8965" t="s">
        <v>17368</v>
      </c>
      <c r="J8965" t="str">
        <f>HYPERLINK("https://www.boe.es/gazeta/dias/1822/01/17/pdfs/GMD-1822-17.pdf#page=6","Abrir facsímil")</f>
        <v>Abrir facsímil</v>
      </c>
      <c r="K8965" t="s">
        <v>22</v>
      </c>
    </row>
    <row r="8966" spans="1:11" ht="42" customHeight="1">
      <c r="A8966" t="s">
        <v>17369</v>
      </c>
      <c r="B8966" t="s">
        <v>17370</v>
      </c>
      <c r="C8966" t="s">
        <v>42</v>
      </c>
      <c r="D8966" t="s">
        <v>17</v>
      </c>
      <c r="E8966" s="6">
        <v>-28477</v>
      </c>
      <c r="F8966" t="s">
        <v>1668</v>
      </c>
      <c r="G8966" t="s">
        <v>63</v>
      </c>
      <c r="H8966" t="s">
        <v>20</v>
      </c>
      <c r="I8966" t="s">
        <v>17371</v>
      </c>
      <c r="J8966" t="str">
        <f>HYPERLINK("https://www.boe.es/gazeta/dias/1822/01/11/pdfs/GMD-1822-11.pdf#page=6","Abrir facsímil")</f>
        <v>Abrir facsímil</v>
      </c>
      <c r="K8966" t="s">
        <v>22</v>
      </c>
    </row>
    <row r="8967" spans="1:11" ht="42" customHeight="1">
      <c r="A8967" t="s">
        <v>17372</v>
      </c>
      <c r="B8967" t="s">
        <v>17373</v>
      </c>
      <c r="C8967" t="s">
        <v>50</v>
      </c>
      <c r="D8967" t="s">
        <v>51</v>
      </c>
      <c r="E8967" s="6">
        <v>-28251</v>
      </c>
      <c r="F8967" t="s">
        <v>1485</v>
      </c>
      <c r="G8967" t="s">
        <v>57</v>
      </c>
      <c r="H8967" t="s">
        <v>20</v>
      </c>
      <c r="I8967" t="s">
        <v>17374</v>
      </c>
      <c r="J8967" t="str">
        <f>HYPERLINK("https://www.boe.es/gazeta/dias/1822/08/25/pdfs/GMD-1822-249.pdf#page=4","Abrir facsímil")</f>
        <v>Abrir facsímil</v>
      </c>
      <c r="K8967" t="s">
        <v>22</v>
      </c>
    </row>
    <row r="8968" spans="1:11" ht="42" customHeight="1">
      <c r="A8968" t="s">
        <v>17375</v>
      </c>
      <c r="B8968" t="s">
        <v>17375</v>
      </c>
      <c r="C8968" t="s">
        <v>24</v>
      </c>
      <c r="D8968" t="s">
        <v>17</v>
      </c>
      <c r="E8968" s="6">
        <v>-28479</v>
      </c>
      <c r="F8968" t="s">
        <v>1091</v>
      </c>
      <c r="G8968" t="s">
        <v>35</v>
      </c>
      <c r="H8968" t="s">
        <v>20</v>
      </c>
      <c r="I8968" t="s">
        <v>17376</v>
      </c>
      <c r="J8968" t="str">
        <f>HYPERLINK("https://www.boe.es/gazeta/dias/1822/01/09/pdfs/GMD-1822-9.pdf#page=2","Abrir facsímil")</f>
        <v>Abrir facsímil</v>
      </c>
      <c r="K8968" t="s">
        <v>22</v>
      </c>
    </row>
    <row r="8969" spans="1:11" ht="42" customHeight="1">
      <c r="A8969" t="s">
        <v>17375</v>
      </c>
      <c r="B8969" t="s">
        <v>17375</v>
      </c>
      <c r="C8969" t="s">
        <v>71</v>
      </c>
      <c r="D8969" t="s">
        <v>17</v>
      </c>
      <c r="E8969" s="6">
        <v>-28475</v>
      </c>
      <c r="F8969" t="s">
        <v>1205</v>
      </c>
      <c r="G8969" t="s">
        <v>31</v>
      </c>
      <c r="H8969" t="s">
        <v>20</v>
      </c>
      <c r="I8969" t="s">
        <v>17377</v>
      </c>
      <c r="J8969" t="str">
        <f>HYPERLINK("https://www.boe.es/gazeta/dias/1822/01/13/pdfs/GMD-1822-13.pdf#page=3","Abrir facsímil")</f>
        <v>Abrir facsímil</v>
      </c>
      <c r="K8969" t="s">
        <v>22</v>
      </c>
    </row>
    <row r="8970" spans="1:11" ht="42" customHeight="1">
      <c r="A8970" t="s">
        <v>17375</v>
      </c>
      <c r="B8970" t="s">
        <v>17375</v>
      </c>
      <c r="C8970" t="s">
        <v>16</v>
      </c>
      <c r="D8970" t="s">
        <v>17</v>
      </c>
      <c r="E8970" s="6">
        <v>-28472</v>
      </c>
      <c r="F8970" t="s">
        <v>5485</v>
      </c>
      <c r="G8970" t="s">
        <v>31</v>
      </c>
      <c r="H8970" t="s">
        <v>20</v>
      </c>
      <c r="I8970" t="s">
        <v>17378</v>
      </c>
      <c r="J8970" t="str">
        <f>HYPERLINK("https://www.boe.es/gazeta/dias/1822/01/16/pdfs/GMD-1822-16.pdf#page=3","Abrir facsímil")</f>
        <v>Abrir facsímil</v>
      </c>
      <c r="K8970" t="s">
        <v>22</v>
      </c>
    </row>
    <row r="8971" spans="1:11" ht="42" customHeight="1">
      <c r="A8971" t="s">
        <v>17375</v>
      </c>
      <c r="B8971" t="s">
        <v>17375</v>
      </c>
      <c r="C8971" t="s">
        <v>24</v>
      </c>
      <c r="D8971" t="s">
        <v>17</v>
      </c>
      <c r="E8971" s="6">
        <v>-28471</v>
      </c>
      <c r="F8971" t="s">
        <v>1436</v>
      </c>
      <c r="G8971" t="s">
        <v>31</v>
      </c>
      <c r="H8971" t="s">
        <v>20</v>
      </c>
      <c r="I8971" t="s">
        <v>17379</v>
      </c>
      <c r="J8971" t="str">
        <f>HYPERLINK("https://www.boe.es/gazeta/dias/1822/01/17/pdfs/GMD-1822-17.pdf#page=3","Abrir facsímil")</f>
        <v>Abrir facsímil</v>
      </c>
      <c r="K8971" t="s">
        <v>22</v>
      </c>
    </row>
    <row r="8972" spans="1:11" ht="42" customHeight="1">
      <c r="A8972" t="s">
        <v>17375</v>
      </c>
      <c r="B8972" t="s">
        <v>17375</v>
      </c>
      <c r="C8972" t="s">
        <v>71</v>
      </c>
      <c r="D8972" t="s">
        <v>17</v>
      </c>
      <c r="E8972" s="6">
        <v>-28471</v>
      </c>
      <c r="F8972" t="s">
        <v>1436</v>
      </c>
      <c r="G8972" t="s">
        <v>57</v>
      </c>
      <c r="H8972" t="s">
        <v>20</v>
      </c>
      <c r="I8972" t="s">
        <v>17380</v>
      </c>
      <c r="J8972" t="str">
        <f>HYPERLINK("https://www.boe.es/gazeta/dias/1822/01/17/pdfs/GMD-1822-17.pdf#page=4","Abrir facsímil")</f>
        <v>Abrir facsímil</v>
      </c>
      <c r="K8972" t="s">
        <v>22</v>
      </c>
    </row>
    <row r="8973" spans="1:11" ht="42" customHeight="1">
      <c r="A8973" t="s">
        <v>17375</v>
      </c>
      <c r="B8973" t="s">
        <v>17375</v>
      </c>
      <c r="C8973" t="s">
        <v>42</v>
      </c>
      <c r="D8973" t="s">
        <v>17</v>
      </c>
      <c r="E8973" s="6">
        <v>-28471</v>
      </c>
      <c r="F8973" t="s">
        <v>1436</v>
      </c>
      <c r="G8973" t="s">
        <v>19</v>
      </c>
      <c r="H8973" t="s">
        <v>20</v>
      </c>
      <c r="I8973" t="s">
        <v>17381</v>
      </c>
      <c r="J8973" t="str">
        <f>HYPERLINK("https://www.boe.es/gazeta/dias/1822/01/17/pdfs/GMD-1822-17.pdf#page=5","Abrir facsímil")</f>
        <v>Abrir facsímil</v>
      </c>
      <c r="K8973" t="s">
        <v>22</v>
      </c>
    </row>
    <row r="8974" spans="1:11" ht="42" customHeight="1">
      <c r="A8974" t="s">
        <v>17375</v>
      </c>
      <c r="B8974" t="s">
        <v>17375</v>
      </c>
      <c r="C8974" t="s">
        <v>42</v>
      </c>
      <c r="D8974" t="s">
        <v>17</v>
      </c>
      <c r="E8974" s="6">
        <v>-28471</v>
      </c>
      <c r="F8974" t="s">
        <v>1436</v>
      </c>
      <c r="G8974" t="s">
        <v>63</v>
      </c>
      <c r="H8974" t="s">
        <v>20</v>
      </c>
      <c r="I8974" t="s">
        <v>17382</v>
      </c>
      <c r="J8974" t="str">
        <f>HYPERLINK("https://www.boe.es/gazeta/dias/1822/01/17/pdfs/GMD-1822-17.pdf#page=6","Abrir facsímil")</f>
        <v>Abrir facsímil</v>
      </c>
      <c r="K8974" t="s">
        <v>22</v>
      </c>
    </row>
    <row r="8975" spans="1:11" ht="42" customHeight="1">
      <c r="A8975" t="s">
        <v>17375</v>
      </c>
      <c r="B8975" t="s">
        <v>17375</v>
      </c>
      <c r="C8975" t="s">
        <v>71</v>
      </c>
      <c r="D8975" t="s">
        <v>17</v>
      </c>
      <c r="E8975" s="6">
        <v>-28470</v>
      </c>
      <c r="F8975" t="s">
        <v>1444</v>
      </c>
      <c r="G8975" t="s">
        <v>35</v>
      </c>
      <c r="H8975" t="s">
        <v>20</v>
      </c>
      <c r="I8975" t="s">
        <v>17383</v>
      </c>
      <c r="J8975" t="str">
        <f>HYPERLINK("https://www.boe.es/gazeta/dias/1822/01/18/pdfs/GMD-1822-18.pdf#page=2","Abrir facsímil")</f>
        <v>Abrir facsímil</v>
      </c>
      <c r="K8975" t="s">
        <v>22</v>
      </c>
    </row>
    <row r="8976" spans="1:11" ht="42" customHeight="1">
      <c r="A8976" t="s">
        <v>17375</v>
      </c>
      <c r="B8976" t="s">
        <v>17375</v>
      </c>
      <c r="C8976" t="s">
        <v>71</v>
      </c>
      <c r="D8976" t="s">
        <v>17</v>
      </c>
      <c r="E8976" s="6">
        <v>-28468</v>
      </c>
      <c r="F8976" t="s">
        <v>1012</v>
      </c>
      <c r="G8976" t="s">
        <v>63</v>
      </c>
      <c r="H8976" t="s">
        <v>20</v>
      </c>
      <c r="I8976" t="s">
        <v>17384</v>
      </c>
      <c r="J8976" t="str">
        <f>HYPERLINK("https://www.boe.es/gazeta/dias/1822/01/20/pdfs/GMD-1822-20.pdf#page=6","Abrir facsímil")</f>
        <v>Abrir facsímil</v>
      </c>
      <c r="K8976" t="s">
        <v>22</v>
      </c>
    </row>
    <row r="8977" spans="1:11" ht="42" customHeight="1">
      <c r="A8977" t="s">
        <v>17375</v>
      </c>
      <c r="B8977" t="s">
        <v>17375</v>
      </c>
      <c r="C8977" t="s">
        <v>42</v>
      </c>
      <c r="D8977" t="s">
        <v>17</v>
      </c>
      <c r="E8977" s="6">
        <v>-28463</v>
      </c>
      <c r="F8977" t="s">
        <v>25</v>
      </c>
      <c r="G8977" t="s">
        <v>19</v>
      </c>
      <c r="H8977" t="s">
        <v>20</v>
      </c>
      <c r="I8977" t="s">
        <v>17385</v>
      </c>
      <c r="J8977" t="str">
        <f>HYPERLINK("https://www.boe.es/gazeta/dias/1822/01/25/pdfs/GMD-1822-25.pdf#page=5","Abrir facsímil")</f>
        <v>Abrir facsímil</v>
      </c>
      <c r="K8977" t="s">
        <v>22</v>
      </c>
    </row>
    <row r="8978" spans="1:11" ht="42" customHeight="1">
      <c r="A8978" t="s">
        <v>17375</v>
      </c>
      <c r="B8978" t="s">
        <v>17375</v>
      </c>
      <c r="C8978" t="s">
        <v>16</v>
      </c>
      <c r="D8978" t="s">
        <v>17</v>
      </c>
      <c r="E8978" s="6">
        <v>-28456</v>
      </c>
      <c r="F8978" t="s">
        <v>1104</v>
      </c>
      <c r="G8978" t="s">
        <v>31</v>
      </c>
      <c r="H8978" t="s">
        <v>20</v>
      </c>
      <c r="I8978" t="s">
        <v>17386</v>
      </c>
      <c r="J8978" t="str">
        <f>HYPERLINK("https://www.boe.es/gazeta/dias/1822/02/01/pdfs/GMD-1822-32.pdf#page=3","Abrir facsímil")</f>
        <v>Abrir facsímil</v>
      </c>
      <c r="K8978" t="s">
        <v>22</v>
      </c>
    </row>
    <row r="8979" spans="1:11" ht="42" customHeight="1">
      <c r="A8979" t="s">
        <v>17375</v>
      </c>
      <c r="B8979" t="s">
        <v>17375</v>
      </c>
      <c r="C8979" t="s">
        <v>71</v>
      </c>
      <c r="D8979" t="s">
        <v>17</v>
      </c>
      <c r="E8979" s="6">
        <v>-28454</v>
      </c>
      <c r="F8979" t="s">
        <v>2033</v>
      </c>
      <c r="G8979" t="s">
        <v>57</v>
      </c>
      <c r="H8979" t="s">
        <v>20</v>
      </c>
      <c r="I8979" t="s">
        <v>17387</v>
      </c>
      <c r="J8979" t="str">
        <f>HYPERLINK("https://www.boe.es/gazeta/dias/1822/02/03/pdfs/GMD-1822-34.pdf#page=4","Abrir facsímil")</f>
        <v>Abrir facsímil</v>
      </c>
      <c r="K8979" t="s">
        <v>22</v>
      </c>
    </row>
    <row r="8980" spans="1:11" ht="42" customHeight="1">
      <c r="A8980" t="s">
        <v>17375</v>
      </c>
      <c r="B8980" t="s">
        <v>17375</v>
      </c>
      <c r="C8980" t="s">
        <v>42</v>
      </c>
      <c r="D8980" t="s">
        <v>17</v>
      </c>
      <c r="E8980" s="6">
        <v>-28454</v>
      </c>
      <c r="F8980" t="s">
        <v>2033</v>
      </c>
      <c r="G8980" t="s">
        <v>19</v>
      </c>
      <c r="H8980" t="s">
        <v>20</v>
      </c>
      <c r="I8980" t="s">
        <v>17388</v>
      </c>
      <c r="J8980" t="str">
        <f>HYPERLINK("https://www.boe.es/gazeta/dias/1822/02/03/pdfs/GMD-1822-34.pdf#page=5","Abrir facsímil")</f>
        <v>Abrir facsímil</v>
      </c>
      <c r="K8980" t="s">
        <v>22</v>
      </c>
    </row>
    <row r="8981" spans="1:11" ht="42" customHeight="1">
      <c r="A8981" t="s">
        <v>17375</v>
      </c>
      <c r="B8981" t="s">
        <v>17375</v>
      </c>
      <c r="C8981" t="s">
        <v>42</v>
      </c>
      <c r="D8981" t="s">
        <v>17</v>
      </c>
      <c r="E8981" s="6">
        <v>-28454</v>
      </c>
      <c r="F8981" t="s">
        <v>2033</v>
      </c>
      <c r="G8981" t="s">
        <v>63</v>
      </c>
      <c r="H8981" t="s">
        <v>20</v>
      </c>
      <c r="I8981" t="s">
        <v>17389</v>
      </c>
      <c r="J8981" t="str">
        <f>HYPERLINK("https://www.boe.es/gazeta/dias/1822/02/03/pdfs/GMD-1822-34.pdf#page=6","Abrir facsímil")</f>
        <v>Abrir facsímil</v>
      </c>
      <c r="K8981" t="s">
        <v>22</v>
      </c>
    </row>
    <row r="8982" spans="1:11" ht="42" customHeight="1">
      <c r="A8982" t="s">
        <v>17390</v>
      </c>
      <c r="B8982" t="s">
        <v>17390</v>
      </c>
      <c r="C8982" t="s">
        <v>28</v>
      </c>
      <c r="D8982" t="s">
        <v>29</v>
      </c>
      <c r="E8982" s="6">
        <v>-28451</v>
      </c>
      <c r="F8982" t="s">
        <v>1674</v>
      </c>
      <c r="G8982" t="s">
        <v>31</v>
      </c>
      <c r="H8982" t="s">
        <v>20</v>
      </c>
      <c r="I8982" t="s">
        <v>17391</v>
      </c>
      <c r="J8982" t="str">
        <f>HYPERLINK("https://www.boe.es/gazeta/dias/1822/02/06/pdfs/GMD-1822-37.pdf#page=3","Abrir facsímil")</f>
        <v>Abrir facsímil</v>
      </c>
      <c r="K8982" t="s">
        <v>22</v>
      </c>
    </row>
    <row r="8983" spans="1:11" ht="42" customHeight="1">
      <c r="A8983" t="s">
        <v>17390</v>
      </c>
      <c r="B8983" t="s">
        <v>17390</v>
      </c>
      <c r="C8983" t="s">
        <v>28</v>
      </c>
      <c r="D8983" t="s">
        <v>29</v>
      </c>
      <c r="E8983" s="6">
        <v>-28451</v>
      </c>
      <c r="F8983" t="s">
        <v>1674</v>
      </c>
      <c r="G8983" t="s">
        <v>57</v>
      </c>
      <c r="H8983" t="s">
        <v>20</v>
      </c>
      <c r="I8983" t="s">
        <v>17392</v>
      </c>
      <c r="J8983" t="str">
        <f>HYPERLINK("https://www.boe.es/gazeta/dias/1822/02/06/pdfs/GMD-1822-37.pdf#page=4","Abrir facsímil")</f>
        <v>Abrir facsímil</v>
      </c>
      <c r="K8983" t="s">
        <v>22</v>
      </c>
    </row>
    <row r="8984" spans="1:11" ht="42" customHeight="1">
      <c r="A8984" t="s">
        <v>17375</v>
      </c>
      <c r="B8984" t="s">
        <v>17375</v>
      </c>
      <c r="C8984" t="s">
        <v>42</v>
      </c>
      <c r="D8984" t="s">
        <v>17</v>
      </c>
      <c r="E8984" s="6">
        <v>-28450</v>
      </c>
      <c r="F8984" t="s">
        <v>1450</v>
      </c>
      <c r="G8984" t="s">
        <v>31</v>
      </c>
      <c r="H8984" t="s">
        <v>20</v>
      </c>
      <c r="I8984" t="s">
        <v>17393</v>
      </c>
      <c r="J8984" t="str">
        <f>HYPERLINK("https://www.boe.es/gazeta/dias/1822/02/07/pdfs/GMD-1822-38.pdf#page=3","Abrir facsímil")</f>
        <v>Abrir facsímil</v>
      </c>
      <c r="K8984" t="s">
        <v>22</v>
      </c>
    </row>
    <row r="8985" spans="1:11" ht="42" customHeight="1">
      <c r="A8985" t="s">
        <v>17375</v>
      </c>
      <c r="B8985" t="s">
        <v>17375</v>
      </c>
      <c r="C8985" t="s">
        <v>50</v>
      </c>
      <c r="D8985" t="s">
        <v>51</v>
      </c>
      <c r="E8985" s="6">
        <v>-28448</v>
      </c>
      <c r="F8985" t="s">
        <v>1670</v>
      </c>
      <c r="G8985" t="s">
        <v>31</v>
      </c>
      <c r="H8985" t="s">
        <v>20</v>
      </c>
      <c r="I8985" t="s">
        <v>17394</v>
      </c>
      <c r="J8985" t="str">
        <f>HYPERLINK("https://www.boe.es/gazeta/dias/1822/02/09/pdfs/GMD-1822-40.pdf#page=3","Abrir facsímil")</f>
        <v>Abrir facsímil</v>
      </c>
      <c r="K8985" t="s">
        <v>22</v>
      </c>
    </row>
    <row r="8986" spans="1:11" ht="42" customHeight="1">
      <c r="A8986" t="s">
        <v>17375</v>
      </c>
      <c r="B8986" t="s">
        <v>17375</v>
      </c>
      <c r="C8986" t="s">
        <v>24</v>
      </c>
      <c r="D8986" t="s">
        <v>17</v>
      </c>
      <c r="E8986" s="6">
        <v>-28447</v>
      </c>
      <c r="F8986" t="s">
        <v>997</v>
      </c>
      <c r="G8986" t="s">
        <v>57</v>
      </c>
      <c r="H8986" t="s">
        <v>20</v>
      </c>
      <c r="I8986" t="s">
        <v>17395</v>
      </c>
      <c r="J8986" t="str">
        <f>HYPERLINK("https://www.boe.es/gazeta/dias/1822/02/10/pdfs/GMD-1822-41.pdf#page=4","Abrir facsímil")</f>
        <v>Abrir facsímil</v>
      </c>
      <c r="K8986" t="s">
        <v>22</v>
      </c>
    </row>
    <row r="8987" spans="1:11" ht="42" customHeight="1">
      <c r="A8987" t="s">
        <v>17375</v>
      </c>
      <c r="B8987" t="s">
        <v>17375</v>
      </c>
      <c r="C8987" t="s">
        <v>24</v>
      </c>
      <c r="D8987" t="s">
        <v>17</v>
      </c>
      <c r="E8987" s="6">
        <v>-28445</v>
      </c>
      <c r="F8987" t="s">
        <v>1622</v>
      </c>
      <c r="G8987" t="s">
        <v>31</v>
      </c>
      <c r="H8987" t="s">
        <v>20</v>
      </c>
      <c r="I8987" t="s">
        <v>17396</v>
      </c>
      <c r="J8987" t="str">
        <f>HYPERLINK("https://www.boe.es/gazeta/dias/1822/02/12/pdfs/GMD-1822-43.pdf#page=3","Abrir facsímil")</f>
        <v>Abrir facsímil</v>
      </c>
      <c r="K8987" t="s">
        <v>22</v>
      </c>
    </row>
    <row r="8988" spans="1:11" ht="42" customHeight="1">
      <c r="A8988" t="s">
        <v>17375</v>
      </c>
      <c r="B8988" t="s">
        <v>17375</v>
      </c>
      <c r="C8988" t="s">
        <v>28</v>
      </c>
      <c r="D8988" t="s">
        <v>29</v>
      </c>
      <c r="E8988" s="6">
        <v>-28436</v>
      </c>
      <c r="F8988" t="s">
        <v>431</v>
      </c>
      <c r="G8988" t="s">
        <v>57</v>
      </c>
      <c r="H8988" t="s">
        <v>20</v>
      </c>
      <c r="I8988" t="s">
        <v>17397</v>
      </c>
      <c r="J8988" t="str">
        <f>HYPERLINK("https://www.boe.es/gazeta/dias/1822/02/21/pdfs/GMD-1822-53.pdf#page=4","Abrir facsímil")</f>
        <v>Abrir facsímil</v>
      </c>
      <c r="K8988" t="s">
        <v>22</v>
      </c>
    </row>
    <row r="8989" spans="1:11" ht="42" customHeight="1">
      <c r="A8989" t="s">
        <v>17375</v>
      </c>
      <c r="B8989" t="s">
        <v>17375</v>
      </c>
      <c r="C8989" t="s">
        <v>28</v>
      </c>
      <c r="D8989" t="s">
        <v>29</v>
      </c>
      <c r="E8989" s="6">
        <v>-28431</v>
      </c>
      <c r="F8989" t="s">
        <v>1258</v>
      </c>
      <c r="G8989" t="s">
        <v>31</v>
      </c>
      <c r="H8989" t="s">
        <v>20</v>
      </c>
      <c r="I8989" t="s">
        <v>17398</v>
      </c>
      <c r="J8989" t="str">
        <f>HYPERLINK("https://www.boe.es/gazeta/dias/1822/02/26/pdfs/GMD-1822-58.pdf#page=3","Abrir facsímil")</f>
        <v>Abrir facsímil</v>
      </c>
      <c r="K8989" t="s">
        <v>22</v>
      </c>
    </row>
    <row r="8990" spans="1:11" ht="42" customHeight="1">
      <c r="A8990" t="s">
        <v>17375</v>
      </c>
      <c r="B8990" t="s">
        <v>17375</v>
      </c>
      <c r="C8990" t="s">
        <v>50</v>
      </c>
      <c r="D8990" t="s">
        <v>51</v>
      </c>
      <c r="E8990" s="6">
        <v>-28363</v>
      </c>
      <c r="F8990" t="s">
        <v>72</v>
      </c>
      <c r="G8990" t="s">
        <v>57</v>
      </c>
      <c r="H8990" t="s">
        <v>20</v>
      </c>
      <c r="I8990" t="s">
        <v>17399</v>
      </c>
      <c r="J8990" t="str">
        <f>HYPERLINK("https://www.boe.es/gazeta/dias/1822/05/05/pdfs/GMD-1822-127.pdf#page=4","Abrir facsímil")</f>
        <v>Abrir facsímil</v>
      </c>
      <c r="K8990" t="s">
        <v>22</v>
      </c>
    </row>
    <row r="8991" spans="1:11" ht="42" customHeight="1">
      <c r="A8991" t="s">
        <v>17375</v>
      </c>
      <c r="B8991" t="s">
        <v>17375</v>
      </c>
      <c r="C8991" t="s">
        <v>50</v>
      </c>
      <c r="D8991" t="s">
        <v>51</v>
      </c>
      <c r="E8991" s="6">
        <v>-28361</v>
      </c>
      <c r="F8991" t="s">
        <v>374</v>
      </c>
      <c r="G8991" t="s">
        <v>31</v>
      </c>
      <c r="H8991" t="s">
        <v>20</v>
      </c>
      <c r="I8991" t="s">
        <v>17400</v>
      </c>
      <c r="J8991" t="str">
        <f>HYPERLINK("https://www.boe.es/gazeta/dias/1822/05/07/pdfs/GMD-1822-129.pdf#page=3","Abrir facsímil")</f>
        <v>Abrir facsímil</v>
      </c>
      <c r="K8991" t="s">
        <v>22</v>
      </c>
    </row>
    <row r="8992" spans="1:11" ht="42" customHeight="1">
      <c r="A8992" t="s">
        <v>17375</v>
      </c>
      <c r="B8992" t="s">
        <v>17375</v>
      </c>
      <c r="C8992" t="s">
        <v>50</v>
      </c>
      <c r="D8992" t="s">
        <v>51</v>
      </c>
      <c r="E8992" s="6">
        <v>-28336</v>
      </c>
      <c r="F8992" t="s">
        <v>156</v>
      </c>
      <c r="G8992" t="s">
        <v>529</v>
      </c>
      <c r="H8992" t="s">
        <v>20</v>
      </c>
      <c r="I8992" t="s">
        <v>17401</v>
      </c>
      <c r="J8992" t="str">
        <f>HYPERLINK("https://www.boe.es/gazeta/dias/1822/06/01/pdfs/GMD-1822-157.pdf#page=4","Abrir facsímil")</f>
        <v>Abrir facsímil</v>
      </c>
      <c r="K8992" t="s">
        <v>22</v>
      </c>
    </row>
    <row r="8993" spans="1:11" ht="42" customHeight="1">
      <c r="A8993" t="s">
        <v>17375</v>
      </c>
      <c r="B8993" t="s">
        <v>17375</v>
      </c>
      <c r="C8993" t="s">
        <v>50</v>
      </c>
      <c r="D8993" t="s">
        <v>51</v>
      </c>
      <c r="E8993" s="6">
        <v>-28272</v>
      </c>
      <c r="F8993" t="s">
        <v>52</v>
      </c>
      <c r="G8993" t="s">
        <v>44</v>
      </c>
      <c r="H8993" t="s">
        <v>20</v>
      </c>
      <c r="I8993" t="s">
        <v>17402</v>
      </c>
      <c r="J8993" t="str">
        <f>HYPERLINK("https://www.boe.es/gazeta/dias/1822/08/04/pdfs/GMD-1822-228.pdf#page=1","Abrir facsímil")</f>
        <v>Abrir facsímil</v>
      </c>
      <c r="K8993" t="s">
        <v>22</v>
      </c>
    </row>
    <row r="8994" spans="1:11" ht="42" customHeight="1">
      <c r="A8994" t="s">
        <v>17375</v>
      </c>
      <c r="B8994" t="s">
        <v>17375</v>
      </c>
      <c r="C8994" t="s">
        <v>42</v>
      </c>
      <c r="D8994" t="s">
        <v>17</v>
      </c>
      <c r="E8994" s="6">
        <v>-28244</v>
      </c>
      <c r="F8994" t="s">
        <v>6163</v>
      </c>
      <c r="G8994" t="s">
        <v>31</v>
      </c>
      <c r="H8994" t="s">
        <v>20</v>
      </c>
      <c r="I8994" t="s">
        <v>17403</v>
      </c>
      <c r="J8994" t="str">
        <f>HYPERLINK("https://www.boe.es/gazeta/dias/1822/09/01/pdfs/GMD-1822-256.pdf#page=3","Abrir facsímil")</f>
        <v>Abrir facsímil</v>
      </c>
      <c r="K8994" t="s">
        <v>22</v>
      </c>
    </row>
    <row r="8995" spans="1:11" ht="42" customHeight="1">
      <c r="A8995" t="s">
        <v>17404</v>
      </c>
      <c r="B8995" t="s">
        <v>17405</v>
      </c>
      <c r="C8995" t="s">
        <v>50</v>
      </c>
      <c r="D8995" t="s">
        <v>51</v>
      </c>
      <c r="E8995" s="6">
        <v>-28382</v>
      </c>
      <c r="F8995" t="s">
        <v>973</v>
      </c>
      <c r="G8995" t="s">
        <v>35</v>
      </c>
      <c r="H8995" t="s">
        <v>20</v>
      </c>
      <c r="I8995" t="s">
        <v>17406</v>
      </c>
      <c r="J8995" t="str">
        <f>HYPERLINK("https://www.boe.es/gazeta/dias/1822/04/16/pdfs/GMD-1822-108.pdf#page=2","Abrir facsímil")</f>
        <v>Abrir facsímil</v>
      </c>
      <c r="K8995" t="s">
        <v>22</v>
      </c>
    </row>
    <row r="8996" spans="1:11" ht="42" customHeight="1">
      <c r="A8996" t="s">
        <v>17407</v>
      </c>
      <c r="B8996" t="s">
        <v>17408</v>
      </c>
      <c r="C8996" t="s">
        <v>50</v>
      </c>
      <c r="D8996" t="s">
        <v>51</v>
      </c>
      <c r="E8996" s="6">
        <v>-28432</v>
      </c>
      <c r="F8996" t="s">
        <v>195</v>
      </c>
      <c r="G8996" t="s">
        <v>57</v>
      </c>
      <c r="H8996" t="s">
        <v>20</v>
      </c>
      <c r="I8996" t="s">
        <v>17409</v>
      </c>
      <c r="J8996" t="str">
        <f>HYPERLINK("https://www.boe.es/gazeta/dias/1822/02/25/pdfs/GMD-1822-57.pdf#page=4","Abrir facsímil")</f>
        <v>Abrir facsímil</v>
      </c>
      <c r="K8996" t="s">
        <v>22</v>
      </c>
    </row>
    <row r="8997" spans="1:11" ht="42" customHeight="1">
      <c r="A8997" t="s">
        <v>17407</v>
      </c>
      <c r="B8997" t="s">
        <v>17408</v>
      </c>
      <c r="C8997" t="s">
        <v>50</v>
      </c>
      <c r="D8997" t="s">
        <v>51</v>
      </c>
      <c r="E8997" s="6">
        <v>-28414</v>
      </c>
      <c r="F8997" t="s">
        <v>187</v>
      </c>
      <c r="G8997" t="s">
        <v>57</v>
      </c>
      <c r="H8997" t="s">
        <v>20</v>
      </c>
      <c r="I8997" t="s">
        <v>17410</v>
      </c>
      <c r="J8997" t="str">
        <f>HYPERLINK("https://www.boe.es/gazeta/dias/1822/03/15/pdfs/GMD-1822-76.pdf#page=4","Abrir facsímil")</f>
        <v>Abrir facsímil</v>
      </c>
      <c r="K8997" t="s">
        <v>22</v>
      </c>
    </row>
    <row r="8998" spans="1:11" ht="42" customHeight="1">
      <c r="A8998" t="s">
        <v>17407</v>
      </c>
      <c r="B8998" t="s">
        <v>17408</v>
      </c>
      <c r="C8998" t="s">
        <v>50</v>
      </c>
      <c r="D8998" t="s">
        <v>51</v>
      </c>
      <c r="E8998" s="6">
        <v>-28275</v>
      </c>
      <c r="F8998" t="s">
        <v>1297</v>
      </c>
      <c r="G8998" t="s">
        <v>57</v>
      </c>
      <c r="H8998" t="s">
        <v>20</v>
      </c>
      <c r="I8998" t="s">
        <v>17411</v>
      </c>
      <c r="J8998" t="str">
        <f>HYPERLINK("https://www.boe.es/gazeta/dias/1822/08/01/pdfs/GMD-1822-225.pdf#page=4","Abrir facsímil")</f>
        <v>Abrir facsímil</v>
      </c>
      <c r="K8998" t="s">
        <v>22</v>
      </c>
    </row>
    <row r="8999" spans="1:11" ht="42" customHeight="1">
      <c r="A8999" t="s">
        <v>17407</v>
      </c>
      <c r="B8999" t="s">
        <v>17408</v>
      </c>
      <c r="C8999" t="s">
        <v>50</v>
      </c>
      <c r="D8999" t="s">
        <v>51</v>
      </c>
      <c r="E8999" s="6">
        <v>-28265</v>
      </c>
      <c r="F8999" t="s">
        <v>1263</v>
      </c>
      <c r="G8999" t="s">
        <v>31</v>
      </c>
      <c r="H8999" t="s">
        <v>20</v>
      </c>
      <c r="I8999" t="s">
        <v>17412</v>
      </c>
      <c r="J8999" t="str">
        <f>HYPERLINK("https://www.boe.es/gazeta/dias/1822/08/11/pdfs/GMD-1822-235.pdf#page=3","Abrir facsímil")</f>
        <v>Abrir facsímil</v>
      </c>
      <c r="K8999" t="s">
        <v>22</v>
      </c>
    </row>
    <row r="9000" spans="1:11" ht="42" customHeight="1">
      <c r="A9000" t="s">
        <v>17413</v>
      </c>
      <c r="B9000" t="s">
        <v>17414</v>
      </c>
      <c r="C9000" t="s">
        <v>42</v>
      </c>
      <c r="D9000" t="s">
        <v>17</v>
      </c>
      <c r="E9000" s="6">
        <v>-28329</v>
      </c>
      <c r="F9000" t="s">
        <v>354</v>
      </c>
      <c r="G9000" t="s">
        <v>44</v>
      </c>
      <c r="H9000" t="s">
        <v>45</v>
      </c>
      <c r="I9000" t="s">
        <v>17415</v>
      </c>
      <c r="J9000" t="str">
        <f>HYPERLINK("https://www.boe.es/gazeta/dias/1822/06/08/pdfs/GMD-1822-165.pdf#page=1","Abrir facsímil")</f>
        <v>Abrir facsímil</v>
      </c>
      <c r="K9000" t="s">
        <v>47</v>
      </c>
    </row>
    <row r="9001" spans="1:11" ht="42" customHeight="1">
      <c r="A9001" t="s">
        <v>17416</v>
      </c>
      <c r="B9001" t="s">
        <v>17417</v>
      </c>
      <c r="C9001" t="s">
        <v>50</v>
      </c>
      <c r="D9001" t="s">
        <v>51</v>
      </c>
      <c r="E9001" s="6">
        <v>-28158</v>
      </c>
      <c r="F9001" t="s">
        <v>590</v>
      </c>
      <c r="G9001" t="s">
        <v>35</v>
      </c>
      <c r="H9001" t="s">
        <v>20</v>
      </c>
      <c r="I9001" t="s">
        <v>17418</v>
      </c>
      <c r="J9001" t="str">
        <f>HYPERLINK("https://www.boe.es/gazeta/dias/1822/11/26/pdfs/GMD-1822-346.pdf#page=2","Abrir facsímil")</f>
        <v>Abrir facsímil</v>
      </c>
      <c r="K9001" t="s">
        <v>22</v>
      </c>
    </row>
    <row r="9002" spans="1:11" ht="42" customHeight="1">
      <c r="A9002" t="s">
        <v>17416</v>
      </c>
      <c r="B9002" t="s">
        <v>17417</v>
      </c>
      <c r="C9002" t="s">
        <v>50</v>
      </c>
      <c r="D9002" t="s">
        <v>51</v>
      </c>
      <c r="E9002" s="6">
        <v>-28142</v>
      </c>
      <c r="F9002" t="s">
        <v>290</v>
      </c>
      <c r="G9002" t="s">
        <v>57</v>
      </c>
      <c r="H9002" t="s">
        <v>20</v>
      </c>
      <c r="I9002" t="s">
        <v>17419</v>
      </c>
      <c r="J9002" t="str">
        <f>HYPERLINK("https://www.boe.es/gazeta/dias/1822/12/12/pdfs/GMD-1822-362.pdf#page=4","Abrir facsímil")</f>
        <v>Abrir facsímil</v>
      </c>
      <c r="K9002" t="s">
        <v>22</v>
      </c>
    </row>
    <row r="9003" spans="1:11" ht="42" customHeight="1">
      <c r="A9003" t="s">
        <v>17420</v>
      </c>
      <c r="B9003" t="s">
        <v>17421</v>
      </c>
      <c r="C9003" t="s">
        <v>28</v>
      </c>
      <c r="D9003" t="s">
        <v>29</v>
      </c>
      <c r="E9003" s="6">
        <v>-28484</v>
      </c>
      <c r="F9003" t="s">
        <v>743</v>
      </c>
      <c r="G9003" t="s">
        <v>57</v>
      </c>
      <c r="H9003" t="s">
        <v>20</v>
      </c>
      <c r="I9003" t="s">
        <v>17422</v>
      </c>
      <c r="J9003" t="str">
        <f>HYPERLINK("https://www.boe.es/gazeta/dias/1822/01/04/pdfs/GMD-1822-4.pdf#page=4","Abrir facsímil")</f>
        <v>Abrir facsímil</v>
      </c>
      <c r="K9003" t="s">
        <v>22</v>
      </c>
    </row>
    <row r="9004" spans="1:11" ht="42" customHeight="1">
      <c r="A9004" t="s">
        <v>17423</v>
      </c>
      <c r="B9004" t="s">
        <v>17424</v>
      </c>
      <c r="C9004" t="s">
        <v>71</v>
      </c>
      <c r="D9004" t="s">
        <v>17</v>
      </c>
      <c r="E9004" s="6">
        <v>-28418</v>
      </c>
      <c r="F9004" t="s">
        <v>205</v>
      </c>
      <c r="G9004" t="s">
        <v>167</v>
      </c>
      <c r="H9004" t="s">
        <v>20</v>
      </c>
      <c r="I9004" t="s">
        <v>17425</v>
      </c>
      <c r="J9004" t="str">
        <f>HYPERLINK("https://www.boe.es/gazeta/dias/1822/03/11/pdfs/GMD-1822-72.pdf#page=7","Abrir facsímil")</f>
        <v>Abrir facsímil</v>
      </c>
      <c r="K9004" t="s">
        <v>22</v>
      </c>
    </row>
    <row r="9005" spans="1:11" ht="42" customHeight="1">
      <c r="A9005" t="s">
        <v>17423</v>
      </c>
      <c r="B9005" t="s">
        <v>17424</v>
      </c>
      <c r="C9005" t="s">
        <v>50</v>
      </c>
      <c r="D9005" t="s">
        <v>51</v>
      </c>
      <c r="E9005" s="6">
        <v>-28276</v>
      </c>
      <c r="F9005" t="s">
        <v>4746</v>
      </c>
      <c r="G9005" t="s">
        <v>57</v>
      </c>
      <c r="H9005" t="s">
        <v>20</v>
      </c>
      <c r="I9005" t="s">
        <v>17426</v>
      </c>
      <c r="J9005" t="str">
        <f>HYPERLINK("https://www.boe.es/gazeta/dias/1822/07/31/pdfs/GMD-1822-224.pdf#page=4","Abrir facsímil")</f>
        <v>Abrir facsímil</v>
      </c>
      <c r="K9005" t="s">
        <v>22</v>
      </c>
    </row>
    <row r="9006" spans="1:11" ht="42" customHeight="1">
      <c r="A9006" t="s">
        <v>17423</v>
      </c>
      <c r="B9006" t="s">
        <v>17424</v>
      </c>
      <c r="C9006" t="s">
        <v>50</v>
      </c>
      <c r="D9006" t="s">
        <v>51</v>
      </c>
      <c r="E9006" s="6">
        <v>-28269</v>
      </c>
      <c r="F9006" t="s">
        <v>5517</v>
      </c>
      <c r="G9006" t="s">
        <v>57</v>
      </c>
      <c r="H9006" t="s">
        <v>20</v>
      </c>
      <c r="I9006" t="s">
        <v>17427</v>
      </c>
      <c r="J9006" t="str">
        <f>HYPERLINK("https://www.boe.es/gazeta/dias/1822/08/07/pdfs/GMD-1822-231.pdf#page=4","Abrir facsímil")</f>
        <v>Abrir facsímil</v>
      </c>
      <c r="K9006" t="s">
        <v>22</v>
      </c>
    </row>
    <row r="9007" spans="1:11" ht="42" customHeight="1">
      <c r="A9007" t="s">
        <v>17428</v>
      </c>
      <c r="B9007" t="s">
        <v>17429</v>
      </c>
      <c r="C9007" t="s">
        <v>50</v>
      </c>
      <c r="D9007" t="s">
        <v>51</v>
      </c>
      <c r="E9007" s="6">
        <v>-28195</v>
      </c>
      <c r="F9007" t="s">
        <v>770</v>
      </c>
      <c r="G9007" t="s">
        <v>63</v>
      </c>
      <c r="H9007" t="s">
        <v>20</v>
      </c>
      <c r="I9007" t="s">
        <v>17430</v>
      </c>
      <c r="J9007" t="str">
        <f>HYPERLINK("https://www.boe.es/gazeta/dias/1822/10/20/pdfs/GMD-1822-307.pdf#page=6","Abrir facsímil")</f>
        <v>Abrir facsímil</v>
      </c>
      <c r="K9007" t="s">
        <v>22</v>
      </c>
    </row>
    <row r="9008" spans="1:11" ht="42" customHeight="1">
      <c r="A9008" t="s">
        <v>17431</v>
      </c>
      <c r="B9008" t="s">
        <v>17432</v>
      </c>
      <c r="C9008" t="s">
        <v>28</v>
      </c>
      <c r="D9008" t="s">
        <v>29</v>
      </c>
      <c r="E9008" s="6">
        <v>-28161</v>
      </c>
      <c r="F9008" t="s">
        <v>166</v>
      </c>
      <c r="G9008" t="s">
        <v>157</v>
      </c>
      <c r="H9008" t="s">
        <v>20</v>
      </c>
      <c r="I9008" t="s">
        <v>17433</v>
      </c>
      <c r="J9008" t="str">
        <f>HYPERLINK("https://www.boe.es/gazeta/dias/1822/11/23/pdfs/GMD-1822-343.pdf#page=8","Abrir facsímil")</f>
        <v>Abrir facsímil</v>
      </c>
      <c r="K9008" t="s">
        <v>22</v>
      </c>
    </row>
    <row r="9009" spans="1:11" ht="42" customHeight="1">
      <c r="A9009" t="s">
        <v>17434</v>
      </c>
      <c r="B9009" t="s">
        <v>17435</v>
      </c>
      <c r="C9009" t="s">
        <v>28</v>
      </c>
      <c r="D9009" t="s">
        <v>29</v>
      </c>
      <c r="E9009" s="6">
        <v>-28371</v>
      </c>
      <c r="F9009" t="s">
        <v>401</v>
      </c>
      <c r="G9009" t="s">
        <v>35</v>
      </c>
      <c r="H9009" t="s">
        <v>20</v>
      </c>
      <c r="I9009" t="s">
        <v>17436</v>
      </c>
      <c r="J9009" t="str">
        <f>HYPERLINK("https://www.boe.es/gazeta/dias/1822/04/27/pdfs/GMD-1822-119.pdf#page=2","Abrir facsímil")</f>
        <v>Abrir facsímil</v>
      </c>
      <c r="K9009" t="s">
        <v>22</v>
      </c>
    </row>
    <row r="9010" spans="1:11" ht="42" customHeight="1">
      <c r="A9010" t="s">
        <v>17434</v>
      </c>
      <c r="B9010" t="s">
        <v>17435</v>
      </c>
      <c r="C9010" t="s">
        <v>61</v>
      </c>
      <c r="D9010" t="s">
        <v>17</v>
      </c>
      <c r="E9010" s="6">
        <v>-28254</v>
      </c>
      <c r="F9010" t="s">
        <v>3557</v>
      </c>
      <c r="G9010" t="s">
        <v>57</v>
      </c>
      <c r="H9010" t="s">
        <v>20</v>
      </c>
      <c r="I9010" t="s">
        <v>17437</v>
      </c>
      <c r="J9010" t="str">
        <f>HYPERLINK("https://www.boe.es/gazeta/dias/1822/08/22/pdfs/GMD-1822-246.pdf#page=4","Abrir facsímil")</f>
        <v>Abrir facsímil</v>
      </c>
      <c r="K9010" t="s">
        <v>22</v>
      </c>
    </row>
    <row r="9011" spans="1:11" ht="42" customHeight="1">
      <c r="A9011" t="s">
        <v>17434</v>
      </c>
      <c r="B9011" t="s">
        <v>17435</v>
      </c>
      <c r="C9011" t="s">
        <v>50</v>
      </c>
      <c r="D9011" t="s">
        <v>51</v>
      </c>
      <c r="E9011" s="6">
        <v>-28213</v>
      </c>
      <c r="F9011" t="s">
        <v>558</v>
      </c>
      <c r="G9011" t="s">
        <v>57</v>
      </c>
      <c r="H9011" t="s">
        <v>20</v>
      </c>
      <c r="I9011" t="s">
        <v>17438</v>
      </c>
      <c r="J9011" t="str">
        <f>HYPERLINK("https://www.boe.es/gazeta/dias/1822/10/02/pdfs/GMD-1822-288.pdf#page=4","Abrir facsímil")</f>
        <v>Abrir facsímil</v>
      </c>
      <c r="K9011" t="s">
        <v>22</v>
      </c>
    </row>
    <row r="9012" spans="1:11" ht="42" customHeight="1">
      <c r="A9012" t="s">
        <v>17439</v>
      </c>
      <c r="B9012" t="s">
        <v>17440</v>
      </c>
      <c r="C9012" t="s">
        <v>50</v>
      </c>
      <c r="D9012" t="s">
        <v>51</v>
      </c>
      <c r="E9012" s="6">
        <v>-28417</v>
      </c>
      <c r="F9012" t="s">
        <v>1394</v>
      </c>
      <c r="G9012" t="s">
        <v>31</v>
      </c>
      <c r="H9012" t="s">
        <v>20</v>
      </c>
      <c r="I9012" t="s">
        <v>17441</v>
      </c>
      <c r="J9012" t="str">
        <f>HYPERLINK("https://www.boe.es/gazeta/dias/1822/03/12/pdfs/GMD-1822-73.pdf#page=3","Abrir facsímil")</f>
        <v>Abrir facsímil</v>
      </c>
      <c r="K9012" t="s">
        <v>22</v>
      </c>
    </row>
    <row r="9013" spans="1:11" ht="42" customHeight="1">
      <c r="A9013" t="s">
        <v>17439</v>
      </c>
      <c r="B9013" t="s">
        <v>17440</v>
      </c>
      <c r="C9013" t="s">
        <v>42</v>
      </c>
      <c r="D9013" t="s">
        <v>17</v>
      </c>
      <c r="E9013" s="6">
        <v>-28299</v>
      </c>
      <c r="F9013" t="s">
        <v>423</v>
      </c>
      <c r="G9013" t="s">
        <v>35</v>
      </c>
      <c r="H9013" t="s">
        <v>20</v>
      </c>
      <c r="I9013" t="s">
        <v>17442</v>
      </c>
      <c r="J9013" t="str">
        <f>HYPERLINK("https://www.boe.es/gazeta/dias/1822/07/08/pdfs/GMD-1822-197.pdf#page=2","Abrir facsímil")</f>
        <v>Abrir facsímil</v>
      </c>
      <c r="K9013" t="s">
        <v>22</v>
      </c>
    </row>
    <row r="9014" spans="1:11" ht="42" customHeight="1">
      <c r="A9014" t="s">
        <v>17439</v>
      </c>
      <c r="B9014" t="s">
        <v>17440</v>
      </c>
      <c r="C9014" t="s">
        <v>28</v>
      </c>
      <c r="D9014" t="s">
        <v>29</v>
      </c>
      <c r="E9014" s="6">
        <v>-28287</v>
      </c>
      <c r="F9014" t="s">
        <v>1295</v>
      </c>
      <c r="G9014" t="s">
        <v>63</v>
      </c>
      <c r="H9014" t="s">
        <v>20</v>
      </c>
      <c r="I9014" t="s">
        <v>17443</v>
      </c>
      <c r="J9014" t="str">
        <f>HYPERLINK("https://www.boe.es/gazeta/dias/1822/07/20/pdfs/GMD-1822-212.pdf#page=6","Abrir facsímil")</f>
        <v>Abrir facsímil</v>
      </c>
      <c r="K9014" t="s">
        <v>22</v>
      </c>
    </row>
    <row r="9015" spans="1:11" ht="42" customHeight="1">
      <c r="A9015" t="s">
        <v>17439</v>
      </c>
      <c r="B9015" t="s">
        <v>17440</v>
      </c>
      <c r="C9015" t="s">
        <v>50</v>
      </c>
      <c r="D9015" t="s">
        <v>51</v>
      </c>
      <c r="E9015" s="6">
        <v>-28125</v>
      </c>
      <c r="F9015" t="s">
        <v>322</v>
      </c>
      <c r="G9015" t="s">
        <v>63</v>
      </c>
      <c r="H9015" t="s">
        <v>20</v>
      </c>
      <c r="I9015" t="s">
        <v>17444</v>
      </c>
      <c r="J9015" t="str">
        <f>HYPERLINK("https://www.boe.es/gazeta/dias/1822/12/29/pdfs/GMD-1822-379.pdf#page=6","Abrir facsímil")</f>
        <v>Abrir facsímil</v>
      </c>
      <c r="K9015" t="s">
        <v>22</v>
      </c>
    </row>
    <row r="9016" spans="1:11" ht="42" customHeight="1">
      <c r="A9016" t="s">
        <v>17445</v>
      </c>
      <c r="B9016" t="s">
        <v>17446</v>
      </c>
      <c r="C9016" t="s">
        <v>71</v>
      </c>
      <c r="D9016" t="s">
        <v>17</v>
      </c>
      <c r="E9016" s="6">
        <v>-28324</v>
      </c>
      <c r="F9016" t="s">
        <v>305</v>
      </c>
      <c r="G9016" t="s">
        <v>31</v>
      </c>
      <c r="H9016" t="s">
        <v>20</v>
      </c>
      <c r="I9016" t="s">
        <v>17447</v>
      </c>
      <c r="J9016" t="str">
        <f>HYPERLINK("https://www.boe.es/gazeta/dias/1822/06/13/pdfs/GMD-1822-170.pdf#page=3","Abrir facsímil")</f>
        <v>Abrir facsímil</v>
      </c>
      <c r="K9016" t="s">
        <v>22</v>
      </c>
    </row>
    <row r="9017" spans="1:11" ht="42" customHeight="1">
      <c r="A9017" t="s">
        <v>17448</v>
      </c>
      <c r="B9017" t="s">
        <v>17449</v>
      </c>
      <c r="C9017" t="s">
        <v>50</v>
      </c>
      <c r="D9017" t="s">
        <v>51</v>
      </c>
      <c r="E9017" s="6">
        <v>-28381</v>
      </c>
      <c r="F9017" t="s">
        <v>358</v>
      </c>
      <c r="G9017" t="s">
        <v>35</v>
      </c>
      <c r="H9017" t="s">
        <v>20</v>
      </c>
      <c r="I9017" t="s">
        <v>17450</v>
      </c>
      <c r="J9017" t="str">
        <f>HYPERLINK("https://www.boe.es/gazeta/dias/1822/04/17/pdfs/GMD-1822-109.pdf#page=2","Abrir facsímil")</f>
        <v>Abrir facsímil</v>
      </c>
      <c r="K9017" t="s">
        <v>22</v>
      </c>
    </row>
    <row r="9018" spans="1:11" ht="42" customHeight="1">
      <c r="A9018" t="s">
        <v>17451</v>
      </c>
      <c r="B9018" t="s">
        <v>17452</v>
      </c>
      <c r="C9018" t="s">
        <v>42</v>
      </c>
      <c r="D9018" t="s">
        <v>17</v>
      </c>
      <c r="E9018" s="6">
        <v>-28376</v>
      </c>
      <c r="F9018" t="s">
        <v>500</v>
      </c>
      <c r="G9018" t="s">
        <v>35</v>
      </c>
      <c r="H9018" t="s">
        <v>20</v>
      </c>
      <c r="I9018" t="s">
        <v>17453</v>
      </c>
      <c r="J9018" t="str">
        <f>HYPERLINK("https://www.boe.es/gazeta/dias/1822/04/22/pdfs/GMD-1822-114.pdf#page=2","Abrir facsímil")</f>
        <v>Abrir facsímil</v>
      </c>
      <c r="K9018" t="s">
        <v>22</v>
      </c>
    </row>
    <row r="9019" spans="1:11" ht="42" customHeight="1">
      <c r="A9019" t="s">
        <v>17451</v>
      </c>
      <c r="B9019" t="s">
        <v>17452</v>
      </c>
      <c r="C9019" t="s">
        <v>71</v>
      </c>
      <c r="D9019" t="s">
        <v>17</v>
      </c>
      <c r="E9019" s="6">
        <v>-28354</v>
      </c>
      <c r="F9019" t="s">
        <v>226</v>
      </c>
      <c r="G9019" t="s">
        <v>57</v>
      </c>
      <c r="H9019" t="s">
        <v>20</v>
      </c>
      <c r="I9019" t="s">
        <v>17454</v>
      </c>
      <c r="J9019" t="str">
        <f>HYPERLINK("https://www.boe.es/gazeta/dias/1822/05/14/pdfs/GMD-1822-136.pdf#page=4","Abrir facsímil")</f>
        <v>Abrir facsímil</v>
      </c>
      <c r="K9019" t="s">
        <v>22</v>
      </c>
    </row>
    <row r="9020" spans="1:11" ht="42" customHeight="1">
      <c r="A9020" t="s">
        <v>17451</v>
      </c>
      <c r="B9020" t="s">
        <v>17452</v>
      </c>
      <c r="C9020" t="s">
        <v>28</v>
      </c>
      <c r="D9020" t="s">
        <v>29</v>
      </c>
      <c r="E9020" s="6">
        <v>-28352</v>
      </c>
      <c r="F9020" t="s">
        <v>1575</v>
      </c>
      <c r="G9020" t="s">
        <v>31</v>
      </c>
      <c r="H9020" t="s">
        <v>20</v>
      </c>
      <c r="I9020" t="s">
        <v>17455</v>
      </c>
      <c r="J9020" t="str">
        <f>HYPERLINK("https://www.boe.es/gazeta/dias/1822/05/16/pdfs/GMD-1822-138.pdf#page=3","Abrir facsímil")</f>
        <v>Abrir facsímil</v>
      </c>
      <c r="K9020" t="s">
        <v>22</v>
      </c>
    </row>
    <row r="9021" spans="1:11" ht="42" customHeight="1">
      <c r="A9021" t="s">
        <v>17456</v>
      </c>
      <c r="B9021" t="s">
        <v>17457</v>
      </c>
      <c r="C9021" t="s">
        <v>28</v>
      </c>
      <c r="D9021" t="s">
        <v>29</v>
      </c>
      <c r="E9021" s="6">
        <v>-28329</v>
      </c>
      <c r="F9021" t="s">
        <v>354</v>
      </c>
      <c r="G9021" t="s">
        <v>44</v>
      </c>
      <c r="H9021" t="s">
        <v>20</v>
      </c>
      <c r="I9021" t="s">
        <v>17458</v>
      </c>
      <c r="J9021" t="str">
        <f>HYPERLINK("https://www.boe.es/gazeta/dias/1822/06/08/pdfs/GMD-1822-165.pdf#page=1","Abrir facsímil")</f>
        <v>Abrir facsímil</v>
      </c>
      <c r="K9021" t="s">
        <v>22</v>
      </c>
    </row>
    <row r="9022" spans="1:11" ht="42" customHeight="1">
      <c r="A9022" t="s">
        <v>17459</v>
      </c>
      <c r="B9022" t="s">
        <v>17460</v>
      </c>
      <c r="C9022" t="s">
        <v>50</v>
      </c>
      <c r="D9022" t="s">
        <v>51</v>
      </c>
      <c r="E9022" s="6">
        <v>-28189</v>
      </c>
      <c r="F9022" t="s">
        <v>645</v>
      </c>
      <c r="G9022" t="s">
        <v>63</v>
      </c>
      <c r="H9022" t="s">
        <v>20</v>
      </c>
      <c r="I9022" t="s">
        <v>17461</v>
      </c>
      <c r="J9022" t="str">
        <f>HYPERLINK("https://www.boe.es/gazeta/dias/1822/10/26/pdfs/GMD-1822-313.pdf#page=6","Abrir facsímil")</f>
        <v>Abrir facsímil</v>
      </c>
      <c r="K9022" t="s">
        <v>22</v>
      </c>
    </row>
    <row r="9023" spans="1:11" ht="42" customHeight="1">
      <c r="A9023" t="s">
        <v>17459</v>
      </c>
      <c r="B9023" t="s">
        <v>17460</v>
      </c>
      <c r="C9023" t="s">
        <v>28</v>
      </c>
      <c r="D9023" t="s">
        <v>29</v>
      </c>
      <c r="E9023" s="6">
        <v>-28175</v>
      </c>
      <c r="F9023" t="s">
        <v>341</v>
      </c>
      <c r="G9023" t="s">
        <v>63</v>
      </c>
      <c r="H9023" t="s">
        <v>20</v>
      </c>
      <c r="I9023" t="s">
        <v>17462</v>
      </c>
      <c r="J9023" t="str">
        <f>HYPERLINK("https://www.boe.es/gazeta/dias/1822/11/09/pdfs/GMD-1822-329.pdf#page=6","Abrir facsímil")</f>
        <v>Abrir facsímil</v>
      </c>
      <c r="K9023" t="s">
        <v>22</v>
      </c>
    </row>
    <row r="9024" spans="1:11" ht="42" customHeight="1">
      <c r="A9024" t="s">
        <v>17463</v>
      </c>
      <c r="B9024" t="s">
        <v>17464</v>
      </c>
      <c r="C9024" t="s">
        <v>50</v>
      </c>
      <c r="D9024" t="s">
        <v>51</v>
      </c>
      <c r="E9024" s="6">
        <v>-28352</v>
      </c>
      <c r="F9024" t="s">
        <v>1575</v>
      </c>
      <c r="G9024" t="s">
        <v>31</v>
      </c>
      <c r="H9024" t="s">
        <v>20</v>
      </c>
      <c r="I9024" t="s">
        <v>17465</v>
      </c>
      <c r="J9024" t="str">
        <f>HYPERLINK("https://www.boe.es/gazeta/dias/1822/05/16/pdfs/GMD-1822-138.pdf#page=3","Abrir facsímil")</f>
        <v>Abrir facsímil</v>
      </c>
      <c r="K9024" t="s">
        <v>22</v>
      </c>
    </row>
    <row r="9025" spans="1:11" ht="42" customHeight="1">
      <c r="A9025" t="s">
        <v>17466</v>
      </c>
      <c r="B9025" t="s">
        <v>17467</v>
      </c>
      <c r="C9025" t="s">
        <v>71</v>
      </c>
      <c r="D9025" t="s">
        <v>17</v>
      </c>
      <c r="E9025" s="6">
        <v>-28132</v>
      </c>
      <c r="F9025" t="s">
        <v>820</v>
      </c>
      <c r="G9025" t="s">
        <v>821</v>
      </c>
      <c r="H9025" t="s">
        <v>20</v>
      </c>
      <c r="I9025" t="s">
        <v>17468</v>
      </c>
      <c r="J9025" t="str">
        <f>HYPERLINK("https://www.boe.es/gazeta/dias/1822/12/22/pdfs/GMD-1822-372.pdf#page=4","Abrir facsímil")</f>
        <v>Abrir facsímil</v>
      </c>
      <c r="K9025" t="s">
        <v>22</v>
      </c>
    </row>
    <row r="9026" spans="1:11" ht="42" customHeight="1">
      <c r="A9026" t="s">
        <v>17469</v>
      </c>
      <c r="B9026" t="s">
        <v>17470</v>
      </c>
      <c r="C9026" t="s">
        <v>71</v>
      </c>
      <c r="D9026" t="s">
        <v>17</v>
      </c>
      <c r="E9026" s="6">
        <v>-28406</v>
      </c>
      <c r="F9026" t="s">
        <v>462</v>
      </c>
      <c r="G9026" t="s">
        <v>31</v>
      </c>
      <c r="H9026" t="s">
        <v>20</v>
      </c>
      <c r="I9026" t="s">
        <v>17471</v>
      </c>
      <c r="J9026" t="str">
        <f>HYPERLINK("https://www.boe.es/gazeta/dias/1822/03/23/pdfs/GMD-1822-84.pdf#page=3","Abrir facsímil")</f>
        <v>Abrir facsímil</v>
      </c>
      <c r="K9026" t="s">
        <v>22</v>
      </c>
    </row>
    <row r="9027" spans="1:11" ht="42" customHeight="1">
      <c r="A9027" t="s">
        <v>17472</v>
      </c>
      <c r="B9027" t="s">
        <v>17473</v>
      </c>
      <c r="C9027" t="s">
        <v>42</v>
      </c>
      <c r="D9027" t="s">
        <v>17</v>
      </c>
      <c r="E9027" s="6">
        <v>-28145</v>
      </c>
      <c r="F9027" t="s">
        <v>1350</v>
      </c>
      <c r="G9027" t="s">
        <v>63</v>
      </c>
      <c r="H9027" t="s">
        <v>20</v>
      </c>
      <c r="I9027" t="s">
        <v>17474</v>
      </c>
      <c r="J9027" t="str">
        <f>HYPERLINK("https://www.boe.es/gazeta/dias/1822/12/09/pdfs/GMD-1822-359.pdf#page=6","Abrir facsímil")</f>
        <v>Abrir facsímil</v>
      </c>
      <c r="K9027" t="s">
        <v>22</v>
      </c>
    </row>
    <row r="9028" spans="1:11" ht="42" customHeight="1">
      <c r="A9028" t="s">
        <v>17475</v>
      </c>
      <c r="B9028" t="s">
        <v>17476</v>
      </c>
      <c r="C9028" t="s">
        <v>16</v>
      </c>
      <c r="D9028" t="s">
        <v>17</v>
      </c>
      <c r="E9028" s="6">
        <v>-28411</v>
      </c>
      <c r="F9028" t="s">
        <v>1509</v>
      </c>
      <c r="G9028" t="s">
        <v>35</v>
      </c>
      <c r="H9028" t="s">
        <v>45</v>
      </c>
      <c r="I9028" t="s">
        <v>17477</v>
      </c>
      <c r="J9028" t="str">
        <f>HYPERLINK("https://www.boe.es/gazeta/dias/1822/03/18/pdfs/GMD-1822-79.pdf#page=2","Abrir facsímil")</f>
        <v>Abrir facsímil</v>
      </c>
      <c r="K9028" t="s">
        <v>47</v>
      </c>
    </row>
    <row r="9029" spans="1:11" ht="42" customHeight="1">
      <c r="A9029" t="s">
        <v>17478</v>
      </c>
      <c r="B9029" t="s">
        <v>17479</v>
      </c>
      <c r="C9029" t="s">
        <v>16</v>
      </c>
      <c r="D9029" t="s">
        <v>17</v>
      </c>
      <c r="E9029" s="6">
        <v>-28396</v>
      </c>
      <c r="F9029" t="s">
        <v>1138</v>
      </c>
      <c r="G9029" t="s">
        <v>157</v>
      </c>
      <c r="H9029" t="s">
        <v>20</v>
      </c>
      <c r="I9029" t="s">
        <v>17480</v>
      </c>
      <c r="J9029" t="str">
        <f>HYPERLINK("https://www.boe.es/gazeta/dias/1822/04/02/pdfs/GMD-1822-94.pdf#page=8","Abrir facsímil")</f>
        <v>Abrir facsímil</v>
      </c>
      <c r="K9029" t="s">
        <v>22</v>
      </c>
    </row>
    <row r="9030" spans="1:11" ht="42" customHeight="1">
      <c r="A9030" t="s">
        <v>17481</v>
      </c>
      <c r="B9030" t="s">
        <v>17482</v>
      </c>
      <c r="C9030" t="s">
        <v>50</v>
      </c>
      <c r="D9030" t="s">
        <v>51</v>
      </c>
      <c r="E9030" s="6">
        <v>-28215</v>
      </c>
      <c r="F9030" t="s">
        <v>17483</v>
      </c>
      <c r="G9030" t="s">
        <v>31</v>
      </c>
      <c r="H9030" t="s">
        <v>20</v>
      </c>
      <c r="I9030" t="s">
        <v>17484</v>
      </c>
      <c r="J9030" t="str">
        <f>HYPERLINK("https://www.boe.es/gazeta/dias/1822/09/30/pdfs/GMD-1822-286.pdf#page=3","Abrir facsímil")</f>
        <v>Abrir facsímil</v>
      </c>
      <c r="K9030" t="s">
        <v>22</v>
      </c>
    </row>
    <row r="9031" spans="1:11" ht="42" customHeight="1">
      <c r="A9031" t="s">
        <v>17485</v>
      </c>
      <c r="B9031" t="s">
        <v>17486</v>
      </c>
      <c r="C9031" t="s">
        <v>28</v>
      </c>
      <c r="D9031" t="s">
        <v>29</v>
      </c>
      <c r="E9031" s="6">
        <v>-28269</v>
      </c>
      <c r="F9031" t="s">
        <v>5517</v>
      </c>
      <c r="G9031" t="s">
        <v>57</v>
      </c>
      <c r="H9031" t="s">
        <v>20</v>
      </c>
      <c r="I9031" t="s">
        <v>17487</v>
      </c>
      <c r="J9031" t="str">
        <f>HYPERLINK("https://www.boe.es/gazeta/dias/1822/08/07/pdfs/GMD-1822-231.pdf#page=4","Abrir facsímil")</f>
        <v>Abrir facsímil</v>
      </c>
      <c r="K9031" t="s">
        <v>22</v>
      </c>
    </row>
    <row r="9032" spans="1:11" ht="42" customHeight="1">
      <c r="A9032" t="s">
        <v>17488</v>
      </c>
      <c r="B9032" t="s">
        <v>17489</v>
      </c>
      <c r="C9032" t="s">
        <v>42</v>
      </c>
      <c r="D9032" t="s">
        <v>17</v>
      </c>
      <c r="E9032" s="6">
        <v>-28292</v>
      </c>
      <c r="F9032" t="s">
        <v>222</v>
      </c>
      <c r="G9032" t="s">
        <v>31</v>
      </c>
      <c r="H9032" t="s">
        <v>20</v>
      </c>
      <c r="I9032" t="s">
        <v>17490</v>
      </c>
      <c r="J9032" t="str">
        <f>HYPERLINK("https://www.boe.es/gazeta/dias/1822/07/15/pdfs/GMD-1822-205.pdf#page=3","Abrir facsímil")</f>
        <v>Abrir facsímil</v>
      </c>
      <c r="K9032" t="s">
        <v>22</v>
      </c>
    </row>
    <row r="9033" spans="1:11" ht="42" customHeight="1">
      <c r="A9033" t="s">
        <v>17491</v>
      </c>
      <c r="B9033" t="s">
        <v>17491</v>
      </c>
      <c r="C9033" t="s">
        <v>16</v>
      </c>
      <c r="D9033" t="s">
        <v>17</v>
      </c>
      <c r="E9033" s="6">
        <v>-28463</v>
      </c>
      <c r="F9033" t="s">
        <v>25</v>
      </c>
      <c r="G9033" t="s">
        <v>19</v>
      </c>
      <c r="H9033" t="s">
        <v>20</v>
      </c>
      <c r="I9033" t="s">
        <v>17492</v>
      </c>
      <c r="J9033" t="str">
        <f>HYPERLINK("https://www.boe.es/gazeta/dias/1822/01/25/pdfs/GMD-1822-25.pdf#page=5","Abrir facsímil")</f>
        <v>Abrir facsímil</v>
      </c>
      <c r="K9033" t="s">
        <v>22</v>
      </c>
    </row>
    <row r="9034" spans="1:11" ht="42" customHeight="1">
      <c r="A9034" t="s">
        <v>17493</v>
      </c>
      <c r="B9034" t="s">
        <v>17494</v>
      </c>
      <c r="C9034" t="s">
        <v>42</v>
      </c>
      <c r="D9034" t="s">
        <v>17</v>
      </c>
      <c r="E9034" s="6">
        <v>-28316</v>
      </c>
      <c r="F9034" t="s">
        <v>1144</v>
      </c>
      <c r="G9034" t="s">
        <v>44</v>
      </c>
      <c r="H9034" t="s">
        <v>20</v>
      </c>
      <c r="I9034" t="s">
        <v>17495</v>
      </c>
      <c r="J9034" t="str">
        <f>HYPERLINK("https://www.boe.es/gazeta/dias/1822/06/21/pdfs/GMD-1822-179.pdf#page=1","Abrir facsímil")</f>
        <v>Abrir facsímil</v>
      </c>
      <c r="K9034" t="s">
        <v>22</v>
      </c>
    </row>
    <row r="9035" spans="1:11" ht="42" customHeight="1">
      <c r="A9035" t="s">
        <v>17496</v>
      </c>
      <c r="B9035" t="s">
        <v>17497</v>
      </c>
      <c r="C9035" t="s">
        <v>50</v>
      </c>
      <c r="D9035" t="s">
        <v>51</v>
      </c>
      <c r="E9035" s="6">
        <v>-28390</v>
      </c>
      <c r="F9035" t="s">
        <v>665</v>
      </c>
      <c r="G9035" t="s">
        <v>57</v>
      </c>
      <c r="H9035" t="s">
        <v>20</v>
      </c>
      <c r="I9035" t="s">
        <v>17498</v>
      </c>
      <c r="J9035" t="str">
        <f>HYPERLINK("https://www.boe.es/gazeta/dias/1822/04/08/pdfs/GMD-1822-100.pdf#page=4","Abrir facsímil")</f>
        <v>Abrir facsímil</v>
      </c>
      <c r="K9035" t="s">
        <v>22</v>
      </c>
    </row>
    <row r="9036" spans="1:11" ht="42" customHeight="1">
      <c r="A9036" t="s">
        <v>17499</v>
      </c>
      <c r="B9036" t="s">
        <v>17500</v>
      </c>
      <c r="C9036" t="s">
        <v>50</v>
      </c>
      <c r="D9036" t="s">
        <v>51</v>
      </c>
      <c r="E9036" s="6">
        <v>-28366</v>
      </c>
      <c r="F9036" t="s">
        <v>120</v>
      </c>
      <c r="G9036" t="s">
        <v>63</v>
      </c>
      <c r="H9036" t="s">
        <v>20</v>
      </c>
      <c r="I9036" t="s">
        <v>17501</v>
      </c>
      <c r="J9036" t="str">
        <f>HYPERLINK("https://www.boe.es/gazeta/dias/1822/05/02/pdfs/GMD-1822-124.pdf#page=6","Abrir facsímil")</f>
        <v>Abrir facsímil</v>
      </c>
      <c r="K9036" t="s">
        <v>22</v>
      </c>
    </row>
    <row r="9037" spans="1:11" ht="42" customHeight="1">
      <c r="A9037" t="s">
        <v>17502</v>
      </c>
      <c r="B9037" t="s">
        <v>17503</v>
      </c>
      <c r="C9037" t="s">
        <v>50</v>
      </c>
      <c r="D9037" t="s">
        <v>51</v>
      </c>
      <c r="E9037" s="6">
        <v>-28415</v>
      </c>
      <c r="F9037" t="s">
        <v>77</v>
      </c>
      <c r="G9037" t="s">
        <v>63</v>
      </c>
      <c r="H9037" t="s">
        <v>20</v>
      </c>
      <c r="I9037" t="s">
        <v>17504</v>
      </c>
      <c r="J9037" t="str">
        <f>HYPERLINK("https://www.boe.es/gazeta/dias/1822/03/14/pdfs/GMD-1822-75.pdf#page=6","Abrir facsímil")</f>
        <v>Abrir facsímil</v>
      </c>
      <c r="K9037" t="s">
        <v>22</v>
      </c>
    </row>
    <row r="9038" spans="1:11" ht="42" customHeight="1">
      <c r="A9038" t="s">
        <v>17502</v>
      </c>
      <c r="B9038" t="s">
        <v>17503</v>
      </c>
      <c r="C9038" t="s">
        <v>50</v>
      </c>
      <c r="D9038" t="s">
        <v>51</v>
      </c>
      <c r="E9038" s="6">
        <v>-28395</v>
      </c>
      <c r="F9038" t="s">
        <v>237</v>
      </c>
      <c r="G9038" t="s">
        <v>57</v>
      </c>
      <c r="H9038" t="s">
        <v>20</v>
      </c>
      <c r="I9038" t="s">
        <v>17505</v>
      </c>
      <c r="J9038" t="str">
        <f>HYPERLINK("https://www.boe.es/gazeta/dias/1822/04/03/pdfs/GMD-1822-95.pdf#page=4","Abrir facsímil")</f>
        <v>Abrir facsímil</v>
      </c>
      <c r="K9038" t="s">
        <v>22</v>
      </c>
    </row>
    <row r="9039" spans="1:11" ht="42" customHeight="1">
      <c r="A9039" t="s">
        <v>17506</v>
      </c>
      <c r="B9039" t="s">
        <v>17507</v>
      </c>
      <c r="C9039" t="s">
        <v>28</v>
      </c>
      <c r="D9039" t="s">
        <v>29</v>
      </c>
      <c r="E9039" s="6">
        <v>-28209</v>
      </c>
      <c r="F9039" t="s">
        <v>748</v>
      </c>
      <c r="G9039" t="s">
        <v>57</v>
      </c>
      <c r="H9039" t="s">
        <v>20</v>
      </c>
      <c r="I9039" t="s">
        <v>17508</v>
      </c>
      <c r="J9039" t="str">
        <f>HYPERLINK("https://www.boe.es/gazeta/dias/1822/10/06/pdfs/GMD-1822-292.pdf#page=4","Abrir facsímil")</f>
        <v>Abrir facsímil</v>
      </c>
      <c r="K9039" t="s">
        <v>22</v>
      </c>
    </row>
    <row r="9040" spans="1:11" ht="42" customHeight="1">
      <c r="A9040" t="s">
        <v>17509</v>
      </c>
      <c r="B9040" t="s">
        <v>17510</v>
      </c>
      <c r="C9040" t="s">
        <v>50</v>
      </c>
      <c r="D9040" t="s">
        <v>51</v>
      </c>
      <c r="E9040" s="6">
        <v>-28230</v>
      </c>
      <c r="F9040" t="s">
        <v>1735</v>
      </c>
      <c r="G9040" t="s">
        <v>31</v>
      </c>
      <c r="H9040" t="s">
        <v>20</v>
      </c>
      <c r="I9040" t="s">
        <v>17511</v>
      </c>
      <c r="J9040" t="str">
        <f>HYPERLINK("https://www.boe.es/gazeta/dias/1822/09/15/pdfs/GMD-1822-271.pdf#page=3","Abrir facsímil")</f>
        <v>Abrir facsímil</v>
      </c>
      <c r="K9040" t="s">
        <v>22</v>
      </c>
    </row>
    <row r="9041" spans="1:11" ht="42" customHeight="1">
      <c r="A9041" t="s">
        <v>17512</v>
      </c>
      <c r="B9041" t="s">
        <v>17513</v>
      </c>
      <c r="C9041" t="s">
        <v>50</v>
      </c>
      <c r="D9041" t="s">
        <v>51</v>
      </c>
      <c r="E9041" s="6">
        <v>-28396</v>
      </c>
      <c r="F9041" t="s">
        <v>1138</v>
      </c>
      <c r="G9041" t="s">
        <v>167</v>
      </c>
      <c r="H9041" t="s">
        <v>20</v>
      </c>
      <c r="I9041" t="s">
        <v>17514</v>
      </c>
      <c r="J9041" t="str">
        <f>HYPERLINK("https://www.boe.es/gazeta/dias/1822/04/02/pdfs/GMD-1822-94.pdf#page=7","Abrir facsímil")</f>
        <v>Abrir facsímil</v>
      </c>
      <c r="K9041" t="s">
        <v>22</v>
      </c>
    </row>
    <row r="9042" spans="1:11" ht="42" customHeight="1">
      <c r="A9042" t="s">
        <v>17515</v>
      </c>
      <c r="B9042" t="s">
        <v>17516</v>
      </c>
      <c r="C9042" t="s">
        <v>50</v>
      </c>
      <c r="D9042" t="s">
        <v>51</v>
      </c>
      <c r="E9042" s="6">
        <v>-28260</v>
      </c>
      <c r="F9042" t="s">
        <v>135</v>
      </c>
      <c r="G9042" t="s">
        <v>31</v>
      </c>
      <c r="H9042" t="s">
        <v>20</v>
      </c>
      <c r="I9042" t="s">
        <v>17517</v>
      </c>
      <c r="J9042" t="str">
        <f>HYPERLINK("https://www.boe.es/gazeta/dias/1822/08/16/pdfs/GMD-1822-240.pdf#page=3","Abrir facsímil")</f>
        <v>Abrir facsímil</v>
      </c>
      <c r="K9042" t="s">
        <v>22</v>
      </c>
    </row>
    <row r="9043" spans="1:11" ht="42" customHeight="1">
      <c r="A9043" t="s">
        <v>17518</v>
      </c>
      <c r="B9043" t="s">
        <v>17519</v>
      </c>
      <c r="C9043" t="s">
        <v>42</v>
      </c>
      <c r="D9043" t="s">
        <v>17</v>
      </c>
      <c r="E9043" s="6">
        <v>-28172</v>
      </c>
      <c r="F9043" t="s">
        <v>674</v>
      </c>
      <c r="G9043" t="s">
        <v>57</v>
      </c>
      <c r="H9043" t="s">
        <v>20</v>
      </c>
      <c r="I9043" t="s">
        <v>17520</v>
      </c>
      <c r="J9043" t="str">
        <f>HYPERLINK("https://www.boe.es/gazeta/dias/1822/11/12/pdfs/GMD-1822-332.pdf#page=4","Abrir facsímil")</f>
        <v>Abrir facsímil</v>
      </c>
      <c r="K9043" t="s">
        <v>22</v>
      </c>
    </row>
    <row r="9044" spans="1:11" ht="42" customHeight="1">
      <c r="A9044" t="s">
        <v>17521</v>
      </c>
      <c r="B9044" t="s">
        <v>17522</v>
      </c>
      <c r="C9044" t="s">
        <v>71</v>
      </c>
      <c r="D9044" t="s">
        <v>17</v>
      </c>
      <c r="E9044" s="6">
        <v>-28359</v>
      </c>
      <c r="F9044" t="s">
        <v>209</v>
      </c>
      <c r="G9044" t="s">
        <v>31</v>
      </c>
      <c r="H9044" t="s">
        <v>20</v>
      </c>
      <c r="I9044" t="s">
        <v>17523</v>
      </c>
      <c r="J9044" t="str">
        <f>HYPERLINK("https://www.boe.es/gazeta/dias/1822/05/09/pdfs/GMD-1822-131.pdf#page=3","Abrir facsímil")</f>
        <v>Abrir facsímil</v>
      </c>
      <c r="K9044" t="s">
        <v>22</v>
      </c>
    </row>
    <row r="9045" spans="1:11" ht="42" customHeight="1">
      <c r="A9045" t="s">
        <v>17524</v>
      </c>
      <c r="B9045" t="s">
        <v>17525</v>
      </c>
      <c r="C9045" t="s">
        <v>71</v>
      </c>
      <c r="D9045" t="s">
        <v>17</v>
      </c>
      <c r="E9045" s="6">
        <v>-28388</v>
      </c>
      <c r="F9045" t="s">
        <v>1268</v>
      </c>
      <c r="G9045" t="s">
        <v>44</v>
      </c>
      <c r="H9045" t="s">
        <v>20</v>
      </c>
      <c r="I9045" t="s">
        <v>17526</v>
      </c>
      <c r="J9045" t="str">
        <f>HYPERLINK("https://www.boe.es/gazeta/dias/1822/04/10/pdfs/GMD-1822-102.pdf#page=1","Abrir facsímil")</f>
        <v>Abrir facsímil</v>
      </c>
      <c r="K9045" t="s">
        <v>22</v>
      </c>
    </row>
    <row r="9046" spans="1:11" ht="42" customHeight="1">
      <c r="A9046" t="s">
        <v>17527</v>
      </c>
      <c r="B9046" t="s">
        <v>17528</v>
      </c>
      <c r="C9046" t="s">
        <v>24</v>
      </c>
      <c r="D9046" t="s">
        <v>17</v>
      </c>
      <c r="E9046" s="6">
        <v>-28288</v>
      </c>
      <c r="F9046" t="s">
        <v>970</v>
      </c>
      <c r="G9046" t="s">
        <v>35</v>
      </c>
      <c r="H9046" t="s">
        <v>20</v>
      </c>
      <c r="I9046" t="s">
        <v>17529</v>
      </c>
      <c r="J9046" t="str">
        <f>HYPERLINK("https://www.boe.es/gazeta/dias/1822/07/19/pdfs/GMD-1822-211.pdf#page=2","Abrir facsímil")</f>
        <v>Abrir facsímil</v>
      </c>
      <c r="K9046" t="s">
        <v>22</v>
      </c>
    </row>
    <row r="9047" spans="1:11" ht="42" customHeight="1">
      <c r="A9047" t="s">
        <v>17530</v>
      </c>
      <c r="B9047" t="s">
        <v>17531</v>
      </c>
      <c r="C9047" t="s">
        <v>50</v>
      </c>
      <c r="D9047" t="s">
        <v>51</v>
      </c>
      <c r="E9047" s="6">
        <v>-28289</v>
      </c>
      <c r="F9047" t="s">
        <v>390</v>
      </c>
      <c r="G9047" t="s">
        <v>57</v>
      </c>
      <c r="H9047" t="s">
        <v>20</v>
      </c>
      <c r="I9047" t="s">
        <v>17532</v>
      </c>
      <c r="J9047" t="str">
        <f>HYPERLINK("https://www.boe.es/gazeta/dias/1822/07/18/pdfs/GMD-1822-209.pdf#page=4","Abrir facsímil")</f>
        <v>Abrir facsímil</v>
      </c>
      <c r="K9047" t="s">
        <v>22</v>
      </c>
    </row>
    <row r="9048" spans="1:11" ht="42" customHeight="1">
      <c r="A9048" t="s">
        <v>17533</v>
      </c>
      <c r="B9048" t="s">
        <v>17534</v>
      </c>
      <c r="C9048" t="s">
        <v>71</v>
      </c>
      <c r="D9048" t="s">
        <v>17</v>
      </c>
      <c r="E9048" s="6">
        <v>-28408</v>
      </c>
      <c r="F9048" t="s">
        <v>2561</v>
      </c>
      <c r="G9048" t="s">
        <v>63</v>
      </c>
      <c r="H9048" t="s">
        <v>20</v>
      </c>
      <c r="I9048" t="s">
        <v>17535</v>
      </c>
      <c r="J9048" t="str">
        <f>HYPERLINK("https://www.boe.es/gazeta/dias/1822/03/21/pdfs/GMD-1822-82.pdf#page=6","Abrir facsímil")</f>
        <v>Abrir facsímil</v>
      </c>
      <c r="K9048" t="s">
        <v>22</v>
      </c>
    </row>
    <row r="9049" spans="1:11" ht="42" customHeight="1">
      <c r="A9049" t="s">
        <v>17533</v>
      </c>
      <c r="B9049" t="s">
        <v>17534</v>
      </c>
      <c r="C9049" t="s">
        <v>61</v>
      </c>
      <c r="D9049" t="s">
        <v>17</v>
      </c>
      <c r="E9049" s="6">
        <v>-28367</v>
      </c>
      <c r="F9049" t="s">
        <v>280</v>
      </c>
      <c r="G9049" t="s">
        <v>63</v>
      </c>
      <c r="H9049" t="s">
        <v>20</v>
      </c>
      <c r="I9049" t="s">
        <v>17536</v>
      </c>
      <c r="J9049" t="str">
        <f>HYPERLINK("https://www.boe.es/gazeta/dias/1822/05/01/pdfs/GMD-1822-123.pdf#page=6","Abrir facsímil")</f>
        <v>Abrir facsímil</v>
      </c>
      <c r="K9049" t="s">
        <v>22</v>
      </c>
    </row>
    <row r="9050" spans="1:11" ht="42" customHeight="1">
      <c r="A9050" t="s">
        <v>17537</v>
      </c>
      <c r="B9050" t="s">
        <v>17538</v>
      </c>
      <c r="C9050" t="s">
        <v>50</v>
      </c>
      <c r="D9050" t="s">
        <v>51</v>
      </c>
      <c r="E9050" s="6">
        <v>-28347</v>
      </c>
      <c r="F9050" t="s">
        <v>520</v>
      </c>
      <c r="G9050" t="s">
        <v>63</v>
      </c>
      <c r="H9050" t="s">
        <v>45</v>
      </c>
      <c r="I9050" t="s">
        <v>17539</v>
      </c>
      <c r="J9050" t="str">
        <f>HYPERLINK("https://www.boe.es/gazeta/dias/1822/05/21/pdfs/GMD-1822-144.pdf#page=6","Abrir facsímil")</f>
        <v>Abrir facsímil</v>
      </c>
      <c r="K9050" t="s">
        <v>47</v>
      </c>
    </row>
    <row r="9051" spans="1:11" ht="42" customHeight="1">
      <c r="A9051" t="s">
        <v>17540</v>
      </c>
      <c r="B9051" t="s">
        <v>17540</v>
      </c>
      <c r="C9051" t="s">
        <v>16</v>
      </c>
      <c r="D9051" t="s">
        <v>17</v>
      </c>
      <c r="E9051" s="6">
        <v>-28322</v>
      </c>
      <c r="F9051" t="s">
        <v>2205</v>
      </c>
      <c r="G9051" t="s">
        <v>57</v>
      </c>
      <c r="H9051" t="s">
        <v>20</v>
      </c>
      <c r="I9051" t="s">
        <v>17541</v>
      </c>
      <c r="J9051" t="str">
        <f>HYPERLINK("https://www.boe.es/gazeta/dias/1822/06/15/pdfs/GMD-1822-172.pdf#page=4","Abrir facsímil")</f>
        <v>Abrir facsímil</v>
      </c>
      <c r="K9051" t="s">
        <v>22</v>
      </c>
    </row>
    <row r="9052" spans="1:11" ht="42" customHeight="1">
      <c r="A9052" t="s">
        <v>17540</v>
      </c>
      <c r="B9052" t="s">
        <v>17540</v>
      </c>
      <c r="C9052" t="s">
        <v>42</v>
      </c>
      <c r="D9052" t="s">
        <v>17</v>
      </c>
      <c r="E9052" s="6">
        <v>-28258</v>
      </c>
      <c r="F9052" t="s">
        <v>88</v>
      </c>
      <c r="G9052" t="s">
        <v>31</v>
      </c>
      <c r="H9052" t="s">
        <v>20</v>
      </c>
      <c r="I9052" t="s">
        <v>17542</v>
      </c>
      <c r="J9052" t="str">
        <f>HYPERLINK("https://www.boe.es/gazeta/dias/1822/08/18/pdfs/GMD-1822-242.pdf#page=3","Abrir facsímil")</f>
        <v>Abrir facsímil</v>
      </c>
      <c r="K9052" t="s">
        <v>22</v>
      </c>
    </row>
    <row r="9053" spans="1:11" ht="42" customHeight="1">
      <c r="A9053" t="s">
        <v>17543</v>
      </c>
      <c r="B9053" t="s">
        <v>17544</v>
      </c>
      <c r="C9053" t="s">
        <v>42</v>
      </c>
      <c r="D9053" t="s">
        <v>17</v>
      </c>
      <c r="E9053" s="6">
        <v>-28347</v>
      </c>
      <c r="F9053" t="s">
        <v>520</v>
      </c>
      <c r="G9053" t="s">
        <v>44</v>
      </c>
      <c r="H9053" t="s">
        <v>20</v>
      </c>
      <c r="I9053" t="s">
        <v>17545</v>
      </c>
      <c r="J9053" t="str">
        <f>HYPERLINK("https://www.boe.es/gazeta/dias/1822/05/21/pdfs/GMD-1822-144.pdf#page=1","Abrir facsímil")</f>
        <v>Abrir facsímil</v>
      </c>
      <c r="K9053" t="s">
        <v>22</v>
      </c>
    </row>
    <row r="9054" spans="1:11" ht="42" customHeight="1">
      <c r="A9054" t="s">
        <v>17546</v>
      </c>
      <c r="B9054" t="s">
        <v>17546</v>
      </c>
      <c r="C9054" t="s">
        <v>28</v>
      </c>
      <c r="D9054" t="s">
        <v>29</v>
      </c>
      <c r="E9054" s="6">
        <v>-28343</v>
      </c>
      <c r="F9054" t="s">
        <v>1019</v>
      </c>
      <c r="G9054" t="s">
        <v>19</v>
      </c>
      <c r="H9054" t="s">
        <v>20</v>
      </c>
      <c r="I9054" t="s">
        <v>17547</v>
      </c>
      <c r="J9054" t="str">
        <f>HYPERLINK("https://www.boe.es/gazeta/dias/1822/05/25/pdfs/GMD-1822-150.pdf#page=5","Abrir facsímil")</f>
        <v>Abrir facsímil</v>
      </c>
      <c r="K9054" t="s">
        <v>22</v>
      </c>
    </row>
    <row r="9055" spans="1:11" ht="42" customHeight="1">
      <c r="A9055" t="s">
        <v>17548</v>
      </c>
      <c r="B9055" t="s">
        <v>17549</v>
      </c>
      <c r="C9055" t="s">
        <v>16</v>
      </c>
      <c r="D9055" t="s">
        <v>17</v>
      </c>
      <c r="E9055" s="6">
        <v>-28317</v>
      </c>
      <c r="F9055" t="s">
        <v>546</v>
      </c>
      <c r="G9055" t="s">
        <v>157</v>
      </c>
      <c r="H9055" t="s">
        <v>20</v>
      </c>
      <c r="I9055" t="s">
        <v>17550</v>
      </c>
      <c r="J9055" t="str">
        <f>HYPERLINK("https://www.boe.es/gazeta/dias/1822/06/20/pdfs/GMD-1822-177.pdf#page=8","Abrir facsímil")</f>
        <v>Abrir facsímil</v>
      </c>
      <c r="K9055" t="s">
        <v>22</v>
      </c>
    </row>
    <row r="9056" spans="1:11" ht="42" customHeight="1">
      <c r="A9056" t="s">
        <v>17551</v>
      </c>
      <c r="B9056" t="s">
        <v>17552</v>
      </c>
      <c r="C9056" t="s">
        <v>16</v>
      </c>
      <c r="D9056" t="s">
        <v>17</v>
      </c>
      <c r="E9056" s="6">
        <v>-28237</v>
      </c>
      <c r="F9056" t="s">
        <v>878</v>
      </c>
      <c r="G9056" t="s">
        <v>57</v>
      </c>
      <c r="H9056" t="s">
        <v>20</v>
      </c>
      <c r="I9056" t="s">
        <v>17553</v>
      </c>
      <c r="J9056" t="str">
        <f>HYPERLINK("https://www.boe.es/gazeta/dias/1822/09/08/pdfs/GMD-1822-264.pdf#page=4","Abrir facsímil")</f>
        <v>Abrir facsímil</v>
      </c>
      <c r="K9056" t="s">
        <v>22</v>
      </c>
    </row>
    <row r="9057" spans="1:11" ht="42" customHeight="1">
      <c r="A9057" t="s">
        <v>17554</v>
      </c>
      <c r="B9057" t="s">
        <v>17555</v>
      </c>
      <c r="C9057" t="s">
        <v>61</v>
      </c>
      <c r="D9057" t="s">
        <v>17</v>
      </c>
      <c r="E9057" s="6">
        <v>-28417</v>
      </c>
      <c r="F9057" t="s">
        <v>1394</v>
      </c>
      <c r="G9057" t="s">
        <v>35</v>
      </c>
      <c r="H9057" t="s">
        <v>20</v>
      </c>
      <c r="I9057" t="s">
        <v>17556</v>
      </c>
      <c r="J9057" t="str">
        <f>HYPERLINK("https://www.boe.es/gazeta/dias/1822/03/12/pdfs/GMD-1822-73.pdf#page=2","Abrir facsímil")</f>
        <v>Abrir facsímil</v>
      </c>
      <c r="K9057" t="s">
        <v>22</v>
      </c>
    </row>
    <row r="9058" spans="1:11" ht="42" customHeight="1">
      <c r="A9058" t="s">
        <v>17557</v>
      </c>
      <c r="B9058" t="s">
        <v>17558</v>
      </c>
      <c r="C9058" t="s">
        <v>16</v>
      </c>
      <c r="D9058" t="s">
        <v>17</v>
      </c>
      <c r="E9058" s="6">
        <v>-28191</v>
      </c>
      <c r="F9058" t="s">
        <v>710</v>
      </c>
      <c r="G9058" t="s">
        <v>5038</v>
      </c>
      <c r="H9058" t="s">
        <v>20</v>
      </c>
      <c r="I9058" t="s">
        <v>17559</v>
      </c>
      <c r="J9058" t="str">
        <f>HYPERLINK("https://www.boe.es/gazeta/dias/1822/10/24/pdfs/GMD-1822-311.pdf#page=8","Abrir facsímil")</f>
        <v>Abrir facsímil</v>
      </c>
      <c r="K9058" t="s">
        <v>22</v>
      </c>
    </row>
    <row r="9059" spans="1:11" ht="42" customHeight="1">
      <c r="A9059" t="s">
        <v>17560</v>
      </c>
      <c r="B9059" t="s">
        <v>17561</v>
      </c>
      <c r="C9059" t="s">
        <v>50</v>
      </c>
      <c r="D9059" t="s">
        <v>51</v>
      </c>
      <c r="E9059" s="6">
        <v>-28358</v>
      </c>
      <c r="F9059" t="s">
        <v>211</v>
      </c>
      <c r="G9059" t="s">
        <v>35</v>
      </c>
      <c r="H9059" t="s">
        <v>20</v>
      </c>
      <c r="I9059" t="s">
        <v>17562</v>
      </c>
      <c r="J9059" t="str">
        <f>HYPERLINK("https://www.boe.es/gazeta/dias/1822/05/10/pdfs/GMD-1822-132.pdf#page=2","Abrir facsímil")</f>
        <v>Abrir facsímil</v>
      </c>
      <c r="K9059" t="s">
        <v>22</v>
      </c>
    </row>
    <row r="9060" spans="1:11" ht="42" customHeight="1">
      <c r="A9060" t="s">
        <v>17563</v>
      </c>
      <c r="B9060" t="s">
        <v>17563</v>
      </c>
      <c r="C9060" t="s">
        <v>42</v>
      </c>
      <c r="D9060" t="s">
        <v>17</v>
      </c>
      <c r="E9060" s="6">
        <v>-28167</v>
      </c>
      <c r="F9060" t="s">
        <v>904</v>
      </c>
      <c r="G9060" t="s">
        <v>35</v>
      </c>
      <c r="H9060" t="s">
        <v>20</v>
      </c>
      <c r="I9060" t="s">
        <v>17564</v>
      </c>
      <c r="J9060" t="str">
        <f>HYPERLINK("https://www.boe.es/gazeta/dias/1822/11/17/pdfs/GMD-1822-337.pdf#page=2","Abrir facsímil")</f>
        <v>Abrir facsímil</v>
      </c>
      <c r="K9060" t="s">
        <v>22</v>
      </c>
    </row>
    <row r="9061" spans="1:11" ht="42" customHeight="1">
      <c r="A9061" t="s">
        <v>17565</v>
      </c>
      <c r="B9061" t="s">
        <v>17565</v>
      </c>
      <c r="C9061" t="s">
        <v>42</v>
      </c>
      <c r="D9061" t="s">
        <v>17</v>
      </c>
      <c r="E9061" s="6">
        <v>-28258</v>
      </c>
      <c r="F9061" t="s">
        <v>88</v>
      </c>
      <c r="G9061" t="s">
        <v>31</v>
      </c>
      <c r="H9061" t="s">
        <v>20</v>
      </c>
      <c r="I9061" t="s">
        <v>17566</v>
      </c>
      <c r="J9061" t="str">
        <f>HYPERLINK("https://www.boe.es/gazeta/dias/1822/08/18/pdfs/GMD-1822-242.pdf#page=3","Abrir facsímil")</f>
        <v>Abrir facsímil</v>
      </c>
      <c r="K9061" t="s">
        <v>22</v>
      </c>
    </row>
    <row r="9062" spans="1:11" ht="42" customHeight="1">
      <c r="A9062" t="s">
        <v>17567</v>
      </c>
      <c r="B9062" t="s">
        <v>17567</v>
      </c>
      <c r="C9062" t="s">
        <v>42</v>
      </c>
      <c r="D9062" t="s">
        <v>17</v>
      </c>
      <c r="E9062" s="6">
        <v>-28305</v>
      </c>
      <c r="F9062" t="s">
        <v>1337</v>
      </c>
      <c r="G9062" t="s">
        <v>35</v>
      </c>
      <c r="H9062" t="s">
        <v>20</v>
      </c>
      <c r="I9062" t="s">
        <v>17568</v>
      </c>
      <c r="J9062" t="str">
        <f>HYPERLINK("https://www.boe.es/gazeta/dias/1822/07/02/pdfs/GMD-1822-191.pdf#page=2","Abrir facsímil")</f>
        <v>Abrir facsímil</v>
      </c>
      <c r="K9062" t="s">
        <v>22</v>
      </c>
    </row>
    <row r="9063" spans="1:11" ht="42" customHeight="1">
      <c r="A9063" t="s">
        <v>17569</v>
      </c>
      <c r="B9063" t="s">
        <v>17570</v>
      </c>
      <c r="C9063" t="s">
        <v>42</v>
      </c>
      <c r="D9063" t="s">
        <v>17</v>
      </c>
      <c r="E9063" s="6">
        <v>-28396</v>
      </c>
      <c r="F9063" t="s">
        <v>1138</v>
      </c>
      <c r="G9063" t="s">
        <v>44</v>
      </c>
      <c r="H9063" t="s">
        <v>20</v>
      </c>
      <c r="I9063" t="s">
        <v>17571</v>
      </c>
      <c r="J9063" t="str">
        <f>HYPERLINK("https://www.boe.es/gazeta/dias/1822/04/02/pdfs/GMD-1822-94.pdf#page=1","Abrir facsímil")</f>
        <v>Abrir facsímil</v>
      </c>
      <c r="K9063" t="s">
        <v>22</v>
      </c>
    </row>
    <row r="9064" spans="1:11" ht="42" customHeight="1">
      <c r="A9064" t="s">
        <v>17572</v>
      </c>
      <c r="B9064" t="s">
        <v>17573</v>
      </c>
      <c r="C9064" t="s">
        <v>42</v>
      </c>
      <c r="D9064" t="s">
        <v>17</v>
      </c>
      <c r="E9064" s="6">
        <v>-28394</v>
      </c>
      <c r="F9064" t="s">
        <v>268</v>
      </c>
      <c r="G9064" t="s">
        <v>57</v>
      </c>
      <c r="H9064" t="s">
        <v>20</v>
      </c>
      <c r="I9064" t="s">
        <v>17574</v>
      </c>
      <c r="J9064" t="str">
        <f>HYPERLINK("https://www.boe.es/gazeta/dias/1822/04/04/pdfs/GMD-1822-96.pdf#page=4","Abrir facsímil")</f>
        <v>Abrir facsímil</v>
      </c>
      <c r="K9064" t="s">
        <v>22</v>
      </c>
    </row>
    <row r="9065" spans="1:11" ht="42" customHeight="1">
      <c r="A9065" t="s">
        <v>17575</v>
      </c>
      <c r="B9065" t="s">
        <v>17575</v>
      </c>
      <c r="C9065" t="s">
        <v>42</v>
      </c>
      <c r="D9065" t="s">
        <v>17</v>
      </c>
      <c r="E9065" s="6">
        <v>-28124</v>
      </c>
      <c r="F9065" t="s">
        <v>301</v>
      </c>
      <c r="G9065" t="s">
        <v>63</v>
      </c>
      <c r="H9065" t="s">
        <v>20</v>
      </c>
      <c r="I9065" t="s">
        <v>17576</v>
      </c>
      <c r="J9065" t="str">
        <f>HYPERLINK("https://www.boe.es/gazeta/dias/1822/12/30/pdfs/GMD-1822-380.pdf#page=6","Abrir facsímil")</f>
        <v>Abrir facsímil</v>
      </c>
      <c r="K9065" t="s">
        <v>22</v>
      </c>
    </row>
    <row r="9066" spans="1:11" ht="42" customHeight="1">
      <c r="A9066" t="s">
        <v>17577</v>
      </c>
      <c r="B9066" t="s">
        <v>17578</v>
      </c>
      <c r="C9066" t="s">
        <v>42</v>
      </c>
      <c r="D9066" t="s">
        <v>17</v>
      </c>
      <c r="E9066" s="6">
        <v>-28333</v>
      </c>
      <c r="F9066" t="s">
        <v>1928</v>
      </c>
      <c r="G9066" t="s">
        <v>44</v>
      </c>
      <c r="H9066" t="s">
        <v>20</v>
      </c>
      <c r="I9066" t="s">
        <v>17579</v>
      </c>
      <c r="J9066" t="str">
        <f>HYPERLINK("https://www.boe.es/gazeta/dias/1822/06/04/pdfs/GMD-1822-161.pdf#page=1","Abrir facsímil")</f>
        <v>Abrir facsímil</v>
      </c>
      <c r="K9066" t="s">
        <v>22</v>
      </c>
    </row>
    <row r="9067" spans="1:11" ht="42" customHeight="1">
      <c r="A9067" t="s">
        <v>17580</v>
      </c>
      <c r="B9067" t="s">
        <v>17581</v>
      </c>
      <c r="C9067" t="s">
        <v>50</v>
      </c>
      <c r="D9067" t="s">
        <v>51</v>
      </c>
      <c r="E9067" s="6">
        <v>-28349</v>
      </c>
      <c r="F9067" t="s">
        <v>518</v>
      </c>
      <c r="G9067" t="s">
        <v>57</v>
      </c>
      <c r="H9067" t="s">
        <v>20</v>
      </c>
      <c r="I9067" t="s">
        <v>17582</v>
      </c>
      <c r="J9067" t="str">
        <f>HYPERLINK("https://www.boe.es/gazeta/dias/1822/05/19/pdfs/GMD-1822-141.pdf#page=4","Abrir facsímil")</f>
        <v>Abrir facsímil</v>
      </c>
      <c r="K9067" t="s">
        <v>22</v>
      </c>
    </row>
    <row r="9068" spans="1:11" ht="42" customHeight="1">
      <c r="A9068" t="s">
        <v>17583</v>
      </c>
      <c r="B9068" t="s">
        <v>17584</v>
      </c>
      <c r="C9068" t="s">
        <v>16</v>
      </c>
      <c r="D9068" t="s">
        <v>17</v>
      </c>
      <c r="E9068" s="6">
        <v>-28346</v>
      </c>
      <c r="F9068" t="s">
        <v>191</v>
      </c>
      <c r="G9068" t="s">
        <v>63</v>
      </c>
      <c r="H9068" t="s">
        <v>20</v>
      </c>
      <c r="I9068" t="s">
        <v>17585</v>
      </c>
      <c r="J9068" t="str">
        <f>HYPERLINK("https://www.boe.es/gazeta/dias/1822/05/22/pdfs/GMD-1822-145.pdf#page=6","Abrir facsímil")</f>
        <v>Abrir facsímil</v>
      </c>
      <c r="K9068" t="s">
        <v>22</v>
      </c>
    </row>
    <row r="9069" spans="1:11" ht="42" customHeight="1">
      <c r="A9069" t="s">
        <v>17586</v>
      </c>
      <c r="B9069" t="s">
        <v>17587</v>
      </c>
      <c r="C9069" t="s">
        <v>50</v>
      </c>
      <c r="D9069" t="s">
        <v>51</v>
      </c>
      <c r="E9069" s="6">
        <v>-28290</v>
      </c>
      <c r="F9069" t="s">
        <v>706</v>
      </c>
      <c r="G9069" t="s">
        <v>35</v>
      </c>
      <c r="H9069" t="s">
        <v>20</v>
      </c>
      <c r="I9069" t="s">
        <v>17588</v>
      </c>
      <c r="J9069" t="str">
        <f>HYPERLINK("https://www.boe.es/gazeta/dias/1822/07/17/pdfs/GMD-1822-207.pdf#page=2","Abrir facsímil")</f>
        <v>Abrir facsímil</v>
      </c>
      <c r="K9069" t="s">
        <v>22</v>
      </c>
    </row>
    <row r="9070" spans="1:11" ht="42" customHeight="1">
      <c r="A9070" t="s">
        <v>17589</v>
      </c>
      <c r="B9070" t="s">
        <v>17590</v>
      </c>
      <c r="C9070" t="s">
        <v>28</v>
      </c>
      <c r="D9070" t="s">
        <v>29</v>
      </c>
      <c r="E9070" s="6">
        <v>-28307</v>
      </c>
      <c r="F9070" t="s">
        <v>555</v>
      </c>
      <c r="G9070" t="s">
        <v>157</v>
      </c>
      <c r="H9070" t="s">
        <v>20</v>
      </c>
      <c r="I9070" t="s">
        <v>17591</v>
      </c>
      <c r="J9070" t="str">
        <f>HYPERLINK("https://www.boe.es/gazeta/dias/1822/06/30/pdfs/GMD-1822-188.pdf#page=8","Abrir facsímil")</f>
        <v>Abrir facsímil</v>
      </c>
      <c r="K9070" t="s">
        <v>22</v>
      </c>
    </row>
    <row r="9071" spans="1:11" ht="42" customHeight="1">
      <c r="A9071" t="s">
        <v>17592</v>
      </c>
      <c r="B9071" t="s">
        <v>17593</v>
      </c>
      <c r="C9071" t="s">
        <v>50</v>
      </c>
      <c r="D9071" t="s">
        <v>51</v>
      </c>
      <c r="E9071" s="6">
        <v>-28242</v>
      </c>
      <c r="F9071" t="s">
        <v>831</v>
      </c>
      <c r="G9071" t="s">
        <v>35</v>
      </c>
      <c r="H9071" t="s">
        <v>45</v>
      </c>
      <c r="I9071" t="s">
        <v>17594</v>
      </c>
      <c r="J9071" t="str">
        <f>HYPERLINK("https://www.boe.es/gazeta/dias/1822/09/03/pdfs/GMD-1822-258.pdf#page=2","Abrir facsímil")</f>
        <v>Abrir facsímil</v>
      </c>
      <c r="K9071" t="s">
        <v>47</v>
      </c>
    </row>
    <row r="9072" spans="1:11" ht="42" customHeight="1">
      <c r="A9072" t="s">
        <v>17595</v>
      </c>
      <c r="B9072" t="s">
        <v>17595</v>
      </c>
      <c r="C9072" t="s">
        <v>42</v>
      </c>
      <c r="D9072" t="s">
        <v>17</v>
      </c>
      <c r="E9072" s="6">
        <v>-28250</v>
      </c>
      <c r="F9072" t="s">
        <v>1174</v>
      </c>
      <c r="G9072" t="s">
        <v>57</v>
      </c>
      <c r="H9072" t="s">
        <v>20</v>
      </c>
      <c r="I9072" t="s">
        <v>17596</v>
      </c>
      <c r="J9072" t="str">
        <f>HYPERLINK("https://www.boe.es/gazeta/dias/1822/08/26/pdfs/GMD-1822-250.pdf#page=4","Abrir facsímil")</f>
        <v>Abrir facsímil</v>
      </c>
      <c r="K9072" t="s">
        <v>22</v>
      </c>
    </row>
    <row r="9073" spans="1:11" ht="42" customHeight="1">
      <c r="A9073" t="s">
        <v>17597</v>
      </c>
      <c r="B9073" t="s">
        <v>17597</v>
      </c>
      <c r="C9073" t="s">
        <v>71</v>
      </c>
      <c r="D9073" t="s">
        <v>17</v>
      </c>
      <c r="E9073" s="6">
        <v>-28480</v>
      </c>
      <c r="F9073" t="s">
        <v>995</v>
      </c>
      <c r="G9073" t="s">
        <v>57</v>
      </c>
      <c r="H9073" t="s">
        <v>20</v>
      </c>
      <c r="I9073" t="s">
        <v>17598</v>
      </c>
      <c r="J9073" t="str">
        <f>HYPERLINK("https://www.boe.es/gazeta/dias/1822/01/08/pdfs/GMD-1822-8.pdf#page=4","Abrir facsímil")</f>
        <v>Abrir facsímil</v>
      </c>
      <c r="K9073" t="s">
        <v>22</v>
      </c>
    </row>
    <row r="9074" spans="1:11" ht="42" customHeight="1">
      <c r="A9074" t="s">
        <v>17597</v>
      </c>
      <c r="B9074" t="s">
        <v>17597</v>
      </c>
      <c r="C9074" t="s">
        <v>71</v>
      </c>
      <c r="D9074" t="s">
        <v>17</v>
      </c>
      <c r="E9074" s="6">
        <v>-28477</v>
      </c>
      <c r="F9074" t="s">
        <v>1668</v>
      </c>
      <c r="G9074" t="s">
        <v>19</v>
      </c>
      <c r="H9074" t="s">
        <v>20</v>
      </c>
      <c r="I9074" t="s">
        <v>17599</v>
      </c>
      <c r="J9074" t="str">
        <f>HYPERLINK("https://www.boe.es/gazeta/dias/1822/01/11/pdfs/GMD-1822-11.pdf#page=5","Abrir facsímil")</f>
        <v>Abrir facsímil</v>
      </c>
      <c r="K9074" t="s">
        <v>22</v>
      </c>
    </row>
    <row r="9075" spans="1:11" ht="42" customHeight="1">
      <c r="A9075" t="s">
        <v>17597</v>
      </c>
      <c r="B9075" t="s">
        <v>17597</v>
      </c>
      <c r="C9075" t="s">
        <v>71</v>
      </c>
      <c r="D9075" t="s">
        <v>17</v>
      </c>
      <c r="E9075" s="6">
        <v>-28450</v>
      </c>
      <c r="F9075" t="s">
        <v>1450</v>
      </c>
      <c r="G9075" t="s">
        <v>31</v>
      </c>
      <c r="H9075" t="s">
        <v>20</v>
      </c>
      <c r="I9075" t="s">
        <v>17600</v>
      </c>
      <c r="J9075" t="str">
        <f>HYPERLINK("https://www.boe.es/gazeta/dias/1822/02/07/pdfs/GMD-1822-38.pdf#page=3","Abrir facsímil")</f>
        <v>Abrir facsímil</v>
      </c>
      <c r="K9075" t="s">
        <v>22</v>
      </c>
    </row>
    <row r="9076" spans="1:11" ht="42" customHeight="1">
      <c r="A9076" t="s">
        <v>17597</v>
      </c>
      <c r="B9076" t="s">
        <v>17597</v>
      </c>
      <c r="C9076" t="s">
        <v>61</v>
      </c>
      <c r="D9076" t="s">
        <v>17</v>
      </c>
      <c r="E9076" s="6">
        <v>-28448</v>
      </c>
      <c r="F9076" t="s">
        <v>1670</v>
      </c>
      <c r="G9076" t="s">
        <v>31</v>
      </c>
      <c r="H9076" t="s">
        <v>20</v>
      </c>
      <c r="I9076" t="s">
        <v>17601</v>
      </c>
      <c r="J9076" t="str">
        <f>HYPERLINK("https://www.boe.es/gazeta/dias/1822/02/09/pdfs/GMD-1822-40.pdf#page=3","Abrir facsímil")</f>
        <v>Abrir facsímil</v>
      </c>
      <c r="K9076" t="s">
        <v>22</v>
      </c>
    </row>
    <row r="9077" spans="1:11" ht="42" customHeight="1">
      <c r="A9077" t="s">
        <v>17602</v>
      </c>
      <c r="B9077" t="s">
        <v>17602</v>
      </c>
      <c r="C9077" t="s">
        <v>16</v>
      </c>
      <c r="D9077" t="s">
        <v>17</v>
      </c>
      <c r="E9077" s="6">
        <v>-28327</v>
      </c>
      <c r="F9077" t="s">
        <v>38</v>
      </c>
      <c r="G9077" t="s">
        <v>44</v>
      </c>
      <c r="H9077" t="s">
        <v>20</v>
      </c>
      <c r="I9077" t="s">
        <v>17603</v>
      </c>
      <c r="J9077" t="str">
        <f>HYPERLINK("https://www.boe.es/gazeta/dias/1822/06/10/pdfs/GMD-1822-167.pdf#page=1","Abrir facsímil")</f>
        <v>Abrir facsímil</v>
      </c>
      <c r="K9077" t="s">
        <v>22</v>
      </c>
    </row>
    <row r="9078" spans="1:11" ht="42" customHeight="1">
      <c r="A9078" t="s">
        <v>17604</v>
      </c>
      <c r="B9078" t="s">
        <v>17605</v>
      </c>
      <c r="C9078" t="s">
        <v>71</v>
      </c>
      <c r="D9078" t="s">
        <v>17</v>
      </c>
      <c r="E9078" s="6">
        <v>-28339</v>
      </c>
      <c r="F9078" t="s">
        <v>197</v>
      </c>
      <c r="G9078" t="s">
        <v>63</v>
      </c>
      <c r="H9078" t="s">
        <v>20</v>
      </c>
      <c r="I9078" t="s">
        <v>17606</v>
      </c>
      <c r="J9078" t="str">
        <f>HYPERLINK("https://www.boe.es/gazeta/dias/1822/05/29/pdfs/GMD-1822-154.pdf#page=6","Abrir facsímil")</f>
        <v>Abrir facsímil</v>
      </c>
      <c r="K9078" t="s">
        <v>22</v>
      </c>
    </row>
    <row r="9079" spans="1:11" ht="42" customHeight="1">
      <c r="A9079" t="s">
        <v>17607</v>
      </c>
      <c r="B9079" t="s">
        <v>17608</v>
      </c>
      <c r="C9079" t="s">
        <v>16</v>
      </c>
      <c r="D9079" t="s">
        <v>17</v>
      </c>
      <c r="E9079" s="6">
        <v>-28393</v>
      </c>
      <c r="F9079" t="s">
        <v>326</v>
      </c>
      <c r="G9079" t="s">
        <v>57</v>
      </c>
      <c r="H9079" t="s">
        <v>20</v>
      </c>
      <c r="I9079" t="s">
        <v>17609</v>
      </c>
      <c r="J9079" t="str">
        <f>HYPERLINK("https://www.boe.es/gazeta/dias/1822/04/05/pdfs/GMD-1822-97.pdf#page=4","Abrir facsímil")</f>
        <v>Abrir facsímil</v>
      </c>
      <c r="K9079" t="s">
        <v>22</v>
      </c>
    </row>
    <row r="9080" spans="1:11" ht="42" customHeight="1">
      <c r="A9080" t="s">
        <v>17607</v>
      </c>
      <c r="B9080" t="s">
        <v>17608</v>
      </c>
      <c r="C9080" t="s">
        <v>50</v>
      </c>
      <c r="D9080" t="s">
        <v>51</v>
      </c>
      <c r="E9080" s="6">
        <v>-28340</v>
      </c>
      <c r="F9080" t="s">
        <v>139</v>
      </c>
      <c r="G9080" t="s">
        <v>63</v>
      </c>
      <c r="H9080" t="s">
        <v>20</v>
      </c>
      <c r="I9080" t="s">
        <v>17610</v>
      </c>
      <c r="J9080" t="str">
        <f>HYPERLINK("https://www.boe.es/gazeta/dias/1822/05/28/pdfs/GMD-1822-153.pdf#page=6","Abrir facsímil")</f>
        <v>Abrir facsímil</v>
      </c>
      <c r="K9080" t="s">
        <v>22</v>
      </c>
    </row>
    <row r="9081" spans="1:11" ht="42" customHeight="1">
      <c r="A9081" t="s">
        <v>17607</v>
      </c>
      <c r="B9081" t="s">
        <v>17608</v>
      </c>
      <c r="C9081" t="s">
        <v>28</v>
      </c>
      <c r="D9081" t="s">
        <v>29</v>
      </c>
      <c r="E9081" s="6">
        <v>-28326</v>
      </c>
      <c r="F9081" t="s">
        <v>543</v>
      </c>
      <c r="G9081" t="s">
        <v>63</v>
      </c>
      <c r="H9081" t="s">
        <v>20</v>
      </c>
      <c r="I9081" t="s">
        <v>17611</v>
      </c>
      <c r="J9081" t="str">
        <f>HYPERLINK("https://www.boe.es/gazeta/dias/1822/06/11/pdfs/GMD-1822-168.pdf#page=6","Abrir facsímil")</f>
        <v>Abrir facsímil</v>
      </c>
      <c r="K9081" t="s">
        <v>22</v>
      </c>
    </row>
    <row r="9082" spans="1:11" ht="42" customHeight="1">
      <c r="A9082" t="s">
        <v>17607</v>
      </c>
      <c r="B9082" t="s">
        <v>17608</v>
      </c>
      <c r="C9082" t="s">
        <v>61</v>
      </c>
      <c r="D9082" t="s">
        <v>17</v>
      </c>
      <c r="E9082" s="6">
        <v>-28311</v>
      </c>
      <c r="F9082" t="s">
        <v>736</v>
      </c>
      <c r="G9082" t="s">
        <v>157</v>
      </c>
      <c r="H9082" t="s">
        <v>20</v>
      </c>
      <c r="I9082" t="s">
        <v>17612</v>
      </c>
      <c r="J9082" t="str">
        <f>HYPERLINK("https://www.boe.es/gazeta/dias/1822/06/26/pdfs/GMD-1822-184.pdf#page=8","Abrir facsímil")</f>
        <v>Abrir facsímil</v>
      </c>
      <c r="K9082" t="s">
        <v>22</v>
      </c>
    </row>
    <row r="9083" spans="1:11" ht="42" customHeight="1">
      <c r="A9083" t="s">
        <v>17607</v>
      </c>
      <c r="B9083" t="s">
        <v>17608</v>
      </c>
      <c r="C9083" t="s">
        <v>42</v>
      </c>
      <c r="D9083" t="s">
        <v>17</v>
      </c>
      <c r="E9083" s="6">
        <v>-28259</v>
      </c>
      <c r="F9083" t="s">
        <v>1912</v>
      </c>
      <c r="G9083" t="s">
        <v>57</v>
      </c>
      <c r="H9083" t="s">
        <v>20</v>
      </c>
      <c r="I9083" t="s">
        <v>17613</v>
      </c>
      <c r="J9083" t="str">
        <f>HYPERLINK("https://www.boe.es/gazeta/dias/1822/08/17/pdfs/GMD-1822-241.pdf#page=4","Abrir facsímil")</f>
        <v>Abrir facsímil</v>
      </c>
      <c r="K9083" t="s">
        <v>22</v>
      </c>
    </row>
    <row r="9084" spans="1:11" ht="42" customHeight="1">
      <c r="A9084" t="s">
        <v>17614</v>
      </c>
      <c r="B9084" t="s">
        <v>17615</v>
      </c>
      <c r="C9084" t="s">
        <v>71</v>
      </c>
      <c r="D9084" t="s">
        <v>17</v>
      </c>
      <c r="E9084" s="6">
        <v>-28275</v>
      </c>
      <c r="F9084" t="s">
        <v>1297</v>
      </c>
      <c r="G9084" t="s">
        <v>57</v>
      </c>
      <c r="H9084" t="s">
        <v>20</v>
      </c>
      <c r="I9084" t="s">
        <v>17616</v>
      </c>
      <c r="J9084" t="str">
        <f>HYPERLINK("https://www.boe.es/gazeta/dias/1822/08/01/pdfs/GMD-1822-225.pdf#page=4","Abrir facsímil")</f>
        <v>Abrir facsímil</v>
      </c>
      <c r="K9084" t="s">
        <v>22</v>
      </c>
    </row>
    <row r="9085" spans="1:11" ht="42" customHeight="1">
      <c r="A9085" t="s">
        <v>17614</v>
      </c>
      <c r="B9085" t="s">
        <v>17615</v>
      </c>
      <c r="C9085" t="s">
        <v>50</v>
      </c>
      <c r="D9085" t="s">
        <v>51</v>
      </c>
      <c r="E9085" s="6">
        <v>-28189</v>
      </c>
      <c r="F9085" t="s">
        <v>645</v>
      </c>
      <c r="G9085" t="s">
        <v>63</v>
      </c>
      <c r="H9085" t="s">
        <v>20</v>
      </c>
      <c r="I9085" t="s">
        <v>17617</v>
      </c>
      <c r="J9085" t="str">
        <f>HYPERLINK("https://www.boe.es/gazeta/dias/1822/10/26/pdfs/GMD-1822-313.pdf#page=6","Abrir facsímil")</f>
        <v>Abrir facsímil</v>
      </c>
      <c r="K9085" t="s">
        <v>22</v>
      </c>
    </row>
    <row r="9086" spans="1:11" ht="42" customHeight="1">
      <c r="A9086" t="s">
        <v>17618</v>
      </c>
      <c r="B9086" t="s">
        <v>17618</v>
      </c>
      <c r="C9086" t="s">
        <v>16</v>
      </c>
      <c r="D9086" t="s">
        <v>17</v>
      </c>
      <c r="E9086" s="6">
        <v>-28374</v>
      </c>
      <c r="F9086" t="s">
        <v>171</v>
      </c>
      <c r="G9086" t="s">
        <v>44</v>
      </c>
      <c r="H9086" t="s">
        <v>20</v>
      </c>
      <c r="I9086" t="s">
        <v>17619</v>
      </c>
      <c r="J9086" t="str">
        <f>HYPERLINK("https://www.boe.es/gazeta/dias/1822/04/24/pdfs/GMD-1822-116.pdf#page=1","Abrir facsímil")</f>
        <v>Abrir facsímil</v>
      </c>
      <c r="K9086" t="s">
        <v>22</v>
      </c>
    </row>
    <row r="9087" spans="1:11" ht="42" customHeight="1">
      <c r="A9087" t="s">
        <v>17620</v>
      </c>
      <c r="B9087" t="s">
        <v>17620</v>
      </c>
      <c r="C9087" t="s">
        <v>24</v>
      </c>
      <c r="D9087" t="s">
        <v>17</v>
      </c>
      <c r="E9087" s="6">
        <v>-28235</v>
      </c>
      <c r="F9087" t="s">
        <v>1470</v>
      </c>
      <c r="G9087" t="s">
        <v>44</v>
      </c>
      <c r="H9087" t="s">
        <v>20</v>
      </c>
      <c r="I9087" t="s">
        <v>17621</v>
      </c>
      <c r="J9087" t="str">
        <f>HYPERLINK("https://www.boe.es/gazeta/dias/1822/09/10/pdfs/GMD-1822-266.pdf#page=1","Abrir facsímil")</f>
        <v>Abrir facsímil</v>
      </c>
      <c r="K9087" t="s">
        <v>22</v>
      </c>
    </row>
    <row r="9088" spans="1:11" ht="42" customHeight="1">
      <c r="A9088" t="s">
        <v>17622</v>
      </c>
      <c r="B9088" t="s">
        <v>17622</v>
      </c>
      <c r="C9088" t="s">
        <v>42</v>
      </c>
      <c r="D9088" t="s">
        <v>17</v>
      </c>
      <c r="E9088" s="6">
        <v>-28240</v>
      </c>
      <c r="F9088" t="s">
        <v>678</v>
      </c>
      <c r="G9088" t="s">
        <v>8061</v>
      </c>
      <c r="H9088" t="s">
        <v>20</v>
      </c>
      <c r="I9088" t="s">
        <v>17623</v>
      </c>
      <c r="J9088" t="str">
        <f>HYPERLINK("https://www.boe.es/gazeta/dias/1822/09/05/pdfs/GMD-1822-260.pdf#page=2","Abrir facsímil")</f>
        <v>Abrir facsímil</v>
      </c>
      <c r="K9088" t="s">
        <v>22</v>
      </c>
    </row>
    <row r="9089" spans="1:11" ht="42" customHeight="1">
      <c r="A9089" t="s">
        <v>17624</v>
      </c>
      <c r="B9089" t="s">
        <v>17625</v>
      </c>
      <c r="C9089" t="s">
        <v>71</v>
      </c>
      <c r="D9089" t="s">
        <v>17</v>
      </c>
      <c r="E9089" s="6">
        <v>-28388</v>
      </c>
      <c r="F9089" t="s">
        <v>1268</v>
      </c>
      <c r="G9089" t="s">
        <v>57</v>
      </c>
      <c r="H9089" t="s">
        <v>20</v>
      </c>
      <c r="I9089" t="s">
        <v>17626</v>
      </c>
      <c r="J9089" t="str">
        <f>HYPERLINK("https://www.boe.es/gazeta/dias/1822/04/10/pdfs/GMD-1822-102.pdf#page=4","Abrir facsímil")</f>
        <v>Abrir facsímil</v>
      </c>
      <c r="K9089" t="s">
        <v>22</v>
      </c>
    </row>
    <row r="9090" spans="1:11" ht="42" customHeight="1">
      <c r="A9090" t="s">
        <v>17627</v>
      </c>
      <c r="B9090" t="s">
        <v>17628</v>
      </c>
      <c r="C9090" t="s">
        <v>50</v>
      </c>
      <c r="D9090" t="s">
        <v>51</v>
      </c>
      <c r="E9090" s="6">
        <v>-28282</v>
      </c>
      <c r="F9090" t="s">
        <v>6600</v>
      </c>
      <c r="G9090" t="s">
        <v>6601</v>
      </c>
      <c r="H9090" t="s">
        <v>45</v>
      </c>
      <c r="I9090" t="s">
        <v>17629</v>
      </c>
      <c r="J9090" t="str">
        <f>HYPERLINK("https://www.boe.es/gazeta/dias/1822/07/25/pdfs/GMD-1822-218.pdf#page=4","Abrir facsímil")</f>
        <v>Abrir facsímil</v>
      </c>
      <c r="K9090" t="s">
        <v>47</v>
      </c>
    </row>
    <row r="9091" spans="1:11" ht="42" customHeight="1">
      <c r="A9091" t="s">
        <v>17630</v>
      </c>
      <c r="B9091" t="s">
        <v>17631</v>
      </c>
      <c r="C9091" t="s">
        <v>50</v>
      </c>
      <c r="D9091" t="s">
        <v>51</v>
      </c>
      <c r="E9091" s="6">
        <v>-28368</v>
      </c>
      <c r="F9091" t="s">
        <v>126</v>
      </c>
      <c r="G9091" t="s">
        <v>44</v>
      </c>
      <c r="H9091" t="s">
        <v>45</v>
      </c>
      <c r="I9091" t="s">
        <v>17632</v>
      </c>
      <c r="J9091" t="str">
        <f>HYPERLINK("https://www.boe.es/gazeta/dias/1822/04/30/pdfs/GMD-1822-122.pdf#page=1","Abrir facsímil")</f>
        <v>Abrir facsímil</v>
      </c>
      <c r="K9091" t="s">
        <v>47</v>
      </c>
    </row>
    <row r="9092" spans="1:11" ht="42" customHeight="1">
      <c r="A9092" t="s">
        <v>17633</v>
      </c>
      <c r="B9092" t="s">
        <v>17634</v>
      </c>
      <c r="C9092" t="s">
        <v>61</v>
      </c>
      <c r="D9092" t="s">
        <v>17</v>
      </c>
      <c r="E9092" s="6">
        <v>-28427</v>
      </c>
      <c r="F9092" t="s">
        <v>755</v>
      </c>
      <c r="G9092" t="s">
        <v>57</v>
      </c>
      <c r="H9092" t="s">
        <v>20</v>
      </c>
      <c r="I9092" t="s">
        <v>17635</v>
      </c>
      <c r="J9092" t="str">
        <f>HYPERLINK("https://www.boe.es/gazeta/dias/1822/03/02/pdfs/GMD-1822-63.pdf#page=4","Abrir facsímil")</f>
        <v>Abrir facsímil</v>
      </c>
      <c r="K9092" t="s">
        <v>22</v>
      </c>
    </row>
    <row r="9093" spans="1:11" ht="42" customHeight="1">
      <c r="A9093" t="s">
        <v>17636</v>
      </c>
      <c r="B9093" t="s">
        <v>17636</v>
      </c>
      <c r="C9093" t="s">
        <v>50</v>
      </c>
      <c r="D9093" t="s">
        <v>51</v>
      </c>
      <c r="E9093" s="6">
        <v>-28258</v>
      </c>
      <c r="F9093" t="s">
        <v>88</v>
      </c>
      <c r="G9093" t="s">
        <v>44</v>
      </c>
      <c r="H9093" t="s">
        <v>20</v>
      </c>
      <c r="I9093" t="s">
        <v>17637</v>
      </c>
      <c r="J9093" t="str">
        <f>HYPERLINK("https://www.boe.es/gazeta/dias/1822/08/18/pdfs/GMD-1822-242.pdf#page=1","Abrir facsímil")</f>
        <v>Abrir facsímil</v>
      </c>
      <c r="K9093" t="s">
        <v>22</v>
      </c>
    </row>
    <row r="9094" spans="1:11" ht="42" customHeight="1">
      <c r="A9094" t="s">
        <v>17636</v>
      </c>
      <c r="B9094" t="s">
        <v>17636</v>
      </c>
      <c r="C9094" t="s">
        <v>50</v>
      </c>
      <c r="D9094" t="s">
        <v>51</v>
      </c>
      <c r="E9094" s="6">
        <v>-28216</v>
      </c>
      <c r="F9094" t="s">
        <v>4661</v>
      </c>
      <c r="G9094" t="s">
        <v>35</v>
      </c>
      <c r="H9094" t="s">
        <v>20</v>
      </c>
      <c r="I9094" t="s">
        <v>17638</v>
      </c>
      <c r="J9094" t="str">
        <f>HYPERLINK("https://www.boe.es/gazeta/dias/1822/09/29/pdfs/GMD-1822-285.pdf#page=2","Abrir facsímil")</f>
        <v>Abrir facsímil</v>
      </c>
      <c r="K9094" t="s">
        <v>22</v>
      </c>
    </row>
    <row r="9095" spans="1:11" ht="42" customHeight="1">
      <c r="A9095" t="s">
        <v>17636</v>
      </c>
      <c r="B9095" t="s">
        <v>17636</v>
      </c>
      <c r="C9095" t="s">
        <v>16</v>
      </c>
      <c r="D9095" t="s">
        <v>17</v>
      </c>
      <c r="E9095" s="6">
        <v>-28215</v>
      </c>
      <c r="F9095" t="s">
        <v>17483</v>
      </c>
      <c r="G9095" t="s">
        <v>35</v>
      </c>
      <c r="H9095" t="s">
        <v>20</v>
      </c>
      <c r="I9095" t="s">
        <v>17639</v>
      </c>
      <c r="J9095" t="str">
        <f>HYPERLINK("https://www.boe.es/gazeta/dias/1822/09/30/pdfs/GMD-1822-286.pdf#page=2","Abrir facsímil")</f>
        <v>Abrir facsímil</v>
      </c>
      <c r="K9095" t="s">
        <v>22</v>
      </c>
    </row>
    <row r="9096" spans="1:11" ht="42" customHeight="1">
      <c r="A9096" t="s">
        <v>17640</v>
      </c>
      <c r="B9096" t="s">
        <v>17640</v>
      </c>
      <c r="C9096" t="s">
        <v>50</v>
      </c>
      <c r="D9096" t="s">
        <v>51</v>
      </c>
      <c r="E9096" s="6">
        <v>-28217</v>
      </c>
      <c r="F9096" t="s">
        <v>1892</v>
      </c>
      <c r="G9096" t="s">
        <v>44</v>
      </c>
      <c r="H9096" t="s">
        <v>20</v>
      </c>
      <c r="I9096" t="s">
        <v>17641</v>
      </c>
      <c r="J9096" t="str">
        <f>HYPERLINK("https://www.boe.es/gazeta/dias/1822/09/28/pdfs/GMD-1822-284.pdf#page=1","Abrir facsímil")</f>
        <v>Abrir facsímil</v>
      </c>
      <c r="K9096" t="s">
        <v>22</v>
      </c>
    </row>
    <row r="9097" spans="1:11" ht="42" customHeight="1">
      <c r="A9097" t="s">
        <v>17642</v>
      </c>
      <c r="B9097" t="s">
        <v>17642</v>
      </c>
      <c r="C9097" t="s">
        <v>28</v>
      </c>
      <c r="D9097" t="s">
        <v>29</v>
      </c>
      <c r="E9097" s="6">
        <v>-28379</v>
      </c>
      <c r="F9097" t="s">
        <v>494</v>
      </c>
      <c r="G9097" t="s">
        <v>63</v>
      </c>
      <c r="H9097" t="s">
        <v>20</v>
      </c>
      <c r="I9097" t="s">
        <v>17643</v>
      </c>
      <c r="J9097" t="str">
        <f>HYPERLINK("https://www.boe.es/gazeta/dias/1822/04/19/pdfs/GMD-1822-111.pdf#page=6","Abrir facsímil")</f>
        <v>Abrir facsímil</v>
      </c>
      <c r="K9097" t="s">
        <v>22</v>
      </c>
    </row>
    <row r="9098" spans="1:11" ht="42" customHeight="1">
      <c r="A9098" t="s">
        <v>17644</v>
      </c>
      <c r="B9098" t="s">
        <v>17645</v>
      </c>
      <c r="C9098" t="s">
        <v>16</v>
      </c>
      <c r="D9098" t="s">
        <v>17</v>
      </c>
      <c r="E9098" s="6">
        <v>-28225</v>
      </c>
      <c r="F9098" t="s">
        <v>177</v>
      </c>
      <c r="G9098" t="s">
        <v>178</v>
      </c>
      <c r="H9098" t="s">
        <v>20</v>
      </c>
      <c r="I9098" t="s">
        <v>17646</v>
      </c>
      <c r="J9098" t="str">
        <f>HYPERLINK("https://www.boe.es/gazeta/dias/1822/09/20/pdfs/GMD-1822-276.pdf#page=3","Abrir facsímil")</f>
        <v>Abrir facsímil</v>
      </c>
      <c r="K9098" t="s">
        <v>22</v>
      </c>
    </row>
    <row r="9099" spans="1:11" ht="42" customHeight="1">
      <c r="A9099" t="s">
        <v>17647</v>
      </c>
      <c r="B9099" t="s">
        <v>17648</v>
      </c>
      <c r="C9099" t="s">
        <v>50</v>
      </c>
      <c r="D9099" t="s">
        <v>51</v>
      </c>
      <c r="E9099" s="6">
        <v>-28222</v>
      </c>
      <c r="F9099" t="s">
        <v>2027</v>
      </c>
      <c r="G9099" t="s">
        <v>57</v>
      </c>
      <c r="H9099" t="s">
        <v>20</v>
      </c>
      <c r="I9099" t="s">
        <v>17649</v>
      </c>
      <c r="J9099" t="str">
        <f>HYPERLINK("https://www.boe.es/gazeta/dias/1822/09/23/pdfs/GMD-1822-279.pdf#page=4","Abrir facsímil")</f>
        <v>Abrir facsímil</v>
      </c>
      <c r="K9099" t="s">
        <v>22</v>
      </c>
    </row>
    <row r="9100" spans="1:11" ht="42" customHeight="1">
      <c r="A9100" t="s">
        <v>17650</v>
      </c>
      <c r="B9100" t="s">
        <v>17650</v>
      </c>
      <c r="C9100" t="s">
        <v>50</v>
      </c>
      <c r="D9100" t="s">
        <v>51</v>
      </c>
      <c r="E9100" s="6">
        <v>-28303</v>
      </c>
      <c r="F9100" t="s">
        <v>201</v>
      </c>
      <c r="G9100" t="s">
        <v>57</v>
      </c>
      <c r="H9100" t="s">
        <v>20</v>
      </c>
      <c r="I9100" t="s">
        <v>17651</v>
      </c>
      <c r="J9100" t="str">
        <f>HYPERLINK("https://www.boe.es/gazeta/dias/1822/07/04/pdfs/GMD-1822-193.pdf#page=4","Abrir facsímil")</f>
        <v>Abrir facsímil</v>
      </c>
      <c r="K9100" t="s">
        <v>22</v>
      </c>
    </row>
    <row r="9101" spans="1:11" ht="42" customHeight="1">
      <c r="A9101" t="s">
        <v>17652</v>
      </c>
      <c r="B9101" t="s">
        <v>17653</v>
      </c>
      <c r="C9101" t="s">
        <v>50</v>
      </c>
      <c r="D9101" t="s">
        <v>51</v>
      </c>
      <c r="E9101" s="6">
        <v>-28210</v>
      </c>
      <c r="F9101" t="s">
        <v>218</v>
      </c>
      <c r="G9101" t="s">
        <v>19</v>
      </c>
      <c r="H9101" t="s">
        <v>20</v>
      </c>
      <c r="I9101" t="s">
        <v>17654</v>
      </c>
      <c r="J9101" t="str">
        <f>HYPERLINK("https://www.boe.es/gazeta/dias/1822/10/05/pdfs/GMD-1822-291.pdf#page=5","Abrir facsímil")</f>
        <v>Abrir facsímil</v>
      </c>
      <c r="K9101" t="s">
        <v>22</v>
      </c>
    </row>
    <row r="9102" spans="1:11" ht="42" customHeight="1">
      <c r="A9102" t="s">
        <v>17655</v>
      </c>
      <c r="B9102" t="s">
        <v>17656</v>
      </c>
      <c r="C9102" t="s">
        <v>50</v>
      </c>
      <c r="D9102" t="s">
        <v>51</v>
      </c>
      <c r="E9102" s="6">
        <v>-28303</v>
      </c>
      <c r="F9102" t="s">
        <v>201</v>
      </c>
      <c r="G9102" t="s">
        <v>31</v>
      </c>
      <c r="H9102" t="s">
        <v>45</v>
      </c>
      <c r="I9102" t="s">
        <v>17657</v>
      </c>
      <c r="J9102" t="str">
        <f>HYPERLINK("https://www.boe.es/gazeta/dias/1822/07/04/pdfs/GMD-1822-193.pdf#page=3","Abrir facsímil")</f>
        <v>Abrir facsímil</v>
      </c>
      <c r="K9102" t="s">
        <v>47</v>
      </c>
    </row>
    <row r="9103" spans="1:11" ht="42" customHeight="1">
      <c r="A9103" t="s">
        <v>17658</v>
      </c>
      <c r="B9103" t="s">
        <v>17659</v>
      </c>
      <c r="C9103" t="s">
        <v>28</v>
      </c>
      <c r="D9103" t="s">
        <v>29</v>
      </c>
      <c r="E9103" s="6">
        <v>-28260</v>
      </c>
      <c r="F9103" t="s">
        <v>135</v>
      </c>
      <c r="G9103" t="s">
        <v>35</v>
      </c>
      <c r="H9103" t="s">
        <v>45</v>
      </c>
      <c r="I9103" t="s">
        <v>17660</v>
      </c>
      <c r="J9103" t="str">
        <f>HYPERLINK("https://www.boe.es/gazeta/dias/1822/08/16/pdfs/GMD-1822-240.pdf#page=2","Abrir facsímil")</f>
        <v>Abrir facsímil</v>
      </c>
      <c r="K9103" t="s">
        <v>47</v>
      </c>
    </row>
    <row r="9104" spans="1:11" ht="42" customHeight="1">
      <c r="A9104" t="s">
        <v>17661</v>
      </c>
      <c r="B9104" t="s">
        <v>17661</v>
      </c>
      <c r="C9104" t="s">
        <v>50</v>
      </c>
      <c r="D9104" t="s">
        <v>51</v>
      </c>
      <c r="E9104" s="6">
        <v>-28204</v>
      </c>
      <c r="F9104" t="s">
        <v>3190</v>
      </c>
      <c r="G9104" t="s">
        <v>19</v>
      </c>
      <c r="H9104" t="s">
        <v>20</v>
      </c>
      <c r="I9104" t="s">
        <v>17662</v>
      </c>
      <c r="J9104" t="str">
        <f>HYPERLINK("https://www.boe.es/gazeta/dias/1822/10/11/pdfs/GMD-1822-298.pdf#page=5","Abrir facsímil")</f>
        <v>Abrir facsímil</v>
      </c>
      <c r="K9104" t="s">
        <v>22</v>
      </c>
    </row>
    <row r="9105" spans="1:11" ht="42" customHeight="1">
      <c r="A9105" t="s">
        <v>17663</v>
      </c>
      <c r="B9105" t="s">
        <v>17664</v>
      </c>
      <c r="C9105" t="s">
        <v>28</v>
      </c>
      <c r="D9105" t="s">
        <v>29</v>
      </c>
      <c r="E9105" s="6">
        <v>-28432</v>
      </c>
      <c r="F9105" t="s">
        <v>195</v>
      </c>
      <c r="G9105" t="s">
        <v>57</v>
      </c>
      <c r="H9105" t="s">
        <v>20</v>
      </c>
      <c r="I9105" t="s">
        <v>17665</v>
      </c>
      <c r="J9105" t="str">
        <f>HYPERLINK("https://www.boe.es/gazeta/dias/1822/02/25/pdfs/GMD-1822-57.pdf#page=4","Abrir facsímil")</f>
        <v>Abrir facsímil</v>
      </c>
      <c r="K9105" t="s">
        <v>22</v>
      </c>
    </row>
    <row r="9106" spans="1:11" ht="42" customHeight="1">
      <c r="A9106" t="s">
        <v>17666</v>
      </c>
      <c r="B9106" t="s">
        <v>17666</v>
      </c>
      <c r="C9106" t="s">
        <v>42</v>
      </c>
      <c r="D9106" t="s">
        <v>17</v>
      </c>
      <c r="E9106" s="6">
        <v>-28347</v>
      </c>
      <c r="F9106" t="s">
        <v>520</v>
      </c>
      <c r="G9106" t="s">
        <v>19</v>
      </c>
      <c r="H9106" t="s">
        <v>20</v>
      </c>
      <c r="I9106" t="s">
        <v>17667</v>
      </c>
      <c r="J9106" t="str">
        <f>HYPERLINK("https://www.boe.es/gazeta/dias/1822/05/21/pdfs/GMD-1822-144.pdf#page=5","Abrir facsímil")</f>
        <v>Abrir facsímil</v>
      </c>
      <c r="K9106" t="s">
        <v>22</v>
      </c>
    </row>
    <row r="9107" spans="1:11" ht="42" customHeight="1">
      <c r="A9107" t="s">
        <v>17668</v>
      </c>
      <c r="B9107" t="s">
        <v>17668</v>
      </c>
      <c r="C9107" t="s">
        <v>71</v>
      </c>
      <c r="D9107" t="s">
        <v>17</v>
      </c>
      <c r="E9107" s="6">
        <v>-28152</v>
      </c>
      <c r="F9107" t="s">
        <v>122</v>
      </c>
      <c r="G9107" t="s">
        <v>35</v>
      </c>
      <c r="H9107" t="s">
        <v>20</v>
      </c>
      <c r="I9107" t="s">
        <v>17669</v>
      </c>
      <c r="J9107" t="str">
        <f>HYPERLINK("https://www.boe.es/gazeta/dias/1822/12/02/pdfs/GMD-1822-352.pdf#page=2","Abrir facsímil")</f>
        <v>Abrir facsímil</v>
      </c>
      <c r="K9107" t="s">
        <v>22</v>
      </c>
    </row>
    <row r="9108" spans="1:11" ht="42" customHeight="1">
      <c r="A9108" t="s">
        <v>17670</v>
      </c>
      <c r="B9108" t="s">
        <v>17670</v>
      </c>
      <c r="C9108" t="s">
        <v>362</v>
      </c>
      <c r="D9108" t="s">
        <v>17</v>
      </c>
      <c r="E9108" s="6">
        <v>-28229</v>
      </c>
      <c r="F9108" t="s">
        <v>2310</v>
      </c>
      <c r="G9108" t="s">
        <v>31</v>
      </c>
      <c r="H9108" t="s">
        <v>20</v>
      </c>
      <c r="I9108" t="s">
        <v>17671</v>
      </c>
      <c r="J9108" t="str">
        <f>HYPERLINK("https://www.boe.es/gazeta/dias/1822/09/16/pdfs/GMD-1822-272.pdf#page=3","Abrir facsímil")</f>
        <v>Abrir facsímil</v>
      </c>
      <c r="K9108" t="s">
        <v>22</v>
      </c>
    </row>
    <row r="9109" spans="1:11" ht="42" customHeight="1">
      <c r="A9109" t="s">
        <v>17672</v>
      </c>
      <c r="B9109" t="s">
        <v>17672</v>
      </c>
      <c r="C9109" t="s">
        <v>50</v>
      </c>
      <c r="D9109" t="s">
        <v>51</v>
      </c>
      <c r="E9109" s="6">
        <v>-28137</v>
      </c>
      <c r="F9109" t="s">
        <v>312</v>
      </c>
      <c r="G9109" t="s">
        <v>63</v>
      </c>
      <c r="H9109" t="s">
        <v>20</v>
      </c>
      <c r="I9109" t="s">
        <v>17673</v>
      </c>
      <c r="J9109" t="str">
        <f>HYPERLINK("https://www.boe.es/gazeta/dias/1822/12/17/pdfs/GMD-1822-367.pdf#page=6","Abrir facsímil")</f>
        <v>Abrir facsímil</v>
      </c>
      <c r="K9109" t="s">
        <v>22</v>
      </c>
    </row>
    <row r="9110" spans="1:11" ht="42" customHeight="1">
      <c r="A9110" t="s">
        <v>17674</v>
      </c>
      <c r="B9110" t="s">
        <v>17675</v>
      </c>
      <c r="C9110" t="s">
        <v>28</v>
      </c>
      <c r="D9110" t="s">
        <v>29</v>
      </c>
      <c r="E9110" s="6">
        <v>-28189</v>
      </c>
      <c r="F9110" t="s">
        <v>645</v>
      </c>
      <c r="G9110" t="s">
        <v>63</v>
      </c>
      <c r="H9110" t="s">
        <v>20</v>
      </c>
      <c r="I9110" t="s">
        <v>17676</v>
      </c>
      <c r="J9110" t="str">
        <f>HYPERLINK("https://www.boe.es/gazeta/dias/1822/10/26/pdfs/GMD-1822-313.pdf#page=6","Abrir facsímil")</f>
        <v>Abrir facsímil</v>
      </c>
      <c r="K9110" t="s">
        <v>22</v>
      </c>
    </row>
    <row r="9111" spans="1:11" ht="42" customHeight="1">
      <c r="A9111" t="s">
        <v>17677</v>
      </c>
      <c r="B9111" t="s">
        <v>17678</v>
      </c>
      <c r="C9111" t="s">
        <v>50</v>
      </c>
      <c r="D9111" t="s">
        <v>51</v>
      </c>
      <c r="E9111" s="6">
        <v>-28256</v>
      </c>
      <c r="F9111" t="s">
        <v>1949</v>
      </c>
      <c r="G9111" t="s">
        <v>35</v>
      </c>
      <c r="H9111" t="s">
        <v>20</v>
      </c>
      <c r="I9111" t="s">
        <v>17679</v>
      </c>
      <c r="J9111" t="str">
        <f>HYPERLINK("https://www.boe.es/gazeta/dias/1822/08/20/pdfs/GMD-1822-244.pdf#page=2","Abrir facsímil")</f>
        <v>Abrir facsímil</v>
      </c>
      <c r="K9111" t="s">
        <v>22</v>
      </c>
    </row>
    <row r="9112" spans="1:11" ht="42" customHeight="1">
      <c r="A9112" t="s">
        <v>17680</v>
      </c>
      <c r="B9112" t="s">
        <v>17680</v>
      </c>
      <c r="C9112" t="s">
        <v>28</v>
      </c>
      <c r="D9112" t="s">
        <v>29</v>
      </c>
      <c r="E9112" s="6">
        <v>-28297</v>
      </c>
      <c r="F9112" t="s">
        <v>1972</v>
      </c>
      <c r="G9112" t="s">
        <v>44</v>
      </c>
      <c r="H9112" t="s">
        <v>20</v>
      </c>
      <c r="I9112" t="s">
        <v>17681</v>
      </c>
      <c r="J9112" t="str">
        <f>HYPERLINK("https://www.boe.es/gazeta/dias/1822/07/10/pdfs/GMD-1822-200.pdf#page=1","Abrir facsímil")</f>
        <v>Abrir facsímil</v>
      </c>
      <c r="K9112" t="s">
        <v>22</v>
      </c>
    </row>
    <row r="9113" spans="1:11" ht="42" customHeight="1">
      <c r="A9113" t="s">
        <v>17682</v>
      </c>
      <c r="B9113" t="s">
        <v>17682</v>
      </c>
      <c r="C9113" t="s">
        <v>42</v>
      </c>
      <c r="D9113" t="s">
        <v>17</v>
      </c>
      <c r="E9113" s="6">
        <v>-28319</v>
      </c>
      <c r="F9113" t="s">
        <v>271</v>
      </c>
      <c r="G9113" t="s">
        <v>57</v>
      </c>
      <c r="H9113" t="s">
        <v>20</v>
      </c>
      <c r="I9113" t="s">
        <v>17683</v>
      </c>
      <c r="J9113" t="str">
        <f>HYPERLINK("https://www.boe.es/gazeta/dias/1822/06/18/pdfs/GMD-1822-175.pdf#page=4","Abrir facsímil")</f>
        <v>Abrir facsímil</v>
      </c>
      <c r="K9113" t="s">
        <v>22</v>
      </c>
    </row>
    <row r="9114" spans="1:11" ht="42" customHeight="1">
      <c r="A9114" t="s">
        <v>17684</v>
      </c>
      <c r="B9114" t="s">
        <v>17684</v>
      </c>
      <c r="C9114" t="s">
        <v>50</v>
      </c>
      <c r="D9114" t="s">
        <v>51</v>
      </c>
      <c r="E9114" s="6">
        <v>-28427</v>
      </c>
      <c r="F9114" t="s">
        <v>755</v>
      </c>
      <c r="G9114" t="s">
        <v>44</v>
      </c>
      <c r="H9114" t="s">
        <v>20</v>
      </c>
      <c r="I9114" t="s">
        <v>17685</v>
      </c>
      <c r="J9114" t="str">
        <f>HYPERLINK("https://www.boe.es/gazeta/dias/1822/03/02/pdfs/GMD-1822-63.pdf#page=1","Abrir facsímil")</f>
        <v>Abrir facsímil</v>
      </c>
      <c r="K9114" t="s">
        <v>22</v>
      </c>
    </row>
    <row r="9115" spans="1:11" ht="42" customHeight="1">
      <c r="A9115" t="s">
        <v>17686</v>
      </c>
      <c r="B9115" t="s">
        <v>17686</v>
      </c>
      <c r="C9115" t="s">
        <v>16</v>
      </c>
      <c r="D9115" t="s">
        <v>17</v>
      </c>
      <c r="E9115" s="6">
        <v>-28380</v>
      </c>
      <c r="F9115" t="s">
        <v>492</v>
      </c>
      <c r="G9115" t="s">
        <v>57</v>
      </c>
      <c r="H9115" t="s">
        <v>20</v>
      </c>
      <c r="I9115" t="s">
        <v>17687</v>
      </c>
      <c r="J9115" t="str">
        <f>HYPERLINK("https://www.boe.es/gazeta/dias/1822/04/18/pdfs/GMD-1822-110.pdf#page=4","Abrir facsímil")</f>
        <v>Abrir facsímil</v>
      </c>
      <c r="K9115" t="s">
        <v>22</v>
      </c>
    </row>
    <row r="9116" spans="1:11" ht="42" customHeight="1">
      <c r="A9116" t="s">
        <v>17686</v>
      </c>
      <c r="B9116" t="s">
        <v>17686</v>
      </c>
      <c r="C9116" t="s">
        <v>42</v>
      </c>
      <c r="D9116" t="s">
        <v>17</v>
      </c>
      <c r="E9116" s="6">
        <v>-28347</v>
      </c>
      <c r="F9116" t="s">
        <v>520</v>
      </c>
      <c r="G9116" t="s">
        <v>35</v>
      </c>
      <c r="H9116" t="s">
        <v>20</v>
      </c>
      <c r="I9116" t="s">
        <v>17688</v>
      </c>
      <c r="J9116" t="str">
        <f>HYPERLINK("https://www.boe.es/gazeta/dias/1822/05/21/pdfs/GMD-1822-144.pdf#page=2","Abrir facsímil")</f>
        <v>Abrir facsímil</v>
      </c>
      <c r="K9116" t="s">
        <v>22</v>
      </c>
    </row>
    <row r="9117" spans="1:11" ht="42" customHeight="1">
      <c r="A9117" t="s">
        <v>17686</v>
      </c>
      <c r="B9117" t="s">
        <v>17686</v>
      </c>
      <c r="C9117" t="s">
        <v>42</v>
      </c>
      <c r="D9117" t="s">
        <v>17</v>
      </c>
      <c r="E9117" s="6">
        <v>-28197</v>
      </c>
      <c r="F9117" t="s">
        <v>568</v>
      </c>
      <c r="G9117" t="s">
        <v>57</v>
      </c>
      <c r="H9117" t="s">
        <v>20</v>
      </c>
      <c r="I9117" t="s">
        <v>17689</v>
      </c>
      <c r="J9117" t="str">
        <f>HYPERLINK("https://www.boe.es/gazeta/dias/1822/10/18/pdfs/GMD-1822-305.pdf#page=4","Abrir facsímil")</f>
        <v>Abrir facsímil</v>
      </c>
      <c r="K9117" t="s">
        <v>22</v>
      </c>
    </row>
    <row r="9118" spans="1:11" ht="42" customHeight="1">
      <c r="A9118" t="s">
        <v>17690</v>
      </c>
      <c r="B9118" t="s">
        <v>17690</v>
      </c>
      <c r="C9118" t="s">
        <v>42</v>
      </c>
      <c r="D9118" t="s">
        <v>17</v>
      </c>
      <c r="E9118" s="6">
        <v>-28372</v>
      </c>
      <c r="F9118" t="s">
        <v>503</v>
      </c>
      <c r="G9118" t="s">
        <v>35</v>
      </c>
      <c r="H9118" t="s">
        <v>20</v>
      </c>
      <c r="I9118" t="s">
        <v>17691</v>
      </c>
      <c r="J9118" t="str">
        <f>HYPERLINK("https://www.boe.es/gazeta/dias/1822/04/26/pdfs/GMD-1822-118.pdf#page=2","Abrir facsímil")</f>
        <v>Abrir facsímil</v>
      </c>
      <c r="K9118" t="s">
        <v>22</v>
      </c>
    </row>
    <row r="9119" spans="1:11" ht="42" customHeight="1">
      <c r="A9119" t="s">
        <v>17692</v>
      </c>
      <c r="B9119" t="s">
        <v>17692</v>
      </c>
      <c r="C9119" t="s">
        <v>42</v>
      </c>
      <c r="D9119" t="s">
        <v>17</v>
      </c>
      <c r="E9119" s="6">
        <v>-28347</v>
      </c>
      <c r="F9119" t="s">
        <v>520</v>
      </c>
      <c r="G9119" t="s">
        <v>19</v>
      </c>
      <c r="H9119" t="s">
        <v>20</v>
      </c>
      <c r="I9119" t="s">
        <v>17693</v>
      </c>
      <c r="J9119" t="str">
        <f>HYPERLINK("https://www.boe.es/gazeta/dias/1822/05/21/pdfs/GMD-1822-144.pdf#page=5","Abrir facsímil")</f>
        <v>Abrir facsímil</v>
      </c>
      <c r="K9119" t="s">
        <v>22</v>
      </c>
    </row>
    <row r="9120" spans="1:11" ht="42" customHeight="1">
      <c r="A9120" t="s">
        <v>17694</v>
      </c>
      <c r="B9120" t="s">
        <v>17695</v>
      </c>
      <c r="C9120" t="s">
        <v>42</v>
      </c>
      <c r="D9120" t="s">
        <v>17</v>
      </c>
      <c r="E9120" s="6">
        <v>-28245</v>
      </c>
      <c r="F9120" t="s">
        <v>2307</v>
      </c>
      <c r="G9120" t="s">
        <v>44</v>
      </c>
      <c r="H9120" t="s">
        <v>20</v>
      </c>
      <c r="I9120" t="s">
        <v>17696</v>
      </c>
      <c r="J9120" t="str">
        <f>HYPERLINK("https://www.boe.es/gazeta/dias/1822/08/31/pdfs/GMD-1822-255.pdf#page=1","Abrir facsímil")</f>
        <v>Abrir facsímil</v>
      </c>
      <c r="K9120" t="s">
        <v>22</v>
      </c>
    </row>
    <row r="9121" spans="1:11" ht="42" customHeight="1">
      <c r="A9121" t="s">
        <v>17697</v>
      </c>
      <c r="B9121" t="s">
        <v>17697</v>
      </c>
      <c r="C9121" t="s">
        <v>50</v>
      </c>
      <c r="D9121" t="s">
        <v>51</v>
      </c>
      <c r="E9121" s="6">
        <v>-28176</v>
      </c>
      <c r="F9121" t="s">
        <v>780</v>
      </c>
      <c r="G9121" t="s">
        <v>19</v>
      </c>
      <c r="H9121" t="s">
        <v>20</v>
      </c>
      <c r="I9121" t="s">
        <v>17698</v>
      </c>
      <c r="J9121" t="str">
        <f>HYPERLINK("https://www.boe.es/gazeta/dias/1822/11/08/pdfs/GMD-1822-328.pdf#page=5","Abrir facsímil")</f>
        <v>Abrir facsímil</v>
      </c>
      <c r="K9121" t="s">
        <v>22</v>
      </c>
    </row>
    <row r="9122" spans="1:11" ht="42" customHeight="1">
      <c r="A9122" t="s">
        <v>17699</v>
      </c>
      <c r="B9122" t="s">
        <v>17700</v>
      </c>
      <c r="C9122" t="s">
        <v>28</v>
      </c>
      <c r="D9122" t="s">
        <v>29</v>
      </c>
      <c r="E9122" s="6">
        <v>-28436</v>
      </c>
      <c r="F9122" t="s">
        <v>431</v>
      </c>
      <c r="G9122" t="s">
        <v>1428</v>
      </c>
      <c r="H9122" t="s">
        <v>20</v>
      </c>
      <c r="I9122" t="s">
        <v>17701</v>
      </c>
      <c r="J9122" t="str">
        <f>HYPERLINK("https://www.boe.es/gazeta/dias/1822/02/21/pdfs/GMD-1822-53.pdf#page=3","Abrir facsímil")</f>
        <v>Abrir facsímil</v>
      </c>
      <c r="K9122" t="s">
        <v>22</v>
      </c>
    </row>
    <row r="9123" spans="1:11" ht="42" customHeight="1">
      <c r="A9123" t="s">
        <v>17702</v>
      </c>
      <c r="B9123" t="s">
        <v>17702</v>
      </c>
      <c r="C9123" t="s">
        <v>50</v>
      </c>
      <c r="D9123" t="s">
        <v>51</v>
      </c>
      <c r="E9123" s="6">
        <v>-28417</v>
      </c>
      <c r="F9123" t="s">
        <v>1394</v>
      </c>
      <c r="G9123" t="s">
        <v>31</v>
      </c>
      <c r="H9123" t="s">
        <v>20</v>
      </c>
      <c r="I9123" t="s">
        <v>17703</v>
      </c>
      <c r="J9123" t="str">
        <f>HYPERLINK("https://www.boe.es/gazeta/dias/1822/03/12/pdfs/GMD-1822-73.pdf#page=3","Abrir facsímil")</f>
        <v>Abrir facsímil</v>
      </c>
      <c r="K9123" t="s">
        <v>22</v>
      </c>
    </row>
    <row r="9124" spans="1:11" ht="42" customHeight="1">
      <c r="A9124" t="s">
        <v>17702</v>
      </c>
      <c r="B9124" t="s">
        <v>17702</v>
      </c>
      <c r="C9124" t="s">
        <v>42</v>
      </c>
      <c r="D9124" t="s">
        <v>17</v>
      </c>
      <c r="E9124" s="6">
        <v>-28388</v>
      </c>
      <c r="F9124" t="s">
        <v>1268</v>
      </c>
      <c r="G9124" t="s">
        <v>57</v>
      </c>
      <c r="H9124" t="s">
        <v>20</v>
      </c>
      <c r="I9124" t="s">
        <v>17704</v>
      </c>
      <c r="J9124" t="str">
        <f>HYPERLINK("https://www.boe.es/gazeta/dias/1822/04/10/pdfs/GMD-1822-102.pdf#page=4","Abrir facsímil")</f>
        <v>Abrir facsímil</v>
      </c>
      <c r="K9124" t="s">
        <v>22</v>
      </c>
    </row>
    <row r="9125" spans="1:11" ht="42" customHeight="1">
      <c r="A9125" t="s">
        <v>17702</v>
      </c>
      <c r="B9125" t="s">
        <v>17702</v>
      </c>
      <c r="C9125" t="s">
        <v>71</v>
      </c>
      <c r="D9125" t="s">
        <v>17</v>
      </c>
      <c r="E9125" s="6">
        <v>-28382</v>
      </c>
      <c r="F9125" t="s">
        <v>973</v>
      </c>
      <c r="G9125" t="s">
        <v>57</v>
      </c>
      <c r="H9125" t="s">
        <v>20</v>
      </c>
      <c r="I9125" t="s">
        <v>17705</v>
      </c>
      <c r="J9125" t="str">
        <f>HYPERLINK("https://www.boe.es/gazeta/dias/1822/04/16/pdfs/GMD-1822-108.pdf#page=4","Abrir facsímil")</f>
        <v>Abrir facsímil</v>
      </c>
      <c r="K9125" t="s">
        <v>22</v>
      </c>
    </row>
    <row r="9126" spans="1:11" ht="42" customHeight="1">
      <c r="A9126" t="s">
        <v>17702</v>
      </c>
      <c r="B9126" t="s">
        <v>17702</v>
      </c>
      <c r="C9126" t="s">
        <v>28</v>
      </c>
      <c r="D9126" t="s">
        <v>29</v>
      </c>
      <c r="E9126" s="6">
        <v>-28360</v>
      </c>
      <c r="F9126" t="s">
        <v>514</v>
      </c>
      <c r="G9126" t="s">
        <v>57</v>
      </c>
      <c r="H9126" t="s">
        <v>20</v>
      </c>
      <c r="I9126" t="s">
        <v>17706</v>
      </c>
      <c r="J9126" t="str">
        <f>HYPERLINK("https://www.boe.es/gazeta/dias/1822/05/08/pdfs/GMD-1822-130.pdf#page=4","Abrir facsímil")</f>
        <v>Abrir facsímil</v>
      </c>
      <c r="K9126" t="s">
        <v>22</v>
      </c>
    </row>
    <row r="9127" spans="1:11" ht="42" customHeight="1">
      <c r="A9127" t="s">
        <v>17702</v>
      </c>
      <c r="B9127" t="s">
        <v>17702</v>
      </c>
      <c r="C9127" t="s">
        <v>71</v>
      </c>
      <c r="D9127" t="s">
        <v>17</v>
      </c>
      <c r="E9127" s="6">
        <v>-28359</v>
      </c>
      <c r="F9127" t="s">
        <v>209</v>
      </c>
      <c r="G9127" t="s">
        <v>35</v>
      </c>
      <c r="H9127" t="s">
        <v>20</v>
      </c>
      <c r="I9127" t="s">
        <v>17707</v>
      </c>
      <c r="J9127" t="str">
        <f>HYPERLINK("https://www.boe.es/gazeta/dias/1822/05/09/pdfs/GMD-1822-131.pdf#page=2","Abrir facsímil")</f>
        <v>Abrir facsímil</v>
      </c>
      <c r="K9127" t="s">
        <v>22</v>
      </c>
    </row>
    <row r="9128" spans="1:11" ht="42" customHeight="1">
      <c r="A9128" t="s">
        <v>17702</v>
      </c>
      <c r="B9128" t="s">
        <v>17702</v>
      </c>
      <c r="C9128" t="s">
        <v>71</v>
      </c>
      <c r="D9128" t="s">
        <v>17</v>
      </c>
      <c r="E9128" s="6">
        <v>-28359</v>
      </c>
      <c r="F9128" t="s">
        <v>209</v>
      </c>
      <c r="G9128" t="s">
        <v>57</v>
      </c>
      <c r="H9128" t="s">
        <v>20</v>
      </c>
      <c r="I9128" t="s">
        <v>17708</v>
      </c>
      <c r="J9128" t="str">
        <f>HYPERLINK("https://www.boe.es/gazeta/dias/1822/05/09/pdfs/GMD-1822-131.pdf#page=4","Abrir facsímil")</f>
        <v>Abrir facsímil</v>
      </c>
      <c r="K9128" t="s">
        <v>22</v>
      </c>
    </row>
    <row r="9129" spans="1:11" ht="42" customHeight="1">
      <c r="A9129" t="s">
        <v>17702</v>
      </c>
      <c r="B9129" t="s">
        <v>17702</v>
      </c>
      <c r="C9129" t="s">
        <v>50</v>
      </c>
      <c r="D9129" t="s">
        <v>51</v>
      </c>
      <c r="E9129" s="6">
        <v>-28309</v>
      </c>
      <c r="F9129" t="s">
        <v>553</v>
      </c>
      <c r="G9129" t="s">
        <v>63</v>
      </c>
      <c r="H9129" t="s">
        <v>20</v>
      </c>
      <c r="I9129" t="s">
        <v>17709</v>
      </c>
      <c r="J9129" t="str">
        <f>HYPERLINK("https://www.boe.es/gazeta/dias/1822/06/28/pdfs/GMD-1822-186.pdf#page=6","Abrir facsímil")</f>
        <v>Abrir facsímil</v>
      </c>
      <c r="K9129" t="s">
        <v>22</v>
      </c>
    </row>
    <row r="9130" spans="1:11" ht="42" customHeight="1">
      <c r="A9130" t="s">
        <v>17710</v>
      </c>
      <c r="B9130" t="s">
        <v>17711</v>
      </c>
      <c r="C9130" t="s">
        <v>50</v>
      </c>
      <c r="D9130" t="s">
        <v>51</v>
      </c>
      <c r="E9130" s="6">
        <v>-28330</v>
      </c>
      <c r="F9130" t="s">
        <v>896</v>
      </c>
      <c r="G9130" t="s">
        <v>57</v>
      </c>
      <c r="H9130" t="s">
        <v>20</v>
      </c>
      <c r="I9130" t="s">
        <v>17712</v>
      </c>
      <c r="J9130" t="str">
        <f>HYPERLINK("https://www.boe.es/gazeta/dias/1822/06/07/pdfs/GMD-1822-164.pdf#page=4","Abrir facsímil")</f>
        <v>Abrir facsímil</v>
      </c>
      <c r="K9130" t="s">
        <v>22</v>
      </c>
    </row>
    <row r="9131" spans="1:11" ht="42" customHeight="1">
      <c r="A9131" t="s">
        <v>17713</v>
      </c>
      <c r="B9131" t="s">
        <v>17714</v>
      </c>
      <c r="C9131" t="s">
        <v>50</v>
      </c>
      <c r="D9131" t="s">
        <v>51</v>
      </c>
      <c r="E9131" s="6">
        <v>-28290</v>
      </c>
      <c r="F9131" t="s">
        <v>706</v>
      </c>
      <c r="G9131" t="s">
        <v>57</v>
      </c>
      <c r="H9131" t="s">
        <v>20</v>
      </c>
      <c r="I9131" t="s">
        <v>17715</v>
      </c>
      <c r="J9131" t="str">
        <f>HYPERLINK("https://www.boe.es/gazeta/dias/1822/07/17/pdfs/GMD-1822-207.pdf#page=4","Abrir facsímil")</f>
        <v>Abrir facsímil</v>
      </c>
      <c r="K9131" t="s">
        <v>22</v>
      </c>
    </row>
    <row r="9132" spans="1:11" ht="42" customHeight="1">
      <c r="A9132" t="s">
        <v>17716</v>
      </c>
      <c r="B9132" t="s">
        <v>17717</v>
      </c>
      <c r="C9132" t="s">
        <v>50</v>
      </c>
      <c r="D9132" t="s">
        <v>51</v>
      </c>
      <c r="E9132" s="6">
        <v>-28417</v>
      </c>
      <c r="F9132" t="s">
        <v>1394</v>
      </c>
      <c r="G9132" t="s">
        <v>31</v>
      </c>
      <c r="H9132" t="s">
        <v>20</v>
      </c>
      <c r="I9132" t="s">
        <v>17718</v>
      </c>
      <c r="J9132" t="str">
        <f>HYPERLINK("https://www.boe.es/gazeta/dias/1822/03/12/pdfs/GMD-1822-73.pdf#page=3","Abrir facsímil")</f>
        <v>Abrir facsímil</v>
      </c>
      <c r="K9132" t="s">
        <v>22</v>
      </c>
    </row>
    <row r="9133" spans="1:11" ht="42" customHeight="1">
      <c r="A9133" t="s">
        <v>17719</v>
      </c>
      <c r="B9133" t="s">
        <v>17720</v>
      </c>
      <c r="C9133" t="s">
        <v>71</v>
      </c>
      <c r="D9133" t="s">
        <v>17</v>
      </c>
      <c r="E9133" s="6">
        <v>-28359</v>
      </c>
      <c r="F9133" t="s">
        <v>209</v>
      </c>
      <c r="G9133" t="s">
        <v>19</v>
      </c>
      <c r="H9133" t="s">
        <v>20</v>
      </c>
      <c r="I9133" t="s">
        <v>17721</v>
      </c>
      <c r="J9133" t="str">
        <f>HYPERLINK("https://www.boe.es/gazeta/dias/1822/05/09/pdfs/GMD-1822-131.pdf#page=5","Abrir facsímil")</f>
        <v>Abrir facsímil</v>
      </c>
      <c r="K9133" t="s">
        <v>22</v>
      </c>
    </row>
    <row r="9134" spans="1:11" ht="42" customHeight="1">
      <c r="A9134" t="s">
        <v>17722</v>
      </c>
      <c r="B9134" t="s">
        <v>17723</v>
      </c>
      <c r="C9134" t="s">
        <v>16</v>
      </c>
      <c r="D9134" t="s">
        <v>17</v>
      </c>
      <c r="E9134" s="6">
        <v>-28398</v>
      </c>
      <c r="F9134" t="s">
        <v>1961</v>
      </c>
      <c r="G9134" t="s">
        <v>31</v>
      </c>
      <c r="H9134" t="s">
        <v>20</v>
      </c>
      <c r="I9134" t="s">
        <v>17724</v>
      </c>
      <c r="J9134" t="str">
        <f>HYPERLINK("https://www.boe.es/gazeta/dias/1822/03/31/pdfs/GMD-1822-92.pdf#page=3","Abrir facsímil")</f>
        <v>Abrir facsímil</v>
      </c>
      <c r="K9134" t="s">
        <v>22</v>
      </c>
    </row>
    <row r="9135" spans="1:11" ht="42" customHeight="1">
      <c r="A9135" t="s">
        <v>17725</v>
      </c>
      <c r="B9135" t="s">
        <v>17725</v>
      </c>
      <c r="C9135" t="s">
        <v>16</v>
      </c>
      <c r="D9135" t="s">
        <v>17</v>
      </c>
      <c r="E9135" s="6">
        <v>-28308</v>
      </c>
      <c r="F9135" t="s">
        <v>1050</v>
      </c>
      <c r="G9135" t="s">
        <v>167</v>
      </c>
      <c r="H9135" t="s">
        <v>20</v>
      </c>
      <c r="I9135" t="s">
        <v>17726</v>
      </c>
      <c r="J9135" t="str">
        <f>HYPERLINK("https://www.boe.es/gazeta/dias/1822/06/29/pdfs/GMD-1822-187.pdf#page=7","Abrir facsímil")</f>
        <v>Abrir facsímil</v>
      </c>
      <c r="K9135" t="s">
        <v>22</v>
      </c>
    </row>
    <row r="9136" spans="1:11" ht="42" customHeight="1">
      <c r="A9136" t="s">
        <v>17727</v>
      </c>
      <c r="B9136" t="s">
        <v>17728</v>
      </c>
      <c r="C9136" t="s">
        <v>50</v>
      </c>
      <c r="D9136" t="s">
        <v>51</v>
      </c>
      <c r="E9136" s="6">
        <v>-28264</v>
      </c>
      <c r="F9136" t="s">
        <v>1329</v>
      </c>
      <c r="G9136" t="s">
        <v>57</v>
      </c>
      <c r="H9136" t="s">
        <v>20</v>
      </c>
      <c r="I9136" t="s">
        <v>17729</v>
      </c>
      <c r="J9136" t="str">
        <f>HYPERLINK("https://www.boe.es/gazeta/dias/1822/08/12/pdfs/GMD-1822-236.pdf#page=4","Abrir facsímil")</f>
        <v>Abrir facsímil</v>
      </c>
      <c r="K9136" t="s">
        <v>22</v>
      </c>
    </row>
    <row r="9137" spans="1:11" ht="42" customHeight="1">
      <c r="A9137" t="s">
        <v>17730</v>
      </c>
      <c r="B9137" t="s">
        <v>17731</v>
      </c>
      <c r="C9137" t="s">
        <v>42</v>
      </c>
      <c r="D9137" t="s">
        <v>17</v>
      </c>
      <c r="E9137" s="6">
        <v>-28366</v>
      </c>
      <c r="F9137" t="s">
        <v>120</v>
      </c>
      <c r="G9137" t="s">
        <v>63</v>
      </c>
      <c r="H9137" t="s">
        <v>20</v>
      </c>
      <c r="I9137" t="s">
        <v>17732</v>
      </c>
      <c r="J9137" t="str">
        <f>HYPERLINK("https://www.boe.es/gazeta/dias/1822/05/02/pdfs/GMD-1822-124.pdf#page=6","Abrir facsímil")</f>
        <v>Abrir facsímil</v>
      </c>
      <c r="K9137" t="s">
        <v>22</v>
      </c>
    </row>
    <row r="9138" spans="1:11" ht="42" customHeight="1">
      <c r="A9138" t="s">
        <v>17733</v>
      </c>
      <c r="B9138" t="s">
        <v>17734</v>
      </c>
      <c r="C9138" t="s">
        <v>28</v>
      </c>
      <c r="D9138" t="s">
        <v>29</v>
      </c>
      <c r="E9138" s="6">
        <v>-28477</v>
      </c>
      <c r="F9138" t="s">
        <v>1668</v>
      </c>
      <c r="G9138" t="s">
        <v>31</v>
      </c>
      <c r="H9138" t="s">
        <v>20</v>
      </c>
      <c r="I9138" t="s">
        <v>17735</v>
      </c>
      <c r="J9138" t="str">
        <f>HYPERLINK("https://www.boe.es/gazeta/dias/1822/01/11/pdfs/GMD-1822-11.pdf#page=3","Abrir facsímil")</f>
        <v>Abrir facsímil</v>
      </c>
      <c r="K9138" t="s">
        <v>22</v>
      </c>
    </row>
    <row r="9139" spans="1:11" ht="42" customHeight="1">
      <c r="A9139" t="s">
        <v>17733</v>
      </c>
      <c r="B9139" t="s">
        <v>17734</v>
      </c>
      <c r="C9139" t="s">
        <v>16</v>
      </c>
      <c r="D9139" t="s">
        <v>17</v>
      </c>
      <c r="E9139" s="6">
        <v>-28326</v>
      </c>
      <c r="F9139" t="s">
        <v>543</v>
      </c>
      <c r="G9139" t="s">
        <v>63</v>
      </c>
      <c r="H9139" t="s">
        <v>20</v>
      </c>
      <c r="I9139" t="s">
        <v>17736</v>
      </c>
      <c r="J9139" t="str">
        <f>HYPERLINK("https://www.boe.es/gazeta/dias/1822/06/11/pdfs/GMD-1822-168.pdf#page=6","Abrir facsímil")</f>
        <v>Abrir facsímil</v>
      </c>
      <c r="K9139" t="s">
        <v>22</v>
      </c>
    </row>
    <row r="9140" spans="1:11" ht="42" customHeight="1">
      <c r="A9140" t="s">
        <v>17737</v>
      </c>
      <c r="B9140" t="s">
        <v>17738</v>
      </c>
      <c r="C9140" t="s">
        <v>16</v>
      </c>
      <c r="D9140" t="s">
        <v>17</v>
      </c>
      <c r="E9140" s="6">
        <v>-28426</v>
      </c>
      <c r="F9140" t="s">
        <v>1178</v>
      </c>
      <c r="G9140" t="s">
        <v>31</v>
      </c>
      <c r="H9140" t="s">
        <v>20</v>
      </c>
      <c r="I9140" t="s">
        <v>17739</v>
      </c>
      <c r="J9140" t="str">
        <f>HYPERLINK("https://www.boe.es/gazeta/dias/1822/03/03/pdfs/GMD-1822-64.pdf#page=3","Abrir facsímil")</f>
        <v>Abrir facsímil</v>
      </c>
      <c r="K9140" t="s">
        <v>22</v>
      </c>
    </row>
    <row r="9141" spans="1:11" ht="42" customHeight="1">
      <c r="A9141" t="s">
        <v>17740</v>
      </c>
      <c r="B9141" t="s">
        <v>17741</v>
      </c>
      <c r="C9141" t="s">
        <v>61</v>
      </c>
      <c r="D9141" t="s">
        <v>17</v>
      </c>
      <c r="E9141" s="6">
        <v>-28467</v>
      </c>
      <c r="F9141" t="s">
        <v>1096</v>
      </c>
      <c r="G9141" t="s">
        <v>57</v>
      </c>
      <c r="H9141" t="s">
        <v>45</v>
      </c>
      <c r="I9141" t="s">
        <v>17742</v>
      </c>
      <c r="J9141" t="str">
        <f>HYPERLINK("https://www.boe.es/gazeta/dias/1822/01/21/pdfs/GMD-1822-21.pdf#page=4","Abrir facsímil")</f>
        <v>Abrir facsímil</v>
      </c>
      <c r="K9141" t="s">
        <v>47</v>
      </c>
    </row>
    <row r="9142" spans="1:11" ht="42" customHeight="1">
      <c r="A9142" t="s">
        <v>17743</v>
      </c>
      <c r="B9142" t="s">
        <v>17744</v>
      </c>
      <c r="C9142" t="s">
        <v>42</v>
      </c>
      <c r="D9142" t="s">
        <v>17</v>
      </c>
      <c r="E9142" s="6">
        <v>-28467</v>
      </c>
      <c r="F9142" t="s">
        <v>1096</v>
      </c>
      <c r="G9142" t="s">
        <v>57</v>
      </c>
      <c r="H9142" t="s">
        <v>20</v>
      </c>
      <c r="I9142" t="s">
        <v>17745</v>
      </c>
      <c r="J9142" t="str">
        <f>HYPERLINK("https://www.boe.es/gazeta/dias/1822/01/21/pdfs/GMD-1822-21.pdf#page=4","Abrir facsímil")</f>
        <v>Abrir facsímil</v>
      </c>
      <c r="K9142" t="s">
        <v>22</v>
      </c>
    </row>
    <row r="9143" spans="1:11" ht="42" customHeight="1">
      <c r="A9143" t="s">
        <v>17746</v>
      </c>
      <c r="B9143" t="s">
        <v>17747</v>
      </c>
      <c r="C9143" t="s">
        <v>24</v>
      </c>
      <c r="D9143" t="s">
        <v>17</v>
      </c>
      <c r="E9143" s="6">
        <v>-28171</v>
      </c>
      <c r="F9143" t="s">
        <v>1075</v>
      </c>
      <c r="G9143" t="s">
        <v>57</v>
      </c>
      <c r="H9143" t="s">
        <v>45</v>
      </c>
      <c r="I9143" t="s">
        <v>17748</v>
      </c>
      <c r="J9143" t="str">
        <f>HYPERLINK("https://www.boe.es/gazeta/dias/1822/11/13/pdfs/GMD-1822-333.pdf#page=4","Abrir facsímil")</f>
        <v>Abrir facsímil</v>
      </c>
      <c r="K9143" t="s">
        <v>47</v>
      </c>
    </row>
    <row r="9144" spans="1:11" ht="42" customHeight="1">
      <c r="A9144" t="s">
        <v>17749</v>
      </c>
      <c r="B9144" t="s">
        <v>17750</v>
      </c>
      <c r="C9144" t="s">
        <v>50</v>
      </c>
      <c r="D9144" t="s">
        <v>51</v>
      </c>
      <c r="E9144" s="6">
        <v>-28366</v>
      </c>
      <c r="F9144" t="s">
        <v>120</v>
      </c>
      <c r="G9144" t="s">
        <v>63</v>
      </c>
      <c r="H9144" t="s">
        <v>20</v>
      </c>
      <c r="I9144" t="s">
        <v>17751</v>
      </c>
      <c r="J9144" t="str">
        <f>HYPERLINK("https://www.boe.es/gazeta/dias/1822/05/02/pdfs/GMD-1822-124.pdf#page=6","Abrir facsímil")</f>
        <v>Abrir facsímil</v>
      </c>
      <c r="K9144" t="s">
        <v>22</v>
      </c>
    </row>
    <row r="9145" spans="1:11" ht="42" customHeight="1">
      <c r="A9145" t="s">
        <v>17752</v>
      </c>
      <c r="B9145" t="s">
        <v>17753</v>
      </c>
      <c r="C9145" t="s">
        <v>42</v>
      </c>
      <c r="D9145" t="s">
        <v>17</v>
      </c>
      <c r="E9145" s="6">
        <v>-28271</v>
      </c>
      <c r="F9145" t="s">
        <v>4942</v>
      </c>
      <c r="G9145" t="s">
        <v>57</v>
      </c>
      <c r="H9145" t="s">
        <v>20</v>
      </c>
      <c r="I9145" t="s">
        <v>17754</v>
      </c>
      <c r="J9145" t="str">
        <f>HYPERLINK("https://www.boe.es/gazeta/dias/1822/08/05/pdfs/GMD-1822-229.pdf#page=4","Abrir facsímil")</f>
        <v>Abrir facsímil</v>
      </c>
      <c r="K9145" t="s">
        <v>22</v>
      </c>
    </row>
    <row r="9146" spans="1:11" ht="42" customHeight="1">
      <c r="A9146" t="s">
        <v>17755</v>
      </c>
      <c r="B9146" t="s">
        <v>17756</v>
      </c>
      <c r="C9146" t="s">
        <v>42</v>
      </c>
      <c r="D9146" t="s">
        <v>17</v>
      </c>
      <c r="E9146" s="6">
        <v>-28247</v>
      </c>
      <c r="F9146" t="s">
        <v>2023</v>
      </c>
      <c r="G9146" t="s">
        <v>35</v>
      </c>
      <c r="H9146" t="s">
        <v>20</v>
      </c>
      <c r="I9146" t="s">
        <v>17757</v>
      </c>
      <c r="J9146" t="str">
        <f>HYPERLINK("https://www.boe.es/gazeta/dias/1822/08/29/pdfs/GMD-1822-253.pdf#page=2","Abrir facsímil")</f>
        <v>Abrir facsímil</v>
      </c>
      <c r="K9146" t="s">
        <v>22</v>
      </c>
    </row>
    <row r="9147" spans="1:11" ht="42" customHeight="1">
      <c r="A9147" t="s">
        <v>17758</v>
      </c>
      <c r="B9147" t="s">
        <v>17759</v>
      </c>
      <c r="C9147" t="s">
        <v>28</v>
      </c>
      <c r="D9147" t="s">
        <v>29</v>
      </c>
      <c r="E9147" s="6">
        <v>-28428</v>
      </c>
      <c r="F9147" t="s">
        <v>1924</v>
      </c>
      <c r="G9147" t="s">
        <v>44</v>
      </c>
      <c r="H9147" t="s">
        <v>20</v>
      </c>
      <c r="I9147" t="s">
        <v>17760</v>
      </c>
      <c r="J9147" t="str">
        <f>HYPERLINK("https://www.boe.es/gazeta/dias/1822/03/01/pdfs/GMD-1822-61.pdf#page=1","Abrir facsímil")</f>
        <v>Abrir facsímil</v>
      </c>
      <c r="K9147" t="s">
        <v>22</v>
      </c>
    </row>
    <row r="9148" spans="1:11" ht="42" customHeight="1">
      <c r="A9148" t="s">
        <v>17761</v>
      </c>
      <c r="B9148" t="s">
        <v>17762</v>
      </c>
      <c r="C9148" t="s">
        <v>28</v>
      </c>
      <c r="D9148" t="s">
        <v>29</v>
      </c>
      <c r="E9148" s="6">
        <v>-28427</v>
      </c>
      <c r="F9148" t="s">
        <v>755</v>
      </c>
      <c r="G9148" t="s">
        <v>31</v>
      </c>
      <c r="H9148" t="s">
        <v>20</v>
      </c>
      <c r="I9148" t="s">
        <v>17763</v>
      </c>
      <c r="J9148" t="str">
        <f>HYPERLINK("https://www.boe.es/gazeta/dias/1822/03/02/pdfs/GMD-1822-63.pdf#page=3","Abrir facsímil")</f>
        <v>Abrir facsímil</v>
      </c>
      <c r="K9148" t="s">
        <v>22</v>
      </c>
    </row>
    <row r="9149" spans="1:11" ht="42" customHeight="1">
      <c r="A9149" t="s">
        <v>17764</v>
      </c>
      <c r="B9149" t="s">
        <v>17764</v>
      </c>
      <c r="C9149" t="s">
        <v>71</v>
      </c>
      <c r="D9149" t="s">
        <v>17</v>
      </c>
      <c r="E9149" s="6">
        <v>-28459</v>
      </c>
      <c r="F9149" t="s">
        <v>1102</v>
      </c>
      <c r="G9149" t="s">
        <v>35</v>
      </c>
      <c r="H9149" t="s">
        <v>20</v>
      </c>
      <c r="I9149" t="s">
        <v>17765</v>
      </c>
      <c r="J9149" t="str">
        <f>HYPERLINK("https://www.boe.es/gazeta/dias/1822/01/29/pdfs/GMD-1822-29.pdf#page=2","Abrir facsímil")</f>
        <v>Abrir facsímil</v>
      </c>
      <c r="K9149" t="s">
        <v>22</v>
      </c>
    </row>
    <row r="9150" spans="1:11" ht="42" customHeight="1">
      <c r="A9150" t="s">
        <v>17766</v>
      </c>
      <c r="B9150" t="s">
        <v>17766</v>
      </c>
      <c r="C9150" t="s">
        <v>28</v>
      </c>
      <c r="D9150" t="s">
        <v>29</v>
      </c>
      <c r="E9150" s="6">
        <v>-28319</v>
      </c>
      <c r="F9150" t="s">
        <v>271</v>
      </c>
      <c r="G9150" t="s">
        <v>31</v>
      </c>
      <c r="H9150" t="s">
        <v>20</v>
      </c>
      <c r="I9150" t="s">
        <v>17767</v>
      </c>
      <c r="J9150" t="str">
        <f>HYPERLINK("https://www.boe.es/gazeta/dias/1822/06/18/pdfs/GMD-1822-175.pdf#page=3","Abrir facsímil")</f>
        <v>Abrir facsímil</v>
      </c>
      <c r="K9150" t="s">
        <v>22</v>
      </c>
    </row>
    <row r="9151" spans="1:11" ht="42" customHeight="1">
      <c r="A9151" t="s">
        <v>17768</v>
      </c>
      <c r="B9151" t="s">
        <v>17768</v>
      </c>
      <c r="C9151" t="s">
        <v>61</v>
      </c>
      <c r="D9151" t="s">
        <v>17</v>
      </c>
      <c r="E9151" s="6">
        <v>-28388</v>
      </c>
      <c r="F9151" t="s">
        <v>1268</v>
      </c>
      <c r="G9151" t="s">
        <v>31</v>
      </c>
      <c r="H9151" t="s">
        <v>20</v>
      </c>
      <c r="I9151" t="s">
        <v>17769</v>
      </c>
      <c r="J9151" t="str">
        <f>HYPERLINK("https://www.boe.es/gazeta/dias/1822/04/10/pdfs/GMD-1822-102.pdf#page=3","Abrir facsímil")</f>
        <v>Abrir facsímil</v>
      </c>
      <c r="K9151" t="s">
        <v>22</v>
      </c>
    </row>
    <row r="9152" spans="1:11" ht="42" customHeight="1">
      <c r="A9152" t="s">
        <v>17770</v>
      </c>
      <c r="B9152" t="s">
        <v>17770</v>
      </c>
      <c r="C9152" t="s">
        <v>50</v>
      </c>
      <c r="D9152" t="s">
        <v>51</v>
      </c>
      <c r="E9152" s="6">
        <v>-28251</v>
      </c>
      <c r="F9152" t="s">
        <v>1485</v>
      </c>
      <c r="G9152" t="s">
        <v>44</v>
      </c>
      <c r="H9152" t="s">
        <v>20</v>
      </c>
      <c r="I9152" t="s">
        <v>17771</v>
      </c>
      <c r="J9152" t="str">
        <f>HYPERLINK("https://www.boe.es/gazeta/dias/1822/08/25/pdfs/GMD-1822-249.pdf#page=1","Abrir facsímil")</f>
        <v>Abrir facsímil</v>
      </c>
      <c r="K9152" t="s">
        <v>22</v>
      </c>
    </row>
    <row r="9153" spans="1:11" ht="42" customHeight="1">
      <c r="A9153" t="s">
        <v>17772</v>
      </c>
      <c r="B9153" t="s">
        <v>17773</v>
      </c>
      <c r="C9153" t="s">
        <v>16</v>
      </c>
      <c r="D9153" t="s">
        <v>17</v>
      </c>
      <c r="E9153" s="6">
        <v>-28389</v>
      </c>
      <c r="F9153" t="s">
        <v>481</v>
      </c>
      <c r="G9153" t="s">
        <v>57</v>
      </c>
      <c r="H9153" t="s">
        <v>20</v>
      </c>
      <c r="I9153" t="s">
        <v>17774</v>
      </c>
      <c r="J9153" t="str">
        <f>HYPERLINK("https://www.boe.es/gazeta/dias/1822/04/09/pdfs/GMD-1822-101.pdf#page=4","Abrir facsímil")</f>
        <v>Abrir facsímil</v>
      </c>
      <c r="K9153" t="s">
        <v>22</v>
      </c>
    </row>
    <row r="9154" spans="1:11" ht="42" customHeight="1">
      <c r="A9154" t="s">
        <v>17775</v>
      </c>
      <c r="B9154" t="s">
        <v>17776</v>
      </c>
      <c r="C9154" t="s">
        <v>42</v>
      </c>
      <c r="D9154" t="s">
        <v>17</v>
      </c>
      <c r="E9154" s="6">
        <v>-28409</v>
      </c>
      <c r="F9154" t="s">
        <v>394</v>
      </c>
      <c r="G9154" t="s">
        <v>31</v>
      </c>
      <c r="H9154" t="s">
        <v>45</v>
      </c>
      <c r="I9154" t="s">
        <v>17777</v>
      </c>
      <c r="J9154" t="str">
        <f>HYPERLINK("https://www.boe.es/gazeta/dias/1822/03/20/pdfs/GMD-1822-81.pdf#page=3","Abrir facsímil")</f>
        <v>Abrir facsímil</v>
      </c>
      <c r="K9154" t="s">
        <v>47</v>
      </c>
    </row>
    <row r="9155" spans="1:11" ht="42" customHeight="1">
      <c r="A9155" t="s">
        <v>17778</v>
      </c>
      <c r="B9155" t="s">
        <v>17779</v>
      </c>
      <c r="C9155" t="s">
        <v>42</v>
      </c>
      <c r="D9155" t="s">
        <v>17</v>
      </c>
      <c r="E9155" s="6">
        <v>-28406</v>
      </c>
      <c r="F9155" t="s">
        <v>462</v>
      </c>
      <c r="G9155" t="s">
        <v>31</v>
      </c>
      <c r="H9155" t="s">
        <v>20</v>
      </c>
      <c r="I9155" t="s">
        <v>17780</v>
      </c>
      <c r="J9155" t="str">
        <f>HYPERLINK("https://www.boe.es/gazeta/dias/1822/03/23/pdfs/GMD-1822-84.pdf#page=3","Abrir facsímil")</f>
        <v>Abrir facsímil</v>
      </c>
      <c r="K9155" t="s">
        <v>22</v>
      </c>
    </row>
    <row r="9156" spans="1:11" ht="42" customHeight="1">
      <c r="A9156" t="s">
        <v>17781</v>
      </c>
      <c r="B9156" t="s">
        <v>17782</v>
      </c>
      <c r="C9156" t="s">
        <v>50</v>
      </c>
      <c r="D9156" t="s">
        <v>51</v>
      </c>
      <c r="E9156" s="6">
        <v>-28270</v>
      </c>
      <c r="F9156" t="s">
        <v>130</v>
      </c>
      <c r="G9156" t="s">
        <v>131</v>
      </c>
      <c r="H9156" t="s">
        <v>20</v>
      </c>
      <c r="I9156" t="s">
        <v>17783</v>
      </c>
      <c r="J9156" t="str">
        <f>HYPERLINK("https://www.boe.es/gazeta/dias/1822/08/06/pdfs/GMD-1822-230.pdf#page=6","Abrir facsímil")</f>
        <v>Abrir facsímil</v>
      </c>
      <c r="K9156" t="s">
        <v>22</v>
      </c>
    </row>
    <row r="9157" spans="1:11" ht="42" customHeight="1">
      <c r="A9157" t="s">
        <v>17784</v>
      </c>
      <c r="B9157" t="s">
        <v>17784</v>
      </c>
      <c r="C9157" t="s">
        <v>42</v>
      </c>
      <c r="D9157" t="s">
        <v>17</v>
      </c>
      <c r="E9157" s="6">
        <v>-28317</v>
      </c>
      <c r="F9157" t="s">
        <v>546</v>
      </c>
      <c r="G9157" t="s">
        <v>167</v>
      </c>
      <c r="H9157" t="s">
        <v>20</v>
      </c>
      <c r="I9157" t="s">
        <v>17785</v>
      </c>
      <c r="J9157" t="str">
        <f>HYPERLINK("https://www.boe.es/gazeta/dias/1822/06/20/pdfs/GMD-1822-177.pdf#page=7","Abrir facsímil")</f>
        <v>Abrir facsímil</v>
      </c>
      <c r="K9157" t="s">
        <v>22</v>
      </c>
    </row>
    <row r="9158" spans="1:11" ht="42" customHeight="1">
      <c r="A9158" t="s">
        <v>17786</v>
      </c>
      <c r="B9158" t="s">
        <v>17786</v>
      </c>
      <c r="C9158" t="s">
        <v>42</v>
      </c>
      <c r="D9158" t="s">
        <v>17</v>
      </c>
      <c r="E9158" s="6">
        <v>-28389</v>
      </c>
      <c r="F9158" t="s">
        <v>481</v>
      </c>
      <c r="G9158" t="s">
        <v>31</v>
      </c>
      <c r="H9158" t="s">
        <v>20</v>
      </c>
      <c r="I9158" t="s">
        <v>17787</v>
      </c>
      <c r="J9158" t="str">
        <f>HYPERLINK("https://www.boe.es/gazeta/dias/1822/04/09/pdfs/GMD-1822-101.pdf#page=3","Abrir facsímil")</f>
        <v>Abrir facsímil</v>
      </c>
      <c r="K9158" t="s">
        <v>22</v>
      </c>
    </row>
    <row r="9159" spans="1:11" ht="42" customHeight="1">
      <c r="A9159" t="s">
        <v>17788</v>
      </c>
      <c r="B9159" t="s">
        <v>17788</v>
      </c>
      <c r="C9159" t="s">
        <v>61</v>
      </c>
      <c r="D9159" t="s">
        <v>17</v>
      </c>
      <c r="E9159" s="6">
        <v>-28364</v>
      </c>
      <c r="F9159" t="s">
        <v>509</v>
      </c>
      <c r="G9159" t="s">
        <v>35</v>
      </c>
      <c r="H9159" t="s">
        <v>20</v>
      </c>
      <c r="I9159" t="s">
        <v>17789</v>
      </c>
      <c r="J9159" t="str">
        <f>HYPERLINK("https://www.boe.es/gazeta/dias/1822/05/04/pdfs/GMD-1822-126.pdf#page=2","Abrir facsímil")</f>
        <v>Abrir facsímil</v>
      </c>
      <c r="K9159" t="s">
        <v>22</v>
      </c>
    </row>
    <row r="9160" spans="1:11" ht="42" customHeight="1">
      <c r="A9160" t="s">
        <v>17790</v>
      </c>
      <c r="B9160" t="s">
        <v>17790</v>
      </c>
      <c r="C9160" t="s">
        <v>42</v>
      </c>
      <c r="D9160" t="s">
        <v>17</v>
      </c>
      <c r="E9160" s="6">
        <v>-28341</v>
      </c>
      <c r="F9160" t="s">
        <v>284</v>
      </c>
      <c r="G9160" t="s">
        <v>19</v>
      </c>
      <c r="H9160" t="s">
        <v>20</v>
      </c>
      <c r="I9160" t="s">
        <v>17791</v>
      </c>
      <c r="J9160" t="str">
        <f>HYPERLINK("https://www.boe.es/gazeta/dias/1822/05/27/pdfs/GMD-1822-152.pdf#page=5","Abrir facsímil")</f>
        <v>Abrir facsímil</v>
      </c>
      <c r="K9160" t="s">
        <v>22</v>
      </c>
    </row>
    <row r="9161" spans="1:11" ht="42" customHeight="1">
      <c r="A9161" t="s">
        <v>17792</v>
      </c>
      <c r="B9161" t="s">
        <v>17793</v>
      </c>
      <c r="C9161" t="s">
        <v>42</v>
      </c>
      <c r="D9161" t="s">
        <v>17</v>
      </c>
      <c r="E9161" s="6">
        <v>-28343</v>
      </c>
      <c r="F9161" t="s">
        <v>1019</v>
      </c>
      <c r="G9161" t="s">
        <v>44</v>
      </c>
      <c r="H9161" t="s">
        <v>20</v>
      </c>
      <c r="I9161" t="s">
        <v>17794</v>
      </c>
      <c r="J9161" t="str">
        <f>HYPERLINK("https://www.boe.es/gazeta/dias/1822/05/25/pdfs/GMD-1822-150.pdf#page=1","Abrir facsímil")</f>
        <v>Abrir facsímil</v>
      </c>
      <c r="K9161" t="s">
        <v>22</v>
      </c>
    </row>
    <row r="9162" spans="1:11" ht="42" customHeight="1">
      <c r="A9162" t="s">
        <v>17795</v>
      </c>
      <c r="B9162" t="s">
        <v>17795</v>
      </c>
      <c r="C9162" t="s">
        <v>71</v>
      </c>
      <c r="D9162" t="s">
        <v>17</v>
      </c>
      <c r="E9162" s="6">
        <v>-28180</v>
      </c>
      <c r="F9162" t="s">
        <v>839</v>
      </c>
      <c r="G9162" t="s">
        <v>57</v>
      </c>
      <c r="H9162" t="s">
        <v>20</v>
      </c>
      <c r="I9162" t="s">
        <v>17796</v>
      </c>
      <c r="J9162" t="str">
        <f>HYPERLINK("https://www.boe.es/gazeta/dias/1822/11/04/pdfs/GMD-1822-323.pdf#page=4","Abrir facsímil")</f>
        <v>Abrir facsímil</v>
      </c>
      <c r="K9162" t="s">
        <v>22</v>
      </c>
    </row>
    <row r="9163" spans="1:11" ht="42" customHeight="1">
      <c r="A9163" t="s">
        <v>17797</v>
      </c>
      <c r="B9163" t="s">
        <v>17797</v>
      </c>
      <c r="C9163" t="s">
        <v>71</v>
      </c>
      <c r="D9163" t="s">
        <v>17</v>
      </c>
      <c r="E9163" s="6">
        <v>-28345</v>
      </c>
      <c r="F9163" t="s">
        <v>294</v>
      </c>
      <c r="G9163" t="s">
        <v>57</v>
      </c>
      <c r="H9163" t="s">
        <v>20</v>
      </c>
      <c r="I9163" t="s">
        <v>17798</v>
      </c>
      <c r="J9163" t="str">
        <f>HYPERLINK("https://www.boe.es/gazeta/dias/1822/05/23/pdfs/GMD-1822-147.pdf#page=4","Abrir facsímil")</f>
        <v>Abrir facsímil</v>
      </c>
      <c r="K9163" t="s">
        <v>22</v>
      </c>
    </row>
    <row r="9164" spans="1:11" ht="42" customHeight="1">
      <c r="A9164" t="s">
        <v>17797</v>
      </c>
      <c r="B9164" t="s">
        <v>17797</v>
      </c>
      <c r="C9164" t="s">
        <v>42</v>
      </c>
      <c r="D9164" t="s">
        <v>17</v>
      </c>
      <c r="E9164" s="6">
        <v>-28329</v>
      </c>
      <c r="F9164" t="s">
        <v>354</v>
      </c>
      <c r="G9164" t="s">
        <v>31</v>
      </c>
      <c r="H9164" t="s">
        <v>20</v>
      </c>
      <c r="I9164" t="s">
        <v>17799</v>
      </c>
      <c r="J9164" t="str">
        <f>HYPERLINK("https://www.boe.es/gazeta/dias/1822/06/08/pdfs/GMD-1822-165.pdf#page=3","Abrir facsímil")</f>
        <v>Abrir facsímil</v>
      </c>
      <c r="K9164" t="s">
        <v>22</v>
      </c>
    </row>
    <row r="9165" spans="1:11" ht="42" customHeight="1">
      <c r="A9165" t="s">
        <v>17797</v>
      </c>
      <c r="B9165" t="s">
        <v>17797</v>
      </c>
      <c r="C9165" t="s">
        <v>42</v>
      </c>
      <c r="D9165" t="s">
        <v>17</v>
      </c>
      <c r="E9165" s="6">
        <v>-28317</v>
      </c>
      <c r="F9165" t="s">
        <v>546</v>
      </c>
      <c r="G9165" t="s">
        <v>63</v>
      </c>
      <c r="H9165" t="s">
        <v>20</v>
      </c>
      <c r="I9165" t="s">
        <v>17800</v>
      </c>
      <c r="J9165" t="str">
        <f>HYPERLINK("https://www.boe.es/gazeta/dias/1822/06/20/pdfs/GMD-1822-177.pdf#page=6","Abrir facsímil")</f>
        <v>Abrir facsímil</v>
      </c>
      <c r="K9165" t="s">
        <v>22</v>
      </c>
    </row>
    <row r="9166" spans="1:11" ht="42" customHeight="1">
      <c r="A9166" t="s">
        <v>17801</v>
      </c>
      <c r="B9166" t="s">
        <v>17801</v>
      </c>
      <c r="C9166" t="s">
        <v>28</v>
      </c>
      <c r="D9166" t="s">
        <v>29</v>
      </c>
      <c r="E9166" s="6">
        <v>-28387</v>
      </c>
      <c r="F9166" t="s">
        <v>2874</v>
      </c>
      <c r="G9166" t="s">
        <v>31</v>
      </c>
      <c r="H9166" t="s">
        <v>20</v>
      </c>
      <c r="I9166" t="s">
        <v>17802</v>
      </c>
      <c r="J9166" t="str">
        <f>HYPERLINK("https://www.boe.es/gazeta/dias/1822/04/11/pdfs/GMD-1822-103.pdf#page=3","Abrir facsímil")</f>
        <v>Abrir facsímil</v>
      </c>
      <c r="K9166" t="s">
        <v>22</v>
      </c>
    </row>
    <row r="9167" spans="1:11" ht="42" customHeight="1">
      <c r="A9167" t="s">
        <v>17801</v>
      </c>
      <c r="B9167" t="s">
        <v>17801</v>
      </c>
      <c r="C9167" t="s">
        <v>42</v>
      </c>
      <c r="D9167" t="s">
        <v>17</v>
      </c>
      <c r="E9167" s="6">
        <v>-28387</v>
      </c>
      <c r="F9167" t="s">
        <v>2874</v>
      </c>
      <c r="G9167" t="s">
        <v>57</v>
      </c>
      <c r="H9167" t="s">
        <v>20</v>
      </c>
      <c r="I9167" t="s">
        <v>17803</v>
      </c>
      <c r="J9167" t="str">
        <f>HYPERLINK("https://www.boe.es/gazeta/dias/1822/04/11/pdfs/GMD-1822-103.pdf#page=4","Abrir facsímil")</f>
        <v>Abrir facsímil</v>
      </c>
      <c r="K9167" t="s">
        <v>22</v>
      </c>
    </row>
    <row r="9168" spans="1:11" ht="42" customHeight="1">
      <c r="A9168" t="s">
        <v>17801</v>
      </c>
      <c r="B9168" t="s">
        <v>17801</v>
      </c>
      <c r="C9168" t="s">
        <v>16</v>
      </c>
      <c r="D9168" t="s">
        <v>17</v>
      </c>
      <c r="E9168" s="6">
        <v>-28387</v>
      </c>
      <c r="F9168" t="s">
        <v>2874</v>
      </c>
      <c r="G9168" t="s">
        <v>19</v>
      </c>
      <c r="H9168" t="s">
        <v>20</v>
      </c>
      <c r="I9168" t="s">
        <v>17804</v>
      </c>
      <c r="J9168" t="str">
        <f>HYPERLINK("https://www.boe.es/gazeta/dias/1822/04/11/pdfs/GMD-1822-103.pdf#page=5","Abrir facsímil")</f>
        <v>Abrir facsímil</v>
      </c>
      <c r="K9168" t="s">
        <v>22</v>
      </c>
    </row>
    <row r="9169" spans="1:11" ht="42" customHeight="1">
      <c r="A9169" t="s">
        <v>17801</v>
      </c>
      <c r="B9169" t="s">
        <v>17801</v>
      </c>
      <c r="C9169" t="s">
        <v>42</v>
      </c>
      <c r="D9169" t="s">
        <v>17</v>
      </c>
      <c r="E9169" s="6">
        <v>-28346</v>
      </c>
      <c r="F9169" t="s">
        <v>191</v>
      </c>
      <c r="G9169" t="s">
        <v>2823</v>
      </c>
      <c r="H9169" t="s">
        <v>20</v>
      </c>
      <c r="I9169" t="s">
        <v>17805</v>
      </c>
      <c r="J9169" t="str">
        <f>HYPERLINK("https://www.boe.es/gazeta/dias/1822/05/22/pdfs/GMD-1822-145.pdf#page=4","Abrir facsímil")</f>
        <v>Abrir facsímil</v>
      </c>
      <c r="K9169" t="s">
        <v>22</v>
      </c>
    </row>
    <row r="9170" spans="1:11" ht="42" customHeight="1">
      <c r="A9170" t="s">
        <v>17801</v>
      </c>
      <c r="B9170" t="s">
        <v>17801</v>
      </c>
      <c r="C9170" t="s">
        <v>71</v>
      </c>
      <c r="D9170" t="s">
        <v>17</v>
      </c>
      <c r="E9170" s="6">
        <v>-28324</v>
      </c>
      <c r="F9170" t="s">
        <v>305</v>
      </c>
      <c r="G9170" t="s">
        <v>57</v>
      </c>
      <c r="H9170" t="s">
        <v>20</v>
      </c>
      <c r="I9170" t="s">
        <v>17806</v>
      </c>
      <c r="J9170" t="str">
        <f>HYPERLINK("https://www.boe.es/gazeta/dias/1822/06/13/pdfs/GMD-1822-170.pdf#page=4","Abrir facsímil")</f>
        <v>Abrir facsímil</v>
      </c>
      <c r="K9170" t="s">
        <v>22</v>
      </c>
    </row>
    <row r="9171" spans="1:11" ht="42" customHeight="1">
      <c r="A9171" t="s">
        <v>17801</v>
      </c>
      <c r="B9171" t="s">
        <v>17801</v>
      </c>
      <c r="C9171" t="s">
        <v>42</v>
      </c>
      <c r="D9171" t="s">
        <v>17</v>
      </c>
      <c r="E9171" s="6">
        <v>-28320</v>
      </c>
      <c r="F9171" t="s">
        <v>700</v>
      </c>
      <c r="G9171" t="s">
        <v>19</v>
      </c>
      <c r="H9171" t="s">
        <v>20</v>
      </c>
      <c r="I9171" t="s">
        <v>17807</v>
      </c>
      <c r="J9171" t="str">
        <f>HYPERLINK("https://www.boe.es/gazeta/dias/1822/06/17/pdfs/GMD-1822-174.pdf#page=5","Abrir facsímil")</f>
        <v>Abrir facsímil</v>
      </c>
      <c r="K9171" t="s">
        <v>22</v>
      </c>
    </row>
    <row r="9172" spans="1:11" ht="42" customHeight="1">
      <c r="A9172" t="s">
        <v>17808</v>
      </c>
      <c r="B9172" t="s">
        <v>17808</v>
      </c>
      <c r="C9172" t="s">
        <v>71</v>
      </c>
      <c r="D9172" t="s">
        <v>17</v>
      </c>
      <c r="E9172" s="6">
        <v>-28319</v>
      </c>
      <c r="F9172" t="s">
        <v>271</v>
      </c>
      <c r="G9172" t="s">
        <v>35</v>
      </c>
      <c r="H9172" t="s">
        <v>20</v>
      </c>
      <c r="I9172" t="s">
        <v>17809</v>
      </c>
      <c r="J9172" t="str">
        <f>HYPERLINK("https://www.boe.es/gazeta/dias/1822/06/18/pdfs/GMD-1822-175.pdf#page=2","Abrir facsímil")</f>
        <v>Abrir facsímil</v>
      </c>
      <c r="K9172" t="s">
        <v>22</v>
      </c>
    </row>
    <row r="9173" spans="1:11" ht="42" customHeight="1">
      <c r="A9173" t="s">
        <v>17801</v>
      </c>
      <c r="B9173" t="s">
        <v>17801</v>
      </c>
      <c r="C9173" t="s">
        <v>28</v>
      </c>
      <c r="D9173" t="s">
        <v>29</v>
      </c>
      <c r="E9173" s="6">
        <v>-28199</v>
      </c>
      <c r="F9173" t="s">
        <v>656</v>
      </c>
      <c r="G9173" t="s">
        <v>31</v>
      </c>
      <c r="H9173" t="s">
        <v>20</v>
      </c>
      <c r="I9173" t="s">
        <v>17810</v>
      </c>
      <c r="J9173" t="str">
        <f>HYPERLINK("https://www.boe.es/gazeta/dias/1822/10/16/pdfs/GMD-1822-303.pdf#page=3","Abrir facsímil")</f>
        <v>Abrir facsímil</v>
      </c>
      <c r="K9173" t="s">
        <v>22</v>
      </c>
    </row>
    <row r="9174" spans="1:11" ht="42" customHeight="1">
      <c r="A9174" t="s">
        <v>17801</v>
      </c>
      <c r="B9174" t="s">
        <v>17801</v>
      </c>
      <c r="C9174" t="s">
        <v>42</v>
      </c>
      <c r="D9174" t="s">
        <v>17</v>
      </c>
      <c r="E9174" s="6">
        <v>-28184</v>
      </c>
      <c r="F9174" t="s">
        <v>1423</v>
      </c>
      <c r="G9174" t="s">
        <v>57</v>
      </c>
      <c r="H9174" t="s">
        <v>20</v>
      </c>
      <c r="I9174" t="s">
        <v>17811</v>
      </c>
      <c r="J9174" t="str">
        <f>HYPERLINK("https://www.boe.es/gazeta/dias/1822/10/31/pdfs/GMD-1822-318.pdf#page=4","Abrir facsímil")</f>
        <v>Abrir facsímil</v>
      </c>
      <c r="K9174" t="s">
        <v>22</v>
      </c>
    </row>
    <row r="9175" spans="1:11" ht="42" customHeight="1">
      <c r="A9175" t="s">
        <v>17801</v>
      </c>
      <c r="B9175" t="s">
        <v>17801</v>
      </c>
      <c r="C9175" t="s">
        <v>28</v>
      </c>
      <c r="D9175" t="s">
        <v>29</v>
      </c>
      <c r="E9175" s="6">
        <v>-28182</v>
      </c>
      <c r="F9175" t="s">
        <v>585</v>
      </c>
      <c r="G9175" t="s">
        <v>57</v>
      </c>
      <c r="H9175" t="s">
        <v>20</v>
      </c>
      <c r="I9175" t="s">
        <v>17812</v>
      </c>
      <c r="J9175" t="str">
        <f>HYPERLINK("https://www.boe.es/gazeta/dias/1822/11/02/pdfs/GMD-1822-320.pdf#page=4","Abrir facsímil")</f>
        <v>Abrir facsímil</v>
      </c>
      <c r="K9175" t="s">
        <v>22</v>
      </c>
    </row>
    <row r="9176" spans="1:11" ht="42" customHeight="1">
      <c r="A9176" t="s">
        <v>17801</v>
      </c>
      <c r="B9176" t="s">
        <v>17801</v>
      </c>
      <c r="C9176" t="s">
        <v>28</v>
      </c>
      <c r="D9176" t="s">
        <v>29</v>
      </c>
      <c r="E9176" s="6">
        <v>-28181</v>
      </c>
      <c r="F9176" t="s">
        <v>739</v>
      </c>
      <c r="G9176" t="s">
        <v>44</v>
      </c>
      <c r="H9176" t="s">
        <v>20</v>
      </c>
      <c r="I9176" t="s">
        <v>17813</v>
      </c>
      <c r="J9176" t="str">
        <f>HYPERLINK("https://www.boe.es/gazeta/dias/1822/11/03/pdfs/GMD-1822-321.pdf#page=1","Abrir facsímil")</f>
        <v>Abrir facsímil</v>
      </c>
      <c r="K9176" t="s">
        <v>22</v>
      </c>
    </row>
    <row r="9177" spans="1:11" ht="42" customHeight="1">
      <c r="A9177" t="s">
        <v>17801</v>
      </c>
      <c r="B9177" t="s">
        <v>17801</v>
      </c>
      <c r="C9177" t="s">
        <v>71</v>
      </c>
      <c r="D9177" t="s">
        <v>17</v>
      </c>
      <c r="E9177" s="6">
        <v>-28176</v>
      </c>
      <c r="F9177" t="s">
        <v>780</v>
      </c>
      <c r="G9177" t="s">
        <v>5014</v>
      </c>
      <c r="H9177" t="s">
        <v>20</v>
      </c>
      <c r="I9177" t="s">
        <v>17814</v>
      </c>
      <c r="J9177" t="str">
        <f>HYPERLINK("https://www.boe.es/gazeta/dias/1822/11/08/pdfs/GMD-1822-328.pdf#page=4","Abrir facsímil")</f>
        <v>Abrir facsímil</v>
      </c>
      <c r="K9177" t="s">
        <v>22</v>
      </c>
    </row>
    <row r="9178" spans="1:11" ht="42" customHeight="1">
      <c r="A9178" t="s">
        <v>17801</v>
      </c>
      <c r="B9178" t="s">
        <v>17801</v>
      </c>
      <c r="C9178" t="s">
        <v>28</v>
      </c>
      <c r="D9178" t="s">
        <v>29</v>
      </c>
      <c r="E9178" s="6">
        <v>-28152</v>
      </c>
      <c r="F9178" t="s">
        <v>122</v>
      </c>
      <c r="G9178" t="s">
        <v>35</v>
      </c>
      <c r="H9178" t="s">
        <v>20</v>
      </c>
      <c r="I9178" t="s">
        <v>17815</v>
      </c>
      <c r="J9178" t="str">
        <f>HYPERLINK("https://www.boe.es/gazeta/dias/1822/12/02/pdfs/GMD-1822-352.pdf#page=2","Abrir facsímil")</f>
        <v>Abrir facsímil</v>
      </c>
      <c r="K9178" t="s">
        <v>22</v>
      </c>
    </row>
    <row r="9179" spans="1:11" ht="42" customHeight="1">
      <c r="A9179" t="s">
        <v>17801</v>
      </c>
      <c r="B9179" t="s">
        <v>17801</v>
      </c>
      <c r="C9179" t="s">
        <v>42</v>
      </c>
      <c r="D9179" t="s">
        <v>17</v>
      </c>
      <c r="E9179" s="6">
        <v>-28140</v>
      </c>
      <c r="F9179" t="s">
        <v>84</v>
      </c>
      <c r="G9179" t="s">
        <v>35</v>
      </c>
      <c r="H9179" t="s">
        <v>20</v>
      </c>
      <c r="I9179" t="s">
        <v>17816</v>
      </c>
      <c r="J9179" t="str">
        <f>HYPERLINK("https://www.boe.es/gazeta/dias/1822/12/14/pdfs/GMD-1822-364.pdf#page=2","Abrir facsímil")</f>
        <v>Abrir facsímil</v>
      </c>
      <c r="K9179" t="s">
        <v>22</v>
      </c>
    </row>
    <row r="9180" spans="1:11" ht="42" customHeight="1">
      <c r="A9180" t="s">
        <v>17801</v>
      </c>
      <c r="B9180" t="s">
        <v>17801</v>
      </c>
      <c r="C9180" t="s">
        <v>71</v>
      </c>
      <c r="D9180" t="s">
        <v>17</v>
      </c>
      <c r="E9180" s="6">
        <v>-28138</v>
      </c>
      <c r="F9180" t="s">
        <v>3542</v>
      </c>
      <c r="G9180" t="s">
        <v>35</v>
      </c>
      <c r="H9180" t="s">
        <v>20</v>
      </c>
      <c r="I9180" t="s">
        <v>17817</v>
      </c>
      <c r="J9180" t="str">
        <f>HYPERLINK("https://www.boe.es/gazeta/dias/1822/12/16/pdfs/GMD-1822-366.pdf#page=2","Abrir facsímil")</f>
        <v>Abrir facsímil</v>
      </c>
      <c r="K9180" t="s">
        <v>22</v>
      </c>
    </row>
    <row r="9181" spans="1:11" ht="42" customHeight="1">
      <c r="A9181" t="s">
        <v>17818</v>
      </c>
      <c r="B9181" t="s">
        <v>17819</v>
      </c>
      <c r="C9181" t="s">
        <v>42</v>
      </c>
      <c r="D9181" t="s">
        <v>17</v>
      </c>
      <c r="E9181" s="6">
        <v>-28390</v>
      </c>
      <c r="F9181" t="s">
        <v>665</v>
      </c>
      <c r="G9181" t="s">
        <v>31</v>
      </c>
      <c r="H9181" t="s">
        <v>20</v>
      </c>
      <c r="I9181" t="s">
        <v>17820</v>
      </c>
      <c r="J9181" t="str">
        <f>HYPERLINK("https://www.boe.es/gazeta/dias/1822/04/08/pdfs/GMD-1822-100.pdf#page=3","Abrir facsímil")</f>
        <v>Abrir facsímil</v>
      </c>
      <c r="K9181" t="s">
        <v>22</v>
      </c>
    </row>
    <row r="9182" spans="1:11" ht="42" customHeight="1">
      <c r="A9182" t="s">
        <v>17821</v>
      </c>
      <c r="B9182" t="s">
        <v>17821</v>
      </c>
      <c r="C9182" t="s">
        <v>1141</v>
      </c>
      <c r="D9182" t="s">
        <v>29</v>
      </c>
      <c r="E9182" s="6">
        <v>-28178</v>
      </c>
      <c r="F9182" t="s">
        <v>318</v>
      </c>
      <c r="G9182" t="s">
        <v>31</v>
      </c>
      <c r="H9182" t="s">
        <v>20</v>
      </c>
      <c r="I9182" t="s">
        <v>17822</v>
      </c>
      <c r="J9182" t="str">
        <f>HYPERLINK("https://www.boe.es/gazeta/dias/1822/11/06/pdfs/GMD-1822-326.pdf#page=3","Abrir facsímil")</f>
        <v>Abrir facsímil</v>
      </c>
      <c r="K9182" t="s">
        <v>22</v>
      </c>
    </row>
    <row r="9183" spans="1:11" ht="42" customHeight="1">
      <c r="A9183" t="s">
        <v>17823</v>
      </c>
      <c r="B9183" t="s">
        <v>17824</v>
      </c>
      <c r="C9183" t="s">
        <v>28</v>
      </c>
      <c r="D9183" t="s">
        <v>29</v>
      </c>
      <c r="E9183" s="6">
        <v>-28229</v>
      </c>
      <c r="F9183" t="s">
        <v>2310</v>
      </c>
      <c r="G9183" t="s">
        <v>57</v>
      </c>
      <c r="H9183" t="s">
        <v>20</v>
      </c>
      <c r="I9183" t="s">
        <v>17825</v>
      </c>
      <c r="J9183" t="str">
        <f>HYPERLINK("https://www.boe.es/gazeta/dias/1822/09/16/pdfs/GMD-1822-272.pdf#page=4","Abrir facsímil")</f>
        <v>Abrir facsímil</v>
      </c>
      <c r="K9183" t="s">
        <v>22</v>
      </c>
    </row>
    <row r="9184" spans="1:11" ht="42" customHeight="1">
      <c r="A9184" t="s">
        <v>17826</v>
      </c>
      <c r="B9184" t="s">
        <v>17826</v>
      </c>
      <c r="C9184" t="s">
        <v>61</v>
      </c>
      <c r="D9184" t="s">
        <v>17</v>
      </c>
      <c r="E9184" s="6">
        <v>-28388</v>
      </c>
      <c r="F9184" t="s">
        <v>1268</v>
      </c>
      <c r="G9184" t="s">
        <v>31</v>
      </c>
      <c r="H9184" t="s">
        <v>20</v>
      </c>
      <c r="I9184" t="s">
        <v>17827</v>
      </c>
      <c r="J9184" t="str">
        <f>HYPERLINK("https://www.boe.es/gazeta/dias/1822/04/10/pdfs/GMD-1822-102.pdf#page=3","Abrir facsímil")</f>
        <v>Abrir facsímil</v>
      </c>
      <c r="K9184" t="s">
        <v>22</v>
      </c>
    </row>
    <row r="9185" spans="1:11" ht="42" customHeight="1">
      <c r="A9185" t="s">
        <v>17828</v>
      </c>
      <c r="B9185" t="s">
        <v>17829</v>
      </c>
      <c r="C9185" t="s">
        <v>50</v>
      </c>
      <c r="D9185" t="s">
        <v>51</v>
      </c>
      <c r="E9185" s="6">
        <v>-28265</v>
      </c>
      <c r="F9185" t="s">
        <v>1263</v>
      </c>
      <c r="G9185" t="s">
        <v>57</v>
      </c>
      <c r="H9185" t="s">
        <v>20</v>
      </c>
      <c r="I9185" t="s">
        <v>17830</v>
      </c>
      <c r="J9185" t="str">
        <f>HYPERLINK("https://www.boe.es/gazeta/dias/1822/08/11/pdfs/GMD-1822-235.pdf#page=4","Abrir facsímil")</f>
        <v>Abrir facsímil</v>
      </c>
      <c r="K9185" t="s">
        <v>22</v>
      </c>
    </row>
    <row r="9186" spans="1:11" ht="42" customHeight="1">
      <c r="A9186" t="s">
        <v>17831</v>
      </c>
      <c r="B9186" t="s">
        <v>17831</v>
      </c>
      <c r="C9186" t="s">
        <v>50</v>
      </c>
      <c r="D9186" t="s">
        <v>51</v>
      </c>
      <c r="E9186" s="6">
        <v>-28345</v>
      </c>
      <c r="F9186" t="s">
        <v>294</v>
      </c>
      <c r="G9186" t="s">
        <v>44</v>
      </c>
      <c r="H9186" t="s">
        <v>20</v>
      </c>
      <c r="I9186" t="s">
        <v>17832</v>
      </c>
      <c r="J9186" t="str">
        <f>HYPERLINK("https://www.boe.es/gazeta/dias/1822/05/23/pdfs/GMD-1822-147.pdf#page=1","Abrir facsímil")</f>
        <v>Abrir facsímil</v>
      </c>
      <c r="K9186" t="s">
        <v>22</v>
      </c>
    </row>
    <row r="9187" spans="1:11" ht="42" customHeight="1">
      <c r="A9187" t="s">
        <v>17833</v>
      </c>
      <c r="B9187" t="s">
        <v>17834</v>
      </c>
      <c r="C9187" t="s">
        <v>50</v>
      </c>
      <c r="D9187" t="s">
        <v>51</v>
      </c>
      <c r="E9187" s="6">
        <v>-28324</v>
      </c>
      <c r="F9187" t="s">
        <v>305</v>
      </c>
      <c r="G9187" t="s">
        <v>35</v>
      </c>
      <c r="H9187" t="s">
        <v>20</v>
      </c>
      <c r="I9187" t="s">
        <v>17835</v>
      </c>
      <c r="J9187" t="str">
        <f>HYPERLINK("https://www.boe.es/gazeta/dias/1822/06/13/pdfs/GMD-1822-170.pdf#page=2","Abrir facsímil")</f>
        <v>Abrir facsímil</v>
      </c>
      <c r="K9187" t="s">
        <v>22</v>
      </c>
    </row>
    <row r="9188" spans="1:11" ht="42" customHeight="1">
      <c r="A9188" t="s">
        <v>17836</v>
      </c>
      <c r="B9188" t="s">
        <v>17837</v>
      </c>
      <c r="C9188" t="s">
        <v>28</v>
      </c>
      <c r="D9188" t="s">
        <v>29</v>
      </c>
      <c r="E9188" s="6">
        <v>-28271</v>
      </c>
      <c r="F9188" t="s">
        <v>4942</v>
      </c>
      <c r="G9188" t="s">
        <v>57</v>
      </c>
      <c r="H9188" t="s">
        <v>20</v>
      </c>
      <c r="I9188" t="s">
        <v>17838</v>
      </c>
      <c r="J9188" t="str">
        <f>HYPERLINK("https://www.boe.es/gazeta/dias/1822/08/05/pdfs/GMD-1822-229.pdf#page=4","Abrir facsímil")</f>
        <v>Abrir facsímil</v>
      </c>
      <c r="K9188" t="s">
        <v>22</v>
      </c>
    </row>
    <row r="9189" spans="1:11" ht="42" customHeight="1">
      <c r="A9189" t="s">
        <v>17839</v>
      </c>
      <c r="B9189" t="s">
        <v>17840</v>
      </c>
      <c r="C9189" t="s">
        <v>16</v>
      </c>
      <c r="D9189" t="s">
        <v>17</v>
      </c>
      <c r="E9189" s="6">
        <v>-28271</v>
      </c>
      <c r="F9189" t="s">
        <v>4942</v>
      </c>
      <c r="G9189" t="s">
        <v>57</v>
      </c>
      <c r="H9189" t="s">
        <v>20</v>
      </c>
      <c r="I9189" t="s">
        <v>17841</v>
      </c>
      <c r="J9189" t="str">
        <f>HYPERLINK("https://www.boe.es/gazeta/dias/1822/08/05/pdfs/GMD-1822-229.pdf#page=4","Abrir facsímil")</f>
        <v>Abrir facsímil</v>
      </c>
      <c r="K9189" t="s">
        <v>22</v>
      </c>
    </row>
    <row r="9190" spans="1:11" ht="42" customHeight="1">
      <c r="A9190" t="s">
        <v>17842</v>
      </c>
      <c r="B9190" t="s">
        <v>17843</v>
      </c>
      <c r="C9190" t="s">
        <v>362</v>
      </c>
      <c r="D9190" t="s">
        <v>17</v>
      </c>
      <c r="E9190" s="6">
        <v>-28427</v>
      </c>
      <c r="F9190" t="s">
        <v>755</v>
      </c>
      <c r="G9190" t="s">
        <v>57</v>
      </c>
      <c r="H9190" t="s">
        <v>20</v>
      </c>
      <c r="I9190" t="s">
        <v>17844</v>
      </c>
      <c r="J9190" t="str">
        <f>HYPERLINK("https://www.boe.es/gazeta/dias/1822/03/02/pdfs/GMD-1822-63.pdf#page=4","Abrir facsímil")</f>
        <v>Abrir facsímil</v>
      </c>
      <c r="K9190" t="s">
        <v>22</v>
      </c>
    </row>
    <row r="9191" spans="1:11" ht="42" customHeight="1">
      <c r="A9191" t="s">
        <v>17845</v>
      </c>
      <c r="B9191" t="s">
        <v>17845</v>
      </c>
      <c r="C9191" t="s">
        <v>71</v>
      </c>
      <c r="D9191" t="s">
        <v>17</v>
      </c>
      <c r="E9191" s="6">
        <v>-28203</v>
      </c>
      <c r="F9191" t="s">
        <v>564</v>
      </c>
      <c r="G9191" t="s">
        <v>19</v>
      </c>
      <c r="H9191" t="s">
        <v>20</v>
      </c>
      <c r="I9191" t="s">
        <v>17846</v>
      </c>
      <c r="J9191" t="str">
        <f>HYPERLINK("https://www.boe.es/gazeta/dias/1822/10/12/pdfs/GMD-1822-299.pdf#page=5","Abrir facsímil")</f>
        <v>Abrir facsímil</v>
      </c>
      <c r="K9191" t="s">
        <v>22</v>
      </c>
    </row>
    <row r="9192" spans="1:11" ht="42" customHeight="1">
      <c r="A9192" t="s">
        <v>17847</v>
      </c>
      <c r="B9192" t="s">
        <v>17847</v>
      </c>
      <c r="C9192" t="s">
        <v>28</v>
      </c>
      <c r="D9192" t="s">
        <v>29</v>
      </c>
      <c r="E9192" s="6">
        <v>-28421</v>
      </c>
      <c r="F9192" t="s">
        <v>446</v>
      </c>
      <c r="G9192" t="s">
        <v>57</v>
      </c>
      <c r="H9192" t="s">
        <v>20</v>
      </c>
      <c r="I9192" t="s">
        <v>17848</v>
      </c>
      <c r="J9192" t="str">
        <f>HYPERLINK("https://www.boe.es/gazeta/dias/1822/03/08/pdfs/GMD-1822-69.pdf#page=4","Abrir facsímil")</f>
        <v>Abrir facsímil</v>
      </c>
      <c r="K9192" t="s">
        <v>22</v>
      </c>
    </row>
    <row r="9193" spans="1:11" ht="42" customHeight="1">
      <c r="A9193" t="s">
        <v>17847</v>
      </c>
      <c r="B9193" t="s">
        <v>17847</v>
      </c>
      <c r="C9193" t="s">
        <v>50</v>
      </c>
      <c r="D9193" t="s">
        <v>51</v>
      </c>
      <c r="E9193" s="6">
        <v>-28414</v>
      </c>
      <c r="F9193" t="s">
        <v>187</v>
      </c>
      <c r="G9193" t="s">
        <v>19</v>
      </c>
      <c r="H9193" t="s">
        <v>20</v>
      </c>
      <c r="I9193" t="s">
        <v>17849</v>
      </c>
      <c r="J9193" t="str">
        <f>HYPERLINK("https://www.boe.es/gazeta/dias/1822/03/15/pdfs/GMD-1822-76.pdf#page=5","Abrir facsímil")</f>
        <v>Abrir facsímil</v>
      </c>
      <c r="K9193" t="s">
        <v>22</v>
      </c>
    </row>
    <row r="9194" spans="1:11" ht="42" customHeight="1">
      <c r="A9194" t="s">
        <v>17847</v>
      </c>
      <c r="B9194" t="s">
        <v>17847</v>
      </c>
      <c r="C9194" t="s">
        <v>71</v>
      </c>
      <c r="D9194" t="s">
        <v>17</v>
      </c>
      <c r="E9194" s="6">
        <v>-28399</v>
      </c>
      <c r="F9194" t="s">
        <v>476</v>
      </c>
      <c r="G9194" t="s">
        <v>31</v>
      </c>
      <c r="H9194" t="s">
        <v>20</v>
      </c>
      <c r="I9194" t="s">
        <v>17850</v>
      </c>
      <c r="J9194" t="str">
        <f>HYPERLINK("https://www.boe.es/gazeta/dias/1822/03/30/pdfs/GMD-1822-91.pdf#page=3","Abrir facsímil")</f>
        <v>Abrir facsímil</v>
      </c>
      <c r="K9194" t="s">
        <v>22</v>
      </c>
    </row>
    <row r="9195" spans="1:11" ht="42" customHeight="1">
      <c r="A9195" t="s">
        <v>17847</v>
      </c>
      <c r="B9195" t="s">
        <v>17847</v>
      </c>
      <c r="C9195" t="s">
        <v>42</v>
      </c>
      <c r="D9195" t="s">
        <v>17</v>
      </c>
      <c r="E9195" s="6">
        <v>-28399</v>
      </c>
      <c r="F9195" t="s">
        <v>476</v>
      </c>
      <c r="G9195" t="s">
        <v>57</v>
      </c>
      <c r="H9195" t="s">
        <v>20</v>
      </c>
      <c r="I9195" t="s">
        <v>17851</v>
      </c>
      <c r="J9195" t="str">
        <f>HYPERLINK("https://www.boe.es/gazeta/dias/1822/03/30/pdfs/GMD-1822-91.pdf#page=4","Abrir facsímil")</f>
        <v>Abrir facsímil</v>
      </c>
      <c r="K9195" t="s">
        <v>22</v>
      </c>
    </row>
    <row r="9196" spans="1:11" ht="42" customHeight="1">
      <c r="A9196" t="s">
        <v>17847</v>
      </c>
      <c r="B9196" t="s">
        <v>17847</v>
      </c>
      <c r="C9196" t="s">
        <v>24</v>
      </c>
      <c r="D9196" t="s">
        <v>17</v>
      </c>
      <c r="E9196" s="6">
        <v>-28394</v>
      </c>
      <c r="F9196" t="s">
        <v>268</v>
      </c>
      <c r="G9196" t="s">
        <v>44</v>
      </c>
      <c r="H9196" t="s">
        <v>20</v>
      </c>
      <c r="I9196" t="s">
        <v>17852</v>
      </c>
      <c r="J9196" t="str">
        <f>HYPERLINK("https://www.boe.es/gazeta/dias/1822/04/04/pdfs/GMD-1822-96.pdf#page=1","Abrir facsímil")</f>
        <v>Abrir facsímil</v>
      </c>
      <c r="K9196" t="s">
        <v>22</v>
      </c>
    </row>
    <row r="9197" spans="1:11" ht="42" customHeight="1">
      <c r="A9197" t="s">
        <v>17847</v>
      </c>
      <c r="B9197" t="s">
        <v>17847</v>
      </c>
      <c r="C9197" t="s">
        <v>42</v>
      </c>
      <c r="D9197" t="s">
        <v>17</v>
      </c>
      <c r="E9197" s="6">
        <v>-28394</v>
      </c>
      <c r="F9197" t="s">
        <v>268</v>
      </c>
      <c r="G9197" t="s">
        <v>35</v>
      </c>
      <c r="H9197" t="s">
        <v>20</v>
      </c>
      <c r="I9197" t="s">
        <v>17853</v>
      </c>
      <c r="J9197" t="str">
        <f>HYPERLINK("https://www.boe.es/gazeta/dias/1822/04/04/pdfs/GMD-1822-96.pdf#page=2","Abrir facsímil")</f>
        <v>Abrir facsímil</v>
      </c>
      <c r="K9197" t="s">
        <v>22</v>
      </c>
    </row>
    <row r="9198" spans="1:11" ht="42" customHeight="1">
      <c r="A9198" t="s">
        <v>17847</v>
      </c>
      <c r="B9198" t="s">
        <v>17847</v>
      </c>
      <c r="C9198" t="s">
        <v>16</v>
      </c>
      <c r="D9198" t="s">
        <v>17</v>
      </c>
      <c r="E9198" s="6">
        <v>-28394</v>
      </c>
      <c r="F9198" t="s">
        <v>268</v>
      </c>
      <c r="G9198" t="s">
        <v>31</v>
      </c>
      <c r="H9198" t="s">
        <v>20</v>
      </c>
      <c r="I9198" t="s">
        <v>17854</v>
      </c>
      <c r="J9198" t="str">
        <f>HYPERLINK("https://www.boe.es/gazeta/dias/1822/04/04/pdfs/GMD-1822-96.pdf#page=3","Abrir facsímil")</f>
        <v>Abrir facsímil</v>
      </c>
      <c r="K9198" t="s">
        <v>22</v>
      </c>
    </row>
    <row r="9199" spans="1:11" ht="42" customHeight="1">
      <c r="A9199" t="s">
        <v>17847</v>
      </c>
      <c r="B9199" t="s">
        <v>17847</v>
      </c>
      <c r="C9199" t="s">
        <v>28</v>
      </c>
      <c r="D9199" t="s">
        <v>29</v>
      </c>
      <c r="E9199" s="6">
        <v>-28389</v>
      </c>
      <c r="F9199" t="s">
        <v>481</v>
      </c>
      <c r="G9199" t="s">
        <v>35</v>
      </c>
      <c r="H9199" t="s">
        <v>20</v>
      </c>
      <c r="I9199" t="s">
        <v>17855</v>
      </c>
      <c r="J9199" t="str">
        <f>HYPERLINK("https://www.boe.es/gazeta/dias/1822/04/09/pdfs/GMD-1822-101.pdf#page=2","Abrir facsímil")</f>
        <v>Abrir facsímil</v>
      </c>
      <c r="K9199" t="s">
        <v>22</v>
      </c>
    </row>
    <row r="9200" spans="1:11" ht="42" customHeight="1">
      <c r="A9200" t="s">
        <v>17847</v>
      </c>
      <c r="B9200" t="s">
        <v>17847</v>
      </c>
      <c r="C9200" t="s">
        <v>71</v>
      </c>
      <c r="D9200" t="s">
        <v>17</v>
      </c>
      <c r="E9200" s="6">
        <v>-28383</v>
      </c>
      <c r="F9200" t="s">
        <v>488</v>
      </c>
      <c r="G9200" t="s">
        <v>19</v>
      </c>
      <c r="H9200" t="s">
        <v>20</v>
      </c>
      <c r="I9200" t="s">
        <v>17856</v>
      </c>
      <c r="J9200" t="str">
        <f>HYPERLINK("https://www.boe.es/gazeta/dias/1822/04/15/pdfs/GMD-1822-107.pdf#page=5","Abrir facsímil")</f>
        <v>Abrir facsímil</v>
      </c>
      <c r="K9200" t="s">
        <v>22</v>
      </c>
    </row>
    <row r="9201" spans="1:11" ht="42" customHeight="1">
      <c r="A9201" t="s">
        <v>17847</v>
      </c>
      <c r="B9201" t="s">
        <v>17847</v>
      </c>
      <c r="C9201" t="s">
        <v>28</v>
      </c>
      <c r="D9201" t="s">
        <v>29</v>
      </c>
      <c r="E9201" s="6">
        <v>-28382</v>
      </c>
      <c r="F9201" t="s">
        <v>973</v>
      </c>
      <c r="G9201" t="s">
        <v>57</v>
      </c>
      <c r="H9201" t="s">
        <v>20</v>
      </c>
      <c r="I9201" t="s">
        <v>17857</v>
      </c>
      <c r="J9201" t="str">
        <f>HYPERLINK("https://www.boe.es/gazeta/dias/1822/04/16/pdfs/GMD-1822-108.pdf#page=4","Abrir facsímil")</f>
        <v>Abrir facsímil</v>
      </c>
      <c r="K9201" t="s">
        <v>22</v>
      </c>
    </row>
    <row r="9202" spans="1:11" ht="42" customHeight="1">
      <c r="A9202" t="s">
        <v>17847</v>
      </c>
      <c r="B9202" t="s">
        <v>17847</v>
      </c>
      <c r="C9202" t="s">
        <v>42</v>
      </c>
      <c r="D9202" t="s">
        <v>17</v>
      </c>
      <c r="E9202" s="6">
        <v>-28381</v>
      </c>
      <c r="F9202" t="s">
        <v>358</v>
      </c>
      <c r="G9202" t="s">
        <v>57</v>
      </c>
      <c r="H9202" t="s">
        <v>20</v>
      </c>
      <c r="I9202" t="s">
        <v>17858</v>
      </c>
      <c r="J9202" t="str">
        <f>HYPERLINK("https://www.boe.es/gazeta/dias/1822/04/17/pdfs/GMD-1822-109.pdf#page=4","Abrir facsímil")</f>
        <v>Abrir facsímil</v>
      </c>
      <c r="K9202" t="s">
        <v>22</v>
      </c>
    </row>
    <row r="9203" spans="1:11" ht="42" customHeight="1">
      <c r="A9203" t="s">
        <v>17847</v>
      </c>
      <c r="B9203" t="s">
        <v>17847</v>
      </c>
      <c r="C9203" t="s">
        <v>50</v>
      </c>
      <c r="D9203" t="s">
        <v>51</v>
      </c>
      <c r="E9203" s="6">
        <v>-28379</v>
      </c>
      <c r="F9203" t="s">
        <v>494</v>
      </c>
      <c r="G9203" t="s">
        <v>57</v>
      </c>
      <c r="H9203" t="s">
        <v>20</v>
      </c>
      <c r="I9203" t="s">
        <v>17859</v>
      </c>
      <c r="J9203" t="str">
        <f>HYPERLINK("https://www.boe.es/gazeta/dias/1822/04/19/pdfs/GMD-1822-111.pdf#page=4","Abrir facsímil")</f>
        <v>Abrir facsímil</v>
      </c>
      <c r="K9203" t="s">
        <v>22</v>
      </c>
    </row>
    <row r="9204" spans="1:11" ht="42" customHeight="1">
      <c r="A9204" t="s">
        <v>17847</v>
      </c>
      <c r="B9204" t="s">
        <v>17847</v>
      </c>
      <c r="C9204" t="s">
        <v>50</v>
      </c>
      <c r="D9204" t="s">
        <v>51</v>
      </c>
      <c r="E9204" s="6">
        <v>-28379</v>
      </c>
      <c r="F9204" t="s">
        <v>494</v>
      </c>
      <c r="G9204" t="s">
        <v>19</v>
      </c>
      <c r="H9204" t="s">
        <v>20</v>
      </c>
      <c r="I9204" t="s">
        <v>17860</v>
      </c>
      <c r="J9204" t="str">
        <f>HYPERLINK("https://www.boe.es/gazeta/dias/1822/04/19/pdfs/GMD-1822-111.pdf#page=5","Abrir facsímil")</f>
        <v>Abrir facsímil</v>
      </c>
      <c r="K9204" t="s">
        <v>22</v>
      </c>
    </row>
    <row r="9205" spans="1:11" ht="42" customHeight="1">
      <c r="A9205" t="s">
        <v>17847</v>
      </c>
      <c r="B9205" t="s">
        <v>17847</v>
      </c>
      <c r="C9205" t="s">
        <v>71</v>
      </c>
      <c r="D9205" t="s">
        <v>17</v>
      </c>
      <c r="E9205" s="6">
        <v>-28377</v>
      </c>
      <c r="F9205" t="s">
        <v>498</v>
      </c>
      <c r="G9205" t="s">
        <v>57</v>
      </c>
      <c r="H9205" t="s">
        <v>20</v>
      </c>
      <c r="I9205" t="s">
        <v>17861</v>
      </c>
      <c r="J9205" t="str">
        <f>HYPERLINK("https://www.boe.es/gazeta/dias/1822/04/21/pdfs/GMD-1822-113.pdf#page=4","Abrir facsímil")</f>
        <v>Abrir facsímil</v>
      </c>
      <c r="K9205" t="s">
        <v>22</v>
      </c>
    </row>
    <row r="9206" spans="1:11" ht="42" customHeight="1">
      <c r="A9206" t="s">
        <v>17847</v>
      </c>
      <c r="B9206" t="s">
        <v>17847</v>
      </c>
      <c r="C9206" t="s">
        <v>71</v>
      </c>
      <c r="D9206" t="s">
        <v>17</v>
      </c>
      <c r="E9206" s="6">
        <v>-28370</v>
      </c>
      <c r="F9206" t="s">
        <v>207</v>
      </c>
      <c r="G9206" t="s">
        <v>35</v>
      </c>
      <c r="H9206" t="s">
        <v>20</v>
      </c>
      <c r="I9206" t="s">
        <v>17862</v>
      </c>
      <c r="J9206" t="str">
        <f>HYPERLINK("https://www.boe.es/gazeta/dias/1822/04/28/pdfs/GMD-1822-120.pdf#page=2","Abrir facsímil")</f>
        <v>Abrir facsímil</v>
      </c>
      <c r="K9206" t="s">
        <v>22</v>
      </c>
    </row>
    <row r="9207" spans="1:11" ht="42" customHeight="1">
      <c r="A9207" t="s">
        <v>17847</v>
      </c>
      <c r="B9207" t="s">
        <v>17847</v>
      </c>
      <c r="C9207" t="s">
        <v>42</v>
      </c>
      <c r="D9207" t="s">
        <v>17</v>
      </c>
      <c r="E9207" s="6">
        <v>-28367</v>
      </c>
      <c r="F9207" t="s">
        <v>280</v>
      </c>
      <c r="G9207" t="s">
        <v>44</v>
      </c>
      <c r="H9207" t="s">
        <v>20</v>
      </c>
      <c r="I9207" t="s">
        <v>17863</v>
      </c>
      <c r="J9207" t="str">
        <f>HYPERLINK("https://www.boe.es/gazeta/dias/1822/05/01/pdfs/GMD-1822-123.pdf#page=1","Abrir facsímil")</f>
        <v>Abrir facsímil</v>
      </c>
      <c r="K9207" t="s">
        <v>22</v>
      </c>
    </row>
    <row r="9208" spans="1:11" ht="42" customHeight="1">
      <c r="A9208" t="s">
        <v>17847</v>
      </c>
      <c r="B9208" t="s">
        <v>17847</v>
      </c>
      <c r="C9208" t="s">
        <v>71</v>
      </c>
      <c r="D9208" t="s">
        <v>17</v>
      </c>
      <c r="E9208" s="6">
        <v>-28365</v>
      </c>
      <c r="F9208" t="s">
        <v>506</v>
      </c>
      <c r="G9208" t="s">
        <v>57</v>
      </c>
      <c r="H9208" t="s">
        <v>20</v>
      </c>
      <c r="I9208" t="s">
        <v>17864</v>
      </c>
      <c r="J9208" t="str">
        <f>HYPERLINK("https://www.boe.es/gazeta/dias/1822/05/03/pdfs/GMD-1822-125.pdf#page=4","Abrir facsímil")</f>
        <v>Abrir facsímil</v>
      </c>
      <c r="K9208" t="s">
        <v>22</v>
      </c>
    </row>
    <row r="9209" spans="1:11" ht="42" customHeight="1">
      <c r="A9209" t="s">
        <v>17847</v>
      </c>
      <c r="B9209" t="s">
        <v>17847</v>
      </c>
      <c r="C9209" t="s">
        <v>71</v>
      </c>
      <c r="D9209" t="s">
        <v>17</v>
      </c>
      <c r="E9209" s="6">
        <v>-28363</v>
      </c>
      <c r="F9209" t="s">
        <v>72</v>
      </c>
      <c r="G9209" t="s">
        <v>57</v>
      </c>
      <c r="H9209" t="s">
        <v>20</v>
      </c>
      <c r="I9209" t="s">
        <v>17865</v>
      </c>
      <c r="J9209" t="str">
        <f>HYPERLINK("https://www.boe.es/gazeta/dias/1822/05/05/pdfs/GMD-1822-127.pdf#page=4","Abrir facsímil")</f>
        <v>Abrir facsímil</v>
      </c>
      <c r="K9209" t="s">
        <v>22</v>
      </c>
    </row>
    <row r="9210" spans="1:11" ht="42" customHeight="1">
      <c r="A9210" t="s">
        <v>17847</v>
      </c>
      <c r="B9210" t="s">
        <v>17847</v>
      </c>
      <c r="C9210" t="s">
        <v>42</v>
      </c>
      <c r="D9210" t="s">
        <v>17</v>
      </c>
      <c r="E9210" s="6">
        <v>-28362</v>
      </c>
      <c r="F9210" t="s">
        <v>511</v>
      </c>
      <c r="G9210" t="s">
        <v>57</v>
      </c>
      <c r="H9210" t="s">
        <v>20</v>
      </c>
      <c r="I9210" t="s">
        <v>17866</v>
      </c>
      <c r="J9210" t="str">
        <f>HYPERLINK("https://www.boe.es/gazeta/dias/1822/05/06/pdfs/GMD-1822-128.pdf#page=4","Abrir facsímil")</f>
        <v>Abrir facsímil</v>
      </c>
      <c r="K9210" t="s">
        <v>22</v>
      </c>
    </row>
    <row r="9211" spans="1:11" ht="42" customHeight="1">
      <c r="A9211" t="s">
        <v>17847</v>
      </c>
      <c r="B9211" t="s">
        <v>17847</v>
      </c>
      <c r="C9211" t="s">
        <v>71</v>
      </c>
      <c r="D9211" t="s">
        <v>17</v>
      </c>
      <c r="E9211" s="6">
        <v>-28356</v>
      </c>
      <c r="F9211" t="s">
        <v>4170</v>
      </c>
      <c r="G9211" t="s">
        <v>44</v>
      </c>
      <c r="H9211" t="s">
        <v>20</v>
      </c>
      <c r="I9211" t="s">
        <v>17867</v>
      </c>
      <c r="J9211" t="str">
        <f>HYPERLINK("https://www.boe.es/gazeta/dias/1822/05/12/pdfs/GMD-1822-134.pdf#page=1","Abrir facsímil")</f>
        <v>Abrir facsímil</v>
      </c>
      <c r="K9211" t="s">
        <v>22</v>
      </c>
    </row>
    <row r="9212" spans="1:11" ht="42" customHeight="1">
      <c r="A9212" t="s">
        <v>17847</v>
      </c>
      <c r="B9212" t="s">
        <v>17847</v>
      </c>
      <c r="C9212" t="s">
        <v>28</v>
      </c>
      <c r="D9212" t="s">
        <v>29</v>
      </c>
      <c r="E9212" s="6">
        <v>-28353</v>
      </c>
      <c r="F9212" t="s">
        <v>843</v>
      </c>
      <c r="G9212" t="s">
        <v>31</v>
      </c>
      <c r="H9212" t="s">
        <v>20</v>
      </c>
      <c r="I9212" t="s">
        <v>17868</v>
      </c>
      <c r="J9212" t="str">
        <f>HYPERLINK("https://www.boe.es/gazeta/dias/1822/05/15/pdfs/GMD-1822-137.pdf#page=3","Abrir facsímil")</f>
        <v>Abrir facsímil</v>
      </c>
      <c r="K9212" t="s">
        <v>22</v>
      </c>
    </row>
    <row r="9213" spans="1:11" ht="42" customHeight="1">
      <c r="A9213" t="s">
        <v>17847</v>
      </c>
      <c r="B9213" t="s">
        <v>17847</v>
      </c>
      <c r="C9213" t="s">
        <v>16</v>
      </c>
      <c r="D9213" t="s">
        <v>17</v>
      </c>
      <c r="E9213" s="6">
        <v>-28351</v>
      </c>
      <c r="F9213" t="s">
        <v>282</v>
      </c>
      <c r="G9213" t="s">
        <v>44</v>
      </c>
      <c r="H9213" t="s">
        <v>20</v>
      </c>
      <c r="I9213" t="s">
        <v>17869</v>
      </c>
      <c r="J9213" t="str">
        <f>HYPERLINK("https://www.boe.es/gazeta/dias/1822/05/17/pdfs/GMD-1822-139.pdf#page=1","Abrir facsímil")</f>
        <v>Abrir facsímil</v>
      </c>
      <c r="K9213" t="s">
        <v>22</v>
      </c>
    </row>
    <row r="9214" spans="1:11" ht="42" customHeight="1">
      <c r="A9214" t="s">
        <v>17847</v>
      </c>
      <c r="B9214" t="s">
        <v>17847</v>
      </c>
      <c r="C9214" t="s">
        <v>42</v>
      </c>
      <c r="D9214" t="s">
        <v>17</v>
      </c>
      <c r="E9214" s="6">
        <v>-28350</v>
      </c>
      <c r="F9214" t="s">
        <v>352</v>
      </c>
      <c r="G9214" t="s">
        <v>57</v>
      </c>
      <c r="H9214" t="s">
        <v>20</v>
      </c>
      <c r="I9214" t="s">
        <v>17870</v>
      </c>
      <c r="J9214" t="str">
        <f>HYPERLINK("https://www.boe.es/gazeta/dias/1822/05/18/pdfs/GMD-1822-140.pdf#page=4","Abrir facsímil")</f>
        <v>Abrir facsímil</v>
      </c>
      <c r="K9214" t="s">
        <v>22</v>
      </c>
    </row>
    <row r="9215" spans="1:11" ht="42" customHeight="1">
      <c r="A9215" t="s">
        <v>17847</v>
      </c>
      <c r="B9215" t="s">
        <v>17847</v>
      </c>
      <c r="C9215" t="s">
        <v>42</v>
      </c>
      <c r="D9215" t="s">
        <v>17</v>
      </c>
      <c r="E9215" s="6">
        <v>-28347</v>
      </c>
      <c r="F9215" t="s">
        <v>520</v>
      </c>
      <c r="G9215" t="s">
        <v>35</v>
      </c>
      <c r="H9215" t="s">
        <v>20</v>
      </c>
      <c r="I9215" t="s">
        <v>17871</v>
      </c>
      <c r="J9215" t="str">
        <f>HYPERLINK("https://www.boe.es/gazeta/dias/1822/05/21/pdfs/GMD-1822-144.pdf#page=2","Abrir facsímil")</f>
        <v>Abrir facsímil</v>
      </c>
      <c r="K9215" t="s">
        <v>22</v>
      </c>
    </row>
    <row r="9216" spans="1:11" ht="42" customHeight="1">
      <c r="A9216" t="s">
        <v>17847</v>
      </c>
      <c r="B9216" t="s">
        <v>17847</v>
      </c>
      <c r="C9216" t="s">
        <v>42</v>
      </c>
      <c r="D9216" t="s">
        <v>17</v>
      </c>
      <c r="E9216" s="6">
        <v>-28347</v>
      </c>
      <c r="F9216" t="s">
        <v>520</v>
      </c>
      <c r="G9216" t="s">
        <v>19</v>
      </c>
      <c r="H9216" t="s">
        <v>20</v>
      </c>
      <c r="I9216" t="s">
        <v>17872</v>
      </c>
      <c r="J9216" t="str">
        <f>HYPERLINK("https://www.boe.es/gazeta/dias/1822/05/21/pdfs/GMD-1822-144.pdf#page=5","Abrir facsímil")</f>
        <v>Abrir facsímil</v>
      </c>
      <c r="K9216" t="s">
        <v>22</v>
      </c>
    </row>
    <row r="9217" spans="1:11" ht="42" customHeight="1">
      <c r="A9217" t="s">
        <v>17847</v>
      </c>
      <c r="B9217" t="s">
        <v>17847</v>
      </c>
      <c r="C9217" t="s">
        <v>42</v>
      </c>
      <c r="D9217" t="s">
        <v>17</v>
      </c>
      <c r="E9217" s="6">
        <v>-28344</v>
      </c>
      <c r="F9217" t="s">
        <v>524</v>
      </c>
      <c r="G9217" t="s">
        <v>31</v>
      </c>
      <c r="H9217" t="s">
        <v>20</v>
      </c>
      <c r="I9217" t="s">
        <v>17873</v>
      </c>
      <c r="J9217" t="str">
        <f>HYPERLINK("https://www.boe.es/gazeta/dias/1822/05/24/pdfs/GMD-1822-148.pdf#page=3","Abrir facsímil")</f>
        <v>Abrir facsímil</v>
      </c>
      <c r="K9217" t="s">
        <v>22</v>
      </c>
    </row>
    <row r="9218" spans="1:11" ht="42" customHeight="1">
      <c r="A9218" t="s">
        <v>17847</v>
      </c>
      <c r="B9218" t="s">
        <v>17847</v>
      </c>
      <c r="C9218" t="s">
        <v>16</v>
      </c>
      <c r="D9218" t="s">
        <v>17</v>
      </c>
      <c r="E9218" s="6">
        <v>-28343</v>
      </c>
      <c r="F9218" t="s">
        <v>1019</v>
      </c>
      <c r="G9218" t="s">
        <v>35</v>
      </c>
      <c r="H9218" t="s">
        <v>20</v>
      </c>
      <c r="I9218" t="s">
        <v>17874</v>
      </c>
      <c r="J9218" t="str">
        <f>HYPERLINK("https://www.boe.es/gazeta/dias/1822/05/25/pdfs/GMD-1822-150.pdf#page=2","Abrir facsímil")</f>
        <v>Abrir facsímil</v>
      </c>
      <c r="K9218" t="s">
        <v>22</v>
      </c>
    </row>
    <row r="9219" spans="1:11" ht="42" customHeight="1">
      <c r="A9219" t="s">
        <v>17847</v>
      </c>
      <c r="B9219" t="s">
        <v>17847</v>
      </c>
      <c r="C9219" t="s">
        <v>42</v>
      </c>
      <c r="D9219" t="s">
        <v>17</v>
      </c>
      <c r="E9219" s="6">
        <v>-28313</v>
      </c>
      <c r="F9219" t="s">
        <v>315</v>
      </c>
      <c r="G9219" t="s">
        <v>57</v>
      </c>
      <c r="H9219" t="s">
        <v>20</v>
      </c>
      <c r="I9219" t="s">
        <v>17875</v>
      </c>
      <c r="J9219" t="str">
        <f>HYPERLINK("https://www.boe.es/gazeta/dias/1822/06/24/pdfs/GMD-1822-182.pdf#page=4","Abrir facsímil")</f>
        <v>Abrir facsímil</v>
      </c>
      <c r="K9219" t="s">
        <v>22</v>
      </c>
    </row>
    <row r="9220" spans="1:11" ht="42" customHeight="1">
      <c r="A9220" t="s">
        <v>17847</v>
      </c>
      <c r="B9220" t="s">
        <v>17847</v>
      </c>
      <c r="C9220" t="s">
        <v>28</v>
      </c>
      <c r="D9220" t="s">
        <v>29</v>
      </c>
      <c r="E9220" s="6">
        <v>-28197</v>
      </c>
      <c r="F9220" t="s">
        <v>568</v>
      </c>
      <c r="G9220" t="s">
        <v>35</v>
      </c>
      <c r="H9220" t="s">
        <v>20</v>
      </c>
      <c r="I9220" t="s">
        <v>17876</v>
      </c>
      <c r="J9220" t="str">
        <f>HYPERLINK("https://www.boe.es/gazeta/dias/1822/10/18/pdfs/GMD-1822-305.pdf#page=2","Abrir facsímil")</f>
        <v>Abrir facsímil</v>
      </c>
      <c r="K9220" t="s">
        <v>22</v>
      </c>
    </row>
    <row r="9221" spans="1:11" ht="42" customHeight="1">
      <c r="A9221" t="s">
        <v>17847</v>
      </c>
      <c r="B9221" t="s">
        <v>17847</v>
      </c>
      <c r="C9221" t="s">
        <v>42</v>
      </c>
      <c r="D9221" t="s">
        <v>17</v>
      </c>
      <c r="E9221" s="6">
        <v>-28197</v>
      </c>
      <c r="F9221" t="s">
        <v>568</v>
      </c>
      <c r="G9221" t="s">
        <v>31</v>
      </c>
      <c r="H9221" t="s">
        <v>20</v>
      </c>
      <c r="I9221" t="s">
        <v>17877</v>
      </c>
      <c r="J9221" t="str">
        <f>HYPERLINK("https://www.boe.es/gazeta/dias/1822/10/18/pdfs/GMD-1822-305.pdf#page=3","Abrir facsímil")</f>
        <v>Abrir facsímil</v>
      </c>
      <c r="K9221" t="s">
        <v>22</v>
      </c>
    </row>
    <row r="9222" spans="1:11" ht="42" customHeight="1">
      <c r="A9222" t="s">
        <v>17847</v>
      </c>
      <c r="B9222" t="s">
        <v>17847</v>
      </c>
      <c r="C9222" t="s">
        <v>16</v>
      </c>
      <c r="D9222" t="s">
        <v>17</v>
      </c>
      <c r="E9222" s="6">
        <v>-28197</v>
      </c>
      <c r="F9222" t="s">
        <v>568</v>
      </c>
      <c r="G9222" t="s">
        <v>57</v>
      </c>
      <c r="H9222" t="s">
        <v>20</v>
      </c>
      <c r="I9222" t="s">
        <v>17878</v>
      </c>
      <c r="J9222" t="str">
        <f>HYPERLINK("https://www.boe.es/gazeta/dias/1822/10/18/pdfs/GMD-1822-305.pdf#page=4","Abrir facsímil")</f>
        <v>Abrir facsímil</v>
      </c>
      <c r="K9222" t="s">
        <v>22</v>
      </c>
    </row>
    <row r="9223" spans="1:11" ht="42" customHeight="1">
      <c r="A9223" t="s">
        <v>17847</v>
      </c>
      <c r="B9223" t="s">
        <v>17847</v>
      </c>
      <c r="C9223" t="s">
        <v>24</v>
      </c>
      <c r="D9223" t="s">
        <v>17</v>
      </c>
      <c r="E9223" s="6">
        <v>-28197</v>
      </c>
      <c r="F9223" t="s">
        <v>568</v>
      </c>
      <c r="G9223" t="s">
        <v>19</v>
      </c>
      <c r="H9223" t="s">
        <v>20</v>
      </c>
      <c r="I9223" t="s">
        <v>17879</v>
      </c>
      <c r="J9223" t="str">
        <f>HYPERLINK("https://www.boe.es/gazeta/dias/1822/10/18/pdfs/GMD-1822-305.pdf#page=5","Abrir facsímil")</f>
        <v>Abrir facsímil</v>
      </c>
      <c r="K9223" t="s">
        <v>22</v>
      </c>
    </row>
    <row r="9224" spans="1:11" ht="42" customHeight="1">
      <c r="A9224" t="s">
        <v>17847</v>
      </c>
      <c r="B9224" t="s">
        <v>17847</v>
      </c>
      <c r="C9224" t="s">
        <v>42</v>
      </c>
      <c r="D9224" t="s">
        <v>17</v>
      </c>
      <c r="E9224" s="6">
        <v>-28137</v>
      </c>
      <c r="F9224" t="s">
        <v>312</v>
      </c>
      <c r="G9224" t="s">
        <v>35</v>
      </c>
      <c r="H9224" t="s">
        <v>20</v>
      </c>
      <c r="I9224" t="s">
        <v>17880</v>
      </c>
      <c r="J9224" t="str">
        <f>HYPERLINK("https://www.boe.es/gazeta/dias/1822/12/17/pdfs/GMD-1822-367.pdf#page=2","Abrir facsímil")</f>
        <v>Abrir facsímil</v>
      </c>
      <c r="K9224" t="s">
        <v>22</v>
      </c>
    </row>
    <row r="9225" spans="1:11" ht="42" customHeight="1">
      <c r="A9225" t="s">
        <v>17847</v>
      </c>
      <c r="B9225" t="s">
        <v>17847</v>
      </c>
      <c r="C9225" t="s">
        <v>50</v>
      </c>
      <c r="D9225" t="s">
        <v>51</v>
      </c>
      <c r="E9225" s="6">
        <v>-28137</v>
      </c>
      <c r="F9225" t="s">
        <v>312</v>
      </c>
      <c r="G9225" t="s">
        <v>31</v>
      </c>
      <c r="H9225" t="s">
        <v>20</v>
      </c>
      <c r="I9225" t="s">
        <v>17881</v>
      </c>
      <c r="J9225" t="str">
        <f>HYPERLINK("https://www.boe.es/gazeta/dias/1822/12/17/pdfs/GMD-1822-367.pdf#page=3","Abrir facsímil")</f>
        <v>Abrir facsímil</v>
      </c>
      <c r="K9225" t="s">
        <v>22</v>
      </c>
    </row>
    <row r="9226" spans="1:11" ht="42" customHeight="1">
      <c r="A9226" t="s">
        <v>17847</v>
      </c>
      <c r="B9226" t="s">
        <v>17847</v>
      </c>
      <c r="C9226" t="s">
        <v>16</v>
      </c>
      <c r="D9226" t="s">
        <v>17</v>
      </c>
      <c r="E9226" s="6">
        <v>-28131</v>
      </c>
      <c r="F9226" t="s">
        <v>893</v>
      </c>
      <c r="G9226" t="s">
        <v>57</v>
      </c>
      <c r="H9226" t="s">
        <v>20</v>
      </c>
      <c r="I9226" t="s">
        <v>17882</v>
      </c>
      <c r="J9226" t="str">
        <f>HYPERLINK("https://www.boe.es/gazeta/dias/1822/12/23/pdfs/GMD-1822-373.pdf#page=4","Abrir facsímil")</f>
        <v>Abrir facsímil</v>
      </c>
      <c r="K9226" t="s">
        <v>22</v>
      </c>
    </row>
    <row r="9227" spans="1:11" ht="42" customHeight="1">
      <c r="A9227" t="s">
        <v>17883</v>
      </c>
      <c r="B9227" t="s">
        <v>17884</v>
      </c>
      <c r="C9227" t="s">
        <v>28</v>
      </c>
      <c r="D9227" t="s">
        <v>29</v>
      </c>
      <c r="E9227" s="6">
        <v>-28436</v>
      </c>
      <c r="F9227" t="s">
        <v>431</v>
      </c>
      <c r="G9227" t="s">
        <v>1428</v>
      </c>
      <c r="H9227" t="s">
        <v>45</v>
      </c>
      <c r="I9227" t="s">
        <v>17885</v>
      </c>
      <c r="J9227" t="str">
        <f>HYPERLINK("https://www.boe.es/gazeta/dias/1822/02/21/pdfs/GMD-1822-53.pdf#page=3","Abrir facsímil")</f>
        <v>Abrir facsímil</v>
      </c>
      <c r="K9227" t="s">
        <v>47</v>
      </c>
    </row>
    <row r="9228" spans="1:11" ht="42" customHeight="1">
      <c r="A9228" t="s">
        <v>17886</v>
      </c>
      <c r="B9228" t="s">
        <v>17886</v>
      </c>
      <c r="C9228" t="s">
        <v>24</v>
      </c>
      <c r="D9228" t="s">
        <v>17</v>
      </c>
      <c r="E9228" s="6">
        <v>-28130</v>
      </c>
      <c r="F9228" t="s">
        <v>34</v>
      </c>
      <c r="G9228" t="s">
        <v>31</v>
      </c>
      <c r="H9228" t="s">
        <v>20</v>
      </c>
      <c r="I9228" t="s">
        <v>17887</v>
      </c>
      <c r="J9228" t="str">
        <f>HYPERLINK("https://www.boe.es/gazeta/dias/1822/12/24/pdfs/GMD-1822-374.pdf#page=3","Abrir facsímil")</f>
        <v>Abrir facsímil</v>
      </c>
      <c r="K9228" t="s">
        <v>22</v>
      </c>
    </row>
    <row r="9229" spans="1:11" ht="42" customHeight="1">
      <c r="A9229" t="s">
        <v>17888</v>
      </c>
      <c r="B9229" t="s">
        <v>17888</v>
      </c>
      <c r="C9229" t="s">
        <v>362</v>
      </c>
      <c r="D9229" t="s">
        <v>17</v>
      </c>
      <c r="E9229" s="6">
        <v>-28238</v>
      </c>
      <c r="F9229" t="s">
        <v>2077</v>
      </c>
      <c r="G9229" t="s">
        <v>31</v>
      </c>
      <c r="H9229" t="s">
        <v>20</v>
      </c>
      <c r="I9229" t="s">
        <v>17889</v>
      </c>
      <c r="J9229" t="str">
        <f>HYPERLINK("https://www.boe.es/gazeta/dias/1822/09/07/pdfs/GMD-1822-262.pdf#page=3","Abrir facsímil")</f>
        <v>Abrir facsímil</v>
      </c>
      <c r="K9229" t="s">
        <v>22</v>
      </c>
    </row>
    <row r="9230" spans="1:11" ht="42" customHeight="1">
      <c r="A9230" t="s">
        <v>17890</v>
      </c>
      <c r="B9230" t="s">
        <v>17890</v>
      </c>
      <c r="C9230" t="s">
        <v>28</v>
      </c>
      <c r="D9230" t="s">
        <v>29</v>
      </c>
      <c r="E9230" s="6">
        <v>-28220</v>
      </c>
      <c r="F9230" t="s">
        <v>1914</v>
      </c>
      <c r="G9230" t="s">
        <v>57</v>
      </c>
      <c r="H9230" t="s">
        <v>20</v>
      </c>
      <c r="I9230" t="s">
        <v>17891</v>
      </c>
      <c r="J9230" t="str">
        <f>HYPERLINK("https://www.boe.es/gazeta/dias/1822/09/25/pdfs/GMD-1822-281.pdf#page=4","Abrir facsímil")</f>
        <v>Abrir facsímil</v>
      </c>
      <c r="K9230" t="s">
        <v>22</v>
      </c>
    </row>
    <row r="9231" spans="1:11" ht="42" customHeight="1">
      <c r="A9231" t="s">
        <v>17892</v>
      </c>
      <c r="B9231" t="s">
        <v>17892</v>
      </c>
      <c r="C9231" t="s">
        <v>71</v>
      </c>
      <c r="D9231" t="s">
        <v>17</v>
      </c>
      <c r="E9231" s="6">
        <v>-28382</v>
      </c>
      <c r="F9231" t="s">
        <v>973</v>
      </c>
      <c r="G9231" t="s">
        <v>57</v>
      </c>
      <c r="H9231" t="s">
        <v>20</v>
      </c>
      <c r="I9231" t="s">
        <v>17893</v>
      </c>
      <c r="J9231" t="str">
        <f>HYPERLINK("https://www.boe.es/gazeta/dias/1822/04/16/pdfs/GMD-1822-108.pdf#page=4","Abrir facsímil")</f>
        <v>Abrir facsímil</v>
      </c>
      <c r="K9231" t="s">
        <v>22</v>
      </c>
    </row>
    <row r="9232" spans="1:11" ht="42" customHeight="1">
      <c r="A9232" t="s">
        <v>17894</v>
      </c>
      <c r="B9232" t="s">
        <v>17895</v>
      </c>
      <c r="C9232" t="s">
        <v>71</v>
      </c>
      <c r="D9232" t="s">
        <v>17</v>
      </c>
      <c r="E9232" s="6">
        <v>-28419</v>
      </c>
      <c r="F9232" t="s">
        <v>1392</v>
      </c>
      <c r="G9232" t="s">
        <v>63</v>
      </c>
      <c r="H9232" t="s">
        <v>20</v>
      </c>
      <c r="I9232" t="s">
        <v>17896</v>
      </c>
      <c r="J9232" t="str">
        <f>HYPERLINK("https://www.boe.es/gazeta/dias/1822/03/10/pdfs/GMD-1822-71.pdf#page=6","Abrir facsímil")</f>
        <v>Abrir facsímil</v>
      </c>
      <c r="K9232" t="s">
        <v>22</v>
      </c>
    </row>
    <row r="9233" spans="1:11" ht="42" customHeight="1">
      <c r="A9233" t="s">
        <v>17897</v>
      </c>
      <c r="B9233" t="s">
        <v>17898</v>
      </c>
      <c r="C9233" t="s">
        <v>50</v>
      </c>
      <c r="D9233" t="s">
        <v>51</v>
      </c>
      <c r="E9233" s="6">
        <v>-28230</v>
      </c>
      <c r="F9233" t="s">
        <v>1735</v>
      </c>
      <c r="G9233" t="s">
        <v>31</v>
      </c>
      <c r="H9233" t="s">
        <v>20</v>
      </c>
      <c r="I9233" t="s">
        <v>17899</v>
      </c>
      <c r="J9233" t="str">
        <f>HYPERLINK("https://www.boe.es/gazeta/dias/1822/09/15/pdfs/GMD-1822-271.pdf#page=3","Abrir facsímil")</f>
        <v>Abrir facsímil</v>
      </c>
      <c r="K9233" t="s">
        <v>22</v>
      </c>
    </row>
    <row r="9234" spans="1:11" ht="42" customHeight="1">
      <c r="A9234" t="s">
        <v>17900</v>
      </c>
      <c r="B9234" t="s">
        <v>17901</v>
      </c>
      <c r="C9234" t="s">
        <v>50</v>
      </c>
      <c r="D9234" t="s">
        <v>51</v>
      </c>
      <c r="E9234" s="6">
        <v>-28419</v>
      </c>
      <c r="F9234" t="s">
        <v>1392</v>
      </c>
      <c r="G9234" t="s">
        <v>63</v>
      </c>
      <c r="H9234" t="s">
        <v>20</v>
      </c>
      <c r="I9234" t="s">
        <v>17902</v>
      </c>
      <c r="J9234" t="str">
        <f>HYPERLINK("https://www.boe.es/gazeta/dias/1822/03/10/pdfs/GMD-1822-71.pdf#page=6","Abrir facsímil")</f>
        <v>Abrir facsímil</v>
      </c>
      <c r="K9234" t="s">
        <v>22</v>
      </c>
    </row>
    <row r="9235" spans="1:11" ht="42" customHeight="1">
      <c r="A9235" t="s">
        <v>17903</v>
      </c>
      <c r="B9235" t="s">
        <v>17904</v>
      </c>
      <c r="C9235" t="s">
        <v>50</v>
      </c>
      <c r="D9235" t="s">
        <v>51</v>
      </c>
      <c r="E9235" s="6">
        <v>-28466</v>
      </c>
      <c r="F9235" t="s">
        <v>4119</v>
      </c>
      <c r="G9235" t="s">
        <v>35</v>
      </c>
      <c r="H9235" t="s">
        <v>20</v>
      </c>
      <c r="I9235" t="s">
        <v>17905</v>
      </c>
      <c r="J9235" t="str">
        <f>HYPERLINK("https://www.boe.es/gazeta/dias/1822/01/22/pdfs/GMD-1822-22.pdf#page=2","Abrir facsímil")</f>
        <v>Abrir facsímil</v>
      </c>
      <c r="K9235" t="s">
        <v>22</v>
      </c>
    </row>
    <row r="9236" spans="1:11" ht="42" customHeight="1">
      <c r="A9236" t="s">
        <v>17906</v>
      </c>
      <c r="B9236" t="s">
        <v>17907</v>
      </c>
      <c r="C9236" t="s">
        <v>50</v>
      </c>
      <c r="D9236" t="s">
        <v>51</v>
      </c>
      <c r="E9236" s="6">
        <v>-28340</v>
      </c>
      <c r="F9236" t="s">
        <v>139</v>
      </c>
      <c r="G9236" t="s">
        <v>63</v>
      </c>
      <c r="H9236" t="s">
        <v>20</v>
      </c>
      <c r="I9236" t="s">
        <v>17908</v>
      </c>
      <c r="J9236" t="str">
        <f>HYPERLINK("https://www.boe.es/gazeta/dias/1822/05/28/pdfs/GMD-1822-153.pdf#page=6","Abrir facsímil")</f>
        <v>Abrir facsímil</v>
      </c>
      <c r="K9236" t="s">
        <v>22</v>
      </c>
    </row>
    <row r="9237" spans="1:11" ht="42" customHeight="1">
      <c r="A9237" t="s">
        <v>17909</v>
      </c>
      <c r="B9237" t="s">
        <v>17910</v>
      </c>
      <c r="C9237" t="s">
        <v>50</v>
      </c>
      <c r="D9237" t="s">
        <v>51</v>
      </c>
      <c r="E9237" s="6">
        <v>-28297</v>
      </c>
      <c r="F9237" t="s">
        <v>1972</v>
      </c>
      <c r="G9237" t="s">
        <v>57</v>
      </c>
      <c r="H9237" t="s">
        <v>20</v>
      </c>
      <c r="I9237" t="s">
        <v>17911</v>
      </c>
      <c r="J9237" t="str">
        <f>HYPERLINK("https://www.boe.es/gazeta/dias/1822/07/10/pdfs/GMD-1822-200.pdf#page=4","Abrir facsímil")</f>
        <v>Abrir facsímil</v>
      </c>
      <c r="K9237" t="s">
        <v>22</v>
      </c>
    </row>
    <row r="9238" spans="1:11" ht="42" customHeight="1">
      <c r="A9238" t="s">
        <v>17912</v>
      </c>
      <c r="B9238" t="s">
        <v>17913</v>
      </c>
      <c r="C9238" t="s">
        <v>71</v>
      </c>
      <c r="D9238" t="s">
        <v>17</v>
      </c>
      <c r="E9238" s="6">
        <v>-28392</v>
      </c>
      <c r="F9238" t="s">
        <v>2003</v>
      </c>
      <c r="G9238" t="s">
        <v>57</v>
      </c>
      <c r="H9238" t="s">
        <v>20</v>
      </c>
      <c r="I9238" t="s">
        <v>17914</v>
      </c>
      <c r="J9238" t="str">
        <f>HYPERLINK("https://www.boe.es/gazeta/dias/1822/04/06/pdfs/GMD-1822-98.pdf#page=4","Abrir facsímil")</f>
        <v>Abrir facsímil</v>
      </c>
      <c r="K9238" t="s">
        <v>22</v>
      </c>
    </row>
    <row r="9239" spans="1:11" ht="42" customHeight="1">
      <c r="A9239" t="s">
        <v>17915</v>
      </c>
      <c r="B9239" t="s">
        <v>17916</v>
      </c>
      <c r="C9239" t="s">
        <v>28</v>
      </c>
      <c r="D9239" t="s">
        <v>29</v>
      </c>
      <c r="E9239" s="6">
        <v>-28275</v>
      </c>
      <c r="F9239" t="s">
        <v>1297</v>
      </c>
      <c r="G9239" t="s">
        <v>57</v>
      </c>
      <c r="H9239" t="s">
        <v>45</v>
      </c>
      <c r="I9239" t="s">
        <v>17917</v>
      </c>
      <c r="J9239" t="str">
        <f>HYPERLINK("https://www.boe.es/gazeta/dias/1822/08/01/pdfs/GMD-1822-225.pdf#page=4","Abrir facsímil")</f>
        <v>Abrir facsímil</v>
      </c>
      <c r="K9239" t="s">
        <v>47</v>
      </c>
    </row>
    <row r="9240" spans="1:11" ht="42" customHeight="1">
      <c r="A9240" t="s">
        <v>17918</v>
      </c>
      <c r="B9240" t="s">
        <v>17919</v>
      </c>
      <c r="C9240" t="s">
        <v>42</v>
      </c>
      <c r="D9240" t="s">
        <v>17</v>
      </c>
      <c r="E9240" s="6">
        <v>-28428</v>
      </c>
      <c r="F9240" t="s">
        <v>1924</v>
      </c>
      <c r="G9240" t="s">
        <v>57</v>
      </c>
      <c r="H9240" t="s">
        <v>20</v>
      </c>
      <c r="I9240" t="s">
        <v>17920</v>
      </c>
      <c r="J9240" t="str">
        <f>HYPERLINK("https://www.boe.es/gazeta/dias/1822/03/01/pdfs/GMD-1822-61.pdf#page=4","Abrir facsímil")</f>
        <v>Abrir facsímil</v>
      </c>
      <c r="K9240" t="s">
        <v>22</v>
      </c>
    </row>
    <row r="9241" spans="1:11" ht="42" customHeight="1">
      <c r="A9241" t="s">
        <v>17921</v>
      </c>
      <c r="B9241" t="s">
        <v>17922</v>
      </c>
      <c r="C9241" t="s">
        <v>362</v>
      </c>
      <c r="D9241" t="s">
        <v>17</v>
      </c>
      <c r="E9241" s="6">
        <v>-28290</v>
      </c>
      <c r="F9241" t="s">
        <v>706</v>
      </c>
      <c r="G9241" t="s">
        <v>57</v>
      </c>
      <c r="H9241" t="s">
        <v>20</v>
      </c>
      <c r="I9241" t="s">
        <v>17923</v>
      </c>
      <c r="J9241" t="str">
        <f>HYPERLINK("https://www.boe.es/gazeta/dias/1822/07/17/pdfs/GMD-1822-207.pdf#page=4","Abrir facsímil")</f>
        <v>Abrir facsímil</v>
      </c>
      <c r="K9241" t="s">
        <v>22</v>
      </c>
    </row>
    <row r="9242" spans="1:11" ht="42" customHeight="1">
      <c r="A9242" t="s">
        <v>17924</v>
      </c>
      <c r="B9242" t="s">
        <v>17925</v>
      </c>
      <c r="C9242" t="s">
        <v>50</v>
      </c>
      <c r="D9242" t="s">
        <v>51</v>
      </c>
      <c r="E9242" s="6">
        <v>-28223</v>
      </c>
      <c r="F9242" t="s">
        <v>2374</v>
      </c>
      <c r="G9242" t="s">
        <v>31</v>
      </c>
      <c r="H9242" t="s">
        <v>20</v>
      </c>
      <c r="I9242" t="s">
        <v>17926</v>
      </c>
      <c r="J9242" t="str">
        <f>HYPERLINK("https://www.boe.es/gazeta/dias/1822/09/22/pdfs/GMD-1822-278.pdf#page=3","Abrir facsímil")</f>
        <v>Abrir facsímil</v>
      </c>
      <c r="K9242" t="s">
        <v>22</v>
      </c>
    </row>
    <row r="9243" spans="1:11" ht="42" customHeight="1">
      <c r="A9243" t="s">
        <v>17927</v>
      </c>
      <c r="B9243" t="s">
        <v>17928</v>
      </c>
      <c r="C9243" t="s">
        <v>28</v>
      </c>
      <c r="D9243" t="s">
        <v>29</v>
      </c>
      <c r="E9243" s="6">
        <v>-28395</v>
      </c>
      <c r="F9243" t="s">
        <v>237</v>
      </c>
      <c r="G9243" t="s">
        <v>57</v>
      </c>
      <c r="H9243" t="s">
        <v>20</v>
      </c>
      <c r="I9243" t="s">
        <v>17929</v>
      </c>
      <c r="J9243" t="str">
        <f>HYPERLINK("https://www.boe.es/gazeta/dias/1822/04/03/pdfs/GMD-1822-95.pdf#page=4","Abrir facsímil")</f>
        <v>Abrir facsímil</v>
      </c>
      <c r="K9243" t="s">
        <v>22</v>
      </c>
    </row>
    <row r="9244" spans="1:11" ht="42" customHeight="1">
      <c r="A9244" t="s">
        <v>17930</v>
      </c>
      <c r="B9244" t="s">
        <v>17930</v>
      </c>
      <c r="C9244" t="s">
        <v>50</v>
      </c>
      <c r="D9244" t="s">
        <v>51</v>
      </c>
      <c r="E9244" s="6">
        <v>-28130</v>
      </c>
      <c r="F9244" t="s">
        <v>34</v>
      </c>
      <c r="G9244" t="s">
        <v>19</v>
      </c>
      <c r="H9244" t="s">
        <v>20</v>
      </c>
      <c r="I9244" t="s">
        <v>17931</v>
      </c>
      <c r="J9244" t="str">
        <f>HYPERLINK("https://www.boe.es/gazeta/dias/1822/12/24/pdfs/GMD-1822-374.pdf#page=5","Abrir facsímil")</f>
        <v>Abrir facsímil</v>
      </c>
      <c r="K9244" t="s">
        <v>22</v>
      </c>
    </row>
    <row r="9245" spans="1:11" ht="42" customHeight="1">
      <c r="A9245" t="s">
        <v>17932</v>
      </c>
      <c r="B9245" t="s">
        <v>17933</v>
      </c>
      <c r="C9245" t="s">
        <v>50</v>
      </c>
      <c r="D9245" t="s">
        <v>51</v>
      </c>
      <c r="E9245" s="6">
        <v>-28130</v>
      </c>
      <c r="F9245" t="s">
        <v>34</v>
      </c>
      <c r="G9245" t="s">
        <v>19</v>
      </c>
      <c r="H9245" t="s">
        <v>20</v>
      </c>
      <c r="I9245" t="s">
        <v>17934</v>
      </c>
      <c r="J9245" t="str">
        <f>HYPERLINK("https://www.boe.es/gazeta/dias/1822/12/24/pdfs/GMD-1822-374.pdf#page=5","Abrir facsímil")</f>
        <v>Abrir facsímil</v>
      </c>
      <c r="K9245" t="s">
        <v>22</v>
      </c>
    </row>
    <row r="9246" spans="1:11" ht="42" customHeight="1">
      <c r="A9246" t="s">
        <v>17935</v>
      </c>
      <c r="B9246" t="s">
        <v>17936</v>
      </c>
      <c r="C9246" t="s">
        <v>42</v>
      </c>
      <c r="D9246" t="s">
        <v>17</v>
      </c>
      <c r="E9246" s="6">
        <v>-28382</v>
      </c>
      <c r="F9246" t="s">
        <v>973</v>
      </c>
      <c r="G9246" t="s">
        <v>63</v>
      </c>
      <c r="H9246" t="s">
        <v>20</v>
      </c>
      <c r="I9246" t="s">
        <v>17937</v>
      </c>
      <c r="J9246" t="str">
        <f>HYPERLINK("https://www.boe.es/gazeta/dias/1822/04/16/pdfs/GMD-1822-108.pdf#page=6","Abrir facsímil")</f>
        <v>Abrir facsímil</v>
      </c>
      <c r="K9246" t="s">
        <v>22</v>
      </c>
    </row>
    <row r="9247" spans="1:11" ht="42" customHeight="1">
      <c r="A9247" t="s">
        <v>17938</v>
      </c>
      <c r="B9247" t="s">
        <v>17939</v>
      </c>
      <c r="C9247" t="s">
        <v>16</v>
      </c>
      <c r="D9247" t="s">
        <v>17</v>
      </c>
      <c r="E9247" s="6">
        <v>-28326</v>
      </c>
      <c r="F9247" t="s">
        <v>543</v>
      </c>
      <c r="G9247" t="s">
        <v>63</v>
      </c>
      <c r="H9247" t="s">
        <v>20</v>
      </c>
      <c r="I9247" t="s">
        <v>17940</v>
      </c>
      <c r="J9247" t="str">
        <f>HYPERLINK("https://www.boe.es/gazeta/dias/1822/06/11/pdfs/GMD-1822-168.pdf#page=6","Abrir facsímil")</f>
        <v>Abrir facsímil</v>
      </c>
      <c r="K9247" t="s">
        <v>22</v>
      </c>
    </row>
    <row r="9248" spans="1:11" ht="42" customHeight="1">
      <c r="A9248" t="s">
        <v>17941</v>
      </c>
      <c r="B9248" t="s">
        <v>17942</v>
      </c>
      <c r="C9248" t="s">
        <v>61</v>
      </c>
      <c r="D9248" t="s">
        <v>17</v>
      </c>
      <c r="E9248" s="6">
        <v>-28328</v>
      </c>
      <c r="F9248" t="s">
        <v>540</v>
      </c>
      <c r="G9248" t="s">
        <v>35</v>
      </c>
      <c r="H9248" t="s">
        <v>20</v>
      </c>
      <c r="I9248" t="s">
        <v>17943</v>
      </c>
      <c r="J9248" t="str">
        <f>HYPERLINK("https://www.boe.es/gazeta/dias/1822/06/09/pdfs/GMD-1822-166.pdf#page=2","Abrir facsímil")</f>
        <v>Abrir facsímil</v>
      </c>
      <c r="K9248" t="s">
        <v>22</v>
      </c>
    </row>
    <row r="9249" spans="1:11" ht="42" customHeight="1">
      <c r="A9249" t="s">
        <v>17944</v>
      </c>
      <c r="B9249" t="s">
        <v>17945</v>
      </c>
      <c r="C9249" t="s">
        <v>50</v>
      </c>
      <c r="D9249" t="s">
        <v>51</v>
      </c>
      <c r="E9249" s="6">
        <v>-28415</v>
      </c>
      <c r="F9249" t="s">
        <v>77</v>
      </c>
      <c r="G9249" t="s">
        <v>63</v>
      </c>
      <c r="H9249" t="s">
        <v>20</v>
      </c>
      <c r="I9249" t="s">
        <v>17946</v>
      </c>
      <c r="J9249" t="str">
        <f>HYPERLINK("https://www.boe.es/gazeta/dias/1822/03/14/pdfs/GMD-1822-75.pdf#page=6","Abrir facsímil")</f>
        <v>Abrir facsímil</v>
      </c>
      <c r="K9249" t="s">
        <v>22</v>
      </c>
    </row>
    <row r="9250" spans="1:11" ht="42" customHeight="1">
      <c r="A9250" t="s">
        <v>17947</v>
      </c>
      <c r="B9250" t="s">
        <v>17948</v>
      </c>
      <c r="C9250" t="s">
        <v>71</v>
      </c>
      <c r="D9250" t="s">
        <v>17</v>
      </c>
      <c r="E9250" s="6">
        <v>-28323</v>
      </c>
      <c r="F9250" t="s">
        <v>116</v>
      </c>
      <c r="G9250" t="s">
        <v>44</v>
      </c>
      <c r="H9250" t="s">
        <v>20</v>
      </c>
      <c r="I9250" t="s">
        <v>17949</v>
      </c>
      <c r="J9250" t="str">
        <f>HYPERLINK("https://www.boe.es/gazeta/dias/1822/06/14/pdfs/GMD-1822-171.pdf#page=1","Abrir facsímil")</f>
        <v>Abrir facsímil</v>
      </c>
      <c r="K9250" t="s">
        <v>22</v>
      </c>
    </row>
    <row r="9251" spans="1:11" ht="42" customHeight="1">
      <c r="A9251" t="s">
        <v>17950</v>
      </c>
      <c r="B9251" t="s">
        <v>17951</v>
      </c>
      <c r="C9251" t="s">
        <v>28</v>
      </c>
      <c r="D9251" t="s">
        <v>29</v>
      </c>
      <c r="E9251" s="6">
        <v>-28293</v>
      </c>
      <c r="F9251" t="s">
        <v>152</v>
      </c>
      <c r="G9251" t="s">
        <v>57</v>
      </c>
      <c r="H9251" t="s">
        <v>20</v>
      </c>
      <c r="I9251" t="s">
        <v>17952</v>
      </c>
      <c r="J9251" t="str">
        <f>HYPERLINK("https://www.boe.es/gazeta/dias/1822/07/14/pdfs/GMD-1822-204.pdf#page=4","Abrir facsímil")</f>
        <v>Abrir facsímil</v>
      </c>
      <c r="K9251" t="s">
        <v>22</v>
      </c>
    </row>
    <row r="9252" spans="1:11" ht="42" customHeight="1">
      <c r="A9252" t="s">
        <v>17953</v>
      </c>
      <c r="B9252" t="s">
        <v>17954</v>
      </c>
      <c r="C9252" t="s">
        <v>28</v>
      </c>
      <c r="D9252" t="s">
        <v>29</v>
      </c>
      <c r="E9252" s="6">
        <v>-28380</v>
      </c>
      <c r="F9252" t="s">
        <v>492</v>
      </c>
      <c r="G9252" t="s">
        <v>63</v>
      </c>
      <c r="H9252" t="s">
        <v>20</v>
      </c>
      <c r="I9252" t="s">
        <v>17955</v>
      </c>
      <c r="J9252" t="str">
        <f>HYPERLINK("https://www.boe.es/gazeta/dias/1822/04/18/pdfs/GMD-1822-110.pdf#page=6","Abrir facsímil")</f>
        <v>Abrir facsímil</v>
      </c>
      <c r="K9252" t="s">
        <v>22</v>
      </c>
    </row>
    <row r="9253" spans="1:11" ht="42" customHeight="1">
      <c r="A9253" t="s">
        <v>17956</v>
      </c>
      <c r="B9253" t="s">
        <v>17957</v>
      </c>
      <c r="C9253" t="s">
        <v>28</v>
      </c>
      <c r="D9253" t="s">
        <v>29</v>
      </c>
      <c r="E9253" s="6">
        <v>-28378</v>
      </c>
      <c r="F9253" t="s">
        <v>496</v>
      </c>
      <c r="G9253" t="s">
        <v>57</v>
      </c>
      <c r="H9253" t="s">
        <v>20</v>
      </c>
      <c r="I9253" t="s">
        <v>17958</v>
      </c>
      <c r="J9253" t="str">
        <f>HYPERLINK("https://www.boe.es/gazeta/dias/1822/04/20/pdfs/GMD-1822-112.pdf#page=4","Abrir facsímil")</f>
        <v>Abrir facsímil</v>
      </c>
      <c r="K9253" t="s">
        <v>22</v>
      </c>
    </row>
    <row r="9254" spans="1:11" ht="42" customHeight="1">
      <c r="A9254" t="s">
        <v>17956</v>
      </c>
      <c r="B9254" t="s">
        <v>17957</v>
      </c>
      <c r="C9254" t="s">
        <v>28</v>
      </c>
      <c r="D9254" t="s">
        <v>29</v>
      </c>
      <c r="E9254" s="6">
        <v>-28231</v>
      </c>
      <c r="F9254" t="s">
        <v>2049</v>
      </c>
      <c r="G9254" t="s">
        <v>57</v>
      </c>
      <c r="H9254" t="s">
        <v>20</v>
      </c>
      <c r="I9254" t="s">
        <v>17959</v>
      </c>
      <c r="J9254" t="str">
        <f>HYPERLINK("https://www.boe.es/gazeta/dias/1822/09/14/pdfs/GMD-1822-270.pdf#page=4","Abrir facsímil")</f>
        <v>Abrir facsímil</v>
      </c>
      <c r="K9254" t="s">
        <v>22</v>
      </c>
    </row>
    <row r="9255" spans="1:11" ht="42" customHeight="1">
      <c r="A9255" t="s">
        <v>17956</v>
      </c>
      <c r="B9255" t="s">
        <v>17957</v>
      </c>
      <c r="C9255" t="s">
        <v>28</v>
      </c>
      <c r="D9255" t="s">
        <v>29</v>
      </c>
      <c r="E9255" s="6">
        <v>-28188</v>
      </c>
      <c r="F9255" t="s">
        <v>578</v>
      </c>
      <c r="G9255" t="s">
        <v>157</v>
      </c>
      <c r="H9255" t="s">
        <v>20</v>
      </c>
      <c r="I9255" t="s">
        <v>17960</v>
      </c>
      <c r="J9255" t="str">
        <f>HYPERLINK("https://www.boe.es/gazeta/dias/1822/10/27/pdfs/GMD-1822-314.pdf#page=8","Abrir facsímil")</f>
        <v>Abrir facsímil</v>
      </c>
      <c r="K9255" t="s">
        <v>22</v>
      </c>
    </row>
    <row r="9256" spans="1:11" ht="42" customHeight="1">
      <c r="A9256" t="s">
        <v>17956</v>
      </c>
      <c r="B9256" t="s">
        <v>17957</v>
      </c>
      <c r="C9256" t="s">
        <v>50</v>
      </c>
      <c r="D9256" t="s">
        <v>51</v>
      </c>
      <c r="E9256" s="6">
        <v>-28169</v>
      </c>
      <c r="F9256" t="s">
        <v>2571</v>
      </c>
      <c r="G9256" t="s">
        <v>63</v>
      </c>
      <c r="H9256" t="s">
        <v>20</v>
      </c>
      <c r="I9256" t="s">
        <v>17961</v>
      </c>
      <c r="J9256" t="str">
        <f>HYPERLINK("https://www.boe.es/gazeta/dias/1822/11/15/pdfs/GMD-1822-335.pdf#page=6","Abrir facsímil")</f>
        <v>Abrir facsímil</v>
      </c>
      <c r="K9256" t="s">
        <v>22</v>
      </c>
    </row>
    <row r="9257" spans="1:11" ht="42" customHeight="1">
      <c r="A9257" t="s">
        <v>17962</v>
      </c>
      <c r="B9257" t="s">
        <v>17963</v>
      </c>
      <c r="C9257" t="s">
        <v>24</v>
      </c>
      <c r="D9257" t="s">
        <v>17</v>
      </c>
      <c r="E9257" s="6">
        <v>-28323</v>
      </c>
      <c r="F9257" t="s">
        <v>116</v>
      </c>
      <c r="G9257" t="s">
        <v>44</v>
      </c>
      <c r="H9257" t="s">
        <v>20</v>
      </c>
      <c r="I9257" t="s">
        <v>17964</v>
      </c>
      <c r="J9257" t="str">
        <f>HYPERLINK("https://www.boe.es/gazeta/dias/1822/06/14/pdfs/GMD-1822-171.pdf#page=1","Abrir facsímil")</f>
        <v>Abrir facsímil</v>
      </c>
      <c r="K9257" t="s">
        <v>22</v>
      </c>
    </row>
    <row r="9258" spans="1:11" ht="42" customHeight="1">
      <c r="A9258" t="s">
        <v>17965</v>
      </c>
      <c r="B9258" t="s">
        <v>17966</v>
      </c>
      <c r="C9258" t="s">
        <v>61</v>
      </c>
      <c r="D9258" t="s">
        <v>17</v>
      </c>
      <c r="E9258" s="6">
        <v>-28150</v>
      </c>
      <c r="F9258" t="s">
        <v>62</v>
      </c>
      <c r="G9258" t="s">
        <v>63</v>
      </c>
      <c r="H9258" t="s">
        <v>20</v>
      </c>
      <c r="I9258" t="s">
        <v>17967</v>
      </c>
      <c r="J9258" t="str">
        <f>HYPERLINK("https://www.boe.es/gazeta/dias/1822/12/04/pdfs/GMD-1822-354.pdf#page=6","Abrir facsímil")</f>
        <v>Abrir facsímil</v>
      </c>
      <c r="K9258" t="s">
        <v>22</v>
      </c>
    </row>
    <row r="9259" spans="1:11" ht="42" customHeight="1">
      <c r="A9259" t="s">
        <v>17968</v>
      </c>
      <c r="B9259" t="s">
        <v>17969</v>
      </c>
      <c r="C9259" t="s">
        <v>50</v>
      </c>
      <c r="D9259" t="s">
        <v>51</v>
      </c>
      <c r="E9259" s="6">
        <v>-28130</v>
      </c>
      <c r="F9259" t="s">
        <v>34</v>
      </c>
      <c r="G9259" t="s">
        <v>63</v>
      </c>
      <c r="H9259" t="s">
        <v>20</v>
      </c>
      <c r="I9259" t="s">
        <v>17970</v>
      </c>
      <c r="J9259" t="str">
        <f>HYPERLINK("https://www.boe.es/gazeta/dias/1822/12/24/pdfs/GMD-1822-374.pdf#page=6","Abrir facsímil")</f>
        <v>Abrir facsímil</v>
      </c>
      <c r="K9259" t="s">
        <v>22</v>
      </c>
    </row>
    <row r="9260" spans="1:11" ht="42" customHeight="1">
      <c r="A9260" t="s">
        <v>17971</v>
      </c>
      <c r="B9260" t="s">
        <v>17972</v>
      </c>
      <c r="C9260" t="s">
        <v>71</v>
      </c>
      <c r="D9260" t="s">
        <v>17</v>
      </c>
      <c r="E9260" s="6">
        <v>-28340</v>
      </c>
      <c r="F9260" t="s">
        <v>139</v>
      </c>
      <c r="G9260" t="s">
        <v>31</v>
      </c>
      <c r="H9260" t="s">
        <v>20</v>
      </c>
      <c r="I9260" t="s">
        <v>17973</v>
      </c>
      <c r="J9260" t="str">
        <f>HYPERLINK("https://www.boe.es/gazeta/dias/1822/05/28/pdfs/GMD-1822-153.pdf#page=3","Abrir facsímil")</f>
        <v>Abrir facsímil</v>
      </c>
      <c r="K9260" t="s">
        <v>22</v>
      </c>
    </row>
    <row r="9261" spans="1:11" ht="42" customHeight="1">
      <c r="A9261" t="s">
        <v>17971</v>
      </c>
      <c r="B9261" t="s">
        <v>17972</v>
      </c>
      <c r="C9261" t="s">
        <v>50</v>
      </c>
      <c r="D9261" t="s">
        <v>51</v>
      </c>
      <c r="E9261" s="6">
        <v>-28313</v>
      </c>
      <c r="F9261" t="s">
        <v>315</v>
      </c>
      <c r="G9261" t="s">
        <v>157</v>
      </c>
      <c r="H9261" t="s">
        <v>20</v>
      </c>
      <c r="I9261" t="s">
        <v>17974</v>
      </c>
      <c r="J9261" t="str">
        <f>HYPERLINK("https://www.boe.es/gazeta/dias/1822/06/24/pdfs/GMD-1822-182.pdf#page=8","Abrir facsímil")</f>
        <v>Abrir facsímil</v>
      </c>
      <c r="K9261" t="s">
        <v>22</v>
      </c>
    </row>
    <row r="9262" spans="1:11" ht="42" customHeight="1">
      <c r="A9262" t="s">
        <v>17975</v>
      </c>
      <c r="B9262" t="s">
        <v>17976</v>
      </c>
      <c r="C9262" t="s">
        <v>71</v>
      </c>
      <c r="D9262" t="s">
        <v>17</v>
      </c>
      <c r="E9262" s="6">
        <v>-28399</v>
      </c>
      <c r="F9262" t="s">
        <v>476</v>
      </c>
      <c r="G9262" t="s">
        <v>35</v>
      </c>
      <c r="H9262" t="s">
        <v>20</v>
      </c>
      <c r="I9262" t="s">
        <v>17977</v>
      </c>
      <c r="J9262" t="str">
        <f>HYPERLINK("https://www.boe.es/gazeta/dias/1822/03/30/pdfs/GMD-1822-91.pdf#page=2","Abrir facsímil")</f>
        <v>Abrir facsímil</v>
      </c>
      <c r="K9262" t="s">
        <v>22</v>
      </c>
    </row>
    <row r="9263" spans="1:11" ht="42" customHeight="1">
      <c r="A9263" t="s">
        <v>17978</v>
      </c>
      <c r="B9263" t="s">
        <v>17979</v>
      </c>
      <c r="C9263" t="s">
        <v>71</v>
      </c>
      <c r="D9263" t="s">
        <v>17</v>
      </c>
      <c r="E9263" s="6">
        <v>-28316</v>
      </c>
      <c r="F9263" t="s">
        <v>1144</v>
      </c>
      <c r="G9263" t="s">
        <v>44</v>
      </c>
      <c r="H9263" t="s">
        <v>20</v>
      </c>
      <c r="I9263" t="s">
        <v>17980</v>
      </c>
      <c r="J9263" t="str">
        <f>HYPERLINK("https://www.boe.es/gazeta/dias/1822/06/21/pdfs/GMD-1822-179.pdf#page=1","Abrir facsímil")</f>
        <v>Abrir facsímil</v>
      </c>
      <c r="K9263" t="s">
        <v>22</v>
      </c>
    </row>
    <row r="9264" spans="1:11" ht="42" customHeight="1">
      <c r="A9264" t="s">
        <v>17981</v>
      </c>
      <c r="B9264" t="s">
        <v>17982</v>
      </c>
      <c r="C9264" t="s">
        <v>42</v>
      </c>
      <c r="D9264" t="s">
        <v>17</v>
      </c>
      <c r="E9264" s="6">
        <v>-28270</v>
      </c>
      <c r="F9264" t="s">
        <v>130</v>
      </c>
      <c r="G9264" t="s">
        <v>131</v>
      </c>
      <c r="H9264" t="s">
        <v>20</v>
      </c>
      <c r="I9264" t="s">
        <v>17983</v>
      </c>
      <c r="J9264" t="str">
        <f>HYPERLINK("https://www.boe.es/gazeta/dias/1822/08/06/pdfs/GMD-1822-230.pdf#page=6","Abrir facsímil")</f>
        <v>Abrir facsímil</v>
      </c>
      <c r="K9264" t="s">
        <v>22</v>
      </c>
    </row>
    <row r="9265" spans="1:11" ht="42" customHeight="1">
      <c r="A9265" t="s">
        <v>17981</v>
      </c>
      <c r="B9265" t="s">
        <v>17982</v>
      </c>
      <c r="C9265" t="s">
        <v>71</v>
      </c>
      <c r="D9265" t="s">
        <v>17</v>
      </c>
      <c r="E9265" s="6">
        <v>-28214</v>
      </c>
      <c r="F9265" t="s">
        <v>814</v>
      </c>
      <c r="G9265" t="s">
        <v>57</v>
      </c>
      <c r="H9265" t="s">
        <v>20</v>
      </c>
      <c r="I9265" t="s">
        <v>17984</v>
      </c>
      <c r="J9265" t="str">
        <f>HYPERLINK("https://www.boe.es/gazeta/dias/1822/10/01/pdfs/GMD-1822-287.pdf#page=4","Abrir facsímil")</f>
        <v>Abrir facsímil</v>
      </c>
      <c r="K9265" t="s">
        <v>22</v>
      </c>
    </row>
    <row r="9266" spans="1:11" ht="42" customHeight="1">
      <c r="A9266" t="s">
        <v>17985</v>
      </c>
      <c r="B9266" t="s">
        <v>17986</v>
      </c>
      <c r="C9266" t="s">
        <v>28</v>
      </c>
      <c r="D9266" t="s">
        <v>29</v>
      </c>
      <c r="E9266" s="6">
        <v>-28229</v>
      </c>
      <c r="F9266" t="s">
        <v>2310</v>
      </c>
      <c r="G9266" t="s">
        <v>57</v>
      </c>
      <c r="H9266" t="s">
        <v>20</v>
      </c>
      <c r="I9266" t="s">
        <v>17987</v>
      </c>
      <c r="J9266" t="str">
        <f>HYPERLINK("https://www.boe.es/gazeta/dias/1822/09/16/pdfs/GMD-1822-272.pdf#page=4","Abrir facsímil")</f>
        <v>Abrir facsímil</v>
      </c>
      <c r="K9266" t="s">
        <v>22</v>
      </c>
    </row>
    <row r="9267" spans="1:11" ht="42" customHeight="1">
      <c r="A9267" t="s">
        <v>17988</v>
      </c>
      <c r="B9267" t="s">
        <v>17989</v>
      </c>
      <c r="C9267" t="s">
        <v>28</v>
      </c>
      <c r="D9267" t="s">
        <v>29</v>
      </c>
      <c r="E9267" s="6">
        <v>-28395</v>
      </c>
      <c r="F9267" t="s">
        <v>237</v>
      </c>
      <c r="G9267" t="s">
        <v>57</v>
      </c>
      <c r="H9267" t="s">
        <v>20</v>
      </c>
      <c r="I9267" t="s">
        <v>17990</v>
      </c>
      <c r="J9267" t="str">
        <f>HYPERLINK("https://www.boe.es/gazeta/dias/1822/04/03/pdfs/GMD-1822-95.pdf#page=4","Abrir facsímil")</f>
        <v>Abrir facsímil</v>
      </c>
      <c r="K9267" t="s">
        <v>22</v>
      </c>
    </row>
    <row r="9268" spans="1:11" ht="42" customHeight="1">
      <c r="A9268" t="s">
        <v>17991</v>
      </c>
      <c r="B9268" t="s">
        <v>17992</v>
      </c>
      <c r="C9268" t="s">
        <v>24</v>
      </c>
      <c r="D9268" t="s">
        <v>17</v>
      </c>
      <c r="E9268" s="6">
        <v>-28323</v>
      </c>
      <c r="F9268" t="s">
        <v>116</v>
      </c>
      <c r="G9268" t="s">
        <v>31</v>
      </c>
      <c r="H9268" t="s">
        <v>20</v>
      </c>
      <c r="I9268" t="s">
        <v>17993</v>
      </c>
      <c r="J9268" t="str">
        <f>HYPERLINK("https://www.boe.es/gazeta/dias/1822/06/14/pdfs/GMD-1822-171.pdf#page=3","Abrir facsímil")</f>
        <v>Abrir facsímil</v>
      </c>
      <c r="K9268" t="s">
        <v>22</v>
      </c>
    </row>
    <row r="9269" spans="1:11" ht="42" customHeight="1">
      <c r="A9269" t="s">
        <v>17994</v>
      </c>
      <c r="B9269" t="s">
        <v>17995</v>
      </c>
      <c r="C9269" t="s">
        <v>42</v>
      </c>
      <c r="D9269" t="s">
        <v>17</v>
      </c>
      <c r="E9269" s="6">
        <v>-28417</v>
      </c>
      <c r="F9269" t="s">
        <v>1394</v>
      </c>
      <c r="G9269" t="s">
        <v>35</v>
      </c>
      <c r="H9269" t="s">
        <v>20</v>
      </c>
      <c r="I9269" t="s">
        <v>17996</v>
      </c>
      <c r="J9269" t="str">
        <f>HYPERLINK("https://www.boe.es/gazeta/dias/1822/03/12/pdfs/GMD-1822-73.pdf#page=2","Abrir facsímil")</f>
        <v>Abrir facsímil</v>
      </c>
      <c r="K9269" t="s">
        <v>22</v>
      </c>
    </row>
    <row r="9270" spans="1:11" ht="42" customHeight="1">
      <c r="A9270" t="s">
        <v>17997</v>
      </c>
      <c r="B9270" t="s">
        <v>17997</v>
      </c>
      <c r="C9270" t="s">
        <v>28</v>
      </c>
      <c r="D9270" t="s">
        <v>29</v>
      </c>
      <c r="E9270" s="6">
        <v>-28360</v>
      </c>
      <c r="F9270" t="s">
        <v>514</v>
      </c>
      <c r="G9270" t="s">
        <v>57</v>
      </c>
      <c r="H9270" t="s">
        <v>20</v>
      </c>
      <c r="I9270" t="s">
        <v>17998</v>
      </c>
      <c r="J9270" t="str">
        <f>HYPERLINK("https://www.boe.es/gazeta/dias/1822/05/08/pdfs/GMD-1822-130.pdf#page=4","Abrir facsímil")</f>
        <v>Abrir facsímil</v>
      </c>
      <c r="K9270" t="s">
        <v>22</v>
      </c>
    </row>
    <row r="9271" spans="1:11" ht="42" customHeight="1">
      <c r="A9271" t="s">
        <v>17997</v>
      </c>
      <c r="B9271" t="s">
        <v>17997</v>
      </c>
      <c r="C9271" t="s">
        <v>42</v>
      </c>
      <c r="D9271" t="s">
        <v>17</v>
      </c>
      <c r="E9271" s="6">
        <v>-28341</v>
      </c>
      <c r="F9271" t="s">
        <v>284</v>
      </c>
      <c r="G9271" t="s">
        <v>19</v>
      </c>
      <c r="H9271" t="s">
        <v>20</v>
      </c>
      <c r="I9271" t="s">
        <v>17999</v>
      </c>
      <c r="J9271" t="str">
        <f>HYPERLINK("https://www.boe.es/gazeta/dias/1822/05/27/pdfs/GMD-1822-152.pdf#page=5","Abrir facsímil")</f>
        <v>Abrir facsímil</v>
      </c>
      <c r="K9271" t="s">
        <v>22</v>
      </c>
    </row>
    <row r="9272" spans="1:11" ht="42" customHeight="1">
      <c r="A9272" t="s">
        <v>17997</v>
      </c>
      <c r="B9272" t="s">
        <v>17997</v>
      </c>
      <c r="C9272" t="s">
        <v>16</v>
      </c>
      <c r="D9272" t="s">
        <v>17</v>
      </c>
      <c r="E9272" s="6">
        <v>-28340</v>
      </c>
      <c r="F9272" t="s">
        <v>139</v>
      </c>
      <c r="G9272" t="s">
        <v>57</v>
      </c>
      <c r="H9272" t="s">
        <v>20</v>
      </c>
      <c r="I9272" t="s">
        <v>18000</v>
      </c>
      <c r="J9272" t="str">
        <f>HYPERLINK("https://www.boe.es/gazeta/dias/1822/05/28/pdfs/GMD-1822-153.pdf#page=4","Abrir facsímil")</f>
        <v>Abrir facsímil</v>
      </c>
      <c r="K9272" t="s">
        <v>22</v>
      </c>
    </row>
    <row r="9273" spans="1:11" ht="42" customHeight="1">
      <c r="A9273" t="s">
        <v>17997</v>
      </c>
      <c r="B9273" t="s">
        <v>17997</v>
      </c>
      <c r="C9273" t="s">
        <v>42</v>
      </c>
      <c r="D9273" t="s">
        <v>17</v>
      </c>
      <c r="E9273" s="6">
        <v>-28337</v>
      </c>
      <c r="F9273" t="s">
        <v>1836</v>
      </c>
      <c r="G9273" t="s">
        <v>35</v>
      </c>
      <c r="H9273" t="s">
        <v>20</v>
      </c>
      <c r="I9273" t="s">
        <v>18001</v>
      </c>
      <c r="J9273" t="str">
        <f>HYPERLINK("https://www.boe.es/gazeta/dias/1822/05/31/pdfs/GMD-1822-156.pdf#page=2","Abrir facsímil")</f>
        <v>Abrir facsímil</v>
      </c>
      <c r="K9273" t="s">
        <v>22</v>
      </c>
    </row>
    <row r="9274" spans="1:11" ht="42" customHeight="1">
      <c r="A9274" t="s">
        <v>17997</v>
      </c>
      <c r="B9274" t="s">
        <v>17997</v>
      </c>
      <c r="C9274" t="s">
        <v>28</v>
      </c>
      <c r="D9274" t="s">
        <v>29</v>
      </c>
      <c r="E9274" s="6">
        <v>-28313</v>
      </c>
      <c r="F9274" t="s">
        <v>315</v>
      </c>
      <c r="G9274" t="s">
        <v>35</v>
      </c>
      <c r="H9274" t="s">
        <v>20</v>
      </c>
      <c r="I9274" t="s">
        <v>18002</v>
      </c>
      <c r="J9274" t="str">
        <f>HYPERLINK("https://www.boe.es/gazeta/dias/1822/06/24/pdfs/GMD-1822-182.pdf#page=2","Abrir facsímil")</f>
        <v>Abrir facsímil</v>
      </c>
      <c r="K9274" t="s">
        <v>22</v>
      </c>
    </row>
    <row r="9275" spans="1:11" ht="42" customHeight="1">
      <c r="A9275" t="s">
        <v>18003</v>
      </c>
      <c r="B9275" t="s">
        <v>18003</v>
      </c>
      <c r="C9275" t="s">
        <v>28</v>
      </c>
      <c r="D9275" t="s">
        <v>29</v>
      </c>
      <c r="E9275" s="6">
        <v>-28483</v>
      </c>
      <c r="F9275" t="s">
        <v>254</v>
      </c>
      <c r="G9275" t="s">
        <v>57</v>
      </c>
      <c r="H9275" t="s">
        <v>20</v>
      </c>
      <c r="I9275" t="s">
        <v>18004</v>
      </c>
      <c r="J9275" t="str">
        <f>HYPERLINK("https://www.boe.es/gazeta/dias/1822/01/05/pdfs/GMD-1822-5.pdf#page=4","Abrir facsímil")</f>
        <v>Abrir facsímil</v>
      </c>
      <c r="K9275" t="s">
        <v>22</v>
      </c>
    </row>
    <row r="9276" spans="1:11" ht="42" customHeight="1">
      <c r="A9276" t="s">
        <v>18005</v>
      </c>
      <c r="B9276" t="s">
        <v>18005</v>
      </c>
      <c r="C9276" t="s">
        <v>42</v>
      </c>
      <c r="D9276" t="s">
        <v>723</v>
      </c>
      <c r="E9276" s="6">
        <v>-28181</v>
      </c>
      <c r="F9276" t="s">
        <v>724</v>
      </c>
      <c r="G9276" t="s">
        <v>35</v>
      </c>
      <c r="H9276" t="s">
        <v>20</v>
      </c>
      <c r="I9276" t="s">
        <v>18006</v>
      </c>
      <c r="J9276" t="str">
        <f>HYPERLINK("https://www.boe.es/gazeta/dias/1822/11/03/pdfs/GMD-1822-322E.pdf#page=2","Abrir facsímil")</f>
        <v>Abrir facsímil</v>
      </c>
      <c r="K9276" t="s">
        <v>22</v>
      </c>
    </row>
    <row r="9277" spans="1:11" ht="42" customHeight="1">
      <c r="A9277" t="s">
        <v>18005</v>
      </c>
      <c r="B9277" t="s">
        <v>18005</v>
      </c>
      <c r="C9277" t="s">
        <v>71</v>
      </c>
      <c r="D9277" t="s">
        <v>17</v>
      </c>
      <c r="E9277" s="6">
        <v>-28147</v>
      </c>
      <c r="F9277" t="s">
        <v>1611</v>
      </c>
      <c r="G9277" t="s">
        <v>19</v>
      </c>
      <c r="H9277" t="s">
        <v>20</v>
      </c>
      <c r="I9277" t="s">
        <v>18007</v>
      </c>
      <c r="J9277" t="str">
        <f>HYPERLINK("https://www.boe.es/gazeta/dias/1822/12/07/pdfs/GMD-1822-357.pdf#page=5","Abrir facsímil")</f>
        <v>Abrir facsímil</v>
      </c>
      <c r="K9277" t="s">
        <v>22</v>
      </c>
    </row>
    <row r="9278" spans="1:11" ht="42" customHeight="1">
      <c r="A9278" t="s">
        <v>18005</v>
      </c>
      <c r="B9278" t="s">
        <v>18005</v>
      </c>
      <c r="C9278" t="s">
        <v>42</v>
      </c>
      <c r="D9278" t="s">
        <v>17</v>
      </c>
      <c r="E9278" s="6">
        <v>-28142</v>
      </c>
      <c r="F9278" t="s">
        <v>290</v>
      </c>
      <c r="G9278" t="s">
        <v>44</v>
      </c>
      <c r="H9278" t="s">
        <v>20</v>
      </c>
      <c r="I9278" t="s">
        <v>18008</v>
      </c>
      <c r="J9278" t="str">
        <f>HYPERLINK("https://www.boe.es/gazeta/dias/1822/12/12/pdfs/GMD-1822-362.pdf#page=1","Abrir facsímil")</f>
        <v>Abrir facsímil</v>
      </c>
      <c r="K9278" t="s">
        <v>22</v>
      </c>
    </row>
    <row r="9279" spans="1:11" ht="42" customHeight="1">
      <c r="A9279" t="s">
        <v>18005</v>
      </c>
      <c r="B9279" t="s">
        <v>18005</v>
      </c>
      <c r="C9279" t="s">
        <v>50</v>
      </c>
      <c r="D9279" t="s">
        <v>51</v>
      </c>
      <c r="E9279" s="6">
        <v>-28137</v>
      </c>
      <c r="F9279" t="s">
        <v>312</v>
      </c>
      <c r="G9279" t="s">
        <v>57</v>
      </c>
      <c r="H9279" t="s">
        <v>20</v>
      </c>
      <c r="I9279" t="s">
        <v>18009</v>
      </c>
      <c r="J9279" t="str">
        <f>HYPERLINK("https://www.boe.es/gazeta/dias/1822/12/17/pdfs/GMD-1822-367.pdf#page=4","Abrir facsímil")</f>
        <v>Abrir facsímil</v>
      </c>
      <c r="K9279" t="s">
        <v>22</v>
      </c>
    </row>
    <row r="9280" spans="1:11" ht="42" customHeight="1">
      <c r="A9280" t="s">
        <v>18010</v>
      </c>
      <c r="B9280" t="s">
        <v>18011</v>
      </c>
      <c r="C9280" t="s">
        <v>50</v>
      </c>
      <c r="D9280" t="s">
        <v>51</v>
      </c>
      <c r="E9280" s="6">
        <v>-28391</v>
      </c>
      <c r="F9280" t="s">
        <v>378</v>
      </c>
      <c r="G9280" t="s">
        <v>63</v>
      </c>
      <c r="H9280" t="s">
        <v>20</v>
      </c>
      <c r="I9280" t="s">
        <v>18012</v>
      </c>
      <c r="J9280" t="str">
        <f>HYPERLINK("https://www.boe.es/gazeta/dias/1822/04/07/pdfs/GMD-1822-99.pdf#page=6","Abrir facsímil")</f>
        <v>Abrir facsímil</v>
      </c>
      <c r="K9280" t="s">
        <v>22</v>
      </c>
    </row>
    <row r="9281" spans="1:11" ht="42" customHeight="1">
      <c r="A9281" t="s">
        <v>18010</v>
      </c>
      <c r="B9281" t="s">
        <v>18011</v>
      </c>
      <c r="C9281" t="s">
        <v>50</v>
      </c>
      <c r="D9281" t="s">
        <v>51</v>
      </c>
      <c r="E9281" s="6">
        <v>-28388</v>
      </c>
      <c r="F9281" t="s">
        <v>1268</v>
      </c>
      <c r="G9281" t="s">
        <v>57</v>
      </c>
      <c r="H9281" t="s">
        <v>20</v>
      </c>
      <c r="I9281" t="s">
        <v>18013</v>
      </c>
      <c r="J9281" t="str">
        <f>HYPERLINK("https://www.boe.es/gazeta/dias/1822/04/10/pdfs/GMD-1822-102.pdf#page=4","Abrir facsímil")</f>
        <v>Abrir facsímil</v>
      </c>
      <c r="K9281" t="s">
        <v>22</v>
      </c>
    </row>
    <row r="9282" spans="1:11" ht="42" customHeight="1">
      <c r="A9282" t="s">
        <v>18010</v>
      </c>
      <c r="B9282" t="s">
        <v>18011</v>
      </c>
      <c r="C9282" t="s">
        <v>50</v>
      </c>
      <c r="D9282" t="s">
        <v>51</v>
      </c>
      <c r="E9282" s="6">
        <v>-28382</v>
      </c>
      <c r="F9282" t="s">
        <v>973</v>
      </c>
      <c r="G9282" t="s">
        <v>63</v>
      </c>
      <c r="H9282" t="s">
        <v>20</v>
      </c>
      <c r="I9282" t="s">
        <v>18014</v>
      </c>
      <c r="J9282" t="str">
        <f>HYPERLINK("https://www.boe.es/gazeta/dias/1822/04/16/pdfs/GMD-1822-108.pdf#page=6","Abrir facsímil")</f>
        <v>Abrir facsímil</v>
      </c>
      <c r="K9282" t="s">
        <v>22</v>
      </c>
    </row>
    <row r="9283" spans="1:11" ht="42" customHeight="1">
      <c r="A9283" t="s">
        <v>18010</v>
      </c>
      <c r="B9283" t="s">
        <v>18011</v>
      </c>
      <c r="C9283" t="s">
        <v>16</v>
      </c>
      <c r="D9283" t="s">
        <v>17</v>
      </c>
      <c r="E9283" s="6">
        <v>-28379</v>
      </c>
      <c r="F9283" t="s">
        <v>494</v>
      </c>
      <c r="G9283" t="s">
        <v>63</v>
      </c>
      <c r="H9283" t="s">
        <v>20</v>
      </c>
      <c r="I9283" t="s">
        <v>18015</v>
      </c>
      <c r="J9283" t="str">
        <f>HYPERLINK("https://www.boe.es/gazeta/dias/1822/04/19/pdfs/GMD-1822-111.pdf#page=6","Abrir facsímil")</f>
        <v>Abrir facsímil</v>
      </c>
      <c r="K9283" t="s">
        <v>22</v>
      </c>
    </row>
    <row r="9284" spans="1:11" ht="42" customHeight="1">
      <c r="A9284" t="s">
        <v>18010</v>
      </c>
      <c r="B9284" t="s">
        <v>18011</v>
      </c>
      <c r="C9284" t="s">
        <v>16</v>
      </c>
      <c r="D9284" t="s">
        <v>17</v>
      </c>
      <c r="E9284" s="6">
        <v>-28366</v>
      </c>
      <c r="F9284" t="s">
        <v>120</v>
      </c>
      <c r="G9284" t="s">
        <v>63</v>
      </c>
      <c r="H9284" t="s">
        <v>20</v>
      </c>
      <c r="I9284" t="s">
        <v>18016</v>
      </c>
      <c r="J9284" t="str">
        <f>HYPERLINK("https://www.boe.es/gazeta/dias/1822/05/02/pdfs/GMD-1822-124.pdf#page=6","Abrir facsímil")</f>
        <v>Abrir facsímil</v>
      </c>
      <c r="K9284" t="s">
        <v>22</v>
      </c>
    </row>
    <row r="9285" spans="1:11" ht="42" customHeight="1">
      <c r="A9285" t="s">
        <v>18010</v>
      </c>
      <c r="B9285" t="s">
        <v>18011</v>
      </c>
      <c r="C9285" t="s">
        <v>50</v>
      </c>
      <c r="D9285" t="s">
        <v>51</v>
      </c>
      <c r="E9285" s="6">
        <v>-28365</v>
      </c>
      <c r="F9285" t="s">
        <v>506</v>
      </c>
      <c r="G9285" t="s">
        <v>2093</v>
      </c>
      <c r="H9285" t="s">
        <v>20</v>
      </c>
      <c r="I9285" t="s">
        <v>18017</v>
      </c>
      <c r="J9285" t="str">
        <f>HYPERLINK("https://www.boe.es/gazeta/dias/1822/05/03/pdfs/GMD-1822-125.pdf#page=6","Abrir facsímil")</f>
        <v>Abrir facsímil</v>
      </c>
      <c r="K9285" t="s">
        <v>22</v>
      </c>
    </row>
    <row r="9286" spans="1:11" ht="42" customHeight="1">
      <c r="A9286" t="s">
        <v>18010</v>
      </c>
      <c r="B9286" t="s">
        <v>18011</v>
      </c>
      <c r="C9286" t="s">
        <v>42</v>
      </c>
      <c r="D9286" t="s">
        <v>17</v>
      </c>
      <c r="E9286" s="6">
        <v>-28364</v>
      </c>
      <c r="F9286" t="s">
        <v>509</v>
      </c>
      <c r="G9286" t="s">
        <v>63</v>
      </c>
      <c r="H9286" t="s">
        <v>20</v>
      </c>
      <c r="I9286" t="s">
        <v>18018</v>
      </c>
      <c r="J9286" t="str">
        <f>HYPERLINK("https://www.boe.es/gazeta/dias/1822/05/04/pdfs/GMD-1822-126.pdf#page=6","Abrir facsímil")</f>
        <v>Abrir facsímil</v>
      </c>
      <c r="K9286" t="s">
        <v>22</v>
      </c>
    </row>
    <row r="9287" spans="1:11" ht="42" customHeight="1">
      <c r="A9287" t="s">
        <v>18010</v>
      </c>
      <c r="B9287" t="s">
        <v>18011</v>
      </c>
      <c r="C9287" t="s">
        <v>50</v>
      </c>
      <c r="D9287" t="s">
        <v>51</v>
      </c>
      <c r="E9287" s="6">
        <v>-28358</v>
      </c>
      <c r="F9287" t="s">
        <v>211</v>
      </c>
      <c r="G9287" t="s">
        <v>157</v>
      </c>
      <c r="H9287" t="s">
        <v>20</v>
      </c>
      <c r="I9287" t="s">
        <v>18019</v>
      </c>
      <c r="J9287" t="str">
        <f>HYPERLINK("https://www.boe.es/gazeta/dias/1822/05/10/pdfs/GMD-1822-132.pdf#page=8","Abrir facsímil")</f>
        <v>Abrir facsímil</v>
      </c>
      <c r="K9287" t="s">
        <v>22</v>
      </c>
    </row>
    <row r="9288" spans="1:11" ht="42" customHeight="1">
      <c r="A9288" t="s">
        <v>18010</v>
      </c>
      <c r="B9288" t="s">
        <v>18011</v>
      </c>
      <c r="C9288" t="s">
        <v>28</v>
      </c>
      <c r="D9288" t="s">
        <v>29</v>
      </c>
      <c r="E9288" s="6">
        <v>-28345</v>
      </c>
      <c r="F9288" t="s">
        <v>294</v>
      </c>
      <c r="G9288" t="s">
        <v>63</v>
      </c>
      <c r="H9288" t="s">
        <v>20</v>
      </c>
      <c r="I9288" t="s">
        <v>18020</v>
      </c>
      <c r="J9288" t="str">
        <f>HYPERLINK("https://www.boe.es/gazeta/dias/1822/05/23/pdfs/GMD-1822-147.pdf#page=6","Abrir facsímil")</f>
        <v>Abrir facsímil</v>
      </c>
      <c r="K9288" t="s">
        <v>22</v>
      </c>
    </row>
    <row r="9289" spans="1:11" ht="42" customHeight="1">
      <c r="A9289" t="s">
        <v>18010</v>
      </c>
      <c r="B9289" t="s">
        <v>18011</v>
      </c>
      <c r="C9289" t="s">
        <v>42</v>
      </c>
      <c r="D9289" t="s">
        <v>17</v>
      </c>
      <c r="E9289" s="6">
        <v>-28217</v>
      </c>
      <c r="F9289" t="s">
        <v>1892</v>
      </c>
      <c r="G9289" t="s">
        <v>57</v>
      </c>
      <c r="H9289" t="s">
        <v>20</v>
      </c>
      <c r="I9289" t="s">
        <v>18021</v>
      </c>
      <c r="J9289" t="str">
        <f>HYPERLINK("https://www.boe.es/gazeta/dias/1822/09/28/pdfs/GMD-1822-284.pdf#page=4","Abrir facsímil")</f>
        <v>Abrir facsímil</v>
      </c>
      <c r="K9289" t="s">
        <v>22</v>
      </c>
    </row>
    <row r="9290" spans="1:11" ht="42" customHeight="1">
      <c r="A9290" t="s">
        <v>18022</v>
      </c>
      <c r="B9290" t="s">
        <v>18023</v>
      </c>
      <c r="C9290" t="s">
        <v>28</v>
      </c>
      <c r="D9290" t="s">
        <v>29</v>
      </c>
      <c r="E9290" s="6">
        <v>-28272</v>
      </c>
      <c r="F9290" t="s">
        <v>52</v>
      </c>
      <c r="G9290" t="s">
        <v>57</v>
      </c>
      <c r="H9290" t="s">
        <v>20</v>
      </c>
      <c r="I9290" t="s">
        <v>18024</v>
      </c>
      <c r="J9290" t="str">
        <f>HYPERLINK("https://www.boe.es/gazeta/dias/1822/08/04/pdfs/GMD-1822-228.pdf#page=4","Abrir facsímil")</f>
        <v>Abrir facsímil</v>
      </c>
      <c r="K9290" t="s">
        <v>22</v>
      </c>
    </row>
    <row r="9291" spans="1:11" ht="42" customHeight="1">
      <c r="A9291" t="s">
        <v>18025</v>
      </c>
      <c r="B9291" t="s">
        <v>18026</v>
      </c>
      <c r="C9291" t="s">
        <v>50</v>
      </c>
      <c r="D9291" t="s">
        <v>51</v>
      </c>
      <c r="E9291" s="6">
        <v>-28340</v>
      </c>
      <c r="F9291" t="s">
        <v>139</v>
      </c>
      <c r="G9291" t="s">
        <v>63</v>
      </c>
      <c r="H9291" t="s">
        <v>20</v>
      </c>
      <c r="I9291" t="s">
        <v>18027</v>
      </c>
      <c r="J9291" t="str">
        <f>HYPERLINK("https://www.boe.es/gazeta/dias/1822/05/28/pdfs/GMD-1822-153.pdf#page=6","Abrir facsímil")</f>
        <v>Abrir facsímil</v>
      </c>
      <c r="K9291" t="s">
        <v>22</v>
      </c>
    </row>
    <row r="9292" spans="1:11" ht="42" customHeight="1">
      <c r="A9292" t="s">
        <v>18028</v>
      </c>
      <c r="B9292" t="s">
        <v>18029</v>
      </c>
      <c r="C9292" t="s">
        <v>71</v>
      </c>
      <c r="D9292" t="s">
        <v>17</v>
      </c>
      <c r="E9292" s="6">
        <v>-28185</v>
      </c>
      <c r="F9292" t="s">
        <v>933</v>
      </c>
      <c r="G9292" t="s">
        <v>57</v>
      </c>
      <c r="H9292" t="s">
        <v>20</v>
      </c>
      <c r="I9292" t="s">
        <v>18030</v>
      </c>
      <c r="J9292" t="str">
        <f>HYPERLINK("https://www.boe.es/gazeta/dias/1822/10/30/pdfs/GMD-1822-317.pdf#page=4","Abrir facsímil")</f>
        <v>Abrir facsímil</v>
      </c>
      <c r="K9292" t="s">
        <v>22</v>
      </c>
    </row>
    <row r="9293" spans="1:11" ht="42" customHeight="1">
      <c r="A9293" t="s">
        <v>18031</v>
      </c>
      <c r="B9293" t="s">
        <v>18031</v>
      </c>
      <c r="C9293" t="s">
        <v>50</v>
      </c>
      <c r="D9293" t="s">
        <v>51</v>
      </c>
      <c r="E9293" s="6">
        <v>-28268</v>
      </c>
      <c r="F9293" t="s">
        <v>7231</v>
      </c>
      <c r="G9293" t="s">
        <v>35</v>
      </c>
      <c r="H9293" t="s">
        <v>20</v>
      </c>
      <c r="I9293" t="s">
        <v>18032</v>
      </c>
      <c r="J9293" t="str">
        <f>HYPERLINK("https://www.boe.es/gazeta/dias/1822/08/08/pdfs/GMD-1822-232.pdf#page=2","Abrir facsímil")</f>
        <v>Abrir facsímil</v>
      </c>
      <c r="K9293" t="s">
        <v>22</v>
      </c>
    </row>
    <row r="9294" spans="1:11" ht="42" customHeight="1">
      <c r="A9294" t="s">
        <v>18033</v>
      </c>
      <c r="B9294" t="s">
        <v>18034</v>
      </c>
      <c r="C9294" t="s">
        <v>50</v>
      </c>
      <c r="D9294" t="s">
        <v>51</v>
      </c>
      <c r="E9294" s="6">
        <v>-28268</v>
      </c>
      <c r="F9294" t="s">
        <v>7231</v>
      </c>
      <c r="G9294" t="s">
        <v>35</v>
      </c>
      <c r="H9294" t="s">
        <v>20</v>
      </c>
      <c r="I9294" t="s">
        <v>18035</v>
      </c>
      <c r="J9294" t="str">
        <f>HYPERLINK("https://www.boe.es/gazeta/dias/1822/08/08/pdfs/GMD-1822-232.pdf#page=2","Abrir facsímil")</f>
        <v>Abrir facsímil</v>
      </c>
      <c r="K9294" t="s">
        <v>22</v>
      </c>
    </row>
    <row r="9295" spans="1:11" ht="42" customHeight="1">
      <c r="A9295" t="s">
        <v>18036</v>
      </c>
      <c r="B9295" t="s">
        <v>18037</v>
      </c>
      <c r="C9295" t="s">
        <v>24</v>
      </c>
      <c r="D9295" t="s">
        <v>17</v>
      </c>
      <c r="E9295" s="6">
        <v>-28379</v>
      </c>
      <c r="F9295" t="s">
        <v>494</v>
      </c>
      <c r="G9295" t="s">
        <v>63</v>
      </c>
      <c r="H9295" t="s">
        <v>20</v>
      </c>
      <c r="I9295" t="s">
        <v>18038</v>
      </c>
      <c r="J9295" t="str">
        <f>HYPERLINK("https://www.boe.es/gazeta/dias/1822/04/19/pdfs/GMD-1822-111.pdf#page=6","Abrir facsímil")</f>
        <v>Abrir facsímil</v>
      </c>
      <c r="K9295" t="s">
        <v>22</v>
      </c>
    </row>
    <row r="9296" spans="1:11" ht="42" customHeight="1">
      <c r="A9296" t="s">
        <v>18036</v>
      </c>
      <c r="B9296" t="s">
        <v>18037</v>
      </c>
      <c r="C9296" t="s">
        <v>42</v>
      </c>
      <c r="D9296" t="s">
        <v>17</v>
      </c>
      <c r="E9296" s="6">
        <v>-28221</v>
      </c>
      <c r="F9296" t="s">
        <v>2591</v>
      </c>
      <c r="G9296" t="s">
        <v>57</v>
      </c>
      <c r="H9296" t="s">
        <v>20</v>
      </c>
      <c r="I9296" t="s">
        <v>18039</v>
      </c>
      <c r="J9296" t="str">
        <f>HYPERLINK("https://www.boe.es/gazeta/dias/1822/09/24/pdfs/GMD-1822-280.pdf#page=4","Abrir facsímil")</f>
        <v>Abrir facsímil</v>
      </c>
      <c r="K9296" t="s">
        <v>22</v>
      </c>
    </row>
    <row r="9297" spans="1:11" ht="42" customHeight="1">
      <c r="A9297" t="s">
        <v>18040</v>
      </c>
      <c r="B9297" t="s">
        <v>18041</v>
      </c>
      <c r="C9297" t="s">
        <v>24</v>
      </c>
      <c r="D9297" t="s">
        <v>17</v>
      </c>
      <c r="E9297" s="6">
        <v>-28451</v>
      </c>
      <c r="F9297" t="s">
        <v>1674</v>
      </c>
      <c r="G9297" t="s">
        <v>63</v>
      </c>
      <c r="H9297" t="s">
        <v>20</v>
      </c>
      <c r="I9297" t="s">
        <v>18042</v>
      </c>
      <c r="J9297" t="str">
        <f>HYPERLINK("https://www.boe.es/gazeta/dias/1822/02/06/pdfs/GMD-1822-37.pdf#page=6","Abrir facsímil")</f>
        <v>Abrir facsímil</v>
      </c>
      <c r="K9297" t="s">
        <v>22</v>
      </c>
    </row>
    <row r="9298" spans="1:11" ht="42" customHeight="1">
      <c r="A9298" t="s">
        <v>18043</v>
      </c>
      <c r="B9298" t="s">
        <v>18044</v>
      </c>
      <c r="C9298" t="s">
        <v>24</v>
      </c>
      <c r="D9298" t="s">
        <v>17</v>
      </c>
      <c r="E9298" s="6">
        <v>-28154</v>
      </c>
      <c r="F9298" t="s">
        <v>2321</v>
      </c>
      <c r="G9298" t="s">
        <v>35</v>
      </c>
      <c r="H9298" t="s">
        <v>20</v>
      </c>
      <c r="I9298" t="s">
        <v>18045</v>
      </c>
      <c r="J9298" t="str">
        <f>HYPERLINK("https://www.boe.es/gazeta/dias/1822/11/30/pdfs/GMD-1822-350.pdf#page=2","Abrir facsímil")</f>
        <v>Abrir facsímil</v>
      </c>
      <c r="K9298" t="s">
        <v>22</v>
      </c>
    </row>
    <row r="9299" spans="1:11" ht="42" customHeight="1">
      <c r="A9299" t="s">
        <v>18046</v>
      </c>
      <c r="B9299" t="s">
        <v>18047</v>
      </c>
      <c r="C9299" t="s">
        <v>50</v>
      </c>
      <c r="D9299" t="s">
        <v>51</v>
      </c>
      <c r="E9299" s="6">
        <v>-28222</v>
      </c>
      <c r="F9299" t="s">
        <v>2027</v>
      </c>
      <c r="G9299" t="s">
        <v>57</v>
      </c>
      <c r="H9299" t="s">
        <v>20</v>
      </c>
      <c r="I9299" t="s">
        <v>18048</v>
      </c>
      <c r="J9299" t="str">
        <f>HYPERLINK("https://www.boe.es/gazeta/dias/1822/09/23/pdfs/GMD-1822-279.pdf#page=4","Abrir facsímil")</f>
        <v>Abrir facsímil</v>
      </c>
      <c r="K9299" t="s">
        <v>22</v>
      </c>
    </row>
    <row r="9300" spans="1:11" ht="42" customHeight="1">
      <c r="A9300" t="s">
        <v>18049</v>
      </c>
      <c r="B9300" t="s">
        <v>18050</v>
      </c>
      <c r="C9300" t="s">
        <v>42</v>
      </c>
      <c r="D9300" t="s">
        <v>17</v>
      </c>
      <c r="E9300" s="6">
        <v>-28367</v>
      </c>
      <c r="F9300" t="s">
        <v>280</v>
      </c>
      <c r="G9300" t="s">
        <v>63</v>
      </c>
      <c r="H9300" t="s">
        <v>45</v>
      </c>
      <c r="I9300" t="s">
        <v>18051</v>
      </c>
      <c r="J9300" t="str">
        <f>HYPERLINK("https://www.boe.es/gazeta/dias/1822/05/01/pdfs/GMD-1822-123.pdf#page=6","Abrir facsímil")</f>
        <v>Abrir facsímil</v>
      </c>
      <c r="K9300" t="s">
        <v>47</v>
      </c>
    </row>
    <row r="9301" spans="1:11" ht="42" customHeight="1">
      <c r="A9301" t="s">
        <v>18052</v>
      </c>
      <c r="B9301" t="s">
        <v>18053</v>
      </c>
      <c r="C9301" t="s">
        <v>16</v>
      </c>
      <c r="D9301" t="s">
        <v>17</v>
      </c>
      <c r="E9301" s="6">
        <v>-28433</v>
      </c>
      <c r="F9301" t="s">
        <v>3663</v>
      </c>
      <c r="G9301" t="s">
        <v>31</v>
      </c>
      <c r="H9301" t="s">
        <v>20</v>
      </c>
      <c r="I9301" t="s">
        <v>18054</v>
      </c>
      <c r="J9301" t="str">
        <f>HYPERLINK("https://www.boe.es/gazeta/dias/1822/02/24/pdfs/GMD-1822-56.pdf#page=3","Abrir facsímil")</f>
        <v>Abrir facsímil</v>
      </c>
      <c r="K9301" t="s">
        <v>22</v>
      </c>
    </row>
    <row r="9302" spans="1:11" ht="42" customHeight="1">
      <c r="A9302" t="s">
        <v>18055</v>
      </c>
      <c r="B9302" t="s">
        <v>18056</v>
      </c>
      <c r="C9302" t="s">
        <v>24</v>
      </c>
      <c r="D9302" t="s">
        <v>17</v>
      </c>
      <c r="E9302" s="6">
        <v>-28311</v>
      </c>
      <c r="F9302" t="s">
        <v>736</v>
      </c>
      <c r="G9302" t="s">
        <v>157</v>
      </c>
      <c r="H9302" t="s">
        <v>20</v>
      </c>
      <c r="I9302" t="s">
        <v>18057</v>
      </c>
      <c r="J9302" t="str">
        <f>HYPERLINK("https://www.boe.es/gazeta/dias/1822/06/26/pdfs/GMD-1822-184.pdf#page=8","Abrir facsímil")</f>
        <v>Abrir facsímil</v>
      </c>
      <c r="K9302" t="s">
        <v>22</v>
      </c>
    </row>
    <row r="9303" spans="1:11" ht="42" customHeight="1">
      <c r="A9303" t="s">
        <v>18058</v>
      </c>
      <c r="B9303" t="s">
        <v>18058</v>
      </c>
      <c r="C9303" t="s">
        <v>16</v>
      </c>
      <c r="D9303" t="s">
        <v>17</v>
      </c>
      <c r="E9303" s="6">
        <v>-28367</v>
      </c>
      <c r="F9303" t="s">
        <v>280</v>
      </c>
      <c r="G9303" t="s">
        <v>44</v>
      </c>
      <c r="H9303" t="s">
        <v>20</v>
      </c>
      <c r="I9303" t="s">
        <v>18059</v>
      </c>
      <c r="J9303" t="str">
        <f>HYPERLINK("https://www.boe.es/gazeta/dias/1822/05/01/pdfs/GMD-1822-123.pdf#page=1","Abrir facsímil")</f>
        <v>Abrir facsímil</v>
      </c>
      <c r="K9303" t="s">
        <v>22</v>
      </c>
    </row>
    <row r="9304" spans="1:11" ht="42" customHeight="1">
      <c r="A9304" t="s">
        <v>18058</v>
      </c>
      <c r="B9304" t="s">
        <v>18058</v>
      </c>
      <c r="C9304" t="s">
        <v>71</v>
      </c>
      <c r="D9304" t="s">
        <v>17</v>
      </c>
      <c r="E9304" s="6">
        <v>-28362</v>
      </c>
      <c r="F9304" t="s">
        <v>511</v>
      </c>
      <c r="G9304" t="s">
        <v>35</v>
      </c>
      <c r="H9304" t="s">
        <v>20</v>
      </c>
      <c r="I9304" t="s">
        <v>18060</v>
      </c>
      <c r="J9304" t="str">
        <f>HYPERLINK("https://www.boe.es/gazeta/dias/1822/05/06/pdfs/GMD-1822-128.pdf#page=2","Abrir facsímil")</f>
        <v>Abrir facsímil</v>
      </c>
      <c r="K9304" t="s">
        <v>22</v>
      </c>
    </row>
    <row r="9305" spans="1:11" ht="42" customHeight="1">
      <c r="A9305" t="s">
        <v>18058</v>
      </c>
      <c r="B9305" t="s">
        <v>18058</v>
      </c>
      <c r="C9305" t="s">
        <v>28</v>
      </c>
      <c r="D9305" t="s">
        <v>29</v>
      </c>
      <c r="E9305" s="6">
        <v>-28359</v>
      </c>
      <c r="F9305" t="s">
        <v>209</v>
      </c>
      <c r="G9305" t="s">
        <v>31</v>
      </c>
      <c r="H9305" t="s">
        <v>20</v>
      </c>
      <c r="I9305" t="s">
        <v>18061</v>
      </c>
      <c r="J9305" t="str">
        <f>HYPERLINK("https://www.boe.es/gazeta/dias/1822/05/09/pdfs/GMD-1822-131.pdf#page=3","Abrir facsímil")</f>
        <v>Abrir facsímil</v>
      </c>
      <c r="K9305" t="s">
        <v>22</v>
      </c>
    </row>
    <row r="9306" spans="1:11" ht="42" customHeight="1">
      <c r="A9306" t="s">
        <v>18062</v>
      </c>
      <c r="B9306" t="s">
        <v>18062</v>
      </c>
      <c r="C9306" t="s">
        <v>16</v>
      </c>
      <c r="D9306" t="s">
        <v>17</v>
      </c>
      <c r="E9306" s="6">
        <v>-28404</v>
      </c>
      <c r="F9306" t="s">
        <v>421</v>
      </c>
      <c r="G9306" t="s">
        <v>31</v>
      </c>
      <c r="H9306" t="s">
        <v>20</v>
      </c>
      <c r="I9306" t="s">
        <v>18063</v>
      </c>
      <c r="J9306" t="str">
        <f>HYPERLINK("https://www.boe.es/gazeta/dias/1822/03/25/pdfs/GMD-1822-86.pdf#page=3","Abrir facsímil")</f>
        <v>Abrir facsímil</v>
      </c>
      <c r="K9306" t="s">
        <v>22</v>
      </c>
    </row>
    <row r="9307" spans="1:11" ht="42" customHeight="1">
      <c r="A9307" t="s">
        <v>18062</v>
      </c>
      <c r="B9307" t="s">
        <v>18062</v>
      </c>
      <c r="C9307" t="s">
        <v>16</v>
      </c>
      <c r="D9307" t="s">
        <v>17</v>
      </c>
      <c r="E9307" s="6">
        <v>-28377</v>
      </c>
      <c r="F9307" t="s">
        <v>498</v>
      </c>
      <c r="G9307" t="s">
        <v>35</v>
      </c>
      <c r="H9307" t="s">
        <v>20</v>
      </c>
      <c r="I9307" t="s">
        <v>18064</v>
      </c>
      <c r="J9307" t="str">
        <f>HYPERLINK("https://www.boe.es/gazeta/dias/1822/04/21/pdfs/GMD-1822-113.pdf#page=2","Abrir facsímil")</f>
        <v>Abrir facsímil</v>
      </c>
      <c r="K9307" t="s">
        <v>22</v>
      </c>
    </row>
    <row r="9308" spans="1:11" ht="42" customHeight="1">
      <c r="A9308" t="s">
        <v>18062</v>
      </c>
      <c r="B9308" t="s">
        <v>18062</v>
      </c>
      <c r="C9308" t="s">
        <v>71</v>
      </c>
      <c r="D9308" t="s">
        <v>17</v>
      </c>
      <c r="E9308" s="6">
        <v>-28374</v>
      </c>
      <c r="F9308" t="s">
        <v>171</v>
      </c>
      <c r="G9308" t="s">
        <v>31</v>
      </c>
      <c r="H9308" t="s">
        <v>20</v>
      </c>
      <c r="I9308" t="s">
        <v>18065</v>
      </c>
      <c r="J9308" t="str">
        <f>HYPERLINK("https://www.boe.es/gazeta/dias/1822/04/24/pdfs/GMD-1822-116.pdf#page=3","Abrir facsímil")</f>
        <v>Abrir facsímil</v>
      </c>
      <c r="K9308" t="s">
        <v>22</v>
      </c>
    </row>
    <row r="9309" spans="1:11" ht="42" customHeight="1">
      <c r="A9309" t="s">
        <v>18062</v>
      </c>
      <c r="B9309" t="s">
        <v>18062</v>
      </c>
      <c r="C9309" t="s">
        <v>42</v>
      </c>
      <c r="D9309" t="s">
        <v>17</v>
      </c>
      <c r="E9309" s="6">
        <v>-28343</v>
      </c>
      <c r="F9309" t="s">
        <v>1019</v>
      </c>
      <c r="G9309" t="s">
        <v>35</v>
      </c>
      <c r="H9309" t="s">
        <v>20</v>
      </c>
      <c r="I9309" t="s">
        <v>18066</v>
      </c>
      <c r="J9309" t="str">
        <f>HYPERLINK("https://www.boe.es/gazeta/dias/1822/05/25/pdfs/GMD-1822-150.pdf#page=2","Abrir facsímil")</f>
        <v>Abrir facsímil</v>
      </c>
      <c r="K9309" t="s">
        <v>22</v>
      </c>
    </row>
    <row r="9310" spans="1:11" ht="42" customHeight="1">
      <c r="A9310" t="s">
        <v>18067</v>
      </c>
      <c r="B9310" t="s">
        <v>18067</v>
      </c>
      <c r="C9310" t="s">
        <v>50</v>
      </c>
      <c r="D9310" t="s">
        <v>51</v>
      </c>
      <c r="E9310" s="6">
        <v>-28407</v>
      </c>
      <c r="F9310" t="s">
        <v>460</v>
      </c>
      <c r="G9310" t="s">
        <v>44</v>
      </c>
      <c r="H9310" t="s">
        <v>20</v>
      </c>
      <c r="I9310" t="s">
        <v>18068</v>
      </c>
      <c r="J9310" t="str">
        <f>HYPERLINK("https://www.boe.es/gazeta/dias/1822/03/22/pdfs/GMD-1822-83.pdf#page=1","Abrir facsímil")</f>
        <v>Abrir facsímil</v>
      </c>
      <c r="K9310" t="s">
        <v>22</v>
      </c>
    </row>
    <row r="9311" spans="1:11" ht="42" customHeight="1">
      <c r="A9311" t="s">
        <v>18067</v>
      </c>
      <c r="B9311" t="s">
        <v>18067</v>
      </c>
      <c r="C9311" t="s">
        <v>24</v>
      </c>
      <c r="D9311" t="s">
        <v>17</v>
      </c>
      <c r="E9311" s="6">
        <v>-28169</v>
      </c>
      <c r="F9311" t="s">
        <v>2571</v>
      </c>
      <c r="G9311" t="s">
        <v>63</v>
      </c>
      <c r="H9311" t="s">
        <v>20</v>
      </c>
      <c r="I9311" t="s">
        <v>18069</v>
      </c>
      <c r="J9311" t="str">
        <f>HYPERLINK("https://www.boe.es/gazeta/dias/1822/11/15/pdfs/GMD-1822-335.pdf#page=6","Abrir facsímil")</f>
        <v>Abrir facsímil</v>
      </c>
      <c r="K9311" t="s">
        <v>22</v>
      </c>
    </row>
    <row r="9312" spans="1:11" ht="42" customHeight="1">
      <c r="A9312" t="s">
        <v>18067</v>
      </c>
      <c r="B9312" t="s">
        <v>18067</v>
      </c>
      <c r="C9312" t="s">
        <v>28</v>
      </c>
      <c r="D9312" t="s">
        <v>29</v>
      </c>
      <c r="E9312" s="6">
        <v>-28148</v>
      </c>
      <c r="F9312" t="s">
        <v>1909</v>
      </c>
      <c r="G9312" t="s">
        <v>63</v>
      </c>
      <c r="H9312" t="s">
        <v>20</v>
      </c>
      <c r="I9312" t="s">
        <v>18070</v>
      </c>
      <c r="J9312" t="str">
        <f>HYPERLINK("https://www.boe.es/gazeta/dias/1822/12/06/pdfs/GMD-1822-356.pdf#page=6","Abrir facsímil")</f>
        <v>Abrir facsímil</v>
      </c>
      <c r="K9312" t="s">
        <v>22</v>
      </c>
    </row>
    <row r="9313" spans="1:11" ht="42" customHeight="1">
      <c r="A9313" t="s">
        <v>18071</v>
      </c>
      <c r="B9313" t="s">
        <v>18072</v>
      </c>
      <c r="C9313" t="s">
        <v>50</v>
      </c>
      <c r="D9313" t="s">
        <v>51</v>
      </c>
      <c r="E9313" s="6">
        <v>-28346</v>
      </c>
      <c r="F9313" t="s">
        <v>191</v>
      </c>
      <c r="G9313" t="s">
        <v>63</v>
      </c>
      <c r="H9313" t="s">
        <v>20</v>
      </c>
      <c r="I9313" t="s">
        <v>18073</v>
      </c>
      <c r="J9313" t="str">
        <f>HYPERLINK("https://www.boe.es/gazeta/dias/1822/05/22/pdfs/GMD-1822-145.pdf#page=6","Abrir facsímil")</f>
        <v>Abrir facsímil</v>
      </c>
      <c r="K9313" t="s">
        <v>22</v>
      </c>
    </row>
    <row r="9314" spans="1:11" ht="42" customHeight="1">
      <c r="A9314" t="s">
        <v>18074</v>
      </c>
      <c r="B9314" t="s">
        <v>18075</v>
      </c>
      <c r="C9314" t="s">
        <v>50</v>
      </c>
      <c r="D9314" t="s">
        <v>51</v>
      </c>
      <c r="E9314" s="6">
        <v>-28303</v>
      </c>
      <c r="F9314" t="s">
        <v>201</v>
      </c>
      <c r="G9314" t="s">
        <v>57</v>
      </c>
      <c r="H9314" t="s">
        <v>20</v>
      </c>
      <c r="I9314" t="s">
        <v>18076</v>
      </c>
      <c r="J9314" t="str">
        <f>HYPERLINK("https://www.boe.es/gazeta/dias/1822/07/04/pdfs/GMD-1822-193.pdf#page=4","Abrir facsímil")</f>
        <v>Abrir facsímil</v>
      </c>
      <c r="K9314" t="s">
        <v>22</v>
      </c>
    </row>
    <row r="9315" spans="1:11" ht="42" customHeight="1">
      <c r="A9315" t="s">
        <v>18077</v>
      </c>
      <c r="B9315" t="s">
        <v>18077</v>
      </c>
      <c r="C9315" t="s">
        <v>28</v>
      </c>
      <c r="D9315" t="s">
        <v>29</v>
      </c>
      <c r="E9315" s="6">
        <v>-28416</v>
      </c>
      <c r="F9315" t="s">
        <v>97</v>
      </c>
      <c r="G9315" t="s">
        <v>31</v>
      </c>
      <c r="H9315" t="s">
        <v>20</v>
      </c>
      <c r="I9315" t="s">
        <v>18078</v>
      </c>
      <c r="J9315" t="str">
        <f>HYPERLINK("https://www.boe.es/gazeta/dias/1822/03/13/pdfs/GMD-1822-74.pdf#page=3","Abrir facsímil")</f>
        <v>Abrir facsímil</v>
      </c>
      <c r="K9315" t="s">
        <v>22</v>
      </c>
    </row>
    <row r="9316" spans="1:11" ht="42" customHeight="1">
      <c r="A9316" t="s">
        <v>18077</v>
      </c>
      <c r="B9316" t="s">
        <v>18077</v>
      </c>
      <c r="C9316" t="s">
        <v>362</v>
      </c>
      <c r="D9316" t="s">
        <v>17</v>
      </c>
      <c r="E9316" s="6">
        <v>-28414</v>
      </c>
      <c r="F9316" t="s">
        <v>187</v>
      </c>
      <c r="G9316" t="s">
        <v>19</v>
      </c>
      <c r="H9316" t="s">
        <v>20</v>
      </c>
      <c r="I9316" t="s">
        <v>18079</v>
      </c>
      <c r="J9316" t="str">
        <f>HYPERLINK("https://www.boe.es/gazeta/dias/1822/03/15/pdfs/GMD-1822-76.pdf#page=5","Abrir facsímil")</f>
        <v>Abrir facsímil</v>
      </c>
      <c r="K9316" t="s">
        <v>22</v>
      </c>
    </row>
    <row r="9317" spans="1:11" ht="42" customHeight="1">
      <c r="A9317" t="s">
        <v>18077</v>
      </c>
      <c r="B9317" t="s">
        <v>18077</v>
      </c>
      <c r="C9317" t="s">
        <v>28</v>
      </c>
      <c r="D9317" t="s">
        <v>29</v>
      </c>
      <c r="E9317" s="6">
        <v>-28343</v>
      </c>
      <c r="F9317" t="s">
        <v>1019</v>
      </c>
      <c r="G9317" t="s">
        <v>44</v>
      </c>
      <c r="H9317" t="s">
        <v>20</v>
      </c>
      <c r="I9317" t="s">
        <v>18080</v>
      </c>
      <c r="J9317" t="str">
        <f>HYPERLINK("https://www.boe.es/gazeta/dias/1822/05/25/pdfs/GMD-1822-150.pdf#page=1","Abrir facsímil")</f>
        <v>Abrir facsímil</v>
      </c>
      <c r="K9317" t="s">
        <v>22</v>
      </c>
    </row>
    <row r="9318" spans="1:11" ht="42" customHeight="1">
      <c r="A9318" t="s">
        <v>18077</v>
      </c>
      <c r="B9318" t="s">
        <v>18077</v>
      </c>
      <c r="C9318" t="s">
        <v>362</v>
      </c>
      <c r="D9318" t="s">
        <v>17</v>
      </c>
      <c r="E9318" s="6">
        <v>-28304</v>
      </c>
      <c r="F9318" t="s">
        <v>4502</v>
      </c>
      <c r="G9318" t="s">
        <v>57</v>
      </c>
      <c r="H9318" t="s">
        <v>20</v>
      </c>
      <c r="I9318" t="s">
        <v>18081</v>
      </c>
      <c r="J9318" t="str">
        <f>HYPERLINK("https://www.boe.es/gazeta/dias/1822/07/03/pdfs/GMD-1822-192.pdf#page=4","Abrir facsímil")</f>
        <v>Abrir facsímil</v>
      </c>
      <c r="K9318" t="s">
        <v>22</v>
      </c>
    </row>
    <row r="9319" spans="1:11" ht="42" customHeight="1">
      <c r="A9319" t="s">
        <v>18077</v>
      </c>
      <c r="B9319" t="s">
        <v>18077</v>
      </c>
      <c r="C9319" t="s">
        <v>50</v>
      </c>
      <c r="D9319" t="s">
        <v>51</v>
      </c>
      <c r="E9319" s="6">
        <v>-28290</v>
      </c>
      <c r="F9319" t="s">
        <v>706</v>
      </c>
      <c r="G9319" t="s">
        <v>57</v>
      </c>
      <c r="H9319" t="s">
        <v>20</v>
      </c>
      <c r="I9319" t="s">
        <v>18082</v>
      </c>
      <c r="J9319" t="str">
        <f>HYPERLINK("https://www.boe.es/gazeta/dias/1822/07/17/pdfs/GMD-1822-207.pdf#page=4","Abrir facsímil")</f>
        <v>Abrir facsímil</v>
      </c>
      <c r="K9319" t="s">
        <v>22</v>
      </c>
    </row>
    <row r="9320" spans="1:11" ht="42" customHeight="1">
      <c r="A9320" t="s">
        <v>18077</v>
      </c>
      <c r="B9320" t="s">
        <v>18077</v>
      </c>
      <c r="C9320" t="s">
        <v>42</v>
      </c>
      <c r="D9320" t="s">
        <v>17</v>
      </c>
      <c r="E9320" s="6">
        <v>-28208</v>
      </c>
      <c r="F9320" t="s">
        <v>230</v>
      </c>
      <c r="G9320" t="s">
        <v>57</v>
      </c>
      <c r="H9320" t="s">
        <v>20</v>
      </c>
      <c r="I9320" t="s">
        <v>18083</v>
      </c>
      <c r="J9320" t="str">
        <f>HYPERLINK("https://www.boe.es/gazeta/dias/1822/10/07/pdfs/GMD-1822-293.pdf#page=4","Abrir facsímil")</f>
        <v>Abrir facsímil</v>
      </c>
      <c r="K9320" t="s">
        <v>22</v>
      </c>
    </row>
    <row r="9321" spans="1:11" ht="42" customHeight="1">
      <c r="A9321" t="s">
        <v>18084</v>
      </c>
      <c r="B9321" t="s">
        <v>18085</v>
      </c>
      <c r="C9321" t="s">
        <v>42</v>
      </c>
      <c r="D9321" t="s">
        <v>17</v>
      </c>
      <c r="E9321" s="6">
        <v>-28381</v>
      </c>
      <c r="F9321" t="s">
        <v>358</v>
      </c>
      <c r="G9321" t="s">
        <v>2269</v>
      </c>
      <c r="H9321" t="s">
        <v>20</v>
      </c>
      <c r="I9321" t="s">
        <v>18086</v>
      </c>
      <c r="J9321" t="str">
        <f>HYPERLINK("https://www.boe.es/gazeta/dias/1822/04/17/pdfs/GMD-1822-109.pdf#page=3","Abrir facsímil")</f>
        <v>Abrir facsímil</v>
      </c>
      <c r="K9321" t="s">
        <v>22</v>
      </c>
    </row>
    <row r="9322" spans="1:11" ht="42" customHeight="1">
      <c r="A9322" t="s">
        <v>18087</v>
      </c>
      <c r="B9322" t="s">
        <v>18088</v>
      </c>
      <c r="C9322" t="s">
        <v>42</v>
      </c>
      <c r="D9322" t="s">
        <v>17</v>
      </c>
      <c r="E9322" s="6">
        <v>-28357</v>
      </c>
      <c r="F9322" t="s">
        <v>690</v>
      </c>
      <c r="G9322" t="s">
        <v>31</v>
      </c>
      <c r="H9322" t="s">
        <v>20</v>
      </c>
      <c r="I9322" t="s">
        <v>18089</v>
      </c>
      <c r="J9322" t="str">
        <f>HYPERLINK("https://www.boe.es/gazeta/dias/1822/05/11/pdfs/GMD-1822-133.pdf#page=3","Abrir facsímil")</f>
        <v>Abrir facsímil</v>
      </c>
      <c r="K9322" t="s">
        <v>22</v>
      </c>
    </row>
    <row r="9323" spans="1:11" ht="42" customHeight="1">
      <c r="A9323" t="s">
        <v>18090</v>
      </c>
      <c r="B9323" t="s">
        <v>18091</v>
      </c>
      <c r="C9323" t="s">
        <v>71</v>
      </c>
      <c r="D9323" t="s">
        <v>17</v>
      </c>
      <c r="E9323" s="6">
        <v>-28418</v>
      </c>
      <c r="F9323" t="s">
        <v>205</v>
      </c>
      <c r="G9323" t="s">
        <v>167</v>
      </c>
      <c r="H9323" t="s">
        <v>20</v>
      </c>
      <c r="I9323" t="s">
        <v>18092</v>
      </c>
      <c r="J9323" t="str">
        <f>HYPERLINK("https://www.boe.es/gazeta/dias/1822/03/11/pdfs/GMD-1822-72.pdf#page=7","Abrir facsímil")</f>
        <v>Abrir facsímil</v>
      </c>
      <c r="K9323" t="s">
        <v>22</v>
      </c>
    </row>
    <row r="9324" spans="1:11" ht="42" customHeight="1">
      <c r="A9324" t="s">
        <v>18093</v>
      </c>
      <c r="B9324" t="s">
        <v>18093</v>
      </c>
      <c r="C9324" t="s">
        <v>50</v>
      </c>
      <c r="D9324" t="s">
        <v>51</v>
      </c>
      <c r="E9324" s="6">
        <v>-28210</v>
      </c>
      <c r="F9324" t="s">
        <v>218</v>
      </c>
      <c r="G9324" t="s">
        <v>31</v>
      </c>
      <c r="H9324" t="s">
        <v>20</v>
      </c>
      <c r="I9324" t="s">
        <v>18094</v>
      </c>
      <c r="J9324" t="str">
        <f>HYPERLINK("https://www.boe.es/gazeta/dias/1822/10/05/pdfs/GMD-1822-291.pdf#page=3","Abrir facsímil")</f>
        <v>Abrir facsímil</v>
      </c>
      <c r="K9324" t="s">
        <v>22</v>
      </c>
    </row>
    <row r="9325" spans="1:11" ht="42" customHeight="1">
      <c r="A9325" t="s">
        <v>18095</v>
      </c>
      <c r="B9325" t="s">
        <v>18095</v>
      </c>
      <c r="C9325" t="s">
        <v>50</v>
      </c>
      <c r="D9325" t="s">
        <v>51</v>
      </c>
      <c r="E9325" s="6">
        <v>-28210</v>
      </c>
      <c r="F9325" t="s">
        <v>218</v>
      </c>
      <c r="G9325" t="s">
        <v>31</v>
      </c>
      <c r="H9325" t="s">
        <v>20</v>
      </c>
      <c r="I9325" t="s">
        <v>18096</v>
      </c>
      <c r="J9325" t="str">
        <f>HYPERLINK("https://www.boe.es/gazeta/dias/1822/10/05/pdfs/GMD-1822-291.pdf#page=3","Abrir facsímil")</f>
        <v>Abrir facsímil</v>
      </c>
      <c r="K9325" t="s">
        <v>22</v>
      </c>
    </row>
    <row r="9326" spans="1:11" ht="42" customHeight="1">
      <c r="A9326" t="s">
        <v>18097</v>
      </c>
      <c r="B9326" t="s">
        <v>18098</v>
      </c>
      <c r="C9326" t="s">
        <v>50</v>
      </c>
      <c r="D9326" t="s">
        <v>51</v>
      </c>
      <c r="E9326" s="6">
        <v>-28418</v>
      </c>
      <c r="F9326" t="s">
        <v>205</v>
      </c>
      <c r="G9326" t="s">
        <v>167</v>
      </c>
      <c r="H9326" t="s">
        <v>20</v>
      </c>
      <c r="I9326" t="s">
        <v>18099</v>
      </c>
      <c r="J9326" t="str">
        <f>HYPERLINK("https://www.boe.es/gazeta/dias/1822/03/11/pdfs/GMD-1822-72.pdf#page=7","Abrir facsímil")</f>
        <v>Abrir facsímil</v>
      </c>
      <c r="K9326" t="s">
        <v>22</v>
      </c>
    </row>
    <row r="9327" spans="1:11" ht="42" customHeight="1">
      <c r="A9327" t="s">
        <v>18100</v>
      </c>
      <c r="B9327" t="s">
        <v>18101</v>
      </c>
      <c r="C9327" t="s">
        <v>28</v>
      </c>
      <c r="D9327" t="s">
        <v>29</v>
      </c>
      <c r="E9327" s="6">
        <v>-28243</v>
      </c>
      <c r="F9327" t="s">
        <v>1829</v>
      </c>
      <c r="G9327" t="s">
        <v>57</v>
      </c>
      <c r="H9327" t="s">
        <v>20</v>
      </c>
      <c r="I9327" t="s">
        <v>18102</v>
      </c>
      <c r="J9327" t="str">
        <f>HYPERLINK("https://www.boe.es/gazeta/dias/1822/09/02/pdfs/GMD-1822-257.pdf#page=4","Abrir facsímil")</f>
        <v>Abrir facsímil</v>
      </c>
      <c r="K9327" t="s">
        <v>22</v>
      </c>
    </row>
    <row r="9328" spans="1:11" ht="42" customHeight="1">
      <c r="A9328" t="s">
        <v>18103</v>
      </c>
      <c r="B9328" t="s">
        <v>18103</v>
      </c>
      <c r="C9328" t="s">
        <v>50</v>
      </c>
      <c r="D9328" t="s">
        <v>51</v>
      </c>
      <c r="E9328" s="6">
        <v>-28249</v>
      </c>
      <c r="F9328" t="s">
        <v>3986</v>
      </c>
      <c r="G9328" t="s">
        <v>31</v>
      </c>
      <c r="H9328" t="s">
        <v>20</v>
      </c>
      <c r="I9328" t="s">
        <v>18104</v>
      </c>
      <c r="J9328" t="str">
        <f>HYPERLINK("https://www.boe.es/gazeta/dias/1822/08/27/pdfs/GMD-1822-251.pdf#page=3","Abrir facsímil")</f>
        <v>Abrir facsímil</v>
      </c>
      <c r="K9328" t="s">
        <v>22</v>
      </c>
    </row>
    <row r="9329" spans="1:11" ht="42" customHeight="1">
      <c r="A9329" t="s">
        <v>18105</v>
      </c>
      <c r="B9329" t="s">
        <v>18106</v>
      </c>
      <c r="C9329" t="s">
        <v>71</v>
      </c>
      <c r="D9329" t="s">
        <v>17</v>
      </c>
      <c r="E9329" s="6">
        <v>-28241</v>
      </c>
      <c r="F9329" t="s">
        <v>3068</v>
      </c>
      <c r="G9329" t="s">
        <v>57</v>
      </c>
      <c r="H9329" t="s">
        <v>20</v>
      </c>
      <c r="I9329" t="s">
        <v>18107</v>
      </c>
      <c r="J9329" t="str">
        <f>HYPERLINK("https://www.boe.es/gazeta/dias/1822/09/04/pdfs/GMD-1822-259.pdf#page=4","Abrir facsímil")</f>
        <v>Abrir facsímil</v>
      </c>
      <c r="K9329" t="s">
        <v>22</v>
      </c>
    </row>
    <row r="9330" spans="1:11" ht="42" customHeight="1">
      <c r="A9330" t="s">
        <v>18108</v>
      </c>
      <c r="B9330" t="s">
        <v>18108</v>
      </c>
      <c r="C9330" t="s">
        <v>42</v>
      </c>
      <c r="D9330" t="s">
        <v>17</v>
      </c>
      <c r="E9330" s="6">
        <v>-28276</v>
      </c>
      <c r="F9330" t="s">
        <v>4746</v>
      </c>
      <c r="G9330" t="s">
        <v>44</v>
      </c>
      <c r="H9330" t="s">
        <v>20</v>
      </c>
      <c r="I9330" t="s">
        <v>18109</v>
      </c>
      <c r="J9330" t="str">
        <f>HYPERLINK("https://www.boe.es/gazeta/dias/1822/07/31/pdfs/GMD-1822-224.pdf#page=1","Abrir facsímil")</f>
        <v>Abrir facsímil</v>
      </c>
      <c r="K9330" t="s">
        <v>22</v>
      </c>
    </row>
    <row r="9331" spans="1:11" ht="42" customHeight="1">
      <c r="A9331" t="s">
        <v>18108</v>
      </c>
      <c r="B9331" t="s">
        <v>18108</v>
      </c>
      <c r="C9331" t="s">
        <v>42</v>
      </c>
      <c r="D9331" t="s">
        <v>17</v>
      </c>
      <c r="E9331" s="6">
        <v>-28185</v>
      </c>
      <c r="F9331" t="s">
        <v>933</v>
      </c>
      <c r="G9331" t="s">
        <v>44</v>
      </c>
      <c r="H9331" t="s">
        <v>20</v>
      </c>
      <c r="I9331" t="s">
        <v>18110</v>
      </c>
      <c r="J9331" t="str">
        <f>HYPERLINK("https://www.boe.es/gazeta/dias/1822/10/30/pdfs/GMD-1822-317.pdf#page=1","Abrir facsímil")</f>
        <v>Abrir facsímil</v>
      </c>
      <c r="K9331" t="s">
        <v>22</v>
      </c>
    </row>
    <row r="9332" spans="1:11" ht="42" customHeight="1">
      <c r="A9332" t="s">
        <v>18111</v>
      </c>
      <c r="B9332" t="s">
        <v>18112</v>
      </c>
      <c r="C9332" t="s">
        <v>50</v>
      </c>
      <c r="D9332" t="s">
        <v>51</v>
      </c>
      <c r="E9332" s="6">
        <v>-28240</v>
      </c>
      <c r="F9332" t="s">
        <v>678</v>
      </c>
      <c r="G9332" t="s">
        <v>57</v>
      </c>
      <c r="H9332" t="s">
        <v>20</v>
      </c>
      <c r="I9332" t="s">
        <v>18113</v>
      </c>
      <c r="J9332" t="str">
        <f>HYPERLINK("https://www.boe.es/gazeta/dias/1822/09/05/pdfs/GMD-1822-260.pdf#page=4","Abrir facsímil")</f>
        <v>Abrir facsímil</v>
      </c>
      <c r="K9332" t="s">
        <v>22</v>
      </c>
    </row>
    <row r="9333" spans="1:11" ht="42" customHeight="1">
      <c r="A9333" t="s">
        <v>18114</v>
      </c>
      <c r="B9333" t="s">
        <v>18114</v>
      </c>
      <c r="C9333" t="s">
        <v>50</v>
      </c>
      <c r="D9333" t="s">
        <v>51</v>
      </c>
      <c r="E9333" s="6">
        <v>-28417</v>
      </c>
      <c r="F9333" t="s">
        <v>1394</v>
      </c>
      <c r="G9333" t="s">
        <v>35</v>
      </c>
      <c r="H9333" t="s">
        <v>20</v>
      </c>
      <c r="I9333" t="s">
        <v>18115</v>
      </c>
      <c r="J9333" t="str">
        <f>HYPERLINK("https://www.boe.es/gazeta/dias/1822/03/12/pdfs/GMD-1822-73.pdf#page=2","Abrir facsímil")</f>
        <v>Abrir facsímil</v>
      </c>
      <c r="K9333" t="s">
        <v>22</v>
      </c>
    </row>
    <row r="9334" spans="1:11" ht="42" customHeight="1">
      <c r="A9334" t="s">
        <v>18116</v>
      </c>
      <c r="B9334" t="s">
        <v>18117</v>
      </c>
      <c r="C9334" t="s">
        <v>42</v>
      </c>
      <c r="D9334" t="s">
        <v>17</v>
      </c>
      <c r="E9334" s="6">
        <v>-28149</v>
      </c>
      <c r="F9334" t="s">
        <v>1322</v>
      </c>
      <c r="G9334" t="s">
        <v>57</v>
      </c>
      <c r="H9334" t="s">
        <v>45</v>
      </c>
      <c r="I9334" t="s">
        <v>18118</v>
      </c>
      <c r="J9334" t="str">
        <f>HYPERLINK("https://www.boe.es/gazeta/dias/1822/12/05/pdfs/GMD-1822-355.pdf#page=4","Abrir facsímil")</f>
        <v>Abrir facsímil</v>
      </c>
      <c r="K9334" t="s">
        <v>47</v>
      </c>
    </row>
    <row r="9335" spans="1:11" ht="42" customHeight="1">
      <c r="A9335" t="s">
        <v>18119</v>
      </c>
      <c r="B9335" t="s">
        <v>18119</v>
      </c>
      <c r="C9335" t="s">
        <v>28</v>
      </c>
      <c r="D9335" t="s">
        <v>29</v>
      </c>
      <c r="E9335" s="6">
        <v>-28198</v>
      </c>
      <c r="F9335" t="s">
        <v>981</v>
      </c>
      <c r="G9335" t="s">
        <v>63</v>
      </c>
      <c r="H9335" t="s">
        <v>20</v>
      </c>
      <c r="I9335" t="s">
        <v>18120</v>
      </c>
      <c r="J9335" t="str">
        <f>HYPERLINK("https://www.boe.es/gazeta/dias/1822/10/17/pdfs/GMD-1822-304.pdf#page=6","Abrir facsímil")</f>
        <v>Abrir facsímil</v>
      </c>
      <c r="K9335" t="s">
        <v>22</v>
      </c>
    </row>
    <row r="9336" spans="1:11" ht="42" customHeight="1">
      <c r="A9336" t="s">
        <v>18119</v>
      </c>
      <c r="B9336" t="s">
        <v>18119</v>
      </c>
      <c r="C9336" t="s">
        <v>42</v>
      </c>
      <c r="D9336" t="s">
        <v>17</v>
      </c>
      <c r="E9336" s="6">
        <v>-28178</v>
      </c>
      <c r="F9336" t="s">
        <v>318</v>
      </c>
      <c r="G9336" t="s">
        <v>63</v>
      </c>
      <c r="H9336" t="s">
        <v>20</v>
      </c>
      <c r="I9336" t="s">
        <v>18121</v>
      </c>
      <c r="J9336" t="str">
        <f>HYPERLINK("https://www.boe.es/gazeta/dias/1822/11/06/pdfs/GMD-1822-326.pdf#page=6","Abrir facsímil")</f>
        <v>Abrir facsímil</v>
      </c>
      <c r="K9336" t="s">
        <v>22</v>
      </c>
    </row>
    <row r="9337" spans="1:11" ht="42" customHeight="1">
      <c r="A9337" t="s">
        <v>18122</v>
      </c>
      <c r="B9337" t="s">
        <v>18122</v>
      </c>
      <c r="C9337" t="s">
        <v>24</v>
      </c>
      <c r="D9337" t="s">
        <v>17</v>
      </c>
      <c r="E9337" s="6">
        <v>-28447</v>
      </c>
      <c r="F9337" t="s">
        <v>997</v>
      </c>
      <c r="G9337" t="s">
        <v>35</v>
      </c>
      <c r="H9337" t="s">
        <v>20</v>
      </c>
      <c r="I9337" t="s">
        <v>18123</v>
      </c>
      <c r="J9337" t="str">
        <f>HYPERLINK("https://www.boe.es/gazeta/dias/1822/02/10/pdfs/GMD-1822-41.pdf#page=2","Abrir facsímil")</f>
        <v>Abrir facsímil</v>
      </c>
      <c r="K9337" t="s">
        <v>22</v>
      </c>
    </row>
    <row r="9338" spans="1:11" ht="42" customHeight="1">
      <c r="A9338" t="s">
        <v>18122</v>
      </c>
      <c r="B9338" t="s">
        <v>18122</v>
      </c>
      <c r="C9338" t="s">
        <v>50</v>
      </c>
      <c r="D9338" t="s">
        <v>51</v>
      </c>
      <c r="E9338" s="6">
        <v>-28446</v>
      </c>
      <c r="F9338" t="s">
        <v>773</v>
      </c>
      <c r="G9338" t="s">
        <v>44</v>
      </c>
      <c r="H9338" t="s">
        <v>20</v>
      </c>
      <c r="I9338" t="s">
        <v>18124</v>
      </c>
      <c r="J9338" t="str">
        <f>HYPERLINK("https://www.boe.es/gazeta/dias/1822/02/11/pdfs/GMD-1822-42.pdf#page=1","Abrir facsímil")</f>
        <v>Abrir facsímil</v>
      </c>
      <c r="K9338" t="s">
        <v>22</v>
      </c>
    </row>
    <row r="9339" spans="1:11" ht="42" customHeight="1">
      <c r="A9339" t="s">
        <v>18122</v>
      </c>
      <c r="B9339" t="s">
        <v>18122</v>
      </c>
      <c r="C9339" t="s">
        <v>42</v>
      </c>
      <c r="D9339" t="s">
        <v>17</v>
      </c>
      <c r="E9339" s="6">
        <v>-28421</v>
      </c>
      <c r="F9339" t="s">
        <v>446</v>
      </c>
      <c r="G9339" t="s">
        <v>35</v>
      </c>
      <c r="H9339" t="s">
        <v>20</v>
      </c>
      <c r="I9339" t="s">
        <v>18125</v>
      </c>
      <c r="J9339" t="str">
        <f>HYPERLINK("https://www.boe.es/gazeta/dias/1822/03/08/pdfs/GMD-1822-69.pdf#page=2","Abrir facsímil")</f>
        <v>Abrir facsímil</v>
      </c>
      <c r="K9339" t="s">
        <v>22</v>
      </c>
    </row>
    <row r="9340" spans="1:11" ht="42" customHeight="1">
      <c r="A9340" t="s">
        <v>18122</v>
      </c>
      <c r="B9340" t="s">
        <v>18122</v>
      </c>
      <c r="C9340" t="s">
        <v>50</v>
      </c>
      <c r="D9340" t="s">
        <v>51</v>
      </c>
      <c r="E9340" s="6">
        <v>-28415</v>
      </c>
      <c r="F9340" t="s">
        <v>77</v>
      </c>
      <c r="G9340" t="s">
        <v>63</v>
      </c>
      <c r="H9340" t="s">
        <v>20</v>
      </c>
      <c r="I9340" t="s">
        <v>18126</v>
      </c>
      <c r="J9340" t="str">
        <f>HYPERLINK("https://www.boe.es/gazeta/dias/1822/03/14/pdfs/GMD-1822-75.pdf#page=6","Abrir facsímil")</f>
        <v>Abrir facsímil</v>
      </c>
      <c r="K9340" t="s">
        <v>22</v>
      </c>
    </row>
    <row r="9341" spans="1:11" ht="42" customHeight="1">
      <c r="A9341" t="s">
        <v>18122</v>
      </c>
      <c r="B9341" t="s">
        <v>18122</v>
      </c>
      <c r="C9341" t="s">
        <v>50</v>
      </c>
      <c r="D9341" t="s">
        <v>51</v>
      </c>
      <c r="E9341" s="6">
        <v>-28406</v>
      </c>
      <c r="F9341" t="s">
        <v>462</v>
      </c>
      <c r="G9341" t="s">
        <v>19</v>
      </c>
      <c r="H9341" t="s">
        <v>20</v>
      </c>
      <c r="I9341" t="s">
        <v>18127</v>
      </c>
      <c r="J9341" t="str">
        <f>HYPERLINK("https://www.boe.es/gazeta/dias/1822/03/23/pdfs/GMD-1822-84.pdf#page=5","Abrir facsímil")</f>
        <v>Abrir facsímil</v>
      </c>
      <c r="K9341" t="s">
        <v>22</v>
      </c>
    </row>
    <row r="9342" spans="1:11" ht="42" customHeight="1">
      <c r="A9342" t="s">
        <v>18122</v>
      </c>
      <c r="B9342" t="s">
        <v>18122</v>
      </c>
      <c r="C9342" t="s">
        <v>50</v>
      </c>
      <c r="D9342" t="s">
        <v>51</v>
      </c>
      <c r="E9342" s="6">
        <v>-28384</v>
      </c>
      <c r="F9342" t="s">
        <v>258</v>
      </c>
      <c r="G9342" t="s">
        <v>63</v>
      </c>
      <c r="H9342" t="s">
        <v>20</v>
      </c>
      <c r="I9342" t="s">
        <v>18128</v>
      </c>
      <c r="J9342" t="str">
        <f>HYPERLINK("https://www.boe.es/gazeta/dias/1822/04/14/pdfs/GMD-1822-106.pdf#page=6","Abrir facsímil")</f>
        <v>Abrir facsímil</v>
      </c>
      <c r="K9342" t="s">
        <v>22</v>
      </c>
    </row>
    <row r="9343" spans="1:11" ht="42" customHeight="1">
      <c r="A9343" t="s">
        <v>18122</v>
      </c>
      <c r="B9343" t="s">
        <v>18122</v>
      </c>
      <c r="C9343" t="s">
        <v>42</v>
      </c>
      <c r="D9343" t="s">
        <v>17</v>
      </c>
      <c r="E9343" s="6">
        <v>-28313</v>
      </c>
      <c r="F9343" t="s">
        <v>315</v>
      </c>
      <c r="G9343" t="s">
        <v>157</v>
      </c>
      <c r="H9343" t="s">
        <v>20</v>
      </c>
      <c r="I9343" t="s">
        <v>18129</v>
      </c>
      <c r="J9343" t="str">
        <f>HYPERLINK("https://www.boe.es/gazeta/dias/1822/06/24/pdfs/GMD-1822-182.pdf#page=8","Abrir facsímil")</f>
        <v>Abrir facsímil</v>
      </c>
      <c r="K9343" t="s">
        <v>22</v>
      </c>
    </row>
    <row r="9344" spans="1:11" ht="42" customHeight="1">
      <c r="A9344" t="s">
        <v>18122</v>
      </c>
      <c r="B9344" t="s">
        <v>18122</v>
      </c>
      <c r="C9344" t="s">
        <v>71</v>
      </c>
      <c r="D9344" t="s">
        <v>17</v>
      </c>
      <c r="E9344" s="6">
        <v>-28297</v>
      </c>
      <c r="F9344" t="s">
        <v>1972</v>
      </c>
      <c r="G9344" t="s">
        <v>57</v>
      </c>
      <c r="H9344" t="s">
        <v>20</v>
      </c>
      <c r="I9344" t="s">
        <v>18130</v>
      </c>
      <c r="J9344" t="str">
        <f>HYPERLINK("https://www.boe.es/gazeta/dias/1822/07/10/pdfs/GMD-1822-200.pdf#page=4","Abrir facsímil")</f>
        <v>Abrir facsímil</v>
      </c>
      <c r="K9344" t="s">
        <v>22</v>
      </c>
    </row>
    <row r="9345" spans="1:11" ht="42" customHeight="1">
      <c r="A9345" t="s">
        <v>18122</v>
      </c>
      <c r="B9345" t="s">
        <v>18122</v>
      </c>
      <c r="C9345" t="s">
        <v>50</v>
      </c>
      <c r="D9345" t="s">
        <v>51</v>
      </c>
      <c r="E9345" s="6">
        <v>-28288</v>
      </c>
      <c r="F9345" t="s">
        <v>970</v>
      </c>
      <c r="G9345" t="s">
        <v>35</v>
      </c>
      <c r="H9345" t="s">
        <v>20</v>
      </c>
      <c r="I9345" t="s">
        <v>18131</v>
      </c>
      <c r="J9345" t="str">
        <f>HYPERLINK("https://www.boe.es/gazeta/dias/1822/07/19/pdfs/GMD-1822-211.pdf#page=2","Abrir facsímil")</f>
        <v>Abrir facsímil</v>
      </c>
      <c r="K9345" t="s">
        <v>22</v>
      </c>
    </row>
    <row r="9346" spans="1:11" ht="42" customHeight="1">
      <c r="A9346" t="s">
        <v>18122</v>
      </c>
      <c r="B9346" t="s">
        <v>18122</v>
      </c>
      <c r="C9346" t="s">
        <v>50</v>
      </c>
      <c r="D9346" t="s">
        <v>51</v>
      </c>
      <c r="E9346" s="6">
        <v>-28260</v>
      </c>
      <c r="F9346" t="s">
        <v>135</v>
      </c>
      <c r="G9346" t="s">
        <v>35</v>
      </c>
      <c r="H9346" t="s">
        <v>20</v>
      </c>
      <c r="I9346" t="s">
        <v>18132</v>
      </c>
      <c r="J9346" t="str">
        <f>HYPERLINK("https://www.boe.es/gazeta/dias/1822/08/16/pdfs/GMD-1822-240.pdf#page=2","Abrir facsímil")</f>
        <v>Abrir facsímil</v>
      </c>
      <c r="K9346" t="s">
        <v>22</v>
      </c>
    </row>
    <row r="9347" spans="1:11" ht="42" customHeight="1">
      <c r="A9347" t="s">
        <v>18122</v>
      </c>
      <c r="B9347" t="s">
        <v>18122</v>
      </c>
      <c r="C9347" t="s">
        <v>42</v>
      </c>
      <c r="D9347" t="s">
        <v>17</v>
      </c>
      <c r="E9347" s="6">
        <v>-28245</v>
      </c>
      <c r="F9347" t="s">
        <v>2307</v>
      </c>
      <c r="G9347" t="s">
        <v>35</v>
      </c>
      <c r="H9347" t="s">
        <v>20</v>
      </c>
      <c r="I9347" t="s">
        <v>18133</v>
      </c>
      <c r="J9347" t="str">
        <f>HYPERLINK("https://www.boe.es/gazeta/dias/1822/08/31/pdfs/GMD-1822-255.pdf#page=2","Abrir facsímil")</f>
        <v>Abrir facsímil</v>
      </c>
      <c r="K9347" t="s">
        <v>22</v>
      </c>
    </row>
    <row r="9348" spans="1:11" ht="42" customHeight="1">
      <c r="A9348" t="s">
        <v>18122</v>
      </c>
      <c r="B9348" t="s">
        <v>18122</v>
      </c>
      <c r="C9348" t="s">
        <v>71</v>
      </c>
      <c r="D9348" t="s">
        <v>17</v>
      </c>
      <c r="E9348" s="6">
        <v>-28244</v>
      </c>
      <c r="F9348" t="s">
        <v>6163</v>
      </c>
      <c r="G9348" t="s">
        <v>57</v>
      </c>
      <c r="H9348" t="s">
        <v>20</v>
      </c>
      <c r="I9348" t="s">
        <v>18134</v>
      </c>
      <c r="J9348" t="str">
        <f>HYPERLINK("https://www.boe.es/gazeta/dias/1822/09/01/pdfs/GMD-1822-256.pdf#page=4","Abrir facsímil")</f>
        <v>Abrir facsímil</v>
      </c>
      <c r="K9348" t="s">
        <v>22</v>
      </c>
    </row>
    <row r="9349" spans="1:11" ht="42" customHeight="1">
      <c r="A9349" t="s">
        <v>18122</v>
      </c>
      <c r="B9349" t="s">
        <v>18122</v>
      </c>
      <c r="C9349" t="s">
        <v>42</v>
      </c>
      <c r="D9349" t="s">
        <v>17</v>
      </c>
      <c r="E9349" s="6">
        <v>-28236</v>
      </c>
      <c r="F9349" t="s">
        <v>714</v>
      </c>
      <c r="G9349" t="s">
        <v>35</v>
      </c>
      <c r="H9349" t="s">
        <v>20</v>
      </c>
      <c r="I9349" t="s">
        <v>18135</v>
      </c>
      <c r="J9349" t="str">
        <f>HYPERLINK("https://www.boe.es/gazeta/dias/1822/09/09/pdfs/GMD-1822-265.pdf#page=2","Abrir facsímil")</f>
        <v>Abrir facsímil</v>
      </c>
      <c r="K9349" t="s">
        <v>22</v>
      </c>
    </row>
    <row r="9350" spans="1:11" ht="42" customHeight="1">
      <c r="A9350" t="s">
        <v>18122</v>
      </c>
      <c r="B9350" t="s">
        <v>18122</v>
      </c>
      <c r="C9350" t="s">
        <v>71</v>
      </c>
      <c r="D9350" t="s">
        <v>17</v>
      </c>
      <c r="E9350" s="6">
        <v>-28213</v>
      </c>
      <c r="F9350" t="s">
        <v>558</v>
      </c>
      <c r="G9350" t="s">
        <v>31</v>
      </c>
      <c r="H9350" t="s">
        <v>20</v>
      </c>
      <c r="I9350" t="s">
        <v>18136</v>
      </c>
      <c r="J9350" t="str">
        <f>HYPERLINK("https://www.boe.es/gazeta/dias/1822/10/02/pdfs/GMD-1822-288.pdf#page=3","Abrir facsímil")</f>
        <v>Abrir facsímil</v>
      </c>
      <c r="K9350" t="s">
        <v>22</v>
      </c>
    </row>
    <row r="9351" spans="1:11" ht="42" customHeight="1">
      <c r="A9351" t="s">
        <v>18122</v>
      </c>
      <c r="B9351" t="s">
        <v>18122</v>
      </c>
      <c r="C9351" t="s">
        <v>28</v>
      </c>
      <c r="D9351" t="s">
        <v>29</v>
      </c>
      <c r="E9351" s="6">
        <v>-28201</v>
      </c>
      <c r="F9351" t="s">
        <v>163</v>
      </c>
      <c r="G9351" t="s">
        <v>63</v>
      </c>
      <c r="H9351" t="s">
        <v>20</v>
      </c>
      <c r="I9351" t="s">
        <v>18137</v>
      </c>
      <c r="J9351" t="str">
        <f>HYPERLINK("https://www.boe.es/gazeta/dias/1822/10/14/pdfs/GMD-1822-301.pdf#page=6","Abrir facsímil")</f>
        <v>Abrir facsímil</v>
      </c>
      <c r="K9351" t="s">
        <v>22</v>
      </c>
    </row>
    <row r="9352" spans="1:11" ht="42" customHeight="1">
      <c r="A9352" t="s">
        <v>18122</v>
      </c>
      <c r="B9352" t="s">
        <v>18122</v>
      </c>
      <c r="C9352" t="s">
        <v>16</v>
      </c>
      <c r="D9352" t="s">
        <v>17</v>
      </c>
      <c r="E9352" s="6">
        <v>-28196</v>
      </c>
      <c r="F9352" t="s">
        <v>570</v>
      </c>
      <c r="G9352" t="s">
        <v>63</v>
      </c>
      <c r="H9352" t="s">
        <v>20</v>
      </c>
      <c r="I9352" t="s">
        <v>18138</v>
      </c>
      <c r="J9352" t="str">
        <f>HYPERLINK("https://www.boe.es/gazeta/dias/1822/10/19/pdfs/GMD-1822-306.pdf#page=6","Abrir facsímil")</f>
        <v>Abrir facsímil</v>
      </c>
      <c r="K9352" t="s">
        <v>22</v>
      </c>
    </row>
    <row r="9353" spans="1:11" ht="42" customHeight="1">
      <c r="A9353" t="s">
        <v>18122</v>
      </c>
      <c r="B9353" t="s">
        <v>18122</v>
      </c>
      <c r="C9353" t="s">
        <v>50</v>
      </c>
      <c r="D9353" t="s">
        <v>51</v>
      </c>
      <c r="E9353" s="6">
        <v>-28168</v>
      </c>
      <c r="F9353" t="s">
        <v>3672</v>
      </c>
      <c r="G9353" t="s">
        <v>57</v>
      </c>
      <c r="H9353" t="s">
        <v>20</v>
      </c>
      <c r="I9353" t="s">
        <v>18139</v>
      </c>
      <c r="J9353" t="str">
        <f>HYPERLINK("https://www.boe.es/gazeta/dias/1822/11/16/pdfs/GMD-1822-336.pdf#page=4","Abrir facsímil")</f>
        <v>Abrir facsímil</v>
      </c>
      <c r="K9353" t="s">
        <v>22</v>
      </c>
    </row>
    <row r="9354" spans="1:11" ht="42" customHeight="1">
      <c r="A9354" t="s">
        <v>18122</v>
      </c>
      <c r="B9354" t="s">
        <v>18122</v>
      </c>
      <c r="C9354" t="s">
        <v>50</v>
      </c>
      <c r="D9354" t="s">
        <v>51</v>
      </c>
      <c r="E9354" s="6">
        <v>-28162</v>
      </c>
      <c r="F9354" t="s">
        <v>3949</v>
      </c>
      <c r="G9354" t="s">
        <v>57</v>
      </c>
      <c r="H9354" t="s">
        <v>20</v>
      </c>
      <c r="I9354" t="s">
        <v>18140</v>
      </c>
      <c r="J9354" t="str">
        <f>HYPERLINK("https://www.boe.es/gazeta/dias/1822/11/22/pdfs/GMD-1822-342.pdf#page=4","Abrir facsímil")</f>
        <v>Abrir facsímil</v>
      </c>
      <c r="K9354" t="s">
        <v>22</v>
      </c>
    </row>
    <row r="9355" spans="1:11" ht="42" customHeight="1">
      <c r="A9355" t="s">
        <v>18141</v>
      </c>
      <c r="B9355" t="s">
        <v>18142</v>
      </c>
      <c r="C9355" t="s">
        <v>50</v>
      </c>
      <c r="D9355" t="s">
        <v>51</v>
      </c>
      <c r="E9355" s="6">
        <v>-28208</v>
      </c>
      <c r="F9355" t="s">
        <v>230</v>
      </c>
      <c r="G9355" t="s">
        <v>57</v>
      </c>
      <c r="H9355" t="s">
        <v>20</v>
      </c>
      <c r="I9355" t="s">
        <v>18143</v>
      </c>
      <c r="J9355" t="str">
        <f>HYPERLINK("https://www.boe.es/gazeta/dias/1822/10/07/pdfs/GMD-1822-293.pdf#page=4","Abrir facsímil")</f>
        <v>Abrir facsímil</v>
      </c>
      <c r="K9355" t="s">
        <v>22</v>
      </c>
    </row>
    <row r="9356" spans="1:11" ht="42" customHeight="1">
      <c r="A9356" t="s">
        <v>18144</v>
      </c>
      <c r="B9356" t="s">
        <v>18145</v>
      </c>
      <c r="C9356" t="s">
        <v>61</v>
      </c>
      <c r="D9356" t="s">
        <v>17</v>
      </c>
      <c r="E9356" s="6">
        <v>-28380</v>
      </c>
      <c r="F9356" t="s">
        <v>492</v>
      </c>
      <c r="G9356" t="s">
        <v>63</v>
      </c>
      <c r="H9356" t="s">
        <v>45</v>
      </c>
      <c r="I9356" t="s">
        <v>18146</v>
      </c>
      <c r="J9356" t="str">
        <f>HYPERLINK("https://www.boe.es/gazeta/dias/1822/04/18/pdfs/GMD-1822-110.pdf#page=6","Abrir facsímil")</f>
        <v>Abrir facsímil</v>
      </c>
      <c r="K9356" t="s">
        <v>47</v>
      </c>
    </row>
    <row r="9357" spans="1:11" ht="42" customHeight="1">
      <c r="A9357" t="s">
        <v>18144</v>
      </c>
      <c r="B9357" t="s">
        <v>18145</v>
      </c>
      <c r="C9357" t="s">
        <v>50</v>
      </c>
      <c r="D9357" t="s">
        <v>51</v>
      </c>
      <c r="E9357" s="6">
        <v>-28269</v>
      </c>
      <c r="F9357" t="s">
        <v>5517</v>
      </c>
      <c r="G9357" t="s">
        <v>57</v>
      </c>
      <c r="H9357" t="s">
        <v>45</v>
      </c>
      <c r="I9357" t="s">
        <v>18147</v>
      </c>
      <c r="J9357" t="str">
        <f>HYPERLINK("https://www.boe.es/gazeta/dias/1822/08/07/pdfs/GMD-1822-231.pdf#page=4","Abrir facsímil")</f>
        <v>Abrir facsímil</v>
      </c>
      <c r="K9357" t="s">
        <v>47</v>
      </c>
    </row>
    <row r="9358" spans="1:11" ht="42" customHeight="1">
      <c r="A9358" t="s">
        <v>18148</v>
      </c>
      <c r="B9358" t="s">
        <v>18149</v>
      </c>
      <c r="C9358" t="s">
        <v>50</v>
      </c>
      <c r="D9358" t="s">
        <v>51</v>
      </c>
      <c r="E9358" s="6">
        <v>-28298</v>
      </c>
      <c r="F9358" t="s">
        <v>6405</v>
      </c>
      <c r="G9358" t="s">
        <v>57</v>
      </c>
      <c r="H9358" t="s">
        <v>20</v>
      </c>
      <c r="I9358" t="s">
        <v>18150</v>
      </c>
      <c r="J9358" t="str">
        <f>HYPERLINK("https://www.boe.es/gazeta/dias/1822/07/09/pdfs/GMD-1822-199.pdf#page=4","Abrir facsímil")</f>
        <v>Abrir facsímil</v>
      </c>
      <c r="K9358" t="s">
        <v>22</v>
      </c>
    </row>
    <row r="9359" spans="1:11" ht="42" customHeight="1">
      <c r="A9359" t="s">
        <v>18148</v>
      </c>
      <c r="B9359" t="s">
        <v>18149</v>
      </c>
      <c r="C9359" t="s">
        <v>50</v>
      </c>
      <c r="D9359" t="s">
        <v>51</v>
      </c>
      <c r="E9359" s="6">
        <v>-28289</v>
      </c>
      <c r="F9359" t="s">
        <v>390</v>
      </c>
      <c r="G9359" t="s">
        <v>35</v>
      </c>
      <c r="H9359" t="s">
        <v>20</v>
      </c>
      <c r="I9359" t="s">
        <v>18151</v>
      </c>
      <c r="J9359" t="str">
        <f>HYPERLINK("https://www.boe.es/gazeta/dias/1822/07/18/pdfs/GMD-1822-209.pdf#page=2","Abrir facsímil")</f>
        <v>Abrir facsímil</v>
      </c>
      <c r="K9359" t="s">
        <v>22</v>
      </c>
    </row>
    <row r="9360" spans="1:11" ht="42" customHeight="1">
      <c r="A9360" t="s">
        <v>18148</v>
      </c>
      <c r="B9360" t="s">
        <v>18149</v>
      </c>
      <c r="C9360" t="s">
        <v>28</v>
      </c>
      <c r="D9360" t="s">
        <v>29</v>
      </c>
      <c r="E9360" s="6">
        <v>-28192</v>
      </c>
      <c r="F9360" t="s">
        <v>43</v>
      </c>
      <c r="G9360" t="s">
        <v>157</v>
      </c>
      <c r="H9360" t="s">
        <v>20</v>
      </c>
      <c r="I9360" t="s">
        <v>18152</v>
      </c>
      <c r="J9360" t="str">
        <f>HYPERLINK("https://www.boe.es/gazeta/dias/1822/10/23/pdfs/GMD-1822-310.pdf#page=8","Abrir facsímil")</f>
        <v>Abrir facsímil</v>
      </c>
      <c r="K9360" t="s">
        <v>22</v>
      </c>
    </row>
    <row r="9361" spans="1:11" ht="42" customHeight="1">
      <c r="A9361" t="s">
        <v>18153</v>
      </c>
      <c r="B9361" t="s">
        <v>18154</v>
      </c>
      <c r="C9361" t="s">
        <v>50</v>
      </c>
      <c r="D9361" t="s">
        <v>51</v>
      </c>
      <c r="E9361" s="6">
        <v>-28395</v>
      </c>
      <c r="F9361" t="s">
        <v>237</v>
      </c>
      <c r="G9361" t="s">
        <v>35</v>
      </c>
      <c r="H9361" t="s">
        <v>20</v>
      </c>
      <c r="I9361" t="s">
        <v>18155</v>
      </c>
      <c r="J9361" t="str">
        <f>HYPERLINK("https://www.boe.es/gazeta/dias/1822/04/03/pdfs/GMD-1822-95.pdf#page=2","Abrir facsímil")</f>
        <v>Abrir facsímil</v>
      </c>
      <c r="K9361" t="s">
        <v>22</v>
      </c>
    </row>
    <row r="9362" spans="1:11" ht="42" customHeight="1">
      <c r="A9362" t="s">
        <v>18156</v>
      </c>
      <c r="B9362" t="s">
        <v>18157</v>
      </c>
      <c r="C9362" t="s">
        <v>71</v>
      </c>
      <c r="D9362" t="s">
        <v>17</v>
      </c>
      <c r="E9362" s="6">
        <v>-28273</v>
      </c>
      <c r="F9362" t="s">
        <v>1063</v>
      </c>
      <c r="G9362" t="s">
        <v>35</v>
      </c>
      <c r="H9362" t="s">
        <v>45</v>
      </c>
      <c r="I9362" t="s">
        <v>18158</v>
      </c>
      <c r="J9362" t="str">
        <f>HYPERLINK("https://www.boe.es/gazeta/dias/1822/08/03/pdfs/GMD-1822-227.pdf#page=2","Abrir facsímil")</f>
        <v>Abrir facsímil</v>
      </c>
      <c r="K9362" t="s">
        <v>47</v>
      </c>
    </row>
    <row r="9363" spans="1:11" ht="42" customHeight="1">
      <c r="A9363" t="s">
        <v>18159</v>
      </c>
      <c r="B9363" t="s">
        <v>18160</v>
      </c>
      <c r="C9363" t="s">
        <v>50</v>
      </c>
      <c r="D9363" t="s">
        <v>51</v>
      </c>
      <c r="E9363" s="6">
        <v>-28426</v>
      </c>
      <c r="F9363" t="s">
        <v>1178</v>
      </c>
      <c r="G9363" t="s">
        <v>35</v>
      </c>
      <c r="H9363" t="s">
        <v>20</v>
      </c>
      <c r="I9363" t="s">
        <v>18161</v>
      </c>
      <c r="J9363" t="str">
        <f>HYPERLINK("https://www.boe.es/gazeta/dias/1822/03/03/pdfs/GMD-1822-64.pdf#page=2","Abrir facsímil")</f>
        <v>Abrir facsímil</v>
      </c>
      <c r="K9363" t="s">
        <v>22</v>
      </c>
    </row>
    <row r="9364" spans="1:11" ht="42" customHeight="1">
      <c r="A9364" t="s">
        <v>18162</v>
      </c>
      <c r="B9364" t="s">
        <v>18163</v>
      </c>
      <c r="C9364" t="s">
        <v>362</v>
      </c>
      <c r="D9364" t="s">
        <v>17</v>
      </c>
      <c r="E9364" s="6">
        <v>-28461</v>
      </c>
      <c r="F9364" t="s">
        <v>1801</v>
      </c>
      <c r="G9364" t="s">
        <v>35</v>
      </c>
      <c r="H9364" t="s">
        <v>20</v>
      </c>
      <c r="I9364" t="s">
        <v>18164</v>
      </c>
      <c r="J9364" t="str">
        <f>HYPERLINK("https://www.boe.es/gazeta/dias/1822/01/27/pdfs/GMD-1822-27.pdf#page=2","Abrir facsímil")</f>
        <v>Abrir facsímil</v>
      </c>
      <c r="K9364" t="s">
        <v>22</v>
      </c>
    </row>
    <row r="9365" spans="1:11" ht="42" customHeight="1">
      <c r="A9365" t="s">
        <v>18162</v>
      </c>
      <c r="B9365" t="s">
        <v>18163</v>
      </c>
      <c r="C9365" t="s">
        <v>71</v>
      </c>
      <c r="D9365" t="s">
        <v>17</v>
      </c>
      <c r="E9365" s="6">
        <v>-28454</v>
      </c>
      <c r="F9365" t="s">
        <v>2033</v>
      </c>
      <c r="G9365" t="s">
        <v>31</v>
      </c>
      <c r="H9365" t="s">
        <v>20</v>
      </c>
      <c r="I9365" t="s">
        <v>18165</v>
      </c>
      <c r="J9365" t="str">
        <f>HYPERLINK("https://www.boe.es/gazeta/dias/1822/02/03/pdfs/GMD-1822-34.pdf#page=3","Abrir facsímil")</f>
        <v>Abrir facsímil</v>
      </c>
      <c r="K9365" t="s">
        <v>22</v>
      </c>
    </row>
    <row r="9366" spans="1:11" ht="42" customHeight="1">
      <c r="A9366" t="s">
        <v>18166</v>
      </c>
      <c r="B9366" t="s">
        <v>18167</v>
      </c>
      <c r="C9366" t="s">
        <v>61</v>
      </c>
      <c r="D9366" t="s">
        <v>17</v>
      </c>
      <c r="E9366" s="6">
        <v>-28484</v>
      </c>
      <c r="F9366" t="s">
        <v>743</v>
      </c>
      <c r="G9366" t="s">
        <v>63</v>
      </c>
      <c r="H9366" t="s">
        <v>45</v>
      </c>
      <c r="I9366" t="s">
        <v>18168</v>
      </c>
      <c r="J9366" t="str">
        <f>HYPERLINK("https://www.boe.es/gazeta/dias/1822/01/04/pdfs/GMD-1822-4.pdf#page=6","Abrir facsímil")</f>
        <v>Abrir facsímil</v>
      </c>
      <c r="K9366" t="s">
        <v>47</v>
      </c>
    </row>
    <row r="9367" spans="1:11" ht="42" customHeight="1">
      <c r="A9367" t="s">
        <v>18166</v>
      </c>
      <c r="B9367" t="s">
        <v>18167</v>
      </c>
      <c r="C9367" t="s">
        <v>28</v>
      </c>
      <c r="D9367" t="s">
        <v>29</v>
      </c>
      <c r="E9367" s="6">
        <v>-28481</v>
      </c>
      <c r="F9367" t="s">
        <v>1089</v>
      </c>
      <c r="G9367" t="s">
        <v>31</v>
      </c>
      <c r="H9367" t="s">
        <v>45</v>
      </c>
      <c r="I9367" t="s">
        <v>18169</v>
      </c>
      <c r="J9367" t="str">
        <f>HYPERLINK("https://www.boe.es/gazeta/dias/1822/01/07/pdfs/GMD-1822-7.pdf#page=3","Abrir facsímil")</f>
        <v>Abrir facsímil</v>
      </c>
      <c r="K9367" t="s">
        <v>47</v>
      </c>
    </row>
    <row r="9368" spans="1:11" ht="42" customHeight="1">
      <c r="A9368" t="s">
        <v>18166</v>
      </c>
      <c r="B9368" t="s">
        <v>18167</v>
      </c>
      <c r="C9368" t="s">
        <v>42</v>
      </c>
      <c r="D9368" t="s">
        <v>17</v>
      </c>
      <c r="E9368" s="6">
        <v>-28456</v>
      </c>
      <c r="F9368" t="s">
        <v>1104</v>
      </c>
      <c r="G9368" t="s">
        <v>1105</v>
      </c>
      <c r="H9368" t="s">
        <v>45</v>
      </c>
      <c r="I9368" t="s">
        <v>18170</v>
      </c>
      <c r="J9368" t="str">
        <f>HYPERLINK("https://www.boe.es/gazeta/dias/1822/02/01/pdfs/GMD-1822-32.pdf#page=4","Abrir facsímil")</f>
        <v>Abrir facsímil</v>
      </c>
      <c r="K9368" t="s">
        <v>47</v>
      </c>
    </row>
    <row r="9369" spans="1:11" ht="42" customHeight="1">
      <c r="A9369" t="s">
        <v>18166</v>
      </c>
      <c r="B9369" t="s">
        <v>18167</v>
      </c>
      <c r="C9369" t="s">
        <v>50</v>
      </c>
      <c r="D9369" t="s">
        <v>51</v>
      </c>
      <c r="E9369" s="6">
        <v>-28452</v>
      </c>
      <c r="F9369" t="s">
        <v>7772</v>
      </c>
      <c r="G9369" t="s">
        <v>57</v>
      </c>
      <c r="H9369" t="s">
        <v>45</v>
      </c>
      <c r="I9369" t="s">
        <v>18171</v>
      </c>
      <c r="J9369" t="str">
        <f>HYPERLINK("https://www.boe.es/gazeta/dias/1822/02/05/pdfs/GMD-1822-36.pdf#page=4","Abrir facsímil")</f>
        <v>Abrir facsímil</v>
      </c>
      <c r="K9369" t="s">
        <v>47</v>
      </c>
    </row>
    <row r="9370" spans="1:11" ht="42" customHeight="1">
      <c r="A9370" t="s">
        <v>18166</v>
      </c>
      <c r="B9370" t="s">
        <v>18167</v>
      </c>
      <c r="C9370" t="s">
        <v>28</v>
      </c>
      <c r="D9370" t="s">
        <v>29</v>
      </c>
      <c r="E9370" s="6">
        <v>-28450</v>
      </c>
      <c r="F9370" t="s">
        <v>1450</v>
      </c>
      <c r="G9370" t="s">
        <v>31</v>
      </c>
      <c r="H9370" t="s">
        <v>45</v>
      </c>
      <c r="I9370" t="s">
        <v>18172</v>
      </c>
      <c r="J9370" t="str">
        <f>HYPERLINK("https://www.boe.es/gazeta/dias/1822/02/07/pdfs/GMD-1822-38.pdf#page=3","Abrir facsímil")</f>
        <v>Abrir facsímil</v>
      </c>
      <c r="K9370" t="s">
        <v>47</v>
      </c>
    </row>
    <row r="9371" spans="1:11" ht="42" customHeight="1">
      <c r="A9371" t="s">
        <v>18166</v>
      </c>
      <c r="B9371" t="s">
        <v>18167</v>
      </c>
      <c r="C9371" t="s">
        <v>50</v>
      </c>
      <c r="D9371" t="s">
        <v>51</v>
      </c>
      <c r="E9371" s="6">
        <v>-28449</v>
      </c>
      <c r="F9371" t="s">
        <v>1342</v>
      </c>
      <c r="G9371" t="s">
        <v>31</v>
      </c>
      <c r="H9371" t="s">
        <v>45</v>
      </c>
      <c r="I9371" t="s">
        <v>18173</v>
      </c>
      <c r="J9371" t="str">
        <f>HYPERLINK("https://www.boe.es/gazeta/dias/1822/02/08/pdfs/GMD-1822-39.pdf#page=3","Abrir facsímil")</f>
        <v>Abrir facsímil</v>
      </c>
      <c r="K9371" t="s">
        <v>47</v>
      </c>
    </row>
    <row r="9372" spans="1:11" ht="42" customHeight="1">
      <c r="A9372" t="s">
        <v>18166</v>
      </c>
      <c r="B9372" t="s">
        <v>18167</v>
      </c>
      <c r="C9372" t="s">
        <v>28</v>
      </c>
      <c r="D9372" t="s">
        <v>29</v>
      </c>
      <c r="E9372" s="6">
        <v>-28174</v>
      </c>
      <c r="F9372" t="s">
        <v>881</v>
      </c>
      <c r="G9372" t="s">
        <v>31</v>
      </c>
      <c r="H9372" t="s">
        <v>45</v>
      </c>
      <c r="I9372" t="s">
        <v>18174</v>
      </c>
      <c r="J9372" t="str">
        <f>HYPERLINK("https://www.boe.es/gazeta/dias/1822/11/10/pdfs/GMD-1822-330.pdf#page=3","Abrir facsímil")</f>
        <v>Abrir facsímil</v>
      </c>
      <c r="K9372" t="s">
        <v>47</v>
      </c>
    </row>
    <row r="9373" spans="1:11" ht="42" customHeight="1">
      <c r="A9373" t="s">
        <v>18175</v>
      </c>
      <c r="B9373" t="s">
        <v>18176</v>
      </c>
      <c r="C9373" t="s">
        <v>42</v>
      </c>
      <c r="D9373" t="s">
        <v>17</v>
      </c>
      <c r="E9373" s="6">
        <v>-28484</v>
      </c>
      <c r="F9373" t="s">
        <v>743</v>
      </c>
      <c r="G9373" t="s">
        <v>19</v>
      </c>
      <c r="H9373" t="s">
        <v>20</v>
      </c>
      <c r="I9373" t="s">
        <v>18177</v>
      </c>
      <c r="J9373" t="str">
        <f>HYPERLINK("https://www.boe.es/gazeta/dias/1822/01/04/pdfs/GMD-1822-4.pdf#page=5","Abrir facsímil")</f>
        <v>Abrir facsímil</v>
      </c>
      <c r="K9373" t="s">
        <v>22</v>
      </c>
    </row>
    <row r="9374" spans="1:11" ht="42" customHeight="1">
      <c r="A9374" t="s">
        <v>18175</v>
      </c>
      <c r="B9374" t="s">
        <v>18176</v>
      </c>
      <c r="C9374" t="s">
        <v>71</v>
      </c>
      <c r="D9374" t="s">
        <v>17</v>
      </c>
      <c r="E9374" s="6">
        <v>-28464</v>
      </c>
      <c r="F9374" t="s">
        <v>1447</v>
      </c>
      <c r="G9374" t="s">
        <v>35</v>
      </c>
      <c r="H9374" t="s">
        <v>20</v>
      </c>
      <c r="I9374" t="s">
        <v>18178</v>
      </c>
      <c r="J9374" t="str">
        <f>HYPERLINK("https://www.boe.es/gazeta/dias/1822/01/24/pdfs/GMD-1822-24.pdf#page=2","Abrir facsímil")</f>
        <v>Abrir facsímil</v>
      </c>
      <c r="K9374" t="s">
        <v>22</v>
      </c>
    </row>
    <row r="9375" spans="1:11" ht="42" customHeight="1">
      <c r="A9375" t="s">
        <v>18175</v>
      </c>
      <c r="B9375" t="s">
        <v>18176</v>
      </c>
      <c r="C9375" t="s">
        <v>71</v>
      </c>
      <c r="D9375" t="s">
        <v>17</v>
      </c>
      <c r="E9375" s="6">
        <v>-28449</v>
      </c>
      <c r="F9375" t="s">
        <v>1342</v>
      </c>
      <c r="G9375" t="s">
        <v>57</v>
      </c>
      <c r="H9375" t="s">
        <v>20</v>
      </c>
      <c r="I9375" t="s">
        <v>18179</v>
      </c>
      <c r="J9375" t="str">
        <f>HYPERLINK("https://www.boe.es/gazeta/dias/1822/02/08/pdfs/GMD-1822-39.pdf#page=4","Abrir facsímil")</f>
        <v>Abrir facsímil</v>
      </c>
      <c r="K9375" t="s">
        <v>22</v>
      </c>
    </row>
    <row r="9376" spans="1:11" ht="42" customHeight="1">
      <c r="A9376" t="s">
        <v>18175</v>
      </c>
      <c r="B9376" t="s">
        <v>18176</v>
      </c>
      <c r="C9376" t="s">
        <v>50</v>
      </c>
      <c r="D9376" t="s">
        <v>51</v>
      </c>
      <c r="E9376" s="6">
        <v>-28445</v>
      </c>
      <c r="F9376" t="s">
        <v>1622</v>
      </c>
      <c r="G9376" t="s">
        <v>35</v>
      </c>
      <c r="H9376" t="s">
        <v>20</v>
      </c>
      <c r="I9376" t="s">
        <v>18180</v>
      </c>
      <c r="J9376" t="str">
        <f>HYPERLINK("https://www.boe.es/gazeta/dias/1822/02/12/pdfs/GMD-1822-43.pdf#page=2","Abrir facsímil")</f>
        <v>Abrir facsímil</v>
      </c>
      <c r="K9376" t="s">
        <v>22</v>
      </c>
    </row>
    <row r="9377" spans="1:11" ht="42" customHeight="1">
      <c r="A9377" t="s">
        <v>18175</v>
      </c>
      <c r="B9377" t="s">
        <v>18176</v>
      </c>
      <c r="C9377" t="s">
        <v>50</v>
      </c>
      <c r="D9377" t="s">
        <v>51</v>
      </c>
      <c r="E9377" s="6">
        <v>-28445</v>
      </c>
      <c r="F9377" t="s">
        <v>1622</v>
      </c>
      <c r="G9377" t="s">
        <v>57</v>
      </c>
      <c r="H9377" t="s">
        <v>20</v>
      </c>
      <c r="I9377" t="s">
        <v>18181</v>
      </c>
      <c r="J9377" t="str">
        <f>HYPERLINK("https://www.boe.es/gazeta/dias/1822/02/12/pdfs/GMD-1822-43.pdf#page=4","Abrir facsímil")</f>
        <v>Abrir facsímil</v>
      </c>
      <c r="K9377" t="s">
        <v>22</v>
      </c>
    </row>
    <row r="9378" spans="1:11" ht="42" customHeight="1">
      <c r="A9378" t="s">
        <v>18175</v>
      </c>
      <c r="B9378" t="s">
        <v>18176</v>
      </c>
      <c r="C9378" t="s">
        <v>50</v>
      </c>
      <c r="D9378" t="s">
        <v>51</v>
      </c>
      <c r="E9378" s="6">
        <v>-28424</v>
      </c>
      <c r="F9378" t="s">
        <v>439</v>
      </c>
      <c r="G9378" t="s">
        <v>31</v>
      </c>
      <c r="H9378" t="s">
        <v>20</v>
      </c>
      <c r="I9378" t="s">
        <v>18182</v>
      </c>
      <c r="J9378" t="str">
        <f>HYPERLINK("https://www.boe.es/gazeta/dias/1822/03/05/pdfs/GMD-1822-66.pdf#page=3","Abrir facsímil")</f>
        <v>Abrir facsímil</v>
      </c>
      <c r="K9378" t="s">
        <v>22</v>
      </c>
    </row>
    <row r="9379" spans="1:11" ht="42" customHeight="1">
      <c r="A9379" t="s">
        <v>18175</v>
      </c>
      <c r="B9379" t="s">
        <v>18176</v>
      </c>
      <c r="C9379" t="s">
        <v>28</v>
      </c>
      <c r="D9379" t="s">
        <v>29</v>
      </c>
      <c r="E9379" s="6">
        <v>-28420</v>
      </c>
      <c r="F9379" t="s">
        <v>449</v>
      </c>
      <c r="G9379" t="s">
        <v>31</v>
      </c>
      <c r="H9379" t="s">
        <v>20</v>
      </c>
      <c r="I9379" t="s">
        <v>18183</v>
      </c>
      <c r="J9379" t="str">
        <f>HYPERLINK("https://www.boe.es/gazeta/dias/1822/03/09/pdfs/GMD-1822-70.pdf#page=3","Abrir facsímil")</f>
        <v>Abrir facsímil</v>
      </c>
      <c r="K9379" t="s">
        <v>22</v>
      </c>
    </row>
    <row r="9380" spans="1:11" ht="42" customHeight="1">
      <c r="A9380" t="s">
        <v>18184</v>
      </c>
      <c r="B9380" t="s">
        <v>18185</v>
      </c>
      <c r="C9380" t="s">
        <v>50</v>
      </c>
      <c r="D9380" t="s">
        <v>51</v>
      </c>
      <c r="E9380" s="6">
        <v>-28211</v>
      </c>
      <c r="F9380" t="s">
        <v>273</v>
      </c>
      <c r="G9380" t="s">
        <v>31</v>
      </c>
      <c r="H9380" t="s">
        <v>20</v>
      </c>
      <c r="I9380" t="s">
        <v>18186</v>
      </c>
      <c r="J9380" t="str">
        <f>HYPERLINK("https://www.boe.es/gazeta/dias/1822/10/04/pdfs/GMD-1822-290.pdf#page=3","Abrir facsímil")</f>
        <v>Abrir facsímil</v>
      </c>
      <c r="K9380" t="s">
        <v>22</v>
      </c>
    </row>
    <row r="9381" spans="1:11" ht="42" customHeight="1">
      <c r="A9381" t="s">
        <v>18187</v>
      </c>
      <c r="B9381" t="s">
        <v>18187</v>
      </c>
      <c r="C9381" t="s">
        <v>50</v>
      </c>
      <c r="D9381" t="s">
        <v>51</v>
      </c>
      <c r="E9381" s="6">
        <v>-28265</v>
      </c>
      <c r="F9381" t="s">
        <v>1263</v>
      </c>
      <c r="G9381" t="s">
        <v>35</v>
      </c>
      <c r="H9381" t="s">
        <v>20</v>
      </c>
      <c r="I9381" t="s">
        <v>18188</v>
      </c>
      <c r="J9381" t="str">
        <f>HYPERLINK("https://www.boe.es/gazeta/dias/1822/08/11/pdfs/GMD-1822-235.pdf#page=2","Abrir facsímil")</f>
        <v>Abrir facsímil</v>
      </c>
      <c r="K9381" t="s">
        <v>22</v>
      </c>
    </row>
    <row r="9382" spans="1:11" ht="42" customHeight="1">
      <c r="A9382" t="s">
        <v>18187</v>
      </c>
      <c r="B9382" t="s">
        <v>18187</v>
      </c>
      <c r="C9382" t="s">
        <v>50</v>
      </c>
      <c r="D9382" t="s">
        <v>51</v>
      </c>
      <c r="E9382" s="6">
        <v>-28218</v>
      </c>
      <c r="F9382" t="s">
        <v>405</v>
      </c>
      <c r="G9382" t="s">
        <v>31</v>
      </c>
      <c r="H9382" t="s">
        <v>20</v>
      </c>
      <c r="I9382" t="s">
        <v>18189</v>
      </c>
      <c r="J9382" t="str">
        <f>HYPERLINK("https://www.boe.es/gazeta/dias/1822/09/27/pdfs/GMD-1822-283.pdf#page=3","Abrir facsímil")</f>
        <v>Abrir facsímil</v>
      </c>
      <c r="K9382" t="s">
        <v>22</v>
      </c>
    </row>
    <row r="9383" spans="1:11" ht="42" customHeight="1">
      <c r="A9383" t="s">
        <v>18190</v>
      </c>
      <c r="B9383" t="s">
        <v>18190</v>
      </c>
      <c r="C9383" t="s">
        <v>28</v>
      </c>
      <c r="D9383" t="s">
        <v>29</v>
      </c>
      <c r="E9383" s="6">
        <v>-28389</v>
      </c>
      <c r="F9383" t="s">
        <v>481</v>
      </c>
      <c r="G9383" t="s">
        <v>35</v>
      </c>
      <c r="H9383" t="s">
        <v>20</v>
      </c>
      <c r="I9383" t="s">
        <v>18191</v>
      </c>
      <c r="J9383" t="str">
        <f>HYPERLINK("https://www.boe.es/gazeta/dias/1822/04/09/pdfs/GMD-1822-101.pdf#page=2","Abrir facsímil")</f>
        <v>Abrir facsímil</v>
      </c>
      <c r="K9383" t="s">
        <v>22</v>
      </c>
    </row>
    <row r="9384" spans="1:11" ht="42" customHeight="1">
      <c r="A9384" t="s">
        <v>18192</v>
      </c>
      <c r="B9384" t="s">
        <v>18192</v>
      </c>
      <c r="C9384" t="s">
        <v>50</v>
      </c>
      <c r="D9384" t="s">
        <v>51</v>
      </c>
      <c r="E9384" s="6">
        <v>-28272</v>
      </c>
      <c r="F9384" t="s">
        <v>52</v>
      </c>
      <c r="G9384" t="s">
        <v>35</v>
      </c>
      <c r="H9384" t="s">
        <v>20</v>
      </c>
      <c r="I9384" t="s">
        <v>18193</v>
      </c>
      <c r="J9384" t="str">
        <f>HYPERLINK("https://www.boe.es/gazeta/dias/1822/08/04/pdfs/GMD-1822-228.pdf#page=2","Abrir facsímil")</f>
        <v>Abrir facsímil</v>
      </c>
      <c r="K9384" t="s">
        <v>22</v>
      </c>
    </row>
    <row r="9385" spans="1:11" ht="42" customHeight="1">
      <c r="A9385" t="s">
        <v>18192</v>
      </c>
      <c r="B9385" t="s">
        <v>18192</v>
      </c>
      <c r="C9385" t="s">
        <v>50</v>
      </c>
      <c r="D9385" t="s">
        <v>51</v>
      </c>
      <c r="E9385" s="6">
        <v>-28248</v>
      </c>
      <c r="F9385" t="s">
        <v>4807</v>
      </c>
      <c r="G9385" t="s">
        <v>35</v>
      </c>
      <c r="H9385" t="s">
        <v>20</v>
      </c>
      <c r="I9385" t="s">
        <v>18194</v>
      </c>
      <c r="J9385" t="str">
        <f>HYPERLINK("https://www.boe.es/gazeta/dias/1822/08/28/pdfs/GMD-1822-252.pdf#page=2","Abrir facsímil")</f>
        <v>Abrir facsímil</v>
      </c>
      <c r="K9385" t="s">
        <v>22</v>
      </c>
    </row>
    <row r="9386" spans="1:11" ht="42" customHeight="1">
      <c r="A9386" t="s">
        <v>18192</v>
      </c>
      <c r="B9386" t="s">
        <v>18192</v>
      </c>
      <c r="C9386" t="s">
        <v>50</v>
      </c>
      <c r="D9386" t="s">
        <v>51</v>
      </c>
      <c r="E9386" s="6">
        <v>-28210</v>
      </c>
      <c r="F9386" t="s">
        <v>218</v>
      </c>
      <c r="G9386" t="s">
        <v>31</v>
      </c>
      <c r="H9386" t="s">
        <v>20</v>
      </c>
      <c r="I9386" t="s">
        <v>18195</v>
      </c>
      <c r="J9386" t="str">
        <f>HYPERLINK("https://www.boe.es/gazeta/dias/1822/10/05/pdfs/GMD-1822-291.pdf#page=3","Abrir facsímil")</f>
        <v>Abrir facsímil</v>
      </c>
      <c r="K9386" t="s">
        <v>22</v>
      </c>
    </row>
    <row r="9387" spans="1:11" ht="42" customHeight="1">
      <c r="A9387" t="s">
        <v>18196</v>
      </c>
      <c r="B9387" t="s">
        <v>18196</v>
      </c>
      <c r="C9387" t="s">
        <v>50</v>
      </c>
      <c r="D9387" t="s">
        <v>51</v>
      </c>
      <c r="E9387" s="6">
        <v>-28279</v>
      </c>
      <c r="F9387" t="s">
        <v>662</v>
      </c>
      <c r="G9387" t="s">
        <v>35</v>
      </c>
      <c r="H9387" t="s">
        <v>20</v>
      </c>
      <c r="I9387" t="s">
        <v>18197</v>
      </c>
      <c r="J9387" t="str">
        <f>HYPERLINK("https://www.boe.es/gazeta/dias/1822/07/28/pdfs/GMD-1822-221.pdf#page=2","Abrir facsímil")</f>
        <v>Abrir facsímil</v>
      </c>
      <c r="K9387" t="s">
        <v>22</v>
      </c>
    </row>
    <row r="9388" spans="1:11" ht="42" customHeight="1">
      <c r="A9388" t="s">
        <v>18196</v>
      </c>
      <c r="B9388" t="s">
        <v>18196</v>
      </c>
      <c r="C9388" t="s">
        <v>50</v>
      </c>
      <c r="D9388" t="s">
        <v>51</v>
      </c>
      <c r="E9388" s="6">
        <v>-28278</v>
      </c>
      <c r="F9388" t="s">
        <v>368</v>
      </c>
      <c r="G9388" t="s">
        <v>31</v>
      </c>
      <c r="H9388" t="s">
        <v>20</v>
      </c>
      <c r="I9388" t="s">
        <v>18198</v>
      </c>
      <c r="J9388" t="str">
        <f>HYPERLINK("https://www.boe.es/gazeta/dias/1822/07/29/pdfs/GMD-1822-222.pdf#page=3","Abrir facsímil")</f>
        <v>Abrir facsímil</v>
      </c>
      <c r="K9388" t="s">
        <v>22</v>
      </c>
    </row>
    <row r="9389" spans="1:11" ht="42" customHeight="1">
      <c r="A9389" t="s">
        <v>18196</v>
      </c>
      <c r="B9389" t="s">
        <v>18196</v>
      </c>
      <c r="C9389" t="s">
        <v>50</v>
      </c>
      <c r="D9389" t="s">
        <v>51</v>
      </c>
      <c r="E9389" s="6">
        <v>-28262</v>
      </c>
      <c r="F9389" t="s">
        <v>1771</v>
      </c>
      <c r="G9389" t="s">
        <v>35</v>
      </c>
      <c r="H9389" t="s">
        <v>20</v>
      </c>
      <c r="I9389" t="s">
        <v>18199</v>
      </c>
      <c r="J9389" t="str">
        <f>HYPERLINK("https://www.boe.es/gazeta/dias/1822/08/14/pdfs/GMD-1822-238.pdf#page=2","Abrir facsímil")</f>
        <v>Abrir facsímil</v>
      </c>
      <c r="K9389" t="s">
        <v>22</v>
      </c>
    </row>
    <row r="9390" spans="1:11" ht="42" customHeight="1">
      <c r="A9390" t="s">
        <v>18196</v>
      </c>
      <c r="B9390" t="s">
        <v>18196</v>
      </c>
      <c r="C9390" t="s">
        <v>50</v>
      </c>
      <c r="D9390" t="s">
        <v>51</v>
      </c>
      <c r="E9390" s="6">
        <v>-28238</v>
      </c>
      <c r="F9390" t="s">
        <v>2077</v>
      </c>
      <c r="G9390" t="s">
        <v>35</v>
      </c>
      <c r="H9390" t="s">
        <v>20</v>
      </c>
      <c r="I9390" t="s">
        <v>18200</v>
      </c>
      <c r="J9390" t="str">
        <f>HYPERLINK("https://www.boe.es/gazeta/dias/1822/09/07/pdfs/GMD-1822-262.pdf#page=2","Abrir facsímil")</f>
        <v>Abrir facsímil</v>
      </c>
      <c r="K9390" t="s">
        <v>22</v>
      </c>
    </row>
    <row r="9391" spans="1:11" ht="42" customHeight="1">
      <c r="A9391" t="s">
        <v>18196</v>
      </c>
      <c r="B9391" t="s">
        <v>18196</v>
      </c>
      <c r="C9391" t="s">
        <v>50</v>
      </c>
      <c r="D9391" t="s">
        <v>51</v>
      </c>
      <c r="E9391" s="6">
        <v>-28230</v>
      </c>
      <c r="F9391" t="s">
        <v>1735</v>
      </c>
      <c r="G9391" t="s">
        <v>31</v>
      </c>
      <c r="H9391" t="s">
        <v>20</v>
      </c>
      <c r="I9391" t="s">
        <v>18201</v>
      </c>
      <c r="J9391" t="str">
        <f>HYPERLINK("https://www.boe.es/gazeta/dias/1822/09/15/pdfs/GMD-1822-271.pdf#page=3","Abrir facsímil")</f>
        <v>Abrir facsímil</v>
      </c>
      <c r="K9391" t="s">
        <v>22</v>
      </c>
    </row>
    <row r="9392" spans="1:11" ht="42" customHeight="1">
      <c r="A9392" t="s">
        <v>18196</v>
      </c>
      <c r="B9392" t="s">
        <v>18196</v>
      </c>
      <c r="C9392" t="s">
        <v>50</v>
      </c>
      <c r="D9392" t="s">
        <v>51</v>
      </c>
      <c r="E9392" s="6">
        <v>-28207</v>
      </c>
      <c r="F9392" t="s">
        <v>1325</v>
      </c>
      <c r="G9392" t="s">
        <v>35</v>
      </c>
      <c r="H9392" t="s">
        <v>20</v>
      </c>
      <c r="I9392" t="s">
        <v>18202</v>
      </c>
      <c r="J9392" t="str">
        <f>HYPERLINK("https://www.boe.es/gazeta/dias/1822/10/08/pdfs/GMD-1822-295.pdf#page=2","Abrir facsímil")</f>
        <v>Abrir facsímil</v>
      </c>
      <c r="K9392" t="s">
        <v>22</v>
      </c>
    </row>
    <row r="9393" spans="1:11" ht="42" customHeight="1">
      <c r="A9393" t="s">
        <v>18196</v>
      </c>
      <c r="B9393" t="s">
        <v>18196</v>
      </c>
      <c r="C9393" t="s">
        <v>50</v>
      </c>
      <c r="D9393" t="s">
        <v>51</v>
      </c>
      <c r="E9393" s="6">
        <v>-28179</v>
      </c>
      <c r="F9393" t="s">
        <v>935</v>
      </c>
      <c r="G9393" t="s">
        <v>19</v>
      </c>
      <c r="H9393" t="s">
        <v>20</v>
      </c>
      <c r="I9393" t="s">
        <v>18203</v>
      </c>
      <c r="J9393" t="str">
        <f>HYPERLINK("https://www.boe.es/gazeta/dias/1822/11/05/pdfs/GMD-1822-325.pdf#page=5","Abrir facsímil")</f>
        <v>Abrir facsímil</v>
      </c>
      <c r="K9393" t="s">
        <v>22</v>
      </c>
    </row>
    <row r="9394" spans="1:11" ht="42" customHeight="1">
      <c r="A9394" t="s">
        <v>18196</v>
      </c>
      <c r="B9394" t="s">
        <v>18196</v>
      </c>
      <c r="C9394" t="s">
        <v>50</v>
      </c>
      <c r="D9394" t="s">
        <v>51</v>
      </c>
      <c r="E9394" s="6">
        <v>-28171</v>
      </c>
      <c r="F9394" t="s">
        <v>1075</v>
      </c>
      <c r="G9394" t="s">
        <v>57</v>
      </c>
      <c r="H9394" t="s">
        <v>20</v>
      </c>
      <c r="I9394" t="s">
        <v>18204</v>
      </c>
      <c r="J9394" t="str">
        <f>HYPERLINK("https://www.boe.es/gazeta/dias/1822/11/13/pdfs/GMD-1822-333.pdf#page=4","Abrir facsímil")</f>
        <v>Abrir facsímil</v>
      </c>
      <c r="K9394" t="s">
        <v>22</v>
      </c>
    </row>
    <row r="9395" spans="1:11" ht="42" customHeight="1">
      <c r="A9395" t="s">
        <v>18196</v>
      </c>
      <c r="B9395" t="s">
        <v>18196</v>
      </c>
      <c r="C9395" t="s">
        <v>50</v>
      </c>
      <c r="D9395" t="s">
        <v>51</v>
      </c>
      <c r="E9395" s="6">
        <v>-28163</v>
      </c>
      <c r="F9395" t="s">
        <v>891</v>
      </c>
      <c r="G9395" t="s">
        <v>57</v>
      </c>
      <c r="H9395" t="s">
        <v>20</v>
      </c>
      <c r="I9395" t="s">
        <v>18205</v>
      </c>
      <c r="J9395" t="str">
        <f>HYPERLINK("https://www.boe.es/gazeta/dias/1822/11/21/pdfs/GMD-1822-341.pdf#page=4","Abrir facsímil")</f>
        <v>Abrir facsímil</v>
      </c>
      <c r="K9395" t="s">
        <v>22</v>
      </c>
    </row>
    <row r="9396" spans="1:11" ht="42" customHeight="1">
      <c r="A9396" t="s">
        <v>18206</v>
      </c>
      <c r="B9396" t="s">
        <v>18207</v>
      </c>
      <c r="C9396" t="s">
        <v>50</v>
      </c>
      <c r="D9396" t="s">
        <v>51</v>
      </c>
      <c r="E9396" s="6">
        <v>-28125</v>
      </c>
      <c r="F9396" t="s">
        <v>322</v>
      </c>
      <c r="G9396" t="s">
        <v>35</v>
      </c>
      <c r="H9396" t="s">
        <v>20</v>
      </c>
      <c r="I9396" t="s">
        <v>18208</v>
      </c>
      <c r="J9396" t="str">
        <f>HYPERLINK("https://www.boe.es/gazeta/dias/1822/12/29/pdfs/GMD-1822-379.pdf#page=2","Abrir facsímil")</f>
        <v>Abrir facsímil</v>
      </c>
      <c r="K9396" t="s">
        <v>22</v>
      </c>
    </row>
    <row r="9397" spans="1:11" ht="42" customHeight="1">
      <c r="A9397" t="s">
        <v>18206</v>
      </c>
      <c r="B9397" t="s">
        <v>18207</v>
      </c>
      <c r="C9397" t="s">
        <v>50</v>
      </c>
      <c r="D9397" t="s">
        <v>51</v>
      </c>
      <c r="E9397" s="6">
        <v>-28125</v>
      </c>
      <c r="F9397" t="s">
        <v>322</v>
      </c>
      <c r="G9397" t="s">
        <v>63</v>
      </c>
      <c r="H9397" t="s">
        <v>20</v>
      </c>
      <c r="I9397" t="s">
        <v>18209</v>
      </c>
      <c r="J9397" t="str">
        <f>HYPERLINK("https://www.boe.es/gazeta/dias/1822/12/29/pdfs/GMD-1822-379.pdf#page=6","Abrir facsímil")</f>
        <v>Abrir facsímil</v>
      </c>
      <c r="K9397" t="s">
        <v>22</v>
      </c>
    </row>
    <row r="9398" spans="1:11" ht="42" customHeight="1">
      <c r="A9398" t="s">
        <v>18210</v>
      </c>
      <c r="B9398" t="s">
        <v>18211</v>
      </c>
      <c r="C9398" t="s">
        <v>50</v>
      </c>
      <c r="D9398" t="s">
        <v>51</v>
      </c>
      <c r="E9398" s="6">
        <v>-28255</v>
      </c>
      <c r="F9398" t="s">
        <v>4826</v>
      </c>
      <c r="G9398" t="s">
        <v>31</v>
      </c>
      <c r="H9398" t="s">
        <v>45</v>
      </c>
      <c r="I9398" t="s">
        <v>18212</v>
      </c>
      <c r="J9398" t="str">
        <f>HYPERLINK("https://www.boe.es/gazeta/dias/1822/08/21/pdfs/GMD-1822-245.pdf#page=3","Abrir facsímil")</f>
        <v>Abrir facsímil</v>
      </c>
      <c r="K9398" t="s">
        <v>47</v>
      </c>
    </row>
    <row r="9399" spans="1:11" ht="42" customHeight="1">
      <c r="A9399" t="s">
        <v>18213</v>
      </c>
      <c r="B9399" t="s">
        <v>18214</v>
      </c>
      <c r="C9399" t="s">
        <v>50</v>
      </c>
      <c r="D9399" t="s">
        <v>51</v>
      </c>
      <c r="E9399" s="6">
        <v>-28191</v>
      </c>
      <c r="F9399" t="s">
        <v>710</v>
      </c>
      <c r="G9399" t="s">
        <v>5038</v>
      </c>
      <c r="H9399" t="s">
        <v>20</v>
      </c>
      <c r="I9399" t="s">
        <v>18215</v>
      </c>
      <c r="J9399" t="str">
        <f>HYPERLINK("https://www.boe.es/gazeta/dias/1822/10/24/pdfs/GMD-1822-311.pdf#page=8","Abrir facsímil")</f>
        <v>Abrir facsímil</v>
      </c>
      <c r="K9399" t="s">
        <v>22</v>
      </c>
    </row>
    <row r="9400" spans="1:11" ht="42" customHeight="1">
      <c r="A9400" t="s">
        <v>18216</v>
      </c>
      <c r="B9400" t="s">
        <v>18216</v>
      </c>
      <c r="C9400" t="s">
        <v>50</v>
      </c>
      <c r="D9400" t="s">
        <v>51</v>
      </c>
      <c r="E9400" s="6">
        <v>-28303</v>
      </c>
      <c r="F9400" t="s">
        <v>201</v>
      </c>
      <c r="G9400" t="s">
        <v>31</v>
      </c>
      <c r="H9400" t="s">
        <v>20</v>
      </c>
      <c r="I9400" t="s">
        <v>18217</v>
      </c>
      <c r="J9400" t="str">
        <f>HYPERLINK("https://www.boe.es/gazeta/dias/1822/07/04/pdfs/GMD-1822-193.pdf#page=3","Abrir facsímil")</f>
        <v>Abrir facsímil</v>
      </c>
      <c r="K9400" t="s">
        <v>22</v>
      </c>
    </row>
    <row r="9401" spans="1:11" ht="42" customHeight="1">
      <c r="A9401" t="s">
        <v>18218</v>
      </c>
      <c r="B9401" t="s">
        <v>18218</v>
      </c>
      <c r="C9401" t="s">
        <v>50</v>
      </c>
      <c r="D9401" t="s">
        <v>51</v>
      </c>
      <c r="E9401" s="6">
        <v>-28472</v>
      </c>
      <c r="F9401" t="s">
        <v>5485</v>
      </c>
      <c r="G9401" t="s">
        <v>35</v>
      </c>
      <c r="H9401" t="s">
        <v>20</v>
      </c>
      <c r="I9401" t="s">
        <v>18219</v>
      </c>
      <c r="J9401" t="str">
        <f>HYPERLINK("https://www.boe.es/gazeta/dias/1822/01/16/pdfs/GMD-1822-16.pdf#page=2","Abrir facsímil")</f>
        <v>Abrir facsímil</v>
      </c>
      <c r="K9401" t="s">
        <v>22</v>
      </c>
    </row>
    <row r="9402" spans="1:11" ht="42" customHeight="1">
      <c r="A9402" t="s">
        <v>18220</v>
      </c>
      <c r="B9402" t="s">
        <v>18221</v>
      </c>
      <c r="C9402" t="s">
        <v>28</v>
      </c>
      <c r="D9402" t="s">
        <v>29</v>
      </c>
      <c r="E9402" s="6">
        <v>-28272</v>
      </c>
      <c r="F9402" t="s">
        <v>52</v>
      </c>
      <c r="G9402" t="s">
        <v>57</v>
      </c>
      <c r="H9402" t="s">
        <v>20</v>
      </c>
      <c r="I9402" t="s">
        <v>18222</v>
      </c>
      <c r="J9402" t="str">
        <f>HYPERLINK("https://www.boe.es/gazeta/dias/1822/08/04/pdfs/GMD-1822-228.pdf#page=4","Abrir facsímil")</f>
        <v>Abrir facsímil</v>
      </c>
      <c r="K9402" t="s">
        <v>22</v>
      </c>
    </row>
    <row r="9403" spans="1:11" ht="42" customHeight="1">
      <c r="A9403" t="s">
        <v>18223</v>
      </c>
      <c r="B9403" t="s">
        <v>18224</v>
      </c>
      <c r="C9403" t="s">
        <v>362</v>
      </c>
      <c r="D9403" t="s">
        <v>17</v>
      </c>
      <c r="E9403" s="6">
        <v>-28181</v>
      </c>
      <c r="F9403" t="s">
        <v>739</v>
      </c>
      <c r="G9403" t="s">
        <v>63</v>
      </c>
      <c r="H9403" t="s">
        <v>20</v>
      </c>
      <c r="I9403" t="s">
        <v>18225</v>
      </c>
      <c r="J9403" t="str">
        <f>HYPERLINK("https://www.boe.es/gazeta/dias/1822/11/03/pdfs/GMD-1822-321.pdf#page=6","Abrir facsímil")</f>
        <v>Abrir facsímil</v>
      </c>
      <c r="K9403" t="s">
        <v>22</v>
      </c>
    </row>
    <row r="9404" spans="1:11" ht="42" customHeight="1">
      <c r="A9404" t="s">
        <v>18226</v>
      </c>
      <c r="B9404" t="s">
        <v>18226</v>
      </c>
      <c r="C9404" t="s">
        <v>50</v>
      </c>
      <c r="D9404" t="s">
        <v>51</v>
      </c>
      <c r="E9404" s="6">
        <v>-28485</v>
      </c>
      <c r="F9404" t="s">
        <v>1117</v>
      </c>
      <c r="G9404" t="s">
        <v>44</v>
      </c>
      <c r="H9404" t="s">
        <v>20</v>
      </c>
      <c r="I9404" t="s">
        <v>18227</v>
      </c>
      <c r="J9404" t="str">
        <f>HYPERLINK("https://www.boe.es/gazeta/dias/1822/01/03/pdfs/GMD-1822-3.pdf#page=1","Abrir facsímil")</f>
        <v>Abrir facsímil</v>
      </c>
      <c r="K9404" t="s">
        <v>22</v>
      </c>
    </row>
    <row r="9405" spans="1:11" ht="42" customHeight="1">
      <c r="A9405" t="s">
        <v>18228</v>
      </c>
      <c r="B9405" t="s">
        <v>18228</v>
      </c>
      <c r="C9405" t="s">
        <v>61</v>
      </c>
      <c r="D9405" t="s">
        <v>17</v>
      </c>
      <c r="E9405" s="6">
        <v>-28304</v>
      </c>
      <c r="F9405" t="s">
        <v>4502</v>
      </c>
      <c r="G9405" t="s">
        <v>44</v>
      </c>
      <c r="H9405" t="s">
        <v>20</v>
      </c>
      <c r="I9405" t="s">
        <v>18229</v>
      </c>
      <c r="J9405" t="str">
        <f>HYPERLINK("https://www.boe.es/gazeta/dias/1822/07/03/pdfs/GMD-1822-192.pdf#page=1","Abrir facsímil")</f>
        <v>Abrir facsímil</v>
      </c>
      <c r="K9405" t="s">
        <v>22</v>
      </c>
    </row>
    <row r="9406" spans="1:11" ht="42" customHeight="1">
      <c r="A9406" t="s">
        <v>18230</v>
      </c>
      <c r="B9406" t="s">
        <v>18230</v>
      </c>
      <c r="C9406" t="s">
        <v>28</v>
      </c>
      <c r="D9406" t="s">
        <v>29</v>
      </c>
      <c r="E9406" s="6">
        <v>-28151</v>
      </c>
      <c r="F9406" t="s">
        <v>985</v>
      </c>
      <c r="G9406" t="s">
        <v>31</v>
      </c>
      <c r="H9406" t="s">
        <v>20</v>
      </c>
      <c r="I9406" t="s">
        <v>18231</v>
      </c>
      <c r="J9406" t="str">
        <f>HYPERLINK("https://www.boe.es/gazeta/dias/1822/12/03/pdfs/GMD-1822-353.pdf#page=3","Abrir facsímil")</f>
        <v>Abrir facsímil</v>
      </c>
      <c r="K9406" t="s">
        <v>22</v>
      </c>
    </row>
    <row r="9407" spans="1:11" ht="42" customHeight="1">
      <c r="A9407" t="s">
        <v>18232</v>
      </c>
      <c r="B9407" t="s">
        <v>18233</v>
      </c>
      <c r="C9407" t="s">
        <v>42</v>
      </c>
      <c r="D9407" t="s">
        <v>17</v>
      </c>
      <c r="E9407" s="6">
        <v>-28392</v>
      </c>
      <c r="F9407" t="s">
        <v>2003</v>
      </c>
      <c r="G9407" t="s">
        <v>57</v>
      </c>
      <c r="H9407" t="s">
        <v>20</v>
      </c>
      <c r="I9407" t="s">
        <v>18234</v>
      </c>
      <c r="J9407" t="str">
        <f>HYPERLINK("https://www.boe.es/gazeta/dias/1822/04/06/pdfs/GMD-1822-98.pdf#page=4","Abrir facsímil")</f>
        <v>Abrir facsímil</v>
      </c>
      <c r="K9407" t="s">
        <v>22</v>
      </c>
    </row>
    <row r="9408" spans="1:11" ht="42" customHeight="1">
      <c r="A9408" t="s">
        <v>18235</v>
      </c>
      <c r="B9408" t="s">
        <v>18236</v>
      </c>
      <c r="C9408" t="s">
        <v>42</v>
      </c>
      <c r="D9408" t="s">
        <v>17</v>
      </c>
      <c r="E9408" s="6">
        <v>-28428</v>
      </c>
      <c r="F9408" t="s">
        <v>1924</v>
      </c>
      <c r="G9408" t="s">
        <v>57</v>
      </c>
      <c r="H9408" t="s">
        <v>20</v>
      </c>
      <c r="I9408" t="s">
        <v>18237</v>
      </c>
      <c r="J9408" t="str">
        <f>HYPERLINK("https://www.boe.es/gazeta/dias/1822/03/01/pdfs/GMD-1822-61.pdf#page=4","Abrir facsímil")</f>
        <v>Abrir facsímil</v>
      </c>
      <c r="K9408" t="s">
        <v>22</v>
      </c>
    </row>
    <row r="9409" spans="1:11" ht="42" customHeight="1">
      <c r="A9409" t="s">
        <v>18238</v>
      </c>
      <c r="B9409" t="s">
        <v>18238</v>
      </c>
      <c r="C9409" t="s">
        <v>50</v>
      </c>
      <c r="D9409" t="s">
        <v>51</v>
      </c>
      <c r="E9409" s="6">
        <v>-28320</v>
      </c>
      <c r="F9409" t="s">
        <v>700</v>
      </c>
      <c r="G9409" t="s">
        <v>63</v>
      </c>
      <c r="H9409" t="s">
        <v>20</v>
      </c>
      <c r="I9409" t="s">
        <v>18239</v>
      </c>
      <c r="J9409" t="str">
        <f>HYPERLINK("https://www.boe.es/gazeta/dias/1822/06/17/pdfs/GMD-1822-174.pdf#page=6","Abrir facsímil")</f>
        <v>Abrir facsímil</v>
      </c>
      <c r="K9409" t="s">
        <v>22</v>
      </c>
    </row>
    <row r="9410" spans="1:11" ht="42" customHeight="1">
      <c r="A9410" t="s">
        <v>18240</v>
      </c>
      <c r="B9410" t="s">
        <v>18240</v>
      </c>
      <c r="C9410" t="s">
        <v>28</v>
      </c>
      <c r="D9410" t="s">
        <v>29</v>
      </c>
      <c r="E9410" s="6">
        <v>-28362</v>
      </c>
      <c r="F9410" t="s">
        <v>511</v>
      </c>
      <c r="G9410" t="s">
        <v>44</v>
      </c>
      <c r="H9410" t="s">
        <v>20</v>
      </c>
      <c r="I9410" t="s">
        <v>18241</v>
      </c>
      <c r="J9410" t="str">
        <f>HYPERLINK("https://www.boe.es/gazeta/dias/1822/05/06/pdfs/GMD-1822-128.pdf#page=1","Abrir facsímil")</f>
        <v>Abrir facsímil</v>
      </c>
      <c r="K9410" t="s">
        <v>22</v>
      </c>
    </row>
    <row r="9411" spans="1:11" ht="42" customHeight="1">
      <c r="A9411" t="s">
        <v>18242</v>
      </c>
      <c r="B9411" t="s">
        <v>18242</v>
      </c>
      <c r="C9411" t="s">
        <v>50</v>
      </c>
      <c r="D9411" t="s">
        <v>51</v>
      </c>
      <c r="E9411" s="6">
        <v>-28417</v>
      </c>
      <c r="F9411" t="s">
        <v>1394</v>
      </c>
      <c r="G9411" t="s">
        <v>35</v>
      </c>
      <c r="H9411" t="s">
        <v>20</v>
      </c>
      <c r="I9411" t="s">
        <v>18243</v>
      </c>
      <c r="J9411" t="str">
        <f>HYPERLINK("https://www.boe.es/gazeta/dias/1822/03/12/pdfs/GMD-1822-73.pdf#page=2","Abrir facsímil")</f>
        <v>Abrir facsímil</v>
      </c>
      <c r="K9411" t="s">
        <v>22</v>
      </c>
    </row>
    <row r="9412" spans="1:11" ht="42" customHeight="1">
      <c r="A9412" t="s">
        <v>18242</v>
      </c>
      <c r="B9412" t="s">
        <v>18242</v>
      </c>
      <c r="C9412" t="s">
        <v>50</v>
      </c>
      <c r="D9412" t="s">
        <v>51</v>
      </c>
      <c r="E9412" s="6">
        <v>-28410</v>
      </c>
      <c r="F9412" t="s">
        <v>966</v>
      </c>
      <c r="G9412" t="s">
        <v>31</v>
      </c>
      <c r="H9412" t="s">
        <v>20</v>
      </c>
      <c r="I9412" t="s">
        <v>18244</v>
      </c>
      <c r="J9412" t="str">
        <f>HYPERLINK("https://www.boe.es/gazeta/dias/1822/03/19/pdfs/GMD-1822-80.pdf#page=3","Abrir facsímil")</f>
        <v>Abrir facsímil</v>
      </c>
      <c r="K9412" t="s">
        <v>22</v>
      </c>
    </row>
    <row r="9413" spans="1:11" ht="42" customHeight="1">
      <c r="A9413" t="s">
        <v>18242</v>
      </c>
      <c r="B9413" t="s">
        <v>18242</v>
      </c>
      <c r="C9413" t="s">
        <v>50</v>
      </c>
      <c r="D9413" t="s">
        <v>51</v>
      </c>
      <c r="E9413" s="6">
        <v>-28342</v>
      </c>
      <c r="F9413" t="s">
        <v>2281</v>
      </c>
      <c r="G9413" t="s">
        <v>31</v>
      </c>
      <c r="H9413" t="s">
        <v>20</v>
      </c>
      <c r="I9413" t="s">
        <v>18245</v>
      </c>
      <c r="J9413" t="str">
        <f>HYPERLINK("https://www.boe.es/gazeta/dias/1822/05/26/pdfs/GMD-1822-151.pdf#page=3","Abrir facsímil")</f>
        <v>Abrir facsímil</v>
      </c>
      <c r="K9413" t="s">
        <v>22</v>
      </c>
    </row>
    <row r="9414" spans="1:11" ht="42" customHeight="1">
      <c r="A9414" t="s">
        <v>18242</v>
      </c>
      <c r="B9414" t="s">
        <v>18242</v>
      </c>
      <c r="C9414" t="s">
        <v>50</v>
      </c>
      <c r="D9414" t="s">
        <v>51</v>
      </c>
      <c r="E9414" s="6">
        <v>-28327</v>
      </c>
      <c r="F9414" t="s">
        <v>38</v>
      </c>
      <c r="G9414" t="s">
        <v>31</v>
      </c>
      <c r="H9414" t="s">
        <v>20</v>
      </c>
      <c r="I9414" t="s">
        <v>18246</v>
      </c>
      <c r="J9414" t="str">
        <f>HYPERLINK("https://www.boe.es/gazeta/dias/1822/06/10/pdfs/GMD-1822-167.pdf#page=3","Abrir facsímil")</f>
        <v>Abrir facsímil</v>
      </c>
      <c r="K9414" t="s">
        <v>22</v>
      </c>
    </row>
    <row r="9415" spans="1:11" ht="42" customHeight="1">
      <c r="A9415" t="s">
        <v>18242</v>
      </c>
      <c r="B9415" t="s">
        <v>18242</v>
      </c>
      <c r="C9415" t="s">
        <v>50</v>
      </c>
      <c r="D9415" t="s">
        <v>51</v>
      </c>
      <c r="E9415" s="6">
        <v>-28324</v>
      </c>
      <c r="F9415" t="s">
        <v>305</v>
      </c>
      <c r="G9415" t="s">
        <v>63</v>
      </c>
      <c r="H9415" t="s">
        <v>20</v>
      </c>
      <c r="I9415" t="s">
        <v>18247</v>
      </c>
      <c r="J9415" t="str">
        <f>HYPERLINK("https://www.boe.es/gazeta/dias/1822/06/13/pdfs/GMD-1822-170.pdf#page=6","Abrir facsímil")</f>
        <v>Abrir facsímil</v>
      </c>
      <c r="K9415" t="s">
        <v>22</v>
      </c>
    </row>
    <row r="9416" spans="1:11" ht="42" customHeight="1">
      <c r="A9416" t="s">
        <v>18242</v>
      </c>
      <c r="B9416" t="s">
        <v>18242</v>
      </c>
      <c r="C9416" t="s">
        <v>50</v>
      </c>
      <c r="D9416" t="s">
        <v>51</v>
      </c>
      <c r="E9416" s="6">
        <v>-28258</v>
      </c>
      <c r="F9416" t="s">
        <v>88</v>
      </c>
      <c r="G9416" t="s">
        <v>35</v>
      </c>
      <c r="H9416" t="s">
        <v>20</v>
      </c>
      <c r="I9416" t="s">
        <v>18248</v>
      </c>
      <c r="J9416" t="str">
        <f>HYPERLINK("https://www.boe.es/gazeta/dias/1822/08/18/pdfs/GMD-1822-242.pdf#page=2","Abrir facsímil")</f>
        <v>Abrir facsímil</v>
      </c>
      <c r="K9416" t="s">
        <v>22</v>
      </c>
    </row>
    <row r="9417" spans="1:11" ht="42" customHeight="1">
      <c r="A9417" t="s">
        <v>18242</v>
      </c>
      <c r="B9417" t="s">
        <v>18242</v>
      </c>
      <c r="C9417" t="s">
        <v>50</v>
      </c>
      <c r="D9417" t="s">
        <v>51</v>
      </c>
      <c r="E9417" s="6">
        <v>-28244</v>
      </c>
      <c r="F9417" t="s">
        <v>6163</v>
      </c>
      <c r="G9417" t="s">
        <v>35</v>
      </c>
      <c r="H9417" t="s">
        <v>20</v>
      </c>
      <c r="I9417" t="s">
        <v>18249</v>
      </c>
      <c r="J9417" t="str">
        <f>HYPERLINK("https://www.boe.es/gazeta/dias/1822/09/01/pdfs/GMD-1822-256.pdf#page=2","Abrir facsímil")</f>
        <v>Abrir facsímil</v>
      </c>
      <c r="K9417" t="s">
        <v>22</v>
      </c>
    </row>
    <row r="9418" spans="1:11" ht="42" customHeight="1">
      <c r="A9418" t="s">
        <v>18242</v>
      </c>
      <c r="B9418" t="s">
        <v>18242</v>
      </c>
      <c r="C9418" t="s">
        <v>50</v>
      </c>
      <c r="D9418" t="s">
        <v>51</v>
      </c>
      <c r="E9418" s="6">
        <v>-28237</v>
      </c>
      <c r="F9418" t="s">
        <v>878</v>
      </c>
      <c r="G9418" t="s">
        <v>44</v>
      </c>
      <c r="H9418" t="s">
        <v>20</v>
      </c>
      <c r="I9418" t="s">
        <v>18250</v>
      </c>
      <c r="J9418" t="str">
        <f>HYPERLINK("https://www.boe.es/gazeta/dias/1822/09/08/pdfs/GMD-1822-264.pdf#page=1","Abrir facsímil")</f>
        <v>Abrir facsímil</v>
      </c>
      <c r="K9418" t="s">
        <v>22</v>
      </c>
    </row>
    <row r="9419" spans="1:11" ht="42" customHeight="1">
      <c r="A9419" t="s">
        <v>18242</v>
      </c>
      <c r="B9419" t="s">
        <v>18242</v>
      </c>
      <c r="C9419" t="s">
        <v>50</v>
      </c>
      <c r="D9419" t="s">
        <v>51</v>
      </c>
      <c r="E9419" s="6">
        <v>-28233</v>
      </c>
      <c r="F9419" t="s">
        <v>810</v>
      </c>
      <c r="G9419" t="s">
        <v>31</v>
      </c>
      <c r="H9419" t="s">
        <v>20</v>
      </c>
      <c r="I9419" t="s">
        <v>18251</v>
      </c>
      <c r="J9419" t="str">
        <f>HYPERLINK("https://www.boe.es/gazeta/dias/1822/09/12/pdfs/GMD-1822-268.pdf#page=3","Abrir facsímil")</f>
        <v>Abrir facsímil</v>
      </c>
      <c r="K9419" t="s">
        <v>22</v>
      </c>
    </row>
    <row r="9420" spans="1:11" ht="42" customHeight="1">
      <c r="A9420" t="s">
        <v>18242</v>
      </c>
      <c r="B9420" t="s">
        <v>18242</v>
      </c>
      <c r="C9420" t="s">
        <v>50</v>
      </c>
      <c r="D9420" t="s">
        <v>51</v>
      </c>
      <c r="E9420" s="6">
        <v>-28232</v>
      </c>
      <c r="F9420" t="s">
        <v>3875</v>
      </c>
      <c r="G9420" t="s">
        <v>31</v>
      </c>
      <c r="H9420" t="s">
        <v>20</v>
      </c>
      <c r="I9420" t="s">
        <v>18252</v>
      </c>
      <c r="J9420" t="str">
        <f>HYPERLINK("https://www.boe.es/gazeta/dias/1822/09/13/pdfs/GMD-1822-269.pdf#page=3","Abrir facsímil")</f>
        <v>Abrir facsímil</v>
      </c>
      <c r="K9420" t="s">
        <v>22</v>
      </c>
    </row>
    <row r="9421" spans="1:11" ht="42" customHeight="1">
      <c r="A9421" t="s">
        <v>18242</v>
      </c>
      <c r="B9421" t="s">
        <v>18242</v>
      </c>
      <c r="C9421" t="s">
        <v>50</v>
      </c>
      <c r="D9421" t="s">
        <v>51</v>
      </c>
      <c r="E9421" s="6">
        <v>-28223</v>
      </c>
      <c r="F9421" t="s">
        <v>2374</v>
      </c>
      <c r="G9421" t="s">
        <v>35</v>
      </c>
      <c r="H9421" t="s">
        <v>20</v>
      </c>
      <c r="I9421" t="s">
        <v>18253</v>
      </c>
      <c r="J9421" t="str">
        <f>HYPERLINK("https://www.boe.es/gazeta/dias/1822/09/22/pdfs/GMD-1822-278.pdf#page=2","Abrir facsímil")</f>
        <v>Abrir facsímil</v>
      </c>
      <c r="K9421" t="s">
        <v>22</v>
      </c>
    </row>
    <row r="9422" spans="1:11" ht="42" customHeight="1">
      <c r="A9422" t="s">
        <v>18242</v>
      </c>
      <c r="B9422" t="s">
        <v>18242</v>
      </c>
      <c r="C9422" t="s">
        <v>50</v>
      </c>
      <c r="D9422" t="s">
        <v>51</v>
      </c>
      <c r="E9422" s="6">
        <v>-28222</v>
      </c>
      <c r="F9422" t="s">
        <v>2027</v>
      </c>
      <c r="G9422" t="s">
        <v>31</v>
      </c>
      <c r="H9422" t="s">
        <v>20</v>
      </c>
      <c r="I9422" t="s">
        <v>18254</v>
      </c>
      <c r="J9422" t="str">
        <f>HYPERLINK("https://www.boe.es/gazeta/dias/1822/09/23/pdfs/GMD-1822-279.pdf#page=3","Abrir facsímil")</f>
        <v>Abrir facsímil</v>
      </c>
      <c r="K9422" t="s">
        <v>22</v>
      </c>
    </row>
    <row r="9423" spans="1:11" ht="42" customHeight="1">
      <c r="A9423" t="s">
        <v>18242</v>
      </c>
      <c r="B9423" t="s">
        <v>18242</v>
      </c>
      <c r="C9423" t="s">
        <v>50</v>
      </c>
      <c r="D9423" t="s">
        <v>51</v>
      </c>
      <c r="E9423" s="6">
        <v>-28216</v>
      </c>
      <c r="F9423" t="s">
        <v>4661</v>
      </c>
      <c r="G9423" t="s">
        <v>31</v>
      </c>
      <c r="H9423" t="s">
        <v>20</v>
      </c>
      <c r="I9423" t="s">
        <v>18255</v>
      </c>
      <c r="J9423" t="str">
        <f>HYPERLINK("https://www.boe.es/gazeta/dias/1822/09/29/pdfs/GMD-1822-285.pdf#page=3","Abrir facsímil")</f>
        <v>Abrir facsímil</v>
      </c>
      <c r="K9423" t="s">
        <v>22</v>
      </c>
    </row>
    <row r="9424" spans="1:11" ht="42" customHeight="1">
      <c r="A9424" t="s">
        <v>18242</v>
      </c>
      <c r="B9424" t="s">
        <v>18242</v>
      </c>
      <c r="C9424" t="s">
        <v>50</v>
      </c>
      <c r="D9424" t="s">
        <v>51</v>
      </c>
      <c r="E9424" s="6">
        <v>-28214</v>
      </c>
      <c r="F9424" t="s">
        <v>814</v>
      </c>
      <c r="G9424" t="s">
        <v>44</v>
      </c>
      <c r="H9424" t="s">
        <v>20</v>
      </c>
      <c r="I9424" t="s">
        <v>18256</v>
      </c>
      <c r="J9424" t="str">
        <f>HYPERLINK("https://www.boe.es/gazeta/dias/1822/10/01/pdfs/GMD-1822-287.pdf#page=1","Abrir facsímil")</f>
        <v>Abrir facsímil</v>
      </c>
      <c r="K9424" t="s">
        <v>22</v>
      </c>
    </row>
    <row r="9425" spans="1:11" ht="42" customHeight="1">
      <c r="A9425" t="s">
        <v>18242</v>
      </c>
      <c r="B9425" t="s">
        <v>18242</v>
      </c>
      <c r="C9425" t="s">
        <v>50</v>
      </c>
      <c r="D9425" t="s">
        <v>51</v>
      </c>
      <c r="E9425" s="6">
        <v>-28214</v>
      </c>
      <c r="F9425" t="s">
        <v>814</v>
      </c>
      <c r="G9425" t="s">
        <v>57</v>
      </c>
      <c r="H9425" t="s">
        <v>20</v>
      </c>
      <c r="I9425" t="s">
        <v>18257</v>
      </c>
      <c r="J9425" t="str">
        <f>HYPERLINK("https://www.boe.es/gazeta/dias/1822/10/01/pdfs/GMD-1822-287.pdf#page=4","Abrir facsímil")</f>
        <v>Abrir facsímil</v>
      </c>
      <c r="K9425" t="s">
        <v>22</v>
      </c>
    </row>
    <row r="9426" spans="1:11" ht="42" customHeight="1">
      <c r="A9426" t="s">
        <v>18242</v>
      </c>
      <c r="B9426" t="s">
        <v>18242</v>
      </c>
      <c r="C9426" t="s">
        <v>50</v>
      </c>
      <c r="D9426" t="s">
        <v>51</v>
      </c>
      <c r="E9426" s="6">
        <v>-28213</v>
      </c>
      <c r="F9426" t="s">
        <v>558</v>
      </c>
      <c r="G9426" t="s">
        <v>35</v>
      </c>
      <c r="H9426" t="s">
        <v>20</v>
      </c>
      <c r="I9426" t="s">
        <v>18258</v>
      </c>
      <c r="J9426" t="str">
        <f>HYPERLINK("https://www.boe.es/gazeta/dias/1822/10/02/pdfs/GMD-1822-288.pdf#page=2","Abrir facsímil")</f>
        <v>Abrir facsímil</v>
      </c>
      <c r="K9426" t="s">
        <v>22</v>
      </c>
    </row>
    <row r="9427" spans="1:11" ht="42" customHeight="1">
      <c r="A9427" t="s">
        <v>18242</v>
      </c>
      <c r="B9427" t="s">
        <v>18242</v>
      </c>
      <c r="C9427" t="s">
        <v>50</v>
      </c>
      <c r="D9427" t="s">
        <v>51</v>
      </c>
      <c r="E9427" s="6">
        <v>-28211</v>
      </c>
      <c r="F9427" t="s">
        <v>273</v>
      </c>
      <c r="G9427" t="s">
        <v>57</v>
      </c>
      <c r="H9427" t="s">
        <v>20</v>
      </c>
      <c r="I9427" t="s">
        <v>18259</v>
      </c>
      <c r="J9427" t="str">
        <f>HYPERLINK("https://www.boe.es/gazeta/dias/1822/10/04/pdfs/GMD-1822-290.pdf#page=4","Abrir facsímil")</f>
        <v>Abrir facsímil</v>
      </c>
      <c r="K9427" t="s">
        <v>22</v>
      </c>
    </row>
    <row r="9428" spans="1:11" ht="42" customHeight="1">
      <c r="A9428" t="s">
        <v>18242</v>
      </c>
      <c r="B9428" t="s">
        <v>18242</v>
      </c>
      <c r="C9428" t="s">
        <v>50</v>
      </c>
      <c r="D9428" t="s">
        <v>51</v>
      </c>
      <c r="E9428" s="6">
        <v>-28210</v>
      </c>
      <c r="F9428" t="s">
        <v>218</v>
      </c>
      <c r="G9428" t="s">
        <v>31</v>
      </c>
      <c r="H9428" t="s">
        <v>20</v>
      </c>
      <c r="I9428" t="s">
        <v>18260</v>
      </c>
      <c r="J9428" t="str">
        <f>HYPERLINK("https://www.boe.es/gazeta/dias/1822/10/05/pdfs/GMD-1822-291.pdf#page=3","Abrir facsímil")</f>
        <v>Abrir facsímil</v>
      </c>
      <c r="K9428" t="s">
        <v>22</v>
      </c>
    </row>
    <row r="9429" spans="1:11" ht="42" customHeight="1">
      <c r="A9429" t="s">
        <v>18242</v>
      </c>
      <c r="B9429" t="s">
        <v>18242</v>
      </c>
      <c r="C9429" t="s">
        <v>50</v>
      </c>
      <c r="D9429" t="s">
        <v>51</v>
      </c>
      <c r="E9429" s="6">
        <v>-28210</v>
      </c>
      <c r="F9429" t="s">
        <v>218</v>
      </c>
      <c r="G9429" t="s">
        <v>57</v>
      </c>
      <c r="H9429" t="s">
        <v>20</v>
      </c>
      <c r="I9429" t="s">
        <v>18261</v>
      </c>
      <c r="J9429" t="str">
        <f>HYPERLINK("https://www.boe.es/gazeta/dias/1822/10/05/pdfs/GMD-1822-291.pdf#page=4","Abrir facsímil")</f>
        <v>Abrir facsímil</v>
      </c>
      <c r="K9429" t="s">
        <v>22</v>
      </c>
    </row>
    <row r="9430" spans="1:11" ht="42" customHeight="1">
      <c r="A9430" t="s">
        <v>18242</v>
      </c>
      <c r="B9430" t="s">
        <v>18242</v>
      </c>
      <c r="C9430" t="s">
        <v>50</v>
      </c>
      <c r="D9430" t="s">
        <v>51</v>
      </c>
      <c r="E9430" s="6">
        <v>-28203</v>
      </c>
      <c r="F9430" t="s">
        <v>564</v>
      </c>
      <c r="G9430" t="s">
        <v>57</v>
      </c>
      <c r="H9430" t="s">
        <v>20</v>
      </c>
      <c r="I9430" t="s">
        <v>18262</v>
      </c>
      <c r="J9430" t="str">
        <f>HYPERLINK("https://www.boe.es/gazeta/dias/1822/10/12/pdfs/GMD-1822-299.pdf#page=4","Abrir facsímil")</f>
        <v>Abrir facsímil</v>
      </c>
      <c r="K9430" t="s">
        <v>22</v>
      </c>
    </row>
    <row r="9431" spans="1:11" ht="42" customHeight="1">
      <c r="A9431" t="s">
        <v>18242</v>
      </c>
      <c r="B9431" t="s">
        <v>18242</v>
      </c>
      <c r="C9431" t="s">
        <v>50</v>
      </c>
      <c r="D9431" t="s">
        <v>51</v>
      </c>
      <c r="E9431" s="6">
        <v>-28201</v>
      </c>
      <c r="F9431" t="s">
        <v>163</v>
      </c>
      <c r="G9431" t="s">
        <v>35</v>
      </c>
      <c r="H9431" t="s">
        <v>20</v>
      </c>
      <c r="I9431" t="s">
        <v>18263</v>
      </c>
      <c r="J9431" t="str">
        <f>HYPERLINK("https://www.boe.es/gazeta/dias/1822/10/14/pdfs/GMD-1822-301.pdf#page=2","Abrir facsímil")</f>
        <v>Abrir facsímil</v>
      </c>
      <c r="K9431" t="s">
        <v>22</v>
      </c>
    </row>
    <row r="9432" spans="1:11" ht="42" customHeight="1">
      <c r="A9432" t="s">
        <v>18242</v>
      </c>
      <c r="B9432" t="s">
        <v>18242</v>
      </c>
      <c r="C9432" t="s">
        <v>50</v>
      </c>
      <c r="D9432" t="s">
        <v>51</v>
      </c>
      <c r="E9432" s="6">
        <v>-28201</v>
      </c>
      <c r="F9432" t="s">
        <v>163</v>
      </c>
      <c r="G9432" t="s">
        <v>31</v>
      </c>
      <c r="H9432" t="s">
        <v>20</v>
      </c>
      <c r="I9432" t="s">
        <v>18264</v>
      </c>
      <c r="J9432" t="str">
        <f>HYPERLINK("https://www.boe.es/gazeta/dias/1822/10/14/pdfs/GMD-1822-301.pdf#page=3","Abrir facsímil")</f>
        <v>Abrir facsímil</v>
      </c>
      <c r="K9432" t="s">
        <v>22</v>
      </c>
    </row>
    <row r="9433" spans="1:11" ht="42" customHeight="1">
      <c r="A9433" t="s">
        <v>18242</v>
      </c>
      <c r="B9433" t="s">
        <v>18242</v>
      </c>
      <c r="C9433" t="s">
        <v>50</v>
      </c>
      <c r="D9433" t="s">
        <v>51</v>
      </c>
      <c r="E9433" s="6">
        <v>-28201</v>
      </c>
      <c r="F9433" t="s">
        <v>163</v>
      </c>
      <c r="G9433" t="s">
        <v>57</v>
      </c>
      <c r="H9433" t="s">
        <v>20</v>
      </c>
      <c r="I9433" t="s">
        <v>18265</v>
      </c>
      <c r="J9433" t="str">
        <f>HYPERLINK("https://www.boe.es/gazeta/dias/1822/10/14/pdfs/GMD-1822-301.pdf#page=4","Abrir facsímil")</f>
        <v>Abrir facsímil</v>
      </c>
      <c r="K9433" t="s">
        <v>22</v>
      </c>
    </row>
    <row r="9434" spans="1:11" ht="42" customHeight="1">
      <c r="A9434" t="s">
        <v>18242</v>
      </c>
      <c r="B9434" t="s">
        <v>18242</v>
      </c>
      <c r="C9434" t="s">
        <v>50</v>
      </c>
      <c r="D9434" t="s">
        <v>51</v>
      </c>
      <c r="E9434" s="6">
        <v>-28197</v>
      </c>
      <c r="F9434" t="s">
        <v>568</v>
      </c>
      <c r="G9434" t="s">
        <v>19</v>
      </c>
      <c r="H9434" t="s">
        <v>20</v>
      </c>
      <c r="I9434" t="s">
        <v>18266</v>
      </c>
      <c r="J9434" t="str">
        <f>HYPERLINK("https://www.boe.es/gazeta/dias/1822/10/18/pdfs/GMD-1822-305.pdf#page=5","Abrir facsímil")</f>
        <v>Abrir facsímil</v>
      </c>
      <c r="K9434" t="s">
        <v>22</v>
      </c>
    </row>
    <row r="9435" spans="1:11" ht="42" customHeight="1">
      <c r="A9435" t="s">
        <v>18242</v>
      </c>
      <c r="B9435" t="s">
        <v>18242</v>
      </c>
      <c r="C9435" t="s">
        <v>50</v>
      </c>
      <c r="D9435" t="s">
        <v>51</v>
      </c>
      <c r="E9435" s="6">
        <v>-28196</v>
      </c>
      <c r="F9435" t="s">
        <v>570</v>
      </c>
      <c r="G9435" t="s">
        <v>57</v>
      </c>
      <c r="H9435" t="s">
        <v>20</v>
      </c>
      <c r="I9435" t="s">
        <v>18267</v>
      </c>
      <c r="J9435" t="str">
        <f>HYPERLINK("https://www.boe.es/gazeta/dias/1822/10/19/pdfs/GMD-1822-306.pdf#page=4","Abrir facsímil")</f>
        <v>Abrir facsímil</v>
      </c>
      <c r="K9435" t="s">
        <v>22</v>
      </c>
    </row>
    <row r="9436" spans="1:11" ht="42" customHeight="1">
      <c r="A9436" t="s">
        <v>18242</v>
      </c>
      <c r="B9436" t="s">
        <v>18242</v>
      </c>
      <c r="C9436" t="s">
        <v>50</v>
      </c>
      <c r="D9436" t="s">
        <v>51</v>
      </c>
      <c r="E9436" s="6">
        <v>-28189</v>
      </c>
      <c r="F9436" t="s">
        <v>645</v>
      </c>
      <c r="G9436" t="s">
        <v>63</v>
      </c>
      <c r="H9436" t="s">
        <v>20</v>
      </c>
      <c r="I9436" t="s">
        <v>18268</v>
      </c>
      <c r="J9436" t="str">
        <f>HYPERLINK("https://www.boe.es/gazeta/dias/1822/10/26/pdfs/GMD-1822-313.pdf#page=6","Abrir facsímil")</f>
        <v>Abrir facsímil</v>
      </c>
      <c r="K9436" t="s">
        <v>22</v>
      </c>
    </row>
    <row r="9437" spans="1:11" ht="42" customHeight="1">
      <c r="A9437" t="s">
        <v>18242</v>
      </c>
      <c r="B9437" t="s">
        <v>18242</v>
      </c>
      <c r="C9437" t="s">
        <v>50</v>
      </c>
      <c r="D9437" t="s">
        <v>51</v>
      </c>
      <c r="E9437" s="6">
        <v>-28179</v>
      </c>
      <c r="F9437" t="s">
        <v>935</v>
      </c>
      <c r="G9437" t="s">
        <v>57</v>
      </c>
      <c r="H9437" t="s">
        <v>20</v>
      </c>
      <c r="I9437" t="s">
        <v>18269</v>
      </c>
      <c r="J9437" t="str">
        <f>HYPERLINK("https://www.boe.es/gazeta/dias/1822/11/05/pdfs/GMD-1822-325.pdf#page=4","Abrir facsímil")</f>
        <v>Abrir facsímil</v>
      </c>
      <c r="K9437" t="s">
        <v>22</v>
      </c>
    </row>
    <row r="9438" spans="1:11" ht="42" customHeight="1">
      <c r="A9438" t="s">
        <v>18242</v>
      </c>
      <c r="B9438" t="s">
        <v>18242</v>
      </c>
      <c r="C9438" t="s">
        <v>50</v>
      </c>
      <c r="D9438" t="s">
        <v>51</v>
      </c>
      <c r="E9438" s="6">
        <v>-28178</v>
      </c>
      <c r="F9438" t="s">
        <v>318</v>
      </c>
      <c r="G9438" t="s">
        <v>44</v>
      </c>
      <c r="H9438" t="s">
        <v>20</v>
      </c>
      <c r="I9438" t="s">
        <v>18270</v>
      </c>
      <c r="J9438" t="str">
        <f>HYPERLINK("https://www.boe.es/gazeta/dias/1822/11/06/pdfs/GMD-1822-326.pdf#page=1","Abrir facsímil")</f>
        <v>Abrir facsímil</v>
      </c>
      <c r="K9438" t="s">
        <v>22</v>
      </c>
    </row>
    <row r="9439" spans="1:11" ht="42" customHeight="1">
      <c r="A9439" t="s">
        <v>18242</v>
      </c>
      <c r="B9439" t="s">
        <v>18242</v>
      </c>
      <c r="C9439" t="s">
        <v>50</v>
      </c>
      <c r="D9439" t="s">
        <v>51</v>
      </c>
      <c r="E9439" s="6">
        <v>-28178</v>
      </c>
      <c r="F9439" t="s">
        <v>318</v>
      </c>
      <c r="G9439" t="s">
        <v>57</v>
      </c>
      <c r="H9439" t="s">
        <v>20</v>
      </c>
      <c r="I9439" t="s">
        <v>18271</v>
      </c>
      <c r="J9439" t="str">
        <f>HYPERLINK("https://www.boe.es/gazeta/dias/1822/11/06/pdfs/GMD-1822-326.pdf#page=4","Abrir facsímil")</f>
        <v>Abrir facsímil</v>
      </c>
      <c r="K9439" t="s">
        <v>22</v>
      </c>
    </row>
    <row r="9440" spans="1:11" ht="42" customHeight="1">
      <c r="A9440" t="s">
        <v>18242</v>
      </c>
      <c r="B9440" t="s">
        <v>18242</v>
      </c>
      <c r="C9440" t="s">
        <v>50</v>
      </c>
      <c r="D9440" t="s">
        <v>51</v>
      </c>
      <c r="E9440" s="6">
        <v>-28177</v>
      </c>
      <c r="F9440" t="s">
        <v>587</v>
      </c>
      <c r="G9440" t="s">
        <v>19</v>
      </c>
      <c r="H9440" t="s">
        <v>20</v>
      </c>
      <c r="I9440" t="s">
        <v>18272</v>
      </c>
      <c r="J9440" t="str">
        <f>HYPERLINK("https://www.boe.es/gazeta/dias/1822/11/07/pdfs/GMD-1822-327.pdf#page=5","Abrir facsímil")</f>
        <v>Abrir facsímil</v>
      </c>
      <c r="K9440" t="s">
        <v>22</v>
      </c>
    </row>
    <row r="9441" spans="1:11" ht="42" customHeight="1">
      <c r="A9441" t="s">
        <v>18242</v>
      </c>
      <c r="B9441" t="s">
        <v>18242</v>
      </c>
      <c r="C9441" t="s">
        <v>50</v>
      </c>
      <c r="D9441" t="s">
        <v>51</v>
      </c>
      <c r="E9441" s="6">
        <v>-28175</v>
      </c>
      <c r="F9441" t="s">
        <v>341</v>
      </c>
      <c r="G9441" t="s">
        <v>35</v>
      </c>
      <c r="H9441" t="s">
        <v>20</v>
      </c>
      <c r="I9441" t="s">
        <v>18273</v>
      </c>
      <c r="J9441" t="str">
        <f>HYPERLINK("https://www.boe.es/gazeta/dias/1822/11/09/pdfs/GMD-1822-329.pdf#page=2","Abrir facsímil")</f>
        <v>Abrir facsímil</v>
      </c>
      <c r="K9441" t="s">
        <v>22</v>
      </c>
    </row>
    <row r="9442" spans="1:11" ht="42" customHeight="1">
      <c r="A9442" t="s">
        <v>18242</v>
      </c>
      <c r="B9442" t="s">
        <v>18242</v>
      </c>
      <c r="C9442" t="s">
        <v>50</v>
      </c>
      <c r="D9442" t="s">
        <v>51</v>
      </c>
      <c r="E9442" s="6">
        <v>-28170</v>
      </c>
      <c r="F9442" t="s">
        <v>1457</v>
      </c>
      <c r="G9442" t="s">
        <v>57</v>
      </c>
      <c r="H9442" t="s">
        <v>20</v>
      </c>
      <c r="I9442" t="s">
        <v>18274</v>
      </c>
      <c r="J9442" t="str">
        <f>HYPERLINK("https://www.boe.es/gazeta/dias/1822/11/14/pdfs/GMD-1822-334.pdf#page=4","Abrir facsímil")</f>
        <v>Abrir facsímil</v>
      </c>
      <c r="K9442" t="s">
        <v>22</v>
      </c>
    </row>
    <row r="9443" spans="1:11" ht="42" customHeight="1">
      <c r="A9443" t="s">
        <v>18242</v>
      </c>
      <c r="B9443" t="s">
        <v>18242</v>
      </c>
      <c r="C9443" t="s">
        <v>50</v>
      </c>
      <c r="D9443" t="s">
        <v>51</v>
      </c>
      <c r="E9443" s="6">
        <v>-28167</v>
      </c>
      <c r="F9443" t="s">
        <v>904</v>
      </c>
      <c r="G9443" t="s">
        <v>44</v>
      </c>
      <c r="H9443" t="s">
        <v>20</v>
      </c>
      <c r="I9443" t="s">
        <v>18275</v>
      </c>
      <c r="J9443" t="str">
        <f>HYPERLINK("https://www.boe.es/gazeta/dias/1822/11/17/pdfs/GMD-1822-337.pdf#page=1","Abrir facsímil")</f>
        <v>Abrir facsímil</v>
      </c>
      <c r="K9443" t="s">
        <v>22</v>
      </c>
    </row>
    <row r="9444" spans="1:11" ht="42" customHeight="1">
      <c r="A9444" t="s">
        <v>18242</v>
      </c>
      <c r="B9444" t="s">
        <v>18242</v>
      </c>
      <c r="C9444" t="s">
        <v>50</v>
      </c>
      <c r="D9444" t="s">
        <v>51</v>
      </c>
      <c r="E9444" s="6">
        <v>-28167</v>
      </c>
      <c r="F9444" t="s">
        <v>904</v>
      </c>
      <c r="G9444" t="s">
        <v>57</v>
      </c>
      <c r="H9444" t="s">
        <v>20</v>
      </c>
      <c r="I9444" t="s">
        <v>18276</v>
      </c>
      <c r="J9444" t="str">
        <f>HYPERLINK("https://www.boe.es/gazeta/dias/1822/11/17/pdfs/GMD-1822-337.pdf#page=4","Abrir facsímil")</f>
        <v>Abrir facsímil</v>
      </c>
      <c r="K9444" t="s">
        <v>22</v>
      </c>
    </row>
    <row r="9445" spans="1:11" ht="42" customHeight="1">
      <c r="A9445" t="s">
        <v>18242</v>
      </c>
      <c r="B9445" t="s">
        <v>18242</v>
      </c>
      <c r="C9445" t="s">
        <v>50</v>
      </c>
      <c r="D9445" t="s">
        <v>51</v>
      </c>
      <c r="E9445" s="6">
        <v>-28163</v>
      </c>
      <c r="F9445" t="s">
        <v>891</v>
      </c>
      <c r="G9445" t="s">
        <v>57</v>
      </c>
      <c r="H9445" t="s">
        <v>20</v>
      </c>
      <c r="I9445" t="s">
        <v>18277</v>
      </c>
      <c r="J9445" t="str">
        <f>HYPERLINK("https://www.boe.es/gazeta/dias/1822/11/21/pdfs/GMD-1822-341.pdf#page=4","Abrir facsímil")</f>
        <v>Abrir facsímil</v>
      </c>
      <c r="K9445" t="s">
        <v>22</v>
      </c>
    </row>
    <row r="9446" spans="1:11" ht="42" customHeight="1">
      <c r="A9446" t="s">
        <v>18242</v>
      </c>
      <c r="B9446" t="s">
        <v>18242</v>
      </c>
      <c r="C9446" t="s">
        <v>50</v>
      </c>
      <c r="D9446" t="s">
        <v>51</v>
      </c>
      <c r="E9446" s="6">
        <v>-28161</v>
      </c>
      <c r="F9446" t="s">
        <v>166</v>
      </c>
      <c r="G9446" t="s">
        <v>44</v>
      </c>
      <c r="H9446" t="s">
        <v>20</v>
      </c>
      <c r="I9446" t="s">
        <v>18278</v>
      </c>
      <c r="J9446" t="str">
        <f>HYPERLINK("https://www.boe.es/gazeta/dias/1822/11/23/pdfs/GMD-1822-343.pdf#page=1","Abrir facsímil")</f>
        <v>Abrir facsímil</v>
      </c>
      <c r="K9446" t="s">
        <v>22</v>
      </c>
    </row>
    <row r="9447" spans="1:11" ht="42" customHeight="1">
      <c r="A9447" t="s">
        <v>18242</v>
      </c>
      <c r="B9447" t="s">
        <v>18242</v>
      </c>
      <c r="C9447" t="s">
        <v>50</v>
      </c>
      <c r="D9447" t="s">
        <v>51</v>
      </c>
      <c r="E9447" s="6">
        <v>-28159</v>
      </c>
      <c r="F9447" t="s">
        <v>67</v>
      </c>
      <c r="G9447" t="s">
        <v>44</v>
      </c>
      <c r="H9447" t="s">
        <v>20</v>
      </c>
      <c r="I9447" t="s">
        <v>18279</v>
      </c>
      <c r="J9447" t="str">
        <f>HYPERLINK("https://www.boe.es/gazeta/dias/1822/11/25/pdfs/GMD-1822-345.pdf#page=1","Abrir facsímil")</f>
        <v>Abrir facsímil</v>
      </c>
      <c r="K9447" t="s">
        <v>22</v>
      </c>
    </row>
    <row r="9448" spans="1:11" ht="42" customHeight="1">
      <c r="A9448" t="s">
        <v>18242</v>
      </c>
      <c r="B9448" t="s">
        <v>18242</v>
      </c>
      <c r="C9448" t="s">
        <v>50</v>
      </c>
      <c r="D9448" t="s">
        <v>51</v>
      </c>
      <c r="E9448" s="6">
        <v>-28156</v>
      </c>
      <c r="F9448" t="s">
        <v>1568</v>
      </c>
      <c r="G9448" t="s">
        <v>19</v>
      </c>
      <c r="H9448" t="s">
        <v>20</v>
      </c>
      <c r="I9448" t="s">
        <v>18280</v>
      </c>
      <c r="J9448" t="str">
        <f>HYPERLINK("https://www.boe.es/gazeta/dias/1822/11/28/pdfs/GMD-1822-348.pdf#page=5","Abrir facsímil")</f>
        <v>Abrir facsímil</v>
      </c>
      <c r="K9448" t="s">
        <v>22</v>
      </c>
    </row>
    <row r="9449" spans="1:11" ht="42" customHeight="1">
      <c r="A9449" t="s">
        <v>18242</v>
      </c>
      <c r="B9449" t="s">
        <v>18242</v>
      </c>
      <c r="C9449" t="s">
        <v>50</v>
      </c>
      <c r="D9449" t="s">
        <v>51</v>
      </c>
      <c r="E9449" s="6">
        <v>-28155</v>
      </c>
      <c r="F9449" t="s">
        <v>833</v>
      </c>
      <c r="G9449" t="s">
        <v>31</v>
      </c>
      <c r="H9449" t="s">
        <v>20</v>
      </c>
      <c r="I9449" t="s">
        <v>18281</v>
      </c>
      <c r="J9449" t="str">
        <f>HYPERLINK("https://www.boe.es/gazeta/dias/1822/11/29/pdfs/GMD-1822-349.pdf#page=3","Abrir facsímil")</f>
        <v>Abrir facsímil</v>
      </c>
      <c r="K9449" t="s">
        <v>22</v>
      </c>
    </row>
    <row r="9450" spans="1:11" ht="42" customHeight="1">
      <c r="A9450" t="s">
        <v>18242</v>
      </c>
      <c r="B9450" t="s">
        <v>18242</v>
      </c>
      <c r="C9450" t="s">
        <v>50</v>
      </c>
      <c r="D9450" t="s">
        <v>51</v>
      </c>
      <c r="E9450" s="6">
        <v>-28155</v>
      </c>
      <c r="F9450" t="s">
        <v>833</v>
      </c>
      <c r="G9450" t="s">
        <v>57</v>
      </c>
      <c r="H9450" t="s">
        <v>20</v>
      </c>
      <c r="I9450" t="s">
        <v>18282</v>
      </c>
      <c r="J9450" t="str">
        <f>HYPERLINK("https://www.boe.es/gazeta/dias/1822/11/29/pdfs/GMD-1822-349.pdf#page=4","Abrir facsímil")</f>
        <v>Abrir facsímil</v>
      </c>
      <c r="K9450" t="s">
        <v>22</v>
      </c>
    </row>
    <row r="9451" spans="1:11" ht="42" customHeight="1">
      <c r="A9451" t="s">
        <v>18242</v>
      </c>
      <c r="B9451" t="s">
        <v>18242</v>
      </c>
      <c r="C9451" t="s">
        <v>50</v>
      </c>
      <c r="D9451" t="s">
        <v>51</v>
      </c>
      <c r="E9451" s="6">
        <v>-28148</v>
      </c>
      <c r="F9451" t="s">
        <v>1909</v>
      </c>
      <c r="G9451" t="s">
        <v>19</v>
      </c>
      <c r="H9451" t="s">
        <v>20</v>
      </c>
      <c r="I9451" t="s">
        <v>18283</v>
      </c>
      <c r="J9451" t="str">
        <f>HYPERLINK("https://www.boe.es/gazeta/dias/1822/12/06/pdfs/GMD-1822-356.pdf#page=5","Abrir facsímil")</f>
        <v>Abrir facsímil</v>
      </c>
      <c r="K9451" t="s">
        <v>22</v>
      </c>
    </row>
    <row r="9452" spans="1:11" ht="42" customHeight="1">
      <c r="A9452" t="s">
        <v>18242</v>
      </c>
      <c r="B9452" t="s">
        <v>18242</v>
      </c>
      <c r="C9452" t="s">
        <v>50</v>
      </c>
      <c r="D9452" t="s">
        <v>51</v>
      </c>
      <c r="E9452" s="6">
        <v>-28141</v>
      </c>
      <c r="F9452" t="s">
        <v>265</v>
      </c>
      <c r="G9452" t="s">
        <v>44</v>
      </c>
      <c r="H9452" t="s">
        <v>20</v>
      </c>
      <c r="I9452" t="s">
        <v>18284</v>
      </c>
      <c r="J9452" t="str">
        <f>HYPERLINK("https://www.boe.es/gazeta/dias/1822/12/13/pdfs/GMD-1822-363.pdf#page=1","Abrir facsímil")</f>
        <v>Abrir facsímil</v>
      </c>
      <c r="K9452" t="s">
        <v>22</v>
      </c>
    </row>
    <row r="9453" spans="1:11" ht="42" customHeight="1">
      <c r="A9453" t="s">
        <v>18242</v>
      </c>
      <c r="B9453" t="s">
        <v>18242</v>
      </c>
      <c r="C9453" t="s">
        <v>50</v>
      </c>
      <c r="D9453" t="s">
        <v>51</v>
      </c>
      <c r="E9453" s="6">
        <v>-28141</v>
      </c>
      <c r="F9453" t="s">
        <v>265</v>
      </c>
      <c r="G9453" t="s">
        <v>57</v>
      </c>
      <c r="H9453" t="s">
        <v>20</v>
      </c>
      <c r="I9453" t="s">
        <v>18285</v>
      </c>
      <c r="J9453" t="str">
        <f>HYPERLINK("https://www.boe.es/gazeta/dias/1822/12/13/pdfs/GMD-1822-363.pdf#page=4","Abrir facsímil")</f>
        <v>Abrir facsímil</v>
      </c>
      <c r="K9453" t="s">
        <v>22</v>
      </c>
    </row>
    <row r="9454" spans="1:11" ht="42" customHeight="1">
      <c r="A9454" t="s">
        <v>18242</v>
      </c>
      <c r="B9454" t="s">
        <v>18242</v>
      </c>
      <c r="C9454" t="s">
        <v>50</v>
      </c>
      <c r="D9454" t="s">
        <v>51</v>
      </c>
      <c r="E9454" s="6">
        <v>-28137</v>
      </c>
      <c r="F9454" t="s">
        <v>312</v>
      </c>
      <c r="G9454" t="s">
        <v>19</v>
      </c>
      <c r="H9454" t="s">
        <v>20</v>
      </c>
      <c r="I9454" t="s">
        <v>18286</v>
      </c>
      <c r="J9454" t="str">
        <f>HYPERLINK("https://www.boe.es/gazeta/dias/1822/12/17/pdfs/GMD-1822-367.pdf#page=5","Abrir facsímil")</f>
        <v>Abrir facsímil</v>
      </c>
      <c r="K9454" t="s">
        <v>22</v>
      </c>
    </row>
    <row r="9455" spans="1:11" ht="42" customHeight="1">
      <c r="A9455" t="s">
        <v>18242</v>
      </c>
      <c r="B9455" t="s">
        <v>18242</v>
      </c>
      <c r="C9455" t="s">
        <v>50</v>
      </c>
      <c r="D9455" t="s">
        <v>51</v>
      </c>
      <c r="E9455" s="6">
        <v>-28133</v>
      </c>
      <c r="F9455" t="s">
        <v>595</v>
      </c>
      <c r="G9455" t="s">
        <v>57</v>
      </c>
      <c r="H9455" t="s">
        <v>20</v>
      </c>
      <c r="I9455" t="s">
        <v>18287</v>
      </c>
      <c r="J9455" t="str">
        <f>HYPERLINK("https://www.boe.es/gazeta/dias/1822/12/21/pdfs/GMD-1822-371.pdf#page=4","Abrir facsímil")</f>
        <v>Abrir facsímil</v>
      </c>
      <c r="K9455" t="s">
        <v>22</v>
      </c>
    </row>
    <row r="9456" spans="1:11" ht="42" customHeight="1">
      <c r="A9456" t="s">
        <v>18242</v>
      </c>
      <c r="B9456" t="s">
        <v>18242</v>
      </c>
      <c r="C9456" t="s">
        <v>50</v>
      </c>
      <c r="D9456" t="s">
        <v>51</v>
      </c>
      <c r="E9456" s="6">
        <v>-28132</v>
      </c>
      <c r="F9456" t="s">
        <v>820</v>
      </c>
      <c r="G9456" t="s">
        <v>821</v>
      </c>
      <c r="H9456" t="s">
        <v>20</v>
      </c>
      <c r="I9456" t="s">
        <v>18288</v>
      </c>
      <c r="J9456" t="str">
        <f>HYPERLINK("https://www.boe.es/gazeta/dias/1822/12/22/pdfs/GMD-1822-372.pdf#page=4","Abrir facsímil")</f>
        <v>Abrir facsímil</v>
      </c>
      <c r="K9456" t="s">
        <v>22</v>
      </c>
    </row>
    <row r="9457" spans="1:11" ht="42" customHeight="1">
      <c r="A9457" t="s">
        <v>18242</v>
      </c>
      <c r="B9457" t="s">
        <v>18242</v>
      </c>
      <c r="C9457" t="s">
        <v>50</v>
      </c>
      <c r="D9457" t="s">
        <v>51</v>
      </c>
      <c r="E9457" s="6">
        <v>-28129</v>
      </c>
      <c r="F9457" t="s">
        <v>599</v>
      </c>
      <c r="G9457" t="s">
        <v>57</v>
      </c>
      <c r="H9457" t="s">
        <v>20</v>
      </c>
      <c r="I9457" t="s">
        <v>18289</v>
      </c>
      <c r="J9457" t="str">
        <f>HYPERLINK("https://www.boe.es/gazeta/dias/1822/12/25/pdfs/GMD-1822-375.pdf#page=4","Abrir facsímil")</f>
        <v>Abrir facsímil</v>
      </c>
      <c r="K9457" t="s">
        <v>22</v>
      </c>
    </row>
    <row r="9458" spans="1:11" ht="42" customHeight="1">
      <c r="A9458" t="s">
        <v>18242</v>
      </c>
      <c r="B9458" t="s">
        <v>18242</v>
      </c>
      <c r="C9458" t="s">
        <v>50</v>
      </c>
      <c r="D9458" t="s">
        <v>51</v>
      </c>
      <c r="E9458" s="6">
        <v>-28125</v>
      </c>
      <c r="F9458" t="s">
        <v>322</v>
      </c>
      <c r="G9458" t="s">
        <v>44</v>
      </c>
      <c r="H9458" t="s">
        <v>20</v>
      </c>
      <c r="I9458" t="s">
        <v>18290</v>
      </c>
      <c r="J9458" t="str">
        <f>HYPERLINK("https://www.boe.es/gazeta/dias/1822/12/29/pdfs/GMD-1822-379.pdf#page=1","Abrir facsímil")</f>
        <v>Abrir facsímil</v>
      </c>
      <c r="K9458" t="s">
        <v>22</v>
      </c>
    </row>
    <row r="9459" spans="1:11" ht="42" customHeight="1">
      <c r="A9459" t="s">
        <v>18291</v>
      </c>
      <c r="B9459" t="s">
        <v>18292</v>
      </c>
      <c r="C9459" t="s">
        <v>50</v>
      </c>
      <c r="D9459" t="s">
        <v>51</v>
      </c>
      <c r="E9459" s="6">
        <v>-28324</v>
      </c>
      <c r="F9459" t="s">
        <v>305</v>
      </c>
      <c r="G9459" t="s">
        <v>63</v>
      </c>
      <c r="H9459" t="s">
        <v>45</v>
      </c>
      <c r="I9459" t="s">
        <v>18293</v>
      </c>
      <c r="J9459" t="str">
        <f>HYPERLINK("https://www.boe.es/gazeta/dias/1822/06/13/pdfs/GMD-1822-170.pdf#page=6","Abrir facsímil")</f>
        <v>Abrir facsímil</v>
      </c>
      <c r="K9459" t="s">
        <v>47</v>
      </c>
    </row>
    <row r="9460" spans="1:11" ht="42" customHeight="1">
      <c r="A9460" t="s">
        <v>18291</v>
      </c>
      <c r="B9460" t="s">
        <v>18292</v>
      </c>
      <c r="C9460" t="s">
        <v>50</v>
      </c>
      <c r="D9460" t="s">
        <v>51</v>
      </c>
      <c r="E9460" s="6">
        <v>-28214</v>
      </c>
      <c r="F9460" t="s">
        <v>814</v>
      </c>
      <c r="G9460" t="s">
        <v>44</v>
      </c>
      <c r="H9460" t="s">
        <v>45</v>
      </c>
      <c r="I9460" t="s">
        <v>18294</v>
      </c>
      <c r="J9460" t="str">
        <f>HYPERLINK("https://www.boe.es/gazeta/dias/1822/10/01/pdfs/GMD-1822-287.pdf#page=1","Abrir facsímil")</f>
        <v>Abrir facsímil</v>
      </c>
      <c r="K9460" t="s">
        <v>47</v>
      </c>
    </row>
    <row r="9461" spans="1:11" ht="42" customHeight="1">
      <c r="A9461" t="s">
        <v>18291</v>
      </c>
      <c r="B9461" t="s">
        <v>18292</v>
      </c>
      <c r="C9461" t="s">
        <v>50</v>
      </c>
      <c r="D9461" t="s">
        <v>51</v>
      </c>
      <c r="E9461" s="6">
        <v>-28207</v>
      </c>
      <c r="F9461" t="s">
        <v>1325</v>
      </c>
      <c r="G9461" t="s">
        <v>35</v>
      </c>
      <c r="H9461" t="s">
        <v>45</v>
      </c>
      <c r="I9461" t="s">
        <v>18295</v>
      </c>
      <c r="J9461" t="str">
        <f>HYPERLINK("https://www.boe.es/gazeta/dias/1822/10/08/pdfs/GMD-1822-295.pdf#page=2","Abrir facsímil")</f>
        <v>Abrir facsímil</v>
      </c>
      <c r="K9461" t="s">
        <v>47</v>
      </c>
    </row>
    <row r="9462" spans="1:11" ht="42" customHeight="1">
      <c r="A9462" t="s">
        <v>18291</v>
      </c>
      <c r="B9462" t="s">
        <v>18292</v>
      </c>
      <c r="C9462" t="s">
        <v>50</v>
      </c>
      <c r="D9462" t="s">
        <v>51</v>
      </c>
      <c r="E9462" s="6">
        <v>-28175</v>
      </c>
      <c r="F9462" t="s">
        <v>341</v>
      </c>
      <c r="G9462" t="s">
        <v>44</v>
      </c>
      <c r="H9462" t="s">
        <v>45</v>
      </c>
      <c r="I9462" t="s">
        <v>18296</v>
      </c>
      <c r="J9462" t="str">
        <f>HYPERLINK("https://www.boe.es/gazeta/dias/1822/11/09/pdfs/GMD-1822-329.pdf#page=1","Abrir facsímil")</f>
        <v>Abrir facsímil</v>
      </c>
      <c r="K9462" t="s">
        <v>47</v>
      </c>
    </row>
    <row r="9463" spans="1:11" ht="42" customHeight="1">
      <c r="A9463" t="s">
        <v>18297</v>
      </c>
      <c r="B9463" t="s">
        <v>18297</v>
      </c>
      <c r="C9463" t="s">
        <v>50</v>
      </c>
      <c r="D9463" t="s">
        <v>51</v>
      </c>
      <c r="E9463" s="6">
        <v>-28332</v>
      </c>
      <c r="F9463" t="s">
        <v>535</v>
      </c>
      <c r="G9463" t="s">
        <v>44</v>
      </c>
      <c r="H9463" t="s">
        <v>20</v>
      </c>
      <c r="I9463" t="s">
        <v>18298</v>
      </c>
      <c r="J9463" t="str">
        <f>HYPERLINK("https://www.boe.es/gazeta/dias/1822/06/05/pdfs/GMD-1822-162.pdf#page=1","Abrir facsímil")</f>
        <v>Abrir facsímil</v>
      </c>
      <c r="K9463" t="s">
        <v>22</v>
      </c>
    </row>
    <row r="9464" spans="1:11" ht="42" customHeight="1">
      <c r="A9464" t="s">
        <v>18299</v>
      </c>
      <c r="B9464" t="s">
        <v>18300</v>
      </c>
      <c r="C9464" t="s">
        <v>50</v>
      </c>
      <c r="D9464" t="s">
        <v>51</v>
      </c>
      <c r="E9464" s="6">
        <v>-28414</v>
      </c>
      <c r="F9464" t="s">
        <v>187</v>
      </c>
      <c r="G9464" t="s">
        <v>31</v>
      </c>
      <c r="H9464" t="s">
        <v>20</v>
      </c>
      <c r="I9464" t="s">
        <v>18301</v>
      </c>
      <c r="J9464" t="str">
        <f>HYPERLINK("https://www.boe.es/gazeta/dias/1822/03/15/pdfs/GMD-1822-76.pdf#page=3","Abrir facsímil")</f>
        <v>Abrir facsímil</v>
      </c>
      <c r="K9464" t="s">
        <v>22</v>
      </c>
    </row>
    <row r="9465" spans="1:11" ht="42" customHeight="1">
      <c r="A9465" t="s">
        <v>18302</v>
      </c>
      <c r="B9465" t="s">
        <v>18303</v>
      </c>
      <c r="C9465" t="s">
        <v>28</v>
      </c>
      <c r="D9465" t="s">
        <v>29</v>
      </c>
      <c r="E9465" s="6">
        <v>-28424</v>
      </c>
      <c r="F9465" t="s">
        <v>439</v>
      </c>
      <c r="G9465" t="s">
        <v>31</v>
      </c>
      <c r="H9465" t="s">
        <v>20</v>
      </c>
      <c r="I9465" t="s">
        <v>18304</v>
      </c>
      <c r="J9465" t="str">
        <f>HYPERLINK("https://www.boe.es/gazeta/dias/1822/03/05/pdfs/GMD-1822-66.pdf#page=3","Abrir facsímil")</f>
        <v>Abrir facsímil</v>
      </c>
      <c r="K9465" t="s">
        <v>22</v>
      </c>
    </row>
    <row r="9466" spans="1:11" ht="42" customHeight="1">
      <c r="A9466" t="s">
        <v>18305</v>
      </c>
      <c r="B9466" t="s">
        <v>18305</v>
      </c>
      <c r="C9466" t="s">
        <v>71</v>
      </c>
      <c r="D9466" t="s">
        <v>17</v>
      </c>
      <c r="E9466" s="6">
        <v>-28480</v>
      </c>
      <c r="F9466" t="s">
        <v>995</v>
      </c>
      <c r="G9466" t="s">
        <v>35</v>
      </c>
      <c r="H9466" t="s">
        <v>20</v>
      </c>
      <c r="I9466" t="s">
        <v>18306</v>
      </c>
      <c r="J9466" t="str">
        <f>HYPERLINK("https://www.boe.es/gazeta/dias/1822/01/08/pdfs/GMD-1822-8.pdf#page=2","Abrir facsímil")</f>
        <v>Abrir facsímil</v>
      </c>
      <c r="K9466" t="s">
        <v>22</v>
      </c>
    </row>
    <row r="9467" spans="1:11" ht="42" customHeight="1">
      <c r="A9467" t="s">
        <v>18307</v>
      </c>
      <c r="B9467" t="s">
        <v>18307</v>
      </c>
      <c r="C9467" t="s">
        <v>42</v>
      </c>
      <c r="D9467" t="s">
        <v>17</v>
      </c>
      <c r="E9467" s="6">
        <v>-28358</v>
      </c>
      <c r="F9467" t="s">
        <v>211</v>
      </c>
      <c r="G9467" t="s">
        <v>157</v>
      </c>
      <c r="H9467" t="s">
        <v>20</v>
      </c>
      <c r="I9467" t="s">
        <v>18308</v>
      </c>
      <c r="J9467" t="str">
        <f>HYPERLINK("https://www.boe.es/gazeta/dias/1822/05/10/pdfs/GMD-1822-132.pdf#page=8","Abrir facsímil")</f>
        <v>Abrir facsímil</v>
      </c>
      <c r="K9467" t="s">
        <v>22</v>
      </c>
    </row>
    <row r="9468" spans="1:11" ht="42" customHeight="1">
      <c r="A9468" t="s">
        <v>18309</v>
      </c>
      <c r="B9468" t="s">
        <v>18310</v>
      </c>
      <c r="C9468" t="s">
        <v>16</v>
      </c>
      <c r="D9468" t="s">
        <v>17</v>
      </c>
      <c r="E9468" s="6">
        <v>-28127</v>
      </c>
      <c r="F9468" t="s">
        <v>409</v>
      </c>
      <c r="G9468" t="s">
        <v>19</v>
      </c>
      <c r="H9468" t="s">
        <v>20</v>
      </c>
      <c r="I9468" t="s">
        <v>18311</v>
      </c>
      <c r="J9468" t="str">
        <f>HYPERLINK("https://www.boe.es/gazeta/dias/1822/12/27/pdfs/GMD-1822-377.pdf#page=5","Abrir facsímil")</f>
        <v>Abrir facsímil</v>
      </c>
      <c r="K9468" t="s">
        <v>22</v>
      </c>
    </row>
    <row r="9469" spans="1:11" ht="42" customHeight="1">
      <c r="A9469" t="s">
        <v>18312</v>
      </c>
      <c r="B9469" t="s">
        <v>18313</v>
      </c>
      <c r="C9469" t="s">
        <v>42</v>
      </c>
      <c r="D9469" t="s">
        <v>17</v>
      </c>
      <c r="E9469" s="6">
        <v>-28322</v>
      </c>
      <c r="F9469" t="s">
        <v>2205</v>
      </c>
      <c r="G9469" t="s">
        <v>44</v>
      </c>
      <c r="H9469" t="s">
        <v>20</v>
      </c>
      <c r="I9469" t="s">
        <v>18314</v>
      </c>
      <c r="J9469" t="str">
        <f>HYPERLINK("https://www.boe.es/gazeta/dias/1822/06/15/pdfs/GMD-1822-172.pdf#page=1","Abrir facsímil")</f>
        <v>Abrir facsímil</v>
      </c>
      <c r="K9469" t="s">
        <v>22</v>
      </c>
    </row>
    <row r="9470" spans="1:11" ht="42" customHeight="1">
      <c r="A9470" t="s">
        <v>18315</v>
      </c>
      <c r="B9470" t="s">
        <v>18316</v>
      </c>
      <c r="C9470" t="s">
        <v>24</v>
      </c>
      <c r="D9470" t="s">
        <v>17</v>
      </c>
      <c r="E9470" s="6">
        <v>-28300</v>
      </c>
      <c r="F9470" t="s">
        <v>6533</v>
      </c>
      <c r="G9470" t="s">
        <v>57</v>
      </c>
      <c r="H9470" t="s">
        <v>20</v>
      </c>
      <c r="I9470" t="s">
        <v>18317</v>
      </c>
      <c r="J9470" t="str">
        <f>HYPERLINK("https://www.boe.es/gazeta/dias/1822/07/07/pdfs/GMD-1822-196.pdf#page=4","Abrir facsímil")</f>
        <v>Abrir facsímil</v>
      </c>
      <c r="K9470" t="s">
        <v>22</v>
      </c>
    </row>
    <row r="9471" spans="1:11" ht="42" customHeight="1">
      <c r="A9471" t="s">
        <v>18318</v>
      </c>
      <c r="B9471" t="s">
        <v>18319</v>
      </c>
      <c r="C9471" t="s">
        <v>50</v>
      </c>
      <c r="D9471" t="s">
        <v>51</v>
      </c>
      <c r="E9471" s="6">
        <v>-28204</v>
      </c>
      <c r="F9471" t="s">
        <v>3190</v>
      </c>
      <c r="G9471" t="s">
        <v>157</v>
      </c>
      <c r="H9471" t="s">
        <v>20</v>
      </c>
      <c r="I9471" t="s">
        <v>18320</v>
      </c>
      <c r="J9471" t="str">
        <f>HYPERLINK("https://www.boe.es/gazeta/dias/1822/10/11/pdfs/GMD-1822-298.pdf#page=8","Abrir facsímil")</f>
        <v>Abrir facsímil</v>
      </c>
      <c r="K9471" t="s">
        <v>22</v>
      </c>
    </row>
    <row r="9472" spans="1:11" ht="42" customHeight="1">
      <c r="A9472" t="s">
        <v>18321</v>
      </c>
      <c r="B9472" t="s">
        <v>18321</v>
      </c>
      <c r="C9472" t="s">
        <v>50</v>
      </c>
      <c r="D9472" t="s">
        <v>51</v>
      </c>
      <c r="E9472" s="6">
        <v>-28178</v>
      </c>
      <c r="F9472" t="s">
        <v>318</v>
      </c>
      <c r="G9472" t="s">
        <v>57</v>
      </c>
      <c r="H9472" t="s">
        <v>20</v>
      </c>
      <c r="I9472" t="s">
        <v>18322</v>
      </c>
      <c r="J9472" t="str">
        <f>HYPERLINK("https://www.boe.es/gazeta/dias/1822/11/06/pdfs/GMD-1822-326.pdf#page=4","Abrir facsímil")</f>
        <v>Abrir facsímil</v>
      </c>
      <c r="K9472" t="s">
        <v>22</v>
      </c>
    </row>
    <row r="9473" spans="1:11" ht="42" customHeight="1">
      <c r="A9473" t="s">
        <v>18321</v>
      </c>
      <c r="B9473" t="s">
        <v>18321</v>
      </c>
      <c r="C9473" t="s">
        <v>50</v>
      </c>
      <c r="D9473" t="s">
        <v>51</v>
      </c>
      <c r="E9473" s="6">
        <v>-28137</v>
      </c>
      <c r="F9473" t="s">
        <v>312</v>
      </c>
      <c r="G9473" t="s">
        <v>19</v>
      </c>
      <c r="H9473" t="s">
        <v>20</v>
      </c>
      <c r="I9473" t="s">
        <v>18323</v>
      </c>
      <c r="J9473" t="str">
        <f>HYPERLINK("https://www.boe.es/gazeta/dias/1822/12/17/pdfs/GMD-1822-367.pdf#page=5","Abrir facsímil")</f>
        <v>Abrir facsímil</v>
      </c>
      <c r="K9473" t="s">
        <v>22</v>
      </c>
    </row>
    <row r="9474" spans="1:11" ht="42" customHeight="1">
      <c r="A9474" t="s">
        <v>18321</v>
      </c>
      <c r="B9474" t="s">
        <v>18321</v>
      </c>
      <c r="C9474" t="s">
        <v>50</v>
      </c>
      <c r="D9474" t="s">
        <v>51</v>
      </c>
      <c r="E9474" s="6">
        <v>-28136</v>
      </c>
      <c r="F9474" t="s">
        <v>948</v>
      </c>
      <c r="G9474" t="s">
        <v>44</v>
      </c>
      <c r="H9474" t="s">
        <v>20</v>
      </c>
      <c r="I9474" t="s">
        <v>18324</v>
      </c>
      <c r="J9474" t="str">
        <f>HYPERLINK("https://www.boe.es/gazeta/dias/1822/12/18/pdfs/GMD-1822-368.pdf#page=1","Abrir facsímil")</f>
        <v>Abrir facsímil</v>
      </c>
      <c r="K9474" t="s">
        <v>22</v>
      </c>
    </row>
    <row r="9475" spans="1:11" ht="42" customHeight="1">
      <c r="A9475" t="s">
        <v>18325</v>
      </c>
      <c r="B9475" t="s">
        <v>18326</v>
      </c>
      <c r="C9475" t="s">
        <v>42</v>
      </c>
      <c r="D9475" t="s">
        <v>17</v>
      </c>
      <c r="E9475" s="6">
        <v>-28339</v>
      </c>
      <c r="F9475" t="s">
        <v>197</v>
      </c>
      <c r="G9475" t="s">
        <v>63</v>
      </c>
      <c r="H9475" t="s">
        <v>20</v>
      </c>
      <c r="I9475" t="s">
        <v>18327</v>
      </c>
      <c r="J9475" t="str">
        <f>HYPERLINK("https://www.boe.es/gazeta/dias/1822/05/29/pdfs/GMD-1822-154.pdf#page=6","Abrir facsímil")</f>
        <v>Abrir facsímil</v>
      </c>
      <c r="K9475" t="s">
        <v>22</v>
      </c>
    </row>
    <row r="9476" spans="1:11" ht="42" customHeight="1">
      <c r="A9476" t="s">
        <v>18328</v>
      </c>
      <c r="B9476" t="s">
        <v>18329</v>
      </c>
      <c r="C9476" t="s">
        <v>50</v>
      </c>
      <c r="D9476" t="s">
        <v>51</v>
      </c>
      <c r="E9476" s="6">
        <v>-28189</v>
      </c>
      <c r="F9476" t="s">
        <v>645</v>
      </c>
      <c r="G9476" t="s">
        <v>63</v>
      </c>
      <c r="H9476" t="s">
        <v>20</v>
      </c>
      <c r="I9476" t="s">
        <v>18330</v>
      </c>
      <c r="J9476" t="str">
        <f>HYPERLINK("https://www.boe.es/gazeta/dias/1822/10/26/pdfs/GMD-1822-313.pdf#page=6","Abrir facsímil")</f>
        <v>Abrir facsímil</v>
      </c>
      <c r="K9476" t="s">
        <v>22</v>
      </c>
    </row>
    <row r="9477" spans="1:11" ht="42" customHeight="1">
      <c r="A9477" t="s">
        <v>18331</v>
      </c>
      <c r="B9477" t="s">
        <v>18332</v>
      </c>
      <c r="C9477" t="s">
        <v>50</v>
      </c>
      <c r="D9477" t="s">
        <v>51</v>
      </c>
      <c r="E9477" s="6">
        <v>-28157</v>
      </c>
      <c r="F9477" t="s">
        <v>1492</v>
      </c>
      <c r="G9477" t="s">
        <v>63</v>
      </c>
      <c r="H9477" t="s">
        <v>20</v>
      </c>
      <c r="I9477" t="s">
        <v>18333</v>
      </c>
      <c r="J9477" t="str">
        <f>HYPERLINK("https://www.boe.es/gazeta/dias/1822/11/27/pdfs/GMD-1822-347.pdf#page=6","Abrir facsímil")</f>
        <v>Abrir facsímil</v>
      </c>
      <c r="K9477" t="s">
        <v>22</v>
      </c>
    </row>
    <row r="9478" spans="1:11" ht="42" customHeight="1">
      <c r="A9478" t="s">
        <v>18334</v>
      </c>
      <c r="B9478" t="s">
        <v>18335</v>
      </c>
      <c r="C9478" t="s">
        <v>50</v>
      </c>
      <c r="D9478" t="s">
        <v>51</v>
      </c>
      <c r="E9478" s="6">
        <v>-28315</v>
      </c>
      <c r="F9478" t="s">
        <v>1220</v>
      </c>
      <c r="G9478" t="s">
        <v>63</v>
      </c>
      <c r="H9478" t="s">
        <v>20</v>
      </c>
      <c r="I9478" t="s">
        <v>18336</v>
      </c>
      <c r="J9478" t="str">
        <f>HYPERLINK("https://www.boe.es/gazeta/dias/1822/06/22/pdfs/GMD-1822-180.pdf#page=6","Abrir facsímil")</f>
        <v>Abrir facsímil</v>
      </c>
      <c r="K9478" t="s">
        <v>22</v>
      </c>
    </row>
    <row r="9479" spans="1:11" ht="42" customHeight="1">
      <c r="A9479" t="s">
        <v>18337</v>
      </c>
      <c r="B9479" t="s">
        <v>18337</v>
      </c>
      <c r="C9479" t="s">
        <v>50</v>
      </c>
      <c r="D9479" t="s">
        <v>51</v>
      </c>
      <c r="E9479" s="6">
        <v>-28191</v>
      </c>
      <c r="F9479" t="s">
        <v>710</v>
      </c>
      <c r="G9479" t="s">
        <v>63</v>
      </c>
      <c r="H9479" t="s">
        <v>20</v>
      </c>
      <c r="I9479" t="s">
        <v>18338</v>
      </c>
      <c r="J9479" t="str">
        <f>HYPERLINK("https://www.boe.es/gazeta/dias/1822/10/24/pdfs/GMD-1822-311.pdf#page=6","Abrir facsímil")</f>
        <v>Abrir facsímil</v>
      </c>
      <c r="K9479" t="s">
        <v>22</v>
      </c>
    </row>
    <row r="9480" spans="1:11" ht="42" customHeight="1">
      <c r="A9480" t="s">
        <v>18339</v>
      </c>
      <c r="B9480" t="s">
        <v>18340</v>
      </c>
      <c r="C9480" t="s">
        <v>50</v>
      </c>
      <c r="D9480" t="s">
        <v>51</v>
      </c>
      <c r="E9480" s="6">
        <v>-28123</v>
      </c>
      <c r="F9480" t="s">
        <v>603</v>
      </c>
      <c r="G9480" t="s">
        <v>35</v>
      </c>
      <c r="H9480" t="s">
        <v>20</v>
      </c>
      <c r="I9480" t="s">
        <v>18341</v>
      </c>
      <c r="J9480" t="str">
        <f>HYPERLINK("https://www.boe.es/gazeta/dias/1822/12/31/pdfs/GMD-1822-381.pdf#page=2","Abrir facsímil")</f>
        <v>Abrir facsímil</v>
      </c>
      <c r="K9480" t="s">
        <v>22</v>
      </c>
    </row>
    <row r="9481" spans="1:11" ht="42" customHeight="1">
      <c r="A9481" t="s">
        <v>18342</v>
      </c>
      <c r="B9481" t="s">
        <v>18342</v>
      </c>
      <c r="C9481" t="s">
        <v>28</v>
      </c>
      <c r="D9481" t="s">
        <v>29</v>
      </c>
      <c r="E9481" s="6">
        <v>-28428</v>
      </c>
      <c r="F9481" t="s">
        <v>1924</v>
      </c>
      <c r="G9481" t="s">
        <v>35</v>
      </c>
      <c r="H9481" t="s">
        <v>20</v>
      </c>
      <c r="I9481" t="s">
        <v>18343</v>
      </c>
      <c r="J9481" t="str">
        <f>HYPERLINK("https://www.boe.es/gazeta/dias/1822/03/01/pdfs/GMD-1822-61.pdf#page=2","Abrir facsímil")</f>
        <v>Abrir facsímil</v>
      </c>
      <c r="K9481" t="s">
        <v>22</v>
      </c>
    </row>
    <row r="9482" spans="1:11" ht="42" customHeight="1">
      <c r="A9482" t="s">
        <v>18342</v>
      </c>
      <c r="B9482" t="s">
        <v>18342</v>
      </c>
      <c r="C9482" t="s">
        <v>42</v>
      </c>
      <c r="D9482" t="s">
        <v>17</v>
      </c>
      <c r="E9482" s="6">
        <v>-28328</v>
      </c>
      <c r="F9482" t="s">
        <v>540</v>
      </c>
      <c r="G9482" t="s">
        <v>44</v>
      </c>
      <c r="H9482" t="s">
        <v>20</v>
      </c>
      <c r="I9482" t="s">
        <v>18344</v>
      </c>
      <c r="J9482" t="str">
        <f>HYPERLINK("https://www.boe.es/gazeta/dias/1822/06/09/pdfs/GMD-1822-166.pdf#page=1","Abrir facsímil")</f>
        <v>Abrir facsímil</v>
      </c>
      <c r="K9482" t="s">
        <v>22</v>
      </c>
    </row>
    <row r="9483" spans="1:11" ht="42" customHeight="1">
      <c r="A9483" t="s">
        <v>18342</v>
      </c>
      <c r="B9483" t="s">
        <v>18342</v>
      </c>
      <c r="C9483" t="s">
        <v>24</v>
      </c>
      <c r="D9483" t="s">
        <v>17</v>
      </c>
      <c r="E9483" s="6">
        <v>-28240</v>
      </c>
      <c r="F9483" t="s">
        <v>678</v>
      </c>
      <c r="G9483" t="s">
        <v>8061</v>
      </c>
      <c r="H9483" t="s">
        <v>20</v>
      </c>
      <c r="I9483" t="s">
        <v>18345</v>
      </c>
      <c r="J9483" t="str">
        <f>HYPERLINK("https://www.boe.es/gazeta/dias/1822/09/05/pdfs/GMD-1822-260.pdf#page=2","Abrir facsímil")</f>
        <v>Abrir facsímil</v>
      </c>
      <c r="K9483" t="s">
        <v>22</v>
      </c>
    </row>
    <row r="9484" spans="1:11" ht="42" customHeight="1">
      <c r="A9484" t="s">
        <v>18342</v>
      </c>
      <c r="B9484" t="s">
        <v>18342</v>
      </c>
      <c r="C9484" t="s">
        <v>50</v>
      </c>
      <c r="D9484" t="s">
        <v>51</v>
      </c>
      <c r="E9484" s="6">
        <v>-28231</v>
      </c>
      <c r="F9484" t="s">
        <v>2049</v>
      </c>
      <c r="G9484" t="s">
        <v>44</v>
      </c>
      <c r="H9484" t="s">
        <v>20</v>
      </c>
      <c r="I9484" t="s">
        <v>18346</v>
      </c>
      <c r="J9484" t="str">
        <f>HYPERLINK("https://www.boe.es/gazeta/dias/1822/09/14/pdfs/GMD-1822-270.pdf#page=1","Abrir facsímil")</f>
        <v>Abrir facsímil</v>
      </c>
      <c r="K9484" t="s">
        <v>22</v>
      </c>
    </row>
    <row r="9485" spans="1:11" ht="42" customHeight="1">
      <c r="A9485" t="s">
        <v>18342</v>
      </c>
      <c r="B9485" t="s">
        <v>18342</v>
      </c>
      <c r="C9485" t="s">
        <v>362</v>
      </c>
      <c r="D9485" t="s">
        <v>17</v>
      </c>
      <c r="E9485" s="6">
        <v>-28221</v>
      </c>
      <c r="F9485" t="s">
        <v>2591</v>
      </c>
      <c r="G9485" t="s">
        <v>44</v>
      </c>
      <c r="H9485" t="s">
        <v>20</v>
      </c>
      <c r="I9485" t="s">
        <v>18347</v>
      </c>
      <c r="J9485" t="str">
        <f>HYPERLINK("https://www.boe.es/gazeta/dias/1822/09/24/pdfs/GMD-1822-280.pdf#page=1","Abrir facsímil")</f>
        <v>Abrir facsímil</v>
      </c>
      <c r="K9485" t="s">
        <v>22</v>
      </c>
    </row>
    <row r="9486" spans="1:11" ht="42" customHeight="1">
      <c r="A9486" t="s">
        <v>18342</v>
      </c>
      <c r="B9486" t="s">
        <v>18342</v>
      </c>
      <c r="C9486" t="s">
        <v>28</v>
      </c>
      <c r="D9486" t="s">
        <v>29</v>
      </c>
      <c r="E9486" s="6">
        <v>-28209</v>
      </c>
      <c r="F9486" t="s">
        <v>748</v>
      </c>
      <c r="G9486" t="s">
        <v>35</v>
      </c>
      <c r="H9486" t="s">
        <v>20</v>
      </c>
      <c r="I9486" t="s">
        <v>18348</v>
      </c>
      <c r="J9486" t="str">
        <f>HYPERLINK("https://www.boe.es/gazeta/dias/1822/10/06/pdfs/GMD-1822-292.pdf#page=2","Abrir facsímil")</f>
        <v>Abrir facsímil</v>
      </c>
      <c r="K9486" t="s">
        <v>22</v>
      </c>
    </row>
    <row r="9487" spans="1:11" ht="42" customHeight="1">
      <c r="A9487" t="s">
        <v>18342</v>
      </c>
      <c r="B9487" t="s">
        <v>18342</v>
      </c>
      <c r="C9487" t="s">
        <v>50</v>
      </c>
      <c r="D9487" t="s">
        <v>723</v>
      </c>
      <c r="E9487" s="6">
        <v>-28180</v>
      </c>
      <c r="F9487" t="s">
        <v>7521</v>
      </c>
      <c r="G9487" t="s">
        <v>44</v>
      </c>
      <c r="H9487" t="s">
        <v>20</v>
      </c>
      <c r="I9487" t="s">
        <v>18349</v>
      </c>
      <c r="J9487" t="str">
        <f>HYPERLINK("https://www.boe.es/gazeta/dias/1822/11/04/pdfs/GMD-1822-324E.pdf#page=1","Abrir facsímil")</f>
        <v>Abrir facsímil</v>
      </c>
      <c r="K9487" t="s">
        <v>22</v>
      </c>
    </row>
    <row r="9488" spans="1:11" ht="42" customHeight="1">
      <c r="A9488" t="s">
        <v>18350</v>
      </c>
      <c r="B9488" t="s">
        <v>18351</v>
      </c>
      <c r="C9488" t="s">
        <v>50</v>
      </c>
      <c r="D9488" t="s">
        <v>51</v>
      </c>
      <c r="E9488" s="6">
        <v>-28242</v>
      </c>
      <c r="F9488" t="s">
        <v>831</v>
      </c>
      <c r="G9488" t="s">
        <v>35</v>
      </c>
      <c r="H9488" t="s">
        <v>20</v>
      </c>
      <c r="I9488" t="s">
        <v>18352</v>
      </c>
      <c r="J9488" t="str">
        <f>HYPERLINK("https://www.boe.es/gazeta/dias/1822/09/03/pdfs/GMD-1822-258.pdf#page=2","Abrir facsímil")</f>
        <v>Abrir facsímil</v>
      </c>
      <c r="K9488" t="s">
        <v>22</v>
      </c>
    </row>
    <row r="9489" spans="1:11" ht="42" customHeight="1">
      <c r="A9489" t="s">
        <v>18353</v>
      </c>
      <c r="B9489" t="s">
        <v>18354</v>
      </c>
      <c r="C9489" t="s">
        <v>50</v>
      </c>
      <c r="D9489" t="s">
        <v>51</v>
      </c>
      <c r="E9489" s="6">
        <v>-28292</v>
      </c>
      <c r="F9489" t="s">
        <v>222</v>
      </c>
      <c r="G9489" t="s">
        <v>31</v>
      </c>
      <c r="H9489" t="s">
        <v>20</v>
      </c>
      <c r="I9489" t="s">
        <v>18355</v>
      </c>
      <c r="J9489" t="str">
        <f>HYPERLINK("https://www.boe.es/gazeta/dias/1822/07/15/pdfs/GMD-1822-205.pdf#page=3","Abrir facsímil")</f>
        <v>Abrir facsímil</v>
      </c>
      <c r="K9489" t="s">
        <v>22</v>
      </c>
    </row>
    <row r="9490" spans="1:11" ht="42" customHeight="1">
      <c r="A9490" t="s">
        <v>18356</v>
      </c>
      <c r="B9490" t="s">
        <v>18357</v>
      </c>
      <c r="C9490" t="s">
        <v>50</v>
      </c>
      <c r="D9490" t="s">
        <v>51</v>
      </c>
      <c r="E9490" s="6">
        <v>-28140</v>
      </c>
      <c r="F9490" t="s">
        <v>84</v>
      </c>
      <c r="G9490" t="s">
        <v>57</v>
      </c>
      <c r="H9490" t="s">
        <v>20</v>
      </c>
      <c r="I9490" t="s">
        <v>18358</v>
      </c>
      <c r="J9490" t="str">
        <f>HYPERLINK("https://www.boe.es/gazeta/dias/1822/12/14/pdfs/GMD-1822-364.pdf#page=4","Abrir facsímil")</f>
        <v>Abrir facsímil</v>
      </c>
      <c r="K9490" t="s">
        <v>22</v>
      </c>
    </row>
    <row r="9491" spans="1:11" ht="42" customHeight="1">
      <c r="A9491" t="s">
        <v>18359</v>
      </c>
      <c r="B9491" t="s">
        <v>18360</v>
      </c>
      <c r="C9491" t="s">
        <v>50</v>
      </c>
      <c r="D9491" t="s">
        <v>723</v>
      </c>
      <c r="E9491" s="6">
        <v>-28180</v>
      </c>
      <c r="F9491" t="s">
        <v>7521</v>
      </c>
      <c r="G9491" t="s">
        <v>44</v>
      </c>
      <c r="H9491" t="s">
        <v>20</v>
      </c>
      <c r="I9491" t="s">
        <v>18361</v>
      </c>
      <c r="J9491" t="str">
        <f>HYPERLINK("https://www.boe.es/gazeta/dias/1822/11/04/pdfs/GMD-1822-324E.pdf#page=1","Abrir facsímil")</f>
        <v>Abrir facsímil</v>
      </c>
      <c r="K9491" t="s">
        <v>22</v>
      </c>
    </row>
    <row r="9492" spans="1:11" ht="42" customHeight="1">
      <c r="A9492" t="s">
        <v>18362</v>
      </c>
      <c r="B9492" t="s">
        <v>18363</v>
      </c>
      <c r="C9492" t="s">
        <v>50</v>
      </c>
      <c r="D9492" t="s">
        <v>51</v>
      </c>
      <c r="E9492" s="6">
        <v>-28276</v>
      </c>
      <c r="F9492" t="s">
        <v>4746</v>
      </c>
      <c r="G9492" t="s">
        <v>44</v>
      </c>
      <c r="H9492" t="s">
        <v>20</v>
      </c>
      <c r="I9492" t="s">
        <v>18364</v>
      </c>
      <c r="J9492" t="str">
        <f>HYPERLINK("https://www.boe.es/gazeta/dias/1822/07/31/pdfs/GMD-1822-224.pdf#page=1","Abrir facsímil")</f>
        <v>Abrir facsímil</v>
      </c>
      <c r="K9492" t="s">
        <v>22</v>
      </c>
    </row>
    <row r="9493" spans="1:11" ht="42" customHeight="1">
      <c r="A9493" t="s">
        <v>18365</v>
      </c>
      <c r="B9493" t="s">
        <v>18366</v>
      </c>
      <c r="C9493" t="s">
        <v>50</v>
      </c>
      <c r="D9493" t="s">
        <v>51</v>
      </c>
      <c r="E9493" s="6">
        <v>-28265</v>
      </c>
      <c r="F9493" t="s">
        <v>1263</v>
      </c>
      <c r="G9493" t="s">
        <v>57</v>
      </c>
      <c r="H9493" t="s">
        <v>20</v>
      </c>
      <c r="I9493" t="s">
        <v>18367</v>
      </c>
      <c r="J9493" t="str">
        <f>HYPERLINK("https://www.boe.es/gazeta/dias/1822/08/11/pdfs/GMD-1822-235.pdf#page=4","Abrir facsímil")</f>
        <v>Abrir facsímil</v>
      </c>
      <c r="K9493" t="s">
        <v>22</v>
      </c>
    </row>
    <row r="9494" spans="1:11" ht="42" customHeight="1">
      <c r="A9494" t="s">
        <v>18368</v>
      </c>
      <c r="B9494" t="s">
        <v>18369</v>
      </c>
      <c r="C9494" t="s">
        <v>50</v>
      </c>
      <c r="D9494" t="s">
        <v>51</v>
      </c>
      <c r="E9494" s="6">
        <v>-28382</v>
      </c>
      <c r="F9494" t="s">
        <v>973</v>
      </c>
      <c r="G9494" t="s">
        <v>57</v>
      </c>
      <c r="H9494" t="s">
        <v>20</v>
      </c>
      <c r="I9494" t="s">
        <v>18370</v>
      </c>
      <c r="J9494" t="str">
        <f>HYPERLINK("https://www.boe.es/gazeta/dias/1822/04/16/pdfs/GMD-1822-108.pdf#page=4","Abrir facsímil")</f>
        <v>Abrir facsímil</v>
      </c>
      <c r="K9494" t="s">
        <v>22</v>
      </c>
    </row>
    <row r="9495" spans="1:11" ht="42" customHeight="1">
      <c r="A9495" t="s">
        <v>18371</v>
      </c>
      <c r="B9495" t="s">
        <v>18372</v>
      </c>
      <c r="C9495" t="s">
        <v>50</v>
      </c>
      <c r="D9495" t="s">
        <v>51</v>
      </c>
      <c r="E9495" s="6">
        <v>-28265</v>
      </c>
      <c r="F9495" t="s">
        <v>1263</v>
      </c>
      <c r="G9495" t="s">
        <v>57</v>
      </c>
      <c r="H9495" t="s">
        <v>20</v>
      </c>
      <c r="I9495" t="s">
        <v>18373</v>
      </c>
      <c r="J9495" t="str">
        <f>HYPERLINK("https://www.boe.es/gazeta/dias/1822/08/11/pdfs/GMD-1822-235.pdf#page=4","Abrir facsímil")</f>
        <v>Abrir facsímil</v>
      </c>
      <c r="K9495" t="s">
        <v>22</v>
      </c>
    </row>
    <row r="9496" spans="1:11" ht="42" customHeight="1">
      <c r="A9496" t="s">
        <v>18374</v>
      </c>
      <c r="B9496" t="s">
        <v>18375</v>
      </c>
      <c r="C9496" t="s">
        <v>50</v>
      </c>
      <c r="D9496" t="s">
        <v>51</v>
      </c>
      <c r="E9496" s="6">
        <v>-28230</v>
      </c>
      <c r="F9496" t="s">
        <v>1735</v>
      </c>
      <c r="G9496" t="s">
        <v>31</v>
      </c>
      <c r="H9496" t="s">
        <v>20</v>
      </c>
      <c r="I9496" t="s">
        <v>18376</v>
      </c>
      <c r="J9496" t="str">
        <f>HYPERLINK("https://www.boe.es/gazeta/dias/1822/09/15/pdfs/GMD-1822-271.pdf#page=3","Abrir facsímil")</f>
        <v>Abrir facsímil</v>
      </c>
      <c r="K9496" t="s">
        <v>22</v>
      </c>
    </row>
    <row r="9497" spans="1:11" ht="42" customHeight="1">
      <c r="A9497" t="s">
        <v>18377</v>
      </c>
      <c r="B9497" t="s">
        <v>18378</v>
      </c>
      <c r="C9497" t="s">
        <v>28</v>
      </c>
      <c r="D9497" t="s">
        <v>29</v>
      </c>
      <c r="E9497" s="6">
        <v>-28365</v>
      </c>
      <c r="F9497" t="s">
        <v>506</v>
      </c>
      <c r="G9497" t="s">
        <v>31</v>
      </c>
      <c r="H9497" t="s">
        <v>20</v>
      </c>
      <c r="I9497" t="s">
        <v>18379</v>
      </c>
      <c r="J9497" t="str">
        <f>HYPERLINK("https://www.boe.es/gazeta/dias/1822/05/03/pdfs/GMD-1822-125.pdf#page=3","Abrir facsímil")</f>
        <v>Abrir facsímil</v>
      </c>
      <c r="K9497" t="s">
        <v>22</v>
      </c>
    </row>
    <row r="9498" spans="1:11" ht="42" customHeight="1">
      <c r="A9498" t="s">
        <v>18380</v>
      </c>
      <c r="B9498" t="s">
        <v>18381</v>
      </c>
      <c r="C9498" t="s">
        <v>42</v>
      </c>
      <c r="D9498" t="s">
        <v>17</v>
      </c>
      <c r="E9498" s="6">
        <v>-28161</v>
      </c>
      <c r="F9498" t="s">
        <v>166</v>
      </c>
      <c r="G9498" t="s">
        <v>157</v>
      </c>
      <c r="H9498" t="s">
        <v>45</v>
      </c>
      <c r="I9498" t="s">
        <v>18382</v>
      </c>
      <c r="J9498" t="str">
        <f>HYPERLINK("https://www.boe.es/gazeta/dias/1822/11/23/pdfs/GMD-1822-343.pdf#page=8","Abrir facsímil")</f>
        <v>Abrir facsímil</v>
      </c>
      <c r="K9498" t="s">
        <v>47</v>
      </c>
    </row>
    <row r="9499" spans="1:11" ht="42" customHeight="1">
      <c r="A9499" t="s">
        <v>18383</v>
      </c>
      <c r="B9499" t="s">
        <v>18384</v>
      </c>
      <c r="C9499" t="s">
        <v>71</v>
      </c>
      <c r="D9499" t="s">
        <v>17</v>
      </c>
      <c r="E9499" s="6">
        <v>-28338</v>
      </c>
      <c r="F9499" t="s">
        <v>527</v>
      </c>
      <c r="G9499" t="s">
        <v>35</v>
      </c>
      <c r="H9499" t="s">
        <v>20</v>
      </c>
      <c r="I9499" t="s">
        <v>18385</v>
      </c>
      <c r="J9499" t="str">
        <f>HYPERLINK("https://www.boe.es/gazeta/dias/1822/05/30/pdfs/GMD-1822-155.pdf#page=2","Abrir facsímil")</f>
        <v>Abrir facsímil</v>
      </c>
      <c r="K9499" t="s">
        <v>22</v>
      </c>
    </row>
    <row r="9500" spans="1:11" ht="42" customHeight="1">
      <c r="A9500" t="s">
        <v>18386</v>
      </c>
      <c r="B9500" t="s">
        <v>18387</v>
      </c>
      <c r="C9500" t="s">
        <v>61</v>
      </c>
      <c r="D9500" t="s">
        <v>17</v>
      </c>
      <c r="E9500" s="6">
        <v>-28384</v>
      </c>
      <c r="F9500" t="s">
        <v>258</v>
      </c>
      <c r="G9500" t="s">
        <v>63</v>
      </c>
      <c r="H9500" t="s">
        <v>20</v>
      </c>
      <c r="I9500" t="s">
        <v>18388</v>
      </c>
      <c r="J9500" t="str">
        <f>HYPERLINK("https://www.boe.es/gazeta/dias/1822/04/14/pdfs/GMD-1822-106.pdf#page=6","Abrir facsímil")</f>
        <v>Abrir facsímil</v>
      </c>
      <c r="K9500" t="s">
        <v>22</v>
      </c>
    </row>
    <row r="9501" spans="1:11" ht="42" customHeight="1">
      <c r="A9501" t="s">
        <v>18389</v>
      </c>
      <c r="B9501" t="s">
        <v>18389</v>
      </c>
      <c r="C9501" t="s">
        <v>28</v>
      </c>
      <c r="D9501" t="s">
        <v>29</v>
      </c>
      <c r="E9501" s="6">
        <v>-28354</v>
      </c>
      <c r="F9501" t="s">
        <v>226</v>
      </c>
      <c r="G9501" t="s">
        <v>35</v>
      </c>
      <c r="H9501" t="s">
        <v>20</v>
      </c>
      <c r="I9501" t="s">
        <v>18390</v>
      </c>
      <c r="J9501" t="str">
        <f>HYPERLINK("https://www.boe.es/gazeta/dias/1822/05/14/pdfs/GMD-1822-136.pdf#page=2","Abrir facsímil")</f>
        <v>Abrir facsímil</v>
      </c>
      <c r="K9501" t="s">
        <v>22</v>
      </c>
    </row>
    <row r="9502" spans="1:11" ht="42" customHeight="1">
      <c r="A9502" t="s">
        <v>18391</v>
      </c>
      <c r="B9502" t="s">
        <v>18391</v>
      </c>
      <c r="C9502" t="s">
        <v>50</v>
      </c>
      <c r="D9502" t="s">
        <v>51</v>
      </c>
      <c r="E9502" s="6">
        <v>-28471</v>
      </c>
      <c r="F9502" t="s">
        <v>1436</v>
      </c>
      <c r="G9502" t="s">
        <v>19</v>
      </c>
      <c r="H9502" t="s">
        <v>20</v>
      </c>
      <c r="I9502" t="s">
        <v>18392</v>
      </c>
      <c r="J9502" t="str">
        <f>HYPERLINK("https://www.boe.es/gazeta/dias/1822/01/17/pdfs/GMD-1822-17.pdf#page=5","Abrir facsímil")</f>
        <v>Abrir facsímil</v>
      </c>
      <c r="K9502" t="s">
        <v>22</v>
      </c>
    </row>
    <row r="9503" spans="1:11" ht="42" customHeight="1">
      <c r="A9503" t="s">
        <v>18393</v>
      </c>
      <c r="B9503" t="s">
        <v>18394</v>
      </c>
      <c r="C9503" t="s">
        <v>28</v>
      </c>
      <c r="D9503" t="s">
        <v>29</v>
      </c>
      <c r="E9503" s="6">
        <v>-28354</v>
      </c>
      <c r="F9503" t="s">
        <v>226</v>
      </c>
      <c r="G9503" t="s">
        <v>31</v>
      </c>
      <c r="H9503" t="s">
        <v>20</v>
      </c>
      <c r="I9503" t="s">
        <v>18395</v>
      </c>
      <c r="J9503" t="str">
        <f>HYPERLINK("https://www.boe.es/gazeta/dias/1822/05/14/pdfs/GMD-1822-136.pdf#page=3","Abrir facsímil")</f>
        <v>Abrir facsímil</v>
      </c>
      <c r="K9503" t="s">
        <v>22</v>
      </c>
    </row>
    <row r="9504" spans="1:11" ht="42" customHeight="1">
      <c r="A9504" t="s">
        <v>18396</v>
      </c>
      <c r="B9504" t="s">
        <v>18396</v>
      </c>
      <c r="C9504" t="s">
        <v>50</v>
      </c>
      <c r="D9504" t="s">
        <v>51</v>
      </c>
      <c r="E9504" s="6">
        <v>-28212</v>
      </c>
      <c r="F9504" t="s">
        <v>560</v>
      </c>
      <c r="G9504" t="s">
        <v>44</v>
      </c>
      <c r="H9504" t="s">
        <v>20</v>
      </c>
      <c r="I9504" t="s">
        <v>18397</v>
      </c>
      <c r="J9504" t="str">
        <f>HYPERLINK("https://www.boe.es/gazeta/dias/1822/10/03/pdfs/GMD-1822-289.pdf#page=1","Abrir facsímil")</f>
        <v>Abrir facsímil</v>
      </c>
      <c r="K9504" t="s">
        <v>22</v>
      </c>
    </row>
    <row r="9505" spans="1:11" ht="42" customHeight="1">
      <c r="A9505" t="s">
        <v>18398</v>
      </c>
      <c r="B9505" t="s">
        <v>18398</v>
      </c>
      <c r="C9505" t="s">
        <v>24</v>
      </c>
      <c r="D9505" t="s">
        <v>17</v>
      </c>
      <c r="E9505" s="6">
        <v>-28470</v>
      </c>
      <c r="F9505" t="s">
        <v>1444</v>
      </c>
      <c r="G9505" t="s">
        <v>44</v>
      </c>
      <c r="H9505" t="s">
        <v>20</v>
      </c>
      <c r="I9505" t="s">
        <v>18399</v>
      </c>
      <c r="J9505" t="str">
        <f>HYPERLINK("https://www.boe.es/gazeta/dias/1822/01/18/pdfs/GMD-1822-18.pdf#page=1","Abrir facsímil")</f>
        <v>Abrir facsímil</v>
      </c>
      <c r="K9505" t="s">
        <v>22</v>
      </c>
    </row>
    <row r="9506" spans="1:11" ht="42" customHeight="1">
      <c r="A9506" t="s">
        <v>18400</v>
      </c>
      <c r="B9506" t="s">
        <v>18401</v>
      </c>
      <c r="C9506" t="s">
        <v>50</v>
      </c>
      <c r="D9506" t="s">
        <v>51</v>
      </c>
      <c r="E9506" s="6">
        <v>-28289</v>
      </c>
      <c r="F9506" t="s">
        <v>390</v>
      </c>
      <c r="G9506" t="s">
        <v>35</v>
      </c>
      <c r="H9506" t="s">
        <v>45</v>
      </c>
      <c r="I9506" t="s">
        <v>18402</v>
      </c>
      <c r="J9506" t="str">
        <f>HYPERLINK("https://www.boe.es/gazeta/dias/1822/07/18/pdfs/GMD-1822-209.pdf#page=2","Abrir facsímil")</f>
        <v>Abrir facsímil</v>
      </c>
      <c r="K9506" t="s">
        <v>47</v>
      </c>
    </row>
    <row r="9507" spans="1:11" ht="42" customHeight="1">
      <c r="A9507" t="s">
        <v>18403</v>
      </c>
      <c r="B9507" t="s">
        <v>18403</v>
      </c>
      <c r="C9507" t="s">
        <v>50</v>
      </c>
      <c r="D9507" t="s">
        <v>51</v>
      </c>
      <c r="E9507" s="6">
        <v>-28178</v>
      </c>
      <c r="F9507" t="s">
        <v>318</v>
      </c>
      <c r="G9507" t="s">
        <v>57</v>
      </c>
      <c r="H9507" t="s">
        <v>20</v>
      </c>
      <c r="I9507" t="s">
        <v>18404</v>
      </c>
      <c r="J9507" t="str">
        <f>HYPERLINK("https://www.boe.es/gazeta/dias/1822/11/06/pdfs/GMD-1822-326.pdf#page=4","Abrir facsímil")</f>
        <v>Abrir facsímil</v>
      </c>
      <c r="K9507" t="s">
        <v>22</v>
      </c>
    </row>
    <row r="9508" spans="1:11" ht="42" customHeight="1">
      <c r="A9508" t="s">
        <v>18405</v>
      </c>
      <c r="B9508" t="s">
        <v>18405</v>
      </c>
      <c r="C9508" t="s">
        <v>50</v>
      </c>
      <c r="D9508" t="s">
        <v>51</v>
      </c>
      <c r="E9508" s="6">
        <v>-28433</v>
      </c>
      <c r="F9508" t="s">
        <v>3663</v>
      </c>
      <c r="G9508" t="s">
        <v>35</v>
      </c>
      <c r="H9508" t="s">
        <v>20</v>
      </c>
      <c r="I9508" t="s">
        <v>18406</v>
      </c>
      <c r="J9508" t="str">
        <f>HYPERLINK("https://www.boe.es/gazeta/dias/1822/02/24/pdfs/GMD-1822-56.pdf#page=2","Abrir facsímil")</f>
        <v>Abrir facsímil</v>
      </c>
      <c r="K9508" t="s">
        <v>22</v>
      </c>
    </row>
    <row r="9509" spans="1:11" ht="42" customHeight="1">
      <c r="A9509" t="s">
        <v>18407</v>
      </c>
      <c r="B9509" t="s">
        <v>18407</v>
      </c>
      <c r="C9509" t="s">
        <v>71</v>
      </c>
      <c r="D9509" t="s">
        <v>17</v>
      </c>
      <c r="E9509" s="6">
        <v>-28208</v>
      </c>
      <c r="F9509" t="s">
        <v>230</v>
      </c>
      <c r="G9509" t="s">
        <v>57</v>
      </c>
      <c r="H9509" t="s">
        <v>20</v>
      </c>
      <c r="I9509" t="s">
        <v>18408</v>
      </c>
      <c r="J9509" t="str">
        <f>HYPERLINK("https://www.boe.es/gazeta/dias/1822/10/07/pdfs/GMD-1822-293.pdf#page=4","Abrir facsímil")</f>
        <v>Abrir facsímil</v>
      </c>
      <c r="K9509" t="s">
        <v>22</v>
      </c>
    </row>
    <row r="9510" spans="1:11" ht="42" customHeight="1">
      <c r="A9510" t="s">
        <v>18409</v>
      </c>
      <c r="B9510" t="s">
        <v>18409</v>
      </c>
      <c r="C9510" t="s">
        <v>50</v>
      </c>
      <c r="D9510" t="s">
        <v>51</v>
      </c>
      <c r="E9510" s="6">
        <v>-28263</v>
      </c>
      <c r="F9510" t="s">
        <v>7233</v>
      </c>
      <c r="G9510" t="s">
        <v>31</v>
      </c>
      <c r="H9510" t="s">
        <v>20</v>
      </c>
      <c r="I9510" t="s">
        <v>18410</v>
      </c>
      <c r="J9510" t="str">
        <f>HYPERLINK("https://www.boe.es/gazeta/dias/1822/08/13/pdfs/GMD-1822-237.pdf#page=3","Abrir facsímil")</f>
        <v>Abrir facsímil</v>
      </c>
      <c r="K9510" t="s">
        <v>22</v>
      </c>
    </row>
    <row r="9511" spans="1:11" ht="42" customHeight="1">
      <c r="A9511" t="s">
        <v>18411</v>
      </c>
      <c r="B9511" t="s">
        <v>18412</v>
      </c>
      <c r="C9511" t="s">
        <v>50</v>
      </c>
      <c r="D9511" t="s">
        <v>51</v>
      </c>
      <c r="E9511" s="6">
        <v>-28427</v>
      </c>
      <c r="F9511" t="s">
        <v>755</v>
      </c>
      <c r="G9511" t="s">
        <v>57</v>
      </c>
      <c r="H9511" t="s">
        <v>20</v>
      </c>
      <c r="I9511" t="s">
        <v>18413</v>
      </c>
      <c r="J9511" t="str">
        <f>HYPERLINK("https://www.boe.es/gazeta/dias/1822/03/02/pdfs/GMD-1822-63.pdf#page=4","Abrir facsímil")</f>
        <v>Abrir facsímil</v>
      </c>
      <c r="K9511" t="s">
        <v>22</v>
      </c>
    </row>
    <row r="9512" spans="1:11" ht="42" customHeight="1">
      <c r="A9512" t="s">
        <v>18414</v>
      </c>
      <c r="B9512" t="s">
        <v>18415</v>
      </c>
      <c r="C9512" t="s">
        <v>50</v>
      </c>
      <c r="D9512" t="s">
        <v>51</v>
      </c>
      <c r="E9512" s="6">
        <v>-28230</v>
      </c>
      <c r="F9512" t="s">
        <v>1735</v>
      </c>
      <c r="G9512" t="s">
        <v>57</v>
      </c>
      <c r="H9512" t="s">
        <v>20</v>
      </c>
      <c r="I9512" t="s">
        <v>18416</v>
      </c>
      <c r="J9512" t="str">
        <f>HYPERLINK("https://www.boe.es/gazeta/dias/1822/09/15/pdfs/GMD-1822-271.pdf#page=4","Abrir facsímil")</f>
        <v>Abrir facsímil</v>
      </c>
      <c r="K9512" t="s">
        <v>22</v>
      </c>
    </row>
    <row r="9513" spans="1:11" ht="42" customHeight="1">
      <c r="A9513" t="s">
        <v>18417</v>
      </c>
      <c r="B9513" t="s">
        <v>18417</v>
      </c>
      <c r="C9513" t="s">
        <v>71</v>
      </c>
      <c r="D9513" t="s">
        <v>17</v>
      </c>
      <c r="E9513" s="6">
        <v>-28163</v>
      </c>
      <c r="F9513" t="s">
        <v>891</v>
      </c>
      <c r="G9513" t="s">
        <v>31</v>
      </c>
      <c r="H9513" t="s">
        <v>20</v>
      </c>
      <c r="I9513" t="s">
        <v>18418</v>
      </c>
      <c r="J9513" t="str">
        <f>HYPERLINK("https://www.boe.es/gazeta/dias/1822/11/21/pdfs/GMD-1822-341.pdf#page=3","Abrir facsímil")</f>
        <v>Abrir facsímil</v>
      </c>
      <c r="K9513" t="s">
        <v>22</v>
      </c>
    </row>
    <row r="9514" spans="1:11" ht="42" customHeight="1">
      <c r="A9514" t="s">
        <v>18419</v>
      </c>
      <c r="B9514" t="s">
        <v>18420</v>
      </c>
      <c r="C9514" t="s">
        <v>50</v>
      </c>
      <c r="D9514" t="s">
        <v>51</v>
      </c>
      <c r="E9514" s="6">
        <v>-28262</v>
      </c>
      <c r="F9514" t="s">
        <v>1771</v>
      </c>
      <c r="G9514" t="s">
        <v>57</v>
      </c>
      <c r="H9514" t="s">
        <v>20</v>
      </c>
      <c r="I9514" t="s">
        <v>18421</v>
      </c>
      <c r="J9514" t="str">
        <f>HYPERLINK("https://www.boe.es/gazeta/dias/1822/08/14/pdfs/GMD-1822-238.pdf#page=4","Abrir facsímil")</f>
        <v>Abrir facsímil</v>
      </c>
      <c r="K9514" t="s">
        <v>22</v>
      </c>
    </row>
    <row r="9515" spans="1:11" ht="42" customHeight="1">
      <c r="A9515" t="s">
        <v>18422</v>
      </c>
      <c r="B9515" t="s">
        <v>18422</v>
      </c>
      <c r="C9515" t="s">
        <v>50</v>
      </c>
      <c r="D9515" t="s">
        <v>51</v>
      </c>
      <c r="E9515" s="6">
        <v>-28208</v>
      </c>
      <c r="F9515" t="s">
        <v>230</v>
      </c>
      <c r="G9515" t="s">
        <v>31</v>
      </c>
      <c r="H9515" t="s">
        <v>20</v>
      </c>
      <c r="I9515" t="s">
        <v>18423</v>
      </c>
      <c r="J9515" t="str">
        <f>HYPERLINK("https://www.boe.es/gazeta/dias/1822/10/07/pdfs/GMD-1822-293.pdf#page=3","Abrir facsímil")</f>
        <v>Abrir facsímil</v>
      </c>
      <c r="K9515" t="s">
        <v>22</v>
      </c>
    </row>
    <row r="9516" spans="1:11" ht="42" customHeight="1">
      <c r="A9516" t="s">
        <v>18424</v>
      </c>
      <c r="B9516" t="s">
        <v>18424</v>
      </c>
      <c r="C9516" t="s">
        <v>61</v>
      </c>
      <c r="D9516" t="s">
        <v>17</v>
      </c>
      <c r="E9516" s="6">
        <v>-28286</v>
      </c>
      <c r="F9516" t="s">
        <v>1853</v>
      </c>
      <c r="G9516" t="s">
        <v>44</v>
      </c>
      <c r="H9516" t="s">
        <v>20</v>
      </c>
      <c r="I9516" t="s">
        <v>18425</v>
      </c>
      <c r="J9516" t="str">
        <f>HYPERLINK("https://www.boe.es/gazeta/dias/1822/07/21/pdfs/GMD-1822-213.pdf#page=1","Abrir facsímil")</f>
        <v>Abrir facsímil</v>
      </c>
      <c r="K9516" t="s">
        <v>22</v>
      </c>
    </row>
    <row r="9517" spans="1:11" ht="42" customHeight="1">
      <c r="A9517" t="s">
        <v>18426</v>
      </c>
      <c r="B9517" t="s">
        <v>18426</v>
      </c>
      <c r="C9517" t="s">
        <v>50</v>
      </c>
      <c r="D9517" t="s">
        <v>51</v>
      </c>
      <c r="E9517" s="6">
        <v>-28486</v>
      </c>
      <c r="F9517" t="s">
        <v>1046</v>
      </c>
      <c r="G9517" t="s">
        <v>1085</v>
      </c>
      <c r="H9517" t="s">
        <v>20</v>
      </c>
      <c r="I9517" t="s">
        <v>18427</v>
      </c>
      <c r="J9517" t="str">
        <f>HYPERLINK("https://www.boe.es/gazeta/dias/1822/01/02/pdfs/GMD-1822-2.pdf#page=3","Abrir facsímil")</f>
        <v>Abrir facsímil</v>
      </c>
      <c r="K9517" t="s">
        <v>22</v>
      </c>
    </row>
    <row r="9518" spans="1:11" ht="42" customHeight="1">
      <c r="A9518" t="s">
        <v>18428</v>
      </c>
      <c r="B9518" t="s">
        <v>18429</v>
      </c>
      <c r="C9518" t="s">
        <v>42</v>
      </c>
      <c r="D9518" t="s">
        <v>17</v>
      </c>
      <c r="E9518" s="6">
        <v>-28258</v>
      </c>
      <c r="F9518" t="s">
        <v>88</v>
      </c>
      <c r="G9518" t="s">
        <v>35</v>
      </c>
      <c r="H9518" t="s">
        <v>20</v>
      </c>
      <c r="I9518" t="s">
        <v>18430</v>
      </c>
      <c r="J9518" t="str">
        <f>HYPERLINK("https://www.boe.es/gazeta/dias/1822/08/18/pdfs/GMD-1822-242.pdf#page=2","Abrir facsímil")</f>
        <v>Abrir facsímil</v>
      </c>
      <c r="K9518" t="s">
        <v>22</v>
      </c>
    </row>
    <row r="9519" spans="1:11" ht="42" customHeight="1">
      <c r="A9519" t="s">
        <v>18431</v>
      </c>
      <c r="B9519" t="s">
        <v>18431</v>
      </c>
      <c r="C9519" t="s">
        <v>16</v>
      </c>
      <c r="D9519" t="s">
        <v>17</v>
      </c>
      <c r="E9519" s="6">
        <v>-28127</v>
      </c>
      <c r="F9519" t="s">
        <v>409</v>
      </c>
      <c r="G9519" t="s">
        <v>57</v>
      </c>
      <c r="H9519" t="s">
        <v>20</v>
      </c>
      <c r="I9519" t="s">
        <v>18432</v>
      </c>
      <c r="J9519" t="str">
        <f>HYPERLINK("https://www.boe.es/gazeta/dias/1822/12/27/pdfs/GMD-1822-377.pdf#page=4","Abrir facsímil")</f>
        <v>Abrir facsímil</v>
      </c>
      <c r="K9519" t="s">
        <v>22</v>
      </c>
    </row>
    <row r="9520" spans="1:11" ht="42" customHeight="1">
      <c r="A9520" t="s">
        <v>18433</v>
      </c>
      <c r="B9520" t="s">
        <v>18434</v>
      </c>
      <c r="C9520" t="s">
        <v>24</v>
      </c>
      <c r="D9520" t="s">
        <v>17</v>
      </c>
      <c r="E9520" s="6">
        <v>-28443</v>
      </c>
      <c r="F9520" t="s">
        <v>668</v>
      </c>
      <c r="G9520" t="s">
        <v>57</v>
      </c>
      <c r="H9520" t="s">
        <v>20</v>
      </c>
      <c r="I9520" t="s">
        <v>18435</v>
      </c>
      <c r="J9520" t="str">
        <f>HYPERLINK("https://www.boe.es/gazeta/dias/1822/02/14/pdfs/GMD-1822-45.pdf#page=4","Abrir facsímil")</f>
        <v>Abrir facsímil</v>
      </c>
      <c r="K9520" t="s">
        <v>22</v>
      </c>
    </row>
    <row r="9521" spans="1:11" ht="42" customHeight="1">
      <c r="A9521" t="s">
        <v>18436</v>
      </c>
      <c r="B9521" t="s">
        <v>18436</v>
      </c>
      <c r="C9521" t="s">
        <v>71</v>
      </c>
      <c r="D9521" t="s">
        <v>17</v>
      </c>
      <c r="E9521" s="6">
        <v>-28322</v>
      </c>
      <c r="F9521" t="s">
        <v>2205</v>
      </c>
      <c r="G9521" t="s">
        <v>3031</v>
      </c>
      <c r="H9521" t="s">
        <v>20</v>
      </c>
      <c r="I9521" t="s">
        <v>18437</v>
      </c>
      <c r="J9521" t="str">
        <f>HYPERLINK("https://www.boe.es/gazeta/dias/1822/06/15/pdfs/GMD-1822-172.pdf#page=2","Abrir facsímil")</f>
        <v>Abrir facsímil</v>
      </c>
      <c r="K9521" t="s">
        <v>22</v>
      </c>
    </row>
    <row r="9522" spans="1:11" ht="42" customHeight="1">
      <c r="A9522" t="s">
        <v>18438</v>
      </c>
      <c r="B9522" t="s">
        <v>18438</v>
      </c>
      <c r="C9522" t="s">
        <v>50</v>
      </c>
      <c r="D9522" t="s">
        <v>51</v>
      </c>
      <c r="E9522" s="6">
        <v>-28186</v>
      </c>
      <c r="F9522" t="s">
        <v>581</v>
      </c>
      <c r="G9522" t="s">
        <v>57</v>
      </c>
      <c r="H9522" t="s">
        <v>20</v>
      </c>
      <c r="I9522" t="s">
        <v>18439</v>
      </c>
      <c r="J9522" t="str">
        <f>HYPERLINK("https://www.boe.es/gazeta/dias/1822/10/29/pdfs/GMD-1822-316.pdf#page=4","Abrir facsímil")</f>
        <v>Abrir facsímil</v>
      </c>
      <c r="K9522" t="s">
        <v>22</v>
      </c>
    </row>
    <row r="9523" spans="1:11" ht="42" customHeight="1">
      <c r="A9523" t="s">
        <v>18438</v>
      </c>
      <c r="B9523" t="s">
        <v>18438</v>
      </c>
      <c r="C9523" t="s">
        <v>16</v>
      </c>
      <c r="D9523" t="s">
        <v>17</v>
      </c>
      <c r="E9523" s="6">
        <v>-28133</v>
      </c>
      <c r="F9523" t="s">
        <v>595</v>
      </c>
      <c r="G9523" t="s">
        <v>596</v>
      </c>
      <c r="H9523" t="s">
        <v>20</v>
      </c>
      <c r="I9523" t="s">
        <v>18440</v>
      </c>
      <c r="J9523" t="str">
        <f>HYPERLINK("https://www.boe.es/gazeta/dias/1822/12/21/pdfs/GMD-1822-371.pdf#page=2","Abrir facsímil")</f>
        <v>Abrir facsímil</v>
      </c>
      <c r="K9523" t="s">
        <v>22</v>
      </c>
    </row>
    <row r="9524" spans="1:11" ht="42" customHeight="1">
      <c r="A9524" t="s">
        <v>18441</v>
      </c>
      <c r="B9524" t="s">
        <v>18442</v>
      </c>
      <c r="C9524" t="s">
        <v>16</v>
      </c>
      <c r="D9524" t="s">
        <v>17</v>
      </c>
      <c r="E9524" s="6">
        <v>-28400</v>
      </c>
      <c r="F9524" t="s">
        <v>1937</v>
      </c>
      <c r="G9524" t="s">
        <v>35</v>
      </c>
      <c r="H9524" t="s">
        <v>20</v>
      </c>
      <c r="I9524" t="s">
        <v>18443</v>
      </c>
      <c r="J9524" t="str">
        <f>HYPERLINK("https://www.boe.es/gazeta/dias/1822/03/29/pdfs/GMD-1822-90.pdf#page=2","Abrir facsímil")</f>
        <v>Abrir facsímil</v>
      </c>
      <c r="K9524" t="s">
        <v>22</v>
      </c>
    </row>
    <row r="9525" spans="1:11" ht="42" customHeight="1">
      <c r="A9525" t="s">
        <v>18444</v>
      </c>
      <c r="B9525" t="s">
        <v>18445</v>
      </c>
      <c r="C9525" t="s">
        <v>16</v>
      </c>
      <c r="D9525" t="s">
        <v>17</v>
      </c>
      <c r="E9525" s="6">
        <v>-28354</v>
      </c>
      <c r="F9525" t="s">
        <v>226</v>
      </c>
      <c r="G9525" t="s">
        <v>44</v>
      </c>
      <c r="H9525" t="s">
        <v>20</v>
      </c>
      <c r="I9525" t="s">
        <v>18446</v>
      </c>
      <c r="J9525" t="str">
        <f>HYPERLINK("https://www.boe.es/gazeta/dias/1822/05/14/pdfs/GMD-1822-136.pdf#page=1","Abrir facsímil")</f>
        <v>Abrir facsímil</v>
      </c>
      <c r="K9525" t="s">
        <v>22</v>
      </c>
    </row>
    <row r="9526" spans="1:11" ht="42" customHeight="1">
      <c r="A9526" t="s">
        <v>18447</v>
      </c>
      <c r="B9526" t="s">
        <v>18448</v>
      </c>
      <c r="C9526" t="s">
        <v>50</v>
      </c>
      <c r="D9526" t="s">
        <v>51</v>
      </c>
      <c r="E9526" s="6">
        <v>-28248</v>
      </c>
      <c r="F9526" t="s">
        <v>4807</v>
      </c>
      <c r="G9526" t="s">
        <v>35</v>
      </c>
      <c r="H9526" t="s">
        <v>20</v>
      </c>
      <c r="I9526" t="s">
        <v>18449</v>
      </c>
      <c r="J9526" t="str">
        <f>HYPERLINK("https://www.boe.es/gazeta/dias/1822/08/28/pdfs/GMD-1822-252.pdf#page=2","Abrir facsímil")</f>
        <v>Abrir facsímil</v>
      </c>
      <c r="K9526" t="s">
        <v>22</v>
      </c>
    </row>
    <row r="9527" spans="1:11" ht="42" customHeight="1">
      <c r="A9527" t="s">
        <v>18450</v>
      </c>
      <c r="B9527" t="s">
        <v>18451</v>
      </c>
      <c r="C9527" t="s">
        <v>61</v>
      </c>
      <c r="D9527" t="s">
        <v>17</v>
      </c>
      <c r="E9527" s="6">
        <v>-28384</v>
      </c>
      <c r="F9527" t="s">
        <v>258</v>
      </c>
      <c r="G9527" t="s">
        <v>63</v>
      </c>
      <c r="H9527" t="s">
        <v>20</v>
      </c>
      <c r="I9527" t="s">
        <v>18452</v>
      </c>
      <c r="J9527" t="str">
        <f>HYPERLINK("https://www.boe.es/gazeta/dias/1822/04/14/pdfs/GMD-1822-106.pdf#page=6","Abrir facsímil")</f>
        <v>Abrir facsímil</v>
      </c>
      <c r="K9527" t="s">
        <v>22</v>
      </c>
    </row>
    <row r="9528" spans="1:11" ht="42" customHeight="1">
      <c r="A9528" t="s">
        <v>18453</v>
      </c>
      <c r="B9528" t="s">
        <v>18454</v>
      </c>
      <c r="C9528" t="s">
        <v>50</v>
      </c>
      <c r="D9528" t="s">
        <v>51</v>
      </c>
      <c r="E9528" s="6">
        <v>-28317</v>
      </c>
      <c r="F9528" t="s">
        <v>546</v>
      </c>
      <c r="G9528" t="s">
        <v>35</v>
      </c>
      <c r="H9528" t="s">
        <v>20</v>
      </c>
      <c r="I9528" t="s">
        <v>18455</v>
      </c>
      <c r="J9528" t="str">
        <f>HYPERLINK("https://www.boe.es/gazeta/dias/1822/06/20/pdfs/GMD-1822-177.pdf#page=2","Abrir facsímil")</f>
        <v>Abrir facsímil</v>
      </c>
      <c r="K9528" t="s">
        <v>22</v>
      </c>
    </row>
    <row r="9529" spans="1:11" ht="42" customHeight="1">
      <c r="A9529" t="s">
        <v>18456</v>
      </c>
      <c r="B9529" t="s">
        <v>18457</v>
      </c>
      <c r="C9529" t="s">
        <v>42</v>
      </c>
      <c r="D9529" t="s">
        <v>17</v>
      </c>
      <c r="E9529" s="6">
        <v>-28172</v>
      </c>
      <c r="F9529" t="s">
        <v>674</v>
      </c>
      <c r="G9529" t="s">
        <v>57</v>
      </c>
      <c r="H9529" t="s">
        <v>20</v>
      </c>
      <c r="I9529" t="s">
        <v>18458</v>
      </c>
      <c r="J9529" t="str">
        <f>HYPERLINK("https://www.boe.es/gazeta/dias/1822/11/12/pdfs/GMD-1822-332.pdf#page=4","Abrir facsímil")</f>
        <v>Abrir facsímil</v>
      </c>
      <c r="K9529" t="s">
        <v>22</v>
      </c>
    </row>
    <row r="9530" spans="1:11" ht="42" customHeight="1">
      <c r="A9530" t="s">
        <v>18459</v>
      </c>
      <c r="B9530" t="s">
        <v>18460</v>
      </c>
      <c r="C9530" t="s">
        <v>71</v>
      </c>
      <c r="D9530" t="s">
        <v>17</v>
      </c>
      <c r="E9530" s="6">
        <v>-28464</v>
      </c>
      <c r="F9530" t="s">
        <v>1447</v>
      </c>
      <c r="G9530" t="s">
        <v>57</v>
      </c>
      <c r="H9530" t="s">
        <v>20</v>
      </c>
      <c r="I9530" t="s">
        <v>18461</v>
      </c>
      <c r="J9530" t="str">
        <f>HYPERLINK("https://www.boe.es/gazeta/dias/1822/01/24/pdfs/GMD-1822-24.pdf#page=4","Abrir facsímil")</f>
        <v>Abrir facsímil</v>
      </c>
      <c r="K9530" t="s">
        <v>22</v>
      </c>
    </row>
    <row r="9531" spans="1:11" ht="42" customHeight="1">
      <c r="A9531" t="s">
        <v>18462</v>
      </c>
      <c r="B9531" t="s">
        <v>18463</v>
      </c>
      <c r="C9531" t="s">
        <v>42</v>
      </c>
      <c r="D9531" t="s">
        <v>17</v>
      </c>
      <c r="E9531" s="6">
        <v>-28258</v>
      </c>
      <c r="F9531" t="s">
        <v>88</v>
      </c>
      <c r="G9531" t="s">
        <v>35</v>
      </c>
      <c r="H9531" t="s">
        <v>20</v>
      </c>
      <c r="I9531" t="s">
        <v>18464</v>
      </c>
      <c r="J9531" t="str">
        <f>HYPERLINK("https://www.boe.es/gazeta/dias/1822/08/18/pdfs/GMD-1822-242.pdf#page=2","Abrir facsímil")</f>
        <v>Abrir facsímil</v>
      </c>
      <c r="K9531" t="s">
        <v>22</v>
      </c>
    </row>
    <row r="9532" spans="1:11" ht="42" customHeight="1">
      <c r="A9532" t="s">
        <v>18465</v>
      </c>
      <c r="B9532" t="s">
        <v>18466</v>
      </c>
      <c r="C9532" t="s">
        <v>71</v>
      </c>
      <c r="D9532" t="s">
        <v>17</v>
      </c>
      <c r="E9532" s="6">
        <v>-28371</v>
      </c>
      <c r="F9532" t="s">
        <v>401</v>
      </c>
      <c r="G9532" t="s">
        <v>63</v>
      </c>
      <c r="H9532" t="s">
        <v>20</v>
      </c>
      <c r="I9532" t="s">
        <v>18467</v>
      </c>
      <c r="J9532" t="str">
        <f>HYPERLINK("https://www.boe.es/gazeta/dias/1822/04/27/pdfs/GMD-1822-119.pdf#page=6","Abrir facsímil")</f>
        <v>Abrir facsímil</v>
      </c>
      <c r="K9532" t="s">
        <v>22</v>
      </c>
    </row>
    <row r="9533" spans="1:11" ht="42" customHeight="1">
      <c r="A9533" t="s">
        <v>18468</v>
      </c>
      <c r="B9533" t="s">
        <v>18469</v>
      </c>
      <c r="C9533" t="s">
        <v>24</v>
      </c>
      <c r="D9533" t="s">
        <v>17</v>
      </c>
      <c r="E9533" s="6">
        <v>-28308</v>
      </c>
      <c r="F9533" t="s">
        <v>1050</v>
      </c>
      <c r="G9533" t="s">
        <v>167</v>
      </c>
      <c r="H9533" t="s">
        <v>20</v>
      </c>
      <c r="I9533" t="s">
        <v>18470</v>
      </c>
      <c r="J9533" t="str">
        <f>HYPERLINK("https://www.boe.es/gazeta/dias/1822/06/29/pdfs/GMD-1822-187.pdf#page=7","Abrir facsímil")</f>
        <v>Abrir facsímil</v>
      </c>
      <c r="K9533" t="s">
        <v>22</v>
      </c>
    </row>
    <row r="9534" spans="1:11" ht="42" customHeight="1">
      <c r="A9534" t="s">
        <v>18471</v>
      </c>
      <c r="B9534" t="s">
        <v>18471</v>
      </c>
      <c r="C9534" t="s">
        <v>50</v>
      </c>
      <c r="D9534" t="s">
        <v>51</v>
      </c>
      <c r="E9534" s="6">
        <v>-28127</v>
      </c>
      <c r="F9534" t="s">
        <v>409</v>
      </c>
      <c r="G9534" t="s">
        <v>44</v>
      </c>
      <c r="H9534" t="s">
        <v>20</v>
      </c>
      <c r="I9534" t="s">
        <v>18472</v>
      </c>
      <c r="J9534" t="str">
        <f>HYPERLINK("https://www.boe.es/gazeta/dias/1822/12/27/pdfs/GMD-1822-377.pdf#page=1","Abrir facsímil")</f>
        <v>Abrir facsímil</v>
      </c>
      <c r="K9534" t="s">
        <v>22</v>
      </c>
    </row>
    <row r="9535" spans="1:11" ht="42" customHeight="1">
      <c r="A9535" t="s">
        <v>18473</v>
      </c>
      <c r="B9535" t="s">
        <v>18473</v>
      </c>
      <c r="C9535" t="s">
        <v>50</v>
      </c>
      <c r="D9535" t="s">
        <v>51</v>
      </c>
      <c r="E9535" s="6">
        <v>-28202</v>
      </c>
      <c r="F9535" t="s">
        <v>922</v>
      </c>
      <c r="G9535" t="s">
        <v>923</v>
      </c>
      <c r="H9535" t="s">
        <v>20</v>
      </c>
      <c r="I9535" t="s">
        <v>18474</v>
      </c>
      <c r="J9535" t="str">
        <f>HYPERLINK("https://www.boe.es/gazeta/dias/1822/10/13/pdfs/GMD-1822-300.pdf#page=2","Abrir facsímil")</f>
        <v>Abrir facsímil</v>
      </c>
      <c r="K9535" t="s">
        <v>22</v>
      </c>
    </row>
    <row r="9536" spans="1:11" ht="42" customHeight="1">
      <c r="A9536" t="s">
        <v>18475</v>
      </c>
      <c r="B9536" t="s">
        <v>18476</v>
      </c>
      <c r="C9536" t="s">
        <v>50</v>
      </c>
      <c r="D9536" t="s">
        <v>51</v>
      </c>
      <c r="E9536" s="6">
        <v>-28391</v>
      </c>
      <c r="F9536" t="s">
        <v>378</v>
      </c>
      <c r="G9536" t="s">
        <v>63</v>
      </c>
      <c r="H9536" t="s">
        <v>20</v>
      </c>
      <c r="I9536" t="s">
        <v>18477</v>
      </c>
      <c r="J9536" t="str">
        <f>HYPERLINK("https://www.boe.es/gazeta/dias/1822/04/07/pdfs/GMD-1822-99.pdf#page=6","Abrir facsímil")</f>
        <v>Abrir facsímil</v>
      </c>
      <c r="K9536" t="s">
        <v>22</v>
      </c>
    </row>
    <row r="9537" spans="1:11" ht="42" customHeight="1">
      <c r="A9537" t="s">
        <v>18478</v>
      </c>
      <c r="B9537" t="s">
        <v>18479</v>
      </c>
      <c r="C9537" t="s">
        <v>50</v>
      </c>
      <c r="D9537" t="s">
        <v>51</v>
      </c>
      <c r="E9537" s="6">
        <v>-28303</v>
      </c>
      <c r="F9537" t="s">
        <v>201</v>
      </c>
      <c r="G9537" t="s">
        <v>57</v>
      </c>
      <c r="H9537" t="s">
        <v>20</v>
      </c>
      <c r="I9537" t="s">
        <v>18480</v>
      </c>
      <c r="J9537" t="str">
        <f>HYPERLINK("https://www.boe.es/gazeta/dias/1822/07/04/pdfs/GMD-1822-193.pdf#page=4","Abrir facsímil")</f>
        <v>Abrir facsímil</v>
      </c>
      <c r="K9537" t="s">
        <v>22</v>
      </c>
    </row>
    <row r="9538" spans="1:11" ht="42" customHeight="1">
      <c r="A9538" t="s">
        <v>18481</v>
      </c>
      <c r="B9538" t="s">
        <v>18482</v>
      </c>
      <c r="C9538" t="s">
        <v>50</v>
      </c>
      <c r="D9538" t="s">
        <v>51</v>
      </c>
      <c r="E9538" s="6">
        <v>-28324</v>
      </c>
      <c r="F9538" t="s">
        <v>305</v>
      </c>
      <c r="G9538" t="s">
        <v>35</v>
      </c>
      <c r="H9538" t="s">
        <v>20</v>
      </c>
      <c r="I9538" t="s">
        <v>18483</v>
      </c>
      <c r="J9538" t="str">
        <f>HYPERLINK("https://www.boe.es/gazeta/dias/1822/06/13/pdfs/GMD-1822-170.pdf#page=2","Abrir facsímil")</f>
        <v>Abrir facsímil</v>
      </c>
      <c r="K9538" t="s">
        <v>22</v>
      </c>
    </row>
    <row r="9539" spans="1:11" ht="42" customHeight="1">
      <c r="A9539" t="s">
        <v>18484</v>
      </c>
      <c r="B9539" t="s">
        <v>18485</v>
      </c>
      <c r="C9539" t="s">
        <v>28</v>
      </c>
      <c r="D9539" t="s">
        <v>29</v>
      </c>
      <c r="E9539" s="6">
        <v>-28269</v>
      </c>
      <c r="F9539" t="s">
        <v>5517</v>
      </c>
      <c r="G9539" t="s">
        <v>57</v>
      </c>
      <c r="H9539" t="s">
        <v>20</v>
      </c>
      <c r="I9539" t="s">
        <v>18486</v>
      </c>
      <c r="J9539" t="str">
        <f>HYPERLINK("https://www.boe.es/gazeta/dias/1822/08/07/pdfs/GMD-1822-231.pdf#page=4","Abrir facsímil")</f>
        <v>Abrir facsímil</v>
      </c>
      <c r="K9539" t="s">
        <v>22</v>
      </c>
    </row>
    <row r="9540" spans="1:11" ht="42" customHeight="1">
      <c r="A9540" t="s">
        <v>18487</v>
      </c>
      <c r="B9540" t="s">
        <v>18488</v>
      </c>
      <c r="C9540" t="s">
        <v>50</v>
      </c>
      <c r="D9540" t="s">
        <v>51</v>
      </c>
      <c r="E9540" s="6">
        <v>-28265</v>
      </c>
      <c r="F9540" t="s">
        <v>1263</v>
      </c>
      <c r="G9540" t="s">
        <v>57</v>
      </c>
      <c r="H9540" t="s">
        <v>20</v>
      </c>
      <c r="I9540" t="s">
        <v>18489</v>
      </c>
      <c r="J9540" t="str">
        <f>HYPERLINK("https://www.boe.es/gazeta/dias/1822/08/11/pdfs/GMD-1822-235.pdf#page=4","Abrir facsímil")</f>
        <v>Abrir facsímil</v>
      </c>
      <c r="K9540" t="s">
        <v>22</v>
      </c>
    </row>
    <row r="9541" spans="1:11" ht="42" customHeight="1">
      <c r="A9541" t="s">
        <v>18490</v>
      </c>
      <c r="B9541" t="s">
        <v>18491</v>
      </c>
      <c r="C9541" t="s">
        <v>61</v>
      </c>
      <c r="D9541" t="s">
        <v>17</v>
      </c>
      <c r="E9541" s="6">
        <v>-28240</v>
      </c>
      <c r="F9541" t="s">
        <v>678</v>
      </c>
      <c r="G9541" t="s">
        <v>31</v>
      </c>
      <c r="H9541" t="s">
        <v>20</v>
      </c>
      <c r="I9541" t="s">
        <v>18492</v>
      </c>
      <c r="J9541" t="str">
        <f>HYPERLINK("https://www.boe.es/gazeta/dias/1822/09/05/pdfs/GMD-1822-260.pdf#page=3","Abrir facsímil")</f>
        <v>Abrir facsímil</v>
      </c>
      <c r="K9541" t="s">
        <v>22</v>
      </c>
    </row>
    <row r="9542" spans="1:11" ht="42" customHeight="1">
      <c r="A9542" t="s">
        <v>18493</v>
      </c>
      <c r="B9542" t="s">
        <v>18494</v>
      </c>
      <c r="C9542" t="s">
        <v>42</v>
      </c>
      <c r="D9542" t="s">
        <v>17</v>
      </c>
      <c r="E9542" s="6">
        <v>-28146</v>
      </c>
      <c r="F9542" t="s">
        <v>180</v>
      </c>
      <c r="G9542" t="s">
        <v>57</v>
      </c>
      <c r="H9542" t="s">
        <v>20</v>
      </c>
      <c r="I9542" t="s">
        <v>18495</v>
      </c>
      <c r="J9542" t="str">
        <f>HYPERLINK("https://www.boe.es/gazeta/dias/1822/12/08/pdfs/GMD-1822-358.pdf#page=4","Abrir facsímil")</f>
        <v>Abrir facsímil</v>
      </c>
      <c r="K9542" t="s">
        <v>22</v>
      </c>
    </row>
    <row r="9543" spans="1:11" ht="42" customHeight="1">
      <c r="A9543" t="s">
        <v>18496</v>
      </c>
      <c r="B9543" t="s">
        <v>18497</v>
      </c>
      <c r="C9543" t="s">
        <v>50</v>
      </c>
      <c r="D9543" t="s">
        <v>51</v>
      </c>
      <c r="E9543" s="6">
        <v>-28143</v>
      </c>
      <c r="F9543" t="s">
        <v>2967</v>
      </c>
      <c r="G9543" t="s">
        <v>57</v>
      </c>
      <c r="H9543" t="s">
        <v>20</v>
      </c>
      <c r="I9543" t="s">
        <v>18498</v>
      </c>
      <c r="J9543" t="str">
        <f>HYPERLINK("https://www.boe.es/gazeta/dias/1822/12/11/pdfs/GMD-1822-361.pdf#page=4","Abrir facsímil")</f>
        <v>Abrir facsímil</v>
      </c>
      <c r="K9543" t="s">
        <v>22</v>
      </c>
    </row>
    <row r="9544" spans="1:11" ht="42" customHeight="1">
      <c r="A9544" t="s">
        <v>18499</v>
      </c>
      <c r="B9544" t="s">
        <v>18500</v>
      </c>
      <c r="C9544" t="s">
        <v>16</v>
      </c>
      <c r="D9544" t="s">
        <v>17</v>
      </c>
      <c r="E9544" s="6">
        <v>-28240</v>
      </c>
      <c r="F9544" t="s">
        <v>678</v>
      </c>
      <c r="G9544" t="s">
        <v>31</v>
      </c>
      <c r="H9544" t="s">
        <v>20</v>
      </c>
      <c r="I9544" t="s">
        <v>18501</v>
      </c>
      <c r="J9544" t="str">
        <f>HYPERLINK("https://www.boe.es/gazeta/dias/1822/09/05/pdfs/GMD-1822-260.pdf#page=3","Abrir facsímil")</f>
        <v>Abrir facsímil</v>
      </c>
      <c r="K9544" t="s">
        <v>22</v>
      </c>
    </row>
    <row r="9545" spans="1:11" ht="42" customHeight="1">
      <c r="A9545" t="s">
        <v>18502</v>
      </c>
      <c r="B9545" t="s">
        <v>18503</v>
      </c>
      <c r="C9545" t="s">
        <v>42</v>
      </c>
      <c r="D9545" t="s">
        <v>17</v>
      </c>
      <c r="E9545" s="6">
        <v>-28473</v>
      </c>
      <c r="F9545" t="s">
        <v>2337</v>
      </c>
      <c r="G9545" t="s">
        <v>167</v>
      </c>
      <c r="H9545" t="s">
        <v>20</v>
      </c>
      <c r="I9545" t="s">
        <v>18504</v>
      </c>
      <c r="J9545" t="str">
        <f>HYPERLINK("https://www.boe.es/gazeta/dias/1822/01/15/pdfs/GMD-1822-15.pdf#page=7","Abrir facsímil")</f>
        <v>Abrir facsímil</v>
      </c>
      <c r="K9545" t="s">
        <v>22</v>
      </c>
    </row>
    <row r="9546" spans="1:11" ht="42" customHeight="1">
      <c r="A9546" t="s">
        <v>18505</v>
      </c>
      <c r="B9546" t="s">
        <v>18505</v>
      </c>
      <c r="C9546" t="s">
        <v>50</v>
      </c>
      <c r="D9546" t="s">
        <v>51</v>
      </c>
      <c r="E9546" s="6">
        <v>-28410</v>
      </c>
      <c r="F9546" t="s">
        <v>966</v>
      </c>
      <c r="G9546" t="s">
        <v>35</v>
      </c>
      <c r="H9546" t="s">
        <v>20</v>
      </c>
      <c r="I9546" t="s">
        <v>18506</v>
      </c>
      <c r="J9546" t="str">
        <f>HYPERLINK("https://www.boe.es/gazeta/dias/1822/03/19/pdfs/GMD-1822-80.pdf#page=2","Abrir facsímil")</f>
        <v>Abrir facsímil</v>
      </c>
      <c r="K9546" t="s">
        <v>22</v>
      </c>
    </row>
    <row r="9547" spans="1:11" ht="42" customHeight="1">
      <c r="A9547" t="s">
        <v>18507</v>
      </c>
      <c r="B9547" t="s">
        <v>18508</v>
      </c>
      <c r="C9547" t="s">
        <v>50</v>
      </c>
      <c r="D9547" t="s">
        <v>51</v>
      </c>
      <c r="E9547" s="6">
        <v>-28317</v>
      </c>
      <c r="F9547" t="s">
        <v>546</v>
      </c>
      <c r="G9547" t="s">
        <v>157</v>
      </c>
      <c r="H9547" t="s">
        <v>20</v>
      </c>
      <c r="I9547" t="s">
        <v>18509</v>
      </c>
      <c r="J9547" t="str">
        <f>HYPERLINK("https://www.boe.es/gazeta/dias/1822/06/20/pdfs/GMD-1822-177.pdf#page=8","Abrir facsímil")</f>
        <v>Abrir facsímil</v>
      </c>
      <c r="K9547" t="s">
        <v>22</v>
      </c>
    </row>
    <row r="9548" spans="1:11" ht="42" customHeight="1">
      <c r="A9548" t="s">
        <v>18510</v>
      </c>
      <c r="B9548" t="s">
        <v>18511</v>
      </c>
      <c r="C9548" t="s">
        <v>61</v>
      </c>
      <c r="D9548" t="s">
        <v>17</v>
      </c>
      <c r="E9548" s="6">
        <v>-28383</v>
      </c>
      <c r="F9548" t="s">
        <v>488</v>
      </c>
      <c r="G9548" t="s">
        <v>63</v>
      </c>
      <c r="H9548" t="s">
        <v>20</v>
      </c>
      <c r="I9548" t="s">
        <v>18512</v>
      </c>
      <c r="J9548" t="str">
        <f>HYPERLINK("https://www.boe.es/gazeta/dias/1822/04/15/pdfs/GMD-1822-107.pdf#page=6","Abrir facsímil")</f>
        <v>Abrir facsímil</v>
      </c>
      <c r="K9548" t="s">
        <v>22</v>
      </c>
    </row>
    <row r="9549" spans="1:11" ht="42" customHeight="1">
      <c r="A9549" t="s">
        <v>18513</v>
      </c>
      <c r="B9549" t="s">
        <v>18514</v>
      </c>
      <c r="C9549" t="s">
        <v>50</v>
      </c>
      <c r="D9549" t="s">
        <v>51</v>
      </c>
      <c r="E9549" s="6">
        <v>-28265</v>
      </c>
      <c r="F9549" t="s">
        <v>1263</v>
      </c>
      <c r="G9549" t="s">
        <v>57</v>
      </c>
      <c r="H9549" t="s">
        <v>20</v>
      </c>
      <c r="I9549" t="s">
        <v>18515</v>
      </c>
      <c r="J9549" t="str">
        <f>HYPERLINK("https://www.boe.es/gazeta/dias/1822/08/11/pdfs/GMD-1822-235.pdf#page=4","Abrir facsímil")</f>
        <v>Abrir facsímil</v>
      </c>
      <c r="K9549" t="s">
        <v>22</v>
      </c>
    </row>
    <row r="9550" spans="1:11" ht="42" customHeight="1">
      <c r="A9550" t="s">
        <v>18516</v>
      </c>
      <c r="B9550" t="s">
        <v>18517</v>
      </c>
      <c r="C9550" t="s">
        <v>28</v>
      </c>
      <c r="D9550" t="s">
        <v>29</v>
      </c>
      <c r="E9550" s="6">
        <v>-28127</v>
      </c>
      <c r="F9550" t="s">
        <v>409</v>
      </c>
      <c r="G9550" t="s">
        <v>19</v>
      </c>
      <c r="H9550" t="s">
        <v>20</v>
      </c>
      <c r="I9550" t="s">
        <v>18518</v>
      </c>
      <c r="J9550" t="str">
        <f>HYPERLINK("https://www.boe.es/gazeta/dias/1822/12/27/pdfs/GMD-1822-377.pdf#page=5","Abrir facsímil")</f>
        <v>Abrir facsímil</v>
      </c>
      <c r="K9550" t="s">
        <v>22</v>
      </c>
    </row>
    <row r="9551" spans="1:11" ht="42" customHeight="1">
      <c r="A9551" t="s">
        <v>18519</v>
      </c>
      <c r="B9551" t="s">
        <v>18520</v>
      </c>
      <c r="C9551" t="s">
        <v>50</v>
      </c>
      <c r="D9551" t="s">
        <v>51</v>
      </c>
      <c r="E9551" s="6">
        <v>-28292</v>
      </c>
      <c r="F9551" t="s">
        <v>222</v>
      </c>
      <c r="G9551" t="s">
        <v>31</v>
      </c>
      <c r="H9551" t="s">
        <v>20</v>
      </c>
      <c r="I9551" t="s">
        <v>18521</v>
      </c>
      <c r="J9551" t="str">
        <f>HYPERLINK("https://www.boe.es/gazeta/dias/1822/07/15/pdfs/GMD-1822-205.pdf#page=3","Abrir facsímil")</f>
        <v>Abrir facsímil</v>
      </c>
      <c r="K9551" t="s">
        <v>22</v>
      </c>
    </row>
    <row r="9552" spans="1:11" ht="42" customHeight="1">
      <c r="A9552" t="s">
        <v>18522</v>
      </c>
      <c r="B9552" t="s">
        <v>18523</v>
      </c>
      <c r="C9552" t="s">
        <v>42</v>
      </c>
      <c r="D9552" t="s">
        <v>17</v>
      </c>
      <c r="E9552" s="6">
        <v>-28234</v>
      </c>
      <c r="F9552" t="s">
        <v>1331</v>
      </c>
      <c r="G9552" t="s">
        <v>35</v>
      </c>
      <c r="H9552" t="s">
        <v>20</v>
      </c>
      <c r="I9552" t="s">
        <v>18524</v>
      </c>
      <c r="J9552" t="str">
        <f>HYPERLINK("https://www.boe.es/gazeta/dias/1822/09/11/pdfs/GMD-1822-267.pdf#page=2","Abrir facsímil")</f>
        <v>Abrir facsímil</v>
      </c>
      <c r="K9552" t="s">
        <v>22</v>
      </c>
    </row>
    <row r="9553" spans="1:11" ht="42" customHeight="1">
      <c r="A9553" t="s">
        <v>18525</v>
      </c>
      <c r="B9553" t="s">
        <v>18526</v>
      </c>
      <c r="C9553" t="s">
        <v>16</v>
      </c>
      <c r="D9553" t="s">
        <v>17</v>
      </c>
      <c r="E9553" s="6">
        <v>-28363</v>
      </c>
      <c r="F9553" t="s">
        <v>72</v>
      </c>
      <c r="G9553" t="s">
        <v>31</v>
      </c>
      <c r="H9553" t="s">
        <v>20</v>
      </c>
      <c r="I9553" t="s">
        <v>18527</v>
      </c>
      <c r="J9553" t="str">
        <f>HYPERLINK("https://www.boe.es/gazeta/dias/1822/05/05/pdfs/GMD-1822-127.pdf#page=3","Abrir facsímil")</f>
        <v>Abrir facsímil</v>
      </c>
      <c r="K9553" t="s">
        <v>22</v>
      </c>
    </row>
    <row r="9554" spans="1:11" ht="42" customHeight="1">
      <c r="A9554" t="s">
        <v>18528</v>
      </c>
      <c r="B9554" t="s">
        <v>18529</v>
      </c>
      <c r="C9554" t="s">
        <v>50</v>
      </c>
      <c r="D9554" t="s">
        <v>51</v>
      </c>
      <c r="E9554" s="6">
        <v>-28410</v>
      </c>
      <c r="F9554" t="s">
        <v>966</v>
      </c>
      <c r="G9554" t="s">
        <v>35</v>
      </c>
      <c r="H9554" t="s">
        <v>20</v>
      </c>
      <c r="I9554" t="s">
        <v>18530</v>
      </c>
      <c r="J9554" t="str">
        <f>HYPERLINK("https://www.boe.es/gazeta/dias/1822/03/19/pdfs/GMD-1822-80.pdf#page=2","Abrir facsímil")</f>
        <v>Abrir facsímil</v>
      </c>
      <c r="K9554" t="s">
        <v>22</v>
      </c>
    </row>
    <row r="9555" spans="1:11" ht="42" customHeight="1">
      <c r="A9555" t="s">
        <v>18531</v>
      </c>
      <c r="B9555" t="s">
        <v>18532</v>
      </c>
      <c r="C9555" t="s">
        <v>28</v>
      </c>
      <c r="D9555" t="s">
        <v>29</v>
      </c>
      <c r="E9555" s="6">
        <v>-28243</v>
      </c>
      <c r="F9555" t="s">
        <v>1829</v>
      </c>
      <c r="G9555" t="s">
        <v>57</v>
      </c>
      <c r="H9555" t="s">
        <v>20</v>
      </c>
      <c r="I9555" t="s">
        <v>18533</v>
      </c>
      <c r="J9555" t="str">
        <f>HYPERLINK("https://www.boe.es/gazeta/dias/1822/09/02/pdfs/GMD-1822-257.pdf#page=4","Abrir facsímil")</f>
        <v>Abrir facsímil</v>
      </c>
      <c r="K9555" t="s">
        <v>22</v>
      </c>
    </row>
    <row r="9556" spans="1:11" ht="42" customHeight="1">
      <c r="A9556" t="s">
        <v>18534</v>
      </c>
      <c r="B9556" t="s">
        <v>18535</v>
      </c>
      <c r="C9556" t="s">
        <v>42</v>
      </c>
      <c r="D9556" t="s">
        <v>17</v>
      </c>
      <c r="E9556" s="6">
        <v>-28192</v>
      </c>
      <c r="F9556" t="s">
        <v>43</v>
      </c>
      <c r="G9556" t="s">
        <v>19</v>
      </c>
      <c r="H9556" t="s">
        <v>20</v>
      </c>
      <c r="I9556" t="s">
        <v>18536</v>
      </c>
      <c r="J9556" t="str">
        <f>HYPERLINK("https://www.boe.es/gazeta/dias/1822/10/23/pdfs/GMD-1822-310.pdf#page=5","Abrir facsímil")</f>
        <v>Abrir facsímil</v>
      </c>
      <c r="K9556" t="s">
        <v>22</v>
      </c>
    </row>
    <row r="9557" spans="1:11" ht="42" customHeight="1">
      <c r="A9557" t="s">
        <v>18537</v>
      </c>
      <c r="B9557" t="s">
        <v>18538</v>
      </c>
      <c r="C9557" t="s">
        <v>50</v>
      </c>
      <c r="D9557" t="s">
        <v>51</v>
      </c>
      <c r="E9557" s="6">
        <v>-28289</v>
      </c>
      <c r="F9557" t="s">
        <v>390</v>
      </c>
      <c r="G9557" t="s">
        <v>35</v>
      </c>
      <c r="H9557" t="s">
        <v>20</v>
      </c>
      <c r="I9557" t="s">
        <v>18539</v>
      </c>
      <c r="J9557" t="str">
        <f>HYPERLINK("https://www.boe.es/gazeta/dias/1822/07/18/pdfs/GMD-1822-209.pdf#page=2","Abrir facsímil")</f>
        <v>Abrir facsímil</v>
      </c>
      <c r="K9557" t="s">
        <v>22</v>
      </c>
    </row>
    <row r="9558" spans="1:11" ht="42" customHeight="1">
      <c r="A9558" t="s">
        <v>18540</v>
      </c>
      <c r="B9558" t="s">
        <v>18541</v>
      </c>
      <c r="C9558" t="s">
        <v>42</v>
      </c>
      <c r="D9558" t="s">
        <v>17</v>
      </c>
      <c r="E9558" s="6">
        <v>-28160</v>
      </c>
      <c r="F9558" t="s">
        <v>148</v>
      </c>
      <c r="G9558" t="s">
        <v>19</v>
      </c>
      <c r="H9558" t="s">
        <v>20</v>
      </c>
      <c r="I9558" t="s">
        <v>18542</v>
      </c>
      <c r="J9558" t="str">
        <f>HYPERLINK("https://www.boe.es/gazeta/dias/1822/11/24/pdfs/GMD-1822-344.pdf#page=5","Abrir facsímil")</f>
        <v>Abrir facsímil</v>
      </c>
      <c r="K9558" t="s">
        <v>22</v>
      </c>
    </row>
    <row r="9559" spans="1:11" ht="42" customHeight="1">
      <c r="A9559" t="s">
        <v>18543</v>
      </c>
      <c r="B9559" t="s">
        <v>18543</v>
      </c>
      <c r="C9559" t="s">
        <v>28</v>
      </c>
      <c r="D9559" t="s">
        <v>29</v>
      </c>
      <c r="E9559" s="6">
        <v>-28192</v>
      </c>
      <c r="F9559" t="s">
        <v>43</v>
      </c>
      <c r="G9559" t="s">
        <v>157</v>
      </c>
      <c r="H9559" t="s">
        <v>20</v>
      </c>
      <c r="I9559" t="s">
        <v>18544</v>
      </c>
      <c r="J9559" t="str">
        <f>HYPERLINK("https://www.boe.es/gazeta/dias/1822/10/23/pdfs/GMD-1822-310.pdf#page=8","Abrir facsímil")</f>
        <v>Abrir facsímil</v>
      </c>
      <c r="K9559" t="s">
        <v>22</v>
      </c>
    </row>
    <row r="9560" spans="1:11" ht="42" customHeight="1">
      <c r="A9560" t="s">
        <v>18543</v>
      </c>
      <c r="B9560" t="s">
        <v>18543</v>
      </c>
      <c r="C9560" t="s">
        <v>28</v>
      </c>
      <c r="D9560" t="s">
        <v>29</v>
      </c>
      <c r="E9560" s="6">
        <v>-28140</v>
      </c>
      <c r="F9560" t="s">
        <v>84</v>
      </c>
      <c r="G9560" t="s">
        <v>31</v>
      </c>
      <c r="H9560" t="s">
        <v>20</v>
      </c>
      <c r="I9560" t="s">
        <v>18545</v>
      </c>
      <c r="J9560" t="str">
        <f>HYPERLINK("https://www.boe.es/gazeta/dias/1822/12/14/pdfs/GMD-1822-364.pdf#page=3","Abrir facsímil")</f>
        <v>Abrir facsímil</v>
      </c>
      <c r="K9560" t="s">
        <v>22</v>
      </c>
    </row>
    <row r="9561" spans="1:11" ht="42" customHeight="1">
      <c r="A9561" t="s">
        <v>18546</v>
      </c>
      <c r="B9561" t="s">
        <v>18547</v>
      </c>
      <c r="C9561" t="s">
        <v>42</v>
      </c>
      <c r="D9561" t="s">
        <v>17</v>
      </c>
      <c r="E9561" s="6">
        <v>-28448</v>
      </c>
      <c r="F9561" t="s">
        <v>1670</v>
      </c>
      <c r="G9561" t="s">
        <v>31</v>
      </c>
      <c r="H9561" t="s">
        <v>20</v>
      </c>
      <c r="I9561" t="s">
        <v>18548</v>
      </c>
      <c r="J9561" t="str">
        <f>HYPERLINK("https://www.boe.es/gazeta/dias/1822/02/09/pdfs/GMD-1822-40.pdf#page=3","Abrir facsímil")</f>
        <v>Abrir facsímil</v>
      </c>
      <c r="K9561" t="s">
        <v>22</v>
      </c>
    </row>
    <row r="9562" spans="1:11" ht="42" customHeight="1">
      <c r="A9562" t="s">
        <v>18549</v>
      </c>
      <c r="B9562" t="s">
        <v>18550</v>
      </c>
      <c r="C9562" t="s">
        <v>1141</v>
      </c>
      <c r="D9562" t="s">
        <v>29</v>
      </c>
      <c r="E9562" s="6">
        <v>-28145</v>
      </c>
      <c r="F9562" t="s">
        <v>1350</v>
      </c>
      <c r="G9562" t="s">
        <v>63</v>
      </c>
      <c r="H9562" t="s">
        <v>20</v>
      </c>
      <c r="I9562" t="s">
        <v>18551</v>
      </c>
      <c r="J9562" t="str">
        <f>HYPERLINK("https://www.boe.es/gazeta/dias/1822/12/09/pdfs/GMD-1822-359.pdf#page=6","Abrir facsímil")</f>
        <v>Abrir facsímil</v>
      </c>
      <c r="K9562" t="s">
        <v>22</v>
      </c>
    </row>
    <row r="9563" spans="1:11" ht="42" customHeight="1">
      <c r="A9563" t="s">
        <v>18552</v>
      </c>
      <c r="B9563" t="s">
        <v>18553</v>
      </c>
      <c r="C9563" t="s">
        <v>24</v>
      </c>
      <c r="D9563" t="s">
        <v>17</v>
      </c>
      <c r="E9563" s="6">
        <v>-28385</v>
      </c>
      <c r="F9563" t="s">
        <v>484</v>
      </c>
      <c r="G9563" t="s">
        <v>63</v>
      </c>
      <c r="H9563" t="s">
        <v>20</v>
      </c>
      <c r="I9563" t="s">
        <v>18554</v>
      </c>
      <c r="J9563" t="str">
        <f>HYPERLINK("https://www.boe.es/gazeta/dias/1822/04/13/pdfs/GMD-1822-105.pdf#page=6","Abrir facsímil")</f>
        <v>Abrir facsímil</v>
      </c>
      <c r="K9563" t="s">
        <v>22</v>
      </c>
    </row>
    <row r="9564" spans="1:11" ht="42" customHeight="1">
      <c r="A9564" t="s">
        <v>18555</v>
      </c>
      <c r="B9564" t="s">
        <v>18556</v>
      </c>
      <c r="C9564" t="s">
        <v>50</v>
      </c>
      <c r="D9564" t="s">
        <v>51</v>
      </c>
      <c r="E9564" s="6">
        <v>-28391</v>
      </c>
      <c r="F9564" t="s">
        <v>378</v>
      </c>
      <c r="G9564" t="s">
        <v>63</v>
      </c>
      <c r="H9564" t="s">
        <v>20</v>
      </c>
      <c r="I9564" t="s">
        <v>18557</v>
      </c>
      <c r="J9564" t="str">
        <f>HYPERLINK("https://www.boe.es/gazeta/dias/1822/04/07/pdfs/GMD-1822-99.pdf#page=6","Abrir facsímil")</f>
        <v>Abrir facsímil</v>
      </c>
      <c r="K9564" t="s">
        <v>22</v>
      </c>
    </row>
    <row r="9565" spans="1:11" ht="42" customHeight="1">
      <c r="A9565" t="s">
        <v>18558</v>
      </c>
      <c r="B9565" t="s">
        <v>18559</v>
      </c>
      <c r="C9565" t="s">
        <v>42</v>
      </c>
      <c r="D9565" t="s">
        <v>17</v>
      </c>
      <c r="E9565" s="6">
        <v>-28225</v>
      </c>
      <c r="F9565" t="s">
        <v>177</v>
      </c>
      <c r="G9565" t="s">
        <v>178</v>
      </c>
      <c r="H9565" t="s">
        <v>20</v>
      </c>
      <c r="I9565" t="s">
        <v>18560</v>
      </c>
      <c r="J9565" t="str">
        <f>HYPERLINK("https://www.boe.es/gazeta/dias/1822/09/20/pdfs/GMD-1822-276.pdf#page=3","Abrir facsímil")</f>
        <v>Abrir facsímil</v>
      </c>
      <c r="K9565" t="s">
        <v>22</v>
      </c>
    </row>
    <row r="9566" spans="1:11" ht="42" customHeight="1">
      <c r="A9566" t="s">
        <v>18561</v>
      </c>
      <c r="B9566" t="s">
        <v>18562</v>
      </c>
      <c r="C9566" t="s">
        <v>362</v>
      </c>
      <c r="D9566" t="s">
        <v>17</v>
      </c>
      <c r="E9566" s="6">
        <v>-28367</v>
      </c>
      <c r="F9566" t="s">
        <v>280</v>
      </c>
      <c r="G9566" t="s">
        <v>63</v>
      </c>
      <c r="H9566" t="s">
        <v>20</v>
      </c>
      <c r="I9566" t="s">
        <v>18563</v>
      </c>
      <c r="J9566" t="str">
        <f>HYPERLINK("https://www.boe.es/gazeta/dias/1822/05/01/pdfs/GMD-1822-123.pdf#page=6","Abrir facsímil")</f>
        <v>Abrir facsímil</v>
      </c>
      <c r="K9566" t="s">
        <v>22</v>
      </c>
    </row>
    <row r="9567" spans="1:11" ht="42" customHeight="1">
      <c r="A9567" t="s">
        <v>18564</v>
      </c>
      <c r="B9567" t="s">
        <v>18565</v>
      </c>
      <c r="C9567" t="s">
        <v>24</v>
      </c>
      <c r="D9567" t="s">
        <v>17</v>
      </c>
      <c r="E9567" s="6">
        <v>-28139</v>
      </c>
      <c r="F9567" t="s">
        <v>143</v>
      </c>
      <c r="G9567" t="s">
        <v>144</v>
      </c>
      <c r="H9567" t="s">
        <v>45</v>
      </c>
      <c r="I9567" t="s">
        <v>18566</v>
      </c>
      <c r="J9567" t="str">
        <f>HYPERLINK("https://www.boe.es/gazeta/dias/1822/12/15/pdfs/GMD-1822-365.pdf#page=4","Abrir facsímil")</f>
        <v>Abrir facsímil</v>
      </c>
      <c r="K9567" t="s">
        <v>47</v>
      </c>
    </row>
    <row r="9568" spans="1:11" ht="42" customHeight="1">
      <c r="A9568" t="s">
        <v>18567</v>
      </c>
      <c r="B9568" t="s">
        <v>18568</v>
      </c>
      <c r="C9568" t="s">
        <v>50</v>
      </c>
      <c r="D9568" t="s">
        <v>51</v>
      </c>
      <c r="E9568" s="6">
        <v>-28255</v>
      </c>
      <c r="F9568" t="s">
        <v>4826</v>
      </c>
      <c r="G9568" t="s">
        <v>31</v>
      </c>
      <c r="H9568" t="s">
        <v>20</v>
      </c>
      <c r="I9568" t="s">
        <v>18569</v>
      </c>
      <c r="J9568" t="str">
        <f>HYPERLINK("https://www.boe.es/gazeta/dias/1822/08/21/pdfs/GMD-1822-245.pdf#page=3","Abrir facsímil")</f>
        <v>Abrir facsímil</v>
      </c>
      <c r="K9568" t="s">
        <v>22</v>
      </c>
    </row>
    <row r="9569" spans="1:11" ht="42" customHeight="1">
      <c r="A9569" t="s">
        <v>18570</v>
      </c>
      <c r="B9569" t="s">
        <v>18571</v>
      </c>
      <c r="C9569" t="s">
        <v>16</v>
      </c>
      <c r="D9569" t="s">
        <v>17</v>
      </c>
      <c r="E9569" s="6">
        <v>-28361</v>
      </c>
      <c r="F9569" t="s">
        <v>374</v>
      </c>
      <c r="G9569" t="s">
        <v>63</v>
      </c>
      <c r="H9569" t="s">
        <v>20</v>
      </c>
      <c r="I9569" t="s">
        <v>18572</v>
      </c>
      <c r="J9569" t="str">
        <f>HYPERLINK("https://www.boe.es/gazeta/dias/1822/05/07/pdfs/GMD-1822-129.pdf#page=6","Abrir facsímil")</f>
        <v>Abrir facsímil</v>
      </c>
      <c r="K9569" t="s">
        <v>22</v>
      </c>
    </row>
    <row r="9570" spans="1:11" ht="42" customHeight="1">
      <c r="A9570" t="s">
        <v>18573</v>
      </c>
      <c r="B9570" t="s">
        <v>18574</v>
      </c>
      <c r="C9570" t="s">
        <v>362</v>
      </c>
      <c r="D9570" t="s">
        <v>17</v>
      </c>
      <c r="E9570" s="6">
        <v>-28254</v>
      </c>
      <c r="F9570" t="s">
        <v>3557</v>
      </c>
      <c r="G9570" t="s">
        <v>57</v>
      </c>
      <c r="H9570" t="s">
        <v>20</v>
      </c>
      <c r="I9570" t="s">
        <v>18575</v>
      </c>
      <c r="J9570" t="str">
        <f>HYPERLINK("https://www.boe.es/gazeta/dias/1822/08/22/pdfs/GMD-1822-246.pdf#page=4","Abrir facsímil")</f>
        <v>Abrir facsímil</v>
      </c>
      <c r="K9570" t="s">
        <v>22</v>
      </c>
    </row>
    <row r="9571" spans="1:11" ht="42" customHeight="1">
      <c r="A9571" t="s">
        <v>18576</v>
      </c>
      <c r="B9571" t="s">
        <v>18577</v>
      </c>
      <c r="C9571" t="s">
        <v>28</v>
      </c>
      <c r="D9571" t="s">
        <v>29</v>
      </c>
      <c r="E9571" s="6">
        <v>-28199</v>
      </c>
      <c r="F9571" t="s">
        <v>656</v>
      </c>
      <c r="G9571" t="s">
        <v>63</v>
      </c>
      <c r="H9571" t="s">
        <v>20</v>
      </c>
      <c r="I9571" t="s">
        <v>18578</v>
      </c>
      <c r="J9571" t="str">
        <f>HYPERLINK("https://www.boe.es/gazeta/dias/1822/10/16/pdfs/GMD-1822-303.pdf#page=6","Abrir facsímil")</f>
        <v>Abrir facsímil</v>
      </c>
      <c r="K9571" t="s">
        <v>22</v>
      </c>
    </row>
    <row r="9572" spans="1:11" ht="42" customHeight="1">
      <c r="A9572" t="s">
        <v>18579</v>
      </c>
      <c r="B9572" t="s">
        <v>18580</v>
      </c>
      <c r="C9572" t="s">
        <v>50</v>
      </c>
      <c r="D9572" t="s">
        <v>51</v>
      </c>
      <c r="E9572" s="6">
        <v>-28276</v>
      </c>
      <c r="F9572" t="s">
        <v>4746</v>
      </c>
      <c r="G9572" t="s">
        <v>35</v>
      </c>
      <c r="H9572" t="s">
        <v>20</v>
      </c>
      <c r="I9572" t="s">
        <v>18581</v>
      </c>
      <c r="J9572" t="str">
        <f>HYPERLINK("https://www.boe.es/gazeta/dias/1822/07/31/pdfs/GMD-1822-224.pdf#page=2","Abrir facsímil")</f>
        <v>Abrir facsímil</v>
      </c>
      <c r="K9572" t="s">
        <v>22</v>
      </c>
    </row>
    <row r="9573" spans="1:11" ht="42" customHeight="1">
      <c r="A9573" t="s">
        <v>18582</v>
      </c>
      <c r="B9573" t="s">
        <v>18582</v>
      </c>
      <c r="C9573" t="s">
        <v>42</v>
      </c>
      <c r="D9573" t="s">
        <v>17</v>
      </c>
      <c r="E9573" s="6">
        <v>-28271</v>
      </c>
      <c r="F9573" t="s">
        <v>4942</v>
      </c>
      <c r="G9573" t="s">
        <v>44</v>
      </c>
      <c r="H9573" t="s">
        <v>20</v>
      </c>
      <c r="I9573" t="s">
        <v>18583</v>
      </c>
      <c r="J9573" t="str">
        <f>HYPERLINK("https://www.boe.es/gazeta/dias/1822/08/05/pdfs/GMD-1822-229.pdf#page=1","Abrir facsímil")</f>
        <v>Abrir facsímil</v>
      </c>
      <c r="K9573" t="s">
        <v>22</v>
      </c>
    </row>
    <row r="9574" spans="1:11" ht="42" customHeight="1">
      <c r="A9574" t="s">
        <v>18584</v>
      </c>
      <c r="B9574" t="s">
        <v>18585</v>
      </c>
      <c r="C9574" t="s">
        <v>42</v>
      </c>
      <c r="D9574" t="s">
        <v>17</v>
      </c>
      <c r="E9574" s="6">
        <v>-28256</v>
      </c>
      <c r="F9574" t="s">
        <v>1949</v>
      </c>
      <c r="G9574" t="s">
        <v>35</v>
      </c>
      <c r="H9574" t="s">
        <v>20</v>
      </c>
      <c r="I9574" t="s">
        <v>18586</v>
      </c>
      <c r="J9574" t="str">
        <f>HYPERLINK("https://www.boe.es/gazeta/dias/1822/08/20/pdfs/GMD-1822-244.pdf#page=2","Abrir facsímil")</f>
        <v>Abrir facsímil</v>
      </c>
      <c r="K9574" t="s">
        <v>22</v>
      </c>
    </row>
    <row r="9575" spans="1:11" ht="42" customHeight="1">
      <c r="A9575" t="s">
        <v>18587</v>
      </c>
      <c r="B9575" t="s">
        <v>18588</v>
      </c>
      <c r="C9575" t="s">
        <v>28</v>
      </c>
      <c r="D9575" t="s">
        <v>29</v>
      </c>
      <c r="E9575" s="6">
        <v>-28258</v>
      </c>
      <c r="F9575" t="s">
        <v>88</v>
      </c>
      <c r="G9575" t="s">
        <v>31</v>
      </c>
      <c r="H9575" t="s">
        <v>20</v>
      </c>
      <c r="I9575" t="s">
        <v>18589</v>
      </c>
      <c r="J9575" t="str">
        <f>HYPERLINK("https://www.boe.es/gazeta/dias/1822/08/18/pdfs/GMD-1822-242.pdf#page=3","Abrir facsímil")</f>
        <v>Abrir facsímil</v>
      </c>
      <c r="K9575" t="s">
        <v>22</v>
      </c>
    </row>
    <row r="9576" spans="1:11" ht="42" customHeight="1">
      <c r="A9576" t="s">
        <v>18590</v>
      </c>
      <c r="B9576" t="s">
        <v>18590</v>
      </c>
      <c r="C9576" t="s">
        <v>28</v>
      </c>
      <c r="D9576" t="s">
        <v>29</v>
      </c>
      <c r="E9576" s="6">
        <v>-28312</v>
      </c>
      <c r="F9576" t="s">
        <v>92</v>
      </c>
      <c r="G9576" t="s">
        <v>31</v>
      </c>
      <c r="H9576" t="s">
        <v>20</v>
      </c>
      <c r="I9576" t="s">
        <v>18591</v>
      </c>
      <c r="J9576" t="str">
        <f>HYPERLINK("https://www.boe.es/gazeta/dias/1822/06/25/pdfs/GMD-1822-183.pdf#page=3","Abrir facsímil")</f>
        <v>Abrir facsímil</v>
      </c>
      <c r="K9576" t="s">
        <v>22</v>
      </c>
    </row>
    <row r="9577" spans="1:11" ht="42" customHeight="1">
      <c r="A9577" t="s">
        <v>18592</v>
      </c>
      <c r="B9577" t="s">
        <v>18592</v>
      </c>
      <c r="C9577" t="s">
        <v>50</v>
      </c>
      <c r="D9577" t="s">
        <v>51</v>
      </c>
      <c r="E9577" s="6">
        <v>-28143</v>
      </c>
      <c r="F9577" t="s">
        <v>2967</v>
      </c>
      <c r="G9577" t="s">
        <v>57</v>
      </c>
      <c r="H9577" t="s">
        <v>20</v>
      </c>
      <c r="I9577" t="s">
        <v>18593</v>
      </c>
      <c r="J9577" t="str">
        <f>HYPERLINK("https://www.boe.es/gazeta/dias/1822/12/11/pdfs/GMD-1822-361.pdf#page=4","Abrir facsímil")</f>
        <v>Abrir facsímil</v>
      </c>
      <c r="K9577" t="s">
        <v>22</v>
      </c>
    </row>
    <row r="9578" spans="1:11" ht="42" customHeight="1">
      <c r="A9578" t="s">
        <v>18594</v>
      </c>
      <c r="B9578" t="s">
        <v>18594</v>
      </c>
      <c r="C9578" t="s">
        <v>42</v>
      </c>
      <c r="D9578" t="s">
        <v>17</v>
      </c>
      <c r="E9578" s="6">
        <v>-28154</v>
      </c>
      <c r="F9578" t="s">
        <v>2321</v>
      </c>
      <c r="G9578" t="s">
        <v>31</v>
      </c>
      <c r="H9578" t="s">
        <v>20</v>
      </c>
      <c r="I9578" t="s">
        <v>18595</v>
      </c>
      <c r="J9578" t="str">
        <f>HYPERLINK("https://www.boe.es/gazeta/dias/1822/11/30/pdfs/GMD-1822-350.pdf#page=3","Abrir facsímil")</f>
        <v>Abrir facsímil</v>
      </c>
      <c r="K9578" t="s">
        <v>22</v>
      </c>
    </row>
    <row r="9579" spans="1:11" ht="42" customHeight="1">
      <c r="A9579" t="s">
        <v>18596</v>
      </c>
      <c r="B9579" t="s">
        <v>18596</v>
      </c>
      <c r="C9579" t="s">
        <v>16</v>
      </c>
      <c r="D9579" t="s">
        <v>17</v>
      </c>
      <c r="E9579" s="6">
        <v>-28143</v>
      </c>
      <c r="F9579" t="s">
        <v>2967</v>
      </c>
      <c r="G9579" t="s">
        <v>57</v>
      </c>
      <c r="H9579" t="s">
        <v>20</v>
      </c>
      <c r="I9579" t="s">
        <v>18597</v>
      </c>
      <c r="J9579" t="str">
        <f>HYPERLINK("https://www.boe.es/gazeta/dias/1822/12/11/pdfs/GMD-1822-361.pdf#page=4","Abrir facsímil")</f>
        <v>Abrir facsímil</v>
      </c>
      <c r="K9579" t="s">
        <v>22</v>
      </c>
    </row>
    <row r="9580" spans="1:11" ht="42" customHeight="1">
      <c r="A9580" t="s">
        <v>18598</v>
      </c>
      <c r="B9580" t="s">
        <v>18599</v>
      </c>
      <c r="C9580" t="s">
        <v>24</v>
      </c>
      <c r="D9580" t="s">
        <v>17</v>
      </c>
      <c r="E9580" s="6">
        <v>-28450</v>
      </c>
      <c r="F9580" t="s">
        <v>1450</v>
      </c>
      <c r="G9580" t="s">
        <v>2247</v>
      </c>
      <c r="H9580" t="s">
        <v>20</v>
      </c>
      <c r="I9580" t="s">
        <v>18600</v>
      </c>
      <c r="J9580" t="str">
        <f>HYPERLINK("https://www.boe.es/gazeta/dias/1822/02/07/pdfs/GMD-1822-38.pdf#page=6","Abrir facsímil")</f>
        <v>Abrir facsímil</v>
      </c>
      <c r="K9580" t="s">
        <v>22</v>
      </c>
    </row>
    <row r="9581" spans="1:11" ht="42" customHeight="1">
      <c r="A9581" t="s">
        <v>18601</v>
      </c>
      <c r="B9581" t="s">
        <v>18602</v>
      </c>
      <c r="C9581" t="s">
        <v>28</v>
      </c>
      <c r="D9581" t="s">
        <v>29</v>
      </c>
      <c r="E9581" s="6">
        <v>-28337</v>
      </c>
      <c r="F9581" t="s">
        <v>1836</v>
      </c>
      <c r="G9581" t="s">
        <v>4337</v>
      </c>
      <c r="H9581" t="s">
        <v>20</v>
      </c>
      <c r="I9581" t="s">
        <v>18603</v>
      </c>
      <c r="J9581" t="str">
        <f>HYPERLINK("https://www.boe.es/gazeta/dias/1822/05/31/pdfs/GMD-1822-156.pdf#page=6","Abrir facsímil")</f>
        <v>Abrir facsímil</v>
      </c>
      <c r="K9581" t="s">
        <v>22</v>
      </c>
    </row>
    <row r="9582" spans="1:11" ht="42" customHeight="1">
      <c r="A9582" t="s">
        <v>18604</v>
      </c>
      <c r="B9582" t="s">
        <v>18605</v>
      </c>
      <c r="C9582" t="s">
        <v>28</v>
      </c>
      <c r="D9582" t="s">
        <v>29</v>
      </c>
      <c r="E9582" s="6">
        <v>-28392</v>
      </c>
      <c r="F9582" t="s">
        <v>2003</v>
      </c>
      <c r="G9582" t="s">
        <v>57</v>
      </c>
      <c r="H9582" t="s">
        <v>20</v>
      </c>
      <c r="I9582" t="s">
        <v>18606</v>
      </c>
      <c r="J9582" t="str">
        <f>HYPERLINK("https://www.boe.es/gazeta/dias/1822/04/06/pdfs/GMD-1822-98.pdf#page=4","Abrir facsímil")</f>
        <v>Abrir facsímil</v>
      </c>
      <c r="K9582" t="s">
        <v>22</v>
      </c>
    </row>
    <row r="9583" spans="1:11" ht="42" customHeight="1">
      <c r="A9583" t="s">
        <v>18607</v>
      </c>
      <c r="B9583" t="s">
        <v>18608</v>
      </c>
      <c r="C9583" t="s">
        <v>50</v>
      </c>
      <c r="D9583" t="s">
        <v>51</v>
      </c>
      <c r="E9583" s="6">
        <v>-28456</v>
      </c>
      <c r="F9583" t="s">
        <v>1104</v>
      </c>
      <c r="G9583" t="s">
        <v>35</v>
      </c>
      <c r="H9583" t="s">
        <v>20</v>
      </c>
      <c r="I9583" t="s">
        <v>18609</v>
      </c>
      <c r="J9583" t="str">
        <f>HYPERLINK("https://www.boe.es/gazeta/dias/1822/02/01/pdfs/GMD-1822-32.pdf#page=2","Abrir facsímil")</f>
        <v>Abrir facsímil</v>
      </c>
      <c r="K9583" t="s">
        <v>22</v>
      </c>
    </row>
    <row r="9584" spans="1:11" ht="42" customHeight="1">
      <c r="A9584" t="s">
        <v>18607</v>
      </c>
      <c r="B9584" t="s">
        <v>18608</v>
      </c>
      <c r="C9584" t="s">
        <v>28</v>
      </c>
      <c r="D9584" t="s">
        <v>29</v>
      </c>
      <c r="E9584" s="6">
        <v>-28439</v>
      </c>
      <c r="F9584" t="s">
        <v>2752</v>
      </c>
      <c r="G9584" t="s">
        <v>4031</v>
      </c>
      <c r="H9584" t="s">
        <v>20</v>
      </c>
      <c r="I9584" t="s">
        <v>18610</v>
      </c>
      <c r="J9584" t="str">
        <f>HYPERLINK("https://www.boe.es/gazeta/dias/1822/02/18/pdfs/GMD-1822-50.pdf#page=2","Abrir facsímil")</f>
        <v>Abrir facsímil</v>
      </c>
      <c r="K9584" t="s">
        <v>22</v>
      </c>
    </row>
    <row r="9585" spans="1:11" ht="42" customHeight="1">
      <c r="A9585" t="s">
        <v>18607</v>
      </c>
      <c r="B9585" t="s">
        <v>18608</v>
      </c>
      <c r="C9585" t="s">
        <v>42</v>
      </c>
      <c r="D9585" t="s">
        <v>17</v>
      </c>
      <c r="E9585" s="6">
        <v>-28421</v>
      </c>
      <c r="F9585" t="s">
        <v>446</v>
      </c>
      <c r="G9585" t="s">
        <v>44</v>
      </c>
      <c r="H9585" t="s">
        <v>20</v>
      </c>
      <c r="I9585" t="s">
        <v>18611</v>
      </c>
      <c r="J9585" t="str">
        <f>HYPERLINK("https://www.boe.es/gazeta/dias/1822/03/08/pdfs/GMD-1822-69.pdf#page=1","Abrir facsímil")</f>
        <v>Abrir facsímil</v>
      </c>
      <c r="K9585" t="s">
        <v>22</v>
      </c>
    </row>
    <row r="9586" spans="1:11" ht="42" customHeight="1">
      <c r="A9586" t="s">
        <v>18612</v>
      </c>
      <c r="B9586" t="s">
        <v>18613</v>
      </c>
      <c r="C9586" t="s">
        <v>42</v>
      </c>
      <c r="D9586" t="s">
        <v>17</v>
      </c>
      <c r="E9586" s="6">
        <v>-28175</v>
      </c>
      <c r="F9586" t="s">
        <v>341</v>
      </c>
      <c r="G9586" t="s">
        <v>44</v>
      </c>
      <c r="H9586" t="s">
        <v>20</v>
      </c>
      <c r="I9586" t="s">
        <v>18614</v>
      </c>
      <c r="J9586" t="str">
        <f>HYPERLINK("https://www.boe.es/gazeta/dias/1822/11/09/pdfs/GMD-1822-329.pdf#page=1","Abrir facsímil")</f>
        <v>Abrir facsímil</v>
      </c>
      <c r="K9586" t="s">
        <v>22</v>
      </c>
    </row>
    <row r="9587" spans="1:11" ht="42" customHeight="1">
      <c r="A9587" t="s">
        <v>18615</v>
      </c>
      <c r="B9587" t="s">
        <v>18615</v>
      </c>
      <c r="C9587" t="s">
        <v>50</v>
      </c>
      <c r="D9587" t="s">
        <v>51</v>
      </c>
      <c r="E9587" s="6">
        <v>-28210</v>
      </c>
      <c r="F9587" t="s">
        <v>218</v>
      </c>
      <c r="G9587" t="s">
        <v>31</v>
      </c>
      <c r="H9587" t="s">
        <v>20</v>
      </c>
      <c r="I9587" t="s">
        <v>18616</v>
      </c>
      <c r="J9587" t="str">
        <f>HYPERLINK("https://www.boe.es/gazeta/dias/1822/10/05/pdfs/GMD-1822-291.pdf#page=3","Abrir facsímil")</f>
        <v>Abrir facsímil</v>
      </c>
      <c r="K9587" t="s">
        <v>22</v>
      </c>
    </row>
    <row r="9588" spans="1:11" ht="42" customHeight="1">
      <c r="A9588" t="s">
        <v>18617</v>
      </c>
      <c r="B9588" t="s">
        <v>18618</v>
      </c>
      <c r="C9588" t="s">
        <v>50</v>
      </c>
      <c r="D9588" t="s">
        <v>51</v>
      </c>
      <c r="E9588" s="6">
        <v>-28427</v>
      </c>
      <c r="F9588" t="s">
        <v>755</v>
      </c>
      <c r="G9588" t="s">
        <v>57</v>
      </c>
      <c r="H9588" t="s">
        <v>20</v>
      </c>
      <c r="I9588" t="s">
        <v>18619</v>
      </c>
      <c r="J9588" t="str">
        <f>HYPERLINK("https://www.boe.es/gazeta/dias/1822/03/02/pdfs/GMD-1822-63.pdf#page=4","Abrir facsímil")</f>
        <v>Abrir facsímil</v>
      </c>
      <c r="K9588" t="s">
        <v>22</v>
      </c>
    </row>
    <row r="9589" spans="1:11" ht="42" customHeight="1">
      <c r="A9589" t="s">
        <v>18620</v>
      </c>
      <c r="B9589" t="s">
        <v>18621</v>
      </c>
      <c r="C9589" t="s">
        <v>28</v>
      </c>
      <c r="D9589" t="s">
        <v>29</v>
      </c>
      <c r="E9589" s="6">
        <v>-28233</v>
      </c>
      <c r="F9589" t="s">
        <v>810</v>
      </c>
      <c r="G9589" t="s">
        <v>57</v>
      </c>
      <c r="H9589" t="s">
        <v>20</v>
      </c>
      <c r="I9589" t="s">
        <v>18622</v>
      </c>
      <c r="J9589" t="str">
        <f>HYPERLINK("https://www.boe.es/gazeta/dias/1822/09/12/pdfs/GMD-1822-268.pdf#page=4","Abrir facsímil")</f>
        <v>Abrir facsímil</v>
      </c>
      <c r="K9589" t="s">
        <v>22</v>
      </c>
    </row>
    <row r="9590" spans="1:11" ht="42" customHeight="1">
      <c r="A9590" t="s">
        <v>18623</v>
      </c>
      <c r="B9590" t="s">
        <v>18624</v>
      </c>
      <c r="C9590" t="s">
        <v>50</v>
      </c>
      <c r="D9590" t="s">
        <v>51</v>
      </c>
      <c r="E9590" s="6">
        <v>-28311</v>
      </c>
      <c r="F9590" t="s">
        <v>736</v>
      </c>
      <c r="G9590" t="s">
        <v>157</v>
      </c>
      <c r="H9590" t="s">
        <v>20</v>
      </c>
      <c r="I9590" t="s">
        <v>18625</v>
      </c>
      <c r="J9590" t="str">
        <f>HYPERLINK("https://www.boe.es/gazeta/dias/1822/06/26/pdfs/GMD-1822-184.pdf#page=8","Abrir facsímil")</f>
        <v>Abrir facsímil</v>
      </c>
      <c r="K9590" t="s">
        <v>22</v>
      </c>
    </row>
    <row r="9591" spans="1:11" ht="42" customHeight="1">
      <c r="A9591" t="s">
        <v>18626</v>
      </c>
      <c r="B9591" t="s">
        <v>18626</v>
      </c>
      <c r="C9591" t="s">
        <v>50</v>
      </c>
      <c r="D9591" t="s">
        <v>51</v>
      </c>
      <c r="E9591" s="6">
        <v>-28132</v>
      </c>
      <c r="F9591" t="s">
        <v>820</v>
      </c>
      <c r="G9591" t="s">
        <v>44</v>
      </c>
      <c r="H9591" t="s">
        <v>20</v>
      </c>
      <c r="I9591" t="s">
        <v>18627</v>
      </c>
      <c r="J9591" t="str">
        <f>HYPERLINK("https://www.boe.es/gazeta/dias/1822/12/22/pdfs/GMD-1822-372.pdf#page=1","Abrir facsímil")</f>
        <v>Abrir facsímil</v>
      </c>
      <c r="K9591" t="s">
        <v>22</v>
      </c>
    </row>
    <row r="9592" spans="1:11" ht="42" customHeight="1">
      <c r="A9592" t="s">
        <v>18628</v>
      </c>
      <c r="B9592" t="s">
        <v>18629</v>
      </c>
      <c r="C9592" t="s">
        <v>50</v>
      </c>
      <c r="D9592" t="s">
        <v>51</v>
      </c>
      <c r="E9592" s="6">
        <v>-28358</v>
      </c>
      <c r="F9592" t="s">
        <v>211</v>
      </c>
      <c r="G9592" t="s">
        <v>157</v>
      </c>
      <c r="H9592" t="s">
        <v>20</v>
      </c>
      <c r="I9592" t="s">
        <v>18630</v>
      </c>
      <c r="J9592" t="str">
        <f>HYPERLINK("https://www.boe.es/gazeta/dias/1822/05/10/pdfs/GMD-1822-132.pdf#page=8","Abrir facsímil")</f>
        <v>Abrir facsímil</v>
      </c>
      <c r="K9592" t="s">
        <v>22</v>
      </c>
    </row>
    <row r="9593" spans="1:11" ht="42" customHeight="1">
      <c r="A9593" t="s">
        <v>18631</v>
      </c>
      <c r="B9593" t="s">
        <v>18632</v>
      </c>
      <c r="C9593" t="s">
        <v>71</v>
      </c>
      <c r="D9593" t="s">
        <v>17</v>
      </c>
      <c r="E9593" s="6">
        <v>-28142</v>
      </c>
      <c r="F9593" t="s">
        <v>290</v>
      </c>
      <c r="G9593" t="s">
        <v>57</v>
      </c>
      <c r="H9593" t="s">
        <v>20</v>
      </c>
      <c r="I9593" t="s">
        <v>18633</v>
      </c>
      <c r="J9593" t="str">
        <f>HYPERLINK("https://www.boe.es/gazeta/dias/1822/12/12/pdfs/GMD-1822-362.pdf#page=4","Abrir facsímil")</f>
        <v>Abrir facsímil</v>
      </c>
      <c r="K9593" t="s">
        <v>22</v>
      </c>
    </row>
    <row r="9594" spans="1:11" ht="42" customHeight="1">
      <c r="A9594" t="s">
        <v>18634</v>
      </c>
      <c r="B9594" t="s">
        <v>18635</v>
      </c>
      <c r="C9594" t="s">
        <v>50</v>
      </c>
      <c r="D9594" t="s">
        <v>51</v>
      </c>
      <c r="E9594" s="6">
        <v>-28247</v>
      </c>
      <c r="F9594" t="s">
        <v>2023</v>
      </c>
      <c r="G9594" t="s">
        <v>35</v>
      </c>
      <c r="H9594" t="s">
        <v>20</v>
      </c>
      <c r="I9594" t="s">
        <v>18636</v>
      </c>
      <c r="J9594" t="str">
        <f>HYPERLINK("https://www.boe.es/gazeta/dias/1822/08/29/pdfs/GMD-1822-253.pdf#page=2","Abrir facsímil")</f>
        <v>Abrir facsímil</v>
      </c>
      <c r="K9594" t="s">
        <v>22</v>
      </c>
    </row>
    <row r="9595" spans="1:11" ht="42" customHeight="1">
      <c r="A9595" t="s">
        <v>18637</v>
      </c>
      <c r="B9595" t="s">
        <v>18638</v>
      </c>
      <c r="C9595" t="s">
        <v>362</v>
      </c>
      <c r="D9595" t="s">
        <v>17</v>
      </c>
      <c r="E9595" s="6">
        <v>-28427</v>
      </c>
      <c r="F9595" t="s">
        <v>755</v>
      </c>
      <c r="G9595" t="s">
        <v>57</v>
      </c>
      <c r="H9595" t="s">
        <v>20</v>
      </c>
      <c r="I9595" t="s">
        <v>18639</v>
      </c>
      <c r="J9595" t="str">
        <f>HYPERLINK("https://www.boe.es/gazeta/dias/1822/03/02/pdfs/GMD-1822-63.pdf#page=4","Abrir facsímil")</f>
        <v>Abrir facsímil</v>
      </c>
      <c r="K9595" t="s">
        <v>22</v>
      </c>
    </row>
    <row r="9596" spans="1:11" ht="42" customHeight="1">
      <c r="A9596" t="s">
        <v>18640</v>
      </c>
      <c r="B9596" t="s">
        <v>18641</v>
      </c>
      <c r="C9596" t="s">
        <v>28</v>
      </c>
      <c r="D9596" t="s">
        <v>29</v>
      </c>
      <c r="E9596" s="6">
        <v>-28411</v>
      </c>
      <c r="F9596" t="s">
        <v>1509</v>
      </c>
      <c r="G9596" t="s">
        <v>57</v>
      </c>
      <c r="H9596" t="s">
        <v>20</v>
      </c>
      <c r="I9596" t="s">
        <v>18642</v>
      </c>
      <c r="J9596" t="str">
        <f>HYPERLINK("https://www.boe.es/gazeta/dias/1822/03/18/pdfs/GMD-1822-79.pdf#page=4","Abrir facsímil")</f>
        <v>Abrir facsímil</v>
      </c>
      <c r="K9596" t="s">
        <v>22</v>
      </c>
    </row>
    <row r="9597" spans="1:11" ht="42" customHeight="1">
      <c r="A9597" t="s">
        <v>18643</v>
      </c>
      <c r="B9597" t="s">
        <v>18644</v>
      </c>
      <c r="C9597" t="s">
        <v>50</v>
      </c>
      <c r="D9597" t="s">
        <v>51</v>
      </c>
      <c r="E9597" s="6">
        <v>-28329</v>
      </c>
      <c r="F9597" t="s">
        <v>354</v>
      </c>
      <c r="G9597" t="s">
        <v>63</v>
      </c>
      <c r="H9597" t="s">
        <v>20</v>
      </c>
      <c r="I9597" t="s">
        <v>18645</v>
      </c>
      <c r="J9597" t="str">
        <f>HYPERLINK("https://www.boe.es/gazeta/dias/1822/06/08/pdfs/GMD-1822-165.pdf#page=6","Abrir facsímil")</f>
        <v>Abrir facsímil</v>
      </c>
      <c r="K9597" t="s">
        <v>22</v>
      </c>
    </row>
    <row r="9598" spans="1:11" ht="42" customHeight="1">
      <c r="A9598" t="s">
        <v>18646</v>
      </c>
      <c r="B9598" t="s">
        <v>18647</v>
      </c>
      <c r="C9598" t="s">
        <v>42</v>
      </c>
      <c r="D9598" t="s">
        <v>17</v>
      </c>
      <c r="E9598" s="6">
        <v>-28210</v>
      </c>
      <c r="F9598" t="s">
        <v>218</v>
      </c>
      <c r="G9598" t="s">
        <v>19</v>
      </c>
      <c r="H9598" t="s">
        <v>20</v>
      </c>
      <c r="I9598" t="s">
        <v>18648</v>
      </c>
      <c r="J9598" t="str">
        <f>HYPERLINK("https://www.boe.es/gazeta/dias/1822/10/05/pdfs/GMD-1822-291.pdf#page=5","Abrir facsímil")</f>
        <v>Abrir facsímil</v>
      </c>
      <c r="K9598" t="s">
        <v>22</v>
      </c>
    </row>
    <row r="9599" spans="1:11" ht="42" customHeight="1">
      <c r="A9599" t="s">
        <v>18649</v>
      </c>
      <c r="B9599" t="s">
        <v>18649</v>
      </c>
      <c r="C9599" t="s">
        <v>28</v>
      </c>
      <c r="D9599" t="s">
        <v>29</v>
      </c>
      <c r="E9599" s="6">
        <v>-28346</v>
      </c>
      <c r="F9599" t="s">
        <v>191</v>
      </c>
      <c r="G9599" t="s">
        <v>2823</v>
      </c>
      <c r="H9599" t="s">
        <v>20</v>
      </c>
      <c r="I9599" t="s">
        <v>18650</v>
      </c>
      <c r="J9599" t="str">
        <f>HYPERLINK("https://www.boe.es/gazeta/dias/1822/05/22/pdfs/GMD-1822-145.pdf#page=4","Abrir facsímil")</f>
        <v>Abrir facsímil</v>
      </c>
      <c r="K9599" t="s">
        <v>22</v>
      </c>
    </row>
    <row r="9600" spans="1:11" ht="42" customHeight="1">
      <c r="A9600" t="s">
        <v>18649</v>
      </c>
      <c r="B9600" t="s">
        <v>18649</v>
      </c>
      <c r="C9600" t="s">
        <v>42</v>
      </c>
      <c r="D9600" t="s">
        <v>17</v>
      </c>
      <c r="E9600" s="6">
        <v>-28195</v>
      </c>
      <c r="F9600" t="s">
        <v>770</v>
      </c>
      <c r="G9600" t="s">
        <v>19</v>
      </c>
      <c r="H9600" t="s">
        <v>20</v>
      </c>
      <c r="I9600" t="s">
        <v>18651</v>
      </c>
      <c r="J9600" t="str">
        <f>HYPERLINK("https://www.boe.es/gazeta/dias/1822/10/20/pdfs/GMD-1822-307.pdf#page=5","Abrir facsímil")</f>
        <v>Abrir facsímil</v>
      </c>
      <c r="K9600" t="s">
        <v>22</v>
      </c>
    </row>
    <row r="9601" spans="1:11" ht="42" customHeight="1">
      <c r="A9601" t="s">
        <v>18652</v>
      </c>
      <c r="B9601" t="s">
        <v>18652</v>
      </c>
      <c r="C9601" t="s">
        <v>16</v>
      </c>
      <c r="D9601" t="s">
        <v>17</v>
      </c>
      <c r="E9601" s="6">
        <v>-28343</v>
      </c>
      <c r="F9601" t="s">
        <v>1019</v>
      </c>
      <c r="G9601" t="s">
        <v>19</v>
      </c>
      <c r="H9601" t="s">
        <v>20</v>
      </c>
      <c r="I9601" t="s">
        <v>18653</v>
      </c>
      <c r="J9601" t="str">
        <f>HYPERLINK("https://www.boe.es/gazeta/dias/1822/05/25/pdfs/GMD-1822-150.pdf#page=5","Abrir facsímil")</f>
        <v>Abrir facsímil</v>
      </c>
      <c r="K9601" t="s">
        <v>22</v>
      </c>
    </row>
    <row r="9602" spans="1:11" ht="42" customHeight="1">
      <c r="A9602" t="s">
        <v>18652</v>
      </c>
      <c r="B9602" t="s">
        <v>18652</v>
      </c>
      <c r="C9602" t="s">
        <v>42</v>
      </c>
      <c r="D9602" t="s">
        <v>17</v>
      </c>
      <c r="E9602" s="6">
        <v>-28343</v>
      </c>
      <c r="F9602" t="s">
        <v>1019</v>
      </c>
      <c r="G9602" t="s">
        <v>63</v>
      </c>
      <c r="H9602" t="s">
        <v>20</v>
      </c>
      <c r="I9602" t="s">
        <v>18654</v>
      </c>
      <c r="J9602" t="str">
        <f>HYPERLINK("https://www.boe.es/gazeta/dias/1822/05/25/pdfs/GMD-1822-150.pdf#page=6","Abrir facsímil")</f>
        <v>Abrir facsímil</v>
      </c>
      <c r="K9602" t="s">
        <v>22</v>
      </c>
    </row>
    <row r="9603" spans="1:11" ht="42" customHeight="1">
      <c r="A9603" t="s">
        <v>18652</v>
      </c>
      <c r="B9603" t="s">
        <v>18652</v>
      </c>
      <c r="C9603" t="s">
        <v>71</v>
      </c>
      <c r="D9603" t="s">
        <v>17</v>
      </c>
      <c r="E9603" s="6">
        <v>-28322</v>
      </c>
      <c r="F9603" t="s">
        <v>2205</v>
      </c>
      <c r="G9603" t="s">
        <v>3031</v>
      </c>
      <c r="H9603" t="s">
        <v>20</v>
      </c>
      <c r="I9603" t="s">
        <v>18655</v>
      </c>
      <c r="J9603" t="str">
        <f>HYPERLINK("https://www.boe.es/gazeta/dias/1822/06/15/pdfs/GMD-1822-172.pdf#page=2","Abrir facsímil")</f>
        <v>Abrir facsímil</v>
      </c>
      <c r="K9603" t="s">
        <v>22</v>
      </c>
    </row>
    <row r="9604" spans="1:11" ht="42" customHeight="1">
      <c r="A9604" t="s">
        <v>18652</v>
      </c>
      <c r="B9604" t="s">
        <v>18652</v>
      </c>
      <c r="C9604" t="s">
        <v>71</v>
      </c>
      <c r="D9604" t="s">
        <v>17</v>
      </c>
      <c r="E9604" s="6">
        <v>-28137</v>
      </c>
      <c r="F9604" t="s">
        <v>312</v>
      </c>
      <c r="G9604" t="s">
        <v>57</v>
      </c>
      <c r="H9604" t="s">
        <v>20</v>
      </c>
      <c r="I9604" t="s">
        <v>18656</v>
      </c>
      <c r="J9604" t="str">
        <f>HYPERLINK("https://www.boe.es/gazeta/dias/1822/12/17/pdfs/GMD-1822-367.pdf#page=4","Abrir facsímil")</f>
        <v>Abrir facsímil</v>
      </c>
      <c r="K9604" t="s">
        <v>22</v>
      </c>
    </row>
    <row r="9605" spans="1:11" ht="42" customHeight="1">
      <c r="A9605" t="s">
        <v>18652</v>
      </c>
      <c r="B9605" t="s">
        <v>18652</v>
      </c>
      <c r="C9605" t="s">
        <v>50</v>
      </c>
      <c r="D9605" t="s">
        <v>51</v>
      </c>
      <c r="E9605" s="6">
        <v>-28134</v>
      </c>
      <c r="F9605" t="s">
        <v>620</v>
      </c>
      <c r="G9605" t="s">
        <v>35</v>
      </c>
      <c r="H9605" t="s">
        <v>20</v>
      </c>
      <c r="I9605" t="s">
        <v>18657</v>
      </c>
      <c r="J9605" t="str">
        <f>HYPERLINK("https://www.boe.es/gazeta/dias/1822/12/20/pdfs/GMD-1822-370.pdf#page=2","Abrir facsímil")</f>
        <v>Abrir facsímil</v>
      </c>
      <c r="K9605" t="s">
        <v>22</v>
      </c>
    </row>
    <row r="9606" spans="1:11" ht="42" customHeight="1">
      <c r="A9606" t="s">
        <v>18658</v>
      </c>
      <c r="B9606" t="s">
        <v>18658</v>
      </c>
      <c r="C9606" t="s">
        <v>42</v>
      </c>
      <c r="D9606" t="s">
        <v>17</v>
      </c>
      <c r="E9606" s="6">
        <v>-28187</v>
      </c>
      <c r="F9606" t="s">
        <v>929</v>
      </c>
      <c r="G9606" t="s">
        <v>63</v>
      </c>
      <c r="H9606" t="s">
        <v>20</v>
      </c>
      <c r="I9606" t="s">
        <v>18659</v>
      </c>
      <c r="J9606" t="str">
        <f>HYPERLINK("https://www.boe.es/gazeta/dias/1822/10/28/pdfs/GMD-1822-315.pdf#page=6","Abrir facsímil")</f>
        <v>Abrir facsímil</v>
      </c>
      <c r="K9606" t="s">
        <v>22</v>
      </c>
    </row>
    <row r="9607" spans="1:11" ht="42" customHeight="1">
      <c r="A9607" t="s">
        <v>18660</v>
      </c>
      <c r="B9607" t="s">
        <v>18660</v>
      </c>
      <c r="C9607" t="s">
        <v>50</v>
      </c>
      <c r="D9607" t="s">
        <v>51</v>
      </c>
      <c r="E9607" s="6">
        <v>-28253</v>
      </c>
      <c r="F9607" t="s">
        <v>413</v>
      </c>
      <c r="G9607" t="s">
        <v>31</v>
      </c>
      <c r="H9607" t="s">
        <v>20</v>
      </c>
      <c r="I9607" t="s">
        <v>18661</v>
      </c>
      <c r="J9607" t="str">
        <f>HYPERLINK("https://www.boe.es/gazeta/dias/1822/08/23/pdfs/GMD-1822-247.pdf#page=3","Abrir facsímil")</f>
        <v>Abrir facsímil</v>
      </c>
      <c r="K9607" t="s">
        <v>22</v>
      </c>
    </row>
    <row r="9608" spans="1:11" ht="42" customHeight="1">
      <c r="A9608" t="s">
        <v>18662</v>
      </c>
      <c r="B9608" t="s">
        <v>18662</v>
      </c>
      <c r="C9608" t="s">
        <v>71</v>
      </c>
      <c r="D9608" t="s">
        <v>17</v>
      </c>
      <c r="E9608" s="6">
        <v>-28215</v>
      </c>
      <c r="F9608" t="s">
        <v>17483</v>
      </c>
      <c r="G9608" t="s">
        <v>35</v>
      </c>
      <c r="H9608" t="s">
        <v>20</v>
      </c>
      <c r="I9608" t="s">
        <v>18663</v>
      </c>
      <c r="J9608" t="str">
        <f>HYPERLINK("https://www.boe.es/gazeta/dias/1822/09/30/pdfs/GMD-1822-286.pdf#page=2","Abrir facsímil")</f>
        <v>Abrir facsímil</v>
      </c>
      <c r="K9608" t="s">
        <v>22</v>
      </c>
    </row>
    <row r="9609" spans="1:11" ht="42" customHeight="1">
      <c r="A9609" t="s">
        <v>18664</v>
      </c>
      <c r="B9609" t="s">
        <v>18665</v>
      </c>
      <c r="C9609" t="s">
        <v>71</v>
      </c>
      <c r="D9609" t="s">
        <v>17</v>
      </c>
      <c r="E9609" s="6">
        <v>-28443</v>
      </c>
      <c r="F9609" t="s">
        <v>668</v>
      </c>
      <c r="G9609" t="s">
        <v>57</v>
      </c>
      <c r="H9609" t="s">
        <v>20</v>
      </c>
      <c r="I9609" t="s">
        <v>18666</v>
      </c>
      <c r="J9609" t="str">
        <f>HYPERLINK("https://www.boe.es/gazeta/dias/1822/02/14/pdfs/GMD-1822-45.pdf#page=4","Abrir facsímil")</f>
        <v>Abrir facsímil</v>
      </c>
      <c r="K9609" t="s">
        <v>22</v>
      </c>
    </row>
    <row r="9610" spans="1:11" ht="42" customHeight="1">
      <c r="A9610" t="s">
        <v>18664</v>
      </c>
      <c r="B9610" t="s">
        <v>18665</v>
      </c>
      <c r="C9610" t="s">
        <v>28</v>
      </c>
      <c r="D9610" t="s">
        <v>29</v>
      </c>
      <c r="E9610" s="6">
        <v>-28190</v>
      </c>
      <c r="F9610" t="s">
        <v>576</v>
      </c>
      <c r="G9610" t="s">
        <v>63</v>
      </c>
      <c r="H9610" t="s">
        <v>20</v>
      </c>
      <c r="I9610" t="s">
        <v>18667</v>
      </c>
      <c r="J9610" t="str">
        <f>HYPERLINK("https://www.boe.es/gazeta/dias/1822/10/25/pdfs/GMD-1822-312.pdf#page=6","Abrir facsímil")</f>
        <v>Abrir facsímil</v>
      </c>
      <c r="K9610" t="s">
        <v>22</v>
      </c>
    </row>
    <row r="9611" spans="1:11" ht="42" customHeight="1">
      <c r="A9611" t="s">
        <v>18668</v>
      </c>
      <c r="B9611" t="s">
        <v>18669</v>
      </c>
      <c r="C9611" t="s">
        <v>42</v>
      </c>
      <c r="D9611" t="s">
        <v>17</v>
      </c>
      <c r="E9611" s="6">
        <v>-28145</v>
      </c>
      <c r="F9611" t="s">
        <v>1350</v>
      </c>
      <c r="G9611" t="s">
        <v>63</v>
      </c>
      <c r="H9611" t="s">
        <v>20</v>
      </c>
      <c r="I9611" t="s">
        <v>18670</v>
      </c>
      <c r="J9611" t="str">
        <f>HYPERLINK("https://www.boe.es/gazeta/dias/1822/12/09/pdfs/GMD-1822-359.pdf#page=6","Abrir facsímil")</f>
        <v>Abrir facsímil</v>
      </c>
      <c r="K9611" t="s">
        <v>22</v>
      </c>
    </row>
    <row r="9612" spans="1:11" ht="42" customHeight="1">
      <c r="A9612" t="s">
        <v>18671</v>
      </c>
      <c r="B9612" t="s">
        <v>18671</v>
      </c>
      <c r="C9612" t="s">
        <v>42</v>
      </c>
      <c r="D9612" t="s">
        <v>17</v>
      </c>
      <c r="E9612" s="6">
        <v>-28160</v>
      </c>
      <c r="F9612" t="s">
        <v>148</v>
      </c>
      <c r="G9612" t="s">
        <v>19</v>
      </c>
      <c r="H9612" t="s">
        <v>20</v>
      </c>
      <c r="I9612" t="s">
        <v>18672</v>
      </c>
      <c r="J9612" t="str">
        <f>HYPERLINK("https://www.boe.es/gazeta/dias/1822/11/24/pdfs/GMD-1822-344.pdf#page=5","Abrir facsímil")</f>
        <v>Abrir facsímil</v>
      </c>
      <c r="K9612" t="s">
        <v>22</v>
      </c>
    </row>
    <row r="9613" spans="1:11" ht="42" customHeight="1">
      <c r="A9613" t="s">
        <v>18673</v>
      </c>
      <c r="B9613" t="s">
        <v>18674</v>
      </c>
      <c r="C9613" t="s">
        <v>42</v>
      </c>
      <c r="D9613" t="s">
        <v>17</v>
      </c>
      <c r="E9613" s="6">
        <v>-28395</v>
      </c>
      <c r="F9613" t="s">
        <v>237</v>
      </c>
      <c r="G9613" t="s">
        <v>57</v>
      </c>
      <c r="H9613" t="s">
        <v>20</v>
      </c>
      <c r="I9613" t="s">
        <v>18675</v>
      </c>
      <c r="J9613" t="str">
        <f>HYPERLINK("https://www.boe.es/gazeta/dias/1822/04/03/pdfs/GMD-1822-95.pdf#page=4","Abrir facsímil")</f>
        <v>Abrir facsímil</v>
      </c>
      <c r="K9613" t="s">
        <v>22</v>
      </c>
    </row>
    <row r="9614" spans="1:11" ht="42" customHeight="1">
      <c r="A9614" t="s">
        <v>18676</v>
      </c>
      <c r="B9614" t="s">
        <v>18677</v>
      </c>
      <c r="C9614" t="s">
        <v>50</v>
      </c>
      <c r="D9614" t="s">
        <v>51</v>
      </c>
      <c r="E9614" s="6">
        <v>-28279</v>
      </c>
      <c r="F9614" t="s">
        <v>662</v>
      </c>
      <c r="G9614" t="s">
        <v>35</v>
      </c>
      <c r="H9614" t="s">
        <v>20</v>
      </c>
      <c r="I9614" t="s">
        <v>18678</v>
      </c>
      <c r="J9614" t="str">
        <f>HYPERLINK("https://www.boe.es/gazeta/dias/1822/07/28/pdfs/GMD-1822-221.pdf#page=2","Abrir facsímil")</f>
        <v>Abrir facsímil</v>
      </c>
      <c r="K9614" t="s">
        <v>22</v>
      </c>
    </row>
    <row r="9615" spans="1:11" ht="42" customHeight="1">
      <c r="A9615" t="s">
        <v>18679</v>
      </c>
      <c r="B9615" t="s">
        <v>18680</v>
      </c>
      <c r="C9615" t="s">
        <v>362</v>
      </c>
      <c r="D9615" t="s">
        <v>17</v>
      </c>
      <c r="E9615" s="6">
        <v>-28181</v>
      </c>
      <c r="F9615" t="s">
        <v>739</v>
      </c>
      <c r="G9615" t="s">
        <v>63</v>
      </c>
      <c r="H9615" t="s">
        <v>20</v>
      </c>
      <c r="I9615" t="s">
        <v>18681</v>
      </c>
      <c r="J9615" t="str">
        <f>HYPERLINK("https://www.boe.es/gazeta/dias/1822/11/03/pdfs/GMD-1822-321.pdf#page=6","Abrir facsímil")</f>
        <v>Abrir facsímil</v>
      </c>
      <c r="K9615" t="s">
        <v>22</v>
      </c>
    </row>
    <row r="9616" spans="1:11" ht="42" customHeight="1">
      <c r="A9616" t="s">
        <v>18682</v>
      </c>
      <c r="B9616" t="s">
        <v>18682</v>
      </c>
      <c r="C9616" t="s">
        <v>50</v>
      </c>
      <c r="D9616" t="s">
        <v>51</v>
      </c>
      <c r="E9616" s="6">
        <v>-28438</v>
      </c>
      <c r="F9616" t="s">
        <v>963</v>
      </c>
      <c r="G9616" t="s">
        <v>31</v>
      </c>
      <c r="H9616" t="s">
        <v>20</v>
      </c>
      <c r="I9616" t="s">
        <v>18683</v>
      </c>
      <c r="J9616" t="str">
        <f>HYPERLINK("https://www.boe.es/gazeta/dias/1822/02/19/pdfs/GMD-1822-51.pdf#page=3","Abrir facsímil")</f>
        <v>Abrir facsímil</v>
      </c>
      <c r="K9616" t="s">
        <v>22</v>
      </c>
    </row>
    <row r="9617" spans="1:11" ht="42" customHeight="1">
      <c r="A9617" t="s">
        <v>18684</v>
      </c>
      <c r="B9617" t="s">
        <v>18685</v>
      </c>
      <c r="C9617" t="s">
        <v>50</v>
      </c>
      <c r="D9617" t="s">
        <v>51</v>
      </c>
      <c r="E9617" s="6">
        <v>-28314</v>
      </c>
      <c r="F9617" t="s">
        <v>309</v>
      </c>
      <c r="G9617" t="s">
        <v>63</v>
      </c>
      <c r="H9617" t="s">
        <v>20</v>
      </c>
      <c r="I9617" t="s">
        <v>18686</v>
      </c>
      <c r="J9617" t="str">
        <f>HYPERLINK("https://www.boe.es/gazeta/dias/1822/06/23/pdfs/GMD-1822-181.pdf#page=6","Abrir facsímil")</f>
        <v>Abrir facsímil</v>
      </c>
      <c r="K9617" t="s">
        <v>22</v>
      </c>
    </row>
    <row r="9618" spans="1:11" ht="42" customHeight="1">
      <c r="A9618" t="s">
        <v>18687</v>
      </c>
      <c r="B9618" t="s">
        <v>18687</v>
      </c>
      <c r="C9618" t="s">
        <v>28</v>
      </c>
      <c r="D9618" t="s">
        <v>29</v>
      </c>
      <c r="E9618" s="6">
        <v>-28141</v>
      </c>
      <c r="F9618" t="s">
        <v>265</v>
      </c>
      <c r="G9618" t="s">
        <v>31</v>
      </c>
      <c r="H9618" t="s">
        <v>20</v>
      </c>
      <c r="I9618" t="s">
        <v>18688</v>
      </c>
      <c r="J9618" t="str">
        <f>HYPERLINK("https://www.boe.es/gazeta/dias/1822/12/13/pdfs/GMD-1822-363.pdf#page=3","Abrir facsímil")</f>
        <v>Abrir facsímil</v>
      </c>
      <c r="K9618" t="s">
        <v>22</v>
      </c>
    </row>
    <row r="9619" spans="1:11" ht="42" customHeight="1">
      <c r="A9619" t="s">
        <v>18689</v>
      </c>
      <c r="B9619" t="s">
        <v>18690</v>
      </c>
      <c r="C9619" t="s">
        <v>28</v>
      </c>
      <c r="D9619" t="s">
        <v>29</v>
      </c>
      <c r="E9619" s="6">
        <v>-28379</v>
      </c>
      <c r="F9619" t="s">
        <v>494</v>
      </c>
      <c r="G9619" t="s">
        <v>63</v>
      </c>
      <c r="H9619" t="s">
        <v>20</v>
      </c>
      <c r="I9619" t="s">
        <v>18691</v>
      </c>
      <c r="J9619" t="str">
        <f>HYPERLINK("https://www.boe.es/gazeta/dias/1822/04/19/pdfs/GMD-1822-111.pdf#page=6","Abrir facsímil")</f>
        <v>Abrir facsímil</v>
      </c>
      <c r="K9619" t="s">
        <v>22</v>
      </c>
    </row>
    <row r="9620" spans="1:11" ht="42" customHeight="1">
      <c r="A9620" t="s">
        <v>18692</v>
      </c>
      <c r="B9620" t="s">
        <v>18693</v>
      </c>
      <c r="C9620" t="s">
        <v>50</v>
      </c>
      <c r="D9620" t="s">
        <v>51</v>
      </c>
      <c r="E9620" s="6">
        <v>-28360</v>
      </c>
      <c r="F9620" t="s">
        <v>514</v>
      </c>
      <c r="G9620" t="s">
        <v>35</v>
      </c>
      <c r="H9620" t="s">
        <v>20</v>
      </c>
      <c r="I9620" t="s">
        <v>18694</v>
      </c>
      <c r="J9620" t="str">
        <f>HYPERLINK("https://www.boe.es/gazeta/dias/1822/05/08/pdfs/GMD-1822-130.pdf#page=2","Abrir facsímil")</f>
        <v>Abrir facsímil</v>
      </c>
      <c r="K9620" t="s">
        <v>22</v>
      </c>
    </row>
    <row r="9621" spans="1:11" ht="42" customHeight="1">
      <c r="A9621" t="s">
        <v>18695</v>
      </c>
      <c r="B9621" t="s">
        <v>18696</v>
      </c>
      <c r="C9621" t="s">
        <v>50</v>
      </c>
      <c r="D9621" t="s">
        <v>51</v>
      </c>
      <c r="E9621" s="6">
        <v>-28379</v>
      </c>
      <c r="F9621" t="s">
        <v>494</v>
      </c>
      <c r="G9621" t="s">
        <v>35</v>
      </c>
      <c r="H9621" t="s">
        <v>20</v>
      </c>
      <c r="I9621" t="s">
        <v>18697</v>
      </c>
      <c r="J9621" t="str">
        <f>HYPERLINK("https://www.boe.es/gazeta/dias/1822/04/19/pdfs/GMD-1822-111.pdf#page=2","Abrir facsímil")</f>
        <v>Abrir facsímil</v>
      </c>
      <c r="K9621" t="s">
        <v>22</v>
      </c>
    </row>
    <row r="9622" spans="1:11" ht="42" customHeight="1">
      <c r="A9622" t="s">
        <v>18698</v>
      </c>
      <c r="B9622" t="s">
        <v>18699</v>
      </c>
      <c r="C9622" t="s">
        <v>50</v>
      </c>
      <c r="D9622" t="s">
        <v>51</v>
      </c>
      <c r="E9622" s="6">
        <v>-28142</v>
      </c>
      <c r="F9622" t="s">
        <v>290</v>
      </c>
      <c r="G9622" t="s">
        <v>57</v>
      </c>
      <c r="H9622" t="s">
        <v>20</v>
      </c>
      <c r="I9622" t="s">
        <v>18700</v>
      </c>
      <c r="J9622" t="str">
        <f>HYPERLINK("https://www.boe.es/gazeta/dias/1822/12/12/pdfs/GMD-1822-362.pdf#page=4","Abrir facsímil")</f>
        <v>Abrir facsímil</v>
      </c>
      <c r="K9622" t="s">
        <v>22</v>
      </c>
    </row>
    <row r="9623" spans="1:11" ht="42" customHeight="1">
      <c r="A9623" t="s">
        <v>18701</v>
      </c>
      <c r="B9623" t="s">
        <v>18702</v>
      </c>
      <c r="C9623" t="s">
        <v>28</v>
      </c>
      <c r="D9623" t="s">
        <v>29</v>
      </c>
      <c r="E9623" s="6">
        <v>-28125</v>
      </c>
      <c r="F9623" t="s">
        <v>322</v>
      </c>
      <c r="G9623" t="s">
        <v>19</v>
      </c>
      <c r="H9623" t="s">
        <v>20</v>
      </c>
      <c r="I9623" t="s">
        <v>18703</v>
      </c>
      <c r="J9623" t="str">
        <f>HYPERLINK("https://www.boe.es/gazeta/dias/1822/12/29/pdfs/GMD-1822-379.pdf#page=5","Abrir facsímil")</f>
        <v>Abrir facsímil</v>
      </c>
      <c r="K9623" t="s">
        <v>22</v>
      </c>
    </row>
    <row r="9624" spans="1:11" ht="42" customHeight="1">
      <c r="A9624" t="s">
        <v>18704</v>
      </c>
      <c r="B9624" t="s">
        <v>18705</v>
      </c>
      <c r="C9624" t="s">
        <v>42</v>
      </c>
      <c r="D9624" t="s">
        <v>17</v>
      </c>
      <c r="E9624" s="6">
        <v>-28366</v>
      </c>
      <c r="F9624" t="s">
        <v>120</v>
      </c>
      <c r="G9624" t="s">
        <v>63</v>
      </c>
      <c r="H9624" t="s">
        <v>20</v>
      </c>
      <c r="I9624" t="s">
        <v>18706</v>
      </c>
      <c r="J9624" t="str">
        <f>HYPERLINK("https://www.boe.es/gazeta/dias/1822/05/02/pdfs/GMD-1822-124.pdf#page=6","Abrir facsímil")</f>
        <v>Abrir facsímil</v>
      </c>
      <c r="K9624" t="s">
        <v>22</v>
      </c>
    </row>
    <row r="9625" spans="1:11" ht="42" customHeight="1">
      <c r="A9625" t="s">
        <v>18707</v>
      </c>
      <c r="B9625" t="s">
        <v>18708</v>
      </c>
      <c r="C9625" t="s">
        <v>16</v>
      </c>
      <c r="D9625" t="s">
        <v>17</v>
      </c>
      <c r="E9625" s="6">
        <v>-28370</v>
      </c>
      <c r="F9625" t="s">
        <v>207</v>
      </c>
      <c r="G9625" t="s">
        <v>63</v>
      </c>
      <c r="H9625" t="s">
        <v>20</v>
      </c>
      <c r="I9625" t="s">
        <v>18709</v>
      </c>
      <c r="J9625" t="str">
        <f>HYPERLINK("https://www.boe.es/gazeta/dias/1822/04/28/pdfs/GMD-1822-120.pdf#page=6","Abrir facsímil")</f>
        <v>Abrir facsímil</v>
      </c>
      <c r="K9625" t="s">
        <v>22</v>
      </c>
    </row>
    <row r="9626" spans="1:11" ht="42" customHeight="1">
      <c r="A9626" t="s">
        <v>18710</v>
      </c>
      <c r="B9626" t="s">
        <v>18711</v>
      </c>
      <c r="C9626" t="s">
        <v>28</v>
      </c>
      <c r="D9626" t="s">
        <v>29</v>
      </c>
      <c r="E9626" s="6">
        <v>-28278</v>
      </c>
      <c r="F9626" t="s">
        <v>368</v>
      </c>
      <c r="G9626" t="s">
        <v>57</v>
      </c>
      <c r="H9626" t="s">
        <v>20</v>
      </c>
      <c r="I9626" t="s">
        <v>18712</v>
      </c>
      <c r="J9626" t="str">
        <f>HYPERLINK("https://www.boe.es/gazeta/dias/1822/07/29/pdfs/GMD-1822-222.pdf#page=4","Abrir facsímil")</f>
        <v>Abrir facsímil</v>
      </c>
      <c r="K9626" t="s">
        <v>22</v>
      </c>
    </row>
    <row r="9627" spans="1:11" ht="42" customHeight="1">
      <c r="A9627" t="s">
        <v>18713</v>
      </c>
      <c r="B9627" t="s">
        <v>18714</v>
      </c>
      <c r="C9627" t="s">
        <v>42</v>
      </c>
      <c r="D9627" t="s">
        <v>17</v>
      </c>
      <c r="E9627" s="6">
        <v>-28352</v>
      </c>
      <c r="F9627" t="s">
        <v>1575</v>
      </c>
      <c r="G9627" t="s">
        <v>63</v>
      </c>
      <c r="H9627" t="s">
        <v>20</v>
      </c>
      <c r="I9627" t="s">
        <v>18715</v>
      </c>
      <c r="J9627" t="str">
        <f>HYPERLINK("https://www.boe.es/gazeta/dias/1822/05/16/pdfs/GMD-1822-138.pdf#page=6","Abrir facsímil")</f>
        <v>Abrir facsímil</v>
      </c>
      <c r="K9627" t="s">
        <v>22</v>
      </c>
    </row>
    <row r="9628" spans="1:11" ht="42" customHeight="1">
      <c r="A9628" t="s">
        <v>18716</v>
      </c>
      <c r="B9628" t="s">
        <v>18717</v>
      </c>
      <c r="C9628" t="s">
        <v>50</v>
      </c>
      <c r="D9628" t="s">
        <v>51</v>
      </c>
      <c r="E9628" s="6">
        <v>-28394</v>
      </c>
      <c r="F9628" t="s">
        <v>268</v>
      </c>
      <c r="G9628" t="s">
        <v>57</v>
      </c>
      <c r="H9628" t="s">
        <v>20</v>
      </c>
      <c r="I9628" t="s">
        <v>18718</v>
      </c>
      <c r="J9628" t="str">
        <f>HYPERLINK("https://www.boe.es/gazeta/dias/1822/04/04/pdfs/GMD-1822-96.pdf#page=4","Abrir facsímil")</f>
        <v>Abrir facsímil</v>
      </c>
      <c r="K9628" t="s">
        <v>22</v>
      </c>
    </row>
    <row r="9629" spans="1:11" ht="42" customHeight="1">
      <c r="A9629" t="s">
        <v>18716</v>
      </c>
      <c r="B9629" t="s">
        <v>18717</v>
      </c>
      <c r="C9629" t="s">
        <v>28</v>
      </c>
      <c r="D9629" t="s">
        <v>29</v>
      </c>
      <c r="E9629" s="6">
        <v>-28341</v>
      </c>
      <c r="F9629" t="s">
        <v>284</v>
      </c>
      <c r="G9629" t="s">
        <v>63</v>
      </c>
      <c r="H9629" t="s">
        <v>20</v>
      </c>
      <c r="I9629" t="s">
        <v>18719</v>
      </c>
      <c r="J9629" t="str">
        <f>HYPERLINK("https://www.boe.es/gazeta/dias/1822/05/27/pdfs/GMD-1822-152.pdf#page=6","Abrir facsímil")</f>
        <v>Abrir facsímil</v>
      </c>
      <c r="K9629" t="s">
        <v>22</v>
      </c>
    </row>
    <row r="9630" spans="1:11" ht="42" customHeight="1">
      <c r="A9630" t="s">
        <v>18716</v>
      </c>
      <c r="B9630" t="s">
        <v>18717</v>
      </c>
      <c r="C9630" t="s">
        <v>71</v>
      </c>
      <c r="D9630" t="s">
        <v>17</v>
      </c>
      <c r="E9630" s="6">
        <v>-28240</v>
      </c>
      <c r="F9630" t="s">
        <v>678</v>
      </c>
      <c r="G9630" t="s">
        <v>57</v>
      </c>
      <c r="H9630" t="s">
        <v>20</v>
      </c>
      <c r="I9630" t="s">
        <v>18720</v>
      </c>
      <c r="J9630" t="str">
        <f>HYPERLINK("https://www.boe.es/gazeta/dias/1822/09/05/pdfs/GMD-1822-260.pdf#page=4","Abrir facsímil")</f>
        <v>Abrir facsímil</v>
      </c>
      <c r="K9630" t="s">
        <v>22</v>
      </c>
    </row>
    <row r="9631" spans="1:11" ht="42" customHeight="1">
      <c r="A9631" t="s">
        <v>18721</v>
      </c>
      <c r="B9631" t="s">
        <v>18722</v>
      </c>
      <c r="C9631" t="s">
        <v>50</v>
      </c>
      <c r="D9631" t="s">
        <v>51</v>
      </c>
      <c r="E9631" s="6">
        <v>-28308</v>
      </c>
      <c r="F9631" t="s">
        <v>1050</v>
      </c>
      <c r="G9631" t="s">
        <v>35</v>
      </c>
      <c r="H9631" t="s">
        <v>20</v>
      </c>
      <c r="I9631" t="s">
        <v>18723</v>
      </c>
      <c r="J9631" t="str">
        <f>HYPERLINK("https://www.boe.es/gazeta/dias/1822/06/29/pdfs/GMD-1822-187.pdf#page=2","Abrir facsímil")</f>
        <v>Abrir facsímil</v>
      </c>
      <c r="K9631" t="s">
        <v>22</v>
      </c>
    </row>
    <row r="9632" spans="1:11" ht="42" customHeight="1">
      <c r="A9632" t="s">
        <v>18724</v>
      </c>
      <c r="B9632" t="s">
        <v>18725</v>
      </c>
      <c r="C9632" t="s">
        <v>50</v>
      </c>
      <c r="D9632" t="s">
        <v>51</v>
      </c>
      <c r="E9632" s="6">
        <v>-28462</v>
      </c>
      <c r="F9632" t="s">
        <v>1099</v>
      </c>
      <c r="G9632" t="s">
        <v>57</v>
      </c>
      <c r="H9632" t="s">
        <v>20</v>
      </c>
      <c r="I9632" t="s">
        <v>18726</v>
      </c>
      <c r="J9632" t="str">
        <f>HYPERLINK("https://www.boe.es/gazeta/dias/1822/01/26/pdfs/GMD-1822-26.pdf#page=4","Abrir facsímil")</f>
        <v>Abrir facsímil</v>
      </c>
      <c r="K9632" t="s">
        <v>22</v>
      </c>
    </row>
    <row r="9633" spans="1:11" ht="42" customHeight="1">
      <c r="A9633" t="s">
        <v>18727</v>
      </c>
      <c r="B9633" t="s">
        <v>18728</v>
      </c>
      <c r="C9633" t="s">
        <v>71</v>
      </c>
      <c r="D9633" t="s">
        <v>17</v>
      </c>
      <c r="E9633" s="6">
        <v>-28459</v>
      </c>
      <c r="F9633" t="s">
        <v>1102</v>
      </c>
      <c r="G9633" t="s">
        <v>44</v>
      </c>
      <c r="H9633" t="s">
        <v>20</v>
      </c>
      <c r="I9633" t="s">
        <v>18729</v>
      </c>
      <c r="J9633" t="str">
        <f>HYPERLINK("https://www.boe.es/gazeta/dias/1822/01/29/pdfs/GMD-1822-29.pdf#page=1","Abrir facsímil")</f>
        <v>Abrir facsímil</v>
      </c>
      <c r="K9633" t="s">
        <v>22</v>
      </c>
    </row>
    <row r="9634" spans="1:11" ht="42" customHeight="1">
      <c r="A9634" t="s">
        <v>18724</v>
      </c>
      <c r="B9634" t="s">
        <v>18725</v>
      </c>
      <c r="C9634" t="s">
        <v>50</v>
      </c>
      <c r="D9634" t="s">
        <v>51</v>
      </c>
      <c r="E9634" s="6">
        <v>-28308</v>
      </c>
      <c r="F9634" t="s">
        <v>1050</v>
      </c>
      <c r="G9634" t="s">
        <v>35</v>
      </c>
      <c r="H9634" t="s">
        <v>20</v>
      </c>
      <c r="I9634" t="s">
        <v>18730</v>
      </c>
      <c r="J9634" t="str">
        <f>HYPERLINK("https://www.boe.es/gazeta/dias/1822/06/29/pdfs/GMD-1822-187.pdf#page=2","Abrir facsímil")</f>
        <v>Abrir facsímil</v>
      </c>
      <c r="K9634" t="s">
        <v>22</v>
      </c>
    </row>
    <row r="9635" spans="1:11" ht="42" customHeight="1">
      <c r="A9635" t="s">
        <v>18731</v>
      </c>
      <c r="B9635" t="s">
        <v>18732</v>
      </c>
      <c r="C9635" t="s">
        <v>42</v>
      </c>
      <c r="D9635" t="s">
        <v>17</v>
      </c>
      <c r="E9635" s="6">
        <v>-28249</v>
      </c>
      <c r="F9635" t="s">
        <v>3986</v>
      </c>
      <c r="G9635" t="s">
        <v>35</v>
      </c>
      <c r="H9635" t="s">
        <v>20</v>
      </c>
      <c r="I9635" t="s">
        <v>18733</v>
      </c>
      <c r="J9635" t="str">
        <f>HYPERLINK("https://www.boe.es/gazeta/dias/1822/08/27/pdfs/GMD-1822-251.pdf#page=2","Abrir facsímil")</f>
        <v>Abrir facsímil</v>
      </c>
      <c r="K9635" t="s">
        <v>22</v>
      </c>
    </row>
    <row r="9636" spans="1:11" ht="42" customHeight="1">
      <c r="A9636" t="s">
        <v>18734</v>
      </c>
      <c r="B9636" t="s">
        <v>18735</v>
      </c>
      <c r="C9636" t="s">
        <v>50</v>
      </c>
      <c r="D9636" t="s">
        <v>51</v>
      </c>
      <c r="E9636" s="6">
        <v>-28339</v>
      </c>
      <c r="F9636" t="s">
        <v>197</v>
      </c>
      <c r="G9636" t="s">
        <v>44</v>
      </c>
      <c r="H9636" t="s">
        <v>20</v>
      </c>
      <c r="I9636" t="s">
        <v>18736</v>
      </c>
      <c r="J9636" t="str">
        <f>HYPERLINK("https://www.boe.es/gazeta/dias/1822/05/29/pdfs/GMD-1822-154.pdf#page=1","Abrir facsímil")</f>
        <v>Abrir facsímil</v>
      </c>
      <c r="K9636" t="s">
        <v>22</v>
      </c>
    </row>
    <row r="9637" spans="1:11" ht="42" customHeight="1">
      <c r="A9637" t="s">
        <v>18737</v>
      </c>
      <c r="B9637" t="s">
        <v>18738</v>
      </c>
      <c r="C9637" t="s">
        <v>50</v>
      </c>
      <c r="D9637" t="s">
        <v>51</v>
      </c>
      <c r="E9637" s="6">
        <v>-28158</v>
      </c>
      <c r="F9637" t="s">
        <v>590</v>
      </c>
      <c r="G9637" t="s">
        <v>63</v>
      </c>
      <c r="H9637" t="s">
        <v>20</v>
      </c>
      <c r="I9637" t="s">
        <v>18739</v>
      </c>
      <c r="J9637" t="str">
        <f>HYPERLINK("https://www.boe.es/gazeta/dias/1822/11/26/pdfs/GMD-1822-346.pdf#page=6","Abrir facsímil")</f>
        <v>Abrir facsímil</v>
      </c>
      <c r="K9637" t="s">
        <v>22</v>
      </c>
    </row>
    <row r="9638" spans="1:11" ht="42" customHeight="1">
      <c r="A9638" t="s">
        <v>18740</v>
      </c>
      <c r="B9638" t="s">
        <v>18741</v>
      </c>
      <c r="C9638" t="s">
        <v>16</v>
      </c>
      <c r="D9638" t="s">
        <v>17</v>
      </c>
      <c r="E9638" s="6">
        <v>-28428</v>
      </c>
      <c r="F9638" t="s">
        <v>1924</v>
      </c>
      <c r="G9638" t="s">
        <v>57</v>
      </c>
      <c r="H9638" t="s">
        <v>20</v>
      </c>
      <c r="I9638" t="s">
        <v>18742</v>
      </c>
      <c r="J9638" t="str">
        <f>HYPERLINK("https://www.boe.es/gazeta/dias/1822/03/01/pdfs/GMD-1822-61.pdf#page=4","Abrir facsímil")</f>
        <v>Abrir facsímil</v>
      </c>
      <c r="K9638" t="s">
        <v>22</v>
      </c>
    </row>
    <row r="9639" spans="1:11" ht="42" customHeight="1">
      <c r="A9639" t="s">
        <v>18743</v>
      </c>
      <c r="B9639" t="s">
        <v>18744</v>
      </c>
      <c r="C9639" t="s">
        <v>50</v>
      </c>
      <c r="D9639" t="s">
        <v>51</v>
      </c>
      <c r="E9639" s="6">
        <v>-28208</v>
      </c>
      <c r="F9639" t="s">
        <v>230</v>
      </c>
      <c r="G9639" t="s">
        <v>57</v>
      </c>
      <c r="H9639" t="s">
        <v>20</v>
      </c>
      <c r="I9639" t="s">
        <v>18745</v>
      </c>
      <c r="J9639" t="str">
        <f>HYPERLINK("https://www.boe.es/gazeta/dias/1822/10/07/pdfs/GMD-1822-293.pdf#page=4","Abrir facsímil")</f>
        <v>Abrir facsímil</v>
      </c>
      <c r="K9639" t="s">
        <v>22</v>
      </c>
    </row>
    <row r="9640" spans="1:11" ht="42" customHeight="1">
      <c r="A9640" t="s">
        <v>18746</v>
      </c>
      <c r="B9640" t="s">
        <v>18747</v>
      </c>
      <c r="C9640" t="s">
        <v>28</v>
      </c>
      <c r="D9640" t="s">
        <v>29</v>
      </c>
      <c r="E9640" s="6">
        <v>-28212</v>
      </c>
      <c r="F9640" t="s">
        <v>560</v>
      </c>
      <c r="G9640" t="s">
        <v>57</v>
      </c>
      <c r="H9640" t="s">
        <v>20</v>
      </c>
      <c r="I9640" t="s">
        <v>18748</v>
      </c>
      <c r="J9640" t="str">
        <f>HYPERLINK("https://www.boe.es/gazeta/dias/1822/10/03/pdfs/GMD-1822-289.pdf#page=4","Abrir facsímil")</f>
        <v>Abrir facsímil</v>
      </c>
      <c r="K9640" t="s">
        <v>22</v>
      </c>
    </row>
    <row r="9641" spans="1:11" ht="42" customHeight="1">
      <c r="A9641" t="s">
        <v>18749</v>
      </c>
      <c r="B9641" t="s">
        <v>18749</v>
      </c>
      <c r="C9641" t="s">
        <v>50</v>
      </c>
      <c r="D9641" t="s">
        <v>51</v>
      </c>
      <c r="E9641" s="6">
        <v>-28484</v>
      </c>
      <c r="F9641" t="s">
        <v>743</v>
      </c>
      <c r="G9641" t="s">
        <v>1340</v>
      </c>
      <c r="H9641" t="s">
        <v>20</v>
      </c>
      <c r="I9641" t="s">
        <v>18750</v>
      </c>
      <c r="J9641" t="str">
        <f>HYPERLINK("https://www.boe.es/gazeta/dias/1822/01/04/pdfs/GMD-1822-4.pdf#page=2","Abrir facsímil")</f>
        <v>Abrir facsímil</v>
      </c>
      <c r="K9641" t="s">
        <v>22</v>
      </c>
    </row>
    <row r="9642" spans="1:11" ht="42" customHeight="1">
      <c r="A9642" t="s">
        <v>18749</v>
      </c>
      <c r="B9642" t="s">
        <v>18749</v>
      </c>
      <c r="C9642" t="s">
        <v>50</v>
      </c>
      <c r="D9642" t="s">
        <v>51</v>
      </c>
      <c r="E9642" s="6">
        <v>-28410</v>
      </c>
      <c r="F9642" t="s">
        <v>966</v>
      </c>
      <c r="G9642" t="s">
        <v>44</v>
      </c>
      <c r="H9642" t="s">
        <v>20</v>
      </c>
      <c r="I9642" t="s">
        <v>18751</v>
      </c>
      <c r="J9642" t="str">
        <f>HYPERLINK("https://www.boe.es/gazeta/dias/1822/03/19/pdfs/GMD-1822-80.pdf#page=1","Abrir facsímil")</f>
        <v>Abrir facsímil</v>
      </c>
      <c r="K9642" t="s">
        <v>22</v>
      </c>
    </row>
    <row r="9643" spans="1:11" ht="42" customHeight="1">
      <c r="A9643" t="s">
        <v>18749</v>
      </c>
      <c r="B9643" t="s">
        <v>18749</v>
      </c>
      <c r="C9643" t="s">
        <v>50</v>
      </c>
      <c r="D9643" t="s">
        <v>51</v>
      </c>
      <c r="E9643" s="6">
        <v>-28232</v>
      </c>
      <c r="F9643" t="s">
        <v>3875</v>
      </c>
      <c r="G9643" t="s">
        <v>35</v>
      </c>
      <c r="H9643" t="s">
        <v>20</v>
      </c>
      <c r="I9643" t="s">
        <v>18752</v>
      </c>
      <c r="J9643" t="str">
        <f>HYPERLINK("https://www.boe.es/gazeta/dias/1822/09/13/pdfs/GMD-1822-269.pdf#page=2","Abrir facsímil")</f>
        <v>Abrir facsímil</v>
      </c>
      <c r="K9643" t="s">
        <v>22</v>
      </c>
    </row>
    <row r="9644" spans="1:11" ht="42" customHeight="1">
      <c r="A9644" t="s">
        <v>18749</v>
      </c>
      <c r="B9644" t="s">
        <v>18749</v>
      </c>
      <c r="C9644" t="s">
        <v>71</v>
      </c>
      <c r="D9644" t="s">
        <v>17</v>
      </c>
      <c r="E9644" s="6">
        <v>-28204</v>
      </c>
      <c r="F9644" t="s">
        <v>3190</v>
      </c>
      <c r="G9644" t="s">
        <v>157</v>
      </c>
      <c r="H9644" t="s">
        <v>20</v>
      </c>
      <c r="I9644" t="s">
        <v>18753</v>
      </c>
      <c r="J9644" t="str">
        <f>HYPERLINK("https://www.boe.es/gazeta/dias/1822/10/11/pdfs/GMD-1822-298.pdf#page=8","Abrir facsímil")</f>
        <v>Abrir facsímil</v>
      </c>
      <c r="K9644" t="s">
        <v>22</v>
      </c>
    </row>
    <row r="9645" spans="1:11" ht="42" customHeight="1">
      <c r="A9645" t="s">
        <v>18749</v>
      </c>
      <c r="B9645" t="s">
        <v>18749</v>
      </c>
      <c r="C9645" t="s">
        <v>50</v>
      </c>
      <c r="D9645" t="s">
        <v>51</v>
      </c>
      <c r="E9645" s="6">
        <v>-28186</v>
      </c>
      <c r="F9645" t="s">
        <v>581</v>
      </c>
      <c r="G9645" t="s">
        <v>57</v>
      </c>
      <c r="H9645" t="s">
        <v>20</v>
      </c>
      <c r="I9645" t="s">
        <v>18754</v>
      </c>
      <c r="J9645" t="str">
        <f>HYPERLINK("https://www.boe.es/gazeta/dias/1822/10/29/pdfs/GMD-1822-316.pdf#page=4","Abrir facsímil")</f>
        <v>Abrir facsímil</v>
      </c>
      <c r="K9645" t="s">
        <v>22</v>
      </c>
    </row>
    <row r="9646" spans="1:11" ht="42" customHeight="1">
      <c r="A9646" t="s">
        <v>18755</v>
      </c>
      <c r="B9646" t="s">
        <v>18756</v>
      </c>
      <c r="C9646" t="s">
        <v>16</v>
      </c>
      <c r="D9646" t="s">
        <v>17</v>
      </c>
      <c r="E9646" s="6">
        <v>-28370</v>
      </c>
      <c r="F9646" t="s">
        <v>207</v>
      </c>
      <c r="G9646" t="s">
        <v>63</v>
      </c>
      <c r="H9646" t="s">
        <v>20</v>
      </c>
      <c r="I9646" t="s">
        <v>18757</v>
      </c>
      <c r="J9646" t="str">
        <f>HYPERLINK("https://www.boe.es/gazeta/dias/1822/04/28/pdfs/GMD-1822-120.pdf#page=6","Abrir facsímil")</f>
        <v>Abrir facsímil</v>
      </c>
      <c r="K9646" t="s">
        <v>22</v>
      </c>
    </row>
    <row r="9647" spans="1:11" ht="42" customHeight="1">
      <c r="A9647" t="s">
        <v>18758</v>
      </c>
      <c r="B9647" t="s">
        <v>18759</v>
      </c>
      <c r="C9647" t="s">
        <v>71</v>
      </c>
      <c r="D9647" t="s">
        <v>17</v>
      </c>
      <c r="E9647" s="6">
        <v>-28461</v>
      </c>
      <c r="F9647" t="s">
        <v>1801</v>
      </c>
      <c r="G9647" t="s">
        <v>57</v>
      </c>
      <c r="H9647" t="s">
        <v>45</v>
      </c>
      <c r="I9647" t="s">
        <v>18760</v>
      </c>
      <c r="J9647" t="str">
        <f>HYPERLINK("https://www.boe.es/gazeta/dias/1822/01/27/pdfs/GMD-1822-27.pdf#page=4","Abrir facsímil")</f>
        <v>Abrir facsímil</v>
      </c>
      <c r="K9647" t="s">
        <v>47</v>
      </c>
    </row>
    <row r="9648" spans="1:11" ht="42" customHeight="1">
      <c r="A9648" t="s">
        <v>18761</v>
      </c>
      <c r="B9648" t="s">
        <v>18762</v>
      </c>
      <c r="C9648" t="s">
        <v>28</v>
      </c>
      <c r="D9648" t="s">
        <v>29</v>
      </c>
      <c r="E9648" s="6">
        <v>-28406</v>
      </c>
      <c r="F9648" t="s">
        <v>462</v>
      </c>
      <c r="G9648" t="s">
        <v>31</v>
      </c>
      <c r="H9648" t="s">
        <v>20</v>
      </c>
      <c r="I9648" t="s">
        <v>18763</v>
      </c>
      <c r="J9648" t="str">
        <f>HYPERLINK("https://www.boe.es/gazeta/dias/1822/03/23/pdfs/GMD-1822-84.pdf#page=3","Abrir facsímil")</f>
        <v>Abrir facsímil</v>
      </c>
      <c r="K9648" t="s">
        <v>22</v>
      </c>
    </row>
    <row r="9649" spans="1:11" ht="42" customHeight="1">
      <c r="A9649" t="s">
        <v>18764</v>
      </c>
      <c r="B9649" t="s">
        <v>18765</v>
      </c>
      <c r="C9649" t="s">
        <v>50</v>
      </c>
      <c r="D9649" t="s">
        <v>51</v>
      </c>
      <c r="E9649" s="6">
        <v>-28319</v>
      </c>
      <c r="F9649" t="s">
        <v>271</v>
      </c>
      <c r="G9649" t="s">
        <v>63</v>
      </c>
      <c r="H9649" t="s">
        <v>20</v>
      </c>
      <c r="I9649" t="s">
        <v>18766</v>
      </c>
      <c r="J9649" t="str">
        <f>HYPERLINK("https://www.boe.es/gazeta/dias/1822/06/18/pdfs/GMD-1822-175.pdf#page=6","Abrir facsímil")</f>
        <v>Abrir facsímil</v>
      </c>
      <c r="K9649" t="s">
        <v>22</v>
      </c>
    </row>
    <row r="9650" spans="1:11" ht="42" customHeight="1">
      <c r="A9650" t="s">
        <v>18767</v>
      </c>
      <c r="B9650" t="s">
        <v>18768</v>
      </c>
      <c r="C9650" t="s">
        <v>362</v>
      </c>
      <c r="D9650" t="s">
        <v>17</v>
      </c>
      <c r="E9650" s="6">
        <v>-28208</v>
      </c>
      <c r="F9650" t="s">
        <v>230</v>
      </c>
      <c r="G9650" t="s">
        <v>57</v>
      </c>
      <c r="H9650" t="s">
        <v>20</v>
      </c>
      <c r="I9650" t="s">
        <v>18769</v>
      </c>
      <c r="J9650" t="str">
        <f>HYPERLINK("https://www.boe.es/gazeta/dias/1822/10/07/pdfs/GMD-1822-293.pdf#page=4","Abrir facsímil")</f>
        <v>Abrir facsímil</v>
      </c>
      <c r="K9650" t="s">
        <v>22</v>
      </c>
    </row>
    <row r="9651" spans="1:11" ht="42" customHeight="1">
      <c r="A9651" t="s">
        <v>18770</v>
      </c>
      <c r="B9651" t="s">
        <v>18771</v>
      </c>
      <c r="C9651" t="s">
        <v>71</v>
      </c>
      <c r="D9651" t="s">
        <v>17</v>
      </c>
      <c r="E9651" s="6">
        <v>-28317</v>
      </c>
      <c r="F9651" t="s">
        <v>546</v>
      </c>
      <c r="G9651" t="s">
        <v>157</v>
      </c>
      <c r="H9651" t="s">
        <v>45</v>
      </c>
      <c r="I9651" t="s">
        <v>18772</v>
      </c>
      <c r="J9651" t="str">
        <f>HYPERLINK("https://www.boe.es/gazeta/dias/1822/06/20/pdfs/GMD-1822-177.pdf#page=8","Abrir facsímil")</f>
        <v>Abrir facsímil</v>
      </c>
      <c r="K9651" t="s">
        <v>47</v>
      </c>
    </row>
    <row r="9652" spans="1:11" ht="42" customHeight="1">
      <c r="A9652" t="s">
        <v>18773</v>
      </c>
      <c r="B9652" t="s">
        <v>18774</v>
      </c>
      <c r="C9652" t="s">
        <v>24</v>
      </c>
      <c r="D9652" t="s">
        <v>17</v>
      </c>
      <c r="E9652" s="6">
        <v>-28254</v>
      </c>
      <c r="F9652" t="s">
        <v>3557</v>
      </c>
      <c r="G9652" t="s">
        <v>57</v>
      </c>
      <c r="H9652" t="s">
        <v>20</v>
      </c>
      <c r="I9652" t="s">
        <v>18775</v>
      </c>
      <c r="J9652" t="str">
        <f>HYPERLINK("https://www.boe.es/gazeta/dias/1822/08/22/pdfs/GMD-1822-246.pdf#page=4","Abrir facsímil")</f>
        <v>Abrir facsímil</v>
      </c>
      <c r="K9652" t="s">
        <v>22</v>
      </c>
    </row>
    <row r="9653" spans="1:11" ht="42" customHeight="1">
      <c r="A9653" t="s">
        <v>18776</v>
      </c>
      <c r="B9653" t="s">
        <v>18777</v>
      </c>
      <c r="C9653" t="s">
        <v>50</v>
      </c>
      <c r="D9653" t="s">
        <v>51</v>
      </c>
      <c r="E9653" s="6">
        <v>-28208</v>
      </c>
      <c r="F9653" t="s">
        <v>230</v>
      </c>
      <c r="G9653" t="s">
        <v>35</v>
      </c>
      <c r="H9653" t="s">
        <v>20</v>
      </c>
      <c r="I9653" t="s">
        <v>18778</v>
      </c>
      <c r="J9653" t="str">
        <f>HYPERLINK("https://www.boe.es/gazeta/dias/1822/10/07/pdfs/GMD-1822-293.pdf#page=2","Abrir facsímil")</f>
        <v>Abrir facsímil</v>
      </c>
      <c r="K9653" t="s">
        <v>22</v>
      </c>
    </row>
    <row r="9654" spans="1:11" ht="42" customHeight="1">
      <c r="A9654" t="s">
        <v>18779</v>
      </c>
      <c r="B9654" t="s">
        <v>18780</v>
      </c>
      <c r="C9654" t="s">
        <v>50</v>
      </c>
      <c r="D9654" t="s">
        <v>51</v>
      </c>
      <c r="E9654" s="6">
        <v>-28264</v>
      </c>
      <c r="F9654" t="s">
        <v>1329</v>
      </c>
      <c r="G9654" t="s">
        <v>57</v>
      </c>
      <c r="H9654" t="s">
        <v>20</v>
      </c>
      <c r="I9654" t="s">
        <v>18781</v>
      </c>
      <c r="J9654" t="str">
        <f>HYPERLINK("https://www.boe.es/gazeta/dias/1822/08/12/pdfs/GMD-1822-236.pdf#page=4","Abrir facsímil")</f>
        <v>Abrir facsímil</v>
      </c>
      <c r="K9654" t="s">
        <v>22</v>
      </c>
    </row>
    <row r="9655" spans="1:11" ht="42" customHeight="1">
      <c r="A9655" t="s">
        <v>18782</v>
      </c>
      <c r="B9655" t="s">
        <v>18783</v>
      </c>
      <c r="C9655" t="s">
        <v>42</v>
      </c>
      <c r="D9655" t="s">
        <v>17</v>
      </c>
      <c r="E9655" s="6">
        <v>-28434</v>
      </c>
      <c r="F9655" t="s">
        <v>433</v>
      </c>
      <c r="G9655" t="s">
        <v>35</v>
      </c>
      <c r="H9655" t="s">
        <v>20</v>
      </c>
      <c r="I9655" t="s">
        <v>18784</v>
      </c>
      <c r="J9655" t="str">
        <f>HYPERLINK("https://www.boe.es/gazeta/dias/1822/02/23/pdfs/GMD-1822-55.pdf#page=2","Abrir facsímil")</f>
        <v>Abrir facsímil</v>
      </c>
      <c r="K9655" t="s">
        <v>22</v>
      </c>
    </row>
    <row r="9656" spans="1:11" ht="42" customHeight="1">
      <c r="A9656" t="s">
        <v>18785</v>
      </c>
      <c r="B9656" t="s">
        <v>18786</v>
      </c>
      <c r="C9656" t="s">
        <v>61</v>
      </c>
      <c r="D9656" t="s">
        <v>17</v>
      </c>
      <c r="E9656" s="6">
        <v>-28392</v>
      </c>
      <c r="F9656" t="s">
        <v>2003</v>
      </c>
      <c r="G9656" t="s">
        <v>57</v>
      </c>
      <c r="H9656" t="s">
        <v>20</v>
      </c>
      <c r="I9656" t="s">
        <v>18787</v>
      </c>
      <c r="J9656" t="str">
        <f>HYPERLINK("https://www.boe.es/gazeta/dias/1822/04/06/pdfs/GMD-1822-98.pdf#page=4","Abrir facsímil")</f>
        <v>Abrir facsímil</v>
      </c>
      <c r="K9656" t="s">
        <v>22</v>
      </c>
    </row>
    <row r="9657" spans="1:11" ht="42" customHeight="1">
      <c r="A9657" t="s">
        <v>18788</v>
      </c>
      <c r="B9657" t="s">
        <v>18789</v>
      </c>
      <c r="C9657" t="s">
        <v>42</v>
      </c>
      <c r="D9657" t="s">
        <v>17</v>
      </c>
      <c r="E9657" s="6">
        <v>-28213</v>
      </c>
      <c r="F9657" t="s">
        <v>558</v>
      </c>
      <c r="G9657" t="s">
        <v>57</v>
      </c>
      <c r="H9657" t="s">
        <v>20</v>
      </c>
      <c r="I9657" t="s">
        <v>18790</v>
      </c>
      <c r="J9657" t="str">
        <f>HYPERLINK("https://www.boe.es/gazeta/dias/1822/10/02/pdfs/GMD-1822-288.pdf#page=4","Abrir facsímil")</f>
        <v>Abrir facsímil</v>
      </c>
      <c r="K9657" t="s">
        <v>22</v>
      </c>
    </row>
    <row r="9658" spans="1:11" ht="42" customHeight="1">
      <c r="A9658" t="s">
        <v>18791</v>
      </c>
      <c r="B9658" t="s">
        <v>18792</v>
      </c>
      <c r="C9658" t="s">
        <v>61</v>
      </c>
      <c r="D9658" t="s">
        <v>17</v>
      </c>
      <c r="E9658" s="6">
        <v>-28212</v>
      </c>
      <c r="F9658" t="s">
        <v>560</v>
      </c>
      <c r="G9658" t="s">
        <v>57</v>
      </c>
      <c r="H9658" t="s">
        <v>20</v>
      </c>
      <c r="I9658" t="s">
        <v>18793</v>
      </c>
      <c r="J9658" t="str">
        <f>HYPERLINK("https://www.boe.es/gazeta/dias/1822/10/03/pdfs/GMD-1822-289.pdf#page=4","Abrir facsímil")</f>
        <v>Abrir facsímil</v>
      </c>
      <c r="K9658" t="s">
        <v>22</v>
      </c>
    </row>
    <row r="9659" spans="1:11" ht="42" customHeight="1">
      <c r="A9659" t="s">
        <v>18794</v>
      </c>
      <c r="B9659" t="s">
        <v>18795</v>
      </c>
      <c r="C9659" t="s">
        <v>50</v>
      </c>
      <c r="D9659" t="s">
        <v>51</v>
      </c>
      <c r="E9659" s="6">
        <v>-28415</v>
      </c>
      <c r="F9659" t="s">
        <v>77</v>
      </c>
      <c r="G9659" t="s">
        <v>63</v>
      </c>
      <c r="H9659" t="s">
        <v>20</v>
      </c>
      <c r="I9659" t="s">
        <v>18796</v>
      </c>
      <c r="J9659" t="str">
        <f>HYPERLINK("https://www.boe.es/gazeta/dias/1822/03/14/pdfs/GMD-1822-75.pdf#page=6","Abrir facsímil")</f>
        <v>Abrir facsímil</v>
      </c>
      <c r="K9659" t="s">
        <v>22</v>
      </c>
    </row>
    <row r="9660" spans="1:11" ht="42" customHeight="1">
      <c r="A9660" t="s">
        <v>18794</v>
      </c>
      <c r="B9660" t="s">
        <v>18795</v>
      </c>
      <c r="C9660" t="s">
        <v>16</v>
      </c>
      <c r="D9660" t="s">
        <v>17</v>
      </c>
      <c r="E9660" s="6">
        <v>-28368</v>
      </c>
      <c r="F9660" t="s">
        <v>126</v>
      </c>
      <c r="G9660" t="s">
        <v>44</v>
      </c>
      <c r="H9660" t="s">
        <v>20</v>
      </c>
      <c r="I9660" t="s">
        <v>18797</v>
      </c>
      <c r="J9660" t="str">
        <f>HYPERLINK("https://www.boe.es/gazeta/dias/1822/04/30/pdfs/GMD-1822-122.pdf#page=1","Abrir facsímil")</f>
        <v>Abrir facsímil</v>
      </c>
      <c r="K9660" t="s">
        <v>22</v>
      </c>
    </row>
    <row r="9661" spans="1:11" ht="42" customHeight="1">
      <c r="A9661" t="s">
        <v>18794</v>
      </c>
      <c r="B9661" t="s">
        <v>18795</v>
      </c>
      <c r="C9661" t="s">
        <v>42</v>
      </c>
      <c r="D9661" t="s">
        <v>17</v>
      </c>
      <c r="E9661" s="6">
        <v>-28360</v>
      </c>
      <c r="F9661" t="s">
        <v>514</v>
      </c>
      <c r="G9661" t="s">
        <v>35</v>
      </c>
      <c r="H9661" t="s">
        <v>20</v>
      </c>
      <c r="I9661" t="s">
        <v>18798</v>
      </c>
      <c r="J9661" t="str">
        <f>HYPERLINK("https://www.boe.es/gazeta/dias/1822/05/08/pdfs/GMD-1822-130.pdf#page=2","Abrir facsímil")</f>
        <v>Abrir facsímil</v>
      </c>
      <c r="K9661" t="s">
        <v>22</v>
      </c>
    </row>
    <row r="9662" spans="1:11" ht="42" customHeight="1">
      <c r="A9662" t="s">
        <v>18794</v>
      </c>
      <c r="B9662" t="s">
        <v>18795</v>
      </c>
      <c r="C9662" t="s">
        <v>16</v>
      </c>
      <c r="D9662" t="s">
        <v>17</v>
      </c>
      <c r="E9662" s="6">
        <v>-28339</v>
      </c>
      <c r="F9662" t="s">
        <v>197</v>
      </c>
      <c r="G9662" t="s">
        <v>44</v>
      </c>
      <c r="H9662" t="s">
        <v>20</v>
      </c>
      <c r="I9662" t="s">
        <v>18799</v>
      </c>
      <c r="J9662" t="str">
        <f>HYPERLINK("https://www.boe.es/gazeta/dias/1822/05/29/pdfs/GMD-1822-154.pdf#page=1","Abrir facsímil")</f>
        <v>Abrir facsímil</v>
      </c>
      <c r="K9662" t="s">
        <v>22</v>
      </c>
    </row>
    <row r="9663" spans="1:11" ht="42" customHeight="1">
      <c r="A9663" t="s">
        <v>18800</v>
      </c>
      <c r="B9663" t="s">
        <v>18801</v>
      </c>
      <c r="C9663" t="s">
        <v>61</v>
      </c>
      <c r="D9663" t="s">
        <v>17</v>
      </c>
      <c r="E9663" s="6">
        <v>-28454</v>
      </c>
      <c r="F9663" t="s">
        <v>2033</v>
      </c>
      <c r="G9663" t="s">
        <v>157</v>
      </c>
      <c r="H9663" t="s">
        <v>20</v>
      </c>
      <c r="I9663" t="s">
        <v>18802</v>
      </c>
      <c r="J9663" t="str">
        <f>HYPERLINK("https://www.boe.es/gazeta/dias/1822/02/03/pdfs/GMD-1822-34.pdf#page=8","Abrir facsímil")</f>
        <v>Abrir facsímil</v>
      </c>
      <c r="K9663" t="s">
        <v>22</v>
      </c>
    </row>
    <row r="9664" spans="1:11" ht="42" customHeight="1">
      <c r="A9664" t="s">
        <v>18803</v>
      </c>
      <c r="B9664" t="s">
        <v>18804</v>
      </c>
      <c r="C9664" t="s">
        <v>50</v>
      </c>
      <c r="D9664" t="s">
        <v>51</v>
      </c>
      <c r="E9664" s="6">
        <v>-28369</v>
      </c>
      <c r="F9664" t="s">
        <v>1590</v>
      </c>
      <c r="G9664" t="s">
        <v>35</v>
      </c>
      <c r="H9664" t="s">
        <v>20</v>
      </c>
      <c r="I9664" t="s">
        <v>18805</v>
      </c>
      <c r="J9664" t="str">
        <f>HYPERLINK("https://www.boe.es/gazeta/dias/1822/04/29/pdfs/GMD-1822-121.pdf#page=2","Abrir facsímil")</f>
        <v>Abrir facsímil</v>
      </c>
      <c r="K9664" t="s">
        <v>22</v>
      </c>
    </row>
    <row r="9665" spans="1:11" ht="42" customHeight="1">
      <c r="A9665" t="s">
        <v>18806</v>
      </c>
      <c r="B9665" t="s">
        <v>18807</v>
      </c>
      <c r="C9665" t="s">
        <v>50</v>
      </c>
      <c r="D9665" t="s">
        <v>51</v>
      </c>
      <c r="E9665" s="6">
        <v>-28228</v>
      </c>
      <c r="F9665" t="s">
        <v>718</v>
      </c>
      <c r="G9665" t="s">
        <v>35</v>
      </c>
      <c r="H9665" t="s">
        <v>20</v>
      </c>
      <c r="I9665" t="s">
        <v>18808</v>
      </c>
      <c r="J9665" t="str">
        <f>HYPERLINK("https://www.boe.es/gazeta/dias/1822/09/17/pdfs/GMD-1822-273.pdf#page=2","Abrir facsímil")</f>
        <v>Abrir facsímil</v>
      </c>
      <c r="K9665" t="s">
        <v>22</v>
      </c>
    </row>
    <row r="9666" spans="1:11" ht="42" customHeight="1">
      <c r="A9666" t="s">
        <v>18809</v>
      </c>
      <c r="B9666" t="s">
        <v>18809</v>
      </c>
      <c r="C9666" t="s">
        <v>50</v>
      </c>
      <c r="D9666" t="s">
        <v>51</v>
      </c>
      <c r="E9666" s="6">
        <v>-28487</v>
      </c>
      <c r="F9666" t="s">
        <v>426</v>
      </c>
      <c r="G9666" t="s">
        <v>19</v>
      </c>
      <c r="H9666" t="s">
        <v>20</v>
      </c>
      <c r="I9666" t="s">
        <v>18810</v>
      </c>
      <c r="J9666" t="str">
        <f>HYPERLINK("https://www.boe.es/gazeta/dias/1822/01/01/pdfs/GMD-1822-1.pdf#page=5","Abrir facsímil")</f>
        <v>Abrir facsímil</v>
      </c>
      <c r="K9666" t="s">
        <v>22</v>
      </c>
    </row>
    <row r="9667" spans="1:11" ht="42" customHeight="1">
      <c r="A9667" t="s">
        <v>18809</v>
      </c>
      <c r="B9667" t="s">
        <v>18809</v>
      </c>
      <c r="C9667" t="s">
        <v>24</v>
      </c>
      <c r="D9667" t="s">
        <v>17</v>
      </c>
      <c r="E9667" s="6">
        <v>-28476</v>
      </c>
      <c r="F9667" t="s">
        <v>160</v>
      </c>
      <c r="G9667" t="s">
        <v>31</v>
      </c>
      <c r="H9667" t="s">
        <v>20</v>
      </c>
      <c r="I9667" t="s">
        <v>18811</v>
      </c>
      <c r="J9667" t="str">
        <f>HYPERLINK("https://www.boe.es/gazeta/dias/1822/01/12/pdfs/GMD-1822-12.pdf#page=3","Abrir facsímil")</f>
        <v>Abrir facsímil</v>
      </c>
      <c r="K9667" t="s">
        <v>22</v>
      </c>
    </row>
    <row r="9668" spans="1:11" ht="42" customHeight="1">
      <c r="A9668" t="s">
        <v>18809</v>
      </c>
      <c r="B9668" t="s">
        <v>18809</v>
      </c>
      <c r="C9668" t="s">
        <v>24</v>
      </c>
      <c r="D9668" t="s">
        <v>17</v>
      </c>
      <c r="E9668" s="6">
        <v>-28359</v>
      </c>
      <c r="F9668" t="s">
        <v>209</v>
      </c>
      <c r="G9668" t="s">
        <v>31</v>
      </c>
      <c r="H9668" t="s">
        <v>20</v>
      </c>
      <c r="I9668" t="s">
        <v>18812</v>
      </c>
      <c r="J9668" t="str">
        <f>HYPERLINK("https://www.boe.es/gazeta/dias/1822/05/09/pdfs/GMD-1822-131.pdf#page=3","Abrir facsímil")</f>
        <v>Abrir facsímil</v>
      </c>
      <c r="K9668" t="s">
        <v>22</v>
      </c>
    </row>
    <row r="9669" spans="1:11" ht="42" customHeight="1">
      <c r="A9669" t="s">
        <v>18809</v>
      </c>
      <c r="B9669" t="s">
        <v>18809</v>
      </c>
      <c r="C9669" t="s">
        <v>42</v>
      </c>
      <c r="D9669" t="s">
        <v>17</v>
      </c>
      <c r="E9669" s="6">
        <v>-28353</v>
      </c>
      <c r="F9669" t="s">
        <v>843</v>
      </c>
      <c r="G9669" t="s">
        <v>35</v>
      </c>
      <c r="H9669" t="s">
        <v>20</v>
      </c>
      <c r="I9669" t="s">
        <v>18813</v>
      </c>
      <c r="J9669" t="str">
        <f>HYPERLINK("https://www.boe.es/gazeta/dias/1822/05/15/pdfs/GMD-1822-137.pdf#page=2","Abrir facsímil")</f>
        <v>Abrir facsímil</v>
      </c>
      <c r="K9669" t="s">
        <v>22</v>
      </c>
    </row>
    <row r="9670" spans="1:11" ht="42" customHeight="1">
      <c r="A9670" t="s">
        <v>18809</v>
      </c>
      <c r="B9670" t="s">
        <v>18809</v>
      </c>
      <c r="C9670" t="s">
        <v>42</v>
      </c>
      <c r="D9670" t="s">
        <v>17</v>
      </c>
      <c r="E9670" s="6">
        <v>-28353</v>
      </c>
      <c r="F9670" t="s">
        <v>843</v>
      </c>
      <c r="G9670" t="s">
        <v>31</v>
      </c>
      <c r="H9670" t="s">
        <v>20</v>
      </c>
      <c r="I9670" t="s">
        <v>18814</v>
      </c>
      <c r="J9670" t="str">
        <f>HYPERLINK("https://www.boe.es/gazeta/dias/1822/05/15/pdfs/GMD-1822-137.pdf#page=3","Abrir facsímil")</f>
        <v>Abrir facsímil</v>
      </c>
      <c r="K9670" t="s">
        <v>22</v>
      </c>
    </row>
    <row r="9671" spans="1:11" ht="42" customHeight="1">
      <c r="A9671" t="s">
        <v>18809</v>
      </c>
      <c r="B9671" t="s">
        <v>18809</v>
      </c>
      <c r="C9671" t="s">
        <v>71</v>
      </c>
      <c r="D9671" t="s">
        <v>17</v>
      </c>
      <c r="E9671" s="6">
        <v>-28351</v>
      </c>
      <c r="F9671" t="s">
        <v>282</v>
      </c>
      <c r="G9671" t="s">
        <v>35</v>
      </c>
      <c r="H9671" t="s">
        <v>20</v>
      </c>
      <c r="I9671" t="s">
        <v>18815</v>
      </c>
      <c r="J9671" t="str">
        <f>HYPERLINK("https://www.boe.es/gazeta/dias/1822/05/17/pdfs/GMD-1822-139.pdf#page=2","Abrir facsímil")</f>
        <v>Abrir facsímil</v>
      </c>
      <c r="K9671" t="s">
        <v>22</v>
      </c>
    </row>
    <row r="9672" spans="1:11" ht="42" customHeight="1">
      <c r="A9672" t="s">
        <v>18809</v>
      </c>
      <c r="B9672" t="s">
        <v>18809</v>
      </c>
      <c r="C9672" t="s">
        <v>71</v>
      </c>
      <c r="D9672" t="s">
        <v>17</v>
      </c>
      <c r="E9672" s="6">
        <v>-28344</v>
      </c>
      <c r="F9672" t="s">
        <v>524</v>
      </c>
      <c r="G9672" t="s">
        <v>44</v>
      </c>
      <c r="H9672" t="s">
        <v>20</v>
      </c>
      <c r="I9672" t="s">
        <v>18816</v>
      </c>
      <c r="J9672" t="str">
        <f>HYPERLINK("https://www.boe.es/gazeta/dias/1822/05/24/pdfs/GMD-1822-148.pdf#page=1","Abrir facsímil")</f>
        <v>Abrir facsímil</v>
      </c>
      <c r="K9672" t="s">
        <v>22</v>
      </c>
    </row>
    <row r="9673" spans="1:11" ht="42" customHeight="1">
      <c r="A9673" t="s">
        <v>18809</v>
      </c>
      <c r="B9673" t="s">
        <v>18809</v>
      </c>
      <c r="C9673" t="s">
        <v>50</v>
      </c>
      <c r="D9673" t="s">
        <v>51</v>
      </c>
      <c r="E9673" s="6">
        <v>-28341</v>
      </c>
      <c r="F9673" t="s">
        <v>284</v>
      </c>
      <c r="G9673" t="s">
        <v>35</v>
      </c>
      <c r="H9673" t="s">
        <v>20</v>
      </c>
      <c r="I9673" t="s">
        <v>18817</v>
      </c>
      <c r="J9673" t="str">
        <f>HYPERLINK("https://www.boe.es/gazeta/dias/1822/05/27/pdfs/GMD-1822-152.pdf#page=2","Abrir facsímil")</f>
        <v>Abrir facsímil</v>
      </c>
      <c r="K9673" t="s">
        <v>22</v>
      </c>
    </row>
    <row r="9674" spans="1:11" ht="42" customHeight="1">
      <c r="A9674" t="s">
        <v>18809</v>
      </c>
      <c r="B9674" t="s">
        <v>18809</v>
      </c>
      <c r="C9674" t="s">
        <v>42</v>
      </c>
      <c r="D9674" t="s">
        <v>17</v>
      </c>
      <c r="E9674" s="6">
        <v>-28341</v>
      </c>
      <c r="F9674" t="s">
        <v>284</v>
      </c>
      <c r="G9674" t="s">
        <v>19</v>
      </c>
      <c r="H9674" t="s">
        <v>20</v>
      </c>
      <c r="I9674" t="s">
        <v>18818</v>
      </c>
      <c r="J9674" t="str">
        <f>HYPERLINK("https://www.boe.es/gazeta/dias/1822/05/27/pdfs/GMD-1822-152.pdf#page=5","Abrir facsímil")</f>
        <v>Abrir facsímil</v>
      </c>
      <c r="K9674" t="s">
        <v>22</v>
      </c>
    </row>
    <row r="9675" spans="1:11" ht="42" customHeight="1">
      <c r="A9675" t="s">
        <v>18809</v>
      </c>
      <c r="B9675" t="s">
        <v>18809</v>
      </c>
      <c r="C9675" t="s">
        <v>28</v>
      </c>
      <c r="D9675" t="s">
        <v>29</v>
      </c>
      <c r="E9675" s="6">
        <v>-28337</v>
      </c>
      <c r="F9675" t="s">
        <v>1836</v>
      </c>
      <c r="G9675" t="s">
        <v>57</v>
      </c>
      <c r="H9675" t="s">
        <v>20</v>
      </c>
      <c r="I9675" t="s">
        <v>18819</v>
      </c>
      <c r="J9675" t="str">
        <f>HYPERLINK("https://www.boe.es/gazeta/dias/1822/05/31/pdfs/GMD-1822-156.pdf#page=4","Abrir facsímil")</f>
        <v>Abrir facsímil</v>
      </c>
      <c r="K9675" t="s">
        <v>22</v>
      </c>
    </row>
    <row r="9676" spans="1:11" ht="42" customHeight="1">
      <c r="A9676" t="s">
        <v>18809</v>
      </c>
      <c r="B9676" t="s">
        <v>18809</v>
      </c>
      <c r="C9676" t="s">
        <v>28</v>
      </c>
      <c r="D9676" t="s">
        <v>29</v>
      </c>
      <c r="E9676" s="6">
        <v>-28332</v>
      </c>
      <c r="F9676" t="s">
        <v>535</v>
      </c>
      <c r="G9676" t="s">
        <v>35</v>
      </c>
      <c r="H9676" t="s">
        <v>20</v>
      </c>
      <c r="I9676" t="s">
        <v>18820</v>
      </c>
      <c r="J9676" t="str">
        <f>HYPERLINK("https://www.boe.es/gazeta/dias/1822/06/05/pdfs/GMD-1822-162.pdf#page=2","Abrir facsímil")</f>
        <v>Abrir facsímil</v>
      </c>
      <c r="K9676" t="s">
        <v>22</v>
      </c>
    </row>
    <row r="9677" spans="1:11" ht="42" customHeight="1">
      <c r="A9677" t="s">
        <v>18809</v>
      </c>
      <c r="B9677" t="s">
        <v>18809</v>
      </c>
      <c r="C9677" t="s">
        <v>71</v>
      </c>
      <c r="D9677" t="s">
        <v>17</v>
      </c>
      <c r="E9677" s="6">
        <v>-28331</v>
      </c>
      <c r="F9677" t="s">
        <v>537</v>
      </c>
      <c r="G9677" t="s">
        <v>35</v>
      </c>
      <c r="H9677" t="s">
        <v>20</v>
      </c>
      <c r="I9677" t="s">
        <v>18821</v>
      </c>
      <c r="J9677" t="str">
        <f>HYPERLINK("https://www.boe.es/gazeta/dias/1822/06/06/pdfs/GMD-1822-163.pdf#page=2","Abrir facsímil")</f>
        <v>Abrir facsímil</v>
      </c>
      <c r="K9677" t="s">
        <v>22</v>
      </c>
    </row>
    <row r="9678" spans="1:11" ht="42" customHeight="1">
      <c r="A9678" t="s">
        <v>18809</v>
      </c>
      <c r="B9678" t="s">
        <v>18809</v>
      </c>
      <c r="C9678" t="s">
        <v>28</v>
      </c>
      <c r="D9678" t="s">
        <v>29</v>
      </c>
      <c r="E9678" s="6">
        <v>-28324</v>
      </c>
      <c r="F9678" t="s">
        <v>305</v>
      </c>
      <c r="G9678" t="s">
        <v>57</v>
      </c>
      <c r="H9678" t="s">
        <v>20</v>
      </c>
      <c r="I9678" t="s">
        <v>18822</v>
      </c>
      <c r="J9678" t="str">
        <f>HYPERLINK("https://www.boe.es/gazeta/dias/1822/06/13/pdfs/GMD-1822-170.pdf#page=4","Abrir facsímil")</f>
        <v>Abrir facsímil</v>
      </c>
      <c r="K9678" t="s">
        <v>22</v>
      </c>
    </row>
    <row r="9679" spans="1:11" ht="42" customHeight="1">
      <c r="A9679" t="s">
        <v>18809</v>
      </c>
      <c r="B9679" t="s">
        <v>18809</v>
      </c>
      <c r="C9679" t="s">
        <v>42</v>
      </c>
      <c r="D9679" t="s">
        <v>17</v>
      </c>
      <c r="E9679" s="6">
        <v>-28323</v>
      </c>
      <c r="F9679" t="s">
        <v>116</v>
      </c>
      <c r="G9679" t="s">
        <v>35</v>
      </c>
      <c r="H9679" t="s">
        <v>20</v>
      </c>
      <c r="I9679" t="s">
        <v>18823</v>
      </c>
      <c r="J9679" t="str">
        <f>HYPERLINK("https://www.boe.es/gazeta/dias/1822/06/14/pdfs/GMD-1822-171.pdf#page=2","Abrir facsímil")</f>
        <v>Abrir facsímil</v>
      </c>
      <c r="K9679" t="s">
        <v>22</v>
      </c>
    </row>
    <row r="9680" spans="1:11" ht="42" customHeight="1">
      <c r="A9680" t="s">
        <v>18809</v>
      </c>
      <c r="B9680" t="s">
        <v>18809</v>
      </c>
      <c r="C9680" t="s">
        <v>42</v>
      </c>
      <c r="D9680" t="s">
        <v>17</v>
      </c>
      <c r="E9680" s="6">
        <v>-28318</v>
      </c>
      <c r="F9680" t="s">
        <v>397</v>
      </c>
      <c r="G9680" t="s">
        <v>31</v>
      </c>
      <c r="H9680" t="s">
        <v>20</v>
      </c>
      <c r="I9680" t="s">
        <v>18824</v>
      </c>
      <c r="J9680" t="str">
        <f>HYPERLINK("https://www.boe.es/gazeta/dias/1822/06/19/pdfs/GMD-1822-176.pdf#page=3","Abrir facsímil")</f>
        <v>Abrir facsímil</v>
      </c>
      <c r="K9680" t="s">
        <v>22</v>
      </c>
    </row>
    <row r="9681" spans="1:11" ht="42" customHeight="1">
      <c r="A9681" t="s">
        <v>18809</v>
      </c>
      <c r="B9681" t="s">
        <v>18809</v>
      </c>
      <c r="C9681" t="s">
        <v>50</v>
      </c>
      <c r="D9681" t="s">
        <v>51</v>
      </c>
      <c r="E9681" s="6">
        <v>-28318</v>
      </c>
      <c r="F9681" t="s">
        <v>397</v>
      </c>
      <c r="G9681" t="s">
        <v>63</v>
      </c>
      <c r="H9681" t="s">
        <v>20</v>
      </c>
      <c r="I9681" t="s">
        <v>18825</v>
      </c>
      <c r="J9681" t="str">
        <f>HYPERLINK("https://www.boe.es/gazeta/dias/1822/06/19/pdfs/GMD-1822-176.pdf#page=6","Abrir facsímil")</f>
        <v>Abrir facsímil</v>
      </c>
      <c r="K9681" t="s">
        <v>22</v>
      </c>
    </row>
    <row r="9682" spans="1:11" ht="42" customHeight="1">
      <c r="A9682" t="s">
        <v>18809</v>
      </c>
      <c r="B9682" t="s">
        <v>18809</v>
      </c>
      <c r="C9682" t="s">
        <v>16</v>
      </c>
      <c r="D9682" t="s">
        <v>17</v>
      </c>
      <c r="E9682" s="6">
        <v>-28317</v>
      </c>
      <c r="F9682" t="s">
        <v>546</v>
      </c>
      <c r="G9682" t="s">
        <v>167</v>
      </c>
      <c r="H9682" t="s">
        <v>20</v>
      </c>
      <c r="I9682" t="s">
        <v>18826</v>
      </c>
      <c r="J9682" t="str">
        <f>HYPERLINK("https://www.boe.es/gazeta/dias/1822/06/20/pdfs/GMD-1822-177.pdf#page=7","Abrir facsímil")</f>
        <v>Abrir facsímil</v>
      </c>
      <c r="K9682" t="s">
        <v>22</v>
      </c>
    </row>
    <row r="9683" spans="1:11" ht="42" customHeight="1">
      <c r="A9683" t="s">
        <v>18809</v>
      </c>
      <c r="B9683" t="s">
        <v>18809</v>
      </c>
      <c r="C9683" t="s">
        <v>42</v>
      </c>
      <c r="D9683" t="s">
        <v>17</v>
      </c>
      <c r="E9683" s="6">
        <v>-28316</v>
      </c>
      <c r="F9683" t="s">
        <v>1144</v>
      </c>
      <c r="G9683" t="s">
        <v>63</v>
      </c>
      <c r="H9683" t="s">
        <v>20</v>
      </c>
      <c r="I9683" t="s">
        <v>18827</v>
      </c>
      <c r="J9683" t="str">
        <f>HYPERLINK("https://www.boe.es/gazeta/dias/1822/06/21/pdfs/GMD-1822-179.pdf#page=6","Abrir facsímil")</f>
        <v>Abrir facsímil</v>
      </c>
      <c r="K9683" t="s">
        <v>22</v>
      </c>
    </row>
    <row r="9684" spans="1:11" ht="42" customHeight="1">
      <c r="A9684" t="s">
        <v>18809</v>
      </c>
      <c r="B9684" t="s">
        <v>18809</v>
      </c>
      <c r="C9684" t="s">
        <v>42</v>
      </c>
      <c r="D9684" t="s">
        <v>17</v>
      </c>
      <c r="E9684" s="6">
        <v>-28306</v>
      </c>
      <c r="F9684" t="s">
        <v>348</v>
      </c>
      <c r="G9684" t="s">
        <v>31</v>
      </c>
      <c r="H9684" t="s">
        <v>20</v>
      </c>
      <c r="I9684" t="s">
        <v>18828</v>
      </c>
      <c r="J9684" t="str">
        <f>HYPERLINK("https://www.boe.es/gazeta/dias/1822/07/01/pdfs/GMD-1822-190.pdf#page=3","Abrir facsímil")</f>
        <v>Abrir facsímil</v>
      </c>
      <c r="K9684" t="s">
        <v>22</v>
      </c>
    </row>
    <row r="9685" spans="1:11" ht="42" customHeight="1">
      <c r="A9685" t="s">
        <v>18809</v>
      </c>
      <c r="B9685" t="s">
        <v>18809</v>
      </c>
      <c r="C9685" t="s">
        <v>50</v>
      </c>
      <c r="D9685" t="s">
        <v>51</v>
      </c>
      <c r="E9685" s="6">
        <v>-28203</v>
      </c>
      <c r="F9685" t="s">
        <v>564</v>
      </c>
      <c r="G9685" t="s">
        <v>4185</v>
      </c>
      <c r="H9685" t="s">
        <v>20</v>
      </c>
      <c r="I9685" t="s">
        <v>18829</v>
      </c>
      <c r="J9685" t="str">
        <f>HYPERLINK("https://www.boe.es/gazeta/dias/1822/10/12/pdfs/GMD-1822-299.pdf#page=2","Abrir facsímil")</f>
        <v>Abrir facsímil</v>
      </c>
      <c r="K9685" t="s">
        <v>22</v>
      </c>
    </row>
    <row r="9686" spans="1:11" ht="42" customHeight="1">
      <c r="A9686" t="s">
        <v>18809</v>
      </c>
      <c r="B9686" t="s">
        <v>18809</v>
      </c>
      <c r="C9686" t="s">
        <v>28</v>
      </c>
      <c r="D9686" t="s">
        <v>29</v>
      </c>
      <c r="E9686" s="6">
        <v>-28203</v>
      </c>
      <c r="F9686" t="s">
        <v>564</v>
      </c>
      <c r="G9686" t="s">
        <v>44</v>
      </c>
      <c r="H9686" t="s">
        <v>20</v>
      </c>
      <c r="I9686" t="s">
        <v>18830</v>
      </c>
      <c r="J9686" t="str">
        <f>HYPERLINK("https://www.boe.es/gazeta/dias/1822/10/12/pdfs/GMD-1822-299.pdf#page=1","Abrir facsímil")</f>
        <v>Abrir facsímil</v>
      </c>
      <c r="K9686" t="s">
        <v>22</v>
      </c>
    </row>
    <row r="9687" spans="1:11" ht="42" customHeight="1">
      <c r="A9687" t="s">
        <v>18809</v>
      </c>
      <c r="B9687" t="s">
        <v>18809</v>
      </c>
      <c r="C9687" t="s">
        <v>50</v>
      </c>
      <c r="D9687" t="s">
        <v>51</v>
      </c>
      <c r="E9687" s="6">
        <v>-28203</v>
      </c>
      <c r="F9687" t="s">
        <v>564</v>
      </c>
      <c r="G9687" t="s">
        <v>31</v>
      </c>
      <c r="H9687" t="s">
        <v>20</v>
      </c>
      <c r="I9687" t="s">
        <v>18831</v>
      </c>
      <c r="J9687" t="str">
        <f>HYPERLINK("https://www.boe.es/gazeta/dias/1822/10/12/pdfs/GMD-1822-299.pdf#page=3","Abrir facsímil")</f>
        <v>Abrir facsímil</v>
      </c>
      <c r="K9687" t="s">
        <v>22</v>
      </c>
    </row>
    <row r="9688" spans="1:11" ht="42" customHeight="1">
      <c r="A9688" t="s">
        <v>18809</v>
      </c>
      <c r="B9688" t="s">
        <v>18809</v>
      </c>
      <c r="C9688" t="s">
        <v>28</v>
      </c>
      <c r="D9688" t="s">
        <v>29</v>
      </c>
      <c r="E9688" s="6">
        <v>-28200</v>
      </c>
      <c r="F9688" t="s">
        <v>1037</v>
      </c>
      <c r="G9688" t="s">
        <v>35</v>
      </c>
      <c r="H9688" t="s">
        <v>20</v>
      </c>
      <c r="I9688" t="s">
        <v>18832</v>
      </c>
      <c r="J9688" t="str">
        <f>HYPERLINK("https://www.boe.es/gazeta/dias/1822/10/15/pdfs/GMD-1822-302.pdf#page=2","Abrir facsímil")</f>
        <v>Abrir facsímil</v>
      </c>
      <c r="K9688" t="s">
        <v>22</v>
      </c>
    </row>
    <row r="9689" spans="1:11" ht="42" customHeight="1">
      <c r="A9689" t="s">
        <v>18809</v>
      </c>
      <c r="B9689" t="s">
        <v>18809</v>
      </c>
      <c r="C9689" t="s">
        <v>42</v>
      </c>
      <c r="D9689" t="s">
        <v>17</v>
      </c>
      <c r="E9689" s="6">
        <v>-28199</v>
      </c>
      <c r="F9689" t="s">
        <v>656</v>
      </c>
      <c r="G9689" t="s">
        <v>57</v>
      </c>
      <c r="H9689" t="s">
        <v>20</v>
      </c>
      <c r="I9689" t="s">
        <v>18833</v>
      </c>
      <c r="J9689" t="str">
        <f>HYPERLINK("https://www.boe.es/gazeta/dias/1822/10/16/pdfs/GMD-1822-303.pdf#page=4","Abrir facsímil")</f>
        <v>Abrir facsímil</v>
      </c>
      <c r="K9689" t="s">
        <v>22</v>
      </c>
    </row>
    <row r="9690" spans="1:11" ht="42" customHeight="1">
      <c r="A9690" t="s">
        <v>18809</v>
      </c>
      <c r="B9690" t="s">
        <v>18809</v>
      </c>
      <c r="C9690" t="s">
        <v>50</v>
      </c>
      <c r="D9690" t="s">
        <v>51</v>
      </c>
      <c r="E9690" s="6">
        <v>-28197</v>
      </c>
      <c r="F9690" t="s">
        <v>568</v>
      </c>
      <c r="G9690" t="s">
        <v>31</v>
      </c>
      <c r="H9690" t="s">
        <v>20</v>
      </c>
      <c r="I9690" t="s">
        <v>18834</v>
      </c>
      <c r="J9690" t="str">
        <f>HYPERLINK("https://www.boe.es/gazeta/dias/1822/10/18/pdfs/GMD-1822-305.pdf#page=3","Abrir facsímil")</f>
        <v>Abrir facsímil</v>
      </c>
      <c r="K9690" t="s">
        <v>22</v>
      </c>
    </row>
    <row r="9691" spans="1:11" ht="42" customHeight="1">
      <c r="A9691" t="s">
        <v>18809</v>
      </c>
      <c r="B9691" t="s">
        <v>18809</v>
      </c>
      <c r="C9691" t="s">
        <v>71</v>
      </c>
      <c r="D9691" t="s">
        <v>17</v>
      </c>
      <c r="E9691" s="6">
        <v>-28196</v>
      </c>
      <c r="F9691" t="s">
        <v>570</v>
      </c>
      <c r="G9691" t="s">
        <v>44</v>
      </c>
      <c r="H9691" t="s">
        <v>20</v>
      </c>
      <c r="I9691" t="s">
        <v>18835</v>
      </c>
      <c r="J9691" t="str">
        <f>HYPERLINK("https://www.boe.es/gazeta/dias/1822/10/19/pdfs/GMD-1822-306.pdf#page=1","Abrir facsímil")</f>
        <v>Abrir facsímil</v>
      </c>
      <c r="K9691" t="s">
        <v>22</v>
      </c>
    </row>
    <row r="9692" spans="1:11" ht="42" customHeight="1">
      <c r="A9692" t="s">
        <v>18809</v>
      </c>
      <c r="B9692" t="s">
        <v>18809</v>
      </c>
      <c r="C9692" t="s">
        <v>61</v>
      </c>
      <c r="D9692" t="s">
        <v>17</v>
      </c>
      <c r="E9692" s="6">
        <v>-28194</v>
      </c>
      <c r="F9692" t="s">
        <v>18</v>
      </c>
      <c r="G9692" t="s">
        <v>44</v>
      </c>
      <c r="H9692" t="s">
        <v>20</v>
      </c>
      <c r="I9692" t="s">
        <v>18836</v>
      </c>
      <c r="J9692" t="str">
        <f>HYPERLINK("https://www.boe.es/gazeta/dias/1822/10/21/pdfs/GMD-1822-308.pdf#page=1","Abrir facsímil")</f>
        <v>Abrir facsímil</v>
      </c>
      <c r="K9692" t="s">
        <v>22</v>
      </c>
    </row>
    <row r="9693" spans="1:11" ht="42" customHeight="1">
      <c r="A9693" t="s">
        <v>18809</v>
      </c>
      <c r="B9693" t="s">
        <v>18809</v>
      </c>
      <c r="C9693" t="s">
        <v>16</v>
      </c>
      <c r="D9693" t="s">
        <v>17</v>
      </c>
      <c r="E9693" s="6">
        <v>-28189</v>
      </c>
      <c r="F9693" t="s">
        <v>645</v>
      </c>
      <c r="G9693" t="s">
        <v>57</v>
      </c>
      <c r="H9693" t="s">
        <v>20</v>
      </c>
      <c r="I9693" t="s">
        <v>18837</v>
      </c>
      <c r="J9693" t="str">
        <f>HYPERLINK("https://www.boe.es/gazeta/dias/1822/10/26/pdfs/GMD-1822-313.pdf#page=4","Abrir facsímil")</f>
        <v>Abrir facsímil</v>
      </c>
      <c r="K9693" t="s">
        <v>22</v>
      </c>
    </row>
    <row r="9694" spans="1:11" ht="42" customHeight="1">
      <c r="A9694" t="s">
        <v>18809</v>
      </c>
      <c r="B9694" t="s">
        <v>18809</v>
      </c>
      <c r="C9694" t="s">
        <v>42</v>
      </c>
      <c r="D9694" t="s">
        <v>17</v>
      </c>
      <c r="E9694" s="6">
        <v>-28188</v>
      </c>
      <c r="F9694" t="s">
        <v>578</v>
      </c>
      <c r="G9694" t="s">
        <v>63</v>
      </c>
      <c r="H9694" t="s">
        <v>20</v>
      </c>
      <c r="I9694" t="s">
        <v>18838</v>
      </c>
      <c r="J9694" t="str">
        <f>HYPERLINK("https://www.boe.es/gazeta/dias/1822/10/27/pdfs/GMD-1822-314.pdf#page=6","Abrir facsímil")</f>
        <v>Abrir facsímil</v>
      </c>
      <c r="K9694" t="s">
        <v>22</v>
      </c>
    </row>
    <row r="9695" spans="1:11" ht="42" customHeight="1">
      <c r="A9695" t="s">
        <v>18809</v>
      </c>
      <c r="B9695" t="s">
        <v>18809</v>
      </c>
      <c r="C9695" t="s">
        <v>16</v>
      </c>
      <c r="D9695" t="s">
        <v>17</v>
      </c>
      <c r="E9695" s="6">
        <v>-28186</v>
      </c>
      <c r="F9695" t="s">
        <v>581</v>
      </c>
      <c r="G9695" t="s">
        <v>35</v>
      </c>
      <c r="H9695" t="s">
        <v>20</v>
      </c>
      <c r="I9695" t="s">
        <v>18839</v>
      </c>
      <c r="J9695" t="str">
        <f>HYPERLINK("https://www.boe.es/gazeta/dias/1822/10/29/pdfs/GMD-1822-316.pdf#page=2","Abrir facsímil")</f>
        <v>Abrir facsímil</v>
      </c>
      <c r="K9695" t="s">
        <v>22</v>
      </c>
    </row>
    <row r="9696" spans="1:11" ht="42" customHeight="1">
      <c r="A9696" t="s">
        <v>18809</v>
      </c>
      <c r="B9696" t="s">
        <v>18809</v>
      </c>
      <c r="C9696" t="s">
        <v>50</v>
      </c>
      <c r="D9696" t="s">
        <v>51</v>
      </c>
      <c r="E9696" s="6">
        <v>-28185</v>
      </c>
      <c r="F9696" t="s">
        <v>933</v>
      </c>
      <c r="G9696" t="s">
        <v>35</v>
      </c>
      <c r="H9696" t="s">
        <v>20</v>
      </c>
      <c r="I9696" t="s">
        <v>18840</v>
      </c>
      <c r="J9696" t="str">
        <f>HYPERLINK("https://www.boe.es/gazeta/dias/1822/10/30/pdfs/GMD-1822-317.pdf#page=2","Abrir facsímil")</f>
        <v>Abrir facsímil</v>
      </c>
      <c r="K9696" t="s">
        <v>22</v>
      </c>
    </row>
    <row r="9697" spans="1:11" ht="42" customHeight="1">
      <c r="A9697" t="s">
        <v>18809</v>
      </c>
      <c r="B9697" t="s">
        <v>18809</v>
      </c>
      <c r="C9697" t="s">
        <v>42</v>
      </c>
      <c r="D9697" t="s">
        <v>17</v>
      </c>
      <c r="E9697" s="6">
        <v>-28185</v>
      </c>
      <c r="F9697" t="s">
        <v>933</v>
      </c>
      <c r="G9697" t="s">
        <v>31</v>
      </c>
      <c r="H9697" t="s">
        <v>20</v>
      </c>
      <c r="I9697" t="s">
        <v>18841</v>
      </c>
      <c r="J9697" t="str">
        <f>HYPERLINK("https://www.boe.es/gazeta/dias/1822/10/30/pdfs/GMD-1822-317.pdf#page=3","Abrir facsímil")</f>
        <v>Abrir facsímil</v>
      </c>
      <c r="K9697" t="s">
        <v>22</v>
      </c>
    </row>
    <row r="9698" spans="1:11" ht="42" customHeight="1">
      <c r="A9698" t="s">
        <v>18809</v>
      </c>
      <c r="B9698" t="s">
        <v>18809</v>
      </c>
      <c r="C9698" t="s">
        <v>28</v>
      </c>
      <c r="D9698" t="s">
        <v>29</v>
      </c>
      <c r="E9698" s="6">
        <v>-28172</v>
      </c>
      <c r="F9698" t="s">
        <v>674</v>
      </c>
      <c r="G9698" t="s">
        <v>35</v>
      </c>
      <c r="H9698" t="s">
        <v>20</v>
      </c>
      <c r="I9698" t="s">
        <v>18842</v>
      </c>
      <c r="J9698" t="str">
        <f>HYPERLINK("https://www.boe.es/gazeta/dias/1822/11/12/pdfs/GMD-1822-332.pdf#page=2","Abrir facsímil")</f>
        <v>Abrir facsímil</v>
      </c>
      <c r="K9698" t="s">
        <v>22</v>
      </c>
    </row>
    <row r="9699" spans="1:11" ht="42" customHeight="1">
      <c r="A9699" t="s">
        <v>18809</v>
      </c>
      <c r="B9699" t="s">
        <v>18809</v>
      </c>
      <c r="C9699" t="s">
        <v>42</v>
      </c>
      <c r="D9699" t="s">
        <v>17</v>
      </c>
      <c r="E9699" s="6">
        <v>-28169</v>
      </c>
      <c r="F9699" t="s">
        <v>2571</v>
      </c>
      <c r="G9699" t="s">
        <v>19</v>
      </c>
      <c r="H9699" t="s">
        <v>20</v>
      </c>
      <c r="I9699" t="s">
        <v>18843</v>
      </c>
      <c r="J9699" t="str">
        <f>HYPERLINK("https://www.boe.es/gazeta/dias/1822/11/15/pdfs/GMD-1822-335.pdf#page=5","Abrir facsímil")</f>
        <v>Abrir facsímil</v>
      </c>
      <c r="K9699" t="s">
        <v>22</v>
      </c>
    </row>
    <row r="9700" spans="1:11" ht="42" customHeight="1">
      <c r="A9700" t="s">
        <v>18809</v>
      </c>
      <c r="B9700" t="s">
        <v>18809</v>
      </c>
      <c r="C9700" t="s">
        <v>50</v>
      </c>
      <c r="D9700" t="s">
        <v>51</v>
      </c>
      <c r="E9700" s="6">
        <v>-28158</v>
      </c>
      <c r="F9700" t="s">
        <v>590</v>
      </c>
      <c r="G9700" t="s">
        <v>35</v>
      </c>
      <c r="H9700" t="s">
        <v>20</v>
      </c>
      <c r="I9700" t="s">
        <v>18844</v>
      </c>
      <c r="J9700" t="str">
        <f>HYPERLINK("https://www.boe.es/gazeta/dias/1822/11/26/pdfs/GMD-1822-346.pdf#page=2","Abrir facsímil")</f>
        <v>Abrir facsímil</v>
      </c>
      <c r="K9700" t="s">
        <v>22</v>
      </c>
    </row>
    <row r="9701" spans="1:11" ht="42" customHeight="1">
      <c r="A9701" t="s">
        <v>18809</v>
      </c>
      <c r="B9701" t="s">
        <v>18809</v>
      </c>
      <c r="C9701" t="s">
        <v>50</v>
      </c>
      <c r="D9701" t="s">
        <v>51</v>
      </c>
      <c r="E9701" s="6">
        <v>-28151</v>
      </c>
      <c r="F9701" t="s">
        <v>985</v>
      </c>
      <c r="G9701" t="s">
        <v>44</v>
      </c>
      <c r="H9701" t="s">
        <v>20</v>
      </c>
      <c r="I9701" t="s">
        <v>18845</v>
      </c>
      <c r="J9701" t="str">
        <f>HYPERLINK("https://www.boe.es/gazeta/dias/1822/12/03/pdfs/GMD-1822-353.pdf#page=1","Abrir facsímil")</f>
        <v>Abrir facsímil</v>
      </c>
      <c r="K9701" t="s">
        <v>22</v>
      </c>
    </row>
    <row r="9702" spans="1:11" ht="42" customHeight="1">
      <c r="A9702" t="s">
        <v>18809</v>
      </c>
      <c r="B9702" t="s">
        <v>18809</v>
      </c>
      <c r="C9702" t="s">
        <v>16</v>
      </c>
      <c r="D9702" t="s">
        <v>17</v>
      </c>
      <c r="E9702" s="6">
        <v>-28142</v>
      </c>
      <c r="F9702" t="s">
        <v>290</v>
      </c>
      <c r="G9702" t="s">
        <v>35</v>
      </c>
      <c r="H9702" t="s">
        <v>20</v>
      </c>
      <c r="I9702" t="s">
        <v>18846</v>
      </c>
      <c r="J9702" t="str">
        <f>HYPERLINK("https://www.boe.es/gazeta/dias/1822/12/12/pdfs/GMD-1822-362.pdf#page=2","Abrir facsímil")</f>
        <v>Abrir facsímil</v>
      </c>
      <c r="K9702" t="s">
        <v>22</v>
      </c>
    </row>
    <row r="9703" spans="1:11" ht="42" customHeight="1">
      <c r="A9703" t="s">
        <v>18809</v>
      </c>
      <c r="B9703" t="s">
        <v>18809</v>
      </c>
      <c r="C9703" t="s">
        <v>50</v>
      </c>
      <c r="D9703" t="s">
        <v>51</v>
      </c>
      <c r="E9703" s="6">
        <v>-28141</v>
      </c>
      <c r="F9703" t="s">
        <v>265</v>
      </c>
      <c r="G9703" t="s">
        <v>57</v>
      </c>
      <c r="H9703" t="s">
        <v>20</v>
      </c>
      <c r="I9703" t="s">
        <v>18847</v>
      </c>
      <c r="J9703" t="str">
        <f>HYPERLINK("https://www.boe.es/gazeta/dias/1822/12/13/pdfs/GMD-1822-363.pdf#page=4","Abrir facsímil")</f>
        <v>Abrir facsímil</v>
      </c>
      <c r="K9703" t="s">
        <v>22</v>
      </c>
    </row>
    <row r="9704" spans="1:11" ht="42" customHeight="1">
      <c r="A9704" t="s">
        <v>18809</v>
      </c>
      <c r="B9704" t="s">
        <v>18809</v>
      </c>
      <c r="C9704" t="s">
        <v>71</v>
      </c>
      <c r="D9704" t="s">
        <v>17</v>
      </c>
      <c r="E9704" s="6">
        <v>-28140</v>
      </c>
      <c r="F9704" t="s">
        <v>84</v>
      </c>
      <c r="G9704" t="s">
        <v>35</v>
      </c>
      <c r="H9704" t="s">
        <v>20</v>
      </c>
      <c r="I9704" t="s">
        <v>18848</v>
      </c>
      <c r="J9704" t="str">
        <f>HYPERLINK("https://www.boe.es/gazeta/dias/1822/12/14/pdfs/GMD-1822-364.pdf#page=2","Abrir facsímil")</f>
        <v>Abrir facsímil</v>
      </c>
      <c r="K9704" t="s">
        <v>22</v>
      </c>
    </row>
    <row r="9705" spans="1:11" ht="42" customHeight="1">
      <c r="A9705" t="s">
        <v>18809</v>
      </c>
      <c r="B9705" t="s">
        <v>18809</v>
      </c>
      <c r="C9705" t="s">
        <v>42</v>
      </c>
      <c r="D9705" t="s">
        <v>17</v>
      </c>
      <c r="E9705" s="6">
        <v>-28130</v>
      </c>
      <c r="F9705" t="s">
        <v>34</v>
      </c>
      <c r="G9705" t="s">
        <v>35</v>
      </c>
      <c r="H9705" t="s">
        <v>20</v>
      </c>
      <c r="I9705" t="s">
        <v>18849</v>
      </c>
      <c r="J9705" t="str">
        <f>HYPERLINK("https://www.boe.es/gazeta/dias/1822/12/24/pdfs/GMD-1822-374.pdf#page=2","Abrir facsímil")</f>
        <v>Abrir facsímil</v>
      </c>
      <c r="K9705" t="s">
        <v>22</v>
      </c>
    </row>
    <row r="9706" spans="1:11" ht="42" customHeight="1">
      <c r="A9706" t="s">
        <v>18809</v>
      </c>
      <c r="B9706" t="s">
        <v>18809</v>
      </c>
      <c r="C9706" t="s">
        <v>28</v>
      </c>
      <c r="D9706" t="s">
        <v>29</v>
      </c>
      <c r="E9706" s="6">
        <v>-28126</v>
      </c>
      <c r="F9706" t="s">
        <v>952</v>
      </c>
      <c r="G9706" t="s">
        <v>35</v>
      </c>
      <c r="H9706" t="s">
        <v>20</v>
      </c>
      <c r="I9706" t="s">
        <v>18850</v>
      </c>
      <c r="J9706" t="str">
        <f>HYPERLINK("https://www.boe.es/gazeta/dias/1822/12/28/pdfs/GMD-1822-378.pdf#page=2","Abrir facsímil")</f>
        <v>Abrir facsímil</v>
      </c>
      <c r="K9706" t="s">
        <v>22</v>
      </c>
    </row>
    <row r="9707" spans="1:11" ht="42" customHeight="1">
      <c r="A9707" t="s">
        <v>18809</v>
      </c>
      <c r="B9707" t="s">
        <v>18809</v>
      </c>
      <c r="C9707" t="s">
        <v>50</v>
      </c>
      <c r="D9707" t="s">
        <v>51</v>
      </c>
      <c r="E9707" s="6">
        <v>-28125</v>
      </c>
      <c r="F9707" t="s">
        <v>322</v>
      </c>
      <c r="G9707" t="s">
        <v>57</v>
      </c>
      <c r="H9707" t="s">
        <v>20</v>
      </c>
      <c r="I9707" t="s">
        <v>18851</v>
      </c>
      <c r="J9707" t="str">
        <f>HYPERLINK("https://www.boe.es/gazeta/dias/1822/12/29/pdfs/GMD-1822-379.pdf#page=4","Abrir facsímil")</f>
        <v>Abrir facsímil</v>
      </c>
      <c r="K9707" t="s">
        <v>22</v>
      </c>
    </row>
    <row r="9708" spans="1:11" ht="42" customHeight="1">
      <c r="A9708" t="s">
        <v>18852</v>
      </c>
      <c r="B9708" t="s">
        <v>18853</v>
      </c>
      <c r="C9708" t="s">
        <v>42</v>
      </c>
      <c r="D9708" t="s">
        <v>17</v>
      </c>
      <c r="E9708" s="6">
        <v>-28131</v>
      </c>
      <c r="F9708" t="s">
        <v>893</v>
      </c>
      <c r="G9708" t="s">
        <v>991</v>
      </c>
      <c r="H9708" t="s">
        <v>20</v>
      </c>
      <c r="I9708" t="s">
        <v>18854</v>
      </c>
      <c r="J9708" t="str">
        <f>HYPERLINK("https://www.boe.es/gazeta/dias/1822/12/23/pdfs/GMD-1822-373.pdf#page=6","Abrir facsímil")</f>
        <v>Abrir facsímil</v>
      </c>
      <c r="K9708" t="s">
        <v>22</v>
      </c>
    </row>
    <row r="9709" spans="1:11" ht="42" customHeight="1">
      <c r="A9709" t="s">
        <v>18855</v>
      </c>
      <c r="B9709" t="s">
        <v>18856</v>
      </c>
      <c r="C9709" t="s">
        <v>50</v>
      </c>
      <c r="D9709" t="s">
        <v>51</v>
      </c>
      <c r="E9709" s="6">
        <v>-28235</v>
      </c>
      <c r="F9709" t="s">
        <v>1470</v>
      </c>
      <c r="G9709" t="s">
        <v>35</v>
      </c>
      <c r="H9709" t="s">
        <v>20</v>
      </c>
      <c r="I9709" t="s">
        <v>18857</v>
      </c>
      <c r="J9709" t="str">
        <f>HYPERLINK("https://www.boe.es/gazeta/dias/1822/09/10/pdfs/GMD-1822-266.pdf#page=2","Abrir facsímil")</f>
        <v>Abrir facsímil</v>
      </c>
      <c r="K9709" t="s">
        <v>22</v>
      </c>
    </row>
    <row r="9710" spans="1:11" ht="42" customHeight="1">
      <c r="A9710" t="s">
        <v>18858</v>
      </c>
      <c r="B9710" t="s">
        <v>18859</v>
      </c>
      <c r="C9710" t="s">
        <v>50</v>
      </c>
      <c r="D9710" t="s">
        <v>51</v>
      </c>
      <c r="E9710" s="6">
        <v>-28265</v>
      </c>
      <c r="F9710" t="s">
        <v>1263</v>
      </c>
      <c r="G9710" t="s">
        <v>57</v>
      </c>
      <c r="H9710" t="s">
        <v>20</v>
      </c>
      <c r="I9710" t="s">
        <v>18860</v>
      </c>
      <c r="J9710" t="str">
        <f>HYPERLINK("https://www.boe.es/gazeta/dias/1822/08/11/pdfs/GMD-1822-235.pdf#page=4","Abrir facsímil")</f>
        <v>Abrir facsímil</v>
      </c>
      <c r="K9710" t="s">
        <v>22</v>
      </c>
    </row>
    <row r="9711" spans="1:11" ht="42" customHeight="1">
      <c r="A9711" t="s">
        <v>18861</v>
      </c>
      <c r="B9711" t="s">
        <v>18862</v>
      </c>
      <c r="C9711" t="s">
        <v>50</v>
      </c>
      <c r="D9711" t="s">
        <v>51</v>
      </c>
      <c r="E9711" s="6">
        <v>-28230</v>
      </c>
      <c r="F9711" t="s">
        <v>1735</v>
      </c>
      <c r="G9711" t="s">
        <v>57</v>
      </c>
      <c r="H9711" t="s">
        <v>45</v>
      </c>
      <c r="I9711" t="s">
        <v>18863</v>
      </c>
      <c r="J9711" t="str">
        <f>HYPERLINK("https://www.boe.es/gazeta/dias/1822/09/15/pdfs/GMD-1822-271.pdf#page=4","Abrir facsímil")</f>
        <v>Abrir facsímil</v>
      </c>
      <c r="K9711" t="s">
        <v>47</v>
      </c>
    </row>
    <row r="9712" spans="1:11" ht="42" customHeight="1">
      <c r="A9712" t="s">
        <v>18864</v>
      </c>
      <c r="B9712" t="s">
        <v>18865</v>
      </c>
      <c r="C9712" t="s">
        <v>50</v>
      </c>
      <c r="D9712" t="s">
        <v>51</v>
      </c>
      <c r="E9712" s="6">
        <v>-28264</v>
      </c>
      <c r="F9712" t="s">
        <v>1329</v>
      </c>
      <c r="G9712" t="s">
        <v>31</v>
      </c>
      <c r="H9712" t="s">
        <v>20</v>
      </c>
      <c r="I9712" t="s">
        <v>18866</v>
      </c>
      <c r="J9712" t="str">
        <f>HYPERLINK("https://www.boe.es/gazeta/dias/1822/08/12/pdfs/GMD-1822-236.pdf#page=3","Abrir facsímil")</f>
        <v>Abrir facsímil</v>
      </c>
      <c r="K9712" t="s">
        <v>22</v>
      </c>
    </row>
    <row r="9713" spans="1:11" ht="42" customHeight="1">
      <c r="A9713" t="s">
        <v>18867</v>
      </c>
      <c r="B9713" t="s">
        <v>18868</v>
      </c>
      <c r="C9713" t="s">
        <v>50</v>
      </c>
      <c r="D9713" t="s">
        <v>51</v>
      </c>
      <c r="E9713" s="6">
        <v>-28484</v>
      </c>
      <c r="F9713" t="s">
        <v>743</v>
      </c>
      <c r="G9713" t="s">
        <v>63</v>
      </c>
      <c r="H9713" t="s">
        <v>20</v>
      </c>
      <c r="I9713" t="s">
        <v>18869</v>
      </c>
      <c r="J9713" t="str">
        <f>HYPERLINK("https://www.boe.es/gazeta/dias/1822/01/04/pdfs/GMD-1822-4.pdf#page=6","Abrir facsímil")</f>
        <v>Abrir facsímil</v>
      </c>
      <c r="K9713" t="s">
        <v>22</v>
      </c>
    </row>
    <row r="9714" spans="1:11" ht="42" customHeight="1">
      <c r="A9714" t="s">
        <v>18870</v>
      </c>
      <c r="B9714" t="s">
        <v>18871</v>
      </c>
      <c r="C9714" t="s">
        <v>50</v>
      </c>
      <c r="D9714" t="s">
        <v>51</v>
      </c>
      <c r="E9714" s="6">
        <v>-28449</v>
      </c>
      <c r="F9714" t="s">
        <v>1342</v>
      </c>
      <c r="G9714" t="s">
        <v>57</v>
      </c>
      <c r="H9714" t="s">
        <v>20</v>
      </c>
      <c r="I9714" t="s">
        <v>18872</v>
      </c>
      <c r="J9714" t="str">
        <f>HYPERLINK("https://www.boe.es/gazeta/dias/1822/02/08/pdfs/GMD-1822-39.pdf#page=4","Abrir facsímil")</f>
        <v>Abrir facsímil</v>
      </c>
      <c r="K9714" t="s">
        <v>22</v>
      </c>
    </row>
    <row r="9715" spans="1:11" ht="42" customHeight="1">
      <c r="A9715" t="s">
        <v>18870</v>
      </c>
      <c r="B9715" t="s">
        <v>18871</v>
      </c>
      <c r="C9715" t="s">
        <v>50</v>
      </c>
      <c r="D9715" t="s">
        <v>51</v>
      </c>
      <c r="E9715" s="6">
        <v>-28349</v>
      </c>
      <c r="F9715" t="s">
        <v>518</v>
      </c>
      <c r="G9715" t="s">
        <v>57</v>
      </c>
      <c r="H9715" t="s">
        <v>20</v>
      </c>
      <c r="I9715" t="s">
        <v>18873</v>
      </c>
      <c r="J9715" t="str">
        <f>HYPERLINK("https://www.boe.es/gazeta/dias/1822/05/19/pdfs/GMD-1822-141.pdf#page=4","Abrir facsímil")</f>
        <v>Abrir facsímil</v>
      </c>
      <c r="K9715" t="s">
        <v>22</v>
      </c>
    </row>
    <row r="9716" spans="1:11" ht="42" customHeight="1">
      <c r="A9716" t="s">
        <v>18874</v>
      </c>
      <c r="B9716" t="s">
        <v>18875</v>
      </c>
      <c r="C9716" t="s">
        <v>50</v>
      </c>
      <c r="D9716" t="s">
        <v>51</v>
      </c>
      <c r="E9716" s="6">
        <v>-28346</v>
      </c>
      <c r="F9716" t="s">
        <v>191</v>
      </c>
      <c r="G9716" t="s">
        <v>2823</v>
      </c>
      <c r="H9716" t="s">
        <v>20</v>
      </c>
      <c r="I9716" t="s">
        <v>18876</v>
      </c>
      <c r="J9716" t="str">
        <f>HYPERLINK("https://www.boe.es/gazeta/dias/1822/05/22/pdfs/GMD-1822-145.pdf#page=4","Abrir facsímil")</f>
        <v>Abrir facsímil</v>
      </c>
      <c r="K9716" t="s">
        <v>22</v>
      </c>
    </row>
    <row r="9717" spans="1:11" ht="42" customHeight="1">
      <c r="A9717" t="s">
        <v>18877</v>
      </c>
      <c r="B9717" t="s">
        <v>18878</v>
      </c>
      <c r="C9717" t="s">
        <v>28</v>
      </c>
      <c r="D9717" t="s">
        <v>29</v>
      </c>
      <c r="E9717" s="6">
        <v>-28439</v>
      </c>
      <c r="F9717" t="s">
        <v>2752</v>
      </c>
      <c r="G9717" t="s">
        <v>57</v>
      </c>
      <c r="H9717" t="s">
        <v>20</v>
      </c>
      <c r="I9717" t="s">
        <v>18879</v>
      </c>
      <c r="J9717" t="str">
        <f>HYPERLINK("https://www.boe.es/gazeta/dias/1822/02/18/pdfs/GMD-1822-50.pdf#page=4","Abrir facsímil")</f>
        <v>Abrir facsímil</v>
      </c>
      <c r="K9717" t="s">
        <v>22</v>
      </c>
    </row>
    <row r="9718" spans="1:11" ht="42" customHeight="1">
      <c r="A9718" t="s">
        <v>18880</v>
      </c>
      <c r="B9718" t="s">
        <v>18881</v>
      </c>
      <c r="C9718" t="s">
        <v>50</v>
      </c>
      <c r="D9718" t="s">
        <v>51</v>
      </c>
      <c r="E9718" s="6">
        <v>-28412</v>
      </c>
      <c r="F9718" t="s">
        <v>825</v>
      </c>
      <c r="G9718" t="s">
        <v>35</v>
      </c>
      <c r="H9718" t="s">
        <v>20</v>
      </c>
      <c r="I9718" t="s">
        <v>18882</v>
      </c>
      <c r="J9718" t="str">
        <f>HYPERLINK("https://www.boe.es/gazeta/dias/1822/03/17/pdfs/GMD-1822-78.pdf#page=2","Abrir facsímil")</f>
        <v>Abrir facsímil</v>
      </c>
      <c r="K9718" t="s">
        <v>22</v>
      </c>
    </row>
    <row r="9719" spans="1:11" ht="42" customHeight="1">
      <c r="A9719" t="s">
        <v>18883</v>
      </c>
      <c r="B9719" t="s">
        <v>18884</v>
      </c>
      <c r="C9719" t="s">
        <v>28</v>
      </c>
      <c r="D9719" t="s">
        <v>29</v>
      </c>
      <c r="E9719" s="6">
        <v>-28308</v>
      </c>
      <c r="F9719" t="s">
        <v>1050</v>
      </c>
      <c r="G9719" t="s">
        <v>35</v>
      </c>
      <c r="H9719" t="s">
        <v>20</v>
      </c>
      <c r="I9719" t="s">
        <v>18885</v>
      </c>
      <c r="J9719" t="str">
        <f>HYPERLINK("https://www.boe.es/gazeta/dias/1822/06/29/pdfs/GMD-1822-187.pdf#page=2","Abrir facsímil")</f>
        <v>Abrir facsímil</v>
      </c>
      <c r="K9719" t="s">
        <v>22</v>
      </c>
    </row>
    <row r="9720" spans="1:11" ht="42" customHeight="1">
      <c r="A9720" t="s">
        <v>18883</v>
      </c>
      <c r="B9720" t="s">
        <v>18884</v>
      </c>
      <c r="C9720" t="s">
        <v>50</v>
      </c>
      <c r="D9720" t="s">
        <v>51</v>
      </c>
      <c r="E9720" s="6">
        <v>-28150</v>
      </c>
      <c r="F9720" t="s">
        <v>62</v>
      </c>
      <c r="G9720" t="s">
        <v>63</v>
      </c>
      <c r="H9720" t="s">
        <v>20</v>
      </c>
      <c r="I9720" t="s">
        <v>18886</v>
      </c>
      <c r="J9720" t="str">
        <f>HYPERLINK("https://www.boe.es/gazeta/dias/1822/12/04/pdfs/GMD-1822-354.pdf#page=6","Abrir facsímil")</f>
        <v>Abrir facsímil</v>
      </c>
      <c r="K9720" t="s">
        <v>22</v>
      </c>
    </row>
    <row r="9721" spans="1:11" ht="42" customHeight="1">
      <c r="A9721" t="s">
        <v>18883</v>
      </c>
      <c r="B9721" t="s">
        <v>18884</v>
      </c>
      <c r="C9721" t="s">
        <v>28</v>
      </c>
      <c r="D9721" t="s">
        <v>29</v>
      </c>
      <c r="E9721" s="6">
        <v>-28125</v>
      </c>
      <c r="F9721" t="s">
        <v>322</v>
      </c>
      <c r="G9721" t="s">
        <v>63</v>
      </c>
      <c r="H9721" t="s">
        <v>20</v>
      </c>
      <c r="I9721" t="s">
        <v>18887</v>
      </c>
      <c r="J9721" t="str">
        <f>HYPERLINK("https://www.boe.es/gazeta/dias/1822/12/29/pdfs/GMD-1822-379.pdf#page=6","Abrir facsímil")</f>
        <v>Abrir facsímil</v>
      </c>
      <c r="K9721" t="s">
        <v>22</v>
      </c>
    </row>
    <row r="9722" spans="1:11" ht="42" customHeight="1">
      <c r="A9722" t="s">
        <v>18888</v>
      </c>
      <c r="B9722" t="s">
        <v>18889</v>
      </c>
      <c r="C9722" t="s">
        <v>42</v>
      </c>
      <c r="D9722" t="s">
        <v>17</v>
      </c>
      <c r="E9722" s="6">
        <v>-28378</v>
      </c>
      <c r="F9722" t="s">
        <v>496</v>
      </c>
      <c r="G9722" t="s">
        <v>57</v>
      </c>
      <c r="H9722" t="s">
        <v>20</v>
      </c>
      <c r="I9722" t="s">
        <v>18890</v>
      </c>
      <c r="J9722" t="str">
        <f>HYPERLINK("https://www.boe.es/gazeta/dias/1822/04/20/pdfs/GMD-1822-112.pdf#page=4","Abrir facsímil")</f>
        <v>Abrir facsímil</v>
      </c>
      <c r="K9722" t="s">
        <v>22</v>
      </c>
    </row>
    <row r="9723" spans="1:11" ht="42" customHeight="1">
      <c r="A9723" t="s">
        <v>18891</v>
      </c>
      <c r="B9723" t="s">
        <v>18892</v>
      </c>
      <c r="C9723" t="s">
        <v>28</v>
      </c>
      <c r="D9723" t="s">
        <v>29</v>
      </c>
      <c r="E9723" s="6">
        <v>-28361</v>
      </c>
      <c r="F9723" t="s">
        <v>374</v>
      </c>
      <c r="G9723" t="s">
        <v>57</v>
      </c>
      <c r="H9723" t="s">
        <v>20</v>
      </c>
      <c r="I9723" t="s">
        <v>18893</v>
      </c>
      <c r="J9723" t="str">
        <f>HYPERLINK("https://www.boe.es/gazeta/dias/1822/05/07/pdfs/GMD-1822-129.pdf#page=4","Abrir facsímil")</f>
        <v>Abrir facsímil</v>
      </c>
      <c r="K9723" t="s">
        <v>22</v>
      </c>
    </row>
    <row r="9724" spans="1:11" ht="42" customHeight="1">
      <c r="A9724" t="s">
        <v>18891</v>
      </c>
      <c r="B9724" t="s">
        <v>18892</v>
      </c>
      <c r="C9724" t="s">
        <v>42</v>
      </c>
      <c r="D9724" t="s">
        <v>17</v>
      </c>
      <c r="E9724" s="6">
        <v>-28258</v>
      </c>
      <c r="F9724" t="s">
        <v>88</v>
      </c>
      <c r="G9724" t="s">
        <v>35</v>
      </c>
      <c r="H9724" t="s">
        <v>20</v>
      </c>
      <c r="I9724" t="s">
        <v>18894</v>
      </c>
      <c r="J9724" t="str">
        <f>HYPERLINK("https://www.boe.es/gazeta/dias/1822/08/18/pdfs/GMD-1822-242.pdf#page=2","Abrir facsímil")</f>
        <v>Abrir facsímil</v>
      </c>
      <c r="K9724" t="s">
        <v>22</v>
      </c>
    </row>
    <row r="9725" spans="1:11" ht="42" customHeight="1">
      <c r="A9725" t="s">
        <v>18891</v>
      </c>
      <c r="B9725" t="s">
        <v>18892</v>
      </c>
      <c r="C9725" t="s">
        <v>50</v>
      </c>
      <c r="D9725" t="s">
        <v>51</v>
      </c>
      <c r="E9725" s="6">
        <v>-28146</v>
      </c>
      <c r="F9725" t="s">
        <v>180</v>
      </c>
      <c r="G9725" t="s">
        <v>57</v>
      </c>
      <c r="H9725" t="s">
        <v>20</v>
      </c>
      <c r="I9725" t="s">
        <v>18895</v>
      </c>
      <c r="J9725" t="str">
        <f>HYPERLINK("https://www.boe.es/gazeta/dias/1822/12/08/pdfs/GMD-1822-358.pdf#page=4","Abrir facsímil")</f>
        <v>Abrir facsímil</v>
      </c>
      <c r="K9725" t="s">
        <v>22</v>
      </c>
    </row>
    <row r="9726" spans="1:11" ht="42" customHeight="1">
      <c r="A9726" t="s">
        <v>18896</v>
      </c>
      <c r="B9726" t="s">
        <v>18896</v>
      </c>
      <c r="C9726" t="s">
        <v>50</v>
      </c>
      <c r="D9726" t="s">
        <v>51</v>
      </c>
      <c r="E9726" s="6">
        <v>-28123</v>
      </c>
      <c r="F9726" t="s">
        <v>603</v>
      </c>
      <c r="G9726" t="s">
        <v>31</v>
      </c>
      <c r="H9726" t="s">
        <v>20</v>
      </c>
      <c r="I9726" t="s">
        <v>18897</v>
      </c>
      <c r="J9726" t="str">
        <f>HYPERLINK("https://www.boe.es/gazeta/dias/1822/12/31/pdfs/GMD-1822-381.pdf#page=3","Abrir facsímil")</f>
        <v>Abrir facsímil</v>
      </c>
      <c r="K9726" t="s">
        <v>22</v>
      </c>
    </row>
    <row r="9727" spans="1:11" ht="42" customHeight="1">
      <c r="A9727" t="s">
        <v>18898</v>
      </c>
      <c r="B9727" t="s">
        <v>18899</v>
      </c>
      <c r="C9727" t="s">
        <v>50</v>
      </c>
      <c r="D9727" t="s">
        <v>51</v>
      </c>
      <c r="E9727" s="6">
        <v>-28292</v>
      </c>
      <c r="F9727" t="s">
        <v>222</v>
      </c>
      <c r="G9727" t="s">
        <v>31</v>
      </c>
      <c r="H9727" t="s">
        <v>20</v>
      </c>
      <c r="I9727" t="s">
        <v>18900</v>
      </c>
      <c r="J9727" t="str">
        <f>HYPERLINK("https://www.boe.es/gazeta/dias/1822/07/15/pdfs/GMD-1822-205.pdf#page=3","Abrir facsímil")</f>
        <v>Abrir facsímil</v>
      </c>
      <c r="K9727" t="s">
        <v>22</v>
      </c>
    </row>
    <row r="9728" spans="1:11" ht="42" customHeight="1">
      <c r="A9728" t="s">
        <v>18901</v>
      </c>
      <c r="B9728" t="s">
        <v>18902</v>
      </c>
      <c r="C9728" t="s">
        <v>50</v>
      </c>
      <c r="D9728" t="s">
        <v>51</v>
      </c>
      <c r="E9728" s="6">
        <v>-28240</v>
      </c>
      <c r="F9728" t="s">
        <v>678</v>
      </c>
      <c r="G9728" t="s">
        <v>57</v>
      </c>
      <c r="H9728" t="s">
        <v>20</v>
      </c>
      <c r="I9728" t="s">
        <v>18903</v>
      </c>
      <c r="J9728" t="str">
        <f>HYPERLINK("https://www.boe.es/gazeta/dias/1822/09/05/pdfs/GMD-1822-260.pdf#page=4","Abrir facsímil")</f>
        <v>Abrir facsímil</v>
      </c>
      <c r="K9728" t="s">
        <v>22</v>
      </c>
    </row>
    <row r="9729" spans="1:11" ht="42" customHeight="1">
      <c r="A9729" t="s">
        <v>18904</v>
      </c>
      <c r="B9729" t="s">
        <v>18905</v>
      </c>
      <c r="C9729" t="s">
        <v>24</v>
      </c>
      <c r="D9729" t="s">
        <v>17</v>
      </c>
      <c r="E9729" s="6">
        <v>-28248</v>
      </c>
      <c r="F9729" t="s">
        <v>4807</v>
      </c>
      <c r="G9729" t="s">
        <v>35</v>
      </c>
      <c r="H9729" t="s">
        <v>20</v>
      </c>
      <c r="I9729" t="s">
        <v>18906</v>
      </c>
      <c r="J9729" t="str">
        <f>HYPERLINK("https://www.boe.es/gazeta/dias/1822/08/28/pdfs/GMD-1822-252.pdf#page=2","Abrir facsímil")</f>
        <v>Abrir facsímil</v>
      </c>
      <c r="K9729" t="s">
        <v>22</v>
      </c>
    </row>
    <row r="9730" spans="1:11" ht="42" customHeight="1">
      <c r="A9730" t="s">
        <v>18907</v>
      </c>
      <c r="B9730" t="s">
        <v>18908</v>
      </c>
      <c r="C9730" t="s">
        <v>16</v>
      </c>
      <c r="D9730" t="s">
        <v>17</v>
      </c>
      <c r="E9730" s="6">
        <v>-28389</v>
      </c>
      <c r="F9730" t="s">
        <v>481</v>
      </c>
      <c r="G9730" t="s">
        <v>44</v>
      </c>
      <c r="H9730" t="s">
        <v>20</v>
      </c>
      <c r="I9730" t="s">
        <v>18909</v>
      </c>
      <c r="J9730" t="str">
        <f>HYPERLINK("https://www.boe.es/gazeta/dias/1822/04/09/pdfs/GMD-1822-101.pdf#page=1","Abrir facsímil")</f>
        <v>Abrir facsímil</v>
      </c>
      <c r="K9730" t="s">
        <v>22</v>
      </c>
    </row>
    <row r="9731" spans="1:11" ht="42" customHeight="1">
      <c r="A9731" t="s">
        <v>18910</v>
      </c>
      <c r="B9731" t="s">
        <v>18911</v>
      </c>
      <c r="C9731" t="s">
        <v>50</v>
      </c>
      <c r="D9731" t="s">
        <v>51</v>
      </c>
      <c r="E9731" s="6">
        <v>-28127</v>
      </c>
      <c r="F9731" t="s">
        <v>409</v>
      </c>
      <c r="G9731" t="s">
        <v>5790</v>
      </c>
      <c r="H9731" t="s">
        <v>20</v>
      </c>
      <c r="I9731" t="s">
        <v>18912</v>
      </c>
      <c r="J9731" t="str">
        <f>HYPERLINK("https://www.boe.es/gazeta/dias/1822/12/27/pdfs/GMD-1822-377.pdf#page=6","Abrir facsímil")</f>
        <v>Abrir facsímil</v>
      </c>
      <c r="K9731" t="s">
        <v>22</v>
      </c>
    </row>
    <row r="9732" spans="1:11" ht="42" customHeight="1">
      <c r="A9732" t="s">
        <v>18913</v>
      </c>
      <c r="B9732" t="s">
        <v>18913</v>
      </c>
      <c r="C9732" t="s">
        <v>24</v>
      </c>
      <c r="D9732" t="s">
        <v>17</v>
      </c>
      <c r="E9732" s="6">
        <v>-28183</v>
      </c>
      <c r="F9732" t="s">
        <v>583</v>
      </c>
      <c r="G9732" t="s">
        <v>63</v>
      </c>
      <c r="H9732" t="s">
        <v>20</v>
      </c>
      <c r="I9732" t="s">
        <v>18914</v>
      </c>
      <c r="J9732" t="str">
        <f>HYPERLINK("https://www.boe.es/gazeta/dias/1822/11/01/pdfs/GMD-1822-319.pdf#page=6","Abrir facsímil")</f>
        <v>Abrir facsímil</v>
      </c>
      <c r="K9732" t="s">
        <v>22</v>
      </c>
    </row>
    <row r="9733" spans="1:11" ht="42" customHeight="1">
      <c r="A9733" t="s">
        <v>18915</v>
      </c>
      <c r="B9733" t="s">
        <v>18916</v>
      </c>
      <c r="C9733" t="s">
        <v>50</v>
      </c>
      <c r="D9733" t="s">
        <v>51</v>
      </c>
      <c r="E9733" s="6">
        <v>-28379</v>
      </c>
      <c r="F9733" t="s">
        <v>494</v>
      </c>
      <c r="G9733" t="s">
        <v>19</v>
      </c>
      <c r="H9733" t="s">
        <v>20</v>
      </c>
      <c r="I9733" t="s">
        <v>18917</v>
      </c>
      <c r="J9733" t="str">
        <f>HYPERLINK("https://www.boe.es/gazeta/dias/1822/04/19/pdfs/GMD-1822-111.pdf#page=5","Abrir facsímil")</f>
        <v>Abrir facsímil</v>
      </c>
      <c r="K9733" t="s">
        <v>22</v>
      </c>
    </row>
    <row r="9734" spans="1:11" ht="42" customHeight="1">
      <c r="A9734" t="s">
        <v>18918</v>
      </c>
      <c r="B9734" t="s">
        <v>18918</v>
      </c>
      <c r="C9734" t="s">
        <v>50</v>
      </c>
      <c r="D9734" t="s">
        <v>51</v>
      </c>
      <c r="E9734" s="6">
        <v>-28391</v>
      </c>
      <c r="F9734" t="s">
        <v>378</v>
      </c>
      <c r="G9734" t="s">
        <v>63</v>
      </c>
      <c r="H9734" t="s">
        <v>20</v>
      </c>
      <c r="I9734" t="s">
        <v>18919</v>
      </c>
      <c r="J9734" t="str">
        <f>HYPERLINK("https://www.boe.es/gazeta/dias/1822/04/07/pdfs/GMD-1822-99.pdf#page=6","Abrir facsímil")</f>
        <v>Abrir facsímil</v>
      </c>
      <c r="K9734" t="s">
        <v>22</v>
      </c>
    </row>
    <row r="9735" spans="1:11" ht="42" customHeight="1">
      <c r="A9735" t="s">
        <v>18920</v>
      </c>
      <c r="B9735" t="s">
        <v>18921</v>
      </c>
      <c r="C9735" t="s">
        <v>50</v>
      </c>
      <c r="D9735" t="s">
        <v>51</v>
      </c>
      <c r="E9735" s="6">
        <v>-28298</v>
      </c>
      <c r="F9735" t="s">
        <v>6405</v>
      </c>
      <c r="G9735" t="s">
        <v>57</v>
      </c>
      <c r="H9735" t="s">
        <v>20</v>
      </c>
      <c r="I9735" t="s">
        <v>18922</v>
      </c>
      <c r="J9735" t="str">
        <f>HYPERLINK("https://www.boe.es/gazeta/dias/1822/07/09/pdfs/GMD-1822-199.pdf#page=4","Abrir facsímil")</f>
        <v>Abrir facsímil</v>
      </c>
      <c r="K9735" t="s">
        <v>22</v>
      </c>
    </row>
    <row r="9736" spans="1:11" ht="42" customHeight="1">
      <c r="A9736" t="s">
        <v>18920</v>
      </c>
      <c r="B9736" t="s">
        <v>18921</v>
      </c>
      <c r="C9736" t="s">
        <v>50</v>
      </c>
      <c r="D9736" t="s">
        <v>51</v>
      </c>
      <c r="E9736" s="6">
        <v>-28169</v>
      </c>
      <c r="F9736" t="s">
        <v>2571</v>
      </c>
      <c r="G9736" t="s">
        <v>63</v>
      </c>
      <c r="H9736" t="s">
        <v>20</v>
      </c>
      <c r="I9736" t="s">
        <v>18923</v>
      </c>
      <c r="J9736" t="str">
        <f>HYPERLINK("https://www.boe.es/gazeta/dias/1822/11/15/pdfs/GMD-1822-335.pdf#page=6","Abrir facsímil")</f>
        <v>Abrir facsímil</v>
      </c>
      <c r="K9736" t="s">
        <v>22</v>
      </c>
    </row>
    <row r="9737" spans="1:11" ht="42" customHeight="1">
      <c r="A9737" t="s">
        <v>18924</v>
      </c>
      <c r="B9737" t="s">
        <v>18924</v>
      </c>
      <c r="C9737" t="s">
        <v>28</v>
      </c>
      <c r="D9737" t="s">
        <v>29</v>
      </c>
      <c r="E9737" s="6">
        <v>-28211</v>
      </c>
      <c r="F9737" t="s">
        <v>273</v>
      </c>
      <c r="G9737" t="s">
        <v>57</v>
      </c>
      <c r="H9737" t="s">
        <v>20</v>
      </c>
      <c r="I9737" t="s">
        <v>18925</v>
      </c>
      <c r="J9737" t="str">
        <f>HYPERLINK("https://www.boe.es/gazeta/dias/1822/10/04/pdfs/GMD-1822-290.pdf#page=4","Abrir facsímil")</f>
        <v>Abrir facsímil</v>
      </c>
      <c r="K9737" t="s">
        <v>22</v>
      </c>
    </row>
    <row r="9738" spans="1:11" ht="42" customHeight="1">
      <c r="A9738" t="s">
        <v>18926</v>
      </c>
      <c r="B9738" t="s">
        <v>18927</v>
      </c>
      <c r="C9738" t="s">
        <v>61</v>
      </c>
      <c r="D9738" t="s">
        <v>17</v>
      </c>
      <c r="E9738" s="6">
        <v>-28150</v>
      </c>
      <c r="F9738" t="s">
        <v>62</v>
      </c>
      <c r="G9738" t="s">
        <v>63</v>
      </c>
      <c r="H9738" t="s">
        <v>20</v>
      </c>
      <c r="I9738" t="s">
        <v>18928</v>
      </c>
      <c r="J9738" t="str">
        <f>HYPERLINK("https://www.boe.es/gazeta/dias/1822/12/04/pdfs/GMD-1822-354.pdf#page=6","Abrir facsímil")</f>
        <v>Abrir facsímil</v>
      </c>
      <c r="K9738" t="s">
        <v>22</v>
      </c>
    </row>
    <row r="9739" spans="1:11" ht="42" customHeight="1">
      <c r="A9739" t="s">
        <v>18929</v>
      </c>
      <c r="B9739" t="s">
        <v>18929</v>
      </c>
      <c r="C9739" t="s">
        <v>362</v>
      </c>
      <c r="D9739" t="s">
        <v>17</v>
      </c>
      <c r="E9739" s="6">
        <v>-28171</v>
      </c>
      <c r="F9739" t="s">
        <v>1075</v>
      </c>
      <c r="G9739" t="s">
        <v>44</v>
      </c>
      <c r="H9739" t="s">
        <v>20</v>
      </c>
      <c r="I9739" t="s">
        <v>18930</v>
      </c>
      <c r="J9739" t="str">
        <f>HYPERLINK("https://www.boe.es/gazeta/dias/1822/11/13/pdfs/GMD-1822-333.pdf#page=1","Abrir facsímil")</f>
        <v>Abrir facsímil</v>
      </c>
      <c r="K9739" t="s">
        <v>22</v>
      </c>
    </row>
    <row r="9740" spans="1:11" ht="42" customHeight="1">
      <c r="A9740" t="s">
        <v>18931</v>
      </c>
      <c r="B9740" t="s">
        <v>18932</v>
      </c>
      <c r="C9740" t="s">
        <v>28</v>
      </c>
      <c r="D9740" t="s">
        <v>29</v>
      </c>
      <c r="E9740" s="6">
        <v>-28432</v>
      </c>
      <c r="F9740" t="s">
        <v>195</v>
      </c>
      <c r="G9740" t="s">
        <v>57</v>
      </c>
      <c r="H9740" t="s">
        <v>20</v>
      </c>
      <c r="I9740" t="s">
        <v>18933</v>
      </c>
      <c r="J9740" t="str">
        <f>HYPERLINK("https://www.boe.es/gazeta/dias/1822/02/25/pdfs/GMD-1822-57.pdf#page=4","Abrir facsímil")</f>
        <v>Abrir facsímil</v>
      </c>
      <c r="K9740" t="s">
        <v>22</v>
      </c>
    </row>
    <row r="9741" spans="1:11" ht="42" customHeight="1">
      <c r="A9741" t="s">
        <v>18931</v>
      </c>
      <c r="B9741" t="s">
        <v>18932</v>
      </c>
      <c r="C9741" t="s">
        <v>42</v>
      </c>
      <c r="D9741" t="s">
        <v>17</v>
      </c>
      <c r="E9741" s="6">
        <v>-28380</v>
      </c>
      <c r="F9741" t="s">
        <v>492</v>
      </c>
      <c r="G9741" t="s">
        <v>63</v>
      </c>
      <c r="H9741" t="s">
        <v>20</v>
      </c>
      <c r="I9741" t="s">
        <v>18934</v>
      </c>
      <c r="J9741" t="str">
        <f>HYPERLINK("https://www.boe.es/gazeta/dias/1822/04/18/pdfs/GMD-1822-110.pdf#page=6","Abrir facsímil")</f>
        <v>Abrir facsímil</v>
      </c>
      <c r="K9741" t="s">
        <v>22</v>
      </c>
    </row>
    <row r="9742" spans="1:11" ht="42" customHeight="1">
      <c r="A9742" t="s">
        <v>18935</v>
      </c>
      <c r="B9742" t="s">
        <v>18935</v>
      </c>
      <c r="C9742" t="s">
        <v>28</v>
      </c>
      <c r="D9742" t="s">
        <v>29</v>
      </c>
      <c r="E9742" s="6">
        <v>-28198</v>
      </c>
      <c r="F9742" t="s">
        <v>981</v>
      </c>
      <c r="G9742" t="s">
        <v>44</v>
      </c>
      <c r="H9742" t="s">
        <v>20</v>
      </c>
      <c r="I9742" t="s">
        <v>18936</v>
      </c>
      <c r="J9742" t="str">
        <f>HYPERLINK("https://www.boe.es/gazeta/dias/1822/10/17/pdfs/GMD-1822-304.pdf#page=1","Abrir facsímil")</f>
        <v>Abrir facsímil</v>
      </c>
      <c r="K9742" t="s">
        <v>22</v>
      </c>
    </row>
    <row r="9743" spans="1:11" ht="42" customHeight="1">
      <c r="A9743" t="s">
        <v>18937</v>
      </c>
      <c r="B9743" t="s">
        <v>18938</v>
      </c>
      <c r="C9743" t="s">
        <v>50</v>
      </c>
      <c r="D9743" t="s">
        <v>51</v>
      </c>
      <c r="E9743" s="6">
        <v>-28380</v>
      </c>
      <c r="F9743" t="s">
        <v>492</v>
      </c>
      <c r="G9743" t="s">
        <v>63</v>
      </c>
      <c r="H9743" t="s">
        <v>20</v>
      </c>
      <c r="I9743" t="s">
        <v>18939</v>
      </c>
      <c r="J9743" t="str">
        <f>HYPERLINK("https://www.boe.es/gazeta/dias/1822/04/18/pdfs/GMD-1822-110.pdf#page=6","Abrir facsímil")</f>
        <v>Abrir facsímil</v>
      </c>
      <c r="K9743" t="s">
        <v>22</v>
      </c>
    </row>
    <row r="9744" spans="1:11" ht="42" customHeight="1">
      <c r="A9744" t="s">
        <v>18940</v>
      </c>
      <c r="B9744" t="s">
        <v>18941</v>
      </c>
      <c r="C9744" t="s">
        <v>42</v>
      </c>
      <c r="D9744" t="s">
        <v>17</v>
      </c>
      <c r="E9744" s="6">
        <v>-28282</v>
      </c>
      <c r="F9744" t="s">
        <v>6600</v>
      </c>
      <c r="G9744" t="s">
        <v>6601</v>
      </c>
      <c r="H9744" t="s">
        <v>45</v>
      </c>
      <c r="I9744" t="s">
        <v>18942</v>
      </c>
      <c r="J9744" t="str">
        <f>HYPERLINK("https://www.boe.es/gazeta/dias/1822/07/25/pdfs/GMD-1822-218.pdf#page=4","Abrir facsímil")</f>
        <v>Abrir facsímil</v>
      </c>
      <c r="K9744" t="s">
        <v>47</v>
      </c>
    </row>
    <row r="9745" spans="1:11" ht="42" customHeight="1">
      <c r="A9745" t="s">
        <v>18943</v>
      </c>
      <c r="B9745" t="s">
        <v>18944</v>
      </c>
      <c r="C9745" t="s">
        <v>28</v>
      </c>
      <c r="D9745" t="s">
        <v>29</v>
      </c>
      <c r="E9745" s="6">
        <v>-28170</v>
      </c>
      <c r="F9745" t="s">
        <v>1457</v>
      </c>
      <c r="G9745" t="s">
        <v>19</v>
      </c>
      <c r="H9745" t="s">
        <v>20</v>
      </c>
      <c r="I9745" t="s">
        <v>18945</v>
      </c>
      <c r="J9745" t="str">
        <f>HYPERLINK("https://www.boe.es/gazeta/dias/1822/11/14/pdfs/GMD-1822-334.pdf#page=5","Abrir facsímil")</f>
        <v>Abrir facsímil</v>
      </c>
      <c r="K9745" t="s">
        <v>22</v>
      </c>
    </row>
    <row r="9746" spans="1:11" ht="42" customHeight="1">
      <c r="A9746" t="s">
        <v>18946</v>
      </c>
      <c r="B9746" t="s">
        <v>18947</v>
      </c>
      <c r="C9746" t="s">
        <v>28</v>
      </c>
      <c r="D9746" t="s">
        <v>29</v>
      </c>
      <c r="E9746" s="6">
        <v>-28415</v>
      </c>
      <c r="F9746" t="s">
        <v>77</v>
      </c>
      <c r="G9746" t="s">
        <v>19</v>
      </c>
      <c r="H9746" t="s">
        <v>20</v>
      </c>
      <c r="I9746" t="s">
        <v>18948</v>
      </c>
      <c r="J9746" t="str">
        <f>HYPERLINK("https://www.boe.es/gazeta/dias/1822/03/14/pdfs/GMD-1822-75.pdf#page=5","Abrir facsímil")</f>
        <v>Abrir facsímil</v>
      </c>
      <c r="K9746" t="s">
        <v>22</v>
      </c>
    </row>
    <row r="9747" spans="1:11" ht="42" customHeight="1">
      <c r="A9747" t="s">
        <v>18949</v>
      </c>
      <c r="B9747" t="s">
        <v>18949</v>
      </c>
      <c r="C9747" t="s">
        <v>42</v>
      </c>
      <c r="D9747" t="s">
        <v>17</v>
      </c>
      <c r="E9747" s="6">
        <v>-28476</v>
      </c>
      <c r="F9747" t="s">
        <v>160</v>
      </c>
      <c r="G9747" t="s">
        <v>35</v>
      </c>
      <c r="H9747" t="s">
        <v>20</v>
      </c>
      <c r="I9747" t="s">
        <v>18950</v>
      </c>
      <c r="J9747" t="str">
        <f>HYPERLINK("https://www.boe.es/gazeta/dias/1822/01/12/pdfs/GMD-1822-12.pdf#page=2","Abrir facsímil")</f>
        <v>Abrir facsímil</v>
      </c>
      <c r="K9747" t="s">
        <v>22</v>
      </c>
    </row>
    <row r="9748" spans="1:11" ht="42" customHeight="1">
      <c r="A9748" t="s">
        <v>18951</v>
      </c>
      <c r="B9748" t="s">
        <v>18951</v>
      </c>
      <c r="C9748" t="s">
        <v>16</v>
      </c>
      <c r="D9748" t="s">
        <v>17</v>
      </c>
      <c r="E9748" s="6">
        <v>-28477</v>
      </c>
      <c r="F9748" t="s">
        <v>1668</v>
      </c>
      <c r="G9748" t="s">
        <v>31</v>
      </c>
      <c r="H9748" t="s">
        <v>20</v>
      </c>
      <c r="I9748" t="s">
        <v>18952</v>
      </c>
      <c r="J9748" t="str">
        <f>HYPERLINK("https://www.boe.es/gazeta/dias/1822/01/11/pdfs/GMD-1822-11.pdf#page=3","Abrir facsímil")</f>
        <v>Abrir facsímil</v>
      </c>
      <c r="K9748" t="s">
        <v>22</v>
      </c>
    </row>
    <row r="9749" spans="1:11" ht="42" customHeight="1">
      <c r="A9749" t="s">
        <v>18951</v>
      </c>
      <c r="B9749" t="s">
        <v>18951</v>
      </c>
      <c r="C9749" t="s">
        <v>42</v>
      </c>
      <c r="D9749" t="s">
        <v>17</v>
      </c>
      <c r="E9749" s="6">
        <v>-28477</v>
      </c>
      <c r="F9749" t="s">
        <v>1668</v>
      </c>
      <c r="G9749" t="s">
        <v>57</v>
      </c>
      <c r="H9749" t="s">
        <v>20</v>
      </c>
      <c r="I9749" t="s">
        <v>18953</v>
      </c>
      <c r="J9749" t="str">
        <f>HYPERLINK("https://www.boe.es/gazeta/dias/1822/01/11/pdfs/GMD-1822-11.pdf#page=4","Abrir facsímil")</f>
        <v>Abrir facsímil</v>
      </c>
      <c r="K9749" t="s">
        <v>22</v>
      </c>
    </row>
    <row r="9750" spans="1:11" ht="42" customHeight="1">
      <c r="A9750" t="s">
        <v>18951</v>
      </c>
      <c r="B9750" t="s">
        <v>18951</v>
      </c>
      <c r="C9750" t="s">
        <v>24</v>
      </c>
      <c r="D9750" t="s">
        <v>17</v>
      </c>
      <c r="E9750" s="6">
        <v>-28476</v>
      </c>
      <c r="F9750" t="s">
        <v>160</v>
      </c>
      <c r="G9750" t="s">
        <v>35</v>
      </c>
      <c r="H9750" t="s">
        <v>20</v>
      </c>
      <c r="I9750" t="s">
        <v>18954</v>
      </c>
      <c r="J9750" t="str">
        <f>HYPERLINK("https://www.boe.es/gazeta/dias/1822/01/12/pdfs/GMD-1822-12.pdf#page=2","Abrir facsímil")</f>
        <v>Abrir facsímil</v>
      </c>
      <c r="K9750" t="s">
        <v>22</v>
      </c>
    </row>
    <row r="9751" spans="1:11" ht="42" customHeight="1">
      <c r="A9751" t="s">
        <v>18951</v>
      </c>
      <c r="B9751" t="s">
        <v>18951</v>
      </c>
      <c r="C9751" t="s">
        <v>28</v>
      </c>
      <c r="D9751" t="s">
        <v>29</v>
      </c>
      <c r="E9751" s="6">
        <v>-28475</v>
      </c>
      <c r="F9751" t="s">
        <v>1205</v>
      </c>
      <c r="G9751" t="s">
        <v>1685</v>
      </c>
      <c r="H9751" t="s">
        <v>20</v>
      </c>
      <c r="I9751" t="s">
        <v>18955</v>
      </c>
      <c r="J9751" t="str">
        <f>HYPERLINK("https://www.boe.es/gazeta/dias/1822/01/13/pdfs/GMD-1822-13.pdf#page=4","Abrir facsímil")</f>
        <v>Abrir facsímil</v>
      </c>
      <c r="K9751" t="s">
        <v>22</v>
      </c>
    </row>
    <row r="9752" spans="1:11" ht="42" customHeight="1">
      <c r="A9752" t="s">
        <v>18951</v>
      </c>
      <c r="B9752" t="s">
        <v>18951</v>
      </c>
      <c r="C9752" t="s">
        <v>50</v>
      </c>
      <c r="D9752" t="s">
        <v>51</v>
      </c>
      <c r="E9752" s="6">
        <v>-28462</v>
      </c>
      <c r="F9752" t="s">
        <v>1099</v>
      </c>
      <c r="G9752" t="s">
        <v>31</v>
      </c>
      <c r="H9752" t="s">
        <v>20</v>
      </c>
      <c r="I9752" t="s">
        <v>18956</v>
      </c>
      <c r="J9752" t="str">
        <f>HYPERLINK("https://www.boe.es/gazeta/dias/1822/01/26/pdfs/GMD-1822-26.pdf#page=3","Abrir facsímil")</f>
        <v>Abrir facsímil</v>
      </c>
      <c r="K9752" t="s">
        <v>22</v>
      </c>
    </row>
    <row r="9753" spans="1:11" ht="42" customHeight="1">
      <c r="A9753" t="s">
        <v>18951</v>
      </c>
      <c r="B9753" t="s">
        <v>18951</v>
      </c>
      <c r="C9753" t="s">
        <v>50</v>
      </c>
      <c r="D9753" t="s">
        <v>51</v>
      </c>
      <c r="E9753" s="6">
        <v>-28436</v>
      </c>
      <c r="F9753" t="s">
        <v>431</v>
      </c>
      <c r="G9753" t="s">
        <v>57</v>
      </c>
      <c r="H9753" t="s">
        <v>20</v>
      </c>
      <c r="I9753" t="s">
        <v>18957</v>
      </c>
      <c r="J9753" t="str">
        <f>HYPERLINK("https://www.boe.es/gazeta/dias/1822/02/21/pdfs/GMD-1822-53.pdf#page=4","Abrir facsímil")</f>
        <v>Abrir facsímil</v>
      </c>
      <c r="K9753" t="s">
        <v>22</v>
      </c>
    </row>
    <row r="9754" spans="1:11" ht="42" customHeight="1">
      <c r="A9754" t="s">
        <v>18958</v>
      </c>
      <c r="B9754" t="s">
        <v>18959</v>
      </c>
      <c r="C9754" t="s">
        <v>28</v>
      </c>
      <c r="D9754" t="s">
        <v>29</v>
      </c>
      <c r="E9754" s="6">
        <v>-28297</v>
      </c>
      <c r="F9754" t="s">
        <v>1972</v>
      </c>
      <c r="G9754" t="s">
        <v>31</v>
      </c>
      <c r="H9754" t="s">
        <v>20</v>
      </c>
      <c r="I9754" t="s">
        <v>18960</v>
      </c>
      <c r="J9754" t="str">
        <f>HYPERLINK("https://www.boe.es/gazeta/dias/1822/07/10/pdfs/GMD-1822-200.pdf#page=3","Abrir facsímil")</f>
        <v>Abrir facsímil</v>
      </c>
      <c r="K9754" t="s">
        <v>22</v>
      </c>
    </row>
    <row r="9755" spans="1:11" ht="42" customHeight="1">
      <c r="A9755" t="s">
        <v>18961</v>
      </c>
      <c r="B9755" t="s">
        <v>18962</v>
      </c>
      <c r="C9755" t="s">
        <v>50</v>
      </c>
      <c r="D9755" t="s">
        <v>723</v>
      </c>
      <c r="E9755" s="6">
        <v>-28181</v>
      </c>
      <c r="F9755" t="s">
        <v>724</v>
      </c>
      <c r="G9755" t="s">
        <v>44</v>
      </c>
      <c r="H9755" t="s">
        <v>20</v>
      </c>
      <c r="I9755" t="s">
        <v>18963</v>
      </c>
      <c r="J9755" t="str">
        <f>HYPERLINK("https://www.boe.es/gazeta/dias/1822/11/03/pdfs/GMD-1822-322E.pdf#page=1","Abrir facsímil")</f>
        <v>Abrir facsímil</v>
      </c>
      <c r="K9755" t="s">
        <v>22</v>
      </c>
    </row>
    <row r="9756" spans="1:11" ht="42" customHeight="1">
      <c r="A9756" t="s">
        <v>18964</v>
      </c>
      <c r="B9756" t="s">
        <v>18965</v>
      </c>
      <c r="C9756" t="s">
        <v>42</v>
      </c>
      <c r="D9756" t="s">
        <v>17</v>
      </c>
      <c r="E9756" s="6">
        <v>-28416</v>
      </c>
      <c r="F9756" t="s">
        <v>97</v>
      </c>
      <c r="G9756" t="s">
        <v>63</v>
      </c>
      <c r="H9756" t="s">
        <v>20</v>
      </c>
      <c r="I9756" t="s">
        <v>18966</v>
      </c>
      <c r="J9756" t="str">
        <f>HYPERLINK("https://www.boe.es/gazeta/dias/1822/03/13/pdfs/GMD-1822-74.pdf#page=6","Abrir facsímil")</f>
        <v>Abrir facsímil</v>
      </c>
      <c r="K9756" t="s">
        <v>22</v>
      </c>
    </row>
    <row r="9757" spans="1:11" ht="42" customHeight="1">
      <c r="A9757" t="s">
        <v>18967</v>
      </c>
      <c r="B9757" t="s">
        <v>18968</v>
      </c>
      <c r="C9757" t="s">
        <v>50</v>
      </c>
      <c r="D9757" t="s">
        <v>51</v>
      </c>
      <c r="E9757" s="6">
        <v>-28230</v>
      </c>
      <c r="F9757" t="s">
        <v>1735</v>
      </c>
      <c r="G9757" t="s">
        <v>57</v>
      </c>
      <c r="H9757" t="s">
        <v>20</v>
      </c>
      <c r="I9757" t="s">
        <v>18969</v>
      </c>
      <c r="J9757" t="str">
        <f>HYPERLINK("https://www.boe.es/gazeta/dias/1822/09/15/pdfs/GMD-1822-271.pdf#page=4","Abrir facsímil")</f>
        <v>Abrir facsímil</v>
      </c>
      <c r="K9757" t="s">
        <v>22</v>
      </c>
    </row>
    <row r="9758" spans="1:11" ht="42" customHeight="1">
      <c r="A9758" t="s">
        <v>18970</v>
      </c>
      <c r="B9758" t="s">
        <v>18971</v>
      </c>
      <c r="C9758" t="s">
        <v>24</v>
      </c>
      <c r="D9758" t="s">
        <v>17</v>
      </c>
      <c r="E9758" s="6">
        <v>-28450</v>
      </c>
      <c r="F9758" t="s">
        <v>1450</v>
      </c>
      <c r="G9758" t="s">
        <v>2247</v>
      </c>
      <c r="H9758" t="s">
        <v>20</v>
      </c>
      <c r="I9758" t="s">
        <v>18972</v>
      </c>
      <c r="J9758" t="str">
        <f>HYPERLINK("https://www.boe.es/gazeta/dias/1822/02/07/pdfs/GMD-1822-38.pdf#page=6","Abrir facsímil")</f>
        <v>Abrir facsímil</v>
      </c>
      <c r="K9758" t="s">
        <v>22</v>
      </c>
    </row>
    <row r="9759" spans="1:11" ht="42" customHeight="1">
      <c r="A9759" t="s">
        <v>18973</v>
      </c>
      <c r="B9759" t="s">
        <v>18974</v>
      </c>
      <c r="C9759" t="s">
        <v>42</v>
      </c>
      <c r="D9759" t="s">
        <v>17</v>
      </c>
      <c r="E9759" s="6">
        <v>-28422</v>
      </c>
      <c r="F9759" t="s">
        <v>416</v>
      </c>
      <c r="G9759" t="s">
        <v>57</v>
      </c>
      <c r="H9759" t="s">
        <v>20</v>
      </c>
      <c r="I9759" t="s">
        <v>18975</v>
      </c>
      <c r="J9759" t="str">
        <f>HYPERLINK("https://www.boe.es/gazeta/dias/1822/03/07/pdfs/GMD-1822-68.pdf#page=4","Abrir facsímil")</f>
        <v>Abrir facsímil</v>
      </c>
      <c r="K9759" t="s">
        <v>22</v>
      </c>
    </row>
    <row r="9760" spans="1:11" ht="42" customHeight="1">
      <c r="A9760" t="s">
        <v>18976</v>
      </c>
      <c r="B9760" t="s">
        <v>18977</v>
      </c>
      <c r="C9760" t="s">
        <v>16</v>
      </c>
      <c r="D9760" t="s">
        <v>17</v>
      </c>
      <c r="E9760" s="6">
        <v>-28475</v>
      </c>
      <c r="F9760" t="s">
        <v>1205</v>
      </c>
      <c r="G9760" t="s">
        <v>1685</v>
      </c>
      <c r="H9760" t="s">
        <v>20</v>
      </c>
      <c r="I9760" t="s">
        <v>18978</v>
      </c>
      <c r="J9760" t="str">
        <f>HYPERLINK("https://www.boe.es/gazeta/dias/1822/01/13/pdfs/GMD-1822-13.pdf#page=4","Abrir facsímil")</f>
        <v>Abrir facsímil</v>
      </c>
      <c r="K9760" t="s">
        <v>22</v>
      </c>
    </row>
    <row r="9761" spans="1:11" ht="42" customHeight="1">
      <c r="A9761" t="s">
        <v>18979</v>
      </c>
      <c r="B9761" t="s">
        <v>18980</v>
      </c>
      <c r="C9761" t="s">
        <v>50</v>
      </c>
      <c r="D9761" t="s">
        <v>51</v>
      </c>
      <c r="E9761" s="6">
        <v>-28274</v>
      </c>
      <c r="F9761" t="s">
        <v>3371</v>
      </c>
      <c r="G9761" t="s">
        <v>57</v>
      </c>
      <c r="H9761" t="s">
        <v>20</v>
      </c>
      <c r="I9761" t="s">
        <v>18981</v>
      </c>
      <c r="J9761" t="str">
        <f>HYPERLINK("https://www.boe.es/gazeta/dias/1822/08/02/pdfs/GMD-1822-226.pdf#page=4","Abrir facsímil")</f>
        <v>Abrir facsímil</v>
      </c>
      <c r="K9761" t="s">
        <v>22</v>
      </c>
    </row>
    <row r="9762" spans="1:11" ht="42" customHeight="1">
      <c r="A9762" t="s">
        <v>18982</v>
      </c>
      <c r="B9762" t="s">
        <v>18983</v>
      </c>
      <c r="C9762" t="s">
        <v>28</v>
      </c>
      <c r="D9762" t="s">
        <v>29</v>
      </c>
      <c r="E9762" s="6">
        <v>-28453</v>
      </c>
      <c r="F9762" t="s">
        <v>2039</v>
      </c>
      <c r="G9762" t="s">
        <v>57</v>
      </c>
      <c r="H9762" t="s">
        <v>20</v>
      </c>
      <c r="I9762" t="s">
        <v>18984</v>
      </c>
      <c r="J9762" t="str">
        <f>HYPERLINK("https://www.boe.es/gazeta/dias/1822/02/04/pdfs/GMD-1822-35.pdf#page=4","Abrir facsímil")</f>
        <v>Abrir facsímil</v>
      </c>
      <c r="K9762" t="s">
        <v>22</v>
      </c>
    </row>
    <row r="9763" spans="1:11" ht="42" customHeight="1">
      <c r="A9763" t="s">
        <v>18985</v>
      </c>
      <c r="B9763" t="s">
        <v>18985</v>
      </c>
      <c r="C9763" t="s">
        <v>28</v>
      </c>
      <c r="D9763" t="s">
        <v>29</v>
      </c>
      <c r="E9763" s="6">
        <v>-28392</v>
      </c>
      <c r="F9763" t="s">
        <v>2003</v>
      </c>
      <c r="G9763" t="s">
        <v>35</v>
      </c>
      <c r="H9763" t="s">
        <v>20</v>
      </c>
      <c r="I9763" t="s">
        <v>18986</v>
      </c>
      <c r="J9763" t="str">
        <f>HYPERLINK("https://www.boe.es/gazeta/dias/1822/04/06/pdfs/GMD-1822-98.pdf#page=2","Abrir facsímil")</f>
        <v>Abrir facsímil</v>
      </c>
      <c r="K9763" t="s">
        <v>22</v>
      </c>
    </row>
    <row r="9764" spans="1:11" ht="42" customHeight="1">
      <c r="A9764" t="s">
        <v>18987</v>
      </c>
      <c r="B9764" t="s">
        <v>18987</v>
      </c>
      <c r="C9764" t="s">
        <v>28</v>
      </c>
      <c r="D9764" t="s">
        <v>29</v>
      </c>
      <c r="E9764" s="6">
        <v>-28261</v>
      </c>
      <c r="F9764" t="s">
        <v>5685</v>
      </c>
      <c r="G9764" t="s">
        <v>35</v>
      </c>
      <c r="H9764" t="s">
        <v>20</v>
      </c>
      <c r="I9764" t="s">
        <v>18988</v>
      </c>
      <c r="J9764" t="str">
        <f>HYPERLINK("https://www.boe.es/gazeta/dias/1822/08/15/pdfs/GMD-1822-239.pdf#page=2","Abrir facsímil")</f>
        <v>Abrir facsímil</v>
      </c>
      <c r="K9764" t="s">
        <v>22</v>
      </c>
    </row>
    <row r="9765" spans="1:11" ht="42" customHeight="1">
      <c r="A9765" t="s">
        <v>18989</v>
      </c>
      <c r="B9765" t="s">
        <v>18989</v>
      </c>
      <c r="C9765" t="s">
        <v>42</v>
      </c>
      <c r="D9765" t="s">
        <v>17</v>
      </c>
      <c r="E9765" s="6">
        <v>-28439</v>
      </c>
      <c r="F9765" t="s">
        <v>2752</v>
      </c>
      <c r="G9765" t="s">
        <v>4031</v>
      </c>
      <c r="H9765" t="s">
        <v>20</v>
      </c>
      <c r="I9765" t="s">
        <v>18990</v>
      </c>
      <c r="J9765" t="str">
        <f>HYPERLINK("https://www.boe.es/gazeta/dias/1822/02/18/pdfs/GMD-1822-50.pdf#page=2","Abrir facsímil")</f>
        <v>Abrir facsímil</v>
      </c>
      <c r="K9765" t="s">
        <v>22</v>
      </c>
    </row>
    <row r="9766" spans="1:11" ht="42" customHeight="1">
      <c r="A9766" t="s">
        <v>18989</v>
      </c>
      <c r="B9766" t="s">
        <v>18989</v>
      </c>
      <c r="C9766" t="s">
        <v>28</v>
      </c>
      <c r="D9766" t="s">
        <v>29</v>
      </c>
      <c r="E9766" s="6">
        <v>-28366</v>
      </c>
      <c r="F9766" t="s">
        <v>120</v>
      </c>
      <c r="G9766" t="s">
        <v>35</v>
      </c>
      <c r="H9766" t="s">
        <v>20</v>
      </c>
      <c r="I9766" t="s">
        <v>18991</v>
      </c>
      <c r="J9766" t="str">
        <f>HYPERLINK("https://www.boe.es/gazeta/dias/1822/05/02/pdfs/GMD-1822-124.pdf#page=2","Abrir facsímil")</f>
        <v>Abrir facsímil</v>
      </c>
      <c r="K9766" t="s">
        <v>22</v>
      </c>
    </row>
    <row r="9767" spans="1:11" ht="42" customHeight="1">
      <c r="A9767" t="s">
        <v>18989</v>
      </c>
      <c r="B9767" t="s">
        <v>18989</v>
      </c>
      <c r="C9767" t="s">
        <v>42</v>
      </c>
      <c r="D9767" t="s">
        <v>17</v>
      </c>
      <c r="E9767" s="6">
        <v>-28346</v>
      </c>
      <c r="F9767" t="s">
        <v>191</v>
      </c>
      <c r="G9767" t="s">
        <v>44</v>
      </c>
      <c r="H9767" t="s">
        <v>20</v>
      </c>
      <c r="I9767" t="s">
        <v>18992</v>
      </c>
      <c r="J9767" t="str">
        <f>HYPERLINK("https://www.boe.es/gazeta/dias/1822/05/22/pdfs/GMD-1822-145.pdf#page=1","Abrir facsímil")</f>
        <v>Abrir facsímil</v>
      </c>
      <c r="K9767" t="s">
        <v>22</v>
      </c>
    </row>
    <row r="9768" spans="1:11" ht="42" customHeight="1">
      <c r="A9768" t="s">
        <v>18989</v>
      </c>
      <c r="B9768" t="s">
        <v>18989</v>
      </c>
      <c r="C9768" t="s">
        <v>71</v>
      </c>
      <c r="D9768" t="s">
        <v>17</v>
      </c>
      <c r="E9768" s="6">
        <v>-28287</v>
      </c>
      <c r="F9768" t="s">
        <v>1295</v>
      </c>
      <c r="G9768" t="s">
        <v>44</v>
      </c>
      <c r="H9768" t="s">
        <v>20</v>
      </c>
      <c r="I9768" t="s">
        <v>18993</v>
      </c>
      <c r="J9768" t="str">
        <f>HYPERLINK("https://www.boe.es/gazeta/dias/1822/07/20/pdfs/GMD-1822-212.pdf#page=1","Abrir facsímil")</f>
        <v>Abrir facsímil</v>
      </c>
      <c r="K9768" t="s">
        <v>22</v>
      </c>
    </row>
    <row r="9769" spans="1:11" ht="42" customHeight="1">
      <c r="A9769" t="s">
        <v>18989</v>
      </c>
      <c r="B9769" t="s">
        <v>18989</v>
      </c>
      <c r="C9769" t="s">
        <v>24</v>
      </c>
      <c r="D9769" t="s">
        <v>17</v>
      </c>
      <c r="E9769" s="6">
        <v>-28271</v>
      </c>
      <c r="F9769" t="s">
        <v>4942</v>
      </c>
      <c r="G9769" t="s">
        <v>44</v>
      </c>
      <c r="H9769" t="s">
        <v>20</v>
      </c>
      <c r="I9769" t="s">
        <v>18994</v>
      </c>
      <c r="J9769" t="str">
        <f>HYPERLINK("https://www.boe.es/gazeta/dias/1822/08/05/pdfs/GMD-1822-229.pdf#page=1","Abrir facsímil")</f>
        <v>Abrir facsímil</v>
      </c>
      <c r="K9769" t="s">
        <v>22</v>
      </c>
    </row>
    <row r="9770" spans="1:11" ht="42" customHeight="1">
      <c r="A9770" t="s">
        <v>18989</v>
      </c>
      <c r="B9770" t="s">
        <v>18989</v>
      </c>
      <c r="C9770" t="s">
        <v>71</v>
      </c>
      <c r="D9770" t="s">
        <v>17</v>
      </c>
      <c r="E9770" s="6">
        <v>-28240</v>
      </c>
      <c r="F9770" t="s">
        <v>678</v>
      </c>
      <c r="G9770" t="s">
        <v>8061</v>
      </c>
      <c r="H9770" t="s">
        <v>20</v>
      </c>
      <c r="I9770" t="s">
        <v>18995</v>
      </c>
      <c r="J9770" t="str">
        <f>HYPERLINK("https://www.boe.es/gazeta/dias/1822/09/05/pdfs/GMD-1822-260.pdf#page=2","Abrir facsímil")</f>
        <v>Abrir facsímil</v>
      </c>
      <c r="K9770" t="s">
        <v>22</v>
      </c>
    </row>
    <row r="9771" spans="1:11" ht="42" customHeight="1">
      <c r="A9771" t="s">
        <v>18996</v>
      </c>
      <c r="B9771" t="s">
        <v>18996</v>
      </c>
      <c r="C9771" t="s">
        <v>50</v>
      </c>
      <c r="D9771" t="s">
        <v>51</v>
      </c>
      <c r="E9771" s="6">
        <v>-28210</v>
      </c>
      <c r="F9771" t="s">
        <v>218</v>
      </c>
      <c r="G9771" t="s">
        <v>19</v>
      </c>
      <c r="H9771" t="s">
        <v>20</v>
      </c>
      <c r="I9771" t="s">
        <v>18997</v>
      </c>
      <c r="J9771" t="str">
        <f>HYPERLINK("https://www.boe.es/gazeta/dias/1822/10/05/pdfs/GMD-1822-291.pdf#page=5","Abrir facsímil")</f>
        <v>Abrir facsímil</v>
      </c>
      <c r="K9771" t="s">
        <v>22</v>
      </c>
    </row>
    <row r="9772" spans="1:11" ht="42" customHeight="1">
      <c r="A9772" t="s">
        <v>18998</v>
      </c>
      <c r="B9772" t="s">
        <v>18999</v>
      </c>
      <c r="C9772" t="s">
        <v>50</v>
      </c>
      <c r="D9772" t="s">
        <v>51</v>
      </c>
      <c r="E9772" s="6">
        <v>-28204</v>
      </c>
      <c r="F9772" t="s">
        <v>3190</v>
      </c>
      <c r="G9772" t="s">
        <v>157</v>
      </c>
      <c r="H9772" t="s">
        <v>20</v>
      </c>
      <c r="I9772" t="s">
        <v>19000</v>
      </c>
      <c r="J9772" t="str">
        <f>HYPERLINK("https://www.boe.es/gazeta/dias/1822/10/11/pdfs/GMD-1822-298.pdf#page=8","Abrir facsímil")</f>
        <v>Abrir facsímil</v>
      </c>
      <c r="K9772" t="s">
        <v>22</v>
      </c>
    </row>
    <row r="9773" spans="1:11" ht="42" customHeight="1">
      <c r="A9773" t="s">
        <v>19001</v>
      </c>
      <c r="B9773" t="s">
        <v>19001</v>
      </c>
      <c r="C9773" t="s">
        <v>42</v>
      </c>
      <c r="D9773" t="s">
        <v>17</v>
      </c>
      <c r="E9773" s="6">
        <v>-28459</v>
      </c>
      <c r="F9773" t="s">
        <v>1102</v>
      </c>
      <c r="G9773" t="s">
        <v>57</v>
      </c>
      <c r="H9773" t="s">
        <v>20</v>
      </c>
      <c r="I9773" t="s">
        <v>19002</v>
      </c>
      <c r="J9773" t="str">
        <f>HYPERLINK("https://www.boe.es/gazeta/dias/1822/01/29/pdfs/GMD-1822-29.pdf#page=4","Abrir facsímil")</f>
        <v>Abrir facsímil</v>
      </c>
      <c r="K9773" t="s">
        <v>22</v>
      </c>
    </row>
    <row r="9774" spans="1:11" ht="42" customHeight="1">
      <c r="A9774" t="s">
        <v>19003</v>
      </c>
      <c r="B9774" t="s">
        <v>19004</v>
      </c>
      <c r="C9774" t="s">
        <v>50</v>
      </c>
      <c r="D9774" t="s">
        <v>51</v>
      </c>
      <c r="E9774" s="6">
        <v>-28225</v>
      </c>
      <c r="F9774" t="s">
        <v>177</v>
      </c>
      <c r="G9774" t="s">
        <v>3273</v>
      </c>
      <c r="H9774" t="s">
        <v>20</v>
      </c>
      <c r="I9774" t="s">
        <v>19005</v>
      </c>
      <c r="J9774" t="str">
        <f>HYPERLINK("https://www.boe.es/gazeta/dias/1822/09/20/pdfs/GMD-1822-276.pdf#page=4","Abrir facsímil")</f>
        <v>Abrir facsímil</v>
      </c>
      <c r="K9774" t="s">
        <v>22</v>
      </c>
    </row>
    <row r="9775" spans="1:11" ht="42" customHeight="1">
      <c r="A9775" t="s">
        <v>19006</v>
      </c>
      <c r="B9775" t="s">
        <v>19007</v>
      </c>
      <c r="C9775" t="s">
        <v>28</v>
      </c>
      <c r="D9775" t="s">
        <v>29</v>
      </c>
      <c r="E9775" s="6">
        <v>-28386</v>
      </c>
      <c r="F9775" t="s">
        <v>2993</v>
      </c>
      <c r="G9775" t="s">
        <v>35</v>
      </c>
      <c r="H9775" t="s">
        <v>20</v>
      </c>
      <c r="I9775" t="s">
        <v>19008</v>
      </c>
      <c r="J9775" t="str">
        <f>HYPERLINK("https://www.boe.es/gazeta/dias/1822/04/12/pdfs/GMD-1822-104.pdf#page=2","Abrir facsímil")</f>
        <v>Abrir facsímil</v>
      </c>
      <c r="K9775" t="s">
        <v>22</v>
      </c>
    </row>
    <row r="9776" spans="1:11" ht="42" customHeight="1">
      <c r="A9776" t="s">
        <v>19009</v>
      </c>
      <c r="B9776" t="s">
        <v>19010</v>
      </c>
      <c r="C9776" t="s">
        <v>50</v>
      </c>
      <c r="D9776" t="s">
        <v>51</v>
      </c>
      <c r="E9776" s="6">
        <v>-28409</v>
      </c>
      <c r="F9776" t="s">
        <v>394</v>
      </c>
      <c r="G9776" t="s">
        <v>57</v>
      </c>
      <c r="H9776" t="s">
        <v>20</v>
      </c>
      <c r="I9776" t="s">
        <v>19011</v>
      </c>
      <c r="J9776" t="str">
        <f>HYPERLINK("https://www.boe.es/gazeta/dias/1822/03/20/pdfs/GMD-1822-81.pdf#page=4","Abrir facsímil")</f>
        <v>Abrir facsímil</v>
      </c>
      <c r="K9776" t="s">
        <v>22</v>
      </c>
    </row>
    <row r="9777" spans="1:11" ht="42" customHeight="1">
      <c r="A9777" t="s">
        <v>19012</v>
      </c>
      <c r="B9777" t="s">
        <v>19012</v>
      </c>
      <c r="C9777" t="s">
        <v>71</v>
      </c>
      <c r="D9777" t="s">
        <v>17</v>
      </c>
      <c r="E9777" s="6">
        <v>-28475</v>
      </c>
      <c r="F9777" t="s">
        <v>1205</v>
      </c>
      <c r="G9777" t="s">
        <v>1685</v>
      </c>
      <c r="H9777" t="s">
        <v>20</v>
      </c>
      <c r="I9777" t="s">
        <v>19013</v>
      </c>
      <c r="J9777" t="str">
        <f>HYPERLINK("https://www.boe.es/gazeta/dias/1822/01/13/pdfs/GMD-1822-13.pdf#page=4","Abrir facsímil")</f>
        <v>Abrir facsímil</v>
      </c>
      <c r="K9777" t="s">
        <v>22</v>
      </c>
    </row>
    <row r="9778" spans="1:11" ht="42" customHeight="1">
      <c r="A9778" t="s">
        <v>19014</v>
      </c>
      <c r="B9778" t="s">
        <v>19014</v>
      </c>
      <c r="C9778" t="s">
        <v>71</v>
      </c>
      <c r="D9778" t="s">
        <v>17</v>
      </c>
      <c r="E9778" s="6">
        <v>-28424</v>
      </c>
      <c r="F9778" t="s">
        <v>439</v>
      </c>
      <c r="G9778" t="s">
        <v>44</v>
      </c>
      <c r="H9778" t="s">
        <v>20</v>
      </c>
      <c r="I9778" t="s">
        <v>19015</v>
      </c>
      <c r="J9778" t="str">
        <f>HYPERLINK("https://www.boe.es/gazeta/dias/1822/03/05/pdfs/GMD-1822-66.pdf#page=1","Abrir facsímil")</f>
        <v>Abrir facsímil</v>
      </c>
      <c r="K9778" t="s">
        <v>22</v>
      </c>
    </row>
    <row r="9779" spans="1:11" ht="42" customHeight="1">
      <c r="A9779" t="s">
        <v>19014</v>
      </c>
      <c r="B9779" t="s">
        <v>19014</v>
      </c>
      <c r="C9779" t="s">
        <v>50</v>
      </c>
      <c r="D9779" t="s">
        <v>51</v>
      </c>
      <c r="E9779" s="6">
        <v>-28314</v>
      </c>
      <c r="F9779" t="s">
        <v>309</v>
      </c>
      <c r="G9779" t="s">
        <v>44</v>
      </c>
      <c r="H9779" t="s">
        <v>20</v>
      </c>
      <c r="I9779" t="s">
        <v>19016</v>
      </c>
      <c r="J9779" t="str">
        <f>HYPERLINK("https://www.boe.es/gazeta/dias/1822/06/23/pdfs/GMD-1822-181.pdf#page=1","Abrir facsímil")</f>
        <v>Abrir facsímil</v>
      </c>
      <c r="K9779" t="s">
        <v>22</v>
      </c>
    </row>
    <row r="9780" spans="1:11" ht="42" customHeight="1">
      <c r="A9780" t="s">
        <v>19014</v>
      </c>
      <c r="B9780" t="s">
        <v>19014</v>
      </c>
      <c r="C9780" t="s">
        <v>42</v>
      </c>
      <c r="D9780" t="s">
        <v>17</v>
      </c>
      <c r="E9780" s="6">
        <v>-28222</v>
      </c>
      <c r="F9780" t="s">
        <v>2027</v>
      </c>
      <c r="G9780" t="s">
        <v>44</v>
      </c>
      <c r="H9780" t="s">
        <v>20</v>
      </c>
      <c r="I9780" t="s">
        <v>19017</v>
      </c>
      <c r="J9780" t="str">
        <f>HYPERLINK("https://www.boe.es/gazeta/dias/1822/09/23/pdfs/GMD-1822-279.pdf#page=1","Abrir facsímil")</f>
        <v>Abrir facsímil</v>
      </c>
      <c r="K9780" t="s">
        <v>22</v>
      </c>
    </row>
    <row r="9781" spans="1:11" ht="42" customHeight="1">
      <c r="A9781" t="s">
        <v>19014</v>
      </c>
      <c r="B9781" t="s">
        <v>19014</v>
      </c>
      <c r="C9781" t="s">
        <v>50</v>
      </c>
      <c r="D9781" t="s">
        <v>51</v>
      </c>
      <c r="E9781" s="6">
        <v>-28198</v>
      </c>
      <c r="F9781" t="s">
        <v>981</v>
      </c>
      <c r="G9781" t="s">
        <v>57</v>
      </c>
      <c r="H9781" t="s">
        <v>20</v>
      </c>
      <c r="I9781" t="s">
        <v>19018</v>
      </c>
      <c r="J9781" t="str">
        <f>HYPERLINK("https://www.boe.es/gazeta/dias/1822/10/17/pdfs/GMD-1822-304.pdf#page=4","Abrir facsímil")</f>
        <v>Abrir facsímil</v>
      </c>
      <c r="K9781" t="s">
        <v>22</v>
      </c>
    </row>
    <row r="9782" spans="1:11" ht="42" customHeight="1">
      <c r="A9782" t="s">
        <v>19014</v>
      </c>
      <c r="B9782" t="s">
        <v>19014</v>
      </c>
      <c r="C9782" t="s">
        <v>28</v>
      </c>
      <c r="D9782" t="s">
        <v>29</v>
      </c>
      <c r="E9782" s="6">
        <v>-28173</v>
      </c>
      <c r="F9782" t="s">
        <v>2959</v>
      </c>
      <c r="G9782" t="s">
        <v>57</v>
      </c>
      <c r="H9782" t="s">
        <v>20</v>
      </c>
      <c r="I9782" t="s">
        <v>19019</v>
      </c>
      <c r="J9782" t="str">
        <f>HYPERLINK("https://www.boe.es/gazeta/dias/1822/11/11/pdfs/GMD-1822-331.pdf#page=4","Abrir facsímil")</f>
        <v>Abrir facsímil</v>
      </c>
      <c r="K9782" t="s">
        <v>22</v>
      </c>
    </row>
    <row r="9783" spans="1:11" ht="42" customHeight="1">
      <c r="A9783" t="s">
        <v>19014</v>
      </c>
      <c r="B9783" t="s">
        <v>19014</v>
      </c>
      <c r="C9783" t="s">
        <v>28</v>
      </c>
      <c r="D9783" t="s">
        <v>29</v>
      </c>
      <c r="E9783" s="6">
        <v>-28160</v>
      </c>
      <c r="F9783" t="s">
        <v>148</v>
      </c>
      <c r="G9783" t="s">
        <v>19</v>
      </c>
      <c r="H9783" t="s">
        <v>20</v>
      </c>
      <c r="I9783" t="s">
        <v>19020</v>
      </c>
      <c r="J9783" t="str">
        <f>HYPERLINK("https://www.boe.es/gazeta/dias/1822/11/24/pdfs/GMD-1822-344.pdf#page=5","Abrir facsímil")</f>
        <v>Abrir facsímil</v>
      </c>
      <c r="K9783" t="s">
        <v>22</v>
      </c>
    </row>
    <row r="9784" spans="1:11" ht="42" customHeight="1">
      <c r="A9784" t="s">
        <v>19021</v>
      </c>
      <c r="B9784" t="s">
        <v>19022</v>
      </c>
      <c r="C9784" t="s">
        <v>42</v>
      </c>
      <c r="D9784" t="s">
        <v>17</v>
      </c>
      <c r="E9784" s="6">
        <v>-28251</v>
      </c>
      <c r="F9784" t="s">
        <v>1485</v>
      </c>
      <c r="G9784" t="s">
        <v>35</v>
      </c>
      <c r="H9784" t="s">
        <v>20</v>
      </c>
      <c r="I9784" t="s">
        <v>19023</v>
      </c>
      <c r="J9784" t="str">
        <f>HYPERLINK("https://www.boe.es/gazeta/dias/1822/08/25/pdfs/GMD-1822-249.pdf#page=2","Abrir facsímil")</f>
        <v>Abrir facsímil</v>
      </c>
      <c r="K9784" t="s">
        <v>22</v>
      </c>
    </row>
    <row r="9785" spans="1:11" ht="42" customHeight="1">
      <c r="A9785" t="s">
        <v>19024</v>
      </c>
      <c r="B9785" t="s">
        <v>19024</v>
      </c>
      <c r="C9785" t="s">
        <v>42</v>
      </c>
      <c r="D9785" t="s">
        <v>17</v>
      </c>
      <c r="E9785" s="6">
        <v>-28250</v>
      </c>
      <c r="F9785" t="s">
        <v>1174</v>
      </c>
      <c r="G9785" t="s">
        <v>44</v>
      </c>
      <c r="H9785" t="s">
        <v>20</v>
      </c>
      <c r="I9785" t="s">
        <v>19025</v>
      </c>
      <c r="J9785" t="str">
        <f>HYPERLINK("https://www.boe.es/gazeta/dias/1822/08/26/pdfs/GMD-1822-250.pdf#page=1","Abrir facsímil")</f>
        <v>Abrir facsímil</v>
      </c>
      <c r="K9785" t="s">
        <v>22</v>
      </c>
    </row>
    <row r="9786" spans="1:11" ht="42" customHeight="1">
      <c r="A9786" t="s">
        <v>19026</v>
      </c>
      <c r="B9786" t="s">
        <v>19026</v>
      </c>
      <c r="C9786" t="s">
        <v>42</v>
      </c>
      <c r="D9786" t="s">
        <v>17</v>
      </c>
      <c r="E9786" s="6">
        <v>-28250</v>
      </c>
      <c r="F9786" t="s">
        <v>1174</v>
      </c>
      <c r="G9786" t="s">
        <v>44</v>
      </c>
      <c r="H9786" t="s">
        <v>20</v>
      </c>
      <c r="I9786" t="s">
        <v>19027</v>
      </c>
      <c r="J9786" t="str">
        <f>HYPERLINK("https://www.boe.es/gazeta/dias/1822/08/26/pdfs/GMD-1822-250.pdf#page=1","Abrir facsímil")</f>
        <v>Abrir facsímil</v>
      </c>
      <c r="K9786" t="s">
        <v>22</v>
      </c>
    </row>
    <row r="9787" spans="1:11" ht="42" customHeight="1">
      <c r="A9787" t="s">
        <v>19028</v>
      </c>
      <c r="B9787" t="s">
        <v>19029</v>
      </c>
      <c r="C9787" t="s">
        <v>50</v>
      </c>
      <c r="D9787" t="s">
        <v>51</v>
      </c>
      <c r="E9787" s="6">
        <v>-28169</v>
      </c>
      <c r="F9787" t="s">
        <v>2571</v>
      </c>
      <c r="G9787" t="s">
        <v>63</v>
      </c>
      <c r="H9787" t="s">
        <v>20</v>
      </c>
      <c r="I9787" t="s">
        <v>19030</v>
      </c>
      <c r="J9787" t="str">
        <f>HYPERLINK("https://www.boe.es/gazeta/dias/1822/11/15/pdfs/GMD-1822-335.pdf#page=6","Abrir facsímil")</f>
        <v>Abrir facsímil</v>
      </c>
      <c r="K9787" t="s">
        <v>22</v>
      </c>
    </row>
    <row r="9788" spans="1:11" ht="42" customHeight="1">
      <c r="A9788" t="s">
        <v>19031</v>
      </c>
      <c r="B9788" t="s">
        <v>19032</v>
      </c>
      <c r="C9788" t="s">
        <v>50</v>
      </c>
      <c r="D9788" t="s">
        <v>51</v>
      </c>
      <c r="E9788" s="6">
        <v>-28221</v>
      </c>
      <c r="F9788" t="s">
        <v>2591</v>
      </c>
      <c r="G9788" t="s">
        <v>44</v>
      </c>
      <c r="H9788" t="s">
        <v>20</v>
      </c>
      <c r="I9788" t="s">
        <v>19033</v>
      </c>
      <c r="J9788" t="str">
        <f>HYPERLINK("https://www.boe.es/gazeta/dias/1822/09/24/pdfs/GMD-1822-280.pdf#page=1","Abrir facsímil")</f>
        <v>Abrir facsímil</v>
      </c>
      <c r="K9788" t="s">
        <v>22</v>
      </c>
    </row>
    <row r="9789" spans="1:11" ht="42" customHeight="1">
      <c r="A9789" t="s">
        <v>19034</v>
      </c>
      <c r="B9789" t="s">
        <v>19034</v>
      </c>
      <c r="C9789" t="s">
        <v>50</v>
      </c>
      <c r="D9789" t="s">
        <v>51</v>
      </c>
      <c r="E9789" s="6">
        <v>-28266</v>
      </c>
      <c r="F9789" t="s">
        <v>1169</v>
      </c>
      <c r="G9789" t="s">
        <v>35</v>
      </c>
      <c r="H9789" t="s">
        <v>20</v>
      </c>
      <c r="I9789" t="s">
        <v>19035</v>
      </c>
      <c r="J9789" t="str">
        <f>HYPERLINK("https://www.boe.es/gazeta/dias/1822/08/10/pdfs/GMD-1822-234.pdf#page=2","Abrir facsímil")</f>
        <v>Abrir facsímil</v>
      </c>
      <c r="K9789" t="s">
        <v>22</v>
      </c>
    </row>
    <row r="9790" spans="1:11" ht="42" customHeight="1">
      <c r="A9790" t="s">
        <v>19036</v>
      </c>
      <c r="B9790" t="s">
        <v>19036</v>
      </c>
      <c r="C9790" t="s">
        <v>42</v>
      </c>
      <c r="D9790" t="s">
        <v>17</v>
      </c>
      <c r="E9790" s="6">
        <v>-28172</v>
      </c>
      <c r="F9790" t="s">
        <v>674</v>
      </c>
      <c r="G9790" t="s">
        <v>57</v>
      </c>
      <c r="H9790" t="s">
        <v>20</v>
      </c>
      <c r="I9790" t="s">
        <v>19037</v>
      </c>
      <c r="J9790" t="str">
        <f>HYPERLINK("https://www.boe.es/gazeta/dias/1822/11/12/pdfs/GMD-1822-332.pdf#page=4","Abrir facsímil")</f>
        <v>Abrir facsímil</v>
      </c>
      <c r="K9790" t="s">
        <v>22</v>
      </c>
    </row>
    <row r="9791" spans="1:11" ht="42" customHeight="1">
      <c r="A9791" t="s">
        <v>19038</v>
      </c>
      <c r="B9791" t="s">
        <v>19039</v>
      </c>
      <c r="C9791" t="s">
        <v>50</v>
      </c>
      <c r="D9791" t="s">
        <v>51</v>
      </c>
      <c r="E9791" s="6">
        <v>-28370</v>
      </c>
      <c r="F9791" t="s">
        <v>207</v>
      </c>
      <c r="G9791" t="s">
        <v>63</v>
      </c>
      <c r="H9791" t="s">
        <v>20</v>
      </c>
      <c r="I9791" t="s">
        <v>19040</v>
      </c>
      <c r="J9791" t="str">
        <f>HYPERLINK("https://www.boe.es/gazeta/dias/1822/04/28/pdfs/GMD-1822-120.pdf#page=6","Abrir facsímil")</f>
        <v>Abrir facsímil</v>
      </c>
      <c r="K9791" t="s">
        <v>22</v>
      </c>
    </row>
    <row r="9792" spans="1:11" ht="42" customHeight="1">
      <c r="A9792" t="s">
        <v>19041</v>
      </c>
      <c r="B9792" t="s">
        <v>19041</v>
      </c>
      <c r="C9792" t="s">
        <v>50</v>
      </c>
      <c r="D9792" t="s">
        <v>51</v>
      </c>
      <c r="E9792" s="6">
        <v>-28210</v>
      </c>
      <c r="F9792" t="s">
        <v>218</v>
      </c>
      <c r="G9792" t="s">
        <v>31</v>
      </c>
      <c r="H9792" t="s">
        <v>20</v>
      </c>
      <c r="I9792" t="s">
        <v>19042</v>
      </c>
      <c r="J9792" t="str">
        <f>HYPERLINK("https://www.boe.es/gazeta/dias/1822/10/05/pdfs/GMD-1822-291.pdf#page=3","Abrir facsímil")</f>
        <v>Abrir facsímil</v>
      </c>
      <c r="K9792" t="s">
        <v>22</v>
      </c>
    </row>
    <row r="9793" spans="1:11" ht="42" customHeight="1">
      <c r="A9793" t="s">
        <v>19043</v>
      </c>
      <c r="B9793" t="s">
        <v>19044</v>
      </c>
      <c r="C9793" t="s">
        <v>50</v>
      </c>
      <c r="D9793" t="s">
        <v>51</v>
      </c>
      <c r="E9793" s="6">
        <v>-28207</v>
      </c>
      <c r="F9793" t="s">
        <v>1325</v>
      </c>
      <c r="G9793" t="s">
        <v>44</v>
      </c>
      <c r="H9793" t="s">
        <v>20</v>
      </c>
      <c r="I9793" t="s">
        <v>19045</v>
      </c>
      <c r="J9793" t="str">
        <f>HYPERLINK("https://www.boe.es/gazeta/dias/1822/10/08/pdfs/GMD-1822-295.pdf#page=1","Abrir facsímil")</f>
        <v>Abrir facsímil</v>
      </c>
      <c r="K9793" t="s">
        <v>22</v>
      </c>
    </row>
    <row r="9794" spans="1:11" ht="42" customHeight="1">
      <c r="A9794" t="s">
        <v>19046</v>
      </c>
      <c r="B9794" t="s">
        <v>19046</v>
      </c>
      <c r="C9794" t="s">
        <v>28</v>
      </c>
      <c r="D9794" t="s">
        <v>29</v>
      </c>
      <c r="E9794" s="6">
        <v>-28445</v>
      </c>
      <c r="F9794" t="s">
        <v>1622</v>
      </c>
      <c r="G9794" t="s">
        <v>35</v>
      </c>
      <c r="H9794" t="s">
        <v>20</v>
      </c>
      <c r="I9794" t="s">
        <v>19047</v>
      </c>
      <c r="J9794" t="str">
        <f>HYPERLINK("https://www.boe.es/gazeta/dias/1822/02/12/pdfs/GMD-1822-43.pdf#page=2","Abrir facsímil")</f>
        <v>Abrir facsímil</v>
      </c>
      <c r="K9794" t="s">
        <v>22</v>
      </c>
    </row>
    <row r="9795" spans="1:11" ht="42" customHeight="1">
      <c r="A9795" t="s">
        <v>19048</v>
      </c>
      <c r="B9795" t="s">
        <v>19048</v>
      </c>
      <c r="C9795" t="s">
        <v>71</v>
      </c>
      <c r="D9795" t="s">
        <v>17</v>
      </c>
      <c r="E9795" s="6">
        <v>-28309</v>
      </c>
      <c r="F9795" t="s">
        <v>553</v>
      </c>
      <c r="G9795" t="s">
        <v>671</v>
      </c>
      <c r="H9795" t="s">
        <v>20</v>
      </c>
      <c r="I9795" t="s">
        <v>19049</v>
      </c>
      <c r="J9795" t="str">
        <f>HYPERLINK("https://www.boe.es/gazeta/dias/1822/06/28/pdfs/GMD-1822-186.pdf#page=3","Abrir facsímil")</f>
        <v>Abrir facsímil</v>
      </c>
      <c r="K9795" t="s">
        <v>22</v>
      </c>
    </row>
    <row r="9796" spans="1:11" ht="42" customHeight="1">
      <c r="A9796" t="s">
        <v>19050</v>
      </c>
      <c r="B9796" t="s">
        <v>19051</v>
      </c>
      <c r="C9796" t="s">
        <v>16</v>
      </c>
      <c r="D9796" t="s">
        <v>17</v>
      </c>
      <c r="E9796" s="6">
        <v>-28379</v>
      </c>
      <c r="F9796" t="s">
        <v>494</v>
      </c>
      <c r="G9796" t="s">
        <v>19</v>
      </c>
      <c r="H9796" t="s">
        <v>20</v>
      </c>
      <c r="I9796" t="s">
        <v>19052</v>
      </c>
      <c r="J9796" t="str">
        <f>HYPERLINK("https://www.boe.es/gazeta/dias/1822/04/19/pdfs/GMD-1822-111.pdf#page=5","Abrir facsímil")</f>
        <v>Abrir facsímil</v>
      </c>
      <c r="K9796" t="s">
        <v>22</v>
      </c>
    </row>
    <row r="9797" spans="1:11" ht="42" customHeight="1">
      <c r="A9797" t="s">
        <v>19050</v>
      </c>
      <c r="B9797" t="s">
        <v>19051</v>
      </c>
      <c r="C9797" t="s">
        <v>71</v>
      </c>
      <c r="D9797" t="s">
        <v>17</v>
      </c>
      <c r="E9797" s="6">
        <v>-28343</v>
      </c>
      <c r="F9797" t="s">
        <v>1019</v>
      </c>
      <c r="G9797" t="s">
        <v>44</v>
      </c>
      <c r="H9797" t="s">
        <v>20</v>
      </c>
      <c r="I9797" t="s">
        <v>19053</v>
      </c>
      <c r="J9797" t="str">
        <f>HYPERLINK("https://www.boe.es/gazeta/dias/1822/05/25/pdfs/GMD-1822-150.pdf#page=1","Abrir facsímil")</f>
        <v>Abrir facsímil</v>
      </c>
      <c r="K9797" t="s">
        <v>22</v>
      </c>
    </row>
    <row r="9798" spans="1:11" ht="42" customHeight="1">
      <c r="A9798" t="s">
        <v>19054</v>
      </c>
      <c r="B9798" t="s">
        <v>19054</v>
      </c>
      <c r="C9798" t="s">
        <v>42</v>
      </c>
      <c r="D9798" t="s">
        <v>17</v>
      </c>
      <c r="E9798" s="6">
        <v>-28264</v>
      </c>
      <c r="F9798" t="s">
        <v>1329</v>
      </c>
      <c r="G9798" t="s">
        <v>31</v>
      </c>
      <c r="H9798" t="s">
        <v>20</v>
      </c>
      <c r="I9798" t="s">
        <v>19055</v>
      </c>
      <c r="J9798" t="str">
        <f>HYPERLINK("https://www.boe.es/gazeta/dias/1822/08/12/pdfs/GMD-1822-236.pdf#page=3","Abrir facsímil")</f>
        <v>Abrir facsímil</v>
      </c>
      <c r="K9798" t="s">
        <v>22</v>
      </c>
    </row>
    <row r="9799" spans="1:11" ht="42" customHeight="1">
      <c r="A9799" t="s">
        <v>19056</v>
      </c>
      <c r="B9799" t="s">
        <v>19056</v>
      </c>
      <c r="C9799" t="s">
        <v>50</v>
      </c>
      <c r="D9799" t="s">
        <v>51</v>
      </c>
      <c r="E9799" s="6">
        <v>-28149</v>
      </c>
      <c r="F9799" t="s">
        <v>1322</v>
      </c>
      <c r="G9799" t="s">
        <v>31</v>
      </c>
      <c r="H9799" t="s">
        <v>20</v>
      </c>
      <c r="I9799" t="s">
        <v>19057</v>
      </c>
      <c r="J9799" t="str">
        <f>HYPERLINK("https://www.boe.es/gazeta/dias/1822/12/05/pdfs/GMD-1822-355.pdf#page=3","Abrir facsímil")</f>
        <v>Abrir facsímil</v>
      </c>
      <c r="K9799" t="s">
        <v>22</v>
      </c>
    </row>
    <row r="9800" spans="1:11" ht="42" customHeight="1">
      <c r="A9800" t="s">
        <v>19058</v>
      </c>
      <c r="B9800" t="s">
        <v>19058</v>
      </c>
      <c r="C9800" t="s">
        <v>50</v>
      </c>
      <c r="D9800" t="s">
        <v>51</v>
      </c>
      <c r="E9800" s="6">
        <v>-28213</v>
      </c>
      <c r="F9800" t="s">
        <v>558</v>
      </c>
      <c r="G9800" t="s">
        <v>44</v>
      </c>
      <c r="H9800" t="s">
        <v>20</v>
      </c>
      <c r="I9800" t="s">
        <v>19059</v>
      </c>
      <c r="J9800" t="str">
        <f>HYPERLINK("https://www.boe.es/gazeta/dias/1822/10/02/pdfs/GMD-1822-288.pdf#page=1","Abrir facsímil")</f>
        <v>Abrir facsímil</v>
      </c>
      <c r="K9800" t="s">
        <v>22</v>
      </c>
    </row>
    <row r="9801" spans="1:11" ht="42" customHeight="1">
      <c r="A9801" t="s">
        <v>19060</v>
      </c>
      <c r="B9801" t="s">
        <v>19061</v>
      </c>
      <c r="C9801" t="s">
        <v>28</v>
      </c>
      <c r="D9801" t="s">
        <v>29</v>
      </c>
      <c r="E9801" s="6">
        <v>-28371</v>
      </c>
      <c r="F9801" t="s">
        <v>401</v>
      </c>
      <c r="G9801" t="s">
        <v>35</v>
      </c>
      <c r="H9801" t="s">
        <v>20</v>
      </c>
      <c r="I9801" t="s">
        <v>19062</v>
      </c>
      <c r="J9801" t="str">
        <f>HYPERLINK("https://www.boe.es/gazeta/dias/1822/04/27/pdfs/GMD-1822-119.pdf#page=2","Abrir facsímil")</f>
        <v>Abrir facsímil</v>
      </c>
      <c r="K9801" t="s">
        <v>22</v>
      </c>
    </row>
    <row r="9802" spans="1:11" ht="42" customHeight="1">
      <c r="A9802" t="s">
        <v>19063</v>
      </c>
      <c r="B9802" t="s">
        <v>19064</v>
      </c>
      <c r="C9802" t="s">
        <v>28</v>
      </c>
      <c r="D9802" t="s">
        <v>29</v>
      </c>
      <c r="E9802" s="6">
        <v>-28339</v>
      </c>
      <c r="F9802" t="s">
        <v>197</v>
      </c>
      <c r="G9802" t="s">
        <v>63</v>
      </c>
      <c r="H9802" t="s">
        <v>20</v>
      </c>
      <c r="I9802" t="s">
        <v>19065</v>
      </c>
      <c r="J9802" t="str">
        <f>HYPERLINK("https://www.boe.es/gazeta/dias/1822/05/29/pdfs/GMD-1822-154.pdf#page=6","Abrir facsímil")</f>
        <v>Abrir facsímil</v>
      </c>
      <c r="K9802" t="s">
        <v>22</v>
      </c>
    </row>
    <row r="9803" spans="1:11" ht="42" customHeight="1">
      <c r="A9803" t="s">
        <v>19066</v>
      </c>
      <c r="B9803" t="s">
        <v>19067</v>
      </c>
      <c r="C9803" t="s">
        <v>50</v>
      </c>
      <c r="D9803" t="s">
        <v>51</v>
      </c>
      <c r="E9803" s="6">
        <v>-28127</v>
      </c>
      <c r="F9803" t="s">
        <v>409</v>
      </c>
      <c r="G9803" t="s">
        <v>5790</v>
      </c>
      <c r="H9803" t="s">
        <v>20</v>
      </c>
      <c r="I9803" t="s">
        <v>19068</v>
      </c>
      <c r="J9803" t="str">
        <f>HYPERLINK("https://www.boe.es/gazeta/dias/1822/12/27/pdfs/GMD-1822-377.pdf#page=6","Abrir facsímil")</f>
        <v>Abrir facsímil</v>
      </c>
      <c r="K9803" t="s">
        <v>22</v>
      </c>
    </row>
    <row r="9804" spans="1:11" ht="42" customHeight="1">
      <c r="A9804" t="s">
        <v>19069</v>
      </c>
      <c r="B9804" t="s">
        <v>19070</v>
      </c>
      <c r="C9804" t="s">
        <v>50</v>
      </c>
      <c r="D9804" t="s">
        <v>51</v>
      </c>
      <c r="E9804" s="6">
        <v>-28259</v>
      </c>
      <c r="F9804" t="s">
        <v>1912</v>
      </c>
      <c r="G9804" t="s">
        <v>44</v>
      </c>
      <c r="H9804" t="s">
        <v>20</v>
      </c>
      <c r="I9804" t="s">
        <v>19071</v>
      </c>
      <c r="J9804" t="str">
        <f>HYPERLINK("https://www.boe.es/gazeta/dias/1822/08/17/pdfs/GMD-1822-241.pdf#page=1","Abrir facsímil")</f>
        <v>Abrir facsímil</v>
      </c>
      <c r="K9804" t="s">
        <v>22</v>
      </c>
    </row>
    <row r="9805" spans="1:11" ht="42" customHeight="1">
      <c r="A9805" t="s">
        <v>19072</v>
      </c>
      <c r="B9805" t="s">
        <v>19073</v>
      </c>
      <c r="C9805" t="s">
        <v>61</v>
      </c>
      <c r="D9805" t="s">
        <v>17</v>
      </c>
      <c r="E9805" s="6">
        <v>-28257</v>
      </c>
      <c r="F9805" t="s">
        <v>1171</v>
      </c>
      <c r="G9805" t="s">
        <v>1172</v>
      </c>
      <c r="H9805" t="s">
        <v>20</v>
      </c>
      <c r="I9805" t="s">
        <v>19074</v>
      </c>
      <c r="J9805" t="str">
        <f>HYPERLINK("https://www.boe.es/gazeta/dias/1822/08/19/pdfs/GMD-1822-243.pdf#page=4","Abrir facsímil")</f>
        <v>Abrir facsímil</v>
      </c>
      <c r="K9805" t="s">
        <v>22</v>
      </c>
    </row>
    <row r="9806" spans="1:11" ht="42" customHeight="1">
      <c r="A9806" t="s">
        <v>19075</v>
      </c>
      <c r="B9806" t="s">
        <v>19076</v>
      </c>
      <c r="C9806" t="s">
        <v>50</v>
      </c>
      <c r="D9806" t="s">
        <v>51</v>
      </c>
      <c r="E9806" s="6">
        <v>-28414</v>
      </c>
      <c r="F9806" t="s">
        <v>187</v>
      </c>
      <c r="G9806" t="s">
        <v>31</v>
      </c>
      <c r="H9806" t="s">
        <v>20</v>
      </c>
      <c r="I9806" t="s">
        <v>19077</v>
      </c>
      <c r="J9806" t="str">
        <f>HYPERLINK("https://www.boe.es/gazeta/dias/1822/03/15/pdfs/GMD-1822-76.pdf#page=3","Abrir facsímil")</f>
        <v>Abrir facsímil</v>
      </c>
      <c r="K9806" t="s">
        <v>22</v>
      </c>
    </row>
    <row r="9807" spans="1:11" ht="42" customHeight="1">
      <c r="A9807" t="s">
        <v>19078</v>
      </c>
      <c r="B9807" t="s">
        <v>19078</v>
      </c>
      <c r="C9807" t="s">
        <v>50</v>
      </c>
      <c r="D9807" t="s">
        <v>51</v>
      </c>
      <c r="E9807" s="6">
        <v>-28281</v>
      </c>
      <c r="F9807" t="s">
        <v>3310</v>
      </c>
      <c r="G9807" t="s">
        <v>44</v>
      </c>
      <c r="H9807" t="s">
        <v>20</v>
      </c>
      <c r="I9807" t="s">
        <v>19079</v>
      </c>
      <c r="J9807" t="str">
        <f>HYPERLINK("https://www.boe.es/gazeta/dias/1822/07/26/pdfs/GMD-1822-219.pdf#page=1","Abrir facsímil")</f>
        <v>Abrir facsímil</v>
      </c>
      <c r="K9807" t="s">
        <v>22</v>
      </c>
    </row>
    <row r="9808" spans="1:11" ht="42" customHeight="1">
      <c r="A9808" t="s">
        <v>19080</v>
      </c>
      <c r="B9808" t="s">
        <v>19081</v>
      </c>
      <c r="C9808" t="s">
        <v>61</v>
      </c>
      <c r="D9808" t="s">
        <v>17</v>
      </c>
      <c r="E9808" s="6">
        <v>-28298</v>
      </c>
      <c r="F9808" t="s">
        <v>6405</v>
      </c>
      <c r="G9808" t="s">
        <v>57</v>
      </c>
      <c r="H9808" t="s">
        <v>20</v>
      </c>
      <c r="I9808" t="s">
        <v>19082</v>
      </c>
      <c r="J9808" t="str">
        <f>HYPERLINK("https://www.boe.es/gazeta/dias/1822/07/09/pdfs/GMD-1822-199.pdf#page=4","Abrir facsímil")</f>
        <v>Abrir facsímil</v>
      </c>
      <c r="K9808" t="s">
        <v>22</v>
      </c>
    </row>
    <row r="9809" spans="1:11" ht="42" customHeight="1">
      <c r="A9809" t="s">
        <v>19080</v>
      </c>
      <c r="B9809" t="s">
        <v>19081</v>
      </c>
      <c r="C9809" t="s">
        <v>50</v>
      </c>
      <c r="D9809" t="s">
        <v>51</v>
      </c>
      <c r="E9809" s="6">
        <v>-28290</v>
      </c>
      <c r="F9809" t="s">
        <v>706</v>
      </c>
      <c r="G9809" t="s">
        <v>35</v>
      </c>
      <c r="H9809" t="s">
        <v>20</v>
      </c>
      <c r="I9809" t="s">
        <v>19083</v>
      </c>
      <c r="J9809" t="str">
        <f>HYPERLINK("https://www.boe.es/gazeta/dias/1822/07/17/pdfs/GMD-1822-207.pdf#page=2","Abrir facsímil")</f>
        <v>Abrir facsímil</v>
      </c>
      <c r="K9809" t="s">
        <v>22</v>
      </c>
    </row>
    <row r="9810" spans="1:11" ht="42" customHeight="1">
      <c r="A9810" t="s">
        <v>19080</v>
      </c>
      <c r="B9810" t="s">
        <v>19081</v>
      </c>
      <c r="C9810" t="s">
        <v>42</v>
      </c>
      <c r="D9810" t="s">
        <v>17</v>
      </c>
      <c r="E9810" s="6">
        <v>-28213</v>
      </c>
      <c r="F9810" t="s">
        <v>558</v>
      </c>
      <c r="G9810" t="s">
        <v>57</v>
      </c>
      <c r="H9810" t="s">
        <v>20</v>
      </c>
      <c r="I9810" t="s">
        <v>19084</v>
      </c>
      <c r="J9810" t="str">
        <f>HYPERLINK("https://www.boe.es/gazeta/dias/1822/10/02/pdfs/GMD-1822-288.pdf#page=4","Abrir facsímil")</f>
        <v>Abrir facsímil</v>
      </c>
      <c r="K9810" t="s">
        <v>22</v>
      </c>
    </row>
    <row r="9811" spans="1:11" ht="42" customHeight="1">
      <c r="A9811" t="s">
        <v>19085</v>
      </c>
      <c r="B9811" t="s">
        <v>19086</v>
      </c>
      <c r="C9811" t="s">
        <v>71</v>
      </c>
      <c r="D9811" t="s">
        <v>17</v>
      </c>
      <c r="E9811" s="6">
        <v>-28173</v>
      </c>
      <c r="F9811" t="s">
        <v>2959</v>
      </c>
      <c r="G9811" t="s">
        <v>44</v>
      </c>
      <c r="H9811" t="s">
        <v>20</v>
      </c>
      <c r="I9811" t="s">
        <v>19087</v>
      </c>
      <c r="J9811" t="str">
        <f>HYPERLINK("https://www.boe.es/gazeta/dias/1822/11/11/pdfs/GMD-1822-331.pdf#page=1","Abrir facsímil")</f>
        <v>Abrir facsímil</v>
      </c>
      <c r="K9811" t="s">
        <v>22</v>
      </c>
    </row>
    <row r="9812" spans="1:11" ht="42" customHeight="1">
      <c r="A9812" t="s">
        <v>19088</v>
      </c>
      <c r="B9812" t="s">
        <v>19088</v>
      </c>
      <c r="C9812" t="s">
        <v>24</v>
      </c>
      <c r="D9812" t="s">
        <v>17</v>
      </c>
      <c r="E9812" s="6">
        <v>-28330</v>
      </c>
      <c r="F9812" t="s">
        <v>896</v>
      </c>
      <c r="G9812" t="s">
        <v>35</v>
      </c>
      <c r="H9812" t="s">
        <v>20</v>
      </c>
      <c r="I9812" t="s">
        <v>19089</v>
      </c>
      <c r="J9812" t="str">
        <f>HYPERLINK("https://www.boe.es/gazeta/dias/1822/06/07/pdfs/GMD-1822-164.pdf#page=2","Abrir facsímil")</f>
        <v>Abrir facsímil</v>
      </c>
      <c r="K9812" t="s">
        <v>22</v>
      </c>
    </row>
    <row r="9813" spans="1:11" ht="42" customHeight="1">
      <c r="A9813" t="s">
        <v>19090</v>
      </c>
      <c r="B9813" t="s">
        <v>19090</v>
      </c>
      <c r="C9813" t="s">
        <v>71</v>
      </c>
      <c r="D9813" t="s">
        <v>17</v>
      </c>
      <c r="E9813" s="6">
        <v>-28422</v>
      </c>
      <c r="F9813" t="s">
        <v>416</v>
      </c>
      <c r="G9813" t="s">
        <v>31</v>
      </c>
      <c r="H9813" t="s">
        <v>20</v>
      </c>
      <c r="I9813" t="s">
        <v>19091</v>
      </c>
      <c r="J9813" t="str">
        <f>HYPERLINK("https://www.boe.es/gazeta/dias/1822/03/07/pdfs/GMD-1822-68.pdf#page=3","Abrir facsímil")</f>
        <v>Abrir facsímil</v>
      </c>
      <c r="K9813" t="s">
        <v>22</v>
      </c>
    </row>
    <row r="9814" spans="1:11" ht="42" customHeight="1">
      <c r="A9814" t="s">
        <v>19090</v>
      </c>
      <c r="B9814" t="s">
        <v>19090</v>
      </c>
      <c r="C9814" t="s">
        <v>28</v>
      </c>
      <c r="D9814" t="s">
        <v>29</v>
      </c>
      <c r="E9814" s="6">
        <v>-28363</v>
      </c>
      <c r="F9814" t="s">
        <v>72</v>
      </c>
      <c r="G9814" t="s">
        <v>31</v>
      </c>
      <c r="H9814" t="s">
        <v>20</v>
      </c>
      <c r="I9814" t="s">
        <v>19092</v>
      </c>
      <c r="J9814" t="str">
        <f>HYPERLINK("https://www.boe.es/gazeta/dias/1822/05/05/pdfs/GMD-1822-127.pdf#page=3","Abrir facsímil")</f>
        <v>Abrir facsímil</v>
      </c>
      <c r="K9814" t="s">
        <v>22</v>
      </c>
    </row>
    <row r="9815" spans="1:11" ht="42" customHeight="1">
      <c r="A9815" t="s">
        <v>19093</v>
      </c>
      <c r="B9815" t="s">
        <v>19094</v>
      </c>
      <c r="C9815" t="s">
        <v>71</v>
      </c>
      <c r="D9815" t="s">
        <v>17</v>
      </c>
      <c r="E9815" s="6">
        <v>-28207</v>
      </c>
      <c r="F9815" t="s">
        <v>1325</v>
      </c>
      <c r="G9815" t="s">
        <v>31</v>
      </c>
      <c r="H9815" t="s">
        <v>20</v>
      </c>
      <c r="I9815" t="s">
        <v>19095</v>
      </c>
      <c r="J9815" t="str">
        <f>HYPERLINK("https://www.boe.es/gazeta/dias/1822/10/08/pdfs/GMD-1822-295.pdf#page=3","Abrir facsímil")</f>
        <v>Abrir facsímil</v>
      </c>
      <c r="K9815" t="s">
        <v>22</v>
      </c>
    </row>
    <row r="9816" spans="1:11" ht="42" customHeight="1">
      <c r="A9816" t="s">
        <v>19096</v>
      </c>
      <c r="B9816" t="s">
        <v>19097</v>
      </c>
      <c r="C9816" t="s">
        <v>42</v>
      </c>
      <c r="D9816" t="s">
        <v>17</v>
      </c>
      <c r="E9816" s="6">
        <v>-28182</v>
      </c>
      <c r="F9816" t="s">
        <v>585</v>
      </c>
      <c r="G9816" t="s">
        <v>63</v>
      </c>
      <c r="H9816" t="s">
        <v>20</v>
      </c>
      <c r="I9816" t="s">
        <v>19098</v>
      </c>
      <c r="J9816" t="str">
        <f>HYPERLINK("https://www.boe.es/gazeta/dias/1822/11/02/pdfs/GMD-1822-320.pdf#page=6","Abrir facsímil")</f>
        <v>Abrir facsímil</v>
      </c>
      <c r="K9816" t="s">
        <v>22</v>
      </c>
    </row>
    <row r="9817" spans="1:11" ht="42" customHeight="1">
      <c r="A9817" t="s">
        <v>19099</v>
      </c>
      <c r="B9817" t="s">
        <v>19100</v>
      </c>
      <c r="C9817" t="s">
        <v>50</v>
      </c>
      <c r="D9817" t="s">
        <v>723</v>
      </c>
      <c r="E9817" s="6">
        <v>-28346</v>
      </c>
      <c r="F9817" t="s">
        <v>19101</v>
      </c>
      <c r="G9817" t="s">
        <v>44</v>
      </c>
      <c r="H9817" t="s">
        <v>20</v>
      </c>
      <c r="I9817" t="s">
        <v>19102</v>
      </c>
      <c r="J9817" t="str">
        <f>HYPERLINK("https://www.boe.es/gazeta/dias/1822/05/22/pdfs/GMD-1822-146E.pdf#page=1","Abrir facsímil")</f>
        <v>Abrir facsímil</v>
      </c>
      <c r="K9817" t="s">
        <v>22</v>
      </c>
    </row>
    <row r="9818" spans="1:11" ht="42" customHeight="1">
      <c r="A9818" t="s">
        <v>19099</v>
      </c>
      <c r="B9818" t="s">
        <v>19100</v>
      </c>
      <c r="C9818" t="s">
        <v>50</v>
      </c>
      <c r="D9818" t="s">
        <v>723</v>
      </c>
      <c r="E9818" s="6">
        <v>-28344</v>
      </c>
      <c r="F9818" t="s">
        <v>19103</v>
      </c>
      <c r="G9818" t="s">
        <v>44</v>
      </c>
      <c r="H9818" t="s">
        <v>20</v>
      </c>
      <c r="I9818" t="s">
        <v>19104</v>
      </c>
      <c r="J9818" t="str">
        <f>HYPERLINK("https://www.boe.es/gazeta/dias/1822/05/24/pdfs/GMD-1822-149E.pdf#page=1","Abrir facsímil")</f>
        <v>Abrir facsímil</v>
      </c>
      <c r="K9818" t="s">
        <v>22</v>
      </c>
    </row>
    <row r="9819" spans="1:11" ht="42" customHeight="1">
      <c r="A9819" t="s">
        <v>19099</v>
      </c>
      <c r="B9819" t="s">
        <v>19100</v>
      </c>
      <c r="C9819" t="s">
        <v>50</v>
      </c>
      <c r="D9819" t="s">
        <v>51</v>
      </c>
      <c r="E9819" s="6">
        <v>-28312</v>
      </c>
      <c r="F9819" t="s">
        <v>92</v>
      </c>
      <c r="G9819" t="s">
        <v>44</v>
      </c>
      <c r="H9819" t="s">
        <v>20</v>
      </c>
      <c r="I9819" t="s">
        <v>19105</v>
      </c>
      <c r="J9819" t="str">
        <f>HYPERLINK("https://www.boe.es/gazeta/dias/1822/06/25/pdfs/GMD-1822-183.pdf#page=1","Abrir facsímil")</f>
        <v>Abrir facsímil</v>
      </c>
      <c r="K9819" t="s">
        <v>22</v>
      </c>
    </row>
    <row r="9820" spans="1:11" ht="42" customHeight="1">
      <c r="A9820" t="s">
        <v>19106</v>
      </c>
      <c r="B9820" t="s">
        <v>19107</v>
      </c>
      <c r="C9820" t="s">
        <v>362</v>
      </c>
      <c r="D9820" t="s">
        <v>17</v>
      </c>
      <c r="E9820" s="6">
        <v>-28459</v>
      </c>
      <c r="F9820" t="s">
        <v>1102</v>
      </c>
      <c r="G9820" t="s">
        <v>57</v>
      </c>
      <c r="H9820" t="s">
        <v>20</v>
      </c>
      <c r="I9820" t="s">
        <v>19108</v>
      </c>
      <c r="J9820" t="str">
        <f>HYPERLINK("https://www.boe.es/gazeta/dias/1822/01/29/pdfs/GMD-1822-29.pdf#page=4","Abrir facsímil")</f>
        <v>Abrir facsímil</v>
      </c>
      <c r="K9820" t="s">
        <v>22</v>
      </c>
    </row>
    <row r="9821" spans="1:11" ht="42" customHeight="1">
      <c r="A9821" t="s">
        <v>19109</v>
      </c>
      <c r="B9821" t="s">
        <v>19109</v>
      </c>
      <c r="C9821" t="s">
        <v>71</v>
      </c>
      <c r="D9821" t="s">
        <v>17</v>
      </c>
      <c r="E9821" s="6">
        <v>-28339</v>
      </c>
      <c r="F9821" t="s">
        <v>197</v>
      </c>
      <c r="G9821" t="s">
        <v>31</v>
      </c>
      <c r="H9821" t="s">
        <v>20</v>
      </c>
      <c r="I9821" t="s">
        <v>19110</v>
      </c>
      <c r="J9821" t="str">
        <f>HYPERLINK("https://www.boe.es/gazeta/dias/1822/05/29/pdfs/GMD-1822-154.pdf#page=3","Abrir facsímil")</f>
        <v>Abrir facsímil</v>
      </c>
      <c r="K9821" t="s">
        <v>22</v>
      </c>
    </row>
    <row r="9822" spans="1:11" ht="42" customHeight="1">
      <c r="A9822" t="s">
        <v>19111</v>
      </c>
      <c r="B9822" t="s">
        <v>19111</v>
      </c>
      <c r="C9822" t="s">
        <v>71</v>
      </c>
      <c r="D9822" t="s">
        <v>17</v>
      </c>
      <c r="E9822" s="6">
        <v>-28351</v>
      </c>
      <c r="F9822" t="s">
        <v>282</v>
      </c>
      <c r="G9822" t="s">
        <v>31</v>
      </c>
      <c r="H9822" t="s">
        <v>20</v>
      </c>
      <c r="I9822" t="s">
        <v>19112</v>
      </c>
      <c r="J9822" t="str">
        <f>HYPERLINK("https://www.boe.es/gazeta/dias/1822/05/17/pdfs/GMD-1822-139.pdf#page=3","Abrir facsímil")</f>
        <v>Abrir facsímil</v>
      </c>
      <c r="K9822" t="s">
        <v>22</v>
      </c>
    </row>
    <row r="9823" spans="1:11" ht="42" customHeight="1">
      <c r="A9823" t="s">
        <v>19113</v>
      </c>
      <c r="B9823" t="s">
        <v>19113</v>
      </c>
      <c r="C9823" t="s">
        <v>71</v>
      </c>
      <c r="D9823" t="s">
        <v>17</v>
      </c>
      <c r="E9823" s="6">
        <v>-28372</v>
      </c>
      <c r="F9823" t="s">
        <v>503</v>
      </c>
      <c r="G9823" t="s">
        <v>35</v>
      </c>
      <c r="H9823" t="s">
        <v>20</v>
      </c>
      <c r="I9823" t="s">
        <v>19114</v>
      </c>
      <c r="J9823" t="str">
        <f>HYPERLINK("https://www.boe.es/gazeta/dias/1822/04/26/pdfs/GMD-1822-118.pdf#page=2","Abrir facsímil")</f>
        <v>Abrir facsímil</v>
      </c>
      <c r="K9823" t="s">
        <v>22</v>
      </c>
    </row>
    <row r="9824" spans="1:11" ht="42" customHeight="1">
      <c r="A9824" t="s">
        <v>19113</v>
      </c>
      <c r="B9824" t="s">
        <v>19113</v>
      </c>
      <c r="C9824" t="s">
        <v>50</v>
      </c>
      <c r="D9824" t="s">
        <v>51</v>
      </c>
      <c r="E9824" s="6">
        <v>-28346</v>
      </c>
      <c r="F9824" t="s">
        <v>191</v>
      </c>
      <c r="G9824" t="s">
        <v>2823</v>
      </c>
      <c r="H9824" t="s">
        <v>20</v>
      </c>
      <c r="I9824" t="s">
        <v>19115</v>
      </c>
      <c r="J9824" t="str">
        <f>HYPERLINK("https://www.boe.es/gazeta/dias/1822/05/22/pdfs/GMD-1822-145.pdf#page=4","Abrir facsímil")</f>
        <v>Abrir facsímil</v>
      </c>
      <c r="K9824" t="s">
        <v>22</v>
      </c>
    </row>
    <row r="9825" spans="1:11" ht="42" customHeight="1">
      <c r="A9825" t="s">
        <v>19116</v>
      </c>
      <c r="B9825" t="s">
        <v>19116</v>
      </c>
      <c r="C9825" t="s">
        <v>50</v>
      </c>
      <c r="D9825" t="s">
        <v>51</v>
      </c>
      <c r="E9825" s="6">
        <v>-28186</v>
      </c>
      <c r="F9825" t="s">
        <v>581</v>
      </c>
      <c r="G9825" t="s">
        <v>31</v>
      </c>
      <c r="H9825" t="s">
        <v>20</v>
      </c>
      <c r="I9825" t="s">
        <v>19117</v>
      </c>
      <c r="J9825" t="str">
        <f>HYPERLINK("https://www.boe.es/gazeta/dias/1822/10/29/pdfs/GMD-1822-316.pdf#page=3","Abrir facsímil")</f>
        <v>Abrir facsímil</v>
      </c>
      <c r="K9825" t="s">
        <v>22</v>
      </c>
    </row>
    <row r="9826" spans="1:11" ht="42" customHeight="1">
      <c r="A9826" t="s">
        <v>19118</v>
      </c>
      <c r="B9826" t="s">
        <v>19118</v>
      </c>
      <c r="C9826" t="s">
        <v>61</v>
      </c>
      <c r="D9826" t="s">
        <v>17</v>
      </c>
      <c r="E9826" s="6">
        <v>-28351</v>
      </c>
      <c r="F9826" t="s">
        <v>282</v>
      </c>
      <c r="G9826" t="s">
        <v>31</v>
      </c>
      <c r="H9826" t="s">
        <v>20</v>
      </c>
      <c r="I9826" t="s">
        <v>19119</v>
      </c>
      <c r="J9826" t="str">
        <f>HYPERLINK("https://www.boe.es/gazeta/dias/1822/05/17/pdfs/GMD-1822-139.pdf#page=3","Abrir facsímil")</f>
        <v>Abrir facsímil</v>
      </c>
      <c r="K9826" t="s">
        <v>22</v>
      </c>
    </row>
    <row r="9827" spans="1:11" ht="42" customHeight="1">
      <c r="A9827" t="s">
        <v>19120</v>
      </c>
      <c r="B9827" t="s">
        <v>19120</v>
      </c>
      <c r="C9827" t="s">
        <v>71</v>
      </c>
      <c r="D9827" t="s">
        <v>17</v>
      </c>
      <c r="E9827" s="6">
        <v>-28354</v>
      </c>
      <c r="F9827" t="s">
        <v>226</v>
      </c>
      <c r="G9827" t="s">
        <v>31</v>
      </c>
      <c r="H9827" t="s">
        <v>20</v>
      </c>
      <c r="I9827" t="s">
        <v>19121</v>
      </c>
      <c r="J9827" t="str">
        <f>HYPERLINK("https://www.boe.es/gazeta/dias/1822/05/14/pdfs/GMD-1822-136.pdf#page=3","Abrir facsímil")</f>
        <v>Abrir facsímil</v>
      </c>
      <c r="K9827" t="s">
        <v>22</v>
      </c>
    </row>
    <row r="9828" spans="1:11" ht="42" customHeight="1">
      <c r="A9828" t="s">
        <v>19122</v>
      </c>
      <c r="B9828" t="s">
        <v>19122</v>
      </c>
      <c r="C9828" t="s">
        <v>28</v>
      </c>
      <c r="D9828" t="s">
        <v>29</v>
      </c>
      <c r="E9828" s="6">
        <v>-28419</v>
      </c>
      <c r="F9828" t="s">
        <v>1392</v>
      </c>
      <c r="G9828" t="s">
        <v>57</v>
      </c>
      <c r="H9828" t="s">
        <v>20</v>
      </c>
      <c r="I9828" t="s">
        <v>19123</v>
      </c>
      <c r="J9828" t="str">
        <f>HYPERLINK("https://www.boe.es/gazeta/dias/1822/03/10/pdfs/GMD-1822-71.pdf#page=4","Abrir facsímil")</f>
        <v>Abrir facsímil</v>
      </c>
      <c r="K9828" t="s">
        <v>22</v>
      </c>
    </row>
    <row r="9829" spans="1:11" ht="42" customHeight="1">
      <c r="A9829" t="s">
        <v>19124</v>
      </c>
      <c r="B9829" t="s">
        <v>19124</v>
      </c>
      <c r="C9829" t="s">
        <v>28</v>
      </c>
      <c r="D9829" t="s">
        <v>29</v>
      </c>
      <c r="E9829" s="6">
        <v>-28421</v>
      </c>
      <c r="F9829" t="s">
        <v>446</v>
      </c>
      <c r="G9829" t="s">
        <v>57</v>
      </c>
      <c r="H9829" t="s">
        <v>20</v>
      </c>
      <c r="I9829" t="s">
        <v>19125</v>
      </c>
      <c r="J9829" t="str">
        <f>HYPERLINK("https://www.boe.es/gazeta/dias/1822/03/08/pdfs/GMD-1822-69.pdf#page=4","Abrir facsímil")</f>
        <v>Abrir facsímil</v>
      </c>
      <c r="K9829" t="s">
        <v>22</v>
      </c>
    </row>
    <row r="9830" spans="1:11" ht="42" customHeight="1">
      <c r="A9830" t="s">
        <v>19124</v>
      </c>
      <c r="B9830" t="s">
        <v>19124</v>
      </c>
      <c r="C9830" t="s">
        <v>71</v>
      </c>
      <c r="D9830" t="s">
        <v>17</v>
      </c>
      <c r="E9830" s="6">
        <v>-28418</v>
      </c>
      <c r="F9830" t="s">
        <v>205</v>
      </c>
      <c r="G9830" t="s">
        <v>35</v>
      </c>
      <c r="H9830" t="s">
        <v>20</v>
      </c>
      <c r="I9830" t="s">
        <v>19126</v>
      </c>
      <c r="J9830" t="str">
        <f>HYPERLINK("https://www.boe.es/gazeta/dias/1822/03/11/pdfs/GMD-1822-72.pdf#page=2","Abrir facsímil")</f>
        <v>Abrir facsímil</v>
      </c>
      <c r="K9830" t="s">
        <v>22</v>
      </c>
    </row>
    <row r="9831" spans="1:11" ht="42" customHeight="1">
      <c r="A9831" t="s">
        <v>19124</v>
      </c>
      <c r="B9831" t="s">
        <v>19124</v>
      </c>
      <c r="C9831" t="s">
        <v>50</v>
      </c>
      <c r="D9831" t="s">
        <v>51</v>
      </c>
      <c r="E9831" s="6">
        <v>-28415</v>
      </c>
      <c r="F9831" t="s">
        <v>77</v>
      </c>
      <c r="G9831" t="s">
        <v>31</v>
      </c>
      <c r="H9831" t="s">
        <v>20</v>
      </c>
      <c r="I9831" t="s">
        <v>19127</v>
      </c>
      <c r="J9831" t="str">
        <f>HYPERLINK("https://www.boe.es/gazeta/dias/1822/03/14/pdfs/GMD-1822-75.pdf#page=3","Abrir facsímil")</f>
        <v>Abrir facsímil</v>
      </c>
      <c r="K9831" t="s">
        <v>22</v>
      </c>
    </row>
    <row r="9832" spans="1:11" ht="42" customHeight="1">
      <c r="A9832" t="s">
        <v>19124</v>
      </c>
      <c r="B9832" t="s">
        <v>19124</v>
      </c>
      <c r="C9832" t="s">
        <v>50</v>
      </c>
      <c r="D9832" t="s">
        <v>51</v>
      </c>
      <c r="E9832" s="6">
        <v>-28415</v>
      </c>
      <c r="F9832" t="s">
        <v>77</v>
      </c>
      <c r="G9832" t="s">
        <v>57</v>
      </c>
      <c r="H9832" t="s">
        <v>20</v>
      </c>
      <c r="I9832" t="s">
        <v>19128</v>
      </c>
      <c r="J9832" t="str">
        <f>HYPERLINK("https://www.boe.es/gazeta/dias/1822/03/14/pdfs/GMD-1822-75.pdf#page=4","Abrir facsímil")</f>
        <v>Abrir facsímil</v>
      </c>
      <c r="K9832" t="s">
        <v>22</v>
      </c>
    </row>
    <row r="9833" spans="1:11" ht="42" customHeight="1">
      <c r="A9833" t="s">
        <v>19124</v>
      </c>
      <c r="B9833" t="s">
        <v>19124</v>
      </c>
      <c r="C9833" t="s">
        <v>71</v>
      </c>
      <c r="D9833" t="s">
        <v>17</v>
      </c>
      <c r="E9833" s="6">
        <v>-28402</v>
      </c>
      <c r="F9833" t="s">
        <v>473</v>
      </c>
      <c r="G9833" t="s">
        <v>19</v>
      </c>
      <c r="H9833" t="s">
        <v>20</v>
      </c>
      <c r="I9833" t="s">
        <v>19129</v>
      </c>
      <c r="J9833" t="str">
        <f>HYPERLINK("https://www.boe.es/gazeta/dias/1822/03/27/pdfs/GMD-1822-88.pdf#page=5","Abrir facsímil")</f>
        <v>Abrir facsímil</v>
      </c>
      <c r="K9833" t="s">
        <v>22</v>
      </c>
    </row>
    <row r="9834" spans="1:11" ht="42" customHeight="1">
      <c r="A9834" t="s">
        <v>19124</v>
      </c>
      <c r="B9834" t="s">
        <v>19124</v>
      </c>
      <c r="C9834" t="s">
        <v>42</v>
      </c>
      <c r="D9834" t="s">
        <v>17</v>
      </c>
      <c r="E9834" s="6">
        <v>-28394</v>
      </c>
      <c r="F9834" t="s">
        <v>268</v>
      </c>
      <c r="G9834" t="s">
        <v>35</v>
      </c>
      <c r="H9834" t="s">
        <v>20</v>
      </c>
      <c r="I9834" t="s">
        <v>19130</v>
      </c>
      <c r="J9834" t="str">
        <f>HYPERLINK("https://www.boe.es/gazeta/dias/1822/04/04/pdfs/GMD-1822-96.pdf#page=2","Abrir facsímil")</f>
        <v>Abrir facsímil</v>
      </c>
      <c r="K9834" t="s">
        <v>22</v>
      </c>
    </row>
    <row r="9835" spans="1:11" ht="42" customHeight="1">
      <c r="A9835" t="s">
        <v>19124</v>
      </c>
      <c r="B9835" t="s">
        <v>19124</v>
      </c>
      <c r="C9835" t="s">
        <v>28</v>
      </c>
      <c r="D9835" t="s">
        <v>29</v>
      </c>
      <c r="E9835" s="6">
        <v>-28387</v>
      </c>
      <c r="F9835" t="s">
        <v>2874</v>
      </c>
      <c r="G9835" t="s">
        <v>31</v>
      </c>
      <c r="H9835" t="s">
        <v>20</v>
      </c>
      <c r="I9835" t="s">
        <v>19131</v>
      </c>
      <c r="J9835" t="str">
        <f>HYPERLINK("https://www.boe.es/gazeta/dias/1822/04/11/pdfs/GMD-1822-103.pdf#page=3","Abrir facsímil")</f>
        <v>Abrir facsímil</v>
      </c>
      <c r="K9835" t="s">
        <v>22</v>
      </c>
    </row>
    <row r="9836" spans="1:11" ht="42" customHeight="1">
      <c r="A9836" t="s">
        <v>19124</v>
      </c>
      <c r="B9836" t="s">
        <v>19124</v>
      </c>
      <c r="C9836" t="s">
        <v>71</v>
      </c>
      <c r="D9836" t="s">
        <v>17</v>
      </c>
      <c r="E9836" s="6">
        <v>-28384</v>
      </c>
      <c r="F9836" t="s">
        <v>258</v>
      </c>
      <c r="G9836" t="s">
        <v>31</v>
      </c>
      <c r="H9836" t="s">
        <v>20</v>
      </c>
      <c r="I9836" t="s">
        <v>19132</v>
      </c>
      <c r="J9836" t="str">
        <f>HYPERLINK("https://www.boe.es/gazeta/dias/1822/04/14/pdfs/GMD-1822-106.pdf#page=3","Abrir facsímil")</f>
        <v>Abrir facsímil</v>
      </c>
      <c r="K9836" t="s">
        <v>22</v>
      </c>
    </row>
    <row r="9837" spans="1:11" ht="42" customHeight="1">
      <c r="A9837" t="s">
        <v>19124</v>
      </c>
      <c r="B9837" t="s">
        <v>19124</v>
      </c>
      <c r="C9837" t="s">
        <v>71</v>
      </c>
      <c r="D9837" t="s">
        <v>17</v>
      </c>
      <c r="E9837" s="6">
        <v>-28381</v>
      </c>
      <c r="F9837" t="s">
        <v>358</v>
      </c>
      <c r="G9837" t="s">
        <v>19</v>
      </c>
      <c r="H9837" t="s">
        <v>20</v>
      </c>
      <c r="I9837" t="s">
        <v>19133</v>
      </c>
      <c r="J9837" t="str">
        <f>HYPERLINK("https://www.boe.es/gazeta/dias/1822/04/17/pdfs/GMD-1822-109.pdf#page=5","Abrir facsímil")</f>
        <v>Abrir facsímil</v>
      </c>
      <c r="K9837" t="s">
        <v>22</v>
      </c>
    </row>
    <row r="9838" spans="1:11" ht="42" customHeight="1">
      <c r="A9838" t="s">
        <v>19124</v>
      </c>
      <c r="B9838" t="s">
        <v>19124</v>
      </c>
      <c r="C9838" t="s">
        <v>71</v>
      </c>
      <c r="D9838" t="s">
        <v>17</v>
      </c>
      <c r="E9838" s="6">
        <v>-28379</v>
      </c>
      <c r="F9838" t="s">
        <v>494</v>
      </c>
      <c r="G9838" t="s">
        <v>31</v>
      </c>
      <c r="H9838" t="s">
        <v>20</v>
      </c>
      <c r="I9838" t="s">
        <v>19134</v>
      </c>
      <c r="J9838" t="str">
        <f>HYPERLINK("https://www.boe.es/gazeta/dias/1822/04/19/pdfs/GMD-1822-111.pdf#page=3","Abrir facsímil")</f>
        <v>Abrir facsímil</v>
      </c>
      <c r="K9838" t="s">
        <v>22</v>
      </c>
    </row>
    <row r="9839" spans="1:11" ht="42" customHeight="1">
      <c r="A9839" t="s">
        <v>19124</v>
      </c>
      <c r="B9839" t="s">
        <v>19124</v>
      </c>
      <c r="C9839" t="s">
        <v>61</v>
      </c>
      <c r="D9839" t="s">
        <v>17</v>
      </c>
      <c r="E9839" s="6">
        <v>-28369</v>
      </c>
      <c r="F9839" t="s">
        <v>1590</v>
      </c>
      <c r="G9839" t="s">
        <v>19</v>
      </c>
      <c r="H9839" t="s">
        <v>20</v>
      </c>
      <c r="I9839" t="s">
        <v>19135</v>
      </c>
      <c r="J9839" t="str">
        <f>HYPERLINK("https://www.boe.es/gazeta/dias/1822/04/29/pdfs/GMD-1822-121.pdf#page=5","Abrir facsímil")</f>
        <v>Abrir facsímil</v>
      </c>
      <c r="K9839" t="s">
        <v>22</v>
      </c>
    </row>
    <row r="9840" spans="1:11" ht="42" customHeight="1">
      <c r="A9840" t="s">
        <v>19124</v>
      </c>
      <c r="B9840" t="s">
        <v>19124</v>
      </c>
      <c r="C9840" t="s">
        <v>28</v>
      </c>
      <c r="D9840" t="s">
        <v>29</v>
      </c>
      <c r="E9840" s="6">
        <v>-28367</v>
      </c>
      <c r="F9840" t="s">
        <v>280</v>
      </c>
      <c r="G9840" t="s">
        <v>35</v>
      </c>
      <c r="H9840" t="s">
        <v>20</v>
      </c>
      <c r="I9840" t="s">
        <v>19136</v>
      </c>
      <c r="J9840" t="str">
        <f>HYPERLINK("https://www.boe.es/gazeta/dias/1822/05/01/pdfs/GMD-1822-123.pdf#page=2","Abrir facsímil")</f>
        <v>Abrir facsímil</v>
      </c>
      <c r="K9840" t="s">
        <v>22</v>
      </c>
    </row>
    <row r="9841" spans="1:11" ht="42" customHeight="1">
      <c r="A9841" t="s">
        <v>19124</v>
      </c>
      <c r="B9841" t="s">
        <v>19124</v>
      </c>
      <c r="C9841" t="s">
        <v>28</v>
      </c>
      <c r="D9841" t="s">
        <v>29</v>
      </c>
      <c r="E9841" s="6">
        <v>-28366</v>
      </c>
      <c r="F9841" t="s">
        <v>120</v>
      </c>
      <c r="G9841" t="s">
        <v>57</v>
      </c>
      <c r="H9841" t="s">
        <v>20</v>
      </c>
      <c r="I9841" t="s">
        <v>19137</v>
      </c>
      <c r="J9841" t="str">
        <f>HYPERLINK("https://www.boe.es/gazeta/dias/1822/05/02/pdfs/GMD-1822-124.pdf#page=4","Abrir facsímil")</f>
        <v>Abrir facsímil</v>
      </c>
      <c r="K9841" t="s">
        <v>22</v>
      </c>
    </row>
    <row r="9842" spans="1:11" ht="42" customHeight="1">
      <c r="A9842" t="s">
        <v>19124</v>
      </c>
      <c r="B9842" t="s">
        <v>19124</v>
      </c>
      <c r="C9842" t="s">
        <v>16</v>
      </c>
      <c r="D9842" t="s">
        <v>17</v>
      </c>
      <c r="E9842" s="6">
        <v>-28351</v>
      </c>
      <c r="F9842" t="s">
        <v>282</v>
      </c>
      <c r="G9842" t="s">
        <v>31</v>
      </c>
      <c r="H9842" t="s">
        <v>20</v>
      </c>
      <c r="I9842" t="s">
        <v>19138</v>
      </c>
      <c r="J9842" t="str">
        <f>HYPERLINK("https://www.boe.es/gazeta/dias/1822/05/17/pdfs/GMD-1822-139.pdf#page=3","Abrir facsímil")</f>
        <v>Abrir facsímil</v>
      </c>
      <c r="K9842" t="s">
        <v>22</v>
      </c>
    </row>
    <row r="9843" spans="1:11" ht="42" customHeight="1">
      <c r="A9843" t="s">
        <v>19124</v>
      </c>
      <c r="B9843" t="s">
        <v>19124</v>
      </c>
      <c r="C9843" t="s">
        <v>61</v>
      </c>
      <c r="D9843" t="s">
        <v>17</v>
      </c>
      <c r="E9843" s="6">
        <v>-28339</v>
      </c>
      <c r="F9843" t="s">
        <v>197</v>
      </c>
      <c r="G9843" t="s">
        <v>31</v>
      </c>
      <c r="H9843" t="s">
        <v>20</v>
      </c>
      <c r="I9843" t="s">
        <v>19139</v>
      </c>
      <c r="J9843" t="str">
        <f>HYPERLINK("https://www.boe.es/gazeta/dias/1822/05/29/pdfs/GMD-1822-154.pdf#page=3","Abrir facsímil")</f>
        <v>Abrir facsímil</v>
      </c>
      <c r="K9843" t="s">
        <v>22</v>
      </c>
    </row>
    <row r="9844" spans="1:11" ht="42" customHeight="1">
      <c r="A9844" t="s">
        <v>19124</v>
      </c>
      <c r="B9844" t="s">
        <v>19124</v>
      </c>
      <c r="C9844" t="s">
        <v>71</v>
      </c>
      <c r="D9844" t="s">
        <v>17</v>
      </c>
      <c r="E9844" s="6">
        <v>-28338</v>
      </c>
      <c r="F9844" t="s">
        <v>527</v>
      </c>
      <c r="G9844" t="s">
        <v>57</v>
      </c>
      <c r="H9844" t="s">
        <v>20</v>
      </c>
      <c r="I9844" t="s">
        <v>19140</v>
      </c>
      <c r="J9844" t="str">
        <f>HYPERLINK("https://www.boe.es/gazeta/dias/1822/05/30/pdfs/GMD-1822-155.pdf#page=4","Abrir facsímil")</f>
        <v>Abrir facsímil</v>
      </c>
      <c r="K9844" t="s">
        <v>22</v>
      </c>
    </row>
    <row r="9845" spans="1:11" ht="42" customHeight="1">
      <c r="A9845" t="s">
        <v>19124</v>
      </c>
      <c r="B9845" t="s">
        <v>19124</v>
      </c>
      <c r="C9845" t="s">
        <v>71</v>
      </c>
      <c r="D9845" t="s">
        <v>17</v>
      </c>
      <c r="E9845" s="6">
        <v>-28327</v>
      </c>
      <c r="F9845" t="s">
        <v>38</v>
      </c>
      <c r="G9845" t="s">
        <v>35</v>
      </c>
      <c r="H9845" t="s">
        <v>20</v>
      </c>
      <c r="I9845" t="s">
        <v>19141</v>
      </c>
      <c r="J9845" t="str">
        <f>HYPERLINK("https://www.boe.es/gazeta/dias/1822/06/10/pdfs/GMD-1822-167.pdf#page=2","Abrir facsímil")</f>
        <v>Abrir facsímil</v>
      </c>
      <c r="K9845" t="s">
        <v>22</v>
      </c>
    </row>
    <row r="9846" spans="1:11" ht="42" customHeight="1">
      <c r="A9846" t="s">
        <v>19124</v>
      </c>
      <c r="B9846" t="s">
        <v>19124</v>
      </c>
      <c r="C9846" t="s">
        <v>71</v>
      </c>
      <c r="D9846" t="s">
        <v>17</v>
      </c>
      <c r="E9846" s="6">
        <v>-28322</v>
      </c>
      <c r="F9846" t="s">
        <v>2205</v>
      </c>
      <c r="G9846" t="s">
        <v>3031</v>
      </c>
      <c r="H9846" t="s">
        <v>20</v>
      </c>
      <c r="I9846" t="s">
        <v>19142</v>
      </c>
      <c r="J9846" t="str">
        <f>HYPERLINK("https://www.boe.es/gazeta/dias/1822/06/15/pdfs/GMD-1822-172.pdf#page=2","Abrir facsímil")</f>
        <v>Abrir facsímil</v>
      </c>
      <c r="K9846" t="s">
        <v>22</v>
      </c>
    </row>
    <row r="9847" spans="1:11" ht="42" customHeight="1">
      <c r="A9847" t="s">
        <v>19124</v>
      </c>
      <c r="B9847" t="s">
        <v>19124</v>
      </c>
      <c r="C9847" t="s">
        <v>71</v>
      </c>
      <c r="D9847" t="s">
        <v>17</v>
      </c>
      <c r="E9847" s="6">
        <v>-28309</v>
      </c>
      <c r="F9847" t="s">
        <v>553</v>
      </c>
      <c r="G9847" t="s">
        <v>671</v>
      </c>
      <c r="H9847" t="s">
        <v>20</v>
      </c>
      <c r="I9847" t="s">
        <v>19143</v>
      </c>
      <c r="J9847" t="str">
        <f>HYPERLINK("https://www.boe.es/gazeta/dias/1822/06/28/pdfs/GMD-1822-186.pdf#page=3","Abrir facsímil")</f>
        <v>Abrir facsímil</v>
      </c>
      <c r="K9847" t="s">
        <v>22</v>
      </c>
    </row>
    <row r="9848" spans="1:11" ht="42" customHeight="1">
      <c r="A9848" t="s">
        <v>19124</v>
      </c>
      <c r="B9848" t="s">
        <v>19124</v>
      </c>
      <c r="C9848" t="s">
        <v>24</v>
      </c>
      <c r="D9848" t="s">
        <v>17</v>
      </c>
      <c r="E9848" s="6">
        <v>-28207</v>
      </c>
      <c r="F9848" t="s">
        <v>1325</v>
      </c>
      <c r="G9848" t="s">
        <v>57</v>
      </c>
      <c r="H9848" t="s">
        <v>20</v>
      </c>
      <c r="I9848" t="s">
        <v>19144</v>
      </c>
      <c r="J9848" t="str">
        <f>HYPERLINK("https://www.boe.es/gazeta/dias/1822/10/08/pdfs/GMD-1822-295.pdf#page=4","Abrir facsímil")</f>
        <v>Abrir facsímil</v>
      </c>
      <c r="K9848" t="s">
        <v>22</v>
      </c>
    </row>
    <row r="9849" spans="1:11" ht="42" customHeight="1">
      <c r="A9849" t="s">
        <v>19124</v>
      </c>
      <c r="B9849" t="s">
        <v>19124</v>
      </c>
      <c r="C9849" t="s">
        <v>71</v>
      </c>
      <c r="D9849" t="s">
        <v>17</v>
      </c>
      <c r="E9849" s="6">
        <v>-28199</v>
      </c>
      <c r="F9849" t="s">
        <v>656</v>
      </c>
      <c r="G9849" t="s">
        <v>35</v>
      </c>
      <c r="H9849" t="s">
        <v>20</v>
      </c>
      <c r="I9849" t="s">
        <v>19145</v>
      </c>
      <c r="J9849" t="str">
        <f>HYPERLINK("https://www.boe.es/gazeta/dias/1822/10/16/pdfs/GMD-1822-303.pdf#page=2","Abrir facsímil")</f>
        <v>Abrir facsímil</v>
      </c>
      <c r="K9849" t="s">
        <v>22</v>
      </c>
    </row>
    <row r="9850" spans="1:11" ht="42" customHeight="1">
      <c r="A9850" t="s">
        <v>19124</v>
      </c>
      <c r="B9850" t="s">
        <v>19124</v>
      </c>
      <c r="C9850" t="s">
        <v>42</v>
      </c>
      <c r="D9850" t="s">
        <v>17</v>
      </c>
      <c r="E9850" s="6">
        <v>-28194</v>
      </c>
      <c r="F9850" t="s">
        <v>18</v>
      </c>
      <c r="G9850" t="s">
        <v>31</v>
      </c>
      <c r="H9850" t="s">
        <v>20</v>
      </c>
      <c r="I9850" t="s">
        <v>19146</v>
      </c>
      <c r="J9850" t="str">
        <f>HYPERLINK("https://www.boe.es/gazeta/dias/1822/10/21/pdfs/GMD-1822-308.pdf#page=3","Abrir facsímil")</f>
        <v>Abrir facsímil</v>
      </c>
      <c r="K9850" t="s">
        <v>22</v>
      </c>
    </row>
    <row r="9851" spans="1:11" ht="42" customHeight="1">
      <c r="A9851" t="s">
        <v>19124</v>
      </c>
      <c r="B9851" t="s">
        <v>19124</v>
      </c>
      <c r="C9851" t="s">
        <v>42</v>
      </c>
      <c r="D9851" t="s">
        <v>17</v>
      </c>
      <c r="E9851" s="6">
        <v>-28192</v>
      </c>
      <c r="F9851" t="s">
        <v>43</v>
      </c>
      <c r="G9851" t="s">
        <v>31</v>
      </c>
      <c r="H9851" t="s">
        <v>20</v>
      </c>
      <c r="I9851" t="s">
        <v>19147</v>
      </c>
      <c r="J9851" t="str">
        <f>HYPERLINK("https://www.boe.es/gazeta/dias/1822/10/23/pdfs/GMD-1822-310.pdf#page=3","Abrir facsímil")</f>
        <v>Abrir facsímil</v>
      </c>
      <c r="K9851" t="s">
        <v>22</v>
      </c>
    </row>
    <row r="9852" spans="1:11" ht="42" customHeight="1">
      <c r="A9852" t="s">
        <v>19124</v>
      </c>
      <c r="B9852" t="s">
        <v>19124</v>
      </c>
      <c r="C9852" t="s">
        <v>50</v>
      </c>
      <c r="D9852" t="s">
        <v>51</v>
      </c>
      <c r="E9852" s="6">
        <v>-28192</v>
      </c>
      <c r="F9852" t="s">
        <v>43</v>
      </c>
      <c r="G9852" t="s">
        <v>57</v>
      </c>
      <c r="H9852" t="s">
        <v>20</v>
      </c>
      <c r="I9852" t="s">
        <v>19148</v>
      </c>
      <c r="J9852" t="str">
        <f>HYPERLINK("https://www.boe.es/gazeta/dias/1822/10/23/pdfs/GMD-1822-310.pdf#page=4","Abrir facsímil")</f>
        <v>Abrir facsímil</v>
      </c>
      <c r="K9852" t="s">
        <v>22</v>
      </c>
    </row>
    <row r="9853" spans="1:11" ht="42" customHeight="1">
      <c r="A9853" t="s">
        <v>19124</v>
      </c>
      <c r="B9853" t="s">
        <v>19124</v>
      </c>
      <c r="C9853" t="s">
        <v>24</v>
      </c>
      <c r="D9853" t="s">
        <v>17</v>
      </c>
      <c r="E9853" s="6">
        <v>-28188</v>
      </c>
      <c r="F9853" t="s">
        <v>578</v>
      </c>
      <c r="G9853" t="s">
        <v>63</v>
      </c>
      <c r="H9853" t="s">
        <v>20</v>
      </c>
      <c r="I9853" t="s">
        <v>19149</v>
      </c>
      <c r="J9853" t="str">
        <f>HYPERLINK("https://www.boe.es/gazeta/dias/1822/10/27/pdfs/GMD-1822-314.pdf#page=6","Abrir facsímil")</f>
        <v>Abrir facsímil</v>
      </c>
      <c r="K9853" t="s">
        <v>22</v>
      </c>
    </row>
    <row r="9854" spans="1:11" ht="42" customHeight="1">
      <c r="A9854" t="s">
        <v>19124</v>
      </c>
      <c r="B9854" t="s">
        <v>19124</v>
      </c>
      <c r="C9854" t="s">
        <v>42</v>
      </c>
      <c r="D9854" t="s">
        <v>17</v>
      </c>
      <c r="E9854" s="6">
        <v>-28182</v>
      </c>
      <c r="F9854" t="s">
        <v>585</v>
      </c>
      <c r="G9854" t="s">
        <v>57</v>
      </c>
      <c r="H9854" t="s">
        <v>20</v>
      </c>
      <c r="I9854" t="s">
        <v>19150</v>
      </c>
      <c r="J9854" t="str">
        <f>HYPERLINK("https://www.boe.es/gazeta/dias/1822/11/02/pdfs/GMD-1822-320.pdf#page=4","Abrir facsímil")</f>
        <v>Abrir facsímil</v>
      </c>
      <c r="K9854" t="s">
        <v>22</v>
      </c>
    </row>
    <row r="9855" spans="1:11" ht="42" customHeight="1">
      <c r="A9855" t="s">
        <v>19124</v>
      </c>
      <c r="B9855" t="s">
        <v>19124</v>
      </c>
      <c r="C9855" t="s">
        <v>42</v>
      </c>
      <c r="D9855" t="s">
        <v>17</v>
      </c>
      <c r="E9855" s="6">
        <v>-28162</v>
      </c>
      <c r="F9855" t="s">
        <v>3949</v>
      </c>
      <c r="G9855" t="s">
        <v>35</v>
      </c>
      <c r="H9855" t="s">
        <v>20</v>
      </c>
      <c r="I9855" t="s">
        <v>19151</v>
      </c>
      <c r="J9855" t="str">
        <f>HYPERLINK("https://www.boe.es/gazeta/dias/1822/11/22/pdfs/GMD-1822-342.pdf#page=2","Abrir facsímil")</f>
        <v>Abrir facsímil</v>
      </c>
      <c r="K9855" t="s">
        <v>22</v>
      </c>
    </row>
    <row r="9856" spans="1:11" ht="42" customHeight="1">
      <c r="A9856" t="s">
        <v>19124</v>
      </c>
      <c r="B9856" t="s">
        <v>19124</v>
      </c>
      <c r="C9856" t="s">
        <v>50</v>
      </c>
      <c r="D9856" t="s">
        <v>51</v>
      </c>
      <c r="E9856" s="6">
        <v>-28129</v>
      </c>
      <c r="F9856" t="s">
        <v>599</v>
      </c>
      <c r="G9856" t="s">
        <v>35</v>
      </c>
      <c r="H9856" t="s">
        <v>20</v>
      </c>
      <c r="I9856" t="s">
        <v>19152</v>
      </c>
      <c r="J9856" t="str">
        <f>HYPERLINK("https://www.boe.es/gazeta/dias/1822/12/25/pdfs/GMD-1822-375.pdf#page=2","Abrir facsímil")</f>
        <v>Abrir facsímil</v>
      </c>
      <c r="K9856" t="s">
        <v>22</v>
      </c>
    </row>
    <row r="9857" spans="1:11" ht="42" customHeight="1">
      <c r="A9857" t="s">
        <v>19153</v>
      </c>
      <c r="B9857" t="s">
        <v>19154</v>
      </c>
      <c r="C9857" t="s">
        <v>61</v>
      </c>
      <c r="D9857" t="s">
        <v>17</v>
      </c>
      <c r="E9857" s="6">
        <v>-28207</v>
      </c>
      <c r="F9857" t="s">
        <v>1325</v>
      </c>
      <c r="G9857" t="s">
        <v>57</v>
      </c>
      <c r="H9857" t="s">
        <v>20</v>
      </c>
      <c r="I9857" t="s">
        <v>19155</v>
      </c>
      <c r="J9857" t="str">
        <f>HYPERLINK("https://www.boe.es/gazeta/dias/1822/10/08/pdfs/GMD-1822-295.pdf#page=4","Abrir facsímil")</f>
        <v>Abrir facsímil</v>
      </c>
      <c r="K9857" t="s">
        <v>22</v>
      </c>
    </row>
    <row r="9858" spans="1:11" ht="42" customHeight="1">
      <c r="A9858" t="s">
        <v>19156</v>
      </c>
      <c r="B9858" t="s">
        <v>19157</v>
      </c>
      <c r="C9858" t="s">
        <v>28</v>
      </c>
      <c r="D9858" t="s">
        <v>29</v>
      </c>
      <c r="E9858" s="6">
        <v>-28434</v>
      </c>
      <c r="F9858" t="s">
        <v>433</v>
      </c>
      <c r="G9858" t="s">
        <v>35</v>
      </c>
      <c r="H9858" t="s">
        <v>20</v>
      </c>
      <c r="I9858" t="s">
        <v>19158</v>
      </c>
      <c r="J9858" t="str">
        <f>HYPERLINK("https://www.boe.es/gazeta/dias/1822/02/23/pdfs/GMD-1822-55.pdf#page=2","Abrir facsímil")</f>
        <v>Abrir facsímil</v>
      </c>
      <c r="K9858" t="s">
        <v>22</v>
      </c>
    </row>
    <row r="9859" spans="1:11" ht="42" customHeight="1">
      <c r="A9859" t="s">
        <v>19159</v>
      </c>
      <c r="B9859" t="s">
        <v>19160</v>
      </c>
      <c r="C9859" t="s">
        <v>50</v>
      </c>
      <c r="D9859" t="s">
        <v>51</v>
      </c>
      <c r="E9859" s="6">
        <v>-28411</v>
      </c>
      <c r="F9859" t="s">
        <v>1509</v>
      </c>
      <c r="G9859" t="s">
        <v>44</v>
      </c>
      <c r="H9859" t="s">
        <v>20</v>
      </c>
      <c r="I9859" t="s">
        <v>19161</v>
      </c>
      <c r="J9859" t="str">
        <f>HYPERLINK("https://www.boe.es/gazeta/dias/1822/03/18/pdfs/GMD-1822-79.pdf#page=1","Abrir facsímil")</f>
        <v>Abrir facsímil</v>
      </c>
      <c r="K9859" t="s">
        <v>22</v>
      </c>
    </row>
    <row r="9860" spans="1:11" ht="42" customHeight="1">
      <c r="A9860" t="s">
        <v>19162</v>
      </c>
      <c r="B9860" t="s">
        <v>19162</v>
      </c>
      <c r="C9860" t="s">
        <v>50</v>
      </c>
      <c r="D9860" t="s">
        <v>51</v>
      </c>
      <c r="E9860" s="6">
        <v>-28359</v>
      </c>
      <c r="F9860" t="s">
        <v>209</v>
      </c>
      <c r="G9860" t="s">
        <v>31</v>
      </c>
      <c r="H9860" t="s">
        <v>20</v>
      </c>
      <c r="I9860" t="s">
        <v>19163</v>
      </c>
      <c r="J9860" t="str">
        <f>HYPERLINK("https://www.boe.es/gazeta/dias/1822/05/09/pdfs/GMD-1822-131.pdf#page=3","Abrir facsímil")</f>
        <v>Abrir facsímil</v>
      </c>
      <c r="K9860" t="s">
        <v>22</v>
      </c>
    </row>
    <row r="9861" spans="1:11" ht="42" customHeight="1">
      <c r="A9861" t="s">
        <v>19162</v>
      </c>
      <c r="B9861" t="s">
        <v>19162</v>
      </c>
      <c r="C9861" t="s">
        <v>50</v>
      </c>
      <c r="D9861" t="s">
        <v>51</v>
      </c>
      <c r="E9861" s="6">
        <v>-28126</v>
      </c>
      <c r="F9861" t="s">
        <v>952</v>
      </c>
      <c r="G9861" t="s">
        <v>35</v>
      </c>
      <c r="H9861" t="s">
        <v>20</v>
      </c>
      <c r="I9861" t="s">
        <v>19164</v>
      </c>
      <c r="J9861" t="str">
        <f>HYPERLINK("https://www.boe.es/gazeta/dias/1822/12/28/pdfs/GMD-1822-378.pdf#page=2","Abrir facsímil")</f>
        <v>Abrir facsímil</v>
      </c>
      <c r="K9861" t="s">
        <v>22</v>
      </c>
    </row>
    <row r="9862" spans="1:11" ht="42" customHeight="1">
      <c r="A9862" t="s">
        <v>19165</v>
      </c>
      <c r="B9862" t="s">
        <v>19166</v>
      </c>
      <c r="C9862" t="s">
        <v>50</v>
      </c>
      <c r="D9862" t="s">
        <v>51</v>
      </c>
      <c r="E9862" s="6">
        <v>-28158</v>
      </c>
      <c r="F9862" t="s">
        <v>590</v>
      </c>
      <c r="G9862" t="s">
        <v>63</v>
      </c>
      <c r="H9862" t="s">
        <v>20</v>
      </c>
      <c r="I9862" t="s">
        <v>19167</v>
      </c>
      <c r="J9862" t="str">
        <f>HYPERLINK("https://www.boe.es/gazeta/dias/1822/11/26/pdfs/GMD-1822-346.pdf#page=6","Abrir facsímil")</f>
        <v>Abrir facsímil</v>
      </c>
      <c r="K9862" t="s">
        <v>22</v>
      </c>
    </row>
    <row r="9863" spans="1:11" ht="42" customHeight="1">
      <c r="A9863" t="s">
        <v>19168</v>
      </c>
      <c r="B9863" t="s">
        <v>19168</v>
      </c>
      <c r="C9863" t="s">
        <v>42</v>
      </c>
      <c r="D9863" t="s">
        <v>17</v>
      </c>
      <c r="E9863" s="6">
        <v>-28232</v>
      </c>
      <c r="F9863" t="s">
        <v>3875</v>
      </c>
      <c r="G9863" t="s">
        <v>57</v>
      </c>
      <c r="H9863" t="s">
        <v>20</v>
      </c>
      <c r="I9863" t="s">
        <v>19169</v>
      </c>
      <c r="J9863" t="str">
        <f>HYPERLINK("https://www.boe.es/gazeta/dias/1822/09/13/pdfs/GMD-1822-269.pdf#page=4","Abrir facsímil")</f>
        <v>Abrir facsímil</v>
      </c>
      <c r="K9863" t="s">
        <v>22</v>
      </c>
    </row>
    <row r="9864" spans="1:11" ht="42" customHeight="1">
      <c r="A9864" t="s">
        <v>19170</v>
      </c>
      <c r="B9864" t="s">
        <v>19171</v>
      </c>
      <c r="C9864" t="s">
        <v>50</v>
      </c>
      <c r="D9864" t="s">
        <v>51</v>
      </c>
      <c r="E9864" s="6">
        <v>-28280</v>
      </c>
      <c r="F9864" t="s">
        <v>56</v>
      </c>
      <c r="G9864" t="s">
        <v>57</v>
      </c>
      <c r="H9864" t="s">
        <v>20</v>
      </c>
      <c r="I9864" t="s">
        <v>19172</v>
      </c>
      <c r="J9864" t="str">
        <f>HYPERLINK("https://www.boe.es/gazeta/dias/1822/07/27/pdfs/GMD-1822-220.pdf#page=4","Abrir facsímil")</f>
        <v>Abrir facsímil</v>
      </c>
      <c r="K9864" t="s">
        <v>22</v>
      </c>
    </row>
    <row r="9865" spans="1:11" ht="42" customHeight="1">
      <c r="A9865" t="s">
        <v>19173</v>
      </c>
      <c r="B9865" t="s">
        <v>19174</v>
      </c>
      <c r="C9865" t="s">
        <v>50</v>
      </c>
      <c r="D9865" t="s">
        <v>51</v>
      </c>
      <c r="E9865" s="6">
        <v>-28303</v>
      </c>
      <c r="F9865" t="s">
        <v>201</v>
      </c>
      <c r="G9865" t="s">
        <v>57</v>
      </c>
      <c r="H9865" t="s">
        <v>20</v>
      </c>
      <c r="I9865" t="s">
        <v>19175</v>
      </c>
      <c r="J9865" t="str">
        <f>HYPERLINK("https://www.boe.es/gazeta/dias/1822/07/04/pdfs/GMD-1822-193.pdf#page=4","Abrir facsímil")</f>
        <v>Abrir facsímil</v>
      </c>
      <c r="K9865" t="s">
        <v>22</v>
      </c>
    </row>
    <row r="9866" spans="1:11" ht="42" customHeight="1">
      <c r="A9866" t="s">
        <v>19176</v>
      </c>
      <c r="B9866" t="s">
        <v>19177</v>
      </c>
      <c r="C9866" t="s">
        <v>42</v>
      </c>
      <c r="D9866" t="s">
        <v>17</v>
      </c>
      <c r="E9866" s="6">
        <v>-28321</v>
      </c>
      <c r="F9866" t="s">
        <v>1142</v>
      </c>
      <c r="G9866" t="s">
        <v>31</v>
      </c>
      <c r="H9866" t="s">
        <v>20</v>
      </c>
      <c r="I9866" t="s">
        <v>19178</v>
      </c>
      <c r="J9866" t="str">
        <f>HYPERLINK("https://www.boe.es/gazeta/dias/1822/06/16/pdfs/GMD-1822-173.pdf#page=3","Abrir facsímil")</f>
        <v>Abrir facsímil</v>
      </c>
      <c r="K9866" t="s">
        <v>22</v>
      </c>
    </row>
    <row r="9867" spans="1:11" ht="42" customHeight="1">
      <c r="A9867" t="s">
        <v>19179</v>
      </c>
      <c r="B9867" t="s">
        <v>19180</v>
      </c>
      <c r="C9867" t="s">
        <v>50</v>
      </c>
      <c r="D9867" t="s">
        <v>51</v>
      </c>
      <c r="E9867" s="6">
        <v>-28265</v>
      </c>
      <c r="F9867" t="s">
        <v>1263</v>
      </c>
      <c r="G9867" t="s">
        <v>57</v>
      </c>
      <c r="H9867" t="s">
        <v>20</v>
      </c>
      <c r="I9867" t="s">
        <v>19181</v>
      </c>
      <c r="J9867" t="str">
        <f>HYPERLINK("https://www.boe.es/gazeta/dias/1822/08/11/pdfs/GMD-1822-235.pdf#page=4","Abrir facsímil")</f>
        <v>Abrir facsímil</v>
      </c>
      <c r="K9867" t="s">
        <v>22</v>
      </c>
    </row>
    <row r="9868" spans="1:11" ht="42" customHeight="1">
      <c r="A9868" t="s">
        <v>19182</v>
      </c>
      <c r="B9868" t="s">
        <v>19183</v>
      </c>
      <c r="C9868" t="s">
        <v>28</v>
      </c>
      <c r="D9868" t="s">
        <v>29</v>
      </c>
      <c r="E9868" s="6">
        <v>-28217</v>
      </c>
      <c r="F9868" t="s">
        <v>1892</v>
      </c>
      <c r="G9868" t="s">
        <v>57</v>
      </c>
      <c r="H9868" t="s">
        <v>20</v>
      </c>
      <c r="I9868" t="s">
        <v>19184</v>
      </c>
      <c r="J9868" t="str">
        <f>HYPERLINK("https://www.boe.es/gazeta/dias/1822/09/28/pdfs/GMD-1822-284.pdf#page=4","Abrir facsímil")</f>
        <v>Abrir facsímil</v>
      </c>
      <c r="K9868" t="s">
        <v>22</v>
      </c>
    </row>
    <row r="9869" spans="1:11" ht="42" customHeight="1">
      <c r="A9869" t="s">
        <v>19185</v>
      </c>
      <c r="B9869" t="s">
        <v>19186</v>
      </c>
      <c r="C9869" t="s">
        <v>50</v>
      </c>
      <c r="D9869" t="s">
        <v>51</v>
      </c>
      <c r="E9869" s="6">
        <v>-28279</v>
      </c>
      <c r="F9869" t="s">
        <v>662</v>
      </c>
      <c r="G9869" t="s">
        <v>35</v>
      </c>
      <c r="H9869" t="s">
        <v>20</v>
      </c>
      <c r="I9869" t="s">
        <v>19187</v>
      </c>
      <c r="J9869" t="str">
        <f>HYPERLINK("https://www.boe.es/gazeta/dias/1822/07/28/pdfs/GMD-1822-221.pdf#page=2","Abrir facsímil")</f>
        <v>Abrir facsímil</v>
      </c>
      <c r="K9869" t="s">
        <v>22</v>
      </c>
    </row>
    <row r="9870" spans="1:11" ht="42" customHeight="1">
      <c r="A9870" t="s">
        <v>19188</v>
      </c>
      <c r="B9870" t="s">
        <v>19189</v>
      </c>
      <c r="C9870" t="s">
        <v>28</v>
      </c>
      <c r="D9870" t="s">
        <v>29</v>
      </c>
      <c r="E9870" s="6">
        <v>-28165</v>
      </c>
      <c r="F9870" t="s">
        <v>846</v>
      </c>
      <c r="G9870" t="s">
        <v>57</v>
      </c>
      <c r="H9870" t="s">
        <v>20</v>
      </c>
      <c r="I9870" t="s">
        <v>19190</v>
      </c>
      <c r="J9870" t="str">
        <f>HYPERLINK("https://www.boe.es/gazeta/dias/1822/11/19/pdfs/GMD-1822-339.pdf#page=4","Abrir facsímil")</f>
        <v>Abrir facsímil</v>
      </c>
      <c r="K9870" t="s">
        <v>22</v>
      </c>
    </row>
    <row r="9871" spans="1:11" ht="42" customHeight="1">
      <c r="A9871" t="s">
        <v>19191</v>
      </c>
      <c r="B9871" t="s">
        <v>19192</v>
      </c>
      <c r="C9871" t="s">
        <v>28</v>
      </c>
      <c r="D9871" t="s">
        <v>29</v>
      </c>
      <c r="E9871" s="6">
        <v>-28322</v>
      </c>
      <c r="F9871" t="s">
        <v>2205</v>
      </c>
      <c r="G9871" t="s">
        <v>3031</v>
      </c>
      <c r="H9871" t="s">
        <v>20</v>
      </c>
      <c r="I9871" t="s">
        <v>19193</v>
      </c>
      <c r="J9871" t="str">
        <f>HYPERLINK("https://www.boe.es/gazeta/dias/1822/06/15/pdfs/GMD-1822-172.pdf#page=2","Abrir facsímil")</f>
        <v>Abrir facsímil</v>
      </c>
      <c r="K9871" t="s">
        <v>22</v>
      </c>
    </row>
    <row r="9872" spans="1:11" ht="42" customHeight="1">
      <c r="A9872" t="s">
        <v>19194</v>
      </c>
      <c r="B9872" t="s">
        <v>19195</v>
      </c>
      <c r="C9872" t="s">
        <v>50</v>
      </c>
      <c r="D9872" t="s">
        <v>51</v>
      </c>
      <c r="E9872" s="6">
        <v>-28323</v>
      </c>
      <c r="F9872" t="s">
        <v>116</v>
      </c>
      <c r="G9872" t="s">
        <v>44</v>
      </c>
      <c r="H9872" t="s">
        <v>20</v>
      </c>
      <c r="I9872" t="s">
        <v>19196</v>
      </c>
      <c r="J9872" t="str">
        <f>HYPERLINK("https://www.boe.es/gazeta/dias/1822/06/14/pdfs/GMD-1822-171.pdf#page=1","Abrir facsímil")</f>
        <v>Abrir facsímil</v>
      </c>
      <c r="K9872" t="s">
        <v>22</v>
      </c>
    </row>
    <row r="9873" spans="1:11" ht="42" customHeight="1">
      <c r="A9873" t="s">
        <v>19194</v>
      </c>
      <c r="B9873" t="s">
        <v>19195</v>
      </c>
      <c r="C9873" t="s">
        <v>42</v>
      </c>
      <c r="D9873" t="s">
        <v>17</v>
      </c>
      <c r="E9873" s="6">
        <v>-28155</v>
      </c>
      <c r="F9873" t="s">
        <v>833</v>
      </c>
      <c r="G9873" t="s">
        <v>63</v>
      </c>
      <c r="H9873" t="s">
        <v>20</v>
      </c>
      <c r="I9873" t="s">
        <v>19197</v>
      </c>
      <c r="J9873" t="str">
        <f>HYPERLINK("https://www.boe.es/gazeta/dias/1822/11/29/pdfs/GMD-1822-349.pdf#page=6","Abrir facsímil")</f>
        <v>Abrir facsímil</v>
      </c>
      <c r="K9873" t="s">
        <v>22</v>
      </c>
    </row>
    <row r="9874" spans="1:11" ht="42" customHeight="1">
      <c r="A9874" t="s">
        <v>19198</v>
      </c>
      <c r="B9874" t="s">
        <v>19199</v>
      </c>
      <c r="C9874" t="s">
        <v>50</v>
      </c>
      <c r="D9874" t="s">
        <v>51</v>
      </c>
      <c r="E9874" s="6">
        <v>-28326</v>
      </c>
      <c r="F9874" t="s">
        <v>543</v>
      </c>
      <c r="G9874" t="s">
        <v>63</v>
      </c>
      <c r="H9874" t="s">
        <v>20</v>
      </c>
      <c r="I9874" t="s">
        <v>19200</v>
      </c>
      <c r="J9874" t="str">
        <f>HYPERLINK("https://www.boe.es/gazeta/dias/1822/06/11/pdfs/GMD-1822-168.pdf#page=6","Abrir facsímil")</f>
        <v>Abrir facsímil</v>
      </c>
      <c r="K9874" t="s">
        <v>22</v>
      </c>
    </row>
    <row r="9875" spans="1:11" ht="42" customHeight="1">
      <c r="A9875" t="s">
        <v>19201</v>
      </c>
      <c r="B9875" t="s">
        <v>19202</v>
      </c>
      <c r="C9875" t="s">
        <v>28</v>
      </c>
      <c r="D9875" t="s">
        <v>29</v>
      </c>
      <c r="E9875" s="6">
        <v>-28312</v>
      </c>
      <c r="F9875" t="s">
        <v>92</v>
      </c>
      <c r="G9875" t="s">
        <v>35</v>
      </c>
      <c r="H9875" t="s">
        <v>20</v>
      </c>
      <c r="I9875" t="s">
        <v>19203</v>
      </c>
      <c r="J9875" t="str">
        <f>HYPERLINK("https://www.boe.es/gazeta/dias/1822/06/25/pdfs/GMD-1822-183.pdf#page=2","Abrir facsímil")</f>
        <v>Abrir facsímil</v>
      </c>
      <c r="K9875" t="s">
        <v>22</v>
      </c>
    </row>
    <row r="9876" spans="1:11" ht="42" customHeight="1">
      <c r="A9876" t="s">
        <v>19204</v>
      </c>
      <c r="B9876" t="s">
        <v>19204</v>
      </c>
      <c r="C9876" t="s">
        <v>42</v>
      </c>
      <c r="D9876" t="s">
        <v>17</v>
      </c>
      <c r="E9876" s="6">
        <v>-28277</v>
      </c>
      <c r="F9876" t="s">
        <v>296</v>
      </c>
      <c r="G9876" t="s">
        <v>44</v>
      </c>
      <c r="H9876" t="s">
        <v>20</v>
      </c>
      <c r="I9876" t="s">
        <v>19205</v>
      </c>
      <c r="J9876" t="str">
        <f>HYPERLINK("https://www.boe.es/gazeta/dias/1822/07/30/pdfs/GMD-1822-223.pdf#page=1","Abrir facsímil")</f>
        <v>Abrir facsímil</v>
      </c>
      <c r="K9876" t="s">
        <v>22</v>
      </c>
    </row>
    <row r="9877" spans="1:11" ht="42" customHeight="1">
      <c r="A9877" t="s">
        <v>19206</v>
      </c>
      <c r="B9877" t="s">
        <v>19206</v>
      </c>
      <c r="C9877" t="s">
        <v>42</v>
      </c>
      <c r="D9877" t="s">
        <v>17</v>
      </c>
      <c r="E9877" s="6">
        <v>-28422</v>
      </c>
      <c r="F9877" t="s">
        <v>416</v>
      </c>
      <c r="G9877" t="s">
        <v>35</v>
      </c>
      <c r="H9877" t="s">
        <v>20</v>
      </c>
      <c r="I9877" t="s">
        <v>19207</v>
      </c>
      <c r="J9877" t="str">
        <f>HYPERLINK("https://www.boe.es/gazeta/dias/1822/03/07/pdfs/GMD-1822-68.pdf#page=2","Abrir facsímil")</f>
        <v>Abrir facsímil</v>
      </c>
      <c r="K9877" t="s">
        <v>22</v>
      </c>
    </row>
    <row r="9878" spans="1:11" ht="42" customHeight="1">
      <c r="A9878" t="s">
        <v>19206</v>
      </c>
      <c r="B9878" t="s">
        <v>19206</v>
      </c>
      <c r="C9878" t="s">
        <v>42</v>
      </c>
      <c r="D9878" t="s">
        <v>17</v>
      </c>
      <c r="E9878" s="6">
        <v>-28147</v>
      </c>
      <c r="F9878" t="s">
        <v>1611</v>
      </c>
      <c r="G9878" t="s">
        <v>31</v>
      </c>
      <c r="H9878" t="s">
        <v>20</v>
      </c>
      <c r="I9878" t="s">
        <v>19208</v>
      </c>
      <c r="J9878" t="str">
        <f>HYPERLINK("https://www.boe.es/gazeta/dias/1822/12/07/pdfs/GMD-1822-357.pdf#page=3","Abrir facsímil")</f>
        <v>Abrir facsímil</v>
      </c>
      <c r="K9878" t="s">
        <v>22</v>
      </c>
    </row>
    <row r="9879" spans="1:11" ht="42" customHeight="1">
      <c r="A9879" t="s">
        <v>19209</v>
      </c>
      <c r="B9879" t="s">
        <v>19209</v>
      </c>
      <c r="C9879" t="s">
        <v>42</v>
      </c>
      <c r="D9879" t="s">
        <v>17</v>
      </c>
      <c r="E9879" s="6">
        <v>-28408</v>
      </c>
      <c r="F9879" t="s">
        <v>2561</v>
      </c>
      <c r="G9879" t="s">
        <v>19210</v>
      </c>
      <c r="H9879" t="s">
        <v>20</v>
      </c>
      <c r="I9879" t="s">
        <v>19211</v>
      </c>
      <c r="J9879" t="str">
        <f>HYPERLINK("https://www.boe.es/gazeta/dias/1822/03/21/pdfs/GMD-1822-82.pdf#page=3","Abrir facsímil")</f>
        <v>Abrir facsímil</v>
      </c>
      <c r="K9879" t="s">
        <v>22</v>
      </c>
    </row>
    <row r="9880" spans="1:11" ht="42" customHeight="1">
      <c r="A9880" t="s">
        <v>19212</v>
      </c>
      <c r="B9880" t="s">
        <v>19212</v>
      </c>
      <c r="C9880" t="s">
        <v>362</v>
      </c>
      <c r="D9880" t="s">
        <v>17</v>
      </c>
      <c r="E9880" s="6">
        <v>-28188</v>
      </c>
      <c r="F9880" t="s">
        <v>578</v>
      </c>
      <c r="G9880" t="s">
        <v>157</v>
      </c>
      <c r="H9880" t="s">
        <v>20</v>
      </c>
      <c r="I9880" t="s">
        <v>19213</v>
      </c>
      <c r="J9880" t="str">
        <f>HYPERLINK("https://www.boe.es/gazeta/dias/1822/10/27/pdfs/GMD-1822-314.pdf#page=8","Abrir facsímil")</f>
        <v>Abrir facsímil</v>
      </c>
      <c r="K9880" t="s">
        <v>22</v>
      </c>
    </row>
    <row r="9881" spans="1:11" ht="42" customHeight="1">
      <c r="A9881" t="s">
        <v>19214</v>
      </c>
      <c r="B9881" t="s">
        <v>19214</v>
      </c>
      <c r="C9881" t="s">
        <v>42</v>
      </c>
      <c r="D9881" t="s">
        <v>17</v>
      </c>
      <c r="E9881" s="6">
        <v>-28434</v>
      </c>
      <c r="F9881" t="s">
        <v>433</v>
      </c>
      <c r="G9881" t="s">
        <v>31</v>
      </c>
      <c r="H9881" t="s">
        <v>20</v>
      </c>
      <c r="I9881" t="s">
        <v>19215</v>
      </c>
      <c r="J9881" t="str">
        <f>HYPERLINK("https://www.boe.es/gazeta/dias/1822/02/23/pdfs/GMD-1822-55.pdf#page=3","Abrir facsímil")</f>
        <v>Abrir facsímil</v>
      </c>
      <c r="K9881" t="s">
        <v>22</v>
      </c>
    </row>
    <row r="9882" spans="1:11" ht="42" customHeight="1">
      <c r="A9882" t="s">
        <v>19214</v>
      </c>
      <c r="B9882" t="s">
        <v>19214</v>
      </c>
      <c r="C9882" t="s">
        <v>362</v>
      </c>
      <c r="D9882" t="s">
        <v>17</v>
      </c>
      <c r="E9882" s="6">
        <v>-28422</v>
      </c>
      <c r="F9882" t="s">
        <v>416</v>
      </c>
      <c r="G9882" t="s">
        <v>31</v>
      </c>
      <c r="H9882" t="s">
        <v>20</v>
      </c>
      <c r="I9882" t="s">
        <v>19216</v>
      </c>
      <c r="J9882" t="str">
        <f>HYPERLINK("https://www.boe.es/gazeta/dias/1822/03/07/pdfs/GMD-1822-68.pdf#page=3","Abrir facsímil")</f>
        <v>Abrir facsímil</v>
      </c>
      <c r="K9882" t="s">
        <v>22</v>
      </c>
    </row>
    <row r="9883" spans="1:11" ht="42" customHeight="1">
      <c r="A9883" t="s">
        <v>19214</v>
      </c>
      <c r="B9883" t="s">
        <v>19214</v>
      </c>
      <c r="C9883" t="s">
        <v>50</v>
      </c>
      <c r="D9883" t="s">
        <v>51</v>
      </c>
      <c r="E9883" s="6">
        <v>-28410</v>
      </c>
      <c r="F9883" t="s">
        <v>966</v>
      </c>
      <c r="G9883" t="s">
        <v>31</v>
      </c>
      <c r="H9883" t="s">
        <v>20</v>
      </c>
      <c r="I9883" t="s">
        <v>19217</v>
      </c>
      <c r="J9883" t="str">
        <f>HYPERLINK("https://www.boe.es/gazeta/dias/1822/03/19/pdfs/GMD-1822-80.pdf#page=3","Abrir facsímil")</f>
        <v>Abrir facsímil</v>
      </c>
      <c r="K9883" t="s">
        <v>22</v>
      </c>
    </row>
    <row r="9884" spans="1:11" ht="42" customHeight="1">
      <c r="A9884" t="s">
        <v>19214</v>
      </c>
      <c r="B9884" t="s">
        <v>19214</v>
      </c>
      <c r="C9884" t="s">
        <v>50</v>
      </c>
      <c r="D9884" t="s">
        <v>51</v>
      </c>
      <c r="E9884" s="6">
        <v>-28402</v>
      </c>
      <c r="F9884" t="s">
        <v>473</v>
      </c>
      <c r="G9884" t="s">
        <v>31</v>
      </c>
      <c r="H9884" t="s">
        <v>20</v>
      </c>
      <c r="I9884" t="s">
        <v>19218</v>
      </c>
      <c r="J9884" t="str">
        <f>HYPERLINK("https://www.boe.es/gazeta/dias/1822/03/27/pdfs/GMD-1822-88.pdf#page=3","Abrir facsímil")</f>
        <v>Abrir facsímil</v>
      </c>
      <c r="K9884" t="s">
        <v>22</v>
      </c>
    </row>
    <row r="9885" spans="1:11" ht="42" customHeight="1">
      <c r="A9885" t="s">
        <v>19214</v>
      </c>
      <c r="B9885" t="s">
        <v>19214</v>
      </c>
      <c r="C9885" t="s">
        <v>42</v>
      </c>
      <c r="D9885" t="s">
        <v>17</v>
      </c>
      <c r="E9885" s="6">
        <v>-28394</v>
      </c>
      <c r="F9885" t="s">
        <v>268</v>
      </c>
      <c r="G9885" t="s">
        <v>35</v>
      </c>
      <c r="H9885" t="s">
        <v>20</v>
      </c>
      <c r="I9885" t="s">
        <v>19219</v>
      </c>
      <c r="J9885" t="str">
        <f>HYPERLINK("https://www.boe.es/gazeta/dias/1822/04/04/pdfs/GMD-1822-96.pdf#page=2","Abrir facsímil")</f>
        <v>Abrir facsímil</v>
      </c>
      <c r="K9885" t="s">
        <v>22</v>
      </c>
    </row>
    <row r="9886" spans="1:11" ht="42" customHeight="1">
      <c r="A9886" t="s">
        <v>19214</v>
      </c>
      <c r="B9886" t="s">
        <v>19214</v>
      </c>
      <c r="C9886" t="s">
        <v>71</v>
      </c>
      <c r="D9886" t="s">
        <v>17</v>
      </c>
      <c r="E9886" s="6">
        <v>-28390</v>
      </c>
      <c r="F9886" t="s">
        <v>665</v>
      </c>
      <c r="G9886" t="s">
        <v>31</v>
      </c>
      <c r="H9886" t="s">
        <v>20</v>
      </c>
      <c r="I9886" t="s">
        <v>19220</v>
      </c>
      <c r="J9886" t="str">
        <f>HYPERLINK("https://www.boe.es/gazeta/dias/1822/04/08/pdfs/GMD-1822-100.pdf#page=3","Abrir facsímil")</f>
        <v>Abrir facsímil</v>
      </c>
      <c r="K9886" t="s">
        <v>22</v>
      </c>
    </row>
    <row r="9887" spans="1:11" ht="42" customHeight="1">
      <c r="A9887" t="s">
        <v>19214</v>
      </c>
      <c r="B9887" t="s">
        <v>19214</v>
      </c>
      <c r="C9887" t="s">
        <v>50</v>
      </c>
      <c r="D9887" t="s">
        <v>51</v>
      </c>
      <c r="E9887" s="6">
        <v>-28386</v>
      </c>
      <c r="F9887" t="s">
        <v>2993</v>
      </c>
      <c r="G9887" t="s">
        <v>35</v>
      </c>
      <c r="H9887" t="s">
        <v>20</v>
      </c>
      <c r="I9887" t="s">
        <v>19221</v>
      </c>
      <c r="J9887" t="str">
        <f>HYPERLINK("https://www.boe.es/gazeta/dias/1822/04/12/pdfs/GMD-1822-104.pdf#page=2","Abrir facsímil")</f>
        <v>Abrir facsímil</v>
      </c>
      <c r="K9887" t="s">
        <v>22</v>
      </c>
    </row>
    <row r="9888" spans="1:11" ht="42" customHeight="1">
      <c r="A9888" t="s">
        <v>19214</v>
      </c>
      <c r="B9888" t="s">
        <v>19214</v>
      </c>
      <c r="C9888" t="s">
        <v>71</v>
      </c>
      <c r="D9888" t="s">
        <v>17</v>
      </c>
      <c r="E9888" s="6">
        <v>-28367</v>
      </c>
      <c r="F9888" t="s">
        <v>280</v>
      </c>
      <c r="G9888" t="s">
        <v>31</v>
      </c>
      <c r="H9888" t="s">
        <v>20</v>
      </c>
      <c r="I9888" t="s">
        <v>19222</v>
      </c>
      <c r="J9888" t="str">
        <f>HYPERLINK("https://www.boe.es/gazeta/dias/1822/05/01/pdfs/GMD-1822-123.pdf#page=3","Abrir facsímil")</f>
        <v>Abrir facsímil</v>
      </c>
      <c r="K9888" t="s">
        <v>22</v>
      </c>
    </row>
    <row r="9889" spans="1:11" ht="42" customHeight="1">
      <c r="A9889" t="s">
        <v>19214</v>
      </c>
      <c r="B9889" t="s">
        <v>19214</v>
      </c>
      <c r="C9889" t="s">
        <v>28</v>
      </c>
      <c r="D9889" t="s">
        <v>29</v>
      </c>
      <c r="E9889" s="6">
        <v>-28360</v>
      </c>
      <c r="F9889" t="s">
        <v>514</v>
      </c>
      <c r="G9889" t="s">
        <v>57</v>
      </c>
      <c r="H9889" t="s">
        <v>20</v>
      </c>
      <c r="I9889" t="s">
        <v>19223</v>
      </c>
      <c r="J9889" t="str">
        <f>HYPERLINK("https://www.boe.es/gazeta/dias/1822/05/08/pdfs/GMD-1822-130.pdf#page=4","Abrir facsímil")</f>
        <v>Abrir facsímil</v>
      </c>
      <c r="K9889" t="s">
        <v>22</v>
      </c>
    </row>
    <row r="9890" spans="1:11" ht="42" customHeight="1">
      <c r="A9890" t="s">
        <v>19214</v>
      </c>
      <c r="B9890" t="s">
        <v>19214</v>
      </c>
      <c r="C9890" t="s">
        <v>16</v>
      </c>
      <c r="D9890" t="s">
        <v>17</v>
      </c>
      <c r="E9890" s="6">
        <v>-28351</v>
      </c>
      <c r="F9890" t="s">
        <v>282</v>
      </c>
      <c r="G9890" t="s">
        <v>35</v>
      </c>
      <c r="H9890" t="s">
        <v>20</v>
      </c>
      <c r="I9890" t="s">
        <v>19224</v>
      </c>
      <c r="J9890" t="str">
        <f>HYPERLINK("https://www.boe.es/gazeta/dias/1822/05/17/pdfs/GMD-1822-139.pdf#page=2","Abrir facsímil")</f>
        <v>Abrir facsímil</v>
      </c>
      <c r="K9890" t="s">
        <v>22</v>
      </c>
    </row>
    <row r="9891" spans="1:11" ht="42" customHeight="1">
      <c r="A9891" t="s">
        <v>19214</v>
      </c>
      <c r="B9891" t="s">
        <v>19214</v>
      </c>
      <c r="C9891" t="s">
        <v>50</v>
      </c>
      <c r="D9891" t="s">
        <v>51</v>
      </c>
      <c r="E9891" s="6">
        <v>-28349</v>
      </c>
      <c r="F9891" t="s">
        <v>518</v>
      </c>
      <c r="G9891" t="s">
        <v>44</v>
      </c>
      <c r="H9891" t="s">
        <v>20</v>
      </c>
      <c r="I9891" t="s">
        <v>19225</v>
      </c>
      <c r="J9891" t="str">
        <f>HYPERLINK("https://www.boe.es/gazeta/dias/1822/05/19/pdfs/GMD-1822-141.pdf#page=1","Abrir facsímil")</f>
        <v>Abrir facsímil</v>
      </c>
      <c r="K9891" t="s">
        <v>22</v>
      </c>
    </row>
    <row r="9892" spans="1:11" ht="42" customHeight="1">
      <c r="A9892" t="s">
        <v>19214</v>
      </c>
      <c r="B9892" t="s">
        <v>19214</v>
      </c>
      <c r="C9892" t="s">
        <v>71</v>
      </c>
      <c r="D9892" t="s">
        <v>17</v>
      </c>
      <c r="E9892" s="6">
        <v>-28346</v>
      </c>
      <c r="F9892" t="s">
        <v>191</v>
      </c>
      <c r="G9892" t="s">
        <v>31</v>
      </c>
      <c r="H9892" t="s">
        <v>20</v>
      </c>
      <c r="I9892" t="s">
        <v>19226</v>
      </c>
      <c r="J9892" t="str">
        <f>HYPERLINK("https://www.boe.es/gazeta/dias/1822/05/22/pdfs/GMD-1822-145.pdf#page=3","Abrir facsímil")</f>
        <v>Abrir facsímil</v>
      </c>
      <c r="K9892" t="s">
        <v>22</v>
      </c>
    </row>
    <row r="9893" spans="1:11" ht="42" customHeight="1">
      <c r="A9893" t="s">
        <v>19214</v>
      </c>
      <c r="B9893" t="s">
        <v>19214</v>
      </c>
      <c r="C9893" t="s">
        <v>61</v>
      </c>
      <c r="D9893" t="s">
        <v>17</v>
      </c>
      <c r="E9893" s="6">
        <v>-28335</v>
      </c>
      <c r="F9893" t="s">
        <v>3346</v>
      </c>
      <c r="G9893" t="s">
        <v>31</v>
      </c>
      <c r="H9893" t="s">
        <v>20</v>
      </c>
      <c r="I9893" t="s">
        <v>19227</v>
      </c>
      <c r="J9893" t="str">
        <f>HYPERLINK("https://www.boe.es/gazeta/dias/1822/06/02/pdfs/GMD-1822-158.pdf#page=3","Abrir facsímil")</f>
        <v>Abrir facsímil</v>
      </c>
      <c r="K9893" t="s">
        <v>22</v>
      </c>
    </row>
    <row r="9894" spans="1:11" ht="42" customHeight="1">
      <c r="A9894" t="s">
        <v>19214</v>
      </c>
      <c r="B9894" t="s">
        <v>19214</v>
      </c>
      <c r="C9894" t="s">
        <v>42</v>
      </c>
      <c r="D9894" t="s">
        <v>17</v>
      </c>
      <c r="E9894" s="6">
        <v>-28328</v>
      </c>
      <c r="F9894" t="s">
        <v>540</v>
      </c>
      <c r="G9894" t="s">
        <v>31</v>
      </c>
      <c r="H9894" t="s">
        <v>20</v>
      </c>
      <c r="I9894" t="s">
        <v>19228</v>
      </c>
      <c r="J9894" t="str">
        <f>HYPERLINK("https://www.boe.es/gazeta/dias/1822/06/09/pdfs/GMD-1822-166.pdf#page=3","Abrir facsímil")</f>
        <v>Abrir facsímil</v>
      </c>
      <c r="K9894" t="s">
        <v>22</v>
      </c>
    </row>
    <row r="9895" spans="1:11" ht="42" customHeight="1">
      <c r="A9895" t="s">
        <v>19214</v>
      </c>
      <c r="B9895" t="s">
        <v>19214</v>
      </c>
      <c r="C9895" t="s">
        <v>71</v>
      </c>
      <c r="D9895" t="s">
        <v>17</v>
      </c>
      <c r="E9895" s="6">
        <v>-28327</v>
      </c>
      <c r="F9895" t="s">
        <v>38</v>
      </c>
      <c r="G9895" t="s">
        <v>35</v>
      </c>
      <c r="H9895" t="s">
        <v>20</v>
      </c>
      <c r="I9895" t="s">
        <v>19229</v>
      </c>
      <c r="J9895" t="str">
        <f>HYPERLINK("https://www.boe.es/gazeta/dias/1822/06/10/pdfs/GMD-1822-167.pdf#page=2","Abrir facsímil")</f>
        <v>Abrir facsímil</v>
      </c>
      <c r="K9895" t="s">
        <v>22</v>
      </c>
    </row>
    <row r="9896" spans="1:11" ht="42" customHeight="1">
      <c r="A9896" t="s">
        <v>19214</v>
      </c>
      <c r="B9896" t="s">
        <v>19214</v>
      </c>
      <c r="C9896" t="s">
        <v>42</v>
      </c>
      <c r="D9896" t="s">
        <v>17</v>
      </c>
      <c r="E9896" s="6">
        <v>-28325</v>
      </c>
      <c r="F9896" t="s">
        <v>104</v>
      </c>
      <c r="G9896" t="s">
        <v>57</v>
      </c>
      <c r="H9896" t="s">
        <v>20</v>
      </c>
      <c r="I9896" t="s">
        <v>19230</v>
      </c>
      <c r="J9896" t="str">
        <f>HYPERLINK("https://www.boe.es/gazeta/dias/1822/06/12/pdfs/GMD-1822-169.pdf#page=4","Abrir facsímil")</f>
        <v>Abrir facsímil</v>
      </c>
      <c r="K9896" t="s">
        <v>22</v>
      </c>
    </row>
    <row r="9897" spans="1:11" ht="42" customHeight="1">
      <c r="A9897" t="s">
        <v>19214</v>
      </c>
      <c r="B9897" t="s">
        <v>19214</v>
      </c>
      <c r="C9897" t="s">
        <v>42</v>
      </c>
      <c r="D9897" t="s">
        <v>17</v>
      </c>
      <c r="E9897" s="6">
        <v>-28319</v>
      </c>
      <c r="F9897" t="s">
        <v>271</v>
      </c>
      <c r="G9897" t="s">
        <v>35</v>
      </c>
      <c r="H9897" t="s">
        <v>20</v>
      </c>
      <c r="I9897" t="s">
        <v>19231</v>
      </c>
      <c r="J9897" t="str">
        <f>HYPERLINK("https://www.boe.es/gazeta/dias/1822/06/18/pdfs/GMD-1822-175.pdf#page=2","Abrir facsímil")</f>
        <v>Abrir facsímil</v>
      </c>
      <c r="K9897" t="s">
        <v>22</v>
      </c>
    </row>
    <row r="9898" spans="1:11" ht="42" customHeight="1">
      <c r="A9898" t="s">
        <v>19214</v>
      </c>
      <c r="B9898" t="s">
        <v>19214</v>
      </c>
      <c r="C9898" t="s">
        <v>42</v>
      </c>
      <c r="D9898" t="s">
        <v>17</v>
      </c>
      <c r="E9898" s="6">
        <v>-28315</v>
      </c>
      <c r="F9898" t="s">
        <v>1220</v>
      </c>
      <c r="G9898" t="s">
        <v>19</v>
      </c>
      <c r="H9898" t="s">
        <v>20</v>
      </c>
      <c r="I9898" t="s">
        <v>19232</v>
      </c>
      <c r="J9898" t="str">
        <f>HYPERLINK("https://www.boe.es/gazeta/dias/1822/06/22/pdfs/GMD-1822-180.pdf#page=5","Abrir facsímil")</f>
        <v>Abrir facsímil</v>
      </c>
      <c r="K9898" t="s">
        <v>22</v>
      </c>
    </row>
    <row r="9899" spans="1:11" ht="42" customHeight="1">
      <c r="A9899" t="s">
        <v>19214</v>
      </c>
      <c r="B9899" t="s">
        <v>19214</v>
      </c>
      <c r="C9899" t="s">
        <v>28</v>
      </c>
      <c r="D9899" t="s">
        <v>29</v>
      </c>
      <c r="E9899" s="6">
        <v>-28311</v>
      </c>
      <c r="F9899" t="s">
        <v>736</v>
      </c>
      <c r="G9899" t="s">
        <v>31</v>
      </c>
      <c r="H9899" t="s">
        <v>20</v>
      </c>
      <c r="I9899" t="s">
        <v>19233</v>
      </c>
      <c r="J9899" t="str">
        <f>HYPERLINK("https://www.boe.es/gazeta/dias/1822/06/26/pdfs/GMD-1822-184.pdf#page=3","Abrir facsímil")</f>
        <v>Abrir facsímil</v>
      </c>
      <c r="K9899" t="s">
        <v>22</v>
      </c>
    </row>
    <row r="9900" spans="1:11" ht="42" customHeight="1">
      <c r="A9900" t="s">
        <v>19214</v>
      </c>
      <c r="B9900" t="s">
        <v>19214</v>
      </c>
      <c r="C9900" t="s">
        <v>24</v>
      </c>
      <c r="D9900" t="s">
        <v>17</v>
      </c>
      <c r="E9900" s="6">
        <v>-28309</v>
      </c>
      <c r="F9900" t="s">
        <v>553</v>
      </c>
      <c r="G9900" t="s">
        <v>2934</v>
      </c>
      <c r="H9900" t="s">
        <v>20</v>
      </c>
      <c r="I9900" t="s">
        <v>19234</v>
      </c>
      <c r="J9900" t="str">
        <f>HYPERLINK("https://www.boe.es/gazeta/dias/1822/06/28/pdfs/GMD-1822-186.pdf#page=2","Abrir facsímil")</f>
        <v>Abrir facsímil</v>
      </c>
      <c r="K9900" t="s">
        <v>22</v>
      </c>
    </row>
    <row r="9901" spans="1:11" ht="42" customHeight="1">
      <c r="A9901" t="s">
        <v>19214</v>
      </c>
      <c r="B9901" t="s">
        <v>19214</v>
      </c>
      <c r="C9901" t="s">
        <v>42</v>
      </c>
      <c r="D9901" t="s">
        <v>17</v>
      </c>
      <c r="E9901" s="6">
        <v>-28186</v>
      </c>
      <c r="F9901" t="s">
        <v>581</v>
      </c>
      <c r="G9901" t="s">
        <v>35</v>
      </c>
      <c r="H9901" t="s">
        <v>20</v>
      </c>
      <c r="I9901" t="s">
        <v>19235</v>
      </c>
      <c r="J9901" t="str">
        <f>HYPERLINK("https://www.boe.es/gazeta/dias/1822/10/29/pdfs/GMD-1822-316.pdf#page=2","Abrir facsímil")</f>
        <v>Abrir facsímil</v>
      </c>
      <c r="K9901" t="s">
        <v>22</v>
      </c>
    </row>
    <row r="9902" spans="1:11" ht="42" customHeight="1">
      <c r="A9902" t="s">
        <v>19214</v>
      </c>
      <c r="B9902" t="s">
        <v>19214</v>
      </c>
      <c r="C9902" t="s">
        <v>50</v>
      </c>
      <c r="D9902" t="s">
        <v>51</v>
      </c>
      <c r="E9902" s="6">
        <v>-28173</v>
      </c>
      <c r="F9902" t="s">
        <v>2959</v>
      </c>
      <c r="G9902" t="s">
        <v>57</v>
      </c>
      <c r="H9902" t="s">
        <v>20</v>
      </c>
      <c r="I9902" t="s">
        <v>19236</v>
      </c>
      <c r="J9902" t="str">
        <f>HYPERLINK("https://www.boe.es/gazeta/dias/1822/11/11/pdfs/GMD-1822-331.pdf#page=4","Abrir facsímil")</f>
        <v>Abrir facsímil</v>
      </c>
      <c r="K9902" t="s">
        <v>22</v>
      </c>
    </row>
    <row r="9903" spans="1:11" ht="42" customHeight="1">
      <c r="A9903" t="s">
        <v>19214</v>
      </c>
      <c r="B9903" t="s">
        <v>19214</v>
      </c>
      <c r="C9903" t="s">
        <v>42</v>
      </c>
      <c r="D9903" t="s">
        <v>17</v>
      </c>
      <c r="E9903" s="6">
        <v>-28153</v>
      </c>
      <c r="F9903" t="s">
        <v>946</v>
      </c>
      <c r="G9903" t="s">
        <v>35</v>
      </c>
      <c r="H9903" t="s">
        <v>20</v>
      </c>
      <c r="I9903" t="s">
        <v>19237</v>
      </c>
      <c r="J9903" t="str">
        <f>HYPERLINK("https://www.boe.es/gazeta/dias/1822/12/01/pdfs/GMD-1822-351.pdf#page=2","Abrir facsímil")</f>
        <v>Abrir facsímil</v>
      </c>
      <c r="K9903" t="s">
        <v>22</v>
      </c>
    </row>
    <row r="9904" spans="1:11" ht="42" customHeight="1">
      <c r="A9904" t="s">
        <v>19214</v>
      </c>
      <c r="B9904" t="s">
        <v>19214</v>
      </c>
      <c r="C9904" t="s">
        <v>28</v>
      </c>
      <c r="D9904" t="s">
        <v>29</v>
      </c>
      <c r="E9904" s="6">
        <v>-28140</v>
      </c>
      <c r="F9904" t="s">
        <v>84</v>
      </c>
      <c r="G9904" t="s">
        <v>35</v>
      </c>
      <c r="H9904" t="s">
        <v>20</v>
      </c>
      <c r="I9904" t="s">
        <v>19238</v>
      </c>
      <c r="J9904" t="str">
        <f>HYPERLINK("https://www.boe.es/gazeta/dias/1822/12/14/pdfs/GMD-1822-364.pdf#page=2","Abrir facsímil")</f>
        <v>Abrir facsímil</v>
      </c>
      <c r="K9904" t="s">
        <v>22</v>
      </c>
    </row>
    <row r="9905" spans="1:11" ht="42" customHeight="1">
      <c r="A9905" t="s">
        <v>19214</v>
      </c>
      <c r="B9905" t="s">
        <v>19214</v>
      </c>
      <c r="C9905" t="s">
        <v>71</v>
      </c>
      <c r="D9905" t="s">
        <v>17</v>
      </c>
      <c r="E9905" s="6">
        <v>-28139</v>
      </c>
      <c r="F9905" t="s">
        <v>143</v>
      </c>
      <c r="G9905" t="s">
        <v>31</v>
      </c>
      <c r="H9905" t="s">
        <v>20</v>
      </c>
      <c r="I9905" t="s">
        <v>19239</v>
      </c>
      <c r="J9905" t="str">
        <f>HYPERLINK("https://www.boe.es/gazeta/dias/1822/12/15/pdfs/GMD-1822-365.pdf#page=3","Abrir facsímil")</f>
        <v>Abrir facsímil</v>
      </c>
      <c r="K9905" t="s">
        <v>22</v>
      </c>
    </row>
    <row r="9906" spans="1:11" ht="42" customHeight="1">
      <c r="A9906" t="s">
        <v>19214</v>
      </c>
      <c r="B9906" t="s">
        <v>19214</v>
      </c>
      <c r="C9906" t="s">
        <v>42</v>
      </c>
      <c r="D9906" t="s">
        <v>17</v>
      </c>
      <c r="E9906" s="6">
        <v>-28137</v>
      </c>
      <c r="F9906" t="s">
        <v>312</v>
      </c>
      <c r="G9906" t="s">
        <v>31</v>
      </c>
      <c r="H9906" t="s">
        <v>20</v>
      </c>
      <c r="I9906" t="s">
        <v>19240</v>
      </c>
      <c r="J9906" t="str">
        <f>HYPERLINK("https://www.boe.es/gazeta/dias/1822/12/17/pdfs/GMD-1822-367.pdf#page=3","Abrir facsímil")</f>
        <v>Abrir facsímil</v>
      </c>
      <c r="K9906" t="s">
        <v>22</v>
      </c>
    </row>
    <row r="9907" spans="1:11" ht="42" customHeight="1">
      <c r="A9907" t="s">
        <v>19214</v>
      </c>
      <c r="B9907" t="s">
        <v>19214</v>
      </c>
      <c r="C9907" t="s">
        <v>50</v>
      </c>
      <c r="D9907" t="s">
        <v>51</v>
      </c>
      <c r="E9907" s="6">
        <v>-28134</v>
      </c>
      <c r="F9907" t="s">
        <v>620</v>
      </c>
      <c r="G9907" t="s">
        <v>35</v>
      </c>
      <c r="H9907" t="s">
        <v>20</v>
      </c>
      <c r="I9907" t="s">
        <v>19241</v>
      </c>
      <c r="J9907" t="str">
        <f>HYPERLINK("https://www.boe.es/gazeta/dias/1822/12/20/pdfs/GMD-1822-370.pdf#page=2","Abrir facsímil")</f>
        <v>Abrir facsímil</v>
      </c>
      <c r="K9907" t="s">
        <v>22</v>
      </c>
    </row>
    <row r="9908" spans="1:11" ht="42" customHeight="1">
      <c r="A9908" t="s">
        <v>19214</v>
      </c>
      <c r="B9908" t="s">
        <v>19214</v>
      </c>
      <c r="C9908" t="s">
        <v>71</v>
      </c>
      <c r="D9908" t="s">
        <v>17</v>
      </c>
      <c r="E9908" s="6">
        <v>-28132</v>
      </c>
      <c r="F9908" t="s">
        <v>820</v>
      </c>
      <c r="G9908" t="s">
        <v>31</v>
      </c>
      <c r="H9908" t="s">
        <v>20</v>
      </c>
      <c r="I9908" t="s">
        <v>19242</v>
      </c>
      <c r="J9908" t="str">
        <f>HYPERLINK("https://www.boe.es/gazeta/dias/1822/12/22/pdfs/GMD-1822-372.pdf#page=3","Abrir facsímil")</f>
        <v>Abrir facsímil</v>
      </c>
      <c r="K9908" t="s">
        <v>22</v>
      </c>
    </row>
    <row r="9909" spans="1:11" ht="42" customHeight="1">
      <c r="A9909" t="s">
        <v>19243</v>
      </c>
      <c r="B9909" t="s">
        <v>19244</v>
      </c>
      <c r="C9909" t="s">
        <v>28</v>
      </c>
      <c r="D9909" t="s">
        <v>29</v>
      </c>
      <c r="E9909" s="6">
        <v>-28436</v>
      </c>
      <c r="F9909" t="s">
        <v>431</v>
      </c>
      <c r="G9909" t="s">
        <v>1428</v>
      </c>
      <c r="H9909" t="s">
        <v>20</v>
      </c>
      <c r="I9909" t="s">
        <v>19245</v>
      </c>
      <c r="J9909" t="str">
        <f>HYPERLINK("https://www.boe.es/gazeta/dias/1822/02/21/pdfs/GMD-1822-53.pdf#page=3","Abrir facsímil")</f>
        <v>Abrir facsímil</v>
      </c>
      <c r="K9909" t="s">
        <v>22</v>
      </c>
    </row>
    <row r="9910" spans="1:11" ht="42" customHeight="1">
      <c r="A9910" t="s">
        <v>19243</v>
      </c>
      <c r="B9910" t="s">
        <v>19244</v>
      </c>
      <c r="C9910" t="s">
        <v>50</v>
      </c>
      <c r="D9910" t="s">
        <v>51</v>
      </c>
      <c r="E9910" s="6">
        <v>-28345</v>
      </c>
      <c r="F9910" t="s">
        <v>294</v>
      </c>
      <c r="G9910" t="s">
        <v>19</v>
      </c>
      <c r="H9910" t="s">
        <v>20</v>
      </c>
      <c r="I9910" t="s">
        <v>19246</v>
      </c>
      <c r="J9910" t="str">
        <f>HYPERLINK("https://www.boe.es/gazeta/dias/1822/05/23/pdfs/GMD-1822-147.pdf#page=5","Abrir facsímil")</f>
        <v>Abrir facsímil</v>
      </c>
      <c r="K9910" t="s">
        <v>22</v>
      </c>
    </row>
    <row r="9911" spans="1:11" ht="42" customHeight="1">
      <c r="A9911" t="s">
        <v>19243</v>
      </c>
      <c r="B9911" t="s">
        <v>19244</v>
      </c>
      <c r="C9911" t="s">
        <v>28</v>
      </c>
      <c r="D9911" t="s">
        <v>29</v>
      </c>
      <c r="E9911" s="6">
        <v>-28335</v>
      </c>
      <c r="F9911" t="s">
        <v>3346</v>
      </c>
      <c r="G9911" t="s">
        <v>63</v>
      </c>
      <c r="H9911" t="s">
        <v>20</v>
      </c>
      <c r="I9911" t="s">
        <v>19247</v>
      </c>
      <c r="J9911" t="str">
        <f>HYPERLINK("https://www.boe.es/gazeta/dias/1822/06/02/pdfs/GMD-1822-158.pdf#page=6","Abrir facsímil")</f>
        <v>Abrir facsímil</v>
      </c>
      <c r="K9911" t="s">
        <v>22</v>
      </c>
    </row>
    <row r="9912" spans="1:11" ht="42" customHeight="1">
      <c r="A9912" t="s">
        <v>19248</v>
      </c>
      <c r="B9912" t="s">
        <v>19249</v>
      </c>
      <c r="C9912" t="s">
        <v>61</v>
      </c>
      <c r="D9912" t="s">
        <v>17</v>
      </c>
      <c r="E9912" s="6">
        <v>-28481</v>
      </c>
      <c r="F9912" t="s">
        <v>1089</v>
      </c>
      <c r="G9912" t="s">
        <v>57</v>
      </c>
      <c r="H9912" t="s">
        <v>20</v>
      </c>
      <c r="I9912" t="s">
        <v>19250</v>
      </c>
      <c r="J9912" t="str">
        <f>HYPERLINK("https://www.boe.es/gazeta/dias/1822/01/07/pdfs/GMD-1822-7.pdf#page=4","Abrir facsímil")</f>
        <v>Abrir facsímil</v>
      </c>
      <c r="K9912" t="s">
        <v>22</v>
      </c>
    </row>
    <row r="9913" spans="1:11" ht="42" customHeight="1">
      <c r="A9913" t="s">
        <v>19251</v>
      </c>
      <c r="B9913" t="s">
        <v>19252</v>
      </c>
      <c r="C9913" t="s">
        <v>50</v>
      </c>
      <c r="D9913" t="s">
        <v>51</v>
      </c>
      <c r="E9913" s="6">
        <v>-28410</v>
      </c>
      <c r="F9913" t="s">
        <v>966</v>
      </c>
      <c r="G9913" t="s">
        <v>35</v>
      </c>
      <c r="H9913" t="s">
        <v>20</v>
      </c>
      <c r="I9913" t="s">
        <v>19253</v>
      </c>
      <c r="J9913" t="str">
        <f>HYPERLINK("https://www.boe.es/gazeta/dias/1822/03/19/pdfs/GMD-1822-80.pdf#page=2","Abrir facsímil")</f>
        <v>Abrir facsímil</v>
      </c>
      <c r="K9913" t="s">
        <v>22</v>
      </c>
    </row>
    <row r="9914" spans="1:11" ht="42" customHeight="1">
      <c r="A9914" t="s">
        <v>19254</v>
      </c>
      <c r="B9914" t="s">
        <v>19254</v>
      </c>
      <c r="C9914" t="s">
        <v>16</v>
      </c>
      <c r="D9914" t="s">
        <v>17</v>
      </c>
      <c r="E9914" s="6">
        <v>-28381</v>
      </c>
      <c r="F9914" t="s">
        <v>358</v>
      </c>
      <c r="G9914" t="s">
        <v>2269</v>
      </c>
      <c r="H9914" t="s">
        <v>20</v>
      </c>
      <c r="I9914" t="s">
        <v>19255</v>
      </c>
      <c r="J9914" t="str">
        <f>HYPERLINK("https://www.boe.es/gazeta/dias/1822/04/17/pdfs/GMD-1822-109.pdf#page=3","Abrir facsímil")</f>
        <v>Abrir facsímil</v>
      </c>
      <c r="K9914" t="s">
        <v>22</v>
      </c>
    </row>
    <row r="9915" spans="1:11" ht="42" customHeight="1">
      <c r="A9915" t="s">
        <v>19256</v>
      </c>
      <c r="B9915" t="s">
        <v>19256</v>
      </c>
      <c r="C9915" t="s">
        <v>50</v>
      </c>
      <c r="D9915" t="s">
        <v>51</v>
      </c>
      <c r="E9915" s="6">
        <v>-28401</v>
      </c>
      <c r="F9915" t="s">
        <v>108</v>
      </c>
      <c r="G9915" t="s">
        <v>57</v>
      </c>
      <c r="H9915" t="s">
        <v>20</v>
      </c>
      <c r="I9915" t="s">
        <v>19257</v>
      </c>
      <c r="J9915" t="str">
        <f>HYPERLINK("https://www.boe.es/gazeta/dias/1822/03/28/pdfs/GMD-1822-89.pdf#page=4","Abrir facsímil")</f>
        <v>Abrir facsímil</v>
      </c>
      <c r="K9915" t="s">
        <v>22</v>
      </c>
    </row>
    <row r="9916" spans="1:11" ht="42" customHeight="1">
      <c r="A9916" t="s">
        <v>19256</v>
      </c>
      <c r="B9916" t="s">
        <v>19256</v>
      </c>
      <c r="C9916" t="s">
        <v>42</v>
      </c>
      <c r="D9916" t="s">
        <v>17</v>
      </c>
      <c r="E9916" s="6">
        <v>-28361</v>
      </c>
      <c r="F9916" t="s">
        <v>374</v>
      </c>
      <c r="G9916" t="s">
        <v>19</v>
      </c>
      <c r="H9916" t="s">
        <v>20</v>
      </c>
      <c r="I9916" t="s">
        <v>19258</v>
      </c>
      <c r="J9916" t="str">
        <f>HYPERLINK("https://www.boe.es/gazeta/dias/1822/05/07/pdfs/GMD-1822-129.pdf#page=5","Abrir facsímil")</f>
        <v>Abrir facsímil</v>
      </c>
      <c r="K9916" t="s">
        <v>22</v>
      </c>
    </row>
    <row r="9917" spans="1:11" ht="42" customHeight="1">
      <c r="A9917" t="s">
        <v>19256</v>
      </c>
      <c r="B9917" t="s">
        <v>19256</v>
      </c>
      <c r="C9917" t="s">
        <v>42</v>
      </c>
      <c r="D9917" t="s">
        <v>17</v>
      </c>
      <c r="E9917" s="6">
        <v>-28355</v>
      </c>
      <c r="F9917" t="s">
        <v>692</v>
      </c>
      <c r="G9917" t="s">
        <v>19</v>
      </c>
      <c r="H9917" t="s">
        <v>20</v>
      </c>
      <c r="I9917" t="s">
        <v>19259</v>
      </c>
      <c r="J9917" t="str">
        <f>HYPERLINK("https://www.boe.es/gazeta/dias/1822/05/13/pdfs/GMD-1822-135.pdf#page=5","Abrir facsímil")</f>
        <v>Abrir facsímil</v>
      </c>
      <c r="K9917" t="s">
        <v>22</v>
      </c>
    </row>
    <row r="9918" spans="1:11" ht="42" customHeight="1">
      <c r="A9918" t="s">
        <v>19256</v>
      </c>
      <c r="B9918" t="s">
        <v>19256</v>
      </c>
      <c r="C9918" t="s">
        <v>71</v>
      </c>
      <c r="D9918" t="s">
        <v>17</v>
      </c>
      <c r="E9918" s="6">
        <v>-28327</v>
      </c>
      <c r="F9918" t="s">
        <v>38</v>
      </c>
      <c r="G9918" t="s">
        <v>35</v>
      </c>
      <c r="H9918" t="s">
        <v>20</v>
      </c>
      <c r="I9918" t="s">
        <v>19260</v>
      </c>
      <c r="J9918" t="str">
        <f>HYPERLINK("https://www.boe.es/gazeta/dias/1822/06/10/pdfs/GMD-1822-167.pdf#page=2","Abrir facsímil")</f>
        <v>Abrir facsímil</v>
      </c>
      <c r="K9918" t="s">
        <v>22</v>
      </c>
    </row>
    <row r="9919" spans="1:11" ht="42" customHeight="1">
      <c r="A9919" t="s">
        <v>19256</v>
      </c>
      <c r="B9919" t="s">
        <v>19256</v>
      </c>
      <c r="C9919" t="s">
        <v>42</v>
      </c>
      <c r="D9919" t="s">
        <v>17</v>
      </c>
      <c r="E9919" s="6">
        <v>-28323</v>
      </c>
      <c r="F9919" t="s">
        <v>116</v>
      </c>
      <c r="G9919" t="s">
        <v>19</v>
      </c>
      <c r="H9919" t="s">
        <v>20</v>
      </c>
      <c r="I9919" t="s">
        <v>19261</v>
      </c>
      <c r="J9919" t="str">
        <f>HYPERLINK("https://www.boe.es/gazeta/dias/1822/06/14/pdfs/GMD-1822-171.pdf#page=5","Abrir facsímil")</f>
        <v>Abrir facsímil</v>
      </c>
      <c r="K9919" t="s">
        <v>22</v>
      </c>
    </row>
    <row r="9920" spans="1:11" ht="42" customHeight="1">
      <c r="A9920" t="s">
        <v>19256</v>
      </c>
      <c r="B9920" t="s">
        <v>19256</v>
      </c>
      <c r="C9920" t="s">
        <v>42</v>
      </c>
      <c r="D9920" t="s">
        <v>17</v>
      </c>
      <c r="E9920" s="6">
        <v>-28320</v>
      </c>
      <c r="F9920" t="s">
        <v>700</v>
      </c>
      <c r="G9920" t="s">
        <v>31</v>
      </c>
      <c r="H9920" t="s">
        <v>20</v>
      </c>
      <c r="I9920" t="s">
        <v>19262</v>
      </c>
      <c r="J9920" t="str">
        <f>HYPERLINK("https://www.boe.es/gazeta/dias/1822/06/17/pdfs/GMD-1822-174.pdf#page=3","Abrir facsímil")</f>
        <v>Abrir facsímil</v>
      </c>
      <c r="K9920" t="s">
        <v>22</v>
      </c>
    </row>
    <row r="9921" spans="1:11" ht="42" customHeight="1">
      <c r="A9921" t="s">
        <v>19256</v>
      </c>
      <c r="B9921" t="s">
        <v>19256</v>
      </c>
      <c r="C9921" t="s">
        <v>71</v>
      </c>
      <c r="D9921" t="s">
        <v>17</v>
      </c>
      <c r="E9921" s="6">
        <v>-28317</v>
      </c>
      <c r="F9921" t="s">
        <v>546</v>
      </c>
      <c r="G9921" t="s">
        <v>57</v>
      </c>
      <c r="H9921" t="s">
        <v>20</v>
      </c>
      <c r="I9921" t="s">
        <v>19263</v>
      </c>
      <c r="J9921" t="str">
        <f>HYPERLINK("https://www.boe.es/gazeta/dias/1822/06/20/pdfs/GMD-1822-177.pdf#page=4","Abrir facsímil")</f>
        <v>Abrir facsímil</v>
      </c>
      <c r="K9921" t="s">
        <v>22</v>
      </c>
    </row>
    <row r="9922" spans="1:11" ht="42" customHeight="1">
      <c r="A9922" t="s">
        <v>19256</v>
      </c>
      <c r="B9922" t="s">
        <v>19256</v>
      </c>
      <c r="C9922" t="s">
        <v>24</v>
      </c>
      <c r="D9922" t="s">
        <v>17</v>
      </c>
      <c r="E9922" s="6">
        <v>-28314</v>
      </c>
      <c r="F9922" t="s">
        <v>309</v>
      </c>
      <c r="G9922" t="s">
        <v>35</v>
      </c>
      <c r="H9922" t="s">
        <v>20</v>
      </c>
      <c r="I9922" t="s">
        <v>19264</v>
      </c>
      <c r="J9922" t="str">
        <f>HYPERLINK("https://www.boe.es/gazeta/dias/1822/06/23/pdfs/GMD-1822-181.pdf#page=2","Abrir facsímil")</f>
        <v>Abrir facsímil</v>
      </c>
      <c r="K9922" t="s">
        <v>22</v>
      </c>
    </row>
    <row r="9923" spans="1:11" ht="42" customHeight="1">
      <c r="A9923" t="s">
        <v>19256</v>
      </c>
      <c r="B9923" t="s">
        <v>19256</v>
      </c>
      <c r="C9923" t="s">
        <v>71</v>
      </c>
      <c r="D9923" t="s">
        <v>17</v>
      </c>
      <c r="E9923" s="6">
        <v>-28314</v>
      </c>
      <c r="F9923" t="s">
        <v>309</v>
      </c>
      <c r="G9923" t="s">
        <v>19</v>
      </c>
      <c r="H9923" t="s">
        <v>20</v>
      </c>
      <c r="I9923" t="s">
        <v>19265</v>
      </c>
      <c r="J9923" t="str">
        <f>HYPERLINK("https://www.boe.es/gazeta/dias/1822/06/23/pdfs/GMD-1822-181.pdf#page=5","Abrir facsímil")</f>
        <v>Abrir facsímil</v>
      </c>
      <c r="K9923" t="s">
        <v>22</v>
      </c>
    </row>
    <row r="9924" spans="1:11" ht="42" customHeight="1">
      <c r="A9924" t="s">
        <v>19256</v>
      </c>
      <c r="B9924" t="s">
        <v>19256</v>
      </c>
      <c r="C9924" t="s">
        <v>50</v>
      </c>
      <c r="D9924" t="s">
        <v>51</v>
      </c>
      <c r="E9924" s="6">
        <v>-28312</v>
      </c>
      <c r="F9924" t="s">
        <v>92</v>
      </c>
      <c r="G9924" t="s">
        <v>93</v>
      </c>
      <c r="H9924" t="s">
        <v>20</v>
      </c>
      <c r="I9924" t="s">
        <v>19266</v>
      </c>
      <c r="J9924" t="str">
        <f>HYPERLINK("https://www.boe.es/gazeta/dias/1822/06/25/pdfs/GMD-1822-183.pdf#page=4","Abrir facsímil")</f>
        <v>Abrir facsímil</v>
      </c>
      <c r="K9924" t="s">
        <v>22</v>
      </c>
    </row>
    <row r="9925" spans="1:11" ht="42" customHeight="1">
      <c r="A9925" t="s">
        <v>19256</v>
      </c>
      <c r="B9925" t="s">
        <v>19256</v>
      </c>
      <c r="C9925" t="s">
        <v>16</v>
      </c>
      <c r="D9925" t="s">
        <v>17</v>
      </c>
      <c r="E9925" s="6">
        <v>-28311</v>
      </c>
      <c r="F9925" t="s">
        <v>736</v>
      </c>
      <c r="G9925" t="s">
        <v>31</v>
      </c>
      <c r="H9925" t="s">
        <v>20</v>
      </c>
      <c r="I9925" t="s">
        <v>19267</v>
      </c>
      <c r="J9925" t="str">
        <f>HYPERLINK("https://www.boe.es/gazeta/dias/1822/06/26/pdfs/GMD-1822-184.pdf#page=3","Abrir facsímil")</f>
        <v>Abrir facsímil</v>
      </c>
      <c r="K9925" t="s">
        <v>22</v>
      </c>
    </row>
    <row r="9926" spans="1:11" ht="42" customHeight="1">
      <c r="A9926" t="s">
        <v>19256</v>
      </c>
      <c r="B9926" t="s">
        <v>19256</v>
      </c>
      <c r="C9926" t="s">
        <v>71</v>
      </c>
      <c r="D9926" t="s">
        <v>17</v>
      </c>
      <c r="E9926" s="6">
        <v>-28310</v>
      </c>
      <c r="F9926" t="s">
        <v>241</v>
      </c>
      <c r="G9926" t="s">
        <v>35</v>
      </c>
      <c r="H9926" t="s">
        <v>20</v>
      </c>
      <c r="I9926" t="s">
        <v>19268</v>
      </c>
      <c r="J9926" t="str">
        <f>HYPERLINK("https://www.boe.es/gazeta/dias/1822/06/27/pdfs/GMD-1822-185.pdf#page=2","Abrir facsímil")</f>
        <v>Abrir facsímil</v>
      </c>
      <c r="K9926" t="s">
        <v>22</v>
      </c>
    </row>
    <row r="9927" spans="1:11" ht="42" customHeight="1">
      <c r="A9927" t="s">
        <v>19256</v>
      </c>
      <c r="B9927" t="s">
        <v>19256</v>
      </c>
      <c r="C9927" t="s">
        <v>71</v>
      </c>
      <c r="D9927" t="s">
        <v>17</v>
      </c>
      <c r="E9927" s="6">
        <v>-28194</v>
      </c>
      <c r="F9927" t="s">
        <v>18</v>
      </c>
      <c r="G9927" t="s">
        <v>57</v>
      </c>
      <c r="H9927" t="s">
        <v>20</v>
      </c>
      <c r="I9927" t="s">
        <v>19269</v>
      </c>
      <c r="J9927" t="str">
        <f>HYPERLINK("https://www.boe.es/gazeta/dias/1822/10/21/pdfs/GMD-1822-308.pdf#page=4","Abrir facsímil")</f>
        <v>Abrir facsímil</v>
      </c>
      <c r="K9927" t="s">
        <v>22</v>
      </c>
    </row>
    <row r="9928" spans="1:11" ht="42" customHeight="1">
      <c r="A9928" t="s">
        <v>19256</v>
      </c>
      <c r="B9928" t="s">
        <v>19256</v>
      </c>
      <c r="C9928" t="s">
        <v>50</v>
      </c>
      <c r="D9928" t="s">
        <v>51</v>
      </c>
      <c r="E9928" s="6">
        <v>-28185</v>
      </c>
      <c r="F9928" t="s">
        <v>933</v>
      </c>
      <c r="G9928" t="s">
        <v>35</v>
      </c>
      <c r="H9928" t="s">
        <v>20</v>
      </c>
      <c r="I9928" t="s">
        <v>19270</v>
      </c>
      <c r="J9928" t="str">
        <f>HYPERLINK("https://www.boe.es/gazeta/dias/1822/10/30/pdfs/GMD-1822-317.pdf#page=2","Abrir facsímil")</f>
        <v>Abrir facsímil</v>
      </c>
      <c r="K9928" t="s">
        <v>22</v>
      </c>
    </row>
    <row r="9929" spans="1:11" ht="42" customHeight="1">
      <c r="A9929" t="s">
        <v>19256</v>
      </c>
      <c r="B9929" t="s">
        <v>19256</v>
      </c>
      <c r="C9929" t="s">
        <v>28</v>
      </c>
      <c r="D9929" t="s">
        <v>29</v>
      </c>
      <c r="E9929" s="6">
        <v>-28184</v>
      </c>
      <c r="F9929" t="s">
        <v>1423</v>
      </c>
      <c r="G9929" t="s">
        <v>57</v>
      </c>
      <c r="H9929" t="s">
        <v>20</v>
      </c>
      <c r="I9929" t="s">
        <v>19271</v>
      </c>
      <c r="J9929" t="str">
        <f>HYPERLINK("https://www.boe.es/gazeta/dias/1822/10/31/pdfs/GMD-1822-318.pdf#page=4","Abrir facsímil")</f>
        <v>Abrir facsímil</v>
      </c>
      <c r="K9929" t="s">
        <v>22</v>
      </c>
    </row>
    <row r="9930" spans="1:11" ht="42" customHeight="1">
      <c r="A9930" t="s">
        <v>19256</v>
      </c>
      <c r="B9930" t="s">
        <v>19256</v>
      </c>
      <c r="C9930" t="s">
        <v>28</v>
      </c>
      <c r="D9930" t="s">
        <v>29</v>
      </c>
      <c r="E9930" s="6">
        <v>-28152</v>
      </c>
      <c r="F9930" t="s">
        <v>122</v>
      </c>
      <c r="G9930" t="s">
        <v>35</v>
      </c>
      <c r="H9930" t="s">
        <v>20</v>
      </c>
      <c r="I9930" t="s">
        <v>19272</v>
      </c>
      <c r="J9930" t="str">
        <f>HYPERLINK("https://www.boe.es/gazeta/dias/1822/12/02/pdfs/GMD-1822-352.pdf#page=2","Abrir facsímil")</f>
        <v>Abrir facsímil</v>
      </c>
      <c r="K9930" t="s">
        <v>22</v>
      </c>
    </row>
    <row r="9931" spans="1:11" ht="42" customHeight="1">
      <c r="A9931" t="s">
        <v>19273</v>
      </c>
      <c r="B9931" t="s">
        <v>19274</v>
      </c>
      <c r="C9931" t="s">
        <v>28</v>
      </c>
      <c r="D9931" t="s">
        <v>29</v>
      </c>
      <c r="E9931" s="6">
        <v>-28432</v>
      </c>
      <c r="F9931" t="s">
        <v>195</v>
      </c>
      <c r="G9931" t="s">
        <v>57</v>
      </c>
      <c r="H9931" t="s">
        <v>45</v>
      </c>
      <c r="I9931" t="s">
        <v>19275</v>
      </c>
      <c r="J9931" t="str">
        <f>HYPERLINK("https://www.boe.es/gazeta/dias/1822/02/25/pdfs/GMD-1822-57.pdf#page=4","Abrir facsímil")</f>
        <v>Abrir facsímil</v>
      </c>
      <c r="K9931" t="s">
        <v>47</v>
      </c>
    </row>
    <row r="9932" spans="1:11" ht="42" customHeight="1">
      <c r="A9932" t="s">
        <v>19276</v>
      </c>
      <c r="B9932" t="s">
        <v>19277</v>
      </c>
      <c r="C9932" t="s">
        <v>16</v>
      </c>
      <c r="D9932" t="s">
        <v>17</v>
      </c>
      <c r="E9932" s="6">
        <v>-28311</v>
      </c>
      <c r="F9932" t="s">
        <v>736</v>
      </c>
      <c r="G9932" t="s">
        <v>157</v>
      </c>
      <c r="H9932" t="s">
        <v>20</v>
      </c>
      <c r="I9932" t="s">
        <v>19278</v>
      </c>
      <c r="J9932" t="str">
        <f>HYPERLINK("https://www.boe.es/gazeta/dias/1822/06/26/pdfs/GMD-1822-184.pdf#page=8","Abrir facsímil")</f>
        <v>Abrir facsímil</v>
      </c>
      <c r="K9932" t="s">
        <v>22</v>
      </c>
    </row>
    <row r="9933" spans="1:11" ht="42" customHeight="1">
      <c r="A9933" t="s">
        <v>19279</v>
      </c>
      <c r="B9933" t="s">
        <v>19280</v>
      </c>
      <c r="C9933" t="s">
        <v>50</v>
      </c>
      <c r="D9933" t="s">
        <v>51</v>
      </c>
      <c r="E9933" s="6">
        <v>-28383</v>
      </c>
      <c r="F9933" t="s">
        <v>488</v>
      </c>
      <c r="G9933" t="s">
        <v>63</v>
      </c>
      <c r="H9933" t="s">
        <v>20</v>
      </c>
      <c r="I9933" t="s">
        <v>19281</v>
      </c>
      <c r="J9933" t="str">
        <f>HYPERLINK("https://www.boe.es/gazeta/dias/1822/04/15/pdfs/GMD-1822-107.pdf#page=6","Abrir facsímil")</f>
        <v>Abrir facsímil</v>
      </c>
      <c r="K9933" t="s">
        <v>22</v>
      </c>
    </row>
    <row r="9934" spans="1:11" ht="42" customHeight="1">
      <c r="A9934" t="s">
        <v>19282</v>
      </c>
      <c r="B9934" t="s">
        <v>19282</v>
      </c>
      <c r="C9934" t="s">
        <v>50</v>
      </c>
      <c r="D9934" t="s">
        <v>51</v>
      </c>
      <c r="E9934" s="6">
        <v>-28289</v>
      </c>
      <c r="F9934" t="s">
        <v>390</v>
      </c>
      <c r="G9934" t="s">
        <v>35</v>
      </c>
      <c r="H9934" t="s">
        <v>20</v>
      </c>
      <c r="I9934" t="s">
        <v>19283</v>
      </c>
      <c r="J9934" t="str">
        <f>HYPERLINK("https://www.boe.es/gazeta/dias/1822/07/18/pdfs/GMD-1822-209.pdf#page=2","Abrir facsímil")</f>
        <v>Abrir facsímil</v>
      </c>
      <c r="K9934" t="s">
        <v>22</v>
      </c>
    </row>
    <row r="9935" spans="1:11" ht="42" customHeight="1">
      <c r="A9935" t="s">
        <v>19284</v>
      </c>
      <c r="B9935" t="s">
        <v>19285</v>
      </c>
      <c r="C9935" t="s">
        <v>50</v>
      </c>
      <c r="D9935" t="s">
        <v>51</v>
      </c>
      <c r="E9935" s="6">
        <v>-28322</v>
      </c>
      <c r="F9935" t="s">
        <v>2205</v>
      </c>
      <c r="G9935" t="s">
        <v>3031</v>
      </c>
      <c r="H9935" t="s">
        <v>20</v>
      </c>
      <c r="I9935" t="s">
        <v>19286</v>
      </c>
      <c r="J9935" t="str">
        <f>HYPERLINK("https://www.boe.es/gazeta/dias/1822/06/15/pdfs/GMD-1822-172.pdf#page=2","Abrir facsímil")</f>
        <v>Abrir facsímil</v>
      </c>
      <c r="K9935" t="s">
        <v>22</v>
      </c>
    </row>
    <row r="9936" spans="1:11" ht="42" customHeight="1">
      <c r="A9936" t="s">
        <v>19287</v>
      </c>
      <c r="B9936" t="s">
        <v>19287</v>
      </c>
      <c r="C9936" t="s">
        <v>28</v>
      </c>
      <c r="D9936" t="s">
        <v>29</v>
      </c>
      <c r="E9936" s="6">
        <v>-28307</v>
      </c>
      <c r="F9936" t="s">
        <v>555</v>
      </c>
      <c r="G9936" t="s">
        <v>63</v>
      </c>
      <c r="H9936" t="s">
        <v>20</v>
      </c>
      <c r="I9936" t="s">
        <v>19288</v>
      </c>
      <c r="J9936" t="str">
        <f>HYPERLINK("https://www.boe.es/gazeta/dias/1822/06/30/pdfs/GMD-1822-188.pdf#page=6","Abrir facsímil")</f>
        <v>Abrir facsímil</v>
      </c>
      <c r="K9936" t="s">
        <v>22</v>
      </c>
    </row>
    <row r="9937" spans="1:11" ht="42" customHeight="1">
      <c r="A9937" t="s">
        <v>19289</v>
      </c>
      <c r="B9937" t="s">
        <v>19289</v>
      </c>
      <c r="C9937" t="s">
        <v>71</v>
      </c>
      <c r="D9937" t="s">
        <v>17</v>
      </c>
      <c r="E9937" s="6">
        <v>-28180</v>
      </c>
      <c r="F9937" t="s">
        <v>839</v>
      </c>
      <c r="G9937" t="s">
        <v>57</v>
      </c>
      <c r="H9937" t="s">
        <v>20</v>
      </c>
      <c r="I9937" t="s">
        <v>19290</v>
      </c>
      <c r="J9937" t="str">
        <f>HYPERLINK("https://www.boe.es/gazeta/dias/1822/11/04/pdfs/GMD-1822-323.pdf#page=4","Abrir facsímil")</f>
        <v>Abrir facsímil</v>
      </c>
      <c r="K9937" t="s">
        <v>22</v>
      </c>
    </row>
    <row r="9938" spans="1:11" ht="42" customHeight="1">
      <c r="A9938" t="s">
        <v>19291</v>
      </c>
      <c r="B9938" t="s">
        <v>19291</v>
      </c>
      <c r="C9938" t="s">
        <v>42</v>
      </c>
      <c r="D9938" t="s">
        <v>17</v>
      </c>
      <c r="E9938" s="6">
        <v>-28376</v>
      </c>
      <c r="F9938" t="s">
        <v>500</v>
      </c>
      <c r="G9938" t="s">
        <v>501</v>
      </c>
      <c r="H9938" t="s">
        <v>20</v>
      </c>
      <c r="I9938" t="s">
        <v>19292</v>
      </c>
      <c r="J9938" t="str">
        <f>HYPERLINK("https://www.boe.es/gazeta/dias/1822/04/22/pdfs/GMD-1822-114.pdf#page=3","Abrir facsímil")</f>
        <v>Abrir facsímil</v>
      </c>
      <c r="K9938" t="s">
        <v>22</v>
      </c>
    </row>
    <row r="9939" spans="1:11" ht="42" customHeight="1">
      <c r="A9939" t="s">
        <v>19293</v>
      </c>
      <c r="B9939" t="s">
        <v>19294</v>
      </c>
      <c r="C9939" t="s">
        <v>42</v>
      </c>
      <c r="D9939" t="s">
        <v>17</v>
      </c>
      <c r="E9939" s="6">
        <v>-28328</v>
      </c>
      <c r="F9939" t="s">
        <v>540</v>
      </c>
      <c r="G9939" t="s">
        <v>541</v>
      </c>
      <c r="H9939" t="s">
        <v>45</v>
      </c>
      <c r="I9939" t="s">
        <v>19295</v>
      </c>
      <c r="J9939" t="str">
        <f>HYPERLINK("https://www.boe.es/gazeta/dias/1822/06/09/pdfs/GMD-1822-166.pdf#page=4","Abrir facsímil")</f>
        <v>Abrir facsímil</v>
      </c>
      <c r="K9939" t="s">
        <v>47</v>
      </c>
    </row>
    <row r="9940" spans="1:11" ht="42" customHeight="1">
      <c r="A9940" t="s">
        <v>19296</v>
      </c>
      <c r="B9940" t="s">
        <v>19297</v>
      </c>
      <c r="C9940" t="s">
        <v>28</v>
      </c>
      <c r="D9940" t="s">
        <v>29</v>
      </c>
      <c r="E9940" s="6">
        <v>-28426</v>
      </c>
      <c r="F9940" t="s">
        <v>1178</v>
      </c>
      <c r="G9940" t="s">
        <v>35</v>
      </c>
      <c r="H9940" t="s">
        <v>45</v>
      </c>
      <c r="I9940" t="s">
        <v>19298</v>
      </c>
      <c r="J9940" t="str">
        <f>HYPERLINK("https://www.boe.es/gazeta/dias/1822/03/03/pdfs/GMD-1822-64.pdf#page=2","Abrir facsímil")</f>
        <v>Abrir facsímil</v>
      </c>
      <c r="K9940" t="s">
        <v>47</v>
      </c>
    </row>
    <row r="9941" spans="1:11" ht="42" customHeight="1">
      <c r="A9941" t="s">
        <v>19299</v>
      </c>
      <c r="B9941" t="s">
        <v>19300</v>
      </c>
      <c r="C9941" t="s">
        <v>42</v>
      </c>
      <c r="D9941" t="s">
        <v>17</v>
      </c>
      <c r="E9941" s="6">
        <v>-28201</v>
      </c>
      <c r="F9941" t="s">
        <v>163</v>
      </c>
      <c r="G9941" t="s">
        <v>63</v>
      </c>
      <c r="H9941" t="s">
        <v>45</v>
      </c>
      <c r="I9941" t="s">
        <v>19301</v>
      </c>
      <c r="J9941" t="str">
        <f>HYPERLINK("https://www.boe.es/gazeta/dias/1822/10/14/pdfs/GMD-1822-301.pdf#page=6","Abrir facsímil")</f>
        <v>Abrir facsímil</v>
      </c>
      <c r="K9941" t="s">
        <v>47</v>
      </c>
    </row>
    <row r="9942" spans="1:11" ht="42" customHeight="1">
      <c r="A9942" t="s">
        <v>19302</v>
      </c>
      <c r="B9942" t="s">
        <v>19303</v>
      </c>
      <c r="C9942" t="s">
        <v>28</v>
      </c>
      <c r="D9942" t="s">
        <v>29</v>
      </c>
      <c r="E9942" s="6">
        <v>-28420</v>
      </c>
      <c r="F9942" t="s">
        <v>449</v>
      </c>
      <c r="G9942" t="s">
        <v>31</v>
      </c>
      <c r="H9942" t="s">
        <v>45</v>
      </c>
      <c r="I9942" t="s">
        <v>19304</v>
      </c>
      <c r="J9942" t="str">
        <f>HYPERLINK("https://www.boe.es/gazeta/dias/1822/03/09/pdfs/GMD-1822-70.pdf#page=3","Abrir facsímil")</f>
        <v>Abrir facsímil</v>
      </c>
      <c r="K9942" t="s">
        <v>47</v>
      </c>
    </row>
    <row r="9943" spans="1:11" ht="42" customHeight="1">
      <c r="A9943" t="s">
        <v>19305</v>
      </c>
      <c r="B9943" t="s">
        <v>19306</v>
      </c>
      <c r="C9943" t="s">
        <v>71</v>
      </c>
      <c r="D9943" t="s">
        <v>17</v>
      </c>
      <c r="E9943" s="6">
        <v>-28129</v>
      </c>
      <c r="F9943" t="s">
        <v>599</v>
      </c>
      <c r="G9943" t="s">
        <v>57</v>
      </c>
      <c r="H9943" t="s">
        <v>45</v>
      </c>
      <c r="I9943" t="s">
        <v>19307</v>
      </c>
      <c r="J9943" t="str">
        <f>HYPERLINK("https://www.boe.es/gazeta/dias/1822/12/25/pdfs/GMD-1822-375.pdf#page=4","Abrir facsímil")</f>
        <v>Abrir facsímil</v>
      </c>
      <c r="K9943" t="s">
        <v>47</v>
      </c>
    </row>
    <row r="9944" spans="1:11" ht="42" customHeight="1">
      <c r="A9944" t="s">
        <v>19308</v>
      </c>
      <c r="B9944" t="s">
        <v>19309</v>
      </c>
      <c r="C9944" t="s">
        <v>28</v>
      </c>
      <c r="D9944" t="s">
        <v>29</v>
      </c>
      <c r="E9944" s="6">
        <v>-28335</v>
      </c>
      <c r="F9944" t="s">
        <v>3346</v>
      </c>
      <c r="G9944" t="s">
        <v>63</v>
      </c>
      <c r="H9944" t="s">
        <v>45</v>
      </c>
      <c r="I9944" t="s">
        <v>19310</v>
      </c>
      <c r="J9944" t="str">
        <f>HYPERLINK("https://www.boe.es/gazeta/dias/1822/06/02/pdfs/GMD-1822-158.pdf#page=6","Abrir facsímil")</f>
        <v>Abrir facsímil</v>
      </c>
      <c r="K9944" t="s">
        <v>47</v>
      </c>
    </row>
    <row r="9945" spans="1:11" ht="42" customHeight="1">
      <c r="A9945" t="s">
        <v>19311</v>
      </c>
      <c r="B9945" t="s">
        <v>19312</v>
      </c>
      <c r="C9945" t="s">
        <v>42</v>
      </c>
      <c r="D9945" t="s">
        <v>17</v>
      </c>
      <c r="E9945" s="6">
        <v>-28295</v>
      </c>
      <c r="F9945" t="s">
        <v>81</v>
      </c>
      <c r="G9945" t="s">
        <v>57</v>
      </c>
      <c r="H9945" t="s">
        <v>45</v>
      </c>
      <c r="I9945" t="s">
        <v>19313</v>
      </c>
      <c r="J9945" t="str">
        <f>HYPERLINK("https://www.boe.es/gazeta/dias/1822/07/12/pdfs/GMD-1822-202.pdf#page=4","Abrir facsímil")</f>
        <v>Abrir facsímil</v>
      </c>
      <c r="K9945" t="s">
        <v>47</v>
      </c>
    </row>
    <row r="9946" spans="1:11" ht="42" customHeight="1">
      <c r="A9946" t="s">
        <v>19314</v>
      </c>
      <c r="B9946" t="s">
        <v>19315</v>
      </c>
      <c r="C9946" t="s">
        <v>50</v>
      </c>
      <c r="D9946" t="s">
        <v>51</v>
      </c>
      <c r="E9946" s="6">
        <v>-28258</v>
      </c>
      <c r="F9946" t="s">
        <v>88</v>
      </c>
      <c r="G9946" t="s">
        <v>31</v>
      </c>
      <c r="H9946" t="s">
        <v>45</v>
      </c>
      <c r="I9946" t="s">
        <v>19316</v>
      </c>
      <c r="J9946" t="str">
        <f>HYPERLINK("https://www.boe.es/gazeta/dias/1822/08/18/pdfs/GMD-1822-242.pdf#page=3","Abrir facsímil")</f>
        <v>Abrir facsímil</v>
      </c>
      <c r="K9946" t="s">
        <v>47</v>
      </c>
    </row>
    <row r="9947" spans="1:11" ht="42" customHeight="1">
      <c r="A9947" t="s">
        <v>19317</v>
      </c>
      <c r="B9947" t="s">
        <v>19318</v>
      </c>
      <c r="C9947" t="s">
        <v>50</v>
      </c>
      <c r="D9947" t="s">
        <v>51</v>
      </c>
      <c r="E9947" s="6">
        <v>-28415</v>
      </c>
      <c r="F9947" t="s">
        <v>77</v>
      </c>
      <c r="G9947" t="s">
        <v>35</v>
      </c>
      <c r="H9947" t="s">
        <v>45</v>
      </c>
      <c r="I9947" t="s">
        <v>19319</v>
      </c>
      <c r="J9947" t="str">
        <f>HYPERLINK("https://www.boe.es/gazeta/dias/1822/03/14/pdfs/GMD-1822-75.pdf#page=2","Abrir facsímil")</f>
        <v>Abrir facsímil</v>
      </c>
      <c r="K9947" t="s">
        <v>47</v>
      </c>
    </row>
    <row r="9948" spans="1:11" ht="42" customHeight="1">
      <c r="A9948" t="s">
        <v>19320</v>
      </c>
      <c r="B9948" t="s">
        <v>19321</v>
      </c>
      <c r="C9948" t="s">
        <v>50</v>
      </c>
      <c r="D9948" t="s">
        <v>51</v>
      </c>
      <c r="E9948" s="6">
        <v>-28326</v>
      </c>
      <c r="F9948" t="s">
        <v>543</v>
      </c>
      <c r="G9948" t="s">
        <v>63</v>
      </c>
      <c r="H9948" t="s">
        <v>45</v>
      </c>
      <c r="I9948" t="s">
        <v>19322</v>
      </c>
      <c r="J9948" t="str">
        <f>HYPERLINK("https://www.boe.es/gazeta/dias/1822/06/11/pdfs/GMD-1822-168.pdf#page=6","Abrir facsímil")</f>
        <v>Abrir facsímil</v>
      </c>
      <c r="K9948" t="s">
        <v>47</v>
      </c>
    </row>
    <row r="9949" spans="1:11" ht="42" customHeight="1">
      <c r="A9949" t="s">
        <v>19323</v>
      </c>
      <c r="B9949" t="s">
        <v>19324</v>
      </c>
      <c r="C9949" t="s">
        <v>50</v>
      </c>
      <c r="D9949" t="s">
        <v>51</v>
      </c>
      <c r="E9949" s="6">
        <v>-28398</v>
      </c>
      <c r="F9949" t="s">
        <v>1961</v>
      </c>
      <c r="G9949" t="s">
        <v>35</v>
      </c>
      <c r="H9949" t="s">
        <v>45</v>
      </c>
      <c r="I9949" t="s">
        <v>19325</v>
      </c>
      <c r="J9949" t="str">
        <f>HYPERLINK("https://www.boe.es/gazeta/dias/1822/03/31/pdfs/GMD-1822-92.pdf#page=2","Abrir facsímil")</f>
        <v>Abrir facsímil</v>
      </c>
      <c r="K9949" t="s">
        <v>47</v>
      </c>
    </row>
    <row r="9950" spans="1:11" ht="42" customHeight="1">
      <c r="A9950" t="s">
        <v>19326</v>
      </c>
      <c r="B9950" t="s">
        <v>19327</v>
      </c>
      <c r="C9950" t="s">
        <v>71</v>
      </c>
      <c r="D9950" t="s">
        <v>17</v>
      </c>
      <c r="E9950" s="6">
        <v>-28258</v>
      </c>
      <c r="F9950" t="s">
        <v>88</v>
      </c>
      <c r="G9950" t="s">
        <v>31</v>
      </c>
      <c r="H9950" t="s">
        <v>45</v>
      </c>
      <c r="I9950" t="s">
        <v>19328</v>
      </c>
      <c r="J9950" t="str">
        <f>HYPERLINK("https://www.boe.es/gazeta/dias/1822/08/18/pdfs/GMD-1822-242.pdf#page=3","Abrir facsímil")</f>
        <v>Abrir facsímil</v>
      </c>
      <c r="K9950" t="s">
        <v>47</v>
      </c>
    </row>
    <row r="9951" spans="1:11" ht="42" customHeight="1">
      <c r="A9951" t="s">
        <v>19329</v>
      </c>
      <c r="B9951" t="s">
        <v>19329</v>
      </c>
      <c r="C9951" t="s">
        <v>362</v>
      </c>
      <c r="D9951" t="s">
        <v>17</v>
      </c>
      <c r="E9951" s="6">
        <v>-28478</v>
      </c>
      <c r="F9951" t="s">
        <v>1093</v>
      </c>
      <c r="G9951" t="s">
        <v>35</v>
      </c>
      <c r="H9951" t="s">
        <v>20</v>
      </c>
      <c r="I9951" t="s">
        <v>19330</v>
      </c>
      <c r="J9951" t="str">
        <f>HYPERLINK("https://www.boe.es/gazeta/dias/1822/01/10/pdfs/GMD-1822-10.pdf#page=2","Abrir facsímil")</f>
        <v>Abrir facsímil</v>
      </c>
      <c r="K9951" t="s">
        <v>22</v>
      </c>
    </row>
    <row r="9952" spans="1:11" ht="42" customHeight="1">
      <c r="A9952" t="s">
        <v>19329</v>
      </c>
      <c r="B9952" t="s">
        <v>19329</v>
      </c>
      <c r="C9952" t="s">
        <v>16</v>
      </c>
      <c r="D9952" t="s">
        <v>17</v>
      </c>
      <c r="E9952" s="6">
        <v>-28473</v>
      </c>
      <c r="F9952" t="s">
        <v>2337</v>
      </c>
      <c r="G9952" t="s">
        <v>31</v>
      </c>
      <c r="H9952" t="s">
        <v>20</v>
      </c>
      <c r="I9952" t="s">
        <v>19331</v>
      </c>
      <c r="J9952" t="str">
        <f>HYPERLINK("https://www.boe.es/gazeta/dias/1822/01/15/pdfs/GMD-1822-15.pdf#page=3","Abrir facsímil")</f>
        <v>Abrir facsímil</v>
      </c>
      <c r="K9952" t="s">
        <v>22</v>
      </c>
    </row>
    <row r="9953" spans="1:11" ht="42" customHeight="1">
      <c r="A9953" t="s">
        <v>19332</v>
      </c>
      <c r="B9953" t="s">
        <v>19333</v>
      </c>
      <c r="C9953" t="s">
        <v>42</v>
      </c>
      <c r="D9953" t="s">
        <v>17</v>
      </c>
      <c r="E9953" s="6">
        <v>-28346</v>
      </c>
      <c r="F9953" t="s">
        <v>191</v>
      </c>
      <c r="G9953" t="s">
        <v>63</v>
      </c>
      <c r="H9953" t="s">
        <v>20</v>
      </c>
      <c r="I9953" t="s">
        <v>19334</v>
      </c>
      <c r="J9953" t="str">
        <f>HYPERLINK("https://www.boe.es/gazeta/dias/1822/05/22/pdfs/GMD-1822-145.pdf#page=6","Abrir facsímil")</f>
        <v>Abrir facsímil</v>
      </c>
      <c r="K9953" t="s">
        <v>22</v>
      </c>
    </row>
    <row r="9954" spans="1:11" ht="42" customHeight="1">
      <c r="A9954" t="s">
        <v>19335</v>
      </c>
      <c r="B9954" t="s">
        <v>19336</v>
      </c>
      <c r="C9954" t="s">
        <v>50</v>
      </c>
      <c r="D9954" t="s">
        <v>51</v>
      </c>
      <c r="E9954" s="6">
        <v>-28450</v>
      </c>
      <c r="F9954" t="s">
        <v>1450</v>
      </c>
      <c r="G9954" t="s">
        <v>19337</v>
      </c>
      <c r="H9954" t="s">
        <v>20</v>
      </c>
      <c r="I9954" t="s">
        <v>19338</v>
      </c>
      <c r="J9954" t="str">
        <f>HYPERLINK("https://www.boe.es/gazeta/dias/1822/02/07/pdfs/GMD-1822-38.pdf#page=4","Abrir facsímil")</f>
        <v>Abrir facsímil</v>
      </c>
      <c r="K9954" t="s">
        <v>22</v>
      </c>
    </row>
    <row r="9955" spans="1:11" ht="42" customHeight="1">
      <c r="A9955" t="s">
        <v>19335</v>
      </c>
      <c r="B9955" t="s">
        <v>19336</v>
      </c>
      <c r="C9955" t="s">
        <v>50</v>
      </c>
      <c r="D9955" t="s">
        <v>51</v>
      </c>
      <c r="E9955" s="6">
        <v>-28206</v>
      </c>
      <c r="F9955" t="s">
        <v>562</v>
      </c>
      <c r="G9955" t="s">
        <v>57</v>
      </c>
      <c r="H9955" t="s">
        <v>20</v>
      </c>
      <c r="I9955" t="s">
        <v>19339</v>
      </c>
      <c r="J9955" t="str">
        <f>HYPERLINK("https://www.boe.es/gazeta/dias/1822/10/09/pdfs/GMD-1822-296.pdf#page=4","Abrir facsímil")</f>
        <v>Abrir facsímil</v>
      </c>
      <c r="K9955" t="s">
        <v>22</v>
      </c>
    </row>
    <row r="9956" spans="1:11" ht="42" customHeight="1">
      <c r="A9956" t="s">
        <v>19340</v>
      </c>
      <c r="B9956" t="s">
        <v>19341</v>
      </c>
      <c r="C9956" t="s">
        <v>71</v>
      </c>
      <c r="D9956" t="s">
        <v>17</v>
      </c>
      <c r="E9956" s="6">
        <v>-28174</v>
      </c>
      <c r="F9956" t="s">
        <v>881</v>
      </c>
      <c r="G9956" t="s">
        <v>35</v>
      </c>
      <c r="H9956" t="s">
        <v>20</v>
      </c>
      <c r="I9956" t="s">
        <v>19342</v>
      </c>
      <c r="J9956" t="str">
        <f>HYPERLINK("https://www.boe.es/gazeta/dias/1822/11/10/pdfs/GMD-1822-330.pdf#page=2","Abrir facsímil")</f>
        <v>Abrir facsímil</v>
      </c>
      <c r="K9956" t="s">
        <v>22</v>
      </c>
    </row>
    <row r="9957" spans="1:11" ht="42" customHeight="1">
      <c r="A9957" t="s">
        <v>19343</v>
      </c>
      <c r="B9957" t="s">
        <v>19344</v>
      </c>
      <c r="C9957" t="s">
        <v>24</v>
      </c>
      <c r="D9957" t="s">
        <v>17</v>
      </c>
      <c r="E9957" s="6">
        <v>-28430</v>
      </c>
      <c r="F9957" t="s">
        <v>3437</v>
      </c>
      <c r="G9957" t="s">
        <v>57</v>
      </c>
      <c r="H9957" t="s">
        <v>20</v>
      </c>
      <c r="I9957" t="s">
        <v>19345</v>
      </c>
      <c r="J9957" t="str">
        <f>HYPERLINK("https://www.boe.es/gazeta/dias/1822/02/27/pdfs/GMD-1822-59.pdf#page=4","Abrir facsímil")</f>
        <v>Abrir facsímil</v>
      </c>
      <c r="K9957" t="s">
        <v>22</v>
      </c>
    </row>
    <row r="9958" spans="1:11" ht="42" customHeight="1">
      <c r="A9958" t="s">
        <v>19346</v>
      </c>
      <c r="B9958" t="s">
        <v>19347</v>
      </c>
      <c r="C9958" t="s">
        <v>24</v>
      </c>
      <c r="D9958" t="s">
        <v>17</v>
      </c>
      <c r="E9958" s="6">
        <v>-28451</v>
      </c>
      <c r="F9958" t="s">
        <v>1674</v>
      </c>
      <c r="G9958" t="s">
        <v>63</v>
      </c>
      <c r="H9958" t="s">
        <v>20</v>
      </c>
      <c r="I9958" t="s">
        <v>19348</v>
      </c>
      <c r="J9958" t="str">
        <f>HYPERLINK("https://www.boe.es/gazeta/dias/1822/02/06/pdfs/GMD-1822-37.pdf#page=6","Abrir facsímil")</f>
        <v>Abrir facsímil</v>
      </c>
      <c r="K9958" t="s">
        <v>22</v>
      </c>
    </row>
    <row r="9959" spans="1:11" ht="42" customHeight="1">
      <c r="A9959" t="s">
        <v>19349</v>
      </c>
      <c r="B9959" t="s">
        <v>19350</v>
      </c>
      <c r="C9959" t="s">
        <v>71</v>
      </c>
      <c r="D9959" t="s">
        <v>17</v>
      </c>
      <c r="E9959" s="6">
        <v>-28415</v>
      </c>
      <c r="F9959" t="s">
        <v>77</v>
      </c>
      <c r="G9959" t="s">
        <v>35</v>
      </c>
      <c r="H9959" t="s">
        <v>20</v>
      </c>
      <c r="I9959" t="s">
        <v>19351</v>
      </c>
      <c r="J9959" t="str">
        <f>HYPERLINK("https://www.boe.es/gazeta/dias/1822/03/14/pdfs/GMD-1822-75.pdf#page=2","Abrir facsímil")</f>
        <v>Abrir facsímil</v>
      </c>
      <c r="K9959" t="s">
        <v>22</v>
      </c>
    </row>
    <row r="9960" spans="1:11" ht="42" customHeight="1">
      <c r="A9960" t="s">
        <v>19352</v>
      </c>
      <c r="B9960" t="s">
        <v>19353</v>
      </c>
      <c r="C9960" t="s">
        <v>61</v>
      </c>
      <c r="D9960" t="s">
        <v>17</v>
      </c>
      <c r="E9960" s="6">
        <v>-28455</v>
      </c>
      <c r="F9960" t="s">
        <v>1107</v>
      </c>
      <c r="G9960" t="s">
        <v>35</v>
      </c>
      <c r="H9960" t="s">
        <v>20</v>
      </c>
      <c r="I9960" t="s">
        <v>19354</v>
      </c>
      <c r="J9960" t="str">
        <f>HYPERLINK("https://www.boe.es/gazeta/dias/1822/02/02/pdfs/GMD-1822-33.pdf#page=2","Abrir facsímil")</f>
        <v>Abrir facsímil</v>
      </c>
      <c r="K9960" t="s">
        <v>22</v>
      </c>
    </row>
    <row r="9961" spans="1:11" ht="42" customHeight="1">
      <c r="A9961" t="s">
        <v>19355</v>
      </c>
      <c r="B9961" t="s">
        <v>19355</v>
      </c>
      <c r="C9961" t="s">
        <v>50</v>
      </c>
      <c r="D9961" t="s">
        <v>51</v>
      </c>
      <c r="E9961" s="6">
        <v>-28162</v>
      </c>
      <c r="F9961" t="s">
        <v>3949</v>
      </c>
      <c r="G9961" t="s">
        <v>31</v>
      </c>
      <c r="H9961" t="s">
        <v>20</v>
      </c>
      <c r="I9961" t="s">
        <v>19356</v>
      </c>
      <c r="J9961" t="str">
        <f>HYPERLINK("https://www.boe.es/gazeta/dias/1822/11/22/pdfs/GMD-1822-342.pdf#page=3","Abrir facsímil")</f>
        <v>Abrir facsímil</v>
      </c>
      <c r="K9961" t="s">
        <v>22</v>
      </c>
    </row>
    <row r="9962" spans="1:11" ht="42" customHeight="1">
      <c r="A9962" t="s">
        <v>19357</v>
      </c>
      <c r="B9962" t="s">
        <v>19358</v>
      </c>
      <c r="C9962" t="s">
        <v>50</v>
      </c>
      <c r="D9962" t="s">
        <v>51</v>
      </c>
      <c r="E9962" s="6">
        <v>-28395</v>
      </c>
      <c r="F9962" t="s">
        <v>237</v>
      </c>
      <c r="G9962" t="s">
        <v>57</v>
      </c>
      <c r="H9962" t="s">
        <v>20</v>
      </c>
      <c r="I9962" t="s">
        <v>19359</v>
      </c>
      <c r="J9962" t="str">
        <f>HYPERLINK("https://www.boe.es/gazeta/dias/1822/04/03/pdfs/GMD-1822-95.pdf#page=4","Abrir facsímil")</f>
        <v>Abrir facsímil</v>
      </c>
      <c r="K9962" t="s">
        <v>22</v>
      </c>
    </row>
    <row r="9963" spans="1:11" ht="42" customHeight="1">
      <c r="A9963" t="s">
        <v>19360</v>
      </c>
      <c r="B9963" t="s">
        <v>19361</v>
      </c>
      <c r="C9963" t="s">
        <v>28</v>
      </c>
      <c r="D9963" t="s">
        <v>29</v>
      </c>
      <c r="E9963" s="6">
        <v>-28360</v>
      </c>
      <c r="F9963" t="s">
        <v>514</v>
      </c>
      <c r="G9963" t="s">
        <v>57</v>
      </c>
      <c r="H9963" t="s">
        <v>20</v>
      </c>
      <c r="I9963" t="s">
        <v>19362</v>
      </c>
      <c r="J9963" t="str">
        <f>HYPERLINK("https://www.boe.es/gazeta/dias/1822/05/08/pdfs/GMD-1822-130.pdf#page=4","Abrir facsímil")</f>
        <v>Abrir facsímil</v>
      </c>
      <c r="K9963" t="s">
        <v>22</v>
      </c>
    </row>
    <row r="9964" spans="1:11" ht="42" customHeight="1">
      <c r="A9964" t="s">
        <v>19363</v>
      </c>
      <c r="B9964" t="s">
        <v>19364</v>
      </c>
      <c r="C9964" t="s">
        <v>28</v>
      </c>
      <c r="D9964" t="s">
        <v>29</v>
      </c>
      <c r="E9964" s="6">
        <v>-28378</v>
      </c>
      <c r="F9964" t="s">
        <v>496</v>
      </c>
      <c r="G9964" t="s">
        <v>57</v>
      </c>
      <c r="H9964" t="s">
        <v>20</v>
      </c>
      <c r="I9964" t="s">
        <v>19365</v>
      </c>
      <c r="J9964" t="str">
        <f>HYPERLINK("https://www.boe.es/gazeta/dias/1822/04/20/pdfs/GMD-1822-112.pdf#page=4","Abrir facsímil")</f>
        <v>Abrir facsímil</v>
      </c>
      <c r="K9964" t="s">
        <v>22</v>
      </c>
    </row>
    <row r="9965" spans="1:11" ht="42" customHeight="1">
      <c r="A9965" t="s">
        <v>19363</v>
      </c>
      <c r="B9965" t="s">
        <v>19364</v>
      </c>
      <c r="C9965" t="s">
        <v>42</v>
      </c>
      <c r="D9965" t="s">
        <v>17</v>
      </c>
      <c r="E9965" s="6">
        <v>-28321</v>
      </c>
      <c r="F9965" t="s">
        <v>1142</v>
      </c>
      <c r="G9965" t="s">
        <v>63</v>
      </c>
      <c r="H9965" t="s">
        <v>20</v>
      </c>
      <c r="I9965" t="s">
        <v>19366</v>
      </c>
      <c r="J9965" t="str">
        <f>HYPERLINK("https://www.boe.es/gazeta/dias/1822/06/16/pdfs/GMD-1822-173.pdf#page=6","Abrir facsímil")</f>
        <v>Abrir facsímil</v>
      </c>
      <c r="K9965" t="s">
        <v>22</v>
      </c>
    </row>
    <row r="9966" spans="1:11" ht="42" customHeight="1">
      <c r="A9966" t="s">
        <v>19363</v>
      </c>
      <c r="B9966" t="s">
        <v>19364</v>
      </c>
      <c r="C9966" t="s">
        <v>24</v>
      </c>
      <c r="D9966" t="s">
        <v>17</v>
      </c>
      <c r="E9966" s="6">
        <v>-28259</v>
      </c>
      <c r="F9966" t="s">
        <v>1912</v>
      </c>
      <c r="G9966" t="s">
        <v>57</v>
      </c>
      <c r="H9966" t="s">
        <v>20</v>
      </c>
      <c r="I9966" t="s">
        <v>19367</v>
      </c>
      <c r="J9966" t="str">
        <f>HYPERLINK("https://www.boe.es/gazeta/dias/1822/08/17/pdfs/GMD-1822-241.pdf#page=4","Abrir facsímil")</f>
        <v>Abrir facsímil</v>
      </c>
      <c r="K9966" t="s">
        <v>22</v>
      </c>
    </row>
    <row r="9967" spans="1:11" ht="42" customHeight="1">
      <c r="A9967" t="s">
        <v>19368</v>
      </c>
      <c r="B9967" t="s">
        <v>19369</v>
      </c>
      <c r="C9967" t="s">
        <v>50</v>
      </c>
      <c r="D9967" t="s">
        <v>51</v>
      </c>
      <c r="E9967" s="6">
        <v>-28214</v>
      </c>
      <c r="F9967" t="s">
        <v>814</v>
      </c>
      <c r="G9967" t="s">
        <v>57</v>
      </c>
      <c r="H9967" t="s">
        <v>20</v>
      </c>
      <c r="I9967" t="s">
        <v>19370</v>
      </c>
      <c r="J9967" t="str">
        <f>HYPERLINK("https://www.boe.es/gazeta/dias/1822/10/01/pdfs/GMD-1822-287.pdf#page=4","Abrir facsímil")</f>
        <v>Abrir facsímil</v>
      </c>
      <c r="K9967" t="s">
        <v>22</v>
      </c>
    </row>
    <row r="9968" spans="1:11" ht="42" customHeight="1">
      <c r="A9968" t="s">
        <v>19368</v>
      </c>
      <c r="B9968" t="s">
        <v>19369</v>
      </c>
      <c r="C9968" t="s">
        <v>50</v>
      </c>
      <c r="D9968" t="s">
        <v>51</v>
      </c>
      <c r="E9968" s="6">
        <v>-28189</v>
      </c>
      <c r="F9968" t="s">
        <v>645</v>
      </c>
      <c r="G9968" t="s">
        <v>63</v>
      </c>
      <c r="H9968" t="s">
        <v>20</v>
      </c>
      <c r="I9968" t="s">
        <v>19371</v>
      </c>
      <c r="J9968" t="str">
        <f>HYPERLINK("https://www.boe.es/gazeta/dias/1822/10/26/pdfs/GMD-1822-313.pdf#page=6","Abrir facsímil")</f>
        <v>Abrir facsímil</v>
      </c>
      <c r="K9968" t="s">
        <v>22</v>
      </c>
    </row>
    <row r="9969" spans="1:11" ht="42" customHeight="1">
      <c r="A9969" t="s">
        <v>19372</v>
      </c>
      <c r="B9969" t="s">
        <v>19373</v>
      </c>
      <c r="C9969" t="s">
        <v>28</v>
      </c>
      <c r="D9969" t="s">
        <v>29</v>
      </c>
      <c r="E9969" s="6">
        <v>-28243</v>
      </c>
      <c r="F9969" t="s">
        <v>1829</v>
      </c>
      <c r="G9969" t="s">
        <v>57</v>
      </c>
      <c r="H9969" t="s">
        <v>20</v>
      </c>
      <c r="I9969" t="s">
        <v>19374</v>
      </c>
      <c r="J9969" t="str">
        <f>HYPERLINK("https://www.boe.es/gazeta/dias/1822/09/02/pdfs/GMD-1822-257.pdf#page=4","Abrir facsímil")</f>
        <v>Abrir facsímil</v>
      </c>
      <c r="K9969" t="s">
        <v>22</v>
      </c>
    </row>
    <row r="9970" spans="1:11" ht="42" customHeight="1">
      <c r="A9970" t="s">
        <v>19375</v>
      </c>
      <c r="B9970" t="s">
        <v>19376</v>
      </c>
      <c r="C9970" t="s">
        <v>24</v>
      </c>
      <c r="D9970" t="s">
        <v>17</v>
      </c>
      <c r="E9970" s="6">
        <v>-28486</v>
      </c>
      <c r="F9970" t="s">
        <v>1046</v>
      </c>
      <c r="G9970" t="s">
        <v>57</v>
      </c>
      <c r="H9970" t="s">
        <v>20</v>
      </c>
      <c r="I9970" t="s">
        <v>19377</v>
      </c>
      <c r="J9970" t="str">
        <f>HYPERLINK("https://www.boe.es/gazeta/dias/1822/01/02/pdfs/GMD-1822-2.pdf#page=4","Abrir facsímil")</f>
        <v>Abrir facsímil</v>
      </c>
      <c r="K9970" t="s">
        <v>22</v>
      </c>
    </row>
    <row r="9971" spans="1:11" ht="42" customHeight="1">
      <c r="A9971" t="s">
        <v>19378</v>
      </c>
      <c r="B9971" t="s">
        <v>19379</v>
      </c>
      <c r="C9971" t="s">
        <v>71</v>
      </c>
      <c r="D9971" t="s">
        <v>17</v>
      </c>
      <c r="E9971" s="6">
        <v>-28132</v>
      </c>
      <c r="F9971" t="s">
        <v>820</v>
      </c>
      <c r="G9971" t="s">
        <v>821</v>
      </c>
      <c r="H9971" t="s">
        <v>20</v>
      </c>
      <c r="I9971" t="s">
        <v>19380</v>
      </c>
      <c r="J9971" t="str">
        <f>HYPERLINK("https://www.boe.es/gazeta/dias/1822/12/22/pdfs/GMD-1822-372.pdf#page=4","Abrir facsímil")</f>
        <v>Abrir facsímil</v>
      </c>
      <c r="K9971" t="s">
        <v>22</v>
      </c>
    </row>
    <row r="9972" spans="1:11" ht="42" customHeight="1">
      <c r="A9972" t="s">
        <v>19381</v>
      </c>
      <c r="B9972" t="s">
        <v>19382</v>
      </c>
      <c r="C9972" t="s">
        <v>42</v>
      </c>
      <c r="D9972" t="s">
        <v>17</v>
      </c>
      <c r="E9972" s="6">
        <v>-28321</v>
      </c>
      <c r="F9972" t="s">
        <v>1142</v>
      </c>
      <c r="G9972" t="s">
        <v>44</v>
      </c>
      <c r="H9972" t="s">
        <v>20</v>
      </c>
      <c r="I9972" t="s">
        <v>19383</v>
      </c>
      <c r="J9972" t="str">
        <f>HYPERLINK("https://www.boe.es/gazeta/dias/1822/06/16/pdfs/GMD-1822-173.pdf#page=1","Abrir facsímil")</f>
        <v>Abrir facsímil</v>
      </c>
      <c r="K9972" t="s">
        <v>22</v>
      </c>
    </row>
    <row r="9973" spans="1:11" ht="42" customHeight="1">
      <c r="A9973" t="s">
        <v>19384</v>
      </c>
      <c r="B9973" t="s">
        <v>19385</v>
      </c>
      <c r="C9973" t="s">
        <v>50</v>
      </c>
      <c r="D9973" t="s">
        <v>51</v>
      </c>
      <c r="E9973" s="6">
        <v>-28155</v>
      </c>
      <c r="F9973" t="s">
        <v>833</v>
      </c>
      <c r="G9973" t="s">
        <v>19</v>
      </c>
      <c r="H9973" t="s">
        <v>20</v>
      </c>
      <c r="I9973" t="s">
        <v>19386</v>
      </c>
      <c r="J9973" t="str">
        <f>HYPERLINK("https://www.boe.es/gazeta/dias/1822/11/29/pdfs/GMD-1822-349.pdf#page=5","Abrir facsímil")</f>
        <v>Abrir facsímil</v>
      </c>
      <c r="K9973" t="s">
        <v>22</v>
      </c>
    </row>
    <row r="9974" spans="1:11" ht="42" customHeight="1">
      <c r="A9974" t="s">
        <v>19387</v>
      </c>
      <c r="B9974" t="s">
        <v>19388</v>
      </c>
      <c r="C9974" t="s">
        <v>50</v>
      </c>
      <c r="D9974" t="s">
        <v>51</v>
      </c>
      <c r="E9974" s="6">
        <v>-28125</v>
      </c>
      <c r="F9974" t="s">
        <v>322</v>
      </c>
      <c r="G9974" t="s">
        <v>35</v>
      </c>
      <c r="H9974" t="s">
        <v>20</v>
      </c>
      <c r="I9974" t="s">
        <v>19389</v>
      </c>
      <c r="J9974" t="str">
        <f>HYPERLINK("https://www.boe.es/gazeta/dias/1822/12/29/pdfs/GMD-1822-379.pdf#page=2","Abrir facsímil")</f>
        <v>Abrir facsímil</v>
      </c>
      <c r="K9974" t="s">
        <v>22</v>
      </c>
    </row>
    <row r="9975" spans="1:11" ht="42" customHeight="1">
      <c r="A9975" t="s">
        <v>19390</v>
      </c>
      <c r="B9975" t="s">
        <v>19391</v>
      </c>
      <c r="C9975" t="s">
        <v>42</v>
      </c>
      <c r="D9975" t="s">
        <v>17</v>
      </c>
      <c r="E9975" s="6">
        <v>-28407</v>
      </c>
      <c r="F9975" t="s">
        <v>460</v>
      </c>
      <c r="G9975" t="s">
        <v>35</v>
      </c>
      <c r="H9975" t="s">
        <v>20</v>
      </c>
      <c r="I9975" t="s">
        <v>19392</v>
      </c>
      <c r="J9975" t="str">
        <f>HYPERLINK("https://www.boe.es/gazeta/dias/1822/03/22/pdfs/GMD-1822-83.pdf#page=2","Abrir facsímil")</f>
        <v>Abrir facsímil</v>
      </c>
      <c r="K9975" t="s">
        <v>22</v>
      </c>
    </row>
    <row r="9976" spans="1:11" ht="42" customHeight="1">
      <c r="A9976" t="s">
        <v>19393</v>
      </c>
      <c r="B9976" t="s">
        <v>19394</v>
      </c>
      <c r="C9976" t="s">
        <v>50</v>
      </c>
      <c r="D9976" t="s">
        <v>51</v>
      </c>
      <c r="E9976" s="6">
        <v>-28265</v>
      </c>
      <c r="F9976" t="s">
        <v>1263</v>
      </c>
      <c r="G9976" t="s">
        <v>57</v>
      </c>
      <c r="H9976" t="s">
        <v>20</v>
      </c>
      <c r="I9976" t="s">
        <v>19395</v>
      </c>
      <c r="J9976" t="str">
        <f>HYPERLINK("https://www.boe.es/gazeta/dias/1822/08/11/pdfs/GMD-1822-235.pdf#page=4","Abrir facsímil")</f>
        <v>Abrir facsímil</v>
      </c>
      <c r="K9976" t="s">
        <v>22</v>
      </c>
    </row>
    <row r="9977" spans="1:11" ht="42" customHeight="1">
      <c r="A9977" t="s">
        <v>19396</v>
      </c>
      <c r="B9977" t="s">
        <v>19397</v>
      </c>
      <c r="C9977" t="s">
        <v>16</v>
      </c>
      <c r="D9977" t="s">
        <v>17</v>
      </c>
      <c r="E9977" s="6">
        <v>-28296</v>
      </c>
      <c r="F9977" t="s">
        <v>4121</v>
      </c>
      <c r="G9977" t="s">
        <v>31</v>
      </c>
      <c r="H9977" t="s">
        <v>20</v>
      </c>
      <c r="I9977" t="s">
        <v>19398</v>
      </c>
      <c r="J9977" t="str">
        <f>HYPERLINK("https://www.boe.es/gazeta/dias/1822/07/11/pdfs/GMD-1822-201.pdf#page=3","Abrir facsímil")</f>
        <v>Abrir facsímil</v>
      </c>
      <c r="K9977" t="s">
        <v>22</v>
      </c>
    </row>
    <row r="9978" spans="1:11" ht="42" customHeight="1">
      <c r="A9978" t="s">
        <v>19399</v>
      </c>
      <c r="B9978" t="s">
        <v>19400</v>
      </c>
      <c r="C9978" t="s">
        <v>50</v>
      </c>
      <c r="D9978" t="s">
        <v>51</v>
      </c>
      <c r="E9978" s="6">
        <v>-28438</v>
      </c>
      <c r="F9978" t="s">
        <v>963</v>
      </c>
      <c r="G9978" t="s">
        <v>35</v>
      </c>
      <c r="H9978" t="s">
        <v>45</v>
      </c>
      <c r="I9978" t="s">
        <v>19401</v>
      </c>
      <c r="J9978" t="str">
        <f>HYPERLINK("https://www.boe.es/gazeta/dias/1822/02/19/pdfs/GMD-1822-51.pdf#page=2","Abrir facsímil")</f>
        <v>Abrir facsímil</v>
      </c>
      <c r="K9978" t="s">
        <v>47</v>
      </c>
    </row>
    <row r="9979" spans="1:11" ht="42" customHeight="1">
      <c r="A9979" t="s">
        <v>19402</v>
      </c>
      <c r="B9979" t="s">
        <v>19403</v>
      </c>
      <c r="C9979" t="s">
        <v>50</v>
      </c>
      <c r="D9979" t="s">
        <v>51</v>
      </c>
      <c r="E9979" s="6">
        <v>-28265</v>
      </c>
      <c r="F9979" t="s">
        <v>1263</v>
      </c>
      <c r="G9979" t="s">
        <v>57</v>
      </c>
      <c r="H9979" t="s">
        <v>20</v>
      </c>
      <c r="I9979" t="s">
        <v>19404</v>
      </c>
      <c r="J9979" t="str">
        <f>HYPERLINK("https://www.boe.es/gazeta/dias/1822/08/11/pdfs/GMD-1822-235.pdf#page=4","Abrir facsímil")</f>
        <v>Abrir facsímil</v>
      </c>
      <c r="K9979" t="s">
        <v>22</v>
      </c>
    </row>
    <row r="9980" spans="1:11" ht="42" customHeight="1">
      <c r="A9980" t="s">
        <v>19405</v>
      </c>
      <c r="B9980" t="s">
        <v>19406</v>
      </c>
      <c r="C9980" t="s">
        <v>42</v>
      </c>
      <c r="D9980" t="s">
        <v>17</v>
      </c>
      <c r="E9980" s="6">
        <v>-28210</v>
      </c>
      <c r="F9980" t="s">
        <v>218</v>
      </c>
      <c r="G9980" t="s">
        <v>19</v>
      </c>
      <c r="H9980" t="s">
        <v>20</v>
      </c>
      <c r="I9980" t="s">
        <v>19407</v>
      </c>
      <c r="J9980" t="str">
        <f>HYPERLINK("https://www.boe.es/gazeta/dias/1822/10/05/pdfs/GMD-1822-291.pdf#page=5","Abrir facsímil")</f>
        <v>Abrir facsímil</v>
      </c>
      <c r="K9980" t="s">
        <v>22</v>
      </c>
    </row>
    <row r="9981" spans="1:11" ht="42" customHeight="1">
      <c r="A9981" t="s">
        <v>19408</v>
      </c>
      <c r="B9981" t="s">
        <v>19408</v>
      </c>
      <c r="C9981" t="s">
        <v>24</v>
      </c>
      <c r="D9981" t="s">
        <v>17</v>
      </c>
      <c r="E9981" s="6">
        <v>-28484</v>
      </c>
      <c r="F9981" t="s">
        <v>743</v>
      </c>
      <c r="G9981" t="s">
        <v>31</v>
      </c>
      <c r="H9981" t="s">
        <v>20</v>
      </c>
      <c r="I9981" t="s">
        <v>19409</v>
      </c>
      <c r="J9981" t="str">
        <f>HYPERLINK("https://www.boe.es/gazeta/dias/1822/01/04/pdfs/GMD-1822-4.pdf#page=3","Abrir facsímil")</f>
        <v>Abrir facsímil</v>
      </c>
      <c r="K9981" t="s">
        <v>22</v>
      </c>
    </row>
    <row r="9982" spans="1:11" ht="42" customHeight="1">
      <c r="A9982" t="s">
        <v>19408</v>
      </c>
      <c r="B9982" t="s">
        <v>19408</v>
      </c>
      <c r="C9982" t="s">
        <v>42</v>
      </c>
      <c r="D9982" t="s">
        <v>17</v>
      </c>
      <c r="E9982" s="6">
        <v>-28450</v>
      </c>
      <c r="F9982" t="s">
        <v>1450</v>
      </c>
      <c r="G9982" t="s">
        <v>31</v>
      </c>
      <c r="H9982" t="s">
        <v>20</v>
      </c>
      <c r="I9982" t="s">
        <v>19410</v>
      </c>
      <c r="J9982" t="str">
        <f>HYPERLINK("https://www.boe.es/gazeta/dias/1822/02/07/pdfs/GMD-1822-38.pdf#page=3","Abrir facsímil")</f>
        <v>Abrir facsímil</v>
      </c>
      <c r="K9982" t="s">
        <v>22</v>
      </c>
    </row>
    <row r="9983" spans="1:11" ht="42" customHeight="1">
      <c r="A9983" t="s">
        <v>19408</v>
      </c>
      <c r="B9983" t="s">
        <v>19408</v>
      </c>
      <c r="C9983" t="s">
        <v>16</v>
      </c>
      <c r="D9983" t="s">
        <v>17</v>
      </c>
      <c r="E9983" s="6">
        <v>-28448</v>
      </c>
      <c r="F9983" t="s">
        <v>1670</v>
      </c>
      <c r="G9983" t="s">
        <v>31</v>
      </c>
      <c r="H9983" t="s">
        <v>20</v>
      </c>
      <c r="I9983" t="s">
        <v>19411</v>
      </c>
      <c r="J9983" t="str">
        <f>HYPERLINK("https://www.boe.es/gazeta/dias/1822/02/09/pdfs/GMD-1822-40.pdf#page=3","Abrir facsímil")</f>
        <v>Abrir facsímil</v>
      </c>
      <c r="K9983" t="s">
        <v>22</v>
      </c>
    </row>
    <row r="9984" spans="1:11" ht="42" customHeight="1">
      <c r="A9984" t="s">
        <v>19408</v>
      </c>
      <c r="B9984" t="s">
        <v>19408</v>
      </c>
      <c r="C9984" t="s">
        <v>71</v>
      </c>
      <c r="D9984" t="s">
        <v>17</v>
      </c>
      <c r="E9984" s="6">
        <v>-28446</v>
      </c>
      <c r="F9984" t="s">
        <v>773</v>
      </c>
      <c r="G9984" t="s">
        <v>31</v>
      </c>
      <c r="H9984" t="s">
        <v>20</v>
      </c>
      <c r="I9984" t="s">
        <v>19412</v>
      </c>
      <c r="J9984" t="str">
        <f>HYPERLINK("https://www.boe.es/gazeta/dias/1822/02/11/pdfs/GMD-1822-42.pdf#page=3","Abrir facsímil")</f>
        <v>Abrir facsímil</v>
      </c>
      <c r="K9984" t="s">
        <v>22</v>
      </c>
    </row>
    <row r="9985" spans="1:11" ht="42" customHeight="1">
      <c r="A9985" t="s">
        <v>19408</v>
      </c>
      <c r="B9985" t="s">
        <v>19408</v>
      </c>
      <c r="C9985" t="s">
        <v>16</v>
      </c>
      <c r="D9985" t="s">
        <v>17</v>
      </c>
      <c r="E9985" s="6">
        <v>-28394</v>
      </c>
      <c r="F9985" t="s">
        <v>268</v>
      </c>
      <c r="G9985" t="s">
        <v>31</v>
      </c>
      <c r="H9985" t="s">
        <v>20</v>
      </c>
      <c r="I9985" t="s">
        <v>19413</v>
      </c>
      <c r="J9985" t="str">
        <f>HYPERLINK("https://www.boe.es/gazeta/dias/1822/04/04/pdfs/GMD-1822-96.pdf#page=3","Abrir facsímil")</f>
        <v>Abrir facsímil</v>
      </c>
      <c r="K9985" t="s">
        <v>22</v>
      </c>
    </row>
    <row r="9986" spans="1:11" ht="42" customHeight="1">
      <c r="A9986" t="s">
        <v>19408</v>
      </c>
      <c r="B9986" t="s">
        <v>19408</v>
      </c>
      <c r="C9986" t="s">
        <v>28</v>
      </c>
      <c r="D9986" t="s">
        <v>29</v>
      </c>
      <c r="E9986" s="6">
        <v>-28372</v>
      </c>
      <c r="F9986" t="s">
        <v>503</v>
      </c>
      <c r="G9986" t="s">
        <v>35</v>
      </c>
      <c r="H9986" t="s">
        <v>20</v>
      </c>
      <c r="I9986" t="s">
        <v>19414</v>
      </c>
      <c r="J9986" t="str">
        <f>HYPERLINK("https://www.boe.es/gazeta/dias/1822/04/26/pdfs/GMD-1822-118.pdf#page=2","Abrir facsímil")</f>
        <v>Abrir facsímil</v>
      </c>
      <c r="K9986" t="s">
        <v>22</v>
      </c>
    </row>
    <row r="9987" spans="1:11" ht="42" customHeight="1">
      <c r="A9987" t="s">
        <v>19408</v>
      </c>
      <c r="B9987" t="s">
        <v>19408</v>
      </c>
      <c r="C9987" t="s">
        <v>28</v>
      </c>
      <c r="D9987" t="s">
        <v>29</v>
      </c>
      <c r="E9987" s="6">
        <v>-28350</v>
      </c>
      <c r="F9987" t="s">
        <v>352</v>
      </c>
      <c r="G9987" t="s">
        <v>63</v>
      </c>
      <c r="H9987" t="s">
        <v>20</v>
      </c>
      <c r="I9987" t="s">
        <v>19415</v>
      </c>
      <c r="J9987" t="str">
        <f>HYPERLINK("https://www.boe.es/gazeta/dias/1822/05/18/pdfs/GMD-1822-140.pdf#page=6","Abrir facsímil")</f>
        <v>Abrir facsímil</v>
      </c>
      <c r="K9987" t="s">
        <v>22</v>
      </c>
    </row>
    <row r="9988" spans="1:11" ht="42" customHeight="1">
      <c r="A9988" t="s">
        <v>19408</v>
      </c>
      <c r="B9988" t="s">
        <v>19408</v>
      </c>
      <c r="C9988" t="s">
        <v>28</v>
      </c>
      <c r="D9988" t="s">
        <v>29</v>
      </c>
      <c r="E9988" s="6">
        <v>-28306</v>
      </c>
      <c r="F9988" t="s">
        <v>348</v>
      </c>
      <c r="G9988" t="s">
        <v>35</v>
      </c>
      <c r="H9988" t="s">
        <v>20</v>
      </c>
      <c r="I9988" t="s">
        <v>19416</v>
      </c>
      <c r="J9988" t="str">
        <f>HYPERLINK("https://www.boe.es/gazeta/dias/1822/07/01/pdfs/GMD-1822-190.pdf#page=2","Abrir facsímil")</f>
        <v>Abrir facsímil</v>
      </c>
      <c r="K9988" t="s">
        <v>22</v>
      </c>
    </row>
    <row r="9989" spans="1:11" ht="42" customHeight="1">
      <c r="A9989" t="s">
        <v>19408</v>
      </c>
      <c r="B9989" t="s">
        <v>19408</v>
      </c>
      <c r="C9989" t="s">
        <v>71</v>
      </c>
      <c r="D9989" t="s">
        <v>17</v>
      </c>
      <c r="E9989" s="6">
        <v>-28192</v>
      </c>
      <c r="F9989" t="s">
        <v>43</v>
      </c>
      <c r="G9989" t="s">
        <v>63</v>
      </c>
      <c r="H9989" t="s">
        <v>20</v>
      </c>
      <c r="I9989" t="s">
        <v>19417</v>
      </c>
      <c r="J9989" t="str">
        <f>HYPERLINK("https://www.boe.es/gazeta/dias/1822/10/23/pdfs/GMD-1822-310.pdf#page=6","Abrir facsímil")</f>
        <v>Abrir facsímil</v>
      </c>
      <c r="K9989" t="s">
        <v>22</v>
      </c>
    </row>
    <row r="9990" spans="1:11" ht="42" customHeight="1">
      <c r="A9990" t="s">
        <v>19408</v>
      </c>
      <c r="B9990" t="s">
        <v>19408</v>
      </c>
      <c r="C9990" t="s">
        <v>61</v>
      </c>
      <c r="D9990" t="s">
        <v>17</v>
      </c>
      <c r="E9990" s="6">
        <v>-28176</v>
      </c>
      <c r="F9990" t="s">
        <v>780</v>
      </c>
      <c r="G9990" t="s">
        <v>5014</v>
      </c>
      <c r="H9990" t="s">
        <v>20</v>
      </c>
      <c r="I9990" t="s">
        <v>19418</v>
      </c>
      <c r="J9990" t="str">
        <f>HYPERLINK("https://www.boe.es/gazeta/dias/1822/11/08/pdfs/GMD-1822-328.pdf#page=4","Abrir facsímil")</f>
        <v>Abrir facsímil</v>
      </c>
      <c r="K9990" t="s">
        <v>22</v>
      </c>
    </row>
    <row r="9991" spans="1:11" ht="42" customHeight="1">
      <c r="A9991" t="s">
        <v>19419</v>
      </c>
      <c r="B9991" t="s">
        <v>19420</v>
      </c>
      <c r="C9991" t="s">
        <v>50</v>
      </c>
      <c r="D9991" t="s">
        <v>51</v>
      </c>
      <c r="E9991" s="6">
        <v>-28258</v>
      </c>
      <c r="F9991" t="s">
        <v>88</v>
      </c>
      <c r="G9991" t="s">
        <v>57</v>
      </c>
      <c r="H9991" t="s">
        <v>20</v>
      </c>
      <c r="I9991" t="s">
        <v>19421</v>
      </c>
      <c r="J9991" t="str">
        <f>HYPERLINK("https://www.boe.es/gazeta/dias/1822/08/18/pdfs/GMD-1822-242.pdf#page=4","Abrir facsímil")</f>
        <v>Abrir facsímil</v>
      </c>
      <c r="K9991" t="s">
        <v>22</v>
      </c>
    </row>
    <row r="9992" spans="1:11" ht="42" customHeight="1">
      <c r="A9992" t="s">
        <v>19422</v>
      </c>
      <c r="B9992" t="s">
        <v>19423</v>
      </c>
      <c r="C9992" t="s">
        <v>16</v>
      </c>
      <c r="D9992" t="s">
        <v>17</v>
      </c>
      <c r="E9992" s="6">
        <v>-28213</v>
      </c>
      <c r="F9992" t="s">
        <v>558</v>
      </c>
      <c r="G9992" t="s">
        <v>57</v>
      </c>
      <c r="H9992" t="s">
        <v>20</v>
      </c>
      <c r="I9992" t="s">
        <v>19424</v>
      </c>
      <c r="J9992" t="str">
        <f>HYPERLINK("https://www.boe.es/gazeta/dias/1822/10/02/pdfs/GMD-1822-288.pdf#page=4","Abrir facsímil")</f>
        <v>Abrir facsímil</v>
      </c>
      <c r="K9992" t="s">
        <v>22</v>
      </c>
    </row>
    <row r="9993" spans="1:11" ht="42" customHeight="1">
      <c r="A9993" t="s">
        <v>19425</v>
      </c>
      <c r="B9993" t="s">
        <v>19426</v>
      </c>
      <c r="C9993" t="s">
        <v>16</v>
      </c>
      <c r="D9993" t="s">
        <v>17</v>
      </c>
      <c r="E9993" s="6">
        <v>-28393</v>
      </c>
      <c r="F9993" t="s">
        <v>326</v>
      </c>
      <c r="G9993" t="s">
        <v>57</v>
      </c>
      <c r="H9993" t="s">
        <v>20</v>
      </c>
      <c r="I9993" t="s">
        <v>19427</v>
      </c>
      <c r="J9993" t="str">
        <f>HYPERLINK("https://www.boe.es/gazeta/dias/1822/04/05/pdfs/GMD-1822-97.pdf#page=4","Abrir facsímil")</f>
        <v>Abrir facsímil</v>
      </c>
      <c r="K9993" t="s">
        <v>22</v>
      </c>
    </row>
    <row r="9994" spans="1:11" ht="42" customHeight="1">
      <c r="A9994" t="s">
        <v>19425</v>
      </c>
      <c r="B9994" t="s">
        <v>19426</v>
      </c>
      <c r="C9994" t="s">
        <v>24</v>
      </c>
      <c r="D9994" t="s">
        <v>17</v>
      </c>
      <c r="E9994" s="6">
        <v>-28391</v>
      </c>
      <c r="F9994" t="s">
        <v>378</v>
      </c>
      <c r="G9994" t="s">
        <v>63</v>
      </c>
      <c r="H9994" t="s">
        <v>20</v>
      </c>
      <c r="I9994" t="s">
        <v>19428</v>
      </c>
      <c r="J9994" t="str">
        <f>HYPERLINK("https://www.boe.es/gazeta/dias/1822/04/07/pdfs/GMD-1822-99.pdf#page=6","Abrir facsímil")</f>
        <v>Abrir facsímil</v>
      </c>
      <c r="K9994" t="s">
        <v>22</v>
      </c>
    </row>
    <row r="9995" spans="1:11" ht="42" customHeight="1">
      <c r="A9995" t="s">
        <v>19425</v>
      </c>
      <c r="B9995" t="s">
        <v>19426</v>
      </c>
      <c r="C9995" t="s">
        <v>42</v>
      </c>
      <c r="D9995" t="s">
        <v>17</v>
      </c>
      <c r="E9995" s="6">
        <v>-28364</v>
      </c>
      <c r="F9995" t="s">
        <v>509</v>
      </c>
      <c r="G9995" t="s">
        <v>63</v>
      </c>
      <c r="H9995" t="s">
        <v>20</v>
      </c>
      <c r="I9995" t="s">
        <v>19429</v>
      </c>
      <c r="J9995" t="str">
        <f>HYPERLINK("https://www.boe.es/gazeta/dias/1822/05/04/pdfs/GMD-1822-126.pdf#page=6","Abrir facsímil")</f>
        <v>Abrir facsímil</v>
      </c>
      <c r="K9995" t="s">
        <v>22</v>
      </c>
    </row>
    <row r="9996" spans="1:11" ht="42" customHeight="1">
      <c r="A9996" t="s">
        <v>19425</v>
      </c>
      <c r="B9996" t="s">
        <v>19426</v>
      </c>
      <c r="C9996" t="s">
        <v>28</v>
      </c>
      <c r="D9996" t="s">
        <v>29</v>
      </c>
      <c r="E9996" s="6">
        <v>-28293</v>
      </c>
      <c r="F9996" t="s">
        <v>152</v>
      </c>
      <c r="G9996" t="s">
        <v>57</v>
      </c>
      <c r="H9996" t="s">
        <v>20</v>
      </c>
      <c r="I9996" t="s">
        <v>19430</v>
      </c>
      <c r="J9996" t="str">
        <f>HYPERLINK("https://www.boe.es/gazeta/dias/1822/07/14/pdfs/GMD-1822-204.pdf#page=4","Abrir facsímil")</f>
        <v>Abrir facsímil</v>
      </c>
      <c r="K9996" t="s">
        <v>22</v>
      </c>
    </row>
    <row r="9997" spans="1:11" ht="42" customHeight="1">
      <c r="A9997" t="s">
        <v>19425</v>
      </c>
      <c r="B9997" t="s">
        <v>19426</v>
      </c>
      <c r="C9997" t="s">
        <v>28</v>
      </c>
      <c r="D9997" t="s">
        <v>29</v>
      </c>
      <c r="E9997" s="6">
        <v>-28235</v>
      </c>
      <c r="F9997" t="s">
        <v>1470</v>
      </c>
      <c r="G9997" t="s">
        <v>57</v>
      </c>
      <c r="H9997" t="s">
        <v>20</v>
      </c>
      <c r="I9997" t="s">
        <v>19431</v>
      </c>
      <c r="J9997" t="str">
        <f>HYPERLINK("https://www.boe.es/gazeta/dias/1822/09/10/pdfs/GMD-1822-266.pdf#page=4","Abrir facsímil")</f>
        <v>Abrir facsímil</v>
      </c>
      <c r="K9997" t="s">
        <v>22</v>
      </c>
    </row>
    <row r="9998" spans="1:11" ht="42" customHeight="1">
      <c r="A9998" t="s">
        <v>19425</v>
      </c>
      <c r="B9998" t="s">
        <v>19426</v>
      </c>
      <c r="C9998" t="s">
        <v>16</v>
      </c>
      <c r="D9998" t="s">
        <v>17</v>
      </c>
      <c r="E9998" s="6">
        <v>-28219</v>
      </c>
      <c r="F9998" t="s">
        <v>1082</v>
      </c>
      <c r="G9998" t="s">
        <v>31</v>
      </c>
      <c r="H9998" t="s">
        <v>20</v>
      </c>
      <c r="I9998" t="s">
        <v>19432</v>
      </c>
      <c r="J9998" t="str">
        <f>HYPERLINK("https://www.boe.es/gazeta/dias/1822/09/26/pdfs/GMD-1822-282.pdf#page=3","Abrir facsímil")</f>
        <v>Abrir facsímil</v>
      </c>
      <c r="K9998" t="s">
        <v>22</v>
      </c>
    </row>
    <row r="9999" spans="1:11" ht="42" customHeight="1">
      <c r="A9999" t="s">
        <v>19433</v>
      </c>
      <c r="B9999" t="s">
        <v>19434</v>
      </c>
      <c r="C9999" t="s">
        <v>42</v>
      </c>
      <c r="D9999" t="s">
        <v>17</v>
      </c>
      <c r="E9999" s="6">
        <v>-28376</v>
      </c>
      <c r="F9999" t="s">
        <v>500</v>
      </c>
      <c r="G9999" t="s">
        <v>35</v>
      </c>
      <c r="H9999" t="s">
        <v>45</v>
      </c>
      <c r="I9999" t="s">
        <v>19435</v>
      </c>
      <c r="J9999" t="str">
        <f>HYPERLINK("https://www.boe.es/gazeta/dias/1822/04/22/pdfs/GMD-1822-114.pdf#page=2","Abrir facsímil")</f>
        <v>Abrir facsímil</v>
      </c>
      <c r="K9999" t="s">
        <v>47</v>
      </c>
    </row>
    <row r="10000" spans="1:11" ht="42" customHeight="1">
      <c r="A10000" t="s">
        <v>19436</v>
      </c>
      <c r="B10000" t="s">
        <v>19437</v>
      </c>
      <c r="C10000" t="s">
        <v>71</v>
      </c>
      <c r="D10000" t="s">
        <v>17</v>
      </c>
      <c r="E10000" s="6">
        <v>-28244</v>
      </c>
      <c r="F10000" t="s">
        <v>6163</v>
      </c>
      <c r="G10000" t="s">
        <v>57</v>
      </c>
      <c r="H10000" t="s">
        <v>20</v>
      </c>
      <c r="I10000" t="s">
        <v>19438</v>
      </c>
      <c r="J10000" t="str">
        <f>HYPERLINK("https://www.boe.es/gazeta/dias/1822/09/01/pdfs/GMD-1822-256.pdf#page=4","Abrir facsímil")</f>
        <v>Abrir facsímil</v>
      </c>
      <c r="K10000" t="s">
        <v>22</v>
      </c>
    </row>
    <row r="10001" spans="1:11" ht="42" customHeight="1">
      <c r="A10001" t="s">
        <v>19439</v>
      </c>
      <c r="B10001" t="s">
        <v>19440</v>
      </c>
      <c r="C10001" t="s">
        <v>362</v>
      </c>
      <c r="D10001" t="s">
        <v>17</v>
      </c>
      <c r="E10001" s="6">
        <v>-28175</v>
      </c>
      <c r="F10001" t="s">
        <v>341</v>
      </c>
      <c r="G10001" t="s">
        <v>63</v>
      </c>
      <c r="H10001" t="s">
        <v>45</v>
      </c>
      <c r="I10001" t="s">
        <v>19441</v>
      </c>
      <c r="J10001" t="str">
        <f>HYPERLINK("https://www.boe.es/gazeta/dias/1822/11/09/pdfs/GMD-1822-329.pdf#page=6","Abrir facsímil")</f>
        <v>Abrir facsímil</v>
      </c>
      <c r="K10001" t="s">
        <v>47</v>
      </c>
    </row>
    <row r="10002" spans="1:11" ht="42" customHeight="1">
      <c r="A10002" t="s">
        <v>19442</v>
      </c>
      <c r="B10002" t="s">
        <v>19443</v>
      </c>
      <c r="C10002" t="s">
        <v>42</v>
      </c>
      <c r="D10002" t="s">
        <v>17</v>
      </c>
      <c r="E10002" s="6">
        <v>-28258</v>
      </c>
      <c r="F10002" t="s">
        <v>88</v>
      </c>
      <c r="G10002" t="s">
        <v>31</v>
      </c>
      <c r="H10002" t="s">
        <v>20</v>
      </c>
      <c r="I10002" t="s">
        <v>19444</v>
      </c>
      <c r="J10002" t="str">
        <f>HYPERLINK("https://www.boe.es/gazeta/dias/1822/08/18/pdfs/GMD-1822-242.pdf#page=3","Abrir facsímil")</f>
        <v>Abrir facsímil</v>
      </c>
      <c r="K10002" t="s">
        <v>22</v>
      </c>
    </row>
    <row r="10003" spans="1:11" ht="42" customHeight="1">
      <c r="A10003" t="s">
        <v>19445</v>
      </c>
      <c r="B10003" t="s">
        <v>19446</v>
      </c>
      <c r="C10003" t="s">
        <v>42</v>
      </c>
      <c r="D10003" t="s">
        <v>17</v>
      </c>
      <c r="E10003" s="6">
        <v>-28176</v>
      </c>
      <c r="F10003" t="s">
        <v>780</v>
      </c>
      <c r="G10003" t="s">
        <v>63</v>
      </c>
      <c r="H10003" t="s">
        <v>20</v>
      </c>
      <c r="I10003" t="s">
        <v>19447</v>
      </c>
      <c r="J10003" t="str">
        <f>HYPERLINK("https://www.boe.es/gazeta/dias/1822/11/08/pdfs/GMD-1822-328.pdf#page=6","Abrir facsímil")</f>
        <v>Abrir facsímil</v>
      </c>
      <c r="K10003" t="s">
        <v>22</v>
      </c>
    </row>
    <row r="10004" spans="1:11" ht="42" customHeight="1">
      <c r="A10004" t="s">
        <v>19448</v>
      </c>
      <c r="B10004" t="s">
        <v>19449</v>
      </c>
      <c r="C10004" t="s">
        <v>50</v>
      </c>
      <c r="D10004" t="s">
        <v>51</v>
      </c>
      <c r="E10004" s="6">
        <v>-28140</v>
      </c>
      <c r="F10004" t="s">
        <v>84</v>
      </c>
      <c r="G10004" t="s">
        <v>31</v>
      </c>
      <c r="H10004" t="s">
        <v>20</v>
      </c>
      <c r="I10004" t="s">
        <v>19450</v>
      </c>
      <c r="J10004" t="str">
        <f>HYPERLINK("https://www.boe.es/gazeta/dias/1822/12/14/pdfs/GMD-1822-364.pdf#page=3","Abrir facsímil")</f>
        <v>Abrir facsímil</v>
      </c>
      <c r="K10004" t="s">
        <v>22</v>
      </c>
    </row>
    <row r="10005" spans="1:11" ht="42" customHeight="1">
      <c r="A10005" t="s">
        <v>19451</v>
      </c>
      <c r="B10005" t="s">
        <v>19452</v>
      </c>
      <c r="C10005" t="s">
        <v>28</v>
      </c>
      <c r="D10005" t="s">
        <v>29</v>
      </c>
      <c r="E10005" s="6">
        <v>-28484</v>
      </c>
      <c r="F10005" t="s">
        <v>743</v>
      </c>
      <c r="G10005" t="s">
        <v>31</v>
      </c>
      <c r="H10005" t="s">
        <v>20</v>
      </c>
      <c r="I10005" t="s">
        <v>19453</v>
      </c>
      <c r="J10005" t="str">
        <f>HYPERLINK("https://www.boe.es/gazeta/dias/1822/01/04/pdfs/GMD-1822-4.pdf#page=3","Abrir facsímil")</f>
        <v>Abrir facsímil</v>
      </c>
      <c r="K10005" t="s">
        <v>22</v>
      </c>
    </row>
    <row r="10006" spans="1:11" ht="42" customHeight="1">
      <c r="A10006" t="s">
        <v>19451</v>
      </c>
      <c r="B10006" t="s">
        <v>19452</v>
      </c>
      <c r="C10006" t="s">
        <v>28</v>
      </c>
      <c r="D10006" t="s">
        <v>29</v>
      </c>
      <c r="E10006" s="6">
        <v>-28478</v>
      </c>
      <c r="F10006" t="s">
        <v>1093</v>
      </c>
      <c r="G10006" t="s">
        <v>35</v>
      </c>
      <c r="H10006" t="s">
        <v>20</v>
      </c>
      <c r="I10006" t="s">
        <v>19454</v>
      </c>
      <c r="J10006" t="str">
        <f>HYPERLINK("https://www.boe.es/gazeta/dias/1822/01/10/pdfs/GMD-1822-10.pdf#page=2","Abrir facsímil")</f>
        <v>Abrir facsímil</v>
      </c>
      <c r="K10006" t="s">
        <v>22</v>
      </c>
    </row>
    <row r="10007" spans="1:11" ht="42" customHeight="1">
      <c r="A10007" t="s">
        <v>19451</v>
      </c>
      <c r="B10007" t="s">
        <v>19452</v>
      </c>
      <c r="C10007" t="s">
        <v>28</v>
      </c>
      <c r="D10007" t="s">
        <v>29</v>
      </c>
      <c r="E10007" s="6">
        <v>-28401</v>
      </c>
      <c r="F10007" t="s">
        <v>108</v>
      </c>
      <c r="G10007" t="s">
        <v>57</v>
      </c>
      <c r="H10007" t="s">
        <v>20</v>
      </c>
      <c r="I10007" t="s">
        <v>19455</v>
      </c>
      <c r="J10007" t="str">
        <f>HYPERLINK("https://www.boe.es/gazeta/dias/1822/03/28/pdfs/GMD-1822-89.pdf#page=4","Abrir facsímil")</f>
        <v>Abrir facsímil</v>
      </c>
      <c r="K10007" t="s">
        <v>22</v>
      </c>
    </row>
    <row r="10008" spans="1:11" ht="42" customHeight="1">
      <c r="A10008" t="s">
        <v>19456</v>
      </c>
      <c r="B10008" t="s">
        <v>19457</v>
      </c>
      <c r="C10008" t="s">
        <v>71</v>
      </c>
      <c r="D10008" t="s">
        <v>17</v>
      </c>
      <c r="E10008" s="6">
        <v>-28200</v>
      </c>
      <c r="F10008" t="s">
        <v>1037</v>
      </c>
      <c r="G10008" t="s">
        <v>35</v>
      </c>
      <c r="H10008" t="s">
        <v>20</v>
      </c>
      <c r="I10008" t="s">
        <v>19458</v>
      </c>
      <c r="J10008" t="str">
        <f>HYPERLINK("https://www.boe.es/gazeta/dias/1822/10/15/pdfs/GMD-1822-302.pdf#page=2","Abrir facsímil")</f>
        <v>Abrir facsímil</v>
      </c>
      <c r="K10008" t="s">
        <v>22</v>
      </c>
    </row>
    <row r="10009" spans="1:11" ht="42" customHeight="1">
      <c r="A10009" t="s">
        <v>19459</v>
      </c>
      <c r="B10009" t="s">
        <v>19460</v>
      </c>
      <c r="C10009" t="s">
        <v>42</v>
      </c>
      <c r="D10009" t="s">
        <v>17</v>
      </c>
      <c r="E10009" s="6">
        <v>-28375</v>
      </c>
      <c r="F10009" t="s">
        <v>2035</v>
      </c>
      <c r="G10009" t="s">
        <v>35</v>
      </c>
      <c r="H10009" t="s">
        <v>20</v>
      </c>
      <c r="I10009" t="s">
        <v>19461</v>
      </c>
      <c r="J10009" t="str">
        <f>HYPERLINK("https://www.boe.es/gazeta/dias/1822/04/23/pdfs/GMD-1822-115.pdf#page=2","Abrir facsímil")</f>
        <v>Abrir facsímil</v>
      </c>
      <c r="K10009" t="s">
        <v>22</v>
      </c>
    </row>
    <row r="10010" spans="1:11" ht="42" customHeight="1">
      <c r="A10010" t="s">
        <v>19462</v>
      </c>
      <c r="B10010" t="s">
        <v>19463</v>
      </c>
      <c r="C10010" t="s">
        <v>42</v>
      </c>
      <c r="D10010" t="s">
        <v>17</v>
      </c>
      <c r="E10010" s="6">
        <v>-28436</v>
      </c>
      <c r="F10010" t="s">
        <v>431</v>
      </c>
      <c r="G10010" t="s">
        <v>1428</v>
      </c>
      <c r="H10010" t="s">
        <v>20</v>
      </c>
      <c r="I10010" t="s">
        <v>19464</v>
      </c>
      <c r="J10010" t="str">
        <f>HYPERLINK("https://www.boe.es/gazeta/dias/1822/02/21/pdfs/GMD-1822-53.pdf#page=3","Abrir facsímil")</f>
        <v>Abrir facsímil</v>
      </c>
      <c r="K10010" t="s">
        <v>22</v>
      </c>
    </row>
    <row r="10011" spans="1:11" ht="42" customHeight="1">
      <c r="A10011" t="s">
        <v>19465</v>
      </c>
      <c r="B10011" t="s">
        <v>19466</v>
      </c>
      <c r="C10011" t="s">
        <v>42</v>
      </c>
      <c r="D10011" t="s">
        <v>17</v>
      </c>
      <c r="E10011" s="6">
        <v>-28241</v>
      </c>
      <c r="F10011" t="s">
        <v>3068</v>
      </c>
      <c r="G10011" t="s">
        <v>57</v>
      </c>
      <c r="H10011" t="s">
        <v>45</v>
      </c>
      <c r="I10011" t="s">
        <v>19467</v>
      </c>
      <c r="J10011" t="str">
        <f>HYPERLINK("https://www.boe.es/gazeta/dias/1822/09/04/pdfs/GMD-1822-259.pdf#page=4","Abrir facsímil")</f>
        <v>Abrir facsímil</v>
      </c>
      <c r="K10011" t="s">
        <v>47</v>
      </c>
    </row>
    <row r="10012" spans="1:11" ht="42" customHeight="1">
      <c r="A10012" t="s">
        <v>19468</v>
      </c>
      <c r="B10012" t="s">
        <v>19469</v>
      </c>
      <c r="C10012" t="s">
        <v>50</v>
      </c>
      <c r="D10012" t="s">
        <v>51</v>
      </c>
      <c r="E10012" s="6">
        <v>-28379</v>
      </c>
      <c r="F10012" t="s">
        <v>494</v>
      </c>
      <c r="G10012" t="s">
        <v>63</v>
      </c>
      <c r="H10012" t="s">
        <v>20</v>
      </c>
      <c r="I10012" t="s">
        <v>19470</v>
      </c>
      <c r="J10012" t="str">
        <f>HYPERLINK("https://www.boe.es/gazeta/dias/1822/04/19/pdfs/GMD-1822-111.pdf#page=6","Abrir facsímil")</f>
        <v>Abrir facsímil</v>
      </c>
      <c r="K10012" t="s">
        <v>22</v>
      </c>
    </row>
    <row r="10013" spans="1:11" ht="42" customHeight="1">
      <c r="A10013" t="s">
        <v>19471</v>
      </c>
      <c r="B10013" t="s">
        <v>19472</v>
      </c>
      <c r="C10013" t="s">
        <v>42</v>
      </c>
      <c r="D10013" t="s">
        <v>17</v>
      </c>
      <c r="E10013" s="6">
        <v>-28340</v>
      </c>
      <c r="F10013" t="s">
        <v>139</v>
      </c>
      <c r="G10013" t="s">
        <v>35</v>
      </c>
      <c r="H10013" t="s">
        <v>20</v>
      </c>
      <c r="I10013" t="s">
        <v>19473</v>
      </c>
      <c r="J10013" t="str">
        <f>HYPERLINK("https://www.boe.es/gazeta/dias/1822/05/28/pdfs/GMD-1822-153.pdf#page=2","Abrir facsímil")</f>
        <v>Abrir facsímil</v>
      </c>
      <c r="K10013" t="s">
        <v>22</v>
      </c>
    </row>
    <row r="10014" spans="1:11" ht="42" customHeight="1">
      <c r="A10014" t="s">
        <v>19474</v>
      </c>
      <c r="B10014" t="s">
        <v>19475</v>
      </c>
      <c r="C10014" t="s">
        <v>50</v>
      </c>
      <c r="D10014" t="s">
        <v>51</v>
      </c>
      <c r="E10014" s="6">
        <v>-28264</v>
      </c>
      <c r="F10014" t="s">
        <v>1329</v>
      </c>
      <c r="G10014" t="s">
        <v>57</v>
      </c>
      <c r="H10014" t="s">
        <v>20</v>
      </c>
      <c r="I10014" t="s">
        <v>19476</v>
      </c>
      <c r="J10014" t="str">
        <f>HYPERLINK("https://www.boe.es/gazeta/dias/1822/08/12/pdfs/GMD-1822-236.pdf#page=4","Abrir facsímil")</f>
        <v>Abrir facsímil</v>
      </c>
      <c r="K10014" t="s">
        <v>22</v>
      </c>
    </row>
    <row r="10015" spans="1:11" ht="42" customHeight="1">
      <c r="A10015" t="s">
        <v>19477</v>
      </c>
      <c r="B10015" t="s">
        <v>19478</v>
      </c>
      <c r="C10015" t="s">
        <v>28</v>
      </c>
      <c r="D10015" t="s">
        <v>29</v>
      </c>
      <c r="E10015" s="6">
        <v>-28436</v>
      </c>
      <c r="F10015" t="s">
        <v>431</v>
      </c>
      <c r="G10015" t="s">
        <v>57</v>
      </c>
      <c r="H10015" t="s">
        <v>20</v>
      </c>
      <c r="I10015" t="s">
        <v>19479</v>
      </c>
      <c r="J10015" t="str">
        <f>HYPERLINK("https://www.boe.es/gazeta/dias/1822/02/21/pdfs/GMD-1822-53.pdf#page=4","Abrir facsímil")</f>
        <v>Abrir facsímil</v>
      </c>
      <c r="K10015" t="s">
        <v>22</v>
      </c>
    </row>
    <row r="10016" spans="1:11" ht="42" customHeight="1">
      <c r="A10016" t="s">
        <v>19480</v>
      </c>
      <c r="B10016" t="s">
        <v>19480</v>
      </c>
      <c r="C10016" t="s">
        <v>71</v>
      </c>
      <c r="D10016" t="s">
        <v>17</v>
      </c>
      <c r="E10016" s="6">
        <v>-28475</v>
      </c>
      <c r="F10016" t="s">
        <v>1205</v>
      </c>
      <c r="G10016" t="s">
        <v>31</v>
      </c>
      <c r="H10016" t="s">
        <v>20</v>
      </c>
      <c r="I10016" t="s">
        <v>19481</v>
      </c>
      <c r="J10016" t="str">
        <f>HYPERLINK("https://www.boe.es/gazeta/dias/1822/01/13/pdfs/GMD-1822-13.pdf#page=3","Abrir facsímil")</f>
        <v>Abrir facsímil</v>
      </c>
      <c r="K10016" t="s">
        <v>22</v>
      </c>
    </row>
    <row r="10017" spans="1:11" ht="42" customHeight="1">
      <c r="A10017" t="s">
        <v>19480</v>
      </c>
      <c r="B10017" t="s">
        <v>19480</v>
      </c>
      <c r="C10017" t="s">
        <v>71</v>
      </c>
      <c r="D10017" t="s">
        <v>17</v>
      </c>
      <c r="E10017" s="6">
        <v>-28462</v>
      </c>
      <c r="F10017" t="s">
        <v>1099</v>
      </c>
      <c r="G10017" t="s">
        <v>31</v>
      </c>
      <c r="H10017" t="s">
        <v>20</v>
      </c>
      <c r="I10017" t="s">
        <v>19482</v>
      </c>
      <c r="J10017" t="str">
        <f>HYPERLINK("https://www.boe.es/gazeta/dias/1822/01/26/pdfs/GMD-1822-26.pdf#page=3","Abrir facsímil")</f>
        <v>Abrir facsímil</v>
      </c>
      <c r="K10017" t="s">
        <v>22</v>
      </c>
    </row>
    <row r="10018" spans="1:11" ht="42" customHeight="1">
      <c r="A10018" t="s">
        <v>19480</v>
      </c>
      <c r="B10018" t="s">
        <v>19480</v>
      </c>
      <c r="C10018" t="s">
        <v>28</v>
      </c>
      <c r="D10018" t="s">
        <v>29</v>
      </c>
      <c r="E10018" s="6">
        <v>-28450</v>
      </c>
      <c r="F10018" t="s">
        <v>1450</v>
      </c>
      <c r="G10018" t="s">
        <v>44</v>
      </c>
      <c r="H10018" t="s">
        <v>20</v>
      </c>
      <c r="I10018" t="s">
        <v>19483</v>
      </c>
      <c r="J10018" t="str">
        <f>HYPERLINK("https://www.boe.es/gazeta/dias/1822/02/07/pdfs/GMD-1822-38.pdf#page=1","Abrir facsímil")</f>
        <v>Abrir facsímil</v>
      </c>
      <c r="K10018" t="s">
        <v>22</v>
      </c>
    </row>
    <row r="10019" spans="1:11" ht="42" customHeight="1">
      <c r="A10019" t="s">
        <v>19480</v>
      </c>
      <c r="B10019" t="s">
        <v>19480</v>
      </c>
      <c r="C10019" t="s">
        <v>28</v>
      </c>
      <c r="D10019" t="s">
        <v>29</v>
      </c>
      <c r="E10019" s="6">
        <v>-28450</v>
      </c>
      <c r="F10019" t="s">
        <v>1450</v>
      </c>
      <c r="G10019" t="s">
        <v>35</v>
      </c>
      <c r="H10019" t="s">
        <v>20</v>
      </c>
      <c r="I10019" t="s">
        <v>19484</v>
      </c>
      <c r="J10019" t="str">
        <f>HYPERLINK("https://www.boe.es/gazeta/dias/1822/02/07/pdfs/GMD-1822-38.pdf#page=2","Abrir facsímil")</f>
        <v>Abrir facsímil</v>
      </c>
      <c r="K10019" t="s">
        <v>22</v>
      </c>
    </row>
    <row r="10020" spans="1:11" ht="42" customHeight="1">
      <c r="A10020" t="s">
        <v>19480</v>
      </c>
      <c r="B10020" t="s">
        <v>19480</v>
      </c>
      <c r="C10020" t="s">
        <v>71</v>
      </c>
      <c r="D10020" t="s">
        <v>17</v>
      </c>
      <c r="E10020" s="6">
        <v>-28445</v>
      </c>
      <c r="F10020" t="s">
        <v>1622</v>
      </c>
      <c r="G10020" t="s">
        <v>57</v>
      </c>
      <c r="H10020" t="s">
        <v>20</v>
      </c>
      <c r="I10020" t="s">
        <v>19485</v>
      </c>
      <c r="J10020" t="str">
        <f>HYPERLINK("https://www.boe.es/gazeta/dias/1822/02/12/pdfs/GMD-1822-43.pdf#page=4","Abrir facsímil")</f>
        <v>Abrir facsímil</v>
      </c>
      <c r="K10020" t="s">
        <v>22</v>
      </c>
    </row>
    <row r="10021" spans="1:11" ht="42" customHeight="1">
      <c r="A10021" t="s">
        <v>19486</v>
      </c>
      <c r="B10021" t="s">
        <v>19487</v>
      </c>
      <c r="C10021" t="s">
        <v>71</v>
      </c>
      <c r="D10021" t="s">
        <v>17</v>
      </c>
      <c r="E10021" s="6">
        <v>-28410</v>
      </c>
      <c r="F10021" t="s">
        <v>966</v>
      </c>
      <c r="G10021" t="s">
        <v>35</v>
      </c>
      <c r="H10021" t="s">
        <v>20</v>
      </c>
      <c r="I10021" t="s">
        <v>19488</v>
      </c>
      <c r="J10021" t="str">
        <f>HYPERLINK("https://www.boe.es/gazeta/dias/1822/03/19/pdfs/GMD-1822-80.pdf#page=2","Abrir facsímil")</f>
        <v>Abrir facsímil</v>
      </c>
      <c r="K10021" t="s">
        <v>22</v>
      </c>
    </row>
    <row r="10022" spans="1:11" ht="42" customHeight="1">
      <c r="A10022" t="s">
        <v>19489</v>
      </c>
      <c r="B10022" t="s">
        <v>19490</v>
      </c>
      <c r="C10022" t="s">
        <v>50</v>
      </c>
      <c r="D10022" t="s">
        <v>51</v>
      </c>
      <c r="E10022" s="6">
        <v>-28210</v>
      </c>
      <c r="F10022" t="s">
        <v>218</v>
      </c>
      <c r="G10022" t="s">
        <v>63</v>
      </c>
      <c r="H10022" t="s">
        <v>20</v>
      </c>
      <c r="I10022" t="s">
        <v>19491</v>
      </c>
      <c r="J10022" t="str">
        <f>HYPERLINK("https://www.boe.es/gazeta/dias/1822/10/05/pdfs/GMD-1822-291.pdf#page=6","Abrir facsímil")</f>
        <v>Abrir facsímil</v>
      </c>
      <c r="K10022" t="s">
        <v>22</v>
      </c>
    </row>
    <row r="10023" spans="1:11" ht="42" customHeight="1">
      <c r="A10023" t="s">
        <v>19492</v>
      </c>
      <c r="B10023" t="s">
        <v>19493</v>
      </c>
      <c r="C10023" t="s">
        <v>61</v>
      </c>
      <c r="D10023" t="s">
        <v>17</v>
      </c>
      <c r="E10023" s="6">
        <v>-28375</v>
      </c>
      <c r="F10023" t="s">
        <v>2035</v>
      </c>
      <c r="G10023" t="s">
        <v>57</v>
      </c>
      <c r="H10023" t="s">
        <v>20</v>
      </c>
      <c r="I10023" t="s">
        <v>19494</v>
      </c>
      <c r="J10023" t="str">
        <f>HYPERLINK("https://www.boe.es/gazeta/dias/1822/04/23/pdfs/GMD-1822-115.pdf#page=4","Abrir facsímil")</f>
        <v>Abrir facsímil</v>
      </c>
      <c r="K10023" t="s">
        <v>22</v>
      </c>
    </row>
    <row r="10024" spans="1:11" ht="42" customHeight="1">
      <c r="A10024" t="s">
        <v>19495</v>
      </c>
      <c r="B10024" t="s">
        <v>19496</v>
      </c>
      <c r="C10024" t="s">
        <v>71</v>
      </c>
      <c r="D10024" t="s">
        <v>17</v>
      </c>
      <c r="E10024" s="6">
        <v>-28355</v>
      </c>
      <c r="F10024" t="s">
        <v>692</v>
      </c>
      <c r="G10024" t="s">
        <v>44</v>
      </c>
      <c r="H10024" t="s">
        <v>20</v>
      </c>
      <c r="I10024" t="s">
        <v>19497</v>
      </c>
      <c r="J10024" t="str">
        <f>HYPERLINK("https://www.boe.es/gazeta/dias/1822/05/13/pdfs/GMD-1822-135.pdf#page=1","Abrir facsímil")</f>
        <v>Abrir facsímil</v>
      </c>
      <c r="K10024" t="s">
        <v>22</v>
      </c>
    </row>
    <row r="10025" spans="1:11" ht="42" customHeight="1">
      <c r="A10025" t="s">
        <v>19495</v>
      </c>
      <c r="B10025" t="s">
        <v>19496</v>
      </c>
      <c r="C10025" t="s">
        <v>42</v>
      </c>
      <c r="D10025" t="s">
        <v>17</v>
      </c>
      <c r="E10025" s="6">
        <v>-28208</v>
      </c>
      <c r="F10025" t="s">
        <v>230</v>
      </c>
      <c r="G10025" t="s">
        <v>57</v>
      </c>
      <c r="H10025" t="s">
        <v>20</v>
      </c>
      <c r="I10025" t="s">
        <v>19498</v>
      </c>
      <c r="J10025" t="str">
        <f>HYPERLINK("https://www.boe.es/gazeta/dias/1822/10/07/pdfs/GMD-1822-293.pdf#page=4","Abrir facsímil")</f>
        <v>Abrir facsímil</v>
      </c>
      <c r="K10025" t="s">
        <v>22</v>
      </c>
    </row>
    <row r="10026" spans="1:11" ht="42" customHeight="1">
      <c r="A10026" t="s">
        <v>19499</v>
      </c>
      <c r="B10026" t="s">
        <v>19500</v>
      </c>
      <c r="C10026" t="s">
        <v>28</v>
      </c>
      <c r="D10026" t="s">
        <v>29</v>
      </c>
      <c r="E10026" s="6">
        <v>-28182</v>
      </c>
      <c r="F10026" t="s">
        <v>585</v>
      </c>
      <c r="G10026" t="s">
        <v>57</v>
      </c>
      <c r="H10026" t="s">
        <v>20</v>
      </c>
      <c r="I10026" t="s">
        <v>19501</v>
      </c>
      <c r="J10026" t="str">
        <f>HYPERLINK("https://www.boe.es/gazeta/dias/1822/11/02/pdfs/GMD-1822-320.pdf#page=4","Abrir facsímil")</f>
        <v>Abrir facsímil</v>
      </c>
      <c r="K10026" t="s">
        <v>22</v>
      </c>
    </row>
    <row r="10027" spans="1:11" ht="42" customHeight="1">
      <c r="A10027" t="s">
        <v>19502</v>
      </c>
      <c r="B10027" t="s">
        <v>19502</v>
      </c>
      <c r="C10027" t="s">
        <v>24</v>
      </c>
      <c r="D10027" t="s">
        <v>17</v>
      </c>
      <c r="E10027" s="6">
        <v>-28210</v>
      </c>
      <c r="F10027" t="s">
        <v>218</v>
      </c>
      <c r="G10027" t="s">
        <v>57</v>
      </c>
      <c r="H10027" t="s">
        <v>20</v>
      </c>
      <c r="I10027" t="s">
        <v>19503</v>
      </c>
      <c r="J10027" t="str">
        <f>HYPERLINK("https://www.boe.es/gazeta/dias/1822/10/05/pdfs/GMD-1822-291.pdf#page=4","Abrir facsímil")</f>
        <v>Abrir facsímil</v>
      </c>
      <c r="K10027" t="s">
        <v>22</v>
      </c>
    </row>
    <row r="10028" spans="1:11" ht="42" customHeight="1">
      <c r="A10028" t="s">
        <v>19504</v>
      </c>
      <c r="B10028" t="s">
        <v>19505</v>
      </c>
      <c r="C10028" t="s">
        <v>71</v>
      </c>
      <c r="D10028" t="s">
        <v>17</v>
      </c>
      <c r="E10028" s="6">
        <v>-28210</v>
      </c>
      <c r="F10028" t="s">
        <v>218</v>
      </c>
      <c r="G10028" t="s">
        <v>57</v>
      </c>
      <c r="H10028" t="s">
        <v>20</v>
      </c>
      <c r="I10028" t="s">
        <v>19506</v>
      </c>
      <c r="J10028" t="str">
        <f>HYPERLINK("https://www.boe.es/gazeta/dias/1822/10/05/pdfs/GMD-1822-291.pdf#page=4","Abrir facsímil")</f>
        <v>Abrir facsímil</v>
      </c>
      <c r="K10028" t="s">
        <v>22</v>
      </c>
    </row>
    <row r="10029" spans="1:11" ht="42" customHeight="1">
      <c r="A10029" t="s">
        <v>19507</v>
      </c>
      <c r="B10029" t="s">
        <v>19507</v>
      </c>
      <c r="C10029" t="s">
        <v>42</v>
      </c>
      <c r="D10029" t="s">
        <v>17</v>
      </c>
      <c r="E10029" s="6">
        <v>-28236</v>
      </c>
      <c r="F10029" t="s">
        <v>714</v>
      </c>
      <c r="G10029" t="s">
        <v>44</v>
      </c>
      <c r="H10029" t="s">
        <v>20</v>
      </c>
      <c r="I10029" t="s">
        <v>19508</v>
      </c>
      <c r="J10029" t="str">
        <f>HYPERLINK("https://www.boe.es/gazeta/dias/1822/09/09/pdfs/GMD-1822-265.pdf#page=1","Abrir facsímil")</f>
        <v>Abrir facsímil</v>
      </c>
      <c r="K10029" t="s">
        <v>22</v>
      </c>
    </row>
    <row r="10030" spans="1:11" ht="42" customHeight="1">
      <c r="A10030" t="s">
        <v>19509</v>
      </c>
      <c r="B10030" t="s">
        <v>19510</v>
      </c>
      <c r="C10030" t="s">
        <v>42</v>
      </c>
      <c r="D10030" t="s">
        <v>17</v>
      </c>
      <c r="E10030" s="6">
        <v>-28258</v>
      </c>
      <c r="F10030" t="s">
        <v>88</v>
      </c>
      <c r="G10030" t="s">
        <v>31</v>
      </c>
      <c r="H10030" t="s">
        <v>20</v>
      </c>
      <c r="I10030" t="s">
        <v>19511</v>
      </c>
      <c r="J10030" t="str">
        <f>HYPERLINK("https://www.boe.es/gazeta/dias/1822/08/18/pdfs/GMD-1822-242.pdf#page=3","Abrir facsímil")</f>
        <v>Abrir facsímil</v>
      </c>
      <c r="K10030" t="s">
        <v>22</v>
      </c>
    </row>
    <row r="10031" spans="1:11" ht="42" customHeight="1">
      <c r="A10031" t="s">
        <v>19512</v>
      </c>
      <c r="B10031" t="s">
        <v>19513</v>
      </c>
      <c r="C10031" t="s">
        <v>50</v>
      </c>
      <c r="D10031" t="s">
        <v>51</v>
      </c>
      <c r="E10031" s="6">
        <v>-28345</v>
      </c>
      <c r="F10031" t="s">
        <v>294</v>
      </c>
      <c r="G10031" t="s">
        <v>19</v>
      </c>
      <c r="H10031" t="s">
        <v>45</v>
      </c>
      <c r="I10031" t="s">
        <v>19514</v>
      </c>
      <c r="J10031" t="str">
        <f>HYPERLINK("https://www.boe.es/gazeta/dias/1822/05/23/pdfs/GMD-1822-147.pdf#page=5","Abrir facsímil")</f>
        <v>Abrir facsímil</v>
      </c>
      <c r="K10031" t="s">
        <v>47</v>
      </c>
    </row>
    <row r="10032" spans="1:11" ht="42" customHeight="1">
      <c r="A10032" t="s">
        <v>19515</v>
      </c>
      <c r="B10032" t="s">
        <v>19515</v>
      </c>
      <c r="C10032" t="s">
        <v>50</v>
      </c>
      <c r="D10032" t="s">
        <v>51</v>
      </c>
      <c r="E10032" s="6">
        <v>-28199</v>
      </c>
      <c r="F10032" t="s">
        <v>656</v>
      </c>
      <c r="G10032" t="s">
        <v>57</v>
      </c>
      <c r="H10032" t="s">
        <v>20</v>
      </c>
      <c r="I10032" t="s">
        <v>19516</v>
      </c>
      <c r="J10032" t="str">
        <f>HYPERLINK("https://www.boe.es/gazeta/dias/1822/10/16/pdfs/GMD-1822-303.pdf#page=4","Abrir facsímil")</f>
        <v>Abrir facsímil</v>
      </c>
      <c r="K10032" t="s">
        <v>22</v>
      </c>
    </row>
    <row r="10033" spans="1:11" ht="42" customHeight="1">
      <c r="A10033" t="s">
        <v>19515</v>
      </c>
      <c r="B10033" t="s">
        <v>19515</v>
      </c>
      <c r="C10033" t="s">
        <v>50</v>
      </c>
      <c r="D10033" t="s">
        <v>51</v>
      </c>
      <c r="E10033" s="6">
        <v>-28157</v>
      </c>
      <c r="F10033" t="s">
        <v>1492</v>
      </c>
      <c r="G10033" t="s">
        <v>63</v>
      </c>
      <c r="H10033" t="s">
        <v>20</v>
      </c>
      <c r="I10033" t="s">
        <v>19517</v>
      </c>
      <c r="J10033" t="str">
        <f>HYPERLINK("https://www.boe.es/gazeta/dias/1822/11/27/pdfs/GMD-1822-347.pdf#page=6","Abrir facsímil")</f>
        <v>Abrir facsímil</v>
      </c>
      <c r="K10033" t="s">
        <v>22</v>
      </c>
    </row>
    <row r="10034" spans="1:11" ht="42" customHeight="1">
      <c r="A10034" t="s">
        <v>19518</v>
      </c>
      <c r="B10034" t="s">
        <v>19519</v>
      </c>
      <c r="C10034" t="s">
        <v>28</v>
      </c>
      <c r="D10034" t="s">
        <v>29</v>
      </c>
      <c r="E10034" s="6">
        <v>-28346</v>
      </c>
      <c r="F10034" t="s">
        <v>191</v>
      </c>
      <c r="G10034" t="s">
        <v>63</v>
      </c>
      <c r="H10034" t="s">
        <v>45</v>
      </c>
      <c r="I10034" t="s">
        <v>19520</v>
      </c>
      <c r="J10034" t="str">
        <f>HYPERLINK("https://www.boe.es/gazeta/dias/1822/05/22/pdfs/GMD-1822-145.pdf#page=6","Abrir facsímil")</f>
        <v>Abrir facsímil</v>
      </c>
      <c r="K10034" t="s">
        <v>47</v>
      </c>
    </row>
    <row r="10035" spans="1:11" ht="42" customHeight="1">
      <c r="A10035" t="s">
        <v>19521</v>
      </c>
      <c r="B10035" t="s">
        <v>19522</v>
      </c>
      <c r="C10035" t="s">
        <v>42</v>
      </c>
      <c r="D10035" t="s">
        <v>17</v>
      </c>
      <c r="E10035" s="6">
        <v>-28235</v>
      </c>
      <c r="F10035" t="s">
        <v>1470</v>
      </c>
      <c r="G10035" t="s">
        <v>35</v>
      </c>
      <c r="H10035" t="s">
        <v>20</v>
      </c>
      <c r="I10035" t="s">
        <v>19523</v>
      </c>
      <c r="J10035" t="str">
        <f>HYPERLINK("https://www.boe.es/gazeta/dias/1822/09/10/pdfs/GMD-1822-266.pdf#page=2","Abrir facsímil")</f>
        <v>Abrir facsímil</v>
      </c>
      <c r="K10035" t="s">
        <v>22</v>
      </c>
    </row>
    <row r="10036" spans="1:11" ht="42" customHeight="1">
      <c r="A10036" t="s">
        <v>19524</v>
      </c>
      <c r="B10036" t="s">
        <v>19524</v>
      </c>
      <c r="C10036" t="s">
        <v>50</v>
      </c>
      <c r="D10036" t="s">
        <v>51</v>
      </c>
      <c r="E10036" s="6">
        <v>-28214</v>
      </c>
      <c r="F10036" t="s">
        <v>814</v>
      </c>
      <c r="G10036" t="s">
        <v>31</v>
      </c>
      <c r="H10036" t="s">
        <v>20</v>
      </c>
      <c r="I10036" t="s">
        <v>19525</v>
      </c>
      <c r="J10036" t="str">
        <f>HYPERLINK("https://www.boe.es/gazeta/dias/1822/10/01/pdfs/GMD-1822-287.pdf#page=3","Abrir facsímil")</f>
        <v>Abrir facsímil</v>
      </c>
      <c r="K10036" t="s">
        <v>22</v>
      </c>
    </row>
    <row r="10037" spans="1:11" ht="42" customHeight="1">
      <c r="A10037" t="s">
        <v>19526</v>
      </c>
      <c r="B10037" t="s">
        <v>19526</v>
      </c>
      <c r="C10037" t="s">
        <v>28</v>
      </c>
      <c r="D10037" t="s">
        <v>29</v>
      </c>
      <c r="E10037" s="6">
        <v>-28247</v>
      </c>
      <c r="F10037" t="s">
        <v>2023</v>
      </c>
      <c r="G10037" t="s">
        <v>44</v>
      </c>
      <c r="H10037" t="s">
        <v>20</v>
      </c>
      <c r="I10037" t="s">
        <v>19527</v>
      </c>
      <c r="J10037" t="str">
        <f>HYPERLINK("https://www.boe.es/gazeta/dias/1822/08/29/pdfs/GMD-1822-253.pdf#page=1","Abrir facsímil")</f>
        <v>Abrir facsímil</v>
      </c>
      <c r="K10037" t="s">
        <v>22</v>
      </c>
    </row>
    <row r="10038" spans="1:11" ht="42" customHeight="1">
      <c r="A10038" t="s">
        <v>19528</v>
      </c>
      <c r="B10038" t="s">
        <v>19529</v>
      </c>
      <c r="C10038" t="s">
        <v>50</v>
      </c>
      <c r="D10038" t="s">
        <v>51</v>
      </c>
      <c r="E10038" s="6">
        <v>-28383</v>
      </c>
      <c r="F10038" t="s">
        <v>488</v>
      </c>
      <c r="G10038" t="s">
        <v>63</v>
      </c>
      <c r="H10038" t="s">
        <v>20</v>
      </c>
      <c r="I10038" t="s">
        <v>19530</v>
      </c>
      <c r="J10038" t="str">
        <f>HYPERLINK("https://www.boe.es/gazeta/dias/1822/04/15/pdfs/GMD-1822-107.pdf#page=6","Abrir facsímil")</f>
        <v>Abrir facsímil</v>
      </c>
      <c r="K10038" t="s">
        <v>22</v>
      </c>
    </row>
    <row r="10039" spans="1:11" ht="42" customHeight="1">
      <c r="A10039" t="s">
        <v>19531</v>
      </c>
      <c r="B10039" t="s">
        <v>19532</v>
      </c>
      <c r="C10039" t="s">
        <v>50</v>
      </c>
      <c r="D10039" t="s">
        <v>723</v>
      </c>
      <c r="E10039" s="6">
        <v>-28181</v>
      </c>
      <c r="F10039" t="s">
        <v>724</v>
      </c>
      <c r="G10039" t="s">
        <v>35</v>
      </c>
      <c r="H10039" t="s">
        <v>20</v>
      </c>
      <c r="I10039" t="s">
        <v>19533</v>
      </c>
      <c r="J10039" t="str">
        <f>HYPERLINK("https://www.boe.es/gazeta/dias/1822/11/03/pdfs/GMD-1822-322E.pdf#page=2","Abrir facsímil")</f>
        <v>Abrir facsímil</v>
      </c>
      <c r="K10039" t="s">
        <v>22</v>
      </c>
    </row>
    <row r="10040" spans="1:11" ht="42" customHeight="1">
      <c r="A10040" t="s">
        <v>19534</v>
      </c>
      <c r="B10040" t="s">
        <v>19535</v>
      </c>
      <c r="C10040" t="s">
        <v>71</v>
      </c>
      <c r="D10040" t="s">
        <v>17</v>
      </c>
      <c r="E10040" s="6">
        <v>-28480</v>
      </c>
      <c r="F10040" t="s">
        <v>995</v>
      </c>
      <c r="G10040" t="s">
        <v>63</v>
      </c>
      <c r="H10040" t="s">
        <v>20</v>
      </c>
      <c r="I10040" t="s">
        <v>19536</v>
      </c>
      <c r="J10040" t="str">
        <f>HYPERLINK("https://www.boe.es/gazeta/dias/1822/01/08/pdfs/GMD-1822-8.pdf#page=6","Abrir facsímil")</f>
        <v>Abrir facsímil</v>
      </c>
      <c r="K10040" t="s">
        <v>22</v>
      </c>
    </row>
    <row r="10041" spans="1:11" ht="42" customHeight="1">
      <c r="A10041" t="s">
        <v>19537</v>
      </c>
      <c r="B10041" t="s">
        <v>19537</v>
      </c>
      <c r="C10041" t="s">
        <v>28</v>
      </c>
      <c r="D10041" t="s">
        <v>29</v>
      </c>
      <c r="E10041" s="6">
        <v>-28333</v>
      </c>
      <c r="F10041" t="s">
        <v>1928</v>
      </c>
      <c r="G10041" t="s">
        <v>44</v>
      </c>
      <c r="H10041" t="s">
        <v>20</v>
      </c>
      <c r="I10041" t="s">
        <v>19538</v>
      </c>
      <c r="J10041" t="str">
        <f>HYPERLINK("https://www.boe.es/gazeta/dias/1822/06/04/pdfs/GMD-1822-161.pdf#page=1","Abrir facsímil")</f>
        <v>Abrir facsímil</v>
      </c>
      <c r="K10041" t="s">
        <v>22</v>
      </c>
    </row>
    <row r="10042" spans="1:11" ht="42" customHeight="1">
      <c r="A10042" t="s">
        <v>19537</v>
      </c>
      <c r="B10042" t="s">
        <v>19537</v>
      </c>
      <c r="C10042" t="s">
        <v>50</v>
      </c>
      <c r="D10042" t="s">
        <v>51</v>
      </c>
      <c r="E10042" s="6">
        <v>-28317</v>
      </c>
      <c r="F10042" t="s">
        <v>546</v>
      </c>
      <c r="G10042" t="s">
        <v>63</v>
      </c>
      <c r="H10042" t="s">
        <v>20</v>
      </c>
      <c r="I10042" t="s">
        <v>19539</v>
      </c>
      <c r="J10042" t="str">
        <f>HYPERLINK("https://www.boe.es/gazeta/dias/1822/06/20/pdfs/GMD-1822-177.pdf#page=6","Abrir facsímil")</f>
        <v>Abrir facsímil</v>
      </c>
      <c r="K10042" t="s">
        <v>22</v>
      </c>
    </row>
    <row r="10043" spans="1:11" ht="42" customHeight="1">
      <c r="A10043" t="s">
        <v>19540</v>
      </c>
      <c r="B10043" t="s">
        <v>19541</v>
      </c>
      <c r="C10043" t="s">
        <v>28</v>
      </c>
      <c r="D10043" t="s">
        <v>29</v>
      </c>
      <c r="E10043" s="6">
        <v>-28346</v>
      </c>
      <c r="F10043" t="s">
        <v>191</v>
      </c>
      <c r="G10043" t="s">
        <v>2823</v>
      </c>
      <c r="H10043" t="s">
        <v>20</v>
      </c>
      <c r="I10043" t="s">
        <v>19542</v>
      </c>
      <c r="J10043" t="str">
        <f>HYPERLINK("https://www.boe.es/gazeta/dias/1822/05/22/pdfs/GMD-1822-145.pdf#page=4","Abrir facsímil")</f>
        <v>Abrir facsímil</v>
      </c>
      <c r="K10043" t="s">
        <v>22</v>
      </c>
    </row>
    <row r="10044" spans="1:11" ht="42" customHeight="1">
      <c r="A10044" t="s">
        <v>19543</v>
      </c>
      <c r="B10044" t="s">
        <v>19544</v>
      </c>
      <c r="C10044" t="s">
        <v>71</v>
      </c>
      <c r="D10044" t="s">
        <v>17</v>
      </c>
      <c r="E10044" s="6">
        <v>-28339</v>
      </c>
      <c r="F10044" t="s">
        <v>197</v>
      </c>
      <c r="G10044" t="s">
        <v>31</v>
      </c>
      <c r="H10044" t="s">
        <v>20</v>
      </c>
      <c r="I10044" t="s">
        <v>19545</v>
      </c>
      <c r="J10044" t="str">
        <f>HYPERLINK("https://www.boe.es/gazeta/dias/1822/05/29/pdfs/GMD-1822-154.pdf#page=3","Abrir facsímil")</f>
        <v>Abrir facsímil</v>
      </c>
      <c r="K10044" t="s">
        <v>22</v>
      </c>
    </row>
    <row r="10045" spans="1:11" ht="42" customHeight="1">
      <c r="A10045" t="s">
        <v>19543</v>
      </c>
      <c r="B10045" t="s">
        <v>19544</v>
      </c>
      <c r="C10045" t="s">
        <v>50</v>
      </c>
      <c r="D10045" t="s">
        <v>51</v>
      </c>
      <c r="E10045" s="6">
        <v>-28338</v>
      </c>
      <c r="F10045" t="s">
        <v>527</v>
      </c>
      <c r="G10045" t="s">
        <v>35</v>
      </c>
      <c r="H10045" t="s">
        <v>20</v>
      </c>
      <c r="I10045" t="s">
        <v>19546</v>
      </c>
      <c r="J10045" t="str">
        <f>HYPERLINK("https://www.boe.es/gazeta/dias/1822/05/30/pdfs/GMD-1822-155.pdf#page=2","Abrir facsímil")</f>
        <v>Abrir facsímil</v>
      </c>
      <c r="K10045" t="s">
        <v>22</v>
      </c>
    </row>
    <row r="10046" spans="1:11" ht="42" customHeight="1">
      <c r="A10046" t="s">
        <v>19543</v>
      </c>
      <c r="B10046" t="s">
        <v>19544</v>
      </c>
      <c r="C10046" t="s">
        <v>50</v>
      </c>
      <c r="D10046" t="s">
        <v>51</v>
      </c>
      <c r="E10046" s="6">
        <v>-28319</v>
      </c>
      <c r="F10046" t="s">
        <v>271</v>
      </c>
      <c r="G10046" t="s">
        <v>35</v>
      </c>
      <c r="H10046" t="s">
        <v>20</v>
      </c>
      <c r="I10046" t="s">
        <v>19547</v>
      </c>
      <c r="J10046" t="str">
        <f>HYPERLINK("https://www.boe.es/gazeta/dias/1822/06/18/pdfs/GMD-1822-175.pdf#page=2","Abrir facsímil")</f>
        <v>Abrir facsímil</v>
      </c>
      <c r="K10046" t="s">
        <v>22</v>
      </c>
    </row>
    <row r="10047" spans="1:11" ht="42" customHeight="1">
      <c r="A10047" t="s">
        <v>19548</v>
      </c>
      <c r="B10047" t="s">
        <v>19549</v>
      </c>
      <c r="C10047" t="s">
        <v>28</v>
      </c>
      <c r="D10047" t="s">
        <v>29</v>
      </c>
      <c r="E10047" s="6">
        <v>-28270</v>
      </c>
      <c r="F10047" t="s">
        <v>130</v>
      </c>
      <c r="G10047" t="s">
        <v>131</v>
      </c>
      <c r="H10047" t="s">
        <v>20</v>
      </c>
      <c r="I10047" t="s">
        <v>19550</v>
      </c>
      <c r="J10047" t="str">
        <f>HYPERLINK("https://www.boe.es/gazeta/dias/1822/08/06/pdfs/GMD-1822-230.pdf#page=6","Abrir facsímil")</f>
        <v>Abrir facsímil</v>
      </c>
      <c r="K10047" t="s">
        <v>22</v>
      </c>
    </row>
    <row r="10048" spans="1:11" ht="42" customHeight="1">
      <c r="A10048" t="s">
        <v>19551</v>
      </c>
      <c r="B10048" t="s">
        <v>19551</v>
      </c>
      <c r="C10048" t="s">
        <v>28</v>
      </c>
      <c r="D10048" t="s">
        <v>29</v>
      </c>
      <c r="E10048" s="6">
        <v>-28217</v>
      </c>
      <c r="F10048" t="s">
        <v>1892</v>
      </c>
      <c r="G10048" t="s">
        <v>44</v>
      </c>
      <c r="H10048" t="s">
        <v>20</v>
      </c>
      <c r="I10048" t="s">
        <v>19552</v>
      </c>
      <c r="J10048" t="str">
        <f>HYPERLINK("https://www.boe.es/gazeta/dias/1822/09/28/pdfs/GMD-1822-284.pdf#page=1","Abrir facsímil")</f>
        <v>Abrir facsímil</v>
      </c>
      <c r="K10048" t="s">
        <v>22</v>
      </c>
    </row>
    <row r="10049" spans="1:11" ht="42" customHeight="1">
      <c r="A10049" t="s">
        <v>19553</v>
      </c>
      <c r="B10049" t="s">
        <v>19554</v>
      </c>
      <c r="C10049" t="s">
        <v>50</v>
      </c>
      <c r="D10049" t="s">
        <v>51</v>
      </c>
      <c r="E10049" s="6">
        <v>-28232</v>
      </c>
      <c r="F10049" t="s">
        <v>3875</v>
      </c>
      <c r="G10049" t="s">
        <v>44</v>
      </c>
      <c r="H10049" t="s">
        <v>20</v>
      </c>
      <c r="I10049" t="s">
        <v>19555</v>
      </c>
      <c r="J10049" t="str">
        <f>HYPERLINK("https://www.boe.es/gazeta/dias/1822/09/13/pdfs/GMD-1822-269.pdf#page=1","Abrir facsímil")</f>
        <v>Abrir facsímil</v>
      </c>
      <c r="K10049" t="s">
        <v>22</v>
      </c>
    </row>
    <row r="10050" spans="1:11" ht="42" customHeight="1">
      <c r="A10050" t="s">
        <v>19556</v>
      </c>
      <c r="B10050" t="s">
        <v>19557</v>
      </c>
      <c r="C10050" t="s">
        <v>42</v>
      </c>
      <c r="D10050" t="s">
        <v>17</v>
      </c>
      <c r="E10050" s="6">
        <v>-28287</v>
      </c>
      <c r="F10050" t="s">
        <v>1295</v>
      </c>
      <c r="G10050" t="s">
        <v>31</v>
      </c>
      <c r="H10050" t="s">
        <v>20</v>
      </c>
      <c r="I10050" t="s">
        <v>19558</v>
      </c>
      <c r="J10050" t="str">
        <f>HYPERLINK("https://www.boe.es/gazeta/dias/1822/07/20/pdfs/GMD-1822-212.pdf#page=3","Abrir facsímil")</f>
        <v>Abrir facsímil</v>
      </c>
      <c r="K10050" t="s">
        <v>22</v>
      </c>
    </row>
    <row r="10051" spans="1:11" ht="42" customHeight="1">
      <c r="A10051" t="s">
        <v>19559</v>
      </c>
      <c r="B10051" t="s">
        <v>19560</v>
      </c>
      <c r="C10051" t="s">
        <v>71</v>
      </c>
      <c r="D10051" t="s">
        <v>17</v>
      </c>
      <c r="E10051" s="6">
        <v>-28312</v>
      </c>
      <c r="F10051" t="s">
        <v>92</v>
      </c>
      <c r="G10051" t="s">
        <v>35</v>
      </c>
      <c r="H10051" t="s">
        <v>20</v>
      </c>
      <c r="I10051" t="s">
        <v>19561</v>
      </c>
      <c r="J10051" t="str">
        <f>HYPERLINK("https://www.boe.es/gazeta/dias/1822/06/25/pdfs/GMD-1822-183.pdf#page=2","Abrir facsímil")</f>
        <v>Abrir facsímil</v>
      </c>
      <c r="K10051" t="s">
        <v>22</v>
      </c>
    </row>
    <row r="10052" spans="1:11" ht="42" customHeight="1">
      <c r="A10052" t="s">
        <v>19562</v>
      </c>
      <c r="B10052" t="s">
        <v>19562</v>
      </c>
      <c r="C10052" t="s">
        <v>50</v>
      </c>
      <c r="D10052" t="s">
        <v>51</v>
      </c>
      <c r="E10052" s="6">
        <v>-28423</v>
      </c>
      <c r="F10052" t="s">
        <v>441</v>
      </c>
      <c r="G10052" t="s">
        <v>31</v>
      </c>
      <c r="H10052" t="s">
        <v>20</v>
      </c>
      <c r="I10052" t="s">
        <v>19563</v>
      </c>
      <c r="J10052" t="str">
        <f>HYPERLINK("https://www.boe.es/gazeta/dias/1822/03/06/pdfs/GMD-1822-67.pdf#page=3","Abrir facsímil")</f>
        <v>Abrir facsímil</v>
      </c>
      <c r="K10052" t="s">
        <v>22</v>
      </c>
    </row>
    <row r="10053" spans="1:11" ht="42" customHeight="1">
      <c r="A10053" t="s">
        <v>19562</v>
      </c>
      <c r="B10053" t="s">
        <v>19562</v>
      </c>
      <c r="C10053" t="s">
        <v>42</v>
      </c>
      <c r="D10053" t="s">
        <v>17</v>
      </c>
      <c r="E10053" s="6">
        <v>-28375</v>
      </c>
      <c r="F10053" t="s">
        <v>2035</v>
      </c>
      <c r="G10053" t="s">
        <v>31</v>
      </c>
      <c r="H10053" t="s">
        <v>20</v>
      </c>
      <c r="I10053" t="s">
        <v>19564</v>
      </c>
      <c r="J10053" t="str">
        <f>HYPERLINK("https://www.boe.es/gazeta/dias/1822/04/23/pdfs/GMD-1822-115.pdf#page=3","Abrir facsímil")</f>
        <v>Abrir facsímil</v>
      </c>
      <c r="K10053" t="s">
        <v>22</v>
      </c>
    </row>
    <row r="10054" spans="1:11" ht="42" customHeight="1">
      <c r="A10054" t="s">
        <v>19565</v>
      </c>
      <c r="B10054" t="s">
        <v>19566</v>
      </c>
      <c r="C10054" t="s">
        <v>24</v>
      </c>
      <c r="D10054" t="s">
        <v>17</v>
      </c>
      <c r="E10054" s="6">
        <v>-28246</v>
      </c>
      <c r="F10054" t="s">
        <v>3246</v>
      </c>
      <c r="G10054" t="s">
        <v>63</v>
      </c>
      <c r="H10054" t="s">
        <v>20</v>
      </c>
      <c r="I10054" t="s">
        <v>19567</v>
      </c>
      <c r="J10054" t="str">
        <f>HYPERLINK("https://www.boe.es/gazeta/dias/1822/08/30/pdfs/GMD-1822-254.pdf#page=6","Abrir facsímil")</f>
        <v>Abrir facsímil</v>
      </c>
      <c r="K10054" t="s">
        <v>22</v>
      </c>
    </row>
    <row r="10055" spans="1:11" ht="42" customHeight="1">
      <c r="A10055" t="s">
        <v>19568</v>
      </c>
      <c r="B10055" t="s">
        <v>19569</v>
      </c>
      <c r="C10055" t="s">
        <v>50</v>
      </c>
      <c r="D10055" t="s">
        <v>51</v>
      </c>
      <c r="E10055" s="6">
        <v>-28267</v>
      </c>
      <c r="F10055" t="s">
        <v>1270</v>
      </c>
      <c r="G10055" t="s">
        <v>57</v>
      </c>
      <c r="H10055" t="s">
        <v>20</v>
      </c>
      <c r="I10055" t="s">
        <v>19570</v>
      </c>
      <c r="J10055" t="str">
        <f>HYPERLINK("https://www.boe.es/gazeta/dias/1822/08/09/pdfs/GMD-1822-233.pdf#page=4","Abrir facsímil")</f>
        <v>Abrir facsímil</v>
      </c>
      <c r="K10055" t="s">
        <v>22</v>
      </c>
    </row>
    <row r="10056" spans="1:11" ht="42" customHeight="1">
      <c r="A10056" t="s">
        <v>19568</v>
      </c>
      <c r="B10056" t="s">
        <v>19569</v>
      </c>
      <c r="C10056" t="s">
        <v>28</v>
      </c>
      <c r="D10056" t="s">
        <v>29</v>
      </c>
      <c r="E10056" s="6">
        <v>-28266</v>
      </c>
      <c r="F10056" t="s">
        <v>1169</v>
      </c>
      <c r="G10056" t="s">
        <v>57</v>
      </c>
      <c r="H10056" t="s">
        <v>20</v>
      </c>
      <c r="I10056" t="s">
        <v>19571</v>
      </c>
      <c r="J10056" t="str">
        <f>HYPERLINK("https://www.boe.es/gazeta/dias/1822/08/10/pdfs/GMD-1822-234.pdf#page=4","Abrir facsímil")</f>
        <v>Abrir facsímil</v>
      </c>
      <c r="K10056" t="s">
        <v>22</v>
      </c>
    </row>
    <row r="10057" spans="1:11" ht="42" customHeight="1">
      <c r="A10057" t="s">
        <v>19572</v>
      </c>
      <c r="B10057" t="s">
        <v>19572</v>
      </c>
      <c r="C10057" t="s">
        <v>28</v>
      </c>
      <c r="D10057" t="s">
        <v>29</v>
      </c>
      <c r="E10057" s="6">
        <v>-28421</v>
      </c>
      <c r="F10057" t="s">
        <v>446</v>
      </c>
      <c r="G10057" t="s">
        <v>19</v>
      </c>
      <c r="H10057" t="s">
        <v>20</v>
      </c>
      <c r="I10057" t="s">
        <v>19573</v>
      </c>
      <c r="J10057" t="str">
        <f>HYPERLINK("https://www.boe.es/gazeta/dias/1822/03/08/pdfs/GMD-1822-69.pdf#page=5","Abrir facsímil")</f>
        <v>Abrir facsímil</v>
      </c>
      <c r="K10057" t="s">
        <v>22</v>
      </c>
    </row>
    <row r="10058" spans="1:11" ht="42" customHeight="1">
      <c r="A10058" t="s">
        <v>19574</v>
      </c>
      <c r="B10058" t="s">
        <v>19574</v>
      </c>
      <c r="C10058" t="s">
        <v>50</v>
      </c>
      <c r="D10058" t="s">
        <v>51</v>
      </c>
      <c r="E10058" s="6">
        <v>-28420</v>
      </c>
      <c r="F10058" t="s">
        <v>449</v>
      </c>
      <c r="G10058" t="s">
        <v>44</v>
      </c>
      <c r="H10058" t="s">
        <v>20</v>
      </c>
      <c r="I10058" t="s">
        <v>19575</v>
      </c>
      <c r="J10058" t="str">
        <f>HYPERLINK("https://www.boe.es/gazeta/dias/1822/03/09/pdfs/GMD-1822-70.pdf#page=1","Abrir facsímil")</f>
        <v>Abrir facsímil</v>
      </c>
      <c r="K10058" t="s">
        <v>22</v>
      </c>
    </row>
    <row r="10059" spans="1:11" ht="42" customHeight="1">
      <c r="A10059" t="s">
        <v>19576</v>
      </c>
      <c r="B10059" t="s">
        <v>19576</v>
      </c>
      <c r="C10059" t="s">
        <v>50</v>
      </c>
      <c r="D10059" t="s">
        <v>51</v>
      </c>
      <c r="E10059" s="6">
        <v>-28466</v>
      </c>
      <c r="F10059" t="s">
        <v>4119</v>
      </c>
      <c r="G10059" t="s">
        <v>35</v>
      </c>
      <c r="H10059" t="s">
        <v>20</v>
      </c>
      <c r="I10059" t="s">
        <v>19577</v>
      </c>
      <c r="J10059" t="str">
        <f>HYPERLINK("https://www.boe.es/gazeta/dias/1822/01/22/pdfs/GMD-1822-22.pdf#page=2","Abrir facsímil")</f>
        <v>Abrir facsímil</v>
      </c>
      <c r="K10059" t="s">
        <v>22</v>
      </c>
    </row>
    <row r="10060" spans="1:11" ht="42" customHeight="1">
      <c r="A10060" t="s">
        <v>19578</v>
      </c>
      <c r="B10060" t="s">
        <v>19578</v>
      </c>
      <c r="C10060" t="s">
        <v>50</v>
      </c>
      <c r="D10060" t="s">
        <v>51</v>
      </c>
      <c r="E10060" s="6">
        <v>-28288</v>
      </c>
      <c r="F10060" t="s">
        <v>970</v>
      </c>
      <c r="G10060" t="s">
        <v>44</v>
      </c>
      <c r="H10060" t="s">
        <v>20</v>
      </c>
      <c r="I10060" t="s">
        <v>19579</v>
      </c>
      <c r="J10060" t="str">
        <f>HYPERLINK("https://www.boe.es/gazeta/dias/1822/07/19/pdfs/GMD-1822-211.pdf#page=1","Abrir facsímil")</f>
        <v>Abrir facsímil</v>
      </c>
      <c r="K10060" t="s">
        <v>22</v>
      </c>
    </row>
    <row r="10061" spans="1:11" ht="42" customHeight="1">
      <c r="A10061" t="s">
        <v>19580</v>
      </c>
      <c r="B10061" t="s">
        <v>19581</v>
      </c>
      <c r="C10061" t="s">
        <v>50</v>
      </c>
      <c r="D10061" t="s">
        <v>51</v>
      </c>
      <c r="E10061" s="6">
        <v>-28221</v>
      </c>
      <c r="F10061" t="s">
        <v>2591</v>
      </c>
      <c r="G10061" t="s">
        <v>57</v>
      </c>
      <c r="H10061" t="s">
        <v>20</v>
      </c>
      <c r="I10061" t="s">
        <v>19582</v>
      </c>
      <c r="J10061" t="str">
        <f>HYPERLINK("https://www.boe.es/gazeta/dias/1822/09/24/pdfs/GMD-1822-280.pdf#page=4","Abrir facsímil")</f>
        <v>Abrir facsímil</v>
      </c>
      <c r="K10061" t="s">
        <v>22</v>
      </c>
    </row>
    <row r="10062" spans="1:11" ht="42" customHeight="1">
      <c r="A10062" t="s">
        <v>19583</v>
      </c>
      <c r="B10062" t="s">
        <v>19583</v>
      </c>
      <c r="C10062" t="s">
        <v>50</v>
      </c>
      <c r="D10062" t="s">
        <v>51</v>
      </c>
      <c r="E10062" s="6">
        <v>-28427</v>
      </c>
      <c r="F10062" t="s">
        <v>755</v>
      </c>
      <c r="G10062" t="s">
        <v>31</v>
      </c>
      <c r="H10062" t="s">
        <v>20</v>
      </c>
      <c r="I10062" t="s">
        <v>19584</v>
      </c>
      <c r="J10062" t="str">
        <f>HYPERLINK("https://www.boe.es/gazeta/dias/1822/03/02/pdfs/GMD-1822-63.pdf#page=3","Abrir facsímil")</f>
        <v>Abrir facsímil</v>
      </c>
      <c r="K10062" t="s">
        <v>22</v>
      </c>
    </row>
    <row r="10063" spans="1:11" ht="42" customHeight="1">
      <c r="A10063" t="s">
        <v>19583</v>
      </c>
      <c r="B10063" t="s">
        <v>19583</v>
      </c>
      <c r="C10063" t="s">
        <v>71</v>
      </c>
      <c r="D10063" t="s">
        <v>17</v>
      </c>
      <c r="E10063" s="6">
        <v>-28414</v>
      </c>
      <c r="F10063" t="s">
        <v>187</v>
      </c>
      <c r="G10063" t="s">
        <v>19</v>
      </c>
      <c r="H10063" t="s">
        <v>20</v>
      </c>
      <c r="I10063" t="s">
        <v>19585</v>
      </c>
      <c r="J10063" t="str">
        <f>HYPERLINK("https://www.boe.es/gazeta/dias/1822/03/15/pdfs/GMD-1822-76.pdf#page=5","Abrir facsímil")</f>
        <v>Abrir facsímil</v>
      </c>
      <c r="K10063" t="s">
        <v>22</v>
      </c>
    </row>
    <row r="10064" spans="1:11" ht="42" customHeight="1">
      <c r="A10064" t="s">
        <v>19583</v>
      </c>
      <c r="B10064" t="s">
        <v>19583</v>
      </c>
      <c r="C10064" t="s">
        <v>50</v>
      </c>
      <c r="D10064" t="s">
        <v>51</v>
      </c>
      <c r="E10064" s="6">
        <v>-28240</v>
      </c>
      <c r="F10064" t="s">
        <v>678</v>
      </c>
      <c r="G10064" t="s">
        <v>31</v>
      </c>
      <c r="H10064" t="s">
        <v>20</v>
      </c>
      <c r="I10064" t="s">
        <v>19586</v>
      </c>
      <c r="J10064" t="str">
        <f>HYPERLINK("https://www.boe.es/gazeta/dias/1822/09/05/pdfs/GMD-1822-260.pdf#page=3","Abrir facsímil")</f>
        <v>Abrir facsímil</v>
      </c>
      <c r="K10064" t="s">
        <v>22</v>
      </c>
    </row>
    <row r="10065" spans="1:11" ht="42" customHeight="1">
      <c r="A10065" t="s">
        <v>19583</v>
      </c>
      <c r="B10065" t="s">
        <v>19583</v>
      </c>
      <c r="C10065" t="s">
        <v>42</v>
      </c>
      <c r="D10065" t="s">
        <v>17</v>
      </c>
      <c r="E10065" s="6">
        <v>-28172</v>
      </c>
      <c r="F10065" t="s">
        <v>674</v>
      </c>
      <c r="G10065" t="s">
        <v>57</v>
      </c>
      <c r="H10065" t="s">
        <v>20</v>
      </c>
      <c r="I10065" t="s">
        <v>19587</v>
      </c>
      <c r="J10065" t="str">
        <f>HYPERLINK("https://www.boe.es/gazeta/dias/1822/11/12/pdfs/GMD-1822-332.pdf#page=4","Abrir facsímil")</f>
        <v>Abrir facsímil</v>
      </c>
      <c r="K10065" t="s">
        <v>22</v>
      </c>
    </row>
    <row r="10066" spans="1:11" ht="42" customHeight="1">
      <c r="A10066" t="s">
        <v>19588</v>
      </c>
      <c r="B10066" t="s">
        <v>19589</v>
      </c>
      <c r="C10066" t="s">
        <v>16</v>
      </c>
      <c r="D10066" t="s">
        <v>17</v>
      </c>
      <c r="E10066" s="6">
        <v>-28393</v>
      </c>
      <c r="F10066" t="s">
        <v>326</v>
      </c>
      <c r="G10066" t="s">
        <v>57</v>
      </c>
      <c r="H10066" t="s">
        <v>20</v>
      </c>
      <c r="I10066" t="s">
        <v>19590</v>
      </c>
      <c r="J10066" t="str">
        <f>HYPERLINK("https://www.boe.es/gazeta/dias/1822/04/05/pdfs/GMD-1822-97.pdf#page=4","Abrir facsímil")</f>
        <v>Abrir facsímil</v>
      </c>
      <c r="K10066" t="s">
        <v>22</v>
      </c>
    </row>
    <row r="10067" spans="1:11" ht="42" customHeight="1">
      <c r="A10067" t="s">
        <v>19588</v>
      </c>
      <c r="B10067" t="s">
        <v>19589</v>
      </c>
      <c r="C10067" t="s">
        <v>71</v>
      </c>
      <c r="D10067" t="s">
        <v>17</v>
      </c>
      <c r="E10067" s="6">
        <v>-28306</v>
      </c>
      <c r="F10067" t="s">
        <v>348</v>
      </c>
      <c r="G10067" t="s">
        <v>57</v>
      </c>
      <c r="H10067" t="s">
        <v>20</v>
      </c>
      <c r="I10067" t="s">
        <v>19591</v>
      </c>
      <c r="J10067" t="str">
        <f>HYPERLINK("https://www.boe.es/gazeta/dias/1822/07/01/pdfs/GMD-1822-190.pdf#page=4","Abrir facsímil")</f>
        <v>Abrir facsímil</v>
      </c>
      <c r="K10067" t="s">
        <v>22</v>
      </c>
    </row>
    <row r="10068" spans="1:11" ht="42" customHeight="1">
      <c r="A10068" t="s">
        <v>19592</v>
      </c>
      <c r="B10068" t="s">
        <v>19593</v>
      </c>
      <c r="C10068" t="s">
        <v>42</v>
      </c>
      <c r="D10068" t="s">
        <v>17</v>
      </c>
      <c r="E10068" s="6">
        <v>-28381</v>
      </c>
      <c r="F10068" t="s">
        <v>358</v>
      </c>
      <c r="G10068" t="s">
        <v>63</v>
      </c>
      <c r="H10068" t="s">
        <v>20</v>
      </c>
      <c r="I10068" t="s">
        <v>19594</v>
      </c>
      <c r="J10068" t="str">
        <f>HYPERLINK("https://www.boe.es/gazeta/dias/1822/04/17/pdfs/GMD-1822-109.pdf#page=6","Abrir facsímil")</f>
        <v>Abrir facsímil</v>
      </c>
      <c r="K10068" t="s">
        <v>22</v>
      </c>
    </row>
    <row r="10069" spans="1:11" ht="42" customHeight="1">
      <c r="A10069" t="s">
        <v>19592</v>
      </c>
      <c r="B10069" t="s">
        <v>19593</v>
      </c>
      <c r="C10069" t="s">
        <v>71</v>
      </c>
      <c r="D10069" t="s">
        <v>17</v>
      </c>
      <c r="E10069" s="6">
        <v>-28378</v>
      </c>
      <c r="F10069" t="s">
        <v>496</v>
      </c>
      <c r="G10069" t="s">
        <v>57</v>
      </c>
      <c r="H10069" t="s">
        <v>20</v>
      </c>
      <c r="I10069" t="s">
        <v>19595</v>
      </c>
      <c r="J10069" t="str">
        <f>HYPERLINK("https://www.boe.es/gazeta/dias/1822/04/20/pdfs/GMD-1822-112.pdf#page=4","Abrir facsímil")</f>
        <v>Abrir facsímil</v>
      </c>
      <c r="K10069" t="s">
        <v>22</v>
      </c>
    </row>
    <row r="10070" spans="1:11" ht="42" customHeight="1">
      <c r="A10070" t="s">
        <v>19592</v>
      </c>
      <c r="B10070" t="s">
        <v>19593</v>
      </c>
      <c r="C10070" t="s">
        <v>42</v>
      </c>
      <c r="D10070" t="s">
        <v>17</v>
      </c>
      <c r="E10070" s="6">
        <v>-28250</v>
      </c>
      <c r="F10070" t="s">
        <v>1174</v>
      </c>
      <c r="G10070" t="s">
        <v>57</v>
      </c>
      <c r="H10070" t="s">
        <v>20</v>
      </c>
      <c r="I10070" t="s">
        <v>19596</v>
      </c>
      <c r="J10070" t="str">
        <f>HYPERLINK("https://www.boe.es/gazeta/dias/1822/08/26/pdfs/GMD-1822-250.pdf#page=4","Abrir facsímil")</f>
        <v>Abrir facsímil</v>
      </c>
      <c r="K10070" t="s">
        <v>22</v>
      </c>
    </row>
    <row r="10071" spans="1:11" ht="42" customHeight="1">
      <c r="A10071" t="s">
        <v>19592</v>
      </c>
      <c r="B10071" t="s">
        <v>19593</v>
      </c>
      <c r="C10071" t="s">
        <v>61</v>
      </c>
      <c r="D10071" t="s">
        <v>17</v>
      </c>
      <c r="E10071" s="6">
        <v>-28148</v>
      </c>
      <c r="F10071" t="s">
        <v>1909</v>
      </c>
      <c r="G10071" t="s">
        <v>63</v>
      </c>
      <c r="H10071" t="s">
        <v>20</v>
      </c>
      <c r="I10071" t="s">
        <v>19597</v>
      </c>
      <c r="J10071" t="str">
        <f>HYPERLINK("https://www.boe.es/gazeta/dias/1822/12/06/pdfs/GMD-1822-356.pdf#page=6","Abrir facsímil")</f>
        <v>Abrir facsímil</v>
      </c>
      <c r="K10071" t="s">
        <v>22</v>
      </c>
    </row>
    <row r="10072" spans="1:11" ht="42" customHeight="1">
      <c r="A10072" t="s">
        <v>19598</v>
      </c>
      <c r="B10072" t="s">
        <v>19599</v>
      </c>
      <c r="C10072" t="s">
        <v>50</v>
      </c>
      <c r="D10072" t="s">
        <v>51</v>
      </c>
      <c r="E10072" s="6">
        <v>-28207</v>
      </c>
      <c r="F10072" t="s">
        <v>1325</v>
      </c>
      <c r="G10072" t="s">
        <v>57</v>
      </c>
      <c r="H10072" t="s">
        <v>20</v>
      </c>
      <c r="I10072" t="s">
        <v>19600</v>
      </c>
      <c r="J10072" t="str">
        <f>HYPERLINK("https://www.boe.es/gazeta/dias/1822/10/08/pdfs/GMD-1822-295.pdf#page=4","Abrir facsímil")</f>
        <v>Abrir facsímil</v>
      </c>
      <c r="K10072" t="s">
        <v>22</v>
      </c>
    </row>
    <row r="10073" spans="1:11" ht="42" customHeight="1">
      <c r="A10073" t="s">
        <v>19601</v>
      </c>
      <c r="B10073" t="s">
        <v>19601</v>
      </c>
      <c r="C10073" t="s">
        <v>16</v>
      </c>
      <c r="D10073" t="s">
        <v>17</v>
      </c>
      <c r="E10073" s="6">
        <v>-28178</v>
      </c>
      <c r="F10073" t="s">
        <v>318</v>
      </c>
      <c r="G10073" t="s">
        <v>44</v>
      </c>
      <c r="H10073" t="s">
        <v>20</v>
      </c>
      <c r="I10073" t="s">
        <v>19602</v>
      </c>
      <c r="J10073" t="str">
        <f>HYPERLINK("https://www.boe.es/gazeta/dias/1822/11/06/pdfs/GMD-1822-326.pdf#page=1","Abrir facsímil")</f>
        <v>Abrir facsímil</v>
      </c>
      <c r="K10073" t="s">
        <v>22</v>
      </c>
    </row>
    <row r="10074" spans="1:11" ht="42" customHeight="1">
      <c r="A10074" t="s">
        <v>19603</v>
      </c>
      <c r="B10074" t="s">
        <v>19604</v>
      </c>
      <c r="C10074" t="s">
        <v>71</v>
      </c>
      <c r="D10074" t="s">
        <v>17</v>
      </c>
      <c r="E10074" s="6">
        <v>-28258</v>
      </c>
      <c r="F10074" t="s">
        <v>88</v>
      </c>
      <c r="G10074" t="s">
        <v>57</v>
      </c>
      <c r="H10074" t="s">
        <v>20</v>
      </c>
      <c r="I10074" t="s">
        <v>19605</v>
      </c>
      <c r="J10074" t="str">
        <f>HYPERLINK("https://www.boe.es/gazeta/dias/1822/08/18/pdfs/GMD-1822-242.pdf#page=4","Abrir facsímil")</f>
        <v>Abrir facsímil</v>
      </c>
      <c r="K10074" t="s">
        <v>22</v>
      </c>
    </row>
    <row r="10075" spans="1:11" ht="42" customHeight="1">
      <c r="A10075" t="s">
        <v>19606</v>
      </c>
      <c r="B10075" t="s">
        <v>19607</v>
      </c>
      <c r="C10075" t="s">
        <v>42</v>
      </c>
      <c r="D10075" t="s">
        <v>17</v>
      </c>
      <c r="E10075" s="6">
        <v>-28131</v>
      </c>
      <c r="F10075" t="s">
        <v>893</v>
      </c>
      <c r="G10075" t="s">
        <v>991</v>
      </c>
      <c r="H10075" t="s">
        <v>20</v>
      </c>
      <c r="I10075" t="s">
        <v>19608</v>
      </c>
      <c r="J10075" t="str">
        <f>HYPERLINK("https://www.boe.es/gazeta/dias/1822/12/23/pdfs/GMD-1822-373.pdf#page=6","Abrir facsímil")</f>
        <v>Abrir facsímil</v>
      </c>
      <c r="K10075" t="s">
        <v>22</v>
      </c>
    </row>
    <row r="10076" spans="1:11" ht="42" customHeight="1">
      <c r="A10076" t="s">
        <v>19609</v>
      </c>
      <c r="B10076" t="s">
        <v>19610</v>
      </c>
      <c r="C10076" t="s">
        <v>50</v>
      </c>
      <c r="D10076" t="s">
        <v>51</v>
      </c>
      <c r="E10076" s="6">
        <v>-28210</v>
      </c>
      <c r="F10076" t="s">
        <v>218</v>
      </c>
      <c r="G10076" t="s">
        <v>19</v>
      </c>
      <c r="H10076" t="s">
        <v>20</v>
      </c>
      <c r="I10076" t="s">
        <v>19611</v>
      </c>
      <c r="J10076" t="str">
        <f>HYPERLINK("https://www.boe.es/gazeta/dias/1822/10/05/pdfs/GMD-1822-291.pdf#page=5","Abrir facsímil")</f>
        <v>Abrir facsímil</v>
      </c>
      <c r="K10076" t="s">
        <v>22</v>
      </c>
    </row>
    <row r="10077" spans="1:11" ht="42" customHeight="1">
      <c r="A10077" t="s">
        <v>19612</v>
      </c>
      <c r="B10077" t="s">
        <v>19612</v>
      </c>
      <c r="C10077" t="s">
        <v>42</v>
      </c>
      <c r="D10077" t="s">
        <v>17</v>
      </c>
      <c r="E10077" s="6">
        <v>-28251</v>
      </c>
      <c r="F10077" t="s">
        <v>1485</v>
      </c>
      <c r="G10077" t="s">
        <v>35</v>
      </c>
      <c r="H10077" t="s">
        <v>20</v>
      </c>
      <c r="I10077" t="s">
        <v>19613</v>
      </c>
      <c r="J10077" t="str">
        <f>HYPERLINK("https://www.boe.es/gazeta/dias/1822/08/25/pdfs/GMD-1822-249.pdf#page=2","Abrir facsímil")</f>
        <v>Abrir facsímil</v>
      </c>
      <c r="K10077" t="s">
        <v>22</v>
      </c>
    </row>
    <row r="10078" spans="1:11" ht="42" customHeight="1">
      <c r="A10078" t="s">
        <v>19614</v>
      </c>
      <c r="B10078" t="s">
        <v>19615</v>
      </c>
      <c r="C10078" t="s">
        <v>50</v>
      </c>
      <c r="D10078" t="s">
        <v>51</v>
      </c>
      <c r="E10078" s="6">
        <v>-28224</v>
      </c>
      <c r="F10078" t="s">
        <v>1902</v>
      </c>
      <c r="G10078" t="s">
        <v>35</v>
      </c>
      <c r="H10078" t="s">
        <v>20</v>
      </c>
      <c r="I10078" t="s">
        <v>19616</v>
      </c>
      <c r="J10078" t="str">
        <f>HYPERLINK("https://www.boe.es/gazeta/dias/1822/09/21/pdfs/GMD-1822-277.pdf#page=2","Abrir facsímil")</f>
        <v>Abrir facsímil</v>
      </c>
      <c r="K10078" t="s">
        <v>22</v>
      </c>
    </row>
    <row r="10079" spans="1:11" ht="42" customHeight="1">
      <c r="A10079" t="s">
        <v>19617</v>
      </c>
      <c r="B10079" t="s">
        <v>19618</v>
      </c>
      <c r="C10079" t="s">
        <v>42</v>
      </c>
      <c r="D10079" t="s">
        <v>17</v>
      </c>
      <c r="E10079" s="6">
        <v>-28189</v>
      </c>
      <c r="F10079" t="s">
        <v>645</v>
      </c>
      <c r="G10079" t="s">
        <v>57</v>
      </c>
      <c r="H10079" t="s">
        <v>20</v>
      </c>
      <c r="I10079" t="s">
        <v>19619</v>
      </c>
      <c r="J10079" t="str">
        <f>HYPERLINK("https://www.boe.es/gazeta/dias/1822/10/26/pdfs/GMD-1822-313.pdf#page=4","Abrir facsímil")</f>
        <v>Abrir facsímil</v>
      </c>
      <c r="K10079" t="s">
        <v>22</v>
      </c>
    </row>
    <row r="10080" spans="1:11" ht="42" customHeight="1">
      <c r="A10080" t="s">
        <v>19617</v>
      </c>
      <c r="B10080" t="s">
        <v>19618</v>
      </c>
      <c r="C10080" t="s">
        <v>71</v>
      </c>
      <c r="D10080" t="s">
        <v>17</v>
      </c>
      <c r="E10080" s="6">
        <v>-28167</v>
      </c>
      <c r="F10080" t="s">
        <v>904</v>
      </c>
      <c r="G10080" t="s">
        <v>35</v>
      </c>
      <c r="H10080" t="s">
        <v>20</v>
      </c>
      <c r="I10080" t="s">
        <v>19620</v>
      </c>
      <c r="J10080" t="str">
        <f>HYPERLINK("https://www.boe.es/gazeta/dias/1822/11/17/pdfs/GMD-1822-337.pdf#page=2","Abrir facsímil")</f>
        <v>Abrir facsímil</v>
      </c>
      <c r="K10080" t="s">
        <v>22</v>
      </c>
    </row>
    <row r="10081" spans="1:11" ht="42" customHeight="1">
      <c r="A10081" t="s">
        <v>19621</v>
      </c>
      <c r="B10081" t="s">
        <v>19622</v>
      </c>
      <c r="C10081" t="s">
        <v>50</v>
      </c>
      <c r="D10081" t="s">
        <v>51</v>
      </c>
      <c r="E10081" s="6">
        <v>-28280</v>
      </c>
      <c r="F10081" t="s">
        <v>56</v>
      </c>
      <c r="G10081" t="s">
        <v>35</v>
      </c>
      <c r="H10081" t="s">
        <v>20</v>
      </c>
      <c r="I10081" t="s">
        <v>19623</v>
      </c>
      <c r="J10081" t="str">
        <f>HYPERLINK("https://www.boe.es/gazeta/dias/1822/07/27/pdfs/GMD-1822-220.pdf#page=2","Abrir facsímil")</f>
        <v>Abrir facsímil</v>
      </c>
      <c r="K10081" t="s">
        <v>22</v>
      </c>
    </row>
    <row r="10082" spans="1:11" ht="42" customHeight="1">
      <c r="A10082" t="s">
        <v>19624</v>
      </c>
      <c r="B10082" t="s">
        <v>19625</v>
      </c>
      <c r="C10082" t="s">
        <v>42</v>
      </c>
      <c r="D10082" t="s">
        <v>17</v>
      </c>
      <c r="E10082" s="6">
        <v>-28313</v>
      </c>
      <c r="F10082" t="s">
        <v>315</v>
      </c>
      <c r="G10082" t="s">
        <v>31</v>
      </c>
      <c r="H10082" t="s">
        <v>20</v>
      </c>
      <c r="I10082" t="s">
        <v>19626</v>
      </c>
      <c r="J10082" t="str">
        <f>HYPERLINK("https://www.boe.es/gazeta/dias/1822/06/24/pdfs/GMD-1822-182.pdf#page=3","Abrir facsímil")</f>
        <v>Abrir facsímil</v>
      </c>
      <c r="K10082" t="s">
        <v>22</v>
      </c>
    </row>
    <row r="10083" spans="1:11" ht="42" customHeight="1">
      <c r="A10083" t="s">
        <v>19627</v>
      </c>
      <c r="B10083" t="s">
        <v>19628</v>
      </c>
      <c r="C10083" t="s">
        <v>362</v>
      </c>
      <c r="D10083" t="s">
        <v>17</v>
      </c>
      <c r="E10083" s="6">
        <v>-28254</v>
      </c>
      <c r="F10083" t="s">
        <v>3557</v>
      </c>
      <c r="G10083" t="s">
        <v>57</v>
      </c>
      <c r="H10083" t="s">
        <v>20</v>
      </c>
      <c r="I10083" t="s">
        <v>19629</v>
      </c>
      <c r="J10083" t="str">
        <f>HYPERLINK("https://www.boe.es/gazeta/dias/1822/08/22/pdfs/GMD-1822-246.pdf#page=4","Abrir facsímil")</f>
        <v>Abrir facsímil</v>
      </c>
      <c r="K10083" t="s">
        <v>22</v>
      </c>
    </row>
    <row r="10084" spans="1:11" ht="42" customHeight="1">
      <c r="A10084" t="s">
        <v>19630</v>
      </c>
      <c r="B10084" t="s">
        <v>19631</v>
      </c>
      <c r="C10084" t="s">
        <v>42</v>
      </c>
      <c r="D10084" t="s">
        <v>17</v>
      </c>
      <c r="E10084" s="6">
        <v>-28380</v>
      </c>
      <c r="F10084" t="s">
        <v>492</v>
      </c>
      <c r="G10084" t="s">
        <v>35</v>
      </c>
      <c r="H10084" t="s">
        <v>20</v>
      </c>
      <c r="I10084" t="s">
        <v>19632</v>
      </c>
      <c r="J10084" t="str">
        <f>HYPERLINK("https://www.boe.es/gazeta/dias/1822/04/18/pdfs/GMD-1822-110.pdf#page=2","Abrir facsímil")</f>
        <v>Abrir facsímil</v>
      </c>
      <c r="K10084" t="s">
        <v>22</v>
      </c>
    </row>
    <row r="10085" spans="1:11" ht="42" customHeight="1">
      <c r="A10085" t="s">
        <v>19633</v>
      </c>
      <c r="B10085" t="s">
        <v>19634</v>
      </c>
      <c r="C10085" t="s">
        <v>50</v>
      </c>
      <c r="D10085" t="s">
        <v>51</v>
      </c>
      <c r="E10085" s="6">
        <v>-28317</v>
      </c>
      <c r="F10085" t="s">
        <v>546</v>
      </c>
      <c r="G10085" t="s">
        <v>35</v>
      </c>
      <c r="H10085" t="s">
        <v>20</v>
      </c>
      <c r="I10085" t="s">
        <v>19635</v>
      </c>
      <c r="J10085" t="str">
        <f>HYPERLINK("https://www.boe.es/gazeta/dias/1822/06/20/pdfs/GMD-1822-177.pdf#page=2","Abrir facsímil")</f>
        <v>Abrir facsímil</v>
      </c>
      <c r="K10085" t="s">
        <v>22</v>
      </c>
    </row>
    <row r="10086" spans="1:11" ht="42" customHeight="1">
      <c r="A10086" t="s">
        <v>19636</v>
      </c>
      <c r="B10086" t="s">
        <v>19637</v>
      </c>
      <c r="C10086" t="s">
        <v>50</v>
      </c>
      <c r="D10086" t="s">
        <v>51</v>
      </c>
      <c r="E10086" s="6">
        <v>-28343</v>
      </c>
      <c r="F10086" t="s">
        <v>1019</v>
      </c>
      <c r="G10086" t="s">
        <v>44</v>
      </c>
      <c r="H10086" t="s">
        <v>20</v>
      </c>
      <c r="I10086" t="s">
        <v>19638</v>
      </c>
      <c r="J10086" t="str">
        <f>HYPERLINK("https://www.boe.es/gazeta/dias/1822/05/25/pdfs/GMD-1822-150.pdf#page=1","Abrir facsímil")</f>
        <v>Abrir facsímil</v>
      </c>
      <c r="K10086" t="s">
        <v>22</v>
      </c>
    </row>
    <row r="10087" spans="1:11" ht="42" customHeight="1">
      <c r="A10087" t="s">
        <v>19639</v>
      </c>
      <c r="B10087" t="s">
        <v>19640</v>
      </c>
      <c r="C10087" t="s">
        <v>28</v>
      </c>
      <c r="D10087" t="s">
        <v>29</v>
      </c>
      <c r="E10087" s="6">
        <v>-28222</v>
      </c>
      <c r="F10087" t="s">
        <v>2027</v>
      </c>
      <c r="G10087" t="s">
        <v>57</v>
      </c>
      <c r="H10087" t="s">
        <v>20</v>
      </c>
      <c r="I10087" t="s">
        <v>19641</v>
      </c>
      <c r="J10087" t="str">
        <f>HYPERLINK("https://www.boe.es/gazeta/dias/1822/09/23/pdfs/GMD-1822-279.pdf#page=4","Abrir facsímil")</f>
        <v>Abrir facsímil</v>
      </c>
      <c r="K10087" t="s">
        <v>22</v>
      </c>
    </row>
    <row r="10088" spans="1:11" ht="42" customHeight="1">
      <c r="A10088" t="s">
        <v>19642</v>
      </c>
      <c r="B10088" t="s">
        <v>19643</v>
      </c>
      <c r="C10088" t="s">
        <v>71</v>
      </c>
      <c r="D10088" t="s">
        <v>17</v>
      </c>
      <c r="E10088" s="6">
        <v>-28197</v>
      </c>
      <c r="F10088" t="s">
        <v>568</v>
      </c>
      <c r="G10088" t="s">
        <v>63</v>
      </c>
      <c r="H10088" t="s">
        <v>20</v>
      </c>
      <c r="I10088" t="s">
        <v>19644</v>
      </c>
      <c r="J10088" t="str">
        <f>HYPERLINK("https://www.boe.es/gazeta/dias/1822/10/18/pdfs/GMD-1822-305.pdf#page=6","Abrir facsímil")</f>
        <v>Abrir facsímil</v>
      </c>
      <c r="K10088" t="s">
        <v>22</v>
      </c>
    </row>
    <row r="10089" spans="1:11" ht="42" customHeight="1">
      <c r="A10089" t="s">
        <v>19645</v>
      </c>
      <c r="B10089" t="s">
        <v>19646</v>
      </c>
      <c r="C10089" t="s">
        <v>24</v>
      </c>
      <c r="D10089" t="s">
        <v>17</v>
      </c>
      <c r="E10089" s="6">
        <v>-28308</v>
      </c>
      <c r="F10089" t="s">
        <v>1050</v>
      </c>
      <c r="G10089" t="s">
        <v>157</v>
      </c>
      <c r="H10089" t="s">
        <v>20</v>
      </c>
      <c r="I10089" t="s">
        <v>19647</v>
      </c>
      <c r="J10089" t="str">
        <f>HYPERLINK("https://www.boe.es/gazeta/dias/1822/06/29/pdfs/GMD-1822-187.pdf#page=8","Abrir facsímil")</f>
        <v>Abrir facsímil</v>
      </c>
      <c r="K10089" t="s">
        <v>22</v>
      </c>
    </row>
    <row r="10090" spans="1:11" ht="42" customHeight="1">
      <c r="A10090" t="s">
        <v>19648</v>
      </c>
      <c r="B10090" t="s">
        <v>19648</v>
      </c>
      <c r="C10090" t="s">
        <v>50</v>
      </c>
      <c r="D10090" t="s">
        <v>51</v>
      </c>
      <c r="E10090" s="6">
        <v>-28430</v>
      </c>
      <c r="F10090" t="s">
        <v>3437</v>
      </c>
      <c r="G10090" t="s">
        <v>31</v>
      </c>
      <c r="H10090" t="s">
        <v>20</v>
      </c>
      <c r="I10090" t="s">
        <v>19649</v>
      </c>
      <c r="J10090" t="str">
        <f>HYPERLINK("https://www.boe.es/gazeta/dias/1822/02/27/pdfs/GMD-1822-59.pdf#page=3","Abrir facsímil")</f>
        <v>Abrir facsímil</v>
      </c>
      <c r="K10090" t="s">
        <v>22</v>
      </c>
    </row>
    <row r="10091" spans="1:11" ht="42" customHeight="1">
      <c r="A10091" t="s">
        <v>19650</v>
      </c>
      <c r="B10091" t="s">
        <v>19650</v>
      </c>
      <c r="C10091" t="s">
        <v>50</v>
      </c>
      <c r="D10091" t="s">
        <v>51</v>
      </c>
      <c r="E10091" s="6">
        <v>-28237</v>
      </c>
      <c r="F10091" t="s">
        <v>878</v>
      </c>
      <c r="G10091" t="s">
        <v>44</v>
      </c>
      <c r="H10091" t="s">
        <v>20</v>
      </c>
      <c r="I10091" t="s">
        <v>19651</v>
      </c>
      <c r="J10091" t="str">
        <f>HYPERLINK("https://www.boe.es/gazeta/dias/1822/09/08/pdfs/GMD-1822-264.pdf#page=1","Abrir facsímil")</f>
        <v>Abrir facsímil</v>
      </c>
      <c r="K10091" t="s">
        <v>22</v>
      </c>
    </row>
    <row r="10092" spans="1:11" ht="42" customHeight="1">
      <c r="A10092" t="s">
        <v>19652</v>
      </c>
      <c r="B10092" t="s">
        <v>19652</v>
      </c>
      <c r="C10092" t="s">
        <v>50</v>
      </c>
      <c r="D10092" t="s">
        <v>51</v>
      </c>
      <c r="E10092" s="6">
        <v>-28242</v>
      </c>
      <c r="F10092" t="s">
        <v>831</v>
      </c>
      <c r="G10092" t="s">
        <v>44</v>
      </c>
      <c r="H10092" t="s">
        <v>20</v>
      </c>
      <c r="I10092" t="s">
        <v>19653</v>
      </c>
      <c r="J10092" t="str">
        <f>HYPERLINK("https://www.boe.es/gazeta/dias/1822/09/03/pdfs/GMD-1822-258.pdf#page=1","Abrir facsímil")</f>
        <v>Abrir facsímil</v>
      </c>
      <c r="K10092" t="s">
        <v>22</v>
      </c>
    </row>
    <row r="10093" spans="1:11" ht="42" customHeight="1">
      <c r="A10093" t="s">
        <v>19654</v>
      </c>
      <c r="B10093" t="s">
        <v>19654</v>
      </c>
      <c r="C10093" t="s">
        <v>50</v>
      </c>
      <c r="D10093" t="s">
        <v>51</v>
      </c>
      <c r="E10093" s="6">
        <v>-28276</v>
      </c>
      <c r="F10093" t="s">
        <v>4746</v>
      </c>
      <c r="G10093" t="s">
        <v>44</v>
      </c>
      <c r="H10093" t="s">
        <v>20</v>
      </c>
      <c r="I10093" t="s">
        <v>19655</v>
      </c>
      <c r="J10093" t="str">
        <f>HYPERLINK("https://www.boe.es/gazeta/dias/1822/07/31/pdfs/GMD-1822-224.pdf#page=1","Abrir facsímil")</f>
        <v>Abrir facsímil</v>
      </c>
      <c r="K10093" t="s">
        <v>22</v>
      </c>
    </row>
    <row r="10094" spans="1:11" ht="42" customHeight="1">
      <c r="A10094" t="s">
        <v>19656</v>
      </c>
      <c r="B10094" t="s">
        <v>19657</v>
      </c>
      <c r="C10094" t="s">
        <v>42</v>
      </c>
      <c r="D10094" t="s">
        <v>17</v>
      </c>
      <c r="E10094" s="6">
        <v>-28391</v>
      </c>
      <c r="F10094" t="s">
        <v>378</v>
      </c>
      <c r="G10094" t="s">
        <v>63</v>
      </c>
      <c r="H10094" t="s">
        <v>20</v>
      </c>
      <c r="I10094" t="s">
        <v>19658</v>
      </c>
      <c r="J10094" t="str">
        <f>HYPERLINK("https://www.boe.es/gazeta/dias/1822/04/07/pdfs/GMD-1822-99.pdf#page=6","Abrir facsímil")</f>
        <v>Abrir facsímil</v>
      </c>
      <c r="K10094" t="s">
        <v>22</v>
      </c>
    </row>
    <row r="10095" spans="1:11" ht="42" customHeight="1">
      <c r="A10095" t="s">
        <v>19659</v>
      </c>
      <c r="B10095" t="s">
        <v>19660</v>
      </c>
      <c r="C10095" t="s">
        <v>16</v>
      </c>
      <c r="D10095" t="s">
        <v>17</v>
      </c>
      <c r="E10095" s="6">
        <v>-28309</v>
      </c>
      <c r="F10095" t="s">
        <v>553</v>
      </c>
      <c r="G10095" t="s">
        <v>157</v>
      </c>
      <c r="H10095" t="s">
        <v>20</v>
      </c>
      <c r="I10095" t="s">
        <v>19661</v>
      </c>
      <c r="J10095" t="str">
        <f>HYPERLINK("https://www.boe.es/gazeta/dias/1822/06/28/pdfs/GMD-1822-186.pdf#page=8","Abrir facsímil")</f>
        <v>Abrir facsímil</v>
      </c>
      <c r="K10095" t="s">
        <v>22</v>
      </c>
    </row>
    <row r="10096" spans="1:11" ht="42" customHeight="1">
      <c r="A10096" t="s">
        <v>19662</v>
      </c>
      <c r="B10096" t="s">
        <v>19662</v>
      </c>
      <c r="C10096" t="s">
        <v>50</v>
      </c>
      <c r="D10096" t="s">
        <v>51</v>
      </c>
      <c r="E10096" s="6">
        <v>-28415</v>
      </c>
      <c r="F10096" t="s">
        <v>77</v>
      </c>
      <c r="G10096" t="s">
        <v>63</v>
      </c>
      <c r="H10096" t="s">
        <v>20</v>
      </c>
      <c r="I10096" t="s">
        <v>19663</v>
      </c>
      <c r="J10096" t="str">
        <f>HYPERLINK("https://www.boe.es/gazeta/dias/1822/03/14/pdfs/GMD-1822-75.pdf#page=6","Abrir facsímil")</f>
        <v>Abrir facsímil</v>
      </c>
      <c r="K10096" t="s">
        <v>22</v>
      </c>
    </row>
    <row r="10097" spans="1:11" ht="42" customHeight="1">
      <c r="A10097" t="s">
        <v>19662</v>
      </c>
      <c r="B10097" t="s">
        <v>19662</v>
      </c>
      <c r="C10097" t="s">
        <v>50</v>
      </c>
      <c r="D10097" t="s">
        <v>51</v>
      </c>
      <c r="E10097" s="6">
        <v>-28329</v>
      </c>
      <c r="F10097" t="s">
        <v>354</v>
      </c>
      <c r="G10097" t="s">
        <v>63</v>
      </c>
      <c r="H10097" t="s">
        <v>20</v>
      </c>
      <c r="I10097" t="s">
        <v>19664</v>
      </c>
      <c r="J10097" t="str">
        <f>HYPERLINK("https://www.boe.es/gazeta/dias/1822/06/08/pdfs/GMD-1822-165.pdf#page=6","Abrir facsímil")</f>
        <v>Abrir facsímil</v>
      </c>
      <c r="K10097" t="s">
        <v>22</v>
      </c>
    </row>
    <row r="10098" spans="1:11" ht="42" customHeight="1">
      <c r="A10098" t="s">
        <v>19662</v>
      </c>
      <c r="B10098" t="s">
        <v>19662</v>
      </c>
      <c r="C10098" t="s">
        <v>24</v>
      </c>
      <c r="D10098" t="s">
        <v>17</v>
      </c>
      <c r="E10098" s="6">
        <v>-28208</v>
      </c>
      <c r="F10098" t="s">
        <v>230</v>
      </c>
      <c r="G10098" t="s">
        <v>57</v>
      </c>
      <c r="H10098" t="s">
        <v>20</v>
      </c>
      <c r="I10098" t="s">
        <v>19665</v>
      </c>
      <c r="J10098" t="str">
        <f>HYPERLINK("https://www.boe.es/gazeta/dias/1822/10/07/pdfs/GMD-1822-293.pdf#page=4","Abrir facsímil")</f>
        <v>Abrir facsímil</v>
      </c>
      <c r="K10098" t="s">
        <v>22</v>
      </c>
    </row>
    <row r="10099" spans="1:11" ht="42" customHeight="1">
      <c r="A10099" t="s">
        <v>19662</v>
      </c>
      <c r="B10099" t="s">
        <v>19662</v>
      </c>
      <c r="C10099" t="s">
        <v>61</v>
      </c>
      <c r="D10099" t="s">
        <v>17</v>
      </c>
      <c r="E10099" s="6">
        <v>-28190</v>
      </c>
      <c r="F10099" t="s">
        <v>576</v>
      </c>
      <c r="G10099" t="s">
        <v>63</v>
      </c>
      <c r="H10099" t="s">
        <v>20</v>
      </c>
      <c r="I10099" t="s">
        <v>19666</v>
      </c>
      <c r="J10099" t="str">
        <f>HYPERLINK("https://www.boe.es/gazeta/dias/1822/10/25/pdfs/GMD-1822-312.pdf#page=6","Abrir facsímil")</f>
        <v>Abrir facsímil</v>
      </c>
      <c r="K10099" t="s">
        <v>22</v>
      </c>
    </row>
    <row r="10100" spans="1:11" ht="42" customHeight="1">
      <c r="A10100" t="s">
        <v>19667</v>
      </c>
      <c r="B10100" t="s">
        <v>19667</v>
      </c>
      <c r="C10100" t="s">
        <v>50</v>
      </c>
      <c r="D10100" t="s">
        <v>51</v>
      </c>
      <c r="E10100" s="6">
        <v>-28332</v>
      </c>
      <c r="F10100" t="s">
        <v>535</v>
      </c>
      <c r="G10100" t="s">
        <v>44</v>
      </c>
      <c r="H10100" t="s">
        <v>20</v>
      </c>
      <c r="I10100" t="s">
        <v>19668</v>
      </c>
      <c r="J10100" t="str">
        <f>HYPERLINK("https://www.boe.es/gazeta/dias/1822/06/05/pdfs/GMD-1822-162.pdf#page=1","Abrir facsímil")</f>
        <v>Abrir facsímil</v>
      </c>
      <c r="K10100" t="s">
        <v>22</v>
      </c>
    </row>
    <row r="10101" spans="1:11" ht="42" customHeight="1">
      <c r="A10101" t="s">
        <v>19669</v>
      </c>
      <c r="B10101" t="s">
        <v>19670</v>
      </c>
      <c r="C10101" t="s">
        <v>50</v>
      </c>
      <c r="D10101" t="s">
        <v>51</v>
      </c>
      <c r="E10101" s="6">
        <v>-28292</v>
      </c>
      <c r="F10101" t="s">
        <v>222</v>
      </c>
      <c r="G10101" t="s">
        <v>31</v>
      </c>
      <c r="H10101" t="s">
        <v>20</v>
      </c>
      <c r="I10101" t="s">
        <v>19671</v>
      </c>
      <c r="J10101" t="str">
        <f>HYPERLINK("https://www.boe.es/gazeta/dias/1822/07/15/pdfs/GMD-1822-205.pdf#page=3","Abrir facsímil")</f>
        <v>Abrir facsímil</v>
      </c>
      <c r="K10101" t="s">
        <v>22</v>
      </c>
    </row>
    <row r="10102" spans="1:11" ht="42" customHeight="1">
      <c r="A10102" t="s">
        <v>19672</v>
      </c>
      <c r="B10102" t="s">
        <v>19673</v>
      </c>
      <c r="C10102" t="s">
        <v>50</v>
      </c>
      <c r="D10102" t="s">
        <v>51</v>
      </c>
      <c r="E10102" s="6">
        <v>-28396</v>
      </c>
      <c r="F10102" t="s">
        <v>1138</v>
      </c>
      <c r="G10102" t="s">
        <v>167</v>
      </c>
      <c r="H10102" t="s">
        <v>20</v>
      </c>
      <c r="I10102" t="s">
        <v>19674</v>
      </c>
      <c r="J10102" t="str">
        <f>HYPERLINK("https://www.boe.es/gazeta/dias/1822/04/02/pdfs/GMD-1822-94.pdf#page=7","Abrir facsímil")</f>
        <v>Abrir facsímil</v>
      </c>
      <c r="K10102" t="s">
        <v>22</v>
      </c>
    </row>
    <row r="10103" spans="1:11" ht="42" customHeight="1">
      <c r="A10103" t="s">
        <v>19675</v>
      </c>
      <c r="B10103" t="s">
        <v>19676</v>
      </c>
      <c r="C10103" t="s">
        <v>50</v>
      </c>
      <c r="D10103" t="s">
        <v>51</v>
      </c>
      <c r="E10103" s="6">
        <v>-28338</v>
      </c>
      <c r="F10103" t="s">
        <v>527</v>
      </c>
      <c r="G10103" t="s">
        <v>35</v>
      </c>
      <c r="H10103" t="s">
        <v>20</v>
      </c>
      <c r="I10103" t="s">
        <v>19677</v>
      </c>
      <c r="J10103" t="str">
        <f>HYPERLINK("https://www.boe.es/gazeta/dias/1822/05/30/pdfs/GMD-1822-155.pdf#page=2","Abrir facsímil")</f>
        <v>Abrir facsímil</v>
      </c>
      <c r="K10103" t="s">
        <v>22</v>
      </c>
    </row>
    <row r="10104" spans="1:11" ht="42" customHeight="1">
      <c r="A10104" t="s">
        <v>19678</v>
      </c>
      <c r="B10104" t="s">
        <v>19679</v>
      </c>
      <c r="C10104" t="s">
        <v>28</v>
      </c>
      <c r="D10104" t="s">
        <v>29</v>
      </c>
      <c r="E10104" s="6">
        <v>-28346</v>
      </c>
      <c r="F10104" t="s">
        <v>191</v>
      </c>
      <c r="G10104" t="s">
        <v>31</v>
      </c>
      <c r="H10104" t="s">
        <v>20</v>
      </c>
      <c r="I10104" t="s">
        <v>19680</v>
      </c>
      <c r="J10104" t="str">
        <f>HYPERLINK("https://www.boe.es/gazeta/dias/1822/05/22/pdfs/GMD-1822-145.pdf#page=3","Abrir facsímil")</f>
        <v>Abrir facsímil</v>
      </c>
      <c r="K10104" t="s">
        <v>22</v>
      </c>
    </row>
    <row r="10105" spans="1:11" ht="42" customHeight="1">
      <c r="A10105" t="s">
        <v>19681</v>
      </c>
      <c r="B10105" t="s">
        <v>19681</v>
      </c>
      <c r="C10105" t="s">
        <v>42</v>
      </c>
      <c r="D10105" t="s">
        <v>17</v>
      </c>
      <c r="E10105" s="6">
        <v>-28317</v>
      </c>
      <c r="F10105" t="s">
        <v>546</v>
      </c>
      <c r="G10105" t="s">
        <v>44</v>
      </c>
      <c r="H10105" t="s">
        <v>20</v>
      </c>
      <c r="I10105" t="s">
        <v>19682</v>
      </c>
      <c r="J10105" t="str">
        <f>HYPERLINK("https://www.boe.es/gazeta/dias/1822/06/20/pdfs/GMD-1822-177.pdf#page=1","Abrir facsímil")</f>
        <v>Abrir facsímil</v>
      </c>
      <c r="K10105" t="s">
        <v>22</v>
      </c>
    </row>
    <row r="10106" spans="1:11" ht="42" customHeight="1">
      <c r="A10106" t="s">
        <v>19683</v>
      </c>
      <c r="B10106" t="s">
        <v>19684</v>
      </c>
      <c r="C10106" t="s">
        <v>42</v>
      </c>
      <c r="D10106" t="s">
        <v>17</v>
      </c>
      <c r="E10106" s="6">
        <v>-28324</v>
      </c>
      <c r="F10106" t="s">
        <v>305</v>
      </c>
      <c r="G10106" t="s">
        <v>35</v>
      </c>
      <c r="H10106" t="s">
        <v>20</v>
      </c>
      <c r="I10106" t="s">
        <v>19685</v>
      </c>
      <c r="J10106" t="str">
        <f>HYPERLINK("https://www.boe.es/gazeta/dias/1822/06/13/pdfs/GMD-1822-170.pdf#page=2","Abrir facsímil")</f>
        <v>Abrir facsímil</v>
      </c>
      <c r="K10106" t="s">
        <v>22</v>
      </c>
    </row>
    <row r="10107" spans="1:11" ht="42" customHeight="1">
      <c r="A10107" t="s">
        <v>19686</v>
      </c>
      <c r="B10107" t="s">
        <v>19687</v>
      </c>
      <c r="C10107" t="s">
        <v>16</v>
      </c>
      <c r="D10107" t="s">
        <v>17</v>
      </c>
      <c r="E10107" s="6">
        <v>-28339</v>
      </c>
      <c r="F10107" t="s">
        <v>197</v>
      </c>
      <c r="G10107" t="s">
        <v>35</v>
      </c>
      <c r="H10107" t="s">
        <v>20</v>
      </c>
      <c r="I10107" t="s">
        <v>19688</v>
      </c>
      <c r="J10107" t="str">
        <f>HYPERLINK("https://www.boe.es/gazeta/dias/1822/05/29/pdfs/GMD-1822-154.pdf#page=2","Abrir facsímil")</f>
        <v>Abrir facsímil</v>
      </c>
      <c r="K10107" t="s">
        <v>22</v>
      </c>
    </row>
    <row r="10108" spans="1:11" ht="42" customHeight="1">
      <c r="A10108" t="s">
        <v>19689</v>
      </c>
      <c r="B10108" t="s">
        <v>19689</v>
      </c>
      <c r="C10108" t="s">
        <v>1141</v>
      </c>
      <c r="D10108" t="s">
        <v>29</v>
      </c>
      <c r="E10108" s="6">
        <v>-28176</v>
      </c>
      <c r="F10108" t="s">
        <v>780</v>
      </c>
      <c r="G10108" t="s">
        <v>44</v>
      </c>
      <c r="H10108" t="s">
        <v>20</v>
      </c>
      <c r="I10108" t="s">
        <v>19690</v>
      </c>
      <c r="J10108" t="str">
        <f>HYPERLINK("https://www.boe.es/gazeta/dias/1822/11/08/pdfs/GMD-1822-328.pdf#page=1","Abrir facsímil")</f>
        <v>Abrir facsímil</v>
      </c>
      <c r="K10108" t="s">
        <v>22</v>
      </c>
    </row>
    <row r="10109" spans="1:11" ht="42" customHeight="1">
      <c r="A10109" t="s">
        <v>19691</v>
      </c>
      <c r="B10109" t="s">
        <v>19691</v>
      </c>
      <c r="C10109" t="s">
        <v>71</v>
      </c>
      <c r="D10109" t="s">
        <v>17</v>
      </c>
      <c r="E10109" s="6">
        <v>-28384</v>
      </c>
      <c r="F10109" t="s">
        <v>258</v>
      </c>
      <c r="G10109" t="s">
        <v>31</v>
      </c>
      <c r="H10109" t="s">
        <v>20</v>
      </c>
      <c r="I10109" t="s">
        <v>19692</v>
      </c>
      <c r="J10109" t="str">
        <f>HYPERLINK("https://www.boe.es/gazeta/dias/1822/04/14/pdfs/GMD-1822-106.pdf#page=3","Abrir facsímil")</f>
        <v>Abrir facsímil</v>
      </c>
      <c r="K10109" t="s">
        <v>22</v>
      </c>
    </row>
    <row r="10110" spans="1:11" ht="42" customHeight="1">
      <c r="A10110" t="s">
        <v>19693</v>
      </c>
      <c r="B10110" t="s">
        <v>19693</v>
      </c>
      <c r="C10110" t="s">
        <v>50</v>
      </c>
      <c r="D10110" t="s">
        <v>51</v>
      </c>
      <c r="E10110" s="6">
        <v>-28177</v>
      </c>
      <c r="F10110" t="s">
        <v>587</v>
      </c>
      <c r="G10110" t="s">
        <v>19</v>
      </c>
      <c r="H10110" t="s">
        <v>20</v>
      </c>
      <c r="I10110" t="s">
        <v>19694</v>
      </c>
      <c r="J10110" t="str">
        <f>HYPERLINK("https://www.boe.es/gazeta/dias/1822/11/07/pdfs/GMD-1822-327.pdf#page=5","Abrir facsímil")</f>
        <v>Abrir facsímil</v>
      </c>
      <c r="K10110" t="s">
        <v>22</v>
      </c>
    </row>
    <row r="10111" spans="1:11" ht="42" customHeight="1">
      <c r="A10111" t="s">
        <v>19695</v>
      </c>
      <c r="B10111" t="s">
        <v>19695</v>
      </c>
      <c r="C10111" t="s">
        <v>28</v>
      </c>
      <c r="D10111" t="s">
        <v>29</v>
      </c>
      <c r="E10111" s="6">
        <v>-28331</v>
      </c>
      <c r="F10111" t="s">
        <v>537</v>
      </c>
      <c r="G10111" t="s">
        <v>31</v>
      </c>
      <c r="H10111" t="s">
        <v>20</v>
      </c>
      <c r="I10111" t="s">
        <v>19696</v>
      </c>
      <c r="J10111" t="str">
        <f>HYPERLINK("https://www.boe.es/gazeta/dias/1822/06/06/pdfs/GMD-1822-163.pdf#page=3","Abrir facsímil")</f>
        <v>Abrir facsímil</v>
      </c>
      <c r="K10111" t="s">
        <v>22</v>
      </c>
    </row>
    <row r="10112" spans="1:11" ht="42" customHeight="1">
      <c r="A10112" t="s">
        <v>19697</v>
      </c>
      <c r="B10112" t="s">
        <v>19697</v>
      </c>
      <c r="C10112" t="s">
        <v>24</v>
      </c>
      <c r="D10112" t="s">
        <v>17</v>
      </c>
      <c r="E10112" s="6">
        <v>-28430</v>
      </c>
      <c r="F10112" t="s">
        <v>3437</v>
      </c>
      <c r="G10112" t="s">
        <v>57</v>
      </c>
      <c r="H10112" t="s">
        <v>20</v>
      </c>
      <c r="I10112" t="s">
        <v>19698</v>
      </c>
      <c r="J10112" t="str">
        <f>HYPERLINK("https://www.boe.es/gazeta/dias/1822/02/27/pdfs/GMD-1822-59.pdf#page=4","Abrir facsímil")</f>
        <v>Abrir facsímil</v>
      </c>
      <c r="K10112" t="s">
        <v>22</v>
      </c>
    </row>
    <row r="10113" spans="1:11" ht="42" customHeight="1">
      <c r="A10113" t="s">
        <v>19699</v>
      </c>
      <c r="B10113" t="s">
        <v>19700</v>
      </c>
      <c r="C10113" t="s">
        <v>16</v>
      </c>
      <c r="D10113" t="s">
        <v>17</v>
      </c>
      <c r="E10113" s="6">
        <v>-28270</v>
      </c>
      <c r="F10113" t="s">
        <v>130</v>
      </c>
      <c r="G10113" t="s">
        <v>131</v>
      </c>
      <c r="H10113" t="s">
        <v>20</v>
      </c>
      <c r="I10113" t="s">
        <v>19701</v>
      </c>
      <c r="J10113" t="str">
        <f>HYPERLINK("https://www.boe.es/gazeta/dias/1822/08/06/pdfs/GMD-1822-230.pdf#page=6","Abrir facsímil")</f>
        <v>Abrir facsímil</v>
      </c>
      <c r="K10113" t="s">
        <v>22</v>
      </c>
    </row>
    <row r="10114" spans="1:11" ht="42" customHeight="1">
      <c r="A10114" t="s">
        <v>19702</v>
      </c>
      <c r="B10114" t="s">
        <v>19702</v>
      </c>
      <c r="C10114" t="s">
        <v>71</v>
      </c>
      <c r="D10114" t="s">
        <v>17</v>
      </c>
      <c r="E10114" s="6">
        <v>-28132</v>
      </c>
      <c r="F10114" t="s">
        <v>820</v>
      </c>
      <c r="G10114" t="s">
        <v>31</v>
      </c>
      <c r="H10114" t="s">
        <v>20</v>
      </c>
      <c r="I10114" t="s">
        <v>19703</v>
      </c>
      <c r="J10114" t="str">
        <f>HYPERLINK("https://www.boe.es/gazeta/dias/1822/12/22/pdfs/GMD-1822-372.pdf#page=3","Abrir facsímil")</f>
        <v>Abrir facsímil</v>
      </c>
      <c r="K10114" t="s">
        <v>22</v>
      </c>
    </row>
    <row r="10115" spans="1:11" ht="42" customHeight="1">
      <c r="A10115" t="s">
        <v>19704</v>
      </c>
      <c r="B10115" t="s">
        <v>19704</v>
      </c>
      <c r="C10115" t="s">
        <v>71</v>
      </c>
      <c r="D10115" t="s">
        <v>17</v>
      </c>
      <c r="E10115" s="6">
        <v>-28176</v>
      </c>
      <c r="F10115" t="s">
        <v>780</v>
      </c>
      <c r="G10115" t="s">
        <v>35</v>
      </c>
      <c r="H10115" t="s">
        <v>20</v>
      </c>
      <c r="I10115" t="s">
        <v>19705</v>
      </c>
      <c r="J10115" t="str">
        <f>HYPERLINK("https://www.boe.es/gazeta/dias/1822/11/08/pdfs/GMD-1822-328.pdf#page=2","Abrir facsímil")</f>
        <v>Abrir facsímil</v>
      </c>
      <c r="K10115" t="s">
        <v>22</v>
      </c>
    </row>
    <row r="10116" spans="1:11" ht="42" customHeight="1">
      <c r="A10116" t="s">
        <v>19706</v>
      </c>
      <c r="B10116" t="s">
        <v>19706</v>
      </c>
      <c r="C10116" t="s">
        <v>71</v>
      </c>
      <c r="D10116" t="s">
        <v>17</v>
      </c>
      <c r="E10116" s="6">
        <v>-28384</v>
      </c>
      <c r="F10116" t="s">
        <v>258</v>
      </c>
      <c r="G10116" t="s">
        <v>31</v>
      </c>
      <c r="H10116" t="s">
        <v>20</v>
      </c>
      <c r="I10116" t="s">
        <v>19707</v>
      </c>
      <c r="J10116" t="str">
        <f>HYPERLINK("https://www.boe.es/gazeta/dias/1822/04/14/pdfs/GMD-1822-106.pdf#page=3","Abrir facsímil")</f>
        <v>Abrir facsímil</v>
      </c>
      <c r="K10116" t="s">
        <v>22</v>
      </c>
    </row>
    <row r="10117" spans="1:11" ht="42" customHeight="1">
      <c r="A10117" t="s">
        <v>19706</v>
      </c>
      <c r="B10117" t="s">
        <v>19706</v>
      </c>
      <c r="C10117" t="s">
        <v>42</v>
      </c>
      <c r="D10117" t="s">
        <v>17</v>
      </c>
      <c r="E10117" s="6">
        <v>-28176</v>
      </c>
      <c r="F10117" t="s">
        <v>780</v>
      </c>
      <c r="G10117" t="s">
        <v>31</v>
      </c>
      <c r="H10117" t="s">
        <v>20</v>
      </c>
      <c r="I10117" t="s">
        <v>19708</v>
      </c>
      <c r="J10117" t="str">
        <f>HYPERLINK("https://www.boe.es/gazeta/dias/1822/11/08/pdfs/GMD-1822-328.pdf#page=3","Abrir facsímil")</f>
        <v>Abrir facsímil</v>
      </c>
      <c r="K10117" t="s">
        <v>22</v>
      </c>
    </row>
    <row r="10118" spans="1:11" ht="42" customHeight="1">
      <c r="A10118" t="s">
        <v>19709</v>
      </c>
      <c r="B10118" t="s">
        <v>19710</v>
      </c>
      <c r="C10118" t="s">
        <v>50</v>
      </c>
      <c r="D10118" t="s">
        <v>51</v>
      </c>
      <c r="E10118" s="6">
        <v>-28385</v>
      </c>
      <c r="F10118" t="s">
        <v>484</v>
      </c>
      <c r="G10118" t="s">
        <v>44</v>
      </c>
      <c r="H10118" t="s">
        <v>20</v>
      </c>
      <c r="I10118" t="s">
        <v>19711</v>
      </c>
      <c r="J10118" t="str">
        <f>HYPERLINK("https://www.boe.es/gazeta/dias/1822/04/13/pdfs/GMD-1822-105.pdf#page=1","Abrir facsímil")</f>
        <v>Abrir facsímil</v>
      </c>
      <c r="K10118" t="s">
        <v>22</v>
      </c>
    </row>
    <row r="10119" spans="1:11" ht="42" customHeight="1">
      <c r="A10119" t="s">
        <v>19712</v>
      </c>
      <c r="B10119" t="s">
        <v>19713</v>
      </c>
      <c r="C10119" t="s">
        <v>61</v>
      </c>
      <c r="D10119" t="s">
        <v>17</v>
      </c>
      <c r="E10119" s="6">
        <v>-28312</v>
      </c>
      <c r="F10119" t="s">
        <v>92</v>
      </c>
      <c r="G10119" t="s">
        <v>93</v>
      </c>
      <c r="H10119" t="s">
        <v>20</v>
      </c>
      <c r="I10119" t="s">
        <v>19714</v>
      </c>
      <c r="J10119" t="str">
        <f>HYPERLINK("https://www.boe.es/gazeta/dias/1822/06/25/pdfs/GMD-1822-183.pdf#page=4","Abrir facsímil")</f>
        <v>Abrir facsímil</v>
      </c>
      <c r="K10119" t="s">
        <v>22</v>
      </c>
    </row>
    <row r="10120" spans="1:11" ht="42" customHeight="1">
      <c r="A10120" t="s">
        <v>19715</v>
      </c>
      <c r="B10120" t="s">
        <v>19716</v>
      </c>
      <c r="C10120" t="s">
        <v>24</v>
      </c>
      <c r="D10120" t="s">
        <v>17</v>
      </c>
      <c r="E10120" s="6">
        <v>-28179</v>
      </c>
      <c r="F10120" t="s">
        <v>935</v>
      </c>
      <c r="G10120" t="s">
        <v>44</v>
      </c>
      <c r="H10120" t="s">
        <v>20</v>
      </c>
      <c r="I10120" t="s">
        <v>19717</v>
      </c>
      <c r="J10120" t="str">
        <f>HYPERLINK("https://www.boe.es/gazeta/dias/1822/11/05/pdfs/GMD-1822-325.pdf#page=1","Abrir facsímil")</f>
        <v>Abrir facsímil</v>
      </c>
      <c r="K10120" t="s">
        <v>22</v>
      </c>
    </row>
    <row r="10121" spans="1:11" ht="42" customHeight="1">
      <c r="A10121" t="s">
        <v>19718</v>
      </c>
      <c r="B10121" t="s">
        <v>19718</v>
      </c>
      <c r="C10121" t="s">
        <v>61</v>
      </c>
      <c r="D10121" t="s">
        <v>17</v>
      </c>
      <c r="E10121" s="6">
        <v>-28385</v>
      </c>
      <c r="F10121" t="s">
        <v>484</v>
      </c>
      <c r="G10121" t="s">
        <v>57</v>
      </c>
      <c r="H10121" t="s">
        <v>20</v>
      </c>
      <c r="I10121" t="s">
        <v>19719</v>
      </c>
      <c r="J10121" t="str">
        <f>HYPERLINK("https://www.boe.es/gazeta/dias/1822/04/13/pdfs/GMD-1822-105.pdf#page=4","Abrir facsímil")</f>
        <v>Abrir facsímil</v>
      </c>
      <c r="K10121" t="s">
        <v>22</v>
      </c>
    </row>
    <row r="10122" spans="1:11" ht="42" customHeight="1">
      <c r="A10122" t="s">
        <v>19720</v>
      </c>
      <c r="B10122" t="s">
        <v>19721</v>
      </c>
      <c r="C10122" t="s">
        <v>50</v>
      </c>
      <c r="D10122" t="s">
        <v>51</v>
      </c>
      <c r="E10122" s="6">
        <v>-28371</v>
      </c>
      <c r="F10122" t="s">
        <v>401</v>
      </c>
      <c r="G10122" t="s">
        <v>19</v>
      </c>
      <c r="H10122" t="s">
        <v>45</v>
      </c>
      <c r="I10122" t="s">
        <v>19722</v>
      </c>
      <c r="J10122" t="str">
        <f>HYPERLINK("https://www.boe.es/gazeta/dias/1822/04/27/pdfs/GMD-1822-119.pdf#page=5","Abrir facsímil")</f>
        <v>Abrir facsímil</v>
      </c>
      <c r="K10122" t="s">
        <v>47</v>
      </c>
    </row>
    <row r="10123" spans="1:11" ht="42" customHeight="1">
      <c r="A10123" t="s">
        <v>19723</v>
      </c>
      <c r="B10123" t="s">
        <v>19724</v>
      </c>
      <c r="C10123" t="s">
        <v>50</v>
      </c>
      <c r="D10123" t="s">
        <v>51</v>
      </c>
      <c r="E10123" s="6">
        <v>-28130</v>
      </c>
      <c r="F10123" t="s">
        <v>34</v>
      </c>
      <c r="G10123" t="s">
        <v>63</v>
      </c>
      <c r="H10123" t="s">
        <v>20</v>
      </c>
      <c r="I10123" t="s">
        <v>19725</v>
      </c>
      <c r="J10123" t="str">
        <f>HYPERLINK("https://www.boe.es/gazeta/dias/1822/12/24/pdfs/GMD-1822-374.pdf#page=6","Abrir facsímil")</f>
        <v>Abrir facsímil</v>
      </c>
      <c r="K10123" t="s">
        <v>22</v>
      </c>
    </row>
    <row r="10124" spans="1:11" ht="42" customHeight="1">
      <c r="A10124" t="s">
        <v>19726</v>
      </c>
      <c r="B10124" t="s">
        <v>19726</v>
      </c>
      <c r="C10124" t="s">
        <v>28</v>
      </c>
      <c r="D10124" t="s">
        <v>29</v>
      </c>
      <c r="E10124" s="6">
        <v>-28403</v>
      </c>
      <c r="F10124" t="s">
        <v>471</v>
      </c>
      <c r="G10124" t="s">
        <v>31</v>
      </c>
      <c r="H10124" t="s">
        <v>20</v>
      </c>
      <c r="I10124" t="s">
        <v>19727</v>
      </c>
      <c r="J10124" t="str">
        <f>HYPERLINK("https://www.boe.es/gazeta/dias/1822/03/26/pdfs/GMD-1822-87.pdf#page=3","Abrir facsímil")</f>
        <v>Abrir facsímil</v>
      </c>
      <c r="K10124" t="s">
        <v>22</v>
      </c>
    </row>
    <row r="10125" spans="1:11" ht="42" customHeight="1">
      <c r="A10125" t="s">
        <v>19726</v>
      </c>
      <c r="B10125" t="s">
        <v>19726</v>
      </c>
      <c r="C10125" t="s">
        <v>61</v>
      </c>
      <c r="D10125" t="s">
        <v>17</v>
      </c>
      <c r="E10125" s="6">
        <v>-28370</v>
      </c>
      <c r="F10125" t="s">
        <v>207</v>
      </c>
      <c r="G10125" t="s">
        <v>63</v>
      </c>
      <c r="H10125" t="s">
        <v>20</v>
      </c>
      <c r="I10125" t="s">
        <v>19728</v>
      </c>
      <c r="J10125" t="str">
        <f>HYPERLINK("https://www.boe.es/gazeta/dias/1822/04/28/pdfs/GMD-1822-120.pdf#page=6","Abrir facsímil")</f>
        <v>Abrir facsímil</v>
      </c>
      <c r="K10125" t="s">
        <v>22</v>
      </c>
    </row>
    <row r="10126" spans="1:11" ht="42" customHeight="1">
      <c r="A10126" t="s">
        <v>19729</v>
      </c>
      <c r="B10126" t="s">
        <v>19729</v>
      </c>
      <c r="C10126" t="s">
        <v>50</v>
      </c>
      <c r="D10126" t="s">
        <v>51</v>
      </c>
      <c r="E10126" s="6">
        <v>-28428</v>
      </c>
      <c r="F10126" t="s">
        <v>1924</v>
      </c>
      <c r="G10126" t="s">
        <v>31</v>
      </c>
      <c r="H10126" t="s">
        <v>20</v>
      </c>
      <c r="I10126" t="s">
        <v>19730</v>
      </c>
      <c r="J10126" t="str">
        <f>HYPERLINK("https://www.boe.es/gazeta/dias/1822/03/01/pdfs/GMD-1822-61.pdf#page=3","Abrir facsímil")</f>
        <v>Abrir facsímil</v>
      </c>
      <c r="K10126" t="s">
        <v>22</v>
      </c>
    </row>
    <row r="10127" spans="1:11" ht="42" customHeight="1">
      <c r="A10127" t="s">
        <v>19731</v>
      </c>
      <c r="B10127" t="s">
        <v>19731</v>
      </c>
      <c r="C10127" t="s">
        <v>50</v>
      </c>
      <c r="D10127" t="s">
        <v>51</v>
      </c>
      <c r="E10127" s="6">
        <v>-28257</v>
      </c>
      <c r="F10127" t="s">
        <v>1171</v>
      </c>
      <c r="G10127" t="s">
        <v>35</v>
      </c>
      <c r="H10127" t="s">
        <v>20</v>
      </c>
      <c r="I10127" t="s">
        <v>19732</v>
      </c>
      <c r="J10127" t="str">
        <f>HYPERLINK("https://www.boe.es/gazeta/dias/1822/08/19/pdfs/GMD-1822-243.pdf#page=2","Abrir facsímil")</f>
        <v>Abrir facsímil</v>
      </c>
      <c r="K10127" t="s">
        <v>22</v>
      </c>
    </row>
    <row r="10128" spans="1:11" ht="42" customHeight="1">
      <c r="A10128" t="s">
        <v>19733</v>
      </c>
      <c r="B10128" t="s">
        <v>19733</v>
      </c>
      <c r="C10128" t="s">
        <v>50</v>
      </c>
      <c r="D10128" t="s">
        <v>51</v>
      </c>
      <c r="E10128" s="6">
        <v>-28334</v>
      </c>
      <c r="F10128" t="s">
        <v>532</v>
      </c>
      <c r="G10128" t="s">
        <v>57</v>
      </c>
      <c r="H10128" t="s">
        <v>20</v>
      </c>
      <c r="I10128" t="s">
        <v>19734</v>
      </c>
      <c r="J10128" t="str">
        <f>HYPERLINK("https://www.boe.es/gazeta/dias/1822/06/03/pdfs/GMD-1822-159.pdf#page=4","Abrir facsímil")</f>
        <v>Abrir facsímil</v>
      </c>
      <c r="K10128" t="s">
        <v>22</v>
      </c>
    </row>
    <row r="10129" spans="1:11" ht="42" customHeight="1">
      <c r="A10129" t="s">
        <v>19735</v>
      </c>
      <c r="B10129" t="s">
        <v>19736</v>
      </c>
      <c r="C10129" t="s">
        <v>71</v>
      </c>
      <c r="D10129" t="s">
        <v>17</v>
      </c>
      <c r="E10129" s="6">
        <v>-28385</v>
      </c>
      <c r="F10129" t="s">
        <v>484</v>
      </c>
      <c r="G10129" t="s">
        <v>44</v>
      </c>
      <c r="H10129" t="s">
        <v>20</v>
      </c>
      <c r="I10129" t="s">
        <v>19737</v>
      </c>
      <c r="J10129" t="str">
        <f>HYPERLINK("https://www.boe.es/gazeta/dias/1822/04/13/pdfs/GMD-1822-105.pdf#page=1","Abrir facsímil")</f>
        <v>Abrir facsímil</v>
      </c>
      <c r="K10129" t="s">
        <v>22</v>
      </c>
    </row>
    <row r="10130" spans="1:11" ht="42" customHeight="1">
      <c r="A10130" t="s">
        <v>19738</v>
      </c>
      <c r="B10130" t="s">
        <v>19738</v>
      </c>
      <c r="C10130" t="s">
        <v>71</v>
      </c>
      <c r="D10130" t="s">
        <v>17</v>
      </c>
      <c r="E10130" s="6">
        <v>-28418</v>
      </c>
      <c r="F10130" t="s">
        <v>205</v>
      </c>
      <c r="G10130" t="s">
        <v>63</v>
      </c>
      <c r="H10130" t="s">
        <v>20</v>
      </c>
      <c r="I10130" t="s">
        <v>19739</v>
      </c>
      <c r="J10130" t="str">
        <f>HYPERLINK("https://www.boe.es/gazeta/dias/1822/03/11/pdfs/GMD-1822-72.pdf#page=6","Abrir facsímil")</f>
        <v>Abrir facsímil</v>
      </c>
      <c r="K10130" t="s">
        <v>22</v>
      </c>
    </row>
    <row r="10131" spans="1:11" ht="42" customHeight="1">
      <c r="A10131" t="s">
        <v>19738</v>
      </c>
      <c r="B10131" t="s">
        <v>19738</v>
      </c>
      <c r="C10131" t="s">
        <v>50</v>
      </c>
      <c r="D10131" t="s">
        <v>51</v>
      </c>
      <c r="E10131" s="6">
        <v>-28413</v>
      </c>
      <c r="F10131" t="s">
        <v>458</v>
      </c>
      <c r="G10131" t="s">
        <v>31</v>
      </c>
      <c r="H10131" t="s">
        <v>20</v>
      </c>
      <c r="I10131" t="s">
        <v>19740</v>
      </c>
      <c r="J10131" t="str">
        <f>HYPERLINK("https://www.boe.es/gazeta/dias/1822/03/16/pdfs/GMD-1822-77.pdf#page=3","Abrir facsímil")</f>
        <v>Abrir facsímil</v>
      </c>
      <c r="K10131" t="s">
        <v>22</v>
      </c>
    </row>
    <row r="10132" spans="1:11" ht="42" customHeight="1">
      <c r="A10132" t="s">
        <v>19738</v>
      </c>
      <c r="B10132" t="s">
        <v>19738</v>
      </c>
      <c r="C10132" t="s">
        <v>50</v>
      </c>
      <c r="D10132" t="s">
        <v>51</v>
      </c>
      <c r="E10132" s="6">
        <v>-28410</v>
      </c>
      <c r="F10132" t="s">
        <v>966</v>
      </c>
      <c r="G10132" t="s">
        <v>44</v>
      </c>
      <c r="H10132" t="s">
        <v>20</v>
      </c>
      <c r="I10132" t="s">
        <v>19741</v>
      </c>
      <c r="J10132" t="str">
        <f>HYPERLINK("https://www.boe.es/gazeta/dias/1822/03/19/pdfs/GMD-1822-80.pdf#page=1","Abrir facsímil")</f>
        <v>Abrir facsímil</v>
      </c>
      <c r="K10132" t="s">
        <v>22</v>
      </c>
    </row>
    <row r="10133" spans="1:11" ht="42" customHeight="1">
      <c r="A10133" t="s">
        <v>19738</v>
      </c>
      <c r="B10133" t="s">
        <v>19738</v>
      </c>
      <c r="C10133" t="s">
        <v>28</v>
      </c>
      <c r="D10133" t="s">
        <v>29</v>
      </c>
      <c r="E10133" s="6">
        <v>-28385</v>
      </c>
      <c r="F10133" t="s">
        <v>484</v>
      </c>
      <c r="G10133" t="s">
        <v>35</v>
      </c>
      <c r="H10133" t="s">
        <v>20</v>
      </c>
      <c r="I10133" t="s">
        <v>19742</v>
      </c>
      <c r="J10133" t="str">
        <f>HYPERLINK("https://www.boe.es/gazeta/dias/1822/04/13/pdfs/GMD-1822-105.pdf#page=2","Abrir facsímil")</f>
        <v>Abrir facsímil</v>
      </c>
      <c r="K10133" t="s">
        <v>22</v>
      </c>
    </row>
    <row r="10134" spans="1:11" ht="42" customHeight="1">
      <c r="A10134" t="s">
        <v>19738</v>
      </c>
      <c r="B10134" t="s">
        <v>19738</v>
      </c>
      <c r="C10134" t="s">
        <v>42</v>
      </c>
      <c r="D10134" t="s">
        <v>17</v>
      </c>
      <c r="E10134" s="6">
        <v>-28176</v>
      </c>
      <c r="F10134" t="s">
        <v>780</v>
      </c>
      <c r="G10134" t="s">
        <v>35</v>
      </c>
      <c r="H10134" t="s">
        <v>20</v>
      </c>
      <c r="I10134" t="s">
        <v>19743</v>
      </c>
      <c r="J10134" t="str">
        <f>HYPERLINK("https://www.boe.es/gazeta/dias/1822/11/08/pdfs/GMD-1822-328.pdf#page=2","Abrir facsímil")</f>
        <v>Abrir facsímil</v>
      </c>
      <c r="K10134" t="s">
        <v>22</v>
      </c>
    </row>
    <row r="10135" spans="1:11" ht="42" customHeight="1">
      <c r="A10135" t="s">
        <v>19738</v>
      </c>
      <c r="B10135" t="s">
        <v>19738</v>
      </c>
      <c r="C10135" t="s">
        <v>50</v>
      </c>
      <c r="D10135" t="s">
        <v>51</v>
      </c>
      <c r="E10135" s="6">
        <v>-28176</v>
      </c>
      <c r="F10135" t="s">
        <v>780</v>
      </c>
      <c r="G10135" t="s">
        <v>31</v>
      </c>
      <c r="H10135" t="s">
        <v>20</v>
      </c>
      <c r="I10135" t="s">
        <v>19744</v>
      </c>
      <c r="J10135" t="str">
        <f>HYPERLINK("https://www.boe.es/gazeta/dias/1822/11/08/pdfs/GMD-1822-328.pdf#page=3","Abrir facsímil")</f>
        <v>Abrir facsímil</v>
      </c>
      <c r="K10135" t="s">
        <v>22</v>
      </c>
    </row>
    <row r="10136" spans="1:11" ht="42" customHeight="1">
      <c r="A10136" t="s">
        <v>19745</v>
      </c>
      <c r="B10136" t="s">
        <v>19746</v>
      </c>
      <c r="C10136" t="s">
        <v>24</v>
      </c>
      <c r="D10136" t="s">
        <v>17</v>
      </c>
      <c r="E10136" s="6">
        <v>-28130</v>
      </c>
      <c r="F10136" t="s">
        <v>34</v>
      </c>
      <c r="G10136" t="s">
        <v>63</v>
      </c>
      <c r="H10136" t="s">
        <v>20</v>
      </c>
      <c r="I10136" t="s">
        <v>19747</v>
      </c>
      <c r="J10136" t="str">
        <f>HYPERLINK("https://www.boe.es/gazeta/dias/1822/12/24/pdfs/GMD-1822-374.pdf#page=6","Abrir facsímil")</f>
        <v>Abrir facsímil</v>
      </c>
      <c r="K10136" t="s">
        <v>22</v>
      </c>
    </row>
    <row r="10137" spans="1:11" ht="42" customHeight="1">
      <c r="A10137" t="s">
        <v>19748</v>
      </c>
      <c r="B10137" t="s">
        <v>19749</v>
      </c>
      <c r="C10137" t="s">
        <v>28</v>
      </c>
      <c r="D10137" t="s">
        <v>29</v>
      </c>
      <c r="E10137" s="6">
        <v>-28436</v>
      </c>
      <c r="F10137" t="s">
        <v>431</v>
      </c>
      <c r="G10137" t="s">
        <v>1428</v>
      </c>
      <c r="H10137" t="s">
        <v>20</v>
      </c>
      <c r="I10137" t="s">
        <v>19750</v>
      </c>
      <c r="J10137" t="str">
        <f>HYPERLINK("https://www.boe.es/gazeta/dias/1822/02/21/pdfs/GMD-1822-53.pdf#page=3","Abrir facsímil")</f>
        <v>Abrir facsímil</v>
      </c>
      <c r="K10137" t="s">
        <v>22</v>
      </c>
    </row>
    <row r="10138" spans="1:11" ht="42" customHeight="1">
      <c r="A10138" t="s">
        <v>19751</v>
      </c>
      <c r="B10138" t="s">
        <v>19751</v>
      </c>
      <c r="C10138" t="s">
        <v>71</v>
      </c>
      <c r="D10138" t="s">
        <v>17</v>
      </c>
      <c r="E10138" s="6">
        <v>-28422</v>
      </c>
      <c r="F10138" t="s">
        <v>416</v>
      </c>
      <c r="G10138" t="s">
        <v>35</v>
      </c>
      <c r="H10138" t="s">
        <v>20</v>
      </c>
      <c r="I10138" t="s">
        <v>19752</v>
      </c>
      <c r="J10138" t="str">
        <f>HYPERLINK("https://www.boe.es/gazeta/dias/1822/03/07/pdfs/GMD-1822-68.pdf#page=2","Abrir facsímil")</f>
        <v>Abrir facsímil</v>
      </c>
      <c r="K10138" t="s">
        <v>22</v>
      </c>
    </row>
    <row r="10139" spans="1:11" ht="42" customHeight="1">
      <c r="A10139" t="s">
        <v>19753</v>
      </c>
      <c r="B10139" t="s">
        <v>19753</v>
      </c>
      <c r="C10139" t="s">
        <v>16</v>
      </c>
      <c r="D10139" t="s">
        <v>17</v>
      </c>
      <c r="E10139" s="6">
        <v>-28189</v>
      </c>
      <c r="F10139" t="s">
        <v>645</v>
      </c>
      <c r="G10139" t="s">
        <v>63</v>
      </c>
      <c r="H10139" t="s">
        <v>20</v>
      </c>
      <c r="I10139" t="s">
        <v>19754</v>
      </c>
      <c r="J10139" t="str">
        <f>HYPERLINK("https://www.boe.es/gazeta/dias/1822/10/26/pdfs/GMD-1822-313.pdf#page=6","Abrir facsímil")</f>
        <v>Abrir facsímil</v>
      </c>
      <c r="K10139" t="s">
        <v>22</v>
      </c>
    </row>
    <row r="10140" spans="1:11" ht="42" customHeight="1">
      <c r="A10140" t="s">
        <v>19755</v>
      </c>
      <c r="B10140" t="s">
        <v>19755</v>
      </c>
      <c r="C10140" t="s">
        <v>50</v>
      </c>
      <c r="D10140" t="s">
        <v>51</v>
      </c>
      <c r="E10140" s="6">
        <v>-28427</v>
      </c>
      <c r="F10140" t="s">
        <v>755</v>
      </c>
      <c r="G10140" t="s">
        <v>35</v>
      </c>
      <c r="H10140" t="s">
        <v>20</v>
      </c>
      <c r="I10140" t="s">
        <v>19756</v>
      </c>
      <c r="J10140" t="str">
        <f>HYPERLINK("https://www.boe.es/gazeta/dias/1822/03/02/pdfs/GMD-1822-63.pdf#page=2","Abrir facsímil")</f>
        <v>Abrir facsímil</v>
      </c>
      <c r="K10140" t="s">
        <v>22</v>
      </c>
    </row>
    <row r="10141" spans="1:11" ht="42" customHeight="1">
      <c r="A10141" t="s">
        <v>19757</v>
      </c>
      <c r="B10141" t="s">
        <v>19758</v>
      </c>
      <c r="C10141" t="s">
        <v>24</v>
      </c>
      <c r="D10141" t="s">
        <v>17</v>
      </c>
      <c r="E10141" s="6">
        <v>-28139</v>
      </c>
      <c r="F10141" t="s">
        <v>143</v>
      </c>
      <c r="G10141" t="s">
        <v>144</v>
      </c>
      <c r="H10141" t="s">
        <v>20</v>
      </c>
      <c r="I10141" t="s">
        <v>19759</v>
      </c>
      <c r="J10141" t="str">
        <f>HYPERLINK("https://www.boe.es/gazeta/dias/1822/12/15/pdfs/GMD-1822-365.pdf#page=4","Abrir facsímil")</f>
        <v>Abrir facsímil</v>
      </c>
      <c r="K10141" t="s">
        <v>22</v>
      </c>
    </row>
    <row r="10142" spans="1:11" ht="42" customHeight="1">
      <c r="A10142" t="s">
        <v>19760</v>
      </c>
      <c r="B10142" t="s">
        <v>19760</v>
      </c>
      <c r="C10142" t="s">
        <v>28</v>
      </c>
      <c r="D10142" t="s">
        <v>29</v>
      </c>
      <c r="E10142" s="6">
        <v>-28176</v>
      </c>
      <c r="F10142" t="s">
        <v>780</v>
      </c>
      <c r="G10142" t="s">
        <v>35</v>
      </c>
      <c r="H10142" t="s">
        <v>20</v>
      </c>
      <c r="I10142" t="s">
        <v>19761</v>
      </c>
      <c r="J10142" t="str">
        <f>HYPERLINK("https://www.boe.es/gazeta/dias/1822/11/08/pdfs/GMD-1822-328.pdf#page=2","Abrir facsímil")</f>
        <v>Abrir facsímil</v>
      </c>
      <c r="K10142" t="s">
        <v>22</v>
      </c>
    </row>
    <row r="10143" spans="1:11" ht="42" customHeight="1">
      <c r="A10143" t="s">
        <v>19762</v>
      </c>
      <c r="B10143" t="s">
        <v>19763</v>
      </c>
      <c r="C10143" t="s">
        <v>71</v>
      </c>
      <c r="D10143" t="s">
        <v>17</v>
      </c>
      <c r="E10143" s="6">
        <v>-28176</v>
      </c>
      <c r="F10143" t="s">
        <v>780</v>
      </c>
      <c r="G10143" t="s">
        <v>63</v>
      </c>
      <c r="H10143" t="s">
        <v>20</v>
      </c>
      <c r="I10143" t="s">
        <v>19764</v>
      </c>
      <c r="J10143" t="str">
        <f>HYPERLINK("https://www.boe.es/gazeta/dias/1822/11/08/pdfs/GMD-1822-328.pdf#page=6","Abrir facsímil")</f>
        <v>Abrir facsímil</v>
      </c>
      <c r="K10143" t="s">
        <v>22</v>
      </c>
    </row>
    <row r="10144" spans="1:11" ht="42" customHeight="1">
      <c r="A10144" t="s">
        <v>19765</v>
      </c>
      <c r="B10144" t="s">
        <v>19766</v>
      </c>
      <c r="C10144" t="s">
        <v>50</v>
      </c>
      <c r="D10144" t="s">
        <v>51</v>
      </c>
      <c r="E10144" s="6">
        <v>-28235</v>
      </c>
      <c r="F10144" t="s">
        <v>1470</v>
      </c>
      <c r="G10144" t="s">
        <v>35</v>
      </c>
      <c r="H10144" t="s">
        <v>20</v>
      </c>
      <c r="I10144" t="s">
        <v>19767</v>
      </c>
      <c r="J10144" t="str">
        <f>HYPERLINK("https://www.boe.es/gazeta/dias/1822/09/10/pdfs/GMD-1822-266.pdf#page=2","Abrir facsímil")</f>
        <v>Abrir facsímil</v>
      </c>
      <c r="K10144" t="s">
        <v>22</v>
      </c>
    </row>
    <row r="10145" spans="1:11" ht="42" customHeight="1">
      <c r="A10145" t="s">
        <v>19768</v>
      </c>
      <c r="B10145" t="s">
        <v>19769</v>
      </c>
      <c r="C10145" t="s">
        <v>16</v>
      </c>
      <c r="D10145" t="s">
        <v>17</v>
      </c>
      <c r="E10145" s="6">
        <v>-28309</v>
      </c>
      <c r="F10145" t="s">
        <v>553</v>
      </c>
      <c r="G10145" t="s">
        <v>157</v>
      </c>
      <c r="H10145" t="s">
        <v>20</v>
      </c>
      <c r="I10145" t="s">
        <v>19770</v>
      </c>
      <c r="J10145" t="str">
        <f>HYPERLINK("https://www.boe.es/gazeta/dias/1822/06/28/pdfs/GMD-1822-186.pdf#page=8","Abrir facsímil")</f>
        <v>Abrir facsímil</v>
      </c>
      <c r="K10145" t="s">
        <v>22</v>
      </c>
    </row>
    <row r="10146" spans="1:11" ht="42" customHeight="1">
      <c r="A10146" t="s">
        <v>19771</v>
      </c>
      <c r="B10146" t="s">
        <v>19772</v>
      </c>
      <c r="C10146" t="s">
        <v>24</v>
      </c>
      <c r="D10146" t="s">
        <v>17</v>
      </c>
      <c r="E10146" s="6">
        <v>-28142</v>
      </c>
      <c r="F10146" t="s">
        <v>290</v>
      </c>
      <c r="G10146" t="s">
        <v>57</v>
      </c>
      <c r="H10146" t="s">
        <v>45</v>
      </c>
      <c r="I10146" t="s">
        <v>19773</v>
      </c>
      <c r="J10146" t="str">
        <f>HYPERLINK("https://www.boe.es/gazeta/dias/1822/12/12/pdfs/GMD-1822-362.pdf#page=4","Abrir facsímil")</f>
        <v>Abrir facsímil</v>
      </c>
      <c r="K10146" t="s">
        <v>47</v>
      </c>
    </row>
    <row r="10147" spans="1:11" ht="42" customHeight="1">
      <c r="A10147" t="s">
        <v>19774</v>
      </c>
      <c r="B10147" t="s">
        <v>19775</v>
      </c>
      <c r="C10147" t="s">
        <v>1141</v>
      </c>
      <c r="D10147" t="s">
        <v>29</v>
      </c>
      <c r="E10147" s="6">
        <v>-28270</v>
      </c>
      <c r="F10147" t="s">
        <v>130</v>
      </c>
      <c r="G10147" t="s">
        <v>131</v>
      </c>
      <c r="H10147" t="s">
        <v>45</v>
      </c>
      <c r="I10147" t="s">
        <v>19776</v>
      </c>
      <c r="J10147" t="str">
        <f>HYPERLINK("https://www.boe.es/gazeta/dias/1822/08/06/pdfs/GMD-1822-230.pdf#page=6","Abrir facsímil")</f>
        <v>Abrir facsímil</v>
      </c>
      <c r="K10147" t="s">
        <v>47</v>
      </c>
    </row>
    <row r="10148" spans="1:11" ht="42" customHeight="1">
      <c r="A10148" t="s">
        <v>19777</v>
      </c>
      <c r="B10148" t="s">
        <v>19778</v>
      </c>
      <c r="C10148" t="s">
        <v>42</v>
      </c>
      <c r="D10148" t="s">
        <v>17</v>
      </c>
      <c r="E10148" s="6">
        <v>-28131</v>
      </c>
      <c r="F10148" t="s">
        <v>893</v>
      </c>
      <c r="G10148" t="s">
        <v>991</v>
      </c>
      <c r="H10148" t="s">
        <v>45</v>
      </c>
      <c r="I10148" t="s">
        <v>19779</v>
      </c>
      <c r="J10148" t="str">
        <f>HYPERLINK("https://www.boe.es/gazeta/dias/1822/12/23/pdfs/GMD-1822-373.pdf#page=6","Abrir facsímil")</f>
        <v>Abrir facsímil</v>
      </c>
      <c r="K10148" t="s">
        <v>47</v>
      </c>
    </row>
    <row r="10149" spans="1:11" ht="42" customHeight="1">
      <c r="A10149" t="s">
        <v>19780</v>
      </c>
      <c r="B10149" t="s">
        <v>19781</v>
      </c>
      <c r="C10149" t="s">
        <v>71</v>
      </c>
      <c r="D10149" t="s">
        <v>17</v>
      </c>
      <c r="E10149" s="6">
        <v>-28325</v>
      </c>
      <c r="F10149" t="s">
        <v>104</v>
      </c>
      <c r="G10149" t="s">
        <v>31</v>
      </c>
      <c r="H10149" t="s">
        <v>45</v>
      </c>
      <c r="I10149" t="s">
        <v>19782</v>
      </c>
      <c r="J10149" t="str">
        <f>HYPERLINK("https://www.boe.es/gazeta/dias/1822/06/12/pdfs/GMD-1822-169.pdf#page=3","Abrir facsímil")</f>
        <v>Abrir facsímil</v>
      </c>
      <c r="K10149" t="s">
        <v>47</v>
      </c>
    </row>
    <row r="10150" spans="1:11" ht="42" customHeight="1">
      <c r="A10150" t="s">
        <v>19783</v>
      </c>
      <c r="B10150" t="s">
        <v>19784</v>
      </c>
      <c r="C10150" t="s">
        <v>50</v>
      </c>
      <c r="D10150" t="s">
        <v>51</v>
      </c>
      <c r="E10150" s="6">
        <v>-28303</v>
      </c>
      <c r="F10150" t="s">
        <v>201</v>
      </c>
      <c r="G10150" t="s">
        <v>31</v>
      </c>
      <c r="H10150" t="s">
        <v>45</v>
      </c>
      <c r="I10150" t="s">
        <v>19785</v>
      </c>
      <c r="J10150" t="str">
        <f>HYPERLINK("https://www.boe.es/gazeta/dias/1822/07/04/pdfs/GMD-1822-193.pdf#page=3","Abrir facsímil")</f>
        <v>Abrir facsímil</v>
      </c>
      <c r="K10150" t="s">
        <v>47</v>
      </c>
    </row>
    <row r="10151" spans="1:11" ht="42" customHeight="1">
      <c r="A10151" t="s">
        <v>19786</v>
      </c>
      <c r="B10151" t="s">
        <v>19787</v>
      </c>
      <c r="C10151" t="s">
        <v>50</v>
      </c>
      <c r="D10151" t="s">
        <v>51</v>
      </c>
      <c r="E10151" s="6">
        <v>-28146</v>
      </c>
      <c r="F10151" t="s">
        <v>180</v>
      </c>
      <c r="G10151" t="s">
        <v>57</v>
      </c>
      <c r="H10151" t="s">
        <v>45</v>
      </c>
      <c r="I10151" t="s">
        <v>19788</v>
      </c>
      <c r="J10151" t="str">
        <f>HYPERLINK("https://www.boe.es/gazeta/dias/1822/12/08/pdfs/GMD-1822-358.pdf#page=4","Abrir facsímil")</f>
        <v>Abrir facsímil</v>
      </c>
      <c r="K10151" t="s">
        <v>47</v>
      </c>
    </row>
    <row r="10152" spans="1:11" ht="42" customHeight="1">
      <c r="A10152" t="s">
        <v>19789</v>
      </c>
      <c r="B10152" t="s">
        <v>19790</v>
      </c>
      <c r="C10152" t="s">
        <v>42</v>
      </c>
      <c r="D10152" t="s">
        <v>17</v>
      </c>
      <c r="E10152" s="6">
        <v>-28166</v>
      </c>
      <c r="F10152" t="s">
        <v>942</v>
      </c>
      <c r="G10152" t="s">
        <v>19</v>
      </c>
      <c r="H10152" t="s">
        <v>45</v>
      </c>
      <c r="I10152" t="s">
        <v>19791</v>
      </c>
      <c r="J10152" t="str">
        <f>HYPERLINK("https://www.boe.es/gazeta/dias/1822/11/18/pdfs/GMD-1822-338.pdf#page=5","Abrir facsímil")</f>
        <v>Abrir facsímil</v>
      </c>
      <c r="K10152" t="s">
        <v>47</v>
      </c>
    </row>
    <row r="10153" spans="1:11" ht="42" customHeight="1">
      <c r="A10153" t="s">
        <v>19792</v>
      </c>
      <c r="B10153" t="s">
        <v>19793</v>
      </c>
      <c r="C10153" t="s">
        <v>61</v>
      </c>
      <c r="D10153" t="s">
        <v>17</v>
      </c>
      <c r="E10153" s="6">
        <v>-28386</v>
      </c>
      <c r="F10153" t="s">
        <v>2993</v>
      </c>
      <c r="G10153" t="s">
        <v>44</v>
      </c>
      <c r="H10153" t="s">
        <v>45</v>
      </c>
      <c r="I10153" t="s">
        <v>19794</v>
      </c>
      <c r="J10153" t="str">
        <f>HYPERLINK("https://www.boe.es/gazeta/dias/1822/04/12/pdfs/GMD-1822-104.pdf#page=1","Abrir facsímil")</f>
        <v>Abrir facsímil</v>
      </c>
      <c r="K10153" t="s">
        <v>47</v>
      </c>
    </row>
    <row r="10154" spans="1:11" ht="42" customHeight="1">
      <c r="A10154" t="s">
        <v>19795</v>
      </c>
      <c r="B10154" t="s">
        <v>19796</v>
      </c>
      <c r="C10154" t="s">
        <v>42</v>
      </c>
      <c r="D10154" t="s">
        <v>17</v>
      </c>
      <c r="E10154" s="6">
        <v>-28149</v>
      </c>
      <c r="F10154" t="s">
        <v>1322</v>
      </c>
      <c r="G10154" t="s">
        <v>57</v>
      </c>
      <c r="H10154" t="s">
        <v>45</v>
      </c>
      <c r="I10154" t="s">
        <v>19797</v>
      </c>
      <c r="J10154" t="str">
        <f>HYPERLINK("https://www.boe.es/gazeta/dias/1822/12/05/pdfs/GMD-1822-355.pdf#page=4","Abrir facsímil")</f>
        <v>Abrir facsímil</v>
      </c>
      <c r="K10154" t="s">
        <v>47</v>
      </c>
    </row>
    <row r="10155" spans="1:11" ht="42" customHeight="1">
      <c r="A10155" t="s">
        <v>19798</v>
      </c>
      <c r="B10155" t="s">
        <v>19799</v>
      </c>
      <c r="C10155" t="s">
        <v>50</v>
      </c>
      <c r="D10155" t="s">
        <v>51</v>
      </c>
      <c r="E10155" s="6">
        <v>-28287</v>
      </c>
      <c r="F10155" t="s">
        <v>1295</v>
      </c>
      <c r="G10155" t="s">
        <v>63</v>
      </c>
      <c r="H10155" t="s">
        <v>45</v>
      </c>
      <c r="I10155" t="s">
        <v>19800</v>
      </c>
      <c r="J10155" t="str">
        <f>HYPERLINK("https://www.boe.es/gazeta/dias/1822/07/20/pdfs/GMD-1822-212.pdf#page=6","Abrir facsímil")</f>
        <v>Abrir facsímil</v>
      </c>
      <c r="K10155" t="s">
        <v>47</v>
      </c>
    </row>
    <row r="10156" spans="1:11" ht="42" customHeight="1">
      <c r="A10156" t="s">
        <v>19801</v>
      </c>
      <c r="B10156" t="s">
        <v>19801</v>
      </c>
      <c r="C10156" t="s">
        <v>24</v>
      </c>
      <c r="D10156" t="s">
        <v>17</v>
      </c>
      <c r="E10156" s="6">
        <v>-28415</v>
      </c>
      <c r="F10156" t="s">
        <v>77</v>
      </c>
      <c r="G10156" t="s">
        <v>63</v>
      </c>
      <c r="H10156" t="s">
        <v>20</v>
      </c>
      <c r="I10156" t="s">
        <v>19802</v>
      </c>
      <c r="J10156" t="str">
        <f>HYPERLINK("https://www.boe.es/gazeta/dias/1822/03/14/pdfs/GMD-1822-75.pdf#page=6","Abrir facsímil")</f>
        <v>Abrir facsímil</v>
      </c>
      <c r="K10156" t="s">
        <v>22</v>
      </c>
    </row>
    <row r="10157" spans="1:11" ht="42" customHeight="1">
      <c r="A10157" t="s">
        <v>19803</v>
      </c>
      <c r="B10157" t="s">
        <v>19804</v>
      </c>
      <c r="C10157" t="s">
        <v>50</v>
      </c>
      <c r="D10157" t="s">
        <v>51</v>
      </c>
      <c r="E10157" s="6">
        <v>-28291</v>
      </c>
      <c r="F10157" t="s">
        <v>363</v>
      </c>
      <c r="G10157" t="s">
        <v>31</v>
      </c>
      <c r="H10157" t="s">
        <v>20</v>
      </c>
      <c r="I10157" t="s">
        <v>19805</v>
      </c>
      <c r="J10157" t="str">
        <f>HYPERLINK("https://www.boe.es/gazeta/dias/1822/07/16/pdfs/GMD-1822-206.pdf#page=3","Abrir facsímil")</f>
        <v>Abrir facsímil</v>
      </c>
      <c r="K10157" t="s">
        <v>22</v>
      </c>
    </row>
    <row r="10158" spans="1:11" ht="42" customHeight="1">
      <c r="A10158" t="s">
        <v>19806</v>
      </c>
      <c r="B10158" t="s">
        <v>19807</v>
      </c>
      <c r="C10158" t="s">
        <v>50</v>
      </c>
      <c r="D10158" t="s">
        <v>51</v>
      </c>
      <c r="E10158" s="6">
        <v>-28397</v>
      </c>
      <c r="F10158" t="s">
        <v>1401</v>
      </c>
      <c r="G10158" t="s">
        <v>44</v>
      </c>
      <c r="H10158" t="s">
        <v>20</v>
      </c>
      <c r="I10158" t="s">
        <v>19808</v>
      </c>
      <c r="J10158" t="str">
        <f>HYPERLINK("https://www.boe.es/gazeta/dias/1822/04/01/pdfs/GMD-1822-93.pdf#page=1","Abrir facsímil")</f>
        <v>Abrir facsímil</v>
      </c>
      <c r="K10158" t="s">
        <v>22</v>
      </c>
    </row>
    <row r="10159" spans="1:11" ht="42" customHeight="1">
      <c r="A10159" t="s">
        <v>19809</v>
      </c>
      <c r="B10159" t="s">
        <v>19810</v>
      </c>
      <c r="C10159" t="s">
        <v>28</v>
      </c>
      <c r="D10159" t="s">
        <v>29</v>
      </c>
      <c r="E10159" s="6">
        <v>-28417</v>
      </c>
      <c r="F10159" t="s">
        <v>1394</v>
      </c>
      <c r="G10159" t="s">
        <v>35</v>
      </c>
      <c r="H10159" t="s">
        <v>20</v>
      </c>
      <c r="I10159" t="s">
        <v>19811</v>
      </c>
      <c r="J10159" t="str">
        <f>HYPERLINK("https://www.boe.es/gazeta/dias/1822/03/12/pdfs/GMD-1822-73.pdf#page=2","Abrir facsímil")</f>
        <v>Abrir facsímil</v>
      </c>
      <c r="K10159" t="s">
        <v>22</v>
      </c>
    </row>
    <row r="10160" spans="1:11" ht="42" customHeight="1">
      <c r="A10160" t="s">
        <v>19812</v>
      </c>
      <c r="B10160" t="s">
        <v>19813</v>
      </c>
      <c r="C10160" t="s">
        <v>50</v>
      </c>
      <c r="D10160" t="s">
        <v>51</v>
      </c>
      <c r="E10160" s="6">
        <v>-28398</v>
      </c>
      <c r="F10160" t="s">
        <v>1961</v>
      </c>
      <c r="G10160" t="s">
        <v>35</v>
      </c>
      <c r="H10160" t="s">
        <v>20</v>
      </c>
      <c r="I10160" t="s">
        <v>19814</v>
      </c>
      <c r="J10160" t="str">
        <f>HYPERLINK("https://www.boe.es/gazeta/dias/1822/03/31/pdfs/GMD-1822-92.pdf#page=2","Abrir facsímil")</f>
        <v>Abrir facsímil</v>
      </c>
      <c r="K10160" t="s">
        <v>22</v>
      </c>
    </row>
    <row r="10161" spans="1:11" ht="42" customHeight="1">
      <c r="A10161" t="s">
        <v>19815</v>
      </c>
      <c r="B10161" t="s">
        <v>19816</v>
      </c>
      <c r="C10161" t="s">
        <v>50</v>
      </c>
      <c r="D10161" t="s">
        <v>51</v>
      </c>
      <c r="E10161" s="6">
        <v>-28269</v>
      </c>
      <c r="F10161" t="s">
        <v>5517</v>
      </c>
      <c r="G10161" t="s">
        <v>57</v>
      </c>
      <c r="H10161" t="s">
        <v>20</v>
      </c>
      <c r="I10161" t="s">
        <v>19817</v>
      </c>
      <c r="J10161" t="str">
        <f>HYPERLINK("https://www.boe.es/gazeta/dias/1822/08/07/pdfs/GMD-1822-231.pdf#page=4","Abrir facsímil")</f>
        <v>Abrir facsímil</v>
      </c>
      <c r="K10161" t="s">
        <v>22</v>
      </c>
    </row>
    <row r="10162" spans="1:11" ht="42" customHeight="1">
      <c r="A10162" t="s">
        <v>19818</v>
      </c>
      <c r="B10162" t="s">
        <v>19818</v>
      </c>
      <c r="C10162" t="s">
        <v>50</v>
      </c>
      <c r="D10162" t="s">
        <v>51</v>
      </c>
      <c r="E10162" s="6">
        <v>-28246</v>
      </c>
      <c r="F10162" t="s">
        <v>3246</v>
      </c>
      <c r="G10162" t="s">
        <v>57</v>
      </c>
      <c r="H10162" t="s">
        <v>20</v>
      </c>
      <c r="I10162" t="s">
        <v>19819</v>
      </c>
      <c r="J10162" t="str">
        <f>HYPERLINK("https://www.boe.es/gazeta/dias/1822/08/30/pdfs/GMD-1822-254.pdf#page=4","Abrir facsímil")</f>
        <v>Abrir facsímil</v>
      </c>
      <c r="K10162" t="s">
        <v>22</v>
      </c>
    </row>
    <row r="10163" spans="1:11" ht="42" customHeight="1">
      <c r="A10163" t="s">
        <v>19820</v>
      </c>
      <c r="B10163" t="s">
        <v>19821</v>
      </c>
      <c r="C10163" t="s">
        <v>24</v>
      </c>
      <c r="D10163" t="s">
        <v>17</v>
      </c>
      <c r="E10163" s="6">
        <v>-28306</v>
      </c>
      <c r="F10163" t="s">
        <v>348</v>
      </c>
      <c r="G10163" t="s">
        <v>35</v>
      </c>
      <c r="H10163" t="s">
        <v>20</v>
      </c>
      <c r="I10163" t="s">
        <v>19822</v>
      </c>
      <c r="J10163" t="str">
        <f>HYPERLINK("https://www.boe.es/gazeta/dias/1822/07/01/pdfs/GMD-1822-190.pdf#page=2","Abrir facsímil")</f>
        <v>Abrir facsímil</v>
      </c>
      <c r="K10163" t="s">
        <v>22</v>
      </c>
    </row>
    <row r="10164" spans="1:11" ht="42" customHeight="1">
      <c r="A10164" t="s">
        <v>19823</v>
      </c>
      <c r="B10164" t="s">
        <v>19823</v>
      </c>
      <c r="C10164" t="s">
        <v>50</v>
      </c>
      <c r="D10164" t="s">
        <v>51</v>
      </c>
      <c r="E10164" s="6">
        <v>-28151</v>
      </c>
      <c r="F10164" t="s">
        <v>985</v>
      </c>
      <c r="G10164" t="s">
        <v>31</v>
      </c>
      <c r="H10164" t="s">
        <v>20</v>
      </c>
      <c r="I10164" t="s">
        <v>19824</v>
      </c>
      <c r="J10164" t="str">
        <f>HYPERLINK("https://www.boe.es/gazeta/dias/1822/12/03/pdfs/GMD-1822-353.pdf#page=3","Abrir facsímil")</f>
        <v>Abrir facsímil</v>
      </c>
      <c r="K10164" t="s">
        <v>22</v>
      </c>
    </row>
    <row r="10165" spans="1:11" ht="42" customHeight="1">
      <c r="A10165" t="s">
        <v>19823</v>
      </c>
      <c r="B10165" t="s">
        <v>19823</v>
      </c>
      <c r="C10165" t="s">
        <v>50</v>
      </c>
      <c r="D10165" t="s">
        <v>51</v>
      </c>
      <c r="E10165" s="6">
        <v>-28133</v>
      </c>
      <c r="F10165" t="s">
        <v>595</v>
      </c>
      <c r="G10165" t="s">
        <v>57</v>
      </c>
      <c r="H10165" t="s">
        <v>20</v>
      </c>
      <c r="I10165" t="s">
        <v>19825</v>
      </c>
      <c r="J10165" t="str">
        <f>HYPERLINK("https://www.boe.es/gazeta/dias/1822/12/21/pdfs/GMD-1822-371.pdf#page=4","Abrir facsímil")</f>
        <v>Abrir facsímil</v>
      </c>
      <c r="K10165" t="s">
        <v>22</v>
      </c>
    </row>
    <row r="10166" spans="1:11" ht="42" customHeight="1">
      <c r="A10166" t="s">
        <v>19826</v>
      </c>
      <c r="B10166" t="s">
        <v>19827</v>
      </c>
      <c r="C10166" t="s">
        <v>50</v>
      </c>
      <c r="D10166" t="s">
        <v>51</v>
      </c>
      <c r="E10166" s="6">
        <v>-28178</v>
      </c>
      <c r="F10166" t="s">
        <v>318</v>
      </c>
      <c r="G10166" t="s">
        <v>19</v>
      </c>
      <c r="H10166" t="s">
        <v>20</v>
      </c>
      <c r="I10166" t="s">
        <v>19828</v>
      </c>
      <c r="J10166" t="str">
        <f>HYPERLINK("https://www.boe.es/gazeta/dias/1822/11/06/pdfs/GMD-1822-326.pdf#page=5","Abrir facsímil")</f>
        <v>Abrir facsímil</v>
      </c>
      <c r="K10166" t="s">
        <v>22</v>
      </c>
    </row>
    <row r="10167" spans="1:11" ht="42" customHeight="1">
      <c r="A10167" t="s">
        <v>19829</v>
      </c>
      <c r="B10167" t="s">
        <v>19829</v>
      </c>
      <c r="C10167" t="s">
        <v>28</v>
      </c>
      <c r="D10167" t="s">
        <v>29</v>
      </c>
      <c r="E10167" s="6">
        <v>-28460</v>
      </c>
      <c r="F10167" t="s">
        <v>112</v>
      </c>
      <c r="G10167" t="s">
        <v>57</v>
      </c>
      <c r="H10167" t="s">
        <v>20</v>
      </c>
      <c r="I10167" t="s">
        <v>19830</v>
      </c>
      <c r="J10167" t="str">
        <f>HYPERLINK("https://www.boe.es/gazeta/dias/1822/01/28/pdfs/GMD-1822-28.pdf#page=4","Abrir facsímil")</f>
        <v>Abrir facsímil</v>
      </c>
      <c r="K10167" t="s">
        <v>22</v>
      </c>
    </row>
    <row r="10168" spans="1:11" ht="42" customHeight="1">
      <c r="A10168" t="s">
        <v>19829</v>
      </c>
      <c r="B10168" t="s">
        <v>19829</v>
      </c>
      <c r="C10168" t="s">
        <v>50</v>
      </c>
      <c r="D10168" t="s">
        <v>51</v>
      </c>
      <c r="E10168" s="6">
        <v>-28460</v>
      </c>
      <c r="F10168" t="s">
        <v>112</v>
      </c>
      <c r="G10168" t="s">
        <v>19</v>
      </c>
      <c r="H10168" t="s">
        <v>20</v>
      </c>
      <c r="I10168" t="s">
        <v>19831</v>
      </c>
      <c r="J10168" t="str">
        <f>HYPERLINK("https://www.boe.es/gazeta/dias/1822/01/28/pdfs/GMD-1822-28.pdf#page=5","Abrir facsímil")</f>
        <v>Abrir facsímil</v>
      </c>
      <c r="K10168" t="s">
        <v>22</v>
      </c>
    </row>
    <row r="10169" spans="1:11" ht="42" customHeight="1">
      <c r="A10169" t="s">
        <v>19829</v>
      </c>
      <c r="B10169" t="s">
        <v>19829</v>
      </c>
      <c r="C10169" t="s">
        <v>50</v>
      </c>
      <c r="D10169" t="s">
        <v>51</v>
      </c>
      <c r="E10169" s="6">
        <v>-28444</v>
      </c>
      <c r="F10169" t="s">
        <v>681</v>
      </c>
      <c r="G10169" t="s">
        <v>35</v>
      </c>
      <c r="H10169" t="s">
        <v>20</v>
      </c>
      <c r="I10169" t="s">
        <v>19832</v>
      </c>
      <c r="J10169" t="str">
        <f>HYPERLINK("https://www.boe.es/gazeta/dias/1822/02/13/pdfs/GMD-1822-44.pdf#page=2","Abrir facsímil")</f>
        <v>Abrir facsímil</v>
      </c>
      <c r="K10169" t="s">
        <v>22</v>
      </c>
    </row>
    <row r="10170" spans="1:11" ht="42" customHeight="1">
      <c r="A10170" t="s">
        <v>19829</v>
      </c>
      <c r="B10170" t="s">
        <v>19829</v>
      </c>
      <c r="C10170" t="s">
        <v>71</v>
      </c>
      <c r="D10170" t="s">
        <v>17</v>
      </c>
      <c r="E10170" s="6">
        <v>-28443</v>
      </c>
      <c r="F10170" t="s">
        <v>668</v>
      </c>
      <c r="G10170" t="s">
        <v>31</v>
      </c>
      <c r="H10170" t="s">
        <v>20</v>
      </c>
      <c r="I10170" t="s">
        <v>19833</v>
      </c>
      <c r="J10170" t="str">
        <f>HYPERLINK("https://www.boe.es/gazeta/dias/1822/02/14/pdfs/GMD-1822-45.pdf#page=3","Abrir facsímil")</f>
        <v>Abrir facsímil</v>
      </c>
      <c r="K10170" t="s">
        <v>22</v>
      </c>
    </row>
    <row r="10171" spans="1:11" ht="42" customHeight="1">
      <c r="A10171" t="s">
        <v>19829</v>
      </c>
      <c r="B10171" t="s">
        <v>19829</v>
      </c>
      <c r="C10171" t="s">
        <v>50</v>
      </c>
      <c r="D10171" t="s">
        <v>51</v>
      </c>
      <c r="E10171" s="6">
        <v>-28365</v>
      </c>
      <c r="F10171" t="s">
        <v>506</v>
      </c>
      <c r="G10171" t="s">
        <v>2093</v>
      </c>
      <c r="H10171" t="s">
        <v>20</v>
      </c>
      <c r="I10171" t="s">
        <v>19834</v>
      </c>
      <c r="J10171" t="str">
        <f>HYPERLINK("https://www.boe.es/gazeta/dias/1822/05/03/pdfs/GMD-1822-125.pdf#page=6","Abrir facsímil")</f>
        <v>Abrir facsímil</v>
      </c>
      <c r="K10171" t="s">
        <v>22</v>
      </c>
    </row>
    <row r="10172" spans="1:11" ht="42" customHeight="1">
      <c r="A10172" t="s">
        <v>19835</v>
      </c>
      <c r="B10172" t="s">
        <v>19836</v>
      </c>
      <c r="C10172" t="s">
        <v>50</v>
      </c>
      <c r="D10172" t="s">
        <v>51</v>
      </c>
      <c r="E10172" s="6">
        <v>-28345</v>
      </c>
      <c r="F10172" t="s">
        <v>294</v>
      </c>
      <c r="G10172" t="s">
        <v>19</v>
      </c>
      <c r="H10172" t="s">
        <v>20</v>
      </c>
      <c r="I10172" t="s">
        <v>19837</v>
      </c>
      <c r="J10172" t="str">
        <f>HYPERLINK("https://www.boe.es/gazeta/dias/1822/05/23/pdfs/GMD-1822-147.pdf#page=5","Abrir facsímil")</f>
        <v>Abrir facsímil</v>
      </c>
      <c r="K10172" t="s">
        <v>22</v>
      </c>
    </row>
    <row r="10173" spans="1:11" ht="42" customHeight="1">
      <c r="A10173" t="s">
        <v>19838</v>
      </c>
      <c r="B10173" t="s">
        <v>19839</v>
      </c>
      <c r="C10173" t="s">
        <v>61</v>
      </c>
      <c r="D10173" t="s">
        <v>17</v>
      </c>
      <c r="E10173" s="6">
        <v>-28345</v>
      </c>
      <c r="F10173" t="s">
        <v>294</v>
      </c>
      <c r="G10173" t="s">
        <v>63</v>
      </c>
      <c r="H10173" t="s">
        <v>20</v>
      </c>
      <c r="I10173" t="s">
        <v>19840</v>
      </c>
      <c r="J10173" t="str">
        <f>HYPERLINK("https://www.boe.es/gazeta/dias/1822/05/23/pdfs/GMD-1822-147.pdf#page=6","Abrir facsímil")</f>
        <v>Abrir facsímil</v>
      </c>
      <c r="K10173" t="s">
        <v>22</v>
      </c>
    </row>
    <row r="10174" spans="1:11" ht="42" customHeight="1">
      <c r="A10174" t="s">
        <v>19841</v>
      </c>
      <c r="B10174" t="s">
        <v>19841</v>
      </c>
      <c r="C10174" t="s">
        <v>50</v>
      </c>
      <c r="D10174" t="s">
        <v>51</v>
      </c>
      <c r="E10174" s="6">
        <v>-28443</v>
      </c>
      <c r="F10174" t="s">
        <v>668</v>
      </c>
      <c r="G10174" t="s">
        <v>57</v>
      </c>
      <c r="H10174" t="s">
        <v>20</v>
      </c>
      <c r="I10174" t="s">
        <v>19842</v>
      </c>
      <c r="J10174" t="str">
        <f>HYPERLINK("https://www.boe.es/gazeta/dias/1822/02/14/pdfs/GMD-1822-45.pdf#page=4","Abrir facsímil")</f>
        <v>Abrir facsímil</v>
      </c>
      <c r="K10174" t="s">
        <v>22</v>
      </c>
    </row>
    <row r="10175" spans="1:11" ht="42" customHeight="1">
      <c r="A10175" t="s">
        <v>19843</v>
      </c>
      <c r="B10175" t="s">
        <v>19843</v>
      </c>
      <c r="C10175" t="s">
        <v>42</v>
      </c>
      <c r="D10175" t="s">
        <v>17</v>
      </c>
      <c r="E10175" s="6">
        <v>-28456</v>
      </c>
      <c r="F10175" t="s">
        <v>1104</v>
      </c>
      <c r="G10175" t="s">
        <v>19</v>
      </c>
      <c r="H10175" t="s">
        <v>20</v>
      </c>
      <c r="I10175" t="s">
        <v>19844</v>
      </c>
      <c r="J10175" t="str">
        <f>HYPERLINK("https://www.boe.es/gazeta/dias/1822/02/01/pdfs/GMD-1822-32.pdf#page=5","Abrir facsímil")</f>
        <v>Abrir facsímil</v>
      </c>
      <c r="K10175" t="s">
        <v>22</v>
      </c>
    </row>
    <row r="10176" spans="1:11" ht="42" customHeight="1">
      <c r="A10176" t="s">
        <v>19843</v>
      </c>
      <c r="B10176" t="s">
        <v>19843</v>
      </c>
      <c r="C10176" t="s">
        <v>42</v>
      </c>
      <c r="D10176" t="s">
        <v>17</v>
      </c>
      <c r="E10176" s="6">
        <v>-28448</v>
      </c>
      <c r="F10176" t="s">
        <v>1670</v>
      </c>
      <c r="G10176" t="s">
        <v>31</v>
      </c>
      <c r="H10176" t="s">
        <v>20</v>
      </c>
      <c r="I10176" t="s">
        <v>19845</v>
      </c>
      <c r="J10176" t="str">
        <f>HYPERLINK("https://www.boe.es/gazeta/dias/1822/02/09/pdfs/GMD-1822-40.pdf#page=3","Abrir facsímil")</f>
        <v>Abrir facsímil</v>
      </c>
      <c r="K10176" t="s">
        <v>22</v>
      </c>
    </row>
    <row r="10177" spans="1:11" ht="42" customHeight="1">
      <c r="A10177" t="s">
        <v>19846</v>
      </c>
      <c r="B10177" t="s">
        <v>19846</v>
      </c>
      <c r="C10177" t="s">
        <v>50</v>
      </c>
      <c r="D10177" t="s">
        <v>51</v>
      </c>
      <c r="E10177" s="6">
        <v>-28449</v>
      </c>
      <c r="F10177" t="s">
        <v>1342</v>
      </c>
      <c r="G10177" t="s">
        <v>35</v>
      </c>
      <c r="H10177" t="s">
        <v>20</v>
      </c>
      <c r="I10177" t="s">
        <v>19847</v>
      </c>
      <c r="J10177" t="str">
        <f>HYPERLINK("https://www.boe.es/gazeta/dias/1822/02/08/pdfs/GMD-1822-39.pdf#page=2","Abrir facsímil")</f>
        <v>Abrir facsímil</v>
      </c>
      <c r="K10177" t="s">
        <v>22</v>
      </c>
    </row>
    <row r="10178" spans="1:11" ht="42" customHeight="1">
      <c r="A10178" t="s">
        <v>19846</v>
      </c>
      <c r="B10178" t="s">
        <v>19846</v>
      </c>
      <c r="C10178" t="s">
        <v>24</v>
      </c>
      <c r="D10178" t="s">
        <v>17</v>
      </c>
      <c r="E10178" s="6">
        <v>-28445</v>
      </c>
      <c r="F10178" t="s">
        <v>1622</v>
      </c>
      <c r="G10178" t="s">
        <v>57</v>
      </c>
      <c r="H10178" t="s">
        <v>20</v>
      </c>
      <c r="I10178" t="s">
        <v>19848</v>
      </c>
      <c r="J10178" t="str">
        <f>HYPERLINK("https://www.boe.es/gazeta/dias/1822/02/12/pdfs/GMD-1822-43.pdf#page=4","Abrir facsímil")</f>
        <v>Abrir facsímil</v>
      </c>
      <c r="K10178" t="s">
        <v>22</v>
      </c>
    </row>
    <row r="10179" spans="1:11" ht="42" customHeight="1">
      <c r="A10179" t="s">
        <v>19849</v>
      </c>
      <c r="B10179" t="s">
        <v>19849</v>
      </c>
      <c r="C10179" t="s">
        <v>50</v>
      </c>
      <c r="D10179" t="s">
        <v>51</v>
      </c>
      <c r="E10179" s="6">
        <v>-28149</v>
      </c>
      <c r="F10179" t="s">
        <v>1322</v>
      </c>
      <c r="G10179" t="s">
        <v>44</v>
      </c>
      <c r="H10179" t="s">
        <v>20</v>
      </c>
      <c r="I10179" t="s">
        <v>19850</v>
      </c>
      <c r="J10179" t="str">
        <f>HYPERLINK("https://www.boe.es/gazeta/dias/1822/12/05/pdfs/GMD-1822-355.pdf#page=1","Abrir facsímil")</f>
        <v>Abrir facsímil</v>
      </c>
      <c r="K10179" t="s">
        <v>22</v>
      </c>
    </row>
    <row r="10180" spans="1:11" ht="42" customHeight="1">
      <c r="A10180" t="s">
        <v>19851</v>
      </c>
      <c r="B10180" t="s">
        <v>19851</v>
      </c>
      <c r="C10180" t="s">
        <v>24</v>
      </c>
      <c r="D10180" t="s">
        <v>17</v>
      </c>
      <c r="E10180" s="6">
        <v>-28484</v>
      </c>
      <c r="F10180" t="s">
        <v>743</v>
      </c>
      <c r="G10180" t="s">
        <v>19</v>
      </c>
      <c r="H10180" t="s">
        <v>20</v>
      </c>
      <c r="I10180" t="s">
        <v>19852</v>
      </c>
      <c r="J10180" t="str">
        <f>HYPERLINK("https://www.boe.es/gazeta/dias/1822/01/04/pdfs/GMD-1822-4.pdf#page=5","Abrir facsímil")</f>
        <v>Abrir facsímil</v>
      </c>
      <c r="K10180" t="s">
        <v>22</v>
      </c>
    </row>
    <row r="10181" spans="1:11" ht="42" customHeight="1">
      <c r="A10181" t="s">
        <v>19853</v>
      </c>
      <c r="B10181" t="s">
        <v>19853</v>
      </c>
      <c r="C10181" t="s">
        <v>42</v>
      </c>
      <c r="D10181" t="s">
        <v>17</v>
      </c>
      <c r="E10181" s="6">
        <v>-28306</v>
      </c>
      <c r="F10181" t="s">
        <v>348</v>
      </c>
      <c r="G10181" t="s">
        <v>31</v>
      </c>
      <c r="H10181" t="s">
        <v>20</v>
      </c>
      <c r="I10181" t="s">
        <v>19854</v>
      </c>
      <c r="J10181" t="str">
        <f>HYPERLINK("https://www.boe.es/gazeta/dias/1822/07/01/pdfs/GMD-1822-190.pdf#page=3","Abrir facsímil")</f>
        <v>Abrir facsímil</v>
      </c>
      <c r="K10181" t="s">
        <v>22</v>
      </c>
    </row>
    <row r="10182" spans="1:11" ht="42" customHeight="1">
      <c r="A10182" t="s">
        <v>19855</v>
      </c>
      <c r="B10182" t="s">
        <v>19855</v>
      </c>
      <c r="C10182" t="s">
        <v>71</v>
      </c>
      <c r="D10182" t="s">
        <v>17</v>
      </c>
      <c r="E10182" s="6">
        <v>-28320</v>
      </c>
      <c r="F10182" t="s">
        <v>700</v>
      </c>
      <c r="G10182" t="s">
        <v>31</v>
      </c>
      <c r="H10182" t="s">
        <v>20</v>
      </c>
      <c r="I10182" t="s">
        <v>19856</v>
      </c>
      <c r="J10182" t="str">
        <f>HYPERLINK("https://www.boe.es/gazeta/dias/1822/06/17/pdfs/GMD-1822-174.pdf#page=3","Abrir facsímil")</f>
        <v>Abrir facsímil</v>
      </c>
      <c r="K10182" t="s">
        <v>22</v>
      </c>
    </row>
    <row r="10183" spans="1:11" ht="42" customHeight="1">
      <c r="A10183" t="s">
        <v>19857</v>
      </c>
      <c r="B10183" t="s">
        <v>19858</v>
      </c>
      <c r="C10183" t="s">
        <v>50</v>
      </c>
      <c r="D10183" t="s">
        <v>51</v>
      </c>
      <c r="E10183" s="6">
        <v>-28411</v>
      </c>
      <c r="F10183" t="s">
        <v>1509</v>
      </c>
      <c r="G10183" t="s">
        <v>35</v>
      </c>
      <c r="H10183" t="s">
        <v>20</v>
      </c>
      <c r="I10183" t="s">
        <v>19859</v>
      </c>
      <c r="J10183" t="str">
        <f>HYPERLINK("https://www.boe.es/gazeta/dias/1822/03/18/pdfs/GMD-1822-79.pdf#page=2","Abrir facsímil")</f>
        <v>Abrir facsímil</v>
      </c>
      <c r="K10183" t="s">
        <v>22</v>
      </c>
    </row>
    <row r="10184" spans="1:11" ht="42" customHeight="1">
      <c r="A10184" t="s">
        <v>19860</v>
      </c>
      <c r="B10184" t="s">
        <v>19860</v>
      </c>
      <c r="C10184" t="s">
        <v>42</v>
      </c>
      <c r="D10184" t="s">
        <v>17</v>
      </c>
      <c r="E10184" s="6">
        <v>-28452</v>
      </c>
      <c r="F10184" t="s">
        <v>7772</v>
      </c>
      <c r="G10184" t="s">
        <v>57</v>
      </c>
      <c r="H10184" t="s">
        <v>20</v>
      </c>
      <c r="I10184" t="s">
        <v>19861</v>
      </c>
      <c r="J10184" t="str">
        <f>HYPERLINK("https://www.boe.es/gazeta/dias/1822/02/05/pdfs/GMD-1822-36.pdf#page=4","Abrir facsímil")</f>
        <v>Abrir facsímil</v>
      </c>
      <c r="K10184" t="s">
        <v>22</v>
      </c>
    </row>
    <row r="10185" spans="1:11" ht="42" customHeight="1">
      <c r="A10185" t="s">
        <v>19862</v>
      </c>
      <c r="B10185" t="s">
        <v>19862</v>
      </c>
      <c r="C10185" t="s">
        <v>71</v>
      </c>
      <c r="D10185" t="s">
        <v>17</v>
      </c>
      <c r="E10185" s="6">
        <v>-28327</v>
      </c>
      <c r="F10185" t="s">
        <v>38</v>
      </c>
      <c r="G10185" t="s">
        <v>35</v>
      </c>
      <c r="H10185" t="s">
        <v>20</v>
      </c>
      <c r="I10185" t="s">
        <v>19863</v>
      </c>
      <c r="J10185" t="str">
        <f>HYPERLINK("https://www.boe.es/gazeta/dias/1822/06/10/pdfs/GMD-1822-167.pdf#page=2","Abrir facsímil")</f>
        <v>Abrir facsímil</v>
      </c>
      <c r="K10185" t="s">
        <v>22</v>
      </c>
    </row>
    <row r="10186" spans="1:11" ht="42" customHeight="1">
      <c r="A10186" t="s">
        <v>19864</v>
      </c>
      <c r="B10186" t="s">
        <v>19864</v>
      </c>
      <c r="C10186" t="s">
        <v>50</v>
      </c>
      <c r="D10186" t="s">
        <v>51</v>
      </c>
      <c r="E10186" s="6">
        <v>-28178</v>
      </c>
      <c r="F10186" t="s">
        <v>318</v>
      </c>
      <c r="G10186" t="s">
        <v>19</v>
      </c>
      <c r="H10186" t="s">
        <v>20</v>
      </c>
      <c r="I10186" t="s">
        <v>19865</v>
      </c>
      <c r="J10186" t="str">
        <f>HYPERLINK("https://www.boe.es/gazeta/dias/1822/11/06/pdfs/GMD-1822-326.pdf#page=5","Abrir facsímil")</f>
        <v>Abrir facsímil</v>
      </c>
      <c r="K10186" t="s">
        <v>22</v>
      </c>
    </row>
    <row r="10187" spans="1:11" ht="42" customHeight="1">
      <c r="A10187" t="s">
        <v>19866</v>
      </c>
      <c r="B10187" t="s">
        <v>19867</v>
      </c>
      <c r="C10187" t="s">
        <v>42</v>
      </c>
      <c r="D10187" t="s">
        <v>17</v>
      </c>
      <c r="E10187" s="6">
        <v>-28203</v>
      </c>
      <c r="F10187" t="s">
        <v>564</v>
      </c>
      <c r="G10187" t="s">
        <v>57</v>
      </c>
      <c r="H10187" t="s">
        <v>20</v>
      </c>
      <c r="I10187" t="s">
        <v>19868</v>
      </c>
      <c r="J10187" t="str">
        <f>HYPERLINK("https://www.boe.es/gazeta/dias/1822/10/12/pdfs/GMD-1822-299.pdf#page=4","Abrir facsímil")</f>
        <v>Abrir facsímil</v>
      </c>
      <c r="K10187" t="s">
        <v>22</v>
      </c>
    </row>
    <row r="10188" spans="1:11" ht="42" customHeight="1">
      <c r="A10188" t="s">
        <v>19869</v>
      </c>
      <c r="B10188" t="s">
        <v>19870</v>
      </c>
      <c r="C10188" t="s">
        <v>50</v>
      </c>
      <c r="D10188" t="s">
        <v>51</v>
      </c>
      <c r="E10188" s="6">
        <v>-28229</v>
      </c>
      <c r="F10188" t="s">
        <v>2310</v>
      </c>
      <c r="G10188" t="s">
        <v>35</v>
      </c>
      <c r="H10188" t="s">
        <v>20</v>
      </c>
      <c r="I10188" t="s">
        <v>19871</v>
      </c>
      <c r="J10188" t="str">
        <f>HYPERLINK("https://www.boe.es/gazeta/dias/1822/09/16/pdfs/GMD-1822-272.pdf#page=2","Abrir facsímil")</f>
        <v>Abrir facsímil</v>
      </c>
      <c r="K10188" t="s">
        <v>22</v>
      </c>
    </row>
    <row r="10189" spans="1:11" ht="42" customHeight="1">
      <c r="A10189" t="s">
        <v>19872</v>
      </c>
      <c r="B10189" t="s">
        <v>19873</v>
      </c>
      <c r="C10189" t="s">
        <v>61</v>
      </c>
      <c r="D10189" t="s">
        <v>723</v>
      </c>
      <c r="E10189" s="6">
        <v>-28181</v>
      </c>
      <c r="F10189" t="s">
        <v>724</v>
      </c>
      <c r="G10189" t="s">
        <v>35</v>
      </c>
      <c r="H10189" t="s">
        <v>20</v>
      </c>
      <c r="I10189" t="s">
        <v>19874</v>
      </c>
      <c r="J10189" t="str">
        <f>HYPERLINK("https://www.boe.es/gazeta/dias/1822/11/03/pdfs/GMD-1822-322E.pdf#page=2","Abrir facsímil")</f>
        <v>Abrir facsímil</v>
      </c>
      <c r="K10189" t="s">
        <v>22</v>
      </c>
    </row>
    <row r="10190" spans="1:11" ht="42" customHeight="1">
      <c r="A10190" t="s">
        <v>19875</v>
      </c>
      <c r="B10190" t="s">
        <v>19875</v>
      </c>
      <c r="C10190" t="s">
        <v>71</v>
      </c>
      <c r="D10190" t="s">
        <v>17</v>
      </c>
      <c r="E10190" s="6">
        <v>-28177</v>
      </c>
      <c r="F10190" t="s">
        <v>587</v>
      </c>
      <c r="G10190" t="s">
        <v>44</v>
      </c>
      <c r="H10190" t="s">
        <v>20</v>
      </c>
      <c r="I10190" t="s">
        <v>19876</v>
      </c>
      <c r="J10190" t="str">
        <f>HYPERLINK("https://www.boe.es/gazeta/dias/1822/11/07/pdfs/GMD-1822-327.pdf#page=1","Abrir facsímil")</f>
        <v>Abrir facsímil</v>
      </c>
      <c r="K10190" t="s">
        <v>22</v>
      </c>
    </row>
    <row r="10191" spans="1:11" ht="42" customHeight="1">
      <c r="A10191" t="s">
        <v>19877</v>
      </c>
      <c r="B10191" t="s">
        <v>19878</v>
      </c>
      <c r="C10191" t="s">
        <v>50</v>
      </c>
      <c r="D10191" t="s">
        <v>51</v>
      </c>
      <c r="E10191" s="6">
        <v>-28287</v>
      </c>
      <c r="F10191" t="s">
        <v>1295</v>
      </c>
      <c r="G10191" t="s">
        <v>63</v>
      </c>
      <c r="H10191" t="s">
        <v>20</v>
      </c>
      <c r="I10191" t="s">
        <v>19879</v>
      </c>
      <c r="J10191" t="str">
        <f>HYPERLINK("https://www.boe.es/gazeta/dias/1822/07/20/pdfs/GMD-1822-212.pdf#page=6","Abrir facsímil")</f>
        <v>Abrir facsímil</v>
      </c>
      <c r="K10191" t="s">
        <v>22</v>
      </c>
    </row>
    <row r="10192" spans="1:11" ht="42" customHeight="1">
      <c r="A10192" t="s">
        <v>19880</v>
      </c>
      <c r="B10192" t="s">
        <v>19881</v>
      </c>
      <c r="C10192" t="s">
        <v>50</v>
      </c>
      <c r="D10192" t="s">
        <v>51</v>
      </c>
      <c r="E10192" s="6">
        <v>-28178</v>
      </c>
      <c r="F10192" t="s">
        <v>318</v>
      </c>
      <c r="G10192" t="s">
        <v>63</v>
      </c>
      <c r="H10192" t="s">
        <v>20</v>
      </c>
      <c r="I10192" t="s">
        <v>19882</v>
      </c>
      <c r="J10192" t="str">
        <f>HYPERLINK("https://www.boe.es/gazeta/dias/1822/11/06/pdfs/GMD-1822-326.pdf#page=6","Abrir facsímil")</f>
        <v>Abrir facsímil</v>
      </c>
      <c r="K10192" t="s">
        <v>22</v>
      </c>
    </row>
    <row r="10193" spans="1:11" ht="42" customHeight="1">
      <c r="A10193" t="s">
        <v>19883</v>
      </c>
      <c r="B10193" t="s">
        <v>19883</v>
      </c>
      <c r="C10193" t="s">
        <v>50</v>
      </c>
      <c r="D10193" t="s">
        <v>51</v>
      </c>
      <c r="E10193" s="6">
        <v>-28164</v>
      </c>
      <c r="F10193" t="s">
        <v>2172</v>
      </c>
      <c r="G10193" t="s">
        <v>35</v>
      </c>
      <c r="H10193" t="s">
        <v>20</v>
      </c>
      <c r="I10193" t="s">
        <v>19884</v>
      </c>
      <c r="J10193" t="str">
        <f>HYPERLINK("https://www.boe.es/gazeta/dias/1822/11/20/pdfs/GMD-1822-340.pdf#page=2","Abrir facsímil")</f>
        <v>Abrir facsímil</v>
      </c>
      <c r="K10193" t="s">
        <v>22</v>
      </c>
    </row>
    <row r="10194" spans="1:11" ht="42" customHeight="1">
      <c r="A10194" t="s">
        <v>19885</v>
      </c>
      <c r="B10194" t="s">
        <v>19885</v>
      </c>
      <c r="C10194" t="s">
        <v>42</v>
      </c>
      <c r="D10194" t="s">
        <v>17</v>
      </c>
      <c r="E10194" s="6">
        <v>-28356</v>
      </c>
      <c r="F10194" t="s">
        <v>4170</v>
      </c>
      <c r="G10194" t="s">
        <v>44</v>
      </c>
      <c r="H10194" t="s">
        <v>20</v>
      </c>
      <c r="I10194" t="s">
        <v>19886</v>
      </c>
      <c r="J10194" t="str">
        <f>HYPERLINK("https://www.boe.es/gazeta/dias/1822/05/12/pdfs/GMD-1822-134.pdf#page=1","Abrir facsímil")</f>
        <v>Abrir facsímil</v>
      </c>
      <c r="K10194" t="s">
        <v>22</v>
      </c>
    </row>
    <row r="10195" spans="1:11" ht="42" customHeight="1">
      <c r="A10195" t="s">
        <v>19885</v>
      </c>
      <c r="B10195" t="s">
        <v>19885</v>
      </c>
      <c r="C10195" t="s">
        <v>28</v>
      </c>
      <c r="D10195" t="s">
        <v>29</v>
      </c>
      <c r="E10195" s="6">
        <v>-28166</v>
      </c>
      <c r="F10195" t="s">
        <v>942</v>
      </c>
      <c r="G10195" t="s">
        <v>31</v>
      </c>
      <c r="H10195" t="s">
        <v>20</v>
      </c>
      <c r="I10195" t="s">
        <v>19887</v>
      </c>
      <c r="J10195" t="str">
        <f>HYPERLINK("https://www.boe.es/gazeta/dias/1822/11/18/pdfs/GMD-1822-338.pdf#page=3","Abrir facsímil")</f>
        <v>Abrir facsímil</v>
      </c>
      <c r="K10195" t="s">
        <v>22</v>
      </c>
    </row>
    <row r="10196" spans="1:11" ht="42" customHeight="1">
      <c r="A10196" t="s">
        <v>19888</v>
      </c>
      <c r="B10196" t="s">
        <v>19889</v>
      </c>
      <c r="C10196" t="s">
        <v>71</v>
      </c>
      <c r="D10196" t="s">
        <v>17</v>
      </c>
      <c r="E10196" s="6">
        <v>-28428</v>
      </c>
      <c r="F10196" t="s">
        <v>1924</v>
      </c>
      <c r="G10196" t="s">
        <v>44</v>
      </c>
      <c r="H10196" t="s">
        <v>20</v>
      </c>
      <c r="I10196" t="s">
        <v>19890</v>
      </c>
      <c r="J10196" t="str">
        <f>HYPERLINK("https://www.boe.es/gazeta/dias/1822/03/01/pdfs/GMD-1822-61.pdf#page=1","Abrir facsímil")</f>
        <v>Abrir facsímil</v>
      </c>
      <c r="K10196" t="s">
        <v>22</v>
      </c>
    </row>
    <row r="10197" spans="1:11" ht="42" customHeight="1">
      <c r="A10197" t="s">
        <v>19891</v>
      </c>
      <c r="B10197" t="s">
        <v>19892</v>
      </c>
      <c r="C10197" t="s">
        <v>42</v>
      </c>
      <c r="D10197" t="s">
        <v>17</v>
      </c>
      <c r="E10197" s="6">
        <v>-28338</v>
      </c>
      <c r="F10197" t="s">
        <v>527</v>
      </c>
      <c r="G10197" t="s">
        <v>57</v>
      </c>
      <c r="H10197" t="s">
        <v>20</v>
      </c>
      <c r="I10197" t="s">
        <v>19893</v>
      </c>
      <c r="J10197" t="str">
        <f>HYPERLINK("https://www.boe.es/gazeta/dias/1822/05/30/pdfs/GMD-1822-155.pdf#page=4","Abrir facsímil")</f>
        <v>Abrir facsímil</v>
      </c>
      <c r="K10197" t="s">
        <v>22</v>
      </c>
    </row>
    <row r="10198" spans="1:11" ht="42" customHeight="1">
      <c r="A10198" t="s">
        <v>19894</v>
      </c>
      <c r="B10198" t="s">
        <v>19895</v>
      </c>
      <c r="C10198" t="s">
        <v>61</v>
      </c>
      <c r="D10198" t="s">
        <v>17</v>
      </c>
      <c r="E10198" s="6">
        <v>-28427</v>
      </c>
      <c r="F10198" t="s">
        <v>755</v>
      </c>
      <c r="G10198" t="s">
        <v>57</v>
      </c>
      <c r="H10198" t="s">
        <v>20</v>
      </c>
      <c r="I10198" t="s">
        <v>19896</v>
      </c>
      <c r="J10198" t="str">
        <f>HYPERLINK("https://www.boe.es/gazeta/dias/1822/03/02/pdfs/GMD-1822-63.pdf#page=4","Abrir facsímil")</f>
        <v>Abrir facsímil</v>
      </c>
      <c r="K10198" t="s">
        <v>22</v>
      </c>
    </row>
    <row r="10199" spans="1:11" ht="42" customHeight="1">
      <c r="A10199" t="s">
        <v>19897</v>
      </c>
      <c r="B10199" t="s">
        <v>19898</v>
      </c>
      <c r="C10199" t="s">
        <v>42</v>
      </c>
      <c r="D10199" t="s">
        <v>17</v>
      </c>
      <c r="E10199" s="6">
        <v>-28234</v>
      </c>
      <c r="F10199" t="s">
        <v>1331</v>
      </c>
      <c r="G10199" t="s">
        <v>57</v>
      </c>
      <c r="H10199" t="s">
        <v>20</v>
      </c>
      <c r="I10199" t="s">
        <v>19899</v>
      </c>
      <c r="J10199" t="str">
        <f>HYPERLINK("https://www.boe.es/gazeta/dias/1822/09/11/pdfs/GMD-1822-267.pdf#page=4","Abrir facsímil")</f>
        <v>Abrir facsímil</v>
      </c>
      <c r="K10199" t="s">
        <v>22</v>
      </c>
    </row>
    <row r="10200" spans="1:11" ht="42" customHeight="1">
      <c r="A10200" t="s">
        <v>19900</v>
      </c>
      <c r="B10200" t="s">
        <v>19900</v>
      </c>
      <c r="C10200" t="s">
        <v>50</v>
      </c>
      <c r="D10200" t="s">
        <v>51</v>
      </c>
      <c r="E10200" s="6">
        <v>-28475</v>
      </c>
      <c r="F10200" t="s">
        <v>1205</v>
      </c>
      <c r="G10200" t="s">
        <v>63</v>
      </c>
      <c r="H10200" t="s">
        <v>20</v>
      </c>
      <c r="I10200" t="s">
        <v>19901</v>
      </c>
      <c r="J10200" t="str">
        <f>HYPERLINK("https://www.boe.es/gazeta/dias/1822/01/13/pdfs/GMD-1822-13.pdf#page=6","Abrir facsímil")</f>
        <v>Abrir facsímil</v>
      </c>
      <c r="K10200" t="s">
        <v>22</v>
      </c>
    </row>
    <row r="10201" spans="1:11" ht="42" customHeight="1">
      <c r="A10201" t="s">
        <v>19900</v>
      </c>
      <c r="B10201" t="s">
        <v>19900</v>
      </c>
      <c r="C10201" t="s">
        <v>42</v>
      </c>
      <c r="D10201" t="s">
        <v>17</v>
      </c>
      <c r="E10201" s="6">
        <v>-28151</v>
      </c>
      <c r="F10201" t="s">
        <v>985</v>
      </c>
      <c r="G10201" t="s">
        <v>7108</v>
      </c>
      <c r="H10201" t="s">
        <v>20</v>
      </c>
      <c r="I10201" t="s">
        <v>19902</v>
      </c>
      <c r="J10201" t="str">
        <f>HYPERLINK("https://www.boe.es/gazeta/dias/1822/12/03/pdfs/GMD-1822-353.pdf#page=2","Abrir facsímil")</f>
        <v>Abrir facsímil</v>
      </c>
      <c r="K10201" t="s">
        <v>22</v>
      </c>
    </row>
    <row r="10202" spans="1:11" ht="42" customHeight="1">
      <c r="A10202" t="s">
        <v>19903</v>
      </c>
      <c r="B10202" t="s">
        <v>19904</v>
      </c>
      <c r="C10202" t="s">
        <v>50</v>
      </c>
      <c r="D10202" t="s">
        <v>51</v>
      </c>
      <c r="E10202" s="6">
        <v>-28137</v>
      </c>
      <c r="F10202" t="s">
        <v>312</v>
      </c>
      <c r="G10202" t="s">
        <v>63</v>
      </c>
      <c r="H10202" t="s">
        <v>20</v>
      </c>
      <c r="I10202" t="s">
        <v>19905</v>
      </c>
      <c r="J10202" t="str">
        <f>HYPERLINK("https://www.boe.es/gazeta/dias/1822/12/17/pdfs/GMD-1822-367.pdf#page=6","Abrir facsímil")</f>
        <v>Abrir facsímil</v>
      </c>
      <c r="K10202" t="s">
        <v>22</v>
      </c>
    </row>
    <row r="10203" spans="1:11" ht="42" customHeight="1">
      <c r="A10203" t="s">
        <v>19906</v>
      </c>
      <c r="B10203" t="s">
        <v>19907</v>
      </c>
      <c r="C10203" t="s">
        <v>50</v>
      </c>
      <c r="D10203" t="s">
        <v>51</v>
      </c>
      <c r="E10203" s="6">
        <v>-28264</v>
      </c>
      <c r="F10203" t="s">
        <v>1329</v>
      </c>
      <c r="G10203" t="s">
        <v>57</v>
      </c>
      <c r="H10203" t="s">
        <v>20</v>
      </c>
      <c r="I10203" t="s">
        <v>19908</v>
      </c>
      <c r="J10203" t="str">
        <f>HYPERLINK("https://www.boe.es/gazeta/dias/1822/08/12/pdfs/GMD-1822-236.pdf#page=4","Abrir facsímil")</f>
        <v>Abrir facsímil</v>
      </c>
      <c r="K10203" t="s">
        <v>22</v>
      </c>
    </row>
    <row r="10204" spans="1:11" ht="42" customHeight="1">
      <c r="A10204" t="s">
        <v>19909</v>
      </c>
      <c r="B10204" t="s">
        <v>19909</v>
      </c>
      <c r="C10204" t="s">
        <v>28</v>
      </c>
      <c r="D10204" t="s">
        <v>29</v>
      </c>
      <c r="E10204" s="6">
        <v>-28485</v>
      </c>
      <c r="F10204" t="s">
        <v>1117</v>
      </c>
      <c r="G10204" t="s">
        <v>1118</v>
      </c>
      <c r="H10204" t="s">
        <v>20</v>
      </c>
      <c r="I10204" t="s">
        <v>19910</v>
      </c>
      <c r="J10204" t="str">
        <f>HYPERLINK("https://www.boe.es/gazeta/dias/1822/01/03/pdfs/GMD-1822-3.pdf#page=2","Abrir facsímil")</f>
        <v>Abrir facsímil</v>
      </c>
      <c r="K10204" t="s">
        <v>22</v>
      </c>
    </row>
    <row r="10205" spans="1:11" ht="42" customHeight="1">
      <c r="A10205" t="s">
        <v>19909</v>
      </c>
      <c r="B10205" t="s">
        <v>19909</v>
      </c>
      <c r="C10205" t="s">
        <v>50</v>
      </c>
      <c r="D10205" t="s">
        <v>51</v>
      </c>
      <c r="E10205" s="6">
        <v>-28475</v>
      </c>
      <c r="F10205" t="s">
        <v>1205</v>
      </c>
      <c r="G10205" t="s">
        <v>63</v>
      </c>
      <c r="H10205" t="s">
        <v>20</v>
      </c>
      <c r="I10205" t="s">
        <v>19911</v>
      </c>
      <c r="J10205" t="str">
        <f>HYPERLINK("https://www.boe.es/gazeta/dias/1822/01/13/pdfs/GMD-1822-13.pdf#page=6","Abrir facsímil")</f>
        <v>Abrir facsímil</v>
      </c>
      <c r="K10205" t="s">
        <v>22</v>
      </c>
    </row>
    <row r="10206" spans="1:11" ht="42" customHeight="1">
      <c r="A10206" t="s">
        <v>19912</v>
      </c>
      <c r="B10206" t="s">
        <v>19913</v>
      </c>
      <c r="C10206" t="s">
        <v>50</v>
      </c>
      <c r="D10206" t="s">
        <v>51</v>
      </c>
      <c r="E10206" s="6">
        <v>-28350</v>
      </c>
      <c r="F10206" t="s">
        <v>352</v>
      </c>
      <c r="G10206" t="s">
        <v>63</v>
      </c>
      <c r="H10206" t="s">
        <v>45</v>
      </c>
      <c r="I10206" t="s">
        <v>19914</v>
      </c>
      <c r="J10206" t="str">
        <f>HYPERLINK("https://www.boe.es/gazeta/dias/1822/05/18/pdfs/GMD-1822-140.pdf#page=6","Abrir facsímil")</f>
        <v>Abrir facsímil</v>
      </c>
      <c r="K10206" t="s">
        <v>47</v>
      </c>
    </row>
    <row r="10207" spans="1:11" ht="42" customHeight="1">
      <c r="A10207" t="s">
        <v>19915</v>
      </c>
      <c r="B10207" t="s">
        <v>19916</v>
      </c>
      <c r="C10207" t="s">
        <v>71</v>
      </c>
      <c r="D10207" t="s">
        <v>17</v>
      </c>
      <c r="E10207" s="6">
        <v>-28376</v>
      </c>
      <c r="F10207" t="s">
        <v>500</v>
      </c>
      <c r="G10207" t="s">
        <v>35</v>
      </c>
      <c r="H10207" t="s">
        <v>20</v>
      </c>
      <c r="I10207" t="s">
        <v>19917</v>
      </c>
      <c r="J10207" t="str">
        <f>HYPERLINK("https://www.boe.es/gazeta/dias/1822/04/22/pdfs/GMD-1822-114.pdf#page=2","Abrir facsímil")</f>
        <v>Abrir facsímil</v>
      </c>
      <c r="K10207" t="s">
        <v>22</v>
      </c>
    </row>
    <row r="10208" spans="1:11" ht="42" customHeight="1">
      <c r="A10208" t="s">
        <v>19918</v>
      </c>
      <c r="B10208" t="s">
        <v>19918</v>
      </c>
      <c r="C10208" t="s">
        <v>16</v>
      </c>
      <c r="D10208" t="s">
        <v>17</v>
      </c>
      <c r="E10208" s="6">
        <v>-28480</v>
      </c>
      <c r="F10208" t="s">
        <v>995</v>
      </c>
      <c r="G10208" t="s">
        <v>57</v>
      </c>
      <c r="H10208" t="s">
        <v>20</v>
      </c>
      <c r="I10208" t="s">
        <v>19919</v>
      </c>
      <c r="J10208" t="str">
        <f>HYPERLINK("https://www.boe.es/gazeta/dias/1822/01/08/pdfs/GMD-1822-8.pdf#page=4","Abrir facsímil")</f>
        <v>Abrir facsímil</v>
      </c>
      <c r="K10208" t="s">
        <v>22</v>
      </c>
    </row>
    <row r="10209" spans="1:11" ht="42" customHeight="1">
      <c r="A10209" t="s">
        <v>19918</v>
      </c>
      <c r="B10209" t="s">
        <v>19918</v>
      </c>
      <c r="C10209" t="s">
        <v>24</v>
      </c>
      <c r="D10209" t="s">
        <v>17</v>
      </c>
      <c r="E10209" s="6">
        <v>-28480</v>
      </c>
      <c r="F10209" t="s">
        <v>995</v>
      </c>
      <c r="G10209" t="s">
        <v>19</v>
      </c>
      <c r="H10209" t="s">
        <v>20</v>
      </c>
      <c r="I10209" t="s">
        <v>19920</v>
      </c>
      <c r="J10209" t="str">
        <f>HYPERLINK("https://www.boe.es/gazeta/dias/1822/01/08/pdfs/GMD-1822-8.pdf#page=5","Abrir facsímil")</f>
        <v>Abrir facsímil</v>
      </c>
      <c r="K10209" t="s">
        <v>22</v>
      </c>
    </row>
    <row r="10210" spans="1:11" ht="42" customHeight="1">
      <c r="A10210" t="s">
        <v>19918</v>
      </c>
      <c r="B10210" t="s">
        <v>19918</v>
      </c>
      <c r="C10210" t="s">
        <v>16</v>
      </c>
      <c r="D10210" t="s">
        <v>17</v>
      </c>
      <c r="E10210" s="6">
        <v>-28474</v>
      </c>
      <c r="F10210" t="s">
        <v>30</v>
      </c>
      <c r="G10210" t="s">
        <v>31</v>
      </c>
      <c r="H10210" t="s">
        <v>20</v>
      </c>
      <c r="I10210" t="s">
        <v>19921</v>
      </c>
      <c r="J10210" t="str">
        <f>HYPERLINK("https://www.boe.es/gazeta/dias/1822/01/14/pdfs/GMD-1822-14.pdf#page=3","Abrir facsímil")</f>
        <v>Abrir facsímil</v>
      </c>
      <c r="K10210" t="s">
        <v>22</v>
      </c>
    </row>
    <row r="10211" spans="1:11" ht="42" customHeight="1">
      <c r="A10211" t="s">
        <v>19918</v>
      </c>
      <c r="B10211" t="s">
        <v>19918</v>
      </c>
      <c r="C10211" t="s">
        <v>16</v>
      </c>
      <c r="D10211" t="s">
        <v>17</v>
      </c>
      <c r="E10211" s="6">
        <v>-28453</v>
      </c>
      <c r="F10211" t="s">
        <v>2039</v>
      </c>
      <c r="G10211" t="s">
        <v>31</v>
      </c>
      <c r="H10211" t="s">
        <v>20</v>
      </c>
      <c r="I10211" t="s">
        <v>19922</v>
      </c>
      <c r="J10211" t="str">
        <f>HYPERLINK("https://www.boe.es/gazeta/dias/1822/02/04/pdfs/GMD-1822-35.pdf#page=3","Abrir facsímil")</f>
        <v>Abrir facsímil</v>
      </c>
      <c r="K10211" t="s">
        <v>22</v>
      </c>
    </row>
    <row r="10212" spans="1:11" ht="42" customHeight="1">
      <c r="A10212" t="s">
        <v>19923</v>
      </c>
      <c r="B10212" t="s">
        <v>19924</v>
      </c>
      <c r="C10212" t="s">
        <v>42</v>
      </c>
      <c r="D10212" t="s">
        <v>17</v>
      </c>
      <c r="E10212" s="6">
        <v>-28131</v>
      </c>
      <c r="F10212" t="s">
        <v>893</v>
      </c>
      <c r="G10212" t="s">
        <v>991</v>
      </c>
      <c r="H10212" t="s">
        <v>20</v>
      </c>
      <c r="I10212" t="s">
        <v>19925</v>
      </c>
      <c r="J10212" t="str">
        <f>HYPERLINK("https://www.boe.es/gazeta/dias/1822/12/23/pdfs/GMD-1822-373.pdf#page=6","Abrir facsímil")</f>
        <v>Abrir facsímil</v>
      </c>
      <c r="K10212" t="s">
        <v>22</v>
      </c>
    </row>
    <row r="10213" spans="1:11" ht="42" customHeight="1">
      <c r="A10213" t="s">
        <v>19926</v>
      </c>
      <c r="B10213" t="s">
        <v>19927</v>
      </c>
      <c r="C10213" t="s">
        <v>42</v>
      </c>
      <c r="D10213" t="s">
        <v>17</v>
      </c>
      <c r="E10213" s="6">
        <v>-28131</v>
      </c>
      <c r="F10213" t="s">
        <v>893</v>
      </c>
      <c r="G10213" t="s">
        <v>991</v>
      </c>
      <c r="H10213" t="s">
        <v>20</v>
      </c>
      <c r="I10213" t="s">
        <v>19928</v>
      </c>
      <c r="J10213" t="str">
        <f>HYPERLINK("https://www.boe.es/gazeta/dias/1822/12/23/pdfs/GMD-1822-373.pdf#page=6","Abrir facsímil")</f>
        <v>Abrir facsímil</v>
      </c>
      <c r="K10213" t="s">
        <v>22</v>
      </c>
    </row>
    <row r="10214" spans="1:11" ht="42" customHeight="1">
      <c r="A10214" t="s">
        <v>19929</v>
      </c>
      <c r="B10214" t="s">
        <v>19930</v>
      </c>
      <c r="C10214" t="s">
        <v>28</v>
      </c>
      <c r="D10214" t="s">
        <v>29</v>
      </c>
      <c r="E10214" s="6">
        <v>-28372</v>
      </c>
      <c r="F10214" t="s">
        <v>503</v>
      </c>
      <c r="G10214" t="s">
        <v>35</v>
      </c>
      <c r="H10214" t="s">
        <v>20</v>
      </c>
      <c r="I10214" t="s">
        <v>19931</v>
      </c>
      <c r="J10214" t="str">
        <f>HYPERLINK("https://www.boe.es/gazeta/dias/1822/04/26/pdfs/GMD-1822-118.pdf#page=2","Abrir facsímil")</f>
        <v>Abrir facsímil</v>
      </c>
      <c r="K10214" t="s">
        <v>22</v>
      </c>
    </row>
    <row r="10215" spans="1:11" ht="42" customHeight="1">
      <c r="A10215" t="s">
        <v>19932</v>
      </c>
      <c r="B10215" t="s">
        <v>19932</v>
      </c>
      <c r="C10215" t="s">
        <v>28</v>
      </c>
      <c r="D10215" t="s">
        <v>29</v>
      </c>
      <c r="E10215" s="6">
        <v>-28474</v>
      </c>
      <c r="F10215" t="s">
        <v>30</v>
      </c>
      <c r="G10215" t="s">
        <v>31</v>
      </c>
      <c r="H10215" t="s">
        <v>20</v>
      </c>
      <c r="I10215" t="s">
        <v>19933</v>
      </c>
      <c r="J10215" t="str">
        <f>HYPERLINK("https://www.boe.es/gazeta/dias/1822/01/14/pdfs/GMD-1822-14.pdf#page=3","Abrir facsímil")</f>
        <v>Abrir facsímil</v>
      </c>
      <c r="K10215" t="s">
        <v>22</v>
      </c>
    </row>
    <row r="10216" spans="1:11" ht="42" customHeight="1">
      <c r="A10216" t="s">
        <v>19934</v>
      </c>
      <c r="B10216" t="s">
        <v>19934</v>
      </c>
      <c r="C10216" t="s">
        <v>71</v>
      </c>
      <c r="D10216" t="s">
        <v>17</v>
      </c>
      <c r="E10216" s="6">
        <v>-28480</v>
      </c>
      <c r="F10216" t="s">
        <v>995</v>
      </c>
      <c r="G10216" t="s">
        <v>57</v>
      </c>
      <c r="H10216" t="s">
        <v>20</v>
      </c>
      <c r="I10216" t="s">
        <v>19935</v>
      </c>
      <c r="J10216" t="str">
        <f>HYPERLINK("https://www.boe.es/gazeta/dias/1822/01/08/pdfs/GMD-1822-8.pdf#page=4","Abrir facsímil")</f>
        <v>Abrir facsímil</v>
      </c>
      <c r="K10216" t="s">
        <v>22</v>
      </c>
    </row>
    <row r="10217" spans="1:11" ht="42" customHeight="1">
      <c r="A10217" t="s">
        <v>19936</v>
      </c>
      <c r="B10217" t="s">
        <v>19937</v>
      </c>
      <c r="C10217" t="s">
        <v>28</v>
      </c>
      <c r="D10217" t="s">
        <v>29</v>
      </c>
      <c r="E10217" s="6">
        <v>-28468</v>
      </c>
      <c r="F10217" t="s">
        <v>1012</v>
      </c>
      <c r="G10217" t="s">
        <v>44</v>
      </c>
      <c r="H10217" t="s">
        <v>20</v>
      </c>
      <c r="I10217" t="s">
        <v>19938</v>
      </c>
      <c r="J10217" t="str">
        <f>HYPERLINK("https://www.boe.es/gazeta/dias/1822/01/20/pdfs/GMD-1822-20.pdf#page=1","Abrir facsímil")</f>
        <v>Abrir facsímil</v>
      </c>
      <c r="K10217" t="s">
        <v>22</v>
      </c>
    </row>
    <row r="10218" spans="1:11" ht="42" customHeight="1">
      <c r="A10218" t="s">
        <v>19939</v>
      </c>
      <c r="B10218" t="s">
        <v>19939</v>
      </c>
      <c r="C10218" t="s">
        <v>71</v>
      </c>
      <c r="D10218" t="s">
        <v>17</v>
      </c>
      <c r="E10218" s="6">
        <v>-28394</v>
      </c>
      <c r="F10218" t="s">
        <v>268</v>
      </c>
      <c r="G10218" t="s">
        <v>57</v>
      </c>
      <c r="H10218" t="s">
        <v>20</v>
      </c>
      <c r="I10218" t="s">
        <v>19940</v>
      </c>
      <c r="J10218" t="str">
        <f>HYPERLINK("https://www.boe.es/gazeta/dias/1822/04/04/pdfs/GMD-1822-96.pdf#page=4","Abrir facsímil")</f>
        <v>Abrir facsímil</v>
      </c>
      <c r="K10218" t="s">
        <v>22</v>
      </c>
    </row>
    <row r="10219" spans="1:11" ht="42" customHeight="1">
      <c r="A10219" t="s">
        <v>19941</v>
      </c>
      <c r="B10219" t="s">
        <v>19942</v>
      </c>
      <c r="C10219" t="s">
        <v>50</v>
      </c>
      <c r="D10219" t="s">
        <v>51</v>
      </c>
      <c r="E10219" s="6">
        <v>-28354</v>
      </c>
      <c r="F10219" t="s">
        <v>226</v>
      </c>
      <c r="G10219" t="s">
        <v>57</v>
      </c>
      <c r="H10219" t="s">
        <v>20</v>
      </c>
      <c r="I10219" t="s">
        <v>19943</v>
      </c>
      <c r="J10219" t="str">
        <f>HYPERLINK("https://www.boe.es/gazeta/dias/1822/05/14/pdfs/GMD-1822-136.pdf#page=4","Abrir facsímil")</f>
        <v>Abrir facsímil</v>
      </c>
      <c r="K10219" t="s">
        <v>22</v>
      </c>
    </row>
    <row r="10220" spans="1:11" ht="42" customHeight="1">
      <c r="A10220" t="s">
        <v>19944</v>
      </c>
      <c r="B10220" t="s">
        <v>19945</v>
      </c>
      <c r="C10220" t="s">
        <v>28</v>
      </c>
      <c r="D10220" t="s">
        <v>29</v>
      </c>
      <c r="E10220" s="6">
        <v>-28406</v>
      </c>
      <c r="F10220" t="s">
        <v>462</v>
      </c>
      <c r="G10220" t="s">
        <v>157</v>
      </c>
      <c r="H10220" t="s">
        <v>20</v>
      </c>
      <c r="I10220" t="s">
        <v>19946</v>
      </c>
      <c r="J10220" t="str">
        <f>HYPERLINK("https://www.boe.es/gazeta/dias/1822/03/23/pdfs/GMD-1822-84.pdf#page=8","Abrir facsímil")</f>
        <v>Abrir facsímil</v>
      </c>
      <c r="K10220" t="s">
        <v>22</v>
      </c>
    </row>
    <row r="10221" spans="1:11" ht="42" customHeight="1">
      <c r="A10221" t="s">
        <v>19947</v>
      </c>
      <c r="B10221" t="s">
        <v>19947</v>
      </c>
      <c r="C10221" t="s">
        <v>50</v>
      </c>
      <c r="D10221" t="s">
        <v>51</v>
      </c>
      <c r="E10221" s="6">
        <v>-28215</v>
      </c>
      <c r="F10221" t="s">
        <v>17483</v>
      </c>
      <c r="G10221" t="s">
        <v>35</v>
      </c>
      <c r="H10221" t="s">
        <v>20</v>
      </c>
      <c r="I10221" t="s">
        <v>19948</v>
      </c>
      <c r="J10221" t="str">
        <f>HYPERLINK("https://www.boe.es/gazeta/dias/1822/09/30/pdfs/GMD-1822-286.pdf#page=2","Abrir facsímil")</f>
        <v>Abrir facsímil</v>
      </c>
      <c r="K10221" t="s">
        <v>22</v>
      </c>
    </row>
    <row r="10222" spans="1:11" ht="42" customHeight="1">
      <c r="A10222" t="s">
        <v>19949</v>
      </c>
      <c r="B10222" t="s">
        <v>19949</v>
      </c>
      <c r="C10222" t="s">
        <v>50</v>
      </c>
      <c r="D10222" t="s">
        <v>51</v>
      </c>
      <c r="E10222" s="6">
        <v>-28213</v>
      </c>
      <c r="F10222" t="s">
        <v>558</v>
      </c>
      <c r="G10222" t="s">
        <v>31</v>
      </c>
      <c r="H10222" t="s">
        <v>20</v>
      </c>
      <c r="I10222" t="s">
        <v>19950</v>
      </c>
      <c r="J10222" t="str">
        <f>HYPERLINK("https://www.boe.es/gazeta/dias/1822/10/02/pdfs/GMD-1822-288.pdf#page=3","Abrir facsímil")</f>
        <v>Abrir facsímil</v>
      </c>
      <c r="K10222" t="s">
        <v>22</v>
      </c>
    </row>
    <row r="10223" spans="1:11" ht="42" customHeight="1">
      <c r="A10223" t="s">
        <v>19951</v>
      </c>
      <c r="B10223" t="s">
        <v>19951</v>
      </c>
      <c r="C10223" t="s">
        <v>50</v>
      </c>
      <c r="D10223" t="s">
        <v>51</v>
      </c>
      <c r="E10223" s="6">
        <v>-28246</v>
      </c>
      <c r="F10223" t="s">
        <v>3246</v>
      </c>
      <c r="G10223" t="s">
        <v>35</v>
      </c>
      <c r="H10223" t="s">
        <v>20</v>
      </c>
      <c r="I10223" t="s">
        <v>19952</v>
      </c>
      <c r="J10223" t="str">
        <f>HYPERLINK("https://www.boe.es/gazeta/dias/1822/08/30/pdfs/GMD-1822-254.pdf#page=2","Abrir facsímil")</f>
        <v>Abrir facsímil</v>
      </c>
      <c r="K10223" t="s">
        <v>22</v>
      </c>
    </row>
    <row r="10224" spans="1:11" ht="42" customHeight="1">
      <c r="A10224" t="s">
        <v>19953</v>
      </c>
      <c r="B10224" t="s">
        <v>19954</v>
      </c>
      <c r="C10224" t="s">
        <v>42</v>
      </c>
      <c r="D10224" t="s">
        <v>17</v>
      </c>
      <c r="E10224" s="6">
        <v>-28225</v>
      </c>
      <c r="F10224" t="s">
        <v>177</v>
      </c>
      <c r="G10224" t="s">
        <v>178</v>
      </c>
      <c r="H10224" t="s">
        <v>20</v>
      </c>
      <c r="I10224" t="s">
        <v>19955</v>
      </c>
      <c r="J10224" t="str">
        <f>HYPERLINK("https://www.boe.es/gazeta/dias/1822/09/20/pdfs/GMD-1822-276.pdf#page=3","Abrir facsímil")</f>
        <v>Abrir facsímil</v>
      </c>
      <c r="K10224" t="s">
        <v>22</v>
      </c>
    </row>
    <row r="10225" spans="1:11" ht="42" customHeight="1">
      <c r="A10225" t="s">
        <v>19956</v>
      </c>
      <c r="B10225" t="s">
        <v>19957</v>
      </c>
      <c r="C10225" t="s">
        <v>50</v>
      </c>
      <c r="D10225" t="s">
        <v>51</v>
      </c>
      <c r="E10225" s="6">
        <v>-28211</v>
      </c>
      <c r="F10225" t="s">
        <v>273</v>
      </c>
      <c r="G10225" t="s">
        <v>57</v>
      </c>
      <c r="H10225" t="s">
        <v>20</v>
      </c>
      <c r="I10225" t="s">
        <v>19958</v>
      </c>
      <c r="J10225" t="str">
        <f>HYPERLINK("https://www.boe.es/gazeta/dias/1822/10/04/pdfs/GMD-1822-290.pdf#page=4","Abrir facsímil")</f>
        <v>Abrir facsímil</v>
      </c>
      <c r="K10225" t="s">
        <v>22</v>
      </c>
    </row>
    <row r="10226" spans="1:11" ht="42" customHeight="1">
      <c r="A10226" t="s">
        <v>19959</v>
      </c>
      <c r="B10226" t="s">
        <v>19960</v>
      </c>
      <c r="C10226" t="s">
        <v>28</v>
      </c>
      <c r="D10226" t="s">
        <v>29</v>
      </c>
      <c r="E10226" s="6">
        <v>-28315</v>
      </c>
      <c r="F10226" t="s">
        <v>1220</v>
      </c>
      <c r="G10226" t="s">
        <v>63</v>
      </c>
      <c r="H10226" t="s">
        <v>20</v>
      </c>
      <c r="I10226" t="s">
        <v>19961</v>
      </c>
      <c r="J10226" t="str">
        <f>HYPERLINK("https://www.boe.es/gazeta/dias/1822/06/22/pdfs/GMD-1822-180.pdf#page=6","Abrir facsímil")</f>
        <v>Abrir facsímil</v>
      </c>
      <c r="K10226" t="s">
        <v>22</v>
      </c>
    </row>
    <row r="10227" spans="1:11" ht="42" customHeight="1">
      <c r="A10227" t="s">
        <v>19962</v>
      </c>
      <c r="B10227" t="s">
        <v>19963</v>
      </c>
      <c r="C10227" t="s">
        <v>28</v>
      </c>
      <c r="D10227" t="s">
        <v>29</v>
      </c>
      <c r="E10227" s="6">
        <v>-28419</v>
      </c>
      <c r="F10227" t="s">
        <v>1392</v>
      </c>
      <c r="G10227" t="s">
        <v>63</v>
      </c>
      <c r="H10227" t="s">
        <v>20</v>
      </c>
      <c r="I10227" t="s">
        <v>19964</v>
      </c>
      <c r="J10227" t="str">
        <f>HYPERLINK("https://www.boe.es/gazeta/dias/1822/03/10/pdfs/GMD-1822-71.pdf#page=6","Abrir facsímil")</f>
        <v>Abrir facsímil</v>
      </c>
      <c r="K10227" t="s">
        <v>22</v>
      </c>
    </row>
    <row r="10228" spans="1:11" ht="42" customHeight="1">
      <c r="A10228" t="s">
        <v>19962</v>
      </c>
      <c r="B10228" t="s">
        <v>19963</v>
      </c>
      <c r="C10228" t="s">
        <v>28</v>
      </c>
      <c r="D10228" t="s">
        <v>29</v>
      </c>
      <c r="E10228" s="6">
        <v>-28341</v>
      </c>
      <c r="F10228" t="s">
        <v>284</v>
      </c>
      <c r="G10228" t="s">
        <v>63</v>
      </c>
      <c r="H10228" t="s">
        <v>20</v>
      </c>
      <c r="I10228" t="s">
        <v>19965</v>
      </c>
      <c r="J10228" t="str">
        <f>HYPERLINK("https://www.boe.es/gazeta/dias/1822/05/27/pdfs/GMD-1822-152.pdf#page=6","Abrir facsímil")</f>
        <v>Abrir facsímil</v>
      </c>
      <c r="K10228" t="s">
        <v>22</v>
      </c>
    </row>
    <row r="10229" spans="1:11" ht="42" customHeight="1">
      <c r="A10229" t="s">
        <v>19962</v>
      </c>
      <c r="B10229" t="s">
        <v>19963</v>
      </c>
      <c r="C10229" t="s">
        <v>28</v>
      </c>
      <c r="D10229" t="s">
        <v>29</v>
      </c>
      <c r="E10229" s="6">
        <v>-28176</v>
      </c>
      <c r="F10229" t="s">
        <v>780</v>
      </c>
      <c r="G10229" t="s">
        <v>63</v>
      </c>
      <c r="H10229" t="s">
        <v>20</v>
      </c>
      <c r="I10229" t="s">
        <v>19966</v>
      </c>
      <c r="J10229" t="str">
        <f>HYPERLINK("https://www.boe.es/gazeta/dias/1822/11/08/pdfs/GMD-1822-328.pdf#page=6","Abrir facsímil")</f>
        <v>Abrir facsímil</v>
      </c>
      <c r="K10229" t="s">
        <v>22</v>
      </c>
    </row>
    <row r="10230" spans="1:11" ht="42" customHeight="1">
      <c r="A10230" t="s">
        <v>19967</v>
      </c>
      <c r="B10230" t="s">
        <v>19968</v>
      </c>
      <c r="C10230" t="s">
        <v>50</v>
      </c>
      <c r="D10230" t="s">
        <v>51</v>
      </c>
      <c r="E10230" s="6">
        <v>-28210</v>
      </c>
      <c r="F10230" t="s">
        <v>218</v>
      </c>
      <c r="G10230" t="s">
        <v>19</v>
      </c>
      <c r="H10230" t="s">
        <v>20</v>
      </c>
      <c r="I10230" t="s">
        <v>19969</v>
      </c>
      <c r="J10230" t="str">
        <f>HYPERLINK("https://www.boe.es/gazeta/dias/1822/10/05/pdfs/GMD-1822-291.pdf#page=5","Abrir facsímil")</f>
        <v>Abrir facsímil</v>
      </c>
      <c r="K10230" t="s">
        <v>22</v>
      </c>
    </row>
    <row r="10231" spans="1:11" ht="42" customHeight="1">
      <c r="A10231" t="s">
        <v>19970</v>
      </c>
      <c r="B10231" t="s">
        <v>19971</v>
      </c>
      <c r="C10231" t="s">
        <v>42</v>
      </c>
      <c r="D10231" t="s">
        <v>17</v>
      </c>
      <c r="E10231" s="6">
        <v>-28195</v>
      </c>
      <c r="F10231" t="s">
        <v>770</v>
      </c>
      <c r="G10231" t="s">
        <v>63</v>
      </c>
      <c r="H10231" t="s">
        <v>20</v>
      </c>
      <c r="I10231" t="s">
        <v>19972</v>
      </c>
      <c r="J10231" t="str">
        <f>HYPERLINK("https://www.boe.es/gazeta/dias/1822/10/20/pdfs/GMD-1822-307.pdf#page=6","Abrir facsímil")</f>
        <v>Abrir facsímil</v>
      </c>
      <c r="K10231" t="s">
        <v>22</v>
      </c>
    </row>
    <row r="10232" spans="1:11" ht="42" customHeight="1">
      <c r="A10232" t="s">
        <v>19973</v>
      </c>
      <c r="B10232" t="s">
        <v>19974</v>
      </c>
      <c r="C10232" t="s">
        <v>28</v>
      </c>
      <c r="D10232" t="s">
        <v>29</v>
      </c>
      <c r="E10232" s="6">
        <v>-28378</v>
      </c>
      <c r="F10232" t="s">
        <v>496</v>
      </c>
      <c r="G10232" t="s">
        <v>57</v>
      </c>
      <c r="H10232" t="s">
        <v>20</v>
      </c>
      <c r="I10232" t="s">
        <v>19975</v>
      </c>
      <c r="J10232" t="str">
        <f>HYPERLINK("https://www.boe.es/gazeta/dias/1822/04/20/pdfs/GMD-1822-112.pdf#page=4","Abrir facsímil")</f>
        <v>Abrir facsímil</v>
      </c>
      <c r="K10232" t="s">
        <v>22</v>
      </c>
    </row>
    <row r="10233" spans="1:11" ht="42" customHeight="1">
      <c r="A10233" t="s">
        <v>19976</v>
      </c>
      <c r="B10233" t="s">
        <v>19976</v>
      </c>
      <c r="C10233" t="s">
        <v>42</v>
      </c>
      <c r="D10233" t="s">
        <v>17</v>
      </c>
      <c r="E10233" s="6">
        <v>-28166</v>
      </c>
      <c r="F10233" t="s">
        <v>942</v>
      </c>
      <c r="G10233" t="s">
        <v>31</v>
      </c>
      <c r="H10233" t="s">
        <v>20</v>
      </c>
      <c r="I10233" t="s">
        <v>19977</v>
      </c>
      <c r="J10233" t="str">
        <f>HYPERLINK("https://www.boe.es/gazeta/dias/1822/11/18/pdfs/GMD-1822-338.pdf#page=3","Abrir facsímil")</f>
        <v>Abrir facsímil</v>
      </c>
      <c r="K10233" t="s">
        <v>22</v>
      </c>
    </row>
    <row r="10234" spans="1:11" ht="42" customHeight="1">
      <c r="A10234" t="s">
        <v>19978</v>
      </c>
      <c r="B10234" t="s">
        <v>19978</v>
      </c>
      <c r="C10234" t="s">
        <v>42</v>
      </c>
      <c r="D10234" t="s">
        <v>17</v>
      </c>
      <c r="E10234" s="6">
        <v>-28485</v>
      </c>
      <c r="F10234" t="s">
        <v>1117</v>
      </c>
      <c r="G10234" t="s">
        <v>1118</v>
      </c>
      <c r="H10234" t="s">
        <v>20</v>
      </c>
      <c r="I10234" t="s">
        <v>19979</v>
      </c>
      <c r="J10234" t="str">
        <f>HYPERLINK("https://www.boe.es/gazeta/dias/1822/01/03/pdfs/GMD-1822-3.pdf#page=2","Abrir facsímil")</f>
        <v>Abrir facsímil</v>
      </c>
      <c r="K10234" t="s">
        <v>22</v>
      </c>
    </row>
    <row r="10235" spans="1:11" ht="42" customHeight="1">
      <c r="A10235" t="s">
        <v>19980</v>
      </c>
      <c r="B10235" t="s">
        <v>19980</v>
      </c>
      <c r="C10235" t="s">
        <v>28</v>
      </c>
      <c r="D10235" t="s">
        <v>29</v>
      </c>
      <c r="E10235" s="6">
        <v>-28457</v>
      </c>
      <c r="F10235" t="s">
        <v>1655</v>
      </c>
      <c r="G10235" t="s">
        <v>35</v>
      </c>
      <c r="H10235" t="s">
        <v>20</v>
      </c>
      <c r="I10235" t="s">
        <v>19981</v>
      </c>
      <c r="J10235" t="str">
        <f>HYPERLINK("https://www.boe.es/gazeta/dias/1822/01/31/pdfs/GMD-1822-31.pdf#page=2","Abrir facsímil")</f>
        <v>Abrir facsímil</v>
      </c>
      <c r="K10235" t="s">
        <v>22</v>
      </c>
    </row>
    <row r="10236" spans="1:11" ht="42" customHeight="1">
      <c r="A10236" t="s">
        <v>19980</v>
      </c>
      <c r="B10236" t="s">
        <v>19980</v>
      </c>
      <c r="C10236" t="s">
        <v>50</v>
      </c>
      <c r="D10236" t="s">
        <v>51</v>
      </c>
      <c r="E10236" s="6">
        <v>-28420</v>
      </c>
      <c r="F10236" t="s">
        <v>449</v>
      </c>
      <c r="G10236" t="s">
        <v>19</v>
      </c>
      <c r="H10236" t="s">
        <v>20</v>
      </c>
      <c r="I10236" t="s">
        <v>19982</v>
      </c>
      <c r="J10236" t="str">
        <f>HYPERLINK("https://www.boe.es/gazeta/dias/1822/03/09/pdfs/GMD-1822-70.pdf#page=5","Abrir facsímil")</f>
        <v>Abrir facsímil</v>
      </c>
      <c r="K10236" t="s">
        <v>22</v>
      </c>
    </row>
    <row r="10237" spans="1:11" ht="42" customHeight="1">
      <c r="A10237" t="s">
        <v>19980</v>
      </c>
      <c r="B10237" t="s">
        <v>19980</v>
      </c>
      <c r="C10237" t="s">
        <v>71</v>
      </c>
      <c r="D10237" t="s">
        <v>17</v>
      </c>
      <c r="E10237" s="6">
        <v>-28394</v>
      </c>
      <c r="F10237" t="s">
        <v>268</v>
      </c>
      <c r="G10237" t="s">
        <v>31</v>
      </c>
      <c r="H10237" t="s">
        <v>20</v>
      </c>
      <c r="I10237" t="s">
        <v>19983</v>
      </c>
      <c r="J10237" t="str">
        <f>HYPERLINK("https://www.boe.es/gazeta/dias/1822/04/04/pdfs/GMD-1822-96.pdf#page=3","Abrir facsímil")</f>
        <v>Abrir facsímil</v>
      </c>
      <c r="K10237" t="s">
        <v>22</v>
      </c>
    </row>
    <row r="10238" spans="1:11" ht="42" customHeight="1">
      <c r="A10238" t="s">
        <v>19980</v>
      </c>
      <c r="B10238" t="s">
        <v>19980</v>
      </c>
      <c r="C10238" t="s">
        <v>50</v>
      </c>
      <c r="D10238" t="s">
        <v>51</v>
      </c>
      <c r="E10238" s="6">
        <v>-28388</v>
      </c>
      <c r="F10238" t="s">
        <v>1268</v>
      </c>
      <c r="G10238" t="s">
        <v>44</v>
      </c>
      <c r="H10238" t="s">
        <v>20</v>
      </c>
      <c r="I10238" t="s">
        <v>19984</v>
      </c>
      <c r="J10238" t="str">
        <f>HYPERLINK("https://www.boe.es/gazeta/dias/1822/04/10/pdfs/GMD-1822-102.pdf#page=1","Abrir facsímil")</f>
        <v>Abrir facsímil</v>
      </c>
      <c r="K10238" t="s">
        <v>22</v>
      </c>
    </row>
    <row r="10239" spans="1:11" ht="42" customHeight="1">
      <c r="A10239" t="s">
        <v>19985</v>
      </c>
      <c r="B10239" t="s">
        <v>19985</v>
      </c>
      <c r="C10239" t="s">
        <v>28</v>
      </c>
      <c r="D10239" t="s">
        <v>29</v>
      </c>
      <c r="E10239" s="6">
        <v>-28378</v>
      </c>
      <c r="F10239" t="s">
        <v>496</v>
      </c>
      <c r="G10239" t="s">
        <v>31</v>
      </c>
      <c r="H10239" t="s">
        <v>20</v>
      </c>
      <c r="I10239" t="s">
        <v>19986</v>
      </c>
      <c r="J10239" t="str">
        <f>HYPERLINK("https://www.boe.es/gazeta/dias/1822/04/20/pdfs/GMD-1822-112.pdf#page=3","Abrir facsímil")</f>
        <v>Abrir facsímil</v>
      </c>
      <c r="K10239" t="s">
        <v>22</v>
      </c>
    </row>
    <row r="10240" spans="1:11" ht="42" customHeight="1">
      <c r="A10240" t="s">
        <v>19980</v>
      </c>
      <c r="B10240" t="s">
        <v>19980</v>
      </c>
      <c r="C10240" t="s">
        <v>28</v>
      </c>
      <c r="D10240" t="s">
        <v>29</v>
      </c>
      <c r="E10240" s="6">
        <v>-28376</v>
      </c>
      <c r="F10240" t="s">
        <v>500</v>
      </c>
      <c r="G10240" t="s">
        <v>501</v>
      </c>
      <c r="H10240" t="s">
        <v>20</v>
      </c>
      <c r="I10240" t="s">
        <v>19987</v>
      </c>
      <c r="J10240" t="str">
        <f>HYPERLINK("https://www.boe.es/gazeta/dias/1822/04/22/pdfs/GMD-1822-114.pdf#page=3","Abrir facsímil")</f>
        <v>Abrir facsímil</v>
      </c>
      <c r="K10240" t="s">
        <v>22</v>
      </c>
    </row>
    <row r="10241" spans="1:11" ht="42" customHeight="1">
      <c r="A10241" t="s">
        <v>19980</v>
      </c>
      <c r="B10241" t="s">
        <v>19980</v>
      </c>
      <c r="C10241" t="s">
        <v>42</v>
      </c>
      <c r="D10241" t="s">
        <v>17</v>
      </c>
      <c r="E10241" s="6">
        <v>-28364</v>
      </c>
      <c r="F10241" t="s">
        <v>509</v>
      </c>
      <c r="G10241" t="s">
        <v>35</v>
      </c>
      <c r="H10241" t="s">
        <v>20</v>
      </c>
      <c r="I10241" t="s">
        <v>19988</v>
      </c>
      <c r="J10241" t="str">
        <f>HYPERLINK("https://www.boe.es/gazeta/dias/1822/05/04/pdfs/GMD-1822-126.pdf#page=2","Abrir facsímil")</f>
        <v>Abrir facsímil</v>
      </c>
      <c r="K10241" t="s">
        <v>22</v>
      </c>
    </row>
    <row r="10242" spans="1:11" ht="42" customHeight="1">
      <c r="A10242" t="s">
        <v>19980</v>
      </c>
      <c r="B10242" t="s">
        <v>19980</v>
      </c>
      <c r="C10242" t="s">
        <v>50</v>
      </c>
      <c r="D10242" t="s">
        <v>51</v>
      </c>
      <c r="E10242" s="6">
        <v>-28352</v>
      </c>
      <c r="F10242" t="s">
        <v>1575</v>
      </c>
      <c r="G10242" t="s">
        <v>35</v>
      </c>
      <c r="H10242" t="s">
        <v>20</v>
      </c>
      <c r="I10242" t="s">
        <v>19989</v>
      </c>
      <c r="J10242" t="str">
        <f>HYPERLINK("https://www.boe.es/gazeta/dias/1822/05/16/pdfs/GMD-1822-138.pdf#page=2","Abrir facsímil")</f>
        <v>Abrir facsímil</v>
      </c>
      <c r="K10242" t="s">
        <v>22</v>
      </c>
    </row>
    <row r="10243" spans="1:11" ht="42" customHeight="1">
      <c r="A10243" t="s">
        <v>19990</v>
      </c>
      <c r="B10243" t="s">
        <v>19990</v>
      </c>
      <c r="C10243" t="s">
        <v>28</v>
      </c>
      <c r="D10243" t="s">
        <v>29</v>
      </c>
      <c r="E10243" s="6">
        <v>-28332</v>
      </c>
      <c r="F10243" t="s">
        <v>535</v>
      </c>
      <c r="G10243" t="s">
        <v>19</v>
      </c>
      <c r="H10243" t="s">
        <v>20</v>
      </c>
      <c r="I10243" t="s">
        <v>19991</v>
      </c>
      <c r="J10243" t="str">
        <f>HYPERLINK("https://www.boe.es/gazeta/dias/1822/06/05/pdfs/GMD-1822-162.pdf#page=5","Abrir facsímil")</f>
        <v>Abrir facsímil</v>
      </c>
      <c r="K10243" t="s">
        <v>22</v>
      </c>
    </row>
    <row r="10244" spans="1:11" ht="42" customHeight="1">
      <c r="A10244" t="s">
        <v>19980</v>
      </c>
      <c r="B10244" t="s">
        <v>19980</v>
      </c>
      <c r="C10244" t="s">
        <v>42</v>
      </c>
      <c r="D10244" t="s">
        <v>17</v>
      </c>
      <c r="E10244" s="6">
        <v>-28321</v>
      </c>
      <c r="F10244" t="s">
        <v>1142</v>
      </c>
      <c r="G10244" t="s">
        <v>57</v>
      </c>
      <c r="H10244" t="s">
        <v>20</v>
      </c>
      <c r="I10244" t="s">
        <v>19992</v>
      </c>
      <c r="J10244" t="str">
        <f>HYPERLINK("https://www.boe.es/gazeta/dias/1822/06/16/pdfs/GMD-1822-173.pdf#page=4","Abrir facsímil")</f>
        <v>Abrir facsímil</v>
      </c>
      <c r="K10244" t="s">
        <v>22</v>
      </c>
    </row>
    <row r="10245" spans="1:11" ht="42" customHeight="1">
      <c r="A10245" t="s">
        <v>19980</v>
      </c>
      <c r="B10245" t="s">
        <v>19980</v>
      </c>
      <c r="C10245" t="s">
        <v>42</v>
      </c>
      <c r="D10245" t="s">
        <v>17</v>
      </c>
      <c r="E10245" s="6">
        <v>-28204</v>
      </c>
      <c r="F10245" t="s">
        <v>3190</v>
      </c>
      <c r="G10245" t="s">
        <v>63</v>
      </c>
      <c r="H10245" t="s">
        <v>20</v>
      </c>
      <c r="I10245" t="s">
        <v>19993</v>
      </c>
      <c r="J10245" t="str">
        <f>HYPERLINK("https://www.boe.es/gazeta/dias/1822/10/11/pdfs/GMD-1822-298.pdf#page=6","Abrir facsímil")</f>
        <v>Abrir facsímil</v>
      </c>
      <c r="K10245" t="s">
        <v>22</v>
      </c>
    </row>
    <row r="10246" spans="1:11" ht="42" customHeight="1">
      <c r="A10246" t="s">
        <v>19980</v>
      </c>
      <c r="B10246" t="s">
        <v>19980</v>
      </c>
      <c r="C10246" t="s">
        <v>28</v>
      </c>
      <c r="D10246" t="s">
        <v>29</v>
      </c>
      <c r="E10246" s="6">
        <v>-28176</v>
      </c>
      <c r="F10246" t="s">
        <v>780</v>
      </c>
      <c r="G10246" t="s">
        <v>31</v>
      </c>
      <c r="H10246" t="s">
        <v>20</v>
      </c>
      <c r="I10246" t="s">
        <v>19994</v>
      </c>
      <c r="J10246" t="str">
        <f>HYPERLINK("https://www.boe.es/gazeta/dias/1822/11/08/pdfs/GMD-1822-328.pdf#page=3","Abrir facsímil")</f>
        <v>Abrir facsímil</v>
      </c>
      <c r="K10246" t="s">
        <v>22</v>
      </c>
    </row>
    <row r="10247" spans="1:11" ht="42" customHeight="1">
      <c r="A10247" t="s">
        <v>19995</v>
      </c>
      <c r="B10247" t="s">
        <v>19995</v>
      </c>
      <c r="C10247" t="s">
        <v>42</v>
      </c>
      <c r="D10247" t="s">
        <v>17</v>
      </c>
      <c r="E10247" s="6">
        <v>-28345</v>
      </c>
      <c r="F10247" t="s">
        <v>294</v>
      </c>
      <c r="G10247" t="s">
        <v>31</v>
      </c>
      <c r="H10247" t="s">
        <v>20</v>
      </c>
      <c r="I10247" t="s">
        <v>19996</v>
      </c>
      <c r="J10247" t="str">
        <f>HYPERLINK("https://www.boe.es/gazeta/dias/1822/05/23/pdfs/GMD-1822-147.pdf#page=3","Abrir facsímil")</f>
        <v>Abrir facsímil</v>
      </c>
      <c r="K10247" t="s">
        <v>22</v>
      </c>
    </row>
    <row r="10248" spans="1:11" ht="42" customHeight="1">
      <c r="A10248" t="s">
        <v>19997</v>
      </c>
      <c r="B10248" t="s">
        <v>19997</v>
      </c>
      <c r="C10248" t="s">
        <v>50</v>
      </c>
      <c r="D10248" t="s">
        <v>51</v>
      </c>
      <c r="E10248" s="6">
        <v>-28184</v>
      </c>
      <c r="F10248" t="s">
        <v>1423</v>
      </c>
      <c r="G10248" t="s">
        <v>31</v>
      </c>
      <c r="H10248" t="s">
        <v>20</v>
      </c>
      <c r="I10248" t="s">
        <v>19998</v>
      </c>
      <c r="J10248" t="str">
        <f>HYPERLINK("https://www.boe.es/gazeta/dias/1822/10/31/pdfs/GMD-1822-318.pdf#page=3","Abrir facsímil")</f>
        <v>Abrir facsímil</v>
      </c>
      <c r="K10248" t="s">
        <v>22</v>
      </c>
    </row>
    <row r="10249" spans="1:11" ht="42" customHeight="1">
      <c r="A10249" t="s">
        <v>19999</v>
      </c>
      <c r="B10249" t="s">
        <v>20000</v>
      </c>
      <c r="C10249" t="s">
        <v>28</v>
      </c>
      <c r="D10249" t="s">
        <v>29</v>
      </c>
      <c r="E10249" s="6">
        <v>-28176</v>
      </c>
      <c r="F10249" t="s">
        <v>780</v>
      </c>
      <c r="G10249" t="s">
        <v>63</v>
      </c>
      <c r="H10249" t="s">
        <v>20</v>
      </c>
      <c r="I10249" t="s">
        <v>20001</v>
      </c>
      <c r="J10249" t="str">
        <f>HYPERLINK("https://www.boe.es/gazeta/dias/1822/11/08/pdfs/GMD-1822-328.pdf#page=6","Abrir facsímil")</f>
        <v>Abrir facsímil</v>
      </c>
      <c r="K10249" t="s">
        <v>22</v>
      </c>
    </row>
    <row r="10250" spans="1:11" ht="42" customHeight="1">
      <c r="A10250" t="s">
        <v>20002</v>
      </c>
      <c r="B10250" t="s">
        <v>20003</v>
      </c>
      <c r="C10250" t="s">
        <v>50</v>
      </c>
      <c r="D10250" t="s">
        <v>51</v>
      </c>
      <c r="E10250" s="6">
        <v>-28395</v>
      </c>
      <c r="F10250" t="s">
        <v>237</v>
      </c>
      <c r="G10250" t="s">
        <v>57</v>
      </c>
      <c r="H10250" t="s">
        <v>20</v>
      </c>
      <c r="I10250" t="s">
        <v>20004</v>
      </c>
      <c r="J10250" t="str">
        <f>HYPERLINK("https://www.boe.es/gazeta/dias/1822/04/03/pdfs/GMD-1822-95.pdf#page=4","Abrir facsímil")</f>
        <v>Abrir facsímil</v>
      </c>
      <c r="K10250" t="s">
        <v>22</v>
      </c>
    </row>
    <row r="10251" spans="1:11" ht="42" customHeight="1">
      <c r="A10251" t="s">
        <v>20005</v>
      </c>
      <c r="B10251" t="s">
        <v>20006</v>
      </c>
      <c r="C10251" t="s">
        <v>42</v>
      </c>
      <c r="D10251" t="s">
        <v>17</v>
      </c>
      <c r="E10251" s="6">
        <v>-28124</v>
      </c>
      <c r="F10251" t="s">
        <v>301</v>
      </c>
      <c r="G10251" t="s">
        <v>63</v>
      </c>
      <c r="H10251" t="s">
        <v>45</v>
      </c>
      <c r="I10251" t="s">
        <v>20007</v>
      </c>
      <c r="J10251" t="str">
        <f>HYPERLINK("https://www.boe.es/gazeta/dias/1822/12/30/pdfs/GMD-1822-380.pdf#page=6","Abrir facsímil")</f>
        <v>Abrir facsímil</v>
      </c>
      <c r="K10251" t="s">
        <v>47</v>
      </c>
    </row>
    <row r="10252" spans="1:11" ht="42" customHeight="1">
      <c r="A10252" t="s">
        <v>20008</v>
      </c>
      <c r="B10252" t="s">
        <v>20008</v>
      </c>
      <c r="C10252" t="s">
        <v>71</v>
      </c>
      <c r="D10252" t="s">
        <v>17</v>
      </c>
      <c r="E10252" s="6">
        <v>-28201</v>
      </c>
      <c r="F10252" t="s">
        <v>163</v>
      </c>
      <c r="G10252" t="s">
        <v>44</v>
      </c>
      <c r="H10252" t="s">
        <v>20</v>
      </c>
      <c r="I10252" t="s">
        <v>20009</v>
      </c>
      <c r="J10252" t="str">
        <f>HYPERLINK("https://www.boe.es/gazeta/dias/1822/10/14/pdfs/GMD-1822-301.pdf#page=1","Abrir facsímil")</f>
        <v>Abrir facsímil</v>
      </c>
      <c r="K10252" t="s">
        <v>22</v>
      </c>
    </row>
    <row r="10253" spans="1:11" ht="42" customHeight="1">
      <c r="A10253" t="s">
        <v>20010</v>
      </c>
      <c r="B10253" t="s">
        <v>20010</v>
      </c>
      <c r="C10253" t="s">
        <v>50</v>
      </c>
      <c r="D10253" t="s">
        <v>51</v>
      </c>
      <c r="E10253" s="6">
        <v>-28403</v>
      </c>
      <c r="F10253" t="s">
        <v>471</v>
      </c>
      <c r="G10253" t="s">
        <v>35</v>
      </c>
      <c r="H10253" t="s">
        <v>20</v>
      </c>
      <c r="I10253" t="s">
        <v>20011</v>
      </c>
      <c r="J10253" t="str">
        <f>HYPERLINK("https://www.boe.es/gazeta/dias/1822/03/26/pdfs/GMD-1822-87.pdf#page=2","Abrir facsímil")</f>
        <v>Abrir facsímil</v>
      </c>
      <c r="K10253" t="s">
        <v>22</v>
      </c>
    </row>
    <row r="10254" spans="1:11" ht="42" customHeight="1">
      <c r="A10254" t="s">
        <v>20010</v>
      </c>
      <c r="B10254" t="s">
        <v>20010</v>
      </c>
      <c r="C10254" t="s">
        <v>71</v>
      </c>
      <c r="D10254" t="s">
        <v>17</v>
      </c>
      <c r="E10254" s="6">
        <v>-28320</v>
      </c>
      <c r="F10254" t="s">
        <v>700</v>
      </c>
      <c r="G10254" t="s">
        <v>19</v>
      </c>
      <c r="H10254" t="s">
        <v>20</v>
      </c>
      <c r="I10254" t="s">
        <v>20012</v>
      </c>
      <c r="J10254" t="str">
        <f>HYPERLINK("https://www.boe.es/gazeta/dias/1822/06/17/pdfs/GMD-1822-174.pdf#page=5","Abrir facsímil")</f>
        <v>Abrir facsímil</v>
      </c>
      <c r="K10254" t="s">
        <v>22</v>
      </c>
    </row>
    <row r="10255" spans="1:11" ht="42" customHeight="1">
      <c r="A10255" t="s">
        <v>20013</v>
      </c>
      <c r="B10255" t="s">
        <v>20013</v>
      </c>
      <c r="C10255" t="s">
        <v>28</v>
      </c>
      <c r="D10255" t="s">
        <v>29</v>
      </c>
      <c r="E10255" s="6">
        <v>-28413</v>
      </c>
      <c r="F10255" t="s">
        <v>458</v>
      </c>
      <c r="G10255" t="s">
        <v>57</v>
      </c>
      <c r="H10255" t="s">
        <v>20</v>
      </c>
      <c r="I10255" t="s">
        <v>20014</v>
      </c>
      <c r="J10255" t="str">
        <f>HYPERLINK("https://www.boe.es/gazeta/dias/1822/03/16/pdfs/GMD-1822-77.pdf#page=4","Abrir facsímil")</f>
        <v>Abrir facsímil</v>
      </c>
      <c r="K10255" t="s">
        <v>22</v>
      </c>
    </row>
    <row r="10256" spans="1:11" ht="42" customHeight="1">
      <c r="A10256" t="s">
        <v>20015</v>
      </c>
      <c r="B10256" t="s">
        <v>20015</v>
      </c>
      <c r="C10256" t="s">
        <v>50</v>
      </c>
      <c r="D10256" t="s">
        <v>51</v>
      </c>
      <c r="E10256" s="6">
        <v>-28410</v>
      </c>
      <c r="F10256" t="s">
        <v>966</v>
      </c>
      <c r="G10256" t="s">
        <v>57</v>
      </c>
      <c r="H10256" t="s">
        <v>20</v>
      </c>
      <c r="I10256" t="s">
        <v>20016</v>
      </c>
      <c r="J10256" t="str">
        <f>HYPERLINK("https://www.boe.es/gazeta/dias/1822/03/19/pdfs/GMD-1822-80.pdf#page=4","Abrir facsímil")</f>
        <v>Abrir facsímil</v>
      </c>
      <c r="K10256" t="s">
        <v>22</v>
      </c>
    </row>
    <row r="10257" spans="1:11" ht="42" customHeight="1">
      <c r="A10257" t="s">
        <v>20015</v>
      </c>
      <c r="B10257" t="s">
        <v>20015</v>
      </c>
      <c r="C10257" t="s">
        <v>42</v>
      </c>
      <c r="D10257" t="s">
        <v>17</v>
      </c>
      <c r="E10257" s="6">
        <v>-28382</v>
      </c>
      <c r="F10257" t="s">
        <v>973</v>
      </c>
      <c r="G10257" t="s">
        <v>31</v>
      </c>
      <c r="H10257" t="s">
        <v>20</v>
      </c>
      <c r="I10257" t="s">
        <v>20017</v>
      </c>
      <c r="J10257" t="str">
        <f>HYPERLINK("https://www.boe.es/gazeta/dias/1822/04/16/pdfs/GMD-1822-108.pdf#page=3","Abrir facsímil")</f>
        <v>Abrir facsímil</v>
      </c>
      <c r="K10257" t="s">
        <v>22</v>
      </c>
    </row>
    <row r="10258" spans="1:11" ht="42" customHeight="1">
      <c r="A10258" t="s">
        <v>20015</v>
      </c>
      <c r="B10258" t="s">
        <v>20015</v>
      </c>
      <c r="C10258" t="s">
        <v>42</v>
      </c>
      <c r="D10258" t="s">
        <v>17</v>
      </c>
      <c r="E10258" s="6">
        <v>-28377</v>
      </c>
      <c r="F10258" t="s">
        <v>498</v>
      </c>
      <c r="G10258" t="s">
        <v>31</v>
      </c>
      <c r="H10258" t="s">
        <v>20</v>
      </c>
      <c r="I10258" t="s">
        <v>20018</v>
      </c>
      <c r="J10258" t="str">
        <f>HYPERLINK("https://www.boe.es/gazeta/dias/1822/04/21/pdfs/GMD-1822-113.pdf#page=3","Abrir facsímil")</f>
        <v>Abrir facsímil</v>
      </c>
      <c r="K10258" t="s">
        <v>22</v>
      </c>
    </row>
    <row r="10259" spans="1:11" ht="42" customHeight="1">
      <c r="A10259" t="s">
        <v>20019</v>
      </c>
      <c r="B10259" t="s">
        <v>20019</v>
      </c>
      <c r="C10259" t="s">
        <v>61</v>
      </c>
      <c r="D10259" t="s">
        <v>17</v>
      </c>
      <c r="E10259" s="6">
        <v>-28364</v>
      </c>
      <c r="F10259" t="s">
        <v>509</v>
      </c>
      <c r="G10259" t="s">
        <v>35</v>
      </c>
      <c r="H10259" t="s">
        <v>20</v>
      </c>
      <c r="I10259" t="s">
        <v>20020</v>
      </c>
      <c r="J10259" t="str">
        <f>HYPERLINK("https://www.boe.es/gazeta/dias/1822/05/04/pdfs/GMD-1822-126.pdf#page=2","Abrir facsímil")</f>
        <v>Abrir facsímil</v>
      </c>
      <c r="K10259" t="s">
        <v>22</v>
      </c>
    </row>
    <row r="10260" spans="1:11" ht="42" customHeight="1">
      <c r="A10260" t="s">
        <v>20015</v>
      </c>
      <c r="B10260" t="s">
        <v>20015</v>
      </c>
      <c r="C10260" t="s">
        <v>50</v>
      </c>
      <c r="D10260" t="s">
        <v>51</v>
      </c>
      <c r="E10260" s="6">
        <v>-28352</v>
      </c>
      <c r="F10260" t="s">
        <v>1575</v>
      </c>
      <c r="G10260" t="s">
        <v>35</v>
      </c>
      <c r="H10260" t="s">
        <v>20</v>
      </c>
      <c r="I10260" t="s">
        <v>20021</v>
      </c>
      <c r="J10260" t="str">
        <f>HYPERLINK("https://www.boe.es/gazeta/dias/1822/05/16/pdfs/GMD-1822-138.pdf#page=2","Abrir facsímil")</f>
        <v>Abrir facsímil</v>
      </c>
      <c r="K10260" t="s">
        <v>22</v>
      </c>
    </row>
    <row r="10261" spans="1:11" ht="42" customHeight="1">
      <c r="A10261" t="s">
        <v>20015</v>
      </c>
      <c r="B10261" t="s">
        <v>20015</v>
      </c>
      <c r="C10261" t="s">
        <v>28</v>
      </c>
      <c r="D10261" t="s">
        <v>29</v>
      </c>
      <c r="E10261" s="6">
        <v>-28342</v>
      </c>
      <c r="F10261" t="s">
        <v>2281</v>
      </c>
      <c r="G10261" t="s">
        <v>31</v>
      </c>
      <c r="H10261" t="s">
        <v>20</v>
      </c>
      <c r="I10261" t="s">
        <v>20022</v>
      </c>
      <c r="J10261" t="str">
        <f>HYPERLINK("https://www.boe.es/gazeta/dias/1822/05/26/pdfs/GMD-1822-151.pdf#page=3","Abrir facsímil")</f>
        <v>Abrir facsímil</v>
      </c>
      <c r="K10261" t="s">
        <v>22</v>
      </c>
    </row>
    <row r="10262" spans="1:11" ht="42" customHeight="1">
      <c r="A10262" t="s">
        <v>20015</v>
      </c>
      <c r="B10262" t="s">
        <v>20015</v>
      </c>
      <c r="C10262" t="s">
        <v>42</v>
      </c>
      <c r="D10262" t="s">
        <v>17</v>
      </c>
      <c r="E10262" s="6">
        <v>-28339</v>
      </c>
      <c r="F10262" t="s">
        <v>197</v>
      </c>
      <c r="G10262" t="s">
        <v>31</v>
      </c>
      <c r="H10262" t="s">
        <v>20</v>
      </c>
      <c r="I10262" t="s">
        <v>20023</v>
      </c>
      <c r="J10262" t="str">
        <f>HYPERLINK("https://www.boe.es/gazeta/dias/1822/05/29/pdfs/GMD-1822-154.pdf#page=3","Abrir facsímil")</f>
        <v>Abrir facsímil</v>
      </c>
      <c r="K10262" t="s">
        <v>22</v>
      </c>
    </row>
    <row r="10263" spans="1:11" ht="42" customHeight="1">
      <c r="A10263" t="s">
        <v>20015</v>
      </c>
      <c r="B10263" t="s">
        <v>20015</v>
      </c>
      <c r="C10263" t="s">
        <v>28</v>
      </c>
      <c r="D10263" t="s">
        <v>29</v>
      </c>
      <c r="E10263" s="6">
        <v>-28331</v>
      </c>
      <c r="F10263" t="s">
        <v>537</v>
      </c>
      <c r="G10263" t="s">
        <v>35</v>
      </c>
      <c r="H10263" t="s">
        <v>20</v>
      </c>
      <c r="I10263" t="s">
        <v>20024</v>
      </c>
      <c r="J10263" t="str">
        <f>HYPERLINK("https://www.boe.es/gazeta/dias/1822/06/06/pdfs/GMD-1822-163.pdf#page=2","Abrir facsímil")</f>
        <v>Abrir facsímil</v>
      </c>
      <c r="K10263" t="s">
        <v>22</v>
      </c>
    </row>
    <row r="10264" spans="1:11" ht="42" customHeight="1">
      <c r="A10264" t="s">
        <v>20015</v>
      </c>
      <c r="B10264" t="s">
        <v>20015</v>
      </c>
      <c r="C10264" t="s">
        <v>28</v>
      </c>
      <c r="D10264" t="s">
        <v>29</v>
      </c>
      <c r="E10264" s="6">
        <v>-28331</v>
      </c>
      <c r="F10264" t="s">
        <v>537</v>
      </c>
      <c r="G10264" t="s">
        <v>31</v>
      </c>
      <c r="H10264" t="s">
        <v>20</v>
      </c>
      <c r="I10264" t="s">
        <v>20025</v>
      </c>
      <c r="J10264" t="str">
        <f>HYPERLINK("https://www.boe.es/gazeta/dias/1822/06/06/pdfs/GMD-1822-163.pdf#page=3","Abrir facsímil")</f>
        <v>Abrir facsímil</v>
      </c>
      <c r="K10264" t="s">
        <v>22</v>
      </c>
    </row>
    <row r="10265" spans="1:11" ht="42" customHeight="1">
      <c r="A10265" t="s">
        <v>20015</v>
      </c>
      <c r="B10265" t="s">
        <v>20015</v>
      </c>
      <c r="C10265" t="s">
        <v>61</v>
      </c>
      <c r="D10265" t="s">
        <v>17</v>
      </c>
      <c r="E10265" s="6">
        <v>-28328</v>
      </c>
      <c r="F10265" t="s">
        <v>540</v>
      </c>
      <c r="G10265" t="s">
        <v>31</v>
      </c>
      <c r="H10265" t="s">
        <v>20</v>
      </c>
      <c r="I10265" t="s">
        <v>20026</v>
      </c>
      <c r="J10265" t="str">
        <f>HYPERLINK("https://www.boe.es/gazeta/dias/1822/06/09/pdfs/GMD-1822-166.pdf#page=3","Abrir facsímil")</f>
        <v>Abrir facsímil</v>
      </c>
      <c r="K10265" t="s">
        <v>22</v>
      </c>
    </row>
    <row r="10266" spans="1:11" ht="42" customHeight="1">
      <c r="A10266" t="s">
        <v>20015</v>
      </c>
      <c r="B10266" t="s">
        <v>20015</v>
      </c>
      <c r="C10266" t="s">
        <v>71</v>
      </c>
      <c r="D10266" t="s">
        <v>17</v>
      </c>
      <c r="E10266" s="6">
        <v>-28319</v>
      </c>
      <c r="F10266" t="s">
        <v>271</v>
      </c>
      <c r="G10266" t="s">
        <v>31</v>
      </c>
      <c r="H10266" t="s">
        <v>20</v>
      </c>
      <c r="I10266" t="s">
        <v>20027</v>
      </c>
      <c r="J10266" t="str">
        <f>HYPERLINK("https://www.boe.es/gazeta/dias/1822/06/18/pdfs/GMD-1822-175.pdf#page=3","Abrir facsímil")</f>
        <v>Abrir facsímil</v>
      </c>
      <c r="K10266" t="s">
        <v>22</v>
      </c>
    </row>
    <row r="10267" spans="1:11" ht="42" customHeight="1">
      <c r="A10267" t="s">
        <v>20015</v>
      </c>
      <c r="B10267" t="s">
        <v>20015</v>
      </c>
      <c r="C10267" t="s">
        <v>42</v>
      </c>
      <c r="D10267" t="s">
        <v>17</v>
      </c>
      <c r="E10267" s="6">
        <v>-28200</v>
      </c>
      <c r="F10267" t="s">
        <v>1037</v>
      </c>
      <c r="G10267" t="s">
        <v>35</v>
      </c>
      <c r="H10267" t="s">
        <v>20</v>
      </c>
      <c r="I10267" t="s">
        <v>20028</v>
      </c>
      <c r="J10267" t="str">
        <f>HYPERLINK("https://www.boe.es/gazeta/dias/1822/10/15/pdfs/GMD-1822-302.pdf#page=2","Abrir facsímil")</f>
        <v>Abrir facsímil</v>
      </c>
      <c r="K10267" t="s">
        <v>22</v>
      </c>
    </row>
    <row r="10268" spans="1:11" ht="42" customHeight="1">
      <c r="A10268" t="s">
        <v>20015</v>
      </c>
      <c r="B10268" t="s">
        <v>20015</v>
      </c>
      <c r="C10268" t="s">
        <v>50</v>
      </c>
      <c r="D10268" t="s">
        <v>51</v>
      </c>
      <c r="E10268" s="6">
        <v>-28200</v>
      </c>
      <c r="F10268" t="s">
        <v>1037</v>
      </c>
      <c r="G10268" t="s">
        <v>57</v>
      </c>
      <c r="H10268" t="s">
        <v>20</v>
      </c>
      <c r="I10268" t="s">
        <v>20029</v>
      </c>
      <c r="J10268" t="str">
        <f>HYPERLINK("https://www.boe.es/gazeta/dias/1822/10/15/pdfs/GMD-1822-302.pdf#page=4","Abrir facsímil")</f>
        <v>Abrir facsímil</v>
      </c>
      <c r="K10268" t="s">
        <v>22</v>
      </c>
    </row>
    <row r="10269" spans="1:11" ht="42" customHeight="1">
      <c r="A10269" t="s">
        <v>20015</v>
      </c>
      <c r="B10269" t="s">
        <v>20015</v>
      </c>
      <c r="C10269" t="s">
        <v>28</v>
      </c>
      <c r="D10269" t="s">
        <v>29</v>
      </c>
      <c r="E10269" s="6">
        <v>-28193</v>
      </c>
      <c r="F10269" t="s">
        <v>574</v>
      </c>
      <c r="G10269" t="s">
        <v>31</v>
      </c>
      <c r="H10269" t="s">
        <v>20</v>
      </c>
      <c r="I10269" t="s">
        <v>20030</v>
      </c>
      <c r="J10269" t="str">
        <f>HYPERLINK("https://www.boe.es/gazeta/dias/1822/10/22/pdfs/GMD-1822-309.pdf#page=3","Abrir facsímil")</f>
        <v>Abrir facsímil</v>
      </c>
      <c r="K10269" t="s">
        <v>22</v>
      </c>
    </row>
    <row r="10270" spans="1:11" ht="42" customHeight="1">
      <c r="A10270" t="s">
        <v>20015</v>
      </c>
      <c r="B10270" t="s">
        <v>20015</v>
      </c>
      <c r="C10270" t="s">
        <v>28</v>
      </c>
      <c r="D10270" t="s">
        <v>29</v>
      </c>
      <c r="E10270" s="6">
        <v>-28182</v>
      </c>
      <c r="F10270" t="s">
        <v>585</v>
      </c>
      <c r="G10270" t="s">
        <v>31</v>
      </c>
      <c r="H10270" t="s">
        <v>20</v>
      </c>
      <c r="I10270" t="s">
        <v>20031</v>
      </c>
      <c r="J10270" t="str">
        <f>HYPERLINK("https://www.boe.es/gazeta/dias/1822/11/02/pdfs/GMD-1822-320.pdf#page=3","Abrir facsímil")</f>
        <v>Abrir facsímil</v>
      </c>
      <c r="K10270" t="s">
        <v>22</v>
      </c>
    </row>
    <row r="10271" spans="1:11" ht="42" customHeight="1">
      <c r="A10271" t="s">
        <v>20015</v>
      </c>
      <c r="B10271" t="s">
        <v>20015</v>
      </c>
      <c r="C10271" t="s">
        <v>28</v>
      </c>
      <c r="D10271" t="s">
        <v>29</v>
      </c>
      <c r="E10271" s="6">
        <v>-28166</v>
      </c>
      <c r="F10271" t="s">
        <v>942</v>
      </c>
      <c r="G10271" t="s">
        <v>31</v>
      </c>
      <c r="H10271" t="s">
        <v>20</v>
      </c>
      <c r="I10271" t="s">
        <v>20032</v>
      </c>
      <c r="J10271" t="str">
        <f>HYPERLINK("https://www.boe.es/gazeta/dias/1822/11/18/pdfs/GMD-1822-338.pdf#page=3","Abrir facsímil")</f>
        <v>Abrir facsímil</v>
      </c>
      <c r="K10271" t="s">
        <v>22</v>
      </c>
    </row>
    <row r="10272" spans="1:11" ht="42" customHeight="1">
      <c r="A10272" t="s">
        <v>20033</v>
      </c>
      <c r="B10272" t="s">
        <v>20033</v>
      </c>
      <c r="C10272" t="s">
        <v>42</v>
      </c>
      <c r="D10272" t="s">
        <v>17</v>
      </c>
      <c r="E10272" s="6">
        <v>-28201</v>
      </c>
      <c r="F10272" t="s">
        <v>163</v>
      </c>
      <c r="G10272" t="s">
        <v>44</v>
      </c>
      <c r="H10272" t="s">
        <v>20</v>
      </c>
      <c r="I10272" t="s">
        <v>20034</v>
      </c>
      <c r="J10272" t="str">
        <f>HYPERLINK("https://www.boe.es/gazeta/dias/1822/10/14/pdfs/GMD-1822-301.pdf#page=1","Abrir facsímil")</f>
        <v>Abrir facsímil</v>
      </c>
      <c r="K10272" t="s">
        <v>22</v>
      </c>
    </row>
    <row r="10273" spans="1:11" ht="42" customHeight="1">
      <c r="A10273" t="s">
        <v>20035</v>
      </c>
      <c r="B10273" t="s">
        <v>20035</v>
      </c>
      <c r="C10273" t="s">
        <v>42</v>
      </c>
      <c r="D10273" t="s">
        <v>17</v>
      </c>
      <c r="E10273" s="6">
        <v>-28196</v>
      </c>
      <c r="F10273" t="s">
        <v>570</v>
      </c>
      <c r="G10273" t="s">
        <v>44</v>
      </c>
      <c r="H10273" t="s">
        <v>20</v>
      </c>
      <c r="I10273" t="s">
        <v>20036</v>
      </c>
      <c r="J10273" t="str">
        <f>HYPERLINK("https://www.boe.es/gazeta/dias/1822/10/19/pdfs/GMD-1822-306.pdf#page=1","Abrir facsímil")</f>
        <v>Abrir facsímil</v>
      </c>
      <c r="K10273" t="s">
        <v>22</v>
      </c>
    </row>
    <row r="10274" spans="1:11" ht="42" customHeight="1">
      <c r="A10274" t="s">
        <v>20037</v>
      </c>
      <c r="B10274" t="s">
        <v>20037</v>
      </c>
      <c r="C10274" t="s">
        <v>61</v>
      </c>
      <c r="D10274" t="s">
        <v>17</v>
      </c>
      <c r="E10274" s="6">
        <v>-28361</v>
      </c>
      <c r="F10274" t="s">
        <v>374</v>
      </c>
      <c r="G10274" t="s">
        <v>57</v>
      </c>
      <c r="H10274" t="s">
        <v>20</v>
      </c>
      <c r="I10274" t="s">
        <v>20038</v>
      </c>
      <c r="J10274" t="str">
        <f>HYPERLINK("https://www.boe.es/gazeta/dias/1822/05/07/pdfs/GMD-1822-129.pdf#page=4","Abrir facsímil")</f>
        <v>Abrir facsímil</v>
      </c>
      <c r="K10274" t="s">
        <v>22</v>
      </c>
    </row>
    <row r="10275" spans="1:11" ht="42" customHeight="1">
      <c r="A10275" t="s">
        <v>20039</v>
      </c>
      <c r="B10275" t="s">
        <v>20040</v>
      </c>
      <c r="C10275" t="s">
        <v>42</v>
      </c>
      <c r="D10275" t="s">
        <v>17</v>
      </c>
      <c r="E10275" s="6">
        <v>-28352</v>
      </c>
      <c r="F10275" t="s">
        <v>1575</v>
      </c>
      <c r="G10275" t="s">
        <v>63</v>
      </c>
      <c r="H10275" t="s">
        <v>20</v>
      </c>
      <c r="I10275" t="s">
        <v>20041</v>
      </c>
      <c r="J10275" t="str">
        <f>HYPERLINK("https://www.boe.es/gazeta/dias/1822/05/16/pdfs/GMD-1822-138.pdf#page=6","Abrir facsímil")</f>
        <v>Abrir facsímil</v>
      </c>
      <c r="K10275" t="s">
        <v>22</v>
      </c>
    </row>
    <row r="10276" spans="1:11" ht="42" customHeight="1">
      <c r="A10276" t="s">
        <v>20042</v>
      </c>
      <c r="B10276" t="s">
        <v>20043</v>
      </c>
      <c r="C10276" t="s">
        <v>362</v>
      </c>
      <c r="D10276" t="s">
        <v>17</v>
      </c>
      <c r="E10276" s="6">
        <v>-28221</v>
      </c>
      <c r="F10276" t="s">
        <v>2591</v>
      </c>
      <c r="G10276" t="s">
        <v>44</v>
      </c>
      <c r="H10276" t="s">
        <v>20</v>
      </c>
      <c r="I10276" t="s">
        <v>20044</v>
      </c>
      <c r="J10276" t="str">
        <f>HYPERLINK("https://www.boe.es/gazeta/dias/1822/09/24/pdfs/GMD-1822-280.pdf#page=1","Abrir facsímil")</f>
        <v>Abrir facsímil</v>
      </c>
      <c r="K10276" t="s">
        <v>22</v>
      </c>
    </row>
    <row r="10277" spans="1:11" ht="42" customHeight="1">
      <c r="A10277" t="s">
        <v>20045</v>
      </c>
      <c r="B10277" t="s">
        <v>20045</v>
      </c>
      <c r="C10277" t="s">
        <v>71</v>
      </c>
      <c r="D10277" t="s">
        <v>17</v>
      </c>
      <c r="E10277" s="6">
        <v>-28427</v>
      </c>
      <c r="F10277" t="s">
        <v>755</v>
      </c>
      <c r="G10277" t="s">
        <v>57</v>
      </c>
      <c r="H10277" t="s">
        <v>20</v>
      </c>
      <c r="I10277" t="s">
        <v>20046</v>
      </c>
      <c r="J10277" t="str">
        <f>HYPERLINK("https://www.boe.es/gazeta/dias/1822/03/02/pdfs/GMD-1822-63.pdf#page=4","Abrir facsímil")</f>
        <v>Abrir facsímil</v>
      </c>
      <c r="K10277" t="s">
        <v>22</v>
      </c>
    </row>
    <row r="10278" spans="1:11" ht="42" customHeight="1">
      <c r="A10278" t="s">
        <v>20047</v>
      </c>
      <c r="B10278" t="s">
        <v>20047</v>
      </c>
      <c r="C10278" t="s">
        <v>42</v>
      </c>
      <c r="D10278" t="s">
        <v>17</v>
      </c>
      <c r="E10278" s="6">
        <v>-28205</v>
      </c>
      <c r="F10278" t="s">
        <v>806</v>
      </c>
      <c r="G10278" t="s">
        <v>19</v>
      </c>
      <c r="H10278" t="s">
        <v>20</v>
      </c>
      <c r="I10278" t="s">
        <v>20048</v>
      </c>
      <c r="J10278" t="str">
        <f>HYPERLINK("https://www.boe.es/gazeta/dias/1822/10/10/pdfs/GMD-1822-297.pdf#page=5","Abrir facsímil")</f>
        <v>Abrir facsímil</v>
      </c>
      <c r="K10278" t="s">
        <v>22</v>
      </c>
    </row>
    <row r="10279" spans="1:11" ht="42" customHeight="1">
      <c r="A10279" t="s">
        <v>20049</v>
      </c>
      <c r="B10279" t="s">
        <v>20050</v>
      </c>
      <c r="C10279" t="s">
        <v>50</v>
      </c>
      <c r="D10279" t="s">
        <v>51</v>
      </c>
      <c r="E10279" s="6">
        <v>-28129</v>
      </c>
      <c r="F10279" t="s">
        <v>599</v>
      </c>
      <c r="G10279" t="s">
        <v>57</v>
      </c>
      <c r="H10279" t="s">
        <v>20</v>
      </c>
      <c r="I10279" t="s">
        <v>20051</v>
      </c>
      <c r="J10279" t="str">
        <f>HYPERLINK("https://www.boe.es/gazeta/dias/1822/12/25/pdfs/GMD-1822-375.pdf#page=4","Abrir facsímil")</f>
        <v>Abrir facsímil</v>
      </c>
      <c r="K10279" t="s">
        <v>22</v>
      </c>
    </row>
    <row r="10280" spans="1:11" ht="42" customHeight="1">
      <c r="A10280" t="s">
        <v>20052</v>
      </c>
      <c r="B10280" t="s">
        <v>20052</v>
      </c>
      <c r="C10280" t="s">
        <v>42</v>
      </c>
      <c r="D10280" t="s">
        <v>17</v>
      </c>
      <c r="E10280" s="6">
        <v>-28311</v>
      </c>
      <c r="F10280" t="s">
        <v>736</v>
      </c>
      <c r="G10280" t="s">
        <v>31</v>
      </c>
      <c r="H10280" t="s">
        <v>20</v>
      </c>
      <c r="I10280" t="s">
        <v>20053</v>
      </c>
      <c r="J10280" t="str">
        <f>HYPERLINK("https://www.boe.es/gazeta/dias/1822/06/26/pdfs/GMD-1822-184.pdf#page=3","Abrir facsímil")</f>
        <v>Abrir facsímil</v>
      </c>
      <c r="K10280" t="s">
        <v>22</v>
      </c>
    </row>
    <row r="10281" spans="1:11" ht="42" customHeight="1">
      <c r="A10281" t="s">
        <v>20052</v>
      </c>
      <c r="B10281" t="s">
        <v>20052</v>
      </c>
      <c r="C10281" t="s">
        <v>50</v>
      </c>
      <c r="D10281" t="s">
        <v>51</v>
      </c>
      <c r="E10281" s="6">
        <v>-28141</v>
      </c>
      <c r="F10281" t="s">
        <v>265</v>
      </c>
      <c r="G10281" t="s">
        <v>35</v>
      </c>
      <c r="H10281" t="s">
        <v>20</v>
      </c>
      <c r="I10281" t="s">
        <v>20054</v>
      </c>
      <c r="J10281" t="str">
        <f>HYPERLINK("https://www.boe.es/gazeta/dias/1822/12/13/pdfs/GMD-1822-363.pdf#page=2","Abrir facsímil")</f>
        <v>Abrir facsímil</v>
      </c>
      <c r="K10281" t="s">
        <v>22</v>
      </c>
    </row>
    <row r="10282" spans="1:11" ht="42" customHeight="1">
      <c r="A10282" t="s">
        <v>20055</v>
      </c>
      <c r="B10282" t="s">
        <v>20055</v>
      </c>
      <c r="C10282" t="s">
        <v>42</v>
      </c>
      <c r="D10282" t="s">
        <v>17</v>
      </c>
      <c r="E10282" s="6">
        <v>-28342</v>
      </c>
      <c r="F10282" t="s">
        <v>2281</v>
      </c>
      <c r="G10282" t="s">
        <v>19</v>
      </c>
      <c r="H10282" t="s">
        <v>20</v>
      </c>
      <c r="I10282" t="s">
        <v>20056</v>
      </c>
      <c r="J10282" t="str">
        <f>HYPERLINK("https://www.boe.es/gazeta/dias/1822/05/26/pdfs/GMD-1822-151.pdf#page=5","Abrir facsímil")</f>
        <v>Abrir facsímil</v>
      </c>
      <c r="K10282" t="s">
        <v>22</v>
      </c>
    </row>
    <row r="10283" spans="1:11" ht="42" customHeight="1">
      <c r="A10283" t="s">
        <v>20057</v>
      </c>
      <c r="B10283" t="s">
        <v>20057</v>
      </c>
      <c r="C10283" t="s">
        <v>61</v>
      </c>
      <c r="D10283" t="s">
        <v>17</v>
      </c>
      <c r="E10283" s="6">
        <v>-28339</v>
      </c>
      <c r="F10283" t="s">
        <v>197</v>
      </c>
      <c r="G10283" t="s">
        <v>31</v>
      </c>
      <c r="H10283" t="s">
        <v>20</v>
      </c>
      <c r="I10283" t="s">
        <v>20058</v>
      </c>
      <c r="J10283" t="str">
        <f>HYPERLINK("https://www.boe.es/gazeta/dias/1822/05/29/pdfs/GMD-1822-154.pdf#page=3","Abrir facsímil")</f>
        <v>Abrir facsímil</v>
      </c>
      <c r="K10283" t="s">
        <v>22</v>
      </c>
    </row>
    <row r="10284" spans="1:11" ht="42" customHeight="1">
      <c r="A10284" t="s">
        <v>20059</v>
      </c>
      <c r="B10284" t="s">
        <v>20059</v>
      </c>
      <c r="C10284" t="s">
        <v>50</v>
      </c>
      <c r="D10284" t="s">
        <v>51</v>
      </c>
      <c r="E10284" s="6">
        <v>-28313</v>
      </c>
      <c r="F10284" t="s">
        <v>315</v>
      </c>
      <c r="G10284" t="s">
        <v>57</v>
      </c>
      <c r="H10284" t="s">
        <v>20</v>
      </c>
      <c r="I10284" t="s">
        <v>20060</v>
      </c>
      <c r="J10284" t="str">
        <f>HYPERLINK("https://www.boe.es/gazeta/dias/1822/06/24/pdfs/GMD-1822-182.pdf#page=4","Abrir facsímil")</f>
        <v>Abrir facsímil</v>
      </c>
      <c r="K10284" t="s">
        <v>22</v>
      </c>
    </row>
    <row r="10285" spans="1:11" ht="42" customHeight="1">
      <c r="A10285" t="s">
        <v>20061</v>
      </c>
      <c r="B10285" t="s">
        <v>20062</v>
      </c>
      <c r="C10285" t="s">
        <v>50</v>
      </c>
      <c r="D10285" t="s">
        <v>51</v>
      </c>
      <c r="E10285" s="6">
        <v>-28259</v>
      </c>
      <c r="F10285" t="s">
        <v>1912</v>
      </c>
      <c r="G10285" t="s">
        <v>57</v>
      </c>
      <c r="H10285" t="s">
        <v>20</v>
      </c>
      <c r="I10285" t="s">
        <v>20063</v>
      </c>
      <c r="J10285" t="str">
        <f>HYPERLINK("https://www.boe.es/gazeta/dias/1822/08/17/pdfs/GMD-1822-241.pdf#page=4","Abrir facsímil")</f>
        <v>Abrir facsímil</v>
      </c>
      <c r="K10285" t="s">
        <v>22</v>
      </c>
    </row>
    <row r="10286" spans="1:11" ht="42" customHeight="1">
      <c r="A10286" t="s">
        <v>20064</v>
      </c>
      <c r="B10286" t="s">
        <v>20064</v>
      </c>
      <c r="C10286" t="s">
        <v>42</v>
      </c>
      <c r="D10286" t="s">
        <v>17</v>
      </c>
      <c r="E10286" s="6">
        <v>-28434</v>
      </c>
      <c r="F10286" t="s">
        <v>433</v>
      </c>
      <c r="G10286" t="s">
        <v>35</v>
      </c>
      <c r="H10286" t="s">
        <v>20</v>
      </c>
      <c r="I10286" t="s">
        <v>20065</v>
      </c>
      <c r="J10286" t="str">
        <f>HYPERLINK("https://www.boe.es/gazeta/dias/1822/02/23/pdfs/GMD-1822-55.pdf#page=2","Abrir facsímil")</f>
        <v>Abrir facsímil</v>
      </c>
      <c r="K10286" t="s">
        <v>22</v>
      </c>
    </row>
    <row r="10287" spans="1:11" ht="42" customHeight="1">
      <c r="A10287" t="s">
        <v>20064</v>
      </c>
      <c r="B10287" t="s">
        <v>20064</v>
      </c>
      <c r="C10287" t="s">
        <v>71</v>
      </c>
      <c r="D10287" t="s">
        <v>17</v>
      </c>
      <c r="E10287" s="6">
        <v>-28400</v>
      </c>
      <c r="F10287" t="s">
        <v>1937</v>
      </c>
      <c r="G10287" t="s">
        <v>2260</v>
      </c>
      <c r="H10287" t="s">
        <v>20</v>
      </c>
      <c r="I10287" t="s">
        <v>20066</v>
      </c>
      <c r="J10287" t="str">
        <f>HYPERLINK("https://www.boe.es/gazeta/dias/1822/03/29/pdfs/GMD-1822-90.pdf#page=4","Abrir facsímil")</f>
        <v>Abrir facsímil</v>
      </c>
      <c r="K10287" t="s">
        <v>22</v>
      </c>
    </row>
    <row r="10288" spans="1:11" ht="42" customHeight="1">
      <c r="A10288" t="s">
        <v>20064</v>
      </c>
      <c r="B10288" t="s">
        <v>20064</v>
      </c>
      <c r="C10288" t="s">
        <v>50</v>
      </c>
      <c r="D10288" t="s">
        <v>51</v>
      </c>
      <c r="E10288" s="6">
        <v>-28366</v>
      </c>
      <c r="F10288" t="s">
        <v>120</v>
      </c>
      <c r="G10288" t="s">
        <v>35</v>
      </c>
      <c r="H10288" t="s">
        <v>20</v>
      </c>
      <c r="I10288" t="s">
        <v>20067</v>
      </c>
      <c r="J10288" t="str">
        <f>HYPERLINK("https://www.boe.es/gazeta/dias/1822/05/02/pdfs/GMD-1822-124.pdf#page=2","Abrir facsímil")</f>
        <v>Abrir facsímil</v>
      </c>
      <c r="K10288" t="s">
        <v>22</v>
      </c>
    </row>
    <row r="10289" spans="1:11" ht="42" customHeight="1">
      <c r="A10289" t="s">
        <v>20064</v>
      </c>
      <c r="B10289" t="s">
        <v>20064</v>
      </c>
      <c r="C10289" t="s">
        <v>71</v>
      </c>
      <c r="D10289" t="s">
        <v>17</v>
      </c>
      <c r="E10289" s="6">
        <v>-28356</v>
      </c>
      <c r="F10289" t="s">
        <v>4170</v>
      </c>
      <c r="G10289" t="s">
        <v>35</v>
      </c>
      <c r="H10289" t="s">
        <v>20</v>
      </c>
      <c r="I10289" t="s">
        <v>20068</v>
      </c>
      <c r="J10289" t="str">
        <f>HYPERLINK("https://www.boe.es/gazeta/dias/1822/05/12/pdfs/GMD-1822-134.pdf#page=2","Abrir facsímil")</f>
        <v>Abrir facsímil</v>
      </c>
      <c r="K10289" t="s">
        <v>22</v>
      </c>
    </row>
    <row r="10290" spans="1:11" ht="42" customHeight="1">
      <c r="A10290" t="s">
        <v>20064</v>
      </c>
      <c r="B10290" t="s">
        <v>20064</v>
      </c>
      <c r="C10290" t="s">
        <v>61</v>
      </c>
      <c r="D10290" t="s">
        <v>17</v>
      </c>
      <c r="E10290" s="6">
        <v>-28311</v>
      </c>
      <c r="F10290" t="s">
        <v>736</v>
      </c>
      <c r="G10290" t="s">
        <v>35</v>
      </c>
      <c r="H10290" t="s">
        <v>20</v>
      </c>
      <c r="I10290" t="s">
        <v>20069</v>
      </c>
      <c r="J10290" t="str">
        <f>HYPERLINK("https://www.boe.es/gazeta/dias/1822/06/26/pdfs/GMD-1822-184.pdf#page=2","Abrir facsímil")</f>
        <v>Abrir facsímil</v>
      </c>
      <c r="K10290" t="s">
        <v>22</v>
      </c>
    </row>
    <row r="10291" spans="1:11" ht="42" customHeight="1">
      <c r="A10291" t="s">
        <v>20064</v>
      </c>
      <c r="B10291" t="s">
        <v>20064</v>
      </c>
      <c r="C10291" t="s">
        <v>42</v>
      </c>
      <c r="D10291" t="s">
        <v>17</v>
      </c>
      <c r="E10291" s="6">
        <v>-28308</v>
      </c>
      <c r="F10291" t="s">
        <v>1050</v>
      </c>
      <c r="G10291" t="s">
        <v>31</v>
      </c>
      <c r="H10291" t="s">
        <v>20</v>
      </c>
      <c r="I10291" t="s">
        <v>20070</v>
      </c>
      <c r="J10291" t="str">
        <f>HYPERLINK("https://www.boe.es/gazeta/dias/1822/06/29/pdfs/GMD-1822-187.pdf#page=3","Abrir facsímil")</f>
        <v>Abrir facsímil</v>
      </c>
      <c r="K10291" t="s">
        <v>22</v>
      </c>
    </row>
    <row r="10292" spans="1:11" ht="42" customHeight="1">
      <c r="A10292" t="s">
        <v>20071</v>
      </c>
      <c r="B10292" t="s">
        <v>20071</v>
      </c>
      <c r="C10292" t="s">
        <v>50</v>
      </c>
      <c r="D10292" t="s">
        <v>51</v>
      </c>
      <c r="E10292" s="6">
        <v>-28419</v>
      </c>
      <c r="F10292" t="s">
        <v>1392</v>
      </c>
      <c r="G10292" t="s">
        <v>19</v>
      </c>
      <c r="H10292" t="s">
        <v>20</v>
      </c>
      <c r="I10292" t="s">
        <v>20072</v>
      </c>
      <c r="J10292" t="str">
        <f>HYPERLINK("https://www.boe.es/gazeta/dias/1822/03/10/pdfs/GMD-1822-71.pdf#page=5","Abrir facsímil")</f>
        <v>Abrir facsímil</v>
      </c>
      <c r="K10292" t="s">
        <v>22</v>
      </c>
    </row>
    <row r="10293" spans="1:11" ht="42" customHeight="1">
      <c r="A10293" t="s">
        <v>20071</v>
      </c>
      <c r="B10293" t="s">
        <v>20071</v>
      </c>
      <c r="C10293" t="s">
        <v>71</v>
      </c>
      <c r="D10293" t="s">
        <v>17</v>
      </c>
      <c r="E10293" s="6">
        <v>-28417</v>
      </c>
      <c r="F10293" t="s">
        <v>1394</v>
      </c>
      <c r="G10293" t="s">
        <v>35</v>
      </c>
      <c r="H10293" t="s">
        <v>20</v>
      </c>
      <c r="I10293" t="s">
        <v>20073</v>
      </c>
      <c r="J10293" t="str">
        <f>HYPERLINK("https://www.boe.es/gazeta/dias/1822/03/12/pdfs/GMD-1822-73.pdf#page=2","Abrir facsímil")</f>
        <v>Abrir facsímil</v>
      </c>
      <c r="K10293" t="s">
        <v>22</v>
      </c>
    </row>
    <row r="10294" spans="1:11" ht="42" customHeight="1">
      <c r="A10294" t="s">
        <v>20071</v>
      </c>
      <c r="B10294" t="s">
        <v>20071</v>
      </c>
      <c r="C10294" t="s">
        <v>71</v>
      </c>
      <c r="D10294" t="s">
        <v>17</v>
      </c>
      <c r="E10294" s="6">
        <v>-28415</v>
      </c>
      <c r="F10294" t="s">
        <v>77</v>
      </c>
      <c r="G10294" t="s">
        <v>31</v>
      </c>
      <c r="H10294" t="s">
        <v>20</v>
      </c>
      <c r="I10294" t="s">
        <v>20074</v>
      </c>
      <c r="J10294" t="str">
        <f>HYPERLINK("https://www.boe.es/gazeta/dias/1822/03/14/pdfs/GMD-1822-75.pdf#page=3","Abrir facsímil")</f>
        <v>Abrir facsímil</v>
      </c>
      <c r="K10294" t="s">
        <v>22</v>
      </c>
    </row>
    <row r="10295" spans="1:11" ht="42" customHeight="1">
      <c r="A10295" t="s">
        <v>20071</v>
      </c>
      <c r="B10295" t="s">
        <v>20071</v>
      </c>
      <c r="C10295" t="s">
        <v>50</v>
      </c>
      <c r="D10295" t="s">
        <v>51</v>
      </c>
      <c r="E10295" s="6">
        <v>-28415</v>
      </c>
      <c r="F10295" t="s">
        <v>77</v>
      </c>
      <c r="G10295" t="s">
        <v>57</v>
      </c>
      <c r="H10295" t="s">
        <v>20</v>
      </c>
      <c r="I10295" t="s">
        <v>20075</v>
      </c>
      <c r="J10295" t="str">
        <f>HYPERLINK("https://www.boe.es/gazeta/dias/1822/03/14/pdfs/GMD-1822-75.pdf#page=4","Abrir facsímil")</f>
        <v>Abrir facsímil</v>
      </c>
      <c r="K10295" t="s">
        <v>22</v>
      </c>
    </row>
    <row r="10296" spans="1:11" ht="42" customHeight="1">
      <c r="A10296" t="s">
        <v>20071</v>
      </c>
      <c r="B10296" t="s">
        <v>20071</v>
      </c>
      <c r="C10296" t="s">
        <v>42</v>
      </c>
      <c r="D10296" t="s">
        <v>17</v>
      </c>
      <c r="E10296" s="6">
        <v>-28410</v>
      </c>
      <c r="F10296" t="s">
        <v>966</v>
      </c>
      <c r="G10296" t="s">
        <v>31</v>
      </c>
      <c r="H10296" t="s">
        <v>20</v>
      </c>
      <c r="I10296" t="s">
        <v>20076</v>
      </c>
      <c r="J10296" t="str">
        <f>HYPERLINK("https://www.boe.es/gazeta/dias/1822/03/19/pdfs/GMD-1822-80.pdf#page=3","Abrir facsímil")</f>
        <v>Abrir facsímil</v>
      </c>
      <c r="K10296" t="s">
        <v>22</v>
      </c>
    </row>
    <row r="10297" spans="1:11" ht="42" customHeight="1">
      <c r="A10297" t="s">
        <v>20071</v>
      </c>
      <c r="B10297" t="s">
        <v>20071</v>
      </c>
      <c r="C10297" t="s">
        <v>16</v>
      </c>
      <c r="D10297" t="s">
        <v>17</v>
      </c>
      <c r="E10297" s="6">
        <v>-28389</v>
      </c>
      <c r="F10297" t="s">
        <v>481</v>
      </c>
      <c r="G10297" t="s">
        <v>57</v>
      </c>
      <c r="H10297" t="s">
        <v>20</v>
      </c>
      <c r="I10297" t="s">
        <v>20077</v>
      </c>
      <c r="J10297" t="str">
        <f>HYPERLINK("https://www.boe.es/gazeta/dias/1822/04/09/pdfs/GMD-1822-101.pdf#page=4","Abrir facsímil")</f>
        <v>Abrir facsímil</v>
      </c>
      <c r="K10297" t="s">
        <v>22</v>
      </c>
    </row>
    <row r="10298" spans="1:11" ht="42" customHeight="1">
      <c r="A10298" t="s">
        <v>20071</v>
      </c>
      <c r="B10298" t="s">
        <v>20071</v>
      </c>
      <c r="C10298" t="s">
        <v>71</v>
      </c>
      <c r="D10298" t="s">
        <v>17</v>
      </c>
      <c r="E10298" s="6">
        <v>-28388</v>
      </c>
      <c r="F10298" t="s">
        <v>1268</v>
      </c>
      <c r="G10298" t="s">
        <v>35</v>
      </c>
      <c r="H10298" t="s">
        <v>20</v>
      </c>
      <c r="I10298" t="s">
        <v>20078</v>
      </c>
      <c r="J10298" t="str">
        <f>HYPERLINK("https://www.boe.es/gazeta/dias/1822/04/10/pdfs/GMD-1822-102.pdf#page=2","Abrir facsímil")</f>
        <v>Abrir facsímil</v>
      </c>
      <c r="K10298" t="s">
        <v>22</v>
      </c>
    </row>
    <row r="10299" spans="1:11" ht="42" customHeight="1">
      <c r="A10299" t="s">
        <v>20071</v>
      </c>
      <c r="B10299" t="s">
        <v>20071</v>
      </c>
      <c r="C10299" t="s">
        <v>42</v>
      </c>
      <c r="D10299" t="s">
        <v>17</v>
      </c>
      <c r="E10299" s="6">
        <v>-28387</v>
      </c>
      <c r="F10299" t="s">
        <v>2874</v>
      </c>
      <c r="G10299" t="s">
        <v>57</v>
      </c>
      <c r="H10299" t="s">
        <v>20</v>
      </c>
      <c r="I10299" t="s">
        <v>20079</v>
      </c>
      <c r="J10299" t="str">
        <f>HYPERLINK("https://www.boe.es/gazeta/dias/1822/04/11/pdfs/GMD-1822-103.pdf#page=4","Abrir facsímil")</f>
        <v>Abrir facsímil</v>
      </c>
      <c r="K10299" t="s">
        <v>22</v>
      </c>
    </row>
    <row r="10300" spans="1:11" ht="42" customHeight="1">
      <c r="A10300" t="s">
        <v>20071</v>
      </c>
      <c r="B10300" t="s">
        <v>20071</v>
      </c>
      <c r="C10300" t="s">
        <v>42</v>
      </c>
      <c r="D10300" t="s">
        <v>17</v>
      </c>
      <c r="E10300" s="6">
        <v>-28382</v>
      </c>
      <c r="F10300" t="s">
        <v>973</v>
      </c>
      <c r="G10300" t="s">
        <v>31</v>
      </c>
      <c r="H10300" t="s">
        <v>20</v>
      </c>
      <c r="I10300" t="s">
        <v>20080</v>
      </c>
      <c r="J10300" t="str">
        <f>HYPERLINK("https://www.boe.es/gazeta/dias/1822/04/16/pdfs/GMD-1822-108.pdf#page=3","Abrir facsímil")</f>
        <v>Abrir facsímil</v>
      </c>
      <c r="K10300" t="s">
        <v>22</v>
      </c>
    </row>
    <row r="10301" spans="1:11" ht="42" customHeight="1">
      <c r="A10301" t="s">
        <v>20071</v>
      </c>
      <c r="B10301" t="s">
        <v>20071</v>
      </c>
      <c r="C10301" t="s">
        <v>28</v>
      </c>
      <c r="D10301" t="s">
        <v>29</v>
      </c>
      <c r="E10301" s="6">
        <v>-28369</v>
      </c>
      <c r="F10301" t="s">
        <v>1590</v>
      </c>
      <c r="G10301" t="s">
        <v>19</v>
      </c>
      <c r="H10301" t="s">
        <v>20</v>
      </c>
      <c r="I10301" t="s">
        <v>20081</v>
      </c>
      <c r="J10301" t="str">
        <f>HYPERLINK("https://www.boe.es/gazeta/dias/1822/04/29/pdfs/GMD-1822-121.pdf#page=5","Abrir facsímil")</f>
        <v>Abrir facsímil</v>
      </c>
      <c r="K10301" t="s">
        <v>22</v>
      </c>
    </row>
    <row r="10302" spans="1:11" ht="42" customHeight="1">
      <c r="A10302" t="s">
        <v>20071</v>
      </c>
      <c r="B10302" t="s">
        <v>20071</v>
      </c>
      <c r="C10302" t="s">
        <v>42</v>
      </c>
      <c r="D10302" t="s">
        <v>17</v>
      </c>
      <c r="E10302" s="6">
        <v>-28351</v>
      </c>
      <c r="F10302" t="s">
        <v>282</v>
      </c>
      <c r="G10302" t="s">
        <v>31</v>
      </c>
      <c r="H10302" t="s">
        <v>20</v>
      </c>
      <c r="I10302" t="s">
        <v>20082</v>
      </c>
      <c r="J10302" t="str">
        <f>HYPERLINK("https://www.boe.es/gazeta/dias/1822/05/17/pdfs/GMD-1822-139.pdf#page=3","Abrir facsímil")</f>
        <v>Abrir facsímil</v>
      </c>
      <c r="K10302" t="s">
        <v>22</v>
      </c>
    </row>
    <row r="10303" spans="1:11" ht="42" customHeight="1">
      <c r="A10303" t="s">
        <v>20071</v>
      </c>
      <c r="B10303" t="s">
        <v>20071</v>
      </c>
      <c r="C10303" t="s">
        <v>24</v>
      </c>
      <c r="D10303" t="s">
        <v>17</v>
      </c>
      <c r="E10303" s="6">
        <v>-28348</v>
      </c>
      <c r="F10303" t="s">
        <v>2903</v>
      </c>
      <c r="G10303" t="s">
        <v>31</v>
      </c>
      <c r="H10303" t="s">
        <v>20</v>
      </c>
      <c r="I10303" t="s">
        <v>20083</v>
      </c>
      <c r="J10303" t="str">
        <f>HYPERLINK("https://www.boe.es/gazeta/dias/1822/05/20/pdfs/GMD-1822-143.pdf#page=3","Abrir facsímil")</f>
        <v>Abrir facsímil</v>
      </c>
      <c r="K10303" t="s">
        <v>22</v>
      </c>
    </row>
    <row r="10304" spans="1:11" ht="42" customHeight="1">
      <c r="A10304" t="s">
        <v>20071</v>
      </c>
      <c r="B10304" t="s">
        <v>20071</v>
      </c>
      <c r="C10304" t="s">
        <v>50</v>
      </c>
      <c r="D10304" t="s">
        <v>51</v>
      </c>
      <c r="E10304" s="6">
        <v>-28339</v>
      </c>
      <c r="F10304" t="s">
        <v>197</v>
      </c>
      <c r="G10304" t="s">
        <v>57</v>
      </c>
      <c r="H10304" t="s">
        <v>20</v>
      </c>
      <c r="I10304" t="s">
        <v>20084</v>
      </c>
      <c r="J10304" t="str">
        <f>HYPERLINK("https://www.boe.es/gazeta/dias/1822/05/29/pdfs/GMD-1822-154.pdf#page=4","Abrir facsímil")</f>
        <v>Abrir facsímil</v>
      </c>
      <c r="K10304" t="s">
        <v>22</v>
      </c>
    </row>
    <row r="10305" spans="1:11" ht="42" customHeight="1">
      <c r="A10305" t="s">
        <v>20071</v>
      </c>
      <c r="B10305" t="s">
        <v>20071</v>
      </c>
      <c r="C10305" t="s">
        <v>71</v>
      </c>
      <c r="D10305" t="s">
        <v>17</v>
      </c>
      <c r="E10305" s="6">
        <v>-28328</v>
      </c>
      <c r="F10305" t="s">
        <v>540</v>
      </c>
      <c r="G10305" t="s">
        <v>31</v>
      </c>
      <c r="H10305" t="s">
        <v>20</v>
      </c>
      <c r="I10305" t="s">
        <v>20085</v>
      </c>
      <c r="J10305" t="str">
        <f>HYPERLINK("https://www.boe.es/gazeta/dias/1822/06/09/pdfs/GMD-1822-166.pdf#page=3","Abrir facsímil")</f>
        <v>Abrir facsímil</v>
      </c>
      <c r="K10305" t="s">
        <v>22</v>
      </c>
    </row>
    <row r="10306" spans="1:11" ht="42" customHeight="1">
      <c r="A10306" t="s">
        <v>20071</v>
      </c>
      <c r="B10306" t="s">
        <v>20071</v>
      </c>
      <c r="C10306" t="s">
        <v>42</v>
      </c>
      <c r="D10306" t="s">
        <v>17</v>
      </c>
      <c r="E10306" s="6">
        <v>-28320</v>
      </c>
      <c r="F10306" t="s">
        <v>700</v>
      </c>
      <c r="G10306" t="s">
        <v>19</v>
      </c>
      <c r="H10306" t="s">
        <v>20</v>
      </c>
      <c r="I10306" t="s">
        <v>20086</v>
      </c>
      <c r="J10306" t="str">
        <f>HYPERLINK("https://www.boe.es/gazeta/dias/1822/06/17/pdfs/GMD-1822-174.pdf#page=5","Abrir facsímil")</f>
        <v>Abrir facsímil</v>
      </c>
      <c r="K10306" t="s">
        <v>22</v>
      </c>
    </row>
    <row r="10307" spans="1:11" ht="42" customHeight="1">
      <c r="A10307" t="s">
        <v>20071</v>
      </c>
      <c r="B10307" t="s">
        <v>20071</v>
      </c>
      <c r="C10307" t="s">
        <v>42</v>
      </c>
      <c r="D10307" t="s">
        <v>17</v>
      </c>
      <c r="E10307" s="6">
        <v>-28317</v>
      </c>
      <c r="F10307" t="s">
        <v>546</v>
      </c>
      <c r="G10307" t="s">
        <v>63</v>
      </c>
      <c r="H10307" t="s">
        <v>20</v>
      </c>
      <c r="I10307" t="s">
        <v>20087</v>
      </c>
      <c r="J10307" t="str">
        <f>HYPERLINK("https://www.boe.es/gazeta/dias/1822/06/20/pdfs/GMD-1822-177.pdf#page=6","Abrir facsímil")</f>
        <v>Abrir facsímil</v>
      </c>
      <c r="K10307" t="s">
        <v>22</v>
      </c>
    </row>
    <row r="10308" spans="1:11" ht="42" customHeight="1">
      <c r="A10308" t="s">
        <v>20071</v>
      </c>
      <c r="B10308" t="s">
        <v>20071</v>
      </c>
      <c r="C10308" t="s">
        <v>42</v>
      </c>
      <c r="D10308" t="s">
        <v>17</v>
      </c>
      <c r="E10308" s="6">
        <v>-28310</v>
      </c>
      <c r="F10308" t="s">
        <v>241</v>
      </c>
      <c r="G10308" t="s">
        <v>57</v>
      </c>
      <c r="H10308" t="s">
        <v>20</v>
      </c>
      <c r="I10308" t="s">
        <v>20088</v>
      </c>
      <c r="J10308" t="str">
        <f>HYPERLINK("https://www.boe.es/gazeta/dias/1822/06/27/pdfs/GMD-1822-185.pdf#page=4","Abrir facsímil")</f>
        <v>Abrir facsímil</v>
      </c>
      <c r="K10308" t="s">
        <v>22</v>
      </c>
    </row>
    <row r="10309" spans="1:11" ht="42" customHeight="1">
      <c r="A10309" t="s">
        <v>20071</v>
      </c>
      <c r="B10309" t="s">
        <v>20071</v>
      </c>
      <c r="C10309" t="s">
        <v>42</v>
      </c>
      <c r="D10309" t="s">
        <v>17</v>
      </c>
      <c r="E10309" s="6">
        <v>-28307</v>
      </c>
      <c r="F10309" t="s">
        <v>555</v>
      </c>
      <c r="G10309" t="s">
        <v>63</v>
      </c>
      <c r="H10309" t="s">
        <v>20</v>
      </c>
      <c r="I10309" t="s">
        <v>20089</v>
      </c>
      <c r="J10309" t="str">
        <f>HYPERLINK("https://www.boe.es/gazeta/dias/1822/06/30/pdfs/GMD-1822-188.pdf#page=6","Abrir facsímil")</f>
        <v>Abrir facsímil</v>
      </c>
      <c r="K10309" t="s">
        <v>22</v>
      </c>
    </row>
    <row r="10310" spans="1:11" ht="42" customHeight="1">
      <c r="A10310" t="s">
        <v>20071</v>
      </c>
      <c r="B10310" t="s">
        <v>20071</v>
      </c>
      <c r="C10310" t="s">
        <v>61</v>
      </c>
      <c r="D10310" t="s">
        <v>17</v>
      </c>
      <c r="E10310" s="6">
        <v>-28169</v>
      </c>
      <c r="F10310" t="s">
        <v>2571</v>
      </c>
      <c r="G10310" t="s">
        <v>35</v>
      </c>
      <c r="H10310" t="s">
        <v>20</v>
      </c>
      <c r="I10310" t="s">
        <v>20090</v>
      </c>
      <c r="J10310" t="str">
        <f>HYPERLINK("https://www.boe.es/gazeta/dias/1822/11/15/pdfs/GMD-1822-335.pdf#page=2","Abrir facsímil")</f>
        <v>Abrir facsímil</v>
      </c>
      <c r="K10310" t="s">
        <v>22</v>
      </c>
    </row>
    <row r="10311" spans="1:11" ht="42" customHeight="1">
      <c r="A10311" t="s">
        <v>20071</v>
      </c>
      <c r="B10311" t="s">
        <v>20071</v>
      </c>
      <c r="C10311" t="s">
        <v>28</v>
      </c>
      <c r="D10311" t="s">
        <v>29</v>
      </c>
      <c r="E10311" s="6">
        <v>-28143</v>
      </c>
      <c r="F10311" t="s">
        <v>2967</v>
      </c>
      <c r="G10311" t="s">
        <v>6049</v>
      </c>
      <c r="H10311" t="s">
        <v>20</v>
      </c>
      <c r="I10311" t="s">
        <v>20091</v>
      </c>
      <c r="J10311" t="str">
        <f>HYPERLINK("https://www.boe.es/gazeta/dias/1822/12/11/pdfs/GMD-1822-361.pdf#page=3","Abrir facsímil")</f>
        <v>Abrir facsímil</v>
      </c>
      <c r="K10311" t="s">
        <v>22</v>
      </c>
    </row>
    <row r="10312" spans="1:11" ht="42" customHeight="1">
      <c r="A10312" t="s">
        <v>20071</v>
      </c>
      <c r="B10312" t="s">
        <v>20071</v>
      </c>
      <c r="C10312" t="s">
        <v>28</v>
      </c>
      <c r="D10312" t="s">
        <v>29</v>
      </c>
      <c r="E10312" s="6">
        <v>-28141</v>
      </c>
      <c r="F10312" t="s">
        <v>265</v>
      </c>
      <c r="G10312" t="s">
        <v>31</v>
      </c>
      <c r="H10312" t="s">
        <v>20</v>
      </c>
      <c r="I10312" t="s">
        <v>20092</v>
      </c>
      <c r="J10312" t="str">
        <f>HYPERLINK("https://www.boe.es/gazeta/dias/1822/12/13/pdfs/GMD-1822-363.pdf#page=3","Abrir facsímil")</f>
        <v>Abrir facsímil</v>
      </c>
      <c r="K10312" t="s">
        <v>22</v>
      </c>
    </row>
    <row r="10313" spans="1:11" ht="42" customHeight="1">
      <c r="A10313" t="s">
        <v>20071</v>
      </c>
      <c r="B10313" t="s">
        <v>20071</v>
      </c>
      <c r="C10313" t="s">
        <v>50</v>
      </c>
      <c r="D10313" t="s">
        <v>51</v>
      </c>
      <c r="E10313" s="6">
        <v>-28139</v>
      </c>
      <c r="F10313" t="s">
        <v>143</v>
      </c>
      <c r="G10313" t="s">
        <v>31</v>
      </c>
      <c r="H10313" t="s">
        <v>20</v>
      </c>
      <c r="I10313" t="s">
        <v>20093</v>
      </c>
      <c r="J10313" t="str">
        <f>HYPERLINK("https://www.boe.es/gazeta/dias/1822/12/15/pdfs/GMD-1822-365.pdf#page=3","Abrir facsímil")</f>
        <v>Abrir facsímil</v>
      </c>
      <c r="K10313" t="s">
        <v>22</v>
      </c>
    </row>
    <row r="10314" spans="1:11" ht="42" customHeight="1">
      <c r="A10314" t="s">
        <v>20071</v>
      </c>
      <c r="B10314" t="s">
        <v>20071</v>
      </c>
      <c r="C10314" t="s">
        <v>24</v>
      </c>
      <c r="D10314" t="s">
        <v>17</v>
      </c>
      <c r="E10314" s="6">
        <v>-28138</v>
      </c>
      <c r="F10314" t="s">
        <v>3542</v>
      </c>
      <c r="G10314" t="s">
        <v>31</v>
      </c>
      <c r="H10314" t="s">
        <v>20</v>
      </c>
      <c r="I10314" t="s">
        <v>20094</v>
      </c>
      <c r="J10314" t="str">
        <f>HYPERLINK("https://www.boe.es/gazeta/dias/1822/12/16/pdfs/GMD-1822-366.pdf#page=3","Abrir facsímil")</f>
        <v>Abrir facsímil</v>
      </c>
      <c r="K10314" t="s">
        <v>22</v>
      </c>
    </row>
    <row r="10315" spans="1:11" ht="42" customHeight="1">
      <c r="A10315" t="s">
        <v>20095</v>
      </c>
      <c r="B10315" t="s">
        <v>20095</v>
      </c>
      <c r="C10315" t="s">
        <v>50</v>
      </c>
      <c r="D10315" t="s">
        <v>51</v>
      </c>
      <c r="E10315" s="6">
        <v>-28399</v>
      </c>
      <c r="F10315" t="s">
        <v>476</v>
      </c>
      <c r="G10315" t="s">
        <v>35</v>
      </c>
      <c r="H10315" t="s">
        <v>20</v>
      </c>
      <c r="I10315" t="s">
        <v>20096</v>
      </c>
      <c r="J10315" t="str">
        <f>HYPERLINK("https://www.boe.es/gazeta/dias/1822/03/30/pdfs/GMD-1822-91.pdf#page=2","Abrir facsímil")</f>
        <v>Abrir facsímil</v>
      </c>
      <c r="K10315" t="s">
        <v>22</v>
      </c>
    </row>
    <row r="10316" spans="1:11" ht="42" customHeight="1">
      <c r="A10316" t="s">
        <v>20097</v>
      </c>
      <c r="B10316" t="s">
        <v>20097</v>
      </c>
      <c r="C10316" t="s">
        <v>71</v>
      </c>
      <c r="D10316" t="s">
        <v>17</v>
      </c>
      <c r="E10316" s="6">
        <v>-28386</v>
      </c>
      <c r="F10316" t="s">
        <v>2993</v>
      </c>
      <c r="G10316" t="s">
        <v>31</v>
      </c>
      <c r="H10316" t="s">
        <v>20</v>
      </c>
      <c r="I10316" t="s">
        <v>20098</v>
      </c>
      <c r="J10316" t="str">
        <f>HYPERLINK("https://www.boe.es/gazeta/dias/1822/04/12/pdfs/GMD-1822-104.pdf#page=3","Abrir facsímil")</f>
        <v>Abrir facsímil</v>
      </c>
      <c r="K10316" t="s">
        <v>22</v>
      </c>
    </row>
    <row r="10317" spans="1:11" ht="42" customHeight="1">
      <c r="A10317" t="s">
        <v>20099</v>
      </c>
      <c r="B10317" t="s">
        <v>20099</v>
      </c>
      <c r="C10317" t="s">
        <v>50</v>
      </c>
      <c r="D10317" t="s">
        <v>51</v>
      </c>
      <c r="E10317" s="6">
        <v>-28201</v>
      </c>
      <c r="F10317" t="s">
        <v>163</v>
      </c>
      <c r="G10317" t="s">
        <v>31</v>
      </c>
      <c r="H10317" t="s">
        <v>20</v>
      </c>
      <c r="I10317" t="s">
        <v>20100</v>
      </c>
      <c r="J10317" t="str">
        <f>HYPERLINK("https://www.boe.es/gazeta/dias/1822/10/14/pdfs/GMD-1822-301.pdf#page=3","Abrir facsímil")</f>
        <v>Abrir facsímil</v>
      </c>
      <c r="K10317" t="s">
        <v>22</v>
      </c>
    </row>
    <row r="10318" spans="1:11" ht="42" customHeight="1">
      <c r="A10318" t="s">
        <v>20101</v>
      </c>
      <c r="B10318" t="s">
        <v>20101</v>
      </c>
      <c r="C10318" t="s">
        <v>16</v>
      </c>
      <c r="D10318" t="s">
        <v>17</v>
      </c>
      <c r="E10318" s="6">
        <v>-28357</v>
      </c>
      <c r="F10318" t="s">
        <v>690</v>
      </c>
      <c r="G10318" t="s">
        <v>19</v>
      </c>
      <c r="H10318" t="s">
        <v>20</v>
      </c>
      <c r="I10318" t="s">
        <v>20102</v>
      </c>
      <c r="J10318" t="str">
        <f>HYPERLINK("https://www.boe.es/gazeta/dias/1822/05/11/pdfs/GMD-1822-133.pdf#page=5","Abrir facsímil")</f>
        <v>Abrir facsímil</v>
      </c>
      <c r="K10318" t="s">
        <v>22</v>
      </c>
    </row>
    <row r="10319" spans="1:11" ht="42" customHeight="1">
      <c r="A10319" t="s">
        <v>20103</v>
      </c>
      <c r="B10319" t="s">
        <v>20104</v>
      </c>
      <c r="C10319" t="s">
        <v>61</v>
      </c>
      <c r="D10319" t="s">
        <v>17</v>
      </c>
      <c r="E10319" s="6">
        <v>-28386</v>
      </c>
      <c r="F10319" t="s">
        <v>2993</v>
      </c>
      <c r="G10319" t="s">
        <v>35</v>
      </c>
      <c r="H10319" t="s">
        <v>20</v>
      </c>
      <c r="I10319" t="s">
        <v>20105</v>
      </c>
      <c r="J10319" t="str">
        <f>HYPERLINK("https://www.boe.es/gazeta/dias/1822/04/12/pdfs/GMD-1822-104.pdf#page=2","Abrir facsímil")</f>
        <v>Abrir facsímil</v>
      </c>
      <c r="K10319" t="s">
        <v>22</v>
      </c>
    </row>
    <row r="10320" spans="1:11" ht="42" customHeight="1">
      <c r="A10320" t="s">
        <v>20103</v>
      </c>
      <c r="B10320" t="s">
        <v>20104</v>
      </c>
      <c r="C10320" t="s">
        <v>71</v>
      </c>
      <c r="D10320" t="s">
        <v>17</v>
      </c>
      <c r="E10320" s="6">
        <v>-28385</v>
      </c>
      <c r="F10320" t="s">
        <v>484</v>
      </c>
      <c r="G10320" t="s">
        <v>31</v>
      </c>
      <c r="H10320" t="s">
        <v>20</v>
      </c>
      <c r="I10320" t="s">
        <v>20106</v>
      </c>
      <c r="J10320" t="str">
        <f>HYPERLINK("https://www.boe.es/gazeta/dias/1822/04/13/pdfs/GMD-1822-105.pdf#page=3","Abrir facsímil")</f>
        <v>Abrir facsímil</v>
      </c>
      <c r="K10320" t="s">
        <v>22</v>
      </c>
    </row>
    <row r="10321" spans="1:11" ht="42" customHeight="1">
      <c r="A10321" t="s">
        <v>20107</v>
      </c>
      <c r="B10321" t="s">
        <v>20108</v>
      </c>
      <c r="C10321" t="s">
        <v>50</v>
      </c>
      <c r="D10321" t="s">
        <v>51</v>
      </c>
      <c r="E10321" s="6">
        <v>-28473</v>
      </c>
      <c r="F10321" t="s">
        <v>2337</v>
      </c>
      <c r="G10321" t="s">
        <v>157</v>
      </c>
      <c r="H10321" t="s">
        <v>20</v>
      </c>
      <c r="I10321" t="s">
        <v>20109</v>
      </c>
      <c r="J10321" t="str">
        <f>HYPERLINK("https://www.boe.es/gazeta/dias/1822/01/15/pdfs/GMD-1822-15.pdf#page=8","Abrir facsímil")</f>
        <v>Abrir facsímil</v>
      </c>
      <c r="K10321" t="s">
        <v>22</v>
      </c>
    </row>
    <row r="10322" spans="1:11" ht="42" customHeight="1">
      <c r="A10322" t="s">
        <v>20110</v>
      </c>
      <c r="B10322" t="s">
        <v>20111</v>
      </c>
      <c r="C10322" t="s">
        <v>42</v>
      </c>
      <c r="D10322" t="s">
        <v>17</v>
      </c>
      <c r="E10322" s="6">
        <v>-28311</v>
      </c>
      <c r="F10322" t="s">
        <v>736</v>
      </c>
      <c r="G10322" t="s">
        <v>157</v>
      </c>
      <c r="H10322" t="s">
        <v>20</v>
      </c>
      <c r="I10322" t="s">
        <v>20112</v>
      </c>
      <c r="J10322" t="str">
        <f>HYPERLINK("https://www.boe.es/gazeta/dias/1822/06/26/pdfs/GMD-1822-184.pdf#page=8","Abrir facsímil")</f>
        <v>Abrir facsímil</v>
      </c>
      <c r="K10322" t="s">
        <v>22</v>
      </c>
    </row>
    <row r="10323" spans="1:11" ht="42" customHeight="1">
      <c r="A10323" t="s">
        <v>20113</v>
      </c>
      <c r="B10323" t="s">
        <v>20114</v>
      </c>
      <c r="C10323" t="s">
        <v>71</v>
      </c>
      <c r="D10323" t="s">
        <v>17</v>
      </c>
      <c r="E10323" s="6">
        <v>-28395</v>
      </c>
      <c r="F10323" t="s">
        <v>237</v>
      </c>
      <c r="G10323" t="s">
        <v>31</v>
      </c>
      <c r="H10323" t="s">
        <v>20</v>
      </c>
      <c r="I10323" t="s">
        <v>20115</v>
      </c>
      <c r="J10323" t="str">
        <f>HYPERLINK("https://www.boe.es/gazeta/dias/1822/04/03/pdfs/GMD-1822-95.pdf#page=3","Abrir facsímil")</f>
        <v>Abrir facsímil</v>
      </c>
      <c r="K10323" t="s">
        <v>22</v>
      </c>
    </row>
    <row r="10324" spans="1:11" ht="42" customHeight="1">
      <c r="A10324" t="s">
        <v>20116</v>
      </c>
      <c r="B10324" t="s">
        <v>20117</v>
      </c>
      <c r="C10324" t="s">
        <v>28</v>
      </c>
      <c r="D10324" t="s">
        <v>29</v>
      </c>
      <c r="E10324" s="6">
        <v>-28127</v>
      </c>
      <c r="F10324" t="s">
        <v>409</v>
      </c>
      <c r="G10324" t="s">
        <v>19</v>
      </c>
      <c r="H10324" t="s">
        <v>20</v>
      </c>
      <c r="I10324" t="s">
        <v>20118</v>
      </c>
      <c r="J10324" t="str">
        <f>HYPERLINK("https://www.boe.es/gazeta/dias/1822/12/27/pdfs/GMD-1822-377.pdf#page=5","Abrir facsímil")</f>
        <v>Abrir facsímil</v>
      </c>
      <c r="K10324" t="s">
        <v>22</v>
      </c>
    </row>
    <row r="10325" spans="1:11" ht="42" customHeight="1">
      <c r="A10325" t="s">
        <v>20119</v>
      </c>
      <c r="B10325" t="s">
        <v>20120</v>
      </c>
      <c r="C10325" t="s">
        <v>42</v>
      </c>
      <c r="D10325" t="s">
        <v>17</v>
      </c>
      <c r="E10325" s="6">
        <v>-28382</v>
      </c>
      <c r="F10325" t="s">
        <v>973</v>
      </c>
      <c r="G10325" t="s">
        <v>63</v>
      </c>
      <c r="H10325" t="s">
        <v>20</v>
      </c>
      <c r="I10325" t="s">
        <v>20121</v>
      </c>
      <c r="J10325" t="str">
        <f>HYPERLINK("https://www.boe.es/gazeta/dias/1822/04/16/pdfs/GMD-1822-108.pdf#page=6","Abrir facsímil")</f>
        <v>Abrir facsímil</v>
      </c>
      <c r="K10325" t="s">
        <v>22</v>
      </c>
    </row>
    <row r="10326" spans="1:11" ht="42" customHeight="1">
      <c r="A10326" t="s">
        <v>20119</v>
      </c>
      <c r="B10326" t="s">
        <v>20120</v>
      </c>
      <c r="C10326" t="s">
        <v>61</v>
      </c>
      <c r="D10326" t="s">
        <v>17</v>
      </c>
      <c r="E10326" s="6">
        <v>-28148</v>
      </c>
      <c r="F10326" t="s">
        <v>1909</v>
      </c>
      <c r="G10326" t="s">
        <v>63</v>
      </c>
      <c r="H10326" t="s">
        <v>20</v>
      </c>
      <c r="I10326" t="s">
        <v>20122</v>
      </c>
      <c r="J10326" t="str">
        <f>HYPERLINK("https://www.boe.es/gazeta/dias/1822/12/06/pdfs/GMD-1822-356.pdf#page=6","Abrir facsímil")</f>
        <v>Abrir facsímil</v>
      </c>
      <c r="K10326" t="s">
        <v>22</v>
      </c>
    </row>
    <row r="10327" spans="1:11" ht="42" customHeight="1">
      <c r="A10327" t="s">
        <v>20123</v>
      </c>
      <c r="B10327" t="s">
        <v>20124</v>
      </c>
      <c r="C10327" t="s">
        <v>50</v>
      </c>
      <c r="D10327" t="s">
        <v>51</v>
      </c>
      <c r="E10327" s="6">
        <v>-28185</v>
      </c>
      <c r="F10327" t="s">
        <v>933</v>
      </c>
      <c r="G10327" t="s">
        <v>57</v>
      </c>
      <c r="H10327" t="s">
        <v>20</v>
      </c>
      <c r="I10327" t="s">
        <v>20125</v>
      </c>
      <c r="J10327" t="str">
        <f>HYPERLINK("https://www.boe.es/gazeta/dias/1822/10/30/pdfs/GMD-1822-317.pdf#page=4","Abrir facsímil")</f>
        <v>Abrir facsímil</v>
      </c>
      <c r="K10327" t="s">
        <v>22</v>
      </c>
    </row>
    <row r="10328" spans="1:11" ht="42" customHeight="1">
      <c r="A10328" t="s">
        <v>20126</v>
      </c>
      <c r="B10328" t="s">
        <v>20127</v>
      </c>
      <c r="C10328" t="s">
        <v>42</v>
      </c>
      <c r="D10328" t="s">
        <v>17</v>
      </c>
      <c r="E10328" s="6">
        <v>-28124</v>
      </c>
      <c r="F10328" t="s">
        <v>301</v>
      </c>
      <c r="G10328" t="s">
        <v>63</v>
      </c>
      <c r="H10328" t="s">
        <v>20</v>
      </c>
      <c r="I10328" t="s">
        <v>20128</v>
      </c>
      <c r="J10328" t="str">
        <f>HYPERLINK("https://www.boe.es/gazeta/dias/1822/12/30/pdfs/GMD-1822-380.pdf#page=6","Abrir facsímil")</f>
        <v>Abrir facsímil</v>
      </c>
      <c r="K10328" t="s">
        <v>22</v>
      </c>
    </row>
    <row r="10329" spans="1:11" ht="42" customHeight="1">
      <c r="A10329" t="s">
        <v>20129</v>
      </c>
      <c r="B10329" t="s">
        <v>20130</v>
      </c>
      <c r="C10329" t="s">
        <v>50</v>
      </c>
      <c r="D10329" t="s">
        <v>51</v>
      </c>
      <c r="E10329" s="6">
        <v>-28265</v>
      </c>
      <c r="F10329" t="s">
        <v>1263</v>
      </c>
      <c r="G10329" t="s">
        <v>57</v>
      </c>
      <c r="H10329" t="s">
        <v>20</v>
      </c>
      <c r="I10329" t="s">
        <v>20131</v>
      </c>
      <c r="J10329" t="str">
        <f>HYPERLINK("https://www.boe.es/gazeta/dias/1822/08/11/pdfs/GMD-1822-235.pdf#page=4","Abrir facsímil")</f>
        <v>Abrir facsímil</v>
      </c>
      <c r="K10329" t="s">
        <v>22</v>
      </c>
    </row>
    <row r="10330" spans="1:11" ht="42" customHeight="1">
      <c r="A10330" t="s">
        <v>20132</v>
      </c>
      <c r="B10330" t="s">
        <v>20133</v>
      </c>
      <c r="C10330" t="s">
        <v>50</v>
      </c>
      <c r="D10330" t="s">
        <v>51</v>
      </c>
      <c r="E10330" s="6">
        <v>-28265</v>
      </c>
      <c r="F10330" t="s">
        <v>1263</v>
      </c>
      <c r="G10330" t="s">
        <v>57</v>
      </c>
      <c r="H10330" t="s">
        <v>45</v>
      </c>
      <c r="I10330" t="s">
        <v>20134</v>
      </c>
      <c r="J10330" t="str">
        <f>HYPERLINK("https://www.boe.es/gazeta/dias/1822/08/11/pdfs/GMD-1822-235.pdf#page=4","Abrir facsímil")</f>
        <v>Abrir facsímil</v>
      </c>
      <c r="K10330" t="s">
        <v>47</v>
      </c>
    </row>
    <row r="10331" spans="1:11" ht="42" customHeight="1">
      <c r="A10331" t="s">
        <v>20135</v>
      </c>
      <c r="B10331" t="s">
        <v>20135</v>
      </c>
      <c r="C10331" t="s">
        <v>28</v>
      </c>
      <c r="D10331" t="s">
        <v>29</v>
      </c>
      <c r="E10331" s="6">
        <v>-28258</v>
      </c>
      <c r="F10331" t="s">
        <v>88</v>
      </c>
      <c r="G10331" t="s">
        <v>35</v>
      </c>
      <c r="H10331" t="s">
        <v>20</v>
      </c>
      <c r="I10331" t="s">
        <v>20136</v>
      </c>
      <c r="J10331" t="str">
        <f>HYPERLINK("https://www.boe.es/gazeta/dias/1822/08/18/pdfs/GMD-1822-242.pdf#page=2","Abrir facsímil")</f>
        <v>Abrir facsímil</v>
      </c>
      <c r="K10331" t="s">
        <v>22</v>
      </c>
    </row>
    <row r="10332" spans="1:11" ht="42" customHeight="1">
      <c r="A10332" t="s">
        <v>20137</v>
      </c>
      <c r="B10332" t="s">
        <v>20137</v>
      </c>
      <c r="C10332" t="s">
        <v>71</v>
      </c>
      <c r="D10332" t="s">
        <v>17</v>
      </c>
      <c r="E10332" s="6">
        <v>-28478</v>
      </c>
      <c r="F10332" t="s">
        <v>1093</v>
      </c>
      <c r="G10332" t="s">
        <v>35</v>
      </c>
      <c r="H10332" t="s">
        <v>20</v>
      </c>
      <c r="I10332" t="s">
        <v>20138</v>
      </c>
      <c r="J10332" t="str">
        <f>HYPERLINK("https://www.boe.es/gazeta/dias/1822/01/10/pdfs/GMD-1822-10.pdf#page=2","Abrir facsímil")</f>
        <v>Abrir facsímil</v>
      </c>
      <c r="K10332" t="s">
        <v>22</v>
      </c>
    </row>
    <row r="10333" spans="1:11" ht="42" customHeight="1">
      <c r="A10333" t="s">
        <v>20137</v>
      </c>
      <c r="B10333" t="s">
        <v>20137</v>
      </c>
      <c r="C10333" t="s">
        <v>71</v>
      </c>
      <c r="D10333" t="s">
        <v>17</v>
      </c>
      <c r="E10333" s="6">
        <v>-28403</v>
      </c>
      <c r="F10333" t="s">
        <v>471</v>
      </c>
      <c r="G10333" t="s">
        <v>35</v>
      </c>
      <c r="H10333" t="s">
        <v>20</v>
      </c>
      <c r="I10333" t="s">
        <v>20139</v>
      </c>
      <c r="J10333" t="str">
        <f>HYPERLINK("https://www.boe.es/gazeta/dias/1822/03/26/pdfs/GMD-1822-87.pdf#page=2","Abrir facsímil")</f>
        <v>Abrir facsímil</v>
      </c>
      <c r="K10333" t="s">
        <v>22</v>
      </c>
    </row>
    <row r="10334" spans="1:11" ht="42" customHeight="1">
      <c r="A10334" t="s">
        <v>20137</v>
      </c>
      <c r="B10334" t="s">
        <v>20137</v>
      </c>
      <c r="C10334" t="s">
        <v>50</v>
      </c>
      <c r="D10334" t="s">
        <v>51</v>
      </c>
      <c r="E10334" s="6">
        <v>-28318</v>
      </c>
      <c r="F10334" t="s">
        <v>397</v>
      </c>
      <c r="G10334" t="s">
        <v>19</v>
      </c>
      <c r="H10334" t="s">
        <v>20</v>
      </c>
      <c r="I10334" t="s">
        <v>20140</v>
      </c>
      <c r="J10334" t="str">
        <f>HYPERLINK("https://www.boe.es/gazeta/dias/1822/06/19/pdfs/GMD-1822-176.pdf#page=5","Abrir facsímil")</f>
        <v>Abrir facsímil</v>
      </c>
      <c r="K10334" t="s">
        <v>22</v>
      </c>
    </row>
    <row r="10335" spans="1:11" ht="42" customHeight="1">
      <c r="A10335" t="s">
        <v>20137</v>
      </c>
      <c r="B10335" t="s">
        <v>20137</v>
      </c>
      <c r="C10335" t="s">
        <v>50</v>
      </c>
      <c r="D10335" t="s">
        <v>51</v>
      </c>
      <c r="E10335" s="6">
        <v>-28188</v>
      </c>
      <c r="F10335" t="s">
        <v>578</v>
      </c>
      <c r="G10335" t="s">
        <v>35</v>
      </c>
      <c r="H10335" t="s">
        <v>20</v>
      </c>
      <c r="I10335" t="s">
        <v>20141</v>
      </c>
      <c r="J10335" t="str">
        <f>HYPERLINK("https://www.boe.es/gazeta/dias/1822/10/27/pdfs/GMD-1822-314.pdf#page=2","Abrir facsímil")</f>
        <v>Abrir facsímil</v>
      </c>
      <c r="K10335" t="s">
        <v>22</v>
      </c>
    </row>
    <row r="10336" spans="1:11" ht="42" customHeight="1">
      <c r="A10336" t="s">
        <v>20142</v>
      </c>
      <c r="B10336" t="s">
        <v>20143</v>
      </c>
      <c r="C10336" t="s">
        <v>28</v>
      </c>
      <c r="D10336" t="s">
        <v>29</v>
      </c>
      <c r="E10336" s="6">
        <v>-28145</v>
      </c>
      <c r="F10336" t="s">
        <v>1350</v>
      </c>
      <c r="G10336" t="s">
        <v>63</v>
      </c>
      <c r="H10336" t="s">
        <v>20</v>
      </c>
      <c r="I10336" t="s">
        <v>20144</v>
      </c>
      <c r="J10336" t="str">
        <f>HYPERLINK("https://www.boe.es/gazeta/dias/1822/12/09/pdfs/GMD-1822-359.pdf#page=6","Abrir facsímil")</f>
        <v>Abrir facsímil</v>
      </c>
      <c r="K10336" t="s">
        <v>22</v>
      </c>
    </row>
    <row r="10337" spans="1:11" ht="42" customHeight="1">
      <c r="A10337" t="s">
        <v>20145</v>
      </c>
      <c r="B10337" t="s">
        <v>20145</v>
      </c>
      <c r="C10337" t="s">
        <v>50</v>
      </c>
      <c r="D10337" t="s">
        <v>51</v>
      </c>
      <c r="E10337" s="6">
        <v>-28410</v>
      </c>
      <c r="F10337" t="s">
        <v>966</v>
      </c>
      <c r="G10337" t="s">
        <v>57</v>
      </c>
      <c r="H10337" t="s">
        <v>20</v>
      </c>
      <c r="I10337" t="s">
        <v>20146</v>
      </c>
      <c r="J10337" t="str">
        <f>HYPERLINK("https://www.boe.es/gazeta/dias/1822/03/19/pdfs/GMD-1822-80.pdf#page=4","Abrir facsímil")</f>
        <v>Abrir facsímil</v>
      </c>
      <c r="K10337" t="s">
        <v>22</v>
      </c>
    </row>
    <row r="10338" spans="1:11" ht="42" customHeight="1">
      <c r="A10338" t="s">
        <v>20147</v>
      </c>
      <c r="B10338" t="s">
        <v>20147</v>
      </c>
      <c r="C10338" t="s">
        <v>42</v>
      </c>
      <c r="D10338" t="s">
        <v>17</v>
      </c>
      <c r="E10338" s="6">
        <v>-28147</v>
      </c>
      <c r="F10338" t="s">
        <v>1611</v>
      </c>
      <c r="G10338" t="s">
        <v>31</v>
      </c>
      <c r="H10338" t="s">
        <v>20</v>
      </c>
      <c r="I10338" t="s">
        <v>20148</v>
      </c>
      <c r="J10338" t="str">
        <f>HYPERLINK("https://www.boe.es/gazeta/dias/1822/12/07/pdfs/GMD-1822-357.pdf#page=3","Abrir facsímil")</f>
        <v>Abrir facsímil</v>
      </c>
      <c r="K10338" t="s">
        <v>22</v>
      </c>
    </row>
    <row r="10339" spans="1:11" ht="42" customHeight="1">
      <c r="A10339" t="s">
        <v>20149</v>
      </c>
      <c r="B10339" t="s">
        <v>20150</v>
      </c>
      <c r="C10339" t="s">
        <v>28</v>
      </c>
      <c r="D10339" t="s">
        <v>29</v>
      </c>
      <c r="E10339" s="6">
        <v>-28366</v>
      </c>
      <c r="F10339" t="s">
        <v>120</v>
      </c>
      <c r="G10339" t="s">
        <v>19</v>
      </c>
      <c r="H10339" t="s">
        <v>20</v>
      </c>
      <c r="I10339" t="s">
        <v>20151</v>
      </c>
      <c r="J10339" t="str">
        <f>HYPERLINK("https://www.boe.es/gazeta/dias/1822/05/02/pdfs/GMD-1822-124.pdf#page=5","Abrir facsímil")</f>
        <v>Abrir facsímil</v>
      </c>
      <c r="K10339" t="s">
        <v>22</v>
      </c>
    </row>
    <row r="10340" spans="1:11" ht="42" customHeight="1">
      <c r="A10340" t="s">
        <v>20152</v>
      </c>
      <c r="B10340" t="s">
        <v>20153</v>
      </c>
      <c r="C10340" t="s">
        <v>61</v>
      </c>
      <c r="D10340" t="s">
        <v>17</v>
      </c>
      <c r="E10340" s="6">
        <v>-28384</v>
      </c>
      <c r="F10340" t="s">
        <v>258</v>
      </c>
      <c r="G10340" t="s">
        <v>63</v>
      </c>
      <c r="H10340" t="s">
        <v>20</v>
      </c>
      <c r="I10340" t="s">
        <v>20154</v>
      </c>
      <c r="J10340" t="str">
        <f>HYPERLINK("https://www.boe.es/gazeta/dias/1822/04/14/pdfs/GMD-1822-106.pdf#page=6","Abrir facsímil")</f>
        <v>Abrir facsímil</v>
      </c>
      <c r="K10340" t="s">
        <v>22</v>
      </c>
    </row>
    <row r="10341" spans="1:11" ht="42" customHeight="1">
      <c r="A10341" t="s">
        <v>20155</v>
      </c>
      <c r="B10341" t="s">
        <v>20156</v>
      </c>
      <c r="C10341" t="s">
        <v>50</v>
      </c>
      <c r="D10341" t="s">
        <v>51</v>
      </c>
      <c r="E10341" s="6">
        <v>-28374</v>
      </c>
      <c r="F10341" t="s">
        <v>171</v>
      </c>
      <c r="G10341" t="s">
        <v>57</v>
      </c>
      <c r="H10341" t="s">
        <v>45</v>
      </c>
      <c r="I10341" t="s">
        <v>20157</v>
      </c>
      <c r="J10341" t="str">
        <f>HYPERLINK("https://www.boe.es/gazeta/dias/1822/04/24/pdfs/GMD-1822-116.pdf#page=4","Abrir facsímil")</f>
        <v>Abrir facsímil</v>
      </c>
      <c r="K10341" t="s">
        <v>47</v>
      </c>
    </row>
    <row r="10342" spans="1:11" ht="42" customHeight="1">
      <c r="A10342" t="s">
        <v>20158</v>
      </c>
      <c r="B10342" t="s">
        <v>20158</v>
      </c>
      <c r="C10342" t="s">
        <v>42</v>
      </c>
      <c r="D10342" t="s">
        <v>17</v>
      </c>
      <c r="E10342" s="6">
        <v>-28188</v>
      </c>
      <c r="F10342" t="s">
        <v>578</v>
      </c>
      <c r="G10342" t="s">
        <v>31</v>
      </c>
      <c r="H10342" t="s">
        <v>20</v>
      </c>
      <c r="I10342" t="s">
        <v>20159</v>
      </c>
      <c r="J10342" t="str">
        <f>HYPERLINK("https://www.boe.es/gazeta/dias/1822/10/27/pdfs/GMD-1822-314.pdf#page=3","Abrir facsímil")</f>
        <v>Abrir facsímil</v>
      </c>
      <c r="K10342" t="s">
        <v>22</v>
      </c>
    </row>
    <row r="10343" spans="1:11" ht="42" customHeight="1">
      <c r="A10343" t="s">
        <v>20160</v>
      </c>
      <c r="B10343" t="s">
        <v>20160</v>
      </c>
      <c r="C10343" t="s">
        <v>28</v>
      </c>
      <c r="D10343" t="s">
        <v>29</v>
      </c>
      <c r="E10343" s="6">
        <v>-28192</v>
      </c>
      <c r="F10343" t="s">
        <v>43</v>
      </c>
      <c r="G10343" t="s">
        <v>63</v>
      </c>
      <c r="H10343" t="s">
        <v>20</v>
      </c>
      <c r="I10343" t="s">
        <v>20161</v>
      </c>
      <c r="J10343" t="str">
        <f>HYPERLINK("https://www.boe.es/gazeta/dias/1822/10/23/pdfs/GMD-1822-310.pdf#page=6","Abrir facsímil")</f>
        <v>Abrir facsímil</v>
      </c>
      <c r="K10343" t="s">
        <v>22</v>
      </c>
    </row>
    <row r="10344" spans="1:11" ht="42" customHeight="1">
      <c r="A10344" t="s">
        <v>20162</v>
      </c>
      <c r="B10344" t="s">
        <v>20162</v>
      </c>
      <c r="C10344" t="s">
        <v>50</v>
      </c>
      <c r="D10344" t="s">
        <v>51</v>
      </c>
      <c r="E10344" s="6">
        <v>-28352</v>
      </c>
      <c r="F10344" t="s">
        <v>1575</v>
      </c>
      <c r="G10344" t="s">
        <v>19</v>
      </c>
      <c r="H10344" t="s">
        <v>20</v>
      </c>
      <c r="I10344" t="s">
        <v>20163</v>
      </c>
      <c r="J10344" t="str">
        <f>HYPERLINK("https://www.boe.es/gazeta/dias/1822/05/16/pdfs/GMD-1822-138.pdf#page=5","Abrir facsímil")</f>
        <v>Abrir facsímil</v>
      </c>
      <c r="K10344" t="s">
        <v>22</v>
      </c>
    </row>
    <row r="10345" spans="1:11" ht="42" customHeight="1">
      <c r="A10345" t="s">
        <v>20162</v>
      </c>
      <c r="B10345" t="s">
        <v>20162</v>
      </c>
      <c r="C10345" t="s">
        <v>42</v>
      </c>
      <c r="D10345" t="s">
        <v>17</v>
      </c>
      <c r="E10345" s="6">
        <v>-28323</v>
      </c>
      <c r="F10345" t="s">
        <v>116</v>
      </c>
      <c r="G10345" t="s">
        <v>19</v>
      </c>
      <c r="H10345" t="s">
        <v>20</v>
      </c>
      <c r="I10345" t="s">
        <v>20164</v>
      </c>
      <c r="J10345" t="str">
        <f>HYPERLINK("https://www.boe.es/gazeta/dias/1822/06/14/pdfs/GMD-1822-171.pdf#page=5","Abrir facsímil")</f>
        <v>Abrir facsímil</v>
      </c>
      <c r="K10345" t="s">
        <v>22</v>
      </c>
    </row>
    <row r="10346" spans="1:11" ht="42" customHeight="1">
      <c r="A10346" t="s">
        <v>20162</v>
      </c>
      <c r="B10346" t="s">
        <v>20162</v>
      </c>
      <c r="C10346" t="s">
        <v>71</v>
      </c>
      <c r="D10346" t="s">
        <v>17</v>
      </c>
      <c r="E10346" s="6">
        <v>-28182</v>
      </c>
      <c r="F10346" t="s">
        <v>585</v>
      </c>
      <c r="G10346" t="s">
        <v>31</v>
      </c>
      <c r="H10346" t="s">
        <v>20</v>
      </c>
      <c r="I10346" t="s">
        <v>20165</v>
      </c>
      <c r="J10346" t="str">
        <f>HYPERLINK("https://www.boe.es/gazeta/dias/1822/11/02/pdfs/GMD-1822-320.pdf#page=3","Abrir facsímil")</f>
        <v>Abrir facsímil</v>
      </c>
      <c r="K10346" t="s">
        <v>22</v>
      </c>
    </row>
    <row r="10347" spans="1:11" ht="42" customHeight="1">
      <c r="A10347" t="s">
        <v>20162</v>
      </c>
      <c r="B10347" t="s">
        <v>20162</v>
      </c>
      <c r="C10347" t="s">
        <v>50</v>
      </c>
      <c r="D10347" t="s">
        <v>51</v>
      </c>
      <c r="E10347" s="6">
        <v>-28171</v>
      </c>
      <c r="F10347" t="s">
        <v>1075</v>
      </c>
      <c r="G10347" t="s">
        <v>35</v>
      </c>
      <c r="H10347" t="s">
        <v>20</v>
      </c>
      <c r="I10347" t="s">
        <v>20166</v>
      </c>
      <c r="J10347" t="str">
        <f>HYPERLINK("https://www.boe.es/gazeta/dias/1822/11/13/pdfs/GMD-1822-333.pdf#page=2","Abrir facsímil")</f>
        <v>Abrir facsímil</v>
      </c>
      <c r="K10347" t="s">
        <v>22</v>
      </c>
    </row>
    <row r="10348" spans="1:11" ht="42" customHeight="1">
      <c r="A10348" t="s">
        <v>20162</v>
      </c>
      <c r="B10348" t="s">
        <v>20162</v>
      </c>
      <c r="C10348" t="s">
        <v>28</v>
      </c>
      <c r="D10348" t="s">
        <v>29</v>
      </c>
      <c r="E10348" s="6">
        <v>-28166</v>
      </c>
      <c r="F10348" t="s">
        <v>942</v>
      </c>
      <c r="G10348" t="s">
        <v>31</v>
      </c>
      <c r="H10348" t="s">
        <v>20</v>
      </c>
      <c r="I10348" t="s">
        <v>20167</v>
      </c>
      <c r="J10348" t="str">
        <f>HYPERLINK("https://www.boe.es/gazeta/dias/1822/11/18/pdfs/GMD-1822-338.pdf#page=3","Abrir facsímil")</f>
        <v>Abrir facsímil</v>
      </c>
      <c r="K10348" t="s">
        <v>22</v>
      </c>
    </row>
    <row r="10349" spans="1:11" ht="42" customHeight="1">
      <c r="A10349" t="s">
        <v>20168</v>
      </c>
      <c r="B10349" t="s">
        <v>20168</v>
      </c>
      <c r="C10349" t="s">
        <v>28</v>
      </c>
      <c r="D10349" t="s">
        <v>29</v>
      </c>
      <c r="E10349" s="6">
        <v>-28432</v>
      </c>
      <c r="F10349" t="s">
        <v>195</v>
      </c>
      <c r="G10349" t="s">
        <v>31</v>
      </c>
      <c r="H10349" t="s">
        <v>20</v>
      </c>
      <c r="I10349" t="s">
        <v>20169</v>
      </c>
      <c r="J10349" t="str">
        <f>HYPERLINK("https://www.boe.es/gazeta/dias/1822/02/25/pdfs/GMD-1822-57.pdf#page=3","Abrir facsímil")</f>
        <v>Abrir facsímil</v>
      </c>
      <c r="K10349" t="s">
        <v>22</v>
      </c>
    </row>
    <row r="10350" spans="1:11" ht="42" customHeight="1">
      <c r="A10350" t="s">
        <v>20170</v>
      </c>
      <c r="B10350" t="s">
        <v>20170</v>
      </c>
      <c r="C10350" t="s">
        <v>16</v>
      </c>
      <c r="D10350" t="s">
        <v>17</v>
      </c>
      <c r="E10350" s="6">
        <v>-28352</v>
      </c>
      <c r="F10350" t="s">
        <v>1575</v>
      </c>
      <c r="G10350" t="s">
        <v>44</v>
      </c>
      <c r="H10350" t="s">
        <v>20</v>
      </c>
      <c r="I10350" t="s">
        <v>20171</v>
      </c>
      <c r="J10350" t="str">
        <f>HYPERLINK("https://www.boe.es/gazeta/dias/1822/05/16/pdfs/GMD-1822-138.pdf#page=1","Abrir facsímil")</f>
        <v>Abrir facsímil</v>
      </c>
      <c r="K10350" t="s">
        <v>22</v>
      </c>
    </row>
    <row r="10351" spans="1:11" ht="42" customHeight="1">
      <c r="A10351" t="s">
        <v>20172</v>
      </c>
      <c r="B10351" t="s">
        <v>20172</v>
      </c>
      <c r="C10351" t="s">
        <v>50</v>
      </c>
      <c r="D10351" t="s">
        <v>51</v>
      </c>
      <c r="E10351" s="6">
        <v>-28313</v>
      </c>
      <c r="F10351" t="s">
        <v>315</v>
      </c>
      <c r="G10351" t="s">
        <v>31</v>
      </c>
      <c r="H10351" t="s">
        <v>20</v>
      </c>
      <c r="I10351" t="s">
        <v>20173</v>
      </c>
      <c r="J10351" t="str">
        <f>HYPERLINK("https://www.boe.es/gazeta/dias/1822/06/24/pdfs/GMD-1822-182.pdf#page=3","Abrir facsímil")</f>
        <v>Abrir facsímil</v>
      </c>
      <c r="K10351" t="s">
        <v>22</v>
      </c>
    </row>
    <row r="10352" spans="1:11" ht="42" customHeight="1">
      <c r="A10352" t="s">
        <v>20174</v>
      </c>
      <c r="B10352" t="s">
        <v>20174</v>
      </c>
      <c r="C10352" t="s">
        <v>28</v>
      </c>
      <c r="D10352" t="s">
        <v>29</v>
      </c>
      <c r="E10352" s="6">
        <v>-28190</v>
      </c>
      <c r="F10352" t="s">
        <v>576</v>
      </c>
      <c r="G10352" t="s">
        <v>44</v>
      </c>
      <c r="H10352" t="s">
        <v>20</v>
      </c>
      <c r="I10352" t="s">
        <v>20175</v>
      </c>
      <c r="J10352" t="str">
        <f>HYPERLINK("https://www.boe.es/gazeta/dias/1822/10/25/pdfs/GMD-1822-312.pdf#page=1","Abrir facsímil")</f>
        <v>Abrir facsímil</v>
      </c>
      <c r="K10352" t="s">
        <v>22</v>
      </c>
    </row>
    <row r="10353" spans="1:11" ht="42" customHeight="1">
      <c r="A10353" t="s">
        <v>20176</v>
      </c>
      <c r="B10353" t="s">
        <v>20176</v>
      </c>
      <c r="C10353" t="s">
        <v>28</v>
      </c>
      <c r="D10353" t="s">
        <v>29</v>
      </c>
      <c r="E10353" s="6">
        <v>-28443</v>
      </c>
      <c r="F10353" t="s">
        <v>668</v>
      </c>
      <c r="G10353" t="s">
        <v>35</v>
      </c>
      <c r="H10353" t="s">
        <v>20</v>
      </c>
      <c r="I10353" t="s">
        <v>20177</v>
      </c>
      <c r="J10353" t="str">
        <f>HYPERLINK("https://www.boe.es/gazeta/dias/1822/02/14/pdfs/GMD-1822-45.pdf#page=2","Abrir facsímil")</f>
        <v>Abrir facsímil</v>
      </c>
      <c r="K10353" t="s">
        <v>22</v>
      </c>
    </row>
    <row r="10354" spans="1:11" ht="42" customHeight="1">
      <c r="A10354" t="s">
        <v>20178</v>
      </c>
      <c r="B10354" t="s">
        <v>20179</v>
      </c>
      <c r="C10354" t="s">
        <v>16</v>
      </c>
      <c r="D10354" t="s">
        <v>17</v>
      </c>
      <c r="E10354" s="6">
        <v>-28380</v>
      </c>
      <c r="F10354" t="s">
        <v>492</v>
      </c>
      <c r="G10354" t="s">
        <v>63</v>
      </c>
      <c r="H10354" t="s">
        <v>20</v>
      </c>
      <c r="I10354" t="s">
        <v>20180</v>
      </c>
      <c r="J10354" t="str">
        <f>HYPERLINK("https://www.boe.es/gazeta/dias/1822/04/18/pdfs/GMD-1822-110.pdf#page=6","Abrir facsímil")</f>
        <v>Abrir facsímil</v>
      </c>
      <c r="K10354" t="s">
        <v>22</v>
      </c>
    </row>
    <row r="10355" spans="1:11" ht="42" customHeight="1">
      <c r="A10355" t="s">
        <v>20181</v>
      </c>
      <c r="B10355" t="s">
        <v>20182</v>
      </c>
      <c r="C10355" t="s">
        <v>42</v>
      </c>
      <c r="D10355" t="s">
        <v>17</v>
      </c>
      <c r="E10355" s="6">
        <v>-28423</v>
      </c>
      <c r="F10355" t="s">
        <v>441</v>
      </c>
      <c r="G10355" t="s">
        <v>35</v>
      </c>
      <c r="H10355" t="s">
        <v>45</v>
      </c>
      <c r="I10355" t="s">
        <v>20183</v>
      </c>
      <c r="J10355" t="str">
        <f>HYPERLINK("https://www.boe.es/gazeta/dias/1822/03/06/pdfs/GMD-1822-67.pdf#page=2","Abrir facsímil")</f>
        <v>Abrir facsímil</v>
      </c>
      <c r="K10355" t="s">
        <v>47</v>
      </c>
    </row>
    <row r="10356" spans="1:11" ht="42" customHeight="1">
      <c r="A10356" t="s">
        <v>20184</v>
      </c>
      <c r="B10356" t="s">
        <v>20185</v>
      </c>
      <c r="C10356" t="s">
        <v>71</v>
      </c>
      <c r="D10356" t="s">
        <v>17</v>
      </c>
      <c r="E10356" s="6">
        <v>-28415</v>
      </c>
      <c r="F10356" t="s">
        <v>77</v>
      </c>
      <c r="G10356" t="s">
        <v>19</v>
      </c>
      <c r="H10356" t="s">
        <v>45</v>
      </c>
      <c r="I10356" t="s">
        <v>20186</v>
      </c>
      <c r="J10356" t="str">
        <f>HYPERLINK("https://www.boe.es/gazeta/dias/1822/03/14/pdfs/GMD-1822-75.pdf#page=5","Abrir facsímil")</f>
        <v>Abrir facsímil</v>
      </c>
      <c r="K10356" t="s">
        <v>47</v>
      </c>
    </row>
    <row r="10357" spans="1:11" ht="42" customHeight="1">
      <c r="A10357" t="s">
        <v>20187</v>
      </c>
      <c r="B10357" t="s">
        <v>20187</v>
      </c>
      <c r="C10357" t="s">
        <v>42</v>
      </c>
      <c r="D10357" t="s">
        <v>17</v>
      </c>
      <c r="E10357" s="6">
        <v>-28478</v>
      </c>
      <c r="F10357" t="s">
        <v>1093</v>
      </c>
      <c r="G10357" t="s">
        <v>35</v>
      </c>
      <c r="H10357" t="s">
        <v>20</v>
      </c>
      <c r="I10357" t="s">
        <v>20188</v>
      </c>
      <c r="J10357" t="str">
        <f>HYPERLINK("https://www.boe.es/gazeta/dias/1822/01/10/pdfs/GMD-1822-10.pdf#page=2","Abrir facsímil")</f>
        <v>Abrir facsímil</v>
      </c>
      <c r="K10357" t="s">
        <v>22</v>
      </c>
    </row>
    <row r="10358" spans="1:11" ht="42" customHeight="1">
      <c r="A10358" t="s">
        <v>20187</v>
      </c>
      <c r="B10358" t="s">
        <v>20187</v>
      </c>
      <c r="C10358" t="s">
        <v>28</v>
      </c>
      <c r="D10358" t="s">
        <v>29</v>
      </c>
      <c r="E10358" s="6">
        <v>-28443</v>
      </c>
      <c r="F10358" t="s">
        <v>668</v>
      </c>
      <c r="G10358" t="s">
        <v>31</v>
      </c>
      <c r="H10358" t="s">
        <v>20</v>
      </c>
      <c r="I10358" t="s">
        <v>20189</v>
      </c>
      <c r="J10358" t="str">
        <f>HYPERLINK("https://www.boe.es/gazeta/dias/1822/02/14/pdfs/GMD-1822-45.pdf#page=3","Abrir facsímil")</f>
        <v>Abrir facsímil</v>
      </c>
      <c r="K10358" t="s">
        <v>22</v>
      </c>
    </row>
    <row r="10359" spans="1:11" ht="42" customHeight="1">
      <c r="A10359" t="s">
        <v>20187</v>
      </c>
      <c r="B10359" t="s">
        <v>20187</v>
      </c>
      <c r="C10359" t="s">
        <v>71</v>
      </c>
      <c r="D10359" t="s">
        <v>17</v>
      </c>
      <c r="E10359" s="6">
        <v>-28418</v>
      </c>
      <c r="F10359" t="s">
        <v>205</v>
      </c>
      <c r="G10359" t="s">
        <v>35</v>
      </c>
      <c r="H10359" t="s">
        <v>20</v>
      </c>
      <c r="I10359" t="s">
        <v>20190</v>
      </c>
      <c r="J10359" t="str">
        <f>HYPERLINK("https://www.boe.es/gazeta/dias/1822/03/11/pdfs/GMD-1822-72.pdf#page=2","Abrir facsímil")</f>
        <v>Abrir facsímil</v>
      </c>
      <c r="K10359" t="s">
        <v>22</v>
      </c>
    </row>
    <row r="10360" spans="1:11" ht="42" customHeight="1">
      <c r="A10360" t="s">
        <v>20187</v>
      </c>
      <c r="B10360" t="s">
        <v>20187</v>
      </c>
      <c r="C10360" t="s">
        <v>28</v>
      </c>
      <c r="D10360" t="s">
        <v>29</v>
      </c>
      <c r="E10360" s="6">
        <v>-28353</v>
      </c>
      <c r="F10360" t="s">
        <v>843</v>
      </c>
      <c r="G10360" t="s">
        <v>57</v>
      </c>
      <c r="H10360" t="s">
        <v>20</v>
      </c>
      <c r="I10360" t="s">
        <v>20191</v>
      </c>
      <c r="J10360" t="str">
        <f>HYPERLINK("https://www.boe.es/gazeta/dias/1822/05/15/pdfs/GMD-1822-137.pdf#page=4","Abrir facsímil")</f>
        <v>Abrir facsímil</v>
      </c>
      <c r="K10360" t="s">
        <v>22</v>
      </c>
    </row>
    <row r="10361" spans="1:11" ht="42" customHeight="1">
      <c r="A10361" t="s">
        <v>20187</v>
      </c>
      <c r="B10361" t="s">
        <v>20187</v>
      </c>
      <c r="C10361" t="s">
        <v>28</v>
      </c>
      <c r="D10361" t="s">
        <v>29</v>
      </c>
      <c r="E10361" s="6">
        <v>-28334</v>
      </c>
      <c r="F10361" t="s">
        <v>532</v>
      </c>
      <c r="G10361" t="s">
        <v>19</v>
      </c>
      <c r="H10361" t="s">
        <v>20</v>
      </c>
      <c r="I10361" t="s">
        <v>20192</v>
      </c>
      <c r="J10361" t="str">
        <f>HYPERLINK("https://www.boe.es/gazeta/dias/1822/06/03/pdfs/GMD-1822-159.pdf#page=5","Abrir facsímil")</f>
        <v>Abrir facsímil</v>
      </c>
      <c r="K10361" t="s">
        <v>22</v>
      </c>
    </row>
    <row r="10362" spans="1:11" ht="42" customHeight="1">
      <c r="A10362" t="s">
        <v>20187</v>
      </c>
      <c r="B10362" t="s">
        <v>20187</v>
      </c>
      <c r="C10362" t="s">
        <v>71</v>
      </c>
      <c r="D10362" t="s">
        <v>17</v>
      </c>
      <c r="E10362" s="6">
        <v>-28195</v>
      </c>
      <c r="F10362" t="s">
        <v>770</v>
      </c>
      <c r="G10362" t="s">
        <v>19</v>
      </c>
      <c r="H10362" t="s">
        <v>20</v>
      </c>
      <c r="I10362" t="s">
        <v>20193</v>
      </c>
      <c r="J10362" t="str">
        <f>HYPERLINK("https://www.boe.es/gazeta/dias/1822/10/20/pdfs/GMD-1822-307.pdf#page=5","Abrir facsímil")</f>
        <v>Abrir facsímil</v>
      </c>
      <c r="K10362" t="s">
        <v>22</v>
      </c>
    </row>
    <row r="10363" spans="1:11" ht="42" customHeight="1">
      <c r="A10363" t="s">
        <v>20187</v>
      </c>
      <c r="B10363" t="s">
        <v>20187</v>
      </c>
      <c r="C10363" t="s">
        <v>71</v>
      </c>
      <c r="D10363" t="s">
        <v>17</v>
      </c>
      <c r="E10363" s="6">
        <v>-28188</v>
      </c>
      <c r="F10363" t="s">
        <v>578</v>
      </c>
      <c r="G10363" t="s">
        <v>35</v>
      </c>
      <c r="H10363" t="s">
        <v>20</v>
      </c>
      <c r="I10363" t="s">
        <v>20194</v>
      </c>
      <c r="J10363" t="str">
        <f>HYPERLINK("https://www.boe.es/gazeta/dias/1822/10/27/pdfs/GMD-1822-314.pdf#page=2","Abrir facsímil")</f>
        <v>Abrir facsímil</v>
      </c>
      <c r="K10363" t="s">
        <v>22</v>
      </c>
    </row>
    <row r="10364" spans="1:11" ht="42" customHeight="1">
      <c r="A10364" t="s">
        <v>20187</v>
      </c>
      <c r="B10364" t="s">
        <v>20187</v>
      </c>
      <c r="C10364" t="s">
        <v>50</v>
      </c>
      <c r="D10364" t="s">
        <v>51</v>
      </c>
      <c r="E10364" s="6">
        <v>-28171</v>
      </c>
      <c r="F10364" t="s">
        <v>1075</v>
      </c>
      <c r="G10364" t="s">
        <v>35</v>
      </c>
      <c r="H10364" t="s">
        <v>20</v>
      </c>
      <c r="I10364" t="s">
        <v>20195</v>
      </c>
      <c r="J10364" t="str">
        <f>HYPERLINK("https://www.boe.es/gazeta/dias/1822/11/13/pdfs/GMD-1822-333.pdf#page=2","Abrir facsímil")</f>
        <v>Abrir facsímil</v>
      </c>
      <c r="K10364" t="s">
        <v>22</v>
      </c>
    </row>
    <row r="10365" spans="1:11" ht="42" customHeight="1">
      <c r="A10365" t="s">
        <v>20196</v>
      </c>
      <c r="B10365" t="s">
        <v>20197</v>
      </c>
      <c r="C10365" t="s">
        <v>61</v>
      </c>
      <c r="D10365" t="s">
        <v>17</v>
      </c>
      <c r="E10365" s="6">
        <v>-28297</v>
      </c>
      <c r="F10365" t="s">
        <v>1972</v>
      </c>
      <c r="G10365" t="s">
        <v>57</v>
      </c>
      <c r="H10365" t="s">
        <v>20</v>
      </c>
      <c r="I10365" t="s">
        <v>20198</v>
      </c>
      <c r="J10365" t="str">
        <f>HYPERLINK("https://www.boe.es/gazeta/dias/1822/07/10/pdfs/GMD-1822-200.pdf#page=4","Abrir facsímil")</f>
        <v>Abrir facsímil</v>
      </c>
      <c r="K10365" t="s">
        <v>22</v>
      </c>
    </row>
    <row r="10366" spans="1:11" ht="42" customHeight="1">
      <c r="A10366" t="s">
        <v>20199</v>
      </c>
      <c r="B10366" t="s">
        <v>20199</v>
      </c>
      <c r="C10366" t="s">
        <v>16</v>
      </c>
      <c r="D10366" t="s">
        <v>17</v>
      </c>
      <c r="E10366" s="6">
        <v>-28426</v>
      </c>
      <c r="F10366" t="s">
        <v>1178</v>
      </c>
      <c r="G10366" t="s">
        <v>57</v>
      </c>
      <c r="H10366" t="s">
        <v>20</v>
      </c>
      <c r="I10366" t="s">
        <v>20200</v>
      </c>
      <c r="J10366" t="str">
        <f>HYPERLINK("https://www.boe.es/gazeta/dias/1822/03/03/pdfs/GMD-1822-64.pdf#page=4","Abrir facsímil")</f>
        <v>Abrir facsímil</v>
      </c>
      <c r="K10366" t="s">
        <v>22</v>
      </c>
    </row>
    <row r="10367" spans="1:11" ht="42" customHeight="1">
      <c r="A10367" t="s">
        <v>20199</v>
      </c>
      <c r="B10367" t="s">
        <v>20199</v>
      </c>
      <c r="C10367" t="s">
        <v>71</v>
      </c>
      <c r="D10367" t="s">
        <v>17</v>
      </c>
      <c r="E10367" s="6">
        <v>-28360</v>
      </c>
      <c r="F10367" t="s">
        <v>514</v>
      </c>
      <c r="G10367" t="s">
        <v>31</v>
      </c>
      <c r="H10367" t="s">
        <v>20</v>
      </c>
      <c r="I10367" t="s">
        <v>20201</v>
      </c>
      <c r="J10367" t="str">
        <f>HYPERLINK("https://www.boe.es/gazeta/dias/1822/05/08/pdfs/GMD-1822-130.pdf#page=3","Abrir facsímil")</f>
        <v>Abrir facsímil</v>
      </c>
      <c r="K10367" t="s">
        <v>22</v>
      </c>
    </row>
    <row r="10368" spans="1:11" ht="42" customHeight="1">
      <c r="A10368" t="s">
        <v>20199</v>
      </c>
      <c r="B10368" t="s">
        <v>20199</v>
      </c>
      <c r="C10368" t="s">
        <v>50</v>
      </c>
      <c r="D10368" t="s">
        <v>51</v>
      </c>
      <c r="E10368" s="6">
        <v>-28346</v>
      </c>
      <c r="F10368" t="s">
        <v>191</v>
      </c>
      <c r="G10368" t="s">
        <v>35</v>
      </c>
      <c r="H10368" t="s">
        <v>20</v>
      </c>
      <c r="I10368" t="s">
        <v>20202</v>
      </c>
      <c r="J10368" t="str">
        <f>HYPERLINK("https://www.boe.es/gazeta/dias/1822/05/22/pdfs/GMD-1822-145.pdf#page=2","Abrir facsímil")</f>
        <v>Abrir facsímil</v>
      </c>
      <c r="K10368" t="s">
        <v>22</v>
      </c>
    </row>
    <row r="10369" spans="1:11" ht="42" customHeight="1">
      <c r="A10369" t="s">
        <v>20199</v>
      </c>
      <c r="B10369" t="s">
        <v>20199</v>
      </c>
      <c r="C10369" t="s">
        <v>71</v>
      </c>
      <c r="D10369" t="s">
        <v>17</v>
      </c>
      <c r="E10369" s="6">
        <v>-28322</v>
      </c>
      <c r="F10369" t="s">
        <v>2205</v>
      </c>
      <c r="G10369" t="s">
        <v>3031</v>
      </c>
      <c r="H10369" t="s">
        <v>20</v>
      </c>
      <c r="I10369" t="s">
        <v>20203</v>
      </c>
      <c r="J10369" t="str">
        <f>HYPERLINK("https://www.boe.es/gazeta/dias/1822/06/15/pdfs/GMD-1822-172.pdf#page=2","Abrir facsímil")</f>
        <v>Abrir facsímil</v>
      </c>
      <c r="K10369" t="s">
        <v>22</v>
      </c>
    </row>
    <row r="10370" spans="1:11" ht="42" customHeight="1">
      <c r="A10370" t="s">
        <v>20199</v>
      </c>
      <c r="B10370" t="s">
        <v>20199</v>
      </c>
      <c r="C10370" t="s">
        <v>50</v>
      </c>
      <c r="D10370" t="s">
        <v>51</v>
      </c>
      <c r="E10370" s="6">
        <v>-28189</v>
      </c>
      <c r="F10370" t="s">
        <v>645</v>
      </c>
      <c r="G10370" t="s">
        <v>19</v>
      </c>
      <c r="H10370" t="s">
        <v>20</v>
      </c>
      <c r="I10370" t="s">
        <v>20204</v>
      </c>
      <c r="J10370" t="str">
        <f>HYPERLINK("https://www.boe.es/gazeta/dias/1822/10/26/pdfs/GMD-1822-313.pdf#page=5","Abrir facsímil")</f>
        <v>Abrir facsímil</v>
      </c>
      <c r="K10370" t="s">
        <v>22</v>
      </c>
    </row>
    <row r="10371" spans="1:11" ht="42" customHeight="1">
      <c r="A10371" t="s">
        <v>20199</v>
      </c>
      <c r="B10371" t="s">
        <v>20199</v>
      </c>
      <c r="C10371" t="s">
        <v>16</v>
      </c>
      <c r="D10371" t="s">
        <v>17</v>
      </c>
      <c r="E10371" s="6">
        <v>-28177</v>
      </c>
      <c r="F10371" t="s">
        <v>587</v>
      </c>
      <c r="G10371" t="s">
        <v>888</v>
      </c>
      <c r="H10371" t="s">
        <v>20</v>
      </c>
      <c r="I10371" t="s">
        <v>20205</v>
      </c>
      <c r="J10371" t="str">
        <f>HYPERLINK("https://www.boe.es/gazeta/dias/1822/11/07/pdfs/GMD-1822-327.pdf#page=4","Abrir facsímil")</f>
        <v>Abrir facsímil</v>
      </c>
      <c r="K10371" t="s">
        <v>22</v>
      </c>
    </row>
    <row r="10372" spans="1:11" ht="42" customHeight="1">
      <c r="A10372" t="s">
        <v>20206</v>
      </c>
      <c r="B10372" t="s">
        <v>20206</v>
      </c>
      <c r="C10372" t="s">
        <v>28</v>
      </c>
      <c r="D10372" t="s">
        <v>29</v>
      </c>
      <c r="E10372" s="6">
        <v>-28395</v>
      </c>
      <c r="F10372" t="s">
        <v>237</v>
      </c>
      <c r="G10372" t="s">
        <v>31</v>
      </c>
      <c r="H10372" t="s">
        <v>20</v>
      </c>
      <c r="I10372" t="s">
        <v>20207</v>
      </c>
      <c r="J10372" t="str">
        <f>HYPERLINK("https://www.boe.es/gazeta/dias/1822/04/03/pdfs/GMD-1822-95.pdf#page=3","Abrir facsímil")</f>
        <v>Abrir facsímil</v>
      </c>
      <c r="K10372" t="s">
        <v>22</v>
      </c>
    </row>
    <row r="10373" spans="1:11" ht="42" customHeight="1">
      <c r="A10373" t="s">
        <v>20206</v>
      </c>
      <c r="B10373" t="s">
        <v>20206</v>
      </c>
      <c r="C10373" t="s">
        <v>28</v>
      </c>
      <c r="D10373" t="s">
        <v>29</v>
      </c>
      <c r="E10373" s="6">
        <v>-28335</v>
      </c>
      <c r="F10373" t="s">
        <v>3346</v>
      </c>
      <c r="G10373" t="s">
        <v>31</v>
      </c>
      <c r="H10373" t="s">
        <v>20</v>
      </c>
      <c r="I10373" t="s">
        <v>20208</v>
      </c>
      <c r="J10373" t="str">
        <f>HYPERLINK("https://www.boe.es/gazeta/dias/1822/06/02/pdfs/GMD-1822-158.pdf#page=3","Abrir facsímil")</f>
        <v>Abrir facsímil</v>
      </c>
      <c r="K10373" t="s">
        <v>22</v>
      </c>
    </row>
    <row r="10374" spans="1:11" ht="42" customHeight="1">
      <c r="A10374" t="s">
        <v>20209</v>
      </c>
      <c r="B10374" t="s">
        <v>20210</v>
      </c>
      <c r="C10374" t="s">
        <v>50</v>
      </c>
      <c r="D10374" t="s">
        <v>51</v>
      </c>
      <c r="E10374" s="6">
        <v>-28258</v>
      </c>
      <c r="F10374" t="s">
        <v>88</v>
      </c>
      <c r="G10374" t="s">
        <v>57</v>
      </c>
      <c r="H10374" t="s">
        <v>20</v>
      </c>
      <c r="I10374" t="s">
        <v>20211</v>
      </c>
      <c r="J10374" t="str">
        <f>HYPERLINK("https://www.boe.es/gazeta/dias/1822/08/18/pdfs/GMD-1822-242.pdf#page=4","Abrir facsímil")</f>
        <v>Abrir facsímil</v>
      </c>
      <c r="K10374" t="s">
        <v>22</v>
      </c>
    </row>
    <row r="10375" spans="1:11" ht="42" customHeight="1">
      <c r="A10375" t="s">
        <v>20212</v>
      </c>
      <c r="B10375" t="s">
        <v>20212</v>
      </c>
      <c r="C10375" t="s">
        <v>50</v>
      </c>
      <c r="D10375" t="s">
        <v>51</v>
      </c>
      <c r="E10375" s="6">
        <v>-28258</v>
      </c>
      <c r="F10375" t="s">
        <v>88</v>
      </c>
      <c r="G10375" t="s">
        <v>35</v>
      </c>
      <c r="H10375" t="s">
        <v>20</v>
      </c>
      <c r="I10375" t="s">
        <v>20213</v>
      </c>
      <c r="J10375" t="str">
        <f>HYPERLINK("https://www.boe.es/gazeta/dias/1822/08/18/pdfs/GMD-1822-242.pdf#page=2","Abrir facsímil")</f>
        <v>Abrir facsímil</v>
      </c>
      <c r="K10375" t="s">
        <v>22</v>
      </c>
    </row>
    <row r="10376" spans="1:11" ht="42" customHeight="1">
      <c r="A10376" t="s">
        <v>20214</v>
      </c>
      <c r="B10376" t="s">
        <v>20214</v>
      </c>
      <c r="C10376" t="s">
        <v>16</v>
      </c>
      <c r="D10376" t="s">
        <v>17</v>
      </c>
      <c r="E10376" s="6">
        <v>-28363</v>
      </c>
      <c r="F10376" t="s">
        <v>72</v>
      </c>
      <c r="G10376" t="s">
        <v>57</v>
      </c>
      <c r="H10376" t="s">
        <v>20</v>
      </c>
      <c r="I10376" t="s">
        <v>20215</v>
      </c>
      <c r="J10376" t="str">
        <f>HYPERLINK("https://www.boe.es/gazeta/dias/1822/05/05/pdfs/GMD-1822-127.pdf#page=4","Abrir facsímil")</f>
        <v>Abrir facsímil</v>
      </c>
      <c r="K10376" t="s">
        <v>22</v>
      </c>
    </row>
    <row r="10377" spans="1:11" ht="42" customHeight="1">
      <c r="A10377" t="s">
        <v>20214</v>
      </c>
      <c r="B10377" t="s">
        <v>20214</v>
      </c>
      <c r="C10377" t="s">
        <v>42</v>
      </c>
      <c r="D10377" t="s">
        <v>17</v>
      </c>
      <c r="E10377" s="6">
        <v>-28193</v>
      </c>
      <c r="F10377" t="s">
        <v>574</v>
      </c>
      <c r="G10377" t="s">
        <v>19</v>
      </c>
      <c r="H10377" t="s">
        <v>20</v>
      </c>
      <c r="I10377" t="s">
        <v>20216</v>
      </c>
      <c r="J10377" t="str">
        <f>HYPERLINK("https://www.boe.es/gazeta/dias/1822/10/22/pdfs/GMD-1822-309.pdf#page=5","Abrir facsímil")</f>
        <v>Abrir facsímil</v>
      </c>
      <c r="K10377" t="s">
        <v>22</v>
      </c>
    </row>
    <row r="10378" spans="1:11" ht="42" customHeight="1">
      <c r="A10378" t="s">
        <v>20217</v>
      </c>
      <c r="B10378" t="s">
        <v>20217</v>
      </c>
      <c r="C10378" t="s">
        <v>50</v>
      </c>
      <c r="D10378" t="s">
        <v>51</v>
      </c>
      <c r="E10378" s="6">
        <v>-28447</v>
      </c>
      <c r="F10378" t="s">
        <v>997</v>
      </c>
      <c r="G10378" t="s">
        <v>35</v>
      </c>
      <c r="H10378" t="s">
        <v>20</v>
      </c>
      <c r="I10378" t="s">
        <v>20218</v>
      </c>
      <c r="J10378" t="str">
        <f>HYPERLINK("https://www.boe.es/gazeta/dias/1822/02/10/pdfs/GMD-1822-41.pdf#page=2","Abrir facsímil")</f>
        <v>Abrir facsímil</v>
      </c>
      <c r="K10378" t="s">
        <v>22</v>
      </c>
    </row>
    <row r="10379" spans="1:11" ht="42" customHeight="1">
      <c r="A10379" t="s">
        <v>20217</v>
      </c>
      <c r="B10379" t="s">
        <v>20217</v>
      </c>
      <c r="C10379" t="s">
        <v>71</v>
      </c>
      <c r="D10379" t="s">
        <v>17</v>
      </c>
      <c r="E10379" s="6">
        <v>-28444</v>
      </c>
      <c r="F10379" t="s">
        <v>681</v>
      </c>
      <c r="G10379" t="s">
        <v>35</v>
      </c>
      <c r="H10379" t="s">
        <v>20</v>
      </c>
      <c r="I10379" t="s">
        <v>20219</v>
      </c>
      <c r="J10379" t="str">
        <f>HYPERLINK("https://www.boe.es/gazeta/dias/1822/02/13/pdfs/GMD-1822-44.pdf#page=2","Abrir facsímil")</f>
        <v>Abrir facsímil</v>
      </c>
      <c r="K10379" t="s">
        <v>22</v>
      </c>
    </row>
    <row r="10380" spans="1:11" ht="42" customHeight="1">
      <c r="A10380" t="s">
        <v>20217</v>
      </c>
      <c r="B10380" t="s">
        <v>20217</v>
      </c>
      <c r="C10380" t="s">
        <v>50</v>
      </c>
      <c r="D10380" t="s">
        <v>51</v>
      </c>
      <c r="E10380" s="6">
        <v>-28443</v>
      </c>
      <c r="F10380" t="s">
        <v>668</v>
      </c>
      <c r="G10380" t="s">
        <v>31</v>
      </c>
      <c r="H10380" t="s">
        <v>20</v>
      </c>
      <c r="I10380" t="s">
        <v>20220</v>
      </c>
      <c r="J10380" t="str">
        <f>HYPERLINK("https://www.boe.es/gazeta/dias/1822/02/14/pdfs/GMD-1822-45.pdf#page=3","Abrir facsímil")</f>
        <v>Abrir facsímil</v>
      </c>
      <c r="K10380" t="s">
        <v>22</v>
      </c>
    </row>
    <row r="10381" spans="1:11" ht="42" customHeight="1">
      <c r="A10381" t="s">
        <v>20217</v>
      </c>
      <c r="B10381" t="s">
        <v>20217</v>
      </c>
      <c r="C10381" t="s">
        <v>71</v>
      </c>
      <c r="D10381" t="s">
        <v>17</v>
      </c>
      <c r="E10381" s="6">
        <v>-28443</v>
      </c>
      <c r="F10381" t="s">
        <v>668</v>
      </c>
      <c r="G10381" t="s">
        <v>57</v>
      </c>
      <c r="H10381" t="s">
        <v>20</v>
      </c>
      <c r="I10381" t="s">
        <v>20221</v>
      </c>
      <c r="J10381" t="str">
        <f>HYPERLINK("https://www.boe.es/gazeta/dias/1822/02/14/pdfs/GMD-1822-45.pdf#page=4","Abrir facsímil")</f>
        <v>Abrir facsímil</v>
      </c>
      <c r="K10381" t="s">
        <v>22</v>
      </c>
    </row>
    <row r="10382" spans="1:11" ht="42" customHeight="1">
      <c r="A10382" t="s">
        <v>20217</v>
      </c>
      <c r="B10382" t="s">
        <v>20217</v>
      </c>
      <c r="C10382" t="s">
        <v>28</v>
      </c>
      <c r="D10382" t="s">
        <v>29</v>
      </c>
      <c r="E10382" s="6">
        <v>-28434</v>
      </c>
      <c r="F10382" t="s">
        <v>433</v>
      </c>
      <c r="G10382" t="s">
        <v>31</v>
      </c>
      <c r="H10382" t="s">
        <v>20</v>
      </c>
      <c r="I10382" t="s">
        <v>20222</v>
      </c>
      <c r="J10382" t="str">
        <f>HYPERLINK("https://www.boe.es/gazeta/dias/1822/02/23/pdfs/GMD-1822-55.pdf#page=3","Abrir facsímil")</f>
        <v>Abrir facsímil</v>
      </c>
      <c r="K10382" t="s">
        <v>22</v>
      </c>
    </row>
    <row r="10383" spans="1:11" ht="42" customHeight="1">
      <c r="A10383" t="s">
        <v>20217</v>
      </c>
      <c r="B10383" t="s">
        <v>20217</v>
      </c>
      <c r="C10383" t="s">
        <v>28</v>
      </c>
      <c r="D10383" t="s">
        <v>29</v>
      </c>
      <c r="E10383" s="6">
        <v>-28422</v>
      </c>
      <c r="F10383" t="s">
        <v>416</v>
      </c>
      <c r="G10383" t="s">
        <v>57</v>
      </c>
      <c r="H10383" t="s">
        <v>20</v>
      </c>
      <c r="I10383" t="s">
        <v>20223</v>
      </c>
      <c r="J10383" t="str">
        <f>HYPERLINK("https://www.boe.es/gazeta/dias/1822/03/07/pdfs/GMD-1822-68.pdf#page=4","Abrir facsímil")</f>
        <v>Abrir facsímil</v>
      </c>
      <c r="K10383" t="s">
        <v>22</v>
      </c>
    </row>
    <row r="10384" spans="1:11" ht="42" customHeight="1">
      <c r="A10384" t="s">
        <v>20217</v>
      </c>
      <c r="B10384" t="s">
        <v>20217</v>
      </c>
      <c r="C10384" t="s">
        <v>28</v>
      </c>
      <c r="D10384" t="s">
        <v>29</v>
      </c>
      <c r="E10384" s="6">
        <v>-28421</v>
      </c>
      <c r="F10384" t="s">
        <v>446</v>
      </c>
      <c r="G10384" t="s">
        <v>57</v>
      </c>
      <c r="H10384" t="s">
        <v>20</v>
      </c>
      <c r="I10384" t="s">
        <v>20224</v>
      </c>
      <c r="J10384" t="str">
        <f>HYPERLINK("https://www.boe.es/gazeta/dias/1822/03/08/pdfs/GMD-1822-69.pdf#page=4","Abrir facsímil")</f>
        <v>Abrir facsímil</v>
      </c>
      <c r="K10384" t="s">
        <v>22</v>
      </c>
    </row>
    <row r="10385" spans="1:11" ht="42" customHeight="1">
      <c r="A10385" t="s">
        <v>20217</v>
      </c>
      <c r="B10385" t="s">
        <v>20217</v>
      </c>
      <c r="C10385" t="s">
        <v>28</v>
      </c>
      <c r="D10385" t="s">
        <v>29</v>
      </c>
      <c r="E10385" s="6">
        <v>-28421</v>
      </c>
      <c r="F10385" t="s">
        <v>446</v>
      </c>
      <c r="G10385" t="s">
        <v>63</v>
      </c>
      <c r="H10385" t="s">
        <v>20</v>
      </c>
      <c r="I10385" t="s">
        <v>20225</v>
      </c>
      <c r="J10385" t="str">
        <f>HYPERLINK("https://www.boe.es/gazeta/dias/1822/03/08/pdfs/GMD-1822-69.pdf#page=6","Abrir facsímil")</f>
        <v>Abrir facsímil</v>
      </c>
      <c r="K10385" t="s">
        <v>22</v>
      </c>
    </row>
    <row r="10386" spans="1:11" ht="42" customHeight="1">
      <c r="A10386" t="s">
        <v>20217</v>
      </c>
      <c r="B10386" t="s">
        <v>20217</v>
      </c>
      <c r="C10386" t="s">
        <v>24</v>
      </c>
      <c r="D10386" t="s">
        <v>17</v>
      </c>
      <c r="E10386" s="6">
        <v>-28420</v>
      </c>
      <c r="F10386" t="s">
        <v>449</v>
      </c>
      <c r="G10386" t="s">
        <v>57</v>
      </c>
      <c r="H10386" t="s">
        <v>20</v>
      </c>
      <c r="I10386" t="s">
        <v>20226</v>
      </c>
      <c r="J10386" t="str">
        <f>HYPERLINK("https://www.boe.es/gazeta/dias/1822/03/09/pdfs/GMD-1822-70.pdf#page=4","Abrir facsímil")</f>
        <v>Abrir facsímil</v>
      </c>
      <c r="K10386" t="s">
        <v>22</v>
      </c>
    </row>
    <row r="10387" spans="1:11" ht="42" customHeight="1">
      <c r="A10387" t="s">
        <v>20217</v>
      </c>
      <c r="B10387" t="s">
        <v>20217</v>
      </c>
      <c r="C10387" t="s">
        <v>71</v>
      </c>
      <c r="D10387" t="s">
        <v>17</v>
      </c>
      <c r="E10387" s="6">
        <v>-28418</v>
      </c>
      <c r="F10387" t="s">
        <v>205</v>
      </c>
      <c r="G10387" t="s">
        <v>157</v>
      </c>
      <c r="H10387" t="s">
        <v>20</v>
      </c>
      <c r="I10387" t="s">
        <v>20227</v>
      </c>
      <c r="J10387" t="str">
        <f>HYPERLINK("https://www.boe.es/gazeta/dias/1822/03/11/pdfs/GMD-1822-72.pdf#page=8","Abrir facsímil")</f>
        <v>Abrir facsímil</v>
      </c>
      <c r="K10387" t="s">
        <v>22</v>
      </c>
    </row>
    <row r="10388" spans="1:11" ht="42" customHeight="1">
      <c r="A10388" t="s">
        <v>20217</v>
      </c>
      <c r="B10388" t="s">
        <v>20217</v>
      </c>
      <c r="C10388" t="s">
        <v>50</v>
      </c>
      <c r="D10388" t="s">
        <v>51</v>
      </c>
      <c r="E10388" s="6">
        <v>-28417</v>
      </c>
      <c r="F10388" t="s">
        <v>1394</v>
      </c>
      <c r="G10388" t="s">
        <v>57</v>
      </c>
      <c r="H10388" t="s">
        <v>20</v>
      </c>
      <c r="I10388" t="s">
        <v>20228</v>
      </c>
      <c r="J10388" t="str">
        <f>HYPERLINK("https://www.boe.es/gazeta/dias/1822/03/12/pdfs/GMD-1822-73.pdf#page=4","Abrir facsímil")</f>
        <v>Abrir facsímil</v>
      </c>
      <c r="K10388" t="s">
        <v>22</v>
      </c>
    </row>
    <row r="10389" spans="1:11" ht="42" customHeight="1">
      <c r="A10389" t="s">
        <v>20217</v>
      </c>
      <c r="B10389" t="s">
        <v>20217</v>
      </c>
      <c r="C10389" t="s">
        <v>28</v>
      </c>
      <c r="D10389" t="s">
        <v>29</v>
      </c>
      <c r="E10389" s="6">
        <v>-28416</v>
      </c>
      <c r="F10389" t="s">
        <v>97</v>
      </c>
      <c r="G10389" t="s">
        <v>19</v>
      </c>
      <c r="H10389" t="s">
        <v>20</v>
      </c>
      <c r="I10389" t="s">
        <v>20229</v>
      </c>
      <c r="J10389" t="str">
        <f>HYPERLINK("https://www.boe.es/gazeta/dias/1822/03/13/pdfs/GMD-1822-74.pdf#page=5","Abrir facsímil")</f>
        <v>Abrir facsímil</v>
      </c>
      <c r="K10389" t="s">
        <v>22</v>
      </c>
    </row>
    <row r="10390" spans="1:11" ht="42" customHeight="1">
      <c r="A10390" t="s">
        <v>20217</v>
      </c>
      <c r="B10390" t="s">
        <v>20217</v>
      </c>
      <c r="C10390" t="s">
        <v>50</v>
      </c>
      <c r="D10390" t="s">
        <v>51</v>
      </c>
      <c r="E10390" s="6">
        <v>-28405</v>
      </c>
      <c r="F10390" t="s">
        <v>466</v>
      </c>
      <c r="G10390" t="s">
        <v>31</v>
      </c>
      <c r="H10390" t="s">
        <v>20</v>
      </c>
      <c r="I10390" t="s">
        <v>20230</v>
      </c>
      <c r="J10390" t="str">
        <f>HYPERLINK("https://www.boe.es/gazeta/dias/1822/03/24/pdfs/GMD-1822-85.pdf#page=3","Abrir facsímil")</f>
        <v>Abrir facsímil</v>
      </c>
      <c r="K10390" t="s">
        <v>22</v>
      </c>
    </row>
    <row r="10391" spans="1:11" ht="42" customHeight="1">
      <c r="A10391" t="s">
        <v>20217</v>
      </c>
      <c r="B10391" t="s">
        <v>20217</v>
      </c>
      <c r="C10391" t="s">
        <v>50</v>
      </c>
      <c r="D10391" t="s">
        <v>51</v>
      </c>
      <c r="E10391" s="6">
        <v>-28403</v>
      </c>
      <c r="F10391" t="s">
        <v>471</v>
      </c>
      <c r="G10391" t="s">
        <v>35</v>
      </c>
      <c r="H10391" t="s">
        <v>20</v>
      </c>
      <c r="I10391" t="s">
        <v>20231</v>
      </c>
      <c r="J10391" t="str">
        <f>HYPERLINK("https://www.boe.es/gazeta/dias/1822/03/26/pdfs/GMD-1822-87.pdf#page=2","Abrir facsímil")</f>
        <v>Abrir facsímil</v>
      </c>
      <c r="K10391" t="s">
        <v>22</v>
      </c>
    </row>
    <row r="10392" spans="1:11" ht="42" customHeight="1">
      <c r="A10392" t="s">
        <v>20217</v>
      </c>
      <c r="B10392" t="s">
        <v>20217</v>
      </c>
      <c r="C10392" t="s">
        <v>42</v>
      </c>
      <c r="D10392" t="s">
        <v>17</v>
      </c>
      <c r="E10392" s="6">
        <v>-28403</v>
      </c>
      <c r="F10392" t="s">
        <v>471</v>
      </c>
      <c r="G10392" t="s">
        <v>31</v>
      </c>
      <c r="H10392" t="s">
        <v>20</v>
      </c>
      <c r="I10392" t="s">
        <v>20232</v>
      </c>
      <c r="J10392" t="str">
        <f>HYPERLINK("https://www.boe.es/gazeta/dias/1822/03/26/pdfs/GMD-1822-87.pdf#page=3","Abrir facsímil")</f>
        <v>Abrir facsímil</v>
      </c>
      <c r="K10392" t="s">
        <v>22</v>
      </c>
    </row>
    <row r="10393" spans="1:11" ht="42" customHeight="1">
      <c r="A10393" t="s">
        <v>20217</v>
      </c>
      <c r="B10393" t="s">
        <v>20217</v>
      </c>
      <c r="C10393" t="s">
        <v>42</v>
      </c>
      <c r="D10393" t="s">
        <v>17</v>
      </c>
      <c r="E10393" s="6">
        <v>-28402</v>
      </c>
      <c r="F10393" t="s">
        <v>473</v>
      </c>
      <c r="G10393" t="s">
        <v>35</v>
      </c>
      <c r="H10393" t="s">
        <v>20</v>
      </c>
      <c r="I10393" t="s">
        <v>20233</v>
      </c>
      <c r="J10393" t="str">
        <f>HYPERLINK("https://www.boe.es/gazeta/dias/1822/03/27/pdfs/GMD-1822-88.pdf#page=2","Abrir facsímil")</f>
        <v>Abrir facsímil</v>
      </c>
      <c r="K10393" t="s">
        <v>22</v>
      </c>
    </row>
    <row r="10394" spans="1:11" ht="42" customHeight="1">
      <c r="A10394" t="s">
        <v>20217</v>
      </c>
      <c r="B10394" t="s">
        <v>20217</v>
      </c>
      <c r="C10394" t="s">
        <v>28</v>
      </c>
      <c r="D10394" t="s">
        <v>29</v>
      </c>
      <c r="E10394" s="6">
        <v>-28402</v>
      </c>
      <c r="F10394" t="s">
        <v>473</v>
      </c>
      <c r="G10394" t="s">
        <v>57</v>
      </c>
      <c r="H10394" t="s">
        <v>20</v>
      </c>
      <c r="I10394" t="s">
        <v>20234</v>
      </c>
      <c r="J10394" t="str">
        <f>HYPERLINK("https://www.boe.es/gazeta/dias/1822/03/27/pdfs/GMD-1822-88.pdf#page=4","Abrir facsímil")</f>
        <v>Abrir facsímil</v>
      </c>
      <c r="K10394" t="s">
        <v>22</v>
      </c>
    </row>
    <row r="10395" spans="1:11" ht="42" customHeight="1">
      <c r="A10395" t="s">
        <v>20217</v>
      </c>
      <c r="B10395" t="s">
        <v>20217</v>
      </c>
      <c r="C10395" t="s">
        <v>28</v>
      </c>
      <c r="D10395" t="s">
        <v>29</v>
      </c>
      <c r="E10395" s="6">
        <v>-28390</v>
      </c>
      <c r="F10395" t="s">
        <v>665</v>
      </c>
      <c r="G10395" t="s">
        <v>35</v>
      </c>
      <c r="H10395" t="s">
        <v>20</v>
      </c>
      <c r="I10395" t="s">
        <v>20235</v>
      </c>
      <c r="J10395" t="str">
        <f>HYPERLINK("https://www.boe.es/gazeta/dias/1822/04/08/pdfs/GMD-1822-100.pdf#page=2","Abrir facsímil")</f>
        <v>Abrir facsímil</v>
      </c>
      <c r="K10395" t="s">
        <v>22</v>
      </c>
    </row>
    <row r="10396" spans="1:11" ht="42" customHeight="1">
      <c r="A10396" t="s">
        <v>20217</v>
      </c>
      <c r="B10396" t="s">
        <v>20217</v>
      </c>
      <c r="C10396" t="s">
        <v>71</v>
      </c>
      <c r="D10396" t="s">
        <v>17</v>
      </c>
      <c r="E10396" s="6">
        <v>-28389</v>
      </c>
      <c r="F10396" t="s">
        <v>481</v>
      </c>
      <c r="G10396" t="s">
        <v>35</v>
      </c>
      <c r="H10396" t="s">
        <v>20</v>
      </c>
      <c r="I10396" t="s">
        <v>20236</v>
      </c>
      <c r="J10396" t="str">
        <f>HYPERLINK("https://www.boe.es/gazeta/dias/1822/04/09/pdfs/GMD-1822-101.pdf#page=2","Abrir facsímil")</f>
        <v>Abrir facsímil</v>
      </c>
      <c r="K10396" t="s">
        <v>22</v>
      </c>
    </row>
    <row r="10397" spans="1:11" ht="42" customHeight="1">
      <c r="A10397" t="s">
        <v>20217</v>
      </c>
      <c r="B10397" t="s">
        <v>20217</v>
      </c>
      <c r="C10397" t="s">
        <v>28</v>
      </c>
      <c r="D10397" t="s">
        <v>29</v>
      </c>
      <c r="E10397" s="6">
        <v>-28384</v>
      </c>
      <c r="F10397" t="s">
        <v>258</v>
      </c>
      <c r="G10397" t="s">
        <v>57</v>
      </c>
      <c r="H10397" t="s">
        <v>20</v>
      </c>
      <c r="I10397" t="s">
        <v>20237</v>
      </c>
      <c r="J10397" t="str">
        <f>HYPERLINK("https://www.boe.es/gazeta/dias/1822/04/14/pdfs/GMD-1822-106.pdf#page=4","Abrir facsímil")</f>
        <v>Abrir facsímil</v>
      </c>
      <c r="K10397" t="s">
        <v>22</v>
      </c>
    </row>
    <row r="10398" spans="1:11" ht="42" customHeight="1">
      <c r="A10398" t="s">
        <v>20217</v>
      </c>
      <c r="B10398" t="s">
        <v>20217</v>
      </c>
      <c r="C10398" t="s">
        <v>42</v>
      </c>
      <c r="D10398" t="s">
        <v>17</v>
      </c>
      <c r="E10398" s="6">
        <v>-28382</v>
      </c>
      <c r="F10398" t="s">
        <v>973</v>
      </c>
      <c r="G10398" t="s">
        <v>57</v>
      </c>
      <c r="H10398" t="s">
        <v>20</v>
      </c>
      <c r="I10398" t="s">
        <v>20238</v>
      </c>
      <c r="J10398" t="str">
        <f>HYPERLINK("https://www.boe.es/gazeta/dias/1822/04/16/pdfs/GMD-1822-108.pdf#page=4","Abrir facsímil")</f>
        <v>Abrir facsímil</v>
      </c>
      <c r="K10398" t="s">
        <v>22</v>
      </c>
    </row>
    <row r="10399" spans="1:11" ht="42" customHeight="1">
      <c r="A10399" t="s">
        <v>20217</v>
      </c>
      <c r="B10399" t="s">
        <v>20217</v>
      </c>
      <c r="C10399" t="s">
        <v>71</v>
      </c>
      <c r="D10399" t="s">
        <v>17</v>
      </c>
      <c r="E10399" s="6">
        <v>-28378</v>
      </c>
      <c r="F10399" t="s">
        <v>496</v>
      </c>
      <c r="G10399" t="s">
        <v>31</v>
      </c>
      <c r="H10399" t="s">
        <v>20</v>
      </c>
      <c r="I10399" t="s">
        <v>20239</v>
      </c>
      <c r="J10399" t="str">
        <f>HYPERLINK("https://www.boe.es/gazeta/dias/1822/04/20/pdfs/GMD-1822-112.pdf#page=3","Abrir facsímil")</f>
        <v>Abrir facsímil</v>
      </c>
      <c r="K10399" t="s">
        <v>22</v>
      </c>
    </row>
    <row r="10400" spans="1:11" ht="42" customHeight="1">
      <c r="A10400" t="s">
        <v>20217</v>
      </c>
      <c r="B10400" t="s">
        <v>20217</v>
      </c>
      <c r="C10400" t="s">
        <v>71</v>
      </c>
      <c r="D10400" t="s">
        <v>17</v>
      </c>
      <c r="E10400" s="6">
        <v>-28378</v>
      </c>
      <c r="F10400" t="s">
        <v>496</v>
      </c>
      <c r="G10400" t="s">
        <v>57</v>
      </c>
      <c r="H10400" t="s">
        <v>20</v>
      </c>
      <c r="I10400" t="s">
        <v>20240</v>
      </c>
      <c r="J10400" t="str">
        <f>HYPERLINK("https://www.boe.es/gazeta/dias/1822/04/20/pdfs/GMD-1822-112.pdf#page=4","Abrir facsímil")</f>
        <v>Abrir facsímil</v>
      </c>
      <c r="K10400" t="s">
        <v>22</v>
      </c>
    </row>
    <row r="10401" spans="1:11" ht="42" customHeight="1">
      <c r="A10401" t="s">
        <v>20217</v>
      </c>
      <c r="B10401" t="s">
        <v>20217</v>
      </c>
      <c r="C10401" t="s">
        <v>71</v>
      </c>
      <c r="D10401" t="s">
        <v>17</v>
      </c>
      <c r="E10401" s="6">
        <v>-28377</v>
      </c>
      <c r="F10401" t="s">
        <v>498</v>
      </c>
      <c r="G10401" t="s">
        <v>31</v>
      </c>
      <c r="H10401" t="s">
        <v>20</v>
      </c>
      <c r="I10401" t="s">
        <v>20241</v>
      </c>
      <c r="J10401" t="str">
        <f>HYPERLINK("https://www.boe.es/gazeta/dias/1822/04/21/pdfs/GMD-1822-113.pdf#page=3","Abrir facsímil")</f>
        <v>Abrir facsímil</v>
      </c>
      <c r="K10401" t="s">
        <v>22</v>
      </c>
    </row>
    <row r="10402" spans="1:11" ht="42" customHeight="1">
      <c r="A10402" t="s">
        <v>20217</v>
      </c>
      <c r="B10402" t="s">
        <v>20217</v>
      </c>
      <c r="C10402" t="s">
        <v>16</v>
      </c>
      <c r="D10402" t="s">
        <v>17</v>
      </c>
      <c r="E10402" s="6">
        <v>-28372</v>
      </c>
      <c r="F10402" t="s">
        <v>503</v>
      </c>
      <c r="G10402" t="s">
        <v>57</v>
      </c>
      <c r="H10402" t="s">
        <v>20</v>
      </c>
      <c r="I10402" t="s">
        <v>20242</v>
      </c>
      <c r="J10402" t="str">
        <f>HYPERLINK("https://www.boe.es/gazeta/dias/1822/04/26/pdfs/GMD-1822-118.pdf#page=4","Abrir facsímil")</f>
        <v>Abrir facsímil</v>
      </c>
      <c r="K10402" t="s">
        <v>22</v>
      </c>
    </row>
    <row r="10403" spans="1:11" ht="42" customHeight="1">
      <c r="A10403" t="s">
        <v>20217</v>
      </c>
      <c r="B10403" t="s">
        <v>20217</v>
      </c>
      <c r="C10403" t="s">
        <v>42</v>
      </c>
      <c r="D10403" t="s">
        <v>17</v>
      </c>
      <c r="E10403" s="6">
        <v>-28365</v>
      </c>
      <c r="F10403" t="s">
        <v>506</v>
      </c>
      <c r="G10403" t="s">
        <v>35</v>
      </c>
      <c r="H10403" t="s">
        <v>20</v>
      </c>
      <c r="I10403" t="s">
        <v>20243</v>
      </c>
      <c r="J10403" t="str">
        <f>HYPERLINK("https://www.boe.es/gazeta/dias/1822/05/03/pdfs/GMD-1822-125.pdf#page=2","Abrir facsímil")</f>
        <v>Abrir facsímil</v>
      </c>
      <c r="K10403" t="s">
        <v>22</v>
      </c>
    </row>
    <row r="10404" spans="1:11" ht="42" customHeight="1">
      <c r="A10404" t="s">
        <v>20217</v>
      </c>
      <c r="B10404" t="s">
        <v>20217</v>
      </c>
      <c r="C10404" t="s">
        <v>50</v>
      </c>
      <c r="D10404" t="s">
        <v>51</v>
      </c>
      <c r="E10404" s="6">
        <v>-28362</v>
      </c>
      <c r="F10404" t="s">
        <v>511</v>
      </c>
      <c r="G10404" t="s">
        <v>31</v>
      </c>
      <c r="H10404" t="s">
        <v>20</v>
      </c>
      <c r="I10404" t="s">
        <v>20244</v>
      </c>
      <c r="J10404" t="str">
        <f>HYPERLINK("https://www.boe.es/gazeta/dias/1822/05/06/pdfs/GMD-1822-128.pdf#page=3","Abrir facsímil")</f>
        <v>Abrir facsímil</v>
      </c>
      <c r="K10404" t="s">
        <v>22</v>
      </c>
    </row>
    <row r="10405" spans="1:11" ht="42" customHeight="1">
      <c r="A10405" t="s">
        <v>20217</v>
      </c>
      <c r="B10405" t="s">
        <v>20217</v>
      </c>
      <c r="C10405" t="s">
        <v>61</v>
      </c>
      <c r="D10405" t="s">
        <v>17</v>
      </c>
      <c r="E10405" s="6">
        <v>-28360</v>
      </c>
      <c r="F10405" t="s">
        <v>514</v>
      </c>
      <c r="G10405" t="s">
        <v>57</v>
      </c>
      <c r="H10405" t="s">
        <v>20</v>
      </c>
      <c r="I10405" t="s">
        <v>20245</v>
      </c>
      <c r="J10405" t="str">
        <f>HYPERLINK("https://www.boe.es/gazeta/dias/1822/05/08/pdfs/GMD-1822-130.pdf#page=4","Abrir facsímil")</f>
        <v>Abrir facsímil</v>
      </c>
      <c r="K10405" t="s">
        <v>22</v>
      </c>
    </row>
    <row r="10406" spans="1:11" ht="42" customHeight="1">
      <c r="A10406" t="s">
        <v>20217</v>
      </c>
      <c r="B10406" t="s">
        <v>20217</v>
      </c>
      <c r="C10406" t="s">
        <v>71</v>
      </c>
      <c r="D10406" t="s">
        <v>17</v>
      </c>
      <c r="E10406" s="6">
        <v>-28357</v>
      </c>
      <c r="F10406" t="s">
        <v>690</v>
      </c>
      <c r="G10406" t="s">
        <v>19</v>
      </c>
      <c r="H10406" t="s">
        <v>20</v>
      </c>
      <c r="I10406" t="s">
        <v>20246</v>
      </c>
      <c r="J10406" t="str">
        <f>HYPERLINK("https://www.boe.es/gazeta/dias/1822/05/11/pdfs/GMD-1822-133.pdf#page=5","Abrir facsímil")</f>
        <v>Abrir facsímil</v>
      </c>
      <c r="K10406" t="s">
        <v>22</v>
      </c>
    </row>
    <row r="10407" spans="1:11" ht="42" customHeight="1">
      <c r="A10407" t="s">
        <v>20217</v>
      </c>
      <c r="B10407" t="s">
        <v>20217</v>
      </c>
      <c r="C10407" t="s">
        <v>71</v>
      </c>
      <c r="D10407" t="s">
        <v>17</v>
      </c>
      <c r="E10407" s="6">
        <v>-28356</v>
      </c>
      <c r="F10407" t="s">
        <v>4170</v>
      </c>
      <c r="G10407" t="s">
        <v>35</v>
      </c>
      <c r="H10407" t="s">
        <v>20</v>
      </c>
      <c r="I10407" t="s">
        <v>20247</v>
      </c>
      <c r="J10407" t="str">
        <f>HYPERLINK("https://www.boe.es/gazeta/dias/1822/05/12/pdfs/GMD-1822-134.pdf#page=2","Abrir facsímil")</f>
        <v>Abrir facsímil</v>
      </c>
      <c r="K10407" t="s">
        <v>22</v>
      </c>
    </row>
    <row r="10408" spans="1:11" ht="42" customHeight="1">
      <c r="A10408" t="s">
        <v>20217</v>
      </c>
      <c r="B10408" t="s">
        <v>20217</v>
      </c>
      <c r="C10408" t="s">
        <v>71</v>
      </c>
      <c r="D10408" t="s">
        <v>17</v>
      </c>
      <c r="E10408" s="6">
        <v>-28356</v>
      </c>
      <c r="F10408" t="s">
        <v>4170</v>
      </c>
      <c r="G10408" t="s">
        <v>31</v>
      </c>
      <c r="H10408" t="s">
        <v>20</v>
      </c>
      <c r="I10408" t="s">
        <v>20248</v>
      </c>
      <c r="J10408" t="str">
        <f>HYPERLINK("https://www.boe.es/gazeta/dias/1822/05/12/pdfs/GMD-1822-134.pdf#page=3","Abrir facsímil")</f>
        <v>Abrir facsímil</v>
      </c>
      <c r="K10408" t="s">
        <v>22</v>
      </c>
    </row>
    <row r="10409" spans="1:11" ht="42" customHeight="1">
      <c r="A10409" t="s">
        <v>20217</v>
      </c>
      <c r="B10409" t="s">
        <v>20217</v>
      </c>
      <c r="C10409" t="s">
        <v>16</v>
      </c>
      <c r="D10409" t="s">
        <v>17</v>
      </c>
      <c r="E10409" s="6">
        <v>-28355</v>
      </c>
      <c r="F10409" t="s">
        <v>692</v>
      </c>
      <c r="G10409" t="s">
        <v>57</v>
      </c>
      <c r="H10409" t="s">
        <v>20</v>
      </c>
      <c r="I10409" t="s">
        <v>20249</v>
      </c>
      <c r="J10409" t="str">
        <f>HYPERLINK("https://www.boe.es/gazeta/dias/1822/05/13/pdfs/GMD-1822-135.pdf#page=4","Abrir facsímil")</f>
        <v>Abrir facsímil</v>
      </c>
      <c r="K10409" t="s">
        <v>22</v>
      </c>
    </row>
    <row r="10410" spans="1:11" ht="42" customHeight="1">
      <c r="A10410" t="s">
        <v>20217</v>
      </c>
      <c r="B10410" t="s">
        <v>20217</v>
      </c>
      <c r="C10410" t="s">
        <v>71</v>
      </c>
      <c r="D10410" t="s">
        <v>17</v>
      </c>
      <c r="E10410" s="6">
        <v>-28355</v>
      </c>
      <c r="F10410" t="s">
        <v>692</v>
      </c>
      <c r="G10410" t="s">
        <v>19</v>
      </c>
      <c r="H10410" t="s">
        <v>20</v>
      </c>
      <c r="I10410" t="s">
        <v>20250</v>
      </c>
      <c r="J10410" t="str">
        <f>HYPERLINK("https://www.boe.es/gazeta/dias/1822/05/13/pdfs/GMD-1822-135.pdf#page=5","Abrir facsímil")</f>
        <v>Abrir facsímil</v>
      </c>
      <c r="K10410" t="s">
        <v>22</v>
      </c>
    </row>
    <row r="10411" spans="1:11" ht="42" customHeight="1">
      <c r="A10411" t="s">
        <v>20217</v>
      </c>
      <c r="B10411" t="s">
        <v>20217</v>
      </c>
      <c r="C10411" t="s">
        <v>71</v>
      </c>
      <c r="D10411" t="s">
        <v>17</v>
      </c>
      <c r="E10411" s="6">
        <v>-28350</v>
      </c>
      <c r="F10411" t="s">
        <v>352</v>
      </c>
      <c r="G10411" t="s">
        <v>57</v>
      </c>
      <c r="H10411" t="s">
        <v>20</v>
      </c>
      <c r="I10411" t="s">
        <v>20251</v>
      </c>
      <c r="J10411" t="str">
        <f>HYPERLINK("https://www.boe.es/gazeta/dias/1822/05/18/pdfs/GMD-1822-140.pdf#page=4","Abrir facsímil")</f>
        <v>Abrir facsímil</v>
      </c>
      <c r="K10411" t="s">
        <v>22</v>
      </c>
    </row>
    <row r="10412" spans="1:11" ht="42" customHeight="1">
      <c r="A10412" t="s">
        <v>20252</v>
      </c>
      <c r="B10412" t="s">
        <v>20252</v>
      </c>
      <c r="C10412" t="s">
        <v>42</v>
      </c>
      <c r="D10412" t="s">
        <v>17</v>
      </c>
      <c r="E10412" s="6">
        <v>-28349</v>
      </c>
      <c r="F10412" t="s">
        <v>518</v>
      </c>
      <c r="G10412" t="s">
        <v>31</v>
      </c>
      <c r="H10412" t="s">
        <v>20</v>
      </c>
      <c r="I10412" t="s">
        <v>20253</v>
      </c>
      <c r="J10412" t="str">
        <f>HYPERLINK("https://www.boe.es/gazeta/dias/1822/05/19/pdfs/GMD-1822-141.pdf#page=3","Abrir facsímil")</f>
        <v>Abrir facsímil</v>
      </c>
      <c r="K10412" t="s">
        <v>22</v>
      </c>
    </row>
    <row r="10413" spans="1:11" ht="42" customHeight="1">
      <c r="A10413" t="s">
        <v>20217</v>
      </c>
      <c r="B10413" t="s">
        <v>20217</v>
      </c>
      <c r="C10413" t="s">
        <v>61</v>
      </c>
      <c r="D10413" t="s">
        <v>17</v>
      </c>
      <c r="E10413" s="6">
        <v>-28346</v>
      </c>
      <c r="F10413" t="s">
        <v>191</v>
      </c>
      <c r="G10413" t="s">
        <v>31</v>
      </c>
      <c r="H10413" t="s">
        <v>20</v>
      </c>
      <c r="I10413" t="s">
        <v>20254</v>
      </c>
      <c r="J10413" t="str">
        <f>HYPERLINK("https://www.boe.es/gazeta/dias/1822/05/22/pdfs/GMD-1822-145.pdf#page=3","Abrir facsímil")</f>
        <v>Abrir facsímil</v>
      </c>
      <c r="K10413" t="s">
        <v>22</v>
      </c>
    </row>
    <row r="10414" spans="1:11" ht="42" customHeight="1">
      <c r="A10414" t="s">
        <v>20217</v>
      </c>
      <c r="B10414" t="s">
        <v>20217</v>
      </c>
      <c r="C10414" t="s">
        <v>50</v>
      </c>
      <c r="D10414" t="s">
        <v>51</v>
      </c>
      <c r="E10414" s="6">
        <v>-28341</v>
      </c>
      <c r="F10414" t="s">
        <v>284</v>
      </c>
      <c r="G10414" t="s">
        <v>35</v>
      </c>
      <c r="H10414" t="s">
        <v>20</v>
      </c>
      <c r="I10414" t="s">
        <v>20255</v>
      </c>
      <c r="J10414" t="str">
        <f>HYPERLINK("https://www.boe.es/gazeta/dias/1822/05/27/pdfs/GMD-1822-152.pdf#page=2","Abrir facsímil")</f>
        <v>Abrir facsímil</v>
      </c>
      <c r="K10414" t="s">
        <v>22</v>
      </c>
    </row>
    <row r="10415" spans="1:11" ht="42" customHeight="1">
      <c r="A10415" t="s">
        <v>20217</v>
      </c>
      <c r="B10415" t="s">
        <v>20217</v>
      </c>
      <c r="C10415" t="s">
        <v>71</v>
      </c>
      <c r="D10415" t="s">
        <v>17</v>
      </c>
      <c r="E10415" s="6">
        <v>-28340</v>
      </c>
      <c r="F10415" t="s">
        <v>139</v>
      </c>
      <c r="G10415" t="s">
        <v>31</v>
      </c>
      <c r="H10415" t="s">
        <v>20</v>
      </c>
      <c r="I10415" t="s">
        <v>20256</v>
      </c>
      <c r="J10415" t="str">
        <f>HYPERLINK("https://www.boe.es/gazeta/dias/1822/05/28/pdfs/GMD-1822-153.pdf#page=3","Abrir facsímil")</f>
        <v>Abrir facsímil</v>
      </c>
      <c r="K10415" t="s">
        <v>22</v>
      </c>
    </row>
    <row r="10416" spans="1:11" ht="42" customHeight="1">
      <c r="A10416" t="s">
        <v>20217</v>
      </c>
      <c r="B10416" t="s">
        <v>20217</v>
      </c>
      <c r="C10416" t="s">
        <v>24</v>
      </c>
      <c r="D10416" t="s">
        <v>17</v>
      </c>
      <c r="E10416" s="6">
        <v>-28338</v>
      </c>
      <c r="F10416" t="s">
        <v>527</v>
      </c>
      <c r="G10416" t="s">
        <v>35</v>
      </c>
      <c r="H10416" t="s">
        <v>20</v>
      </c>
      <c r="I10416" t="s">
        <v>20257</v>
      </c>
      <c r="J10416" t="str">
        <f>HYPERLINK("https://www.boe.es/gazeta/dias/1822/05/30/pdfs/GMD-1822-155.pdf#page=2","Abrir facsímil")</f>
        <v>Abrir facsímil</v>
      </c>
      <c r="K10416" t="s">
        <v>22</v>
      </c>
    </row>
    <row r="10417" spans="1:11" ht="42" customHeight="1">
      <c r="A10417" t="s">
        <v>20252</v>
      </c>
      <c r="B10417" t="s">
        <v>20252</v>
      </c>
      <c r="C10417" t="s">
        <v>50</v>
      </c>
      <c r="D10417" t="s">
        <v>51</v>
      </c>
      <c r="E10417" s="6">
        <v>-28337</v>
      </c>
      <c r="F10417" t="s">
        <v>1836</v>
      </c>
      <c r="G10417" t="s">
        <v>57</v>
      </c>
      <c r="H10417" t="s">
        <v>20</v>
      </c>
      <c r="I10417" t="s">
        <v>20258</v>
      </c>
      <c r="J10417" t="str">
        <f>HYPERLINK("https://www.boe.es/gazeta/dias/1822/05/31/pdfs/GMD-1822-156.pdf#page=4","Abrir facsímil")</f>
        <v>Abrir facsímil</v>
      </c>
      <c r="K10417" t="s">
        <v>22</v>
      </c>
    </row>
    <row r="10418" spans="1:11" ht="42" customHeight="1">
      <c r="A10418" t="s">
        <v>20217</v>
      </c>
      <c r="B10418" t="s">
        <v>20217</v>
      </c>
      <c r="C10418" t="s">
        <v>71</v>
      </c>
      <c r="D10418" t="s">
        <v>17</v>
      </c>
      <c r="E10418" s="6">
        <v>-28332</v>
      </c>
      <c r="F10418" t="s">
        <v>535</v>
      </c>
      <c r="G10418" t="s">
        <v>31</v>
      </c>
      <c r="H10418" t="s">
        <v>20</v>
      </c>
      <c r="I10418" t="s">
        <v>20259</v>
      </c>
      <c r="J10418" t="str">
        <f>HYPERLINK("https://www.boe.es/gazeta/dias/1822/06/05/pdfs/GMD-1822-162.pdf#page=3","Abrir facsímil")</f>
        <v>Abrir facsímil</v>
      </c>
      <c r="K10418" t="s">
        <v>22</v>
      </c>
    </row>
    <row r="10419" spans="1:11" ht="42" customHeight="1">
      <c r="A10419" t="s">
        <v>20217</v>
      </c>
      <c r="B10419" t="s">
        <v>20217</v>
      </c>
      <c r="C10419" t="s">
        <v>24</v>
      </c>
      <c r="D10419" t="s">
        <v>17</v>
      </c>
      <c r="E10419" s="6">
        <v>-28323</v>
      </c>
      <c r="F10419" t="s">
        <v>116</v>
      </c>
      <c r="G10419" t="s">
        <v>31</v>
      </c>
      <c r="H10419" t="s">
        <v>20</v>
      </c>
      <c r="I10419" t="s">
        <v>20260</v>
      </c>
      <c r="J10419" t="str">
        <f>HYPERLINK("https://www.boe.es/gazeta/dias/1822/06/14/pdfs/GMD-1822-171.pdf#page=3","Abrir facsímil")</f>
        <v>Abrir facsímil</v>
      </c>
      <c r="K10419" t="s">
        <v>22</v>
      </c>
    </row>
    <row r="10420" spans="1:11" ht="42" customHeight="1">
      <c r="A10420" t="s">
        <v>20217</v>
      </c>
      <c r="B10420" t="s">
        <v>20217</v>
      </c>
      <c r="C10420" t="s">
        <v>42</v>
      </c>
      <c r="D10420" t="s">
        <v>17</v>
      </c>
      <c r="E10420" s="6">
        <v>-28323</v>
      </c>
      <c r="F10420" t="s">
        <v>116</v>
      </c>
      <c r="G10420" t="s">
        <v>19</v>
      </c>
      <c r="H10420" t="s">
        <v>20</v>
      </c>
      <c r="I10420" t="s">
        <v>20261</v>
      </c>
      <c r="J10420" t="str">
        <f>HYPERLINK("https://www.boe.es/gazeta/dias/1822/06/14/pdfs/GMD-1822-171.pdf#page=5","Abrir facsímil")</f>
        <v>Abrir facsímil</v>
      </c>
      <c r="K10420" t="s">
        <v>22</v>
      </c>
    </row>
    <row r="10421" spans="1:11" ht="42" customHeight="1">
      <c r="A10421" t="s">
        <v>20217</v>
      </c>
      <c r="B10421" t="s">
        <v>20217</v>
      </c>
      <c r="C10421" t="s">
        <v>50</v>
      </c>
      <c r="D10421" t="s">
        <v>51</v>
      </c>
      <c r="E10421" s="6">
        <v>-28322</v>
      </c>
      <c r="F10421" t="s">
        <v>2205</v>
      </c>
      <c r="G10421" t="s">
        <v>3031</v>
      </c>
      <c r="H10421" t="s">
        <v>20</v>
      </c>
      <c r="I10421" t="s">
        <v>20262</v>
      </c>
      <c r="J10421" t="str">
        <f>HYPERLINK("https://www.boe.es/gazeta/dias/1822/06/15/pdfs/GMD-1822-172.pdf#page=2","Abrir facsímil")</f>
        <v>Abrir facsímil</v>
      </c>
      <c r="K10421" t="s">
        <v>22</v>
      </c>
    </row>
    <row r="10422" spans="1:11" ht="42" customHeight="1">
      <c r="A10422" t="s">
        <v>20217</v>
      </c>
      <c r="B10422" t="s">
        <v>20217</v>
      </c>
      <c r="C10422" t="s">
        <v>28</v>
      </c>
      <c r="D10422" t="s">
        <v>29</v>
      </c>
      <c r="E10422" s="6">
        <v>-28320</v>
      </c>
      <c r="F10422" t="s">
        <v>700</v>
      </c>
      <c r="G10422" t="s">
        <v>63</v>
      </c>
      <c r="H10422" t="s">
        <v>20</v>
      </c>
      <c r="I10422" t="s">
        <v>20263</v>
      </c>
      <c r="J10422" t="str">
        <f>HYPERLINK("https://www.boe.es/gazeta/dias/1822/06/17/pdfs/GMD-1822-174.pdf#page=6","Abrir facsímil")</f>
        <v>Abrir facsímil</v>
      </c>
      <c r="K10422" t="s">
        <v>22</v>
      </c>
    </row>
    <row r="10423" spans="1:11" ht="42" customHeight="1">
      <c r="A10423" t="s">
        <v>20217</v>
      </c>
      <c r="B10423" t="s">
        <v>20217</v>
      </c>
      <c r="C10423" t="s">
        <v>50</v>
      </c>
      <c r="D10423" t="s">
        <v>51</v>
      </c>
      <c r="E10423" s="6">
        <v>-28319</v>
      </c>
      <c r="F10423" t="s">
        <v>271</v>
      </c>
      <c r="G10423" t="s">
        <v>35</v>
      </c>
      <c r="H10423" t="s">
        <v>20</v>
      </c>
      <c r="I10423" t="s">
        <v>20264</v>
      </c>
      <c r="J10423" t="str">
        <f>HYPERLINK("https://www.boe.es/gazeta/dias/1822/06/18/pdfs/GMD-1822-175.pdf#page=2","Abrir facsímil")</f>
        <v>Abrir facsímil</v>
      </c>
      <c r="K10423" t="s">
        <v>22</v>
      </c>
    </row>
    <row r="10424" spans="1:11" ht="42" customHeight="1">
      <c r="A10424" t="s">
        <v>20217</v>
      </c>
      <c r="B10424" t="s">
        <v>20217</v>
      </c>
      <c r="C10424" t="s">
        <v>28</v>
      </c>
      <c r="D10424" t="s">
        <v>29</v>
      </c>
      <c r="E10424" s="6">
        <v>-28319</v>
      </c>
      <c r="F10424" t="s">
        <v>271</v>
      </c>
      <c r="G10424" t="s">
        <v>57</v>
      </c>
      <c r="H10424" t="s">
        <v>20</v>
      </c>
      <c r="I10424" t="s">
        <v>20265</v>
      </c>
      <c r="J10424" t="str">
        <f>HYPERLINK("https://www.boe.es/gazeta/dias/1822/06/18/pdfs/GMD-1822-175.pdf#page=4","Abrir facsímil")</f>
        <v>Abrir facsímil</v>
      </c>
      <c r="K10424" t="s">
        <v>22</v>
      </c>
    </row>
    <row r="10425" spans="1:11" ht="42" customHeight="1">
      <c r="A10425" t="s">
        <v>20217</v>
      </c>
      <c r="B10425" t="s">
        <v>20217</v>
      </c>
      <c r="C10425" t="s">
        <v>50</v>
      </c>
      <c r="D10425" t="s">
        <v>51</v>
      </c>
      <c r="E10425" s="6">
        <v>-28318</v>
      </c>
      <c r="F10425" t="s">
        <v>397</v>
      </c>
      <c r="G10425" t="s">
        <v>19</v>
      </c>
      <c r="H10425" t="s">
        <v>20</v>
      </c>
      <c r="I10425" t="s">
        <v>20266</v>
      </c>
      <c r="J10425" t="str">
        <f>HYPERLINK("https://www.boe.es/gazeta/dias/1822/06/19/pdfs/GMD-1822-176.pdf#page=5","Abrir facsímil")</f>
        <v>Abrir facsímil</v>
      </c>
      <c r="K10425" t="s">
        <v>22</v>
      </c>
    </row>
    <row r="10426" spans="1:11" ht="42" customHeight="1">
      <c r="A10426" t="s">
        <v>20217</v>
      </c>
      <c r="B10426" t="s">
        <v>20217</v>
      </c>
      <c r="C10426" t="s">
        <v>42</v>
      </c>
      <c r="D10426" t="s">
        <v>17</v>
      </c>
      <c r="E10426" s="6">
        <v>-28317</v>
      </c>
      <c r="F10426" t="s">
        <v>546</v>
      </c>
      <c r="G10426" t="s">
        <v>167</v>
      </c>
      <c r="H10426" t="s">
        <v>20</v>
      </c>
      <c r="I10426" t="s">
        <v>20267</v>
      </c>
      <c r="J10426" t="str">
        <f>HYPERLINK("https://www.boe.es/gazeta/dias/1822/06/20/pdfs/GMD-1822-177.pdf#page=7","Abrir facsímil")</f>
        <v>Abrir facsímil</v>
      </c>
      <c r="K10426" t="s">
        <v>22</v>
      </c>
    </row>
    <row r="10427" spans="1:11" ht="42" customHeight="1">
      <c r="A10427" t="s">
        <v>20217</v>
      </c>
      <c r="B10427" t="s">
        <v>20217</v>
      </c>
      <c r="C10427" t="s">
        <v>61</v>
      </c>
      <c r="D10427" t="s">
        <v>17</v>
      </c>
      <c r="E10427" s="6">
        <v>-28316</v>
      </c>
      <c r="F10427" t="s">
        <v>1144</v>
      </c>
      <c r="G10427" t="s">
        <v>63</v>
      </c>
      <c r="H10427" t="s">
        <v>20</v>
      </c>
      <c r="I10427" t="s">
        <v>20268</v>
      </c>
      <c r="J10427" t="str">
        <f>HYPERLINK("https://www.boe.es/gazeta/dias/1822/06/21/pdfs/GMD-1822-179.pdf#page=6","Abrir facsímil")</f>
        <v>Abrir facsímil</v>
      </c>
      <c r="K10427" t="s">
        <v>22</v>
      </c>
    </row>
    <row r="10428" spans="1:11" ht="42" customHeight="1">
      <c r="A10428" t="s">
        <v>20217</v>
      </c>
      <c r="B10428" t="s">
        <v>20217</v>
      </c>
      <c r="C10428" t="s">
        <v>16</v>
      </c>
      <c r="D10428" t="s">
        <v>17</v>
      </c>
      <c r="E10428" s="6">
        <v>-28313</v>
      </c>
      <c r="F10428" t="s">
        <v>315</v>
      </c>
      <c r="G10428" t="s">
        <v>57</v>
      </c>
      <c r="H10428" t="s">
        <v>20</v>
      </c>
      <c r="I10428" t="s">
        <v>20269</v>
      </c>
      <c r="J10428" t="str">
        <f>HYPERLINK("https://www.boe.es/gazeta/dias/1822/06/24/pdfs/GMD-1822-182.pdf#page=4","Abrir facsímil")</f>
        <v>Abrir facsímil</v>
      </c>
      <c r="K10428" t="s">
        <v>22</v>
      </c>
    </row>
    <row r="10429" spans="1:11" ht="42" customHeight="1">
      <c r="A10429" t="s">
        <v>20217</v>
      </c>
      <c r="B10429" t="s">
        <v>20217</v>
      </c>
      <c r="C10429" t="s">
        <v>50</v>
      </c>
      <c r="D10429" t="s">
        <v>51</v>
      </c>
      <c r="E10429" s="6">
        <v>-28309</v>
      </c>
      <c r="F10429" t="s">
        <v>553</v>
      </c>
      <c r="G10429" t="s">
        <v>57</v>
      </c>
      <c r="H10429" t="s">
        <v>20</v>
      </c>
      <c r="I10429" t="s">
        <v>20270</v>
      </c>
      <c r="J10429" t="str">
        <f>HYPERLINK("https://www.boe.es/gazeta/dias/1822/06/28/pdfs/GMD-1822-186.pdf#page=4","Abrir facsímil")</f>
        <v>Abrir facsímil</v>
      </c>
      <c r="K10429" t="s">
        <v>22</v>
      </c>
    </row>
    <row r="10430" spans="1:11" ht="42" customHeight="1">
      <c r="A10430" t="s">
        <v>20217</v>
      </c>
      <c r="B10430" t="s">
        <v>20217</v>
      </c>
      <c r="C10430" t="s">
        <v>71</v>
      </c>
      <c r="D10430" t="s">
        <v>17</v>
      </c>
      <c r="E10430" s="6">
        <v>-28309</v>
      </c>
      <c r="F10430" t="s">
        <v>553</v>
      </c>
      <c r="G10430" t="s">
        <v>19</v>
      </c>
      <c r="H10430" t="s">
        <v>20</v>
      </c>
      <c r="I10430" t="s">
        <v>20271</v>
      </c>
      <c r="J10430" t="str">
        <f>HYPERLINK("https://www.boe.es/gazeta/dias/1822/06/28/pdfs/GMD-1822-186.pdf#page=5","Abrir facsímil")</f>
        <v>Abrir facsímil</v>
      </c>
      <c r="K10430" t="s">
        <v>22</v>
      </c>
    </row>
    <row r="10431" spans="1:11" ht="42" customHeight="1">
      <c r="A10431" t="s">
        <v>20272</v>
      </c>
      <c r="B10431" t="s">
        <v>20272</v>
      </c>
      <c r="C10431" t="s">
        <v>61</v>
      </c>
      <c r="D10431" t="s">
        <v>17</v>
      </c>
      <c r="E10431" s="6">
        <v>-28308</v>
      </c>
      <c r="F10431" t="s">
        <v>1050</v>
      </c>
      <c r="G10431" t="s">
        <v>19</v>
      </c>
      <c r="H10431" t="s">
        <v>20</v>
      </c>
      <c r="I10431" t="s">
        <v>20273</v>
      </c>
      <c r="J10431" t="str">
        <f>HYPERLINK("https://www.boe.es/gazeta/dias/1822/06/29/pdfs/GMD-1822-187.pdf#page=5","Abrir facsímil")</f>
        <v>Abrir facsímil</v>
      </c>
      <c r="K10431" t="s">
        <v>22</v>
      </c>
    </row>
    <row r="10432" spans="1:11" ht="42" customHeight="1">
      <c r="A10432" t="s">
        <v>20217</v>
      </c>
      <c r="B10432" t="s">
        <v>20217</v>
      </c>
      <c r="C10432" t="s">
        <v>50</v>
      </c>
      <c r="D10432" t="s">
        <v>51</v>
      </c>
      <c r="E10432" s="6">
        <v>-28287</v>
      </c>
      <c r="F10432" t="s">
        <v>1295</v>
      </c>
      <c r="G10432" t="s">
        <v>57</v>
      </c>
      <c r="H10432" t="s">
        <v>20</v>
      </c>
      <c r="I10432" t="s">
        <v>20274</v>
      </c>
      <c r="J10432" t="str">
        <f>HYPERLINK("https://www.boe.es/gazeta/dias/1822/07/20/pdfs/GMD-1822-212.pdf#page=4","Abrir facsímil")</f>
        <v>Abrir facsímil</v>
      </c>
      <c r="K10432" t="s">
        <v>22</v>
      </c>
    </row>
    <row r="10433" spans="1:11" ht="42" customHeight="1">
      <c r="A10433" t="s">
        <v>20217</v>
      </c>
      <c r="B10433" t="s">
        <v>20217</v>
      </c>
      <c r="C10433" t="s">
        <v>50</v>
      </c>
      <c r="D10433" t="s">
        <v>51</v>
      </c>
      <c r="E10433" s="6">
        <v>-28272</v>
      </c>
      <c r="F10433" t="s">
        <v>52</v>
      </c>
      <c r="G10433" t="s">
        <v>35</v>
      </c>
      <c r="H10433" t="s">
        <v>20</v>
      </c>
      <c r="I10433" t="s">
        <v>20275</v>
      </c>
      <c r="J10433" t="str">
        <f>HYPERLINK("https://www.boe.es/gazeta/dias/1822/08/04/pdfs/GMD-1822-228.pdf#page=2","Abrir facsímil")</f>
        <v>Abrir facsímil</v>
      </c>
      <c r="K10433" t="s">
        <v>22</v>
      </c>
    </row>
    <row r="10434" spans="1:11" ht="42" customHeight="1">
      <c r="A10434" t="s">
        <v>20252</v>
      </c>
      <c r="B10434" t="s">
        <v>20252</v>
      </c>
      <c r="C10434" t="s">
        <v>28</v>
      </c>
      <c r="D10434" t="s">
        <v>29</v>
      </c>
      <c r="E10434" s="6">
        <v>-28205</v>
      </c>
      <c r="F10434" t="s">
        <v>806</v>
      </c>
      <c r="G10434" t="s">
        <v>44</v>
      </c>
      <c r="H10434" t="s">
        <v>20</v>
      </c>
      <c r="I10434" t="s">
        <v>20276</v>
      </c>
      <c r="J10434" t="str">
        <f>HYPERLINK("https://www.boe.es/gazeta/dias/1822/10/10/pdfs/GMD-1822-297.pdf#page=1","Abrir facsímil")</f>
        <v>Abrir facsímil</v>
      </c>
      <c r="K10434" t="s">
        <v>22</v>
      </c>
    </row>
    <row r="10435" spans="1:11" ht="42" customHeight="1">
      <c r="A10435" t="s">
        <v>20217</v>
      </c>
      <c r="B10435" t="s">
        <v>20217</v>
      </c>
      <c r="C10435" t="s">
        <v>42</v>
      </c>
      <c r="D10435" t="s">
        <v>17</v>
      </c>
      <c r="E10435" s="6">
        <v>-28201</v>
      </c>
      <c r="F10435" t="s">
        <v>163</v>
      </c>
      <c r="G10435" t="s">
        <v>35</v>
      </c>
      <c r="H10435" t="s">
        <v>20</v>
      </c>
      <c r="I10435" t="s">
        <v>20277</v>
      </c>
      <c r="J10435" t="str">
        <f>HYPERLINK("https://www.boe.es/gazeta/dias/1822/10/14/pdfs/GMD-1822-301.pdf#page=2","Abrir facsímil")</f>
        <v>Abrir facsímil</v>
      </c>
      <c r="K10435" t="s">
        <v>22</v>
      </c>
    </row>
    <row r="10436" spans="1:11" ht="42" customHeight="1">
      <c r="A10436" t="s">
        <v>20217</v>
      </c>
      <c r="B10436" t="s">
        <v>20217</v>
      </c>
      <c r="C10436" t="s">
        <v>71</v>
      </c>
      <c r="D10436" t="s">
        <v>17</v>
      </c>
      <c r="E10436" s="6">
        <v>-28200</v>
      </c>
      <c r="F10436" t="s">
        <v>1037</v>
      </c>
      <c r="G10436" t="s">
        <v>35</v>
      </c>
      <c r="H10436" t="s">
        <v>20</v>
      </c>
      <c r="I10436" t="s">
        <v>20278</v>
      </c>
      <c r="J10436" t="str">
        <f>HYPERLINK("https://www.boe.es/gazeta/dias/1822/10/15/pdfs/GMD-1822-302.pdf#page=2","Abrir facsímil")</f>
        <v>Abrir facsímil</v>
      </c>
      <c r="K10436" t="s">
        <v>22</v>
      </c>
    </row>
    <row r="10437" spans="1:11" ht="42" customHeight="1">
      <c r="A10437" t="s">
        <v>20217</v>
      </c>
      <c r="B10437" t="s">
        <v>20217</v>
      </c>
      <c r="C10437" t="s">
        <v>50</v>
      </c>
      <c r="D10437" t="s">
        <v>51</v>
      </c>
      <c r="E10437" s="6">
        <v>-28200</v>
      </c>
      <c r="F10437" t="s">
        <v>1037</v>
      </c>
      <c r="G10437" t="s">
        <v>57</v>
      </c>
      <c r="H10437" t="s">
        <v>20</v>
      </c>
      <c r="I10437" t="s">
        <v>20279</v>
      </c>
      <c r="J10437" t="str">
        <f>HYPERLINK("https://www.boe.es/gazeta/dias/1822/10/15/pdfs/GMD-1822-302.pdf#page=4","Abrir facsímil")</f>
        <v>Abrir facsímil</v>
      </c>
      <c r="K10437" t="s">
        <v>22</v>
      </c>
    </row>
    <row r="10438" spans="1:11" ht="42" customHeight="1">
      <c r="A10438" t="s">
        <v>20217</v>
      </c>
      <c r="B10438" t="s">
        <v>20217</v>
      </c>
      <c r="C10438" t="s">
        <v>28</v>
      </c>
      <c r="D10438" t="s">
        <v>29</v>
      </c>
      <c r="E10438" s="6">
        <v>-28200</v>
      </c>
      <c r="F10438" t="s">
        <v>1037</v>
      </c>
      <c r="G10438" t="s">
        <v>19</v>
      </c>
      <c r="H10438" t="s">
        <v>20</v>
      </c>
      <c r="I10438" t="s">
        <v>20280</v>
      </c>
      <c r="J10438" t="str">
        <f>HYPERLINK("https://www.boe.es/gazeta/dias/1822/10/15/pdfs/GMD-1822-302.pdf#page=5","Abrir facsímil")</f>
        <v>Abrir facsímil</v>
      </c>
      <c r="K10438" t="s">
        <v>22</v>
      </c>
    </row>
    <row r="10439" spans="1:11" ht="42" customHeight="1">
      <c r="A10439" t="s">
        <v>20217</v>
      </c>
      <c r="B10439" t="s">
        <v>20217</v>
      </c>
      <c r="C10439" t="s">
        <v>42</v>
      </c>
      <c r="D10439" t="s">
        <v>17</v>
      </c>
      <c r="E10439" s="6">
        <v>-28199</v>
      </c>
      <c r="F10439" t="s">
        <v>656</v>
      </c>
      <c r="G10439" t="s">
        <v>31</v>
      </c>
      <c r="H10439" t="s">
        <v>20</v>
      </c>
      <c r="I10439" t="s">
        <v>20281</v>
      </c>
      <c r="J10439" t="str">
        <f>HYPERLINK("https://www.boe.es/gazeta/dias/1822/10/16/pdfs/GMD-1822-303.pdf#page=3","Abrir facsímil")</f>
        <v>Abrir facsímil</v>
      </c>
      <c r="K10439" t="s">
        <v>22</v>
      </c>
    </row>
    <row r="10440" spans="1:11" ht="42" customHeight="1">
      <c r="A10440" t="s">
        <v>20217</v>
      </c>
      <c r="B10440" t="s">
        <v>20217</v>
      </c>
      <c r="C10440" t="s">
        <v>71</v>
      </c>
      <c r="D10440" t="s">
        <v>17</v>
      </c>
      <c r="E10440" s="6">
        <v>-28198</v>
      </c>
      <c r="F10440" t="s">
        <v>981</v>
      </c>
      <c r="G10440" t="s">
        <v>35</v>
      </c>
      <c r="H10440" t="s">
        <v>20</v>
      </c>
      <c r="I10440" t="s">
        <v>20282</v>
      </c>
      <c r="J10440" t="str">
        <f>HYPERLINK("https://www.boe.es/gazeta/dias/1822/10/17/pdfs/GMD-1822-304.pdf#page=2","Abrir facsímil")</f>
        <v>Abrir facsímil</v>
      </c>
      <c r="K10440" t="s">
        <v>22</v>
      </c>
    </row>
    <row r="10441" spans="1:11" ht="42" customHeight="1">
      <c r="A10441" t="s">
        <v>20217</v>
      </c>
      <c r="B10441" t="s">
        <v>20217</v>
      </c>
      <c r="C10441" t="s">
        <v>42</v>
      </c>
      <c r="D10441" t="s">
        <v>17</v>
      </c>
      <c r="E10441" s="6">
        <v>-28198</v>
      </c>
      <c r="F10441" t="s">
        <v>981</v>
      </c>
      <c r="G10441" t="s">
        <v>31</v>
      </c>
      <c r="H10441" t="s">
        <v>20</v>
      </c>
      <c r="I10441" t="s">
        <v>20283</v>
      </c>
      <c r="J10441" t="str">
        <f>HYPERLINK("https://www.boe.es/gazeta/dias/1822/10/17/pdfs/GMD-1822-304.pdf#page=3","Abrir facsímil")</f>
        <v>Abrir facsímil</v>
      </c>
      <c r="K10441" t="s">
        <v>22</v>
      </c>
    </row>
    <row r="10442" spans="1:11" ht="42" customHeight="1">
      <c r="A10442" t="s">
        <v>20217</v>
      </c>
      <c r="B10442" t="s">
        <v>20217</v>
      </c>
      <c r="C10442" t="s">
        <v>50</v>
      </c>
      <c r="D10442" t="s">
        <v>51</v>
      </c>
      <c r="E10442" s="6">
        <v>-28197</v>
      </c>
      <c r="F10442" t="s">
        <v>568</v>
      </c>
      <c r="G10442" t="s">
        <v>35</v>
      </c>
      <c r="H10442" t="s">
        <v>20</v>
      </c>
      <c r="I10442" t="s">
        <v>20284</v>
      </c>
      <c r="J10442" t="str">
        <f>HYPERLINK("https://www.boe.es/gazeta/dias/1822/10/18/pdfs/GMD-1822-305.pdf#page=2","Abrir facsímil")</f>
        <v>Abrir facsímil</v>
      </c>
      <c r="K10442" t="s">
        <v>22</v>
      </c>
    </row>
    <row r="10443" spans="1:11" ht="42" customHeight="1">
      <c r="A10443" t="s">
        <v>20217</v>
      </c>
      <c r="B10443" t="s">
        <v>20217</v>
      </c>
      <c r="C10443" t="s">
        <v>50</v>
      </c>
      <c r="D10443" t="s">
        <v>51</v>
      </c>
      <c r="E10443" s="6">
        <v>-28197</v>
      </c>
      <c r="F10443" t="s">
        <v>568</v>
      </c>
      <c r="G10443" t="s">
        <v>31</v>
      </c>
      <c r="H10443" t="s">
        <v>20</v>
      </c>
      <c r="I10443" t="s">
        <v>20285</v>
      </c>
      <c r="J10443" t="str">
        <f>HYPERLINK("https://www.boe.es/gazeta/dias/1822/10/18/pdfs/GMD-1822-305.pdf#page=3","Abrir facsímil")</f>
        <v>Abrir facsímil</v>
      </c>
      <c r="K10443" t="s">
        <v>22</v>
      </c>
    </row>
    <row r="10444" spans="1:11" ht="42" customHeight="1">
      <c r="A10444" t="s">
        <v>20217</v>
      </c>
      <c r="B10444" t="s">
        <v>20217</v>
      </c>
      <c r="C10444" t="s">
        <v>24</v>
      </c>
      <c r="D10444" t="s">
        <v>17</v>
      </c>
      <c r="E10444" s="6">
        <v>-28196</v>
      </c>
      <c r="F10444" t="s">
        <v>570</v>
      </c>
      <c r="G10444" t="s">
        <v>35</v>
      </c>
      <c r="H10444" t="s">
        <v>20</v>
      </c>
      <c r="I10444" t="s">
        <v>20286</v>
      </c>
      <c r="J10444" t="str">
        <f>HYPERLINK("https://www.boe.es/gazeta/dias/1822/10/19/pdfs/GMD-1822-306.pdf#page=2","Abrir facsímil")</f>
        <v>Abrir facsímil</v>
      </c>
      <c r="K10444" t="s">
        <v>22</v>
      </c>
    </row>
    <row r="10445" spans="1:11" ht="42" customHeight="1">
      <c r="A10445" t="s">
        <v>20252</v>
      </c>
      <c r="B10445" t="s">
        <v>20252</v>
      </c>
      <c r="C10445" t="s">
        <v>71</v>
      </c>
      <c r="D10445" t="s">
        <v>17</v>
      </c>
      <c r="E10445" s="6">
        <v>-28194</v>
      </c>
      <c r="F10445" t="s">
        <v>18</v>
      </c>
      <c r="G10445" t="s">
        <v>44</v>
      </c>
      <c r="H10445" t="s">
        <v>20</v>
      </c>
      <c r="I10445" t="s">
        <v>20287</v>
      </c>
      <c r="J10445" t="str">
        <f>HYPERLINK("https://www.boe.es/gazeta/dias/1822/10/21/pdfs/GMD-1822-308.pdf#page=1","Abrir facsímil")</f>
        <v>Abrir facsímil</v>
      </c>
      <c r="K10445" t="s">
        <v>22</v>
      </c>
    </row>
    <row r="10446" spans="1:11" ht="42" customHeight="1">
      <c r="A10446" t="s">
        <v>20217</v>
      </c>
      <c r="B10446" t="s">
        <v>20217</v>
      </c>
      <c r="C10446" t="s">
        <v>28</v>
      </c>
      <c r="D10446" t="s">
        <v>29</v>
      </c>
      <c r="E10446" s="6">
        <v>-28194</v>
      </c>
      <c r="F10446" t="s">
        <v>18</v>
      </c>
      <c r="G10446" t="s">
        <v>57</v>
      </c>
      <c r="H10446" t="s">
        <v>20</v>
      </c>
      <c r="I10446" t="s">
        <v>20288</v>
      </c>
      <c r="J10446" t="str">
        <f>HYPERLINK("https://www.boe.es/gazeta/dias/1822/10/21/pdfs/GMD-1822-308.pdf#page=4","Abrir facsímil")</f>
        <v>Abrir facsímil</v>
      </c>
      <c r="K10446" t="s">
        <v>22</v>
      </c>
    </row>
    <row r="10447" spans="1:11" ht="42" customHeight="1">
      <c r="A10447" t="s">
        <v>20217</v>
      </c>
      <c r="B10447" t="s">
        <v>20217</v>
      </c>
      <c r="C10447" t="s">
        <v>50</v>
      </c>
      <c r="D10447" t="s">
        <v>51</v>
      </c>
      <c r="E10447" s="6">
        <v>-28193</v>
      </c>
      <c r="F10447" t="s">
        <v>574</v>
      </c>
      <c r="G10447" t="s">
        <v>19</v>
      </c>
      <c r="H10447" t="s">
        <v>20</v>
      </c>
      <c r="I10447" t="s">
        <v>20289</v>
      </c>
      <c r="J10447" t="str">
        <f>HYPERLINK("https://www.boe.es/gazeta/dias/1822/10/22/pdfs/GMD-1822-309.pdf#page=5","Abrir facsímil")</f>
        <v>Abrir facsímil</v>
      </c>
      <c r="K10447" t="s">
        <v>22</v>
      </c>
    </row>
    <row r="10448" spans="1:11" ht="42" customHeight="1">
      <c r="A10448" t="s">
        <v>20217</v>
      </c>
      <c r="B10448" t="s">
        <v>20217</v>
      </c>
      <c r="C10448" t="s">
        <v>71</v>
      </c>
      <c r="D10448" t="s">
        <v>17</v>
      </c>
      <c r="E10448" s="6">
        <v>-28190</v>
      </c>
      <c r="F10448" t="s">
        <v>576</v>
      </c>
      <c r="G10448" t="s">
        <v>31</v>
      </c>
      <c r="H10448" t="s">
        <v>20</v>
      </c>
      <c r="I10448" t="s">
        <v>20290</v>
      </c>
      <c r="J10448" t="str">
        <f>HYPERLINK("https://www.boe.es/gazeta/dias/1822/10/25/pdfs/GMD-1822-312.pdf#page=3","Abrir facsímil")</f>
        <v>Abrir facsímil</v>
      </c>
      <c r="K10448" t="s">
        <v>22</v>
      </c>
    </row>
    <row r="10449" spans="1:11" ht="42" customHeight="1">
      <c r="A10449" t="s">
        <v>20217</v>
      </c>
      <c r="B10449" t="s">
        <v>20217</v>
      </c>
      <c r="C10449" t="s">
        <v>50</v>
      </c>
      <c r="D10449" t="s">
        <v>51</v>
      </c>
      <c r="E10449" s="6">
        <v>-28189</v>
      </c>
      <c r="F10449" t="s">
        <v>645</v>
      </c>
      <c r="G10449" t="s">
        <v>31</v>
      </c>
      <c r="H10449" t="s">
        <v>20</v>
      </c>
      <c r="I10449" t="s">
        <v>20291</v>
      </c>
      <c r="J10449" t="str">
        <f>HYPERLINK("https://www.boe.es/gazeta/dias/1822/10/26/pdfs/GMD-1822-313.pdf#page=3","Abrir facsímil")</f>
        <v>Abrir facsímil</v>
      </c>
      <c r="K10449" t="s">
        <v>22</v>
      </c>
    </row>
    <row r="10450" spans="1:11" ht="42" customHeight="1">
      <c r="A10450" t="s">
        <v>20217</v>
      </c>
      <c r="B10450" t="s">
        <v>20217</v>
      </c>
      <c r="C10450" t="s">
        <v>42</v>
      </c>
      <c r="D10450" t="s">
        <v>17</v>
      </c>
      <c r="E10450" s="6">
        <v>-28188</v>
      </c>
      <c r="F10450" t="s">
        <v>578</v>
      </c>
      <c r="G10450" t="s">
        <v>44</v>
      </c>
      <c r="H10450" t="s">
        <v>20</v>
      </c>
      <c r="I10450" t="s">
        <v>20292</v>
      </c>
      <c r="J10450" t="str">
        <f>HYPERLINK("https://www.boe.es/gazeta/dias/1822/10/27/pdfs/GMD-1822-314.pdf#page=1","Abrir facsímil")</f>
        <v>Abrir facsímil</v>
      </c>
      <c r="K10450" t="s">
        <v>22</v>
      </c>
    </row>
    <row r="10451" spans="1:11" ht="42" customHeight="1">
      <c r="A10451" t="s">
        <v>20217</v>
      </c>
      <c r="B10451" t="s">
        <v>20217</v>
      </c>
      <c r="C10451" t="s">
        <v>50</v>
      </c>
      <c r="D10451" t="s">
        <v>51</v>
      </c>
      <c r="E10451" s="6">
        <v>-28188</v>
      </c>
      <c r="F10451" t="s">
        <v>578</v>
      </c>
      <c r="G10451" t="s">
        <v>31</v>
      </c>
      <c r="H10451" t="s">
        <v>20</v>
      </c>
      <c r="I10451" t="s">
        <v>20293</v>
      </c>
      <c r="J10451" t="str">
        <f>HYPERLINK("https://www.boe.es/gazeta/dias/1822/10/27/pdfs/GMD-1822-314.pdf#page=3","Abrir facsímil")</f>
        <v>Abrir facsímil</v>
      </c>
      <c r="K10451" t="s">
        <v>22</v>
      </c>
    </row>
    <row r="10452" spans="1:11" ht="42" customHeight="1">
      <c r="A10452" t="s">
        <v>20217</v>
      </c>
      <c r="B10452" t="s">
        <v>20217</v>
      </c>
      <c r="C10452" t="s">
        <v>71</v>
      </c>
      <c r="D10452" t="s">
        <v>17</v>
      </c>
      <c r="E10452" s="6">
        <v>-28188</v>
      </c>
      <c r="F10452" t="s">
        <v>578</v>
      </c>
      <c r="G10452" t="s">
        <v>63</v>
      </c>
      <c r="H10452" t="s">
        <v>20</v>
      </c>
      <c r="I10452" t="s">
        <v>20294</v>
      </c>
      <c r="J10452" t="str">
        <f>HYPERLINK("https://www.boe.es/gazeta/dias/1822/10/27/pdfs/GMD-1822-314.pdf#page=6","Abrir facsímil")</f>
        <v>Abrir facsímil</v>
      </c>
      <c r="K10452" t="s">
        <v>22</v>
      </c>
    </row>
    <row r="10453" spans="1:11" ht="42" customHeight="1">
      <c r="A10453" t="s">
        <v>20217</v>
      </c>
      <c r="B10453" t="s">
        <v>20217</v>
      </c>
      <c r="C10453" t="s">
        <v>50</v>
      </c>
      <c r="D10453" t="s">
        <v>51</v>
      </c>
      <c r="E10453" s="6">
        <v>-28187</v>
      </c>
      <c r="F10453" t="s">
        <v>929</v>
      </c>
      <c r="G10453" t="s">
        <v>35</v>
      </c>
      <c r="H10453" t="s">
        <v>20</v>
      </c>
      <c r="I10453" t="s">
        <v>20295</v>
      </c>
      <c r="J10453" t="str">
        <f>HYPERLINK("https://www.boe.es/gazeta/dias/1822/10/28/pdfs/GMD-1822-315.pdf#page=2","Abrir facsímil")</f>
        <v>Abrir facsímil</v>
      </c>
      <c r="K10453" t="s">
        <v>22</v>
      </c>
    </row>
    <row r="10454" spans="1:11" ht="42" customHeight="1">
      <c r="A10454" t="s">
        <v>20217</v>
      </c>
      <c r="B10454" t="s">
        <v>20217</v>
      </c>
      <c r="C10454" t="s">
        <v>16</v>
      </c>
      <c r="D10454" t="s">
        <v>17</v>
      </c>
      <c r="E10454" s="6">
        <v>-28186</v>
      </c>
      <c r="F10454" t="s">
        <v>581</v>
      </c>
      <c r="G10454" t="s">
        <v>35</v>
      </c>
      <c r="H10454" t="s">
        <v>20</v>
      </c>
      <c r="I10454" t="s">
        <v>20296</v>
      </c>
      <c r="J10454" t="str">
        <f>HYPERLINK("https://www.boe.es/gazeta/dias/1822/10/29/pdfs/GMD-1822-316.pdf#page=2","Abrir facsímil")</f>
        <v>Abrir facsímil</v>
      </c>
      <c r="K10454" t="s">
        <v>22</v>
      </c>
    </row>
    <row r="10455" spans="1:11" ht="42" customHeight="1">
      <c r="A10455" t="s">
        <v>20217</v>
      </c>
      <c r="B10455" t="s">
        <v>20217</v>
      </c>
      <c r="C10455" t="s">
        <v>50</v>
      </c>
      <c r="D10455" t="s">
        <v>51</v>
      </c>
      <c r="E10455" s="6">
        <v>-28185</v>
      </c>
      <c r="F10455" t="s">
        <v>933</v>
      </c>
      <c r="G10455" t="s">
        <v>35</v>
      </c>
      <c r="H10455" t="s">
        <v>20</v>
      </c>
      <c r="I10455" t="s">
        <v>20297</v>
      </c>
      <c r="J10455" t="str">
        <f>HYPERLINK("https://www.boe.es/gazeta/dias/1822/10/30/pdfs/GMD-1822-317.pdf#page=2","Abrir facsímil")</f>
        <v>Abrir facsímil</v>
      </c>
      <c r="K10455" t="s">
        <v>22</v>
      </c>
    </row>
    <row r="10456" spans="1:11" ht="42" customHeight="1">
      <c r="A10456" t="s">
        <v>20217</v>
      </c>
      <c r="B10456" t="s">
        <v>20217</v>
      </c>
      <c r="C10456" t="s">
        <v>42</v>
      </c>
      <c r="D10456" t="s">
        <v>17</v>
      </c>
      <c r="E10456" s="6">
        <v>-28185</v>
      </c>
      <c r="F10456" t="s">
        <v>933</v>
      </c>
      <c r="G10456" t="s">
        <v>31</v>
      </c>
      <c r="H10456" t="s">
        <v>20</v>
      </c>
      <c r="I10456" t="s">
        <v>20298</v>
      </c>
      <c r="J10456" t="str">
        <f>HYPERLINK("https://www.boe.es/gazeta/dias/1822/10/30/pdfs/GMD-1822-317.pdf#page=3","Abrir facsímil")</f>
        <v>Abrir facsímil</v>
      </c>
      <c r="K10456" t="s">
        <v>22</v>
      </c>
    </row>
    <row r="10457" spans="1:11" ht="42" customHeight="1">
      <c r="A10457" t="s">
        <v>20217</v>
      </c>
      <c r="B10457" t="s">
        <v>20217</v>
      </c>
      <c r="C10457" t="s">
        <v>50</v>
      </c>
      <c r="D10457" t="s">
        <v>51</v>
      </c>
      <c r="E10457" s="6">
        <v>-28185</v>
      </c>
      <c r="F10457" t="s">
        <v>933</v>
      </c>
      <c r="G10457" t="s">
        <v>57</v>
      </c>
      <c r="H10457" t="s">
        <v>20</v>
      </c>
      <c r="I10457" t="s">
        <v>20299</v>
      </c>
      <c r="J10457" t="str">
        <f>HYPERLINK("https://www.boe.es/gazeta/dias/1822/10/30/pdfs/GMD-1822-317.pdf#page=4","Abrir facsímil")</f>
        <v>Abrir facsímil</v>
      </c>
      <c r="K10457" t="s">
        <v>22</v>
      </c>
    </row>
    <row r="10458" spans="1:11" ht="42" customHeight="1">
      <c r="A10458" t="s">
        <v>20217</v>
      </c>
      <c r="B10458" t="s">
        <v>20217</v>
      </c>
      <c r="C10458" t="s">
        <v>50</v>
      </c>
      <c r="D10458" t="s">
        <v>51</v>
      </c>
      <c r="E10458" s="6">
        <v>-28184</v>
      </c>
      <c r="F10458" t="s">
        <v>1423</v>
      </c>
      <c r="G10458" t="s">
        <v>31</v>
      </c>
      <c r="H10458" t="s">
        <v>20</v>
      </c>
      <c r="I10458" t="s">
        <v>20300</v>
      </c>
      <c r="J10458" t="str">
        <f>HYPERLINK("https://www.boe.es/gazeta/dias/1822/10/31/pdfs/GMD-1822-318.pdf#page=3","Abrir facsímil")</f>
        <v>Abrir facsímil</v>
      </c>
      <c r="K10458" t="s">
        <v>22</v>
      </c>
    </row>
    <row r="10459" spans="1:11" ht="42" customHeight="1">
      <c r="A10459" t="s">
        <v>20217</v>
      </c>
      <c r="B10459" t="s">
        <v>20217</v>
      </c>
      <c r="C10459" t="s">
        <v>50</v>
      </c>
      <c r="D10459" t="s">
        <v>51</v>
      </c>
      <c r="E10459" s="6">
        <v>-28184</v>
      </c>
      <c r="F10459" t="s">
        <v>1423</v>
      </c>
      <c r="G10459" t="s">
        <v>57</v>
      </c>
      <c r="H10459" t="s">
        <v>20</v>
      </c>
      <c r="I10459" t="s">
        <v>20301</v>
      </c>
      <c r="J10459" t="str">
        <f>HYPERLINK("https://www.boe.es/gazeta/dias/1822/10/31/pdfs/GMD-1822-318.pdf#page=4","Abrir facsímil")</f>
        <v>Abrir facsímil</v>
      </c>
      <c r="K10459" t="s">
        <v>22</v>
      </c>
    </row>
    <row r="10460" spans="1:11" ht="42" customHeight="1">
      <c r="A10460" t="s">
        <v>20217</v>
      </c>
      <c r="B10460" t="s">
        <v>20217</v>
      </c>
      <c r="C10460" t="s">
        <v>42</v>
      </c>
      <c r="D10460" t="s">
        <v>17</v>
      </c>
      <c r="E10460" s="6">
        <v>-28183</v>
      </c>
      <c r="F10460" t="s">
        <v>583</v>
      </c>
      <c r="G10460" t="s">
        <v>35</v>
      </c>
      <c r="H10460" t="s">
        <v>20</v>
      </c>
      <c r="I10460" t="s">
        <v>20302</v>
      </c>
      <c r="J10460" t="str">
        <f>HYPERLINK("https://www.boe.es/gazeta/dias/1822/11/01/pdfs/GMD-1822-319.pdf#page=2","Abrir facsímil")</f>
        <v>Abrir facsímil</v>
      </c>
      <c r="K10460" t="s">
        <v>22</v>
      </c>
    </row>
    <row r="10461" spans="1:11" ht="42" customHeight="1">
      <c r="A10461" t="s">
        <v>20217</v>
      </c>
      <c r="B10461" t="s">
        <v>20217</v>
      </c>
      <c r="C10461" t="s">
        <v>50</v>
      </c>
      <c r="D10461" t="s">
        <v>51</v>
      </c>
      <c r="E10461" s="6">
        <v>-28182</v>
      </c>
      <c r="F10461" t="s">
        <v>585</v>
      </c>
      <c r="G10461" t="s">
        <v>44</v>
      </c>
      <c r="H10461" t="s">
        <v>20</v>
      </c>
      <c r="I10461" t="s">
        <v>20303</v>
      </c>
      <c r="J10461" t="str">
        <f>HYPERLINK("https://www.boe.es/gazeta/dias/1822/11/02/pdfs/GMD-1822-320.pdf#page=1","Abrir facsímil")</f>
        <v>Abrir facsímil</v>
      </c>
      <c r="K10461" t="s">
        <v>22</v>
      </c>
    </row>
    <row r="10462" spans="1:11" ht="42" customHeight="1">
      <c r="A10462" t="s">
        <v>20217</v>
      </c>
      <c r="B10462" t="s">
        <v>20217</v>
      </c>
      <c r="C10462" t="s">
        <v>71</v>
      </c>
      <c r="D10462" t="s">
        <v>17</v>
      </c>
      <c r="E10462" s="6">
        <v>-28182</v>
      </c>
      <c r="F10462" t="s">
        <v>585</v>
      </c>
      <c r="G10462" t="s">
        <v>31</v>
      </c>
      <c r="H10462" t="s">
        <v>20</v>
      </c>
      <c r="I10462" t="s">
        <v>20304</v>
      </c>
      <c r="J10462" t="str">
        <f>HYPERLINK("https://www.boe.es/gazeta/dias/1822/11/02/pdfs/GMD-1822-320.pdf#page=3","Abrir facsímil")</f>
        <v>Abrir facsímil</v>
      </c>
      <c r="K10462" t="s">
        <v>22</v>
      </c>
    </row>
    <row r="10463" spans="1:11" ht="42" customHeight="1">
      <c r="A10463" t="s">
        <v>20217</v>
      </c>
      <c r="B10463" t="s">
        <v>20217</v>
      </c>
      <c r="C10463" t="s">
        <v>50</v>
      </c>
      <c r="D10463" t="s">
        <v>51</v>
      </c>
      <c r="E10463" s="6">
        <v>-28178</v>
      </c>
      <c r="F10463" t="s">
        <v>318</v>
      </c>
      <c r="G10463" t="s">
        <v>44</v>
      </c>
      <c r="H10463" t="s">
        <v>20</v>
      </c>
      <c r="I10463" t="s">
        <v>20305</v>
      </c>
      <c r="J10463" t="str">
        <f>HYPERLINK("https://www.boe.es/gazeta/dias/1822/11/06/pdfs/GMD-1822-326.pdf#page=1","Abrir facsímil")</f>
        <v>Abrir facsímil</v>
      </c>
      <c r="K10463" t="s">
        <v>22</v>
      </c>
    </row>
    <row r="10464" spans="1:11" ht="42" customHeight="1">
      <c r="A10464" t="s">
        <v>20217</v>
      </c>
      <c r="B10464" t="s">
        <v>20217</v>
      </c>
      <c r="C10464" t="s">
        <v>71</v>
      </c>
      <c r="D10464" t="s">
        <v>17</v>
      </c>
      <c r="E10464" s="6">
        <v>-28178</v>
      </c>
      <c r="F10464" t="s">
        <v>318</v>
      </c>
      <c r="G10464" t="s">
        <v>35</v>
      </c>
      <c r="H10464" t="s">
        <v>20</v>
      </c>
      <c r="I10464" t="s">
        <v>20306</v>
      </c>
      <c r="J10464" t="str">
        <f>HYPERLINK("https://www.boe.es/gazeta/dias/1822/11/06/pdfs/GMD-1822-326.pdf#page=2","Abrir facsímil")</f>
        <v>Abrir facsímil</v>
      </c>
      <c r="K10464" t="s">
        <v>22</v>
      </c>
    </row>
    <row r="10465" spans="1:11" ht="42" customHeight="1">
      <c r="A10465" t="s">
        <v>20217</v>
      </c>
      <c r="B10465" t="s">
        <v>20217</v>
      </c>
      <c r="C10465" t="s">
        <v>16</v>
      </c>
      <c r="D10465" t="s">
        <v>17</v>
      </c>
      <c r="E10465" s="6">
        <v>-28176</v>
      </c>
      <c r="F10465" t="s">
        <v>780</v>
      </c>
      <c r="G10465" t="s">
        <v>5014</v>
      </c>
      <c r="H10465" t="s">
        <v>20</v>
      </c>
      <c r="I10465" t="s">
        <v>20307</v>
      </c>
      <c r="J10465" t="str">
        <f>HYPERLINK("https://www.boe.es/gazeta/dias/1822/11/08/pdfs/GMD-1822-328.pdf#page=4","Abrir facsímil")</f>
        <v>Abrir facsímil</v>
      </c>
      <c r="K10465" t="s">
        <v>22</v>
      </c>
    </row>
    <row r="10466" spans="1:11" ht="42" customHeight="1">
      <c r="A10466" t="s">
        <v>20217</v>
      </c>
      <c r="B10466" t="s">
        <v>20217</v>
      </c>
      <c r="C10466" t="s">
        <v>71</v>
      </c>
      <c r="D10466" t="s">
        <v>17</v>
      </c>
      <c r="E10466" s="6">
        <v>-28176</v>
      </c>
      <c r="F10466" t="s">
        <v>780</v>
      </c>
      <c r="G10466" t="s">
        <v>35</v>
      </c>
      <c r="H10466" t="s">
        <v>20</v>
      </c>
      <c r="I10466" t="s">
        <v>20308</v>
      </c>
      <c r="J10466" t="str">
        <f>HYPERLINK("https://www.boe.es/gazeta/dias/1822/11/08/pdfs/GMD-1822-328.pdf#page=2","Abrir facsímil")</f>
        <v>Abrir facsímil</v>
      </c>
      <c r="K10466" t="s">
        <v>22</v>
      </c>
    </row>
    <row r="10467" spans="1:11" ht="42" customHeight="1">
      <c r="A10467" t="s">
        <v>20217</v>
      </c>
      <c r="B10467" t="s">
        <v>20217</v>
      </c>
      <c r="C10467" t="s">
        <v>50</v>
      </c>
      <c r="D10467" t="s">
        <v>51</v>
      </c>
      <c r="E10467" s="6">
        <v>-28175</v>
      </c>
      <c r="F10467" t="s">
        <v>341</v>
      </c>
      <c r="G10467" t="s">
        <v>35</v>
      </c>
      <c r="H10467" t="s">
        <v>20</v>
      </c>
      <c r="I10467" t="s">
        <v>20309</v>
      </c>
      <c r="J10467" t="str">
        <f>HYPERLINK("https://www.boe.es/gazeta/dias/1822/11/09/pdfs/GMD-1822-329.pdf#page=2","Abrir facsímil")</f>
        <v>Abrir facsímil</v>
      </c>
      <c r="K10467" t="s">
        <v>22</v>
      </c>
    </row>
    <row r="10468" spans="1:11" ht="42" customHeight="1">
      <c r="A10468" t="s">
        <v>20217</v>
      </c>
      <c r="B10468" t="s">
        <v>20217</v>
      </c>
      <c r="C10468" t="s">
        <v>28</v>
      </c>
      <c r="D10468" t="s">
        <v>29</v>
      </c>
      <c r="E10468" s="6">
        <v>-28174</v>
      </c>
      <c r="F10468" t="s">
        <v>881</v>
      </c>
      <c r="G10468" t="s">
        <v>35</v>
      </c>
      <c r="H10468" t="s">
        <v>20</v>
      </c>
      <c r="I10468" t="s">
        <v>20310</v>
      </c>
      <c r="J10468" t="str">
        <f>HYPERLINK("https://www.boe.es/gazeta/dias/1822/11/10/pdfs/GMD-1822-330.pdf#page=2","Abrir facsímil")</f>
        <v>Abrir facsímil</v>
      </c>
      <c r="K10468" t="s">
        <v>22</v>
      </c>
    </row>
    <row r="10469" spans="1:11" ht="42" customHeight="1">
      <c r="A10469" t="s">
        <v>20217</v>
      </c>
      <c r="B10469" t="s">
        <v>20217</v>
      </c>
      <c r="C10469" t="s">
        <v>50</v>
      </c>
      <c r="D10469" t="s">
        <v>51</v>
      </c>
      <c r="E10469" s="6">
        <v>-28173</v>
      </c>
      <c r="F10469" t="s">
        <v>2959</v>
      </c>
      <c r="G10469" t="s">
        <v>35</v>
      </c>
      <c r="H10469" t="s">
        <v>20</v>
      </c>
      <c r="I10469" t="s">
        <v>20311</v>
      </c>
      <c r="J10469" t="str">
        <f>HYPERLINK("https://www.boe.es/gazeta/dias/1822/11/11/pdfs/GMD-1822-331.pdf#page=2","Abrir facsímil")</f>
        <v>Abrir facsímil</v>
      </c>
      <c r="K10469" t="s">
        <v>22</v>
      </c>
    </row>
    <row r="10470" spans="1:11" ht="42" customHeight="1">
      <c r="A10470" t="s">
        <v>20217</v>
      </c>
      <c r="B10470" t="s">
        <v>20217</v>
      </c>
      <c r="C10470" t="s">
        <v>50</v>
      </c>
      <c r="D10470" t="s">
        <v>51</v>
      </c>
      <c r="E10470" s="6">
        <v>-28172</v>
      </c>
      <c r="F10470" t="s">
        <v>674</v>
      </c>
      <c r="G10470" t="s">
        <v>35</v>
      </c>
      <c r="H10470" t="s">
        <v>20</v>
      </c>
      <c r="I10470" t="s">
        <v>20312</v>
      </c>
      <c r="J10470" t="str">
        <f>HYPERLINK("https://www.boe.es/gazeta/dias/1822/11/12/pdfs/GMD-1822-332.pdf#page=2","Abrir facsímil")</f>
        <v>Abrir facsímil</v>
      </c>
      <c r="K10470" t="s">
        <v>22</v>
      </c>
    </row>
    <row r="10471" spans="1:11" ht="42" customHeight="1">
      <c r="A10471" t="s">
        <v>20217</v>
      </c>
      <c r="B10471" t="s">
        <v>20217</v>
      </c>
      <c r="C10471" t="s">
        <v>61</v>
      </c>
      <c r="D10471" t="s">
        <v>17</v>
      </c>
      <c r="E10471" s="6">
        <v>-28171</v>
      </c>
      <c r="F10471" t="s">
        <v>1075</v>
      </c>
      <c r="G10471" t="s">
        <v>44</v>
      </c>
      <c r="H10471" t="s">
        <v>20</v>
      </c>
      <c r="I10471" t="s">
        <v>20313</v>
      </c>
      <c r="J10471" t="str">
        <f>HYPERLINK("https://www.boe.es/gazeta/dias/1822/11/13/pdfs/GMD-1822-333.pdf#page=1","Abrir facsímil")</f>
        <v>Abrir facsímil</v>
      </c>
      <c r="K10471" t="s">
        <v>22</v>
      </c>
    </row>
    <row r="10472" spans="1:11" ht="42" customHeight="1">
      <c r="A10472" t="s">
        <v>20217</v>
      </c>
      <c r="B10472" t="s">
        <v>20217</v>
      </c>
      <c r="C10472" t="s">
        <v>50</v>
      </c>
      <c r="D10472" t="s">
        <v>51</v>
      </c>
      <c r="E10472" s="6">
        <v>-28171</v>
      </c>
      <c r="F10472" t="s">
        <v>1075</v>
      </c>
      <c r="G10472" t="s">
        <v>35</v>
      </c>
      <c r="H10472" t="s">
        <v>20</v>
      </c>
      <c r="I10472" t="s">
        <v>20314</v>
      </c>
      <c r="J10472" t="str">
        <f>HYPERLINK("https://www.boe.es/gazeta/dias/1822/11/13/pdfs/GMD-1822-333.pdf#page=2","Abrir facsímil")</f>
        <v>Abrir facsímil</v>
      </c>
      <c r="K10472" t="s">
        <v>22</v>
      </c>
    </row>
    <row r="10473" spans="1:11" ht="42" customHeight="1">
      <c r="A10473" t="s">
        <v>20217</v>
      </c>
      <c r="B10473" t="s">
        <v>20217</v>
      </c>
      <c r="C10473" t="s">
        <v>71</v>
      </c>
      <c r="D10473" t="s">
        <v>17</v>
      </c>
      <c r="E10473" s="6">
        <v>-28171</v>
      </c>
      <c r="F10473" t="s">
        <v>1075</v>
      </c>
      <c r="G10473" t="s">
        <v>31</v>
      </c>
      <c r="H10473" t="s">
        <v>20</v>
      </c>
      <c r="I10473" t="s">
        <v>20315</v>
      </c>
      <c r="J10473" t="str">
        <f>HYPERLINK("https://www.boe.es/gazeta/dias/1822/11/13/pdfs/GMD-1822-333.pdf#page=3","Abrir facsímil")</f>
        <v>Abrir facsímil</v>
      </c>
      <c r="K10473" t="s">
        <v>22</v>
      </c>
    </row>
    <row r="10474" spans="1:11" ht="42" customHeight="1">
      <c r="A10474" t="s">
        <v>20217</v>
      </c>
      <c r="B10474" t="s">
        <v>20217</v>
      </c>
      <c r="C10474" t="s">
        <v>50</v>
      </c>
      <c r="D10474" t="s">
        <v>51</v>
      </c>
      <c r="E10474" s="6">
        <v>-28167</v>
      </c>
      <c r="F10474" t="s">
        <v>904</v>
      </c>
      <c r="G10474" t="s">
        <v>57</v>
      </c>
      <c r="H10474" t="s">
        <v>20</v>
      </c>
      <c r="I10474" t="s">
        <v>20316</v>
      </c>
      <c r="J10474" t="str">
        <f>HYPERLINK("https://www.boe.es/gazeta/dias/1822/11/17/pdfs/GMD-1822-337.pdf#page=4","Abrir facsímil")</f>
        <v>Abrir facsímil</v>
      </c>
      <c r="K10474" t="s">
        <v>22</v>
      </c>
    </row>
    <row r="10475" spans="1:11" ht="42" customHeight="1">
      <c r="A10475" t="s">
        <v>20217</v>
      </c>
      <c r="B10475" t="s">
        <v>20217</v>
      </c>
      <c r="C10475" t="s">
        <v>28</v>
      </c>
      <c r="D10475" t="s">
        <v>29</v>
      </c>
      <c r="E10475" s="6">
        <v>-28165</v>
      </c>
      <c r="F10475" t="s">
        <v>846</v>
      </c>
      <c r="G10475" t="s">
        <v>35</v>
      </c>
      <c r="H10475" t="s">
        <v>20</v>
      </c>
      <c r="I10475" t="s">
        <v>20317</v>
      </c>
      <c r="J10475" t="str">
        <f>HYPERLINK("https://www.boe.es/gazeta/dias/1822/11/19/pdfs/GMD-1822-339.pdf#page=2","Abrir facsímil")</f>
        <v>Abrir facsímil</v>
      </c>
      <c r="K10475" t="s">
        <v>22</v>
      </c>
    </row>
    <row r="10476" spans="1:11" ht="42" customHeight="1">
      <c r="A10476" t="s">
        <v>20217</v>
      </c>
      <c r="B10476" t="s">
        <v>20217</v>
      </c>
      <c r="C10476" t="s">
        <v>42</v>
      </c>
      <c r="D10476" t="s">
        <v>17</v>
      </c>
      <c r="E10476" s="6">
        <v>-28162</v>
      </c>
      <c r="F10476" t="s">
        <v>3949</v>
      </c>
      <c r="G10476" t="s">
        <v>35</v>
      </c>
      <c r="H10476" t="s">
        <v>20</v>
      </c>
      <c r="I10476" t="s">
        <v>20318</v>
      </c>
      <c r="J10476" t="str">
        <f>HYPERLINK("https://www.boe.es/gazeta/dias/1822/11/22/pdfs/GMD-1822-342.pdf#page=2","Abrir facsímil")</f>
        <v>Abrir facsímil</v>
      </c>
      <c r="K10476" t="s">
        <v>22</v>
      </c>
    </row>
    <row r="10477" spans="1:11" ht="42" customHeight="1">
      <c r="A10477" t="s">
        <v>20217</v>
      </c>
      <c r="B10477" t="s">
        <v>20217</v>
      </c>
      <c r="C10477" t="s">
        <v>71</v>
      </c>
      <c r="D10477" t="s">
        <v>17</v>
      </c>
      <c r="E10477" s="6">
        <v>-28155</v>
      </c>
      <c r="F10477" t="s">
        <v>833</v>
      </c>
      <c r="G10477" t="s">
        <v>31</v>
      </c>
      <c r="H10477" t="s">
        <v>20</v>
      </c>
      <c r="I10477" t="s">
        <v>20319</v>
      </c>
      <c r="J10477" t="str">
        <f>HYPERLINK("https://www.boe.es/gazeta/dias/1822/11/29/pdfs/GMD-1822-349.pdf#page=3","Abrir facsímil")</f>
        <v>Abrir facsímil</v>
      </c>
      <c r="K10477" t="s">
        <v>22</v>
      </c>
    </row>
    <row r="10478" spans="1:11" ht="42" customHeight="1">
      <c r="A10478" t="s">
        <v>20217</v>
      </c>
      <c r="B10478" t="s">
        <v>20217</v>
      </c>
      <c r="C10478" t="s">
        <v>50</v>
      </c>
      <c r="D10478" t="s">
        <v>51</v>
      </c>
      <c r="E10478" s="6">
        <v>-28154</v>
      </c>
      <c r="F10478" t="s">
        <v>2321</v>
      </c>
      <c r="G10478" t="s">
        <v>35</v>
      </c>
      <c r="H10478" t="s">
        <v>20</v>
      </c>
      <c r="I10478" t="s">
        <v>20320</v>
      </c>
      <c r="J10478" t="str">
        <f>HYPERLINK("https://www.boe.es/gazeta/dias/1822/11/30/pdfs/GMD-1822-350.pdf#page=2","Abrir facsímil")</f>
        <v>Abrir facsímil</v>
      </c>
      <c r="K10478" t="s">
        <v>22</v>
      </c>
    </row>
    <row r="10479" spans="1:11" ht="42" customHeight="1">
      <c r="A10479" t="s">
        <v>20217</v>
      </c>
      <c r="B10479" t="s">
        <v>20217</v>
      </c>
      <c r="C10479" t="s">
        <v>42</v>
      </c>
      <c r="D10479" t="s">
        <v>17</v>
      </c>
      <c r="E10479" s="6">
        <v>-28150</v>
      </c>
      <c r="F10479" t="s">
        <v>62</v>
      </c>
      <c r="G10479" t="s">
        <v>13795</v>
      </c>
      <c r="H10479" t="s">
        <v>20</v>
      </c>
      <c r="I10479" t="s">
        <v>20321</v>
      </c>
      <c r="J10479" t="str">
        <f>HYPERLINK("https://www.boe.es/gazeta/dias/1822/12/04/pdfs/GMD-1822-354.pdf#page=2","Abrir facsímil")</f>
        <v>Abrir facsímil</v>
      </c>
      <c r="K10479" t="s">
        <v>22</v>
      </c>
    </row>
    <row r="10480" spans="1:11" ht="42" customHeight="1">
      <c r="A10480" t="s">
        <v>20217</v>
      </c>
      <c r="B10480" t="s">
        <v>20217</v>
      </c>
      <c r="C10480" t="s">
        <v>50</v>
      </c>
      <c r="D10480" t="s">
        <v>51</v>
      </c>
      <c r="E10480" s="6">
        <v>-28146</v>
      </c>
      <c r="F10480" t="s">
        <v>180</v>
      </c>
      <c r="G10480" t="s">
        <v>44</v>
      </c>
      <c r="H10480" t="s">
        <v>20</v>
      </c>
      <c r="I10480" t="s">
        <v>20322</v>
      </c>
      <c r="J10480" t="str">
        <f>HYPERLINK("https://www.boe.es/gazeta/dias/1822/12/08/pdfs/GMD-1822-358.pdf#page=1","Abrir facsímil")</f>
        <v>Abrir facsímil</v>
      </c>
      <c r="K10480" t="s">
        <v>22</v>
      </c>
    </row>
    <row r="10481" spans="1:11" ht="42" customHeight="1">
      <c r="A10481" t="s">
        <v>20217</v>
      </c>
      <c r="B10481" t="s">
        <v>20217</v>
      </c>
      <c r="C10481" t="s">
        <v>16</v>
      </c>
      <c r="D10481" t="s">
        <v>17</v>
      </c>
      <c r="E10481" s="6">
        <v>-28142</v>
      </c>
      <c r="F10481" t="s">
        <v>290</v>
      </c>
      <c r="G10481" t="s">
        <v>35</v>
      </c>
      <c r="H10481" t="s">
        <v>20</v>
      </c>
      <c r="I10481" t="s">
        <v>20323</v>
      </c>
      <c r="J10481" t="str">
        <f>HYPERLINK("https://www.boe.es/gazeta/dias/1822/12/12/pdfs/GMD-1822-362.pdf#page=2","Abrir facsímil")</f>
        <v>Abrir facsímil</v>
      </c>
      <c r="K10481" t="s">
        <v>22</v>
      </c>
    </row>
    <row r="10482" spans="1:11" ht="42" customHeight="1">
      <c r="A10482" t="s">
        <v>20324</v>
      </c>
      <c r="B10482" t="s">
        <v>20325</v>
      </c>
      <c r="C10482" t="s">
        <v>50</v>
      </c>
      <c r="D10482" t="s">
        <v>51</v>
      </c>
      <c r="E10482" s="6">
        <v>-28339</v>
      </c>
      <c r="F10482" t="s">
        <v>197</v>
      </c>
      <c r="G10482" t="s">
        <v>44</v>
      </c>
      <c r="H10482" t="s">
        <v>20</v>
      </c>
      <c r="I10482" t="s">
        <v>20326</v>
      </c>
      <c r="J10482" t="str">
        <f>HYPERLINK("https://www.boe.es/gazeta/dias/1822/05/29/pdfs/GMD-1822-154.pdf#page=1","Abrir facsímil")</f>
        <v>Abrir facsímil</v>
      </c>
      <c r="K10482" t="s">
        <v>22</v>
      </c>
    </row>
    <row r="10483" spans="1:11" ht="42" customHeight="1">
      <c r="A10483" t="s">
        <v>20327</v>
      </c>
      <c r="B10483" t="s">
        <v>20328</v>
      </c>
      <c r="C10483" t="s">
        <v>50</v>
      </c>
      <c r="D10483" t="s">
        <v>51</v>
      </c>
      <c r="E10483" s="6">
        <v>-28208</v>
      </c>
      <c r="F10483" t="s">
        <v>230</v>
      </c>
      <c r="G10483" t="s">
        <v>57</v>
      </c>
      <c r="H10483" t="s">
        <v>20</v>
      </c>
      <c r="I10483" t="s">
        <v>20329</v>
      </c>
      <c r="J10483" t="str">
        <f>HYPERLINK("https://www.boe.es/gazeta/dias/1822/10/07/pdfs/GMD-1822-293.pdf#page=4","Abrir facsímil")</f>
        <v>Abrir facsímil</v>
      </c>
      <c r="K10483" t="s">
        <v>22</v>
      </c>
    </row>
    <row r="10484" spans="1:11" ht="42" customHeight="1">
      <c r="A10484" t="s">
        <v>20330</v>
      </c>
      <c r="B10484" t="s">
        <v>20330</v>
      </c>
      <c r="C10484" t="s">
        <v>16</v>
      </c>
      <c r="D10484" t="s">
        <v>17</v>
      </c>
      <c r="E10484" s="6">
        <v>-28308</v>
      </c>
      <c r="F10484" t="s">
        <v>1050</v>
      </c>
      <c r="G10484" t="s">
        <v>31</v>
      </c>
      <c r="H10484" t="s">
        <v>20</v>
      </c>
      <c r="I10484" t="s">
        <v>20331</v>
      </c>
      <c r="J10484" t="str">
        <f>HYPERLINK("https://www.boe.es/gazeta/dias/1822/06/29/pdfs/GMD-1822-187.pdf#page=3","Abrir facsímil")</f>
        <v>Abrir facsímil</v>
      </c>
      <c r="K10484" t="s">
        <v>22</v>
      </c>
    </row>
    <row r="10485" spans="1:11" ht="42" customHeight="1">
      <c r="A10485" t="s">
        <v>20332</v>
      </c>
      <c r="B10485" t="s">
        <v>20332</v>
      </c>
      <c r="C10485" t="s">
        <v>28</v>
      </c>
      <c r="D10485" t="s">
        <v>29</v>
      </c>
      <c r="E10485" s="6">
        <v>-28431</v>
      </c>
      <c r="F10485" t="s">
        <v>1258</v>
      </c>
      <c r="G10485" t="s">
        <v>31</v>
      </c>
      <c r="H10485" t="s">
        <v>20</v>
      </c>
      <c r="I10485" t="s">
        <v>20333</v>
      </c>
      <c r="J10485" t="str">
        <f>HYPERLINK("https://www.boe.es/gazeta/dias/1822/02/26/pdfs/GMD-1822-58.pdf#page=3","Abrir facsímil")</f>
        <v>Abrir facsímil</v>
      </c>
      <c r="K10485" t="s">
        <v>22</v>
      </c>
    </row>
    <row r="10486" spans="1:11" ht="42" customHeight="1">
      <c r="A10486" t="s">
        <v>20334</v>
      </c>
      <c r="B10486" t="s">
        <v>20334</v>
      </c>
      <c r="C10486" t="s">
        <v>71</v>
      </c>
      <c r="D10486" t="s">
        <v>17</v>
      </c>
      <c r="E10486" s="6">
        <v>-28344</v>
      </c>
      <c r="F10486" t="s">
        <v>524</v>
      </c>
      <c r="G10486" t="s">
        <v>1040</v>
      </c>
      <c r="H10486" t="s">
        <v>20</v>
      </c>
      <c r="I10486" t="s">
        <v>20335</v>
      </c>
      <c r="J10486" t="str">
        <f>HYPERLINK("https://www.boe.es/gazeta/dias/1822/05/24/pdfs/GMD-1822-148.pdf#page=2","Abrir facsímil")</f>
        <v>Abrir facsímil</v>
      </c>
      <c r="K10486" t="s">
        <v>22</v>
      </c>
    </row>
    <row r="10487" spans="1:11" ht="42" customHeight="1">
      <c r="A10487" t="s">
        <v>20336</v>
      </c>
      <c r="B10487" t="s">
        <v>20336</v>
      </c>
      <c r="C10487" t="s">
        <v>50</v>
      </c>
      <c r="D10487" t="s">
        <v>51</v>
      </c>
      <c r="E10487" s="6">
        <v>-28147</v>
      </c>
      <c r="F10487" t="s">
        <v>1611</v>
      </c>
      <c r="G10487" t="s">
        <v>35</v>
      </c>
      <c r="H10487" t="s">
        <v>20</v>
      </c>
      <c r="I10487" t="s">
        <v>20337</v>
      </c>
      <c r="J10487" t="str">
        <f>HYPERLINK("https://www.boe.es/gazeta/dias/1822/12/07/pdfs/GMD-1822-357.pdf#page=2","Abrir facsímil")</f>
        <v>Abrir facsímil</v>
      </c>
      <c r="K10487" t="s">
        <v>22</v>
      </c>
    </row>
    <row r="10488" spans="1:11" ht="42" customHeight="1">
      <c r="A10488" t="s">
        <v>20338</v>
      </c>
      <c r="B10488" t="s">
        <v>20338</v>
      </c>
      <c r="C10488" t="s">
        <v>50</v>
      </c>
      <c r="D10488" t="s">
        <v>51</v>
      </c>
      <c r="E10488" s="6">
        <v>-28417</v>
      </c>
      <c r="F10488" t="s">
        <v>1394</v>
      </c>
      <c r="G10488" t="s">
        <v>35</v>
      </c>
      <c r="H10488" t="s">
        <v>20</v>
      </c>
      <c r="I10488" t="s">
        <v>20339</v>
      </c>
      <c r="J10488" t="str">
        <f>HYPERLINK("https://www.boe.es/gazeta/dias/1822/03/12/pdfs/GMD-1822-73.pdf#page=2","Abrir facsímil")</f>
        <v>Abrir facsímil</v>
      </c>
      <c r="K10488" t="s">
        <v>22</v>
      </c>
    </row>
    <row r="10489" spans="1:11" ht="42" customHeight="1">
      <c r="A10489" t="s">
        <v>20340</v>
      </c>
      <c r="B10489" t="s">
        <v>20341</v>
      </c>
      <c r="C10489" t="s">
        <v>50</v>
      </c>
      <c r="D10489" t="s">
        <v>51</v>
      </c>
      <c r="E10489" s="6">
        <v>-28168</v>
      </c>
      <c r="F10489" t="s">
        <v>3672</v>
      </c>
      <c r="G10489" t="s">
        <v>57</v>
      </c>
      <c r="H10489" t="s">
        <v>20</v>
      </c>
      <c r="I10489" t="s">
        <v>20342</v>
      </c>
      <c r="J10489" t="str">
        <f>HYPERLINK("https://www.boe.es/gazeta/dias/1822/11/16/pdfs/GMD-1822-336.pdf#page=4","Abrir facsímil")</f>
        <v>Abrir facsímil</v>
      </c>
      <c r="K10489" t="s">
        <v>22</v>
      </c>
    </row>
    <row r="10490" spans="1:11" ht="42" customHeight="1">
      <c r="A10490" t="s">
        <v>20343</v>
      </c>
      <c r="B10490" t="s">
        <v>20343</v>
      </c>
      <c r="C10490" t="s">
        <v>28</v>
      </c>
      <c r="D10490" t="s">
        <v>29</v>
      </c>
      <c r="E10490" s="6">
        <v>-28172</v>
      </c>
      <c r="F10490" t="s">
        <v>674</v>
      </c>
      <c r="G10490" t="s">
        <v>31</v>
      </c>
      <c r="H10490" t="s">
        <v>20</v>
      </c>
      <c r="I10490" t="s">
        <v>20344</v>
      </c>
      <c r="J10490" t="str">
        <f>HYPERLINK("https://www.boe.es/gazeta/dias/1822/11/12/pdfs/GMD-1822-332.pdf#page=3","Abrir facsímil")</f>
        <v>Abrir facsímil</v>
      </c>
      <c r="K10490" t="s">
        <v>22</v>
      </c>
    </row>
    <row r="10491" spans="1:11" ht="42" customHeight="1">
      <c r="A10491" t="s">
        <v>20345</v>
      </c>
      <c r="B10491" t="s">
        <v>20346</v>
      </c>
      <c r="C10491" t="s">
        <v>16</v>
      </c>
      <c r="D10491" t="s">
        <v>17</v>
      </c>
      <c r="E10491" s="6">
        <v>-28347</v>
      </c>
      <c r="F10491" t="s">
        <v>520</v>
      </c>
      <c r="G10491" t="s">
        <v>35</v>
      </c>
      <c r="H10491" t="s">
        <v>20</v>
      </c>
      <c r="I10491" t="s">
        <v>20347</v>
      </c>
      <c r="J10491" t="str">
        <f>HYPERLINK("https://www.boe.es/gazeta/dias/1822/05/21/pdfs/GMD-1822-144.pdf#page=2","Abrir facsímil")</f>
        <v>Abrir facsímil</v>
      </c>
      <c r="K10491" t="s">
        <v>22</v>
      </c>
    </row>
    <row r="10492" spans="1:11" ht="42" customHeight="1">
      <c r="A10492" t="s">
        <v>20348</v>
      </c>
      <c r="B10492" t="s">
        <v>20349</v>
      </c>
      <c r="C10492" t="s">
        <v>28</v>
      </c>
      <c r="D10492" t="s">
        <v>29</v>
      </c>
      <c r="E10492" s="6">
        <v>-28321</v>
      </c>
      <c r="F10492" t="s">
        <v>1142</v>
      </c>
      <c r="G10492" t="s">
        <v>31</v>
      </c>
      <c r="H10492" t="s">
        <v>20</v>
      </c>
      <c r="I10492" t="s">
        <v>20350</v>
      </c>
      <c r="J10492" t="str">
        <f>HYPERLINK("https://www.boe.es/gazeta/dias/1822/06/16/pdfs/GMD-1822-173.pdf#page=3","Abrir facsímil")</f>
        <v>Abrir facsímil</v>
      </c>
      <c r="K10492" t="s">
        <v>22</v>
      </c>
    </row>
    <row r="10493" spans="1:11" ht="42" customHeight="1">
      <c r="A10493" t="s">
        <v>20351</v>
      </c>
      <c r="B10493" t="s">
        <v>20352</v>
      </c>
      <c r="C10493" t="s">
        <v>42</v>
      </c>
      <c r="D10493" t="s">
        <v>17</v>
      </c>
      <c r="E10493" s="6">
        <v>-28258</v>
      </c>
      <c r="F10493" t="s">
        <v>88</v>
      </c>
      <c r="G10493" t="s">
        <v>31</v>
      </c>
      <c r="H10493" t="s">
        <v>20</v>
      </c>
      <c r="I10493" t="s">
        <v>20353</v>
      </c>
      <c r="J10493" t="str">
        <f>HYPERLINK("https://www.boe.es/gazeta/dias/1822/08/18/pdfs/GMD-1822-242.pdf#page=3","Abrir facsímil")</f>
        <v>Abrir facsímil</v>
      </c>
      <c r="K10493" t="s">
        <v>22</v>
      </c>
    </row>
    <row r="10494" spans="1:11" ht="42" customHeight="1">
      <c r="A10494" t="s">
        <v>20354</v>
      </c>
      <c r="B10494" t="s">
        <v>20355</v>
      </c>
      <c r="C10494" t="s">
        <v>71</v>
      </c>
      <c r="D10494" t="s">
        <v>17</v>
      </c>
      <c r="E10494" s="6">
        <v>-28451</v>
      </c>
      <c r="F10494" t="s">
        <v>1674</v>
      </c>
      <c r="G10494" t="s">
        <v>63</v>
      </c>
      <c r="H10494" t="s">
        <v>20</v>
      </c>
      <c r="I10494" t="s">
        <v>20356</v>
      </c>
      <c r="J10494" t="str">
        <f>HYPERLINK("https://www.boe.es/gazeta/dias/1822/02/06/pdfs/GMD-1822-37.pdf#page=6","Abrir facsímil")</f>
        <v>Abrir facsímil</v>
      </c>
      <c r="K10494" t="s">
        <v>22</v>
      </c>
    </row>
    <row r="10495" spans="1:11" ht="42" customHeight="1">
      <c r="A10495" t="s">
        <v>20357</v>
      </c>
      <c r="B10495" t="s">
        <v>20358</v>
      </c>
      <c r="C10495" t="s">
        <v>42</v>
      </c>
      <c r="D10495" t="s">
        <v>17</v>
      </c>
      <c r="E10495" s="6">
        <v>-28366</v>
      </c>
      <c r="F10495" t="s">
        <v>120</v>
      </c>
      <c r="G10495" t="s">
        <v>63</v>
      </c>
      <c r="H10495" t="s">
        <v>20</v>
      </c>
      <c r="I10495" t="s">
        <v>20359</v>
      </c>
      <c r="J10495" t="str">
        <f>HYPERLINK("https://www.boe.es/gazeta/dias/1822/05/02/pdfs/GMD-1822-124.pdf#page=6","Abrir facsímil")</f>
        <v>Abrir facsímil</v>
      </c>
      <c r="K10495" t="s">
        <v>22</v>
      </c>
    </row>
    <row r="10496" spans="1:11" ht="42" customHeight="1">
      <c r="A10496" t="s">
        <v>20360</v>
      </c>
      <c r="B10496" t="s">
        <v>20361</v>
      </c>
      <c r="C10496" t="s">
        <v>50</v>
      </c>
      <c r="D10496" t="s">
        <v>51</v>
      </c>
      <c r="E10496" s="6">
        <v>-28395</v>
      </c>
      <c r="F10496" t="s">
        <v>237</v>
      </c>
      <c r="G10496" t="s">
        <v>57</v>
      </c>
      <c r="H10496" t="s">
        <v>20</v>
      </c>
      <c r="I10496" t="s">
        <v>20362</v>
      </c>
      <c r="J10496" t="str">
        <f>HYPERLINK("https://www.boe.es/gazeta/dias/1822/04/03/pdfs/GMD-1822-95.pdf#page=4","Abrir facsímil")</f>
        <v>Abrir facsímil</v>
      </c>
      <c r="K10496" t="s">
        <v>22</v>
      </c>
    </row>
    <row r="10497" spans="1:11" ht="42" customHeight="1">
      <c r="A10497" t="s">
        <v>20363</v>
      </c>
      <c r="B10497" t="s">
        <v>20364</v>
      </c>
      <c r="C10497" t="s">
        <v>42</v>
      </c>
      <c r="D10497" t="s">
        <v>17</v>
      </c>
      <c r="E10497" s="6">
        <v>-28181</v>
      </c>
      <c r="F10497" t="s">
        <v>739</v>
      </c>
      <c r="G10497" t="s">
        <v>63</v>
      </c>
      <c r="H10497" t="s">
        <v>20</v>
      </c>
      <c r="I10497" t="s">
        <v>20365</v>
      </c>
      <c r="J10497" t="str">
        <f>HYPERLINK("https://www.boe.es/gazeta/dias/1822/11/03/pdfs/GMD-1822-321.pdf#page=6","Abrir facsímil")</f>
        <v>Abrir facsímil</v>
      </c>
      <c r="K10497" t="s">
        <v>22</v>
      </c>
    </row>
    <row r="10498" spans="1:11" ht="42" customHeight="1">
      <c r="A10498" t="s">
        <v>20366</v>
      </c>
      <c r="B10498" t="s">
        <v>20367</v>
      </c>
      <c r="C10498" t="s">
        <v>42</v>
      </c>
      <c r="D10498" t="s">
        <v>17</v>
      </c>
      <c r="E10498" s="6">
        <v>-28381</v>
      </c>
      <c r="F10498" t="s">
        <v>358</v>
      </c>
      <c r="G10498" t="s">
        <v>63</v>
      </c>
      <c r="H10498" t="s">
        <v>20</v>
      </c>
      <c r="I10498" t="s">
        <v>20368</v>
      </c>
      <c r="J10498" t="str">
        <f>HYPERLINK("https://www.boe.es/gazeta/dias/1822/04/17/pdfs/GMD-1822-109.pdf#page=6","Abrir facsímil")</f>
        <v>Abrir facsímil</v>
      </c>
      <c r="K10498" t="s">
        <v>22</v>
      </c>
    </row>
    <row r="10499" spans="1:11" ht="42" customHeight="1">
      <c r="A10499" t="s">
        <v>20366</v>
      </c>
      <c r="B10499" t="s">
        <v>20367</v>
      </c>
      <c r="C10499" t="s">
        <v>42</v>
      </c>
      <c r="D10499" t="s">
        <v>17</v>
      </c>
      <c r="E10499" s="6">
        <v>-28235</v>
      </c>
      <c r="F10499" t="s">
        <v>1470</v>
      </c>
      <c r="G10499" t="s">
        <v>57</v>
      </c>
      <c r="H10499" t="s">
        <v>20</v>
      </c>
      <c r="I10499" t="s">
        <v>20369</v>
      </c>
      <c r="J10499" t="str">
        <f>HYPERLINK("https://www.boe.es/gazeta/dias/1822/09/10/pdfs/GMD-1822-266.pdf#page=4","Abrir facsímil")</f>
        <v>Abrir facsímil</v>
      </c>
      <c r="K10499" t="s">
        <v>22</v>
      </c>
    </row>
    <row r="10500" spans="1:11" ht="42" customHeight="1">
      <c r="A10500" t="s">
        <v>20370</v>
      </c>
      <c r="B10500" t="s">
        <v>20370</v>
      </c>
      <c r="C10500" t="s">
        <v>42</v>
      </c>
      <c r="D10500" t="s">
        <v>17</v>
      </c>
      <c r="E10500" s="6">
        <v>-28314</v>
      </c>
      <c r="F10500" t="s">
        <v>309</v>
      </c>
      <c r="G10500" t="s">
        <v>35</v>
      </c>
      <c r="H10500" t="s">
        <v>20</v>
      </c>
      <c r="I10500" t="s">
        <v>20371</v>
      </c>
      <c r="J10500" t="str">
        <f>HYPERLINK("https://www.boe.es/gazeta/dias/1822/06/23/pdfs/GMD-1822-181.pdf#page=2","Abrir facsímil")</f>
        <v>Abrir facsímil</v>
      </c>
      <c r="K10500" t="s">
        <v>22</v>
      </c>
    </row>
    <row r="10501" spans="1:11" ht="42" customHeight="1">
      <c r="A10501" t="s">
        <v>20372</v>
      </c>
      <c r="B10501" t="s">
        <v>20373</v>
      </c>
      <c r="C10501" t="s">
        <v>50</v>
      </c>
      <c r="D10501" t="s">
        <v>51</v>
      </c>
      <c r="E10501" s="6">
        <v>-28211</v>
      </c>
      <c r="F10501" t="s">
        <v>273</v>
      </c>
      <c r="G10501" t="s">
        <v>35</v>
      </c>
      <c r="H10501" t="s">
        <v>20</v>
      </c>
      <c r="I10501" t="s">
        <v>20374</v>
      </c>
      <c r="J10501" t="str">
        <f>HYPERLINK("https://www.boe.es/gazeta/dias/1822/10/04/pdfs/GMD-1822-290.pdf#page=2","Abrir facsímil")</f>
        <v>Abrir facsímil</v>
      </c>
      <c r="K10501" t="s">
        <v>22</v>
      </c>
    </row>
    <row r="10502" spans="1:11" ht="42" customHeight="1">
      <c r="A10502" t="s">
        <v>20375</v>
      </c>
      <c r="B10502" t="s">
        <v>20376</v>
      </c>
      <c r="C10502" t="s">
        <v>28</v>
      </c>
      <c r="D10502" t="s">
        <v>29</v>
      </c>
      <c r="E10502" s="6">
        <v>-28306</v>
      </c>
      <c r="F10502" t="s">
        <v>348</v>
      </c>
      <c r="G10502" t="s">
        <v>35</v>
      </c>
      <c r="H10502" t="s">
        <v>20</v>
      </c>
      <c r="I10502" t="s">
        <v>20377</v>
      </c>
      <c r="J10502" t="str">
        <f>HYPERLINK("https://www.boe.es/gazeta/dias/1822/07/01/pdfs/GMD-1822-190.pdf#page=2","Abrir facsímil")</f>
        <v>Abrir facsímil</v>
      </c>
      <c r="K10502" t="s">
        <v>22</v>
      </c>
    </row>
    <row r="10503" spans="1:11" ht="42" customHeight="1">
      <c r="A10503" t="s">
        <v>20378</v>
      </c>
      <c r="B10503" t="s">
        <v>20379</v>
      </c>
      <c r="C10503" t="s">
        <v>71</v>
      </c>
      <c r="D10503" t="s">
        <v>17</v>
      </c>
      <c r="E10503" s="6">
        <v>-28363</v>
      </c>
      <c r="F10503" t="s">
        <v>72</v>
      </c>
      <c r="G10503" t="s">
        <v>31</v>
      </c>
      <c r="H10503" t="s">
        <v>20</v>
      </c>
      <c r="I10503" t="s">
        <v>20380</v>
      </c>
      <c r="J10503" t="str">
        <f>HYPERLINK("https://www.boe.es/gazeta/dias/1822/05/05/pdfs/GMD-1822-127.pdf#page=3","Abrir facsímil")</f>
        <v>Abrir facsímil</v>
      </c>
      <c r="K10503" t="s">
        <v>22</v>
      </c>
    </row>
    <row r="10504" spans="1:11" ht="42" customHeight="1">
      <c r="A10504" t="s">
        <v>20381</v>
      </c>
      <c r="B10504" t="s">
        <v>20381</v>
      </c>
      <c r="C10504" t="s">
        <v>24</v>
      </c>
      <c r="D10504" t="s">
        <v>17</v>
      </c>
      <c r="E10504" s="6">
        <v>-28271</v>
      </c>
      <c r="F10504" t="s">
        <v>4942</v>
      </c>
      <c r="G10504" t="s">
        <v>44</v>
      </c>
      <c r="H10504" t="s">
        <v>20</v>
      </c>
      <c r="I10504" t="s">
        <v>20382</v>
      </c>
      <c r="J10504" t="str">
        <f>HYPERLINK("https://www.boe.es/gazeta/dias/1822/08/05/pdfs/GMD-1822-229.pdf#page=1","Abrir facsímil")</f>
        <v>Abrir facsímil</v>
      </c>
      <c r="K10504" t="s">
        <v>22</v>
      </c>
    </row>
    <row r="10505" spans="1:11" ht="42" customHeight="1">
      <c r="A10505" t="s">
        <v>20383</v>
      </c>
      <c r="B10505" t="s">
        <v>20383</v>
      </c>
      <c r="C10505" t="s">
        <v>71</v>
      </c>
      <c r="D10505" t="s">
        <v>17</v>
      </c>
      <c r="E10505" s="6">
        <v>-28448</v>
      </c>
      <c r="F10505" t="s">
        <v>1670</v>
      </c>
      <c r="G10505" t="s">
        <v>31</v>
      </c>
      <c r="H10505" t="s">
        <v>20</v>
      </c>
      <c r="I10505" t="s">
        <v>20384</v>
      </c>
      <c r="J10505" t="str">
        <f>HYPERLINK("https://www.boe.es/gazeta/dias/1822/02/09/pdfs/GMD-1822-40.pdf#page=3","Abrir facsímil")</f>
        <v>Abrir facsímil</v>
      </c>
      <c r="K10505" t="s">
        <v>22</v>
      </c>
    </row>
    <row r="10506" spans="1:11" ht="42" customHeight="1">
      <c r="A10506" t="s">
        <v>20385</v>
      </c>
      <c r="B10506" t="s">
        <v>20386</v>
      </c>
      <c r="C10506" t="s">
        <v>50</v>
      </c>
      <c r="D10506" t="s">
        <v>51</v>
      </c>
      <c r="E10506" s="6">
        <v>-28339</v>
      </c>
      <c r="F10506" t="s">
        <v>197</v>
      </c>
      <c r="G10506" t="s">
        <v>63</v>
      </c>
      <c r="H10506" t="s">
        <v>20</v>
      </c>
      <c r="I10506" t="s">
        <v>20387</v>
      </c>
      <c r="J10506" t="str">
        <f>HYPERLINK("https://www.boe.es/gazeta/dias/1822/05/29/pdfs/GMD-1822-154.pdf#page=6","Abrir facsímil")</f>
        <v>Abrir facsímil</v>
      </c>
      <c r="K10506" t="s">
        <v>22</v>
      </c>
    </row>
    <row r="10507" spans="1:11" ht="42" customHeight="1">
      <c r="A10507" t="s">
        <v>20388</v>
      </c>
      <c r="B10507" t="s">
        <v>20389</v>
      </c>
      <c r="C10507" t="s">
        <v>61</v>
      </c>
      <c r="D10507" t="s">
        <v>17</v>
      </c>
      <c r="E10507" s="6">
        <v>-28317</v>
      </c>
      <c r="F10507" t="s">
        <v>546</v>
      </c>
      <c r="G10507" t="s">
        <v>157</v>
      </c>
      <c r="H10507" t="s">
        <v>20</v>
      </c>
      <c r="I10507" t="s">
        <v>20390</v>
      </c>
      <c r="J10507" t="str">
        <f>HYPERLINK("https://www.boe.es/gazeta/dias/1822/06/20/pdfs/GMD-1822-177.pdf#page=8","Abrir facsímil")</f>
        <v>Abrir facsímil</v>
      </c>
      <c r="K10507" t="s">
        <v>22</v>
      </c>
    </row>
    <row r="10508" spans="1:11" ht="42" customHeight="1">
      <c r="A10508" t="s">
        <v>20391</v>
      </c>
      <c r="B10508" t="s">
        <v>20391</v>
      </c>
      <c r="C10508" t="s">
        <v>50</v>
      </c>
      <c r="D10508" t="s">
        <v>51</v>
      </c>
      <c r="E10508" s="6">
        <v>-28305</v>
      </c>
      <c r="F10508" t="s">
        <v>1337</v>
      </c>
      <c r="G10508" t="s">
        <v>57</v>
      </c>
      <c r="H10508" t="s">
        <v>20</v>
      </c>
      <c r="I10508" t="s">
        <v>20392</v>
      </c>
      <c r="J10508" t="str">
        <f>HYPERLINK("https://www.boe.es/gazeta/dias/1822/07/02/pdfs/GMD-1822-191.pdf#page=4","Abrir facsímil")</f>
        <v>Abrir facsímil</v>
      </c>
      <c r="K10508" t="s">
        <v>22</v>
      </c>
    </row>
    <row r="10509" spans="1:11" ht="42" customHeight="1">
      <c r="A10509" t="s">
        <v>20393</v>
      </c>
      <c r="B10509" t="s">
        <v>20393</v>
      </c>
      <c r="C10509" t="s">
        <v>16</v>
      </c>
      <c r="D10509" t="s">
        <v>17</v>
      </c>
      <c r="E10509" s="6">
        <v>-28318</v>
      </c>
      <c r="F10509" t="s">
        <v>397</v>
      </c>
      <c r="G10509" t="s">
        <v>35</v>
      </c>
      <c r="H10509" t="s">
        <v>20</v>
      </c>
      <c r="I10509" t="s">
        <v>20394</v>
      </c>
      <c r="J10509" t="str">
        <f>HYPERLINK("https://www.boe.es/gazeta/dias/1822/06/19/pdfs/GMD-1822-176.pdf#page=2","Abrir facsímil")</f>
        <v>Abrir facsímil</v>
      </c>
      <c r="K10509" t="s">
        <v>22</v>
      </c>
    </row>
    <row r="10510" spans="1:11" ht="42" customHeight="1">
      <c r="A10510" t="s">
        <v>20395</v>
      </c>
      <c r="B10510" t="s">
        <v>20396</v>
      </c>
      <c r="C10510" t="s">
        <v>24</v>
      </c>
      <c r="D10510" t="s">
        <v>17</v>
      </c>
      <c r="E10510" s="6">
        <v>-28320</v>
      </c>
      <c r="F10510" t="s">
        <v>700</v>
      </c>
      <c r="G10510" t="s">
        <v>31</v>
      </c>
      <c r="H10510" t="s">
        <v>20</v>
      </c>
      <c r="I10510" t="s">
        <v>20397</v>
      </c>
      <c r="J10510" t="str">
        <f>HYPERLINK("https://www.boe.es/gazeta/dias/1822/06/17/pdfs/GMD-1822-174.pdf#page=3","Abrir facsímil")</f>
        <v>Abrir facsímil</v>
      </c>
      <c r="K10510" t="s">
        <v>22</v>
      </c>
    </row>
    <row r="10511" spans="1:11" ht="42" customHeight="1">
      <c r="A10511" t="s">
        <v>20398</v>
      </c>
      <c r="B10511" t="s">
        <v>20398</v>
      </c>
      <c r="C10511" t="s">
        <v>42</v>
      </c>
      <c r="D10511" t="s">
        <v>17</v>
      </c>
      <c r="E10511" s="6">
        <v>-28322</v>
      </c>
      <c r="F10511" t="s">
        <v>2205</v>
      </c>
      <c r="G10511" t="s">
        <v>31</v>
      </c>
      <c r="H10511" t="s">
        <v>20</v>
      </c>
      <c r="I10511" t="s">
        <v>20399</v>
      </c>
      <c r="J10511" t="str">
        <f>HYPERLINK("https://www.boe.es/gazeta/dias/1822/06/15/pdfs/GMD-1822-172.pdf#page=3","Abrir facsímil")</f>
        <v>Abrir facsímil</v>
      </c>
      <c r="K10511" t="s">
        <v>22</v>
      </c>
    </row>
    <row r="10512" spans="1:11" ht="42" customHeight="1">
      <c r="A10512" t="s">
        <v>20400</v>
      </c>
      <c r="B10512" t="s">
        <v>20401</v>
      </c>
      <c r="C10512" t="s">
        <v>28</v>
      </c>
      <c r="D10512" t="s">
        <v>29</v>
      </c>
      <c r="E10512" s="6">
        <v>-28305</v>
      </c>
      <c r="F10512" t="s">
        <v>1337</v>
      </c>
      <c r="G10512" t="s">
        <v>57</v>
      </c>
      <c r="H10512" t="s">
        <v>20</v>
      </c>
      <c r="I10512" t="s">
        <v>20402</v>
      </c>
      <c r="J10512" t="str">
        <f>HYPERLINK("https://www.boe.es/gazeta/dias/1822/07/02/pdfs/GMD-1822-191.pdf#page=4","Abrir facsímil")</f>
        <v>Abrir facsímil</v>
      </c>
      <c r="K10512" t="s">
        <v>22</v>
      </c>
    </row>
    <row r="10513" spans="1:11" ht="42" customHeight="1">
      <c r="A10513" t="s">
        <v>20403</v>
      </c>
      <c r="B10513" t="s">
        <v>20403</v>
      </c>
      <c r="C10513" t="s">
        <v>42</v>
      </c>
      <c r="D10513" t="s">
        <v>17</v>
      </c>
      <c r="E10513" s="6">
        <v>-28263</v>
      </c>
      <c r="F10513" t="s">
        <v>7233</v>
      </c>
      <c r="G10513" t="s">
        <v>35</v>
      </c>
      <c r="H10513" t="s">
        <v>20</v>
      </c>
      <c r="I10513" t="s">
        <v>20404</v>
      </c>
      <c r="J10513" t="str">
        <f>HYPERLINK("https://www.boe.es/gazeta/dias/1822/08/13/pdfs/GMD-1822-237.pdf#page=2","Abrir facsímil")</f>
        <v>Abrir facsímil</v>
      </c>
      <c r="K10513" t="s">
        <v>22</v>
      </c>
    </row>
    <row r="10514" spans="1:11" ht="42" customHeight="1">
      <c r="A10514" t="s">
        <v>20405</v>
      </c>
      <c r="B10514" t="s">
        <v>20405</v>
      </c>
      <c r="C10514" t="s">
        <v>71</v>
      </c>
      <c r="D10514" t="s">
        <v>17</v>
      </c>
      <c r="E10514" s="6">
        <v>-28174</v>
      </c>
      <c r="F10514" t="s">
        <v>881</v>
      </c>
      <c r="G10514" t="s">
        <v>31</v>
      </c>
      <c r="H10514" t="s">
        <v>20</v>
      </c>
      <c r="I10514" t="s">
        <v>20406</v>
      </c>
      <c r="J10514" t="str">
        <f>HYPERLINK("https://www.boe.es/gazeta/dias/1822/11/10/pdfs/GMD-1822-330.pdf#page=3","Abrir facsímil")</f>
        <v>Abrir facsímil</v>
      </c>
      <c r="K10514" t="s">
        <v>22</v>
      </c>
    </row>
    <row r="10515" spans="1:11" ht="42" customHeight="1">
      <c r="A10515" t="s">
        <v>20405</v>
      </c>
      <c r="B10515" t="s">
        <v>20405</v>
      </c>
      <c r="C10515" t="s">
        <v>71</v>
      </c>
      <c r="D10515" t="s">
        <v>17</v>
      </c>
      <c r="E10515" s="6">
        <v>-28166</v>
      </c>
      <c r="F10515" t="s">
        <v>942</v>
      </c>
      <c r="G10515" t="s">
        <v>35</v>
      </c>
      <c r="H10515" t="s">
        <v>20</v>
      </c>
      <c r="I10515" t="s">
        <v>20407</v>
      </c>
      <c r="J10515" t="str">
        <f>HYPERLINK("https://www.boe.es/gazeta/dias/1822/11/18/pdfs/GMD-1822-338.pdf#page=2","Abrir facsímil")</f>
        <v>Abrir facsímil</v>
      </c>
      <c r="K10515" t="s">
        <v>22</v>
      </c>
    </row>
    <row r="10516" spans="1:11" ht="42" customHeight="1">
      <c r="A10516" t="s">
        <v>20408</v>
      </c>
      <c r="B10516" t="s">
        <v>20409</v>
      </c>
      <c r="C10516" t="s">
        <v>50</v>
      </c>
      <c r="D10516" t="s">
        <v>51</v>
      </c>
      <c r="E10516" s="6">
        <v>-28336</v>
      </c>
      <c r="F10516" t="s">
        <v>156</v>
      </c>
      <c r="G10516" t="s">
        <v>35</v>
      </c>
      <c r="H10516" t="s">
        <v>20</v>
      </c>
      <c r="I10516" t="s">
        <v>20410</v>
      </c>
      <c r="J10516" t="str">
        <f>HYPERLINK("https://www.boe.es/gazeta/dias/1822/06/01/pdfs/GMD-1822-157.pdf#page=2","Abrir facsímil")</f>
        <v>Abrir facsímil</v>
      </c>
      <c r="K10516" t="s">
        <v>22</v>
      </c>
    </row>
    <row r="10517" spans="1:11" ht="42" customHeight="1">
      <c r="A10517" t="s">
        <v>20411</v>
      </c>
      <c r="B10517" t="s">
        <v>20411</v>
      </c>
      <c r="C10517" t="s">
        <v>42</v>
      </c>
      <c r="D10517" t="s">
        <v>17</v>
      </c>
      <c r="E10517" s="6">
        <v>-28478</v>
      </c>
      <c r="F10517" t="s">
        <v>1093</v>
      </c>
      <c r="G10517" t="s">
        <v>31</v>
      </c>
      <c r="H10517" t="s">
        <v>20</v>
      </c>
      <c r="I10517" t="s">
        <v>20412</v>
      </c>
      <c r="J10517" t="str">
        <f>HYPERLINK("https://www.boe.es/gazeta/dias/1822/01/10/pdfs/GMD-1822-10.pdf#page=3","Abrir facsímil")</f>
        <v>Abrir facsímil</v>
      </c>
      <c r="K10517" t="s">
        <v>22</v>
      </c>
    </row>
    <row r="10518" spans="1:11" ht="42" customHeight="1">
      <c r="A10518" t="s">
        <v>20411</v>
      </c>
      <c r="B10518" t="s">
        <v>20411</v>
      </c>
      <c r="C10518" t="s">
        <v>42</v>
      </c>
      <c r="D10518" t="s">
        <v>17</v>
      </c>
      <c r="E10518" s="6">
        <v>-28451</v>
      </c>
      <c r="F10518" t="s">
        <v>1674</v>
      </c>
      <c r="G10518" t="s">
        <v>35</v>
      </c>
      <c r="H10518" t="s">
        <v>20</v>
      </c>
      <c r="I10518" t="s">
        <v>20413</v>
      </c>
      <c r="J10518" t="str">
        <f>HYPERLINK("https://www.boe.es/gazeta/dias/1822/02/06/pdfs/GMD-1822-37.pdf#page=2","Abrir facsímil")</f>
        <v>Abrir facsímil</v>
      </c>
      <c r="K10518" t="s">
        <v>22</v>
      </c>
    </row>
    <row r="10519" spans="1:11" ht="42" customHeight="1">
      <c r="A10519" t="s">
        <v>20414</v>
      </c>
      <c r="B10519" t="s">
        <v>20415</v>
      </c>
      <c r="C10519" t="s">
        <v>71</v>
      </c>
      <c r="D10519" t="s">
        <v>17</v>
      </c>
      <c r="E10519" s="6">
        <v>-28341</v>
      </c>
      <c r="F10519" t="s">
        <v>284</v>
      </c>
      <c r="G10519" t="s">
        <v>31</v>
      </c>
      <c r="H10519" t="s">
        <v>20</v>
      </c>
      <c r="I10519" t="s">
        <v>20416</v>
      </c>
      <c r="J10519" t="str">
        <f>HYPERLINK("https://www.boe.es/gazeta/dias/1822/05/27/pdfs/GMD-1822-152.pdf#page=3","Abrir facsímil")</f>
        <v>Abrir facsímil</v>
      </c>
      <c r="K10519" t="s">
        <v>22</v>
      </c>
    </row>
    <row r="10520" spans="1:11" ht="42" customHeight="1">
      <c r="A10520" t="s">
        <v>20417</v>
      </c>
      <c r="B10520" t="s">
        <v>20418</v>
      </c>
      <c r="C10520" t="s">
        <v>28</v>
      </c>
      <c r="D10520" t="s">
        <v>29</v>
      </c>
      <c r="E10520" s="6">
        <v>-28316</v>
      </c>
      <c r="F10520" t="s">
        <v>1144</v>
      </c>
      <c r="G10520" t="s">
        <v>63</v>
      </c>
      <c r="H10520" t="s">
        <v>20</v>
      </c>
      <c r="I10520" t="s">
        <v>20419</v>
      </c>
      <c r="J10520" t="str">
        <f>HYPERLINK("https://www.boe.es/gazeta/dias/1822/06/21/pdfs/GMD-1822-179.pdf#page=6","Abrir facsímil")</f>
        <v>Abrir facsímil</v>
      </c>
      <c r="K10520" t="s">
        <v>22</v>
      </c>
    </row>
    <row r="10521" spans="1:11" ht="42" customHeight="1">
      <c r="A10521" t="s">
        <v>20420</v>
      </c>
      <c r="B10521" t="s">
        <v>20420</v>
      </c>
      <c r="C10521" t="s">
        <v>42</v>
      </c>
      <c r="D10521" t="s">
        <v>17</v>
      </c>
      <c r="E10521" s="6">
        <v>-28138</v>
      </c>
      <c r="F10521" t="s">
        <v>3542</v>
      </c>
      <c r="G10521" t="s">
        <v>44</v>
      </c>
      <c r="H10521" t="s">
        <v>20</v>
      </c>
      <c r="I10521" t="s">
        <v>20421</v>
      </c>
      <c r="J10521" t="str">
        <f>HYPERLINK("https://www.boe.es/gazeta/dias/1822/12/16/pdfs/GMD-1822-366.pdf#page=1","Abrir facsímil")</f>
        <v>Abrir facsímil</v>
      </c>
      <c r="K10521" t="s">
        <v>22</v>
      </c>
    </row>
    <row r="10522" spans="1:11" ht="42" customHeight="1">
      <c r="A10522" t="s">
        <v>20422</v>
      </c>
      <c r="B10522" t="s">
        <v>20423</v>
      </c>
      <c r="C10522" t="s">
        <v>42</v>
      </c>
      <c r="D10522" t="s">
        <v>17</v>
      </c>
      <c r="E10522" s="6">
        <v>-28132</v>
      </c>
      <c r="F10522" t="s">
        <v>820</v>
      </c>
      <c r="G10522" t="s">
        <v>821</v>
      </c>
      <c r="H10522" t="s">
        <v>20</v>
      </c>
      <c r="I10522" t="s">
        <v>20424</v>
      </c>
      <c r="J10522" t="str">
        <f>HYPERLINK("https://www.boe.es/gazeta/dias/1822/12/22/pdfs/GMD-1822-372.pdf#page=4","Abrir facsímil")</f>
        <v>Abrir facsímil</v>
      </c>
      <c r="K10522" t="s">
        <v>22</v>
      </c>
    </row>
    <row r="10523" spans="1:11" ht="42" customHeight="1">
      <c r="A10523" t="s">
        <v>20425</v>
      </c>
      <c r="B10523" t="s">
        <v>20425</v>
      </c>
      <c r="C10523" t="s">
        <v>50</v>
      </c>
      <c r="D10523" t="s">
        <v>51</v>
      </c>
      <c r="E10523" s="6">
        <v>-28156</v>
      </c>
      <c r="F10523" t="s">
        <v>1568</v>
      </c>
      <c r="G10523" t="s">
        <v>63</v>
      </c>
      <c r="H10523" t="s">
        <v>20</v>
      </c>
      <c r="I10523" t="s">
        <v>20426</v>
      </c>
      <c r="J10523" t="str">
        <f>HYPERLINK("https://www.boe.es/gazeta/dias/1822/11/28/pdfs/GMD-1822-348.pdf#page=6","Abrir facsímil")</f>
        <v>Abrir facsímil</v>
      </c>
      <c r="K10523" t="s">
        <v>22</v>
      </c>
    </row>
    <row r="10524" spans="1:11" ht="42" customHeight="1">
      <c r="A10524" t="s">
        <v>20427</v>
      </c>
      <c r="B10524" t="s">
        <v>20428</v>
      </c>
      <c r="C10524" t="s">
        <v>50</v>
      </c>
      <c r="D10524" t="s">
        <v>51</v>
      </c>
      <c r="E10524" s="6">
        <v>-28156</v>
      </c>
      <c r="F10524" t="s">
        <v>1568</v>
      </c>
      <c r="G10524" t="s">
        <v>63</v>
      </c>
      <c r="H10524" t="s">
        <v>20</v>
      </c>
      <c r="I10524" t="s">
        <v>20429</v>
      </c>
      <c r="J10524" t="str">
        <f>HYPERLINK("https://www.boe.es/gazeta/dias/1822/11/28/pdfs/GMD-1822-348.pdf#page=6","Abrir facsímil")</f>
        <v>Abrir facsímil</v>
      </c>
      <c r="K10524" t="s">
        <v>22</v>
      </c>
    </row>
    <row r="10525" spans="1:11" ht="42" customHeight="1">
      <c r="A10525" t="s">
        <v>20430</v>
      </c>
      <c r="B10525" t="s">
        <v>20430</v>
      </c>
      <c r="C10525" t="s">
        <v>50</v>
      </c>
      <c r="D10525" t="s">
        <v>51</v>
      </c>
      <c r="E10525" s="6">
        <v>-28341</v>
      </c>
      <c r="F10525" t="s">
        <v>284</v>
      </c>
      <c r="G10525" t="s">
        <v>35</v>
      </c>
      <c r="H10525" t="s">
        <v>20</v>
      </c>
      <c r="I10525" t="s">
        <v>20431</v>
      </c>
      <c r="J10525" t="str">
        <f>HYPERLINK("https://www.boe.es/gazeta/dias/1822/05/27/pdfs/GMD-1822-152.pdf#page=2","Abrir facsímil")</f>
        <v>Abrir facsímil</v>
      </c>
      <c r="K10525" t="s">
        <v>22</v>
      </c>
    </row>
    <row r="10526" spans="1:11" ht="42" customHeight="1">
      <c r="A10526" t="s">
        <v>20432</v>
      </c>
      <c r="B10526" t="s">
        <v>20433</v>
      </c>
      <c r="C10526" t="s">
        <v>50</v>
      </c>
      <c r="D10526" t="s">
        <v>51</v>
      </c>
      <c r="E10526" s="6">
        <v>-28284</v>
      </c>
      <c r="F10526" t="s">
        <v>6484</v>
      </c>
      <c r="G10526" t="s">
        <v>35</v>
      </c>
      <c r="H10526" t="s">
        <v>20</v>
      </c>
      <c r="I10526" t="s">
        <v>20434</v>
      </c>
      <c r="J10526" t="str">
        <f>HYPERLINK("https://www.boe.es/gazeta/dias/1822/07/23/pdfs/GMD-1822-216.pdf#page=2","Abrir facsímil")</f>
        <v>Abrir facsímil</v>
      </c>
      <c r="K10526" t="s">
        <v>22</v>
      </c>
    </row>
    <row r="10527" spans="1:11" ht="42" customHeight="1">
      <c r="A10527" t="s">
        <v>20435</v>
      </c>
      <c r="B10527" t="s">
        <v>20436</v>
      </c>
      <c r="C10527" t="s">
        <v>42</v>
      </c>
      <c r="D10527" t="s">
        <v>17</v>
      </c>
      <c r="E10527" s="6">
        <v>-28436</v>
      </c>
      <c r="F10527" t="s">
        <v>431</v>
      </c>
      <c r="G10527" t="s">
        <v>57</v>
      </c>
      <c r="H10527" t="s">
        <v>20</v>
      </c>
      <c r="I10527" t="s">
        <v>20437</v>
      </c>
      <c r="J10527" t="str">
        <f>HYPERLINK("https://www.boe.es/gazeta/dias/1822/02/21/pdfs/GMD-1822-53.pdf#page=4","Abrir facsímil")</f>
        <v>Abrir facsímil</v>
      </c>
      <c r="K10527" t="s">
        <v>22</v>
      </c>
    </row>
    <row r="10528" spans="1:11" ht="42" customHeight="1">
      <c r="A10528" t="s">
        <v>20438</v>
      </c>
      <c r="B10528" t="s">
        <v>20438</v>
      </c>
      <c r="C10528" t="s">
        <v>50</v>
      </c>
      <c r="D10528" t="s">
        <v>51</v>
      </c>
      <c r="E10528" s="6">
        <v>-28256</v>
      </c>
      <c r="F10528" t="s">
        <v>1949</v>
      </c>
      <c r="G10528" t="s">
        <v>35</v>
      </c>
      <c r="H10528" t="s">
        <v>20</v>
      </c>
      <c r="I10528" t="s">
        <v>20439</v>
      </c>
      <c r="J10528" t="str">
        <f>HYPERLINK("https://www.boe.es/gazeta/dias/1822/08/20/pdfs/GMD-1822-244.pdf#page=2","Abrir facsímil")</f>
        <v>Abrir facsímil</v>
      </c>
      <c r="K10528" t="s">
        <v>22</v>
      </c>
    </row>
    <row r="10529" spans="1:11" ht="42" customHeight="1">
      <c r="A10529" t="s">
        <v>20438</v>
      </c>
      <c r="B10529" t="s">
        <v>20438</v>
      </c>
      <c r="C10529" t="s">
        <v>50</v>
      </c>
      <c r="D10529" t="s">
        <v>51</v>
      </c>
      <c r="E10529" s="6">
        <v>-28208</v>
      </c>
      <c r="F10529" t="s">
        <v>230</v>
      </c>
      <c r="G10529" t="s">
        <v>35</v>
      </c>
      <c r="H10529" t="s">
        <v>20</v>
      </c>
      <c r="I10529" t="s">
        <v>20440</v>
      </c>
      <c r="J10529" t="str">
        <f>HYPERLINK("https://www.boe.es/gazeta/dias/1822/10/07/pdfs/GMD-1822-293.pdf#page=2","Abrir facsímil")</f>
        <v>Abrir facsímil</v>
      </c>
      <c r="K10529" t="s">
        <v>22</v>
      </c>
    </row>
    <row r="10530" spans="1:11" ht="42" customHeight="1">
      <c r="A10530" t="s">
        <v>20438</v>
      </c>
      <c r="B10530" t="s">
        <v>20438</v>
      </c>
      <c r="C10530" t="s">
        <v>50</v>
      </c>
      <c r="D10530" t="s">
        <v>51</v>
      </c>
      <c r="E10530" s="6">
        <v>-28198</v>
      </c>
      <c r="F10530" t="s">
        <v>981</v>
      </c>
      <c r="G10530" t="s">
        <v>57</v>
      </c>
      <c r="H10530" t="s">
        <v>20</v>
      </c>
      <c r="I10530" t="s">
        <v>20441</v>
      </c>
      <c r="J10530" t="str">
        <f>HYPERLINK("https://www.boe.es/gazeta/dias/1822/10/17/pdfs/GMD-1822-304.pdf#page=4","Abrir facsímil")</f>
        <v>Abrir facsímil</v>
      </c>
      <c r="K10530" t="s">
        <v>22</v>
      </c>
    </row>
    <row r="10531" spans="1:11" ht="42" customHeight="1">
      <c r="A10531" t="s">
        <v>20442</v>
      </c>
      <c r="B10531" t="s">
        <v>20443</v>
      </c>
      <c r="C10531" t="s">
        <v>50</v>
      </c>
      <c r="D10531" t="s">
        <v>51</v>
      </c>
      <c r="E10531" s="6">
        <v>-28260</v>
      </c>
      <c r="F10531" t="s">
        <v>135</v>
      </c>
      <c r="G10531" t="s">
        <v>35</v>
      </c>
      <c r="H10531" t="s">
        <v>20</v>
      </c>
      <c r="I10531" t="s">
        <v>20444</v>
      </c>
      <c r="J10531" t="str">
        <f>HYPERLINK("https://www.boe.es/gazeta/dias/1822/08/16/pdfs/GMD-1822-240.pdf#page=2","Abrir facsímil")</f>
        <v>Abrir facsímil</v>
      </c>
      <c r="K10531" t="s">
        <v>22</v>
      </c>
    </row>
    <row r="10532" spans="1:11" ht="42" customHeight="1">
      <c r="A10532" t="s">
        <v>20442</v>
      </c>
      <c r="B10532" t="s">
        <v>20443</v>
      </c>
      <c r="C10532" t="s">
        <v>50</v>
      </c>
      <c r="D10532" t="s">
        <v>51</v>
      </c>
      <c r="E10532" s="6">
        <v>-28208</v>
      </c>
      <c r="F10532" t="s">
        <v>230</v>
      </c>
      <c r="G10532" t="s">
        <v>35</v>
      </c>
      <c r="H10532" t="s">
        <v>20</v>
      </c>
      <c r="I10532" t="s">
        <v>20445</v>
      </c>
      <c r="J10532" t="str">
        <f>HYPERLINK("https://www.boe.es/gazeta/dias/1822/10/07/pdfs/GMD-1822-293.pdf#page=2","Abrir facsímil")</f>
        <v>Abrir facsímil</v>
      </c>
      <c r="K10532" t="s">
        <v>22</v>
      </c>
    </row>
    <row r="10533" spans="1:11" ht="42" customHeight="1">
      <c r="A10533" t="s">
        <v>20446</v>
      </c>
      <c r="B10533" t="s">
        <v>20446</v>
      </c>
      <c r="C10533" t="s">
        <v>50</v>
      </c>
      <c r="D10533" t="s">
        <v>51</v>
      </c>
      <c r="E10533" s="6">
        <v>-28205</v>
      </c>
      <c r="F10533" t="s">
        <v>806</v>
      </c>
      <c r="G10533" t="s">
        <v>63</v>
      </c>
      <c r="H10533" t="s">
        <v>20</v>
      </c>
      <c r="I10533" t="s">
        <v>20447</v>
      </c>
      <c r="J10533" t="str">
        <f>HYPERLINK("https://www.boe.es/gazeta/dias/1822/10/10/pdfs/GMD-1822-297.pdf#page=6","Abrir facsímil")</f>
        <v>Abrir facsímil</v>
      </c>
      <c r="K10533" t="s">
        <v>22</v>
      </c>
    </row>
    <row r="10534" spans="1:11" ht="42" customHeight="1">
      <c r="A10534" t="s">
        <v>20448</v>
      </c>
      <c r="B10534" t="s">
        <v>20448</v>
      </c>
      <c r="C10534" t="s">
        <v>28</v>
      </c>
      <c r="D10534" t="s">
        <v>29</v>
      </c>
      <c r="E10534" s="6">
        <v>-28253</v>
      </c>
      <c r="F10534" t="s">
        <v>413</v>
      </c>
      <c r="G10534" t="s">
        <v>35</v>
      </c>
      <c r="H10534" t="s">
        <v>20</v>
      </c>
      <c r="I10534" t="s">
        <v>20449</v>
      </c>
      <c r="J10534" t="str">
        <f>HYPERLINK("https://www.boe.es/gazeta/dias/1822/08/23/pdfs/GMD-1822-247.pdf#page=2","Abrir facsímil")</f>
        <v>Abrir facsímil</v>
      </c>
      <c r="K10534" t="s">
        <v>22</v>
      </c>
    </row>
    <row r="10535" spans="1:11" ht="42" customHeight="1">
      <c r="A10535" t="s">
        <v>20450</v>
      </c>
      <c r="B10535" t="s">
        <v>20451</v>
      </c>
      <c r="C10535" t="s">
        <v>50</v>
      </c>
      <c r="D10535" t="s">
        <v>51</v>
      </c>
      <c r="E10535" s="6">
        <v>-28415</v>
      </c>
      <c r="F10535" t="s">
        <v>77</v>
      </c>
      <c r="G10535" t="s">
        <v>63</v>
      </c>
      <c r="H10535" t="s">
        <v>20</v>
      </c>
      <c r="I10535" t="s">
        <v>20452</v>
      </c>
      <c r="J10535" t="str">
        <f>HYPERLINK("https://www.boe.es/gazeta/dias/1822/03/14/pdfs/GMD-1822-75.pdf#page=6","Abrir facsímil")</f>
        <v>Abrir facsímil</v>
      </c>
      <c r="K10535" t="s">
        <v>22</v>
      </c>
    </row>
    <row r="10536" spans="1:11" ht="42" customHeight="1">
      <c r="A10536" t="s">
        <v>20453</v>
      </c>
      <c r="B10536" t="s">
        <v>20454</v>
      </c>
      <c r="C10536" t="s">
        <v>71</v>
      </c>
      <c r="D10536" t="s">
        <v>17</v>
      </c>
      <c r="E10536" s="6">
        <v>-28314</v>
      </c>
      <c r="F10536" t="s">
        <v>309</v>
      </c>
      <c r="G10536" t="s">
        <v>35</v>
      </c>
      <c r="H10536" t="s">
        <v>20</v>
      </c>
      <c r="I10536" t="s">
        <v>20455</v>
      </c>
      <c r="J10536" t="str">
        <f>HYPERLINK("https://www.boe.es/gazeta/dias/1822/06/23/pdfs/GMD-1822-181.pdf#page=2","Abrir facsímil")</f>
        <v>Abrir facsímil</v>
      </c>
      <c r="K10536" t="s">
        <v>22</v>
      </c>
    </row>
    <row r="10537" spans="1:11" ht="42" customHeight="1">
      <c r="A10537" t="s">
        <v>20456</v>
      </c>
      <c r="B10537" t="s">
        <v>20456</v>
      </c>
      <c r="C10537" t="s">
        <v>28</v>
      </c>
      <c r="D10537" t="s">
        <v>29</v>
      </c>
      <c r="E10537" s="6">
        <v>-28426</v>
      </c>
      <c r="F10537" t="s">
        <v>1178</v>
      </c>
      <c r="G10537" t="s">
        <v>57</v>
      </c>
      <c r="H10537" t="s">
        <v>20</v>
      </c>
      <c r="I10537" t="s">
        <v>20457</v>
      </c>
      <c r="J10537" t="str">
        <f>HYPERLINK("https://www.boe.es/gazeta/dias/1822/03/03/pdfs/GMD-1822-64.pdf#page=4","Abrir facsímil")</f>
        <v>Abrir facsímil</v>
      </c>
      <c r="K10537" t="s">
        <v>22</v>
      </c>
    </row>
    <row r="10538" spans="1:11" ht="42" customHeight="1">
      <c r="A10538" t="s">
        <v>20456</v>
      </c>
      <c r="B10538" t="s">
        <v>20456</v>
      </c>
      <c r="C10538" t="s">
        <v>42</v>
      </c>
      <c r="D10538" t="s">
        <v>17</v>
      </c>
      <c r="E10538" s="6">
        <v>-28418</v>
      </c>
      <c r="F10538" t="s">
        <v>205</v>
      </c>
      <c r="G10538" t="s">
        <v>157</v>
      </c>
      <c r="H10538" t="s">
        <v>20</v>
      </c>
      <c r="I10538" t="s">
        <v>20458</v>
      </c>
      <c r="J10538" t="str">
        <f>HYPERLINK("https://www.boe.es/gazeta/dias/1822/03/11/pdfs/GMD-1822-72.pdf#page=8","Abrir facsímil")</f>
        <v>Abrir facsímil</v>
      </c>
      <c r="K10538" t="s">
        <v>22</v>
      </c>
    </row>
    <row r="10539" spans="1:11" ht="42" customHeight="1">
      <c r="A10539" t="s">
        <v>20456</v>
      </c>
      <c r="B10539" t="s">
        <v>20456</v>
      </c>
      <c r="C10539" t="s">
        <v>28</v>
      </c>
      <c r="D10539" t="s">
        <v>29</v>
      </c>
      <c r="E10539" s="6">
        <v>-28381</v>
      </c>
      <c r="F10539" t="s">
        <v>358</v>
      </c>
      <c r="G10539" t="s">
        <v>19</v>
      </c>
      <c r="H10539" t="s">
        <v>20</v>
      </c>
      <c r="I10539" t="s">
        <v>20459</v>
      </c>
      <c r="J10539" t="str">
        <f>HYPERLINK("https://www.boe.es/gazeta/dias/1822/04/17/pdfs/GMD-1822-109.pdf#page=5","Abrir facsímil")</f>
        <v>Abrir facsímil</v>
      </c>
      <c r="K10539" t="s">
        <v>22</v>
      </c>
    </row>
    <row r="10540" spans="1:11" ht="42" customHeight="1">
      <c r="A10540" t="s">
        <v>20456</v>
      </c>
      <c r="B10540" t="s">
        <v>20456</v>
      </c>
      <c r="C10540" t="s">
        <v>71</v>
      </c>
      <c r="D10540" t="s">
        <v>17</v>
      </c>
      <c r="E10540" s="6">
        <v>-28371</v>
      </c>
      <c r="F10540" t="s">
        <v>401</v>
      </c>
      <c r="G10540" t="s">
        <v>35</v>
      </c>
      <c r="H10540" t="s">
        <v>20</v>
      </c>
      <c r="I10540" t="s">
        <v>20460</v>
      </c>
      <c r="J10540" t="str">
        <f>HYPERLINK("https://www.boe.es/gazeta/dias/1822/04/27/pdfs/GMD-1822-119.pdf#page=2","Abrir facsímil")</f>
        <v>Abrir facsímil</v>
      </c>
      <c r="K10540" t="s">
        <v>22</v>
      </c>
    </row>
    <row r="10541" spans="1:11" ht="42" customHeight="1">
      <c r="A10541" t="s">
        <v>20456</v>
      </c>
      <c r="B10541" t="s">
        <v>20456</v>
      </c>
      <c r="C10541" t="s">
        <v>71</v>
      </c>
      <c r="D10541" t="s">
        <v>17</v>
      </c>
      <c r="E10541" s="6">
        <v>-28317</v>
      </c>
      <c r="F10541" t="s">
        <v>546</v>
      </c>
      <c r="G10541" t="s">
        <v>57</v>
      </c>
      <c r="H10541" t="s">
        <v>20</v>
      </c>
      <c r="I10541" t="s">
        <v>20461</v>
      </c>
      <c r="J10541" t="str">
        <f>HYPERLINK("https://www.boe.es/gazeta/dias/1822/06/20/pdfs/GMD-1822-177.pdf#page=4","Abrir facsímil")</f>
        <v>Abrir facsímil</v>
      </c>
      <c r="K10541" t="s">
        <v>22</v>
      </c>
    </row>
    <row r="10542" spans="1:11" ht="42" customHeight="1">
      <c r="A10542" t="s">
        <v>20462</v>
      </c>
      <c r="B10542" t="s">
        <v>20463</v>
      </c>
      <c r="C10542" t="s">
        <v>71</v>
      </c>
      <c r="D10542" t="s">
        <v>17</v>
      </c>
      <c r="E10542" s="6">
        <v>-28382</v>
      </c>
      <c r="F10542" t="s">
        <v>973</v>
      </c>
      <c r="G10542" t="s">
        <v>19</v>
      </c>
      <c r="H10542" t="s">
        <v>20</v>
      </c>
      <c r="I10542" t="s">
        <v>20464</v>
      </c>
      <c r="J10542" t="str">
        <f>HYPERLINK("https://www.boe.es/gazeta/dias/1822/04/16/pdfs/GMD-1822-108.pdf#page=5","Abrir facsímil")</f>
        <v>Abrir facsímil</v>
      </c>
      <c r="K10542" t="s">
        <v>22</v>
      </c>
    </row>
    <row r="10543" spans="1:11" ht="42" customHeight="1">
      <c r="A10543" t="s">
        <v>20462</v>
      </c>
      <c r="B10543" t="s">
        <v>20463</v>
      </c>
      <c r="C10543" t="s">
        <v>42</v>
      </c>
      <c r="D10543" t="s">
        <v>17</v>
      </c>
      <c r="E10543" s="6">
        <v>-28336</v>
      </c>
      <c r="F10543" t="s">
        <v>156</v>
      </c>
      <c r="G10543" t="s">
        <v>35</v>
      </c>
      <c r="H10543" t="s">
        <v>20</v>
      </c>
      <c r="I10543" t="s">
        <v>20465</v>
      </c>
      <c r="J10543" t="str">
        <f>HYPERLINK("https://www.boe.es/gazeta/dias/1822/06/01/pdfs/GMD-1822-157.pdf#page=2","Abrir facsímil")</f>
        <v>Abrir facsímil</v>
      </c>
      <c r="K10543" t="s">
        <v>22</v>
      </c>
    </row>
    <row r="10544" spans="1:11" ht="42" customHeight="1">
      <c r="A10544" t="s">
        <v>20462</v>
      </c>
      <c r="B10544" t="s">
        <v>20463</v>
      </c>
      <c r="C10544" t="s">
        <v>50</v>
      </c>
      <c r="D10544" t="s">
        <v>51</v>
      </c>
      <c r="E10544" s="6">
        <v>-28203</v>
      </c>
      <c r="F10544" t="s">
        <v>564</v>
      </c>
      <c r="G10544" t="s">
        <v>4185</v>
      </c>
      <c r="H10544" t="s">
        <v>20</v>
      </c>
      <c r="I10544" t="s">
        <v>20466</v>
      </c>
      <c r="J10544" t="str">
        <f>HYPERLINK("https://www.boe.es/gazeta/dias/1822/10/12/pdfs/GMD-1822-299.pdf#page=2","Abrir facsímil")</f>
        <v>Abrir facsímil</v>
      </c>
      <c r="K10544" t="s">
        <v>22</v>
      </c>
    </row>
    <row r="10545" spans="1:11" ht="42" customHeight="1">
      <c r="A10545" t="s">
        <v>20467</v>
      </c>
      <c r="B10545" t="s">
        <v>20468</v>
      </c>
      <c r="C10545" t="s">
        <v>50</v>
      </c>
      <c r="D10545" t="s">
        <v>51</v>
      </c>
      <c r="E10545" s="6">
        <v>-28397</v>
      </c>
      <c r="F10545" t="s">
        <v>1401</v>
      </c>
      <c r="G10545" t="s">
        <v>57</v>
      </c>
      <c r="H10545" t="s">
        <v>20</v>
      </c>
      <c r="I10545" t="s">
        <v>20469</v>
      </c>
      <c r="J10545" t="str">
        <f>HYPERLINK("https://www.boe.es/gazeta/dias/1822/04/01/pdfs/GMD-1822-93.pdf#page=4","Abrir facsímil")</f>
        <v>Abrir facsímil</v>
      </c>
      <c r="K10545" t="s">
        <v>22</v>
      </c>
    </row>
    <row r="10546" spans="1:11" ht="42" customHeight="1">
      <c r="A10546" t="s">
        <v>20470</v>
      </c>
      <c r="B10546" t="s">
        <v>20471</v>
      </c>
      <c r="C10546" t="s">
        <v>50</v>
      </c>
      <c r="D10546" t="s">
        <v>51</v>
      </c>
      <c r="E10546" s="6">
        <v>-28355</v>
      </c>
      <c r="F10546" t="s">
        <v>692</v>
      </c>
      <c r="G10546" t="s">
        <v>57</v>
      </c>
      <c r="H10546" t="s">
        <v>20</v>
      </c>
      <c r="I10546" t="s">
        <v>20472</v>
      </c>
      <c r="J10546" t="str">
        <f>HYPERLINK("https://www.boe.es/gazeta/dias/1822/05/13/pdfs/GMD-1822-135.pdf#page=4","Abrir facsímil")</f>
        <v>Abrir facsímil</v>
      </c>
      <c r="K10546" t="s">
        <v>22</v>
      </c>
    </row>
    <row r="10547" spans="1:11" ht="42" customHeight="1">
      <c r="A10547" t="s">
        <v>20473</v>
      </c>
      <c r="B10547" t="s">
        <v>20474</v>
      </c>
      <c r="C10547" t="s">
        <v>50</v>
      </c>
      <c r="D10547" t="s">
        <v>51</v>
      </c>
      <c r="E10547" s="6">
        <v>-28203</v>
      </c>
      <c r="F10547" t="s">
        <v>564</v>
      </c>
      <c r="G10547" t="s">
        <v>4185</v>
      </c>
      <c r="H10547" t="s">
        <v>20</v>
      </c>
      <c r="I10547" t="s">
        <v>20475</v>
      </c>
      <c r="J10547" t="str">
        <f>HYPERLINK("https://www.boe.es/gazeta/dias/1822/10/12/pdfs/GMD-1822-299.pdf#page=2","Abrir facsímil")</f>
        <v>Abrir facsímil</v>
      </c>
      <c r="K10547" t="s">
        <v>22</v>
      </c>
    </row>
    <row r="10548" spans="1:11" ht="42" customHeight="1">
      <c r="A10548" t="s">
        <v>20476</v>
      </c>
      <c r="B10548" t="s">
        <v>20476</v>
      </c>
      <c r="C10548" t="s">
        <v>28</v>
      </c>
      <c r="D10548" t="s">
        <v>29</v>
      </c>
      <c r="E10548" s="6">
        <v>-28381</v>
      </c>
      <c r="F10548" t="s">
        <v>358</v>
      </c>
      <c r="G10548" t="s">
        <v>19</v>
      </c>
      <c r="H10548" t="s">
        <v>20</v>
      </c>
      <c r="I10548" t="s">
        <v>20477</v>
      </c>
      <c r="J10548" t="str">
        <f>HYPERLINK("https://www.boe.es/gazeta/dias/1822/04/17/pdfs/GMD-1822-109.pdf#page=5","Abrir facsímil")</f>
        <v>Abrir facsímil</v>
      </c>
      <c r="K10548" t="s">
        <v>22</v>
      </c>
    </row>
    <row r="10549" spans="1:11" ht="42" customHeight="1">
      <c r="A10549" t="s">
        <v>20476</v>
      </c>
      <c r="B10549" t="s">
        <v>20476</v>
      </c>
      <c r="C10549" t="s">
        <v>16</v>
      </c>
      <c r="D10549" t="s">
        <v>17</v>
      </c>
      <c r="E10549" s="6">
        <v>-28324</v>
      </c>
      <c r="F10549" t="s">
        <v>305</v>
      </c>
      <c r="G10549" t="s">
        <v>31</v>
      </c>
      <c r="H10549" t="s">
        <v>20</v>
      </c>
      <c r="I10549" t="s">
        <v>20478</v>
      </c>
      <c r="J10549" t="str">
        <f>HYPERLINK("https://www.boe.es/gazeta/dias/1822/06/13/pdfs/GMD-1822-170.pdf#page=3","Abrir facsímil")</f>
        <v>Abrir facsímil</v>
      </c>
      <c r="K10549" t="s">
        <v>22</v>
      </c>
    </row>
    <row r="10550" spans="1:11" ht="42" customHeight="1">
      <c r="A10550" t="s">
        <v>20479</v>
      </c>
      <c r="B10550" t="s">
        <v>20480</v>
      </c>
      <c r="C10550" t="s">
        <v>71</v>
      </c>
      <c r="D10550" t="s">
        <v>17</v>
      </c>
      <c r="E10550" s="6">
        <v>-28419</v>
      </c>
      <c r="F10550" t="s">
        <v>1392</v>
      </c>
      <c r="G10550" t="s">
        <v>31</v>
      </c>
      <c r="H10550" t="s">
        <v>20</v>
      </c>
      <c r="I10550" t="s">
        <v>20481</v>
      </c>
      <c r="J10550" t="str">
        <f>HYPERLINK("https://www.boe.es/gazeta/dias/1822/03/10/pdfs/GMD-1822-71.pdf#page=3","Abrir facsímil")</f>
        <v>Abrir facsímil</v>
      </c>
      <c r="K10550" t="s">
        <v>22</v>
      </c>
    </row>
    <row r="10551" spans="1:11" ht="42" customHeight="1">
      <c r="A10551" t="s">
        <v>20479</v>
      </c>
      <c r="B10551" t="s">
        <v>20480</v>
      </c>
      <c r="C10551" t="s">
        <v>16</v>
      </c>
      <c r="D10551" t="s">
        <v>17</v>
      </c>
      <c r="E10551" s="6">
        <v>-28383</v>
      </c>
      <c r="F10551" t="s">
        <v>488</v>
      </c>
      <c r="G10551" t="s">
        <v>63</v>
      </c>
      <c r="H10551" t="s">
        <v>20</v>
      </c>
      <c r="I10551" t="s">
        <v>20482</v>
      </c>
      <c r="J10551" t="str">
        <f>HYPERLINK("https://www.boe.es/gazeta/dias/1822/04/15/pdfs/GMD-1822-107.pdf#page=6","Abrir facsímil")</f>
        <v>Abrir facsímil</v>
      </c>
      <c r="K10551" t="s">
        <v>22</v>
      </c>
    </row>
    <row r="10552" spans="1:11" ht="42" customHeight="1">
      <c r="A10552" t="s">
        <v>20479</v>
      </c>
      <c r="B10552" t="s">
        <v>20480</v>
      </c>
      <c r="C10552" t="s">
        <v>24</v>
      </c>
      <c r="D10552" t="s">
        <v>17</v>
      </c>
      <c r="E10552" s="6">
        <v>-28381</v>
      </c>
      <c r="F10552" t="s">
        <v>358</v>
      </c>
      <c r="G10552" t="s">
        <v>2269</v>
      </c>
      <c r="H10552" t="s">
        <v>20</v>
      </c>
      <c r="I10552" t="s">
        <v>20483</v>
      </c>
      <c r="J10552" t="str">
        <f>HYPERLINK("https://www.boe.es/gazeta/dias/1822/04/17/pdfs/GMD-1822-109.pdf#page=3","Abrir facsímil")</f>
        <v>Abrir facsímil</v>
      </c>
      <c r="K10552" t="s">
        <v>22</v>
      </c>
    </row>
    <row r="10553" spans="1:11" ht="42" customHeight="1">
      <c r="A10553" t="s">
        <v>20479</v>
      </c>
      <c r="B10553" t="s">
        <v>20480</v>
      </c>
      <c r="C10553" t="s">
        <v>50</v>
      </c>
      <c r="D10553" t="s">
        <v>51</v>
      </c>
      <c r="E10553" s="6">
        <v>-28327</v>
      </c>
      <c r="F10553" t="s">
        <v>38</v>
      </c>
      <c r="G10553" t="s">
        <v>35</v>
      </c>
      <c r="H10553" t="s">
        <v>20</v>
      </c>
      <c r="I10553" t="s">
        <v>20484</v>
      </c>
      <c r="J10553" t="str">
        <f>HYPERLINK("https://www.boe.es/gazeta/dias/1822/06/10/pdfs/GMD-1822-167.pdf#page=2","Abrir facsímil")</f>
        <v>Abrir facsímil</v>
      </c>
      <c r="K10553" t="s">
        <v>22</v>
      </c>
    </row>
    <row r="10554" spans="1:11" ht="42" customHeight="1">
      <c r="A10554" t="s">
        <v>20485</v>
      </c>
      <c r="B10554" t="s">
        <v>20486</v>
      </c>
      <c r="C10554" t="s">
        <v>24</v>
      </c>
      <c r="D10554" t="s">
        <v>17</v>
      </c>
      <c r="E10554" s="6">
        <v>-28364</v>
      </c>
      <c r="F10554" t="s">
        <v>509</v>
      </c>
      <c r="G10554" t="s">
        <v>63</v>
      </c>
      <c r="H10554" t="s">
        <v>20</v>
      </c>
      <c r="I10554" t="s">
        <v>20487</v>
      </c>
      <c r="J10554" t="str">
        <f>HYPERLINK("https://www.boe.es/gazeta/dias/1822/05/04/pdfs/GMD-1822-126.pdf#page=6","Abrir facsímil")</f>
        <v>Abrir facsímil</v>
      </c>
      <c r="K10554" t="s">
        <v>22</v>
      </c>
    </row>
    <row r="10555" spans="1:11" ht="42" customHeight="1">
      <c r="A10555" t="s">
        <v>20488</v>
      </c>
      <c r="B10555" t="s">
        <v>20489</v>
      </c>
      <c r="C10555" t="s">
        <v>28</v>
      </c>
      <c r="D10555" t="s">
        <v>29</v>
      </c>
      <c r="E10555" s="6">
        <v>-28160</v>
      </c>
      <c r="F10555" t="s">
        <v>148</v>
      </c>
      <c r="G10555" t="s">
        <v>63</v>
      </c>
      <c r="H10555" t="s">
        <v>20</v>
      </c>
      <c r="I10555" t="s">
        <v>20490</v>
      </c>
      <c r="J10555" t="str">
        <f>HYPERLINK("https://www.boe.es/gazeta/dias/1822/11/24/pdfs/GMD-1822-344.pdf#page=6","Abrir facsímil")</f>
        <v>Abrir facsímil</v>
      </c>
      <c r="K10555" t="s">
        <v>22</v>
      </c>
    </row>
    <row r="10556" spans="1:11" ht="42" customHeight="1">
      <c r="A10556" t="s">
        <v>20491</v>
      </c>
      <c r="B10556" t="s">
        <v>20491</v>
      </c>
      <c r="C10556" t="s">
        <v>28</v>
      </c>
      <c r="D10556" t="s">
        <v>29</v>
      </c>
      <c r="E10556" s="6">
        <v>-28414</v>
      </c>
      <c r="F10556" t="s">
        <v>187</v>
      </c>
      <c r="G10556" t="s">
        <v>19</v>
      </c>
      <c r="H10556" t="s">
        <v>20</v>
      </c>
      <c r="I10556" t="s">
        <v>20492</v>
      </c>
      <c r="J10556" t="str">
        <f>HYPERLINK("https://www.boe.es/gazeta/dias/1822/03/15/pdfs/GMD-1822-76.pdf#page=5","Abrir facsímil")</f>
        <v>Abrir facsímil</v>
      </c>
      <c r="K10556" t="s">
        <v>22</v>
      </c>
    </row>
    <row r="10557" spans="1:11" ht="42" customHeight="1">
      <c r="A10557" t="s">
        <v>20493</v>
      </c>
      <c r="B10557" t="s">
        <v>20494</v>
      </c>
      <c r="C10557" t="s">
        <v>50</v>
      </c>
      <c r="D10557" t="s">
        <v>51</v>
      </c>
      <c r="E10557" s="6">
        <v>-28401</v>
      </c>
      <c r="F10557" t="s">
        <v>108</v>
      </c>
      <c r="G10557" t="s">
        <v>31</v>
      </c>
      <c r="H10557" t="s">
        <v>20</v>
      </c>
      <c r="I10557" t="s">
        <v>20495</v>
      </c>
      <c r="J10557" t="str">
        <f>HYPERLINK("https://www.boe.es/gazeta/dias/1822/03/28/pdfs/GMD-1822-89.pdf#page=3","Abrir facsímil")</f>
        <v>Abrir facsímil</v>
      </c>
      <c r="K10557" t="s">
        <v>22</v>
      </c>
    </row>
    <row r="10558" spans="1:11" ht="42" customHeight="1">
      <c r="A10558" t="s">
        <v>20496</v>
      </c>
      <c r="B10558" t="s">
        <v>20497</v>
      </c>
      <c r="C10558" t="s">
        <v>28</v>
      </c>
      <c r="D10558" t="s">
        <v>29</v>
      </c>
      <c r="E10558" s="6">
        <v>-28417</v>
      </c>
      <c r="F10558" t="s">
        <v>1394</v>
      </c>
      <c r="G10558" t="s">
        <v>35</v>
      </c>
      <c r="H10558" t="s">
        <v>20</v>
      </c>
      <c r="I10558" t="s">
        <v>20498</v>
      </c>
      <c r="J10558" t="str">
        <f>HYPERLINK("https://www.boe.es/gazeta/dias/1822/03/12/pdfs/GMD-1822-73.pdf#page=2","Abrir facsímil")</f>
        <v>Abrir facsímil</v>
      </c>
      <c r="K10558" t="s">
        <v>22</v>
      </c>
    </row>
    <row r="10559" spans="1:11" ht="42" customHeight="1">
      <c r="A10559" t="s">
        <v>20499</v>
      </c>
      <c r="B10559" t="s">
        <v>20500</v>
      </c>
      <c r="C10559" t="s">
        <v>50</v>
      </c>
      <c r="D10559" t="s">
        <v>51</v>
      </c>
      <c r="E10559" s="6">
        <v>-28292</v>
      </c>
      <c r="F10559" t="s">
        <v>222</v>
      </c>
      <c r="G10559" t="s">
        <v>31</v>
      </c>
      <c r="H10559" t="s">
        <v>20</v>
      </c>
      <c r="I10559" t="s">
        <v>20501</v>
      </c>
      <c r="J10559" t="str">
        <f>HYPERLINK("https://www.boe.es/gazeta/dias/1822/07/15/pdfs/GMD-1822-205.pdf#page=3","Abrir facsímil")</f>
        <v>Abrir facsímil</v>
      </c>
      <c r="K10559" t="s">
        <v>22</v>
      </c>
    </row>
    <row r="10560" spans="1:11" ht="42" customHeight="1">
      <c r="A10560" t="s">
        <v>20502</v>
      </c>
      <c r="B10560" t="s">
        <v>20503</v>
      </c>
      <c r="C10560" t="s">
        <v>42</v>
      </c>
      <c r="D10560" t="s">
        <v>17</v>
      </c>
      <c r="E10560" s="6">
        <v>-28290</v>
      </c>
      <c r="F10560" t="s">
        <v>706</v>
      </c>
      <c r="G10560" t="s">
        <v>57</v>
      </c>
      <c r="H10560" t="s">
        <v>20</v>
      </c>
      <c r="I10560" t="s">
        <v>20504</v>
      </c>
      <c r="J10560" t="str">
        <f>HYPERLINK("https://www.boe.es/gazeta/dias/1822/07/17/pdfs/GMD-1822-207.pdf#page=4","Abrir facsímil")</f>
        <v>Abrir facsímil</v>
      </c>
      <c r="K10560" t="s">
        <v>22</v>
      </c>
    </row>
    <row r="10561" spans="1:11" ht="42" customHeight="1">
      <c r="A10561" t="s">
        <v>20505</v>
      </c>
      <c r="B10561" t="s">
        <v>20506</v>
      </c>
      <c r="C10561" t="s">
        <v>42</v>
      </c>
      <c r="D10561" t="s">
        <v>17</v>
      </c>
      <c r="E10561" s="6">
        <v>-28417</v>
      </c>
      <c r="F10561" t="s">
        <v>1394</v>
      </c>
      <c r="G10561" t="s">
        <v>35</v>
      </c>
      <c r="H10561" t="s">
        <v>20</v>
      </c>
      <c r="I10561" t="s">
        <v>20507</v>
      </c>
      <c r="J10561" t="str">
        <f>HYPERLINK("https://www.boe.es/gazeta/dias/1822/03/12/pdfs/GMD-1822-73.pdf#page=2","Abrir facsímil")</f>
        <v>Abrir facsímil</v>
      </c>
      <c r="K10561" t="s">
        <v>22</v>
      </c>
    </row>
    <row r="10562" spans="1:11" ht="42" customHeight="1">
      <c r="A10562" t="s">
        <v>20508</v>
      </c>
      <c r="B10562" t="s">
        <v>20509</v>
      </c>
      <c r="C10562" t="s">
        <v>50</v>
      </c>
      <c r="D10562" t="s">
        <v>51</v>
      </c>
      <c r="E10562" s="6">
        <v>-28258</v>
      </c>
      <c r="F10562" t="s">
        <v>88</v>
      </c>
      <c r="G10562" t="s">
        <v>44</v>
      </c>
      <c r="H10562" t="s">
        <v>20</v>
      </c>
      <c r="I10562" t="s">
        <v>20510</v>
      </c>
      <c r="J10562" t="str">
        <f>HYPERLINK("https://www.boe.es/gazeta/dias/1822/08/18/pdfs/GMD-1822-242.pdf#page=1","Abrir facsímil")</f>
        <v>Abrir facsímil</v>
      </c>
      <c r="K10562" t="s">
        <v>22</v>
      </c>
    </row>
    <row r="10563" spans="1:11" ht="42" customHeight="1">
      <c r="A10563" t="s">
        <v>20511</v>
      </c>
      <c r="B10563" t="s">
        <v>20512</v>
      </c>
      <c r="C10563" t="s">
        <v>50</v>
      </c>
      <c r="D10563" t="s">
        <v>51</v>
      </c>
      <c r="E10563" s="6">
        <v>-28260</v>
      </c>
      <c r="F10563" t="s">
        <v>135</v>
      </c>
      <c r="G10563" t="s">
        <v>63</v>
      </c>
      <c r="H10563" t="s">
        <v>20</v>
      </c>
      <c r="I10563" t="s">
        <v>20513</v>
      </c>
      <c r="J10563" t="str">
        <f>HYPERLINK("https://www.boe.es/gazeta/dias/1822/08/16/pdfs/GMD-1822-240.pdf#page=6","Abrir facsímil")</f>
        <v>Abrir facsímil</v>
      </c>
      <c r="K10563" t="s">
        <v>22</v>
      </c>
    </row>
    <row r="10564" spans="1:11" ht="42" customHeight="1">
      <c r="A10564" t="s">
        <v>20514</v>
      </c>
      <c r="B10564" t="s">
        <v>20515</v>
      </c>
      <c r="C10564" t="s">
        <v>28</v>
      </c>
      <c r="D10564" t="s">
        <v>29</v>
      </c>
      <c r="E10564" s="6">
        <v>-28308</v>
      </c>
      <c r="F10564" t="s">
        <v>1050</v>
      </c>
      <c r="G10564" t="s">
        <v>157</v>
      </c>
      <c r="H10564" t="s">
        <v>20</v>
      </c>
      <c r="I10564" t="s">
        <v>20516</v>
      </c>
      <c r="J10564" t="str">
        <f>HYPERLINK("https://www.boe.es/gazeta/dias/1822/06/29/pdfs/GMD-1822-187.pdf#page=8","Abrir facsímil")</f>
        <v>Abrir facsímil</v>
      </c>
      <c r="K10564" t="s">
        <v>22</v>
      </c>
    </row>
    <row r="10565" spans="1:11" ht="42" customHeight="1">
      <c r="A10565" t="s">
        <v>20517</v>
      </c>
      <c r="B10565" t="s">
        <v>20518</v>
      </c>
      <c r="C10565" t="s">
        <v>50</v>
      </c>
      <c r="D10565" t="s">
        <v>51</v>
      </c>
      <c r="E10565" s="6">
        <v>-28222</v>
      </c>
      <c r="F10565" t="s">
        <v>2027</v>
      </c>
      <c r="G10565" t="s">
        <v>57</v>
      </c>
      <c r="H10565" t="s">
        <v>20</v>
      </c>
      <c r="I10565" t="s">
        <v>20519</v>
      </c>
      <c r="J10565" t="str">
        <f>HYPERLINK("https://www.boe.es/gazeta/dias/1822/09/23/pdfs/GMD-1822-279.pdf#page=4","Abrir facsímil")</f>
        <v>Abrir facsímil</v>
      </c>
      <c r="K10565" t="s">
        <v>22</v>
      </c>
    </row>
    <row r="10566" spans="1:11" ht="42" customHeight="1">
      <c r="A10566" t="s">
        <v>20520</v>
      </c>
      <c r="B10566" t="s">
        <v>20521</v>
      </c>
      <c r="C10566" t="s">
        <v>50</v>
      </c>
      <c r="D10566" t="s">
        <v>51</v>
      </c>
      <c r="E10566" s="6">
        <v>-28303</v>
      </c>
      <c r="F10566" t="s">
        <v>201</v>
      </c>
      <c r="G10566" t="s">
        <v>31</v>
      </c>
      <c r="H10566" t="s">
        <v>20</v>
      </c>
      <c r="I10566" t="s">
        <v>20522</v>
      </c>
      <c r="J10566" t="str">
        <f>HYPERLINK("https://www.boe.es/gazeta/dias/1822/07/04/pdfs/GMD-1822-193.pdf#page=3","Abrir facsímil")</f>
        <v>Abrir facsímil</v>
      </c>
      <c r="K10566" t="s">
        <v>22</v>
      </c>
    </row>
    <row r="10567" spans="1:11" ht="42" customHeight="1">
      <c r="A10567" t="s">
        <v>20523</v>
      </c>
      <c r="B10567" t="s">
        <v>20523</v>
      </c>
      <c r="C10567" t="s">
        <v>42</v>
      </c>
      <c r="D10567" t="s">
        <v>17</v>
      </c>
      <c r="E10567" s="6">
        <v>-28369</v>
      </c>
      <c r="F10567" t="s">
        <v>1590</v>
      </c>
      <c r="G10567" t="s">
        <v>31</v>
      </c>
      <c r="H10567" t="s">
        <v>20</v>
      </c>
      <c r="I10567" t="s">
        <v>20524</v>
      </c>
      <c r="J10567" t="str">
        <f>HYPERLINK("https://www.boe.es/gazeta/dias/1822/04/29/pdfs/GMD-1822-121.pdf#page=3","Abrir facsímil")</f>
        <v>Abrir facsímil</v>
      </c>
      <c r="K10567" t="s">
        <v>22</v>
      </c>
    </row>
    <row r="10568" spans="1:11" ht="42" customHeight="1">
      <c r="A10568" t="s">
        <v>20525</v>
      </c>
      <c r="B10568" t="s">
        <v>20525</v>
      </c>
      <c r="C10568" t="s">
        <v>50</v>
      </c>
      <c r="D10568" t="s">
        <v>51</v>
      </c>
      <c r="E10568" s="6">
        <v>-28252</v>
      </c>
      <c r="F10568" t="s">
        <v>4333</v>
      </c>
      <c r="G10568" t="s">
        <v>44</v>
      </c>
      <c r="H10568" t="s">
        <v>20</v>
      </c>
      <c r="I10568" t="s">
        <v>20526</v>
      </c>
      <c r="J10568" t="str">
        <f>HYPERLINK("https://www.boe.es/gazeta/dias/1822/08/24/pdfs/GMD-1822-248.pdf#page=1","Abrir facsímil")</f>
        <v>Abrir facsímil</v>
      </c>
      <c r="K10568" t="s">
        <v>22</v>
      </c>
    </row>
    <row r="10569" spans="1:11" ht="42" customHeight="1">
      <c r="A10569" t="s">
        <v>20527</v>
      </c>
      <c r="B10569" t="s">
        <v>20528</v>
      </c>
      <c r="C10569" t="s">
        <v>50</v>
      </c>
      <c r="D10569" t="s">
        <v>51</v>
      </c>
      <c r="E10569" s="6">
        <v>-28260</v>
      </c>
      <c r="F10569" t="s">
        <v>135</v>
      </c>
      <c r="G10569" t="s">
        <v>31</v>
      </c>
      <c r="H10569" t="s">
        <v>20</v>
      </c>
      <c r="I10569" t="s">
        <v>20529</v>
      </c>
      <c r="J10569" t="str">
        <f>HYPERLINK("https://www.boe.es/gazeta/dias/1822/08/16/pdfs/GMD-1822-240.pdf#page=3","Abrir facsímil")</f>
        <v>Abrir facsímil</v>
      </c>
      <c r="K10569" t="s">
        <v>22</v>
      </c>
    </row>
    <row r="10570" spans="1:11" ht="42" customHeight="1">
      <c r="A10570" t="s">
        <v>20530</v>
      </c>
      <c r="B10570" t="s">
        <v>20530</v>
      </c>
      <c r="C10570" t="s">
        <v>50</v>
      </c>
      <c r="D10570" t="s">
        <v>51</v>
      </c>
      <c r="E10570" s="6">
        <v>-28214</v>
      </c>
      <c r="F10570" t="s">
        <v>814</v>
      </c>
      <c r="G10570" t="s">
        <v>44</v>
      </c>
      <c r="H10570" t="s">
        <v>20</v>
      </c>
      <c r="I10570" t="s">
        <v>20531</v>
      </c>
      <c r="J10570" t="str">
        <f>HYPERLINK("https://www.boe.es/gazeta/dias/1822/10/01/pdfs/GMD-1822-287.pdf#page=1","Abrir facsímil")</f>
        <v>Abrir facsímil</v>
      </c>
      <c r="K10570" t="s">
        <v>22</v>
      </c>
    </row>
    <row r="10571" spans="1:11" ht="42" customHeight="1">
      <c r="A10571" t="s">
        <v>20532</v>
      </c>
      <c r="B10571" t="s">
        <v>20533</v>
      </c>
      <c r="C10571" t="s">
        <v>50</v>
      </c>
      <c r="D10571" t="s">
        <v>51</v>
      </c>
      <c r="E10571" s="6">
        <v>-28246</v>
      </c>
      <c r="F10571" t="s">
        <v>3246</v>
      </c>
      <c r="G10571" t="s">
        <v>57</v>
      </c>
      <c r="H10571" t="s">
        <v>20</v>
      </c>
      <c r="I10571" t="s">
        <v>20534</v>
      </c>
      <c r="J10571" t="str">
        <f>HYPERLINK("https://www.boe.es/gazeta/dias/1822/08/30/pdfs/GMD-1822-254.pdf#page=4","Abrir facsímil")</f>
        <v>Abrir facsímil</v>
      </c>
      <c r="K10571" t="s">
        <v>22</v>
      </c>
    </row>
    <row r="10572" spans="1:11" ht="42" customHeight="1">
      <c r="A10572" t="s">
        <v>20535</v>
      </c>
      <c r="B10572" t="s">
        <v>20536</v>
      </c>
      <c r="C10572" t="s">
        <v>42</v>
      </c>
      <c r="D10572" t="s">
        <v>17</v>
      </c>
      <c r="E10572" s="6">
        <v>-28220</v>
      </c>
      <c r="F10572" t="s">
        <v>1914</v>
      </c>
      <c r="G10572" t="s">
        <v>44</v>
      </c>
      <c r="H10572" t="s">
        <v>20</v>
      </c>
      <c r="I10572" t="s">
        <v>20537</v>
      </c>
      <c r="J10572" t="str">
        <f>HYPERLINK("https://www.boe.es/gazeta/dias/1822/09/25/pdfs/GMD-1822-281.pdf#page=1","Abrir facsímil")</f>
        <v>Abrir facsímil</v>
      </c>
      <c r="K10572" t="s">
        <v>22</v>
      </c>
    </row>
    <row r="10573" spans="1:11" ht="42" customHeight="1">
      <c r="A10573" t="s">
        <v>20538</v>
      </c>
      <c r="B10573" t="s">
        <v>20539</v>
      </c>
      <c r="C10573" t="s">
        <v>28</v>
      </c>
      <c r="D10573" t="s">
        <v>29</v>
      </c>
      <c r="E10573" s="6">
        <v>-28308</v>
      </c>
      <c r="F10573" t="s">
        <v>1050</v>
      </c>
      <c r="G10573" t="s">
        <v>35</v>
      </c>
      <c r="H10573" t="s">
        <v>20</v>
      </c>
      <c r="I10573" t="s">
        <v>20540</v>
      </c>
      <c r="J10573" t="str">
        <f>HYPERLINK("https://www.boe.es/gazeta/dias/1822/06/29/pdfs/GMD-1822-187.pdf#page=2","Abrir facsímil")</f>
        <v>Abrir facsímil</v>
      </c>
      <c r="K10573" t="s">
        <v>22</v>
      </c>
    </row>
    <row r="10574" spans="1:11" ht="42" customHeight="1">
      <c r="A10574" t="s">
        <v>20541</v>
      </c>
      <c r="B10574" t="s">
        <v>20542</v>
      </c>
      <c r="C10574" t="s">
        <v>42</v>
      </c>
      <c r="D10574" t="s">
        <v>17</v>
      </c>
      <c r="E10574" s="6">
        <v>-28168</v>
      </c>
      <c r="F10574" t="s">
        <v>3672</v>
      </c>
      <c r="G10574" t="s">
        <v>57</v>
      </c>
      <c r="H10574" t="s">
        <v>20</v>
      </c>
      <c r="I10574" t="s">
        <v>20543</v>
      </c>
      <c r="J10574" t="str">
        <f>HYPERLINK("https://www.boe.es/gazeta/dias/1822/11/16/pdfs/GMD-1822-336.pdf#page=4","Abrir facsímil")</f>
        <v>Abrir facsímil</v>
      </c>
      <c r="K10574" t="s">
        <v>22</v>
      </c>
    </row>
    <row r="10575" spans="1:11" ht="42" customHeight="1">
      <c r="A10575" t="s">
        <v>20544</v>
      </c>
      <c r="B10575" t="s">
        <v>20545</v>
      </c>
      <c r="C10575" t="s">
        <v>16</v>
      </c>
      <c r="D10575" t="s">
        <v>17</v>
      </c>
      <c r="E10575" s="6">
        <v>-28199</v>
      </c>
      <c r="F10575" t="s">
        <v>656</v>
      </c>
      <c r="G10575" t="s">
        <v>19</v>
      </c>
      <c r="H10575" t="s">
        <v>20</v>
      </c>
      <c r="I10575" t="s">
        <v>20546</v>
      </c>
      <c r="J10575" t="str">
        <f>HYPERLINK("https://www.boe.es/gazeta/dias/1822/10/16/pdfs/GMD-1822-303.pdf#page=5","Abrir facsímil")</f>
        <v>Abrir facsímil</v>
      </c>
      <c r="K10575" t="s">
        <v>22</v>
      </c>
    </row>
    <row r="10576" spans="1:11" ht="42" customHeight="1">
      <c r="A10576" t="s">
        <v>20547</v>
      </c>
      <c r="B10576" t="s">
        <v>20548</v>
      </c>
      <c r="C10576" t="s">
        <v>50</v>
      </c>
      <c r="D10576" t="s">
        <v>51</v>
      </c>
      <c r="E10576" s="6">
        <v>-28125</v>
      </c>
      <c r="F10576" t="s">
        <v>322</v>
      </c>
      <c r="G10576" t="s">
        <v>19</v>
      </c>
      <c r="H10576" t="s">
        <v>20</v>
      </c>
      <c r="I10576" t="s">
        <v>20549</v>
      </c>
      <c r="J10576" t="str">
        <f>HYPERLINK("https://www.boe.es/gazeta/dias/1822/12/29/pdfs/GMD-1822-379.pdf#page=5","Abrir facsímil")</f>
        <v>Abrir facsímil</v>
      </c>
      <c r="K10576" t="s">
        <v>22</v>
      </c>
    </row>
    <row r="10577" spans="1:11" ht="42" customHeight="1">
      <c r="A10577" t="s">
        <v>20550</v>
      </c>
      <c r="B10577" t="s">
        <v>20551</v>
      </c>
      <c r="C10577" t="s">
        <v>28</v>
      </c>
      <c r="D10577" t="s">
        <v>29</v>
      </c>
      <c r="E10577" s="6">
        <v>-28259</v>
      </c>
      <c r="F10577" t="s">
        <v>1912</v>
      </c>
      <c r="G10577" t="s">
        <v>57</v>
      </c>
      <c r="H10577" t="s">
        <v>20</v>
      </c>
      <c r="I10577" t="s">
        <v>20552</v>
      </c>
      <c r="J10577" t="str">
        <f>HYPERLINK("https://www.boe.es/gazeta/dias/1822/08/17/pdfs/GMD-1822-241.pdf#page=4","Abrir facsímil")</f>
        <v>Abrir facsímil</v>
      </c>
      <c r="K10577" t="s">
        <v>22</v>
      </c>
    </row>
    <row r="10578" spans="1:11" ht="42" customHeight="1">
      <c r="A10578" t="s">
        <v>20553</v>
      </c>
      <c r="B10578" t="s">
        <v>20554</v>
      </c>
      <c r="C10578" t="s">
        <v>24</v>
      </c>
      <c r="D10578" t="s">
        <v>17</v>
      </c>
      <c r="E10578" s="6">
        <v>-28159</v>
      </c>
      <c r="F10578" t="s">
        <v>67</v>
      </c>
      <c r="G10578" t="s">
        <v>57</v>
      </c>
      <c r="H10578" t="s">
        <v>20</v>
      </c>
      <c r="I10578" t="s">
        <v>20555</v>
      </c>
      <c r="J10578" t="str">
        <f>HYPERLINK("https://www.boe.es/gazeta/dias/1822/11/25/pdfs/GMD-1822-345.pdf#page=4","Abrir facsímil")</f>
        <v>Abrir facsímil</v>
      </c>
      <c r="K10578" t="s">
        <v>22</v>
      </c>
    </row>
    <row r="10579" spans="1:11" ht="42" customHeight="1">
      <c r="A10579" t="s">
        <v>20556</v>
      </c>
      <c r="B10579" t="s">
        <v>20557</v>
      </c>
      <c r="C10579" t="s">
        <v>28</v>
      </c>
      <c r="D10579" t="s">
        <v>29</v>
      </c>
      <c r="E10579" s="6">
        <v>-28225</v>
      </c>
      <c r="F10579" t="s">
        <v>177</v>
      </c>
      <c r="G10579" t="s">
        <v>3273</v>
      </c>
      <c r="H10579" t="s">
        <v>20</v>
      </c>
      <c r="I10579" t="s">
        <v>20558</v>
      </c>
      <c r="J10579" t="str">
        <f>HYPERLINK("https://www.boe.es/gazeta/dias/1822/09/20/pdfs/GMD-1822-276.pdf#page=4","Abrir facsímil")</f>
        <v>Abrir facsímil</v>
      </c>
      <c r="K10579" t="s">
        <v>22</v>
      </c>
    </row>
    <row r="10580" spans="1:11" ht="42" customHeight="1">
      <c r="A10580" t="s">
        <v>20559</v>
      </c>
      <c r="B10580" t="s">
        <v>20560</v>
      </c>
      <c r="C10580" t="s">
        <v>28</v>
      </c>
      <c r="D10580" t="s">
        <v>29</v>
      </c>
      <c r="E10580" s="6">
        <v>-28394</v>
      </c>
      <c r="F10580" t="s">
        <v>268</v>
      </c>
      <c r="G10580" t="s">
        <v>57</v>
      </c>
      <c r="H10580" t="s">
        <v>20</v>
      </c>
      <c r="I10580" t="s">
        <v>20561</v>
      </c>
      <c r="J10580" t="str">
        <f>HYPERLINK("https://www.boe.es/gazeta/dias/1822/04/04/pdfs/GMD-1822-96.pdf#page=4","Abrir facsímil")</f>
        <v>Abrir facsímil</v>
      </c>
      <c r="K10580" t="s">
        <v>22</v>
      </c>
    </row>
    <row r="10581" spans="1:11" ht="42" customHeight="1">
      <c r="A10581" t="s">
        <v>20562</v>
      </c>
      <c r="B10581" t="s">
        <v>20563</v>
      </c>
      <c r="C10581" t="s">
        <v>1141</v>
      </c>
      <c r="D10581" t="s">
        <v>29</v>
      </c>
      <c r="E10581" s="6">
        <v>-28165</v>
      </c>
      <c r="F10581" t="s">
        <v>846</v>
      </c>
      <c r="G10581" t="s">
        <v>57</v>
      </c>
      <c r="H10581" t="s">
        <v>20</v>
      </c>
      <c r="I10581" t="s">
        <v>20564</v>
      </c>
      <c r="J10581" t="str">
        <f>HYPERLINK("https://www.boe.es/gazeta/dias/1822/11/19/pdfs/GMD-1822-339.pdf#page=4","Abrir facsímil")</f>
        <v>Abrir facsímil</v>
      </c>
      <c r="K10581" t="s">
        <v>22</v>
      </c>
    </row>
    <row r="10582" spans="1:11" ht="42" customHeight="1">
      <c r="A10582" t="s">
        <v>20565</v>
      </c>
      <c r="B10582" t="s">
        <v>20566</v>
      </c>
      <c r="C10582" t="s">
        <v>28</v>
      </c>
      <c r="D10582" t="s">
        <v>29</v>
      </c>
      <c r="E10582" s="6">
        <v>-28380</v>
      </c>
      <c r="F10582" t="s">
        <v>492</v>
      </c>
      <c r="G10582" t="s">
        <v>63</v>
      </c>
      <c r="H10582" t="s">
        <v>20</v>
      </c>
      <c r="I10582" t="s">
        <v>20567</v>
      </c>
      <c r="J10582" t="str">
        <f>HYPERLINK("https://www.boe.es/gazeta/dias/1822/04/18/pdfs/GMD-1822-110.pdf#page=6","Abrir facsímil")</f>
        <v>Abrir facsímil</v>
      </c>
      <c r="K10582" t="s">
        <v>22</v>
      </c>
    </row>
    <row r="10583" spans="1:11" ht="42" customHeight="1">
      <c r="A10583" t="s">
        <v>20568</v>
      </c>
      <c r="B10583" t="s">
        <v>20569</v>
      </c>
      <c r="C10583" t="s">
        <v>16</v>
      </c>
      <c r="D10583" t="s">
        <v>17</v>
      </c>
      <c r="E10583" s="6">
        <v>-28361</v>
      </c>
      <c r="F10583" t="s">
        <v>374</v>
      </c>
      <c r="G10583" t="s">
        <v>63</v>
      </c>
      <c r="H10583" t="s">
        <v>20</v>
      </c>
      <c r="I10583" t="s">
        <v>20570</v>
      </c>
      <c r="J10583" t="str">
        <f>HYPERLINK("https://www.boe.es/gazeta/dias/1822/05/07/pdfs/GMD-1822-129.pdf#page=6","Abrir facsímil")</f>
        <v>Abrir facsímil</v>
      </c>
      <c r="K10583" t="s">
        <v>22</v>
      </c>
    </row>
    <row r="10584" spans="1:11" ht="42" customHeight="1">
      <c r="A10584" t="s">
        <v>20571</v>
      </c>
      <c r="B10584" t="s">
        <v>20572</v>
      </c>
      <c r="C10584" t="s">
        <v>61</v>
      </c>
      <c r="D10584" t="s">
        <v>17</v>
      </c>
      <c r="E10584" s="6">
        <v>-28137</v>
      </c>
      <c r="F10584" t="s">
        <v>312</v>
      </c>
      <c r="G10584" t="s">
        <v>63</v>
      </c>
      <c r="H10584" t="s">
        <v>20</v>
      </c>
      <c r="I10584" t="s">
        <v>20573</v>
      </c>
      <c r="J10584" t="str">
        <f>HYPERLINK("https://www.boe.es/gazeta/dias/1822/12/17/pdfs/GMD-1822-367.pdf#page=6","Abrir facsímil")</f>
        <v>Abrir facsímil</v>
      </c>
      <c r="K10584" t="s">
        <v>22</v>
      </c>
    </row>
    <row r="10585" spans="1:11" ht="42" customHeight="1">
      <c r="A10585" t="s">
        <v>20574</v>
      </c>
      <c r="B10585" t="s">
        <v>20575</v>
      </c>
      <c r="C10585" t="s">
        <v>28</v>
      </c>
      <c r="D10585" t="s">
        <v>29</v>
      </c>
      <c r="E10585" s="6">
        <v>-28468</v>
      </c>
      <c r="F10585" t="s">
        <v>1012</v>
      </c>
      <c r="G10585" t="s">
        <v>44</v>
      </c>
      <c r="H10585" t="s">
        <v>20</v>
      </c>
      <c r="I10585" t="s">
        <v>20576</v>
      </c>
      <c r="J10585" t="str">
        <f>HYPERLINK("https://www.boe.es/gazeta/dias/1822/01/20/pdfs/GMD-1822-20.pdf#page=1","Abrir facsímil")</f>
        <v>Abrir facsímil</v>
      </c>
      <c r="K10585" t="s">
        <v>22</v>
      </c>
    </row>
    <row r="10586" spans="1:11" ht="42" customHeight="1">
      <c r="A10586" t="s">
        <v>20577</v>
      </c>
      <c r="B10586" t="s">
        <v>20578</v>
      </c>
      <c r="C10586" t="s">
        <v>28</v>
      </c>
      <c r="D10586" t="s">
        <v>29</v>
      </c>
      <c r="E10586" s="6">
        <v>-28280</v>
      </c>
      <c r="F10586" t="s">
        <v>56</v>
      </c>
      <c r="G10586" t="s">
        <v>57</v>
      </c>
      <c r="H10586" t="s">
        <v>20</v>
      </c>
      <c r="I10586" t="s">
        <v>20579</v>
      </c>
      <c r="J10586" t="str">
        <f>HYPERLINK("https://www.boe.es/gazeta/dias/1822/07/27/pdfs/GMD-1822-220.pdf#page=4","Abrir facsímil")</f>
        <v>Abrir facsímil</v>
      </c>
      <c r="K10586" t="s">
        <v>22</v>
      </c>
    </row>
    <row r="10587" spans="1:11" ht="42" customHeight="1">
      <c r="A10587" t="s">
        <v>20580</v>
      </c>
      <c r="B10587" t="s">
        <v>20581</v>
      </c>
      <c r="C10587" t="s">
        <v>42</v>
      </c>
      <c r="D10587" t="s">
        <v>17</v>
      </c>
      <c r="E10587" s="6">
        <v>-28218</v>
      </c>
      <c r="F10587" t="s">
        <v>405</v>
      </c>
      <c r="G10587" t="s">
        <v>35</v>
      </c>
      <c r="H10587" t="s">
        <v>20</v>
      </c>
      <c r="I10587" t="s">
        <v>20582</v>
      </c>
      <c r="J10587" t="str">
        <f>HYPERLINK("https://www.boe.es/gazeta/dias/1822/09/27/pdfs/GMD-1822-283.pdf#page=2","Abrir facsímil")</f>
        <v>Abrir facsímil</v>
      </c>
      <c r="K10587" t="s">
        <v>22</v>
      </c>
    </row>
    <row r="10588" spans="1:11" ht="42" customHeight="1">
      <c r="A10588" t="s">
        <v>20583</v>
      </c>
      <c r="B10588" t="s">
        <v>20584</v>
      </c>
      <c r="C10588" t="s">
        <v>50</v>
      </c>
      <c r="D10588" t="s">
        <v>51</v>
      </c>
      <c r="E10588" s="6">
        <v>-28142</v>
      </c>
      <c r="F10588" t="s">
        <v>290</v>
      </c>
      <c r="G10588" t="s">
        <v>57</v>
      </c>
      <c r="H10588" t="s">
        <v>20</v>
      </c>
      <c r="I10588" t="s">
        <v>20585</v>
      </c>
      <c r="J10588" t="str">
        <f>HYPERLINK("https://www.boe.es/gazeta/dias/1822/12/12/pdfs/GMD-1822-362.pdf#page=4","Abrir facsímil")</f>
        <v>Abrir facsímil</v>
      </c>
      <c r="K10588" t="s">
        <v>22</v>
      </c>
    </row>
    <row r="10589" spans="1:11" ht="42" customHeight="1">
      <c r="A10589" t="s">
        <v>20586</v>
      </c>
      <c r="B10589" t="s">
        <v>20587</v>
      </c>
      <c r="C10589" t="s">
        <v>50</v>
      </c>
      <c r="D10589" t="s">
        <v>51</v>
      </c>
      <c r="E10589" s="6">
        <v>-28262</v>
      </c>
      <c r="F10589" t="s">
        <v>1771</v>
      </c>
      <c r="G10589" t="s">
        <v>35</v>
      </c>
      <c r="H10589" t="s">
        <v>20</v>
      </c>
      <c r="I10589" t="s">
        <v>20588</v>
      </c>
      <c r="J10589" t="str">
        <f>HYPERLINK("https://www.boe.es/gazeta/dias/1822/08/14/pdfs/GMD-1822-238.pdf#page=2","Abrir facsímil")</f>
        <v>Abrir facsímil</v>
      </c>
      <c r="K10589" t="s">
        <v>22</v>
      </c>
    </row>
    <row r="10590" spans="1:11" ht="42" customHeight="1">
      <c r="A10590" t="s">
        <v>20589</v>
      </c>
      <c r="B10590" t="s">
        <v>20590</v>
      </c>
      <c r="C10590" t="s">
        <v>50</v>
      </c>
      <c r="D10590" t="s">
        <v>51</v>
      </c>
      <c r="E10590" s="6">
        <v>-28179</v>
      </c>
      <c r="F10590" t="s">
        <v>935</v>
      </c>
      <c r="G10590" t="s">
        <v>63</v>
      </c>
      <c r="H10590" t="s">
        <v>20</v>
      </c>
      <c r="I10590" t="s">
        <v>20591</v>
      </c>
      <c r="J10590" t="str">
        <f>HYPERLINK("https://www.boe.es/gazeta/dias/1822/11/05/pdfs/GMD-1822-325.pdf#page=6","Abrir facsímil")</f>
        <v>Abrir facsímil</v>
      </c>
      <c r="K10590" t="s">
        <v>22</v>
      </c>
    </row>
    <row r="10591" spans="1:11" ht="42" customHeight="1">
      <c r="A10591" t="s">
        <v>20592</v>
      </c>
      <c r="B10591" t="s">
        <v>20593</v>
      </c>
      <c r="C10591" t="s">
        <v>42</v>
      </c>
      <c r="D10591" t="s">
        <v>17</v>
      </c>
      <c r="E10591" s="6">
        <v>-28224</v>
      </c>
      <c r="F10591" t="s">
        <v>1902</v>
      </c>
      <c r="G10591" t="s">
        <v>35</v>
      </c>
      <c r="H10591" t="s">
        <v>20</v>
      </c>
      <c r="I10591" t="s">
        <v>20594</v>
      </c>
      <c r="J10591" t="str">
        <f>HYPERLINK("https://www.boe.es/gazeta/dias/1822/09/21/pdfs/GMD-1822-277.pdf#page=2","Abrir facsímil")</f>
        <v>Abrir facsímil</v>
      </c>
      <c r="K10591" t="s">
        <v>22</v>
      </c>
    </row>
    <row r="10592" spans="1:11" ht="42" customHeight="1">
      <c r="A10592" t="s">
        <v>20595</v>
      </c>
      <c r="B10592" t="s">
        <v>20596</v>
      </c>
      <c r="C10592" t="s">
        <v>28</v>
      </c>
      <c r="D10592" t="s">
        <v>29</v>
      </c>
      <c r="E10592" s="6">
        <v>-28341</v>
      </c>
      <c r="F10592" t="s">
        <v>284</v>
      </c>
      <c r="G10592" t="s">
        <v>63</v>
      </c>
      <c r="H10592" t="s">
        <v>20</v>
      </c>
      <c r="I10592" t="s">
        <v>20597</v>
      </c>
      <c r="J10592" t="str">
        <f>HYPERLINK("https://www.boe.es/gazeta/dias/1822/05/27/pdfs/GMD-1822-152.pdf#page=6","Abrir facsímil")</f>
        <v>Abrir facsímil</v>
      </c>
      <c r="K10592" t="s">
        <v>22</v>
      </c>
    </row>
    <row r="10593" spans="1:11" ht="42" customHeight="1">
      <c r="A10593" t="s">
        <v>20598</v>
      </c>
      <c r="B10593" t="s">
        <v>20598</v>
      </c>
      <c r="C10593" t="s">
        <v>71</v>
      </c>
      <c r="D10593" t="s">
        <v>17</v>
      </c>
      <c r="E10593" s="6">
        <v>-28459</v>
      </c>
      <c r="F10593" t="s">
        <v>1102</v>
      </c>
      <c r="G10593" t="s">
        <v>35</v>
      </c>
      <c r="H10593" t="s">
        <v>20</v>
      </c>
      <c r="I10593" t="s">
        <v>20599</v>
      </c>
      <c r="J10593" t="str">
        <f>HYPERLINK("https://www.boe.es/gazeta/dias/1822/01/29/pdfs/GMD-1822-29.pdf#page=2","Abrir facsímil")</f>
        <v>Abrir facsímil</v>
      </c>
      <c r="K10593" t="s">
        <v>22</v>
      </c>
    </row>
    <row r="10594" spans="1:11" ht="42" customHeight="1">
      <c r="A10594" t="s">
        <v>20600</v>
      </c>
      <c r="B10594" t="s">
        <v>20601</v>
      </c>
      <c r="C10594" t="s">
        <v>16</v>
      </c>
      <c r="D10594" t="s">
        <v>17</v>
      </c>
      <c r="E10594" s="6">
        <v>-28379</v>
      </c>
      <c r="F10594" t="s">
        <v>494</v>
      </c>
      <c r="G10594" t="s">
        <v>35</v>
      </c>
      <c r="H10594" t="s">
        <v>20</v>
      </c>
      <c r="I10594" t="s">
        <v>20602</v>
      </c>
      <c r="J10594" t="str">
        <f>HYPERLINK("https://www.boe.es/gazeta/dias/1822/04/19/pdfs/GMD-1822-111.pdf#page=2","Abrir facsímil")</f>
        <v>Abrir facsímil</v>
      </c>
      <c r="K10594" t="s">
        <v>22</v>
      </c>
    </row>
    <row r="10595" spans="1:11" ht="42" customHeight="1">
      <c r="A10595" t="s">
        <v>20603</v>
      </c>
      <c r="B10595" t="s">
        <v>20604</v>
      </c>
      <c r="C10595" t="s">
        <v>50</v>
      </c>
      <c r="D10595" t="s">
        <v>51</v>
      </c>
      <c r="E10595" s="6">
        <v>-28280</v>
      </c>
      <c r="F10595" t="s">
        <v>56</v>
      </c>
      <c r="G10595" t="s">
        <v>57</v>
      </c>
      <c r="H10595" t="s">
        <v>20</v>
      </c>
      <c r="I10595" t="s">
        <v>20605</v>
      </c>
      <c r="J10595" t="str">
        <f>HYPERLINK("https://www.boe.es/gazeta/dias/1822/07/27/pdfs/GMD-1822-220.pdf#page=4","Abrir facsímil")</f>
        <v>Abrir facsímil</v>
      </c>
      <c r="K10595" t="s">
        <v>22</v>
      </c>
    </row>
    <row r="10596" spans="1:11" ht="42" customHeight="1">
      <c r="A10596" t="s">
        <v>20606</v>
      </c>
      <c r="B10596" t="s">
        <v>20606</v>
      </c>
      <c r="C10596" t="s">
        <v>42</v>
      </c>
      <c r="D10596" t="s">
        <v>17</v>
      </c>
      <c r="E10596" s="6">
        <v>-28469</v>
      </c>
      <c r="F10596" t="s">
        <v>1164</v>
      </c>
      <c r="G10596" t="s">
        <v>31</v>
      </c>
      <c r="H10596" t="s">
        <v>20</v>
      </c>
      <c r="I10596" t="s">
        <v>20607</v>
      </c>
      <c r="J10596" t="str">
        <f>HYPERLINK("https://www.boe.es/gazeta/dias/1822/01/19/pdfs/GMD-1822-19.pdf#page=3","Abrir facsímil")</f>
        <v>Abrir facsímil</v>
      </c>
      <c r="K10596" t="s">
        <v>22</v>
      </c>
    </row>
    <row r="10597" spans="1:11" ht="42" customHeight="1">
      <c r="A10597" t="s">
        <v>20608</v>
      </c>
      <c r="B10597" t="s">
        <v>20608</v>
      </c>
      <c r="C10597" t="s">
        <v>42</v>
      </c>
      <c r="D10597" t="s">
        <v>17</v>
      </c>
      <c r="E10597" s="6">
        <v>-28474</v>
      </c>
      <c r="F10597" t="s">
        <v>30</v>
      </c>
      <c r="G10597" t="s">
        <v>31</v>
      </c>
      <c r="H10597" t="s">
        <v>20</v>
      </c>
      <c r="I10597" t="s">
        <v>20609</v>
      </c>
      <c r="J10597" t="str">
        <f>HYPERLINK("https://www.boe.es/gazeta/dias/1822/01/14/pdfs/GMD-1822-14.pdf#page=3","Abrir facsímil")</f>
        <v>Abrir facsímil</v>
      </c>
      <c r="K10597" t="s">
        <v>22</v>
      </c>
    </row>
    <row r="10598" spans="1:11" ht="42" customHeight="1">
      <c r="A10598" t="s">
        <v>20608</v>
      </c>
      <c r="B10598" t="s">
        <v>20608</v>
      </c>
      <c r="C10598" t="s">
        <v>16</v>
      </c>
      <c r="D10598" t="s">
        <v>17</v>
      </c>
      <c r="E10598" s="6">
        <v>-28469</v>
      </c>
      <c r="F10598" t="s">
        <v>1164</v>
      </c>
      <c r="G10598" t="s">
        <v>31</v>
      </c>
      <c r="H10598" t="s">
        <v>20</v>
      </c>
      <c r="I10598" t="s">
        <v>20610</v>
      </c>
      <c r="J10598" t="str">
        <f>HYPERLINK("https://www.boe.es/gazeta/dias/1822/01/19/pdfs/GMD-1822-19.pdf#page=3","Abrir facsímil")</f>
        <v>Abrir facsímil</v>
      </c>
      <c r="K10598" t="s">
        <v>22</v>
      </c>
    </row>
    <row r="10599" spans="1:11" ht="42" customHeight="1">
      <c r="A10599" t="s">
        <v>20608</v>
      </c>
      <c r="B10599" t="s">
        <v>20608</v>
      </c>
      <c r="C10599" t="s">
        <v>50</v>
      </c>
      <c r="D10599" t="s">
        <v>51</v>
      </c>
      <c r="E10599" s="6">
        <v>-28130</v>
      </c>
      <c r="F10599" t="s">
        <v>34</v>
      </c>
      <c r="G10599" t="s">
        <v>19</v>
      </c>
      <c r="H10599" t="s">
        <v>20</v>
      </c>
      <c r="I10599" t="s">
        <v>20611</v>
      </c>
      <c r="J10599" t="str">
        <f>HYPERLINK("https://www.boe.es/gazeta/dias/1822/12/24/pdfs/GMD-1822-374.pdf#page=5","Abrir facsímil")</f>
        <v>Abrir facsímil</v>
      </c>
      <c r="K10599" t="s">
        <v>22</v>
      </c>
    </row>
    <row r="10600" spans="1:11" ht="42" customHeight="1">
      <c r="A10600" t="s">
        <v>20612</v>
      </c>
      <c r="B10600" t="s">
        <v>20613</v>
      </c>
      <c r="C10600" t="s">
        <v>50</v>
      </c>
      <c r="D10600" t="s">
        <v>51</v>
      </c>
      <c r="E10600" s="6">
        <v>-28427</v>
      </c>
      <c r="F10600" t="s">
        <v>755</v>
      </c>
      <c r="G10600" t="s">
        <v>31</v>
      </c>
      <c r="H10600" t="s">
        <v>20</v>
      </c>
      <c r="I10600" t="s">
        <v>20614</v>
      </c>
      <c r="J10600" t="str">
        <f>HYPERLINK("https://www.boe.es/gazeta/dias/1822/03/02/pdfs/GMD-1822-63.pdf#page=3","Abrir facsímil")</f>
        <v>Abrir facsímil</v>
      </c>
      <c r="K10600" t="s">
        <v>22</v>
      </c>
    </row>
    <row r="10601" spans="1:11" ht="42" customHeight="1">
      <c r="A10601" t="s">
        <v>20615</v>
      </c>
      <c r="B10601" t="s">
        <v>20616</v>
      </c>
      <c r="C10601" t="s">
        <v>50</v>
      </c>
      <c r="D10601" t="s">
        <v>51</v>
      </c>
      <c r="E10601" s="6">
        <v>-28277</v>
      </c>
      <c r="F10601" t="s">
        <v>296</v>
      </c>
      <c r="G10601" t="s">
        <v>35</v>
      </c>
      <c r="H10601" t="s">
        <v>20</v>
      </c>
      <c r="I10601" t="s">
        <v>20617</v>
      </c>
      <c r="J10601" t="str">
        <f>HYPERLINK("https://www.boe.es/gazeta/dias/1822/07/30/pdfs/GMD-1822-223.pdf#page=2","Abrir facsímil")</f>
        <v>Abrir facsímil</v>
      </c>
      <c r="K10601" t="s">
        <v>22</v>
      </c>
    </row>
    <row r="10602" spans="1:11" ht="42" customHeight="1">
      <c r="A10602" t="s">
        <v>20618</v>
      </c>
      <c r="B10602" t="s">
        <v>20619</v>
      </c>
      <c r="C10602" t="s">
        <v>50</v>
      </c>
      <c r="D10602" t="s">
        <v>51</v>
      </c>
      <c r="E10602" s="6">
        <v>-28418</v>
      </c>
      <c r="F10602" t="s">
        <v>205</v>
      </c>
      <c r="G10602" t="s">
        <v>167</v>
      </c>
      <c r="H10602" t="s">
        <v>20</v>
      </c>
      <c r="I10602" t="s">
        <v>20620</v>
      </c>
      <c r="J10602" t="str">
        <f>HYPERLINK("https://www.boe.es/gazeta/dias/1822/03/11/pdfs/GMD-1822-72.pdf#page=7","Abrir facsímil")</f>
        <v>Abrir facsímil</v>
      </c>
      <c r="K10602" t="s">
        <v>22</v>
      </c>
    </row>
    <row r="10603" spans="1:11" ht="42" customHeight="1">
      <c r="A10603" t="s">
        <v>20621</v>
      </c>
      <c r="B10603" t="s">
        <v>20622</v>
      </c>
      <c r="C10603" t="s">
        <v>50</v>
      </c>
      <c r="D10603" t="s">
        <v>51</v>
      </c>
      <c r="E10603" s="6">
        <v>-28417</v>
      </c>
      <c r="F10603" t="s">
        <v>1394</v>
      </c>
      <c r="G10603" t="s">
        <v>31</v>
      </c>
      <c r="H10603" t="s">
        <v>20</v>
      </c>
      <c r="I10603" t="s">
        <v>20623</v>
      </c>
      <c r="J10603" t="str">
        <f>HYPERLINK("https://www.boe.es/gazeta/dias/1822/03/12/pdfs/GMD-1822-73.pdf#page=3","Abrir facsímil")</f>
        <v>Abrir facsímil</v>
      </c>
      <c r="K10603" t="s">
        <v>22</v>
      </c>
    </row>
    <row r="10604" spans="1:11" ht="42" customHeight="1">
      <c r="A10604" t="s">
        <v>20624</v>
      </c>
      <c r="B10604" t="s">
        <v>20625</v>
      </c>
      <c r="C10604" t="s">
        <v>42</v>
      </c>
      <c r="D10604" t="s">
        <v>17</v>
      </c>
      <c r="E10604" s="6">
        <v>-28130</v>
      </c>
      <c r="F10604" t="s">
        <v>34</v>
      </c>
      <c r="G10604" t="s">
        <v>63</v>
      </c>
      <c r="H10604" t="s">
        <v>20</v>
      </c>
      <c r="I10604" t="s">
        <v>20626</v>
      </c>
      <c r="J10604" t="str">
        <f>HYPERLINK("https://www.boe.es/gazeta/dias/1822/12/24/pdfs/GMD-1822-374.pdf#page=6","Abrir facsímil")</f>
        <v>Abrir facsímil</v>
      </c>
      <c r="K10604" t="s">
        <v>22</v>
      </c>
    </row>
    <row r="10605" spans="1:11" ht="42" customHeight="1">
      <c r="A10605" t="s">
        <v>20627</v>
      </c>
      <c r="B10605" t="s">
        <v>20628</v>
      </c>
      <c r="C10605" t="s">
        <v>28</v>
      </c>
      <c r="D10605" t="s">
        <v>29</v>
      </c>
      <c r="E10605" s="6">
        <v>-28165</v>
      </c>
      <c r="F10605" t="s">
        <v>846</v>
      </c>
      <c r="G10605" t="s">
        <v>57</v>
      </c>
      <c r="H10605" t="s">
        <v>20</v>
      </c>
      <c r="I10605" t="s">
        <v>20629</v>
      </c>
      <c r="J10605" t="str">
        <f>HYPERLINK("https://www.boe.es/gazeta/dias/1822/11/19/pdfs/GMD-1822-339.pdf#page=4","Abrir facsímil")</f>
        <v>Abrir facsímil</v>
      </c>
      <c r="K10605" t="s">
        <v>22</v>
      </c>
    </row>
    <row r="10606" spans="1:11" ht="42" customHeight="1">
      <c r="A10606" t="s">
        <v>20630</v>
      </c>
      <c r="B10606" t="s">
        <v>20631</v>
      </c>
      <c r="C10606" t="s">
        <v>50</v>
      </c>
      <c r="D10606" t="s">
        <v>51</v>
      </c>
      <c r="E10606" s="6">
        <v>-28230</v>
      </c>
      <c r="F10606" t="s">
        <v>1735</v>
      </c>
      <c r="G10606" t="s">
        <v>57</v>
      </c>
      <c r="H10606" t="s">
        <v>20</v>
      </c>
      <c r="I10606" t="s">
        <v>20632</v>
      </c>
      <c r="J10606" t="str">
        <f>HYPERLINK("https://www.boe.es/gazeta/dias/1822/09/15/pdfs/GMD-1822-271.pdf#page=4","Abrir facsímil")</f>
        <v>Abrir facsímil</v>
      </c>
      <c r="K10606" t="s">
        <v>22</v>
      </c>
    </row>
    <row r="10607" spans="1:11" ht="42" customHeight="1">
      <c r="A10607" t="s">
        <v>20630</v>
      </c>
      <c r="B10607" t="s">
        <v>20631</v>
      </c>
      <c r="C10607" t="s">
        <v>50</v>
      </c>
      <c r="D10607" t="s">
        <v>51</v>
      </c>
      <c r="E10607" s="6">
        <v>-28189</v>
      </c>
      <c r="F10607" t="s">
        <v>645</v>
      </c>
      <c r="G10607" t="s">
        <v>63</v>
      </c>
      <c r="H10607" t="s">
        <v>20</v>
      </c>
      <c r="I10607" t="s">
        <v>20633</v>
      </c>
      <c r="J10607" t="str">
        <f>HYPERLINK("https://www.boe.es/gazeta/dias/1822/10/26/pdfs/GMD-1822-313.pdf#page=6","Abrir facsímil")</f>
        <v>Abrir facsímil</v>
      </c>
      <c r="K10607" t="s">
        <v>22</v>
      </c>
    </row>
    <row r="10608" spans="1:11" ht="42" customHeight="1">
      <c r="A10608" t="s">
        <v>20630</v>
      </c>
      <c r="B10608" t="s">
        <v>20631</v>
      </c>
      <c r="C10608" t="s">
        <v>50</v>
      </c>
      <c r="D10608" t="s">
        <v>51</v>
      </c>
      <c r="E10608" s="6">
        <v>-28157</v>
      </c>
      <c r="F10608" t="s">
        <v>1492</v>
      </c>
      <c r="G10608" t="s">
        <v>63</v>
      </c>
      <c r="H10608" t="s">
        <v>20</v>
      </c>
      <c r="I10608" t="s">
        <v>20634</v>
      </c>
      <c r="J10608" t="str">
        <f>HYPERLINK("https://www.boe.es/gazeta/dias/1822/11/27/pdfs/GMD-1822-347.pdf#page=6","Abrir facsímil")</f>
        <v>Abrir facsímil</v>
      </c>
      <c r="K10608" t="s">
        <v>22</v>
      </c>
    </row>
    <row r="10609" spans="1:11" ht="42" customHeight="1">
      <c r="A10609" t="s">
        <v>20635</v>
      </c>
      <c r="B10609" t="s">
        <v>20636</v>
      </c>
      <c r="C10609" t="s">
        <v>50</v>
      </c>
      <c r="D10609" t="s">
        <v>51</v>
      </c>
      <c r="E10609" s="6">
        <v>-28166</v>
      </c>
      <c r="F10609" t="s">
        <v>942</v>
      </c>
      <c r="G10609" t="s">
        <v>1277</v>
      </c>
      <c r="H10609" t="s">
        <v>45</v>
      </c>
      <c r="I10609" t="s">
        <v>20637</v>
      </c>
      <c r="J10609" t="str">
        <f>HYPERLINK("https://www.boe.es/gazeta/dias/1822/11/18/pdfs/GMD-1822-338.pdf#page=6","Abrir facsímil")</f>
        <v>Abrir facsímil</v>
      </c>
      <c r="K10609" t="s">
        <v>47</v>
      </c>
    </row>
    <row r="10610" spans="1:11" ht="42" customHeight="1">
      <c r="A10610" t="s">
        <v>20638</v>
      </c>
      <c r="B10610" t="s">
        <v>20639</v>
      </c>
      <c r="C10610" t="s">
        <v>42</v>
      </c>
      <c r="D10610" t="s">
        <v>17</v>
      </c>
      <c r="E10610" s="6">
        <v>-28139</v>
      </c>
      <c r="F10610" t="s">
        <v>143</v>
      </c>
      <c r="G10610" t="s">
        <v>144</v>
      </c>
      <c r="H10610" t="s">
        <v>20</v>
      </c>
      <c r="I10610" t="s">
        <v>20640</v>
      </c>
      <c r="J10610" t="str">
        <f>HYPERLINK("https://www.boe.es/gazeta/dias/1822/12/15/pdfs/GMD-1822-365.pdf#page=4","Abrir facsímil")</f>
        <v>Abrir facsímil</v>
      </c>
      <c r="K10610" t="s">
        <v>22</v>
      </c>
    </row>
    <row r="10611" spans="1:11" ht="42" customHeight="1">
      <c r="A10611" t="s">
        <v>20641</v>
      </c>
      <c r="B10611" t="s">
        <v>20642</v>
      </c>
      <c r="C10611" t="s">
        <v>42</v>
      </c>
      <c r="D10611" t="s">
        <v>17</v>
      </c>
      <c r="E10611" s="6">
        <v>-28247</v>
      </c>
      <c r="F10611" t="s">
        <v>2023</v>
      </c>
      <c r="G10611" t="s">
        <v>57</v>
      </c>
      <c r="H10611" t="s">
        <v>20</v>
      </c>
      <c r="I10611" t="s">
        <v>20643</v>
      </c>
      <c r="J10611" t="str">
        <f>HYPERLINK("https://www.boe.es/gazeta/dias/1822/08/29/pdfs/GMD-1822-253.pdf#page=4","Abrir facsímil")</f>
        <v>Abrir facsímil</v>
      </c>
      <c r="K10611" t="s">
        <v>22</v>
      </c>
    </row>
    <row r="10612" spans="1:11" ht="42" customHeight="1">
      <c r="A10612" t="s">
        <v>20644</v>
      </c>
      <c r="B10612" t="s">
        <v>20645</v>
      </c>
      <c r="C10612" t="s">
        <v>42</v>
      </c>
      <c r="D10612" t="s">
        <v>17</v>
      </c>
      <c r="E10612" s="6">
        <v>-28259</v>
      </c>
      <c r="F10612" t="s">
        <v>1912</v>
      </c>
      <c r="G10612" t="s">
        <v>57</v>
      </c>
      <c r="H10612" t="s">
        <v>20</v>
      </c>
      <c r="I10612" t="s">
        <v>20646</v>
      </c>
      <c r="J10612" t="str">
        <f>HYPERLINK("https://www.boe.es/gazeta/dias/1822/08/17/pdfs/GMD-1822-241.pdf#page=4","Abrir facsímil")</f>
        <v>Abrir facsímil</v>
      </c>
      <c r="K10612" t="s">
        <v>22</v>
      </c>
    </row>
    <row r="10613" spans="1:11" ht="42" customHeight="1">
      <c r="A10613" t="s">
        <v>20647</v>
      </c>
      <c r="B10613" t="s">
        <v>20648</v>
      </c>
      <c r="C10613" t="s">
        <v>16</v>
      </c>
      <c r="D10613" t="s">
        <v>17</v>
      </c>
      <c r="E10613" s="6">
        <v>-28364</v>
      </c>
      <c r="F10613" t="s">
        <v>509</v>
      </c>
      <c r="G10613" t="s">
        <v>63</v>
      </c>
      <c r="H10613" t="s">
        <v>20</v>
      </c>
      <c r="I10613" t="s">
        <v>20649</v>
      </c>
      <c r="J10613" t="str">
        <f>HYPERLINK("https://www.boe.es/gazeta/dias/1822/05/04/pdfs/GMD-1822-126.pdf#page=6","Abrir facsímil")</f>
        <v>Abrir facsímil</v>
      </c>
      <c r="K10613" t="s">
        <v>22</v>
      </c>
    </row>
    <row r="10614" spans="1:11" ht="42" customHeight="1">
      <c r="A10614" t="s">
        <v>20650</v>
      </c>
      <c r="B10614" t="s">
        <v>20651</v>
      </c>
      <c r="C10614" t="s">
        <v>50</v>
      </c>
      <c r="D10614" t="s">
        <v>51</v>
      </c>
      <c r="E10614" s="6">
        <v>-28417</v>
      </c>
      <c r="F10614" t="s">
        <v>1394</v>
      </c>
      <c r="G10614" t="s">
        <v>31</v>
      </c>
      <c r="H10614" t="s">
        <v>20</v>
      </c>
      <c r="I10614" t="s">
        <v>20652</v>
      </c>
      <c r="J10614" t="str">
        <f>HYPERLINK("https://www.boe.es/gazeta/dias/1822/03/12/pdfs/GMD-1822-73.pdf#page=3","Abrir facsímil")</f>
        <v>Abrir facsímil</v>
      </c>
      <c r="K10614" t="s">
        <v>22</v>
      </c>
    </row>
    <row r="10615" spans="1:11" ht="42" customHeight="1">
      <c r="A10615" t="s">
        <v>20653</v>
      </c>
      <c r="B10615" t="s">
        <v>20654</v>
      </c>
      <c r="C10615" t="s">
        <v>71</v>
      </c>
      <c r="D10615" t="s">
        <v>17</v>
      </c>
      <c r="E10615" s="6">
        <v>-28339</v>
      </c>
      <c r="F10615" t="s">
        <v>197</v>
      </c>
      <c r="G10615" t="s">
        <v>63</v>
      </c>
      <c r="H10615" t="s">
        <v>20</v>
      </c>
      <c r="I10615" t="s">
        <v>20655</v>
      </c>
      <c r="J10615" t="str">
        <f>HYPERLINK("https://www.boe.es/gazeta/dias/1822/05/29/pdfs/GMD-1822-154.pdf#page=6","Abrir facsímil")</f>
        <v>Abrir facsímil</v>
      </c>
      <c r="K10615" t="s">
        <v>22</v>
      </c>
    </row>
    <row r="10616" spans="1:11" ht="42" customHeight="1">
      <c r="A10616" t="s">
        <v>20656</v>
      </c>
      <c r="B10616" t="s">
        <v>20657</v>
      </c>
      <c r="C10616" t="s">
        <v>42</v>
      </c>
      <c r="D10616" t="s">
        <v>17</v>
      </c>
      <c r="E10616" s="6">
        <v>-28210</v>
      </c>
      <c r="F10616" t="s">
        <v>218</v>
      </c>
      <c r="G10616" t="s">
        <v>19</v>
      </c>
      <c r="H10616" t="s">
        <v>20</v>
      </c>
      <c r="I10616" t="s">
        <v>20658</v>
      </c>
      <c r="J10616" t="str">
        <f>HYPERLINK("https://www.boe.es/gazeta/dias/1822/10/05/pdfs/GMD-1822-291.pdf#page=5","Abrir facsímil")</f>
        <v>Abrir facsímil</v>
      </c>
      <c r="K10616" t="s">
        <v>22</v>
      </c>
    </row>
    <row r="10617" spans="1:11" ht="42" customHeight="1">
      <c r="A10617" t="s">
        <v>20659</v>
      </c>
      <c r="B10617" t="s">
        <v>20660</v>
      </c>
      <c r="C10617" t="s">
        <v>362</v>
      </c>
      <c r="D10617" t="s">
        <v>17</v>
      </c>
      <c r="E10617" s="6">
        <v>-28426</v>
      </c>
      <c r="F10617" t="s">
        <v>1178</v>
      </c>
      <c r="G10617" t="s">
        <v>35</v>
      </c>
      <c r="H10617" t="s">
        <v>20</v>
      </c>
      <c r="I10617" t="s">
        <v>20661</v>
      </c>
      <c r="J10617" t="str">
        <f>HYPERLINK("https://www.boe.es/gazeta/dias/1822/03/03/pdfs/GMD-1822-64.pdf#page=2","Abrir facsímil")</f>
        <v>Abrir facsímil</v>
      </c>
      <c r="K10617" t="s">
        <v>22</v>
      </c>
    </row>
    <row r="10618" spans="1:11" ht="42" customHeight="1">
      <c r="A10618" t="s">
        <v>20662</v>
      </c>
      <c r="B10618" t="s">
        <v>20662</v>
      </c>
      <c r="C10618" t="s">
        <v>16</v>
      </c>
      <c r="D10618" t="s">
        <v>17</v>
      </c>
      <c r="E10618" s="6">
        <v>-28373</v>
      </c>
      <c r="F10618" t="s">
        <v>614</v>
      </c>
      <c r="G10618" t="s">
        <v>35</v>
      </c>
      <c r="H10618" t="s">
        <v>20</v>
      </c>
      <c r="I10618" t="s">
        <v>20663</v>
      </c>
      <c r="J10618" t="str">
        <f>HYPERLINK("https://www.boe.es/gazeta/dias/1822/04/25/pdfs/GMD-1822-117.pdf#page=2","Abrir facsímil")</f>
        <v>Abrir facsímil</v>
      </c>
      <c r="K10618" t="s">
        <v>22</v>
      </c>
    </row>
    <row r="10619" spans="1:11" ht="42" customHeight="1">
      <c r="A10619" t="s">
        <v>20664</v>
      </c>
      <c r="B10619" t="s">
        <v>20665</v>
      </c>
      <c r="C10619" t="s">
        <v>42</v>
      </c>
      <c r="D10619" t="s">
        <v>17</v>
      </c>
      <c r="E10619" s="6">
        <v>-28351</v>
      </c>
      <c r="F10619" t="s">
        <v>282</v>
      </c>
      <c r="G10619" t="s">
        <v>44</v>
      </c>
      <c r="H10619" t="s">
        <v>20</v>
      </c>
      <c r="I10619" t="s">
        <v>20666</v>
      </c>
      <c r="J10619" t="str">
        <f>HYPERLINK("https://www.boe.es/gazeta/dias/1822/05/17/pdfs/GMD-1822-139.pdf#page=1","Abrir facsímil")</f>
        <v>Abrir facsímil</v>
      </c>
      <c r="K10619" t="s">
        <v>22</v>
      </c>
    </row>
    <row r="10620" spans="1:11" ht="42" customHeight="1">
      <c r="A10620" t="s">
        <v>20667</v>
      </c>
      <c r="B10620" t="s">
        <v>20668</v>
      </c>
      <c r="C10620" t="s">
        <v>42</v>
      </c>
      <c r="D10620" t="s">
        <v>17</v>
      </c>
      <c r="E10620" s="6">
        <v>-28425</v>
      </c>
      <c r="F10620" t="s">
        <v>419</v>
      </c>
      <c r="G10620" t="s">
        <v>35</v>
      </c>
      <c r="H10620" t="s">
        <v>20</v>
      </c>
      <c r="I10620" t="s">
        <v>20669</v>
      </c>
      <c r="J10620" t="str">
        <f>HYPERLINK("https://www.boe.es/gazeta/dias/1822/03/04/pdfs/GMD-1822-65.pdf#page=2","Abrir facsímil")</f>
        <v>Abrir facsímil</v>
      </c>
      <c r="K10620" t="s">
        <v>22</v>
      </c>
    </row>
    <row r="10621" spans="1:11" ht="42" customHeight="1">
      <c r="A10621" t="s">
        <v>20670</v>
      </c>
      <c r="B10621" t="s">
        <v>20671</v>
      </c>
      <c r="C10621" t="s">
        <v>50</v>
      </c>
      <c r="D10621" t="s">
        <v>51</v>
      </c>
      <c r="E10621" s="6">
        <v>-28393</v>
      </c>
      <c r="F10621" t="s">
        <v>326</v>
      </c>
      <c r="G10621" t="s">
        <v>57</v>
      </c>
      <c r="H10621" t="s">
        <v>45</v>
      </c>
      <c r="I10621" t="s">
        <v>20672</v>
      </c>
      <c r="J10621" t="str">
        <f>HYPERLINK("https://www.boe.es/gazeta/dias/1822/04/05/pdfs/GMD-1822-97.pdf#page=4","Abrir facsímil")</f>
        <v>Abrir facsímil</v>
      </c>
      <c r="K10621" t="s">
        <v>47</v>
      </c>
    </row>
    <row r="10622" spans="1:11" ht="42" customHeight="1">
      <c r="A10622" t="s">
        <v>20673</v>
      </c>
      <c r="B10622" t="s">
        <v>20673</v>
      </c>
      <c r="C10622" t="s">
        <v>50</v>
      </c>
      <c r="D10622" t="s">
        <v>51</v>
      </c>
      <c r="E10622" s="6">
        <v>-28457</v>
      </c>
      <c r="F10622" t="s">
        <v>1655</v>
      </c>
      <c r="G10622" t="s">
        <v>44</v>
      </c>
      <c r="H10622" t="s">
        <v>20</v>
      </c>
      <c r="I10622" t="s">
        <v>20674</v>
      </c>
      <c r="J10622" t="str">
        <f>HYPERLINK("https://www.boe.es/gazeta/dias/1822/01/31/pdfs/GMD-1822-31.pdf#page=1","Abrir facsímil")</f>
        <v>Abrir facsímil</v>
      </c>
      <c r="K10622" t="s">
        <v>22</v>
      </c>
    </row>
    <row r="10623" spans="1:11" ht="42" customHeight="1">
      <c r="A10623" t="s">
        <v>20675</v>
      </c>
      <c r="B10623" t="s">
        <v>20675</v>
      </c>
      <c r="C10623" t="s">
        <v>50</v>
      </c>
      <c r="D10623" t="s">
        <v>51</v>
      </c>
      <c r="E10623" s="6">
        <v>-28213</v>
      </c>
      <c r="F10623" t="s">
        <v>558</v>
      </c>
      <c r="G10623" t="s">
        <v>44</v>
      </c>
      <c r="H10623" t="s">
        <v>20</v>
      </c>
      <c r="I10623" t="s">
        <v>20676</v>
      </c>
      <c r="J10623" t="str">
        <f>HYPERLINK("https://www.boe.es/gazeta/dias/1822/10/02/pdfs/GMD-1822-288.pdf#page=1","Abrir facsímil")</f>
        <v>Abrir facsímil</v>
      </c>
      <c r="K10623" t="s">
        <v>22</v>
      </c>
    </row>
    <row r="10624" spans="1:11" ht="42" customHeight="1">
      <c r="A10624" t="s">
        <v>20677</v>
      </c>
      <c r="B10624" t="s">
        <v>20677</v>
      </c>
      <c r="C10624" t="s">
        <v>24</v>
      </c>
      <c r="D10624" t="s">
        <v>17</v>
      </c>
      <c r="E10624" s="6">
        <v>-28320</v>
      </c>
      <c r="F10624" t="s">
        <v>700</v>
      </c>
      <c r="G10624" t="s">
        <v>63</v>
      </c>
      <c r="H10624" t="s">
        <v>20</v>
      </c>
      <c r="I10624" t="s">
        <v>20678</v>
      </c>
      <c r="J10624" t="str">
        <f>HYPERLINK("https://www.boe.es/gazeta/dias/1822/06/17/pdfs/GMD-1822-174.pdf#page=6","Abrir facsímil")</f>
        <v>Abrir facsímil</v>
      </c>
      <c r="K10624" t="s">
        <v>22</v>
      </c>
    </row>
    <row r="10625" spans="1:11" ht="42" customHeight="1">
      <c r="A10625" t="s">
        <v>20679</v>
      </c>
      <c r="B10625" t="s">
        <v>20679</v>
      </c>
      <c r="C10625" t="s">
        <v>28</v>
      </c>
      <c r="D10625" t="s">
        <v>29</v>
      </c>
      <c r="E10625" s="6">
        <v>-28397</v>
      </c>
      <c r="F10625" t="s">
        <v>1401</v>
      </c>
      <c r="G10625" t="s">
        <v>57</v>
      </c>
      <c r="H10625" t="s">
        <v>20</v>
      </c>
      <c r="I10625" t="s">
        <v>20680</v>
      </c>
      <c r="J10625" t="str">
        <f>HYPERLINK("https://www.boe.es/gazeta/dias/1822/04/01/pdfs/GMD-1822-93.pdf#page=4","Abrir facsímil")</f>
        <v>Abrir facsímil</v>
      </c>
      <c r="K10625" t="s">
        <v>22</v>
      </c>
    </row>
    <row r="10626" spans="1:11" ht="42" customHeight="1">
      <c r="A10626" t="s">
        <v>20681</v>
      </c>
      <c r="B10626" t="s">
        <v>20681</v>
      </c>
      <c r="C10626" t="s">
        <v>24</v>
      </c>
      <c r="D10626" t="s">
        <v>17</v>
      </c>
      <c r="E10626" s="6">
        <v>-28352</v>
      </c>
      <c r="F10626" t="s">
        <v>1575</v>
      </c>
      <c r="G10626" t="s">
        <v>44</v>
      </c>
      <c r="H10626" t="s">
        <v>20</v>
      </c>
      <c r="I10626" t="s">
        <v>20682</v>
      </c>
      <c r="J10626" t="str">
        <f>HYPERLINK("https://www.boe.es/gazeta/dias/1822/05/16/pdfs/GMD-1822-138.pdf#page=1","Abrir facsímil")</f>
        <v>Abrir facsímil</v>
      </c>
      <c r="K10626" t="s">
        <v>22</v>
      </c>
    </row>
    <row r="10627" spans="1:11" ht="42" customHeight="1">
      <c r="A10627" t="s">
        <v>20681</v>
      </c>
      <c r="B10627" t="s">
        <v>20681</v>
      </c>
      <c r="C10627" t="s">
        <v>42</v>
      </c>
      <c r="D10627" t="s">
        <v>17</v>
      </c>
      <c r="E10627" s="6">
        <v>-28347</v>
      </c>
      <c r="F10627" t="s">
        <v>520</v>
      </c>
      <c r="G10627" t="s">
        <v>35</v>
      </c>
      <c r="H10627" t="s">
        <v>20</v>
      </c>
      <c r="I10627" t="s">
        <v>20683</v>
      </c>
      <c r="J10627" t="str">
        <f>HYPERLINK("https://www.boe.es/gazeta/dias/1822/05/21/pdfs/GMD-1822-144.pdf#page=2","Abrir facsímil")</f>
        <v>Abrir facsímil</v>
      </c>
      <c r="K10627" t="s">
        <v>22</v>
      </c>
    </row>
    <row r="10628" spans="1:11" ht="42" customHeight="1">
      <c r="A10628" t="s">
        <v>20684</v>
      </c>
      <c r="B10628" t="s">
        <v>20684</v>
      </c>
      <c r="C10628" t="s">
        <v>28</v>
      </c>
      <c r="D10628" t="s">
        <v>29</v>
      </c>
      <c r="E10628" s="6">
        <v>-28194</v>
      </c>
      <c r="F10628" t="s">
        <v>18</v>
      </c>
      <c r="G10628" t="s">
        <v>31</v>
      </c>
      <c r="H10628" t="s">
        <v>20</v>
      </c>
      <c r="I10628" t="s">
        <v>20685</v>
      </c>
      <c r="J10628" t="str">
        <f>HYPERLINK("https://www.boe.es/gazeta/dias/1822/10/21/pdfs/GMD-1822-308.pdf#page=3","Abrir facsímil")</f>
        <v>Abrir facsímil</v>
      </c>
      <c r="K10628" t="s">
        <v>22</v>
      </c>
    </row>
    <row r="10629" spans="1:11" ht="42" customHeight="1">
      <c r="A10629" t="s">
        <v>20686</v>
      </c>
      <c r="B10629" t="s">
        <v>20686</v>
      </c>
      <c r="C10629" t="s">
        <v>28</v>
      </c>
      <c r="D10629" t="s">
        <v>29</v>
      </c>
      <c r="E10629" s="6">
        <v>-28182</v>
      </c>
      <c r="F10629" t="s">
        <v>585</v>
      </c>
      <c r="G10629" t="s">
        <v>35</v>
      </c>
      <c r="H10629" t="s">
        <v>20</v>
      </c>
      <c r="I10629" t="s">
        <v>20687</v>
      </c>
      <c r="J10629" t="str">
        <f>HYPERLINK("https://www.boe.es/gazeta/dias/1822/11/02/pdfs/GMD-1822-320.pdf#page=2","Abrir facsímil")</f>
        <v>Abrir facsímil</v>
      </c>
      <c r="K10629" t="s">
        <v>22</v>
      </c>
    </row>
    <row r="10630" spans="1:11" ht="42" customHeight="1">
      <c r="A10630" t="s">
        <v>20688</v>
      </c>
      <c r="B10630" t="s">
        <v>20688</v>
      </c>
      <c r="C10630" t="s">
        <v>42</v>
      </c>
      <c r="D10630" t="s">
        <v>17</v>
      </c>
      <c r="E10630" s="6">
        <v>-28150</v>
      </c>
      <c r="F10630" t="s">
        <v>62</v>
      </c>
      <c r="G10630" t="s">
        <v>31</v>
      </c>
      <c r="H10630" t="s">
        <v>20</v>
      </c>
      <c r="I10630" t="s">
        <v>20689</v>
      </c>
      <c r="J10630" t="str">
        <f>HYPERLINK("https://www.boe.es/gazeta/dias/1822/12/04/pdfs/GMD-1822-354.pdf#page=3","Abrir facsímil")</f>
        <v>Abrir facsímil</v>
      </c>
      <c r="K10630" t="s">
        <v>22</v>
      </c>
    </row>
    <row r="10631" spans="1:11" ht="42" customHeight="1">
      <c r="A10631" t="s">
        <v>20690</v>
      </c>
      <c r="B10631" t="s">
        <v>20690</v>
      </c>
      <c r="C10631" t="s">
        <v>50</v>
      </c>
      <c r="D10631" t="s">
        <v>51</v>
      </c>
      <c r="E10631" s="6">
        <v>-28483</v>
      </c>
      <c r="F10631" t="s">
        <v>254</v>
      </c>
      <c r="G10631" t="s">
        <v>44</v>
      </c>
      <c r="H10631" t="s">
        <v>20</v>
      </c>
      <c r="I10631" t="s">
        <v>20691</v>
      </c>
      <c r="J10631" t="str">
        <f>HYPERLINK("https://www.boe.es/gazeta/dias/1822/01/05/pdfs/GMD-1822-5.pdf#page=1","Abrir facsímil")</f>
        <v>Abrir facsímil</v>
      </c>
      <c r="K10631" t="s">
        <v>22</v>
      </c>
    </row>
    <row r="10632" spans="1:11" ht="42" customHeight="1">
      <c r="A10632" t="s">
        <v>20692</v>
      </c>
      <c r="B10632" t="s">
        <v>20693</v>
      </c>
      <c r="C10632" t="s">
        <v>28</v>
      </c>
      <c r="D10632" t="s">
        <v>29</v>
      </c>
      <c r="E10632" s="6">
        <v>-28436</v>
      </c>
      <c r="F10632" t="s">
        <v>431</v>
      </c>
      <c r="G10632" t="s">
        <v>1428</v>
      </c>
      <c r="H10632" t="s">
        <v>20</v>
      </c>
      <c r="I10632" t="s">
        <v>20694</v>
      </c>
      <c r="J10632" t="str">
        <f>HYPERLINK("https://www.boe.es/gazeta/dias/1822/02/21/pdfs/GMD-1822-53.pdf#page=3","Abrir facsímil")</f>
        <v>Abrir facsímil</v>
      </c>
      <c r="K10632" t="s">
        <v>22</v>
      </c>
    </row>
    <row r="10633" spans="1:11" ht="42" customHeight="1">
      <c r="A10633" t="s">
        <v>20695</v>
      </c>
      <c r="B10633" t="s">
        <v>20696</v>
      </c>
      <c r="C10633" t="s">
        <v>50</v>
      </c>
      <c r="D10633" t="s">
        <v>51</v>
      </c>
      <c r="E10633" s="6">
        <v>-28349</v>
      </c>
      <c r="F10633" t="s">
        <v>518</v>
      </c>
      <c r="G10633" t="s">
        <v>57</v>
      </c>
      <c r="H10633" t="s">
        <v>20</v>
      </c>
      <c r="I10633" t="s">
        <v>20697</v>
      </c>
      <c r="J10633" t="str">
        <f>HYPERLINK("https://www.boe.es/gazeta/dias/1822/05/19/pdfs/GMD-1822-141.pdf#page=4","Abrir facsímil")</f>
        <v>Abrir facsímil</v>
      </c>
      <c r="K10633" t="s">
        <v>22</v>
      </c>
    </row>
    <row r="10634" spans="1:11" ht="42" customHeight="1">
      <c r="A10634" t="s">
        <v>20698</v>
      </c>
      <c r="B10634" t="s">
        <v>20699</v>
      </c>
      <c r="C10634" t="s">
        <v>28</v>
      </c>
      <c r="D10634" t="s">
        <v>29</v>
      </c>
      <c r="E10634" s="6">
        <v>-28355</v>
      </c>
      <c r="F10634" t="s">
        <v>692</v>
      </c>
      <c r="G10634" t="s">
        <v>57</v>
      </c>
      <c r="H10634" t="s">
        <v>20</v>
      </c>
      <c r="I10634" t="s">
        <v>20700</v>
      </c>
      <c r="J10634" t="str">
        <f>HYPERLINK("https://www.boe.es/gazeta/dias/1822/05/13/pdfs/GMD-1822-135.pdf#page=4","Abrir facsímil")</f>
        <v>Abrir facsímil</v>
      </c>
      <c r="K10634" t="s">
        <v>22</v>
      </c>
    </row>
    <row r="10635" spans="1:11" ht="42" customHeight="1">
      <c r="A10635" t="s">
        <v>20701</v>
      </c>
      <c r="B10635" t="s">
        <v>20702</v>
      </c>
      <c r="C10635" t="s">
        <v>42</v>
      </c>
      <c r="D10635" t="s">
        <v>17</v>
      </c>
      <c r="E10635" s="6">
        <v>-28392</v>
      </c>
      <c r="F10635" t="s">
        <v>2003</v>
      </c>
      <c r="G10635" t="s">
        <v>57</v>
      </c>
      <c r="H10635" t="s">
        <v>45</v>
      </c>
      <c r="I10635" t="s">
        <v>20703</v>
      </c>
      <c r="J10635" t="str">
        <f>HYPERLINK("https://www.boe.es/gazeta/dias/1822/04/06/pdfs/GMD-1822-98.pdf#page=4","Abrir facsímil")</f>
        <v>Abrir facsímil</v>
      </c>
      <c r="K10635" t="s">
        <v>47</v>
      </c>
    </row>
    <row r="10636" spans="1:11" ht="42" customHeight="1">
      <c r="A10636" t="s">
        <v>20704</v>
      </c>
      <c r="B10636" t="s">
        <v>20705</v>
      </c>
      <c r="C10636" t="s">
        <v>42</v>
      </c>
      <c r="D10636" t="s">
        <v>17</v>
      </c>
      <c r="E10636" s="6">
        <v>-28340</v>
      </c>
      <c r="F10636" t="s">
        <v>139</v>
      </c>
      <c r="G10636" t="s">
        <v>35</v>
      </c>
      <c r="H10636" t="s">
        <v>20</v>
      </c>
      <c r="I10636" t="s">
        <v>20706</v>
      </c>
      <c r="J10636" t="str">
        <f>HYPERLINK("https://www.boe.es/gazeta/dias/1822/05/28/pdfs/GMD-1822-153.pdf#page=2","Abrir facsímil")</f>
        <v>Abrir facsímil</v>
      </c>
      <c r="K10636" t="s">
        <v>22</v>
      </c>
    </row>
    <row r="10637" spans="1:11" ht="42" customHeight="1">
      <c r="A10637" t="s">
        <v>20707</v>
      </c>
      <c r="B10637" t="s">
        <v>20708</v>
      </c>
      <c r="C10637" t="s">
        <v>50</v>
      </c>
      <c r="D10637" t="s">
        <v>51</v>
      </c>
      <c r="E10637" s="6">
        <v>-28130</v>
      </c>
      <c r="F10637" t="s">
        <v>34</v>
      </c>
      <c r="G10637" t="s">
        <v>63</v>
      </c>
      <c r="H10637" t="s">
        <v>45</v>
      </c>
      <c r="I10637" t="s">
        <v>20709</v>
      </c>
      <c r="J10637" t="str">
        <f>HYPERLINK("https://www.boe.es/gazeta/dias/1822/12/24/pdfs/GMD-1822-374.pdf#page=6","Abrir facsímil")</f>
        <v>Abrir facsímil</v>
      </c>
      <c r="K10637" t="s">
        <v>47</v>
      </c>
    </row>
    <row r="10638" spans="1:11" ht="42" customHeight="1">
      <c r="A10638" t="s">
        <v>20710</v>
      </c>
      <c r="B10638" t="s">
        <v>20711</v>
      </c>
      <c r="C10638" t="s">
        <v>42</v>
      </c>
      <c r="D10638" t="s">
        <v>17</v>
      </c>
      <c r="E10638" s="6">
        <v>-28271</v>
      </c>
      <c r="F10638" t="s">
        <v>4942</v>
      </c>
      <c r="G10638" t="s">
        <v>31</v>
      </c>
      <c r="H10638" t="s">
        <v>45</v>
      </c>
      <c r="I10638" t="s">
        <v>20712</v>
      </c>
      <c r="J10638" t="str">
        <f>HYPERLINK("https://www.boe.es/gazeta/dias/1822/08/05/pdfs/GMD-1822-229.pdf#page=3","Abrir facsímil")</f>
        <v>Abrir facsímil</v>
      </c>
      <c r="K10638" t="s">
        <v>47</v>
      </c>
    </row>
    <row r="10639" spans="1:11" ht="42" customHeight="1">
      <c r="A10639" t="s">
        <v>20713</v>
      </c>
      <c r="B10639" t="s">
        <v>20714</v>
      </c>
      <c r="C10639" t="s">
        <v>42</v>
      </c>
      <c r="D10639" t="s">
        <v>17</v>
      </c>
      <c r="E10639" s="6">
        <v>-28328</v>
      </c>
      <c r="F10639" t="s">
        <v>540</v>
      </c>
      <c r="G10639" t="s">
        <v>31</v>
      </c>
      <c r="H10639" t="s">
        <v>45</v>
      </c>
      <c r="I10639" t="s">
        <v>20715</v>
      </c>
      <c r="J10639" t="str">
        <f>HYPERLINK("https://www.boe.es/gazeta/dias/1822/06/09/pdfs/GMD-1822-166.pdf#page=3","Abrir facsímil")</f>
        <v>Abrir facsímil</v>
      </c>
      <c r="K10639" t="s">
        <v>47</v>
      </c>
    </row>
    <row r="10640" spans="1:11" ht="42" customHeight="1">
      <c r="A10640" t="s">
        <v>20713</v>
      </c>
      <c r="B10640" t="s">
        <v>20714</v>
      </c>
      <c r="C10640" t="s">
        <v>50</v>
      </c>
      <c r="D10640" t="s">
        <v>51</v>
      </c>
      <c r="E10640" s="6">
        <v>-28301</v>
      </c>
      <c r="F10640" t="s">
        <v>2348</v>
      </c>
      <c r="G10640" t="s">
        <v>31</v>
      </c>
      <c r="H10640" t="s">
        <v>45</v>
      </c>
      <c r="I10640" t="s">
        <v>20716</v>
      </c>
      <c r="J10640" t="str">
        <f>HYPERLINK("https://www.boe.es/gazeta/dias/1822/07/06/pdfs/GMD-1822-195.pdf#page=3","Abrir facsímil")</f>
        <v>Abrir facsímil</v>
      </c>
      <c r="K10640" t="s">
        <v>47</v>
      </c>
    </row>
    <row r="10641" spans="1:11" ht="42" customHeight="1">
      <c r="A10641" t="s">
        <v>20717</v>
      </c>
      <c r="B10641" t="s">
        <v>20718</v>
      </c>
      <c r="C10641" t="s">
        <v>61</v>
      </c>
      <c r="D10641" t="s">
        <v>17</v>
      </c>
      <c r="E10641" s="6">
        <v>-28154</v>
      </c>
      <c r="F10641" t="s">
        <v>2321</v>
      </c>
      <c r="G10641" t="s">
        <v>31</v>
      </c>
      <c r="H10641" t="s">
        <v>45</v>
      </c>
      <c r="I10641" t="s">
        <v>20719</v>
      </c>
      <c r="J10641" t="str">
        <f>HYPERLINK("https://www.boe.es/gazeta/dias/1822/11/30/pdfs/GMD-1822-350.pdf#page=3","Abrir facsímil")</f>
        <v>Abrir facsímil</v>
      </c>
      <c r="K10641" t="s">
        <v>47</v>
      </c>
    </row>
    <row r="10642" spans="1:11" ht="42" customHeight="1">
      <c r="A10642" t="s">
        <v>20720</v>
      </c>
      <c r="B10642" t="s">
        <v>20721</v>
      </c>
      <c r="C10642" t="s">
        <v>362</v>
      </c>
      <c r="D10642" t="s">
        <v>17</v>
      </c>
      <c r="E10642" s="6">
        <v>-28254</v>
      </c>
      <c r="F10642" t="s">
        <v>3557</v>
      </c>
      <c r="G10642" t="s">
        <v>57</v>
      </c>
      <c r="H10642" t="s">
        <v>45</v>
      </c>
      <c r="I10642" t="s">
        <v>20722</v>
      </c>
      <c r="J10642" t="str">
        <f>HYPERLINK("https://www.boe.es/gazeta/dias/1822/08/22/pdfs/GMD-1822-246.pdf#page=4","Abrir facsímil")</f>
        <v>Abrir facsímil</v>
      </c>
      <c r="K10642" t="s">
        <v>47</v>
      </c>
    </row>
    <row r="10643" spans="1:11" ht="42" customHeight="1">
      <c r="A10643" t="s">
        <v>20723</v>
      </c>
      <c r="B10643" t="s">
        <v>20724</v>
      </c>
      <c r="C10643" t="s">
        <v>50</v>
      </c>
      <c r="D10643" t="s">
        <v>51</v>
      </c>
      <c r="E10643" s="6">
        <v>-28176</v>
      </c>
      <c r="F10643" t="s">
        <v>780</v>
      </c>
      <c r="G10643" t="s">
        <v>19</v>
      </c>
      <c r="H10643" t="s">
        <v>45</v>
      </c>
      <c r="I10643" t="s">
        <v>20725</v>
      </c>
      <c r="J10643" t="str">
        <f>HYPERLINK("https://www.boe.es/gazeta/dias/1822/11/08/pdfs/GMD-1822-328.pdf#page=5","Abrir facsímil")</f>
        <v>Abrir facsímil</v>
      </c>
      <c r="K10643" t="s">
        <v>47</v>
      </c>
    </row>
    <row r="10644" spans="1:11" ht="42" customHeight="1">
      <c r="A10644" t="s">
        <v>20726</v>
      </c>
      <c r="B10644" t="s">
        <v>20727</v>
      </c>
      <c r="C10644" t="s">
        <v>71</v>
      </c>
      <c r="D10644" t="s">
        <v>17</v>
      </c>
      <c r="E10644" s="6">
        <v>-28328</v>
      </c>
      <c r="F10644" t="s">
        <v>540</v>
      </c>
      <c r="G10644" t="s">
        <v>63</v>
      </c>
      <c r="H10644" t="s">
        <v>20</v>
      </c>
      <c r="I10644" t="s">
        <v>20728</v>
      </c>
      <c r="J10644" t="str">
        <f>HYPERLINK("https://www.boe.es/gazeta/dias/1822/06/09/pdfs/GMD-1822-166.pdf#page=6","Abrir facsímil")</f>
        <v>Abrir facsímil</v>
      </c>
      <c r="K10644" t="s">
        <v>22</v>
      </c>
    </row>
    <row r="10645" spans="1:11" ht="42" customHeight="1">
      <c r="A10645" t="s">
        <v>20729</v>
      </c>
      <c r="B10645" t="s">
        <v>20730</v>
      </c>
      <c r="C10645" t="s">
        <v>16</v>
      </c>
      <c r="D10645" t="s">
        <v>17</v>
      </c>
      <c r="E10645" s="6">
        <v>-28225</v>
      </c>
      <c r="F10645" t="s">
        <v>177</v>
      </c>
      <c r="G10645" t="s">
        <v>178</v>
      </c>
      <c r="H10645" t="s">
        <v>20</v>
      </c>
      <c r="I10645" t="s">
        <v>20731</v>
      </c>
      <c r="J10645" t="str">
        <f>HYPERLINK("https://www.boe.es/gazeta/dias/1822/09/20/pdfs/GMD-1822-276.pdf#page=3","Abrir facsímil")</f>
        <v>Abrir facsímil</v>
      </c>
      <c r="K10645" t="s">
        <v>22</v>
      </c>
    </row>
    <row r="10646" spans="1:11" ht="42" customHeight="1">
      <c r="A10646" t="s">
        <v>20732</v>
      </c>
      <c r="B10646" t="s">
        <v>20732</v>
      </c>
      <c r="C10646" t="s">
        <v>42</v>
      </c>
      <c r="D10646" t="s">
        <v>17</v>
      </c>
      <c r="E10646" s="6">
        <v>-28258</v>
      </c>
      <c r="F10646" t="s">
        <v>88</v>
      </c>
      <c r="G10646" t="s">
        <v>31</v>
      </c>
      <c r="H10646" t="s">
        <v>20</v>
      </c>
      <c r="I10646" t="s">
        <v>20733</v>
      </c>
      <c r="J10646" t="str">
        <f>HYPERLINK("https://www.boe.es/gazeta/dias/1822/08/18/pdfs/GMD-1822-242.pdf#page=3","Abrir facsímil")</f>
        <v>Abrir facsímil</v>
      </c>
      <c r="K10646" t="s">
        <v>22</v>
      </c>
    </row>
    <row r="10647" spans="1:11" ht="42" customHeight="1">
      <c r="A10647" t="s">
        <v>20732</v>
      </c>
      <c r="B10647" t="s">
        <v>20732</v>
      </c>
      <c r="C10647" t="s">
        <v>50</v>
      </c>
      <c r="D10647" t="s">
        <v>51</v>
      </c>
      <c r="E10647" s="6">
        <v>-28156</v>
      </c>
      <c r="F10647" t="s">
        <v>1568</v>
      </c>
      <c r="G10647" t="s">
        <v>35</v>
      </c>
      <c r="H10647" t="s">
        <v>20</v>
      </c>
      <c r="I10647" t="s">
        <v>20734</v>
      </c>
      <c r="J10647" t="str">
        <f>HYPERLINK("https://www.boe.es/gazeta/dias/1822/11/28/pdfs/GMD-1822-348.pdf#page=2","Abrir facsímil")</f>
        <v>Abrir facsímil</v>
      </c>
      <c r="K10647" t="s">
        <v>22</v>
      </c>
    </row>
    <row r="10648" spans="1:11" ht="42" customHeight="1">
      <c r="A10648" t="s">
        <v>20735</v>
      </c>
      <c r="B10648" t="s">
        <v>20736</v>
      </c>
      <c r="C10648" t="s">
        <v>42</v>
      </c>
      <c r="D10648" t="s">
        <v>17</v>
      </c>
      <c r="E10648" s="6">
        <v>-28289</v>
      </c>
      <c r="F10648" t="s">
        <v>390</v>
      </c>
      <c r="G10648" t="s">
        <v>31</v>
      </c>
      <c r="H10648" t="s">
        <v>45</v>
      </c>
      <c r="I10648" t="s">
        <v>20737</v>
      </c>
      <c r="J10648" t="str">
        <f>HYPERLINK("https://www.boe.es/gazeta/dias/1822/07/18/pdfs/GMD-1822-209.pdf#page=3","Abrir facsímil")</f>
        <v>Abrir facsímil</v>
      </c>
      <c r="K10648" t="s">
        <v>47</v>
      </c>
    </row>
    <row r="10649" spans="1:11" ht="42" customHeight="1">
      <c r="A10649" t="s">
        <v>20738</v>
      </c>
      <c r="B10649" t="s">
        <v>20739</v>
      </c>
      <c r="C10649" t="s">
        <v>42</v>
      </c>
      <c r="D10649" t="s">
        <v>17</v>
      </c>
      <c r="E10649" s="6">
        <v>-28391</v>
      </c>
      <c r="F10649" t="s">
        <v>378</v>
      </c>
      <c r="G10649" t="s">
        <v>63</v>
      </c>
      <c r="H10649" t="s">
        <v>20</v>
      </c>
      <c r="I10649" t="s">
        <v>20740</v>
      </c>
      <c r="J10649" t="str">
        <f>HYPERLINK("https://www.boe.es/gazeta/dias/1822/04/07/pdfs/GMD-1822-99.pdf#page=6","Abrir facsímil")</f>
        <v>Abrir facsímil</v>
      </c>
      <c r="K10649" t="s">
        <v>22</v>
      </c>
    </row>
    <row r="10650" spans="1:11" ht="42" customHeight="1">
      <c r="A10650" t="s">
        <v>20741</v>
      </c>
      <c r="B10650" t="s">
        <v>20742</v>
      </c>
      <c r="C10650" t="s">
        <v>42</v>
      </c>
      <c r="D10650" t="s">
        <v>17</v>
      </c>
      <c r="E10650" s="6">
        <v>-28228</v>
      </c>
      <c r="F10650" t="s">
        <v>718</v>
      </c>
      <c r="G10650" t="s">
        <v>35</v>
      </c>
      <c r="H10650" t="s">
        <v>20</v>
      </c>
      <c r="I10650" t="s">
        <v>20743</v>
      </c>
      <c r="J10650" t="str">
        <f>HYPERLINK("https://www.boe.es/gazeta/dias/1822/09/17/pdfs/GMD-1822-273.pdf#page=2","Abrir facsímil")</f>
        <v>Abrir facsímil</v>
      </c>
      <c r="K10650" t="s">
        <v>22</v>
      </c>
    </row>
    <row r="10651" spans="1:11" ht="42" customHeight="1">
      <c r="A10651" t="s">
        <v>20744</v>
      </c>
      <c r="B10651" t="s">
        <v>20745</v>
      </c>
      <c r="C10651" t="s">
        <v>50</v>
      </c>
      <c r="D10651" t="s">
        <v>723</v>
      </c>
      <c r="E10651" s="6">
        <v>-28181</v>
      </c>
      <c r="F10651" t="s">
        <v>724</v>
      </c>
      <c r="G10651" t="s">
        <v>44</v>
      </c>
      <c r="H10651" t="s">
        <v>20</v>
      </c>
      <c r="I10651" t="s">
        <v>20746</v>
      </c>
      <c r="J10651" t="str">
        <f>HYPERLINK("https://www.boe.es/gazeta/dias/1822/11/03/pdfs/GMD-1822-322E.pdf#page=1","Abrir facsímil")</f>
        <v>Abrir facsímil</v>
      </c>
      <c r="K10651" t="s">
        <v>22</v>
      </c>
    </row>
    <row r="10652" spans="1:11" ht="42" customHeight="1">
      <c r="A10652" t="s">
        <v>20747</v>
      </c>
      <c r="B10652" t="s">
        <v>20748</v>
      </c>
      <c r="C10652" t="s">
        <v>28</v>
      </c>
      <c r="D10652" t="s">
        <v>29</v>
      </c>
      <c r="E10652" s="6">
        <v>-28197</v>
      </c>
      <c r="F10652" t="s">
        <v>568</v>
      </c>
      <c r="G10652" t="s">
        <v>63</v>
      </c>
      <c r="H10652" t="s">
        <v>20</v>
      </c>
      <c r="I10652" t="s">
        <v>20749</v>
      </c>
      <c r="J10652" t="str">
        <f>HYPERLINK("https://www.boe.es/gazeta/dias/1822/10/18/pdfs/GMD-1822-305.pdf#page=6","Abrir facsímil")</f>
        <v>Abrir facsímil</v>
      </c>
      <c r="K10652" t="s">
        <v>22</v>
      </c>
    </row>
    <row r="10653" spans="1:11" ht="42" customHeight="1">
      <c r="A10653" t="s">
        <v>20750</v>
      </c>
      <c r="B10653" t="s">
        <v>20751</v>
      </c>
      <c r="C10653" t="s">
        <v>42</v>
      </c>
      <c r="D10653" t="s">
        <v>17</v>
      </c>
      <c r="E10653" s="6">
        <v>-28297</v>
      </c>
      <c r="F10653" t="s">
        <v>1972</v>
      </c>
      <c r="G10653" t="s">
        <v>31</v>
      </c>
      <c r="H10653" t="s">
        <v>20</v>
      </c>
      <c r="I10653" t="s">
        <v>20752</v>
      </c>
      <c r="J10653" t="str">
        <f>HYPERLINK("https://www.boe.es/gazeta/dias/1822/07/10/pdfs/GMD-1822-200.pdf#page=3","Abrir facsímil")</f>
        <v>Abrir facsímil</v>
      </c>
      <c r="K10653" t="s">
        <v>22</v>
      </c>
    </row>
    <row r="10654" spans="1:11" ht="42" customHeight="1">
      <c r="A10654" t="s">
        <v>20753</v>
      </c>
      <c r="B10654" t="s">
        <v>20753</v>
      </c>
      <c r="C10654" t="s">
        <v>50</v>
      </c>
      <c r="D10654" t="s">
        <v>723</v>
      </c>
      <c r="E10654" s="6">
        <v>-28238</v>
      </c>
      <c r="F10654" t="s">
        <v>3584</v>
      </c>
      <c r="G10654" t="s">
        <v>44</v>
      </c>
      <c r="H10654" t="s">
        <v>20</v>
      </c>
      <c r="I10654" t="s">
        <v>20754</v>
      </c>
      <c r="J10654" t="str">
        <f>HYPERLINK("https://www.boe.es/gazeta/dias/1822/09/07/pdfs/GMD-1822-263E.pdf#page=1","Abrir facsímil")</f>
        <v>Abrir facsímil</v>
      </c>
      <c r="K10654" t="s">
        <v>22</v>
      </c>
    </row>
    <row r="10655" spans="1:11" ht="42" customHeight="1">
      <c r="A10655" t="s">
        <v>20755</v>
      </c>
      <c r="B10655" t="s">
        <v>20755</v>
      </c>
      <c r="C10655" t="s">
        <v>42</v>
      </c>
      <c r="D10655" t="s">
        <v>17</v>
      </c>
      <c r="E10655" s="6">
        <v>-28481</v>
      </c>
      <c r="F10655" t="s">
        <v>1089</v>
      </c>
      <c r="G10655" t="s">
        <v>35</v>
      </c>
      <c r="H10655" t="s">
        <v>20</v>
      </c>
      <c r="I10655" t="s">
        <v>20756</v>
      </c>
      <c r="J10655" t="str">
        <f>HYPERLINK("https://www.boe.es/gazeta/dias/1822/01/07/pdfs/GMD-1822-7.pdf#page=2","Abrir facsímil")</f>
        <v>Abrir facsímil</v>
      </c>
      <c r="K10655" t="s">
        <v>22</v>
      </c>
    </row>
    <row r="10656" spans="1:11" ht="42" customHeight="1">
      <c r="A10656" t="s">
        <v>20755</v>
      </c>
      <c r="B10656" t="s">
        <v>20755</v>
      </c>
      <c r="C10656" t="s">
        <v>24</v>
      </c>
      <c r="D10656" t="s">
        <v>17</v>
      </c>
      <c r="E10656" s="6">
        <v>-28471</v>
      </c>
      <c r="F10656" t="s">
        <v>1436</v>
      </c>
      <c r="G10656" t="s">
        <v>31</v>
      </c>
      <c r="H10656" t="s">
        <v>20</v>
      </c>
      <c r="I10656" t="s">
        <v>20757</v>
      </c>
      <c r="J10656" t="str">
        <f>HYPERLINK("https://www.boe.es/gazeta/dias/1822/01/17/pdfs/GMD-1822-17.pdf#page=3","Abrir facsímil")</f>
        <v>Abrir facsímil</v>
      </c>
      <c r="K10656" t="s">
        <v>22</v>
      </c>
    </row>
    <row r="10657" spans="1:11" ht="42" customHeight="1">
      <c r="A10657" t="s">
        <v>20755</v>
      </c>
      <c r="B10657" t="s">
        <v>20755</v>
      </c>
      <c r="C10657" t="s">
        <v>42</v>
      </c>
      <c r="D10657" t="s">
        <v>17</v>
      </c>
      <c r="E10657" s="6">
        <v>-28454</v>
      </c>
      <c r="F10657" t="s">
        <v>2033</v>
      </c>
      <c r="G10657" t="s">
        <v>57</v>
      </c>
      <c r="H10657" t="s">
        <v>20</v>
      </c>
      <c r="I10657" t="s">
        <v>20758</v>
      </c>
      <c r="J10657" t="str">
        <f>HYPERLINK("https://www.boe.es/gazeta/dias/1822/02/03/pdfs/GMD-1822-34.pdf#page=4","Abrir facsímil")</f>
        <v>Abrir facsímil</v>
      </c>
      <c r="K10657" t="s">
        <v>22</v>
      </c>
    </row>
    <row r="10658" spans="1:11" ht="42" customHeight="1">
      <c r="A10658" t="s">
        <v>20755</v>
      </c>
      <c r="B10658" t="s">
        <v>20755</v>
      </c>
      <c r="C10658" t="s">
        <v>50</v>
      </c>
      <c r="D10658" t="s">
        <v>51</v>
      </c>
      <c r="E10658" s="6">
        <v>-28453</v>
      </c>
      <c r="F10658" t="s">
        <v>2039</v>
      </c>
      <c r="G10658" t="s">
        <v>57</v>
      </c>
      <c r="H10658" t="s">
        <v>20</v>
      </c>
      <c r="I10658" t="s">
        <v>20759</v>
      </c>
      <c r="J10658" t="str">
        <f>HYPERLINK("https://www.boe.es/gazeta/dias/1822/02/04/pdfs/GMD-1822-35.pdf#page=4","Abrir facsímil")</f>
        <v>Abrir facsímil</v>
      </c>
      <c r="K10658" t="s">
        <v>22</v>
      </c>
    </row>
    <row r="10659" spans="1:11" ht="42" customHeight="1">
      <c r="A10659" t="s">
        <v>20755</v>
      </c>
      <c r="B10659" t="s">
        <v>20755</v>
      </c>
      <c r="C10659" t="s">
        <v>71</v>
      </c>
      <c r="D10659" t="s">
        <v>17</v>
      </c>
      <c r="E10659" s="6">
        <v>-28447</v>
      </c>
      <c r="F10659" t="s">
        <v>997</v>
      </c>
      <c r="G10659" t="s">
        <v>35</v>
      </c>
      <c r="H10659" t="s">
        <v>20</v>
      </c>
      <c r="I10659" t="s">
        <v>20760</v>
      </c>
      <c r="J10659" t="str">
        <f>HYPERLINK("https://www.boe.es/gazeta/dias/1822/02/10/pdfs/GMD-1822-41.pdf#page=2","Abrir facsímil")</f>
        <v>Abrir facsímil</v>
      </c>
      <c r="K10659" t="s">
        <v>22</v>
      </c>
    </row>
    <row r="10660" spans="1:11" ht="42" customHeight="1">
      <c r="A10660" t="s">
        <v>20755</v>
      </c>
      <c r="B10660" t="s">
        <v>20755</v>
      </c>
      <c r="C10660" t="s">
        <v>71</v>
      </c>
      <c r="D10660" t="s">
        <v>17</v>
      </c>
      <c r="E10660" s="6">
        <v>-28444</v>
      </c>
      <c r="F10660" t="s">
        <v>681</v>
      </c>
      <c r="G10660" t="s">
        <v>57</v>
      </c>
      <c r="H10660" t="s">
        <v>20</v>
      </c>
      <c r="I10660" t="s">
        <v>20761</v>
      </c>
      <c r="J10660" t="str">
        <f>HYPERLINK("https://www.boe.es/gazeta/dias/1822/02/13/pdfs/GMD-1822-44.pdf#page=4","Abrir facsímil")</f>
        <v>Abrir facsímil</v>
      </c>
      <c r="K10660" t="s">
        <v>22</v>
      </c>
    </row>
    <row r="10661" spans="1:11" ht="42" customHeight="1">
      <c r="A10661" t="s">
        <v>20755</v>
      </c>
      <c r="B10661" t="s">
        <v>20755</v>
      </c>
      <c r="C10661" t="s">
        <v>71</v>
      </c>
      <c r="D10661" t="s">
        <v>17</v>
      </c>
      <c r="E10661" s="6">
        <v>-28443</v>
      </c>
      <c r="F10661" t="s">
        <v>668</v>
      </c>
      <c r="G10661" t="s">
        <v>57</v>
      </c>
      <c r="H10661" t="s">
        <v>20</v>
      </c>
      <c r="I10661" t="s">
        <v>20762</v>
      </c>
      <c r="J10661" t="str">
        <f>HYPERLINK("https://www.boe.es/gazeta/dias/1822/02/14/pdfs/GMD-1822-45.pdf#page=4","Abrir facsímil")</f>
        <v>Abrir facsímil</v>
      </c>
      <c r="K10661" t="s">
        <v>22</v>
      </c>
    </row>
    <row r="10662" spans="1:11" ht="42" customHeight="1">
      <c r="A10662" t="s">
        <v>20755</v>
      </c>
      <c r="B10662" t="s">
        <v>20755</v>
      </c>
      <c r="C10662" t="s">
        <v>50</v>
      </c>
      <c r="D10662" t="s">
        <v>51</v>
      </c>
      <c r="E10662" s="6">
        <v>-28432</v>
      </c>
      <c r="F10662" t="s">
        <v>195</v>
      </c>
      <c r="G10662" t="s">
        <v>57</v>
      </c>
      <c r="H10662" t="s">
        <v>20</v>
      </c>
      <c r="I10662" t="s">
        <v>20763</v>
      </c>
      <c r="J10662" t="str">
        <f>HYPERLINK("https://www.boe.es/gazeta/dias/1822/02/25/pdfs/GMD-1822-57.pdf#page=4","Abrir facsímil")</f>
        <v>Abrir facsímil</v>
      </c>
      <c r="K10662" t="s">
        <v>22</v>
      </c>
    </row>
    <row r="10663" spans="1:11" ht="42" customHeight="1">
      <c r="A10663" t="s">
        <v>20755</v>
      </c>
      <c r="B10663" t="s">
        <v>20755</v>
      </c>
      <c r="C10663" t="s">
        <v>42</v>
      </c>
      <c r="D10663" t="s">
        <v>17</v>
      </c>
      <c r="E10663" s="6">
        <v>-28346</v>
      </c>
      <c r="F10663" t="s">
        <v>191</v>
      </c>
      <c r="G10663" t="s">
        <v>35</v>
      </c>
      <c r="H10663" t="s">
        <v>20</v>
      </c>
      <c r="I10663" t="s">
        <v>20764</v>
      </c>
      <c r="J10663" t="str">
        <f>HYPERLINK("https://www.boe.es/gazeta/dias/1822/05/22/pdfs/GMD-1822-145.pdf#page=2","Abrir facsímil")</f>
        <v>Abrir facsímil</v>
      </c>
      <c r="K10663" t="s">
        <v>22</v>
      </c>
    </row>
    <row r="10664" spans="1:11" ht="42" customHeight="1">
      <c r="A10664" t="s">
        <v>20755</v>
      </c>
      <c r="B10664" t="s">
        <v>20755</v>
      </c>
      <c r="C10664" t="s">
        <v>71</v>
      </c>
      <c r="D10664" t="s">
        <v>17</v>
      </c>
      <c r="E10664" s="6">
        <v>-28329</v>
      </c>
      <c r="F10664" t="s">
        <v>354</v>
      </c>
      <c r="G10664" t="s">
        <v>44</v>
      </c>
      <c r="H10664" t="s">
        <v>20</v>
      </c>
      <c r="I10664" t="s">
        <v>20765</v>
      </c>
      <c r="J10664" t="str">
        <f>HYPERLINK("https://www.boe.es/gazeta/dias/1822/06/08/pdfs/GMD-1822-165.pdf#page=1","Abrir facsímil")</f>
        <v>Abrir facsímil</v>
      </c>
      <c r="K10664" t="s">
        <v>22</v>
      </c>
    </row>
    <row r="10665" spans="1:11" ht="42" customHeight="1">
      <c r="A10665" t="s">
        <v>20755</v>
      </c>
      <c r="B10665" t="s">
        <v>20755</v>
      </c>
      <c r="C10665" t="s">
        <v>50</v>
      </c>
      <c r="D10665" t="s">
        <v>51</v>
      </c>
      <c r="E10665" s="6">
        <v>-28211</v>
      </c>
      <c r="F10665" t="s">
        <v>273</v>
      </c>
      <c r="G10665" t="s">
        <v>31</v>
      </c>
      <c r="H10665" t="s">
        <v>20</v>
      </c>
      <c r="I10665" t="s">
        <v>20766</v>
      </c>
      <c r="J10665" t="str">
        <f>HYPERLINK("https://www.boe.es/gazeta/dias/1822/10/04/pdfs/GMD-1822-290.pdf#page=3","Abrir facsímil")</f>
        <v>Abrir facsímil</v>
      </c>
      <c r="K10665" t="s">
        <v>22</v>
      </c>
    </row>
    <row r="10666" spans="1:11" ht="42" customHeight="1">
      <c r="A10666" t="s">
        <v>20755</v>
      </c>
      <c r="B10666" t="s">
        <v>20755</v>
      </c>
      <c r="C10666" t="s">
        <v>42</v>
      </c>
      <c r="D10666" t="s">
        <v>17</v>
      </c>
      <c r="E10666" s="6">
        <v>-28208</v>
      </c>
      <c r="F10666" t="s">
        <v>230</v>
      </c>
      <c r="G10666" t="s">
        <v>57</v>
      </c>
      <c r="H10666" t="s">
        <v>20</v>
      </c>
      <c r="I10666" t="s">
        <v>20767</v>
      </c>
      <c r="J10666" t="str">
        <f>HYPERLINK("https://www.boe.es/gazeta/dias/1822/10/07/pdfs/GMD-1822-293.pdf#page=4","Abrir facsímil")</f>
        <v>Abrir facsímil</v>
      </c>
      <c r="K10666" t="s">
        <v>22</v>
      </c>
    </row>
    <row r="10667" spans="1:11" ht="42" customHeight="1">
      <c r="A10667" t="s">
        <v>20755</v>
      </c>
      <c r="B10667" t="s">
        <v>20755</v>
      </c>
      <c r="C10667" t="s">
        <v>28</v>
      </c>
      <c r="D10667" t="s">
        <v>29</v>
      </c>
      <c r="E10667" s="6">
        <v>-28152</v>
      </c>
      <c r="F10667" t="s">
        <v>122</v>
      </c>
      <c r="G10667" t="s">
        <v>19</v>
      </c>
      <c r="H10667" t="s">
        <v>20</v>
      </c>
      <c r="I10667" t="s">
        <v>20768</v>
      </c>
      <c r="J10667" t="str">
        <f>HYPERLINK("https://www.boe.es/gazeta/dias/1822/12/02/pdfs/GMD-1822-352.pdf#page=5","Abrir facsímil")</f>
        <v>Abrir facsímil</v>
      </c>
      <c r="K10667" t="s">
        <v>22</v>
      </c>
    </row>
    <row r="10668" spans="1:11" ht="42" customHeight="1">
      <c r="A10668" t="s">
        <v>20769</v>
      </c>
      <c r="B10668" t="s">
        <v>20770</v>
      </c>
      <c r="C10668" t="s">
        <v>50</v>
      </c>
      <c r="D10668" t="s">
        <v>51</v>
      </c>
      <c r="E10668" s="6">
        <v>-28415</v>
      </c>
      <c r="F10668" t="s">
        <v>77</v>
      </c>
      <c r="G10668" t="s">
        <v>63</v>
      </c>
      <c r="H10668" t="s">
        <v>20</v>
      </c>
      <c r="I10668" t="s">
        <v>20771</v>
      </c>
      <c r="J10668" t="str">
        <f>HYPERLINK("https://www.boe.es/gazeta/dias/1822/03/14/pdfs/GMD-1822-75.pdf#page=6","Abrir facsímil")</f>
        <v>Abrir facsímil</v>
      </c>
      <c r="K10668" t="s">
        <v>22</v>
      </c>
    </row>
    <row r="10669" spans="1:11" ht="42" customHeight="1">
      <c r="A10669" t="s">
        <v>20772</v>
      </c>
      <c r="B10669" t="s">
        <v>20773</v>
      </c>
      <c r="C10669" t="s">
        <v>42</v>
      </c>
      <c r="D10669" t="s">
        <v>17</v>
      </c>
      <c r="E10669" s="6">
        <v>-28274</v>
      </c>
      <c r="F10669" t="s">
        <v>3371</v>
      </c>
      <c r="G10669" t="s">
        <v>44</v>
      </c>
      <c r="H10669" t="s">
        <v>20</v>
      </c>
      <c r="I10669" t="s">
        <v>20774</v>
      </c>
      <c r="J10669" t="str">
        <f>HYPERLINK("https://www.boe.es/gazeta/dias/1822/08/02/pdfs/GMD-1822-226.pdf#page=1","Abrir facsímil")</f>
        <v>Abrir facsímil</v>
      </c>
      <c r="K10669" t="s">
        <v>22</v>
      </c>
    </row>
    <row r="10670" spans="1:11" ht="42" customHeight="1">
      <c r="A10670" t="s">
        <v>20775</v>
      </c>
      <c r="B10670" t="s">
        <v>20776</v>
      </c>
      <c r="C10670" t="s">
        <v>50</v>
      </c>
      <c r="D10670" t="s">
        <v>51</v>
      </c>
      <c r="E10670" s="6">
        <v>-28153</v>
      </c>
      <c r="F10670" t="s">
        <v>946</v>
      </c>
      <c r="G10670" t="s">
        <v>44</v>
      </c>
      <c r="H10670" t="s">
        <v>20</v>
      </c>
      <c r="I10670" t="s">
        <v>20777</v>
      </c>
      <c r="J10670" t="str">
        <f>HYPERLINK("https://www.boe.es/gazeta/dias/1822/12/01/pdfs/GMD-1822-351.pdf#page=1","Abrir facsímil")</f>
        <v>Abrir facsímil</v>
      </c>
      <c r="K10670" t="s">
        <v>22</v>
      </c>
    </row>
    <row r="10671" spans="1:11" ht="42" customHeight="1">
      <c r="A10671" t="s">
        <v>20775</v>
      </c>
      <c r="B10671" t="s">
        <v>20776</v>
      </c>
      <c r="C10671" t="s">
        <v>50</v>
      </c>
      <c r="D10671" t="s">
        <v>51</v>
      </c>
      <c r="E10671" s="6">
        <v>-28142</v>
      </c>
      <c r="F10671" t="s">
        <v>290</v>
      </c>
      <c r="G10671" t="s">
        <v>44</v>
      </c>
      <c r="H10671" t="s">
        <v>20</v>
      </c>
      <c r="I10671" t="s">
        <v>20778</v>
      </c>
      <c r="J10671" t="str">
        <f>HYPERLINK("https://www.boe.es/gazeta/dias/1822/12/12/pdfs/GMD-1822-362.pdf#page=1","Abrir facsímil")</f>
        <v>Abrir facsímil</v>
      </c>
      <c r="K10671" t="s">
        <v>22</v>
      </c>
    </row>
    <row r="10672" spans="1:11" ht="42" customHeight="1">
      <c r="A10672" t="s">
        <v>20779</v>
      </c>
      <c r="B10672" t="s">
        <v>20779</v>
      </c>
      <c r="C10672" t="s">
        <v>50</v>
      </c>
      <c r="D10672" t="s">
        <v>51</v>
      </c>
      <c r="E10672" s="6">
        <v>-28410</v>
      </c>
      <c r="F10672" t="s">
        <v>966</v>
      </c>
      <c r="G10672" t="s">
        <v>31</v>
      </c>
      <c r="H10672" t="s">
        <v>20</v>
      </c>
      <c r="I10672" t="s">
        <v>20780</v>
      </c>
      <c r="J10672" t="str">
        <f>HYPERLINK("https://www.boe.es/gazeta/dias/1822/03/19/pdfs/GMD-1822-80.pdf#page=3","Abrir facsímil")</f>
        <v>Abrir facsímil</v>
      </c>
      <c r="K10672" t="s">
        <v>22</v>
      </c>
    </row>
    <row r="10673" spans="1:11" ht="42" customHeight="1">
      <c r="A10673" t="s">
        <v>20779</v>
      </c>
      <c r="B10673" t="s">
        <v>20779</v>
      </c>
      <c r="C10673" t="s">
        <v>42</v>
      </c>
      <c r="D10673" t="s">
        <v>17</v>
      </c>
      <c r="E10673" s="6">
        <v>-28404</v>
      </c>
      <c r="F10673" t="s">
        <v>421</v>
      </c>
      <c r="G10673" t="s">
        <v>44</v>
      </c>
      <c r="H10673" t="s">
        <v>20</v>
      </c>
      <c r="I10673" t="s">
        <v>20781</v>
      </c>
      <c r="J10673" t="str">
        <f>HYPERLINK("https://www.boe.es/gazeta/dias/1822/03/25/pdfs/GMD-1822-86.pdf#page=1","Abrir facsímil")</f>
        <v>Abrir facsímil</v>
      </c>
      <c r="K10673" t="s">
        <v>22</v>
      </c>
    </row>
    <row r="10674" spans="1:11" ht="42" customHeight="1">
      <c r="A10674" t="s">
        <v>20779</v>
      </c>
      <c r="B10674" t="s">
        <v>20779</v>
      </c>
      <c r="C10674" t="s">
        <v>28</v>
      </c>
      <c r="D10674" t="s">
        <v>29</v>
      </c>
      <c r="E10674" s="6">
        <v>-28395</v>
      </c>
      <c r="F10674" t="s">
        <v>237</v>
      </c>
      <c r="G10674" t="s">
        <v>57</v>
      </c>
      <c r="H10674" t="s">
        <v>20</v>
      </c>
      <c r="I10674" t="s">
        <v>20782</v>
      </c>
      <c r="J10674" t="str">
        <f>HYPERLINK("https://www.boe.es/gazeta/dias/1822/04/03/pdfs/GMD-1822-95.pdf#page=4","Abrir facsímil")</f>
        <v>Abrir facsímil</v>
      </c>
      <c r="K10674" t="s">
        <v>22</v>
      </c>
    </row>
    <row r="10675" spans="1:11" ht="42" customHeight="1">
      <c r="A10675" t="s">
        <v>20779</v>
      </c>
      <c r="B10675" t="s">
        <v>20779</v>
      </c>
      <c r="C10675" t="s">
        <v>42</v>
      </c>
      <c r="D10675" t="s">
        <v>17</v>
      </c>
      <c r="E10675" s="6">
        <v>-28342</v>
      </c>
      <c r="F10675" t="s">
        <v>2281</v>
      </c>
      <c r="G10675" t="s">
        <v>19</v>
      </c>
      <c r="H10675" t="s">
        <v>20</v>
      </c>
      <c r="I10675" t="s">
        <v>20783</v>
      </c>
      <c r="J10675" t="str">
        <f>HYPERLINK("https://www.boe.es/gazeta/dias/1822/05/26/pdfs/GMD-1822-151.pdf#page=5","Abrir facsímil")</f>
        <v>Abrir facsímil</v>
      </c>
      <c r="K10675" t="s">
        <v>22</v>
      </c>
    </row>
    <row r="10676" spans="1:11" ht="42" customHeight="1">
      <c r="A10676" t="s">
        <v>20779</v>
      </c>
      <c r="B10676" t="s">
        <v>20779</v>
      </c>
      <c r="C10676" t="s">
        <v>71</v>
      </c>
      <c r="D10676" t="s">
        <v>17</v>
      </c>
      <c r="E10676" s="6">
        <v>-28142</v>
      </c>
      <c r="F10676" t="s">
        <v>290</v>
      </c>
      <c r="G10676" t="s">
        <v>35</v>
      </c>
      <c r="H10676" t="s">
        <v>20</v>
      </c>
      <c r="I10676" t="s">
        <v>20784</v>
      </c>
      <c r="J10676" t="str">
        <f>HYPERLINK("https://www.boe.es/gazeta/dias/1822/12/12/pdfs/GMD-1822-362.pdf#page=2","Abrir facsímil")</f>
        <v>Abrir facsímil</v>
      </c>
      <c r="K10676" t="s">
        <v>22</v>
      </c>
    </row>
    <row r="10677" spans="1:11" ht="42" customHeight="1">
      <c r="A10677" t="s">
        <v>20785</v>
      </c>
      <c r="B10677" t="s">
        <v>20786</v>
      </c>
      <c r="C10677" t="s">
        <v>42</v>
      </c>
      <c r="D10677" t="s">
        <v>17</v>
      </c>
      <c r="E10677" s="6">
        <v>-28345</v>
      </c>
      <c r="F10677" t="s">
        <v>294</v>
      </c>
      <c r="G10677" t="s">
        <v>63</v>
      </c>
      <c r="H10677" t="s">
        <v>20</v>
      </c>
      <c r="I10677" t="s">
        <v>20787</v>
      </c>
      <c r="J10677" t="str">
        <f>HYPERLINK("https://www.boe.es/gazeta/dias/1822/05/23/pdfs/GMD-1822-147.pdf#page=6","Abrir facsímil")</f>
        <v>Abrir facsímil</v>
      </c>
      <c r="K10677" t="s">
        <v>22</v>
      </c>
    </row>
    <row r="10678" spans="1:11" ht="42" customHeight="1">
      <c r="A10678" t="s">
        <v>20788</v>
      </c>
      <c r="B10678" t="s">
        <v>20789</v>
      </c>
      <c r="C10678" t="s">
        <v>28</v>
      </c>
      <c r="D10678" t="s">
        <v>29</v>
      </c>
      <c r="E10678" s="6">
        <v>-28436</v>
      </c>
      <c r="F10678" t="s">
        <v>431</v>
      </c>
      <c r="G10678" t="s">
        <v>1428</v>
      </c>
      <c r="H10678" t="s">
        <v>20</v>
      </c>
      <c r="I10678" t="s">
        <v>20790</v>
      </c>
      <c r="J10678" t="str">
        <f>HYPERLINK("https://www.boe.es/gazeta/dias/1822/02/21/pdfs/GMD-1822-53.pdf#page=3","Abrir facsímil")</f>
        <v>Abrir facsímil</v>
      </c>
      <c r="K10678" t="s">
        <v>22</v>
      </c>
    </row>
    <row r="10679" spans="1:11" ht="42" customHeight="1">
      <c r="A10679" t="s">
        <v>20791</v>
      </c>
      <c r="B10679" t="s">
        <v>20792</v>
      </c>
      <c r="C10679" t="s">
        <v>16</v>
      </c>
      <c r="D10679" t="s">
        <v>17</v>
      </c>
      <c r="E10679" s="6">
        <v>-28479</v>
      </c>
      <c r="F10679" t="s">
        <v>1091</v>
      </c>
      <c r="G10679" t="s">
        <v>31</v>
      </c>
      <c r="H10679" t="s">
        <v>20</v>
      </c>
      <c r="I10679" t="s">
        <v>20793</v>
      </c>
      <c r="J10679" t="str">
        <f>HYPERLINK("https://www.boe.es/gazeta/dias/1822/01/09/pdfs/GMD-1822-9.pdf#page=3","Abrir facsímil")</f>
        <v>Abrir facsímil</v>
      </c>
      <c r="K10679" t="s">
        <v>22</v>
      </c>
    </row>
    <row r="10680" spans="1:11" ht="42" customHeight="1">
      <c r="A10680" t="s">
        <v>20794</v>
      </c>
      <c r="B10680" t="s">
        <v>20795</v>
      </c>
      <c r="C10680" t="s">
        <v>16</v>
      </c>
      <c r="D10680" t="s">
        <v>17</v>
      </c>
      <c r="E10680" s="6">
        <v>-28377</v>
      </c>
      <c r="F10680" t="s">
        <v>498</v>
      </c>
      <c r="G10680" t="s">
        <v>57</v>
      </c>
      <c r="H10680" t="s">
        <v>20</v>
      </c>
      <c r="I10680" t="s">
        <v>20796</v>
      </c>
      <c r="J10680" t="str">
        <f>HYPERLINK("https://www.boe.es/gazeta/dias/1822/04/21/pdfs/GMD-1822-113.pdf#page=4","Abrir facsímil")</f>
        <v>Abrir facsímil</v>
      </c>
      <c r="K10680" t="s">
        <v>22</v>
      </c>
    </row>
    <row r="10681" spans="1:11" ht="42" customHeight="1">
      <c r="A10681" t="s">
        <v>20797</v>
      </c>
      <c r="B10681" t="s">
        <v>20797</v>
      </c>
      <c r="C10681" t="s">
        <v>362</v>
      </c>
      <c r="D10681" t="s">
        <v>17</v>
      </c>
      <c r="E10681" s="6">
        <v>-28233</v>
      </c>
      <c r="F10681" t="s">
        <v>810</v>
      </c>
      <c r="G10681" t="s">
        <v>35</v>
      </c>
      <c r="H10681" t="s">
        <v>20</v>
      </c>
      <c r="I10681" t="s">
        <v>20798</v>
      </c>
      <c r="J10681" t="str">
        <f>HYPERLINK("https://www.boe.es/gazeta/dias/1822/09/12/pdfs/GMD-1822-268.pdf#page=2","Abrir facsímil")</f>
        <v>Abrir facsímil</v>
      </c>
      <c r="K10681" t="s">
        <v>22</v>
      </c>
    </row>
    <row r="10682" spans="1:11" ht="42" customHeight="1">
      <c r="A10682" t="s">
        <v>20799</v>
      </c>
      <c r="B10682" t="s">
        <v>20799</v>
      </c>
      <c r="C10682" t="s">
        <v>50</v>
      </c>
      <c r="D10682" t="s">
        <v>51</v>
      </c>
      <c r="E10682" s="6">
        <v>-28230</v>
      </c>
      <c r="F10682" t="s">
        <v>1735</v>
      </c>
      <c r="G10682" t="s">
        <v>35</v>
      </c>
      <c r="H10682" t="s">
        <v>20</v>
      </c>
      <c r="I10682" t="s">
        <v>20800</v>
      </c>
      <c r="J10682" t="str">
        <f>HYPERLINK("https://www.boe.es/gazeta/dias/1822/09/15/pdfs/GMD-1822-271.pdf#page=2","Abrir facsímil")</f>
        <v>Abrir facsímil</v>
      </c>
      <c r="K10682" t="s">
        <v>22</v>
      </c>
    </row>
    <row r="10683" spans="1:11" ht="42" customHeight="1">
      <c r="A10683" t="s">
        <v>20801</v>
      </c>
      <c r="B10683" t="s">
        <v>20802</v>
      </c>
      <c r="C10683" t="s">
        <v>28</v>
      </c>
      <c r="D10683" t="s">
        <v>29</v>
      </c>
      <c r="E10683" s="6">
        <v>-28315</v>
      </c>
      <c r="F10683" t="s">
        <v>1220</v>
      </c>
      <c r="G10683" t="s">
        <v>63</v>
      </c>
      <c r="H10683" t="s">
        <v>20</v>
      </c>
      <c r="I10683" t="s">
        <v>20803</v>
      </c>
      <c r="J10683" t="str">
        <f>HYPERLINK("https://www.boe.es/gazeta/dias/1822/06/22/pdfs/GMD-1822-180.pdf#page=6","Abrir facsímil")</f>
        <v>Abrir facsímil</v>
      </c>
      <c r="K10683" t="s">
        <v>22</v>
      </c>
    </row>
    <row r="10684" spans="1:11" ht="42" customHeight="1">
      <c r="A10684" t="s">
        <v>20804</v>
      </c>
      <c r="B10684" t="s">
        <v>20805</v>
      </c>
      <c r="C10684" t="s">
        <v>50</v>
      </c>
      <c r="D10684" t="s">
        <v>51</v>
      </c>
      <c r="E10684" s="6">
        <v>-28210</v>
      </c>
      <c r="F10684" t="s">
        <v>218</v>
      </c>
      <c r="G10684" t="s">
        <v>19</v>
      </c>
      <c r="H10684" t="s">
        <v>20</v>
      </c>
      <c r="I10684" t="s">
        <v>20806</v>
      </c>
      <c r="J10684" t="str">
        <f>HYPERLINK("https://www.boe.es/gazeta/dias/1822/10/05/pdfs/GMD-1822-291.pdf#page=5","Abrir facsímil")</f>
        <v>Abrir facsímil</v>
      </c>
      <c r="K10684" t="s">
        <v>22</v>
      </c>
    </row>
    <row r="10685" spans="1:11" ht="42" customHeight="1">
      <c r="A10685" t="s">
        <v>20807</v>
      </c>
      <c r="B10685" t="s">
        <v>20808</v>
      </c>
      <c r="C10685" t="s">
        <v>71</v>
      </c>
      <c r="D10685" t="s">
        <v>17</v>
      </c>
      <c r="E10685" s="6">
        <v>-28480</v>
      </c>
      <c r="F10685" t="s">
        <v>995</v>
      </c>
      <c r="G10685" t="s">
        <v>57</v>
      </c>
      <c r="H10685" t="s">
        <v>20</v>
      </c>
      <c r="I10685" t="s">
        <v>20809</v>
      </c>
      <c r="J10685" t="str">
        <f>HYPERLINK("https://www.boe.es/gazeta/dias/1822/01/08/pdfs/GMD-1822-8.pdf#page=4","Abrir facsímil")</f>
        <v>Abrir facsímil</v>
      </c>
      <c r="K10685" t="s">
        <v>22</v>
      </c>
    </row>
    <row r="10686" spans="1:11" ht="42" customHeight="1">
      <c r="A10686" t="s">
        <v>20810</v>
      </c>
      <c r="B10686" t="s">
        <v>20811</v>
      </c>
      <c r="C10686" t="s">
        <v>61</v>
      </c>
      <c r="D10686" t="s">
        <v>17</v>
      </c>
      <c r="E10686" s="6">
        <v>-28225</v>
      </c>
      <c r="F10686" t="s">
        <v>177</v>
      </c>
      <c r="G10686" t="s">
        <v>35</v>
      </c>
      <c r="H10686" t="s">
        <v>20</v>
      </c>
      <c r="I10686" t="s">
        <v>20812</v>
      </c>
      <c r="J10686" t="str">
        <f>HYPERLINK("https://www.boe.es/gazeta/dias/1822/09/20/pdfs/GMD-1822-276.pdf#page=2","Abrir facsímil")</f>
        <v>Abrir facsímil</v>
      </c>
      <c r="K10686" t="s">
        <v>22</v>
      </c>
    </row>
    <row r="10687" spans="1:11" ht="42" customHeight="1">
      <c r="A10687" t="s">
        <v>20813</v>
      </c>
      <c r="B10687" t="s">
        <v>20814</v>
      </c>
      <c r="C10687" t="s">
        <v>28</v>
      </c>
      <c r="D10687" t="s">
        <v>29</v>
      </c>
      <c r="E10687" s="6">
        <v>-28480</v>
      </c>
      <c r="F10687" t="s">
        <v>995</v>
      </c>
      <c r="G10687" t="s">
        <v>19</v>
      </c>
      <c r="H10687" t="s">
        <v>20</v>
      </c>
      <c r="I10687" t="s">
        <v>20815</v>
      </c>
      <c r="J10687" t="str">
        <f>HYPERLINK("https://www.boe.es/gazeta/dias/1822/01/08/pdfs/GMD-1822-8.pdf#page=5","Abrir facsímil")</f>
        <v>Abrir facsímil</v>
      </c>
      <c r="K10687" t="s">
        <v>22</v>
      </c>
    </row>
    <row r="10688" spans="1:11" ht="42" customHeight="1">
      <c r="A10688" t="s">
        <v>20813</v>
      </c>
      <c r="B10688" t="s">
        <v>20814</v>
      </c>
      <c r="C10688" t="s">
        <v>50</v>
      </c>
      <c r="D10688" t="s">
        <v>51</v>
      </c>
      <c r="E10688" s="6">
        <v>-28474</v>
      </c>
      <c r="F10688" t="s">
        <v>30</v>
      </c>
      <c r="G10688" t="s">
        <v>35</v>
      </c>
      <c r="H10688" t="s">
        <v>20</v>
      </c>
      <c r="I10688" t="s">
        <v>20816</v>
      </c>
      <c r="J10688" t="str">
        <f>HYPERLINK("https://www.boe.es/gazeta/dias/1822/01/14/pdfs/GMD-1822-14.pdf#page=2","Abrir facsímil")</f>
        <v>Abrir facsímil</v>
      </c>
      <c r="K10688" t="s">
        <v>22</v>
      </c>
    </row>
    <row r="10689" spans="1:11" ht="42" customHeight="1">
      <c r="A10689" t="s">
        <v>20813</v>
      </c>
      <c r="B10689" t="s">
        <v>20814</v>
      </c>
      <c r="C10689" t="s">
        <v>28</v>
      </c>
      <c r="D10689" t="s">
        <v>29</v>
      </c>
      <c r="E10689" s="6">
        <v>-28451</v>
      </c>
      <c r="F10689" t="s">
        <v>1674</v>
      </c>
      <c r="G10689" t="s">
        <v>35</v>
      </c>
      <c r="H10689" t="s">
        <v>20</v>
      </c>
      <c r="I10689" t="s">
        <v>20817</v>
      </c>
      <c r="J10689" t="str">
        <f>HYPERLINK("https://www.boe.es/gazeta/dias/1822/02/06/pdfs/GMD-1822-37.pdf#page=2","Abrir facsímil")</f>
        <v>Abrir facsímil</v>
      </c>
      <c r="K10689" t="s">
        <v>22</v>
      </c>
    </row>
    <row r="10690" spans="1:11" ht="42" customHeight="1">
      <c r="A10690" t="s">
        <v>20813</v>
      </c>
      <c r="B10690" t="s">
        <v>20814</v>
      </c>
      <c r="C10690" t="s">
        <v>28</v>
      </c>
      <c r="D10690" t="s">
        <v>29</v>
      </c>
      <c r="E10690" s="6">
        <v>-28447</v>
      </c>
      <c r="F10690" t="s">
        <v>997</v>
      </c>
      <c r="G10690" t="s">
        <v>35</v>
      </c>
      <c r="H10690" t="s">
        <v>20</v>
      </c>
      <c r="I10690" t="s">
        <v>20818</v>
      </c>
      <c r="J10690" t="str">
        <f>HYPERLINK("https://www.boe.es/gazeta/dias/1822/02/10/pdfs/GMD-1822-41.pdf#page=2","Abrir facsímil")</f>
        <v>Abrir facsímil</v>
      </c>
      <c r="K10690" t="s">
        <v>22</v>
      </c>
    </row>
    <row r="10691" spans="1:11" ht="42" customHeight="1">
      <c r="A10691" t="s">
        <v>20813</v>
      </c>
      <c r="B10691" t="s">
        <v>20814</v>
      </c>
      <c r="C10691" t="s">
        <v>71</v>
      </c>
      <c r="D10691" t="s">
        <v>17</v>
      </c>
      <c r="E10691" s="6">
        <v>-28446</v>
      </c>
      <c r="F10691" t="s">
        <v>773</v>
      </c>
      <c r="G10691" t="s">
        <v>57</v>
      </c>
      <c r="H10691" t="s">
        <v>20</v>
      </c>
      <c r="I10691" t="s">
        <v>20819</v>
      </c>
      <c r="J10691" t="str">
        <f>HYPERLINK("https://www.boe.es/gazeta/dias/1822/02/11/pdfs/GMD-1822-42.pdf#page=4","Abrir facsímil")</f>
        <v>Abrir facsímil</v>
      </c>
      <c r="K10691" t="s">
        <v>22</v>
      </c>
    </row>
    <row r="10692" spans="1:11" ht="42" customHeight="1">
      <c r="A10692" t="s">
        <v>20820</v>
      </c>
      <c r="B10692" t="s">
        <v>20821</v>
      </c>
      <c r="C10692" t="s">
        <v>50</v>
      </c>
      <c r="D10692" t="s">
        <v>51</v>
      </c>
      <c r="E10692" s="6">
        <v>-28228</v>
      </c>
      <c r="F10692" t="s">
        <v>718</v>
      </c>
      <c r="G10692" t="s">
        <v>719</v>
      </c>
      <c r="H10692" t="s">
        <v>45</v>
      </c>
      <c r="I10692" t="s">
        <v>20822</v>
      </c>
      <c r="J10692" t="str">
        <f>HYPERLINK("https://www.boe.es/gazeta/dias/1822/09/17/pdfs/GMD-1822-273.pdf#page=3","Abrir facsímil")</f>
        <v>Abrir facsímil</v>
      </c>
      <c r="K10692" t="s">
        <v>47</v>
      </c>
    </row>
    <row r="10693" spans="1:11" ht="42" customHeight="1">
      <c r="A10693" t="s">
        <v>20823</v>
      </c>
      <c r="B10693" t="s">
        <v>20823</v>
      </c>
      <c r="C10693" t="s">
        <v>50</v>
      </c>
      <c r="D10693" t="s">
        <v>51</v>
      </c>
      <c r="E10693" s="6">
        <v>-28358</v>
      </c>
      <c r="F10693" t="s">
        <v>211</v>
      </c>
      <c r="G10693" t="s">
        <v>35</v>
      </c>
      <c r="H10693" t="s">
        <v>20</v>
      </c>
      <c r="I10693" t="s">
        <v>20824</v>
      </c>
      <c r="J10693" t="str">
        <f>HYPERLINK("https://www.boe.es/gazeta/dias/1822/05/10/pdfs/GMD-1822-132.pdf#page=2","Abrir facsímil")</f>
        <v>Abrir facsímil</v>
      </c>
      <c r="K10693" t="s">
        <v>22</v>
      </c>
    </row>
    <row r="10694" spans="1:11" ht="42" customHeight="1">
      <c r="A10694" t="s">
        <v>20825</v>
      </c>
      <c r="B10694" t="s">
        <v>20825</v>
      </c>
      <c r="C10694" t="s">
        <v>71</v>
      </c>
      <c r="D10694" t="s">
        <v>17</v>
      </c>
      <c r="E10694" s="6">
        <v>-28450</v>
      </c>
      <c r="F10694" t="s">
        <v>1450</v>
      </c>
      <c r="G10694" t="s">
        <v>35</v>
      </c>
      <c r="H10694" t="s">
        <v>20</v>
      </c>
      <c r="I10694" t="s">
        <v>20826</v>
      </c>
      <c r="J10694" t="str">
        <f>HYPERLINK("https://www.boe.es/gazeta/dias/1822/02/07/pdfs/GMD-1822-38.pdf#page=2","Abrir facsímil")</f>
        <v>Abrir facsímil</v>
      </c>
      <c r="K10694" t="s">
        <v>22</v>
      </c>
    </row>
    <row r="10695" spans="1:11" ht="42" customHeight="1">
      <c r="A10695" t="s">
        <v>20827</v>
      </c>
      <c r="B10695" t="s">
        <v>20827</v>
      </c>
      <c r="C10695" t="s">
        <v>71</v>
      </c>
      <c r="D10695" t="s">
        <v>17</v>
      </c>
      <c r="E10695" s="6">
        <v>-28462</v>
      </c>
      <c r="F10695" t="s">
        <v>1099</v>
      </c>
      <c r="G10695" t="s">
        <v>35</v>
      </c>
      <c r="H10695" t="s">
        <v>20</v>
      </c>
      <c r="I10695" t="s">
        <v>20828</v>
      </c>
      <c r="J10695" t="str">
        <f>HYPERLINK("https://www.boe.es/gazeta/dias/1822/01/26/pdfs/GMD-1822-26.pdf#page=2","Abrir facsímil")</f>
        <v>Abrir facsímil</v>
      </c>
      <c r="K10695" t="s">
        <v>22</v>
      </c>
    </row>
    <row r="10696" spans="1:11" ht="42" customHeight="1">
      <c r="A10696" t="s">
        <v>20829</v>
      </c>
      <c r="B10696" t="s">
        <v>20829</v>
      </c>
      <c r="C10696" t="s">
        <v>50</v>
      </c>
      <c r="D10696" t="s">
        <v>51</v>
      </c>
      <c r="E10696" s="6">
        <v>-28447</v>
      </c>
      <c r="F10696" t="s">
        <v>997</v>
      </c>
      <c r="G10696" t="s">
        <v>35</v>
      </c>
      <c r="H10696" t="s">
        <v>20</v>
      </c>
      <c r="I10696" t="s">
        <v>20830</v>
      </c>
      <c r="J10696" t="str">
        <f>HYPERLINK("https://www.boe.es/gazeta/dias/1822/02/10/pdfs/GMD-1822-41.pdf#page=2","Abrir facsímil")</f>
        <v>Abrir facsímil</v>
      </c>
      <c r="K10696" t="s">
        <v>22</v>
      </c>
    </row>
    <row r="10697" spans="1:11" ht="42" customHeight="1">
      <c r="A10697" t="s">
        <v>20831</v>
      </c>
      <c r="B10697" t="s">
        <v>20832</v>
      </c>
      <c r="C10697" t="s">
        <v>16</v>
      </c>
      <c r="D10697" t="s">
        <v>17</v>
      </c>
      <c r="E10697" s="6">
        <v>-28391</v>
      </c>
      <c r="F10697" t="s">
        <v>378</v>
      </c>
      <c r="G10697" t="s">
        <v>63</v>
      </c>
      <c r="H10697" t="s">
        <v>20</v>
      </c>
      <c r="I10697" t="s">
        <v>20833</v>
      </c>
      <c r="J10697" t="str">
        <f>HYPERLINK("https://www.boe.es/gazeta/dias/1822/04/07/pdfs/GMD-1822-99.pdf#page=6","Abrir facsímil")</f>
        <v>Abrir facsímil</v>
      </c>
      <c r="K10697" t="s">
        <v>22</v>
      </c>
    </row>
    <row r="10698" spans="1:11" ht="42" customHeight="1">
      <c r="A10698" t="s">
        <v>20831</v>
      </c>
      <c r="B10698" t="s">
        <v>20832</v>
      </c>
      <c r="C10698" t="s">
        <v>42</v>
      </c>
      <c r="D10698" t="s">
        <v>17</v>
      </c>
      <c r="E10698" s="6">
        <v>-28371</v>
      </c>
      <c r="F10698" t="s">
        <v>401</v>
      </c>
      <c r="G10698" t="s">
        <v>63</v>
      </c>
      <c r="H10698" t="s">
        <v>20</v>
      </c>
      <c r="I10698" t="s">
        <v>20834</v>
      </c>
      <c r="J10698" t="str">
        <f>HYPERLINK("https://www.boe.es/gazeta/dias/1822/04/27/pdfs/GMD-1822-119.pdf#page=6","Abrir facsímil")</f>
        <v>Abrir facsímil</v>
      </c>
      <c r="K10698" t="s">
        <v>22</v>
      </c>
    </row>
    <row r="10699" spans="1:11" ht="42" customHeight="1">
      <c r="A10699" t="s">
        <v>20831</v>
      </c>
      <c r="B10699" t="s">
        <v>20832</v>
      </c>
      <c r="C10699" t="s">
        <v>42</v>
      </c>
      <c r="D10699" t="s">
        <v>17</v>
      </c>
      <c r="E10699" s="6">
        <v>-28365</v>
      </c>
      <c r="F10699" t="s">
        <v>506</v>
      </c>
      <c r="G10699" t="s">
        <v>2093</v>
      </c>
      <c r="H10699" t="s">
        <v>20</v>
      </c>
      <c r="I10699" t="s">
        <v>20835</v>
      </c>
      <c r="J10699" t="str">
        <f>HYPERLINK("https://www.boe.es/gazeta/dias/1822/05/03/pdfs/GMD-1822-125.pdf#page=6","Abrir facsímil")</f>
        <v>Abrir facsímil</v>
      </c>
      <c r="K10699" t="s">
        <v>22</v>
      </c>
    </row>
    <row r="10700" spans="1:11" ht="42" customHeight="1">
      <c r="A10700" t="s">
        <v>20831</v>
      </c>
      <c r="B10700" t="s">
        <v>20832</v>
      </c>
      <c r="C10700" t="s">
        <v>71</v>
      </c>
      <c r="D10700" t="s">
        <v>17</v>
      </c>
      <c r="E10700" s="6">
        <v>-28192</v>
      </c>
      <c r="F10700" t="s">
        <v>43</v>
      </c>
      <c r="G10700" t="s">
        <v>157</v>
      </c>
      <c r="H10700" t="s">
        <v>20</v>
      </c>
      <c r="I10700" t="s">
        <v>20836</v>
      </c>
      <c r="J10700" t="str">
        <f>HYPERLINK("https://www.boe.es/gazeta/dias/1822/10/23/pdfs/GMD-1822-310.pdf#page=8","Abrir facsímil")</f>
        <v>Abrir facsímil</v>
      </c>
      <c r="K10700" t="s">
        <v>22</v>
      </c>
    </row>
    <row r="10701" spans="1:11" ht="42" customHeight="1">
      <c r="A10701" t="s">
        <v>20837</v>
      </c>
      <c r="B10701" t="s">
        <v>20838</v>
      </c>
      <c r="C10701" t="s">
        <v>42</v>
      </c>
      <c r="D10701" t="s">
        <v>17</v>
      </c>
      <c r="E10701" s="6">
        <v>-28290</v>
      </c>
      <c r="F10701" t="s">
        <v>706</v>
      </c>
      <c r="G10701" t="s">
        <v>31</v>
      </c>
      <c r="H10701" t="s">
        <v>20</v>
      </c>
      <c r="I10701" t="s">
        <v>20839</v>
      </c>
      <c r="J10701" t="str">
        <f>HYPERLINK("https://www.boe.es/gazeta/dias/1822/07/17/pdfs/GMD-1822-207.pdf#page=3","Abrir facsímil")</f>
        <v>Abrir facsímil</v>
      </c>
      <c r="K10701" t="s">
        <v>22</v>
      </c>
    </row>
    <row r="10702" spans="1:11" ht="42" customHeight="1">
      <c r="A10702" t="s">
        <v>20840</v>
      </c>
      <c r="B10702" t="s">
        <v>20840</v>
      </c>
      <c r="C10702" t="s">
        <v>50</v>
      </c>
      <c r="D10702" t="s">
        <v>51</v>
      </c>
      <c r="E10702" s="6">
        <v>-28292</v>
      </c>
      <c r="F10702" t="s">
        <v>222</v>
      </c>
      <c r="G10702" t="s">
        <v>31</v>
      </c>
      <c r="H10702" t="s">
        <v>20</v>
      </c>
      <c r="I10702" t="s">
        <v>20841</v>
      </c>
      <c r="J10702" t="str">
        <f>HYPERLINK("https://www.boe.es/gazeta/dias/1822/07/15/pdfs/GMD-1822-205.pdf#page=3","Abrir facsímil")</f>
        <v>Abrir facsímil</v>
      </c>
      <c r="K10702" t="s">
        <v>22</v>
      </c>
    </row>
    <row r="10703" spans="1:11" ht="42" customHeight="1">
      <c r="A10703" t="s">
        <v>20842</v>
      </c>
      <c r="B10703" t="s">
        <v>20842</v>
      </c>
      <c r="C10703" t="s">
        <v>50</v>
      </c>
      <c r="D10703" t="s">
        <v>51</v>
      </c>
      <c r="E10703" s="6">
        <v>-28239</v>
      </c>
      <c r="F10703" t="s">
        <v>3154</v>
      </c>
      <c r="G10703" t="s">
        <v>35</v>
      </c>
      <c r="H10703" t="s">
        <v>20</v>
      </c>
      <c r="I10703" t="s">
        <v>20843</v>
      </c>
      <c r="J10703" t="str">
        <f>HYPERLINK("https://www.boe.es/gazeta/dias/1822/09/06/pdfs/GMD-1822-261.pdf#page=2","Abrir facsímil")</f>
        <v>Abrir facsímil</v>
      </c>
      <c r="K10703" t="s">
        <v>22</v>
      </c>
    </row>
    <row r="10704" spans="1:11" ht="42" customHeight="1">
      <c r="A10704" t="s">
        <v>20844</v>
      </c>
      <c r="B10704" t="s">
        <v>20845</v>
      </c>
      <c r="C10704" t="s">
        <v>28</v>
      </c>
      <c r="D10704" t="s">
        <v>29</v>
      </c>
      <c r="E10704" s="6">
        <v>-28292</v>
      </c>
      <c r="F10704" t="s">
        <v>222</v>
      </c>
      <c r="G10704" t="s">
        <v>35</v>
      </c>
      <c r="H10704" t="s">
        <v>45</v>
      </c>
      <c r="I10704" t="s">
        <v>20846</v>
      </c>
      <c r="J10704" t="str">
        <f>HYPERLINK("https://www.boe.es/gazeta/dias/1822/07/15/pdfs/GMD-1822-205.pdf#page=2","Abrir facsímil")</f>
        <v>Abrir facsímil</v>
      </c>
      <c r="K10704" t="s">
        <v>47</v>
      </c>
    </row>
    <row r="10705" spans="1:11" ht="42" customHeight="1">
      <c r="A10705" t="s">
        <v>20847</v>
      </c>
      <c r="B10705" t="s">
        <v>20848</v>
      </c>
      <c r="C10705" t="s">
        <v>50</v>
      </c>
      <c r="D10705" t="s">
        <v>51</v>
      </c>
      <c r="E10705" s="6">
        <v>-28137</v>
      </c>
      <c r="F10705" t="s">
        <v>312</v>
      </c>
      <c r="G10705" t="s">
        <v>63</v>
      </c>
      <c r="H10705" t="s">
        <v>20</v>
      </c>
      <c r="I10705" t="s">
        <v>20849</v>
      </c>
      <c r="J10705" t="str">
        <f>HYPERLINK("https://www.boe.es/gazeta/dias/1822/12/17/pdfs/GMD-1822-367.pdf#page=6","Abrir facsímil")</f>
        <v>Abrir facsímil</v>
      </c>
      <c r="K10705" t="s">
        <v>22</v>
      </c>
    </row>
    <row r="10706" spans="1:11" ht="42" customHeight="1">
      <c r="A10706" t="s">
        <v>20850</v>
      </c>
      <c r="B10706" t="s">
        <v>20851</v>
      </c>
      <c r="C10706" t="s">
        <v>28</v>
      </c>
      <c r="D10706" t="s">
        <v>29</v>
      </c>
      <c r="E10706" s="6">
        <v>-28161</v>
      </c>
      <c r="F10706" t="s">
        <v>166</v>
      </c>
      <c r="G10706" t="s">
        <v>157</v>
      </c>
      <c r="H10706" t="s">
        <v>20</v>
      </c>
      <c r="I10706" t="s">
        <v>20852</v>
      </c>
      <c r="J10706" t="str">
        <f>HYPERLINK("https://www.boe.es/gazeta/dias/1822/11/23/pdfs/GMD-1822-343.pdf#page=8","Abrir facsímil")</f>
        <v>Abrir facsímil</v>
      </c>
      <c r="K10706" t="s">
        <v>22</v>
      </c>
    </row>
    <row r="10707" spans="1:11" ht="42" customHeight="1">
      <c r="A10707" t="s">
        <v>20853</v>
      </c>
      <c r="B10707" t="s">
        <v>20853</v>
      </c>
      <c r="C10707" t="s">
        <v>71</v>
      </c>
      <c r="D10707" t="s">
        <v>17</v>
      </c>
      <c r="E10707" s="6">
        <v>-28459</v>
      </c>
      <c r="F10707" t="s">
        <v>1102</v>
      </c>
      <c r="G10707" t="s">
        <v>35</v>
      </c>
      <c r="H10707" t="s">
        <v>20</v>
      </c>
      <c r="I10707" t="s">
        <v>20854</v>
      </c>
      <c r="J10707" t="str">
        <f>HYPERLINK("https://www.boe.es/gazeta/dias/1822/01/29/pdfs/GMD-1822-29.pdf#page=2","Abrir facsímil")</f>
        <v>Abrir facsímil</v>
      </c>
      <c r="K10707" t="s">
        <v>22</v>
      </c>
    </row>
    <row r="10708" spans="1:11" ht="42" customHeight="1">
      <c r="A10708" t="s">
        <v>20855</v>
      </c>
      <c r="B10708" t="s">
        <v>20855</v>
      </c>
      <c r="C10708" t="s">
        <v>50</v>
      </c>
      <c r="D10708" t="s">
        <v>51</v>
      </c>
      <c r="E10708" s="6">
        <v>-28150</v>
      </c>
      <c r="F10708" t="s">
        <v>62</v>
      </c>
      <c r="G10708" t="s">
        <v>31</v>
      </c>
      <c r="H10708" t="s">
        <v>20</v>
      </c>
      <c r="I10708" t="s">
        <v>20856</v>
      </c>
      <c r="J10708" t="str">
        <f>HYPERLINK("https://www.boe.es/gazeta/dias/1822/12/04/pdfs/GMD-1822-354.pdf#page=3","Abrir facsímil")</f>
        <v>Abrir facsímil</v>
      </c>
      <c r="K10708" t="s">
        <v>22</v>
      </c>
    </row>
    <row r="10709" spans="1:11" ht="42" customHeight="1">
      <c r="A10709" t="s">
        <v>20857</v>
      </c>
      <c r="B10709" t="s">
        <v>20857</v>
      </c>
      <c r="C10709" t="s">
        <v>24</v>
      </c>
      <c r="D10709" t="s">
        <v>17</v>
      </c>
      <c r="E10709" s="6">
        <v>-28150</v>
      </c>
      <c r="F10709" t="s">
        <v>62</v>
      </c>
      <c r="G10709" t="s">
        <v>31</v>
      </c>
      <c r="H10709" t="s">
        <v>20</v>
      </c>
      <c r="I10709" t="s">
        <v>20858</v>
      </c>
      <c r="J10709" t="str">
        <f>HYPERLINK("https://www.boe.es/gazeta/dias/1822/12/04/pdfs/GMD-1822-354.pdf#page=3","Abrir facsímil")</f>
        <v>Abrir facsímil</v>
      </c>
      <c r="K10709" t="s">
        <v>22</v>
      </c>
    </row>
    <row r="10710" spans="1:11" ht="42" customHeight="1">
      <c r="A10710" t="s">
        <v>20859</v>
      </c>
      <c r="B10710" t="s">
        <v>20859</v>
      </c>
      <c r="C10710" t="s">
        <v>28</v>
      </c>
      <c r="D10710" t="s">
        <v>29</v>
      </c>
      <c r="E10710" s="6">
        <v>-28459</v>
      </c>
      <c r="F10710" t="s">
        <v>1102</v>
      </c>
      <c r="G10710" t="s">
        <v>35</v>
      </c>
      <c r="H10710" t="s">
        <v>20</v>
      </c>
      <c r="I10710" t="s">
        <v>20860</v>
      </c>
      <c r="J10710" t="str">
        <f>HYPERLINK("https://www.boe.es/gazeta/dias/1822/01/29/pdfs/GMD-1822-29.pdf#page=2","Abrir facsímil")</f>
        <v>Abrir facsímil</v>
      </c>
      <c r="K10710" t="s">
        <v>22</v>
      </c>
    </row>
    <row r="10711" spans="1:11" ht="42" customHeight="1">
      <c r="A10711" t="s">
        <v>20861</v>
      </c>
      <c r="B10711" t="s">
        <v>20861</v>
      </c>
      <c r="C10711" t="s">
        <v>42</v>
      </c>
      <c r="D10711" t="s">
        <v>17</v>
      </c>
      <c r="E10711" s="6">
        <v>-28464</v>
      </c>
      <c r="F10711" t="s">
        <v>1447</v>
      </c>
      <c r="G10711" t="s">
        <v>35</v>
      </c>
      <c r="H10711" t="s">
        <v>20</v>
      </c>
      <c r="I10711" t="s">
        <v>20862</v>
      </c>
      <c r="J10711" t="str">
        <f>HYPERLINK("https://www.boe.es/gazeta/dias/1822/01/24/pdfs/GMD-1822-24.pdf#page=2","Abrir facsímil")</f>
        <v>Abrir facsímil</v>
      </c>
      <c r="K10711" t="s">
        <v>22</v>
      </c>
    </row>
    <row r="10712" spans="1:11" ht="42" customHeight="1">
      <c r="A10712" t="s">
        <v>20861</v>
      </c>
      <c r="B10712" t="s">
        <v>20861</v>
      </c>
      <c r="C10712" t="s">
        <v>71</v>
      </c>
      <c r="D10712" t="s">
        <v>17</v>
      </c>
      <c r="E10712" s="6">
        <v>-28461</v>
      </c>
      <c r="F10712" t="s">
        <v>1801</v>
      </c>
      <c r="G10712" t="s">
        <v>35</v>
      </c>
      <c r="H10712" t="s">
        <v>20</v>
      </c>
      <c r="I10712" t="s">
        <v>20863</v>
      </c>
      <c r="J10712" t="str">
        <f>HYPERLINK("https://www.boe.es/gazeta/dias/1822/01/27/pdfs/GMD-1822-27.pdf#page=2","Abrir facsímil")</f>
        <v>Abrir facsímil</v>
      </c>
      <c r="K10712" t="s">
        <v>22</v>
      </c>
    </row>
    <row r="10713" spans="1:11" ht="42" customHeight="1">
      <c r="A10713" t="s">
        <v>20861</v>
      </c>
      <c r="B10713" t="s">
        <v>20861</v>
      </c>
      <c r="C10713" t="s">
        <v>1141</v>
      </c>
      <c r="D10713" t="s">
        <v>29</v>
      </c>
      <c r="E10713" s="6">
        <v>-28455</v>
      </c>
      <c r="F10713" t="s">
        <v>1107</v>
      </c>
      <c r="G10713" t="s">
        <v>35</v>
      </c>
      <c r="H10713" t="s">
        <v>20</v>
      </c>
      <c r="I10713" t="s">
        <v>20864</v>
      </c>
      <c r="J10713" t="str">
        <f>HYPERLINK("https://www.boe.es/gazeta/dias/1822/02/02/pdfs/GMD-1822-33.pdf#page=2","Abrir facsímil")</f>
        <v>Abrir facsímil</v>
      </c>
      <c r="K10713" t="s">
        <v>22</v>
      </c>
    </row>
    <row r="10714" spans="1:11" ht="42" customHeight="1">
      <c r="A10714" t="s">
        <v>20861</v>
      </c>
      <c r="B10714" t="s">
        <v>20861</v>
      </c>
      <c r="C10714" t="s">
        <v>42</v>
      </c>
      <c r="D10714" t="s">
        <v>17</v>
      </c>
      <c r="E10714" s="6">
        <v>-28454</v>
      </c>
      <c r="F10714" t="s">
        <v>2033</v>
      </c>
      <c r="G10714" t="s">
        <v>57</v>
      </c>
      <c r="H10714" t="s">
        <v>20</v>
      </c>
      <c r="I10714" t="s">
        <v>20865</v>
      </c>
      <c r="J10714" t="str">
        <f>HYPERLINK("https://www.boe.es/gazeta/dias/1822/02/03/pdfs/GMD-1822-34.pdf#page=4","Abrir facsímil")</f>
        <v>Abrir facsímil</v>
      </c>
      <c r="K10714" t="s">
        <v>22</v>
      </c>
    </row>
    <row r="10715" spans="1:11" ht="42" customHeight="1">
      <c r="A10715" t="s">
        <v>20861</v>
      </c>
      <c r="B10715" t="s">
        <v>20861</v>
      </c>
      <c r="C10715" t="s">
        <v>50</v>
      </c>
      <c r="D10715" t="s">
        <v>51</v>
      </c>
      <c r="E10715" s="6">
        <v>-28447</v>
      </c>
      <c r="F10715" t="s">
        <v>997</v>
      </c>
      <c r="G10715" t="s">
        <v>35</v>
      </c>
      <c r="H10715" t="s">
        <v>20</v>
      </c>
      <c r="I10715" t="s">
        <v>20866</v>
      </c>
      <c r="J10715" t="str">
        <f>HYPERLINK("https://www.boe.es/gazeta/dias/1822/02/10/pdfs/GMD-1822-41.pdf#page=2","Abrir facsímil")</f>
        <v>Abrir facsímil</v>
      </c>
      <c r="K10715" t="s">
        <v>22</v>
      </c>
    </row>
    <row r="10716" spans="1:11" ht="42" customHeight="1">
      <c r="A10716" t="s">
        <v>20861</v>
      </c>
      <c r="B10716" t="s">
        <v>20861</v>
      </c>
      <c r="C10716" t="s">
        <v>42</v>
      </c>
      <c r="D10716" t="s">
        <v>17</v>
      </c>
      <c r="E10716" s="6">
        <v>-28446</v>
      </c>
      <c r="F10716" t="s">
        <v>773</v>
      </c>
      <c r="G10716" t="s">
        <v>57</v>
      </c>
      <c r="H10716" t="s">
        <v>20</v>
      </c>
      <c r="I10716" t="s">
        <v>20867</v>
      </c>
      <c r="J10716" t="str">
        <f>HYPERLINK("https://www.boe.es/gazeta/dias/1822/02/11/pdfs/GMD-1822-42.pdf#page=4","Abrir facsímil")</f>
        <v>Abrir facsímil</v>
      </c>
      <c r="K10716" t="s">
        <v>22</v>
      </c>
    </row>
    <row r="10717" spans="1:11" ht="42" customHeight="1">
      <c r="A10717" t="s">
        <v>20861</v>
      </c>
      <c r="B10717" t="s">
        <v>20861</v>
      </c>
      <c r="C10717" t="s">
        <v>50</v>
      </c>
      <c r="D10717" t="s">
        <v>51</v>
      </c>
      <c r="E10717" s="6">
        <v>-28444</v>
      </c>
      <c r="F10717" t="s">
        <v>681</v>
      </c>
      <c r="G10717" t="s">
        <v>57</v>
      </c>
      <c r="H10717" t="s">
        <v>20</v>
      </c>
      <c r="I10717" t="s">
        <v>20868</v>
      </c>
      <c r="J10717" t="str">
        <f>HYPERLINK("https://www.boe.es/gazeta/dias/1822/02/13/pdfs/GMD-1822-44.pdf#page=4","Abrir facsímil")</f>
        <v>Abrir facsímil</v>
      </c>
      <c r="K10717" t="s">
        <v>22</v>
      </c>
    </row>
    <row r="10718" spans="1:11" ht="42" customHeight="1">
      <c r="A10718" t="s">
        <v>20861</v>
      </c>
      <c r="B10718" t="s">
        <v>20861</v>
      </c>
      <c r="C10718" t="s">
        <v>71</v>
      </c>
      <c r="D10718" t="s">
        <v>17</v>
      </c>
      <c r="E10718" s="6">
        <v>-28156</v>
      </c>
      <c r="F10718" t="s">
        <v>1568</v>
      </c>
      <c r="G10718" t="s">
        <v>35</v>
      </c>
      <c r="H10718" t="s">
        <v>20</v>
      </c>
      <c r="I10718" t="s">
        <v>20869</v>
      </c>
      <c r="J10718" t="str">
        <f>HYPERLINK("https://www.boe.es/gazeta/dias/1822/11/28/pdfs/GMD-1822-348.pdf#page=2","Abrir facsímil")</f>
        <v>Abrir facsímil</v>
      </c>
      <c r="K10718" t="s">
        <v>22</v>
      </c>
    </row>
    <row r="10719" spans="1:11" ht="42" customHeight="1">
      <c r="A10719" t="s">
        <v>20861</v>
      </c>
      <c r="B10719" t="s">
        <v>20861</v>
      </c>
      <c r="C10719" t="s">
        <v>42</v>
      </c>
      <c r="D10719" t="s">
        <v>17</v>
      </c>
      <c r="E10719" s="6">
        <v>-28156</v>
      </c>
      <c r="F10719" t="s">
        <v>1568</v>
      </c>
      <c r="G10719" t="s">
        <v>31</v>
      </c>
      <c r="H10719" t="s">
        <v>20</v>
      </c>
      <c r="I10719" t="s">
        <v>20870</v>
      </c>
      <c r="J10719" t="str">
        <f>HYPERLINK("https://www.boe.es/gazeta/dias/1822/11/28/pdfs/GMD-1822-348.pdf#page=3","Abrir facsímil")</f>
        <v>Abrir facsímil</v>
      </c>
      <c r="K10719" t="s">
        <v>22</v>
      </c>
    </row>
    <row r="10720" spans="1:11" ht="42" customHeight="1">
      <c r="A10720" t="s">
        <v>20861</v>
      </c>
      <c r="B10720" t="s">
        <v>20861</v>
      </c>
      <c r="C10720" t="s">
        <v>28</v>
      </c>
      <c r="D10720" t="s">
        <v>29</v>
      </c>
      <c r="E10720" s="6">
        <v>-28154</v>
      </c>
      <c r="F10720" t="s">
        <v>2321</v>
      </c>
      <c r="G10720" t="s">
        <v>44</v>
      </c>
      <c r="H10720" t="s">
        <v>20</v>
      </c>
      <c r="I10720" t="s">
        <v>20871</v>
      </c>
      <c r="J10720" t="str">
        <f>HYPERLINK("https://www.boe.es/gazeta/dias/1822/11/30/pdfs/GMD-1822-350.pdf#page=1","Abrir facsímil")</f>
        <v>Abrir facsímil</v>
      </c>
      <c r="K10720" t="s">
        <v>22</v>
      </c>
    </row>
    <row r="10721" spans="1:11" ht="42" customHeight="1">
      <c r="A10721" t="s">
        <v>20861</v>
      </c>
      <c r="B10721" t="s">
        <v>20861</v>
      </c>
      <c r="C10721" t="s">
        <v>24</v>
      </c>
      <c r="D10721" t="s">
        <v>17</v>
      </c>
      <c r="E10721" s="6">
        <v>-28150</v>
      </c>
      <c r="F10721" t="s">
        <v>62</v>
      </c>
      <c r="G10721" t="s">
        <v>31</v>
      </c>
      <c r="H10721" t="s">
        <v>20</v>
      </c>
      <c r="I10721" t="s">
        <v>20872</v>
      </c>
      <c r="J10721" t="str">
        <f>HYPERLINK("https://www.boe.es/gazeta/dias/1822/12/04/pdfs/GMD-1822-354.pdf#page=3","Abrir facsímil")</f>
        <v>Abrir facsímil</v>
      </c>
      <c r="K10721" t="s">
        <v>22</v>
      </c>
    </row>
    <row r="10722" spans="1:11" ht="42" customHeight="1">
      <c r="A10722" t="s">
        <v>20873</v>
      </c>
      <c r="B10722" t="s">
        <v>20874</v>
      </c>
      <c r="C10722" t="s">
        <v>42</v>
      </c>
      <c r="D10722" t="s">
        <v>17</v>
      </c>
      <c r="E10722" s="6">
        <v>-28292</v>
      </c>
      <c r="F10722" t="s">
        <v>222</v>
      </c>
      <c r="G10722" t="s">
        <v>31</v>
      </c>
      <c r="H10722" t="s">
        <v>45</v>
      </c>
      <c r="I10722" t="s">
        <v>20875</v>
      </c>
      <c r="J10722" t="str">
        <f>HYPERLINK("https://www.boe.es/gazeta/dias/1822/07/15/pdfs/GMD-1822-205.pdf#page=3","Abrir facsímil")</f>
        <v>Abrir facsímil</v>
      </c>
      <c r="K10722" t="s">
        <v>47</v>
      </c>
    </row>
    <row r="10723" spans="1:11" ht="42" customHeight="1">
      <c r="A10723" t="s">
        <v>20876</v>
      </c>
      <c r="B10723" t="s">
        <v>20877</v>
      </c>
      <c r="C10723" t="s">
        <v>50</v>
      </c>
      <c r="D10723" t="s">
        <v>51</v>
      </c>
      <c r="E10723" s="6">
        <v>-28298</v>
      </c>
      <c r="F10723" t="s">
        <v>6405</v>
      </c>
      <c r="G10723" t="s">
        <v>57</v>
      </c>
      <c r="H10723" t="s">
        <v>20</v>
      </c>
      <c r="I10723" t="s">
        <v>20878</v>
      </c>
      <c r="J10723" t="str">
        <f>HYPERLINK("https://www.boe.es/gazeta/dias/1822/07/09/pdfs/GMD-1822-199.pdf#page=4","Abrir facsímil")</f>
        <v>Abrir facsímil</v>
      </c>
      <c r="K10723" t="s">
        <v>22</v>
      </c>
    </row>
    <row r="10724" spans="1:11" ht="42" customHeight="1">
      <c r="A10724" t="s">
        <v>20876</v>
      </c>
      <c r="B10724" t="s">
        <v>20877</v>
      </c>
      <c r="C10724" t="s">
        <v>50</v>
      </c>
      <c r="D10724" t="s">
        <v>51</v>
      </c>
      <c r="E10724" s="6">
        <v>-28290</v>
      </c>
      <c r="F10724" t="s">
        <v>706</v>
      </c>
      <c r="G10724" t="s">
        <v>35</v>
      </c>
      <c r="H10724" t="s">
        <v>20</v>
      </c>
      <c r="I10724" t="s">
        <v>20879</v>
      </c>
      <c r="J10724" t="str">
        <f>HYPERLINK("https://www.boe.es/gazeta/dias/1822/07/17/pdfs/GMD-1822-207.pdf#page=2","Abrir facsímil")</f>
        <v>Abrir facsímil</v>
      </c>
      <c r="K10724" t="s">
        <v>22</v>
      </c>
    </row>
    <row r="10725" spans="1:11" ht="42" customHeight="1">
      <c r="A10725" t="s">
        <v>20876</v>
      </c>
      <c r="B10725" t="s">
        <v>20877</v>
      </c>
      <c r="C10725" t="s">
        <v>50</v>
      </c>
      <c r="D10725" t="s">
        <v>51</v>
      </c>
      <c r="E10725" s="6">
        <v>-28230</v>
      </c>
      <c r="F10725" t="s">
        <v>1735</v>
      </c>
      <c r="G10725" t="s">
        <v>57</v>
      </c>
      <c r="H10725" t="s">
        <v>20</v>
      </c>
      <c r="I10725" t="s">
        <v>20880</v>
      </c>
      <c r="J10725" t="str">
        <f>HYPERLINK("https://www.boe.es/gazeta/dias/1822/09/15/pdfs/GMD-1822-271.pdf#page=4","Abrir facsímil")</f>
        <v>Abrir facsímil</v>
      </c>
      <c r="K10725" t="s">
        <v>22</v>
      </c>
    </row>
    <row r="10726" spans="1:11" ht="42" customHeight="1">
      <c r="A10726" t="s">
        <v>20881</v>
      </c>
      <c r="B10726" t="s">
        <v>20881</v>
      </c>
      <c r="C10726" t="s">
        <v>24</v>
      </c>
      <c r="D10726" t="s">
        <v>17</v>
      </c>
      <c r="E10726" s="6">
        <v>-28445</v>
      </c>
      <c r="F10726" t="s">
        <v>1622</v>
      </c>
      <c r="G10726" t="s">
        <v>57</v>
      </c>
      <c r="H10726" t="s">
        <v>20</v>
      </c>
      <c r="I10726" t="s">
        <v>20882</v>
      </c>
      <c r="J10726" t="str">
        <f>HYPERLINK("https://www.boe.es/gazeta/dias/1822/02/12/pdfs/GMD-1822-43.pdf#page=4","Abrir facsímil")</f>
        <v>Abrir facsímil</v>
      </c>
      <c r="K10726" t="s">
        <v>22</v>
      </c>
    </row>
    <row r="10727" spans="1:11" ht="42" customHeight="1">
      <c r="A10727" t="s">
        <v>20883</v>
      </c>
      <c r="B10727" t="s">
        <v>20884</v>
      </c>
      <c r="C10727" t="s">
        <v>50</v>
      </c>
      <c r="D10727" t="s">
        <v>51</v>
      </c>
      <c r="E10727" s="6">
        <v>-28238</v>
      </c>
      <c r="F10727" t="s">
        <v>2077</v>
      </c>
      <c r="G10727" t="s">
        <v>35</v>
      </c>
      <c r="H10727" t="s">
        <v>20</v>
      </c>
      <c r="I10727" t="s">
        <v>20885</v>
      </c>
      <c r="J10727" t="str">
        <f>HYPERLINK("https://www.boe.es/gazeta/dias/1822/09/07/pdfs/GMD-1822-262.pdf#page=2","Abrir facsímil")</f>
        <v>Abrir facsímil</v>
      </c>
      <c r="K10727" t="s">
        <v>22</v>
      </c>
    </row>
    <row r="10728" spans="1:11" ht="42" customHeight="1">
      <c r="A10728" t="s">
        <v>20886</v>
      </c>
      <c r="B10728" t="s">
        <v>20887</v>
      </c>
      <c r="C10728" t="s">
        <v>28</v>
      </c>
      <c r="D10728" t="s">
        <v>29</v>
      </c>
      <c r="E10728" s="6">
        <v>-28339</v>
      </c>
      <c r="F10728" t="s">
        <v>197</v>
      </c>
      <c r="G10728" t="s">
        <v>63</v>
      </c>
      <c r="H10728" t="s">
        <v>20</v>
      </c>
      <c r="I10728" t="s">
        <v>20888</v>
      </c>
      <c r="J10728" t="str">
        <f>HYPERLINK("https://www.boe.es/gazeta/dias/1822/05/29/pdfs/GMD-1822-154.pdf#page=6","Abrir facsímil")</f>
        <v>Abrir facsímil</v>
      </c>
      <c r="K10728" t="s">
        <v>22</v>
      </c>
    </row>
    <row r="10729" spans="1:11" ht="42" customHeight="1">
      <c r="A10729" t="s">
        <v>20889</v>
      </c>
      <c r="B10729" t="s">
        <v>20890</v>
      </c>
      <c r="C10729" t="s">
        <v>61</v>
      </c>
      <c r="D10729" t="s">
        <v>17</v>
      </c>
      <c r="E10729" s="6">
        <v>-28469</v>
      </c>
      <c r="F10729" t="s">
        <v>1164</v>
      </c>
      <c r="G10729" t="s">
        <v>57</v>
      </c>
      <c r="H10729" t="s">
        <v>20</v>
      </c>
      <c r="I10729" t="s">
        <v>20891</v>
      </c>
      <c r="J10729" t="str">
        <f>HYPERLINK("https://www.boe.es/gazeta/dias/1822/01/19/pdfs/GMD-1822-19.pdf#page=4","Abrir facsímil")</f>
        <v>Abrir facsímil</v>
      </c>
      <c r="K10729" t="s">
        <v>22</v>
      </c>
    </row>
    <row r="10730" spans="1:11" ht="42" customHeight="1">
      <c r="A10730" t="s">
        <v>20892</v>
      </c>
      <c r="B10730" t="s">
        <v>20893</v>
      </c>
      <c r="C10730" t="s">
        <v>50</v>
      </c>
      <c r="D10730" t="s">
        <v>51</v>
      </c>
      <c r="E10730" s="6">
        <v>-28289</v>
      </c>
      <c r="F10730" t="s">
        <v>390</v>
      </c>
      <c r="G10730" t="s">
        <v>35</v>
      </c>
      <c r="H10730" t="s">
        <v>20</v>
      </c>
      <c r="I10730" t="s">
        <v>20894</v>
      </c>
      <c r="J10730" t="str">
        <f>HYPERLINK("https://www.boe.es/gazeta/dias/1822/07/18/pdfs/GMD-1822-209.pdf#page=2","Abrir facsímil")</f>
        <v>Abrir facsímil</v>
      </c>
      <c r="K10730" t="s">
        <v>22</v>
      </c>
    </row>
    <row r="10731" spans="1:11" ht="42" customHeight="1">
      <c r="A10731" t="s">
        <v>20895</v>
      </c>
      <c r="B10731" t="s">
        <v>20895</v>
      </c>
      <c r="C10731" t="s">
        <v>50</v>
      </c>
      <c r="D10731" t="s">
        <v>51</v>
      </c>
      <c r="E10731" s="6">
        <v>-28419</v>
      </c>
      <c r="F10731" t="s">
        <v>1392</v>
      </c>
      <c r="G10731" t="s">
        <v>35</v>
      </c>
      <c r="H10731" t="s">
        <v>20</v>
      </c>
      <c r="I10731" t="s">
        <v>20896</v>
      </c>
      <c r="J10731" t="str">
        <f>HYPERLINK("https://www.boe.es/gazeta/dias/1822/03/10/pdfs/GMD-1822-71.pdf#page=2","Abrir facsímil")</f>
        <v>Abrir facsímil</v>
      </c>
      <c r="K10731" t="s">
        <v>22</v>
      </c>
    </row>
    <row r="10732" spans="1:11" ht="42" customHeight="1">
      <c r="A10732" t="s">
        <v>20897</v>
      </c>
      <c r="B10732" t="s">
        <v>20898</v>
      </c>
      <c r="C10732" t="s">
        <v>61</v>
      </c>
      <c r="D10732" t="s">
        <v>17</v>
      </c>
      <c r="E10732" s="6">
        <v>-28225</v>
      </c>
      <c r="F10732" t="s">
        <v>177</v>
      </c>
      <c r="G10732" t="s">
        <v>35</v>
      </c>
      <c r="H10732" t="s">
        <v>45</v>
      </c>
      <c r="I10732" t="s">
        <v>20899</v>
      </c>
      <c r="J10732" t="str">
        <f>HYPERLINK("https://www.boe.es/gazeta/dias/1822/09/20/pdfs/GMD-1822-276.pdf#page=2","Abrir facsímil")</f>
        <v>Abrir facsímil</v>
      </c>
      <c r="K10732" t="s">
        <v>47</v>
      </c>
    </row>
    <row r="10733" spans="1:11" ht="42" customHeight="1">
      <c r="A10733" t="s">
        <v>20900</v>
      </c>
      <c r="B10733" t="s">
        <v>20900</v>
      </c>
      <c r="C10733" t="s">
        <v>50</v>
      </c>
      <c r="D10733" t="s">
        <v>51</v>
      </c>
      <c r="E10733" s="6">
        <v>-28427</v>
      </c>
      <c r="F10733" t="s">
        <v>755</v>
      </c>
      <c r="G10733" t="s">
        <v>44</v>
      </c>
      <c r="H10733" t="s">
        <v>20</v>
      </c>
      <c r="I10733" t="s">
        <v>20901</v>
      </c>
      <c r="J10733" t="str">
        <f>HYPERLINK("https://www.boe.es/gazeta/dias/1822/03/02/pdfs/GMD-1822-63.pdf#page=1","Abrir facsímil")</f>
        <v>Abrir facsímil</v>
      </c>
      <c r="K10733" t="s">
        <v>22</v>
      </c>
    </row>
    <row r="10734" spans="1:11" ht="42" customHeight="1">
      <c r="A10734" t="s">
        <v>20900</v>
      </c>
      <c r="B10734" t="s">
        <v>20900</v>
      </c>
      <c r="C10734" t="s">
        <v>50</v>
      </c>
      <c r="D10734" t="s">
        <v>51</v>
      </c>
      <c r="E10734" s="6">
        <v>-28206</v>
      </c>
      <c r="F10734" t="s">
        <v>562</v>
      </c>
      <c r="G10734" t="s">
        <v>31</v>
      </c>
      <c r="H10734" t="s">
        <v>20</v>
      </c>
      <c r="I10734" t="s">
        <v>20902</v>
      </c>
      <c r="J10734" t="str">
        <f>HYPERLINK("https://www.boe.es/gazeta/dias/1822/10/09/pdfs/GMD-1822-296.pdf#page=3","Abrir facsímil")</f>
        <v>Abrir facsímil</v>
      </c>
      <c r="K10734" t="s">
        <v>22</v>
      </c>
    </row>
    <row r="10735" spans="1:11" ht="42" customHeight="1">
      <c r="A10735" t="s">
        <v>20903</v>
      </c>
      <c r="B10735" t="s">
        <v>20903</v>
      </c>
      <c r="C10735" t="s">
        <v>71</v>
      </c>
      <c r="D10735" t="s">
        <v>17</v>
      </c>
      <c r="E10735" s="6">
        <v>-28156</v>
      </c>
      <c r="F10735" t="s">
        <v>1568</v>
      </c>
      <c r="G10735" t="s">
        <v>35</v>
      </c>
      <c r="H10735" t="s">
        <v>20</v>
      </c>
      <c r="I10735" t="s">
        <v>20904</v>
      </c>
      <c r="J10735" t="str">
        <f>HYPERLINK("https://www.boe.es/gazeta/dias/1822/11/28/pdfs/GMD-1822-348.pdf#page=2","Abrir facsímil")</f>
        <v>Abrir facsímil</v>
      </c>
      <c r="K10735" t="s">
        <v>22</v>
      </c>
    </row>
    <row r="10736" spans="1:11" ht="42" customHeight="1">
      <c r="A10736" t="s">
        <v>20905</v>
      </c>
      <c r="B10736" t="s">
        <v>20906</v>
      </c>
      <c r="C10736" t="s">
        <v>28</v>
      </c>
      <c r="D10736" t="s">
        <v>29</v>
      </c>
      <c r="E10736" s="6">
        <v>-28386</v>
      </c>
      <c r="F10736" t="s">
        <v>2993</v>
      </c>
      <c r="G10736" t="s">
        <v>57</v>
      </c>
      <c r="H10736" t="s">
        <v>20</v>
      </c>
      <c r="I10736" t="s">
        <v>20907</v>
      </c>
      <c r="J10736" t="str">
        <f>HYPERLINK("https://www.boe.es/gazeta/dias/1822/04/12/pdfs/GMD-1822-104.pdf#page=4","Abrir facsímil")</f>
        <v>Abrir facsímil</v>
      </c>
      <c r="K10736" t="s">
        <v>22</v>
      </c>
    </row>
    <row r="10737" spans="1:11" ht="42" customHeight="1">
      <c r="A10737" t="s">
        <v>20908</v>
      </c>
      <c r="B10737" t="s">
        <v>20909</v>
      </c>
      <c r="C10737" t="s">
        <v>50</v>
      </c>
      <c r="D10737" t="s">
        <v>51</v>
      </c>
      <c r="E10737" s="6">
        <v>-28324</v>
      </c>
      <c r="F10737" t="s">
        <v>305</v>
      </c>
      <c r="G10737" t="s">
        <v>31</v>
      </c>
      <c r="H10737" t="s">
        <v>20</v>
      </c>
      <c r="I10737" t="s">
        <v>20910</v>
      </c>
      <c r="J10737" t="str">
        <f>HYPERLINK("https://www.boe.es/gazeta/dias/1822/06/13/pdfs/GMD-1822-170.pdf#page=3","Abrir facsímil")</f>
        <v>Abrir facsímil</v>
      </c>
      <c r="K10737" t="s">
        <v>22</v>
      </c>
    </row>
    <row r="10738" spans="1:11" ht="42" customHeight="1">
      <c r="A10738" t="s">
        <v>20911</v>
      </c>
      <c r="B10738" t="s">
        <v>20912</v>
      </c>
      <c r="C10738" t="s">
        <v>50</v>
      </c>
      <c r="D10738" t="s">
        <v>51</v>
      </c>
      <c r="E10738" s="6">
        <v>-28358</v>
      </c>
      <c r="F10738" t="s">
        <v>211</v>
      </c>
      <c r="G10738" t="s">
        <v>35</v>
      </c>
      <c r="H10738" t="s">
        <v>20</v>
      </c>
      <c r="I10738" t="s">
        <v>20913</v>
      </c>
      <c r="J10738" t="str">
        <f>HYPERLINK("https://www.boe.es/gazeta/dias/1822/05/10/pdfs/GMD-1822-132.pdf#page=2","Abrir facsímil")</f>
        <v>Abrir facsímil</v>
      </c>
      <c r="K10738" t="s">
        <v>22</v>
      </c>
    </row>
    <row r="10739" spans="1:11" ht="42" customHeight="1">
      <c r="A10739" t="s">
        <v>20914</v>
      </c>
      <c r="B10739" t="s">
        <v>20915</v>
      </c>
      <c r="C10739" t="s">
        <v>71</v>
      </c>
      <c r="D10739" t="s">
        <v>17</v>
      </c>
      <c r="E10739" s="6">
        <v>-28272</v>
      </c>
      <c r="F10739" t="s">
        <v>52</v>
      </c>
      <c r="G10739" t="s">
        <v>57</v>
      </c>
      <c r="H10739" t="s">
        <v>45</v>
      </c>
      <c r="I10739" t="s">
        <v>20916</v>
      </c>
      <c r="J10739" t="str">
        <f>HYPERLINK("https://www.boe.es/gazeta/dias/1822/08/04/pdfs/GMD-1822-228.pdf#page=4","Abrir facsímil")</f>
        <v>Abrir facsímil</v>
      </c>
      <c r="K10739" t="s">
        <v>47</v>
      </c>
    </row>
    <row r="10740" spans="1:11" ht="42" customHeight="1">
      <c r="A10740" t="s">
        <v>20917</v>
      </c>
      <c r="B10740" t="s">
        <v>20918</v>
      </c>
      <c r="C10740" t="s">
        <v>42</v>
      </c>
      <c r="D10740" t="s">
        <v>17</v>
      </c>
      <c r="E10740" s="6">
        <v>-28272</v>
      </c>
      <c r="F10740" t="s">
        <v>52</v>
      </c>
      <c r="G10740" t="s">
        <v>57</v>
      </c>
      <c r="H10740" t="s">
        <v>45</v>
      </c>
      <c r="I10740" t="s">
        <v>20919</v>
      </c>
      <c r="J10740" t="str">
        <f>HYPERLINK("https://www.boe.es/gazeta/dias/1822/08/04/pdfs/GMD-1822-228.pdf#page=4","Abrir facsímil")</f>
        <v>Abrir facsímil</v>
      </c>
      <c r="K10740" t="s">
        <v>47</v>
      </c>
    </row>
    <row r="10741" spans="1:11" ht="42" customHeight="1">
      <c r="A10741" t="s">
        <v>20920</v>
      </c>
      <c r="B10741" t="s">
        <v>20921</v>
      </c>
      <c r="C10741" t="s">
        <v>71</v>
      </c>
      <c r="D10741" t="s">
        <v>17</v>
      </c>
      <c r="E10741" s="6">
        <v>-28480</v>
      </c>
      <c r="F10741" t="s">
        <v>995</v>
      </c>
      <c r="G10741" t="s">
        <v>31</v>
      </c>
      <c r="H10741" t="s">
        <v>20</v>
      </c>
      <c r="I10741" t="s">
        <v>20922</v>
      </c>
      <c r="J10741" t="str">
        <f>HYPERLINK("https://www.boe.es/gazeta/dias/1822/01/08/pdfs/GMD-1822-8.pdf#page=3","Abrir facsímil")</f>
        <v>Abrir facsímil</v>
      </c>
      <c r="K10741" t="s">
        <v>22</v>
      </c>
    </row>
    <row r="10742" spans="1:11" ht="42" customHeight="1">
      <c r="A10742" t="s">
        <v>20923</v>
      </c>
      <c r="B10742" t="s">
        <v>20924</v>
      </c>
      <c r="C10742" t="s">
        <v>24</v>
      </c>
      <c r="D10742" t="s">
        <v>17</v>
      </c>
      <c r="E10742" s="6">
        <v>-28282</v>
      </c>
      <c r="F10742" t="s">
        <v>6600</v>
      </c>
      <c r="G10742" t="s">
        <v>7397</v>
      </c>
      <c r="H10742" t="s">
        <v>45</v>
      </c>
      <c r="I10742" t="s">
        <v>20925</v>
      </c>
      <c r="J10742" t="str">
        <f>HYPERLINK("https://www.boe.es/gazeta/dias/1822/07/25/pdfs/GMD-1822-218.pdf#page=3","Abrir facsímil")</f>
        <v>Abrir facsímil</v>
      </c>
      <c r="K10742" t="s">
        <v>47</v>
      </c>
    </row>
    <row r="10743" spans="1:11" ht="42" customHeight="1">
      <c r="A10743" t="s">
        <v>20926</v>
      </c>
      <c r="B10743" t="s">
        <v>20927</v>
      </c>
      <c r="C10743" t="s">
        <v>42</v>
      </c>
      <c r="D10743" t="s">
        <v>17</v>
      </c>
      <c r="E10743" s="6">
        <v>-28276</v>
      </c>
      <c r="F10743" t="s">
        <v>4746</v>
      </c>
      <c r="G10743" t="s">
        <v>31</v>
      </c>
      <c r="H10743" t="s">
        <v>45</v>
      </c>
      <c r="I10743" t="s">
        <v>20928</v>
      </c>
      <c r="J10743" t="str">
        <f>HYPERLINK("https://www.boe.es/gazeta/dias/1822/07/31/pdfs/GMD-1822-224.pdf#page=3","Abrir facsímil")</f>
        <v>Abrir facsímil</v>
      </c>
      <c r="K10743" t="s">
        <v>47</v>
      </c>
    </row>
    <row r="10744" spans="1:11" ht="42" customHeight="1">
      <c r="A10744" t="s">
        <v>20929</v>
      </c>
      <c r="B10744" t="s">
        <v>20930</v>
      </c>
      <c r="C10744" t="s">
        <v>28</v>
      </c>
      <c r="D10744" t="s">
        <v>29</v>
      </c>
      <c r="E10744" s="6">
        <v>-28351</v>
      </c>
      <c r="F10744" t="s">
        <v>282</v>
      </c>
      <c r="G10744" t="s">
        <v>35</v>
      </c>
      <c r="H10744" t="s">
        <v>20</v>
      </c>
      <c r="I10744" t="s">
        <v>20931</v>
      </c>
      <c r="J10744" t="str">
        <f>HYPERLINK("https://www.boe.es/gazeta/dias/1822/05/17/pdfs/GMD-1822-139.pdf#page=2","Abrir facsímil")</f>
        <v>Abrir facsímil</v>
      </c>
      <c r="K10744" t="s">
        <v>22</v>
      </c>
    </row>
    <row r="10745" spans="1:11" ht="42" customHeight="1">
      <c r="A10745" t="s">
        <v>20932</v>
      </c>
      <c r="B10745" t="s">
        <v>20933</v>
      </c>
      <c r="C10745" t="s">
        <v>71</v>
      </c>
      <c r="D10745" t="s">
        <v>17</v>
      </c>
      <c r="E10745" s="6">
        <v>-28477</v>
      </c>
      <c r="F10745" t="s">
        <v>1668</v>
      </c>
      <c r="G10745" t="s">
        <v>31</v>
      </c>
      <c r="H10745" t="s">
        <v>20</v>
      </c>
      <c r="I10745" t="s">
        <v>20934</v>
      </c>
      <c r="J10745" t="str">
        <f>HYPERLINK("https://www.boe.es/gazeta/dias/1822/01/11/pdfs/GMD-1822-11.pdf#page=3","Abrir facsímil")</f>
        <v>Abrir facsímil</v>
      </c>
      <c r="K10745" t="s">
        <v>22</v>
      </c>
    </row>
    <row r="10746" spans="1:11" ht="42" customHeight="1">
      <c r="A10746" t="s">
        <v>20932</v>
      </c>
      <c r="B10746" t="s">
        <v>20933</v>
      </c>
      <c r="C10746" t="s">
        <v>50</v>
      </c>
      <c r="D10746" t="s">
        <v>51</v>
      </c>
      <c r="E10746" s="6">
        <v>-28477</v>
      </c>
      <c r="F10746" t="s">
        <v>1668</v>
      </c>
      <c r="G10746" t="s">
        <v>19</v>
      </c>
      <c r="H10746" t="s">
        <v>20</v>
      </c>
      <c r="I10746" t="s">
        <v>20935</v>
      </c>
      <c r="J10746" t="str">
        <f>HYPERLINK("https://www.boe.es/gazeta/dias/1822/01/11/pdfs/GMD-1822-11.pdf#page=5","Abrir facsímil")</f>
        <v>Abrir facsímil</v>
      </c>
      <c r="K10746" t="s">
        <v>22</v>
      </c>
    </row>
    <row r="10747" spans="1:11" ht="42" customHeight="1">
      <c r="A10747" t="s">
        <v>20936</v>
      </c>
      <c r="B10747" t="s">
        <v>20937</v>
      </c>
      <c r="C10747" t="s">
        <v>50</v>
      </c>
      <c r="D10747" t="s">
        <v>51</v>
      </c>
      <c r="E10747" s="6">
        <v>-28331</v>
      </c>
      <c r="F10747" t="s">
        <v>537</v>
      </c>
      <c r="G10747" t="s">
        <v>57</v>
      </c>
      <c r="H10747" t="s">
        <v>45</v>
      </c>
      <c r="I10747" t="s">
        <v>20938</v>
      </c>
      <c r="J10747" t="str">
        <f>HYPERLINK("https://www.boe.es/gazeta/dias/1822/06/06/pdfs/GMD-1822-163.pdf#page=4","Abrir facsímil")</f>
        <v>Abrir facsímil</v>
      </c>
      <c r="K10747" t="s">
        <v>47</v>
      </c>
    </row>
    <row r="10748" spans="1:11" ht="42" customHeight="1">
      <c r="A10748" t="s">
        <v>20936</v>
      </c>
      <c r="B10748" t="s">
        <v>20937</v>
      </c>
      <c r="C10748" t="s">
        <v>28</v>
      </c>
      <c r="D10748" t="s">
        <v>29</v>
      </c>
      <c r="E10748" s="6">
        <v>-28328</v>
      </c>
      <c r="F10748" t="s">
        <v>540</v>
      </c>
      <c r="G10748" t="s">
        <v>63</v>
      </c>
      <c r="H10748" t="s">
        <v>45</v>
      </c>
      <c r="I10748" t="s">
        <v>20939</v>
      </c>
      <c r="J10748" t="str">
        <f>HYPERLINK("https://www.boe.es/gazeta/dias/1822/06/09/pdfs/GMD-1822-166.pdf#page=6","Abrir facsímil")</f>
        <v>Abrir facsímil</v>
      </c>
      <c r="K10748" t="s">
        <v>47</v>
      </c>
    </row>
    <row r="10749" spans="1:11" ht="42" customHeight="1">
      <c r="A10749" t="s">
        <v>20936</v>
      </c>
      <c r="B10749" t="s">
        <v>20937</v>
      </c>
      <c r="C10749" t="s">
        <v>50</v>
      </c>
      <c r="D10749" t="s">
        <v>51</v>
      </c>
      <c r="E10749" s="6">
        <v>-28322</v>
      </c>
      <c r="F10749" t="s">
        <v>2205</v>
      </c>
      <c r="G10749" t="s">
        <v>57</v>
      </c>
      <c r="H10749" t="s">
        <v>45</v>
      </c>
      <c r="I10749" t="s">
        <v>20940</v>
      </c>
      <c r="J10749" t="str">
        <f>HYPERLINK("https://www.boe.es/gazeta/dias/1822/06/15/pdfs/GMD-1822-172.pdf#page=4","Abrir facsímil")</f>
        <v>Abrir facsímil</v>
      </c>
      <c r="K10749" t="s">
        <v>47</v>
      </c>
    </row>
    <row r="10750" spans="1:11" ht="42" customHeight="1">
      <c r="A10750" t="s">
        <v>20936</v>
      </c>
      <c r="B10750" t="s">
        <v>20937</v>
      </c>
      <c r="C10750" t="s">
        <v>28</v>
      </c>
      <c r="D10750" t="s">
        <v>29</v>
      </c>
      <c r="E10750" s="6">
        <v>-28294</v>
      </c>
      <c r="F10750" t="s">
        <v>2298</v>
      </c>
      <c r="G10750" t="s">
        <v>31</v>
      </c>
      <c r="H10750" t="s">
        <v>45</v>
      </c>
      <c r="I10750" t="s">
        <v>20941</v>
      </c>
      <c r="J10750" t="str">
        <f>HYPERLINK("https://www.boe.es/gazeta/dias/1822/07/13/pdfs/GMD-1822-203.pdf#page=3","Abrir facsímil")</f>
        <v>Abrir facsímil</v>
      </c>
      <c r="K10750" t="s">
        <v>47</v>
      </c>
    </row>
    <row r="10751" spans="1:11" ht="42" customHeight="1">
      <c r="A10751" t="s">
        <v>20936</v>
      </c>
      <c r="B10751" t="s">
        <v>20937</v>
      </c>
      <c r="C10751" t="s">
        <v>28</v>
      </c>
      <c r="D10751" t="s">
        <v>29</v>
      </c>
      <c r="E10751" s="6">
        <v>-28292</v>
      </c>
      <c r="F10751" t="s">
        <v>222</v>
      </c>
      <c r="G10751" t="s">
        <v>57</v>
      </c>
      <c r="H10751" t="s">
        <v>45</v>
      </c>
      <c r="I10751" t="s">
        <v>20942</v>
      </c>
      <c r="J10751" t="str">
        <f>HYPERLINK("https://www.boe.es/gazeta/dias/1822/07/15/pdfs/GMD-1822-205.pdf#page=4","Abrir facsímil")</f>
        <v>Abrir facsímil</v>
      </c>
      <c r="K10751" t="s">
        <v>47</v>
      </c>
    </row>
    <row r="10752" spans="1:11" ht="42" customHeight="1">
      <c r="A10752" t="s">
        <v>20936</v>
      </c>
      <c r="B10752" t="s">
        <v>20937</v>
      </c>
      <c r="C10752" t="s">
        <v>28</v>
      </c>
      <c r="D10752" t="s">
        <v>29</v>
      </c>
      <c r="E10752" s="6">
        <v>-28289</v>
      </c>
      <c r="F10752" t="s">
        <v>390</v>
      </c>
      <c r="G10752" t="s">
        <v>57</v>
      </c>
      <c r="H10752" t="s">
        <v>45</v>
      </c>
      <c r="I10752" t="s">
        <v>20943</v>
      </c>
      <c r="J10752" t="str">
        <f>HYPERLINK("https://www.boe.es/gazeta/dias/1822/07/18/pdfs/GMD-1822-209.pdf#page=4","Abrir facsímil")</f>
        <v>Abrir facsímil</v>
      </c>
      <c r="K10752" t="s">
        <v>47</v>
      </c>
    </row>
    <row r="10753" spans="1:11" ht="42" customHeight="1">
      <c r="A10753" t="s">
        <v>20936</v>
      </c>
      <c r="B10753" t="s">
        <v>20937</v>
      </c>
      <c r="C10753" t="s">
        <v>42</v>
      </c>
      <c r="D10753" t="s">
        <v>17</v>
      </c>
      <c r="E10753" s="6">
        <v>-28287</v>
      </c>
      <c r="F10753" t="s">
        <v>1295</v>
      </c>
      <c r="G10753" t="s">
        <v>19</v>
      </c>
      <c r="H10753" t="s">
        <v>45</v>
      </c>
      <c r="I10753" t="s">
        <v>20944</v>
      </c>
      <c r="J10753" t="str">
        <f>HYPERLINK("https://www.boe.es/gazeta/dias/1822/07/20/pdfs/GMD-1822-212.pdf#page=5","Abrir facsímil")</f>
        <v>Abrir facsímil</v>
      </c>
      <c r="K10753" t="s">
        <v>47</v>
      </c>
    </row>
    <row r="10754" spans="1:11" ht="42" customHeight="1">
      <c r="A10754" t="s">
        <v>20936</v>
      </c>
      <c r="B10754" t="s">
        <v>20937</v>
      </c>
      <c r="C10754" t="s">
        <v>16</v>
      </c>
      <c r="D10754" t="s">
        <v>17</v>
      </c>
      <c r="E10754" s="6">
        <v>-28286</v>
      </c>
      <c r="F10754" t="s">
        <v>1853</v>
      </c>
      <c r="G10754" t="s">
        <v>57</v>
      </c>
      <c r="H10754" t="s">
        <v>45</v>
      </c>
      <c r="I10754" t="s">
        <v>20945</v>
      </c>
      <c r="J10754" t="str">
        <f>HYPERLINK("https://www.boe.es/gazeta/dias/1822/07/21/pdfs/GMD-1822-213.pdf#page=4","Abrir facsímil")</f>
        <v>Abrir facsímil</v>
      </c>
      <c r="K10754" t="s">
        <v>47</v>
      </c>
    </row>
    <row r="10755" spans="1:11" ht="42" customHeight="1">
      <c r="A10755" t="s">
        <v>20936</v>
      </c>
      <c r="B10755" t="s">
        <v>20937</v>
      </c>
      <c r="C10755" t="s">
        <v>28</v>
      </c>
      <c r="D10755" t="s">
        <v>29</v>
      </c>
      <c r="E10755" s="6">
        <v>-28280</v>
      </c>
      <c r="F10755" t="s">
        <v>56</v>
      </c>
      <c r="G10755" t="s">
        <v>57</v>
      </c>
      <c r="H10755" t="s">
        <v>45</v>
      </c>
      <c r="I10755" t="s">
        <v>20946</v>
      </c>
      <c r="J10755" t="str">
        <f>HYPERLINK("https://www.boe.es/gazeta/dias/1822/07/27/pdfs/GMD-1822-220.pdf#page=4","Abrir facsímil")</f>
        <v>Abrir facsímil</v>
      </c>
      <c r="K10755" t="s">
        <v>47</v>
      </c>
    </row>
    <row r="10756" spans="1:11" ht="42" customHeight="1">
      <c r="A10756" t="s">
        <v>20936</v>
      </c>
      <c r="B10756" t="s">
        <v>20937</v>
      </c>
      <c r="C10756" t="s">
        <v>28</v>
      </c>
      <c r="D10756" t="s">
        <v>29</v>
      </c>
      <c r="E10756" s="6">
        <v>-28272</v>
      </c>
      <c r="F10756" t="s">
        <v>52</v>
      </c>
      <c r="G10756" t="s">
        <v>57</v>
      </c>
      <c r="H10756" t="s">
        <v>45</v>
      </c>
      <c r="I10756" t="s">
        <v>20947</v>
      </c>
      <c r="J10756" t="str">
        <f>HYPERLINK("https://www.boe.es/gazeta/dias/1822/08/04/pdfs/GMD-1822-228.pdf#page=4","Abrir facsímil")</f>
        <v>Abrir facsímil</v>
      </c>
      <c r="K10756" t="s">
        <v>47</v>
      </c>
    </row>
    <row r="10757" spans="1:11" ht="42" customHeight="1">
      <c r="A10757" t="s">
        <v>20936</v>
      </c>
      <c r="B10757" t="s">
        <v>20937</v>
      </c>
      <c r="C10757" t="s">
        <v>61</v>
      </c>
      <c r="D10757" t="s">
        <v>17</v>
      </c>
      <c r="E10757" s="6">
        <v>-28267</v>
      </c>
      <c r="F10757" t="s">
        <v>1270</v>
      </c>
      <c r="G10757" t="s">
        <v>57</v>
      </c>
      <c r="H10757" t="s">
        <v>45</v>
      </c>
      <c r="I10757" t="s">
        <v>20948</v>
      </c>
      <c r="J10757" t="str">
        <f>HYPERLINK("https://www.boe.es/gazeta/dias/1822/08/09/pdfs/GMD-1822-233.pdf#page=4","Abrir facsímil")</f>
        <v>Abrir facsímil</v>
      </c>
      <c r="K10757" t="s">
        <v>47</v>
      </c>
    </row>
    <row r="10758" spans="1:11" ht="42" customHeight="1">
      <c r="A10758" t="s">
        <v>20936</v>
      </c>
      <c r="B10758" t="s">
        <v>20937</v>
      </c>
      <c r="C10758" t="s">
        <v>28</v>
      </c>
      <c r="D10758" t="s">
        <v>29</v>
      </c>
      <c r="E10758" s="6">
        <v>-28253</v>
      </c>
      <c r="F10758" t="s">
        <v>413</v>
      </c>
      <c r="G10758" t="s">
        <v>57</v>
      </c>
      <c r="H10758" t="s">
        <v>45</v>
      </c>
      <c r="I10758" t="s">
        <v>20949</v>
      </c>
      <c r="J10758" t="str">
        <f>HYPERLINK("https://www.boe.es/gazeta/dias/1822/08/23/pdfs/GMD-1822-247.pdf#page=4","Abrir facsímil")</f>
        <v>Abrir facsímil</v>
      </c>
      <c r="K10758" t="s">
        <v>47</v>
      </c>
    </row>
    <row r="10759" spans="1:11" ht="42" customHeight="1">
      <c r="A10759" t="s">
        <v>20950</v>
      </c>
      <c r="B10759" t="s">
        <v>20951</v>
      </c>
      <c r="C10759" t="s">
        <v>28</v>
      </c>
      <c r="D10759" t="s">
        <v>29</v>
      </c>
      <c r="E10759" s="6">
        <v>-28321</v>
      </c>
      <c r="F10759" t="s">
        <v>1142</v>
      </c>
      <c r="G10759" t="s">
        <v>63</v>
      </c>
      <c r="H10759" t="s">
        <v>45</v>
      </c>
      <c r="I10759" t="s">
        <v>20952</v>
      </c>
      <c r="J10759" t="str">
        <f>HYPERLINK("https://www.boe.es/gazeta/dias/1822/06/16/pdfs/GMD-1822-173.pdf#page=6","Abrir facsímil")</f>
        <v>Abrir facsímil</v>
      </c>
      <c r="K10759" t="s">
        <v>47</v>
      </c>
    </row>
    <row r="10760" spans="1:11" ht="42" customHeight="1">
      <c r="A10760" t="s">
        <v>20950</v>
      </c>
      <c r="B10760" t="s">
        <v>20951</v>
      </c>
      <c r="C10760" t="s">
        <v>16</v>
      </c>
      <c r="D10760" t="s">
        <v>17</v>
      </c>
      <c r="E10760" s="6">
        <v>-28274</v>
      </c>
      <c r="F10760" t="s">
        <v>3371</v>
      </c>
      <c r="G10760" t="s">
        <v>31</v>
      </c>
      <c r="H10760" t="s">
        <v>45</v>
      </c>
      <c r="I10760" t="s">
        <v>20953</v>
      </c>
      <c r="J10760" t="str">
        <f>HYPERLINK("https://www.boe.es/gazeta/dias/1822/08/02/pdfs/GMD-1822-226.pdf#page=3","Abrir facsímil")</f>
        <v>Abrir facsímil</v>
      </c>
      <c r="K10760" t="s">
        <v>47</v>
      </c>
    </row>
    <row r="10761" spans="1:11" ht="42" customHeight="1">
      <c r="A10761" t="s">
        <v>20954</v>
      </c>
      <c r="B10761" t="s">
        <v>20955</v>
      </c>
      <c r="C10761" t="s">
        <v>42</v>
      </c>
      <c r="D10761" t="s">
        <v>17</v>
      </c>
      <c r="E10761" s="6">
        <v>-28420</v>
      </c>
      <c r="F10761" t="s">
        <v>449</v>
      </c>
      <c r="G10761" t="s">
        <v>63</v>
      </c>
      <c r="H10761" t="s">
        <v>45</v>
      </c>
      <c r="I10761" t="s">
        <v>20956</v>
      </c>
      <c r="J10761" t="str">
        <f>HYPERLINK("https://www.boe.es/gazeta/dias/1822/03/09/pdfs/GMD-1822-70.pdf#page=6","Abrir facsímil")</f>
        <v>Abrir facsímil</v>
      </c>
      <c r="K10761" t="s">
        <v>47</v>
      </c>
    </row>
    <row r="10762" spans="1:11" ht="42" customHeight="1">
      <c r="A10762" t="s">
        <v>20954</v>
      </c>
      <c r="B10762" t="s">
        <v>20955</v>
      </c>
      <c r="C10762" t="s">
        <v>50</v>
      </c>
      <c r="D10762" t="s">
        <v>51</v>
      </c>
      <c r="E10762" s="6">
        <v>-28405</v>
      </c>
      <c r="F10762" t="s">
        <v>466</v>
      </c>
      <c r="G10762" t="s">
        <v>19</v>
      </c>
      <c r="H10762" t="s">
        <v>45</v>
      </c>
      <c r="I10762" t="s">
        <v>20957</v>
      </c>
      <c r="J10762" t="str">
        <f>HYPERLINK("https://www.boe.es/gazeta/dias/1822/03/24/pdfs/GMD-1822-85.pdf#page=5","Abrir facsímil")</f>
        <v>Abrir facsímil</v>
      </c>
      <c r="K10762" t="s">
        <v>47</v>
      </c>
    </row>
    <row r="10763" spans="1:11" ht="42" customHeight="1">
      <c r="A10763" t="s">
        <v>20954</v>
      </c>
      <c r="B10763" t="s">
        <v>20955</v>
      </c>
      <c r="C10763" t="s">
        <v>50</v>
      </c>
      <c r="D10763" t="s">
        <v>51</v>
      </c>
      <c r="E10763" s="6">
        <v>-28371</v>
      </c>
      <c r="F10763" t="s">
        <v>401</v>
      </c>
      <c r="G10763" t="s">
        <v>19</v>
      </c>
      <c r="H10763" t="s">
        <v>45</v>
      </c>
      <c r="I10763" t="s">
        <v>20958</v>
      </c>
      <c r="J10763" t="str">
        <f>HYPERLINK("https://www.boe.es/gazeta/dias/1822/04/27/pdfs/GMD-1822-119.pdf#page=5","Abrir facsímil")</f>
        <v>Abrir facsímil</v>
      </c>
      <c r="K10763" t="s">
        <v>47</v>
      </c>
    </row>
    <row r="10764" spans="1:11" ht="42" customHeight="1">
      <c r="A10764" t="s">
        <v>20959</v>
      </c>
      <c r="B10764" t="s">
        <v>20960</v>
      </c>
      <c r="C10764" t="s">
        <v>50</v>
      </c>
      <c r="D10764" t="s">
        <v>51</v>
      </c>
      <c r="E10764" s="6">
        <v>-28485</v>
      </c>
      <c r="F10764" t="s">
        <v>1117</v>
      </c>
      <c r="G10764" t="s">
        <v>1118</v>
      </c>
      <c r="H10764" t="s">
        <v>20</v>
      </c>
      <c r="I10764" t="s">
        <v>20961</v>
      </c>
      <c r="J10764" t="str">
        <f>HYPERLINK("https://www.boe.es/gazeta/dias/1822/01/03/pdfs/GMD-1822-3.pdf#page=2","Abrir facsímil")</f>
        <v>Abrir facsímil</v>
      </c>
      <c r="K10764" t="s">
        <v>22</v>
      </c>
    </row>
    <row r="10765" spans="1:11" ht="42" customHeight="1">
      <c r="A10765" t="s">
        <v>20959</v>
      </c>
      <c r="B10765" t="s">
        <v>20960</v>
      </c>
      <c r="C10765" t="s">
        <v>28</v>
      </c>
      <c r="D10765" t="s">
        <v>29</v>
      </c>
      <c r="E10765" s="6">
        <v>-28485</v>
      </c>
      <c r="F10765" t="s">
        <v>1117</v>
      </c>
      <c r="G10765" t="s">
        <v>57</v>
      </c>
      <c r="H10765" t="s">
        <v>20</v>
      </c>
      <c r="I10765" t="s">
        <v>20962</v>
      </c>
      <c r="J10765" t="str">
        <f>HYPERLINK("https://www.boe.es/gazeta/dias/1822/01/03/pdfs/GMD-1822-3.pdf#page=4","Abrir facsímil")</f>
        <v>Abrir facsímil</v>
      </c>
      <c r="K10765" t="s">
        <v>22</v>
      </c>
    </row>
    <row r="10766" spans="1:11" ht="42" customHeight="1">
      <c r="A10766" t="s">
        <v>20959</v>
      </c>
      <c r="B10766" t="s">
        <v>20960</v>
      </c>
      <c r="C10766" t="s">
        <v>50</v>
      </c>
      <c r="D10766" t="s">
        <v>51</v>
      </c>
      <c r="E10766" s="6">
        <v>-28484</v>
      </c>
      <c r="F10766" t="s">
        <v>743</v>
      </c>
      <c r="G10766" t="s">
        <v>31</v>
      </c>
      <c r="H10766" t="s">
        <v>20</v>
      </c>
      <c r="I10766" t="s">
        <v>20963</v>
      </c>
      <c r="J10766" t="str">
        <f>HYPERLINK("https://www.boe.es/gazeta/dias/1822/01/04/pdfs/GMD-1822-4.pdf#page=3","Abrir facsímil")</f>
        <v>Abrir facsímil</v>
      </c>
      <c r="K10766" t="s">
        <v>22</v>
      </c>
    </row>
    <row r="10767" spans="1:11" ht="42" customHeight="1">
      <c r="A10767" t="s">
        <v>20959</v>
      </c>
      <c r="B10767" t="s">
        <v>20960</v>
      </c>
      <c r="C10767" t="s">
        <v>24</v>
      </c>
      <c r="D10767" t="s">
        <v>17</v>
      </c>
      <c r="E10767" s="6">
        <v>-28483</v>
      </c>
      <c r="F10767" t="s">
        <v>254</v>
      </c>
      <c r="G10767" t="s">
        <v>57</v>
      </c>
      <c r="H10767" t="s">
        <v>20</v>
      </c>
      <c r="I10767" t="s">
        <v>20964</v>
      </c>
      <c r="J10767" t="str">
        <f>HYPERLINK("https://www.boe.es/gazeta/dias/1822/01/05/pdfs/GMD-1822-5.pdf#page=4","Abrir facsímil")</f>
        <v>Abrir facsímil</v>
      </c>
      <c r="K10767" t="s">
        <v>22</v>
      </c>
    </row>
    <row r="10768" spans="1:11" ht="42" customHeight="1">
      <c r="A10768" t="s">
        <v>20959</v>
      </c>
      <c r="B10768" t="s">
        <v>20960</v>
      </c>
      <c r="C10768" t="s">
        <v>42</v>
      </c>
      <c r="D10768" t="s">
        <v>17</v>
      </c>
      <c r="E10768" s="6">
        <v>-28477</v>
      </c>
      <c r="F10768" t="s">
        <v>1668</v>
      </c>
      <c r="G10768" t="s">
        <v>57</v>
      </c>
      <c r="H10768" t="s">
        <v>20</v>
      </c>
      <c r="I10768" t="s">
        <v>20965</v>
      </c>
      <c r="J10768" t="str">
        <f>HYPERLINK("https://www.boe.es/gazeta/dias/1822/01/11/pdfs/GMD-1822-11.pdf#page=4","Abrir facsímil")</f>
        <v>Abrir facsímil</v>
      </c>
      <c r="K10768" t="s">
        <v>22</v>
      </c>
    </row>
    <row r="10769" spans="1:11" ht="42" customHeight="1">
      <c r="A10769" t="s">
        <v>20959</v>
      </c>
      <c r="B10769" t="s">
        <v>20960</v>
      </c>
      <c r="C10769" t="s">
        <v>42</v>
      </c>
      <c r="D10769" t="s">
        <v>17</v>
      </c>
      <c r="E10769" s="6">
        <v>-28476</v>
      </c>
      <c r="F10769" t="s">
        <v>160</v>
      </c>
      <c r="G10769" t="s">
        <v>35</v>
      </c>
      <c r="H10769" t="s">
        <v>20</v>
      </c>
      <c r="I10769" t="s">
        <v>20966</v>
      </c>
      <c r="J10769" t="str">
        <f>HYPERLINK("https://www.boe.es/gazeta/dias/1822/01/12/pdfs/GMD-1822-12.pdf#page=2","Abrir facsímil")</f>
        <v>Abrir facsímil</v>
      </c>
      <c r="K10769" t="s">
        <v>22</v>
      </c>
    </row>
    <row r="10770" spans="1:11" ht="42" customHeight="1">
      <c r="A10770" t="s">
        <v>20959</v>
      </c>
      <c r="B10770" t="s">
        <v>20960</v>
      </c>
      <c r="C10770" t="s">
        <v>24</v>
      </c>
      <c r="D10770" t="s">
        <v>17</v>
      </c>
      <c r="E10770" s="6">
        <v>-28475</v>
      </c>
      <c r="F10770" t="s">
        <v>1205</v>
      </c>
      <c r="G10770" t="s">
        <v>907</v>
      </c>
      <c r="H10770" t="s">
        <v>20</v>
      </c>
      <c r="I10770" t="s">
        <v>20967</v>
      </c>
      <c r="J10770" t="str">
        <f>HYPERLINK("https://www.boe.es/gazeta/dias/1822/01/13/pdfs/GMD-1822-13.pdf#page=5","Abrir facsímil")</f>
        <v>Abrir facsímil</v>
      </c>
      <c r="K10770" t="s">
        <v>22</v>
      </c>
    </row>
    <row r="10771" spans="1:11" ht="42" customHeight="1">
      <c r="A10771" t="s">
        <v>20959</v>
      </c>
      <c r="B10771" t="s">
        <v>20960</v>
      </c>
      <c r="C10771" t="s">
        <v>28</v>
      </c>
      <c r="D10771" t="s">
        <v>29</v>
      </c>
      <c r="E10771" s="6">
        <v>-28458</v>
      </c>
      <c r="F10771" t="s">
        <v>1151</v>
      </c>
      <c r="G10771" t="s">
        <v>44</v>
      </c>
      <c r="H10771" t="s">
        <v>20</v>
      </c>
      <c r="I10771" t="s">
        <v>20968</v>
      </c>
      <c r="J10771" t="str">
        <f>HYPERLINK("https://www.boe.es/gazeta/dias/1822/01/30/pdfs/GMD-1822-30.pdf#page=1","Abrir facsímil")</f>
        <v>Abrir facsímil</v>
      </c>
      <c r="K10771" t="s">
        <v>22</v>
      </c>
    </row>
    <row r="10772" spans="1:11" ht="42" customHeight="1">
      <c r="A10772" t="s">
        <v>20969</v>
      </c>
      <c r="B10772" t="s">
        <v>20970</v>
      </c>
      <c r="C10772" t="s">
        <v>28</v>
      </c>
      <c r="D10772" t="s">
        <v>29</v>
      </c>
      <c r="E10772" s="6">
        <v>-28475</v>
      </c>
      <c r="F10772" t="s">
        <v>1205</v>
      </c>
      <c r="G10772" t="s">
        <v>907</v>
      </c>
      <c r="H10772" t="s">
        <v>20</v>
      </c>
      <c r="I10772" t="s">
        <v>20971</v>
      </c>
      <c r="J10772" t="str">
        <f>HYPERLINK("https://www.boe.es/gazeta/dias/1822/01/13/pdfs/GMD-1822-13.pdf#page=5","Abrir facsímil")</f>
        <v>Abrir facsímil</v>
      </c>
      <c r="K10772" t="s">
        <v>22</v>
      </c>
    </row>
    <row r="10773" spans="1:11" ht="42" customHeight="1">
      <c r="A10773" t="s">
        <v>20972</v>
      </c>
      <c r="B10773" t="s">
        <v>20973</v>
      </c>
      <c r="C10773" t="s">
        <v>28</v>
      </c>
      <c r="D10773" t="s">
        <v>29</v>
      </c>
      <c r="E10773" s="6">
        <v>-28335</v>
      </c>
      <c r="F10773" t="s">
        <v>3346</v>
      </c>
      <c r="G10773" t="s">
        <v>63</v>
      </c>
      <c r="H10773" t="s">
        <v>45</v>
      </c>
      <c r="I10773" t="s">
        <v>20974</v>
      </c>
      <c r="J10773" t="str">
        <f>HYPERLINK("https://www.boe.es/gazeta/dias/1822/06/02/pdfs/GMD-1822-158.pdf#page=6","Abrir facsímil")</f>
        <v>Abrir facsímil</v>
      </c>
      <c r="K10773" t="s">
        <v>47</v>
      </c>
    </row>
    <row r="10774" spans="1:11" ht="42" customHeight="1">
      <c r="A10774" t="s">
        <v>20975</v>
      </c>
      <c r="B10774" t="s">
        <v>20976</v>
      </c>
      <c r="C10774" t="s">
        <v>24</v>
      </c>
      <c r="D10774" t="s">
        <v>17</v>
      </c>
      <c r="E10774" s="6">
        <v>-28326</v>
      </c>
      <c r="F10774" t="s">
        <v>543</v>
      </c>
      <c r="G10774" t="s">
        <v>63</v>
      </c>
      <c r="H10774" t="s">
        <v>45</v>
      </c>
      <c r="I10774" t="s">
        <v>20977</v>
      </c>
      <c r="J10774" t="str">
        <f>HYPERLINK("https://www.boe.es/gazeta/dias/1822/06/11/pdfs/GMD-1822-168.pdf#page=6","Abrir facsímil")</f>
        <v>Abrir facsímil</v>
      </c>
      <c r="K10774" t="s">
        <v>47</v>
      </c>
    </row>
    <row r="10775" spans="1:11" ht="42" customHeight="1">
      <c r="A10775" t="s">
        <v>20978</v>
      </c>
      <c r="B10775" t="s">
        <v>20979</v>
      </c>
      <c r="C10775" t="s">
        <v>50</v>
      </c>
      <c r="D10775" t="s">
        <v>51</v>
      </c>
      <c r="E10775" s="6">
        <v>-28477</v>
      </c>
      <c r="F10775" t="s">
        <v>1668</v>
      </c>
      <c r="G10775" t="s">
        <v>31</v>
      </c>
      <c r="H10775" t="s">
        <v>20</v>
      </c>
      <c r="I10775" t="s">
        <v>20980</v>
      </c>
      <c r="J10775" t="str">
        <f>HYPERLINK("https://www.boe.es/gazeta/dias/1822/01/11/pdfs/GMD-1822-11.pdf#page=3","Abrir facsímil")</f>
        <v>Abrir facsímil</v>
      </c>
      <c r="K10775" t="s">
        <v>22</v>
      </c>
    </row>
    <row r="10776" spans="1:11" ht="42" customHeight="1">
      <c r="A10776" t="s">
        <v>20981</v>
      </c>
      <c r="B10776" t="s">
        <v>20981</v>
      </c>
      <c r="C10776" t="s">
        <v>28</v>
      </c>
      <c r="D10776" t="s">
        <v>29</v>
      </c>
      <c r="E10776" s="6">
        <v>-28382</v>
      </c>
      <c r="F10776" t="s">
        <v>973</v>
      </c>
      <c r="G10776" t="s">
        <v>44</v>
      </c>
      <c r="H10776" t="s">
        <v>20</v>
      </c>
      <c r="I10776" t="s">
        <v>20982</v>
      </c>
      <c r="J10776" t="str">
        <f>HYPERLINK("https://www.boe.es/gazeta/dias/1822/04/16/pdfs/GMD-1822-108.pdf#page=1","Abrir facsímil")</f>
        <v>Abrir facsímil</v>
      </c>
      <c r="K10776" t="s">
        <v>22</v>
      </c>
    </row>
    <row r="10777" spans="1:11" ht="42" customHeight="1">
      <c r="A10777" t="s">
        <v>20983</v>
      </c>
      <c r="B10777" t="s">
        <v>20983</v>
      </c>
      <c r="C10777" t="s">
        <v>50</v>
      </c>
      <c r="D10777" t="s">
        <v>51</v>
      </c>
      <c r="E10777" s="6">
        <v>-28303</v>
      </c>
      <c r="F10777" t="s">
        <v>201</v>
      </c>
      <c r="G10777" t="s">
        <v>31</v>
      </c>
      <c r="H10777" t="s">
        <v>20</v>
      </c>
      <c r="I10777" t="s">
        <v>20984</v>
      </c>
      <c r="J10777" t="str">
        <f>HYPERLINK("https://www.boe.es/gazeta/dias/1822/07/04/pdfs/GMD-1822-193.pdf#page=3","Abrir facsímil")</f>
        <v>Abrir facsímil</v>
      </c>
      <c r="K10777" t="s">
        <v>22</v>
      </c>
    </row>
    <row r="10778" spans="1:11" ht="42" customHeight="1">
      <c r="A10778" t="s">
        <v>20983</v>
      </c>
      <c r="B10778" t="s">
        <v>20983</v>
      </c>
      <c r="C10778" t="s">
        <v>50</v>
      </c>
      <c r="D10778" t="s">
        <v>51</v>
      </c>
      <c r="E10778" s="6">
        <v>-28240</v>
      </c>
      <c r="F10778" t="s">
        <v>678</v>
      </c>
      <c r="G10778" t="s">
        <v>44</v>
      </c>
      <c r="H10778" t="s">
        <v>20</v>
      </c>
      <c r="I10778" t="s">
        <v>20985</v>
      </c>
      <c r="J10778" t="str">
        <f>HYPERLINK("https://www.boe.es/gazeta/dias/1822/09/05/pdfs/GMD-1822-260.pdf#page=1","Abrir facsímil")</f>
        <v>Abrir facsímil</v>
      </c>
      <c r="K10778" t="s">
        <v>22</v>
      </c>
    </row>
    <row r="10779" spans="1:11" ht="42" customHeight="1">
      <c r="A10779" t="s">
        <v>20986</v>
      </c>
      <c r="B10779" t="s">
        <v>20987</v>
      </c>
      <c r="C10779" t="s">
        <v>50</v>
      </c>
      <c r="D10779" t="s">
        <v>51</v>
      </c>
      <c r="E10779" s="6">
        <v>-28138</v>
      </c>
      <c r="F10779" t="s">
        <v>3542</v>
      </c>
      <c r="G10779" t="s">
        <v>44</v>
      </c>
      <c r="H10779" t="s">
        <v>20</v>
      </c>
      <c r="I10779" t="s">
        <v>20988</v>
      </c>
      <c r="J10779" t="str">
        <f>HYPERLINK("https://www.boe.es/gazeta/dias/1822/12/16/pdfs/GMD-1822-366.pdf#page=1","Abrir facsímil")</f>
        <v>Abrir facsímil</v>
      </c>
      <c r="K10779" t="s">
        <v>22</v>
      </c>
    </row>
    <row r="10780" spans="1:11" ht="42" customHeight="1">
      <c r="A10780" t="s">
        <v>20989</v>
      </c>
      <c r="B10780" t="s">
        <v>20990</v>
      </c>
      <c r="C10780" t="s">
        <v>16</v>
      </c>
      <c r="D10780" t="s">
        <v>17</v>
      </c>
      <c r="E10780" s="6">
        <v>-28246</v>
      </c>
      <c r="F10780" t="s">
        <v>3246</v>
      </c>
      <c r="G10780" t="s">
        <v>1085</v>
      </c>
      <c r="H10780" t="s">
        <v>20</v>
      </c>
      <c r="I10780" t="s">
        <v>20991</v>
      </c>
      <c r="J10780" t="str">
        <f>HYPERLINK("https://www.boe.es/gazeta/dias/1822/08/30/pdfs/GMD-1822-254.pdf#page=5","Abrir facsímil")</f>
        <v>Abrir facsímil</v>
      </c>
      <c r="K10780" t="s">
        <v>22</v>
      </c>
    </row>
    <row r="10781" spans="1:11" ht="42" customHeight="1">
      <c r="A10781" t="s">
        <v>20992</v>
      </c>
      <c r="B10781" t="s">
        <v>20993</v>
      </c>
      <c r="C10781" t="s">
        <v>28</v>
      </c>
      <c r="D10781" t="s">
        <v>29</v>
      </c>
      <c r="E10781" s="6">
        <v>-28319</v>
      </c>
      <c r="F10781" t="s">
        <v>271</v>
      </c>
      <c r="G10781" t="s">
        <v>19</v>
      </c>
      <c r="H10781" t="s">
        <v>45</v>
      </c>
      <c r="I10781" t="s">
        <v>20994</v>
      </c>
      <c r="J10781" t="str">
        <f>HYPERLINK("https://www.boe.es/gazeta/dias/1822/06/18/pdfs/GMD-1822-175.pdf#page=5","Abrir facsímil")</f>
        <v>Abrir facsímil</v>
      </c>
      <c r="K10781" t="s">
        <v>47</v>
      </c>
    </row>
    <row r="10782" spans="1:11" ht="42" customHeight="1">
      <c r="A10782" t="s">
        <v>20995</v>
      </c>
      <c r="B10782" t="s">
        <v>20996</v>
      </c>
      <c r="C10782" t="s">
        <v>50</v>
      </c>
      <c r="D10782" t="s">
        <v>51</v>
      </c>
      <c r="E10782" s="6">
        <v>-28258</v>
      </c>
      <c r="F10782" t="s">
        <v>88</v>
      </c>
      <c r="G10782" t="s">
        <v>57</v>
      </c>
      <c r="H10782" t="s">
        <v>20</v>
      </c>
      <c r="I10782" t="s">
        <v>20997</v>
      </c>
      <c r="J10782" t="str">
        <f>HYPERLINK("https://www.boe.es/gazeta/dias/1822/08/18/pdfs/GMD-1822-242.pdf#page=4","Abrir facsímil")</f>
        <v>Abrir facsímil</v>
      </c>
      <c r="K10782" t="s">
        <v>22</v>
      </c>
    </row>
    <row r="10783" spans="1:11" ht="42" customHeight="1">
      <c r="A10783" t="s">
        <v>20998</v>
      </c>
      <c r="B10783" t="s">
        <v>20999</v>
      </c>
      <c r="C10783" t="s">
        <v>71</v>
      </c>
      <c r="D10783" t="s">
        <v>17</v>
      </c>
      <c r="E10783" s="6">
        <v>-28375</v>
      </c>
      <c r="F10783" t="s">
        <v>2035</v>
      </c>
      <c r="G10783" t="s">
        <v>57</v>
      </c>
      <c r="H10783" t="s">
        <v>20</v>
      </c>
      <c r="I10783" t="s">
        <v>21000</v>
      </c>
      <c r="J10783" t="str">
        <f>HYPERLINK("https://www.boe.es/gazeta/dias/1822/04/23/pdfs/GMD-1822-115.pdf#page=4","Abrir facsímil")</f>
        <v>Abrir facsímil</v>
      </c>
      <c r="K10783" t="s">
        <v>22</v>
      </c>
    </row>
    <row r="10784" spans="1:11" ht="42" customHeight="1">
      <c r="A10784" t="s">
        <v>21001</v>
      </c>
      <c r="B10784" t="s">
        <v>21001</v>
      </c>
      <c r="C10784" t="s">
        <v>50</v>
      </c>
      <c r="D10784" t="s">
        <v>51</v>
      </c>
      <c r="E10784" s="6">
        <v>-28295</v>
      </c>
      <c r="F10784" t="s">
        <v>81</v>
      </c>
      <c r="G10784" t="s">
        <v>57</v>
      </c>
      <c r="H10784" t="s">
        <v>20</v>
      </c>
      <c r="I10784" t="s">
        <v>21002</v>
      </c>
      <c r="J10784" t="str">
        <f>HYPERLINK("https://www.boe.es/gazeta/dias/1822/07/12/pdfs/GMD-1822-202.pdf#page=4","Abrir facsímil")</f>
        <v>Abrir facsímil</v>
      </c>
      <c r="K10784" t="s">
        <v>22</v>
      </c>
    </row>
    <row r="10785" spans="1:11" ht="42" customHeight="1">
      <c r="A10785" t="s">
        <v>21003</v>
      </c>
      <c r="B10785" t="s">
        <v>21004</v>
      </c>
      <c r="C10785" t="s">
        <v>71</v>
      </c>
      <c r="D10785" t="s">
        <v>17</v>
      </c>
      <c r="E10785" s="6">
        <v>-28221</v>
      </c>
      <c r="F10785" t="s">
        <v>2591</v>
      </c>
      <c r="G10785" t="s">
        <v>57</v>
      </c>
      <c r="H10785" t="s">
        <v>20</v>
      </c>
      <c r="I10785" t="s">
        <v>21005</v>
      </c>
      <c r="J10785" t="str">
        <f>HYPERLINK("https://www.boe.es/gazeta/dias/1822/09/24/pdfs/GMD-1822-280.pdf#page=4","Abrir facsímil")</f>
        <v>Abrir facsímil</v>
      </c>
      <c r="K10785" t="s">
        <v>22</v>
      </c>
    </row>
    <row r="10786" spans="1:11" ht="42" customHeight="1">
      <c r="A10786" t="s">
        <v>21006</v>
      </c>
      <c r="B10786" t="s">
        <v>21007</v>
      </c>
      <c r="C10786" t="s">
        <v>24</v>
      </c>
      <c r="D10786" t="s">
        <v>17</v>
      </c>
      <c r="E10786" s="6">
        <v>-28214</v>
      </c>
      <c r="F10786" t="s">
        <v>814</v>
      </c>
      <c r="G10786" t="s">
        <v>31</v>
      </c>
      <c r="H10786" t="s">
        <v>20</v>
      </c>
      <c r="I10786" t="s">
        <v>21008</v>
      </c>
      <c r="J10786" t="str">
        <f>HYPERLINK("https://www.boe.es/gazeta/dias/1822/10/01/pdfs/GMD-1822-287.pdf#page=3","Abrir facsímil")</f>
        <v>Abrir facsímil</v>
      </c>
      <c r="K10786" t="s">
        <v>22</v>
      </c>
    </row>
    <row r="10787" spans="1:11" ht="42" customHeight="1">
      <c r="A10787" t="s">
        <v>21009</v>
      </c>
      <c r="B10787" t="s">
        <v>21010</v>
      </c>
      <c r="C10787" t="s">
        <v>71</v>
      </c>
      <c r="D10787" t="s">
        <v>17</v>
      </c>
      <c r="E10787" s="6">
        <v>-28461</v>
      </c>
      <c r="F10787" t="s">
        <v>1801</v>
      </c>
      <c r="G10787" t="s">
        <v>57</v>
      </c>
      <c r="H10787" t="s">
        <v>45</v>
      </c>
      <c r="I10787" t="s">
        <v>21011</v>
      </c>
      <c r="J10787" t="str">
        <f>HYPERLINK("https://www.boe.es/gazeta/dias/1822/01/27/pdfs/GMD-1822-27.pdf#page=4","Abrir facsímil")</f>
        <v>Abrir facsímil</v>
      </c>
      <c r="K10787" t="s">
        <v>47</v>
      </c>
    </row>
    <row r="10788" spans="1:11" ht="42" customHeight="1">
      <c r="A10788" t="s">
        <v>21012</v>
      </c>
      <c r="B10788" t="s">
        <v>21013</v>
      </c>
      <c r="C10788" t="s">
        <v>71</v>
      </c>
      <c r="D10788" t="s">
        <v>17</v>
      </c>
      <c r="E10788" s="6">
        <v>-28317</v>
      </c>
      <c r="F10788" t="s">
        <v>546</v>
      </c>
      <c r="G10788" t="s">
        <v>35</v>
      </c>
      <c r="H10788" t="s">
        <v>45</v>
      </c>
      <c r="I10788" t="s">
        <v>21014</v>
      </c>
      <c r="J10788" t="str">
        <f>HYPERLINK("https://www.boe.es/gazeta/dias/1822/06/20/pdfs/GMD-1822-177.pdf#page=2","Abrir facsímil")</f>
        <v>Abrir facsímil</v>
      </c>
      <c r="K10788" t="s">
        <v>47</v>
      </c>
    </row>
    <row r="10789" spans="1:11" ht="42" customHeight="1">
      <c r="A10789" t="s">
        <v>21015</v>
      </c>
      <c r="B10789" t="s">
        <v>21015</v>
      </c>
      <c r="C10789" t="s">
        <v>50</v>
      </c>
      <c r="D10789" t="s">
        <v>51</v>
      </c>
      <c r="E10789" s="6">
        <v>-28279</v>
      </c>
      <c r="F10789" t="s">
        <v>662</v>
      </c>
      <c r="G10789" t="s">
        <v>35</v>
      </c>
      <c r="H10789" t="s">
        <v>20</v>
      </c>
      <c r="I10789" t="s">
        <v>21016</v>
      </c>
      <c r="J10789" t="str">
        <f>HYPERLINK("https://www.boe.es/gazeta/dias/1822/07/28/pdfs/GMD-1822-221.pdf#page=2","Abrir facsímil")</f>
        <v>Abrir facsímil</v>
      </c>
      <c r="K10789" t="s">
        <v>22</v>
      </c>
    </row>
    <row r="10790" spans="1:11" ht="42" customHeight="1">
      <c r="A10790" t="s">
        <v>21017</v>
      </c>
      <c r="B10790" t="s">
        <v>21018</v>
      </c>
      <c r="C10790" t="s">
        <v>28</v>
      </c>
      <c r="D10790" t="s">
        <v>29</v>
      </c>
      <c r="E10790" s="6">
        <v>-28436</v>
      </c>
      <c r="F10790" t="s">
        <v>431</v>
      </c>
      <c r="G10790" t="s">
        <v>1428</v>
      </c>
      <c r="H10790" t="s">
        <v>20</v>
      </c>
      <c r="I10790" t="s">
        <v>21019</v>
      </c>
      <c r="J10790" t="str">
        <f>HYPERLINK("https://www.boe.es/gazeta/dias/1822/02/21/pdfs/GMD-1822-53.pdf#page=3","Abrir facsímil")</f>
        <v>Abrir facsímil</v>
      </c>
      <c r="K10790" t="s">
        <v>22</v>
      </c>
    </row>
    <row r="10791" spans="1:11" ht="42" customHeight="1">
      <c r="A10791" t="s">
        <v>21020</v>
      </c>
      <c r="B10791" t="s">
        <v>21021</v>
      </c>
      <c r="C10791" t="s">
        <v>42</v>
      </c>
      <c r="D10791" t="s">
        <v>17</v>
      </c>
      <c r="E10791" s="6">
        <v>-28208</v>
      </c>
      <c r="F10791" t="s">
        <v>230</v>
      </c>
      <c r="G10791" t="s">
        <v>57</v>
      </c>
      <c r="H10791" t="s">
        <v>20</v>
      </c>
      <c r="I10791" t="s">
        <v>21022</v>
      </c>
      <c r="J10791" t="str">
        <f>HYPERLINK("https://www.boe.es/gazeta/dias/1822/10/07/pdfs/GMD-1822-293.pdf#page=4","Abrir facsímil")</f>
        <v>Abrir facsímil</v>
      </c>
      <c r="K10791" t="s">
        <v>22</v>
      </c>
    </row>
    <row r="10792" spans="1:11" ht="42" customHeight="1">
      <c r="A10792" t="s">
        <v>21023</v>
      </c>
      <c r="B10792" t="s">
        <v>21024</v>
      </c>
      <c r="C10792" t="s">
        <v>50</v>
      </c>
      <c r="D10792" t="s">
        <v>51</v>
      </c>
      <c r="E10792" s="6">
        <v>-28338</v>
      </c>
      <c r="F10792" t="s">
        <v>527</v>
      </c>
      <c r="G10792" t="s">
        <v>44</v>
      </c>
      <c r="H10792" t="s">
        <v>20</v>
      </c>
      <c r="I10792" t="s">
        <v>21025</v>
      </c>
      <c r="J10792" t="str">
        <f>HYPERLINK("https://www.boe.es/gazeta/dias/1822/05/30/pdfs/GMD-1822-155.pdf#page=1","Abrir facsímil")</f>
        <v>Abrir facsímil</v>
      </c>
      <c r="K10792" t="s">
        <v>22</v>
      </c>
    </row>
    <row r="10793" spans="1:11" ht="42" customHeight="1">
      <c r="A10793" t="s">
        <v>21026</v>
      </c>
      <c r="B10793" t="s">
        <v>21027</v>
      </c>
      <c r="C10793" t="s">
        <v>24</v>
      </c>
      <c r="D10793" t="s">
        <v>17</v>
      </c>
      <c r="E10793" s="6">
        <v>-28398</v>
      </c>
      <c r="F10793" t="s">
        <v>1961</v>
      </c>
      <c r="G10793" t="s">
        <v>31</v>
      </c>
      <c r="H10793" t="s">
        <v>20</v>
      </c>
      <c r="I10793" t="s">
        <v>21028</v>
      </c>
      <c r="J10793" t="str">
        <f>HYPERLINK("https://www.boe.es/gazeta/dias/1822/03/31/pdfs/GMD-1822-92.pdf#page=3","Abrir facsímil")</f>
        <v>Abrir facsímil</v>
      </c>
      <c r="K10793" t="s">
        <v>22</v>
      </c>
    </row>
    <row r="10794" spans="1:11" ht="42" customHeight="1">
      <c r="A10794" t="s">
        <v>21029</v>
      </c>
      <c r="B10794" t="s">
        <v>21029</v>
      </c>
      <c r="C10794" t="s">
        <v>42</v>
      </c>
      <c r="D10794" t="s">
        <v>17</v>
      </c>
      <c r="E10794" s="6">
        <v>-28434</v>
      </c>
      <c r="F10794" t="s">
        <v>433</v>
      </c>
      <c r="G10794" t="s">
        <v>31</v>
      </c>
      <c r="H10794" t="s">
        <v>20</v>
      </c>
      <c r="I10794" t="s">
        <v>21030</v>
      </c>
      <c r="J10794" t="str">
        <f>HYPERLINK("https://www.boe.es/gazeta/dias/1822/02/23/pdfs/GMD-1822-55.pdf#page=3","Abrir facsímil")</f>
        <v>Abrir facsímil</v>
      </c>
      <c r="K10794" t="s">
        <v>22</v>
      </c>
    </row>
    <row r="10795" spans="1:11" ht="42" customHeight="1">
      <c r="A10795" t="s">
        <v>21031</v>
      </c>
      <c r="B10795" t="s">
        <v>21032</v>
      </c>
      <c r="C10795" t="s">
        <v>50</v>
      </c>
      <c r="D10795" t="s">
        <v>723</v>
      </c>
      <c r="E10795" s="6">
        <v>-28181</v>
      </c>
      <c r="F10795" t="s">
        <v>724</v>
      </c>
      <c r="G10795" t="s">
        <v>35</v>
      </c>
      <c r="H10795" t="s">
        <v>20</v>
      </c>
      <c r="I10795" t="s">
        <v>21033</v>
      </c>
      <c r="J10795" t="str">
        <f>HYPERLINK("https://www.boe.es/gazeta/dias/1822/11/03/pdfs/GMD-1822-322E.pdf#page=2","Abrir facsímil")</f>
        <v>Abrir facsímil</v>
      </c>
      <c r="K10795" t="s">
        <v>22</v>
      </c>
    </row>
    <row r="10796" spans="1:11" ht="42" customHeight="1">
      <c r="A10796" t="s">
        <v>21034</v>
      </c>
      <c r="B10796" t="s">
        <v>21035</v>
      </c>
      <c r="C10796" t="s">
        <v>50</v>
      </c>
      <c r="D10796" t="s">
        <v>51</v>
      </c>
      <c r="E10796" s="6">
        <v>-28415</v>
      </c>
      <c r="F10796" t="s">
        <v>77</v>
      </c>
      <c r="G10796" t="s">
        <v>63</v>
      </c>
      <c r="H10796" t="s">
        <v>20</v>
      </c>
      <c r="I10796" t="s">
        <v>21036</v>
      </c>
      <c r="J10796" t="str">
        <f>HYPERLINK("https://www.boe.es/gazeta/dias/1822/03/14/pdfs/GMD-1822-75.pdf#page=6","Abrir facsímil")</f>
        <v>Abrir facsímil</v>
      </c>
      <c r="K10796" t="s">
        <v>22</v>
      </c>
    </row>
    <row r="10797" spans="1:11" ht="42" customHeight="1">
      <c r="A10797" t="s">
        <v>21037</v>
      </c>
      <c r="B10797" t="s">
        <v>21038</v>
      </c>
      <c r="C10797" t="s">
        <v>50</v>
      </c>
      <c r="D10797" t="s">
        <v>51</v>
      </c>
      <c r="E10797" s="6">
        <v>-28264</v>
      </c>
      <c r="F10797" t="s">
        <v>1329</v>
      </c>
      <c r="G10797" t="s">
        <v>57</v>
      </c>
      <c r="H10797" t="s">
        <v>20</v>
      </c>
      <c r="I10797" t="s">
        <v>21039</v>
      </c>
      <c r="J10797" t="str">
        <f>HYPERLINK("https://www.boe.es/gazeta/dias/1822/08/12/pdfs/GMD-1822-236.pdf#page=4","Abrir facsímil")</f>
        <v>Abrir facsímil</v>
      </c>
      <c r="K10797" t="s">
        <v>22</v>
      </c>
    </row>
    <row r="10798" spans="1:11" ht="42" customHeight="1">
      <c r="A10798" t="s">
        <v>21040</v>
      </c>
      <c r="B10798" t="s">
        <v>21041</v>
      </c>
      <c r="C10798" t="s">
        <v>50</v>
      </c>
      <c r="D10798" t="s">
        <v>51</v>
      </c>
      <c r="E10798" s="6">
        <v>-28378</v>
      </c>
      <c r="F10798" t="s">
        <v>496</v>
      </c>
      <c r="G10798" t="s">
        <v>35</v>
      </c>
      <c r="H10798" t="s">
        <v>20</v>
      </c>
      <c r="I10798" t="s">
        <v>21042</v>
      </c>
      <c r="J10798" t="str">
        <f>HYPERLINK("https://www.boe.es/gazeta/dias/1822/04/20/pdfs/GMD-1822-112.pdf#page=2","Abrir facsímil")</f>
        <v>Abrir facsímil</v>
      </c>
      <c r="K10798" t="s">
        <v>22</v>
      </c>
    </row>
    <row r="10799" spans="1:11" ht="42" customHeight="1">
      <c r="A10799" t="s">
        <v>21043</v>
      </c>
      <c r="B10799" t="s">
        <v>21044</v>
      </c>
      <c r="C10799" t="s">
        <v>28</v>
      </c>
      <c r="D10799" t="s">
        <v>29</v>
      </c>
      <c r="E10799" s="6">
        <v>-28384</v>
      </c>
      <c r="F10799" t="s">
        <v>258</v>
      </c>
      <c r="G10799" t="s">
        <v>63</v>
      </c>
      <c r="H10799" t="s">
        <v>20</v>
      </c>
      <c r="I10799" t="s">
        <v>21045</v>
      </c>
      <c r="J10799" t="str">
        <f>HYPERLINK("https://www.boe.es/gazeta/dias/1822/04/14/pdfs/GMD-1822-106.pdf#page=6","Abrir facsímil")</f>
        <v>Abrir facsímil</v>
      </c>
      <c r="K10799" t="s">
        <v>22</v>
      </c>
    </row>
    <row r="10800" spans="1:11" ht="42" customHeight="1">
      <c r="A10800" t="s">
        <v>21046</v>
      </c>
      <c r="B10800" t="s">
        <v>21047</v>
      </c>
      <c r="C10800" t="s">
        <v>42</v>
      </c>
      <c r="D10800" t="s">
        <v>17</v>
      </c>
      <c r="E10800" s="6">
        <v>-28361</v>
      </c>
      <c r="F10800" t="s">
        <v>374</v>
      </c>
      <c r="G10800" t="s">
        <v>63</v>
      </c>
      <c r="H10800" t="s">
        <v>45</v>
      </c>
      <c r="I10800" t="s">
        <v>21048</v>
      </c>
      <c r="J10800" t="str">
        <f>HYPERLINK("https://www.boe.es/gazeta/dias/1822/05/07/pdfs/GMD-1822-129.pdf#page=6","Abrir facsímil")</f>
        <v>Abrir facsímil</v>
      </c>
      <c r="K10800" t="s">
        <v>47</v>
      </c>
    </row>
    <row r="10801" spans="1:11" ht="42" customHeight="1">
      <c r="A10801" t="s">
        <v>21049</v>
      </c>
      <c r="B10801" t="s">
        <v>21050</v>
      </c>
      <c r="C10801" t="s">
        <v>50</v>
      </c>
      <c r="D10801" t="s">
        <v>51</v>
      </c>
      <c r="E10801" s="6">
        <v>-28330</v>
      </c>
      <c r="F10801" t="s">
        <v>896</v>
      </c>
      <c r="G10801" t="s">
        <v>57</v>
      </c>
      <c r="H10801" t="s">
        <v>20</v>
      </c>
      <c r="I10801" t="s">
        <v>21051</v>
      </c>
      <c r="J10801" t="str">
        <f>HYPERLINK("https://www.boe.es/gazeta/dias/1822/06/07/pdfs/GMD-1822-164.pdf#page=4","Abrir facsímil")</f>
        <v>Abrir facsímil</v>
      </c>
      <c r="K10801" t="s">
        <v>22</v>
      </c>
    </row>
    <row r="10802" spans="1:11" ht="42" customHeight="1">
      <c r="A10802" t="s">
        <v>21052</v>
      </c>
      <c r="B10802" t="s">
        <v>21053</v>
      </c>
      <c r="C10802" t="s">
        <v>50</v>
      </c>
      <c r="D10802" t="s">
        <v>51</v>
      </c>
      <c r="E10802" s="6">
        <v>-28296</v>
      </c>
      <c r="F10802" t="s">
        <v>4121</v>
      </c>
      <c r="G10802" t="s">
        <v>57</v>
      </c>
      <c r="H10802" t="s">
        <v>45</v>
      </c>
      <c r="I10802" t="s">
        <v>21054</v>
      </c>
      <c r="J10802" t="str">
        <f>HYPERLINK("https://www.boe.es/gazeta/dias/1822/07/11/pdfs/GMD-1822-201.pdf#page=4","Abrir facsímil")</f>
        <v>Abrir facsímil</v>
      </c>
      <c r="K10802" t="s">
        <v>47</v>
      </c>
    </row>
    <row r="10803" spans="1:11" ht="42" customHeight="1">
      <c r="A10803" t="s">
        <v>21055</v>
      </c>
      <c r="B10803" t="s">
        <v>21056</v>
      </c>
      <c r="C10803" t="s">
        <v>71</v>
      </c>
      <c r="D10803" t="s">
        <v>17</v>
      </c>
      <c r="E10803" s="6">
        <v>-28399</v>
      </c>
      <c r="F10803" t="s">
        <v>476</v>
      </c>
      <c r="G10803" t="s">
        <v>57</v>
      </c>
      <c r="H10803" t="s">
        <v>20</v>
      </c>
      <c r="I10803" t="s">
        <v>21057</v>
      </c>
      <c r="J10803" t="str">
        <f>HYPERLINK("https://www.boe.es/gazeta/dias/1822/03/30/pdfs/GMD-1822-91.pdf#page=4","Abrir facsímil")</f>
        <v>Abrir facsímil</v>
      </c>
      <c r="K10803" t="s">
        <v>22</v>
      </c>
    </row>
    <row r="10804" spans="1:11" ht="42" customHeight="1">
      <c r="A10804" t="s">
        <v>21058</v>
      </c>
      <c r="B10804" t="s">
        <v>21059</v>
      </c>
      <c r="C10804" t="s">
        <v>50</v>
      </c>
      <c r="D10804" t="s">
        <v>51</v>
      </c>
      <c r="E10804" s="6">
        <v>-28184</v>
      </c>
      <c r="F10804" t="s">
        <v>1423</v>
      </c>
      <c r="G10804" t="s">
        <v>44</v>
      </c>
      <c r="H10804" t="s">
        <v>20</v>
      </c>
      <c r="I10804" t="s">
        <v>21060</v>
      </c>
      <c r="J10804" t="str">
        <f>HYPERLINK("https://www.boe.es/gazeta/dias/1822/10/31/pdfs/GMD-1822-318.pdf#page=1","Abrir facsímil")</f>
        <v>Abrir facsímil</v>
      </c>
      <c r="K10804" t="s">
        <v>22</v>
      </c>
    </row>
    <row r="10805" spans="1:11" ht="42" customHeight="1">
      <c r="A10805" t="s">
        <v>21061</v>
      </c>
      <c r="B10805" t="s">
        <v>21061</v>
      </c>
      <c r="C10805" t="s">
        <v>28</v>
      </c>
      <c r="D10805" t="s">
        <v>29</v>
      </c>
      <c r="E10805" s="6">
        <v>-28174</v>
      </c>
      <c r="F10805" t="s">
        <v>881</v>
      </c>
      <c r="G10805" t="s">
        <v>35</v>
      </c>
      <c r="H10805" t="s">
        <v>20</v>
      </c>
      <c r="I10805" t="s">
        <v>21062</v>
      </c>
      <c r="J10805" t="str">
        <f>HYPERLINK("https://www.boe.es/gazeta/dias/1822/11/10/pdfs/GMD-1822-330.pdf#page=2","Abrir facsímil")</f>
        <v>Abrir facsímil</v>
      </c>
      <c r="K10805" t="s">
        <v>22</v>
      </c>
    </row>
    <row r="10806" spans="1:11" ht="42" customHeight="1">
      <c r="A10806" t="s">
        <v>21061</v>
      </c>
      <c r="B10806" t="s">
        <v>21061</v>
      </c>
      <c r="C10806" t="s">
        <v>50</v>
      </c>
      <c r="D10806" t="s">
        <v>51</v>
      </c>
      <c r="E10806" s="6">
        <v>-28174</v>
      </c>
      <c r="F10806" t="s">
        <v>881</v>
      </c>
      <c r="G10806" t="s">
        <v>31</v>
      </c>
      <c r="H10806" t="s">
        <v>20</v>
      </c>
      <c r="I10806" t="s">
        <v>21063</v>
      </c>
      <c r="J10806" t="str">
        <f>HYPERLINK("https://www.boe.es/gazeta/dias/1822/11/10/pdfs/GMD-1822-330.pdf#page=3","Abrir facsímil")</f>
        <v>Abrir facsímil</v>
      </c>
      <c r="K10806" t="s">
        <v>22</v>
      </c>
    </row>
    <row r="10807" spans="1:11" ht="42" customHeight="1">
      <c r="A10807" t="s">
        <v>21064</v>
      </c>
      <c r="B10807" t="s">
        <v>21065</v>
      </c>
      <c r="C10807" t="s">
        <v>16</v>
      </c>
      <c r="D10807" t="s">
        <v>17</v>
      </c>
      <c r="E10807" s="6">
        <v>-28174</v>
      </c>
      <c r="F10807" t="s">
        <v>881</v>
      </c>
      <c r="G10807" t="s">
        <v>44</v>
      </c>
      <c r="H10807" t="s">
        <v>20</v>
      </c>
      <c r="I10807" t="s">
        <v>21066</v>
      </c>
      <c r="J10807" t="str">
        <f>HYPERLINK("https://www.boe.es/gazeta/dias/1822/11/10/pdfs/GMD-1822-330.pdf#page=1","Abrir facsímil")</f>
        <v>Abrir facsímil</v>
      </c>
      <c r="K10807" t="s">
        <v>22</v>
      </c>
    </row>
    <row r="10808" spans="1:11" ht="42" customHeight="1">
      <c r="A10808" t="s">
        <v>21064</v>
      </c>
      <c r="B10808" t="s">
        <v>21065</v>
      </c>
      <c r="C10808" t="s">
        <v>28</v>
      </c>
      <c r="D10808" t="s">
        <v>29</v>
      </c>
      <c r="E10808" s="6">
        <v>-28174</v>
      </c>
      <c r="F10808" t="s">
        <v>881</v>
      </c>
      <c r="G10808" t="s">
        <v>35</v>
      </c>
      <c r="H10808" t="s">
        <v>20</v>
      </c>
      <c r="I10808" t="s">
        <v>21067</v>
      </c>
      <c r="J10808" t="str">
        <f>HYPERLINK("https://www.boe.es/gazeta/dias/1822/11/10/pdfs/GMD-1822-330.pdf#page=2","Abrir facsímil")</f>
        <v>Abrir facsímil</v>
      </c>
      <c r="K10808" t="s">
        <v>22</v>
      </c>
    </row>
    <row r="10809" spans="1:11" ht="42" customHeight="1">
      <c r="A10809" t="s">
        <v>21064</v>
      </c>
      <c r="B10809" t="s">
        <v>21065</v>
      </c>
      <c r="C10809" t="s">
        <v>61</v>
      </c>
      <c r="D10809" t="s">
        <v>17</v>
      </c>
      <c r="E10809" s="6">
        <v>-28162</v>
      </c>
      <c r="F10809" t="s">
        <v>3949</v>
      </c>
      <c r="G10809" t="s">
        <v>35</v>
      </c>
      <c r="H10809" t="s">
        <v>20</v>
      </c>
      <c r="I10809" t="s">
        <v>21068</v>
      </c>
      <c r="J10809" t="str">
        <f>HYPERLINK("https://www.boe.es/gazeta/dias/1822/11/22/pdfs/GMD-1822-342.pdf#page=2","Abrir facsímil")</f>
        <v>Abrir facsímil</v>
      </c>
      <c r="K10809" t="s">
        <v>22</v>
      </c>
    </row>
    <row r="10810" spans="1:11" ht="42" customHeight="1">
      <c r="A10810" t="s">
        <v>21069</v>
      </c>
      <c r="B10810" t="s">
        <v>21070</v>
      </c>
      <c r="C10810" t="s">
        <v>71</v>
      </c>
      <c r="D10810" t="s">
        <v>17</v>
      </c>
      <c r="E10810" s="6">
        <v>-28179</v>
      </c>
      <c r="F10810" t="s">
        <v>935</v>
      </c>
      <c r="G10810" t="s">
        <v>35</v>
      </c>
      <c r="H10810" t="s">
        <v>20</v>
      </c>
      <c r="I10810" t="s">
        <v>21071</v>
      </c>
      <c r="J10810" t="str">
        <f>HYPERLINK("https://www.boe.es/gazeta/dias/1822/11/05/pdfs/GMD-1822-325.pdf#page=2","Abrir facsímil")</f>
        <v>Abrir facsímil</v>
      </c>
      <c r="K10810" t="s">
        <v>22</v>
      </c>
    </row>
    <row r="10811" spans="1:11" ht="42" customHeight="1">
      <c r="A10811" t="s">
        <v>21069</v>
      </c>
      <c r="B10811" t="s">
        <v>21070</v>
      </c>
      <c r="C10811" t="s">
        <v>71</v>
      </c>
      <c r="D10811" t="s">
        <v>17</v>
      </c>
      <c r="E10811" s="6">
        <v>-28179</v>
      </c>
      <c r="F10811" t="s">
        <v>935</v>
      </c>
      <c r="G10811" t="s">
        <v>31</v>
      </c>
      <c r="H10811" t="s">
        <v>20</v>
      </c>
      <c r="I10811" t="s">
        <v>21072</v>
      </c>
      <c r="J10811" t="str">
        <f>HYPERLINK("https://www.boe.es/gazeta/dias/1822/11/05/pdfs/GMD-1822-325.pdf#page=3","Abrir facsímil")</f>
        <v>Abrir facsímil</v>
      </c>
      <c r="K10811" t="s">
        <v>22</v>
      </c>
    </row>
    <row r="10812" spans="1:11" ht="42" customHeight="1">
      <c r="A10812" t="s">
        <v>21073</v>
      </c>
      <c r="B10812" t="s">
        <v>21074</v>
      </c>
      <c r="C10812" t="s">
        <v>16</v>
      </c>
      <c r="D10812" t="s">
        <v>17</v>
      </c>
      <c r="E10812" s="6">
        <v>-28172</v>
      </c>
      <c r="F10812" t="s">
        <v>674</v>
      </c>
      <c r="G10812" t="s">
        <v>44</v>
      </c>
      <c r="H10812" t="s">
        <v>20</v>
      </c>
      <c r="I10812" t="s">
        <v>21075</v>
      </c>
      <c r="J10812" t="str">
        <f>HYPERLINK("https://www.boe.es/gazeta/dias/1822/11/12/pdfs/GMD-1822-332.pdf#page=1","Abrir facsímil")</f>
        <v>Abrir facsímil</v>
      </c>
      <c r="K10812" t="s">
        <v>22</v>
      </c>
    </row>
    <row r="10813" spans="1:11" ht="42" customHeight="1">
      <c r="A10813" t="s">
        <v>21076</v>
      </c>
      <c r="B10813" t="s">
        <v>21077</v>
      </c>
      <c r="C10813" t="s">
        <v>50</v>
      </c>
      <c r="D10813" t="s">
        <v>51</v>
      </c>
      <c r="E10813" s="6">
        <v>-28342</v>
      </c>
      <c r="F10813" t="s">
        <v>2281</v>
      </c>
      <c r="G10813" t="s">
        <v>35</v>
      </c>
      <c r="H10813" t="s">
        <v>20</v>
      </c>
      <c r="I10813" t="s">
        <v>21078</v>
      </c>
      <c r="J10813" t="str">
        <f>HYPERLINK("https://www.boe.es/gazeta/dias/1822/05/26/pdfs/GMD-1822-151.pdf#page=2","Abrir facsímil")</f>
        <v>Abrir facsímil</v>
      </c>
      <c r="K10813" t="s">
        <v>22</v>
      </c>
    </row>
    <row r="10814" spans="1:11" ht="42" customHeight="1">
      <c r="A10814" t="s">
        <v>21079</v>
      </c>
      <c r="B10814" t="s">
        <v>21080</v>
      </c>
      <c r="C10814" t="s">
        <v>50</v>
      </c>
      <c r="D10814" t="s">
        <v>51</v>
      </c>
      <c r="E10814" s="6">
        <v>-28444</v>
      </c>
      <c r="F10814" t="s">
        <v>681</v>
      </c>
      <c r="G10814" t="s">
        <v>35</v>
      </c>
      <c r="H10814" t="s">
        <v>20</v>
      </c>
      <c r="I10814" t="s">
        <v>21081</v>
      </c>
      <c r="J10814" t="str">
        <f>HYPERLINK("https://www.boe.es/gazeta/dias/1822/02/13/pdfs/GMD-1822-44.pdf#page=2","Abrir facsímil")</f>
        <v>Abrir facsímil</v>
      </c>
      <c r="K10814" t="s">
        <v>22</v>
      </c>
    </row>
    <row r="10815" spans="1:11" ht="42" customHeight="1">
      <c r="A10815" t="s">
        <v>21082</v>
      </c>
      <c r="B10815" t="s">
        <v>21083</v>
      </c>
      <c r="C10815" t="s">
        <v>50</v>
      </c>
      <c r="D10815" t="s">
        <v>51</v>
      </c>
      <c r="E10815" s="6">
        <v>-28396</v>
      </c>
      <c r="F10815" t="s">
        <v>1138</v>
      </c>
      <c r="G10815" t="s">
        <v>157</v>
      </c>
      <c r="H10815" t="s">
        <v>20</v>
      </c>
      <c r="I10815" t="s">
        <v>21084</v>
      </c>
      <c r="J10815" t="str">
        <f>HYPERLINK("https://www.boe.es/gazeta/dias/1822/04/02/pdfs/GMD-1822-94.pdf#page=8","Abrir facsímil")</f>
        <v>Abrir facsímil</v>
      </c>
      <c r="K10815" t="s">
        <v>22</v>
      </c>
    </row>
    <row r="10816" spans="1:11" ht="42" customHeight="1">
      <c r="A10816" t="s">
        <v>21085</v>
      </c>
      <c r="B10816" t="s">
        <v>21086</v>
      </c>
      <c r="C10816" t="s">
        <v>50</v>
      </c>
      <c r="D10816" t="s">
        <v>51</v>
      </c>
      <c r="E10816" s="6">
        <v>-28318</v>
      </c>
      <c r="F10816" t="s">
        <v>397</v>
      </c>
      <c r="G10816" t="s">
        <v>167</v>
      </c>
      <c r="H10816" t="s">
        <v>20</v>
      </c>
      <c r="I10816" t="s">
        <v>21087</v>
      </c>
      <c r="J10816" t="str">
        <f>HYPERLINK("https://www.boe.es/gazeta/dias/1822/06/19/pdfs/GMD-1822-176.pdf#page=7","Abrir facsímil")</f>
        <v>Abrir facsímil</v>
      </c>
      <c r="K10816" t="s">
        <v>22</v>
      </c>
    </row>
    <row r="10817" spans="1:11" ht="42" customHeight="1">
      <c r="A10817" t="s">
        <v>21085</v>
      </c>
      <c r="B10817" t="s">
        <v>21086</v>
      </c>
      <c r="C10817" t="s">
        <v>16</v>
      </c>
      <c r="D10817" t="s">
        <v>17</v>
      </c>
      <c r="E10817" s="6">
        <v>-28158</v>
      </c>
      <c r="F10817" t="s">
        <v>590</v>
      </c>
      <c r="G10817" t="s">
        <v>63</v>
      </c>
      <c r="H10817" t="s">
        <v>20</v>
      </c>
      <c r="I10817" t="s">
        <v>21088</v>
      </c>
      <c r="J10817" t="str">
        <f>HYPERLINK("https://www.boe.es/gazeta/dias/1822/11/26/pdfs/GMD-1822-346.pdf#page=6","Abrir facsímil")</f>
        <v>Abrir facsímil</v>
      </c>
      <c r="K10817" t="s">
        <v>22</v>
      </c>
    </row>
    <row r="10818" spans="1:11" ht="42" customHeight="1">
      <c r="A10818" t="s">
        <v>21089</v>
      </c>
      <c r="B10818" t="s">
        <v>21090</v>
      </c>
      <c r="C10818" t="s">
        <v>28</v>
      </c>
      <c r="D10818" t="s">
        <v>29</v>
      </c>
      <c r="E10818" s="6">
        <v>-28214</v>
      </c>
      <c r="F10818" t="s">
        <v>814</v>
      </c>
      <c r="G10818" t="s">
        <v>57</v>
      </c>
      <c r="H10818" t="s">
        <v>20</v>
      </c>
      <c r="I10818" t="s">
        <v>21091</v>
      </c>
      <c r="J10818" t="str">
        <f>HYPERLINK("https://www.boe.es/gazeta/dias/1822/10/01/pdfs/GMD-1822-287.pdf#page=4","Abrir facsímil")</f>
        <v>Abrir facsímil</v>
      </c>
      <c r="K10818" t="s">
        <v>22</v>
      </c>
    </row>
    <row r="10819" spans="1:11" ht="42" customHeight="1">
      <c r="A10819" t="s">
        <v>21092</v>
      </c>
      <c r="B10819" t="s">
        <v>21093</v>
      </c>
      <c r="C10819" t="s">
        <v>16</v>
      </c>
      <c r="D10819" t="s">
        <v>17</v>
      </c>
      <c r="E10819" s="6">
        <v>-28214</v>
      </c>
      <c r="F10819" t="s">
        <v>814</v>
      </c>
      <c r="G10819" t="s">
        <v>57</v>
      </c>
      <c r="H10819" t="s">
        <v>20</v>
      </c>
      <c r="I10819" t="s">
        <v>21094</v>
      </c>
      <c r="J10819" t="str">
        <f>HYPERLINK("https://www.boe.es/gazeta/dias/1822/10/01/pdfs/GMD-1822-287.pdf#page=4","Abrir facsímil")</f>
        <v>Abrir facsímil</v>
      </c>
      <c r="K10819" t="s">
        <v>22</v>
      </c>
    </row>
    <row r="10820" spans="1:11" ht="42" customHeight="1">
      <c r="A10820" t="s">
        <v>21095</v>
      </c>
      <c r="B10820" t="s">
        <v>21096</v>
      </c>
      <c r="C10820" t="s">
        <v>50</v>
      </c>
      <c r="D10820" t="s">
        <v>51</v>
      </c>
      <c r="E10820" s="6">
        <v>-28208</v>
      </c>
      <c r="F10820" t="s">
        <v>230</v>
      </c>
      <c r="G10820" t="s">
        <v>57</v>
      </c>
      <c r="H10820" t="s">
        <v>20</v>
      </c>
      <c r="I10820" t="s">
        <v>21097</v>
      </c>
      <c r="J10820" t="str">
        <f>HYPERLINK("https://www.boe.es/gazeta/dias/1822/10/07/pdfs/GMD-1822-293.pdf#page=4","Abrir facsímil")</f>
        <v>Abrir facsímil</v>
      </c>
      <c r="K10820" t="s">
        <v>22</v>
      </c>
    </row>
    <row r="10821" spans="1:11" ht="42" customHeight="1">
      <c r="A10821" t="s">
        <v>21098</v>
      </c>
      <c r="B10821" t="s">
        <v>21099</v>
      </c>
      <c r="C10821" t="s">
        <v>28</v>
      </c>
      <c r="D10821" t="s">
        <v>29</v>
      </c>
      <c r="E10821" s="6">
        <v>-28436</v>
      </c>
      <c r="F10821" t="s">
        <v>431</v>
      </c>
      <c r="G10821" t="s">
        <v>1428</v>
      </c>
      <c r="H10821" t="s">
        <v>20</v>
      </c>
      <c r="I10821" t="s">
        <v>21100</v>
      </c>
      <c r="J10821" t="str">
        <f>HYPERLINK("https://www.boe.es/gazeta/dias/1822/02/21/pdfs/GMD-1822-53.pdf#page=3","Abrir facsímil")</f>
        <v>Abrir facsímil</v>
      </c>
      <c r="K10821" t="s">
        <v>22</v>
      </c>
    </row>
    <row r="10822" spans="1:11" ht="42" customHeight="1">
      <c r="A10822" t="s">
        <v>21101</v>
      </c>
      <c r="B10822" t="s">
        <v>21102</v>
      </c>
      <c r="C10822" t="s">
        <v>50</v>
      </c>
      <c r="D10822" t="s">
        <v>51</v>
      </c>
      <c r="E10822" s="6">
        <v>-28264</v>
      </c>
      <c r="F10822" t="s">
        <v>1329</v>
      </c>
      <c r="G10822" t="s">
        <v>57</v>
      </c>
      <c r="H10822" t="s">
        <v>20</v>
      </c>
      <c r="I10822" t="s">
        <v>21103</v>
      </c>
      <c r="J10822" t="str">
        <f>HYPERLINK("https://www.boe.es/gazeta/dias/1822/08/12/pdfs/GMD-1822-236.pdf#page=4","Abrir facsímil")</f>
        <v>Abrir facsímil</v>
      </c>
      <c r="K10822" t="s">
        <v>22</v>
      </c>
    </row>
    <row r="10823" spans="1:11" ht="42" customHeight="1">
      <c r="A10823" t="s">
        <v>21104</v>
      </c>
      <c r="B10823" t="s">
        <v>21104</v>
      </c>
      <c r="C10823" t="s">
        <v>50</v>
      </c>
      <c r="D10823" t="s">
        <v>51</v>
      </c>
      <c r="E10823" s="6">
        <v>-28447</v>
      </c>
      <c r="F10823" t="s">
        <v>997</v>
      </c>
      <c r="G10823" t="s">
        <v>44</v>
      </c>
      <c r="H10823" t="s">
        <v>20</v>
      </c>
      <c r="I10823" t="s">
        <v>21105</v>
      </c>
      <c r="J10823" t="str">
        <f>HYPERLINK("https://www.boe.es/gazeta/dias/1822/02/10/pdfs/GMD-1822-41.pdf#page=1","Abrir facsímil")</f>
        <v>Abrir facsímil</v>
      </c>
      <c r="K10823" t="s">
        <v>22</v>
      </c>
    </row>
    <row r="10824" spans="1:11" ht="42" customHeight="1">
      <c r="A10824" t="s">
        <v>21106</v>
      </c>
      <c r="B10824" t="s">
        <v>21107</v>
      </c>
      <c r="C10824" t="s">
        <v>42</v>
      </c>
      <c r="D10824" t="s">
        <v>17</v>
      </c>
      <c r="E10824" s="6">
        <v>-28233</v>
      </c>
      <c r="F10824" t="s">
        <v>810</v>
      </c>
      <c r="G10824" t="s">
        <v>57</v>
      </c>
      <c r="H10824" t="s">
        <v>20</v>
      </c>
      <c r="I10824" t="s">
        <v>21108</v>
      </c>
      <c r="J10824" t="str">
        <f>HYPERLINK("https://www.boe.es/gazeta/dias/1822/09/12/pdfs/GMD-1822-268.pdf#page=4","Abrir facsímil")</f>
        <v>Abrir facsímil</v>
      </c>
      <c r="K10824" t="s">
        <v>22</v>
      </c>
    </row>
    <row r="10825" spans="1:11" ht="42" customHeight="1">
      <c r="A10825" t="s">
        <v>21109</v>
      </c>
      <c r="B10825" t="s">
        <v>21110</v>
      </c>
      <c r="C10825" t="s">
        <v>42</v>
      </c>
      <c r="D10825" t="s">
        <v>17</v>
      </c>
      <c r="E10825" s="6">
        <v>-28219</v>
      </c>
      <c r="F10825" t="s">
        <v>1082</v>
      </c>
      <c r="G10825" t="s">
        <v>31</v>
      </c>
      <c r="H10825" t="s">
        <v>20</v>
      </c>
      <c r="I10825" t="s">
        <v>21111</v>
      </c>
      <c r="J10825" t="str">
        <f>HYPERLINK("https://www.boe.es/gazeta/dias/1822/09/26/pdfs/GMD-1822-282.pdf#page=3","Abrir facsímil")</f>
        <v>Abrir facsímil</v>
      </c>
      <c r="K10825" t="s">
        <v>22</v>
      </c>
    </row>
    <row r="10826" spans="1:11" ht="42" customHeight="1">
      <c r="A10826" t="s">
        <v>21112</v>
      </c>
      <c r="B10826" t="s">
        <v>21113</v>
      </c>
      <c r="C10826" t="s">
        <v>50</v>
      </c>
      <c r="D10826" t="s">
        <v>51</v>
      </c>
      <c r="E10826" s="6">
        <v>-28194</v>
      </c>
      <c r="F10826" t="s">
        <v>18</v>
      </c>
      <c r="G10826" t="s">
        <v>63</v>
      </c>
      <c r="H10826" t="s">
        <v>20</v>
      </c>
      <c r="I10826" t="s">
        <v>21114</v>
      </c>
      <c r="J10826" t="str">
        <f>HYPERLINK("https://www.boe.es/gazeta/dias/1822/10/21/pdfs/GMD-1822-308.pdf#page=6","Abrir facsímil")</f>
        <v>Abrir facsímil</v>
      </c>
      <c r="K10826" t="s">
        <v>22</v>
      </c>
    </row>
    <row r="10827" spans="1:11" ht="42" customHeight="1">
      <c r="A10827" t="s">
        <v>21115</v>
      </c>
      <c r="B10827" t="s">
        <v>21116</v>
      </c>
      <c r="C10827" t="s">
        <v>50</v>
      </c>
      <c r="D10827" t="s">
        <v>51</v>
      </c>
      <c r="E10827" s="6">
        <v>-28319</v>
      </c>
      <c r="F10827" t="s">
        <v>271</v>
      </c>
      <c r="G10827" t="s">
        <v>35</v>
      </c>
      <c r="H10827" t="s">
        <v>20</v>
      </c>
      <c r="I10827" t="s">
        <v>21117</v>
      </c>
      <c r="J10827" t="str">
        <f>HYPERLINK("https://www.boe.es/gazeta/dias/1822/06/18/pdfs/GMD-1822-175.pdf#page=2","Abrir facsímil")</f>
        <v>Abrir facsímil</v>
      </c>
      <c r="K10827" t="s">
        <v>22</v>
      </c>
    </row>
    <row r="10828" spans="1:11" ht="42" customHeight="1">
      <c r="A10828" t="s">
        <v>21118</v>
      </c>
      <c r="B10828" t="s">
        <v>21118</v>
      </c>
      <c r="C10828" t="s">
        <v>50</v>
      </c>
      <c r="D10828" t="s">
        <v>51</v>
      </c>
      <c r="E10828" s="6">
        <v>-28264</v>
      </c>
      <c r="F10828" t="s">
        <v>1329</v>
      </c>
      <c r="G10828" t="s">
        <v>31</v>
      </c>
      <c r="H10828" t="s">
        <v>20</v>
      </c>
      <c r="I10828" t="s">
        <v>21119</v>
      </c>
      <c r="J10828" t="str">
        <f>HYPERLINK("https://www.boe.es/gazeta/dias/1822/08/12/pdfs/GMD-1822-236.pdf#page=3","Abrir facsímil")</f>
        <v>Abrir facsímil</v>
      </c>
      <c r="K10828" t="s">
        <v>22</v>
      </c>
    </row>
    <row r="10829" spans="1:11" ht="42" customHeight="1">
      <c r="A10829" t="s">
        <v>21120</v>
      </c>
      <c r="B10829" t="s">
        <v>21120</v>
      </c>
      <c r="C10829" t="s">
        <v>42</v>
      </c>
      <c r="D10829" t="s">
        <v>17</v>
      </c>
      <c r="E10829" s="6">
        <v>-28446</v>
      </c>
      <c r="F10829" t="s">
        <v>773</v>
      </c>
      <c r="G10829" t="s">
        <v>35</v>
      </c>
      <c r="H10829" t="s">
        <v>20</v>
      </c>
      <c r="I10829" t="s">
        <v>21121</v>
      </c>
      <c r="J10829" t="str">
        <f>HYPERLINK("https://www.boe.es/gazeta/dias/1822/02/11/pdfs/GMD-1822-42.pdf#page=2","Abrir facsímil")</f>
        <v>Abrir facsímil</v>
      </c>
      <c r="K10829" t="s">
        <v>22</v>
      </c>
    </row>
    <row r="10830" spans="1:11" ht="42" customHeight="1">
      <c r="A10830" t="s">
        <v>21120</v>
      </c>
      <c r="B10830" t="s">
        <v>21120</v>
      </c>
      <c r="C10830" t="s">
        <v>24</v>
      </c>
      <c r="D10830" t="s">
        <v>17</v>
      </c>
      <c r="E10830" s="6">
        <v>-28274</v>
      </c>
      <c r="F10830" t="s">
        <v>3371</v>
      </c>
      <c r="G10830" t="s">
        <v>44</v>
      </c>
      <c r="H10830" t="s">
        <v>20</v>
      </c>
      <c r="I10830" t="s">
        <v>21122</v>
      </c>
      <c r="J10830" t="str">
        <f>HYPERLINK("https://www.boe.es/gazeta/dias/1822/08/02/pdfs/GMD-1822-226.pdf#page=1","Abrir facsímil")</f>
        <v>Abrir facsímil</v>
      </c>
      <c r="K10830" t="s">
        <v>22</v>
      </c>
    </row>
    <row r="10831" spans="1:11" ht="42" customHeight="1">
      <c r="A10831" t="s">
        <v>21120</v>
      </c>
      <c r="B10831" t="s">
        <v>21120</v>
      </c>
      <c r="C10831" t="s">
        <v>24</v>
      </c>
      <c r="D10831" t="s">
        <v>17</v>
      </c>
      <c r="E10831" s="6">
        <v>-28271</v>
      </c>
      <c r="F10831" t="s">
        <v>4942</v>
      </c>
      <c r="G10831" t="s">
        <v>57</v>
      </c>
      <c r="H10831" t="s">
        <v>20</v>
      </c>
      <c r="I10831" t="s">
        <v>21123</v>
      </c>
      <c r="J10831" t="str">
        <f>HYPERLINK("https://www.boe.es/gazeta/dias/1822/08/05/pdfs/GMD-1822-229.pdf#page=4","Abrir facsímil")</f>
        <v>Abrir facsímil</v>
      </c>
      <c r="K10831" t="s">
        <v>22</v>
      </c>
    </row>
    <row r="10832" spans="1:11" ht="42" customHeight="1">
      <c r="A10832" t="s">
        <v>21124</v>
      </c>
      <c r="B10832" t="s">
        <v>21125</v>
      </c>
      <c r="C10832" t="s">
        <v>28</v>
      </c>
      <c r="D10832" t="s">
        <v>29</v>
      </c>
      <c r="E10832" s="6">
        <v>-28392</v>
      </c>
      <c r="F10832" t="s">
        <v>2003</v>
      </c>
      <c r="G10832" t="s">
        <v>57</v>
      </c>
      <c r="H10832" t="s">
        <v>20</v>
      </c>
      <c r="I10832" t="s">
        <v>21126</v>
      </c>
      <c r="J10832" t="str">
        <f>HYPERLINK("https://www.boe.es/gazeta/dias/1822/04/06/pdfs/GMD-1822-98.pdf#page=4","Abrir facsímil")</f>
        <v>Abrir facsímil</v>
      </c>
      <c r="K10832" t="s">
        <v>22</v>
      </c>
    </row>
    <row r="10833" spans="1:11" ht="42" customHeight="1">
      <c r="A10833" t="s">
        <v>21127</v>
      </c>
      <c r="B10833" t="s">
        <v>21128</v>
      </c>
      <c r="C10833" t="s">
        <v>50</v>
      </c>
      <c r="D10833" t="s">
        <v>51</v>
      </c>
      <c r="E10833" s="6">
        <v>-28428</v>
      </c>
      <c r="F10833" t="s">
        <v>1924</v>
      </c>
      <c r="G10833" t="s">
        <v>57</v>
      </c>
      <c r="H10833" t="s">
        <v>20</v>
      </c>
      <c r="I10833" t="s">
        <v>21129</v>
      </c>
      <c r="J10833" t="str">
        <f>HYPERLINK("https://www.boe.es/gazeta/dias/1822/03/01/pdfs/GMD-1822-61.pdf#page=4","Abrir facsímil")</f>
        <v>Abrir facsímil</v>
      </c>
      <c r="K10833" t="s">
        <v>22</v>
      </c>
    </row>
    <row r="10834" spans="1:11" ht="42" customHeight="1">
      <c r="A10834" t="s">
        <v>21130</v>
      </c>
      <c r="B10834" t="s">
        <v>21131</v>
      </c>
      <c r="C10834" t="s">
        <v>71</v>
      </c>
      <c r="D10834" t="s">
        <v>17</v>
      </c>
      <c r="E10834" s="6">
        <v>-28391</v>
      </c>
      <c r="F10834" t="s">
        <v>378</v>
      </c>
      <c r="G10834" t="s">
        <v>63</v>
      </c>
      <c r="H10834" t="s">
        <v>20</v>
      </c>
      <c r="I10834" t="s">
        <v>21132</v>
      </c>
      <c r="J10834" t="str">
        <f>HYPERLINK("https://www.boe.es/gazeta/dias/1822/04/07/pdfs/GMD-1822-99.pdf#page=6","Abrir facsímil")</f>
        <v>Abrir facsímil</v>
      </c>
      <c r="K10834" t="s">
        <v>22</v>
      </c>
    </row>
    <row r="10835" spans="1:11" ht="42" customHeight="1">
      <c r="A10835" t="s">
        <v>21130</v>
      </c>
      <c r="B10835" t="s">
        <v>21131</v>
      </c>
      <c r="C10835" t="s">
        <v>42</v>
      </c>
      <c r="D10835" t="s">
        <v>17</v>
      </c>
      <c r="E10835" s="6">
        <v>-28250</v>
      </c>
      <c r="F10835" t="s">
        <v>1174</v>
      </c>
      <c r="G10835" t="s">
        <v>57</v>
      </c>
      <c r="H10835" t="s">
        <v>20</v>
      </c>
      <c r="I10835" t="s">
        <v>21133</v>
      </c>
      <c r="J10835" t="str">
        <f>HYPERLINK("https://www.boe.es/gazeta/dias/1822/08/26/pdfs/GMD-1822-250.pdf#page=4","Abrir facsímil")</f>
        <v>Abrir facsímil</v>
      </c>
      <c r="K10835" t="s">
        <v>22</v>
      </c>
    </row>
    <row r="10836" spans="1:11" ht="42" customHeight="1">
      <c r="A10836" t="s">
        <v>21130</v>
      </c>
      <c r="B10836" t="s">
        <v>21131</v>
      </c>
      <c r="C10836" t="s">
        <v>50</v>
      </c>
      <c r="D10836" t="s">
        <v>51</v>
      </c>
      <c r="E10836" s="6">
        <v>-28240</v>
      </c>
      <c r="F10836" t="s">
        <v>678</v>
      </c>
      <c r="G10836" t="s">
        <v>57</v>
      </c>
      <c r="H10836" t="s">
        <v>20</v>
      </c>
      <c r="I10836" t="s">
        <v>21134</v>
      </c>
      <c r="J10836" t="str">
        <f>HYPERLINK("https://www.boe.es/gazeta/dias/1822/09/05/pdfs/GMD-1822-260.pdf#page=4","Abrir facsímil")</f>
        <v>Abrir facsímil</v>
      </c>
      <c r="K10836" t="s">
        <v>22</v>
      </c>
    </row>
    <row r="10837" spans="1:11" ht="42" customHeight="1">
      <c r="A10837" t="s">
        <v>21130</v>
      </c>
      <c r="B10837" t="s">
        <v>21131</v>
      </c>
      <c r="C10837" t="s">
        <v>42</v>
      </c>
      <c r="D10837" t="s">
        <v>17</v>
      </c>
      <c r="E10837" s="6">
        <v>-28235</v>
      </c>
      <c r="F10837" t="s">
        <v>1470</v>
      </c>
      <c r="G10837" t="s">
        <v>57</v>
      </c>
      <c r="H10837" t="s">
        <v>20</v>
      </c>
      <c r="I10837" t="s">
        <v>21135</v>
      </c>
      <c r="J10837" t="str">
        <f>HYPERLINK("https://www.boe.es/gazeta/dias/1822/09/10/pdfs/GMD-1822-266.pdf#page=4","Abrir facsímil")</f>
        <v>Abrir facsímil</v>
      </c>
      <c r="K10837" t="s">
        <v>22</v>
      </c>
    </row>
    <row r="10838" spans="1:11" ht="42" customHeight="1">
      <c r="A10838" t="s">
        <v>21136</v>
      </c>
      <c r="B10838" t="s">
        <v>21137</v>
      </c>
      <c r="C10838" t="s">
        <v>42</v>
      </c>
      <c r="D10838" t="s">
        <v>17</v>
      </c>
      <c r="E10838" s="6">
        <v>-28364</v>
      </c>
      <c r="F10838" t="s">
        <v>509</v>
      </c>
      <c r="G10838" t="s">
        <v>63</v>
      </c>
      <c r="H10838" t="s">
        <v>20</v>
      </c>
      <c r="I10838" t="s">
        <v>21138</v>
      </c>
      <c r="J10838" t="str">
        <f>HYPERLINK("https://www.boe.es/gazeta/dias/1822/05/04/pdfs/GMD-1822-126.pdf#page=6","Abrir facsímil")</f>
        <v>Abrir facsímil</v>
      </c>
      <c r="K10838" t="s">
        <v>22</v>
      </c>
    </row>
    <row r="10839" spans="1:11" ht="42" customHeight="1">
      <c r="A10839" t="s">
        <v>21139</v>
      </c>
      <c r="B10839" t="s">
        <v>21140</v>
      </c>
      <c r="C10839" t="s">
        <v>42</v>
      </c>
      <c r="D10839" t="s">
        <v>17</v>
      </c>
      <c r="E10839" s="6">
        <v>-28168</v>
      </c>
      <c r="F10839" t="s">
        <v>3672</v>
      </c>
      <c r="G10839" t="s">
        <v>57</v>
      </c>
      <c r="H10839" t="s">
        <v>20</v>
      </c>
      <c r="I10839" t="s">
        <v>21141</v>
      </c>
      <c r="J10839" t="str">
        <f>HYPERLINK("https://www.boe.es/gazeta/dias/1822/11/16/pdfs/GMD-1822-336.pdf#page=4","Abrir facsímil")</f>
        <v>Abrir facsímil</v>
      </c>
      <c r="K10839" t="s">
        <v>22</v>
      </c>
    </row>
    <row r="10840" spans="1:11" ht="42" customHeight="1">
      <c r="A10840" t="s">
        <v>21142</v>
      </c>
      <c r="B10840" t="s">
        <v>21143</v>
      </c>
      <c r="C10840" t="s">
        <v>50</v>
      </c>
      <c r="D10840" t="s">
        <v>51</v>
      </c>
      <c r="E10840" s="6">
        <v>-28367</v>
      </c>
      <c r="F10840" t="s">
        <v>280</v>
      </c>
      <c r="G10840" t="s">
        <v>35</v>
      </c>
      <c r="H10840" t="s">
        <v>20</v>
      </c>
      <c r="I10840" t="s">
        <v>21144</v>
      </c>
      <c r="J10840" t="str">
        <f>HYPERLINK("https://www.boe.es/gazeta/dias/1822/05/01/pdfs/GMD-1822-123.pdf#page=2","Abrir facsímil")</f>
        <v>Abrir facsímil</v>
      </c>
      <c r="K10840" t="s">
        <v>22</v>
      </c>
    </row>
    <row r="10841" spans="1:11" ht="42" customHeight="1">
      <c r="A10841" t="s">
        <v>21145</v>
      </c>
      <c r="B10841" t="s">
        <v>21146</v>
      </c>
      <c r="C10841" t="s">
        <v>50</v>
      </c>
      <c r="D10841" t="s">
        <v>51</v>
      </c>
      <c r="E10841" s="6">
        <v>-28416</v>
      </c>
      <c r="F10841" t="s">
        <v>97</v>
      </c>
      <c r="G10841" t="s">
        <v>63</v>
      </c>
      <c r="H10841" t="s">
        <v>20</v>
      </c>
      <c r="I10841" t="s">
        <v>21147</v>
      </c>
      <c r="J10841" t="str">
        <f>HYPERLINK("https://www.boe.es/gazeta/dias/1822/03/13/pdfs/GMD-1822-74.pdf#page=6","Abrir facsímil")</f>
        <v>Abrir facsímil</v>
      </c>
      <c r="K10841" t="s">
        <v>22</v>
      </c>
    </row>
    <row r="10842" spans="1:11" ht="42" customHeight="1">
      <c r="A10842" t="s">
        <v>21148</v>
      </c>
      <c r="B10842" t="s">
        <v>21149</v>
      </c>
      <c r="C10842" t="s">
        <v>24</v>
      </c>
      <c r="D10842" t="s">
        <v>17</v>
      </c>
      <c r="E10842" s="6">
        <v>-28139</v>
      </c>
      <c r="F10842" t="s">
        <v>143</v>
      </c>
      <c r="G10842" t="s">
        <v>144</v>
      </c>
      <c r="H10842" t="s">
        <v>20</v>
      </c>
      <c r="I10842" t="s">
        <v>21150</v>
      </c>
      <c r="J10842" t="str">
        <f>HYPERLINK("https://www.boe.es/gazeta/dias/1822/12/15/pdfs/GMD-1822-365.pdf#page=4","Abrir facsímil")</f>
        <v>Abrir facsímil</v>
      </c>
      <c r="K10842" t="s">
        <v>22</v>
      </c>
    </row>
    <row r="10843" spans="1:11" ht="42" customHeight="1">
      <c r="A10843" t="s">
        <v>21151</v>
      </c>
      <c r="B10843" t="s">
        <v>21152</v>
      </c>
      <c r="C10843" t="s">
        <v>28</v>
      </c>
      <c r="D10843" t="s">
        <v>29</v>
      </c>
      <c r="E10843" s="6">
        <v>-28379</v>
      </c>
      <c r="F10843" t="s">
        <v>494</v>
      </c>
      <c r="G10843" t="s">
        <v>63</v>
      </c>
      <c r="H10843" t="s">
        <v>20</v>
      </c>
      <c r="I10843" t="s">
        <v>21153</v>
      </c>
      <c r="J10843" t="str">
        <f>HYPERLINK("https://www.boe.es/gazeta/dias/1822/04/19/pdfs/GMD-1822-111.pdf#page=6","Abrir facsímil")</f>
        <v>Abrir facsímil</v>
      </c>
      <c r="K10843" t="s">
        <v>22</v>
      </c>
    </row>
    <row r="10844" spans="1:11" ht="42" customHeight="1">
      <c r="A10844" t="s">
        <v>21154</v>
      </c>
      <c r="B10844" t="s">
        <v>21155</v>
      </c>
      <c r="C10844" t="s">
        <v>50</v>
      </c>
      <c r="D10844" t="s">
        <v>723</v>
      </c>
      <c r="E10844" s="6">
        <v>-28181</v>
      </c>
      <c r="F10844" t="s">
        <v>724</v>
      </c>
      <c r="G10844" t="s">
        <v>35</v>
      </c>
      <c r="H10844" t="s">
        <v>20</v>
      </c>
      <c r="I10844" t="s">
        <v>21156</v>
      </c>
      <c r="J10844" t="str">
        <f>HYPERLINK("https://www.boe.es/gazeta/dias/1822/11/03/pdfs/GMD-1822-322E.pdf#page=2","Abrir facsímil")</f>
        <v>Abrir facsímil</v>
      </c>
      <c r="K10844" t="s">
        <v>22</v>
      </c>
    </row>
    <row r="10845" spans="1:11" ht="42" customHeight="1">
      <c r="A10845" t="s">
        <v>21157</v>
      </c>
      <c r="B10845" t="s">
        <v>21158</v>
      </c>
      <c r="C10845" t="s">
        <v>50</v>
      </c>
      <c r="D10845" t="s">
        <v>51</v>
      </c>
      <c r="E10845" s="6">
        <v>-28229</v>
      </c>
      <c r="F10845" t="s">
        <v>2310</v>
      </c>
      <c r="G10845" t="s">
        <v>31</v>
      </c>
      <c r="H10845" t="s">
        <v>20</v>
      </c>
      <c r="I10845" t="s">
        <v>21159</v>
      </c>
      <c r="J10845" t="str">
        <f>HYPERLINK("https://www.boe.es/gazeta/dias/1822/09/16/pdfs/GMD-1822-272.pdf#page=3","Abrir facsímil")</f>
        <v>Abrir facsímil</v>
      </c>
      <c r="K10845" t="s">
        <v>22</v>
      </c>
    </row>
    <row r="10846" spans="1:11" ht="42" customHeight="1">
      <c r="A10846" t="s">
        <v>21160</v>
      </c>
      <c r="B10846" t="s">
        <v>21160</v>
      </c>
      <c r="C10846" t="s">
        <v>42</v>
      </c>
      <c r="D10846" t="s">
        <v>17</v>
      </c>
      <c r="E10846" s="6">
        <v>-28421</v>
      </c>
      <c r="F10846" t="s">
        <v>446</v>
      </c>
      <c r="G10846" t="s">
        <v>31</v>
      </c>
      <c r="H10846" t="s">
        <v>20</v>
      </c>
      <c r="I10846" t="s">
        <v>21161</v>
      </c>
      <c r="J10846" t="str">
        <f>HYPERLINK("https://www.boe.es/gazeta/dias/1822/03/08/pdfs/GMD-1822-69.pdf#page=3","Abrir facsímil")</f>
        <v>Abrir facsímil</v>
      </c>
      <c r="K10846" t="s">
        <v>22</v>
      </c>
    </row>
    <row r="10847" spans="1:11" ht="42" customHeight="1">
      <c r="A10847" t="s">
        <v>21162</v>
      </c>
      <c r="B10847" t="s">
        <v>21162</v>
      </c>
      <c r="C10847" t="s">
        <v>71</v>
      </c>
      <c r="D10847" t="s">
        <v>17</v>
      </c>
      <c r="E10847" s="6">
        <v>-28388</v>
      </c>
      <c r="F10847" t="s">
        <v>1268</v>
      </c>
      <c r="G10847" t="s">
        <v>57</v>
      </c>
      <c r="H10847" t="s">
        <v>20</v>
      </c>
      <c r="I10847" t="s">
        <v>21163</v>
      </c>
      <c r="J10847" t="str">
        <f>HYPERLINK("https://www.boe.es/gazeta/dias/1822/04/10/pdfs/GMD-1822-102.pdf#page=4","Abrir facsímil")</f>
        <v>Abrir facsímil</v>
      </c>
      <c r="K10847" t="s">
        <v>22</v>
      </c>
    </row>
    <row r="10848" spans="1:11" ht="42" customHeight="1">
      <c r="A10848" t="s">
        <v>21162</v>
      </c>
      <c r="B10848" t="s">
        <v>21162</v>
      </c>
      <c r="C10848" t="s">
        <v>50</v>
      </c>
      <c r="D10848" t="s">
        <v>51</v>
      </c>
      <c r="E10848" s="6">
        <v>-28344</v>
      </c>
      <c r="F10848" t="s">
        <v>524</v>
      </c>
      <c r="G10848" t="s">
        <v>31</v>
      </c>
      <c r="H10848" t="s">
        <v>20</v>
      </c>
      <c r="I10848" t="s">
        <v>21164</v>
      </c>
      <c r="J10848" t="str">
        <f>HYPERLINK("https://www.boe.es/gazeta/dias/1822/05/24/pdfs/GMD-1822-148.pdf#page=3","Abrir facsímil")</f>
        <v>Abrir facsímil</v>
      </c>
      <c r="K10848" t="s">
        <v>22</v>
      </c>
    </row>
    <row r="10849" spans="1:11" ht="42" customHeight="1">
      <c r="A10849" t="s">
        <v>21162</v>
      </c>
      <c r="B10849" t="s">
        <v>21162</v>
      </c>
      <c r="C10849" t="s">
        <v>42</v>
      </c>
      <c r="D10849" t="s">
        <v>17</v>
      </c>
      <c r="E10849" s="6">
        <v>-28341</v>
      </c>
      <c r="F10849" t="s">
        <v>284</v>
      </c>
      <c r="G10849" t="s">
        <v>35</v>
      </c>
      <c r="H10849" t="s">
        <v>20</v>
      </c>
      <c r="I10849" t="s">
        <v>21165</v>
      </c>
      <c r="J10849" t="str">
        <f>HYPERLINK("https://www.boe.es/gazeta/dias/1822/05/27/pdfs/GMD-1822-152.pdf#page=2","Abrir facsímil")</f>
        <v>Abrir facsímil</v>
      </c>
      <c r="K10849" t="s">
        <v>22</v>
      </c>
    </row>
    <row r="10850" spans="1:11" ht="42" customHeight="1">
      <c r="A10850" t="s">
        <v>21162</v>
      </c>
      <c r="B10850" t="s">
        <v>21162</v>
      </c>
      <c r="C10850" t="s">
        <v>50</v>
      </c>
      <c r="D10850" t="s">
        <v>51</v>
      </c>
      <c r="E10850" s="6">
        <v>-28341</v>
      </c>
      <c r="F10850" t="s">
        <v>284</v>
      </c>
      <c r="G10850" t="s">
        <v>31</v>
      </c>
      <c r="H10850" t="s">
        <v>20</v>
      </c>
      <c r="I10850" t="s">
        <v>21166</v>
      </c>
      <c r="J10850" t="str">
        <f>HYPERLINK("https://www.boe.es/gazeta/dias/1822/05/27/pdfs/GMD-1822-152.pdf#page=3","Abrir facsímil")</f>
        <v>Abrir facsímil</v>
      </c>
      <c r="K10850" t="s">
        <v>22</v>
      </c>
    </row>
    <row r="10851" spans="1:11" ht="42" customHeight="1">
      <c r="A10851" t="s">
        <v>21162</v>
      </c>
      <c r="B10851" t="s">
        <v>21162</v>
      </c>
      <c r="C10851" t="s">
        <v>61</v>
      </c>
      <c r="D10851" t="s">
        <v>17</v>
      </c>
      <c r="E10851" s="6">
        <v>-28318</v>
      </c>
      <c r="F10851" t="s">
        <v>397</v>
      </c>
      <c r="G10851" t="s">
        <v>63</v>
      </c>
      <c r="H10851" t="s">
        <v>20</v>
      </c>
      <c r="I10851" t="s">
        <v>21167</v>
      </c>
      <c r="J10851" t="str">
        <f>HYPERLINK("https://www.boe.es/gazeta/dias/1822/06/19/pdfs/GMD-1822-176.pdf#page=6","Abrir facsímil")</f>
        <v>Abrir facsímil</v>
      </c>
      <c r="K10851" t="s">
        <v>22</v>
      </c>
    </row>
    <row r="10852" spans="1:11" ht="42" customHeight="1">
      <c r="A10852" t="s">
        <v>21162</v>
      </c>
      <c r="B10852" t="s">
        <v>21162</v>
      </c>
      <c r="C10852" t="s">
        <v>50</v>
      </c>
      <c r="D10852" t="s">
        <v>51</v>
      </c>
      <c r="E10852" s="6">
        <v>-28309</v>
      </c>
      <c r="F10852" t="s">
        <v>553</v>
      </c>
      <c r="G10852" t="s">
        <v>63</v>
      </c>
      <c r="H10852" t="s">
        <v>20</v>
      </c>
      <c r="I10852" t="s">
        <v>21168</v>
      </c>
      <c r="J10852" t="str">
        <f>HYPERLINK("https://www.boe.es/gazeta/dias/1822/06/28/pdfs/GMD-1822-186.pdf#page=6","Abrir facsímil")</f>
        <v>Abrir facsímil</v>
      </c>
      <c r="K10852" t="s">
        <v>22</v>
      </c>
    </row>
    <row r="10853" spans="1:11" ht="42" customHeight="1">
      <c r="A10853" t="s">
        <v>21162</v>
      </c>
      <c r="B10853" t="s">
        <v>21162</v>
      </c>
      <c r="C10853" t="s">
        <v>50</v>
      </c>
      <c r="D10853" t="s">
        <v>51</v>
      </c>
      <c r="E10853" s="6">
        <v>-28308</v>
      </c>
      <c r="F10853" t="s">
        <v>1050</v>
      </c>
      <c r="G10853" t="s">
        <v>63</v>
      </c>
      <c r="H10853" t="s">
        <v>20</v>
      </c>
      <c r="I10853" t="s">
        <v>21169</v>
      </c>
      <c r="J10853" t="str">
        <f>HYPERLINK("https://www.boe.es/gazeta/dias/1822/06/29/pdfs/GMD-1822-187.pdf#page=6","Abrir facsímil")</f>
        <v>Abrir facsímil</v>
      </c>
      <c r="K10853" t="s">
        <v>22</v>
      </c>
    </row>
    <row r="10854" spans="1:11" ht="42" customHeight="1">
      <c r="A10854" t="s">
        <v>21170</v>
      </c>
      <c r="B10854" t="s">
        <v>21171</v>
      </c>
      <c r="C10854" t="s">
        <v>42</v>
      </c>
      <c r="D10854" t="s">
        <v>17</v>
      </c>
      <c r="E10854" s="6">
        <v>-28436</v>
      </c>
      <c r="F10854" t="s">
        <v>431</v>
      </c>
      <c r="G10854" t="s">
        <v>1428</v>
      </c>
      <c r="H10854" t="s">
        <v>20</v>
      </c>
      <c r="I10854" t="s">
        <v>21172</v>
      </c>
      <c r="J10854" t="str">
        <f>HYPERLINK("https://www.boe.es/gazeta/dias/1822/02/21/pdfs/GMD-1822-53.pdf#page=3","Abrir facsímil")</f>
        <v>Abrir facsímil</v>
      </c>
      <c r="K10854" t="s">
        <v>22</v>
      </c>
    </row>
    <row r="10855" spans="1:11" ht="42" customHeight="1">
      <c r="A10855" t="s">
        <v>21173</v>
      </c>
      <c r="B10855" t="s">
        <v>21174</v>
      </c>
      <c r="C10855" t="s">
        <v>24</v>
      </c>
      <c r="D10855" t="s">
        <v>17</v>
      </c>
      <c r="E10855" s="6">
        <v>-28344</v>
      </c>
      <c r="F10855" t="s">
        <v>524</v>
      </c>
      <c r="G10855" t="s">
        <v>31</v>
      </c>
      <c r="H10855" t="s">
        <v>20</v>
      </c>
      <c r="I10855" t="s">
        <v>21175</v>
      </c>
      <c r="J10855" t="str">
        <f>HYPERLINK("https://www.boe.es/gazeta/dias/1822/05/24/pdfs/GMD-1822-148.pdf#page=3","Abrir facsímil")</f>
        <v>Abrir facsímil</v>
      </c>
      <c r="K10855" t="s">
        <v>22</v>
      </c>
    </row>
    <row r="10856" spans="1:11" ht="42" customHeight="1">
      <c r="A10856" t="s">
        <v>21173</v>
      </c>
      <c r="B10856" t="s">
        <v>21174</v>
      </c>
      <c r="C10856" t="s">
        <v>42</v>
      </c>
      <c r="D10856" t="s">
        <v>17</v>
      </c>
      <c r="E10856" s="6">
        <v>-28332</v>
      </c>
      <c r="F10856" t="s">
        <v>535</v>
      </c>
      <c r="G10856" t="s">
        <v>35</v>
      </c>
      <c r="H10856" t="s">
        <v>20</v>
      </c>
      <c r="I10856" t="s">
        <v>21176</v>
      </c>
      <c r="J10856" t="str">
        <f>HYPERLINK("https://www.boe.es/gazeta/dias/1822/06/05/pdfs/GMD-1822-162.pdf#page=2","Abrir facsímil")</f>
        <v>Abrir facsímil</v>
      </c>
      <c r="K10856" t="s">
        <v>22</v>
      </c>
    </row>
    <row r="10857" spans="1:11" ht="42" customHeight="1">
      <c r="A10857" t="s">
        <v>21173</v>
      </c>
      <c r="B10857" t="s">
        <v>21174</v>
      </c>
      <c r="C10857" t="s">
        <v>42</v>
      </c>
      <c r="D10857" t="s">
        <v>17</v>
      </c>
      <c r="E10857" s="6">
        <v>-28325</v>
      </c>
      <c r="F10857" t="s">
        <v>104</v>
      </c>
      <c r="G10857" t="s">
        <v>57</v>
      </c>
      <c r="H10857" t="s">
        <v>20</v>
      </c>
      <c r="I10857" t="s">
        <v>21177</v>
      </c>
      <c r="J10857" t="str">
        <f>HYPERLINK("https://www.boe.es/gazeta/dias/1822/06/12/pdfs/GMD-1822-169.pdf#page=4","Abrir facsímil")</f>
        <v>Abrir facsímil</v>
      </c>
      <c r="K10857" t="s">
        <v>22</v>
      </c>
    </row>
    <row r="10858" spans="1:11" ht="42" customHeight="1">
      <c r="A10858" t="s">
        <v>21173</v>
      </c>
      <c r="B10858" t="s">
        <v>21174</v>
      </c>
      <c r="C10858" t="s">
        <v>28</v>
      </c>
      <c r="D10858" t="s">
        <v>29</v>
      </c>
      <c r="E10858" s="6">
        <v>-28324</v>
      </c>
      <c r="F10858" t="s">
        <v>305</v>
      </c>
      <c r="G10858" t="s">
        <v>57</v>
      </c>
      <c r="H10858" t="s">
        <v>20</v>
      </c>
      <c r="I10858" t="s">
        <v>21178</v>
      </c>
      <c r="J10858" t="str">
        <f>HYPERLINK("https://www.boe.es/gazeta/dias/1822/06/13/pdfs/GMD-1822-170.pdf#page=4","Abrir facsímil")</f>
        <v>Abrir facsímil</v>
      </c>
      <c r="K10858" t="s">
        <v>22</v>
      </c>
    </row>
    <row r="10859" spans="1:11" ht="42" customHeight="1">
      <c r="A10859" t="s">
        <v>21173</v>
      </c>
      <c r="B10859" t="s">
        <v>21174</v>
      </c>
      <c r="C10859" t="s">
        <v>50</v>
      </c>
      <c r="D10859" t="s">
        <v>51</v>
      </c>
      <c r="E10859" s="6">
        <v>-28309</v>
      </c>
      <c r="F10859" t="s">
        <v>553</v>
      </c>
      <c r="G10859" t="s">
        <v>63</v>
      </c>
      <c r="H10859" t="s">
        <v>20</v>
      </c>
      <c r="I10859" t="s">
        <v>21179</v>
      </c>
      <c r="J10859" t="str">
        <f>HYPERLINK("https://www.boe.es/gazeta/dias/1822/06/28/pdfs/GMD-1822-186.pdf#page=6","Abrir facsímil")</f>
        <v>Abrir facsímil</v>
      </c>
      <c r="K10859" t="s">
        <v>22</v>
      </c>
    </row>
    <row r="10860" spans="1:11" ht="42" customHeight="1">
      <c r="A10860" t="s">
        <v>21173</v>
      </c>
      <c r="B10860" t="s">
        <v>21174</v>
      </c>
      <c r="C10860" t="s">
        <v>50</v>
      </c>
      <c r="D10860" t="s">
        <v>51</v>
      </c>
      <c r="E10860" s="6">
        <v>-28205</v>
      </c>
      <c r="F10860" t="s">
        <v>806</v>
      </c>
      <c r="G10860" t="s">
        <v>57</v>
      </c>
      <c r="H10860" t="s">
        <v>20</v>
      </c>
      <c r="I10860" t="s">
        <v>21180</v>
      </c>
      <c r="J10860" t="str">
        <f>HYPERLINK("https://www.boe.es/gazeta/dias/1822/10/10/pdfs/GMD-1822-297.pdf#page=4","Abrir facsímil")</f>
        <v>Abrir facsímil</v>
      </c>
      <c r="K10860" t="s">
        <v>22</v>
      </c>
    </row>
    <row r="10861" spans="1:11" ht="42" customHeight="1">
      <c r="A10861" t="s">
        <v>21181</v>
      </c>
      <c r="B10861" t="s">
        <v>21181</v>
      </c>
      <c r="C10861" t="s">
        <v>50</v>
      </c>
      <c r="D10861" t="s">
        <v>51</v>
      </c>
      <c r="E10861" s="6">
        <v>-28340</v>
      </c>
      <c r="F10861" t="s">
        <v>139</v>
      </c>
      <c r="G10861" t="s">
        <v>57</v>
      </c>
      <c r="H10861" t="s">
        <v>20</v>
      </c>
      <c r="I10861" t="s">
        <v>21182</v>
      </c>
      <c r="J10861" t="str">
        <f>HYPERLINK("https://www.boe.es/gazeta/dias/1822/05/28/pdfs/GMD-1822-153.pdf#page=4","Abrir facsímil")</f>
        <v>Abrir facsímil</v>
      </c>
      <c r="K10861" t="s">
        <v>22</v>
      </c>
    </row>
    <row r="10862" spans="1:11" ht="42" customHeight="1">
      <c r="A10862" t="s">
        <v>21183</v>
      </c>
      <c r="B10862" t="s">
        <v>21184</v>
      </c>
      <c r="C10862" t="s">
        <v>50</v>
      </c>
      <c r="D10862" t="s">
        <v>51</v>
      </c>
      <c r="E10862" s="6">
        <v>-28162</v>
      </c>
      <c r="F10862" t="s">
        <v>3949</v>
      </c>
      <c r="G10862" t="s">
        <v>31</v>
      </c>
      <c r="H10862" t="s">
        <v>20</v>
      </c>
      <c r="I10862" t="s">
        <v>21185</v>
      </c>
      <c r="J10862" t="str">
        <f>HYPERLINK("https://www.boe.es/gazeta/dias/1822/11/22/pdfs/GMD-1822-342.pdf#page=3","Abrir facsímil")</f>
        <v>Abrir facsímil</v>
      </c>
      <c r="K10862" t="s">
        <v>22</v>
      </c>
    </row>
    <row r="10863" spans="1:11" ht="42" customHeight="1">
      <c r="A10863" t="s">
        <v>21186</v>
      </c>
      <c r="B10863" t="s">
        <v>21186</v>
      </c>
      <c r="C10863" t="s">
        <v>50</v>
      </c>
      <c r="D10863" t="s">
        <v>51</v>
      </c>
      <c r="E10863" s="6">
        <v>-28162</v>
      </c>
      <c r="F10863" t="s">
        <v>3949</v>
      </c>
      <c r="G10863" t="s">
        <v>31</v>
      </c>
      <c r="H10863" t="s">
        <v>20</v>
      </c>
      <c r="I10863" t="s">
        <v>21187</v>
      </c>
      <c r="J10863" t="str">
        <f>HYPERLINK("https://www.boe.es/gazeta/dias/1822/11/22/pdfs/GMD-1822-342.pdf#page=3","Abrir facsímil")</f>
        <v>Abrir facsímil</v>
      </c>
      <c r="K10863" t="s">
        <v>22</v>
      </c>
    </row>
    <row r="10864" spans="1:11" ht="42" customHeight="1">
      <c r="A10864" t="s">
        <v>21188</v>
      </c>
      <c r="B10864" t="s">
        <v>21189</v>
      </c>
      <c r="C10864" t="s">
        <v>28</v>
      </c>
      <c r="D10864" t="s">
        <v>29</v>
      </c>
      <c r="E10864" s="6">
        <v>-28418</v>
      </c>
      <c r="F10864" t="s">
        <v>205</v>
      </c>
      <c r="G10864" t="s">
        <v>167</v>
      </c>
      <c r="H10864" t="s">
        <v>20</v>
      </c>
      <c r="I10864" t="s">
        <v>21190</v>
      </c>
      <c r="J10864" t="str">
        <f>HYPERLINK("https://www.boe.es/gazeta/dias/1822/03/11/pdfs/GMD-1822-72.pdf#page=7","Abrir facsímil")</f>
        <v>Abrir facsímil</v>
      </c>
      <c r="K10864" t="s">
        <v>22</v>
      </c>
    </row>
    <row r="10865" spans="1:11" ht="42" customHeight="1">
      <c r="A10865" t="s">
        <v>21191</v>
      </c>
      <c r="B10865" t="s">
        <v>21191</v>
      </c>
      <c r="C10865" t="s">
        <v>42</v>
      </c>
      <c r="D10865" t="s">
        <v>17</v>
      </c>
      <c r="E10865" s="6">
        <v>-28453</v>
      </c>
      <c r="F10865" t="s">
        <v>2039</v>
      </c>
      <c r="G10865" t="s">
        <v>57</v>
      </c>
      <c r="H10865" t="s">
        <v>20</v>
      </c>
      <c r="I10865" t="s">
        <v>21192</v>
      </c>
      <c r="J10865" t="str">
        <f>HYPERLINK("https://www.boe.es/gazeta/dias/1822/02/04/pdfs/GMD-1822-35.pdf#page=4","Abrir facsímil")</f>
        <v>Abrir facsímil</v>
      </c>
      <c r="K10865" t="s">
        <v>22</v>
      </c>
    </row>
    <row r="10866" spans="1:11" ht="42" customHeight="1">
      <c r="A10866" t="s">
        <v>21191</v>
      </c>
      <c r="B10866" t="s">
        <v>21191</v>
      </c>
      <c r="C10866" t="s">
        <v>42</v>
      </c>
      <c r="D10866" t="s">
        <v>17</v>
      </c>
      <c r="E10866" s="6">
        <v>-28451</v>
      </c>
      <c r="F10866" t="s">
        <v>1674</v>
      </c>
      <c r="G10866" t="s">
        <v>63</v>
      </c>
      <c r="H10866" t="s">
        <v>20</v>
      </c>
      <c r="I10866" t="s">
        <v>21193</v>
      </c>
      <c r="J10866" t="str">
        <f>HYPERLINK("https://www.boe.es/gazeta/dias/1822/02/06/pdfs/GMD-1822-37.pdf#page=6","Abrir facsímil")</f>
        <v>Abrir facsímil</v>
      </c>
      <c r="K10866" t="s">
        <v>22</v>
      </c>
    </row>
    <row r="10867" spans="1:11" ht="42" customHeight="1">
      <c r="A10867" t="s">
        <v>21191</v>
      </c>
      <c r="B10867" t="s">
        <v>21191</v>
      </c>
      <c r="C10867" t="s">
        <v>28</v>
      </c>
      <c r="D10867" t="s">
        <v>29</v>
      </c>
      <c r="E10867" s="6">
        <v>-28447</v>
      </c>
      <c r="F10867" t="s">
        <v>997</v>
      </c>
      <c r="G10867" t="s">
        <v>35</v>
      </c>
      <c r="H10867" t="s">
        <v>20</v>
      </c>
      <c r="I10867" t="s">
        <v>21194</v>
      </c>
      <c r="J10867" t="str">
        <f>HYPERLINK("https://www.boe.es/gazeta/dias/1822/02/10/pdfs/GMD-1822-41.pdf#page=2","Abrir facsímil")</f>
        <v>Abrir facsímil</v>
      </c>
      <c r="K10867" t="s">
        <v>22</v>
      </c>
    </row>
    <row r="10868" spans="1:11" ht="42" customHeight="1">
      <c r="A10868" t="s">
        <v>21191</v>
      </c>
      <c r="B10868" t="s">
        <v>21191</v>
      </c>
      <c r="C10868" t="s">
        <v>50</v>
      </c>
      <c r="D10868" t="s">
        <v>51</v>
      </c>
      <c r="E10868" s="6">
        <v>-28284</v>
      </c>
      <c r="F10868" t="s">
        <v>6484</v>
      </c>
      <c r="G10868" t="s">
        <v>35</v>
      </c>
      <c r="H10868" t="s">
        <v>20</v>
      </c>
      <c r="I10868" t="s">
        <v>21195</v>
      </c>
      <c r="J10868" t="str">
        <f>HYPERLINK("https://www.boe.es/gazeta/dias/1822/07/23/pdfs/GMD-1822-216.pdf#page=2","Abrir facsímil")</f>
        <v>Abrir facsímil</v>
      </c>
      <c r="K10868" t="s">
        <v>22</v>
      </c>
    </row>
    <row r="10869" spans="1:11" ht="42" customHeight="1">
      <c r="A10869" t="s">
        <v>21191</v>
      </c>
      <c r="B10869" t="s">
        <v>21191</v>
      </c>
      <c r="C10869" t="s">
        <v>50</v>
      </c>
      <c r="D10869" t="s">
        <v>51</v>
      </c>
      <c r="E10869" s="6">
        <v>-28281</v>
      </c>
      <c r="F10869" t="s">
        <v>3310</v>
      </c>
      <c r="G10869" t="s">
        <v>57</v>
      </c>
      <c r="H10869" t="s">
        <v>20</v>
      </c>
      <c r="I10869" t="s">
        <v>21196</v>
      </c>
      <c r="J10869" t="str">
        <f>HYPERLINK("https://www.boe.es/gazeta/dias/1822/07/26/pdfs/GMD-1822-219.pdf#page=4","Abrir facsímil")</f>
        <v>Abrir facsímil</v>
      </c>
      <c r="K10869" t="s">
        <v>22</v>
      </c>
    </row>
    <row r="10870" spans="1:11" ht="42" customHeight="1">
      <c r="A10870" t="s">
        <v>21197</v>
      </c>
      <c r="B10870" t="s">
        <v>21197</v>
      </c>
      <c r="C10870" t="s">
        <v>28</v>
      </c>
      <c r="D10870" t="s">
        <v>29</v>
      </c>
      <c r="E10870" s="6">
        <v>-28148</v>
      </c>
      <c r="F10870" t="s">
        <v>1909</v>
      </c>
      <c r="G10870" t="s">
        <v>63</v>
      </c>
      <c r="H10870" t="s">
        <v>20</v>
      </c>
      <c r="I10870" t="s">
        <v>21198</v>
      </c>
      <c r="J10870" t="str">
        <f>HYPERLINK("https://www.boe.es/gazeta/dias/1822/12/06/pdfs/GMD-1822-356.pdf#page=6","Abrir facsímil")</f>
        <v>Abrir facsímil</v>
      </c>
      <c r="K10870" t="s">
        <v>22</v>
      </c>
    </row>
    <row r="10871" spans="1:11" ht="42" customHeight="1">
      <c r="A10871" t="s">
        <v>21199</v>
      </c>
      <c r="B10871" t="s">
        <v>21200</v>
      </c>
      <c r="C10871" t="s">
        <v>50</v>
      </c>
      <c r="D10871" t="s">
        <v>51</v>
      </c>
      <c r="E10871" s="6">
        <v>-28302</v>
      </c>
      <c r="F10871" t="s">
        <v>791</v>
      </c>
      <c r="G10871" t="s">
        <v>31</v>
      </c>
      <c r="H10871" t="s">
        <v>20</v>
      </c>
      <c r="I10871" t="s">
        <v>21201</v>
      </c>
      <c r="J10871" t="str">
        <f>HYPERLINK("https://www.boe.es/gazeta/dias/1822/07/05/pdfs/GMD-1822-194.pdf#page=3","Abrir facsímil")</f>
        <v>Abrir facsímil</v>
      </c>
      <c r="K10871" t="s">
        <v>22</v>
      </c>
    </row>
    <row r="10872" spans="1:11" ht="42" customHeight="1">
      <c r="A10872" t="s">
        <v>21202</v>
      </c>
      <c r="B10872" t="s">
        <v>21203</v>
      </c>
      <c r="C10872" t="s">
        <v>50</v>
      </c>
      <c r="D10872" t="s">
        <v>51</v>
      </c>
      <c r="E10872" s="6">
        <v>-28349</v>
      </c>
      <c r="F10872" t="s">
        <v>518</v>
      </c>
      <c r="G10872" t="s">
        <v>57</v>
      </c>
      <c r="H10872" t="s">
        <v>20</v>
      </c>
      <c r="I10872" t="s">
        <v>21204</v>
      </c>
      <c r="J10872" t="str">
        <f>HYPERLINK("https://www.boe.es/gazeta/dias/1822/05/19/pdfs/GMD-1822-141.pdf#page=4","Abrir facsímil")</f>
        <v>Abrir facsímil</v>
      </c>
      <c r="K10872" t="s">
        <v>22</v>
      </c>
    </row>
    <row r="10873" spans="1:11" ht="42" customHeight="1">
      <c r="A10873" t="s">
        <v>21205</v>
      </c>
      <c r="B10873" t="s">
        <v>21205</v>
      </c>
      <c r="C10873" t="s">
        <v>42</v>
      </c>
      <c r="D10873" t="s">
        <v>17</v>
      </c>
      <c r="E10873" s="6">
        <v>-28484</v>
      </c>
      <c r="F10873" t="s">
        <v>743</v>
      </c>
      <c r="G10873" t="s">
        <v>57</v>
      </c>
      <c r="H10873" t="s">
        <v>20</v>
      </c>
      <c r="I10873" t="s">
        <v>21206</v>
      </c>
      <c r="J10873" t="str">
        <f>HYPERLINK("https://www.boe.es/gazeta/dias/1822/01/04/pdfs/GMD-1822-4.pdf#page=4","Abrir facsímil")</f>
        <v>Abrir facsímil</v>
      </c>
      <c r="K10873" t="s">
        <v>22</v>
      </c>
    </row>
    <row r="10874" spans="1:11" ht="42" customHeight="1">
      <c r="A10874" t="s">
        <v>21205</v>
      </c>
      <c r="B10874" t="s">
        <v>21205</v>
      </c>
      <c r="C10874" t="s">
        <v>71</v>
      </c>
      <c r="D10874" t="s">
        <v>17</v>
      </c>
      <c r="E10874" s="6">
        <v>-28460</v>
      </c>
      <c r="F10874" t="s">
        <v>112</v>
      </c>
      <c r="G10874" t="s">
        <v>57</v>
      </c>
      <c r="H10874" t="s">
        <v>20</v>
      </c>
      <c r="I10874" t="s">
        <v>21207</v>
      </c>
      <c r="J10874" t="str">
        <f>HYPERLINK("https://www.boe.es/gazeta/dias/1822/01/28/pdfs/GMD-1822-28.pdf#page=4","Abrir facsímil")</f>
        <v>Abrir facsímil</v>
      </c>
      <c r="K10874" t="s">
        <v>22</v>
      </c>
    </row>
    <row r="10875" spans="1:11" ht="42" customHeight="1">
      <c r="A10875" t="s">
        <v>21205</v>
      </c>
      <c r="B10875" t="s">
        <v>21205</v>
      </c>
      <c r="C10875" t="s">
        <v>42</v>
      </c>
      <c r="D10875" t="s">
        <v>17</v>
      </c>
      <c r="E10875" s="6">
        <v>-28458</v>
      </c>
      <c r="F10875" t="s">
        <v>1151</v>
      </c>
      <c r="G10875" t="s">
        <v>44</v>
      </c>
      <c r="H10875" t="s">
        <v>20</v>
      </c>
      <c r="I10875" t="s">
        <v>21208</v>
      </c>
      <c r="J10875" t="str">
        <f>HYPERLINK("https://www.boe.es/gazeta/dias/1822/01/30/pdfs/GMD-1822-30.pdf#page=1","Abrir facsímil")</f>
        <v>Abrir facsímil</v>
      </c>
      <c r="K10875" t="s">
        <v>22</v>
      </c>
    </row>
    <row r="10876" spans="1:11" ht="42" customHeight="1">
      <c r="A10876" t="s">
        <v>21205</v>
      </c>
      <c r="B10876" t="s">
        <v>21205</v>
      </c>
      <c r="C10876" t="s">
        <v>42</v>
      </c>
      <c r="D10876" t="s">
        <v>17</v>
      </c>
      <c r="E10876" s="6">
        <v>-28458</v>
      </c>
      <c r="F10876" t="s">
        <v>1151</v>
      </c>
      <c r="G10876" t="s">
        <v>35</v>
      </c>
      <c r="H10876" t="s">
        <v>20</v>
      </c>
      <c r="I10876" t="s">
        <v>21209</v>
      </c>
      <c r="J10876" t="str">
        <f>HYPERLINK("https://www.boe.es/gazeta/dias/1822/01/30/pdfs/GMD-1822-30.pdf#page=2","Abrir facsímil")</f>
        <v>Abrir facsímil</v>
      </c>
      <c r="K10876" t="s">
        <v>22</v>
      </c>
    </row>
    <row r="10877" spans="1:11" ht="42" customHeight="1">
      <c r="A10877" t="s">
        <v>21210</v>
      </c>
      <c r="B10877" t="s">
        <v>21210</v>
      </c>
      <c r="C10877" t="s">
        <v>71</v>
      </c>
      <c r="D10877" t="s">
        <v>17</v>
      </c>
      <c r="E10877" s="6">
        <v>-28444</v>
      </c>
      <c r="F10877" t="s">
        <v>681</v>
      </c>
      <c r="G10877" t="s">
        <v>31</v>
      </c>
      <c r="H10877" t="s">
        <v>20</v>
      </c>
      <c r="I10877" t="s">
        <v>21211</v>
      </c>
      <c r="J10877" t="str">
        <f>HYPERLINK("https://www.boe.es/gazeta/dias/1822/02/13/pdfs/GMD-1822-44.pdf#page=3","Abrir facsímil")</f>
        <v>Abrir facsímil</v>
      </c>
      <c r="K10877" t="s">
        <v>22</v>
      </c>
    </row>
    <row r="10878" spans="1:11" ht="42" customHeight="1">
      <c r="A10878" t="s">
        <v>21212</v>
      </c>
      <c r="B10878" t="s">
        <v>21213</v>
      </c>
      <c r="C10878" t="s">
        <v>42</v>
      </c>
      <c r="D10878" t="s">
        <v>17</v>
      </c>
      <c r="E10878" s="6">
        <v>-28397</v>
      </c>
      <c r="F10878" t="s">
        <v>1401</v>
      </c>
      <c r="G10878" t="s">
        <v>3283</v>
      </c>
      <c r="H10878" t="s">
        <v>20</v>
      </c>
      <c r="I10878" t="s">
        <v>21214</v>
      </c>
      <c r="J10878" t="str">
        <f>HYPERLINK("https://www.boe.es/gazeta/dias/1822/04/01/pdfs/GMD-1822-93.pdf#page=3","Abrir facsímil")</f>
        <v>Abrir facsímil</v>
      </c>
      <c r="K10878" t="s">
        <v>22</v>
      </c>
    </row>
    <row r="10879" spans="1:11" ht="42" customHeight="1">
      <c r="A10879" t="s">
        <v>21212</v>
      </c>
      <c r="B10879" t="s">
        <v>21213</v>
      </c>
      <c r="C10879" t="s">
        <v>42</v>
      </c>
      <c r="D10879" t="s">
        <v>17</v>
      </c>
      <c r="E10879" s="6">
        <v>-28323</v>
      </c>
      <c r="F10879" t="s">
        <v>116</v>
      </c>
      <c r="G10879" t="s">
        <v>31</v>
      </c>
      <c r="H10879" t="s">
        <v>20</v>
      </c>
      <c r="I10879" t="s">
        <v>21215</v>
      </c>
      <c r="J10879" t="str">
        <f>HYPERLINK("https://www.boe.es/gazeta/dias/1822/06/14/pdfs/GMD-1822-171.pdf#page=3","Abrir facsímil")</f>
        <v>Abrir facsímil</v>
      </c>
      <c r="K10879" t="s">
        <v>22</v>
      </c>
    </row>
    <row r="10880" spans="1:11" ht="42" customHeight="1">
      <c r="A10880" t="s">
        <v>21216</v>
      </c>
      <c r="B10880" t="s">
        <v>21216</v>
      </c>
      <c r="C10880" t="s">
        <v>71</v>
      </c>
      <c r="D10880" t="s">
        <v>17</v>
      </c>
      <c r="E10880" s="6">
        <v>-28471</v>
      </c>
      <c r="F10880" t="s">
        <v>1436</v>
      </c>
      <c r="G10880" t="s">
        <v>63</v>
      </c>
      <c r="H10880" t="s">
        <v>20</v>
      </c>
      <c r="I10880" t="s">
        <v>21217</v>
      </c>
      <c r="J10880" t="str">
        <f>HYPERLINK("https://www.boe.es/gazeta/dias/1822/01/17/pdfs/GMD-1822-17.pdf#page=6","Abrir facsímil")</f>
        <v>Abrir facsímil</v>
      </c>
      <c r="K10880" t="s">
        <v>22</v>
      </c>
    </row>
    <row r="10881" spans="1:11" ht="42" customHeight="1">
      <c r="A10881" t="s">
        <v>21218</v>
      </c>
      <c r="B10881" t="s">
        <v>21219</v>
      </c>
      <c r="C10881" t="s">
        <v>50</v>
      </c>
      <c r="D10881" t="s">
        <v>51</v>
      </c>
      <c r="E10881" s="6">
        <v>-28226</v>
      </c>
      <c r="F10881" t="s">
        <v>812</v>
      </c>
      <c r="G10881" t="s">
        <v>31</v>
      </c>
      <c r="H10881" t="s">
        <v>20</v>
      </c>
      <c r="I10881" t="s">
        <v>21220</v>
      </c>
      <c r="J10881" t="str">
        <f>HYPERLINK("https://www.boe.es/gazeta/dias/1822/09/19/pdfs/GMD-1822-275.pdf#page=3","Abrir facsímil")</f>
        <v>Abrir facsímil</v>
      </c>
      <c r="K10881" t="s">
        <v>22</v>
      </c>
    </row>
    <row r="10882" spans="1:11" ht="42" customHeight="1">
      <c r="A10882" t="s">
        <v>21221</v>
      </c>
      <c r="B10882" t="s">
        <v>21222</v>
      </c>
      <c r="C10882" t="s">
        <v>71</v>
      </c>
      <c r="D10882" t="s">
        <v>17</v>
      </c>
      <c r="E10882" s="6">
        <v>-28480</v>
      </c>
      <c r="F10882" t="s">
        <v>995</v>
      </c>
      <c r="G10882" t="s">
        <v>19</v>
      </c>
      <c r="H10882" t="s">
        <v>20</v>
      </c>
      <c r="I10882" t="s">
        <v>21223</v>
      </c>
      <c r="J10882" t="str">
        <f>HYPERLINK("https://www.boe.es/gazeta/dias/1822/01/08/pdfs/GMD-1822-8.pdf#page=5","Abrir facsímil")</f>
        <v>Abrir facsímil</v>
      </c>
      <c r="K10882" t="s">
        <v>22</v>
      </c>
    </row>
    <row r="10883" spans="1:11" ht="42" customHeight="1">
      <c r="A10883" t="s">
        <v>21224</v>
      </c>
      <c r="B10883" t="s">
        <v>21225</v>
      </c>
      <c r="C10883" t="s">
        <v>50</v>
      </c>
      <c r="D10883" t="s">
        <v>51</v>
      </c>
      <c r="E10883" s="6">
        <v>-28391</v>
      </c>
      <c r="F10883" t="s">
        <v>378</v>
      </c>
      <c r="G10883" t="s">
        <v>63</v>
      </c>
      <c r="H10883" t="s">
        <v>20</v>
      </c>
      <c r="I10883" t="s">
        <v>21226</v>
      </c>
      <c r="J10883" t="str">
        <f>HYPERLINK("https://www.boe.es/gazeta/dias/1822/04/07/pdfs/GMD-1822-99.pdf#page=6","Abrir facsímil")</f>
        <v>Abrir facsímil</v>
      </c>
      <c r="K10883" t="s">
        <v>22</v>
      </c>
    </row>
    <row r="10884" spans="1:11" ht="42" customHeight="1">
      <c r="A10884" t="s">
        <v>21224</v>
      </c>
      <c r="B10884" t="s">
        <v>21225</v>
      </c>
      <c r="C10884" t="s">
        <v>42</v>
      </c>
      <c r="D10884" t="s">
        <v>17</v>
      </c>
      <c r="E10884" s="6">
        <v>-28366</v>
      </c>
      <c r="F10884" t="s">
        <v>120</v>
      </c>
      <c r="G10884" t="s">
        <v>63</v>
      </c>
      <c r="H10884" t="s">
        <v>20</v>
      </c>
      <c r="I10884" t="s">
        <v>21227</v>
      </c>
      <c r="J10884" t="str">
        <f>HYPERLINK("https://www.boe.es/gazeta/dias/1822/05/02/pdfs/GMD-1822-124.pdf#page=6","Abrir facsímil")</f>
        <v>Abrir facsímil</v>
      </c>
      <c r="K10884" t="s">
        <v>22</v>
      </c>
    </row>
    <row r="10885" spans="1:11" ht="42" customHeight="1">
      <c r="A10885" t="s">
        <v>21224</v>
      </c>
      <c r="B10885" t="s">
        <v>21225</v>
      </c>
      <c r="C10885" t="s">
        <v>42</v>
      </c>
      <c r="D10885" t="s">
        <v>17</v>
      </c>
      <c r="E10885" s="6">
        <v>-28346</v>
      </c>
      <c r="F10885" t="s">
        <v>191</v>
      </c>
      <c r="G10885" t="s">
        <v>63</v>
      </c>
      <c r="H10885" t="s">
        <v>20</v>
      </c>
      <c r="I10885" t="s">
        <v>21228</v>
      </c>
      <c r="J10885" t="str">
        <f>HYPERLINK("https://www.boe.es/gazeta/dias/1822/05/22/pdfs/GMD-1822-145.pdf#page=6","Abrir facsímil")</f>
        <v>Abrir facsímil</v>
      </c>
      <c r="K10885" t="s">
        <v>22</v>
      </c>
    </row>
    <row r="10886" spans="1:11" ht="42" customHeight="1">
      <c r="A10886" t="s">
        <v>21224</v>
      </c>
      <c r="B10886" t="s">
        <v>21225</v>
      </c>
      <c r="C10886" t="s">
        <v>28</v>
      </c>
      <c r="D10886" t="s">
        <v>29</v>
      </c>
      <c r="E10886" s="6">
        <v>-28345</v>
      </c>
      <c r="F10886" t="s">
        <v>294</v>
      </c>
      <c r="G10886" t="s">
        <v>63</v>
      </c>
      <c r="H10886" t="s">
        <v>20</v>
      </c>
      <c r="I10886" t="s">
        <v>21229</v>
      </c>
      <c r="J10886" t="str">
        <f>HYPERLINK("https://www.boe.es/gazeta/dias/1822/05/23/pdfs/GMD-1822-147.pdf#page=6","Abrir facsímil")</f>
        <v>Abrir facsímil</v>
      </c>
      <c r="K10886" t="s">
        <v>22</v>
      </c>
    </row>
    <row r="10887" spans="1:11" ht="42" customHeight="1">
      <c r="A10887" t="s">
        <v>21224</v>
      </c>
      <c r="B10887" t="s">
        <v>21225</v>
      </c>
      <c r="C10887" t="s">
        <v>24</v>
      </c>
      <c r="D10887" t="s">
        <v>17</v>
      </c>
      <c r="E10887" s="6">
        <v>-28267</v>
      </c>
      <c r="F10887" t="s">
        <v>1270</v>
      </c>
      <c r="G10887" t="s">
        <v>57</v>
      </c>
      <c r="H10887" t="s">
        <v>20</v>
      </c>
      <c r="I10887" t="s">
        <v>21230</v>
      </c>
      <c r="J10887" t="str">
        <f>HYPERLINK("https://www.boe.es/gazeta/dias/1822/08/09/pdfs/GMD-1822-233.pdf#page=4","Abrir facsímil")</f>
        <v>Abrir facsímil</v>
      </c>
      <c r="K10887" t="s">
        <v>22</v>
      </c>
    </row>
    <row r="10888" spans="1:11" ht="42" customHeight="1">
      <c r="A10888" t="s">
        <v>21224</v>
      </c>
      <c r="B10888" t="s">
        <v>21225</v>
      </c>
      <c r="C10888" t="s">
        <v>61</v>
      </c>
      <c r="D10888" t="s">
        <v>17</v>
      </c>
      <c r="E10888" s="6">
        <v>-28257</v>
      </c>
      <c r="F10888" t="s">
        <v>1171</v>
      </c>
      <c r="G10888" t="s">
        <v>1172</v>
      </c>
      <c r="H10888" t="s">
        <v>20</v>
      </c>
      <c r="I10888" t="s">
        <v>21231</v>
      </c>
      <c r="J10888" t="str">
        <f>HYPERLINK("https://www.boe.es/gazeta/dias/1822/08/19/pdfs/GMD-1822-243.pdf#page=4","Abrir facsímil")</f>
        <v>Abrir facsímil</v>
      </c>
      <c r="K10888" t="s">
        <v>22</v>
      </c>
    </row>
    <row r="10889" spans="1:11" ht="42" customHeight="1">
      <c r="A10889" t="s">
        <v>21224</v>
      </c>
      <c r="B10889" t="s">
        <v>21225</v>
      </c>
      <c r="C10889" t="s">
        <v>42</v>
      </c>
      <c r="D10889" t="s">
        <v>17</v>
      </c>
      <c r="E10889" s="6">
        <v>-28243</v>
      </c>
      <c r="F10889" t="s">
        <v>1829</v>
      </c>
      <c r="G10889" t="s">
        <v>57</v>
      </c>
      <c r="H10889" t="s">
        <v>20</v>
      </c>
      <c r="I10889" t="s">
        <v>21232</v>
      </c>
      <c r="J10889" t="str">
        <f>HYPERLINK("https://www.boe.es/gazeta/dias/1822/09/02/pdfs/GMD-1822-257.pdf#page=4","Abrir facsímil")</f>
        <v>Abrir facsímil</v>
      </c>
      <c r="K10889" t="s">
        <v>22</v>
      </c>
    </row>
    <row r="10890" spans="1:11" ht="42" customHeight="1">
      <c r="A10890" t="s">
        <v>21233</v>
      </c>
      <c r="B10890" t="s">
        <v>21234</v>
      </c>
      <c r="C10890" t="s">
        <v>50</v>
      </c>
      <c r="D10890" t="s">
        <v>51</v>
      </c>
      <c r="E10890" s="6">
        <v>-28366</v>
      </c>
      <c r="F10890" t="s">
        <v>120</v>
      </c>
      <c r="G10890" t="s">
        <v>63</v>
      </c>
      <c r="H10890" t="s">
        <v>20</v>
      </c>
      <c r="I10890" t="s">
        <v>21235</v>
      </c>
      <c r="J10890" t="str">
        <f>HYPERLINK("https://www.boe.es/gazeta/dias/1822/05/02/pdfs/GMD-1822-124.pdf#page=6","Abrir facsímil")</f>
        <v>Abrir facsímil</v>
      </c>
      <c r="K10890" t="s">
        <v>22</v>
      </c>
    </row>
    <row r="10891" spans="1:11" ht="42" customHeight="1">
      <c r="A10891" t="s">
        <v>21236</v>
      </c>
      <c r="B10891" t="s">
        <v>21236</v>
      </c>
      <c r="C10891" t="s">
        <v>24</v>
      </c>
      <c r="D10891" t="s">
        <v>17</v>
      </c>
      <c r="E10891" s="6">
        <v>-28169</v>
      </c>
      <c r="F10891" t="s">
        <v>2571</v>
      </c>
      <c r="G10891" t="s">
        <v>44</v>
      </c>
      <c r="H10891" t="s">
        <v>20</v>
      </c>
      <c r="I10891" t="s">
        <v>21237</v>
      </c>
      <c r="J10891" t="str">
        <f>HYPERLINK("https://www.boe.es/gazeta/dias/1822/11/15/pdfs/GMD-1822-335.pdf#page=1","Abrir facsímil")</f>
        <v>Abrir facsímil</v>
      </c>
      <c r="K10891" t="s">
        <v>22</v>
      </c>
    </row>
    <row r="10892" spans="1:11" ht="42" customHeight="1">
      <c r="A10892" t="s">
        <v>21238</v>
      </c>
      <c r="B10892" t="s">
        <v>21238</v>
      </c>
      <c r="C10892" t="s">
        <v>42</v>
      </c>
      <c r="D10892" t="s">
        <v>17</v>
      </c>
      <c r="E10892" s="6">
        <v>-28150</v>
      </c>
      <c r="F10892" t="s">
        <v>62</v>
      </c>
      <c r="G10892" t="s">
        <v>13795</v>
      </c>
      <c r="H10892" t="s">
        <v>20</v>
      </c>
      <c r="I10892" t="s">
        <v>21239</v>
      </c>
      <c r="J10892" t="str">
        <f>HYPERLINK("https://www.boe.es/gazeta/dias/1822/12/04/pdfs/GMD-1822-354.pdf#page=2","Abrir facsímil")</f>
        <v>Abrir facsímil</v>
      </c>
      <c r="K10892" t="s">
        <v>22</v>
      </c>
    </row>
    <row r="10893" spans="1:11" ht="42" customHeight="1">
      <c r="A10893" t="s">
        <v>21240</v>
      </c>
      <c r="B10893" t="s">
        <v>21240</v>
      </c>
      <c r="C10893" t="s">
        <v>50</v>
      </c>
      <c r="D10893" t="s">
        <v>51</v>
      </c>
      <c r="E10893" s="6">
        <v>-28156</v>
      </c>
      <c r="F10893" t="s">
        <v>1568</v>
      </c>
      <c r="G10893" t="s">
        <v>35</v>
      </c>
      <c r="H10893" t="s">
        <v>20</v>
      </c>
      <c r="I10893" t="s">
        <v>21241</v>
      </c>
      <c r="J10893" t="str">
        <f>HYPERLINK("https://www.boe.es/gazeta/dias/1822/11/28/pdfs/GMD-1822-348.pdf#page=2","Abrir facsímil")</f>
        <v>Abrir facsímil</v>
      </c>
      <c r="K10893" t="s">
        <v>22</v>
      </c>
    </row>
    <row r="10894" spans="1:11" ht="42" customHeight="1">
      <c r="A10894" t="s">
        <v>21242</v>
      </c>
      <c r="B10894" t="s">
        <v>21243</v>
      </c>
      <c r="C10894" t="s">
        <v>50</v>
      </c>
      <c r="D10894" t="s">
        <v>51</v>
      </c>
      <c r="E10894" s="6">
        <v>-28343</v>
      </c>
      <c r="F10894" t="s">
        <v>1019</v>
      </c>
      <c r="G10894" t="s">
        <v>19</v>
      </c>
      <c r="H10894" t="s">
        <v>20</v>
      </c>
      <c r="I10894" t="s">
        <v>21244</v>
      </c>
      <c r="J10894" t="str">
        <f>HYPERLINK("https://www.boe.es/gazeta/dias/1822/05/25/pdfs/GMD-1822-150.pdf#page=5","Abrir facsímil")</f>
        <v>Abrir facsímil</v>
      </c>
      <c r="K10894" t="s">
        <v>22</v>
      </c>
    </row>
    <row r="10895" spans="1:11" ht="42" customHeight="1">
      <c r="A10895" t="s">
        <v>21245</v>
      </c>
      <c r="B10895" t="s">
        <v>21245</v>
      </c>
      <c r="C10895" t="s">
        <v>50</v>
      </c>
      <c r="D10895" t="s">
        <v>51</v>
      </c>
      <c r="E10895" s="6">
        <v>-28362</v>
      </c>
      <c r="F10895" t="s">
        <v>511</v>
      </c>
      <c r="G10895" t="s">
        <v>57</v>
      </c>
      <c r="H10895" t="s">
        <v>20</v>
      </c>
      <c r="I10895" t="s">
        <v>21246</v>
      </c>
      <c r="J10895" t="str">
        <f>HYPERLINK("https://www.boe.es/gazeta/dias/1822/05/06/pdfs/GMD-1822-128.pdf#page=4","Abrir facsímil")</f>
        <v>Abrir facsímil</v>
      </c>
      <c r="K10895" t="s">
        <v>22</v>
      </c>
    </row>
    <row r="10896" spans="1:11" ht="42" customHeight="1">
      <c r="A10896" t="s">
        <v>21247</v>
      </c>
      <c r="B10896" t="s">
        <v>21247</v>
      </c>
      <c r="C10896" t="s">
        <v>71</v>
      </c>
      <c r="D10896" t="s">
        <v>17</v>
      </c>
      <c r="E10896" s="6">
        <v>-28188</v>
      </c>
      <c r="F10896" t="s">
        <v>578</v>
      </c>
      <c r="G10896" t="s">
        <v>63</v>
      </c>
      <c r="H10896" t="s">
        <v>20</v>
      </c>
      <c r="I10896" t="s">
        <v>21248</v>
      </c>
      <c r="J10896" t="str">
        <f>HYPERLINK("https://www.boe.es/gazeta/dias/1822/10/27/pdfs/GMD-1822-314.pdf#page=6","Abrir facsímil")</f>
        <v>Abrir facsímil</v>
      </c>
      <c r="K10896" t="s">
        <v>22</v>
      </c>
    </row>
    <row r="10897" spans="1:11" ht="42" customHeight="1">
      <c r="A10897" t="s">
        <v>21247</v>
      </c>
      <c r="B10897" t="s">
        <v>21247</v>
      </c>
      <c r="C10897" t="s">
        <v>24</v>
      </c>
      <c r="D10897" t="s">
        <v>17</v>
      </c>
      <c r="E10897" s="6">
        <v>-28126</v>
      </c>
      <c r="F10897" t="s">
        <v>952</v>
      </c>
      <c r="G10897" t="s">
        <v>35</v>
      </c>
      <c r="H10897" t="s">
        <v>20</v>
      </c>
      <c r="I10897" t="s">
        <v>21249</v>
      </c>
      <c r="J10897" t="str">
        <f>HYPERLINK("https://www.boe.es/gazeta/dias/1822/12/28/pdfs/GMD-1822-378.pdf#page=2","Abrir facsímil")</f>
        <v>Abrir facsímil</v>
      </c>
      <c r="K10897" t="s">
        <v>22</v>
      </c>
    </row>
    <row r="10898" spans="1:11" ht="42" customHeight="1">
      <c r="A10898" t="s">
        <v>21250</v>
      </c>
      <c r="B10898" t="s">
        <v>21250</v>
      </c>
      <c r="C10898" t="s">
        <v>28</v>
      </c>
      <c r="D10898" t="s">
        <v>29</v>
      </c>
      <c r="E10898" s="6">
        <v>-28360</v>
      </c>
      <c r="F10898" t="s">
        <v>514</v>
      </c>
      <c r="G10898" t="s">
        <v>57</v>
      </c>
      <c r="H10898" t="s">
        <v>20</v>
      </c>
      <c r="I10898" t="s">
        <v>21251</v>
      </c>
      <c r="J10898" t="str">
        <f>HYPERLINK("https://www.boe.es/gazeta/dias/1822/05/08/pdfs/GMD-1822-130.pdf#page=4","Abrir facsímil")</f>
        <v>Abrir facsímil</v>
      </c>
      <c r="K10898" t="s">
        <v>22</v>
      </c>
    </row>
    <row r="10899" spans="1:11" ht="42" customHeight="1">
      <c r="A10899" t="s">
        <v>21250</v>
      </c>
      <c r="B10899" t="s">
        <v>21250</v>
      </c>
      <c r="C10899" t="s">
        <v>71</v>
      </c>
      <c r="D10899" t="s">
        <v>17</v>
      </c>
      <c r="E10899" s="6">
        <v>-28164</v>
      </c>
      <c r="F10899" t="s">
        <v>2172</v>
      </c>
      <c r="G10899" t="s">
        <v>57</v>
      </c>
      <c r="H10899" t="s">
        <v>20</v>
      </c>
      <c r="I10899" t="s">
        <v>21252</v>
      </c>
      <c r="J10899" t="str">
        <f>HYPERLINK("https://www.boe.es/gazeta/dias/1822/11/20/pdfs/GMD-1822-340.pdf#page=4","Abrir facsímil")</f>
        <v>Abrir facsímil</v>
      </c>
      <c r="K10899" t="s">
        <v>22</v>
      </c>
    </row>
    <row r="10900" spans="1:11" ht="42" customHeight="1">
      <c r="A10900" t="s">
        <v>21253</v>
      </c>
      <c r="B10900" t="s">
        <v>21254</v>
      </c>
      <c r="C10900" t="s">
        <v>24</v>
      </c>
      <c r="D10900" t="s">
        <v>17</v>
      </c>
      <c r="E10900" s="6">
        <v>-28153</v>
      </c>
      <c r="F10900" t="s">
        <v>946</v>
      </c>
      <c r="G10900" t="s">
        <v>19</v>
      </c>
      <c r="H10900" t="s">
        <v>45</v>
      </c>
      <c r="I10900" t="s">
        <v>21255</v>
      </c>
      <c r="J10900" t="str">
        <f>HYPERLINK("https://www.boe.es/gazeta/dias/1822/12/01/pdfs/GMD-1822-351.pdf#page=5","Abrir facsímil")</f>
        <v>Abrir facsímil</v>
      </c>
      <c r="K10900" t="s">
        <v>47</v>
      </c>
    </row>
    <row r="10901" spans="1:11" ht="42" customHeight="1">
      <c r="A10901" t="s">
        <v>21256</v>
      </c>
      <c r="B10901" t="s">
        <v>21257</v>
      </c>
      <c r="C10901" t="s">
        <v>50</v>
      </c>
      <c r="D10901" t="s">
        <v>51</v>
      </c>
      <c r="E10901" s="6">
        <v>-28395</v>
      </c>
      <c r="F10901" t="s">
        <v>237</v>
      </c>
      <c r="G10901" t="s">
        <v>35</v>
      </c>
      <c r="H10901" t="s">
        <v>20</v>
      </c>
      <c r="I10901" t="s">
        <v>21258</v>
      </c>
      <c r="J10901" t="str">
        <f>HYPERLINK("https://www.boe.es/gazeta/dias/1822/04/03/pdfs/GMD-1822-95.pdf#page=2","Abrir facsímil")</f>
        <v>Abrir facsímil</v>
      </c>
      <c r="K10901" t="s">
        <v>22</v>
      </c>
    </row>
    <row r="10902" spans="1:11" ht="42" customHeight="1">
      <c r="A10902" t="s">
        <v>21259</v>
      </c>
      <c r="B10902" t="s">
        <v>21260</v>
      </c>
      <c r="C10902" t="s">
        <v>42</v>
      </c>
      <c r="D10902" t="s">
        <v>17</v>
      </c>
      <c r="E10902" s="6">
        <v>-28131</v>
      </c>
      <c r="F10902" t="s">
        <v>893</v>
      </c>
      <c r="G10902" t="s">
        <v>991</v>
      </c>
      <c r="H10902" t="s">
        <v>20</v>
      </c>
      <c r="I10902" t="s">
        <v>21261</v>
      </c>
      <c r="J10902" t="str">
        <f>HYPERLINK("https://www.boe.es/gazeta/dias/1822/12/23/pdfs/GMD-1822-373.pdf#page=6","Abrir facsímil")</f>
        <v>Abrir facsímil</v>
      </c>
      <c r="K10902" t="s">
        <v>22</v>
      </c>
    </row>
    <row r="10903" spans="1:11" ht="42" customHeight="1">
      <c r="A10903" t="s">
        <v>21262</v>
      </c>
      <c r="B10903" t="s">
        <v>21263</v>
      </c>
      <c r="C10903" t="s">
        <v>50</v>
      </c>
      <c r="D10903" t="s">
        <v>51</v>
      </c>
      <c r="E10903" s="6">
        <v>-28242</v>
      </c>
      <c r="F10903" t="s">
        <v>831</v>
      </c>
      <c r="G10903" t="s">
        <v>35</v>
      </c>
      <c r="H10903" t="s">
        <v>20</v>
      </c>
      <c r="I10903" t="s">
        <v>21264</v>
      </c>
      <c r="J10903" t="str">
        <f>HYPERLINK("https://www.boe.es/gazeta/dias/1822/09/03/pdfs/GMD-1822-258.pdf#page=2","Abrir facsímil")</f>
        <v>Abrir facsímil</v>
      </c>
      <c r="K10903" t="s">
        <v>22</v>
      </c>
    </row>
    <row r="10904" spans="1:11" ht="42" customHeight="1">
      <c r="A10904" t="s">
        <v>21265</v>
      </c>
      <c r="B10904" t="s">
        <v>21266</v>
      </c>
      <c r="C10904" t="s">
        <v>42</v>
      </c>
      <c r="D10904" t="s">
        <v>17</v>
      </c>
      <c r="E10904" s="6">
        <v>-28237</v>
      </c>
      <c r="F10904" t="s">
        <v>878</v>
      </c>
      <c r="G10904" t="s">
        <v>31</v>
      </c>
      <c r="H10904" t="s">
        <v>20</v>
      </c>
      <c r="I10904" t="s">
        <v>21267</v>
      </c>
      <c r="J10904" t="str">
        <f>HYPERLINK("https://www.boe.es/gazeta/dias/1822/09/08/pdfs/GMD-1822-264.pdf#page=3","Abrir facsímil")</f>
        <v>Abrir facsímil</v>
      </c>
      <c r="K10904" t="s">
        <v>22</v>
      </c>
    </row>
    <row r="10905" spans="1:11" ht="42" customHeight="1">
      <c r="A10905" t="s">
        <v>21268</v>
      </c>
      <c r="B10905" t="s">
        <v>21269</v>
      </c>
      <c r="C10905" t="s">
        <v>50</v>
      </c>
      <c r="D10905" t="s">
        <v>51</v>
      </c>
      <c r="E10905" s="6">
        <v>-28413</v>
      </c>
      <c r="F10905" t="s">
        <v>458</v>
      </c>
      <c r="G10905" t="s">
        <v>57</v>
      </c>
      <c r="H10905" t="s">
        <v>20</v>
      </c>
      <c r="I10905" t="s">
        <v>21270</v>
      </c>
      <c r="J10905" t="str">
        <f>HYPERLINK("https://www.boe.es/gazeta/dias/1822/03/16/pdfs/GMD-1822-77.pdf#page=4","Abrir facsímil")</f>
        <v>Abrir facsímil</v>
      </c>
      <c r="K10905" t="s">
        <v>22</v>
      </c>
    </row>
    <row r="10906" spans="1:11" ht="42" customHeight="1">
      <c r="A10906" t="s">
        <v>21271</v>
      </c>
      <c r="B10906" t="s">
        <v>21271</v>
      </c>
      <c r="C10906" t="s">
        <v>50</v>
      </c>
      <c r="D10906" t="s">
        <v>51</v>
      </c>
      <c r="E10906" s="6">
        <v>-28334</v>
      </c>
      <c r="F10906" t="s">
        <v>532</v>
      </c>
      <c r="G10906" t="s">
        <v>157</v>
      </c>
      <c r="H10906" t="s">
        <v>20</v>
      </c>
      <c r="I10906" t="s">
        <v>21272</v>
      </c>
      <c r="J10906" t="str">
        <f>HYPERLINK("https://www.boe.es/gazeta/dias/1822/06/03/pdfs/GMD-1822-159.pdf#page=8","Abrir facsímil")</f>
        <v>Abrir facsímil</v>
      </c>
      <c r="K10906" t="s">
        <v>22</v>
      </c>
    </row>
    <row r="10907" spans="1:11" ht="42" customHeight="1">
      <c r="A10907" t="s">
        <v>21273</v>
      </c>
      <c r="B10907" t="s">
        <v>21274</v>
      </c>
      <c r="C10907" t="s">
        <v>28</v>
      </c>
      <c r="D10907" t="s">
        <v>29</v>
      </c>
      <c r="E10907" s="6">
        <v>-28258</v>
      </c>
      <c r="F10907" t="s">
        <v>88</v>
      </c>
      <c r="G10907" t="s">
        <v>31</v>
      </c>
      <c r="H10907" t="s">
        <v>20</v>
      </c>
      <c r="I10907" t="s">
        <v>21275</v>
      </c>
      <c r="J10907" t="str">
        <f>HYPERLINK("https://www.boe.es/gazeta/dias/1822/08/18/pdfs/GMD-1822-242.pdf#page=3","Abrir facsímil")</f>
        <v>Abrir facsímil</v>
      </c>
      <c r="K10907" t="s">
        <v>22</v>
      </c>
    </row>
    <row r="10908" spans="1:11" ht="42" customHeight="1">
      <c r="A10908" t="s">
        <v>21276</v>
      </c>
      <c r="B10908" t="s">
        <v>21277</v>
      </c>
      <c r="C10908" t="s">
        <v>71</v>
      </c>
      <c r="D10908" t="s">
        <v>17</v>
      </c>
      <c r="E10908" s="6">
        <v>-28152</v>
      </c>
      <c r="F10908" t="s">
        <v>122</v>
      </c>
      <c r="G10908" t="s">
        <v>57</v>
      </c>
      <c r="H10908" t="s">
        <v>20</v>
      </c>
      <c r="I10908" t="s">
        <v>21278</v>
      </c>
      <c r="J10908" t="str">
        <f>HYPERLINK("https://www.boe.es/gazeta/dias/1822/12/02/pdfs/GMD-1822-352.pdf#page=4","Abrir facsímil")</f>
        <v>Abrir facsímil</v>
      </c>
      <c r="K10908" t="s">
        <v>22</v>
      </c>
    </row>
    <row r="10909" spans="1:11" ht="42" customHeight="1">
      <c r="A10909" t="s">
        <v>21279</v>
      </c>
      <c r="B10909" t="s">
        <v>21279</v>
      </c>
      <c r="C10909" t="s">
        <v>50</v>
      </c>
      <c r="D10909" t="s">
        <v>51</v>
      </c>
      <c r="E10909" s="6">
        <v>-28413</v>
      </c>
      <c r="F10909" t="s">
        <v>458</v>
      </c>
      <c r="G10909" t="s">
        <v>63</v>
      </c>
      <c r="H10909" t="s">
        <v>20</v>
      </c>
      <c r="I10909" t="s">
        <v>21280</v>
      </c>
      <c r="J10909" t="str">
        <f>HYPERLINK("https://www.boe.es/gazeta/dias/1822/03/16/pdfs/GMD-1822-77.pdf#page=6","Abrir facsímil")</f>
        <v>Abrir facsímil</v>
      </c>
      <c r="K10909" t="s">
        <v>22</v>
      </c>
    </row>
    <row r="10910" spans="1:11" ht="42" customHeight="1">
      <c r="A10910" t="s">
        <v>21279</v>
      </c>
      <c r="B10910" t="s">
        <v>21279</v>
      </c>
      <c r="C10910" t="s">
        <v>61</v>
      </c>
      <c r="D10910" t="s">
        <v>17</v>
      </c>
      <c r="E10910" s="6">
        <v>-28408</v>
      </c>
      <c r="F10910" t="s">
        <v>2561</v>
      </c>
      <c r="G10910" t="s">
        <v>63</v>
      </c>
      <c r="H10910" t="s">
        <v>20</v>
      </c>
      <c r="I10910" t="s">
        <v>21281</v>
      </c>
      <c r="J10910" t="str">
        <f>HYPERLINK("https://www.boe.es/gazeta/dias/1822/03/21/pdfs/GMD-1822-82.pdf#page=6","Abrir facsímil")</f>
        <v>Abrir facsímil</v>
      </c>
      <c r="K10910" t="s">
        <v>22</v>
      </c>
    </row>
    <row r="10911" spans="1:11" ht="42" customHeight="1">
      <c r="A10911" t="s">
        <v>21279</v>
      </c>
      <c r="B10911" t="s">
        <v>21279</v>
      </c>
      <c r="C10911" t="s">
        <v>42</v>
      </c>
      <c r="D10911" t="s">
        <v>17</v>
      </c>
      <c r="E10911" s="6">
        <v>-28344</v>
      </c>
      <c r="F10911" t="s">
        <v>524</v>
      </c>
      <c r="G10911" t="s">
        <v>31</v>
      </c>
      <c r="H10911" t="s">
        <v>20</v>
      </c>
      <c r="I10911" t="s">
        <v>21282</v>
      </c>
      <c r="J10911" t="str">
        <f>HYPERLINK("https://www.boe.es/gazeta/dias/1822/05/24/pdfs/GMD-1822-148.pdf#page=3","Abrir facsímil")</f>
        <v>Abrir facsímil</v>
      </c>
      <c r="K10911" t="s">
        <v>22</v>
      </c>
    </row>
    <row r="10912" spans="1:11" ht="42" customHeight="1">
      <c r="A10912" t="s">
        <v>21279</v>
      </c>
      <c r="B10912" t="s">
        <v>21279</v>
      </c>
      <c r="C10912" t="s">
        <v>50</v>
      </c>
      <c r="D10912" t="s">
        <v>51</v>
      </c>
      <c r="E10912" s="6">
        <v>-28319</v>
      </c>
      <c r="F10912" t="s">
        <v>271</v>
      </c>
      <c r="G10912" t="s">
        <v>63</v>
      </c>
      <c r="H10912" t="s">
        <v>20</v>
      </c>
      <c r="I10912" t="s">
        <v>21283</v>
      </c>
      <c r="J10912" t="str">
        <f>HYPERLINK("https://www.boe.es/gazeta/dias/1822/06/18/pdfs/GMD-1822-175.pdf#page=6","Abrir facsímil")</f>
        <v>Abrir facsímil</v>
      </c>
      <c r="K10912" t="s">
        <v>22</v>
      </c>
    </row>
    <row r="10913" spans="1:11" ht="42" customHeight="1">
      <c r="A10913" t="s">
        <v>21279</v>
      </c>
      <c r="B10913" t="s">
        <v>21279</v>
      </c>
      <c r="C10913" t="s">
        <v>16</v>
      </c>
      <c r="D10913" t="s">
        <v>17</v>
      </c>
      <c r="E10913" s="6">
        <v>-28294</v>
      </c>
      <c r="F10913" t="s">
        <v>2298</v>
      </c>
      <c r="G10913" t="s">
        <v>31</v>
      </c>
      <c r="H10913" t="s">
        <v>20</v>
      </c>
      <c r="I10913" t="s">
        <v>21284</v>
      </c>
      <c r="J10913" t="str">
        <f>HYPERLINK("https://www.boe.es/gazeta/dias/1822/07/13/pdfs/GMD-1822-203.pdf#page=3","Abrir facsímil")</f>
        <v>Abrir facsímil</v>
      </c>
      <c r="K10913" t="s">
        <v>22</v>
      </c>
    </row>
    <row r="10914" spans="1:11" ht="42" customHeight="1">
      <c r="A10914" t="s">
        <v>21279</v>
      </c>
      <c r="B10914" t="s">
        <v>21279</v>
      </c>
      <c r="C10914" t="s">
        <v>50</v>
      </c>
      <c r="D10914" t="s">
        <v>51</v>
      </c>
      <c r="E10914" s="6">
        <v>-28243</v>
      </c>
      <c r="F10914" t="s">
        <v>1829</v>
      </c>
      <c r="G10914" t="s">
        <v>57</v>
      </c>
      <c r="H10914" t="s">
        <v>20</v>
      </c>
      <c r="I10914" t="s">
        <v>21285</v>
      </c>
      <c r="J10914" t="str">
        <f>HYPERLINK("https://www.boe.es/gazeta/dias/1822/09/02/pdfs/GMD-1822-257.pdf#page=4","Abrir facsímil")</f>
        <v>Abrir facsímil</v>
      </c>
      <c r="K10914" t="s">
        <v>22</v>
      </c>
    </row>
    <row r="10915" spans="1:11" ht="42" customHeight="1">
      <c r="A10915" t="s">
        <v>21279</v>
      </c>
      <c r="B10915" t="s">
        <v>21279</v>
      </c>
      <c r="C10915" t="s">
        <v>50</v>
      </c>
      <c r="D10915" t="s">
        <v>51</v>
      </c>
      <c r="E10915" s="6">
        <v>-28210</v>
      </c>
      <c r="F10915" t="s">
        <v>218</v>
      </c>
      <c r="G10915" t="s">
        <v>19</v>
      </c>
      <c r="H10915" t="s">
        <v>20</v>
      </c>
      <c r="I10915" t="s">
        <v>21286</v>
      </c>
      <c r="J10915" t="str">
        <f>HYPERLINK("https://www.boe.es/gazeta/dias/1822/10/05/pdfs/GMD-1822-291.pdf#page=5","Abrir facsímil")</f>
        <v>Abrir facsímil</v>
      </c>
      <c r="K10915" t="s">
        <v>22</v>
      </c>
    </row>
    <row r="10916" spans="1:11" ht="42" customHeight="1">
      <c r="A10916" t="s">
        <v>21287</v>
      </c>
      <c r="B10916" t="s">
        <v>21288</v>
      </c>
      <c r="C10916" t="s">
        <v>28</v>
      </c>
      <c r="D10916" t="s">
        <v>29</v>
      </c>
      <c r="E10916" s="6">
        <v>-28367</v>
      </c>
      <c r="F10916" t="s">
        <v>280</v>
      </c>
      <c r="G10916" t="s">
        <v>35</v>
      </c>
      <c r="H10916" t="s">
        <v>20</v>
      </c>
      <c r="I10916" t="s">
        <v>21289</v>
      </c>
      <c r="J10916" t="str">
        <f>HYPERLINK("https://www.boe.es/gazeta/dias/1822/05/01/pdfs/GMD-1822-123.pdf#page=2","Abrir facsímil")</f>
        <v>Abrir facsímil</v>
      </c>
      <c r="K10916" t="s">
        <v>22</v>
      </c>
    </row>
    <row r="10917" spans="1:11" ht="42" customHeight="1">
      <c r="A10917" t="s">
        <v>21290</v>
      </c>
      <c r="B10917" t="s">
        <v>21291</v>
      </c>
      <c r="C10917" t="s">
        <v>50</v>
      </c>
      <c r="D10917" t="s">
        <v>51</v>
      </c>
      <c r="E10917" s="6">
        <v>-28328</v>
      </c>
      <c r="F10917" t="s">
        <v>540</v>
      </c>
      <c r="G10917" t="s">
        <v>35</v>
      </c>
      <c r="H10917" t="s">
        <v>20</v>
      </c>
      <c r="I10917" t="s">
        <v>21292</v>
      </c>
      <c r="J10917" t="str">
        <f>HYPERLINK("https://www.boe.es/gazeta/dias/1822/06/09/pdfs/GMD-1822-166.pdf#page=2","Abrir facsímil")</f>
        <v>Abrir facsímil</v>
      </c>
      <c r="K10917" t="s">
        <v>22</v>
      </c>
    </row>
    <row r="10918" spans="1:11" ht="42" customHeight="1">
      <c r="A10918" t="s">
        <v>21293</v>
      </c>
      <c r="B10918" t="s">
        <v>21294</v>
      </c>
      <c r="C10918" t="s">
        <v>28</v>
      </c>
      <c r="D10918" t="s">
        <v>29</v>
      </c>
      <c r="E10918" s="6">
        <v>-28339</v>
      </c>
      <c r="F10918" t="s">
        <v>197</v>
      </c>
      <c r="G10918" t="s">
        <v>44</v>
      </c>
      <c r="H10918" t="s">
        <v>20</v>
      </c>
      <c r="I10918" t="s">
        <v>21295</v>
      </c>
      <c r="J10918" t="str">
        <f>HYPERLINK("https://www.boe.es/gazeta/dias/1822/05/29/pdfs/GMD-1822-154.pdf#page=1","Abrir facsímil")</f>
        <v>Abrir facsímil</v>
      </c>
      <c r="K10918" t="s">
        <v>22</v>
      </c>
    </row>
    <row r="10919" spans="1:11" ht="42" customHeight="1">
      <c r="A10919" t="s">
        <v>21296</v>
      </c>
      <c r="B10919" t="s">
        <v>21297</v>
      </c>
      <c r="C10919" t="s">
        <v>50</v>
      </c>
      <c r="D10919" t="s">
        <v>51</v>
      </c>
      <c r="E10919" s="6">
        <v>-28241</v>
      </c>
      <c r="F10919" t="s">
        <v>3068</v>
      </c>
      <c r="G10919" t="s">
        <v>31</v>
      </c>
      <c r="H10919" t="s">
        <v>20</v>
      </c>
      <c r="I10919" t="s">
        <v>21298</v>
      </c>
      <c r="J10919" t="str">
        <f>HYPERLINK("https://www.boe.es/gazeta/dias/1822/09/04/pdfs/GMD-1822-259.pdf#page=3","Abrir facsímil")</f>
        <v>Abrir facsímil</v>
      </c>
      <c r="K10919" t="s">
        <v>22</v>
      </c>
    </row>
    <row r="10920" spans="1:11" ht="42" customHeight="1">
      <c r="A10920" t="s">
        <v>21299</v>
      </c>
      <c r="B10920" t="s">
        <v>21300</v>
      </c>
      <c r="C10920" t="s">
        <v>71</v>
      </c>
      <c r="D10920" t="s">
        <v>17</v>
      </c>
      <c r="E10920" s="6">
        <v>-28339</v>
      </c>
      <c r="F10920" t="s">
        <v>197</v>
      </c>
      <c r="G10920" t="s">
        <v>63</v>
      </c>
      <c r="H10920" t="s">
        <v>20</v>
      </c>
      <c r="I10920" t="s">
        <v>21301</v>
      </c>
      <c r="J10920" t="str">
        <f>HYPERLINK("https://www.boe.es/gazeta/dias/1822/05/29/pdfs/GMD-1822-154.pdf#page=6","Abrir facsímil")</f>
        <v>Abrir facsímil</v>
      </c>
      <c r="K10920" t="s">
        <v>22</v>
      </c>
    </row>
    <row r="10921" spans="1:11" ht="42" customHeight="1">
      <c r="A10921" t="s">
        <v>21302</v>
      </c>
      <c r="B10921" t="s">
        <v>21302</v>
      </c>
      <c r="C10921" t="s">
        <v>28</v>
      </c>
      <c r="D10921" t="s">
        <v>29</v>
      </c>
      <c r="E10921" s="6">
        <v>-28140</v>
      </c>
      <c r="F10921" t="s">
        <v>84</v>
      </c>
      <c r="G10921" t="s">
        <v>35</v>
      </c>
      <c r="H10921" t="s">
        <v>20</v>
      </c>
      <c r="I10921" t="s">
        <v>21303</v>
      </c>
      <c r="J10921" t="str">
        <f>HYPERLINK("https://www.boe.es/gazeta/dias/1822/12/14/pdfs/GMD-1822-364.pdf#page=2","Abrir facsímil")</f>
        <v>Abrir facsímil</v>
      </c>
      <c r="K10921" t="s">
        <v>22</v>
      </c>
    </row>
    <row r="10922" spans="1:11" ht="42" customHeight="1">
      <c r="A10922" t="s">
        <v>21302</v>
      </c>
      <c r="B10922" t="s">
        <v>21302</v>
      </c>
      <c r="C10922" t="s">
        <v>28</v>
      </c>
      <c r="D10922" t="s">
        <v>29</v>
      </c>
      <c r="E10922" s="6">
        <v>-28131</v>
      </c>
      <c r="F10922" t="s">
        <v>893</v>
      </c>
      <c r="G10922" t="s">
        <v>57</v>
      </c>
      <c r="H10922" t="s">
        <v>20</v>
      </c>
      <c r="I10922" t="s">
        <v>21304</v>
      </c>
      <c r="J10922" t="str">
        <f>HYPERLINK("https://www.boe.es/gazeta/dias/1822/12/23/pdfs/GMD-1822-373.pdf#page=4","Abrir facsímil")</f>
        <v>Abrir facsímil</v>
      </c>
      <c r="K10922" t="s">
        <v>22</v>
      </c>
    </row>
    <row r="10923" spans="1:11" ht="42" customHeight="1">
      <c r="A10923" t="s">
        <v>21305</v>
      </c>
      <c r="B10923" t="s">
        <v>21305</v>
      </c>
      <c r="C10923" t="s">
        <v>50</v>
      </c>
      <c r="D10923" t="s">
        <v>51</v>
      </c>
      <c r="E10923" s="6">
        <v>-28207</v>
      </c>
      <c r="F10923" t="s">
        <v>1325</v>
      </c>
      <c r="G10923" t="s">
        <v>57</v>
      </c>
      <c r="H10923" t="s">
        <v>20</v>
      </c>
      <c r="I10923" t="s">
        <v>21306</v>
      </c>
      <c r="J10923" t="str">
        <f>HYPERLINK("https://www.boe.es/gazeta/dias/1822/10/08/pdfs/GMD-1822-295.pdf#page=4","Abrir facsímil")</f>
        <v>Abrir facsímil</v>
      </c>
      <c r="K10923" t="s">
        <v>22</v>
      </c>
    </row>
    <row r="10924" spans="1:11" ht="42" customHeight="1">
      <c r="A10924" t="s">
        <v>21307</v>
      </c>
      <c r="B10924" t="s">
        <v>21307</v>
      </c>
      <c r="C10924" t="s">
        <v>50</v>
      </c>
      <c r="D10924" t="s">
        <v>51</v>
      </c>
      <c r="E10924" s="6">
        <v>-28344</v>
      </c>
      <c r="F10924" t="s">
        <v>524</v>
      </c>
      <c r="G10924" t="s">
        <v>1040</v>
      </c>
      <c r="H10924" t="s">
        <v>20</v>
      </c>
      <c r="I10924" t="s">
        <v>21308</v>
      </c>
      <c r="J10924" t="str">
        <f>HYPERLINK("https://www.boe.es/gazeta/dias/1822/05/24/pdfs/GMD-1822-148.pdf#page=2","Abrir facsímil")</f>
        <v>Abrir facsímil</v>
      </c>
      <c r="K10924" t="s">
        <v>22</v>
      </c>
    </row>
    <row r="10925" spans="1:11" ht="42" customHeight="1">
      <c r="A10925" t="s">
        <v>21309</v>
      </c>
      <c r="B10925" t="s">
        <v>21309</v>
      </c>
      <c r="C10925" t="s">
        <v>71</v>
      </c>
      <c r="D10925" t="s">
        <v>17</v>
      </c>
      <c r="E10925" s="6">
        <v>-28362</v>
      </c>
      <c r="F10925" t="s">
        <v>511</v>
      </c>
      <c r="G10925" t="s">
        <v>57</v>
      </c>
      <c r="H10925" t="s">
        <v>20</v>
      </c>
      <c r="I10925" t="s">
        <v>21310</v>
      </c>
      <c r="J10925" t="str">
        <f>HYPERLINK("https://www.boe.es/gazeta/dias/1822/05/06/pdfs/GMD-1822-128.pdf#page=4","Abrir facsímil")</f>
        <v>Abrir facsímil</v>
      </c>
      <c r="K10925" t="s">
        <v>22</v>
      </c>
    </row>
    <row r="10926" spans="1:11" ht="42" customHeight="1">
      <c r="A10926" t="s">
        <v>21309</v>
      </c>
      <c r="B10926" t="s">
        <v>21309</v>
      </c>
      <c r="C10926" t="s">
        <v>50</v>
      </c>
      <c r="D10926" t="s">
        <v>51</v>
      </c>
      <c r="E10926" s="6">
        <v>-28359</v>
      </c>
      <c r="F10926" t="s">
        <v>209</v>
      </c>
      <c r="G10926" t="s">
        <v>35</v>
      </c>
      <c r="H10926" t="s">
        <v>20</v>
      </c>
      <c r="I10926" t="s">
        <v>21311</v>
      </c>
      <c r="J10926" t="str">
        <f>HYPERLINK("https://www.boe.es/gazeta/dias/1822/05/09/pdfs/GMD-1822-131.pdf#page=2","Abrir facsímil")</f>
        <v>Abrir facsímil</v>
      </c>
      <c r="K10926" t="s">
        <v>22</v>
      </c>
    </row>
    <row r="10927" spans="1:11" ht="42" customHeight="1">
      <c r="A10927" t="s">
        <v>21309</v>
      </c>
      <c r="B10927" t="s">
        <v>21309</v>
      </c>
      <c r="C10927" t="s">
        <v>16</v>
      </c>
      <c r="D10927" t="s">
        <v>17</v>
      </c>
      <c r="E10927" s="6">
        <v>-28323</v>
      </c>
      <c r="F10927" t="s">
        <v>116</v>
      </c>
      <c r="G10927" t="s">
        <v>19</v>
      </c>
      <c r="H10927" t="s">
        <v>20</v>
      </c>
      <c r="I10927" t="s">
        <v>21312</v>
      </c>
      <c r="J10927" t="str">
        <f>HYPERLINK("https://www.boe.es/gazeta/dias/1822/06/14/pdfs/GMD-1822-171.pdf#page=5","Abrir facsímil")</f>
        <v>Abrir facsímil</v>
      </c>
      <c r="K10927" t="s">
        <v>22</v>
      </c>
    </row>
    <row r="10928" spans="1:11" ht="42" customHeight="1">
      <c r="A10928" t="s">
        <v>21309</v>
      </c>
      <c r="B10928" t="s">
        <v>21309</v>
      </c>
      <c r="C10928" t="s">
        <v>42</v>
      </c>
      <c r="D10928" t="s">
        <v>17</v>
      </c>
      <c r="E10928" s="6">
        <v>-28195</v>
      </c>
      <c r="F10928" t="s">
        <v>770</v>
      </c>
      <c r="G10928" t="s">
        <v>35</v>
      </c>
      <c r="H10928" t="s">
        <v>20</v>
      </c>
      <c r="I10928" t="s">
        <v>21313</v>
      </c>
      <c r="J10928" t="str">
        <f>HYPERLINK("https://www.boe.es/gazeta/dias/1822/10/20/pdfs/GMD-1822-307.pdf#page=2","Abrir facsímil")</f>
        <v>Abrir facsímil</v>
      </c>
      <c r="K10928" t="s">
        <v>22</v>
      </c>
    </row>
    <row r="10929" spans="1:11" ht="42" customHeight="1">
      <c r="A10929" t="s">
        <v>21309</v>
      </c>
      <c r="B10929" t="s">
        <v>21309</v>
      </c>
      <c r="C10929" t="s">
        <v>50</v>
      </c>
      <c r="D10929" t="s">
        <v>51</v>
      </c>
      <c r="E10929" s="6">
        <v>-28187</v>
      </c>
      <c r="F10929" t="s">
        <v>929</v>
      </c>
      <c r="G10929" t="s">
        <v>35</v>
      </c>
      <c r="H10929" t="s">
        <v>20</v>
      </c>
      <c r="I10929" t="s">
        <v>21314</v>
      </c>
      <c r="J10929" t="str">
        <f>HYPERLINK("https://www.boe.es/gazeta/dias/1822/10/28/pdfs/GMD-1822-315.pdf#page=2","Abrir facsímil")</f>
        <v>Abrir facsímil</v>
      </c>
      <c r="K10929" t="s">
        <v>22</v>
      </c>
    </row>
    <row r="10930" spans="1:11" ht="42" customHeight="1">
      <c r="A10930" t="s">
        <v>21309</v>
      </c>
      <c r="B10930" t="s">
        <v>21309</v>
      </c>
      <c r="C10930" t="s">
        <v>42</v>
      </c>
      <c r="D10930" t="s">
        <v>17</v>
      </c>
      <c r="E10930" s="6">
        <v>-28141</v>
      </c>
      <c r="F10930" t="s">
        <v>265</v>
      </c>
      <c r="G10930" t="s">
        <v>35</v>
      </c>
      <c r="H10930" t="s">
        <v>20</v>
      </c>
      <c r="I10930" t="s">
        <v>21315</v>
      </c>
      <c r="J10930" t="str">
        <f>HYPERLINK("https://www.boe.es/gazeta/dias/1822/12/13/pdfs/GMD-1822-363.pdf#page=2","Abrir facsímil")</f>
        <v>Abrir facsímil</v>
      </c>
      <c r="K10930" t="s">
        <v>22</v>
      </c>
    </row>
    <row r="10931" spans="1:11" ht="42" customHeight="1">
      <c r="A10931" t="s">
        <v>21309</v>
      </c>
      <c r="B10931" t="s">
        <v>21309</v>
      </c>
      <c r="C10931" t="s">
        <v>16</v>
      </c>
      <c r="D10931" t="s">
        <v>17</v>
      </c>
      <c r="E10931" s="6">
        <v>-28137</v>
      </c>
      <c r="F10931" t="s">
        <v>312</v>
      </c>
      <c r="G10931" t="s">
        <v>57</v>
      </c>
      <c r="H10931" t="s">
        <v>20</v>
      </c>
      <c r="I10931" t="s">
        <v>21316</v>
      </c>
      <c r="J10931" t="str">
        <f>HYPERLINK("https://www.boe.es/gazeta/dias/1822/12/17/pdfs/GMD-1822-367.pdf#page=4","Abrir facsímil")</f>
        <v>Abrir facsímil</v>
      </c>
      <c r="K10931" t="s">
        <v>22</v>
      </c>
    </row>
    <row r="10932" spans="1:11" ht="42" customHeight="1">
      <c r="A10932" t="s">
        <v>21317</v>
      </c>
      <c r="B10932" t="s">
        <v>21318</v>
      </c>
      <c r="C10932" t="s">
        <v>28</v>
      </c>
      <c r="D10932" t="s">
        <v>29</v>
      </c>
      <c r="E10932" s="6">
        <v>-28432</v>
      </c>
      <c r="F10932" t="s">
        <v>195</v>
      </c>
      <c r="G10932" t="s">
        <v>57</v>
      </c>
      <c r="H10932" t="s">
        <v>20</v>
      </c>
      <c r="I10932" t="s">
        <v>21319</v>
      </c>
      <c r="J10932" t="str">
        <f>HYPERLINK("https://www.boe.es/gazeta/dias/1822/02/25/pdfs/GMD-1822-57.pdf#page=4","Abrir facsímil")</f>
        <v>Abrir facsímil</v>
      </c>
      <c r="K10932" t="s">
        <v>22</v>
      </c>
    </row>
    <row r="10933" spans="1:11" ht="42" customHeight="1">
      <c r="A10933" t="s">
        <v>21320</v>
      </c>
      <c r="B10933" t="s">
        <v>21320</v>
      </c>
      <c r="C10933" t="s">
        <v>28</v>
      </c>
      <c r="D10933" t="s">
        <v>29</v>
      </c>
      <c r="E10933" s="6">
        <v>-28359</v>
      </c>
      <c r="F10933" t="s">
        <v>209</v>
      </c>
      <c r="G10933" t="s">
        <v>35</v>
      </c>
      <c r="H10933" t="s">
        <v>20</v>
      </c>
      <c r="I10933" t="s">
        <v>21321</v>
      </c>
      <c r="J10933" t="str">
        <f>HYPERLINK("https://www.boe.es/gazeta/dias/1822/05/09/pdfs/GMD-1822-131.pdf#page=2","Abrir facsímil")</f>
        <v>Abrir facsímil</v>
      </c>
      <c r="K10933" t="s">
        <v>22</v>
      </c>
    </row>
    <row r="10934" spans="1:11" ht="42" customHeight="1">
      <c r="A10934" t="s">
        <v>21322</v>
      </c>
      <c r="B10934" t="s">
        <v>21322</v>
      </c>
      <c r="C10934" t="s">
        <v>24</v>
      </c>
      <c r="D10934" t="s">
        <v>17</v>
      </c>
      <c r="E10934" s="6">
        <v>-28153</v>
      </c>
      <c r="F10934" t="s">
        <v>946</v>
      </c>
      <c r="G10934" t="s">
        <v>31</v>
      </c>
      <c r="H10934" t="s">
        <v>20</v>
      </c>
      <c r="I10934" t="s">
        <v>21323</v>
      </c>
      <c r="J10934" t="str">
        <f>HYPERLINK("https://www.boe.es/gazeta/dias/1822/12/01/pdfs/GMD-1822-351.pdf#page=3","Abrir facsímil")</f>
        <v>Abrir facsímil</v>
      </c>
      <c r="K10934" t="s">
        <v>22</v>
      </c>
    </row>
    <row r="10935" spans="1:11" ht="42" customHeight="1">
      <c r="A10935" t="s">
        <v>21324</v>
      </c>
      <c r="B10935" t="s">
        <v>21324</v>
      </c>
      <c r="C10935" t="s">
        <v>71</v>
      </c>
      <c r="D10935" t="s">
        <v>17</v>
      </c>
      <c r="E10935" s="6">
        <v>-28319</v>
      </c>
      <c r="F10935" t="s">
        <v>271</v>
      </c>
      <c r="G10935" t="s">
        <v>35</v>
      </c>
      <c r="H10935" t="s">
        <v>20</v>
      </c>
      <c r="I10935" t="s">
        <v>21325</v>
      </c>
      <c r="J10935" t="str">
        <f>HYPERLINK("https://www.boe.es/gazeta/dias/1822/06/18/pdfs/GMD-1822-175.pdf#page=2","Abrir facsímil")</f>
        <v>Abrir facsímil</v>
      </c>
      <c r="K10935" t="s">
        <v>22</v>
      </c>
    </row>
    <row r="10936" spans="1:11" ht="42" customHeight="1">
      <c r="A10936" t="s">
        <v>21326</v>
      </c>
      <c r="B10936" t="s">
        <v>21326</v>
      </c>
      <c r="C10936" t="s">
        <v>16</v>
      </c>
      <c r="D10936" t="s">
        <v>17</v>
      </c>
      <c r="E10936" s="6">
        <v>-28359</v>
      </c>
      <c r="F10936" t="s">
        <v>209</v>
      </c>
      <c r="G10936" t="s">
        <v>31</v>
      </c>
      <c r="H10936" t="s">
        <v>20</v>
      </c>
      <c r="I10936" t="s">
        <v>21327</v>
      </c>
      <c r="J10936" t="str">
        <f>HYPERLINK("https://www.boe.es/gazeta/dias/1822/05/09/pdfs/GMD-1822-131.pdf#page=3","Abrir facsímil")</f>
        <v>Abrir facsímil</v>
      </c>
      <c r="K10936" t="s">
        <v>22</v>
      </c>
    </row>
    <row r="10937" spans="1:11" ht="42" customHeight="1">
      <c r="A10937" t="s">
        <v>21326</v>
      </c>
      <c r="B10937" t="s">
        <v>21326</v>
      </c>
      <c r="C10937" t="s">
        <v>71</v>
      </c>
      <c r="D10937" t="s">
        <v>17</v>
      </c>
      <c r="E10937" s="6">
        <v>-28199</v>
      </c>
      <c r="F10937" t="s">
        <v>656</v>
      </c>
      <c r="G10937" t="s">
        <v>35</v>
      </c>
      <c r="H10937" t="s">
        <v>20</v>
      </c>
      <c r="I10937" t="s">
        <v>21328</v>
      </c>
      <c r="J10937" t="str">
        <f>HYPERLINK("https://www.boe.es/gazeta/dias/1822/10/16/pdfs/GMD-1822-303.pdf#page=2","Abrir facsímil")</f>
        <v>Abrir facsímil</v>
      </c>
      <c r="K10937" t="s">
        <v>22</v>
      </c>
    </row>
    <row r="10938" spans="1:11" ht="42" customHeight="1">
      <c r="A10938" t="s">
        <v>21329</v>
      </c>
      <c r="B10938" t="s">
        <v>21329</v>
      </c>
      <c r="C10938" t="s">
        <v>71</v>
      </c>
      <c r="D10938" t="s">
        <v>17</v>
      </c>
      <c r="E10938" s="6">
        <v>-28163</v>
      </c>
      <c r="F10938" t="s">
        <v>891</v>
      </c>
      <c r="G10938" t="s">
        <v>31</v>
      </c>
      <c r="H10938" t="s">
        <v>20</v>
      </c>
      <c r="I10938" t="s">
        <v>21330</v>
      </c>
      <c r="J10938" t="str">
        <f>HYPERLINK("https://www.boe.es/gazeta/dias/1822/11/21/pdfs/GMD-1822-341.pdf#page=3","Abrir facsímil")</f>
        <v>Abrir facsímil</v>
      </c>
      <c r="K10938" t="s">
        <v>22</v>
      </c>
    </row>
    <row r="10939" spans="1:11" ht="42" customHeight="1">
      <c r="A10939" t="s">
        <v>21331</v>
      </c>
      <c r="B10939" t="s">
        <v>21331</v>
      </c>
      <c r="C10939" t="s">
        <v>42</v>
      </c>
      <c r="D10939" t="s">
        <v>17</v>
      </c>
      <c r="E10939" s="6">
        <v>-28390</v>
      </c>
      <c r="F10939" t="s">
        <v>665</v>
      </c>
      <c r="G10939" t="s">
        <v>35</v>
      </c>
      <c r="H10939" t="s">
        <v>20</v>
      </c>
      <c r="I10939" t="s">
        <v>21332</v>
      </c>
      <c r="J10939" t="str">
        <f>HYPERLINK("https://www.boe.es/gazeta/dias/1822/04/08/pdfs/GMD-1822-100.pdf#page=2","Abrir facsímil")</f>
        <v>Abrir facsímil</v>
      </c>
      <c r="K10939" t="s">
        <v>22</v>
      </c>
    </row>
    <row r="10940" spans="1:11" ht="42" customHeight="1">
      <c r="A10940" t="s">
        <v>21331</v>
      </c>
      <c r="B10940" t="s">
        <v>21331</v>
      </c>
      <c r="C10940" t="s">
        <v>71</v>
      </c>
      <c r="D10940" t="s">
        <v>17</v>
      </c>
      <c r="E10940" s="6">
        <v>-28367</v>
      </c>
      <c r="F10940" t="s">
        <v>280</v>
      </c>
      <c r="G10940" t="s">
        <v>44</v>
      </c>
      <c r="H10940" t="s">
        <v>20</v>
      </c>
      <c r="I10940" t="s">
        <v>21333</v>
      </c>
      <c r="J10940" t="str">
        <f>HYPERLINK("https://www.boe.es/gazeta/dias/1822/05/01/pdfs/GMD-1822-123.pdf#page=1","Abrir facsímil")</f>
        <v>Abrir facsímil</v>
      </c>
      <c r="K10940" t="s">
        <v>22</v>
      </c>
    </row>
    <row r="10941" spans="1:11" ht="42" customHeight="1">
      <c r="A10941" t="s">
        <v>21331</v>
      </c>
      <c r="B10941" t="s">
        <v>21331</v>
      </c>
      <c r="C10941" t="s">
        <v>50</v>
      </c>
      <c r="D10941" t="s">
        <v>51</v>
      </c>
      <c r="E10941" s="6">
        <v>-28365</v>
      </c>
      <c r="F10941" t="s">
        <v>506</v>
      </c>
      <c r="G10941" t="s">
        <v>44</v>
      </c>
      <c r="H10941" t="s">
        <v>20</v>
      </c>
      <c r="I10941" t="s">
        <v>21334</v>
      </c>
      <c r="J10941" t="str">
        <f>HYPERLINK("https://www.boe.es/gazeta/dias/1822/05/03/pdfs/GMD-1822-125.pdf#page=1","Abrir facsímil")</f>
        <v>Abrir facsímil</v>
      </c>
      <c r="K10941" t="s">
        <v>22</v>
      </c>
    </row>
    <row r="10942" spans="1:11" ht="42" customHeight="1">
      <c r="A10942" t="s">
        <v>21331</v>
      </c>
      <c r="B10942" t="s">
        <v>21331</v>
      </c>
      <c r="C10942" t="s">
        <v>42</v>
      </c>
      <c r="D10942" t="s">
        <v>17</v>
      </c>
      <c r="E10942" s="6">
        <v>-28357</v>
      </c>
      <c r="F10942" t="s">
        <v>690</v>
      </c>
      <c r="G10942" t="s">
        <v>35</v>
      </c>
      <c r="H10942" t="s">
        <v>20</v>
      </c>
      <c r="I10942" t="s">
        <v>21335</v>
      </c>
      <c r="J10942" t="str">
        <f>HYPERLINK("https://www.boe.es/gazeta/dias/1822/05/11/pdfs/GMD-1822-133.pdf#page=2","Abrir facsímil")</f>
        <v>Abrir facsímil</v>
      </c>
      <c r="K10942" t="s">
        <v>22</v>
      </c>
    </row>
    <row r="10943" spans="1:11" ht="42" customHeight="1">
      <c r="A10943" t="s">
        <v>21331</v>
      </c>
      <c r="B10943" t="s">
        <v>21331</v>
      </c>
      <c r="C10943" t="s">
        <v>42</v>
      </c>
      <c r="D10943" t="s">
        <v>17</v>
      </c>
      <c r="E10943" s="6">
        <v>-28344</v>
      </c>
      <c r="F10943" t="s">
        <v>524</v>
      </c>
      <c r="G10943" t="s">
        <v>1040</v>
      </c>
      <c r="H10943" t="s">
        <v>20</v>
      </c>
      <c r="I10943" t="s">
        <v>21336</v>
      </c>
      <c r="J10943" t="str">
        <f>HYPERLINK("https://www.boe.es/gazeta/dias/1822/05/24/pdfs/GMD-1822-148.pdf#page=2","Abrir facsímil")</f>
        <v>Abrir facsímil</v>
      </c>
      <c r="K10943" t="s">
        <v>22</v>
      </c>
    </row>
    <row r="10944" spans="1:11" ht="42" customHeight="1">
      <c r="A10944" t="s">
        <v>21331</v>
      </c>
      <c r="B10944" t="s">
        <v>21331</v>
      </c>
      <c r="C10944" t="s">
        <v>42</v>
      </c>
      <c r="D10944" t="s">
        <v>17</v>
      </c>
      <c r="E10944" s="6">
        <v>-28341</v>
      </c>
      <c r="F10944" t="s">
        <v>284</v>
      </c>
      <c r="G10944" t="s">
        <v>35</v>
      </c>
      <c r="H10944" t="s">
        <v>20</v>
      </c>
      <c r="I10944" t="s">
        <v>21337</v>
      </c>
      <c r="J10944" t="str">
        <f>HYPERLINK("https://www.boe.es/gazeta/dias/1822/05/27/pdfs/GMD-1822-152.pdf#page=2","Abrir facsímil")</f>
        <v>Abrir facsímil</v>
      </c>
      <c r="K10944" t="s">
        <v>22</v>
      </c>
    </row>
    <row r="10945" spans="1:11" ht="42" customHeight="1">
      <c r="A10945" t="s">
        <v>21331</v>
      </c>
      <c r="B10945" t="s">
        <v>21331</v>
      </c>
      <c r="C10945" t="s">
        <v>50</v>
      </c>
      <c r="D10945" t="s">
        <v>51</v>
      </c>
      <c r="E10945" s="6">
        <v>-28337</v>
      </c>
      <c r="F10945" t="s">
        <v>1836</v>
      </c>
      <c r="G10945" t="s">
        <v>35</v>
      </c>
      <c r="H10945" t="s">
        <v>20</v>
      </c>
      <c r="I10945" t="s">
        <v>21338</v>
      </c>
      <c r="J10945" t="str">
        <f>HYPERLINK("https://www.boe.es/gazeta/dias/1822/05/31/pdfs/GMD-1822-156.pdf#page=2","Abrir facsímil")</f>
        <v>Abrir facsímil</v>
      </c>
      <c r="K10945" t="s">
        <v>22</v>
      </c>
    </row>
    <row r="10946" spans="1:11" ht="42" customHeight="1">
      <c r="A10946" t="s">
        <v>21331</v>
      </c>
      <c r="B10946" t="s">
        <v>21331</v>
      </c>
      <c r="C10946" t="s">
        <v>16</v>
      </c>
      <c r="D10946" t="s">
        <v>17</v>
      </c>
      <c r="E10946" s="6">
        <v>-28332</v>
      </c>
      <c r="F10946" t="s">
        <v>535</v>
      </c>
      <c r="G10946" t="s">
        <v>35</v>
      </c>
      <c r="H10946" t="s">
        <v>20</v>
      </c>
      <c r="I10946" t="s">
        <v>21339</v>
      </c>
      <c r="J10946" t="str">
        <f>HYPERLINK("https://www.boe.es/gazeta/dias/1822/06/05/pdfs/GMD-1822-162.pdf#page=2","Abrir facsímil")</f>
        <v>Abrir facsímil</v>
      </c>
      <c r="K10946" t="s">
        <v>22</v>
      </c>
    </row>
    <row r="10947" spans="1:11" ht="42" customHeight="1">
      <c r="A10947" t="s">
        <v>21331</v>
      </c>
      <c r="B10947" t="s">
        <v>21331</v>
      </c>
      <c r="C10947" t="s">
        <v>50</v>
      </c>
      <c r="D10947" t="s">
        <v>51</v>
      </c>
      <c r="E10947" s="6">
        <v>-28203</v>
      </c>
      <c r="F10947" t="s">
        <v>564</v>
      </c>
      <c r="G10947" t="s">
        <v>4185</v>
      </c>
      <c r="H10947" t="s">
        <v>20</v>
      </c>
      <c r="I10947" t="s">
        <v>21340</v>
      </c>
      <c r="J10947" t="str">
        <f>HYPERLINK("https://www.boe.es/gazeta/dias/1822/10/12/pdfs/GMD-1822-299.pdf#page=2","Abrir facsímil")</f>
        <v>Abrir facsímil</v>
      </c>
      <c r="K10947" t="s">
        <v>22</v>
      </c>
    </row>
    <row r="10948" spans="1:11" ht="42" customHeight="1">
      <c r="A10948" t="s">
        <v>21331</v>
      </c>
      <c r="B10948" t="s">
        <v>21331</v>
      </c>
      <c r="C10948" t="s">
        <v>42</v>
      </c>
      <c r="D10948" t="s">
        <v>17</v>
      </c>
      <c r="E10948" s="6">
        <v>-28202</v>
      </c>
      <c r="F10948" t="s">
        <v>922</v>
      </c>
      <c r="G10948" t="s">
        <v>44</v>
      </c>
      <c r="H10948" t="s">
        <v>20</v>
      </c>
      <c r="I10948" t="s">
        <v>21341</v>
      </c>
      <c r="J10948" t="str">
        <f>HYPERLINK("https://www.boe.es/gazeta/dias/1822/10/13/pdfs/GMD-1822-300.pdf#page=1","Abrir facsímil")</f>
        <v>Abrir facsímil</v>
      </c>
      <c r="K10948" t="s">
        <v>22</v>
      </c>
    </row>
    <row r="10949" spans="1:11" ht="42" customHeight="1">
      <c r="A10949" t="s">
        <v>21331</v>
      </c>
      <c r="B10949" t="s">
        <v>21331</v>
      </c>
      <c r="C10949" t="s">
        <v>50</v>
      </c>
      <c r="D10949" t="s">
        <v>51</v>
      </c>
      <c r="E10949" s="6">
        <v>-28200</v>
      </c>
      <c r="F10949" t="s">
        <v>1037</v>
      </c>
      <c r="G10949" t="s">
        <v>35</v>
      </c>
      <c r="H10949" t="s">
        <v>20</v>
      </c>
      <c r="I10949" t="s">
        <v>21342</v>
      </c>
      <c r="J10949" t="str">
        <f>HYPERLINK("https://www.boe.es/gazeta/dias/1822/10/15/pdfs/GMD-1822-302.pdf#page=2","Abrir facsímil")</f>
        <v>Abrir facsímil</v>
      </c>
      <c r="K10949" t="s">
        <v>22</v>
      </c>
    </row>
    <row r="10950" spans="1:11" ht="42" customHeight="1">
      <c r="A10950" t="s">
        <v>21331</v>
      </c>
      <c r="B10950" t="s">
        <v>21331</v>
      </c>
      <c r="C10950" t="s">
        <v>16</v>
      </c>
      <c r="D10950" t="s">
        <v>17</v>
      </c>
      <c r="E10950" s="6">
        <v>-28188</v>
      </c>
      <c r="F10950" t="s">
        <v>578</v>
      </c>
      <c r="G10950" t="s">
        <v>63</v>
      </c>
      <c r="H10950" t="s">
        <v>20</v>
      </c>
      <c r="I10950" t="s">
        <v>21343</v>
      </c>
      <c r="J10950" t="str">
        <f>HYPERLINK("https://www.boe.es/gazeta/dias/1822/10/27/pdfs/GMD-1822-314.pdf#page=6","Abrir facsímil")</f>
        <v>Abrir facsímil</v>
      </c>
      <c r="K10950" t="s">
        <v>22</v>
      </c>
    </row>
    <row r="10951" spans="1:11" ht="42" customHeight="1">
      <c r="A10951" t="s">
        <v>21331</v>
      </c>
      <c r="B10951" t="s">
        <v>21331</v>
      </c>
      <c r="C10951" t="s">
        <v>50</v>
      </c>
      <c r="D10951" t="s">
        <v>51</v>
      </c>
      <c r="E10951" s="6">
        <v>-28187</v>
      </c>
      <c r="F10951" t="s">
        <v>929</v>
      </c>
      <c r="G10951" t="s">
        <v>35</v>
      </c>
      <c r="H10951" t="s">
        <v>20</v>
      </c>
      <c r="I10951" t="s">
        <v>21344</v>
      </c>
      <c r="J10951" t="str">
        <f>HYPERLINK("https://www.boe.es/gazeta/dias/1822/10/28/pdfs/GMD-1822-315.pdf#page=2","Abrir facsímil")</f>
        <v>Abrir facsímil</v>
      </c>
      <c r="K10951" t="s">
        <v>22</v>
      </c>
    </row>
    <row r="10952" spans="1:11" ht="42" customHeight="1">
      <c r="A10952" t="s">
        <v>21331</v>
      </c>
      <c r="B10952" t="s">
        <v>21331</v>
      </c>
      <c r="C10952" t="s">
        <v>50</v>
      </c>
      <c r="D10952" t="s">
        <v>51</v>
      </c>
      <c r="E10952" s="6">
        <v>-28185</v>
      </c>
      <c r="F10952" t="s">
        <v>933</v>
      </c>
      <c r="G10952" t="s">
        <v>31</v>
      </c>
      <c r="H10952" t="s">
        <v>20</v>
      </c>
      <c r="I10952" t="s">
        <v>21345</v>
      </c>
      <c r="J10952" t="str">
        <f>HYPERLINK("https://www.boe.es/gazeta/dias/1822/10/30/pdfs/GMD-1822-317.pdf#page=3","Abrir facsímil")</f>
        <v>Abrir facsímil</v>
      </c>
      <c r="K10952" t="s">
        <v>22</v>
      </c>
    </row>
    <row r="10953" spans="1:11" ht="42" customHeight="1">
      <c r="A10953" t="s">
        <v>21331</v>
      </c>
      <c r="B10953" t="s">
        <v>21331</v>
      </c>
      <c r="C10953" t="s">
        <v>50</v>
      </c>
      <c r="D10953" t="s">
        <v>51</v>
      </c>
      <c r="E10953" s="6">
        <v>-28170</v>
      </c>
      <c r="F10953" t="s">
        <v>1457</v>
      </c>
      <c r="G10953" t="s">
        <v>35</v>
      </c>
      <c r="H10953" t="s">
        <v>20</v>
      </c>
      <c r="I10953" t="s">
        <v>21346</v>
      </c>
      <c r="J10953" t="str">
        <f>HYPERLINK("https://www.boe.es/gazeta/dias/1822/11/14/pdfs/GMD-1822-334.pdf#page=2","Abrir facsímil")</f>
        <v>Abrir facsímil</v>
      </c>
      <c r="K10953" t="s">
        <v>22</v>
      </c>
    </row>
    <row r="10954" spans="1:11" ht="42" customHeight="1">
      <c r="A10954" t="s">
        <v>21331</v>
      </c>
      <c r="B10954" t="s">
        <v>21331</v>
      </c>
      <c r="C10954" t="s">
        <v>71</v>
      </c>
      <c r="D10954" t="s">
        <v>17</v>
      </c>
      <c r="E10954" s="6">
        <v>-28126</v>
      </c>
      <c r="F10954" t="s">
        <v>952</v>
      </c>
      <c r="G10954" t="s">
        <v>35</v>
      </c>
      <c r="H10954" t="s">
        <v>20</v>
      </c>
      <c r="I10954" t="s">
        <v>21347</v>
      </c>
      <c r="J10954" t="str">
        <f>HYPERLINK("https://www.boe.es/gazeta/dias/1822/12/28/pdfs/GMD-1822-378.pdf#page=2","Abrir facsímil")</f>
        <v>Abrir facsímil</v>
      </c>
      <c r="K10954" t="s">
        <v>22</v>
      </c>
    </row>
    <row r="10955" spans="1:11" ht="42" customHeight="1">
      <c r="A10955" t="s">
        <v>21348</v>
      </c>
      <c r="B10955" t="s">
        <v>21348</v>
      </c>
      <c r="C10955" t="s">
        <v>50</v>
      </c>
      <c r="D10955" t="s">
        <v>51</v>
      </c>
      <c r="E10955" s="6">
        <v>-28202</v>
      </c>
      <c r="F10955" t="s">
        <v>922</v>
      </c>
      <c r="G10955" t="s">
        <v>44</v>
      </c>
      <c r="H10955" t="s">
        <v>20</v>
      </c>
      <c r="I10955" t="s">
        <v>21349</v>
      </c>
      <c r="J10955" t="str">
        <f>HYPERLINK("https://www.boe.es/gazeta/dias/1822/10/13/pdfs/GMD-1822-300.pdf#page=1","Abrir facsímil")</f>
        <v>Abrir facsímil</v>
      </c>
      <c r="K10955" t="s">
        <v>22</v>
      </c>
    </row>
    <row r="10956" spans="1:11" ht="42" customHeight="1">
      <c r="A10956" t="s">
        <v>21348</v>
      </c>
      <c r="B10956" t="s">
        <v>21348</v>
      </c>
      <c r="C10956" t="s">
        <v>42</v>
      </c>
      <c r="D10956" t="s">
        <v>17</v>
      </c>
      <c r="E10956" s="6">
        <v>-28197</v>
      </c>
      <c r="F10956" t="s">
        <v>568</v>
      </c>
      <c r="G10956" t="s">
        <v>57</v>
      </c>
      <c r="H10956" t="s">
        <v>20</v>
      </c>
      <c r="I10956" t="s">
        <v>21350</v>
      </c>
      <c r="J10956" t="str">
        <f>HYPERLINK("https://www.boe.es/gazeta/dias/1822/10/18/pdfs/GMD-1822-305.pdf#page=4","Abrir facsímil")</f>
        <v>Abrir facsímil</v>
      </c>
      <c r="K10956" t="s">
        <v>22</v>
      </c>
    </row>
    <row r="10957" spans="1:11" ht="42" customHeight="1">
      <c r="A10957" t="s">
        <v>21351</v>
      </c>
      <c r="B10957" t="s">
        <v>21351</v>
      </c>
      <c r="C10957" t="s">
        <v>42</v>
      </c>
      <c r="D10957" t="s">
        <v>17</v>
      </c>
      <c r="E10957" s="6">
        <v>-28163</v>
      </c>
      <c r="F10957" t="s">
        <v>891</v>
      </c>
      <c r="G10957" t="s">
        <v>31</v>
      </c>
      <c r="H10957" t="s">
        <v>20</v>
      </c>
      <c r="I10957" t="s">
        <v>21352</v>
      </c>
      <c r="J10957" t="str">
        <f>HYPERLINK("https://www.boe.es/gazeta/dias/1822/11/21/pdfs/GMD-1822-341.pdf#page=3","Abrir facsímil")</f>
        <v>Abrir facsímil</v>
      </c>
      <c r="K10957" t="s">
        <v>22</v>
      </c>
    </row>
    <row r="10958" spans="1:11" ht="42" customHeight="1">
      <c r="A10958" t="s">
        <v>21353</v>
      </c>
      <c r="B10958" t="s">
        <v>21354</v>
      </c>
      <c r="C10958" t="s">
        <v>50</v>
      </c>
      <c r="D10958" t="s">
        <v>51</v>
      </c>
      <c r="E10958" s="6">
        <v>-28358</v>
      </c>
      <c r="F10958" t="s">
        <v>211</v>
      </c>
      <c r="G10958" t="s">
        <v>35</v>
      </c>
      <c r="H10958" t="s">
        <v>20</v>
      </c>
      <c r="I10958" t="s">
        <v>21355</v>
      </c>
      <c r="J10958" t="str">
        <f>HYPERLINK("https://www.boe.es/gazeta/dias/1822/05/10/pdfs/GMD-1822-132.pdf#page=2","Abrir facsímil")</f>
        <v>Abrir facsímil</v>
      </c>
      <c r="K10958" t="s">
        <v>22</v>
      </c>
    </row>
    <row r="10959" spans="1:11" ht="42" customHeight="1">
      <c r="A10959" t="s">
        <v>21356</v>
      </c>
      <c r="B10959" t="s">
        <v>21356</v>
      </c>
      <c r="C10959" t="s">
        <v>28</v>
      </c>
      <c r="D10959" t="s">
        <v>29</v>
      </c>
      <c r="E10959" s="6">
        <v>-28473</v>
      </c>
      <c r="F10959" t="s">
        <v>2337</v>
      </c>
      <c r="G10959" t="s">
        <v>157</v>
      </c>
      <c r="H10959" t="s">
        <v>20</v>
      </c>
      <c r="I10959" t="s">
        <v>21357</v>
      </c>
      <c r="J10959" t="str">
        <f>HYPERLINK("https://www.boe.es/gazeta/dias/1822/01/15/pdfs/GMD-1822-15.pdf#page=8","Abrir facsímil")</f>
        <v>Abrir facsímil</v>
      </c>
      <c r="K10959" t="s">
        <v>22</v>
      </c>
    </row>
    <row r="10960" spans="1:11" ht="42" customHeight="1">
      <c r="A10960" t="s">
        <v>21356</v>
      </c>
      <c r="B10960" t="s">
        <v>21356</v>
      </c>
      <c r="C10960" t="s">
        <v>50</v>
      </c>
      <c r="D10960" t="s">
        <v>51</v>
      </c>
      <c r="E10960" s="6">
        <v>-28448</v>
      </c>
      <c r="F10960" t="s">
        <v>1670</v>
      </c>
      <c r="G10960" t="s">
        <v>35</v>
      </c>
      <c r="H10960" t="s">
        <v>20</v>
      </c>
      <c r="I10960" t="s">
        <v>21358</v>
      </c>
      <c r="J10960" t="str">
        <f>HYPERLINK("https://www.boe.es/gazeta/dias/1822/02/09/pdfs/GMD-1822-40.pdf#page=2","Abrir facsímil")</f>
        <v>Abrir facsímil</v>
      </c>
      <c r="K10960" t="s">
        <v>22</v>
      </c>
    </row>
    <row r="10961" spans="1:11" ht="42" customHeight="1">
      <c r="A10961" t="s">
        <v>21356</v>
      </c>
      <c r="B10961" t="s">
        <v>21356</v>
      </c>
      <c r="C10961" t="s">
        <v>28</v>
      </c>
      <c r="D10961" t="s">
        <v>29</v>
      </c>
      <c r="E10961" s="6">
        <v>-28426</v>
      </c>
      <c r="F10961" t="s">
        <v>1178</v>
      </c>
      <c r="G10961" t="s">
        <v>35</v>
      </c>
      <c r="H10961" t="s">
        <v>20</v>
      </c>
      <c r="I10961" t="s">
        <v>21359</v>
      </c>
      <c r="J10961" t="str">
        <f>HYPERLINK("https://www.boe.es/gazeta/dias/1822/03/03/pdfs/GMD-1822-64.pdf#page=2","Abrir facsímil")</f>
        <v>Abrir facsímil</v>
      </c>
      <c r="K10961" t="s">
        <v>22</v>
      </c>
    </row>
    <row r="10962" spans="1:11" ht="42" customHeight="1">
      <c r="A10962" t="s">
        <v>21356</v>
      </c>
      <c r="B10962" t="s">
        <v>21356</v>
      </c>
      <c r="C10962" t="s">
        <v>42</v>
      </c>
      <c r="D10962" t="s">
        <v>17</v>
      </c>
      <c r="E10962" s="6">
        <v>-28425</v>
      </c>
      <c r="F10962" t="s">
        <v>419</v>
      </c>
      <c r="G10962" t="s">
        <v>35</v>
      </c>
      <c r="H10962" t="s">
        <v>20</v>
      </c>
      <c r="I10962" t="s">
        <v>21360</v>
      </c>
      <c r="J10962" t="str">
        <f>HYPERLINK("https://www.boe.es/gazeta/dias/1822/03/04/pdfs/GMD-1822-65.pdf#page=2","Abrir facsímil")</f>
        <v>Abrir facsímil</v>
      </c>
      <c r="K10962" t="s">
        <v>22</v>
      </c>
    </row>
    <row r="10963" spans="1:11" ht="42" customHeight="1">
      <c r="A10963" t="s">
        <v>21356</v>
      </c>
      <c r="B10963" t="s">
        <v>21356</v>
      </c>
      <c r="C10963" t="s">
        <v>16</v>
      </c>
      <c r="D10963" t="s">
        <v>17</v>
      </c>
      <c r="E10963" s="6">
        <v>-28425</v>
      </c>
      <c r="F10963" t="s">
        <v>419</v>
      </c>
      <c r="G10963" t="s">
        <v>31</v>
      </c>
      <c r="H10963" t="s">
        <v>20</v>
      </c>
      <c r="I10963" t="s">
        <v>21361</v>
      </c>
      <c r="J10963" t="str">
        <f>HYPERLINK("https://www.boe.es/gazeta/dias/1822/03/04/pdfs/GMD-1822-65.pdf#page=3","Abrir facsímil")</f>
        <v>Abrir facsímil</v>
      </c>
      <c r="K10963" t="s">
        <v>22</v>
      </c>
    </row>
    <row r="10964" spans="1:11" ht="42" customHeight="1">
      <c r="A10964" t="s">
        <v>21356</v>
      </c>
      <c r="B10964" t="s">
        <v>21356</v>
      </c>
      <c r="C10964" t="s">
        <v>50</v>
      </c>
      <c r="D10964" t="s">
        <v>51</v>
      </c>
      <c r="E10964" s="6">
        <v>-28419</v>
      </c>
      <c r="F10964" t="s">
        <v>1392</v>
      </c>
      <c r="G10964" t="s">
        <v>63</v>
      </c>
      <c r="H10964" t="s">
        <v>20</v>
      </c>
      <c r="I10964" t="s">
        <v>21362</v>
      </c>
      <c r="J10964" t="str">
        <f>HYPERLINK("https://www.boe.es/gazeta/dias/1822/03/10/pdfs/GMD-1822-71.pdf#page=6","Abrir facsímil")</f>
        <v>Abrir facsímil</v>
      </c>
      <c r="K10964" t="s">
        <v>22</v>
      </c>
    </row>
    <row r="10965" spans="1:11" ht="42" customHeight="1">
      <c r="A10965" t="s">
        <v>21356</v>
      </c>
      <c r="B10965" t="s">
        <v>21356</v>
      </c>
      <c r="C10965" t="s">
        <v>24</v>
      </c>
      <c r="D10965" t="s">
        <v>17</v>
      </c>
      <c r="E10965" s="6">
        <v>-28396</v>
      </c>
      <c r="F10965" t="s">
        <v>1138</v>
      </c>
      <c r="G10965" t="s">
        <v>157</v>
      </c>
      <c r="H10965" t="s">
        <v>20</v>
      </c>
      <c r="I10965" t="s">
        <v>21363</v>
      </c>
      <c r="J10965" t="str">
        <f>HYPERLINK("https://www.boe.es/gazeta/dias/1822/04/02/pdfs/GMD-1822-94.pdf#page=8","Abrir facsímil")</f>
        <v>Abrir facsímil</v>
      </c>
      <c r="K10965" t="s">
        <v>22</v>
      </c>
    </row>
    <row r="10966" spans="1:11" ht="42" customHeight="1">
      <c r="A10966" t="s">
        <v>21356</v>
      </c>
      <c r="B10966" t="s">
        <v>21356</v>
      </c>
      <c r="C10966" t="s">
        <v>50</v>
      </c>
      <c r="D10966" t="s">
        <v>51</v>
      </c>
      <c r="E10966" s="6">
        <v>-28395</v>
      </c>
      <c r="F10966" t="s">
        <v>237</v>
      </c>
      <c r="G10966" t="s">
        <v>35</v>
      </c>
      <c r="H10966" t="s">
        <v>20</v>
      </c>
      <c r="I10966" t="s">
        <v>21364</v>
      </c>
      <c r="J10966" t="str">
        <f>HYPERLINK("https://www.boe.es/gazeta/dias/1822/04/03/pdfs/GMD-1822-95.pdf#page=2","Abrir facsímil")</f>
        <v>Abrir facsímil</v>
      </c>
      <c r="K10966" t="s">
        <v>22</v>
      </c>
    </row>
    <row r="10967" spans="1:11" ht="42" customHeight="1">
      <c r="A10967" t="s">
        <v>21356</v>
      </c>
      <c r="B10967" t="s">
        <v>21356</v>
      </c>
      <c r="C10967" t="s">
        <v>50</v>
      </c>
      <c r="D10967" t="s">
        <v>51</v>
      </c>
      <c r="E10967" s="6">
        <v>-28367</v>
      </c>
      <c r="F10967" t="s">
        <v>280</v>
      </c>
      <c r="G10967" t="s">
        <v>57</v>
      </c>
      <c r="H10967" t="s">
        <v>20</v>
      </c>
      <c r="I10967" t="s">
        <v>21365</v>
      </c>
      <c r="J10967" t="str">
        <f>HYPERLINK("https://www.boe.es/gazeta/dias/1822/05/01/pdfs/GMD-1822-123.pdf#page=4","Abrir facsímil")</f>
        <v>Abrir facsímil</v>
      </c>
      <c r="K10967" t="s">
        <v>22</v>
      </c>
    </row>
    <row r="10968" spans="1:11" ht="42" customHeight="1">
      <c r="A10968" t="s">
        <v>21356</v>
      </c>
      <c r="B10968" t="s">
        <v>21356</v>
      </c>
      <c r="C10968" t="s">
        <v>24</v>
      </c>
      <c r="D10968" t="s">
        <v>17</v>
      </c>
      <c r="E10968" s="6">
        <v>-28367</v>
      </c>
      <c r="F10968" t="s">
        <v>280</v>
      </c>
      <c r="G10968" t="s">
        <v>63</v>
      </c>
      <c r="H10968" t="s">
        <v>20</v>
      </c>
      <c r="I10968" t="s">
        <v>21366</v>
      </c>
      <c r="J10968" t="str">
        <f>HYPERLINK("https://www.boe.es/gazeta/dias/1822/05/01/pdfs/GMD-1822-123.pdf#page=6","Abrir facsímil")</f>
        <v>Abrir facsímil</v>
      </c>
      <c r="K10968" t="s">
        <v>22</v>
      </c>
    </row>
    <row r="10969" spans="1:11" ht="42" customHeight="1">
      <c r="A10969" t="s">
        <v>21356</v>
      </c>
      <c r="B10969" t="s">
        <v>21356</v>
      </c>
      <c r="C10969" t="s">
        <v>24</v>
      </c>
      <c r="D10969" t="s">
        <v>17</v>
      </c>
      <c r="E10969" s="6">
        <v>-28364</v>
      </c>
      <c r="F10969" t="s">
        <v>509</v>
      </c>
      <c r="G10969" t="s">
        <v>63</v>
      </c>
      <c r="H10969" t="s">
        <v>20</v>
      </c>
      <c r="I10969" t="s">
        <v>21367</v>
      </c>
      <c r="J10969" t="str">
        <f>HYPERLINK("https://www.boe.es/gazeta/dias/1822/05/04/pdfs/GMD-1822-126.pdf#page=6","Abrir facsímil")</f>
        <v>Abrir facsímil</v>
      </c>
      <c r="K10969" t="s">
        <v>22</v>
      </c>
    </row>
    <row r="10970" spans="1:11" ht="42" customHeight="1">
      <c r="A10970" t="s">
        <v>21356</v>
      </c>
      <c r="B10970" t="s">
        <v>21356</v>
      </c>
      <c r="C10970" t="s">
        <v>50</v>
      </c>
      <c r="D10970" t="s">
        <v>51</v>
      </c>
      <c r="E10970" s="6">
        <v>-28363</v>
      </c>
      <c r="F10970" t="s">
        <v>72</v>
      </c>
      <c r="G10970" t="s">
        <v>31</v>
      </c>
      <c r="H10970" t="s">
        <v>20</v>
      </c>
      <c r="I10970" t="s">
        <v>21368</v>
      </c>
      <c r="J10970" t="str">
        <f>HYPERLINK("https://www.boe.es/gazeta/dias/1822/05/05/pdfs/GMD-1822-127.pdf#page=3","Abrir facsímil")</f>
        <v>Abrir facsímil</v>
      </c>
      <c r="K10970" t="s">
        <v>22</v>
      </c>
    </row>
    <row r="10971" spans="1:11" ht="42" customHeight="1">
      <c r="A10971" t="s">
        <v>21356</v>
      </c>
      <c r="B10971" t="s">
        <v>21356</v>
      </c>
      <c r="C10971" t="s">
        <v>50</v>
      </c>
      <c r="D10971" t="s">
        <v>51</v>
      </c>
      <c r="E10971" s="6">
        <v>-28358</v>
      </c>
      <c r="F10971" t="s">
        <v>211</v>
      </c>
      <c r="G10971" t="s">
        <v>157</v>
      </c>
      <c r="H10971" t="s">
        <v>20</v>
      </c>
      <c r="I10971" t="s">
        <v>21369</v>
      </c>
      <c r="J10971" t="str">
        <f>HYPERLINK("https://www.boe.es/gazeta/dias/1822/05/10/pdfs/GMD-1822-132.pdf#page=8","Abrir facsímil")</f>
        <v>Abrir facsímil</v>
      </c>
      <c r="K10971" t="s">
        <v>22</v>
      </c>
    </row>
    <row r="10972" spans="1:11" ht="42" customHeight="1">
      <c r="A10972" t="s">
        <v>21356</v>
      </c>
      <c r="B10972" t="s">
        <v>21356</v>
      </c>
      <c r="C10972" t="s">
        <v>28</v>
      </c>
      <c r="D10972" t="s">
        <v>29</v>
      </c>
      <c r="E10972" s="6">
        <v>-28329</v>
      </c>
      <c r="F10972" t="s">
        <v>354</v>
      </c>
      <c r="G10972" t="s">
        <v>63</v>
      </c>
      <c r="H10972" t="s">
        <v>20</v>
      </c>
      <c r="I10972" t="s">
        <v>21370</v>
      </c>
      <c r="J10972" t="str">
        <f>HYPERLINK("https://www.boe.es/gazeta/dias/1822/06/08/pdfs/GMD-1822-165.pdf#page=6","Abrir facsímil")</f>
        <v>Abrir facsímil</v>
      </c>
      <c r="K10972" t="s">
        <v>22</v>
      </c>
    </row>
    <row r="10973" spans="1:11" ht="42" customHeight="1">
      <c r="A10973" t="s">
        <v>21356</v>
      </c>
      <c r="B10973" t="s">
        <v>21356</v>
      </c>
      <c r="C10973" t="s">
        <v>71</v>
      </c>
      <c r="D10973" t="s">
        <v>17</v>
      </c>
      <c r="E10973" s="6">
        <v>-28328</v>
      </c>
      <c r="F10973" t="s">
        <v>540</v>
      </c>
      <c r="G10973" t="s">
        <v>63</v>
      </c>
      <c r="H10973" t="s">
        <v>20</v>
      </c>
      <c r="I10973" t="s">
        <v>21371</v>
      </c>
      <c r="J10973" t="str">
        <f>HYPERLINK("https://www.boe.es/gazeta/dias/1822/06/09/pdfs/GMD-1822-166.pdf#page=6","Abrir facsímil")</f>
        <v>Abrir facsímil</v>
      </c>
      <c r="K10973" t="s">
        <v>22</v>
      </c>
    </row>
    <row r="10974" spans="1:11" ht="42" customHeight="1">
      <c r="A10974" t="s">
        <v>21356</v>
      </c>
      <c r="B10974" t="s">
        <v>21356</v>
      </c>
      <c r="C10974" t="s">
        <v>28</v>
      </c>
      <c r="D10974" t="s">
        <v>29</v>
      </c>
      <c r="E10974" s="6">
        <v>-28309</v>
      </c>
      <c r="F10974" t="s">
        <v>553</v>
      </c>
      <c r="G10974" t="s">
        <v>157</v>
      </c>
      <c r="H10974" t="s">
        <v>20</v>
      </c>
      <c r="I10974" t="s">
        <v>21372</v>
      </c>
      <c r="J10974" t="str">
        <f>HYPERLINK("https://www.boe.es/gazeta/dias/1822/06/28/pdfs/GMD-1822-186.pdf#page=8","Abrir facsímil")</f>
        <v>Abrir facsímil</v>
      </c>
      <c r="K10974" t="s">
        <v>22</v>
      </c>
    </row>
    <row r="10975" spans="1:11" ht="42" customHeight="1">
      <c r="A10975" t="s">
        <v>21356</v>
      </c>
      <c r="B10975" t="s">
        <v>21356</v>
      </c>
      <c r="C10975" t="s">
        <v>42</v>
      </c>
      <c r="D10975" t="s">
        <v>17</v>
      </c>
      <c r="E10975" s="6">
        <v>-28295</v>
      </c>
      <c r="F10975" t="s">
        <v>81</v>
      </c>
      <c r="G10975" t="s">
        <v>57</v>
      </c>
      <c r="H10975" t="s">
        <v>20</v>
      </c>
      <c r="I10975" t="s">
        <v>21373</v>
      </c>
      <c r="J10975" t="str">
        <f>HYPERLINK("https://www.boe.es/gazeta/dias/1822/07/12/pdfs/GMD-1822-202.pdf#page=4","Abrir facsímil")</f>
        <v>Abrir facsímil</v>
      </c>
      <c r="K10975" t="s">
        <v>22</v>
      </c>
    </row>
    <row r="10976" spans="1:11" ht="42" customHeight="1">
      <c r="A10976" t="s">
        <v>21356</v>
      </c>
      <c r="B10976" t="s">
        <v>21356</v>
      </c>
      <c r="C10976" t="s">
        <v>42</v>
      </c>
      <c r="D10976" t="s">
        <v>17</v>
      </c>
      <c r="E10976" s="6">
        <v>-28274</v>
      </c>
      <c r="F10976" t="s">
        <v>3371</v>
      </c>
      <c r="G10976" t="s">
        <v>44</v>
      </c>
      <c r="H10976" t="s">
        <v>20</v>
      </c>
      <c r="I10976" t="s">
        <v>21374</v>
      </c>
      <c r="J10976" t="str">
        <f>HYPERLINK("https://www.boe.es/gazeta/dias/1822/08/02/pdfs/GMD-1822-226.pdf#page=1","Abrir facsímil")</f>
        <v>Abrir facsímil</v>
      </c>
      <c r="K10976" t="s">
        <v>22</v>
      </c>
    </row>
    <row r="10977" spans="1:11" ht="42" customHeight="1">
      <c r="A10977" t="s">
        <v>21356</v>
      </c>
      <c r="B10977" t="s">
        <v>21356</v>
      </c>
      <c r="C10977" t="s">
        <v>24</v>
      </c>
      <c r="D10977" t="s">
        <v>17</v>
      </c>
      <c r="E10977" s="6">
        <v>-28258</v>
      </c>
      <c r="F10977" t="s">
        <v>88</v>
      </c>
      <c r="G10977" t="s">
        <v>31</v>
      </c>
      <c r="H10977" t="s">
        <v>20</v>
      </c>
      <c r="I10977" t="s">
        <v>21375</v>
      </c>
      <c r="J10977" t="str">
        <f>HYPERLINK("https://www.boe.es/gazeta/dias/1822/08/18/pdfs/GMD-1822-242.pdf#page=3","Abrir facsímil")</f>
        <v>Abrir facsímil</v>
      </c>
      <c r="K10977" t="s">
        <v>22</v>
      </c>
    </row>
    <row r="10978" spans="1:11" ht="42" customHeight="1">
      <c r="A10978" t="s">
        <v>21356</v>
      </c>
      <c r="B10978" t="s">
        <v>21356</v>
      </c>
      <c r="C10978" t="s">
        <v>50</v>
      </c>
      <c r="D10978" t="s">
        <v>51</v>
      </c>
      <c r="E10978" s="6">
        <v>-28249</v>
      </c>
      <c r="F10978" t="s">
        <v>3986</v>
      </c>
      <c r="G10978" t="s">
        <v>35</v>
      </c>
      <c r="H10978" t="s">
        <v>20</v>
      </c>
      <c r="I10978" t="s">
        <v>21376</v>
      </c>
      <c r="J10978" t="str">
        <f>HYPERLINK("https://www.boe.es/gazeta/dias/1822/08/27/pdfs/GMD-1822-251.pdf#page=2","Abrir facsímil")</f>
        <v>Abrir facsímil</v>
      </c>
      <c r="K10978" t="s">
        <v>22</v>
      </c>
    </row>
    <row r="10979" spans="1:11" ht="42" customHeight="1">
      <c r="A10979" t="s">
        <v>21356</v>
      </c>
      <c r="B10979" t="s">
        <v>21356</v>
      </c>
      <c r="C10979" t="s">
        <v>16</v>
      </c>
      <c r="D10979" t="s">
        <v>17</v>
      </c>
      <c r="E10979" s="6">
        <v>-28241</v>
      </c>
      <c r="F10979" t="s">
        <v>3068</v>
      </c>
      <c r="G10979" t="s">
        <v>57</v>
      </c>
      <c r="H10979" t="s">
        <v>20</v>
      </c>
      <c r="I10979" t="s">
        <v>21377</v>
      </c>
      <c r="J10979" t="str">
        <f>HYPERLINK("https://www.boe.es/gazeta/dias/1822/09/04/pdfs/GMD-1822-259.pdf#page=4","Abrir facsímil")</f>
        <v>Abrir facsímil</v>
      </c>
      <c r="K10979" t="s">
        <v>22</v>
      </c>
    </row>
    <row r="10980" spans="1:11" ht="42" customHeight="1">
      <c r="A10980" t="s">
        <v>21356</v>
      </c>
      <c r="B10980" t="s">
        <v>21356</v>
      </c>
      <c r="C10980" t="s">
        <v>50</v>
      </c>
      <c r="D10980" t="s">
        <v>51</v>
      </c>
      <c r="E10980" s="6">
        <v>-28238</v>
      </c>
      <c r="F10980" t="s">
        <v>2077</v>
      </c>
      <c r="G10980" t="s">
        <v>44</v>
      </c>
      <c r="H10980" t="s">
        <v>20</v>
      </c>
      <c r="I10980" t="s">
        <v>21378</v>
      </c>
      <c r="J10980" t="str">
        <f>HYPERLINK("https://www.boe.es/gazeta/dias/1822/09/07/pdfs/GMD-1822-262.pdf#page=1","Abrir facsímil")</f>
        <v>Abrir facsímil</v>
      </c>
      <c r="K10980" t="s">
        <v>22</v>
      </c>
    </row>
    <row r="10981" spans="1:11" ht="42" customHeight="1">
      <c r="A10981" t="s">
        <v>21356</v>
      </c>
      <c r="B10981" t="s">
        <v>21356</v>
      </c>
      <c r="C10981" t="s">
        <v>28</v>
      </c>
      <c r="D10981" t="s">
        <v>29</v>
      </c>
      <c r="E10981" s="6">
        <v>-28231</v>
      </c>
      <c r="F10981" t="s">
        <v>2049</v>
      </c>
      <c r="G10981" t="s">
        <v>57</v>
      </c>
      <c r="H10981" t="s">
        <v>20</v>
      </c>
      <c r="I10981" t="s">
        <v>21379</v>
      </c>
      <c r="J10981" t="str">
        <f>HYPERLINK("https://www.boe.es/gazeta/dias/1822/09/14/pdfs/GMD-1822-270.pdf#page=4","Abrir facsímil")</f>
        <v>Abrir facsímil</v>
      </c>
      <c r="K10981" t="s">
        <v>22</v>
      </c>
    </row>
    <row r="10982" spans="1:11" ht="42" customHeight="1">
      <c r="A10982" t="s">
        <v>21356</v>
      </c>
      <c r="B10982" t="s">
        <v>21356</v>
      </c>
      <c r="C10982" t="s">
        <v>42</v>
      </c>
      <c r="D10982" t="s">
        <v>17</v>
      </c>
      <c r="E10982" s="6">
        <v>-28221</v>
      </c>
      <c r="F10982" t="s">
        <v>2591</v>
      </c>
      <c r="G10982" t="s">
        <v>35</v>
      </c>
      <c r="H10982" t="s">
        <v>20</v>
      </c>
      <c r="I10982" t="s">
        <v>21380</v>
      </c>
      <c r="J10982" t="str">
        <f>HYPERLINK("https://www.boe.es/gazeta/dias/1822/09/24/pdfs/GMD-1822-280.pdf#page=2","Abrir facsímil")</f>
        <v>Abrir facsímil</v>
      </c>
      <c r="K10982" t="s">
        <v>22</v>
      </c>
    </row>
    <row r="10983" spans="1:11" ht="42" customHeight="1">
      <c r="A10983" t="s">
        <v>21356</v>
      </c>
      <c r="B10983" t="s">
        <v>21356</v>
      </c>
      <c r="C10983" t="s">
        <v>71</v>
      </c>
      <c r="D10983" t="s">
        <v>17</v>
      </c>
      <c r="E10983" s="6">
        <v>-28209</v>
      </c>
      <c r="F10983" t="s">
        <v>748</v>
      </c>
      <c r="G10983" t="s">
        <v>31</v>
      </c>
      <c r="H10983" t="s">
        <v>20</v>
      </c>
      <c r="I10983" t="s">
        <v>21381</v>
      </c>
      <c r="J10983" t="str">
        <f>HYPERLINK("https://www.boe.es/gazeta/dias/1822/10/06/pdfs/GMD-1822-292.pdf#page=3","Abrir facsímil")</f>
        <v>Abrir facsímil</v>
      </c>
      <c r="K10983" t="s">
        <v>22</v>
      </c>
    </row>
    <row r="10984" spans="1:11" ht="42" customHeight="1">
      <c r="A10984" t="s">
        <v>21356</v>
      </c>
      <c r="B10984" t="s">
        <v>21356</v>
      </c>
      <c r="C10984" t="s">
        <v>50</v>
      </c>
      <c r="D10984" t="s">
        <v>51</v>
      </c>
      <c r="E10984" s="6">
        <v>-28207</v>
      </c>
      <c r="F10984" t="s">
        <v>1325</v>
      </c>
      <c r="G10984" t="s">
        <v>57</v>
      </c>
      <c r="H10984" t="s">
        <v>20</v>
      </c>
      <c r="I10984" t="s">
        <v>21382</v>
      </c>
      <c r="J10984" t="str">
        <f>HYPERLINK("https://www.boe.es/gazeta/dias/1822/10/08/pdfs/GMD-1822-295.pdf#page=4","Abrir facsímil")</f>
        <v>Abrir facsímil</v>
      </c>
      <c r="K10984" t="s">
        <v>22</v>
      </c>
    </row>
    <row r="10985" spans="1:11" ht="42" customHeight="1">
      <c r="A10985" t="s">
        <v>21356</v>
      </c>
      <c r="B10985" t="s">
        <v>21356</v>
      </c>
      <c r="C10985" t="s">
        <v>28</v>
      </c>
      <c r="D10985" t="s">
        <v>29</v>
      </c>
      <c r="E10985" s="6">
        <v>-28198</v>
      </c>
      <c r="F10985" t="s">
        <v>981</v>
      </c>
      <c r="G10985" t="s">
        <v>44</v>
      </c>
      <c r="H10985" t="s">
        <v>20</v>
      </c>
      <c r="I10985" t="s">
        <v>21383</v>
      </c>
      <c r="J10985" t="str">
        <f>HYPERLINK("https://www.boe.es/gazeta/dias/1822/10/17/pdfs/GMD-1822-304.pdf#page=1","Abrir facsímil")</f>
        <v>Abrir facsímil</v>
      </c>
      <c r="K10985" t="s">
        <v>22</v>
      </c>
    </row>
    <row r="10986" spans="1:11" ht="42" customHeight="1">
      <c r="A10986" t="s">
        <v>21356</v>
      </c>
      <c r="B10986" t="s">
        <v>21356</v>
      </c>
      <c r="C10986" t="s">
        <v>50</v>
      </c>
      <c r="D10986" t="s">
        <v>51</v>
      </c>
      <c r="E10986" s="6">
        <v>-28190</v>
      </c>
      <c r="F10986" t="s">
        <v>576</v>
      </c>
      <c r="G10986" t="s">
        <v>63</v>
      </c>
      <c r="H10986" t="s">
        <v>20</v>
      </c>
      <c r="I10986" t="s">
        <v>21384</v>
      </c>
      <c r="J10986" t="str">
        <f>HYPERLINK("https://www.boe.es/gazeta/dias/1822/10/25/pdfs/GMD-1822-312.pdf#page=6","Abrir facsímil")</f>
        <v>Abrir facsímil</v>
      </c>
      <c r="K10986" t="s">
        <v>22</v>
      </c>
    </row>
    <row r="10987" spans="1:11" ht="42" customHeight="1">
      <c r="A10987" t="s">
        <v>21356</v>
      </c>
      <c r="B10987" t="s">
        <v>21356</v>
      </c>
      <c r="C10987" t="s">
        <v>24</v>
      </c>
      <c r="D10987" t="s">
        <v>17</v>
      </c>
      <c r="E10987" s="6">
        <v>-28189</v>
      </c>
      <c r="F10987" t="s">
        <v>645</v>
      </c>
      <c r="G10987" t="s">
        <v>44</v>
      </c>
      <c r="H10987" t="s">
        <v>20</v>
      </c>
      <c r="I10987" t="s">
        <v>21385</v>
      </c>
      <c r="J10987" t="str">
        <f>HYPERLINK("https://www.boe.es/gazeta/dias/1822/10/26/pdfs/GMD-1822-313.pdf#page=1","Abrir facsímil")</f>
        <v>Abrir facsímil</v>
      </c>
      <c r="K10987" t="s">
        <v>22</v>
      </c>
    </row>
    <row r="10988" spans="1:11" ht="42" customHeight="1">
      <c r="A10988" t="s">
        <v>21356</v>
      </c>
      <c r="B10988" t="s">
        <v>21356</v>
      </c>
      <c r="C10988" t="s">
        <v>42</v>
      </c>
      <c r="D10988" t="s">
        <v>17</v>
      </c>
      <c r="E10988" s="6">
        <v>-28189</v>
      </c>
      <c r="F10988" t="s">
        <v>645</v>
      </c>
      <c r="G10988" t="s">
        <v>63</v>
      </c>
      <c r="H10988" t="s">
        <v>20</v>
      </c>
      <c r="I10988" t="s">
        <v>21386</v>
      </c>
      <c r="J10988" t="str">
        <f>HYPERLINK("https://www.boe.es/gazeta/dias/1822/10/26/pdfs/GMD-1822-313.pdf#page=6","Abrir facsímil")</f>
        <v>Abrir facsímil</v>
      </c>
      <c r="K10988" t="s">
        <v>22</v>
      </c>
    </row>
    <row r="10989" spans="1:11" ht="42" customHeight="1">
      <c r="A10989" t="s">
        <v>21356</v>
      </c>
      <c r="B10989" t="s">
        <v>21356</v>
      </c>
      <c r="C10989" t="s">
        <v>50</v>
      </c>
      <c r="D10989" t="s">
        <v>51</v>
      </c>
      <c r="E10989" s="6">
        <v>-28163</v>
      </c>
      <c r="F10989" t="s">
        <v>891</v>
      </c>
      <c r="G10989" t="s">
        <v>35</v>
      </c>
      <c r="H10989" t="s">
        <v>20</v>
      </c>
      <c r="I10989" t="s">
        <v>21387</v>
      </c>
      <c r="J10989" t="str">
        <f>HYPERLINK("https://www.boe.es/gazeta/dias/1822/11/21/pdfs/GMD-1822-341.pdf#page=2","Abrir facsímil")</f>
        <v>Abrir facsímil</v>
      </c>
      <c r="K10989" t="s">
        <v>22</v>
      </c>
    </row>
    <row r="10990" spans="1:11" ht="42" customHeight="1">
      <c r="A10990" t="s">
        <v>21356</v>
      </c>
      <c r="B10990" t="s">
        <v>21356</v>
      </c>
      <c r="C10990" t="s">
        <v>50</v>
      </c>
      <c r="D10990" t="s">
        <v>51</v>
      </c>
      <c r="E10990" s="6">
        <v>-28147</v>
      </c>
      <c r="F10990" t="s">
        <v>1611</v>
      </c>
      <c r="G10990" t="s">
        <v>63</v>
      </c>
      <c r="H10990" t="s">
        <v>20</v>
      </c>
      <c r="I10990" t="s">
        <v>21388</v>
      </c>
      <c r="J10990" t="str">
        <f>HYPERLINK("https://www.boe.es/gazeta/dias/1822/12/07/pdfs/GMD-1822-357.pdf#page=6","Abrir facsímil")</f>
        <v>Abrir facsímil</v>
      </c>
      <c r="K10990" t="s">
        <v>22</v>
      </c>
    </row>
    <row r="10991" spans="1:11" ht="42" customHeight="1">
      <c r="A10991" t="s">
        <v>21356</v>
      </c>
      <c r="B10991" t="s">
        <v>21356</v>
      </c>
      <c r="C10991" t="s">
        <v>28</v>
      </c>
      <c r="D10991" t="s">
        <v>29</v>
      </c>
      <c r="E10991" s="6">
        <v>-28142</v>
      </c>
      <c r="F10991" t="s">
        <v>290</v>
      </c>
      <c r="G10991" t="s">
        <v>57</v>
      </c>
      <c r="H10991" t="s">
        <v>20</v>
      </c>
      <c r="I10991" t="s">
        <v>21389</v>
      </c>
      <c r="J10991" t="str">
        <f>HYPERLINK("https://www.boe.es/gazeta/dias/1822/12/12/pdfs/GMD-1822-362.pdf#page=4","Abrir facsímil")</f>
        <v>Abrir facsímil</v>
      </c>
      <c r="K10991" t="s">
        <v>22</v>
      </c>
    </row>
    <row r="10992" spans="1:11" ht="42" customHeight="1">
      <c r="A10992" t="s">
        <v>21356</v>
      </c>
      <c r="B10992" t="s">
        <v>21356</v>
      </c>
      <c r="C10992" t="s">
        <v>50</v>
      </c>
      <c r="D10992" t="s">
        <v>51</v>
      </c>
      <c r="E10992" s="6">
        <v>-28139</v>
      </c>
      <c r="F10992" t="s">
        <v>143</v>
      </c>
      <c r="G10992" t="s">
        <v>44</v>
      </c>
      <c r="H10992" t="s">
        <v>20</v>
      </c>
      <c r="I10992" t="s">
        <v>21390</v>
      </c>
      <c r="J10992" t="str">
        <f>HYPERLINK("https://www.boe.es/gazeta/dias/1822/12/15/pdfs/GMD-1822-365.pdf#page=1","Abrir facsímil")</f>
        <v>Abrir facsímil</v>
      </c>
      <c r="K10992" t="s">
        <v>22</v>
      </c>
    </row>
    <row r="10993" spans="1:11" ht="42" customHeight="1">
      <c r="A10993" t="s">
        <v>21391</v>
      </c>
      <c r="B10993" t="s">
        <v>21392</v>
      </c>
      <c r="C10993" t="s">
        <v>42</v>
      </c>
      <c r="D10993" t="s">
        <v>17</v>
      </c>
      <c r="E10993" s="6">
        <v>-28432</v>
      </c>
      <c r="F10993" t="s">
        <v>195</v>
      </c>
      <c r="G10993" t="s">
        <v>57</v>
      </c>
      <c r="H10993" t="s">
        <v>20</v>
      </c>
      <c r="I10993" t="s">
        <v>21393</v>
      </c>
      <c r="J10993" t="str">
        <f>HYPERLINK("https://www.boe.es/gazeta/dias/1822/02/25/pdfs/GMD-1822-57.pdf#page=4","Abrir facsímil")</f>
        <v>Abrir facsímil</v>
      </c>
      <c r="K10993" t="s">
        <v>22</v>
      </c>
    </row>
    <row r="10994" spans="1:11" ht="42" customHeight="1">
      <c r="A10994" t="s">
        <v>21394</v>
      </c>
      <c r="B10994" t="s">
        <v>21395</v>
      </c>
      <c r="C10994" t="s">
        <v>42</v>
      </c>
      <c r="D10994" t="s">
        <v>17</v>
      </c>
      <c r="E10994" s="6">
        <v>-28152</v>
      </c>
      <c r="F10994" t="s">
        <v>122</v>
      </c>
      <c r="G10994" t="s">
        <v>19</v>
      </c>
      <c r="H10994" t="s">
        <v>20</v>
      </c>
      <c r="I10994" t="s">
        <v>21396</v>
      </c>
      <c r="J10994" t="str">
        <f>HYPERLINK("https://www.boe.es/gazeta/dias/1822/12/02/pdfs/GMD-1822-352.pdf#page=5","Abrir facsímil")</f>
        <v>Abrir facsímil</v>
      </c>
      <c r="K10994" t="s">
        <v>22</v>
      </c>
    </row>
    <row r="10995" spans="1:11" ht="42" customHeight="1">
      <c r="A10995" t="s">
        <v>21397</v>
      </c>
      <c r="B10995" t="s">
        <v>21398</v>
      </c>
      <c r="C10995" t="s">
        <v>28</v>
      </c>
      <c r="D10995" t="s">
        <v>29</v>
      </c>
      <c r="E10995" s="6">
        <v>-28418</v>
      </c>
      <c r="F10995" t="s">
        <v>205</v>
      </c>
      <c r="G10995" t="s">
        <v>167</v>
      </c>
      <c r="H10995" t="s">
        <v>20</v>
      </c>
      <c r="I10995" t="s">
        <v>21399</v>
      </c>
      <c r="J10995" t="str">
        <f>HYPERLINK("https://www.boe.es/gazeta/dias/1822/03/11/pdfs/GMD-1822-72.pdf#page=7","Abrir facsímil")</f>
        <v>Abrir facsímil</v>
      </c>
      <c r="K10995" t="s">
        <v>22</v>
      </c>
    </row>
    <row r="10996" spans="1:11" ht="42" customHeight="1">
      <c r="A10996" t="s">
        <v>21400</v>
      </c>
      <c r="B10996" t="s">
        <v>21400</v>
      </c>
      <c r="C10996" t="s">
        <v>42</v>
      </c>
      <c r="D10996" t="s">
        <v>17</v>
      </c>
      <c r="E10996" s="6">
        <v>-28131</v>
      </c>
      <c r="F10996" t="s">
        <v>893</v>
      </c>
      <c r="G10996" t="s">
        <v>57</v>
      </c>
      <c r="H10996" t="s">
        <v>20</v>
      </c>
      <c r="I10996" t="s">
        <v>21401</v>
      </c>
      <c r="J10996" t="str">
        <f>HYPERLINK("https://www.boe.es/gazeta/dias/1822/12/23/pdfs/GMD-1822-373.pdf#page=4","Abrir facsímil")</f>
        <v>Abrir facsímil</v>
      </c>
      <c r="K10996" t="s">
        <v>22</v>
      </c>
    </row>
    <row r="10997" spans="1:11" ht="42" customHeight="1">
      <c r="A10997" t="s">
        <v>21402</v>
      </c>
      <c r="B10997" t="s">
        <v>21402</v>
      </c>
      <c r="C10997" t="s">
        <v>50</v>
      </c>
      <c r="D10997" t="s">
        <v>51</v>
      </c>
      <c r="E10997" s="6">
        <v>-28481</v>
      </c>
      <c r="F10997" t="s">
        <v>1089</v>
      </c>
      <c r="G10997" t="s">
        <v>35</v>
      </c>
      <c r="H10997" t="s">
        <v>20</v>
      </c>
      <c r="I10997" t="s">
        <v>21403</v>
      </c>
      <c r="J10997" t="str">
        <f>HYPERLINK("https://www.boe.es/gazeta/dias/1822/01/07/pdfs/GMD-1822-7.pdf#page=2","Abrir facsímil")</f>
        <v>Abrir facsímil</v>
      </c>
      <c r="K10997" t="s">
        <v>22</v>
      </c>
    </row>
    <row r="10998" spans="1:11" ht="42" customHeight="1">
      <c r="A10998" t="s">
        <v>21404</v>
      </c>
      <c r="B10998" t="s">
        <v>21405</v>
      </c>
      <c r="C10998" t="s">
        <v>50</v>
      </c>
      <c r="D10998" t="s">
        <v>51</v>
      </c>
      <c r="E10998" s="6">
        <v>-28258</v>
      </c>
      <c r="F10998" t="s">
        <v>88</v>
      </c>
      <c r="G10998" t="s">
        <v>57</v>
      </c>
      <c r="H10998" t="s">
        <v>20</v>
      </c>
      <c r="I10998" t="s">
        <v>21406</v>
      </c>
      <c r="J10998" t="str">
        <f>HYPERLINK("https://www.boe.es/gazeta/dias/1822/08/18/pdfs/GMD-1822-242.pdf#page=4","Abrir facsímil")</f>
        <v>Abrir facsímil</v>
      </c>
      <c r="K10998" t="s">
        <v>22</v>
      </c>
    </row>
    <row r="10999" spans="1:11" ht="42" customHeight="1">
      <c r="A10999" t="s">
        <v>21407</v>
      </c>
      <c r="B10999" t="s">
        <v>21407</v>
      </c>
      <c r="C10999" t="s">
        <v>28</v>
      </c>
      <c r="D10999" t="s">
        <v>29</v>
      </c>
      <c r="E10999" s="6">
        <v>-28456</v>
      </c>
      <c r="F10999" t="s">
        <v>1104</v>
      </c>
      <c r="G10999" t="s">
        <v>31</v>
      </c>
      <c r="H10999" t="s">
        <v>20</v>
      </c>
      <c r="I10999" t="s">
        <v>21408</v>
      </c>
      <c r="J10999" t="str">
        <f>HYPERLINK("https://www.boe.es/gazeta/dias/1822/02/01/pdfs/GMD-1822-32.pdf#page=3","Abrir facsímil")</f>
        <v>Abrir facsímil</v>
      </c>
      <c r="K10999" t="s">
        <v>22</v>
      </c>
    </row>
    <row r="11000" spans="1:11" ht="42" customHeight="1">
      <c r="A11000" t="s">
        <v>21409</v>
      </c>
      <c r="B11000" t="s">
        <v>21410</v>
      </c>
      <c r="C11000" t="s">
        <v>42</v>
      </c>
      <c r="D11000" t="s">
        <v>17</v>
      </c>
      <c r="E11000" s="6">
        <v>-28384</v>
      </c>
      <c r="F11000" t="s">
        <v>258</v>
      </c>
      <c r="G11000" t="s">
        <v>63</v>
      </c>
      <c r="H11000" t="s">
        <v>20</v>
      </c>
      <c r="I11000" t="s">
        <v>21411</v>
      </c>
      <c r="J11000" t="str">
        <f>HYPERLINK("https://www.boe.es/gazeta/dias/1822/04/14/pdfs/GMD-1822-106.pdf#page=6","Abrir facsímil")</f>
        <v>Abrir facsímil</v>
      </c>
      <c r="K11000" t="s">
        <v>22</v>
      </c>
    </row>
    <row r="11001" spans="1:11" ht="42" customHeight="1">
      <c r="A11001" t="s">
        <v>21412</v>
      </c>
      <c r="B11001" t="s">
        <v>21413</v>
      </c>
      <c r="C11001" t="s">
        <v>28</v>
      </c>
      <c r="D11001" t="s">
        <v>29</v>
      </c>
      <c r="E11001" s="6">
        <v>-28486</v>
      </c>
      <c r="F11001" t="s">
        <v>1046</v>
      </c>
      <c r="G11001" t="s">
        <v>57</v>
      </c>
      <c r="H11001" t="s">
        <v>20</v>
      </c>
      <c r="I11001" t="s">
        <v>21414</v>
      </c>
      <c r="J11001" t="str">
        <f>HYPERLINK("https://www.boe.es/gazeta/dias/1822/01/02/pdfs/GMD-1822-2.pdf#page=4","Abrir facsímil")</f>
        <v>Abrir facsímil</v>
      </c>
      <c r="K11001" t="s">
        <v>22</v>
      </c>
    </row>
    <row r="11002" spans="1:11" ht="42" customHeight="1">
      <c r="A11002" t="s">
        <v>21415</v>
      </c>
      <c r="B11002" t="s">
        <v>21416</v>
      </c>
      <c r="C11002" t="s">
        <v>42</v>
      </c>
      <c r="D11002" t="s">
        <v>17</v>
      </c>
      <c r="E11002" s="6">
        <v>-28384</v>
      </c>
      <c r="F11002" t="s">
        <v>258</v>
      </c>
      <c r="G11002" t="s">
        <v>63</v>
      </c>
      <c r="H11002" t="s">
        <v>20</v>
      </c>
      <c r="I11002" t="s">
        <v>21417</v>
      </c>
      <c r="J11002" t="str">
        <f>HYPERLINK("https://www.boe.es/gazeta/dias/1822/04/14/pdfs/GMD-1822-106.pdf#page=6","Abrir facsímil")</f>
        <v>Abrir facsímil</v>
      </c>
      <c r="K11002" t="s">
        <v>22</v>
      </c>
    </row>
    <row r="11003" spans="1:11" ht="42" customHeight="1">
      <c r="A11003" t="s">
        <v>21418</v>
      </c>
      <c r="B11003" t="s">
        <v>21419</v>
      </c>
      <c r="C11003" t="s">
        <v>24</v>
      </c>
      <c r="D11003" t="s">
        <v>17</v>
      </c>
      <c r="E11003" s="6">
        <v>-28356</v>
      </c>
      <c r="F11003" t="s">
        <v>4170</v>
      </c>
      <c r="G11003" t="s">
        <v>57</v>
      </c>
      <c r="H11003" t="s">
        <v>20</v>
      </c>
      <c r="I11003" t="s">
        <v>21420</v>
      </c>
      <c r="J11003" t="str">
        <f>HYPERLINK("https://www.boe.es/gazeta/dias/1822/05/12/pdfs/GMD-1822-134.pdf#page=4","Abrir facsímil")</f>
        <v>Abrir facsímil</v>
      </c>
      <c r="K11003" t="s">
        <v>22</v>
      </c>
    </row>
    <row r="11004" spans="1:11" ht="42" customHeight="1">
      <c r="A11004" t="s">
        <v>21421</v>
      </c>
      <c r="B11004" t="s">
        <v>21421</v>
      </c>
      <c r="C11004" t="s">
        <v>16</v>
      </c>
      <c r="D11004" t="s">
        <v>17</v>
      </c>
      <c r="E11004" s="6">
        <v>-28433</v>
      </c>
      <c r="F11004" t="s">
        <v>3663</v>
      </c>
      <c r="G11004" t="s">
        <v>31</v>
      </c>
      <c r="H11004" t="s">
        <v>20</v>
      </c>
      <c r="I11004" t="s">
        <v>21422</v>
      </c>
      <c r="J11004" t="str">
        <f>HYPERLINK("https://www.boe.es/gazeta/dias/1822/02/24/pdfs/GMD-1822-56.pdf#page=3","Abrir facsímil")</f>
        <v>Abrir facsímil</v>
      </c>
      <c r="K11004" t="s">
        <v>22</v>
      </c>
    </row>
    <row r="11005" spans="1:11" ht="42" customHeight="1">
      <c r="A11005" t="s">
        <v>21423</v>
      </c>
      <c r="B11005" t="s">
        <v>21424</v>
      </c>
      <c r="C11005" t="s">
        <v>50</v>
      </c>
      <c r="D11005" t="s">
        <v>51</v>
      </c>
      <c r="E11005" s="6">
        <v>-28292</v>
      </c>
      <c r="F11005" t="s">
        <v>222</v>
      </c>
      <c r="G11005" t="s">
        <v>31</v>
      </c>
      <c r="H11005" t="s">
        <v>45</v>
      </c>
      <c r="I11005" t="s">
        <v>21425</v>
      </c>
      <c r="J11005" t="str">
        <f>HYPERLINK("https://www.boe.es/gazeta/dias/1822/07/15/pdfs/GMD-1822-205.pdf#page=3","Abrir facsímil")</f>
        <v>Abrir facsímil</v>
      </c>
      <c r="K11005" t="s">
        <v>47</v>
      </c>
    </row>
    <row r="11006" spans="1:11" ht="42" customHeight="1">
      <c r="A11006" t="s">
        <v>21426</v>
      </c>
      <c r="B11006" t="s">
        <v>21427</v>
      </c>
      <c r="C11006" t="s">
        <v>50</v>
      </c>
      <c r="D11006" t="s">
        <v>51</v>
      </c>
      <c r="E11006" s="6">
        <v>-28287</v>
      </c>
      <c r="F11006" t="s">
        <v>1295</v>
      </c>
      <c r="G11006" t="s">
        <v>35</v>
      </c>
      <c r="H11006" t="s">
        <v>20</v>
      </c>
      <c r="I11006" t="s">
        <v>21428</v>
      </c>
      <c r="J11006" t="str">
        <f>HYPERLINK("https://www.boe.es/gazeta/dias/1822/07/20/pdfs/GMD-1822-212.pdf#page=2","Abrir facsímil")</f>
        <v>Abrir facsímil</v>
      </c>
      <c r="K11006" t="s">
        <v>22</v>
      </c>
    </row>
    <row r="11007" spans="1:11" ht="42" customHeight="1">
      <c r="A11007" t="s">
        <v>21429</v>
      </c>
      <c r="B11007" t="s">
        <v>21430</v>
      </c>
      <c r="C11007" t="s">
        <v>50</v>
      </c>
      <c r="D11007" t="s">
        <v>51</v>
      </c>
      <c r="E11007" s="6">
        <v>-28409</v>
      </c>
      <c r="F11007" t="s">
        <v>394</v>
      </c>
      <c r="G11007" t="s">
        <v>19</v>
      </c>
      <c r="H11007" t="s">
        <v>20</v>
      </c>
      <c r="I11007" t="s">
        <v>21431</v>
      </c>
      <c r="J11007" t="str">
        <f>HYPERLINK("https://www.boe.es/gazeta/dias/1822/03/20/pdfs/GMD-1822-81.pdf#page=5","Abrir facsímil")</f>
        <v>Abrir facsímil</v>
      </c>
      <c r="K11007" t="s">
        <v>22</v>
      </c>
    </row>
    <row r="11008" spans="1:11" ht="42" customHeight="1">
      <c r="A11008" t="s">
        <v>21432</v>
      </c>
      <c r="B11008" t="s">
        <v>21433</v>
      </c>
      <c r="C11008" t="s">
        <v>28</v>
      </c>
      <c r="D11008" t="s">
        <v>29</v>
      </c>
      <c r="E11008" s="6">
        <v>-28285</v>
      </c>
      <c r="F11008" t="s">
        <v>4539</v>
      </c>
      <c r="G11008" t="s">
        <v>57</v>
      </c>
      <c r="H11008" t="s">
        <v>45</v>
      </c>
      <c r="I11008" t="s">
        <v>21434</v>
      </c>
      <c r="J11008" t="str">
        <f>HYPERLINK("https://www.boe.es/gazeta/dias/1822/07/22/pdfs/GMD-1822-215.pdf#page=4","Abrir facsímil")</f>
        <v>Abrir facsímil</v>
      </c>
      <c r="K11008" t="s">
        <v>47</v>
      </c>
    </row>
    <row r="11009" spans="1:11" ht="42" customHeight="1">
      <c r="A11009" t="s">
        <v>21435</v>
      </c>
      <c r="B11009" t="s">
        <v>21435</v>
      </c>
      <c r="C11009" t="s">
        <v>16</v>
      </c>
      <c r="D11009" t="s">
        <v>17</v>
      </c>
      <c r="E11009" s="6">
        <v>-28384</v>
      </c>
      <c r="F11009" t="s">
        <v>258</v>
      </c>
      <c r="G11009" t="s">
        <v>63</v>
      </c>
      <c r="H11009" t="s">
        <v>20</v>
      </c>
      <c r="I11009" t="s">
        <v>21436</v>
      </c>
      <c r="J11009" t="str">
        <f>HYPERLINK("https://www.boe.es/gazeta/dias/1822/04/14/pdfs/GMD-1822-106.pdf#page=6","Abrir facsímil")</f>
        <v>Abrir facsímil</v>
      </c>
      <c r="K11009" t="s">
        <v>22</v>
      </c>
    </row>
    <row r="11010" spans="1:11" ht="42" customHeight="1">
      <c r="A11010" t="s">
        <v>21437</v>
      </c>
      <c r="B11010" t="s">
        <v>21437</v>
      </c>
      <c r="C11010" t="s">
        <v>61</v>
      </c>
      <c r="D11010" t="s">
        <v>17</v>
      </c>
      <c r="E11010" s="6">
        <v>-28381</v>
      </c>
      <c r="F11010" t="s">
        <v>358</v>
      </c>
      <c r="G11010" t="s">
        <v>2269</v>
      </c>
      <c r="H11010" t="s">
        <v>20</v>
      </c>
      <c r="I11010" t="s">
        <v>21438</v>
      </c>
      <c r="J11010" t="str">
        <f>HYPERLINK("https://www.boe.es/gazeta/dias/1822/04/17/pdfs/GMD-1822-109.pdf#page=3","Abrir facsímil")</f>
        <v>Abrir facsímil</v>
      </c>
      <c r="K11010" t="s">
        <v>22</v>
      </c>
    </row>
    <row r="11011" spans="1:11" ht="42" customHeight="1">
      <c r="A11011" t="s">
        <v>21439</v>
      </c>
      <c r="B11011" t="s">
        <v>21439</v>
      </c>
      <c r="C11011" t="s">
        <v>50</v>
      </c>
      <c r="D11011" t="s">
        <v>51</v>
      </c>
      <c r="E11011" s="6">
        <v>-28235</v>
      </c>
      <c r="F11011" t="s">
        <v>1470</v>
      </c>
      <c r="G11011" t="s">
        <v>44</v>
      </c>
      <c r="H11011" t="s">
        <v>20</v>
      </c>
      <c r="I11011" t="s">
        <v>21440</v>
      </c>
      <c r="J11011" t="str">
        <f>HYPERLINK("https://www.boe.es/gazeta/dias/1822/09/10/pdfs/GMD-1822-266.pdf#page=1","Abrir facsímil")</f>
        <v>Abrir facsímil</v>
      </c>
      <c r="K11011" t="s">
        <v>22</v>
      </c>
    </row>
    <row r="11012" spans="1:11" ht="42" customHeight="1">
      <c r="A11012" t="s">
        <v>21441</v>
      </c>
      <c r="B11012" t="s">
        <v>21442</v>
      </c>
      <c r="C11012" t="s">
        <v>42</v>
      </c>
      <c r="D11012" t="s">
        <v>17</v>
      </c>
      <c r="E11012" s="6">
        <v>-28131</v>
      </c>
      <c r="F11012" t="s">
        <v>893</v>
      </c>
      <c r="G11012" t="s">
        <v>991</v>
      </c>
      <c r="H11012" t="s">
        <v>20</v>
      </c>
      <c r="I11012" t="s">
        <v>21443</v>
      </c>
      <c r="J11012" t="str">
        <f>HYPERLINK("https://www.boe.es/gazeta/dias/1822/12/23/pdfs/GMD-1822-373.pdf#page=6","Abrir facsímil")</f>
        <v>Abrir facsímil</v>
      </c>
      <c r="K11012" t="s">
        <v>22</v>
      </c>
    </row>
    <row r="11013" spans="1:11" ht="42" customHeight="1">
      <c r="A11013" t="s">
        <v>21444</v>
      </c>
      <c r="B11013" t="s">
        <v>21445</v>
      </c>
      <c r="C11013" t="s">
        <v>50</v>
      </c>
      <c r="D11013" t="s">
        <v>51</v>
      </c>
      <c r="E11013" s="6">
        <v>-28264</v>
      </c>
      <c r="F11013" t="s">
        <v>1329</v>
      </c>
      <c r="G11013" t="s">
        <v>57</v>
      </c>
      <c r="H11013" t="s">
        <v>20</v>
      </c>
      <c r="I11013" t="s">
        <v>21446</v>
      </c>
      <c r="J11013" t="str">
        <f>HYPERLINK("https://www.boe.es/gazeta/dias/1822/08/12/pdfs/GMD-1822-236.pdf#page=4","Abrir facsímil")</f>
        <v>Abrir facsímil</v>
      </c>
      <c r="K11013" t="s">
        <v>22</v>
      </c>
    </row>
    <row r="11014" spans="1:11" ht="42" customHeight="1">
      <c r="A11014" t="s">
        <v>21447</v>
      </c>
      <c r="B11014" t="s">
        <v>21447</v>
      </c>
      <c r="C11014" t="s">
        <v>50</v>
      </c>
      <c r="D11014" t="s">
        <v>51</v>
      </c>
      <c r="E11014" s="6">
        <v>-28455</v>
      </c>
      <c r="F11014" t="s">
        <v>1107</v>
      </c>
      <c r="G11014" t="s">
        <v>35</v>
      </c>
      <c r="H11014" t="s">
        <v>20</v>
      </c>
      <c r="I11014" t="s">
        <v>21448</v>
      </c>
      <c r="J11014" t="str">
        <f>HYPERLINK("https://www.boe.es/gazeta/dias/1822/02/02/pdfs/GMD-1822-33.pdf#page=2","Abrir facsímil")</f>
        <v>Abrir facsímil</v>
      </c>
      <c r="K11014" t="s">
        <v>22</v>
      </c>
    </row>
    <row r="11015" spans="1:11" ht="42" customHeight="1">
      <c r="A11015" t="s">
        <v>21449</v>
      </c>
      <c r="B11015" t="s">
        <v>21449</v>
      </c>
      <c r="C11015" t="s">
        <v>24</v>
      </c>
      <c r="D11015" t="s">
        <v>17</v>
      </c>
      <c r="E11015" s="6">
        <v>-28461</v>
      </c>
      <c r="F11015" t="s">
        <v>1801</v>
      </c>
      <c r="G11015" t="s">
        <v>35</v>
      </c>
      <c r="H11015" t="s">
        <v>20</v>
      </c>
      <c r="I11015" t="s">
        <v>21450</v>
      </c>
      <c r="J11015" t="str">
        <f>HYPERLINK("https://www.boe.es/gazeta/dias/1822/01/27/pdfs/GMD-1822-27.pdf#page=2","Abrir facsímil")</f>
        <v>Abrir facsímil</v>
      </c>
      <c r="K11015" t="s">
        <v>22</v>
      </c>
    </row>
    <row r="11016" spans="1:11" ht="42" customHeight="1">
      <c r="A11016" t="s">
        <v>21451</v>
      </c>
      <c r="B11016" t="s">
        <v>21452</v>
      </c>
      <c r="C11016" t="s">
        <v>28</v>
      </c>
      <c r="D11016" t="s">
        <v>29</v>
      </c>
      <c r="E11016" s="6">
        <v>-28457</v>
      </c>
      <c r="F11016" t="s">
        <v>1655</v>
      </c>
      <c r="G11016" t="s">
        <v>35</v>
      </c>
      <c r="H11016" t="s">
        <v>20</v>
      </c>
      <c r="I11016" t="s">
        <v>21453</v>
      </c>
      <c r="J11016" t="str">
        <f>HYPERLINK("https://www.boe.es/gazeta/dias/1822/01/31/pdfs/GMD-1822-31.pdf#page=2","Abrir facsímil")</f>
        <v>Abrir facsímil</v>
      </c>
      <c r="K11016" t="s">
        <v>22</v>
      </c>
    </row>
    <row r="11017" spans="1:11" ht="42" customHeight="1">
      <c r="A11017" t="s">
        <v>21454</v>
      </c>
      <c r="B11017" t="s">
        <v>21455</v>
      </c>
      <c r="C11017" t="s">
        <v>61</v>
      </c>
      <c r="D11017" t="s">
        <v>17</v>
      </c>
      <c r="E11017" s="6">
        <v>-28313</v>
      </c>
      <c r="F11017" t="s">
        <v>315</v>
      </c>
      <c r="G11017" t="s">
        <v>157</v>
      </c>
      <c r="H11017" t="s">
        <v>20</v>
      </c>
      <c r="I11017" t="s">
        <v>21456</v>
      </c>
      <c r="J11017" t="str">
        <f>HYPERLINK("https://www.boe.es/gazeta/dias/1822/06/24/pdfs/GMD-1822-182.pdf#page=8","Abrir facsímil")</f>
        <v>Abrir facsímil</v>
      </c>
      <c r="K11017" t="s">
        <v>22</v>
      </c>
    </row>
    <row r="11018" spans="1:11" ht="42" customHeight="1">
      <c r="A11018" t="s">
        <v>21454</v>
      </c>
      <c r="B11018" t="s">
        <v>21455</v>
      </c>
      <c r="C11018" t="s">
        <v>42</v>
      </c>
      <c r="D11018" t="s">
        <v>17</v>
      </c>
      <c r="E11018" s="6">
        <v>-28213</v>
      </c>
      <c r="F11018" t="s">
        <v>558</v>
      </c>
      <c r="G11018" t="s">
        <v>57</v>
      </c>
      <c r="H11018" t="s">
        <v>20</v>
      </c>
      <c r="I11018" t="s">
        <v>21457</v>
      </c>
      <c r="J11018" t="str">
        <f>HYPERLINK("https://www.boe.es/gazeta/dias/1822/10/02/pdfs/GMD-1822-288.pdf#page=4","Abrir facsímil")</f>
        <v>Abrir facsímil</v>
      </c>
      <c r="K11018" t="s">
        <v>22</v>
      </c>
    </row>
    <row r="11019" spans="1:11" ht="42" customHeight="1">
      <c r="A11019" t="s">
        <v>21454</v>
      </c>
      <c r="B11019" t="s">
        <v>21455</v>
      </c>
      <c r="C11019" t="s">
        <v>61</v>
      </c>
      <c r="D11019" t="s">
        <v>17</v>
      </c>
      <c r="E11019" s="6">
        <v>-28147</v>
      </c>
      <c r="F11019" t="s">
        <v>1611</v>
      </c>
      <c r="G11019" t="s">
        <v>63</v>
      </c>
      <c r="H11019" t="s">
        <v>20</v>
      </c>
      <c r="I11019" t="s">
        <v>21458</v>
      </c>
      <c r="J11019" t="str">
        <f>HYPERLINK("https://www.boe.es/gazeta/dias/1822/12/07/pdfs/GMD-1822-357.pdf#page=6","Abrir facsímil")</f>
        <v>Abrir facsímil</v>
      </c>
      <c r="K11019" t="s">
        <v>22</v>
      </c>
    </row>
    <row r="11020" spans="1:11" ht="42" customHeight="1">
      <c r="A11020" t="s">
        <v>21459</v>
      </c>
      <c r="B11020" t="s">
        <v>21460</v>
      </c>
      <c r="C11020" t="s">
        <v>50</v>
      </c>
      <c r="D11020" t="s">
        <v>51</v>
      </c>
      <c r="E11020" s="6">
        <v>-28316</v>
      </c>
      <c r="F11020" t="s">
        <v>1144</v>
      </c>
      <c r="G11020" t="s">
        <v>31</v>
      </c>
      <c r="H11020" t="s">
        <v>20</v>
      </c>
      <c r="I11020" t="s">
        <v>21461</v>
      </c>
      <c r="J11020" t="str">
        <f>HYPERLINK("https://www.boe.es/gazeta/dias/1822/06/21/pdfs/GMD-1822-179.pdf#page=3","Abrir facsímil")</f>
        <v>Abrir facsímil</v>
      </c>
      <c r="K11020" t="s">
        <v>22</v>
      </c>
    </row>
    <row r="11021" spans="1:11" ht="42" customHeight="1">
      <c r="A11021" t="s">
        <v>21462</v>
      </c>
      <c r="B11021" t="s">
        <v>21463</v>
      </c>
      <c r="C11021" t="s">
        <v>61</v>
      </c>
      <c r="D11021" t="s">
        <v>17</v>
      </c>
      <c r="E11021" s="6">
        <v>-28469</v>
      </c>
      <c r="F11021" t="s">
        <v>1164</v>
      </c>
      <c r="G11021" t="s">
        <v>57</v>
      </c>
      <c r="H11021" t="s">
        <v>45</v>
      </c>
      <c r="I11021" t="s">
        <v>21464</v>
      </c>
      <c r="J11021" t="str">
        <f>HYPERLINK("https://www.boe.es/gazeta/dias/1822/01/19/pdfs/GMD-1822-19.pdf#page=4","Abrir facsímil")</f>
        <v>Abrir facsímil</v>
      </c>
      <c r="K11021" t="s">
        <v>47</v>
      </c>
    </row>
    <row r="11022" spans="1:11" ht="42" customHeight="1">
      <c r="A11022" t="s">
        <v>21465</v>
      </c>
      <c r="B11022" t="s">
        <v>21465</v>
      </c>
      <c r="C11022" t="s">
        <v>362</v>
      </c>
      <c r="D11022" t="s">
        <v>17</v>
      </c>
      <c r="E11022" s="6">
        <v>-28461</v>
      </c>
      <c r="F11022" t="s">
        <v>1801</v>
      </c>
      <c r="G11022" t="s">
        <v>5459</v>
      </c>
      <c r="H11022" t="s">
        <v>20</v>
      </c>
      <c r="I11022" t="s">
        <v>21466</v>
      </c>
      <c r="J11022" t="str">
        <f>HYPERLINK("https://www.boe.es/gazeta/dias/1822/01/27/pdfs/GMD-1822-27.pdf#page=3","Abrir facsímil")</f>
        <v>Abrir facsímil</v>
      </c>
      <c r="K11022" t="s">
        <v>22</v>
      </c>
    </row>
    <row r="11023" spans="1:11" ht="42" customHeight="1">
      <c r="A11023" t="s">
        <v>21467</v>
      </c>
      <c r="B11023" t="s">
        <v>21468</v>
      </c>
      <c r="C11023" t="s">
        <v>28</v>
      </c>
      <c r="D11023" t="s">
        <v>29</v>
      </c>
      <c r="E11023" s="6">
        <v>-28310</v>
      </c>
      <c r="F11023" t="s">
        <v>241</v>
      </c>
      <c r="G11023" t="s">
        <v>57</v>
      </c>
      <c r="H11023" t="s">
        <v>20</v>
      </c>
      <c r="I11023" t="s">
        <v>21469</v>
      </c>
      <c r="J11023" t="str">
        <f>HYPERLINK("https://www.boe.es/gazeta/dias/1822/06/27/pdfs/GMD-1822-185.pdf#page=4","Abrir facsímil")</f>
        <v>Abrir facsímil</v>
      </c>
      <c r="K11023" t="s">
        <v>22</v>
      </c>
    </row>
    <row r="11024" spans="1:11" ht="42" customHeight="1">
      <c r="A11024" t="s">
        <v>21470</v>
      </c>
      <c r="B11024" t="s">
        <v>21471</v>
      </c>
      <c r="C11024" t="s">
        <v>50</v>
      </c>
      <c r="D11024" t="s">
        <v>51</v>
      </c>
      <c r="E11024" s="6">
        <v>-28253</v>
      </c>
      <c r="F11024" t="s">
        <v>413</v>
      </c>
      <c r="G11024" t="s">
        <v>35</v>
      </c>
      <c r="H11024" t="s">
        <v>20</v>
      </c>
      <c r="I11024" t="s">
        <v>21472</v>
      </c>
      <c r="J11024" t="str">
        <f>HYPERLINK("https://www.boe.es/gazeta/dias/1822/08/23/pdfs/GMD-1822-247.pdf#page=2","Abrir facsímil")</f>
        <v>Abrir facsímil</v>
      </c>
      <c r="K11024" t="s">
        <v>22</v>
      </c>
    </row>
    <row r="11025" spans="1:11" ht="42" customHeight="1">
      <c r="A11025" t="s">
        <v>21473</v>
      </c>
      <c r="B11025" t="s">
        <v>21473</v>
      </c>
      <c r="C11025" t="s">
        <v>50</v>
      </c>
      <c r="D11025" t="s">
        <v>51</v>
      </c>
      <c r="E11025" s="6">
        <v>-28363</v>
      </c>
      <c r="F11025" t="s">
        <v>72</v>
      </c>
      <c r="G11025" t="s">
        <v>57</v>
      </c>
      <c r="H11025" t="s">
        <v>20</v>
      </c>
      <c r="I11025" t="s">
        <v>21474</v>
      </c>
      <c r="J11025" t="str">
        <f>HYPERLINK("https://www.boe.es/gazeta/dias/1822/05/05/pdfs/GMD-1822-127.pdf#page=4","Abrir facsímil")</f>
        <v>Abrir facsímil</v>
      </c>
      <c r="K11025" t="s">
        <v>22</v>
      </c>
    </row>
    <row r="11026" spans="1:11" ht="42" customHeight="1">
      <c r="A11026" t="s">
        <v>21475</v>
      </c>
      <c r="B11026" t="s">
        <v>21475</v>
      </c>
      <c r="C11026" t="s">
        <v>50</v>
      </c>
      <c r="D11026" t="s">
        <v>51</v>
      </c>
      <c r="E11026" s="6">
        <v>-28462</v>
      </c>
      <c r="F11026" t="s">
        <v>1099</v>
      </c>
      <c r="G11026" t="s">
        <v>44</v>
      </c>
      <c r="H11026" t="s">
        <v>20</v>
      </c>
      <c r="I11026" t="s">
        <v>21476</v>
      </c>
      <c r="J11026" t="str">
        <f>HYPERLINK("https://www.boe.es/gazeta/dias/1822/01/26/pdfs/GMD-1822-26.pdf#page=1","Abrir facsímil")</f>
        <v>Abrir facsímil</v>
      </c>
      <c r="K11026" t="s">
        <v>22</v>
      </c>
    </row>
    <row r="11027" spans="1:11" ht="42" customHeight="1">
      <c r="A11027" t="s">
        <v>21475</v>
      </c>
      <c r="B11027" t="s">
        <v>21475</v>
      </c>
      <c r="C11027" t="s">
        <v>50</v>
      </c>
      <c r="D11027" t="s">
        <v>51</v>
      </c>
      <c r="E11027" s="6">
        <v>-28413</v>
      </c>
      <c r="F11027" t="s">
        <v>458</v>
      </c>
      <c r="G11027" t="s">
        <v>63</v>
      </c>
      <c r="H11027" t="s">
        <v>20</v>
      </c>
      <c r="I11027" t="s">
        <v>21477</v>
      </c>
      <c r="J11027" t="str">
        <f>HYPERLINK("https://www.boe.es/gazeta/dias/1822/03/16/pdfs/GMD-1822-77.pdf#page=6","Abrir facsímil")</f>
        <v>Abrir facsímil</v>
      </c>
      <c r="K11027" t="s">
        <v>22</v>
      </c>
    </row>
    <row r="11028" spans="1:11" ht="42" customHeight="1">
      <c r="A11028" t="s">
        <v>21478</v>
      </c>
      <c r="B11028" t="s">
        <v>21478</v>
      </c>
      <c r="C11028" t="s">
        <v>50</v>
      </c>
      <c r="D11028" t="s">
        <v>51</v>
      </c>
      <c r="E11028" s="6">
        <v>-28397</v>
      </c>
      <c r="F11028" t="s">
        <v>1401</v>
      </c>
      <c r="G11028" t="s">
        <v>44</v>
      </c>
      <c r="H11028" t="s">
        <v>20</v>
      </c>
      <c r="I11028" t="s">
        <v>21479</v>
      </c>
      <c r="J11028" t="str">
        <f>HYPERLINK("https://www.boe.es/gazeta/dias/1822/04/01/pdfs/GMD-1822-93.pdf#page=1","Abrir facsímil")</f>
        <v>Abrir facsímil</v>
      </c>
      <c r="K11028" t="s">
        <v>22</v>
      </c>
    </row>
    <row r="11029" spans="1:11" ht="42" customHeight="1">
      <c r="A11029" t="s">
        <v>21478</v>
      </c>
      <c r="B11029" t="s">
        <v>21478</v>
      </c>
      <c r="C11029" t="s">
        <v>50</v>
      </c>
      <c r="D11029" t="s">
        <v>51</v>
      </c>
      <c r="E11029" s="6">
        <v>-28226</v>
      </c>
      <c r="F11029" t="s">
        <v>812</v>
      </c>
      <c r="G11029" t="s">
        <v>35</v>
      </c>
      <c r="H11029" t="s">
        <v>20</v>
      </c>
      <c r="I11029" t="s">
        <v>21480</v>
      </c>
      <c r="J11029" t="str">
        <f>HYPERLINK("https://www.boe.es/gazeta/dias/1822/09/19/pdfs/GMD-1822-275.pdf#page=2","Abrir facsímil")</f>
        <v>Abrir facsímil</v>
      </c>
      <c r="K11029" t="s">
        <v>22</v>
      </c>
    </row>
    <row r="11030" spans="1:11" ht="42" customHeight="1">
      <c r="A11030" t="s">
        <v>21481</v>
      </c>
      <c r="B11030" t="s">
        <v>21482</v>
      </c>
      <c r="C11030" t="s">
        <v>50</v>
      </c>
      <c r="D11030" t="s">
        <v>51</v>
      </c>
      <c r="E11030" s="6">
        <v>-28454</v>
      </c>
      <c r="F11030" t="s">
        <v>2033</v>
      </c>
      <c r="G11030" t="s">
        <v>157</v>
      </c>
      <c r="H11030" t="s">
        <v>20</v>
      </c>
      <c r="I11030" t="s">
        <v>21483</v>
      </c>
      <c r="J11030" t="str">
        <f>HYPERLINK("https://www.boe.es/gazeta/dias/1822/02/03/pdfs/GMD-1822-34.pdf#page=8","Abrir facsímil")</f>
        <v>Abrir facsímil</v>
      </c>
      <c r="K11030" t="s">
        <v>22</v>
      </c>
    </row>
    <row r="11031" spans="1:11" ht="42" customHeight="1">
      <c r="A11031" t="s">
        <v>21484</v>
      </c>
      <c r="B11031" t="s">
        <v>21485</v>
      </c>
      <c r="C11031" t="s">
        <v>50</v>
      </c>
      <c r="D11031" t="s">
        <v>51</v>
      </c>
      <c r="E11031" s="6">
        <v>-28423</v>
      </c>
      <c r="F11031" t="s">
        <v>441</v>
      </c>
      <c r="G11031" t="s">
        <v>63</v>
      </c>
      <c r="H11031" t="s">
        <v>20</v>
      </c>
      <c r="I11031" t="s">
        <v>21486</v>
      </c>
      <c r="J11031" t="str">
        <f>HYPERLINK("https://www.boe.es/gazeta/dias/1822/03/06/pdfs/GMD-1822-67.pdf#page=6","Abrir facsímil")</f>
        <v>Abrir facsímil</v>
      </c>
      <c r="K11031" t="s">
        <v>22</v>
      </c>
    </row>
    <row r="11032" spans="1:11" ht="42" customHeight="1">
      <c r="A11032" t="s">
        <v>21484</v>
      </c>
      <c r="B11032" t="s">
        <v>21485</v>
      </c>
      <c r="C11032" t="s">
        <v>50</v>
      </c>
      <c r="D11032" t="s">
        <v>51</v>
      </c>
      <c r="E11032" s="6">
        <v>-28413</v>
      </c>
      <c r="F11032" t="s">
        <v>458</v>
      </c>
      <c r="G11032" t="s">
        <v>63</v>
      </c>
      <c r="H11032" t="s">
        <v>20</v>
      </c>
      <c r="I11032" t="s">
        <v>21487</v>
      </c>
      <c r="J11032" t="str">
        <f>HYPERLINK("https://www.boe.es/gazeta/dias/1822/03/16/pdfs/GMD-1822-77.pdf#page=6","Abrir facsímil")</f>
        <v>Abrir facsímil</v>
      </c>
      <c r="K11032" t="s">
        <v>22</v>
      </c>
    </row>
    <row r="11033" spans="1:11" ht="42" customHeight="1">
      <c r="A11033" t="s">
        <v>21488</v>
      </c>
      <c r="B11033" t="s">
        <v>21488</v>
      </c>
      <c r="C11033" t="s">
        <v>50</v>
      </c>
      <c r="D11033" t="s">
        <v>51</v>
      </c>
      <c r="E11033" s="6">
        <v>-28376</v>
      </c>
      <c r="F11033" t="s">
        <v>500</v>
      </c>
      <c r="G11033" t="s">
        <v>44</v>
      </c>
      <c r="H11033" t="s">
        <v>20</v>
      </c>
      <c r="I11033" t="s">
        <v>21489</v>
      </c>
      <c r="J11033" t="str">
        <f>HYPERLINK("https://www.boe.es/gazeta/dias/1822/04/22/pdfs/GMD-1822-114.pdf#page=1","Abrir facsímil")</f>
        <v>Abrir facsímil</v>
      </c>
      <c r="K11033" t="s">
        <v>22</v>
      </c>
    </row>
    <row r="11034" spans="1:11" ht="42" customHeight="1">
      <c r="A11034" t="s">
        <v>21490</v>
      </c>
      <c r="B11034" t="s">
        <v>21491</v>
      </c>
      <c r="C11034" t="s">
        <v>28</v>
      </c>
      <c r="D11034" t="s">
        <v>29</v>
      </c>
      <c r="E11034" s="6">
        <v>-28385</v>
      </c>
      <c r="F11034" t="s">
        <v>484</v>
      </c>
      <c r="G11034" t="s">
        <v>63</v>
      </c>
      <c r="H11034" t="s">
        <v>20</v>
      </c>
      <c r="I11034" t="s">
        <v>21492</v>
      </c>
      <c r="J11034" t="str">
        <f>HYPERLINK("https://www.boe.es/gazeta/dias/1822/04/13/pdfs/GMD-1822-105.pdf#page=6","Abrir facsímil")</f>
        <v>Abrir facsímil</v>
      </c>
      <c r="K11034" t="s">
        <v>22</v>
      </c>
    </row>
    <row r="11035" spans="1:11" ht="42" customHeight="1">
      <c r="A11035" t="s">
        <v>21493</v>
      </c>
      <c r="B11035" t="s">
        <v>21494</v>
      </c>
      <c r="C11035" t="s">
        <v>50</v>
      </c>
      <c r="D11035" t="s">
        <v>51</v>
      </c>
      <c r="E11035" s="6">
        <v>-28264</v>
      </c>
      <c r="F11035" t="s">
        <v>1329</v>
      </c>
      <c r="G11035" t="s">
        <v>57</v>
      </c>
      <c r="H11035" t="s">
        <v>20</v>
      </c>
      <c r="I11035" t="s">
        <v>21495</v>
      </c>
      <c r="J11035" t="str">
        <f>HYPERLINK("https://www.boe.es/gazeta/dias/1822/08/12/pdfs/GMD-1822-236.pdf#page=4","Abrir facsímil")</f>
        <v>Abrir facsímil</v>
      </c>
      <c r="K11035" t="s">
        <v>22</v>
      </c>
    </row>
    <row r="11036" spans="1:11" ht="42" customHeight="1">
      <c r="A11036" t="s">
        <v>21496</v>
      </c>
      <c r="B11036" t="s">
        <v>21497</v>
      </c>
      <c r="C11036" t="s">
        <v>50</v>
      </c>
      <c r="D11036" t="s">
        <v>51</v>
      </c>
      <c r="E11036" s="6">
        <v>-28245</v>
      </c>
      <c r="F11036" t="s">
        <v>2307</v>
      </c>
      <c r="G11036" t="s">
        <v>31</v>
      </c>
      <c r="H11036" t="s">
        <v>45</v>
      </c>
      <c r="I11036" t="s">
        <v>21498</v>
      </c>
      <c r="J11036" t="str">
        <f>HYPERLINK("https://www.boe.es/gazeta/dias/1822/08/31/pdfs/GMD-1822-255.pdf#page=3","Abrir facsímil")</f>
        <v>Abrir facsímil</v>
      </c>
      <c r="K11036" t="s">
        <v>47</v>
      </c>
    </row>
    <row r="11037" spans="1:11" ht="42" customHeight="1">
      <c r="A11037" t="s">
        <v>21499</v>
      </c>
      <c r="B11037" t="s">
        <v>21500</v>
      </c>
      <c r="C11037" t="s">
        <v>16</v>
      </c>
      <c r="D11037" t="s">
        <v>17</v>
      </c>
      <c r="E11037" s="6">
        <v>-28423</v>
      </c>
      <c r="F11037" t="s">
        <v>441</v>
      </c>
      <c r="G11037" t="s">
        <v>63</v>
      </c>
      <c r="H11037" t="s">
        <v>20</v>
      </c>
      <c r="I11037" t="s">
        <v>21501</v>
      </c>
      <c r="J11037" t="str">
        <f>HYPERLINK("https://www.boe.es/gazeta/dias/1822/03/06/pdfs/GMD-1822-67.pdf#page=6","Abrir facsímil")</f>
        <v>Abrir facsímil</v>
      </c>
      <c r="K11037" t="s">
        <v>22</v>
      </c>
    </row>
    <row r="11038" spans="1:11" ht="42" customHeight="1">
      <c r="A11038" t="s">
        <v>21499</v>
      </c>
      <c r="B11038" t="s">
        <v>21500</v>
      </c>
      <c r="C11038" t="s">
        <v>50</v>
      </c>
      <c r="D11038" t="s">
        <v>51</v>
      </c>
      <c r="E11038" s="6">
        <v>-28373</v>
      </c>
      <c r="F11038" t="s">
        <v>614</v>
      </c>
      <c r="G11038" t="s">
        <v>57</v>
      </c>
      <c r="H11038" t="s">
        <v>20</v>
      </c>
      <c r="I11038" t="s">
        <v>21502</v>
      </c>
      <c r="J11038" t="str">
        <f>HYPERLINK("https://www.boe.es/gazeta/dias/1822/04/25/pdfs/GMD-1822-117.pdf#page=4","Abrir facsímil")</f>
        <v>Abrir facsímil</v>
      </c>
      <c r="K11038" t="s">
        <v>22</v>
      </c>
    </row>
    <row r="11039" spans="1:11" ht="42" customHeight="1">
      <c r="A11039" t="s">
        <v>21499</v>
      </c>
      <c r="B11039" t="s">
        <v>21500</v>
      </c>
      <c r="C11039" t="s">
        <v>362</v>
      </c>
      <c r="D11039" t="s">
        <v>17</v>
      </c>
      <c r="E11039" s="6">
        <v>-28304</v>
      </c>
      <c r="F11039" t="s">
        <v>4502</v>
      </c>
      <c r="G11039" t="s">
        <v>57</v>
      </c>
      <c r="H11039" t="s">
        <v>20</v>
      </c>
      <c r="I11039" t="s">
        <v>21503</v>
      </c>
      <c r="J11039" t="str">
        <f>HYPERLINK("https://www.boe.es/gazeta/dias/1822/07/03/pdfs/GMD-1822-192.pdf#page=4","Abrir facsímil")</f>
        <v>Abrir facsímil</v>
      </c>
      <c r="K11039" t="s">
        <v>22</v>
      </c>
    </row>
    <row r="11040" spans="1:11" ht="42" customHeight="1">
      <c r="A11040" t="s">
        <v>21504</v>
      </c>
      <c r="B11040" t="s">
        <v>21505</v>
      </c>
      <c r="C11040" t="s">
        <v>42</v>
      </c>
      <c r="D11040" t="s">
        <v>17</v>
      </c>
      <c r="E11040" s="6">
        <v>-28328</v>
      </c>
      <c r="F11040" t="s">
        <v>540</v>
      </c>
      <c r="G11040" t="s">
        <v>31</v>
      </c>
      <c r="H11040" t="s">
        <v>20</v>
      </c>
      <c r="I11040" t="s">
        <v>21506</v>
      </c>
      <c r="J11040" t="str">
        <f>HYPERLINK("https://www.boe.es/gazeta/dias/1822/06/09/pdfs/GMD-1822-166.pdf#page=3","Abrir facsímil")</f>
        <v>Abrir facsímil</v>
      </c>
      <c r="K11040" t="s">
        <v>22</v>
      </c>
    </row>
    <row r="11041" spans="1:11" ht="42" customHeight="1">
      <c r="A11041" t="s">
        <v>21507</v>
      </c>
      <c r="B11041" t="s">
        <v>21507</v>
      </c>
      <c r="C11041" t="s">
        <v>50</v>
      </c>
      <c r="D11041" t="s">
        <v>51</v>
      </c>
      <c r="E11041" s="6">
        <v>-28456</v>
      </c>
      <c r="F11041" t="s">
        <v>1104</v>
      </c>
      <c r="G11041" t="s">
        <v>44</v>
      </c>
      <c r="H11041" t="s">
        <v>20</v>
      </c>
      <c r="I11041" t="s">
        <v>21508</v>
      </c>
      <c r="J11041" t="str">
        <f>HYPERLINK("https://www.boe.es/gazeta/dias/1822/02/01/pdfs/GMD-1822-32.pdf#page=1","Abrir facsímil")</f>
        <v>Abrir facsímil</v>
      </c>
      <c r="K11041" t="s">
        <v>22</v>
      </c>
    </row>
    <row r="11042" spans="1:11" ht="42" customHeight="1">
      <c r="A11042" t="s">
        <v>21509</v>
      </c>
      <c r="B11042" t="s">
        <v>21510</v>
      </c>
      <c r="C11042" t="s">
        <v>42</v>
      </c>
      <c r="D11042" t="s">
        <v>17</v>
      </c>
      <c r="E11042" s="6">
        <v>-28208</v>
      </c>
      <c r="F11042" t="s">
        <v>230</v>
      </c>
      <c r="G11042" t="s">
        <v>57</v>
      </c>
      <c r="H11042" t="s">
        <v>20</v>
      </c>
      <c r="I11042" t="s">
        <v>21511</v>
      </c>
      <c r="J11042" t="str">
        <f>HYPERLINK("https://www.boe.es/gazeta/dias/1822/10/07/pdfs/GMD-1822-293.pdf#page=4","Abrir facsímil")</f>
        <v>Abrir facsímil</v>
      </c>
      <c r="K11042" t="s">
        <v>22</v>
      </c>
    </row>
    <row r="11043" spans="1:11" ht="42" customHeight="1">
      <c r="A11043" t="s">
        <v>21512</v>
      </c>
      <c r="B11043" t="s">
        <v>21512</v>
      </c>
      <c r="C11043" t="s">
        <v>50</v>
      </c>
      <c r="D11043" t="s">
        <v>51</v>
      </c>
      <c r="E11043" s="6">
        <v>-28245</v>
      </c>
      <c r="F11043" t="s">
        <v>2307</v>
      </c>
      <c r="G11043" t="s">
        <v>35</v>
      </c>
      <c r="H11043" t="s">
        <v>20</v>
      </c>
      <c r="I11043" t="s">
        <v>21513</v>
      </c>
      <c r="J11043" t="str">
        <f>HYPERLINK("https://www.boe.es/gazeta/dias/1822/08/31/pdfs/GMD-1822-255.pdf#page=2","Abrir facsímil")</f>
        <v>Abrir facsímil</v>
      </c>
      <c r="K11043" t="s">
        <v>22</v>
      </c>
    </row>
    <row r="11044" spans="1:11" ht="42" customHeight="1">
      <c r="A11044" t="s">
        <v>21512</v>
      </c>
      <c r="B11044" t="s">
        <v>21512</v>
      </c>
      <c r="C11044" t="s">
        <v>50</v>
      </c>
      <c r="D11044" t="s">
        <v>723</v>
      </c>
      <c r="E11044" s="6">
        <v>-28238</v>
      </c>
      <c r="F11044" t="s">
        <v>3584</v>
      </c>
      <c r="G11044" t="s">
        <v>44</v>
      </c>
      <c r="H11044" t="s">
        <v>20</v>
      </c>
      <c r="I11044" t="s">
        <v>21514</v>
      </c>
      <c r="J11044" t="str">
        <f>HYPERLINK("https://www.boe.es/gazeta/dias/1822/09/07/pdfs/GMD-1822-263E.pdf#page=1","Abrir facsímil")</f>
        <v>Abrir facsímil</v>
      </c>
      <c r="K11044" t="s">
        <v>22</v>
      </c>
    </row>
    <row r="11045" spans="1:11" ht="42" customHeight="1">
      <c r="A11045" t="s">
        <v>21515</v>
      </c>
      <c r="B11045" t="s">
        <v>21516</v>
      </c>
      <c r="C11045" t="s">
        <v>50</v>
      </c>
      <c r="D11045" t="s">
        <v>51</v>
      </c>
      <c r="E11045" s="6">
        <v>-28323</v>
      </c>
      <c r="F11045" t="s">
        <v>116</v>
      </c>
      <c r="G11045" t="s">
        <v>44</v>
      </c>
      <c r="H11045" t="s">
        <v>20</v>
      </c>
      <c r="I11045" t="s">
        <v>21517</v>
      </c>
      <c r="J11045" t="str">
        <f>HYPERLINK("https://www.boe.es/gazeta/dias/1822/06/14/pdfs/GMD-1822-171.pdf#page=1","Abrir facsímil")</f>
        <v>Abrir facsímil</v>
      </c>
      <c r="K11045" t="s">
        <v>22</v>
      </c>
    </row>
    <row r="11046" spans="1:11" ht="42" customHeight="1">
      <c r="A11046" t="s">
        <v>21518</v>
      </c>
      <c r="B11046" t="s">
        <v>21518</v>
      </c>
      <c r="C11046" t="s">
        <v>50</v>
      </c>
      <c r="D11046" t="s">
        <v>51</v>
      </c>
      <c r="E11046" s="6">
        <v>-28250</v>
      </c>
      <c r="F11046" t="s">
        <v>1174</v>
      </c>
      <c r="G11046" t="s">
        <v>35</v>
      </c>
      <c r="H11046" t="s">
        <v>20</v>
      </c>
      <c r="I11046" t="s">
        <v>21519</v>
      </c>
      <c r="J11046" t="str">
        <f>HYPERLINK("https://www.boe.es/gazeta/dias/1822/08/26/pdfs/GMD-1822-250.pdf#page=2","Abrir facsímil")</f>
        <v>Abrir facsímil</v>
      </c>
      <c r="K11046" t="s">
        <v>22</v>
      </c>
    </row>
    <row r="11047" spans="1:11" ht="42" customHeight="1">
      <c r="A11047" t="s">
        <v>21520</v>
      </c>
      <c r="B11047" t="s">
        <v>21521</v>
      </c>
      <c r="C11047" t="s">
        <v>50</v>
      </c>
      <c r="D11047" t="s">
        <v>51</v>
      </c>
      <c r="E11047" s="6">
        <v>-28264</v>
      </c>
      <c r="F11047" t="s">
        <v>1329</v>
      </c>
      <c r="G11047" t="s">
        <v>31</v>
      </c>
      <c r="H11047" t="s">
        <v>20</v>
      </c>
      <c r="I11047" t="s">
        <v>21522</v>
      </c>
      <c r="J11047" t="str">
        <f>HYPERLINK("https://www.boe.es/gazeta/dias/1822/08/12/pdfs/GMD-1822-236.pdf#page=3","Abrir facsímil")</f>
        <v>Abrir facsímil</v>
      </c>
      <c r="K11047" t="s">
        <v>22</v>
      </c>
    </row>
    <row r="11048" spans="1:11" ht="42" customHeight="1">
      <c r="A11048" t="s">
        <v>21523</v>
      </c>
      <c r="B11048" t="s">
        <v>21524</v>
      </c>
      <c r="C11048" t="s">
        <v>50</v>
      </c>
      <c r="D11048" t="s">
        <v>51</v>
      </c>
      <c r="E11048" s="6">
        <v>-28260</v>
      </c>
      <c r="F11048" t="s">
        <v>135</v>
      </c>
      <c r="G11048" t="s">
        <v>31</v>
      </c>
      <c r="H11048" t="s">
        <v>20</v>
      </c>
      <c r="I11048" t="s">
        <v>21525</v>
      </c>
      <c r="J11048" t="str">
        <f>HYPERLINK("https://www.boe.es/gazeta/dias/1822/08/16/pdfs/GMD-1822-240.pdf#page=3","Abrir facsímil")</f>
        <v>Abrir facsímil</v>
      </c>
      <c r="K11048" t="s">
        <v>22</v>
      </c>
    </row>
    <row r="11049" spans="1:11" ht="42" customHeight="1">
      <c r="A11049" t="s">
        <v>21526</v>
      </c>
      <c r="B11049" t="s">
        <v>21527</v>
      </c>
      <c r="C11049" t="s">
        <v>50</v>
      </c>
      <c r="D11049" t="s">
        <v>51</v>
      </c>
      <c r="E11049" s="6">
        <v>-28260</v>
      </c>
      <c r="F11049" t="s">
        <v>135</v>
      </c>
      <c r="G11049" t="s">
        <v>57</v>
      </c>
      <c r="H11049" t="s">
        <v>20</v>
      </c>
      <c r="I11049" t="s">
        <v>21528</v>
      </c>
      <c r="J11049" t="str">
        <f>HYPERLINK("https://www.boe.es/gazeta/dias/1822/08/16/pdfs/GMD-1822-240.pdf#page=4","Abrir facsímil")</f>
        <v>Abrir facsímil</v>
      </c>
      <c r="K11049" t="s">
        <v>22</v>
      </c>
    </row>
    <row r="11050" spans="1:11" ht="42" customHeight="1">
      <c r="A11050" t="s">
        <v>21529</v>
      </c>
      <c r="B11050" t="s">
        <v>21530</v>
      </c>
      <c r="C11050" t="s">
        <v>50</v>
      </c>
      <c r="D11050" t="s">
        <v>51</v>
      </c>
      <c r="E11050" s="6">
        <v>-28279</v>
      </c>
      <c r="F11050" t="s">
        <v>662</v>
      </c>
      <c r="G11050" t="s">
        <v>57</v>
      </c>
      <c r="H11050" t="s">
        <v>20</v>
      </c>
      <c r="I11050" t="s">
        <v>21531</v>
      </c>
      <c r="J11050" t="str">
        <f>HYPERLINK("https://www.boe.es/gazeta/dias/1822/07/28/pdfs/GMD-1822-221.pdf#page=4","Abrir facsímil")</f>
        <v>Abrir facsímil</v>
      </c>
      <c r="K11050" t="s">
        <v>22</v>
      </c>
    </row>
    <row r="11051" spans="1:11" ht="42" customHeight="1">
      <c r="A11051" t="s">
        <v>21532</v>
      </c>
      <c r="B11051" t="s">
        <v>21533</v>
      </c>
      <c r="C11051" t="s">
        <v>50</v>
      </c>
      <c r="D11051" t="s">
        <v>51</v>
      </c>
      <c r="E11051" s="6">
        <v>-28147</v>
      </c>
      <c r="F11051" t="s">
        <v>1611</v>
      </c>
      <c r="G11051" t="s">
        <v>63</v>
      </c>
      <c r="H11051" t="s">
        <v>20</v>
      </c>
      <c r="I11051" t="s">
        <v>21534</v>
      </c>
      <c r="J11051" t="str">
        <f>HYPERLINK("https://www.boe.es/gazeta/dias/1822/12/07/pdfs/GMD-1822-357.pdf#page=6","Abrir facsímil")</f>
        <v>Abrir facsímil</v>
      </c>
      <c r="K11051" t="s">
        <v>22</v>
      </c>
    </row>
    <row r="11052" spans="1:11" ht="42" customHeight="1">
      <c r="A11052" t="s">
        <v>21535</v>
      </c>
      <c r="B11052" t="s">
        <v>21536</v>
      </c>
      <c r="C11052" t="s">
        <v>16</v>
      </c>
      <c r="D11052" t="s">
        <v>17</v>
      </c>
      <c r="E11052" s="6">
        <v>-28146</v>
      </c>
      <c r="F11052" t="s">
        <v>180</v>
      </c>
      <c r="G11052" t="s">
        <v>57</v>
      </c>
      <c r="H11052" t="s">
        <v>20</v>
      </c>
      <c r="I11052" t="s">
        <v>21537</v>
      </c>
      <c r="J11052" t="str">
        <f>HYPERLINK("https://www.boe.es/gazeta/dias/1822/12/08/pdfs/GMD-1822-358.pdf#page=4","Abrir facsímil")</f>
        <v>Abrir facsímil</v>
      </c>
      <c r="K11052" t="s">
        <v>22</v>
      </c>
    </row>
    <row r="11053" spans="1:11" ht="42" customHeight="1">
      <c r="A11053" t="s">
        <v>21538</v>
      </c>
      <c r="B11053" t="s">
        <v>21539</v>
      </c>
      <c r="C11053" t="s">
        <v>50</v>
      </c>
      <c r="D11053" t="s">
        <v>51</v>
      </c>
      <c r="E11053" s="6">
        <v>-28379</v>
      </c>
      <c r="F11053" t="s">
        <v>494</v>
      </c>
      <c r="G11053" t="s">
        <v>63</v>
      </c>
      <c r="H11053" t="s">
        <v>20</v>
      </c>
      <c r="I11053" t="s">
        <v>21540</v>
      </c>
      <c r="J11053" t="str">
        <f>HYPERLINK("https://www.boe.es/gazeta/dias/1822/04/19/pdfs/GMD-1822-111.pdf#page=6","Abrir facsímil")</f>
        <v>Abrir facsímil</v>
      </c>
      <c r="K11053" t="s">
        <v>22</v>
      </c>
    </row>
    <row r="11054" spans="1:11" ht="42" customHeight="1">
      <c r="A11054" t="s">
        <v>21538</v>
      </c>
      <c r="B11054" t="s">
        <v>21539</v>
      </c>
      <c r="C11054" t="s">
        <v>28</v>
      </c>
      <c r="D11054" t="s">
        <v>29</v>
      </c>
      <c r="E11054" s="6">
        <v>-28292</v>
      </c>
      <c r="F11054" t="s">
        <v>222</v>
      </c>
      <c r="G11054" t="s">
        <v>57</v>
      </c>
      <c r="H11054" t="s">
        <v>20</v>
      </c>
      <c r="I11054" t="s">
        <v>21541</v>
      </c>
      <c r="J11054" t="str">
        <f>HYPERLINK("https://www.boe.es/gazeta/dias/1822/07/15/pdfs/GMD-1822-205.pdf#page=4","Abrir facsímil")</f>
        <v>Abrir facsímil</v>
      </c>
      <c r="K11054" t="s">
        <v>22</v>
      </c>
    </row>
    <row r="11055" spans="1:11" ht="42" customHeight="1">
      <c r="A11055" t="s">
        <v>21538</v>
      </c>
      <c r="B11055" t="s">
        <v>21539</v>
      </c>
      <c r="C11055" t="s">
        <v>50</v>
      </c>
      <c r="D11055" t="s">
        <v>51</v>
      </c>
      <c r="E11055" s="6">
        <v>-28264</v>
      </c>
      <c r="F11055" t="s">
        <v>1329</v>
      </c>
      <c r="G11055" t="s">
        <v>57</v>
      </c>
      <c r="H11055" t="s">
        <v>20</v>
      </c>
      <c r="I11055" t="s">
        <v>21542</v>
      </c>
      <c r="J11055" t="str">
        <f>HYPERLINK("https://www.boe.es/gazeta/dias/1822/08/12/pdfs/GMD-1822-236.pdf#page=4","Abrir facsímil")</f>
        <v>Abrir facsímil</v>
      </c>
      <c r="K11055" t="s">
        <v>22</v>
      </c>
    </row>
    <row r="11056" spans="1:11" ht="42" customHeight="1">
      <c r="A11056" t="s">
        <v>21538</v>
      </c>
      <c r="B11056" t="s">
        <v>21539</v>
      </c>
      <c r="C11056" t="s">
        <v>42</v>
      </c>
      <c r="D11056" t="s">
        <v>17</v>
      </c>
      <c r="E11056" s="6">
        <v>-28148</v>
      </c>
      <c r="F11056" t="s">
        <v>1909</v>
      </c>
      <c r="G11056" t="s">
        <v>63</v>
      </c>
      <c r="H11056" t="s">
        <v>20</v>
      </c>
      <c r="I11056" t="s">
        <v>21543</v>
      </c>
      <c r="J11056" t="str">
        <f>HYPERLINK("https://www.boe.es/gazeta/dias/1822/12/06/pdfs/GMD-1822-356.pdf#page=6","Abrir facsímil")</f>
        <v>Abrir facsímil</v>
      </c>
      <c r="K11056" t="s">
        <v>22</v>
      </c>
    </row>
    <row r="11057" spans="1:11" ht="42" customHeight="1">
      <c r="A11057" t="s">
        <v>21544</v>
      </c>
      <c r="B11057" t="s">
        <v>21545</v>
      </c>
      <c r="C11057" t="s">
        <v>50</v>
      </c>
      <c r="D11057" t="s">
        <v>51</v>
      </c>
      <c r="E11057" s="6">
        <v>-28248</v>
      </c>
      <c r="F11057" t="s">
        <v>4807</v>
      </c>
      <c r="G11057" t="s">
        <v>44</v>
      </c>
      <c r="H11057" t="s">
        <v>20</v>
      </c>
      <c r="I11057" t="s">
        <v>21546</v>
      </c>
      <c r="J11057" t="str">
        <f>HYPERLINK("https://www.boe.es/gazeta/dias/1822/08/28/pdfs/GMD-1822-252.pdf#page=1","Abrir facsímil")</f>
        <v>Abrir facsímil</v>
      </c>
      <c r="K11057" t="s">
        <v>22</v>
      </c>
    </row>
    <row r="11058" spans="1:11" ht="42" customHeight="1">
      <c r="A11058" t="s">
        <v>21547</v>
      </c>
      <c r="B11058" t="s">
        <v>21548</v>
      </c>
      <c r="C11058" t="s">
        <v>50</v>
      </c>
      <c r="D11058" t="s">
        <v>51</v>
      </c>
      <c r="E11058" s="6">
        <v>-28191</v>
      </c>
      <c r="F11058" t="s">
        <v>710</v>
      </c>
      <c r="G11058" t="s">
        <v>5038</v>
      </c>
      <c r="H11058" t="s">
        <v>20</v>
      </c>
      <c r="I11058" t="s">
        <v>21549</v>
      </c>
      <c r="J11058" t="str">
        <f>HYPERLINK("https://www.boe.es/gazeta/dias/1822/10/24/pdfs/GMD-1822-311.pdf#page=8","Abrir facsímil")</f>
        <v>Abrir facsímil</v>
      </c>
      <c r="K11058" t="s">
        <v>22</v>
      </c>
    </row>
    <row r="11059" spans="1:11" ht="42" customHeight="1">
      <c r="A11059" t="s">
        <v>21550</v>
      </c>
      <c r="B11059" t="s">
        <v>21551</v>
      </c>
      <c r="C11059" t="s">
        <v>50</v>
      </c>
      <c r="D11059" t="s">
        <v>51</v>
      </c>
      <c r="E11059" s="6">
        <v>-28161</v>
      </c>
      <c r="F11059" t="s">
        <v>166</v>
      </c>
      <c r="G11059" t="s">
        <v>157</v>
      </c>
      <c r="H11059" t="s">
        <v>20</v>
      </c>
      <c r="I11059" t="s">
        <v>21552</v>
      </c>
      <c r="J11059" t="str">
        <f>HYPERLINK("https://www.boe.es/gazeta/dias/1822/11/23/pdfs/GMD-1822-343.pdf#page=8","Abrir facsímil")</f>
        <v>Abrir facsímil</v>
      </c>
      <c r="K11059" t="s">
        <v>22</v>
      </c>
    </row>
    <row r="11060" spans="1:11" ht="42" customHeight="1">
      <c r="A11060" t="s">
        <v>21553</v>
      </c>
      <c r="B11060" t="s">
        <v>21554</v>
      </c>
      <c r="C11060" t="s">
        <v>28</v>
      </c>
      <c r="D11060" t="s">
        <v>29</v>
      </c>
      <c r="E11060" s="6">
        <v>-28392</v>
      </c>
      <c r="F11060" t="s">
        <v>2003</v>
      </c>
      <c r="G11060" t="s">
        <v>57</v>
      </c>
      <c r="H11060" t="s">
        <v>20</v>
      </c>
      <c r="I11060" t="s">
        <v>21555</v>
      </c>
      <c r="J11060" t="str">
        <f>HYPERLINK("https://www.boe.es/gazeta/dias/1822/04/06/pdfs/GMD-1822-98.pdf#page=4","Abrir facsímil")</f>
        <v>Abrir facsímil</v>
      </c>
      <c r="K11060" t="s">
        <v>22</v>
      </c>
    </row>
    <row r="11061" spans="1:11" ht="42" customHeight="1">
      <c r="A11061" t="s">
        <v>21556</v>
      </c>
      <c r="B11061" t="s">
        <v>21557</v>
      </c>
      <c r="C11061" t="s">
        <v>50</v>
      </c>
      <c r="D11061" t="s">
        <v>51</v>
      </c>
      <c r="E11061" s="6">
        <v>-28139</v>
      </c>
      <c r="F11061" t="s">
        <v>143</v>
      </c>
      <c r="G11061" t="s">
        <v>144</v>
      </c>
      <c r="H11061" t="s">
        <v>20</v>
      </c>
      <c r="I11061" t="s">
        <v>21558</v>
      </c>
      <c r="J11061" t="str">
        <f>HYPERLINK("https://www.boe.es/gazeta/dias/1822/12/15/pdfs/GMD-1822-365.pdf#page=4","Abrir facsímil")</f>
        <v>Abrir facsímil</v>
      </c>
      <c r="K11061" t="s">
        <v>22</v>
      </c>
    </row>
    <row r="11062" spans="1:11" ht="42" customHeight="1">
      <c r="A11062" t="s">
        <v>21559</v>
      </c>
      <c r="B11062" t="s">
        <v>21560</v>
      </c>
      <c r="C11062" t="s">
        <v>28</v>
      </c>
      <c r="D11062" t="s">
        <v>29</v>
      </c>
      <c r="E11062" s="6">
        <v>-28430</v>
      </c>
      <c r="F11062" t="s">
        <v>3437</v>
      </c>
      <c r="G11062" t="s">
        <v>57</v>
      </c>
      <c r="H11062" t="s">
        <v>20</v>
      </c>
      <c r="I11062" t="s">
        <v>21561</v>
      </c>
      <c r="J11062" t="str">
        <f>HYPERLINK("https://www.boe.es/gazeta/dias/1822/02/27/pdfs/GMD-1822-59.pdf#page=4","Abrir facsímil")</f>
        <v>Abrir facsímil</v>
      </c>
      <c r="K11062" t="s">
        <v>22</v>
      </c>
    </row>
    <row r="11063" spans="1:11" ht="42" customHeight="1">
      <c r="A11063" t="s">
        <v>21562</v>
      </c>
      <c r="B11063" t="s">
        <v>21563</v>
      </c>
      <c r="C11063" t="s">
        <v>42</v>
      </c>
      <c r="D11063" t="s">
        <v>17</v>
      </c>
      <c r="E11063" s="6">
        <v>-28440</v>
      </c>
      <c r="F11063" t="s">
        <v>1307</v>
      </c>
      <c r="G11063" t="s">
        <v>35</v>
      </c>
      <c r="H11063" t="s">
        <v>20</v>
      </c>
      <c r="I11063" t="s">
        <v>21564</v>
      </c>
      <c r="J11063" t="str">
        <f>HYPERLINK("https://www.boe.es/gazeta/dias/1822/02/17/pdfs/GMD-1822-49.pdf#page=2","Abrir facsímil")</f>
        <v>Abrir facsímil</v>
      </c>
      <c r="K11063" t="s">
        <v>22</v>
      </c>
    </row>
    <row r="11064" spans="1:11" ht="42" customHeight="1">
      <c r="A11064" t="s">
        <v>21565</v>
      </c>
      <c r="B11064" t="s">
        <v>21566</v>
      </c>
      <c r="C11064" t="s">
        <v>42</v>
      </c>
      <c r="D11064" t="s">
        <v>17</v>
      </c>
      <c r="E11064" s="6">
        <v>-28208</v>
      </c>
      <c r="F11064" t="s">
        <v>230</v>
      </c>
      <c r="G11064" t="s">
        <v>57</v>
      </c>
      <c r="H11064" t="s">
        <v>20</v>
      </c>
      <c r="I11064" t="s">
        <v>21567</v>
      </c>
      <c r="J11064" t="str">
        <f>HYPERLINK("https://www.boe.es/gazeta/dias/1822/10/07/pdfs/GMD-1822-293.pdf#page=4","Abrir facsímil")</f>
        <v>Abrir facsímil</v>
      </c>
      <c r="K11064" t="s">
        <v>22</v>
      </c>
    </row>
    <row r="11065" spans="1:11" ht="42" customHeight="1">
      <c r="A11065" t="s">
        <v>21568</v>
      </c>
      <c r="B11065" t="s">
        <v>21569</v>
      </c>
      <c r="C11065" t="s">
        <v>16</v>
      </c>
      <c r="D11065" t="s">
        <v>17</v>
      </c>
      <c r="E11065" s="6">
        <v>-28450</v>
      </c>
      <c r="F11065" t="s">
        <v>1450</v>
      </c>
      <c r="G11065" t="s">
        <v>44</v>
      </c>
      <c r="H11065" t="s">
        <v>20</v>
      </c>
      <c r="I11065" t="s">
        <v>21570</v>
      </c>
      <c r="J11065" t="str">
        <f>HYPERLINK("https://www.boe.es/gazeta/dias/1822/02/07/pdfs/GMD-1822-38.pdf#page=1","Abrir facsímil")</f>
        <v>Abrir facsímil</v>
      </c>
      <c r="K11065" t="s">
        <v>22</v>
      </c>
    </row>
    <row r="11066" spans="1:11" ht="42" customHeight="1">
      <c r="A11066" t="s">
        <v>21571</v>
      </c>
      <c r="B11066" t="s">
        <v>21572</v>
      </c>
      <c r="C11066" t="s">
        <v>71</v>
      </c>
      <c r="D11066" t="s">
        <v>17</v>
      </c>
      <c r="E11066" s="6">
        <v>-28415</v>
      </c>
      <c r="F11066" t="s">
        <v>77</v>
      </c>
      <c r="G11066" t="s">
        <v>35</v>
      </c>
      <c r="H11066" t="s">
        <v>20</v>
      </c>
      <c r="I11066" t="s">
        <v>21573</v>
      </c>
      <c r="J11066" t="str">
        <f>HYPERLINK("https://www.boe.es/gazeta/dias/1822/03/14/pdfs/GMD-1822-75.pdf#page=2","Abrir facsímil")</f>
        <v>Abrir facsímil</v>
      </c>
      <c r="K11066" t="s">
        <v>22</v>
      </c>
    </row>
    <row r="11067" spans="1:11" ht="42" customHeight="1">
      <c r="A11067" t="s">
        <v>21574</v>
      </c>
      <c r="B11067" t="s">
        <v>21575</v>
      </c>
      <c r="C11067" t="s">
        <v>24</v>
      </c>
      <c r="D11067" t="s">
        <v>17</v>
      </c>
      <c r="E11067" s="6">
        <v>-28270</v>
      </c>
      <c r="F11067" t="s">
        <v>130</v>
      </c>
      <c r="G11067" t="s">
        <v>131</v>
      </c>
      <c r="H11067" t="s">
        <v>20</v>
      </c>
      <c r="I11067" t="s">
        <v>21576</v>
      </c>
      <c r="J11067" t="str">
        <f>HYPERLINK("https://www.boe.es/gazeta/dias/1822/08/06/pdfs/GMD-1822-230.pdf#page=6","Abrir facsímil")</f>
        <v>Abrir facsímil</v>
      </c>
      <c r="K11067" t="s">
        <v>22</v>
      </c>
    </row>
    <row r="11068" spans="1:11" ht="42" customHeight="1">
      <c r="A11068" t="s">
        <v>21577</v>
      </c>
      <c r="B11068" t="s">
        <v>21578</v>
      </c>
      <c r="C11068" t="s">
        <v>28</v>
      </c>
      <c r="D11068" t="s">
        <v>29</v>
      </c>
      <c r="E11068" s="6">
        <v>-28243</v>
      </c>
      <c r="F11068" t="s">
        <v>1829</v>
      </c>
      <c r="G11068" t="s">
        <v>57</v>
      </c>
      <c r="H11068" t="s">
        <v>20</v>
      </c>
      <c r="I11068" t="s">
        <v>21579</v>
      </c>
      <c r="J11068" t="str">
        <f>HYPERLINK("https://www.boe.es/gazeta/dias/1822/09/02/pdfs/GMD-1822-257.pdf#page=4","Abrir facsímil")</f>
        <v>Abrir facsímil</v>
      </c>
      <c r="K11068" t="s">
        <v>22</v>
      </c>
    </row>
    <row r="11069" spans="1:11" ht="42" customHeight="1">
      <c r="A11069" t="s">
        <v>21577</v>
      </c>
      <c r="B11069" t="s">
        <v>21578</v>
      </c>
      <c r="C11069" t="s">
        <v>50</v>
      </c>
      <c r="D11069" t="s">
        <v>51</v>
      </c>
      <c r="E11069" s="6">
        <v>-28240</v>
      </c>
      <c r="F11069" t="s">
        <v>678</v>
      </c>
      <c r="G11069" t="s">
        <v>57</v>
      </c>
      <c r="H11069" t="s">
        <v>20</v>
      </c>
      <c r="I11069" t="s">
        <v>21580</v>
      </c>
      <c r="J11069" t="str">
        <f>HYPERLINK("https://www.boe.es/gazeta/dias/1822/09/05/pdfs/GMD-1822-260.pdf#page=4","Abrir facsímil")</f>
        <v>Abrir facsímil</v>
      </c>
      <c r="K11069" t="s">
        <v>22</v>
      </c>
    </row>
    <row r="11070" spans="1:11" ht="42" customHeight="1">
      <c r="A11070" t="s">
        <v>21577</v>
      </c>
      <c r="B11070" t="s">
        <v>21578</v>
      </c>
      <c r="C11070" t="s">
        <v>42</v>
      </c>
      <c r="D11070" t="s">
        <v>17</v>
      </c>
      <c r="E11070" s="6">
        <v>-28217</v>
      </c>
      <c r="F11070" t="s">
        <v>1892</v>
      </c>
      <c r="G11070" t="s">
        <v>57</v>
      </c>
      <c r="H11070" t="s">
        <v>20</v>
      </c>
      <c r="I11070" t="s">
        <v>21581</v>
      </c>
      <c r="J11070" t="str">
        <f>HYPERLINK("https://www.boe.es/gazeta/dias/1822/09/28/pdfs/GMD-1822-284.pdf#page=4","Abrir facsímil")</f>
        <v>Abrir facsímil</v>
      </c>
      <c r="K11070" t="s">
        <v>22</v>
      </c>
    </row>
    <row r="11071" spans="1:11" ht="42" customHeight="1">
      <c r="A11071" t="s">
        <v>21577</v>
      </c>
      <c r="B11071" t="s">
        <v>21578</v>
      </c>
      <c r="C11071" t="s">
        <v>71</v>
      </c>
      <c r="D11071" t="s">
        <v>17</v>
      </c>
      <c r="E11071" s="6">
        <v>-28192</v>
      </c>
      <c r="F11071" t="s">
        <v>43</v>
      </c>
      <c r="G11071" t="s">
        <v>157</v>
      </c>
      <c r="H11071" t="s">
        <v>20</v>
      </c>
      <c r="I11071" t="s">
        <v>21582</v>
      </c>
      <c r="J11071" t="str">
        <f>HYPERLINK("https://www.boe.es/gazeta/dias/1822/10/23/pdfs/GMD-1822-310.pdf#page=8","Abrir facsímil")</f>
        <v>Abrir facsímil</v>
      </c>
      <c r="K11071" t="s">
        <v>22</v>
      </c>
    </row>
    <row r="11072" spans="1:11" ht="42" customHeight="1">
      <c r="A11072" t="s">
        <v>21583</v>
      </c>
      <c r="B11072" t="s">
        <v>21584</v>
      </c>
      <c r="C11072" t="s">
        <v>42</v>
      </c>
      <c r="D11072" t="s">
        <v>17</v>
      </c>
      <c r="E11072" s="6">
        <v>-28382</v>
      </c>
      <c r="F11072" t="s">
        <v>973</v>
      </c>
      <c r="G11072" t="s">
        <v>63</v>
      </c>
      <c r="H11072" t="s">
        <v>20</v>
      </c>
      <c r="I11072" t="s">
        <v>21585</v>
      </c>
      <c r="J11072" t="str">
        <f>HYPERLINK("https://www.boe.es/gazeta/dias/1822/04/16/pdfs/GMD-1822-108.pdf#page=6","Abrir facsímil")</f>
        <v>Abrir facsímil</v>
      </c>
      <c r="K11072" t="s">
        <v>22</v>
      </c>
    </row>
    <row r="11073" spans="1:11" ht="42" customHeight="1">
      <c r="A11073" t="s">
        <v>21586</v>
      </c>
      <c r="B11073" t="s">
        <v>21587</v>
      </c>
      <c r="C11073" t="s">
        <v>50</v>
      </c>
      <c r="D11073" t="s">
        <v>51</v>
      </c>
      <c r="E11073" s="6">
        <v>-28413</v>
      </c>
      <c r="F11073" t="s">
        <v>458</v>
      </c>
      <c r="G11073" t="s">
        <v>57</v>
      </c>
      <c r="H11073" t="s">
        <v>20</v>
      </c>
      <c r="I11073" t="s">
        <v>21588</v>
      </c>
      <c r="J11073" t="str">
        <f>HYPERLINK("https://www.boe.es/gazeta/dias/1822/03/16/pdfs/GMD-1822-77.pdf#page=4","Abrir facsímil")</f>
        <v>Abrir facsímil</v>
      </c>
      <c r="K11073" t="s">
        <v>22</v>
      </c>
    </row>
    <row r="11074" spans="1:11" ht="42" customHeight="1">
      <c r="A11074" t="s">
        <v>21589</v>
      </c>
      <c r="B11074" t="s">
        <v>21590</v>
      </c>
      <c r="C11074" t="s">
        <v>50</v>
      </c>
      <c r="D11074" t="s">
        <v>51</v>
      </c>
      <c r="E11074" s="6">
        <v>-28143</v>
      </c>
      <c r="F11074" t="s">
        <v>2967</v>
      </c>
      <c r="G11074" t="s">
        <v>57</v>
      </c>
      <c r="H11074" t="s">
        <v>20</v>
      </c>
      <c r="I11074" t="s">
        <v>21591</v>
      </c>
      <c r="J11074" t="str">
        <f>HYPERLINK("https://www.boe.es/gazeta/dias/1822/12/11/pdfs/GMD-1822-361.pdf#page=4","Abrir facsímil")</f>
        <v>Abrir facsímil</v>
      </c>
      <c r="K11074" t="s">
        <v>22</v>
      </c>
    </row>
    <row r="11075" spans="1:11" ht="42" customHeight="1">
      <c r="A11075" t="s">
        <v>21592</v>
      </c>
      <c r="B11075" t="s">
        <v>21593</v>
      </c>
      <c r="C11075" t="s">
        <v>42</v>
      </c>
      <c r="D11075" t="s">
        <v>17</v>
      </c>
      <c r="E11075" s="6">
        <v>-28311</v>
      </c>
      <c r="F11075" t="s">
        <v>736</v>
      </c>
      <c r="G11075" t="s">
        <v>157</v>
      </c>
      <c r="H11075" t="s">
        <v>20</v>
      </c>
      <c r="I11075" t="s">
        <v>21594</v>
      </c>
      <c r="J11075" t="str">
        <f>HYPERLINK("https://www.boe.es/gazeta/dias/1822/06/26/pdfs/GMD-1822-184.pdf#page=8","Abrir facsímil")</f>
        <v>Abrir facsímil</v>
      </c>
      <c r="K11075" t="s">
        <v>22</v>
      </c>
    </row>
    <row r="11076" spans="1:11" ht="42" customHeight="1">
      <c r="A11076" t="s">
        <v>21595</v>
      </c>
      <c r="B11076" t="s">
        <v>21596</v>
      </c>
      <c r="C11076" t="s">
        <v>28</v>
      </c>
      <c r="D11076" t="s">
        <v>29</v>
      </c>
      <c r="E11076" s="6">
        <v>-28354</v>
      </c>
      <c r="F11076" t="s">
        <v>226</v>
      </c>
      <c r="G11076" t="s">
        <v>35</v>
      </c>
      <c r="H11076" t="s">
        <v>20</v>
      </c>
      <c r="I11076" t="s">
        <v>21597</v>
      </c>
      <c r="J11076" t="str">
        <f>HYPERLINK("https://www.boe.es/gazeta/dias/1822/05/14/pdfs/GMD-1822-136.pdf#page=2","Abrir facsímil")</f>
        <v>Abrir facsímil</v>
      </c>
      <c r="K11076" t="s">
        <v>22</v>
      </c>
    </row>
    <row r="11077" spans="1:11" ht="42" customHeight="1">
      <c r="A11077" t="s">
        <v>21598</v>
      </c>
      <c r="B11077" t="s">
        <v>21599</v>
      </c>
      <c r="C11077" t="s">
        <v>50</v>
      </c>
      <c r="D11077" t="s">
        <v>51</v>
      </c>
      <c r="E11077" s="6">
        <v>-28211</v>
      </c>
      <c r="F11077" t="s">
        <v>273</v>
      </c>
      <c r="G11077" t="s">
        <v>31</v>
      </c>
      <c r="H11077" t="s">
        <v>20</v>
      </c>
      <c r="I11077" t="s">
        <v>21600</v>
      </c>
      <c r="J11077" t="str">
        <f>HYPERLINK("https://www.boe.es/gazeta/dias/1822/10/04/pdfs/GMD-1822-290.pdf#page=3","Abrir facsímil")</f>
        <v>Abrir facsímil</v>
      </c>
      <c r="K11077" t="s">
        <v>22</v>
      </c>
    </row>
    <row r="11078" spans="1:11" ht="42" customHeight="1">
      <c r="A11078" t="s">
        <v>21601</v>
      </c>
      <c r="B11078" t="s">
        <v>21602</v>
      </c>
      <c r="C11078" t="s">
        <v>50</v>
      </c>
      <c r="D11078" t="s">
        <v>51</v>
      </c>
      <c r="E11078" s="6">
        <v>-28465</v>
      </c>
      <c r="F11078" t="s">
        <v>1114</v>
      </c>
      <c r="G11078" t="s">
        <v>44</v>
      </c>
      <c r="H11078" t="s">
        <v>20</v>
      </c>
      <c r="I11078" t="s">
        <v>21603</v>
      </c>
      <c r="J11078" t="str">
        <f>HYPERLINK("https://www.boe.es/gazeta/dias/1822/01/23/pdfs/GMD-1822-23.pdf#page=1","Abrir facsímil")</f>
        <v>Abrir facsímil</v>
      </c>
      <c r="K11078" t="s">
        <v>22</v>
      </c>
    </row>
    <row r="11079" spans="1:11" ht="42" customHeight="1">
      <c r="A11079" t="s">
        <v>21601</v>
      </c>
      <c r="B11079" t="s">
        <v>21602</v>
      </c>
      <c r="C11079" t="s">
        <v>42</v>
      </c>
      <c r="D11079" t="s">
        <v>17</v>
      </c>
      <c r="E11079" s="6">
        <v>-28450</v>
      </c>
      <c r="F11079" t="s">
        <v>1450</v>
      </c>
      <c r="G11079" t="s">
        <v>2247</v>
      </c>
      <c r="H11079" t="s">
        <v>20</v>
      </c>
      <c r="I11079" t="s">
        <v>21604</v>
      </c>
      <c r="J11079" t="str">
        <f>HYPERLINK("https://www.boe.es/gazeta/dias/1822/02/07/pdfs/GMD-1822-38.pdf#page=6","Abrir facsímil")</f>
        <v>Abrir facsímil</v>
      </c>
      <c r="K11079" t="s">
        <v>22</v>
      </c>
    </row>
    <row r="11080" spans="1:11" ht="42" customHeight="1">
      <c r="A11080" t="s">
        <v>21601</v>
      </c>
      <c r="B11080" t="s">
        <v>21602</v>
      </c>
      <c r="C11080" t="s">
        <v>28</v>
      </c>
      <c r="D11080" t="s">
        <v>29</v>
      </c>
      <c r="E11080" s="6">
        <v>-28354</v>
      </c>
      <c r="F11080" t="s">
        <v>226</v>
      </c>
      <c r="G11080" t="s">
        <v>35</v>
      </c>
      <c r="H11080" t="s">
        <v>20</v>
      </c>
      <c r="I11080" t="s">
        <v>21605</v>
      </c>
      <c r="J11080" t="str">
        <f>HYPERLINK("https://www.boe.es/gazeta/dias/1822/05/14/pdfs/GMD-1822-136.pdf#page=2","Abrir facsímil")</f>
        <v>Abrir facsímil</v>
      </c>
      <c r="K11080" t="s">
        <v>22</v>
      </c>
    </row>
    <row r="11081" spans="1:11" ht="42" customHeight="1">
      <c r="A11081" t="s">
        <v>21606</v>
      </c>
      <c r="B11081" t="s">
        <v>21607</v>
      </c>
      <c r="C11081" t="s">
        <v>50</v>
      </c>
      <c r="D11081" t="s">
        <v>51</v>
      </c>
      <c r="E11081" s="6">
        <v>-28178</v>
      </c>
      <c r="F11081" t="s">
        <v>318</v>
      </c>
      <c r="G11081" t="s">
        <v>63</v>
      </c>
      <c r="H11081" t="s">
        <v>20</v>
      </c>
      <c r="I11081" t="s">
        <v>21608</v>
      </c>
      <c r="J11081" t="str">
        <f>HYPERLINK("https://www.boe.es/gazeta/dias/1822/11/06/pdfs/GMD-1822-326.pdf#page=6","Abrir facsímil")</f>
        <v>Abrir facsímil</v>
      </c>
      <c r="K11081" t="s">
        <v>22</v>
      </c>
    </row>
    <row r="11082" spans="1:11" ht="42" customHeight="1">
      <c r="A11082" t="s">
        <v>21601</v>
      </c>
      <c r="B11082" t="s">
        <v>21602</v>
      </c>
      <c r="C11082" t="s">
        <v>42</v>
      </c>
      <c r="D11082" t="s">
        <v>17</v>
      </c>
      <c r="E11082" s="6">
        <v>-28139</v>
      </c>
      <c r="F11082" t="s">
        <v>143</v>
      </c>
      <c r="G11082" t="s">
        <v>144</v>
      </c>
      <c r="H11082" t="s">
        <v>20</v>
      </c>
      <c r="I11082" t="s">
        <v>21609</v>
      </c>
      <c r="J11082" t="str">
        <f>HYPERLINK("https://www.boe.es/gazeta/dias/1822/12/15/pdfs/GMD-1822-365.pdf#page=4","Abrir facsímil")</f>
        <v>Abrir facsímil</v>
      </c>
      <c r="K11082" t="s">
        <v>22</v>
      </c>
    </row>
    <row r="11083" spans="1:11" ht="42" customHeight="1">
      <c r="A11083" t="s">
        <v>21610</v>
      </c>
      <c r="B11083" t="s">
        <v>21611</v>
      </c>
      <c r="C11083" t="s">
        <v>50</v>
      </c>
      <c r="D11083" t="s">
        <v>51</v>
      </c>
      <c r="E11083" s="6">
        <v>-28292</v>
      </c>
      <c r="F11083" t="s">
        <v>222</v>
      </c>
      <c r="G11083" t="s">
        <v>31</v>
      </c>
      <c r="H11083" t="s">
        <v>20</v>
      </c>
      <c r="I11083" t="s">
        <v>21612</v>
      </c>
      <c r="J11083" t="str">
        <f>HYPERLINK("https://www.boe.es/gazeta/dias/1822/07/15/pdfs/GMD-1822-205.pdf#page=3","Abrir facsímil")</f>
        <v>Abrir facsímil</v>
      </c>
      <c r="K11083" t="s">
        <v>22</v>
      </c>
    </row>
    <row r="11084" spans="1:11" ht="42" customHeight="1">
      <c r="A11084" t="s">
        <v>21613</v>
      </c>
      <c r="B11084" t="s">
        <v>21614</v>
      </c>
      <c r="C11084" t="s">
        <v>50</v>
      </c>
      <c r="D11084" t="s">
        <v>51</v>
      </c>
      <c r="E11084" s="6">
        <v>-28436</v>
      </c>
      <c r="F11084" t="s">
        <v>431</v>
      </c>
      <c r="G11084" t="s">
        <v>44</v>
      </c>
      <c r="H11084" t="s">
        <v>20</v>
      </c>
      <c r="I11084" t="s">
        <v>21615</v>
      </c>
      <c r="J11084" t="str">
        <f>HYPERLINK("https://www.boe.es/gazeta/dias/1822/02/21/pdfs/GMD-1822-53.pdf#page=1","Abrir facsímil")</f>
        <v>Abrir facsímil</v>
      </c>
      <c r="K11084" t="s">
        <v>22</v>
      </c>
    </row>
    <row r="11085" spans="1:11" ht="42" customHeight="1">
      <c r="A11085" t="s">
        <v>21616</v>
      </c>
      <c r="B11085" t="s">
        <v>21617</v>
      </c>
      <c r="C11085" t="s">
        <v>24</v>
      </c>
      <c r="D11085" t="s">
        <v>17</v>
      </c>
      <c r="E11085" s="6">
        <v>-28336</v>
      </c>
      <c r="F11085" t="s">
        <v>156</v>
      </c>
      <c r="G11085" t="s">
        <v>157</v>
      </c>
      <c r="H11085" t="s">
        <v>20</v>
      </c>
      <c r="I11085" t="s">
        <v>21618</v>
      </c>
      <c r="J11085" t="str">
        <f>HYPERLINK("https://www.boe.es/gazeta/dias/1822/06/01/pdfs/GMD-1822-157.pdf#page=8","Abrir facsímil")</f>
        <v>Abrir facsímil</v>
      </c>
      <c r="K11085" t="s">
        <v>22</v>
      </c>
    </row>
    <row r="11086" spans="1:11" ht="42" customHeight="1">
      <c r="A11086" t="s">
        <v>21619</v>
      </c>
      <c r="B11086" t="s">
        <v>21619</v>
      </c>
      <c r="C11086" t="s">
        <v>50</v>
      </c>
      <c r="D11086" t="s">
        <v>51</v>
      </c>
      <c r="E11086" s="6">
        <v>-28381</v>
      </c>
      <c r="F11086" t="s">
        <v>358</v>
      </c>
      <c r="G11086" t="s">
        <v>57</v>
      </c>
      <c r="H11086" t="s">
        <v>20</v>
      </c>
      <c r="I11086" t="s">
        <v>21620</v>
      </c>
      <c r="J11086" t="str">
        <f>HYPERLINK("https://www.boe.es/gazeta/dias/1822/04/17/pdfs/GMD-1822-109.pdf#page=4","Abrir facsímil")</f>
        <v>Abrir facsímil</v>
      </c>
      <c r="K11086" t="s">
        <v>22</v>
      </c>
    </row>
    <row r="11087" spans="1:11" ht="42" customHeight="1">
      <c r="A11087" t="s">
        <v>21621</v>
      </c>
      <c r="B11087" t="s">
        <v>21621</v>
      </c>
      <c r="C11087" t="s">
        <v>50</v>
      </c>
      <c r="D11087" t="s">
        <v>51</v>
      </c>
      <c r="E11087" s="6">
        <v>-28245</v>
      </c>
      <c r="F11087" t="s">
        <v>2307</v>
      </c>
      <c r="G11087" t="s">
        <v>35</v>
      </c>
      <c r="H11087" t="s">
        <v>20</v>
      </c>
      <c r="I11087" t="s">
        <v>21622</v>
      </c>
      <c r="J11087" t="str">
        <f>HYPERLINK("https://www.boe.es/gazeta/dias/1822/08/31/pdfs/GMD-1822-255.pdf#page=2","Abrir facsímil")</f>
        <v>Abrir facsímil</v>
      </c>
      <c r="K11087" t="s">
        <v>22</v>
      </c>
    </row>
    <row r="11088" spans="1:11" ht="42" customHeight="1">
      <c r="A11088" t="s">
        <v>21623</v>
      </c>
      <c r="B11088" t="s">
        <v>21624</v>
      </c>
      <c r="C11088" t="s">
        <v>71</v>
      </c>
      <c r="D11088" t="s">
        <v>17</v>
      </c>
      <c r="E11088" s="6">
        <v>-28408</v>
      </c>
      <c r="F11088" t="s">
        <v>2561</v>
      </c>
      <c r="G11088" t="s">
        <v>63</v>
      </c>
      <c r="H11088" t="s">
        <v>20</v>
      </c>
      <c r="I11088" t="s">
        <v>21625</v>
      </c>
      <c r="J11088" t="str">
        <f>HYPERLINK("https://www.boe.es/gazeta/dias/1822/03/21/pdfs/GMD-1822-82.pdf#page=6","Abrir facsímil")</f>
        <v>Abrir facsímil</v>
      </c>
      <c r="K11088" t="s">
        <v>22</v>
      </c>
    </row>
    <row r="11089" spans="1:11" ht="42" customHeight="1">
      <c r="A11089" t="s">
        <v>21626</v>
      </c>
      <c r="B11089" t="s">
        <v>21627</v>
      </c>
      <c r="C11089" t="s">
        <v>42</v>
      </c>
      <c r="D11089" t="s">
        <v>17</v>
      </c>
      <c r="E11089" s="6">
        <v>-28288</v>
      </c>
      <c r="F11089" t="s">
        <v>970</v>
      </c>
      <c r="G11089" t="s">
        <v>35</v>
      </c>
      <c r="H11089" t="s">
        <v>20</v>
      </c>
      <c r="I11089" t="s">
        <v>21628</v>
      </c>
      <c r="J11089" t="str">
        <f>HYPERLINK("https://www.boe.es/gazeta/dias/1822/07/19/pdfs/GMD-1822-211.pdf#page=2","Abrir facsímil")</f>
        <v>Abrir facsímil</v>
      </c>
      <c r="K11089" t="s">
        <v>22</v>
      </c>
    </row>
    <row r="11090" spans="1:11" ht="42" customHeight="1">
      <c r="A11090" t="s">
        <v>21629</v>
      </c>
      <c r="B11090" t="s">
        <v>21630</v>
      </c>
      <c r="C11090" t="s">
        <v>42</v>
      </c>
      <c r="D11090" t="s">
        <v>17</v>
      </c>
      <c r="E11090" s="6">
        <v>-28288</v>
      </c>
      <c r="F11090" t="s">
        <v>970</v>
      </c>
      <c r="G11090" t="s">
        <v>35</v>
      </c>
      <c r="H11090" t="s">
        <v>20</v>
      </c>
      <c r="I11090" t="s">
        <v>21631</v>
      </c>
      <c r="J11090" t="str">
        <f>HYPERLINK("https://www.boe.es/gazeta/dias/1822/07/19/pdfs/GMD-1822-211.pdf#page=2","Abrir facsímil")</f>
        <v>Abrir facsímil</v>
      </c>
      <c r="K11090" t="s">
        <v>22</v>
      </c>
    </row>
    <row r="11091" spans="1:11" ht="42" customHeight="1">
      <c r="A11091" t="s">
        <v>21632</v>
      </c>
      <c r="B11091" t="s">
        <v>21632</v>
      </c>
      <c r="C11091" t="s">
        <v>71</v>
      </c>
      <c r="D11091" t="s">
        <v>17</v>
      </c>
      <c r="E11091" s="6">
        <v>-28453</v>
      </c>
      <c r="F11091" t="s">
        <v>2039</v>
      </c>
      <c r="G11091" t="s">
        <v>31</v>
      </c>
      <c r="H11091" t="s">
        <v>20</v>
      </c>
      <c r="I11091" t="s">
        <v>21633</v>
      </c>
      <c r="J11091" t="str">
        <f>HYPERLINK("https://www.boe.es/gazeta/dias/1822/02/04/pdfs/GMD-1822-35.pdf#page=3","Abrir facsímil")</f>
        <v>Abrir facsímil</v>
      </c>
      <c r="K11091" t="s">
        <v>22</v>
      </c>
    </row>
    <row r="11092" spans="1:11" ht="42" customHeight="1">
      <c r="A11092" t="s">
        <v>21634</v>
      </c>
      <c r="B11092" t="s">
        <v>21635</v>
      </c>
      <c r="C11092" t="s">
        <v>28</v>
      </c>
      <c r="D11092" t="s">
        <v>29</v>
      </c>
      <c r="E11092" s="6">
        <v>-28478</v>
      </c>
      <c r="F11092" t="s">
        <v>1093</v>
      </c>
      <c r="G11092" t="s">
        <v>44</v>
      </c>
      <c r="H11092" t="s">
        <v>20</v>
      </c>
      <c r="I11092" t="s">
        <v>21636</v>
      </c>
      <c r="J11092" t="str">
        <f>HYPERLINK("https://www.boe.es/gazeta/dias/1822/01/10/pdfs/GMD-1822-10.pdf#page=1","Abrir facsímil")</f>
        <v>Abrir facsímil</v>
      </c>
      <c r="K11092" t="s">
        <v>22</v>
      </c>
    </row>
    <row r="11093" spans="1:11" ht="42" customHeight="1">
      <c r="A11093" t="s">
        <v>21637</v>
      </c>
      <c r="B11093" t="s">
        <v>21637</v>
      </c>
      <c r="C11093" t="s">
        <v>42</v>
      </c>
      <c r="D11093" t="s">
        <v>17</v>
      </c>
      <c r="E11093" s="6">
        <v>-28378</v>
      </c>
      <c r="F11093" t="s">
        <v>496</v>
      </c>
      <c r="G11093" t="s">
        <v>57</v>
      </c>
      <c r="H11093" t="s">
        <v>20</v>
      </c>
      <c r="I11093" t="s">
        <v>21638</v>
      </c>
      <c r="J11093" t="str">
        <f>HYPERLINK("https://www.boe.es/gazeta/dias/1822/04/20/pdfs/GMD-1822-112.pdf#page=4","Abrir facsímil")</f>
        <v>Abrir facsímil</v>
      </c>
      <c r="K11093" t="s">
        <v>22</v>
      </c>
    </row>
    <row r="11094" spans="1:11" ht="42" customHeight="1">
      <c r="A11094" t="s">
        <v>21639</v>
      </c>
      <c r="B11094" t="s">
        <v>21639</v>
      </c>
      <c r="C11094" t="s">
        <v>71</v>
      </c>
      <c r="D11094" t="s">
        <v>17</v>
      </c>
      <c r="E11094" s="6">
        <v>-28465</v>
      </c>
      <c r="F11094" t="s">
        <v>1114</v>
      </c>
      <c r="G11094" t="s">
        <v>31</v>
      </c>
      <c r="H11094" t="s">
        <v>20</v>
      </c>
      <c r="I11094" t="s">
        <v>21640</v>
      </c>
      <c r="J11094" t="str">
        <f>HYPERLINK("https://www.boe.es/gazeta/dias/1822/01/23/pdfs/GMD-1822-23.pdf#page=3","Abrir facsímil")</f>
        <v>Abrir facsímil</v>
      </c>
      <c r="K11094" t="s">
        <v>22</v>
      </c>
    </row>
    <row r="11095" spans="1:11" ht="42" customHeight="1">
      <c r="A11095" t="s">
        <v>21641</v>
      </c>
      <c r="B11095" t="s">
        <v>21642</v>
      </c>
      <c r="C11095" t="s">
        <v>50</v>
      </c>
      <c r="D11095" t="s">
        <v>51</v>
      </c>
      <c r="E11095" s="6">
        <v>-28279</v>
      </c>
      <c r="F11095" t="s">
        <v>662</v>
      </c>
      <c r="G11095" t="s">
        <v>35</v>
      </c>
      <c r="H11095" t="s">
        <v>20</v>
      </c>
      <c r="I11095" t="s">
        <v>21643</v>
      </c>
      <c r="J11095" t="str">
        <f>HYPERLINK("https://www.boe.es/gazeta/dias/1822/07/28/pdfs/GMD-1822-221.pdf#page=2","Abrir facsímil")</f>
        <v>Abrir facsímil</v>
      </c>
      <c r="K11095" t="s">
        <v>22</v>
      </c>
    </row>
    <row r="11096" spans="1:11" ht="42" customHeight="1">
      <c r="A11096" t="s">
        <v>21644</v>
      </c>
      <c r="B11096" t="s">
        <v>21644</v>
      </c>
      <c r="C11096" t="s">
        <v>42</v>
      </c>
      <c r="D11096" t="s">
        <v>17</v>
      </c>
      <c r="E11096" s="6">
        <v>-28342</v>
      </c>
      <c r="F11096" t="s">
        <v>2281</v>
      </c>
      <c r="G11096" t="s">
        <v>19</v>
      </c>
      <c r="H11096" t="s">
        <v>20</v>
      </c>
      <c r="I11096" t="s">
        <v>21645</v>
      </c>
      <c r="J11096" t="str">
        <f>HYPERLINK("https://www.boe.es/gazeta/dias/1822/05/26/pdfs/GMD-1822-151.pdf#page=5","Abrir facsímil")</f>
        <v>Abrir facsímil</v>
      </c>
      <c r="K11096" t="s">
        <v>22</v>
      </c>
    </row>
    <row r="11097" spans="1:11" ht="42" customHeight="1">
      <c r="A11097" t="s">
        <v>21646</v>
      </c>
      <c r="B11097" t="s">
        <v>21647</v>
      </c>
      <c r="C11097" t="s">
        <v>50</v>
      </c>
      <c r="D11097" t="s">
        <v>51</v>
      </c>
      <c r="E11097" s="6">
        <v>-28264</v>
      </c>
      <c r="F11097" t="s">
        <v>1329</v>
      </c>
      <c r="G11097" t="s">
        <v>57</v>
      </c>
      <c r="H11097" t="s">
        <v>20</v>
      </c>
      <c r="I11097" t="s">
        <v>21648</v>
      </c>
      <c r="J11097" t="str">
        <f>HYPERLINK("https://www.boe.es/gazeta/dias/1822/08/12/pdfs/GMD-1822-236.pdf#page=4","Abrir facsímil")</f>
        <v>Abrir facsímil</v>
      </c>
      <c r="K11097" t="s">
        <v>22</v>
      </c>
    </row>
    <row r="11098" spans="1:11" ht="42" customHeight="1">
      <c r="A11098" t="s">
        <v>21649</v>
      </c>
      <c r="B11098" t="s">
        <v>21650</v>
      </c>
      <c r="C11098" t="s">
        <v>50</v>
      </c>
      <c r="D11098" t="s">
        <v>51</v>
      </c>
      <c r="E11098" s="6">
        <v>-28290</v>
      </c>
      <c r="F11098" t="s">
        <v>706</v>
      </c>
      <c r="G11098" t="s">
        <v>31</v>
      </c>
      <c r="H11098" t="s">
        <v>20</v>
      </c>
      <c r="I11098" t="s">
        <v>21651</v>
      </c>
      <c r="J11098" t="str">
        <f>HYPERLINK("https://www.boe.es/gazeta/dias/1822/07/17/pdfs/GMD-1822-207.pdf#page=3","Abrir facsímil")</f>
        <v>Abrir facsímil</v>
      </c>
      <c r="K11098" t="s">
        <v>22</v>
      </c>
    </row>
    <row r="11099" spans="1:11" ht="42" customHeight="1">
      <c r="A11099" t="s">
        <v>21652</v>
      </c>
      <c r="B11099" t="s">
        <v>21653</v>
      </c>
      <c r="C11099" t="s">
        <v>42</v>
      </c>
      <c r="D11099" t="s">
        <v>17</v>
      </c>
      <c r="E11099" s="6">
        <v>-28145</v>
      </c>
      <c r="F11099" t="s">
        <v>1350</v>
      </c>
      <c r="G11099" t="s">
        <v>63</v>
      </c>
      <c r="H11099" t="s">
        <v>45</v>
      </c>
      <c r="I11099" t="s">
        <v>21654</v>
      </c>
      <c r="J11099" t="str">
        <f>HYPERLINK("https://www.boe.es/gazeta/dias/1822/12/09/pdfs/GMD-1822-359.pdf#page=6","Abrir facsímil")</f>
        <v>Abrir facsímil</v>
      </c>
      <c r="K11099" t="s">
        <v>47</v>
      </c>
    </row>
    <row r="11100" spans="1:11" ht="42" customHeight="1">
      <c r="A11100" t="s">
        <v>21655</v>
      </c>
      <c r="B11100" t="s">
        <v>21656</v>
      </c>
      <c r="C11100" t="s">
        <v>42</v>
      </c>
      <c r="D11100" t="s">
        <v>17</v>
      </c>
      <c r="E11100" s="6">
        <v>-28361</v>
      </c>
      <c r="F11100" t="s">
        <v>374</v>
      </c>
      <c r="G11100" t="s">
        <v>63</v>
      </c>
      <c r="H11100" t="s">
        <v>20</v>
      </c>
      <c r="I11100" t="s">
        <v>21657</v>
      </c>
      <c r="J11100" t="str">
        <f>HYPERLINK("https://www.boe.es/gazeta/dias/1822/05/07/pdfs/GMD-1822-129.pdf#page=6","Abrir facsímil")</f>
        <v>Abrir facsímil</v>
      </c>
      <c r="K11100" t="s">
        <v>22</v>
      </c>
    </row>
    <row r="11101" spans="1:11" ht="42" customHeight="1">
      <c r="A11101" t="s">
        <v>21658</v>
      </c>
      <c r="B11101" t="s">
        <v>21658</v>
      </c>
      <c r="C11101" t="s">
        <v>50</v>
      </c>
      <c r="D11101" t="s">
        <v>51</v>
      </c>
      <c r="E11101" s="6">
        <v>-28189</v>
      </c>
      <c r="F11101" t="s">
        <v>645</v>
      </c>
      <c r="G11101" t="s">
        <v>57</v>
      </c>
      <c r="H11101" t="s">
        <v>20</v>
      </c>
      <c r="I11101" t="s">
        <v>21659</v>
      </c>
      <c r="J11101" t="str">
        <f>HYPERLINK("https://www.boe.es/gazeta/dias/1822/10/26/pdfs/GMD-1822-313.pdf#page=4","Abrir facsímil")</f>
        <v>Abrir facsímil</v>
      </c>
      <c r="K11101" t="s">
        <v>22</v>
      </c>
    </row>
    <row r="11102" spans="1:11" ht="42" customHeight="1">
      <c r="A11102" t="s">
        <v>21658</v>
      </c>
      <c r="B11102" t="s">
        <v>21658</v>
      </c>
      <c r="C11102" t="s">
        <v>50</v>
      </c>
      <c r="D11102" t="s">
        <v>51</v>
      </c>
      <c r="E11102" s="6">
        <v>-28160</v>
      </c>
      <c r="F11102" t="s">
        <v>148</v>
      </c>
      <c r="G11102" t="s">
        <v>57</v>
      </c>
      <c r="H11102" t="s">
        <v>20</v>
      </c>
      <c r="I11102" t="s">
        <v>21660</v>
      </c>
      <c r="J11102" t="str">
        <f>HYPERLINK("https://www.boe.es/gazeta/dias/1822/11/24/pdfs/GMD-1822-344.pdf#page=4","Abrir facsímil")</f>
        <v>Abrir facsímil</v>
      </c>
      <c r="K11102" t="s">
        <v>22</v>
      </c>
    </row>
    <row r="11103" spans="1:11" ht="42" customHeight="1">
      <c r="A11103" t="s">
        <v>21661</v>
      </c>
      <c r="B11103" t="s">
        <v>21662</v>
      </c>
      <c r="C11103" t="s">
        <v>50</v>
      </c>
      <c r="D11103" t="s">
        <v>51</v>
      </c>
      <c r="E11103" s="6">
        <v>-28321</v>
      </c>
      <c r="F11103" t="s">
        <v>1142</v>
      </c>
      <c r="G11103" t="s">
        <v>63</v>
      </c>
      <c r="H11103" t="s">
        <v>20</v>
      </c>
      <c r="I11103" t="s">
        <v>21663</v>
      </c>
      <c r="J11103" t="str">
        <f>HYPERLINK("https://www.boe.es/gazeta/dias/1822/06/16/pdfs/GMD-1822-173.pdf#page=6","Abrir facsímil")</f>
        <v>Abrir facsímil</v>
      </c>
      <c r="K11103" t="s">
        <v>22</v>
      </c>
    </row>
    <row r="11104" spans="1:11" ht="42" customHeight="1">
      <c r="A11104" t="s">
        <v>21664</v>
      </c>
      <c r="B11104" t="s">
        <v>21665</v>
      </c>
      <c r="C11104" t="s">
        <v>24</v>
      </c>
      <c r="D11104" t="s">
        <v>17</v>
      </c>
      <c r="E11104" s="6">
        <v>-28271</v>
      </c>
      <c r="F11104" t="s">
        <v>4942</v>
      </c>
      <c r="G11104" t="s">
        <v>57</v>
      </c>
      <c r="H11104" t="s">
        <v>20</v>
      </c>
      <c r="I11104" t="s">
        <v>21666</v>
      </c>
      <c r="J11104" t="str">
        <f>HYPERLINK("https://www.boe.es/gazeta/dias/1822/08/05/pdfs/GMD-1822-229.pdf#page=4","Abrir facsímil")</f>
        <v>Abrir facsímil</v>
      </c>
      <c r="K11104" t="s">
        <v>22</v>
      </c>
    </row>
    <row r="11105" spans="1:11" ht="42" customHeight="1">
      <c r="A11105" t="s">
        <v>21667</v>
      </c>
      <c r="B11105" t="s">
        <v>21667</v>
      </c>
      <c r="C11105" t="s">
        <v>71</v>
      </c>
      <c r="D11105" t="s">
        <v>17</v>
      </c>
      <c r="E11105" s="6">
        <v>-28156</v>
      </c>
      <c r="F11105" t="s">
        <v>1568</v>
      </c>
      <c r="G11105" t="s">
        <v>31</v>
      </c>
      <c r="H11105" t="s">
        <v>20</v>
      </c>
      <c r="I11105" t="s">
        <v>21668</v>
      </c>
      <c r="J11105" t="str">
        <f>HYPERLINK("https://www.boe.es/gazeta/dias/1822/11/28/pdfs/GMD-1822-348.pdf#page=3","Abrir facsímil")</f>
        <v>Abrir facsímil</v>
      </c>
      <c r="K11105" t="s">
        <v>22</v>
      </c>
    </row>
    <row r="11106" spans="1:11" ht="42" customHeight="1">
      <c r="A11106" t="s">
        <v>21669</v>
      </c>
      <c r="B11106" t="s">
        <v>21670</v>
      </c>
      <c r="C11106" t="s">
        <v>28</v>
      </c>
      <c r="D11106" t="s">
        <v>29</v>
      </c>
      <c r="E11106" s="6">
        <v>-28402</v>
      </c>
      <c r="F11106" t="s">
        <v>473</v>
      </c>
      <c r="G11106" t="s">
        <v>57</v>
      </c>
      <c r="H11106" t="s">
        <v>20</v>
      </c>
      <c r="I11106" t="s">
        <v>21671</v>
      </c>
      <c r="J11106" t="str">
        <f>HYPERLINK("https://www.boe.es/gazeta/dias/1822/03/27/pdfs/GMD-1822-88.pdf#page=4","Abrir facsímil")</f>
        <v>Abrir facsímil</v>
      </c>
      <c r="K11106" t="s">
        <v>22</v>
      </c>
    </row>
    <row r="11107" spans="1:11" ht="42" customHeight="1">
      <c r="A11107" t="s">
        <v>21672</v>
      </c>
      <c r="B11107" t="s">
        <v>21672</v>
      </c>
      <c r="C11107" t="s">
        <v>50</v>
      </c>
      <c r="D11107" t="s">
        <v>51</v>
      </c>
      <c r="E11107" s="6">
        <v>-28150</v>
      </c>
      <c r="F11107" t="s">
        <v>62</v>
      </c>
      <c r="G11107" t="s">
        <v>13795</v>
      </c>
      <c r="H11107" t="s">
        <v>20</v>
      </c>
      <c r="I11107" t="s">
        <v>21673</v>
      </c>
      <c r="J11107" t="str">
        <f>HYPERLINK("https://www.boe.es/gazeta/dias/1822/12/04/pdfs/GMD-1822-354.pdf#page=2","Abrir facsímil")</f>
        <v>Abrir facsímil</v>
      </c>
      <c r="K11107" t="s">
        <v>22</v>
      </c>
    </row>
    <row r="11108" spans="1:11" ht="42" customHeight="1">
      <c r="A11108" t="s">
        <v>21672</v>
      </c>
      <c r="B11108" t="s">
        <v>21672</v>
      </c>
      <c r="C11108" t="s">
        <v>71</v>
      </c>
      <c r="D11108" t="s">
        <v>17</v>
      </c>
      <c r="E11108" s="6">
        <v>-28150</v>
      </c>
      <c r="F11108" t="s">
        <v>62</v>
      </c>
      <c r="G11108" t="s">
        <v>57</v>
      </c>
      <c r="H11108" t="s">
        <v>20</v>
      </c>
      <c r="I11108" t="s">
        <v>21674</v>
      </c>
      <c r="J11108" t="str">
        <f>HYPERLINK("https://www.boe.es/gazeta/dias/1822/12/04/pdfs/GMD-1822-354.pdf#page=4","Abrir facsímil")</f>
        <v>Abrir facsímil</v>
      </c>
      <c r="K11108" t="s">
        <v>22</v>
      </c>
    </row>
    <row r="11109" spans="1:11" ht="42" customHeight="1">
      <c r="A11109" t="s">
        <v>21675</v>
      </c>
      <c r="B11109" t="s">
        <v>21675</v>
      </c>
      <c r="C11109" t="s">
        <v>16</v>
      </c>
      <c r="D11109" t="s">
        <v>17</v>
      </c>
      <c r="E11109" s="6">
        <v>-28190</v>
      </c>
      <c r="F11109" t="s">
        <v>576</v>
      </c>
      <c r="G11109" t="s">
        <v>44</v>
      </c>
      <c r="H11109" t="s">
        <v>20</v>
      </c>
      <c r="I11109" t="s">
        <v>21676</v>
      </c>
      <c r="J11109" t="str">
        <f>HYPERLINK("https://www.boe.es/gazeta/dias/1822/10/25/pdfs/GMD-1822-312.pdf#page=1","Abrir facsímil")</f>
        <v>Abrir facsímil</v>
      </c>
      <c r="K11109" t="s">
        <v>22</v>
      </c>
    </row>
    <row r="11110" spans="1:11" ht="42" customHeight="1">
      <c r="A11110" t="s">
        <v>21677</v>
      </c>
      <c r="B11110" t="s">
        <v>21677</v>
      </c>
      <c r="C11110" t="s">
        <v>50</v>
      </c>
      <c r="D11110" t="s">
        <v>51</v>
      </c>
      <c r="E11110" s="6">
        <v>-28358</v>
      </c>
      <c r="F11110" t="s">
        <v>211</v>
      </c>
      <c r="G11110" t="s">
        <v>31</v>
      </c>
      <c r="H11110" t="s">
        <v>20</v>
      </c>
      <c r="I11110" t="s">
        <v>21678</v>
      </c>
      <c r="J11110" t="str">
        <f>HYPERLINK("https://www.boe.es/gazeta/dias/1822/05/10/pdfs/GMD-1822-132.pdf#page=3","Abrir facsímil")</f>
        <v>Abrir facsímil</v>
      </c>
      <c r="K11110" t="s">
        <v>22</v>
      </c>
    </row>
    <row r="11111" spans="1:11" ht="42" customHeight="1">
      <c r="A11111" t="s">
        <v>21679</v>
      </c>
      <c r="B11111" t="s">
        <v>21679</v>
      </c>
      <c r="C11111" t="s">
        <v>50</v>
      </c>
      <c r="D11111" t="s">
        <v>51</v>
      </c>
      <c r="E11111" s="6">
        <v>-28232</v>
      </c>
      <c r="F11111" t="s">
        <v>3875</v>
      </c>
      <c r="G11111" t="s">
        <v>35</v>
      </c>
      <c r="H11111" t="s">
        <v>20</v>
      </c>
      <c r="I11111" t="s">
        <v>21680</v>
      </c>
      <c r="J11111" t="str">
        <f>HYPERLINK("https://www.boe.es/gazeta/dias/1822/09/13/pdfs/GMD-1822-269.pdf#page=2","Abrir facsímil")</f>
        <v>Abrir facsímil</v>
      </c>
      <c r="K11111" t="s">
        <v>22</v>
      </c>
    </row>
    <row r="11112" spans="1:11" ht="42" customHeight="1">
      <c r="A11112" t="s">
        <v>21681</v>
      </c>
      <c r="B11112" t="s">
        <v>21682</v>
      </c>
      <c r="C11112" t="s">
        <v>28</v>
      </c>
      <c r="D11112" t="s">
        <v>29</v>
      </c>
      <c r="E11112" s="6">
        <v>-28358</v>
      </c>
      <c r="F11112" t="s">
        <v>211</v>
      </c>
      <c r="G11112" t="s">
        <v>35</v>
      </c>
      <c r="H11112" t="s">
        <v>20</v>
      </c>
      <c r="I11112" t="s">
        <v>21683</v>
      </c>
      <c r="J11112" t="str">
        <f>HYPERLINK("https://www.boe.es/gazeta/dias/1822/05/10/pdfs/GMD-1822-132.pdf#page=2","Abrir facsímil")</f>
        <v>Abrir facsímil</v>
      </c>
      <c r="K11112" t="s">
        <v>22</v>
      </c>
    </row>
    <row r="11113" spans="1:11" ht="42" customHeight="1">
      <c r="A11113" t="s">
        <v>21684</v>
      </c>
      <c r="B11113" t="s">
        <v>21685</v>
      </c>
      <c r="C11113" t="s">
        <v>71</v>
      </c>
      <c r="D11113" t="s">
        <v>17</v>
      </c>
      <c r="E11113" s="6">
        <v>-28199</v>
      </c>
      <c r="F11113" t="s">
        <v>656</v>
      </c>
      <c r="G11113" t="s">
        <v>35</v>
      </c>
      <c r="H11113" t="s">
        <v>20</v>
      </c>
      <c r="I11113" t="s">
        <v>21686</v>
      </c>
      <c r="J11113" t="str">
        <f>HYPERLINK("https://www.boe.es/gazeta/dias/1822/10/16/pdfs/GMD-1822-303.pdf#page=2","Abrir facsímil")</f>
        <v>Abrir facsímil</v>
      </c>
      <c r="K11113" t="s">
        <v>22</v>
      </c>
    </row>
    <row r="11114" spans="1:11" ht="42" customHeight="1">
      <c r="A11114" t="s">
        <v>21687</v>
      </c>
      <c r="B11114" t="s">
        <v>21687</v>
      </c>
      <c r="C11114" t="s">
        <v>24</v>
      </c>
      <c r="D11114" t="s">
        <v>17</v>
      </c>
      <c r="E11114" s="6">
        <v>-28307</v>
      </c>
      <c r="F11114" t="s">
        <v>555</v>
      </c>
      <c r="G11114" t="s">
        <v>157</v>
      </c>
      <c r="H11114" t="s">
        <v>20</v>
      </c>
      <c r="I11114" t="s">
        <v>21688</v>
      </c>
      <c r="J11114" t="str">
        <f>HYPERLINK("https://www.boe.es/gazeta/dias/1822/06/30/pdfs/GMD-1822-188.pdf#page=8","Abrir facsímil")</f>
        <v>Abrir facsímil</v>
      </c>
      <c r="K11114" t="s">
        <v>22</v>
      </c>
    </row>
    <row r="11115" spans="1:11" ht="42" customHeight="1">
      <c r="A11115" t="s">
        <v>21689</v>
      </c>
      <c r="B11115" t="s">
        <v>21690</v>
      </c>
      <c r="C11115" t="s">
        <v>71</v>
      </c>
      <c r="D11115" t="s">
        <v>17</v>
      </c>
      <c r="E11115" s="6">
        <v>-28408</v>
      </c>
      <c r="F11115" t="s">
        <v>2561</v>
      </c>
      <c r="G11115" t="s">
        <v>63</v>
      </c>
      <c r="H11115" t="s">
        <v>20</v>
      </c>
      <c r="I11115" t="s">
        <v>21691</v>
      </c>
      <c r="J11115" t="str">
        <f>HYPERLINK("https://www.boe.es/gazeta/dias/1822/03/21/pdfs/GMD-1822-82.pdf#page=6","Abrir facsímil")</f>
        <v>Abrir facsímil</v>
      </c>
      <c r="K11115" t="s">
        <v>22</v>
      </c>
    </row>
    <row r="11116" spans="1:11" ht="42" customHeight="1">
      <c r="A11116" t="s">
        <v>21689</v>
      </c>
      <c r="B11116" t="s">
        <v>21690</v>
      </c>
      <c r="C11116" t="s">
        <v>50</v>
      </c>
      <c r="D11116" t="s">
        <v>51</v>
      </c>
      <c r="E11116" s="6">
        <v>-28395</v>
      </c>
      <c r="F11116" t="s">
        <v>237</v>
      </c>
      <c r="G11116" t="s">
        <v>57</v>
      </c>
      <c r="H11116" t="s">
        <v>20</v>
      </c>
      <c r="I11116" t="s">
        <v>21692</v>
      </c>
      <c r="J11116" t="str">
        <f>HYPERLINK("https://www.boe.es/gazeta/dias/1822/04/03/pdfs/GMD-1822-95.pdf#page=4","Abrir facsímil")</f>
        <v>Abrir facsímil</v>
      </c>
      <c r="K11116" t="s">
        <v>22</v>
      </c>
    </row>
    <row r="11117" spans="1:11" ht="42" customHeight="1">
      <c r="A11117" t="s">
        <v>21693</v>
      </c>
      <c r="B11117" t="s">
        <v>21693</v>
      </c>
      <c r="C11117" t="s">
        <v>50</v>
      </c>
      <c r="D11117" t="s">
        <v>51</v>
      </c>
      <c r="E11117" s="6">
        <v>-28288</v>
      </c>
      <c r="F11117" t="s">
        <v>970</v>
      </c>
      <c r="G11117" t="s">
        <v>44</v>
      </c>
      <c r="H11117" t="s">
        <v>20</v>
      </c>
      <c r="I11117" t="s">
        <v>21694</v>
      </c>
      <c r="J11117" t="str">
        <f>HYPERLINK("https://www.boe.es/gazeta/dias/1822/07/19/pdfs/GMD-1822-211.pdf#page=1","Abrir facsímil")</f>
        <v>Abrir facsímil</v>
      </c>
      <c r="K11117" t="s">
        <v>22</v>
      </c>
    </row>
    <row r="11118" spans="1:11" ht="42" customHeight="1">
      <c r="A11118" t="s">
        <v>21695</v>
      </c>
      <c r="B11118" t="s">
        <v>21695</v>
      </c>
      <c r="C11118" t="s">
        <v>50</v>
      </c>
      <c r="D11118" t="s">
        <v>51</v>
      </c>
      <c r="E11118" s="6">
        <v>-28208</v>
      </c>
      <c r="F11118" t="s">
        <v>230</v>
      </c>
      <c r="G11118" t="s">
        <v>35</v>
      </c>
      <c r="H11118" t="s">
        <v>20</v>
      </c>
      <c r="I11118" t="s">
        <v>21696</v>
      </c>
      <c r="J11118" t="str">
        <f>HYPERLINK("https://www.boe.es/gazeta/dias/1822/10/07/pdfs/GMD-1822-293.pdf#page=2","Abrir facsímil")</f>
        <v>Abrir facsímil</v>
      </c>
      <c r="K11118" t="s">
        <v>22</v>
      </c>
    </row>
    <row r="11119" spans="1:11" ht="42" customHeight="1">
      <c r="A11119" t="s">
        <v>21697</v>
      </c>
      <c r="B11119" t="s">
        <v>21698</v>
      </c>
      <c r="C11119" t="s">
        <v>50</v>
      </c>
      <c r="D11119" t="s">
        <v>51</v>
      </c>
      <c r="E11119" s="6">
        <v>-28301</v>
      </c>
      <c r="F11119" t="s">
        <v>2348</v>
      </c>
      <c r="G11119" t="s">
        <v>35</v>
      </c>
      <c r="H11119" t="s">
        <v>20</v>
      </c>
      <c r="I11119" t="s">
        <v>21699</v>
      </c>
      <c r="J11119" t="str">
        <f>HYPERLINK("https://www.boe.es/gazeta/dias/1822/07/06/pdfs/GMD-1822-195.pdf#page=2","Abrir facsímil")</f>
        <v>Abrir facsímil</v>
      </c>
      <c r="K11119" t="s">
        <v>22</v>
      </c>
    </row>
    <row r="11120" spans="1:11" ht="42" customHeight="1">
      <c r="A11120" t="s">
        <v>21700</v>
      </c>
      <c r="B11120" t="s">
        <v>21701</v>
      </c>
      <c r="C11120" t="s">
        <v>50</v>
      </c>
      <c r="D11120" t="s">
        <v>51</v>
      </c>
      <c r="E11120" s="6">
        <v>-28301</v>
      </c>
      <c r="F11120" t="s">
        <v>2348</v>
      </c>
      <c r="G11120" t="s">
        <v>31</v>
      </c>
      <c r="H11120" t="s">
        <v>20</v>
      </c>
      <c r="I11120" t="s">
        <v>21702</v>
      </c>
      <c r="J11120" t="str">
        <f>HYPERLINK("https://www.boe.es/gazeta/dias/1822/07/06/pdfs/GMD-1822-195.pdf#page=3","Abrir facsímil")</f>
        <v>Abrir facsímil</v>
      </c>
      <c r="K11120" t="s">
        <v>22</v>
      </c>
    </row>
    <row r="11121" spans="1:11" ht="42" customHeight="1">
      <c r="A11121" t="s">
        <v>21703</v>
      </c>
      <c r="B11121" t="s">
        <v>21704</v>
      </c>
      <c r="C11121" t="s">
        <v>50</v>
      </c>
      <c r="D11121" t="s">
        <v>723</v>
      </c>
      <c r="E11121" s="6">
        <v>-28290</v>
      </c>
      <c r="F11121" t="s">
        <v>16355</v>
      </c>
      <c r="G11121" t="s">
        <v>44</v>
      </c>
      <c r="H11121" t="s">
        <v>20</v>
      </c>
      <c r="I11121" t="s">
        <v>21705</v>
      </c>
      <c r="J11121" t="str">
        <f>HYPERLINK("https://www.boe.es/gazeta/dias/1822/07/17/pdfs/GMD-1822-208E.pdf#page=1","Abrir facsímil")</f>
        <v>Abrir facsímil</v>
      </c>
      <c r="K11121" t="s">
        <v>22</v>
      </c>
    </row>
    <row r="11122" spans="1:11" ht="42" customHeight="1">
      <c r="A11122" t="s">
        <v>21706</v>
      </c>
      <c r="B11122" t="s">
        <v>21707</v>
      </c>
      <c r="C11122" t="s">
        <v>50</v>
      </c>
      <c r="D11122" t="s">
        <v>51</v>
      </c>
      <c r="E11122" s="6">
        <v>-28400</v>
      </c>
      <c r="F11122" t="s">
        <v>1937</v>
      </c>
      <c r="G11122" t="s">
        <v>2260</v>
      </c>
      <c r="H11122" t="s">
        <v>20</v>
      </c>
      <c r="I11122" t="s">
        <v>21708</v>
      </c>
      <c r="J11122" t="str">
        <f>HYPERLINK("https://www.boe.es/gazeta/dias/1822/03/29/pdfs/GMD-1822-90.pdf#page=4","Abrir facsímil")</f>
        <v>Abrir facsímil</v>
      </c>
      <c r="K11122" t="s">
        <v>22</v>
      </c>
    </row>
    <row r="11123" spans="1:11" ht="42" customHeight="1">
      <c r="A11123" t="s">
        <v>21709</v>
      </c>
      <c r="B11123" t="s">
        <v>21710</v>
      </c>
      <c r="C11123" t="s">
        <v>42</v>
      </c>
      <c r="D11123" t="s">
        <v>17</v>
      </c>
      <c r="E11123" s="6">
        <v>-28258</v>
      </c>
      <c r="F11123" t="s">
        <v>88</v>
      </c>
      <c r="G11123" t="s">
        <v>31</v>
      </c>
      <c r="H11123" t="s">
        <v>20</v>
      </c>
      <c r="I11123" t="s">
        <v>21711</v>
      </c>
      <c r="J11123" t="str">
        <f>HYPERLINK("https://www.boe.es/gazeta/dias/1822/08/18/pdfs/GMD-1822-242.pdf#page=3","Abrir facsímil")</f>
        <v>Abrir facsímil</v>
      </c>
      <c r="K11123" t="s">
        <v>22</v>
      </c>
    </row>
    <row r="11124" spans="1:11" ht="42" customHeight="1">
      <c r="A11124" t="s">
        <v>21712</v>
      </c>
      <c r="B11124" t="s">
        <v>21712</v>
      </c>
      <c r="C11124" t="s">
        <v>71</v>
      </c>
      <c r="D11124" t="s">
        <v>17</v>
      </c>
      <c r="E11124" s="6">
        <v>-28208</v>
      </c>
      <c r="F11124" t="s">
        <v>230</v>
      </c>
      <c r="G11124" t="s">
        <v>44</v>
      </c>
      <c r="H11124" t="s">
        <v>20</v>
      </c>
      <c r="I11124" t="s">
        <v>21713</v>
      </c>
      <c r="J11124" t="str">
        <f>HYPERLINK("https://www.boe.es/gazeta/dias/1822/10/07/pdfs/GMD-1822-293.pdf#page=1","Abrir facsímil")</f>
        <v>Abrir facsímil</v>
      </c>
      <c r="K11124" t="s">
        <v>22</v>
      </c>
    </row>
    <row r="11125" spans="1:11" ht="42" customHeight="1">
      <c r="A11125" t="s">
        <v>21714</v>
      </c>
      <c r="B11125" t="s">
        <v>21715</v>
      </c>
      <c r="C11125" t="s">
        <v>28</v>
      </c>
      <c r="D11125" t="s">
        <v>29</v>
      </c>
      <c r="E11125" s="6">
        <v>-28258</v>
      </c>
      <c r="F11125" t="s">
        <v>88</v>
      </c>
      <c r="G11125" t="s">
        <v>31</v>
      </c>
      <c r="H11125" t="s">
        <v>20</v>
      </c>
      <c r="I11125" t="s">
        <v>21716</v>
      </c>
      <c r="J11125" t="str">
        <f>HYPERLINK("https://www.boe.es/gazeta/dias/1822/08/18/pdfs/GMD-1822-242.pdf#page=3","Abrir facsímil")</f>
        <v>Abrir facsímil</v>
      </c>
      <c r="K11125" t="s">
        <v>22</v>
      </c>
    </row>
    <row r="11126" spans="1:11" ht="42" customHeight="1">
      <c r="A11126" t="s">
        <v>21717</v>
      </c>
      <c r="B11126" t="s">
        <v>21717</v>
      </c>
      <c r="C11126" t="s">
        <v>42</v>
      </c>
      <c r="D11126" t="s">
        <v>17</v>
      </c>
      <c r="E11126" s="6">
        <v>-28290</v>
      </c>
      <c r="F11126" t="s">
        <v>706</v>
      </c>
      <c r="G11126" t="s">
        <v>57</v>
      </c>
      <c r="H11126" t="s">
        <v>20</v>
      </c>
      <c r="I11126" t="s">
        <v>21718</v>
      </c>
      <c r="J11126" t="str">
        <f>HYPERLINK("https://www.boe.es/gazeta/dias/1822/07/17/pdfs/GMD-1822-207.pdf#page=4","Abrir facsímil")</f>
        <v>Abrir facsímil</v>
      </c>
      <c r="K11126" t="s">
        <v>22</v>
      </c>
    </row>
    <row r="11127" spans="1:11" ht="42" customHeight="1">
      <c r="A11127" t="s">
        <v>21719</v>
      </c>
      <c r="B11127" t="s">
        <v>21719</v>
      </c>
      <c r="C11127" t="s">
        <v>61</v>
      </c>
      <c r="D11127" t="s">
        <v>17</v>
      </c>
      <c r="E11127" s="6">
        <v>-28208</v>
      </c>
      <c r="F11127" t="s">
        <v>230</v>
      </c>
      <c r="G11127" t="s">
        <v>44</v>
      </c>
      <c r="H11127" t="s">
        <v>20</v>
      </c>
      <c r="I11127" t="s">
        <v>21720</v>
      </c>
      <c r="J11127" t="str">
        <f>HYPERLINK("https://www.boe.es/gazeta/dias/1822/10/07/pdfs/GMD-1822-293.pdf#page=1","Abrir facsímil")</f>
        <v>Abrir facsímil</v>
      </c>
      <c r="K11127" t="s">
        <v>22</v>
      </c>
    </row>
    <row r="11128" spans="1:11" ht="42" customHeight="1">
      <c r="A11128" t="s">
        <v>21721</v>
      </c>
      <c r="B11128" t="s">
        <v>21722</v>
      </c>
      <c r="C11128" t="s">
        <v>50</v>
      </c>
      <c r="D11128" t="s">
        <v>51</v>
      </c>
      <c r="E11128" s="6">
        <v>-28367</v>
      </c>
      <c r="F11128" t="s">
        <v>280</v>
      </c>
      <c r="G11128" t="s">
        <v>19</v>
      </c>
      <c r="H11128" t="s">
        <v>20</v>
      </c>
      <c r="I11128" t="s">
        <v>21723</v>
      </c>
      <c r="J11128" t="str">
        <f>HYPERLINK("https://www.boe.es/gazeta/dias/1822/05/01/pdfs/GMD-1822-123.pdf#page=5","Abrir facsímil")</f>
        <v>Abrir facsímil</v>
      </c>
      <c r="K11128" t="s">
        <v>22</v>
      </c>
    </row>
    <row r="11129" spans="1:11" ht="42" customHeight="1">
      <c r="A11129" t="s">
        <v>21724</v>
      </c>
      <c r="B11129" t="s">
        <v>21725</v>
      </c>
      <c r="C11129" t="s">
        <v>50</v>
      </c>
      <c r="D11129" t="s">
        <v>51</v>
      </c>
      <c r="E11129" s="6">
        <v>-28291</v>
      </c>
      <c r="F11129" t="s">
        <v>363</v>
      </c>
      <c r="G11129" t="s">
        <v>57</v>
      </c>
      <c r="H11129" t="s">
        <v>45</v>
      </c>
      <c r="I11129" t="s">
        <v>21726</v>
      </c>
      <c r="J11129" t="str">
        <f>HYPERLINK("https://www.boe.es/gazeta/dias/1822/07/16/pdfs/GMD-1822-206.pdf#page=4","Abrir facsímil")</f>
        <v>Abrir facsímil</v>
      </c>
      <c r="K11129" t="s">
        <v>47</v>
      </c>
    </row>
    <row r="11130" spans="1:11" ht="42" customHeight="1">
      <c r="A11130" t="s">
        <v>21727</v>
      </c>
      <c r="B11130" t="s">
        <v>21728</v>
      </c>
      <c r="C11130" t="s">
        <v>50</v>
      </c>
      <c r="D11130" t="s">
        <v>51</v>
      </c>
      <c r="E11130" s="6">
        <v>-28290</v>
      </c>
      <c r="F11130" t="s">
        <v>706</v>
      </c>
      <c r="G11130" t="s">
        <v>35</v>
      </c>
      <c r="H11130" t="s">
        <v>20</v>
      </c>
      <c r="I11130" t="s">
        <v>21729</v>
      </c>
      <c r="J11130" t="str">
        <f>HYPERLINK("https://www.boe.es/gazeta/dias/1822/07/17/pdfs/GMD-1822-207.pdf#page=2","Abrir facsímil")</f>
        <v>Abrir facsímil</v>
      </c>
      <c r="K11130" t="s">
        <v>22</v>
      </c>
    </row>
    <row r="11131" spans="1:11" ht="42" customHeight="1">
      <c r="A11131" t="s">
        <v>21730</v>
      </c>
      <c r="B11131" t="s">
        <v>21731</v>
      </c>
      <c r="C11131" t="s">
        <v>362</v>
      </c>
      <c r="D11131" t="s">
        <v>17</v>
      </c>
      <c r="E11131" s="6">
        <v>-28427</v>
      </c>
      <c r="F11131" t="s">
        <v>755</v>
      </c>
      <c r="G11131" t="s">
        <v>57</v>
      </c>
      <c r="H11131" t="s">
        <v>20</v>
      </c>
      <c r="I11131" t="s">
        <v>21732</v>
      </c>
      <c r="J11131" t="str">
        <f>HYPERLINK("https://www.boe.es/gazeta/dias/1822/03/02/pdfs/GMD-1822-63.pdf#page=4","Abrir facsímil")</f>
        <v>Abrir facsímil</v>
      </c>
      <c r="K11131" t="s">
        <v>22</v>
      </c>
    </row>
    <row r="11132" spans="1:11" ht="42" customHeight="1">
      <c r="A11132" t="s">
        <v>21733</v>
      </c>
      <c r="B11132" t="s">
        <v>21734</v>
      </c>
      <c r="C11132" t="s">
        <v>42</v>
      </c>
      <c r="D11132" t="s">
        <v>17</v>
      </c>
      <c r="E11132" s="6">
        <v>-28427</v>
      </c>
      <c r="F11132" t="s">
        <v>755</v>
      </c>
      <c r="G11132" t="s">
        <v>31</v>
      </c>
      <c r="H11132" t="s">
        <v>20</v>
      </c>
      <c r="I11132" t="s">
        <v>21735</v>
      </c>
      <c r="J11132" t="str">
        <f>HYPERLINK("https://www.boe.es/gazeta/dias/1822/03/02/pdfs/GMD-1822-63.pdf#page=3","Abrir facsímil")</f>
        <v>Abrir facsímil</v>
      </c>
      <c r="K11132" t="s">
        <v>22</v>
      </c>
    </row>
    <row r="11133" spans="1:11" ht="42" customHeight="1">
      <c r="A11133" t="s">
        <v>21736</v>
      </c>
      <c r="B11133" t="s">
        <v>21737</v>
      </c>
      <c r="C11133" t="s">
        <v>28</v>
      </c>
      <c r="D11133" t="s">
        <v>29</v>
      </c>
      <c r="E11133" s="6">
        <v>-28475</v>
      </c>
      <c r="F11133" t="s">
        <v>1205</v>
      </c>
      <c r="G11133" t="s">
        <v>63</v>
      </c>
      <c r="H11133" t="s">
        <v>20</v>
      </c>
      <c r="I11133" t="s">
        <v>21738</v>
      </c>
      <c r="J11133" t="str">
        <f>HYPERLINK("https://www.boe.es/gazeta/dias/1822/01/13/pdfs/GMD-1822-13.pdf#page=6","Abrir facsímil")</f>
        <v>Abrir facsímil</v>
      </c>
      <c r="K11133" t="s">
        <v>22</v>
      </c>
    </row>
    <row r="11134" spans="1:11" ht="42" customHeight="1">
      <c r="A11134" t="s">
        <v>21739</v>
      </c>
      <c r="B11134" t="s">
        <v>21739</v>
      </c>
      <c r="C11134" t="s">
        <v>50</v>
      </c>
      <c r="D11134" t="s">
        <v>51</v>
      </c>
      <c r="E11134" s="6">
        <v>-28254</v>
      </c>
      <c r="F11134" t="s">
        <v>3557</v>
      </c>
      <c r="G11134" t="s">
        <v>31</v>
      </c>
      <c r="H11134" t="s">
        <v>20</v>
      </c>
      <c r="I11134" t="s">
        <v>21740</v>
      </c>
      <c r="J11134" t="str">
        <f>HYPERLINK("https://www.boe.es/gazeta/dias/1822/08/22/pdfs/GMD-1822-246.pdf#page=3","Abrir facsímil")</f>
        <v>Abrir facsímil</v>
      </c>
      <c r="K11134" t="s">
        <v>22</v>
      </c>
    </row>
    <row r="11135" spans="1:11" ht="42" customHeight="1">
      <c r="A11135" t="s">
        <v>21741</v>
      </c>
      <c r="B11135" t="s">
        <v>21741</v>
      </c>
      <c r="C11135" t="s">
        <v>50</v>
      </c>
      <c r="D11135" t="s">
        <v>51</v>
      </c>
      <c r="E11135" s="6">
        <v>-28187</v>
      </c>
      <c r="F11135" t="s">
        <v>929</v>
      </c>
      <c r="G11135" t="s">
        <v>63</v>
      </c>
      <c r="H11135" t="s">
        <v>20</v>
      </c>
      <c r="I11135" t="s">
        <v>21742</v>
      </c>
      <c r="J11135" t="str">
        <f>HYPERLINK("https://www.boe.es/gazeta/dias/1822/10/28/pdfs/GMD-1822-315.pdf#page=6","Abrir facsímil")</f>
        <v>Abrir facsímil</v>
      </c>
      <c r="K11135" t="s">
        <v>22</v>
      </c>
    </row>
    <row r="11136" spans="1:11" ht="42" customHeight="1">
      <c r="A11136" t="s">
        <v>21743</v>
      </c>
      <c r="B11136" t="s">
        <v>21744</v>
      </c>
      <c r="C11136" t="s">
        <v>50</v>
      </c>
      <c r="D11136" t="s">
        <v>51</v>
      </c>
      <c r="E11136" s="6">
        <v>-28339</v>
      </c>
      <c r="F11136" t="s">
        <v>197</v>
      </c>
      <c r="G11136" t="s">
        <v>63</v>
      </c>
      <c r="H11136" t="s">
        <v>20</v>
      </c>
      <c r="I11136" t="s">
        <v>21745</v>
      </c>
      <c r="J11136" t="str">
        <f>HYPERLINK("https://www.boe.es/gazeta/dias/1822/05/29/pdfs/GMD-1822-154.pdf#page=6","Abrir facsímil")</f>
        <v>Abrir facsímil</v>
      </c>
      <c r="K11136" t="s">
        <v>22</v>
      </c>
    </row>
    <row r="11137" spans="1:11" ht="42" customHeight="1">
      <c r="A11137" t="s">
        <v>21746</v>
      </c>
      <c r="B11137" t="s">
        <v>21746</v>
      </c>
      <c r="C11137" t="s">
        <v>50</v>
      </c>
      <c r="D11137" t="s">
        <v>51</v>
      </c>
      <c r="E11137" s="6">
        <v>-28208</v>
      </c>
      <c r="F11137" t="s">
        <v>230</v>
      </c>
      <c r="G11137" t="s">
        <v>35</v>
      </c>
      <c r="H11137" t="s">
        <v>20</v>
      </c>
      <c r="I11137" t="s">
        <v>21747</v>
      </c>
      <c r="J11137" t="str">
        <f>HYPERLINK("https://www.boe.es/gazeta/dias/1822/10/07/pdfs/GMD-1822-293.pdf#page=2","Abrir facsímil")</f>
        <v>Abrir facsímil</v>
      </c>
      <c r="K11137" t="s">
        <v>22</v>
      </c>
    </row>
    <row r="11138" spans="1:11" ht="42" customHeight="1">
      <c r="A11138" t="s">
        <v>21748</v>
      </c>
      <c r="B11138" t="s">
        <v>21749</v>
      </c>
      <c r="C11138" t="s">
        <v>28</v>
      </c>
      <c r="D11138" t="s">
        <v>29</v>
      </c>
      <c r="E11138" s="6">
        <v>-28374</v>
      </c>
      <c r="F11138" t="s">
        <v>171</v>
      </c>
      <c r="G11138" t="s">
        <v>57</v>
      </c>
      <c r="H11138" t="s">
        <v>20</v>
      </c>
      <c r="I11138" t="s">
        <v>21750</v>
      </c>
      <c r="J11138" t="str">
        <f>HYPERLINK("https://www.boe.es/gazeta/dias/1822/04/24/pdfs/GMD-1822-116.pdf#page=4","Abrir facsímil")</f>
        <v>Abrir facsímil</v>
      </c>
      <c r="K11138" t="s">
        <v>22</v>
      </c>
    </row>
    <row r="11139" spans="1:11" ht="42" customHeight="1">
      <c r="A11139" t="s">
        <v>21751</v>
      </c>
      <c r="B11139" t="s">
        <v>21752</v>
      </c>
      <c r="C11139" t="s">
        <v>28</v>
      </c>
      <c r="D11139" t="s">
        <v>29</v>
      </c>
      <c r="E11139" s="6">
        <v>-28430</v>
      </c>
      <c r="F11139" t="s">
        <v>3437</v>
      </c>
      <c r="G11139" t="s">
        <v>57</v>
      </c>
      <c r="H11139" t="s">
        <v>20</v>
      </c>
      <c r="I11139" t="s">
        <v>21753</v>
      </c>
      <c r="J11139" t="str">
        <f>HYPERLINK("https://www.boe.es/gazeta/dias/1822/02/27/pdfs/GMD-1822-59.pdf#page=4","Abrir facsímil")</f>
        <v>Abrir facsímil</v>
      </c>
      <c r="K11139" t="s">
        <v>22</v>
      </c>
    </row>
    <row r="11140" spans="1:11" ht="42" customHeight="1">
      <c r="A11140" t="s">
        <v>21751</v>
      </c>
      <c r="B11140" t="s">
        <v>21752</v>
      </c>
      <c r="C11140" t="s">
        <v>28</v>
      </c>
      <c r="D11140" t="s">
        <v>29</v>
      </c>
      <c r="E11140" s="6">
        <v>-28358</v>
      </c>
      <c r="F11140" t="s">
        <v>211</v>
      </c>
      <c r="G11140" t="s">
        <v>157</v>
      </c>
      <c r="H11140" t="s">
        <v>20</v>
      </c>
      <c r="I11140" t="s">
        <v>21754</v>
      </c>
      <c r="J11140" t="str">
        <f>HYPERLINK("https://www.boe.es/gazeta/dias/1822/05/10/pdfs/GMD-1822-132.pdf#page=8","Abrir facsímil")</f>
        <v>Abrir facsímil</v>
      </c>
      <c r="K11140" t="s">
        <v>22</v>
      </c>
    </row>
    <row r="11141" spans="1:11" ht="42" customHeight="1">
      <c r="A11141" t="s">
        <v>21751</v>
      </c>
      <c r="B11141" t="s">
        <v>21752</v>
      </c>
      <c r="C11141" t="s">
        <v>28</v>
      </c>
      <c r="D11141" t="s">
        <v>29</v>
      </c>
      <c r="E11141" s="6">
        <v>-28261</v>
      </c>
      <c r="F11141" t="s">
        <v>5685</v>
      </c>
      <c r="G11141" t="s">
        <v>57</v>
      </c>
      <c r="H11141" t="s">
        <v>20</v>
      </c>
      <c r="I11141" t="s">
        <v>21755</v>
      </c>
      <c r="J11141" t="str">
        <f>HYPERLINK("https://www.boe.es/gazeta/dias/1822/08/15/pdfs/GMD-1822-239.pdf#page=4","Abrir facsímil")</f>
        <v>Abrir facsímil</v>
      </c>
      <c r="K11141" t="s">
        <v>22</v>
      </c>
    </row>
    <row r="11142" spans="1:11" ht="42" customHeight="1">
      <c r="A11142" t="s">
        <v>21756</v>
      </c>
      <c r="B11142" t="s">
        <v>21757</v>
      </c>
      <c r="C11142" t="s">
        <v>28</v>
      </c>
      <c r="D11142" t="s">
        <v>29</v>
      </c>
      <c r="E11142" s="6">
        <v>-28209</v>
      </c>
      <c r="F11142" t="s">
        <v>748</v>
      </c>
      <c r="G11142" t="s">
        <v>57</v>
      </c>
      <c r="H11142" t="s">
        <v>20</v>
      </c>
      <c r="I11142" t="s">
        <v>21758</v>
      </c>
      <c r="J11142" t="str">
        <f>HYPERLINK("https://www.boe.es/gazeta/dias/1822/10/06/pdfs/GMD-1822-292.pdf#page=4","Abrir facsímil")</f>
        <v>Abrir facsímil</v>
      </c>
      <c r="K11142" t="s">
        <v>22</v>
      </c>
    </row>
    <row r="11143" spans="1:11" ht="42" customHeight="1">
      <c r="A11143" t="s">
        <v>21751</v>
      </c>
      <c r="B11143" t="s">
        <v>21752</v>
      </c>
      <c r="C11143" t="s">
        <v>28</v>
      </c>
      <c r="D11143" t="s">
        <v>29</v>
      </c>
      <c r="E11143" s="6">
        <v>-28208</v>
      </c>
      <c r="F11143" t="s">
        <v>230</v>
      </c>
      <c r="G11143" t="s">
        <v>57</v>
      </c>
      <c r="H11143" t="s">
        <v>20</v>
      </c>
      <c r="I11143" t="s">
        <v>21759</v>
      </c>
      <c r="J11143" t="str">
        <f>HYPERLINK("https://www.boe.es/gazeta/dias/1822/10/07/pdfs/GMD-1822-293.pdf#page=4","Abrir facsímil")</f>
        <v>Abrir facsímil</v>
      </c>
      <c r="K11143" t="s">
        <v>22</v>
      </c>
    </row>
    <row r="11144" spans="1:11" ht="42" customHeight="1">
      <c r="A11144" t="s">
        <v>21751</v>
      </c>
      <c r="B11144" t="s">
        <v>21752</v>
      </c>
      <c r="C11144" t="s">
        <v>28</v>
      </c>
      <c r="D11144" t="s">
        <v>29</v>
      </c>
      <c r="E11144" s="6">
        <v>-28193</v>
      </c>
      <c r="F11144" t="s">
        <v>574</v>
      </c>
      <c r="G11144" t="s">
        <v>63</v>
      </c>
      <c r="H11144" t="s">
        <v>20</v>
      </c>
      <c r="I11144" t="s">
        <v>21760</v>
      </c>
      <c r="J11144" t="str">
        <f>HYPERLINK("https://www.boe.es/gazeta/dias/1822/10/22/pdfs/GMD-1822-309.pdf#page=6","Abrir facsímil")</f>
        <v>Abrir facsímil</v>
      </c>
      <c r="K11144" t="s">
        <v>22</v>
      </c>
    </row>
    <row r="11145" spans="1:11" ht="42" customHeight="1">
      <c r="A11145" t="s">
        <v>21751</v>
      </c>
      <c r="B11145" t="s">
        <v>21752</v>
      </c>
      <c r="C11145" t="s">
        <v>28</v>
      </c>
      <c r="D11145" t="s">
        <v>29</v>
      </c>
      <c r="E11145" s="6">
        <v>-28191</v>
      </c>
      <c r="F11145" t="s">
        <v>710</v>
      </c>
      <c r="G11145" t="s">
        <v>5038</v>
      </c>
      <c r="H11145" t="s">
        <v>20</v>
      </c>
      <c r="I11145" t="s">
        <v>21761</v>
      </c>
      <c r="J11145" t="str">
        <f>HYPERLINK("https://www.boe.es/gazeta/dias/1822/10/24/pdfs/GMD-1822-311.pdf#page=8","Abrir facsímil")</f>
        <v>Abrir facsímil</v>
      </c>
      <c r="K11145" t="s">
        <v>22</v>
      </c>
    </row>
    <row r="11146" spans="1:11" ht="42" customHeight="1">
      <c r="A11146" t="s">
        <v>21751</v>
      </c>
      <c r="B11146" t="s">
        <v>21752</v>
      </c>
      <c r="C11146" t="s">
        <v>28</v>
      </c>
      <c r="D11146" t="s">
        <v>29</v>
      </c>
      <c r="E11146" s="6">
        <v>-28176</v>
      </c>
      <c r="F11146" t="s">
        <v>780</v>
      </c>
      <c r="G11146" t="s">
        <v>63</v>
      </c>
      <c r="H11146" t="s">
        <v>20</v>
      </c>
      <c r="I11146" t="s">
        <v>21762</v>
      </c>
      <c r="J11146" t="str">
        <f>HYPERLINK("https://www.boe.es/gazeta/dias/1822/11/08/pdfs/GMD-1822-328.pdf#page=6","Abrir facsímil")</f>
        <v>Abrir facsímil</v>
      </c>
      <c r="K11146" t="s">
        <v>22</v>
      </c>
    </row>
    <row r="11147" spans="1:11" ht="42" customHeight="1">
      <c r="A11147" t="s">
        <v>21751</v>
      </c>
      <c r="B11147" t="s">
        <v>21752</v>
      </c>
      <c r="C11147" t="s">
        <v>28</v>
      </c>
      <c r="D11147" t="s">
        <v>29</v>
      </c>
      <c r="E11147" s="6">
        <v>-28147</v>
      </c>
      <c r="F11147" t="s">
        <v>1611</v>
      </c>
      <c r="G11147" t="s">
        <v>63</v>
      </c>
      <c r="H11147" t="s">
        <v>20</v>
      </c>
      <c r="I11147" t="s">
        <v>21763</v>
      </c>
      <c r="J11147" t="str">
        <f>HYPERLINK("https://www.boe.es/gazeta/dias/1822/12/07/pdfs/GMD-1822-357.pdf#page=6","Abrir facsímil")</f>
        <v>Abrir facsímil</v>
      </c>
      <c r="K11147" t="s">
        <v>22</v>
      </c>
    </row>
    <row r="11148" spans="1:11" ht="42" customHeight="1">
      <c r="A11148" t="s">
        <v>21751</v>
      </c>
      <c r="B11148" t="s">
        <v>21752</v>
      </c>
      <c r="C11148" t="s">
        <v>16</v>
      </c>
      <c r="D11148" t="s">
        <v>17</v>
      </c>
      <c r="E11148" s="6">
        <v>-28139</v>
      </c>
      <c r="F11148" t="s">
        <v>143</v>
      </c>
      <c r="G11148" t="s">
        <v>144</v>
      </c>
      <c r="H11148" t="s">
        <v>20</v>
      </c>
      <c r="I11148" t="s">
        <v>21764</v>
      </c>
      <c r="J11148" t="str">
        <f>HYPERLINK("https://www.boe.es/gazeta/dias/1822/12/15/pdfs/GMD-1822-365.pdf#page=4","Abrir facsímil")</f>
        <v>Abrir facsímil</v>
      </c>
      <c r="K11148" t="s">
        <v>22</v>
      </c>
    </row>
    <row r="11149" spans="1:11" ht="42" customHeight="1">
      <c r="A11149" t="s">
        <v>21765</v>
      </c>
      <c r="B11149" t="s">
        <v>21766</v>
      </c>
      <c r="C11149" t="s">
        <v>362</v>
      </c>
      <c r="D11149" t="s">
        <v>17</v>
      </c>
      <c r="E11149" s="6">
        <v>-28261</v>
      </c>
      <c r="F11149" t="s">
        <v>5685</v>
      </c>
      <c r="G11149" t="s">
        <v>57</v>
      </c>
      <c r="H11149" t="s">
        <v>20</v>
      </c>
      <c r="I11149" t="s">
        <v>21767</v>
      </c>
      <c r="J11149" t="str">
        <f>HYPERLINK("https://www.boe.es/gazeta/dias/1822/08/15/pdfs/GMD-1822-239.pdf#page=4","Abrir facsímil")</f>
        <v>Abrir facsímil</v>
      </c>
      <c r="K11149" t="s">
        <v>22</v>
      </c>
    </row>
    <row r="11150" spans="1:11" ht="42" customHeight="1">
      <c r="A11150" t="s">
        <v>21768</v>
      </c>
      <c r="B11150" t="s">
        <v>21769</v>
      </c>
      <c r="C11150" t="s">
        <v>16</v>
      </c>
      <c r="D11150" t="s">
        <v>17</v>
      </c>
      <c r="E11150" s="6">
        <v>-28391</v>
      </c>
      <c r="F11150" t="s">
        <v>378</v>
      </c>
      <c r="G11150" t="s">
        <v>63</v>
      </c>
      <c r="H11150" t="s">
        <v>20</v>
      </c>
      <c r="I11150" t="s">
        <v>21770</v>
      </c>
      <c r="J11150" t="str">
        <f>HYPERLINK("https://www.boe.es/gazeta/dias/1822/04/07/pdfs/GMD-1822-99.pdf#page=6","Abrir facsímil")</f>
        <v>Abrir facsímil</v>
      </c>
      <c r="K11150" t="s">
        <v>22</v>
      </c>
    </row>
    <row r="11151" spans="1:11" ht="42" customHeight="1">
      <c r="A11151" t="s">
        <v>21771</v>
      </c>
      <c r="B11151" t="s">
        <v>21772</v>
      </c>
      <c r="C11151" t="s">
        <v>362</v>
      </c>
      <c r="D11151" t="s">
        <v>17</v>
      </c>
      <c r="E11151" s="6">
        <v>-28427</v>
      </c>
      <c r="F11151" t="s">
        <v>755</v>
      </c>
      <c r="G11151" t="s">
        <v>57</v>
      </c>
      <c r="H11151" t="s">
        <v>20</v>
      </c>
      <c r="I11151" t="s">
        <v>21773</v>
      </c>
      <c r="J11151" t="str">
        <f>HYPERLINK("https://www.boe.es/gazeta/dias/1822/03/02/pdfs/GMD-1822-63.pdf#page=4","Abrir facsímil")</f>
        <v>Abrir facsímil</v>
      </c>
      <c r="K11151" t="s">
        <v>22</v>
      </c>
    </row>
    <row r="11152" spans="1:11" ht="42" customHeight="1">
      <c r="A11152" t="s">
        <v>21774</v>
      </c>
      <c r="B11152" t="s">
        <v>21775</v>
      </c>
      <c r="C11152" t="s">
        <v>28</v>
      </c>
      <c r="D11152" t="s">
        <v>29</v>
      </c>
      <c r="E11152" s="6">
        <v>-28131</v>
      </c>
      <c r="F11152" t="s">
        <v>893</v>
      </c>
      <c r="G11152" t="s">
        <v>991</v>
      </c>
      <c r="H11152" t="s">
        <v>20</v>
      </c>
      <c r="I11152" t="s">
        <v>21776</v>
      </c>
      <c r="J11152" t="str">
        <f>HYPERLINK("https://www.boe.es/gazeta/dias/1822/12/23/pdfs/GMD-1822-373.pdf#page=6","Abrir facsímil")</f>
        <v>Abrir facsímil</v>
      </c>
      <c r="K11152" t="s">
        <v>22</v>
      </c>
    </row>
    <row r="11153" spans="1:11" ht="42" customHeight="1">
      <c r="A11153" t="s">
        <v>21777</v>
      </c>
      <c r="B11153" t="s">
        <v>21777</v>
      </c>
      <c r="C11153" t="s">
        <v>50</v>
      </c>
      <c r="D11153" t="s">
        <v>51</v>
      </c>
      <c r="E11153" s="6">
        <v>-28324</v>
      </c>
      <c r="F11153" t="s">
        <v>305</v>
      </c>
      <c r="G11153" t="s">
        <v>63</v>
      </c>
      <c r="H11153" t="s">
        <v>20</v>
      </c>
      <c r="I11153" t="s">
        <v>21778</v>
      </c>
      <c r="J11153" t="str">
        <f>HYPERLINK("https://www.boe.es/gazeta/dias/1822/06/13/pdfs/GMD-1822-170.pdf#page=6","Abrir facsímil")</f>
        <v>Abrir facsímil</v>
      </c>
      <c r="K11153" t="s">
        <v>22</v>
      </c>
    </row>
    <row r="11154" spans="1:11" ht="42" customHeight="1">
      <c r="A11154" t="s">
        <v>21779</v>
      </c>
      <c r="B11154" t="s">
        <v>21780</v>
      </c>
      <c r="C11154" t="s">
        <v>50</v>
      </c>
      <c r="D11154" t="s">
        <v>51</v>
      </c>
      <c r="E11154" s="6">
        <v>-28320</v>
      </c>
      <c r="F11154" t="s">
        <v>700</v>
      </c>
      <c r="G11154" t="s">
        <v>63</v>
      </c>
      <c r="H11154" t="s">
        <v>20</v>
      </c>
      <c r="I11154" t="s">
        <v>21781</v>
      </c>
      <c r="J11154" t="str">
        <f>HYPERLINK("https://www.boe.es/gazeta/dias/1822/06/17/pdfs/GMD-1822-174.pdf#page=6","Abrir facsímil")</f>
        <v>Abrir facsímil</v>
      </c>
      <c r="K11154" t="s">
        <v>22</v>
      </c>
    </row>
    <row r="11155" spans="1:11" ht="42" customHeight="1">
      <c r="A11155" t="s">
        <v>21782</v>
      </c>
      <c r="B11155" t="s">
        <v>21783</v>
      </c>
      <c r="C11155" t="s">
        <v>50</v>
      </c>
      <c r="D11155" t="s">
        <v>51</v>
      </c>
      <c r="E11155" s="6">
        <v>-28241</v>
      </c>
      <c r="F11155" t="s">
        <v>3068</v>
      </c>
      <c r="G11155" t="s">
        <v>35</v>
      </c>
      <c r="H11155" t="s">
        <v>20</v>
      </c>
      <c r="I11155" t="s">
        <v>21784</v>
      </c>
      <c r="J11155" t="str">
        <f>HYPERLINK("https://www.boe.es/gazeta/dias/1822/09/04/pdfs/GMD-1822-259.pdf#page=2","Abrir facsímil")</f>
        <v>Abrir facsímil</v>
      </c>
      <c r="K11155" t="s">
        <v>22</v>
      </c>
    </row>
    <row r="11156" spans="1:11" ht="42" customHeight="1">
      <c r="A11156" t="s">
        <v>21785</v>
      </c>
      <c r="B11156" t="s">
        <v>21786</v>
      </c>
      <c r="C11156" t="s">
        <v>50</v>
      </c>
      <c r="D11156" t="s">
        <v>51</v>
      </c>
      <c r="E11156" s="6">
        <v>-28385</v>
      </c>
      <c r="F11156" t="s">
        <v>484</v>
      </c>
      <c r="G11156" t="s">
        <v>44</v>
      </c>
      <c r="H11156" t="s">
        <v>20</v>
      </c>
      <c r="I11156" t="s">
        <v>21787</v>
      </c>
      <c r="J11156" t="str">
        <f>HYPERLINK("https://www.boe.es/gazeta/dias/1822/04/13/pdfs/GMD-1822-105.pdf#page=1","Abrir facsímil")</f>
        <v>Abrir facsímil</v>
      </c>
      <c r="K11156" t="s">
        <v>22</v>
      </c>
    </row>
    <row r="11157" spans="1:11" ht="42" customHeight="1">
      <c r="A11157" t="s">
        <v>21788</v>
      </c>
      <c r="B11157" t="s">
        <v>21789</v>
      </c>
      <c r="C11157" t="s">
        <v>50</v>
      </c>
      <c r="D11157" t="s">
        <v>51</v>
      </c>
      <c r="E11157" s="6">
        <v>-28278</v>
      </c>
      <c r="F11157" t="s">
        <v>368</v>
      </c>
      <c r="G11157" t="s">
        <v>35</v>
      </c>
      <c r="H11157" t="s">
        <v>20</v>
      </c>
      <c r="I11157" t="s">
        <v>21790</v>
      </c>
      <c r="J11157" t="str">
        <f>HYPERLINK("https://www.boe.es/gazeta/dias/1822/07/29/pdfs/GMD-1822-222.pdf#page=2","Abrir facsímil")</f>
        <v>Abrir facsímil</v>
      </c>
      <c r="K11157" t="s">
        <v>22</v>
      </c>
    </row>
    <row r="11158" spans="1:11" ht="42" customHeight="1">
      <c r="A11158" t="s">
        <v>21788</v>
      </c>
      <c r="B11158" t="s">
        <v>21789</v>
      </c>
      <c r="C11158" t="s">
        <v>42</v>
      </c>
      <c r="D11158" t="s">
        <v>17</v>
      </c>
      <c r="E11158" s="6">
        <v>-28217</v>
      </c>
      <c r="F11158" t="s">
        <v>1892</v>
      </c>
      <c r="G11158" t="s">
        <v>1952</v>
      </c>
      <c r="H11158" t="s">
        <v>20</v>
      </c>
      <c r="I11158" t="s">
        <v>21791</v>
      </c>
      <c r="J11158" t="str">
        <f>HYPERLINK("https://www.boe.es/gazeta/dias/1822/09/28/pdfs/GMD-1822-284.pdf#page=2","Abrir facsímil")</f>
        <v>Abrir facsímil</v>
      </c>
      <c r="K11158" t="s">
        <v>22</v>
      </c>
    </row>
    <row r="11159" spans="1:11" ht="42" customHeight="1">
      <c r="A11159" t="s">
        <v>21792</v>
      </c>
      <c r="B11159" t="s">
        <v>21793</v>
      </c>
      <c r="C11159" t="s">
        <v>42</v>
      </c>
      <c r="D11159" t="s">
        <v>17</v>
      </c>
      <c r="E11159" s="6">
        <v>-28346</v>
      </c>
      <c r="F11159" t="s">
        <v>191</v>
      </c>
      <c r="G11159" t="s">
        <v>63</v>
      </c>
      <c r="H11159" t="s">
        <v>20</v>
      </c>
      <c r="I11159" t="s">
        <v>21794</v>
      </c>
      <c r="J11159" t="str">
        <f>HYPERLINK("https://www.boe.es/gazeta/dias/1822/05/22/pdfs/GMD-1822-145.pdf#page=6","Abrir facsímil")</f>
        <v>Abrir facsímil</v>
      </c>
      <c r="K11159" t="s">
        <v>22</v>
      </c>
    </row>
    <row r="11160" spans="1:11" ht="42" customHeight="1">
      <c r="A11160" t="s">
        <v>21795</v>
      </c>
      <c r="B11160" t="s">
        <v>21796</v>
      </c>
      <c r="C11160" t="s">
        <v>71</v>
      </c>
      <c r="D11160" t="s">
        <v>17</v>
      </c>
      <c r="E11160" s="6">
        <v>-28475</v>
      </c>
      <c r="F11160" t="s">
        <v>1205</v>
      </c>
      <c r="G11160" t="s">
        <v>31</v>
      </c>
      <c r="H11160" t="s">
        <v>20</v>
      </c>
      <c r="I11160" t="s">
        <v>21797</v>
      </c>
      <c r="J11160" t="str">
        <f>HYPERLINK("https://www.boe.es/gazeta/dias/1822/01/13/pdfs/GMD-1822-13.pdf#page=3","Abrir facsímil")</f>
        <v>Abrir facsímil</v>
      </c>
      <c r="K11160" t="s">
        <v>22</v>
      </c>
    </row>
    <row r="11161" spans="1:11" ht="42" customHeight="1">
      <c r="A11161" t="s">
        <v>21798</v>
      </c>
      <c r="B11161" t="s">
        <v>21799</v>
      </c>
      <c r="C11161" t="s">
        <v>50</v>
      </c>
      <c r="D11161" t="s">
        <v>51</v>
      </c>
      <c r="E11161" s="6">
        <v>-28322</v>
      </c>
      <c r="F11161" t="s">
        <v>2205</v>
      </c>
      <c r="G11161" t="s">
        <v>57</v>
      </c>
      <c r="H11161" t="s">
        <v>20</v>
      </c>
      <c r="I11161" t="s">
        <v>21800</v>
      </c>
      <c r="J11161" t="str">
        <f>HYPERLINK("https://www.boe.es/gazeta/dias/1822/06/15/pdfs/GMD-1822-172.pdf#page=4","Abrir facsímil")</f>
        <v>Abrir facsímil</v>
      </c>
      <c r="K11161" t="s">
        <v>22</v>
      </c>
    </row>
    <row r="11162" spans="1:11" ht="42" customHeight="1">
      <c r="A11162" t="s">
        <v>21801</v>
      </c>
      <c r="B11162" t="s">
        <v>21802</v>
      </c>
      <c r="C11162" t="s">
        <v>42</v>
      </c>
      <c r="D11162" t="s">
        <v>17</v>
      </c>
      <c r="E11162" s="6">
        <v>-28451</v>
      </c>
      <c r="F11162" t="s">
        <v>1674</v>
      </c>
      <c r="G11162" t="s">
        <v>63</v>
      </c>
      <c r="H11162" t="s">
        <v>20</v>
      </c>
      <c r="I11162" t="s">
        <v>21803</v>
      </c>
      <c r="J11162" t="str">
        <f>HYPERLINK("https://www.boe.es/gazeta/dias/1822/02/06/pdfs/GMD-1822-37.pdf#page=6","Abrir facsímil")</f>
        <v>Abrir facsímil</v>
      </c>
      <c r="K11162" t="s">
        <v>22</v>
      </c>
    </row>
    <row r="11163" spans="1:11" ht="42" customHeight="1">
      <c r="A11163" t="s">
        <v>21804</v>
      </c>
      <c r="B11163" t="s">
        <v>21805</v>
      </c>
      <c r="C11163" t="s">
        <v>42</v>
      </c>
      <c r="D11163" t="s">
        <v>17</v>
      </c>
      <c r="E11163" s="6">
        <v>-28378</v>
      </c>
      <c r="F11163" t="s">
        <v>496</v>
      </c>
      <c r="G11163" t="s">
        <v>57</v>
      </c>
      <c r="H11163" t="s">
        <v>20</v>
      </c>
      <c r="I11163" t="s">
        <v>21806</v>
      </c>
      <c r="J11163" t="str">
        <f>HYPERLINK("https://www.boe.es/gazeta/dias/1822/04/20/pdfs/GMD-1822-112.pdf#page=4","Abrir facsímil")</f>
        <v>Abrir facsímil</v>
      </c>
      <c r="K11163" t="s">
        <v>22</v>
      </c>
    </row>
    <row r="11164" spans="1:11" ht="42" customHeight="1">
      <c r="A11164" t="s">
        <v>21807</v>
      </c>
      <c r="B11164" t="s">
        <v>21808</v>
      </c>
      <c r="C11164" t="s">
        <v>28</v>
      </c>
      <c r="D11164" t="s">
        <v>29</v>
      </c>
      <c r="E11164" s="6">
        <v>-28360</v>
      </c>
      <c r="F11164" t="s">
        <v>514</v>
      </c>
      <c r="G11164" t="s">
        <v>57</v>
      </c>
      <c r="H11164" t="s">
        <v>20</v>
      </c>
      <c r="I11164" t="s">
        <v>21809</v>
      </c>
      <c r="J11164" t="str">
        <f>HYPERLINK("https://www.boe.es/gazeta/dias/1822/05/08/pdfs/GMD-1822-130.pdf#page=4","Abrir facsímil")</f>
        <v>Abrir facsímil</v>
      </c>
      <c r="K11164" t="s">
        <v>22</v>
      </c>
    </row>
    <row r="11165" spans="1:11" ht="42" customHeight="1">
      <c r="A11165" t="s">
        <v>21810</v>
      </c>
      <c r="B11165" t="s">
        <v>21811</v>
      </c>
      <c r="C11165" t="s">
        <v>28</v>
      </c>
      <c r="D11165" t="s">
        <v>29</v>
      </c>
      <c r="E11165" s="6">
        <v>-28272</v>
      </c>
      <c r="F11165" t="s">
        <v>52</v>
      </c>
      <c r="G11165" t="s">
        <v>57</v>
      </c>
      <c r="H11165" t="s">
        <v>45</v>
      </c>
      <c r="I11165" t="s">
        <v>21812</v>
      </c>
      <c r="J11165" t="str">
        <f>HYPERLINK("https://www.boe.es/gazeta/dias/1822/08/04/pdfs/GMD-1822-228.pdf#page=4","Abrir facsímil")</f>
        <v>Abrir facsímil</v>
      </c>
      <c r="K11165" t="s">
        <v>47</v>
      </c>
    </row>
    <row r="11166" spans="1:11" ht="42" customHeight="1">
      <c r="A11166" t="s">
        <v>21813</v>
      </c>
      <c r="B11166" t="s">
        <v>21814</v>
      </c>
      <c r="C11166" t="s">
        <v>42</v>
      </c>
      <c r="D11166" t="s">
        <v>17</v>
      </c>
      <c r="E11166" s="6">
        <v>-28234</v>
      </c>
      <c r="F11166" t="s">
        <v>1331</v>
      </c>
      <c r="G11166" t="s">
        <v>35</v>
      </c>
      <c r="H11166" t="s">
        <v>20</v>
      </c>
      <c r="I11166" t="s">
        <v>21815</v>
      </c>
      <c r="J11166" t="str">
        <f>HYPERLINK("https://www.boe.es/gazeta/dias/1822/09/11/pdfs/GMD-1822-267.pdf#page=2","Abrir facsímil")</f>
        <v>Abrir facsímil</v>
      </c>
      <c r="K11166" t="s">
        <v>22</v>
      </c>
    </row>
    <row r="11167" spans="1:11" ht="42" customHeight="1">
      <c r="A11167" t="s">
        <v>21816</v>
      </c>
      <c r="B11167" t="s">
        <v>21817</v>
      </c>
      <c r="C11167" t="s">
        <v>42</v>
      </c>
      <c r="D11167" t="s">
        <v>17</v>
      </c>
      <c r="E11167" s="6">
        <v>-28230</v>
      </c>
      <c r="F11167" t="s">
        <v>1735</v>
      </c>
      <c r="G11167" t="s">
        <v>57</v>
      </c>
      <c r="H11167" t="s">
        <v>45</v>
      </c>
      <c r="I11167" t="s">
        <v>21818</v>
      </c>
      <c r="J11167" t="str">
        <f>HYPERLINK("https://www.boe.es/gazeta/dias/1822/09/15/pdfs/GMD-1822-271.pdf#page=4","Abrir facsímil")</f>
        <v>Abrir facsímil</v>
      </c>
      <c r="K11167" t="s">
        <v>47</v>
      </c>
    </row>
    <row r="11168" spans="1:11" ht="42" customHeight="1">
      <c r="A11168" t="s">
        <v>21819</v>
      </c>
      <c r="B11168" t="s">
        <v>21820</v>
      </c>
      <c r="C11168" t="s">
        <v>42</v>
      </c>
      <c r="D11168" t="s">
        <v>17</v>
      </c>
      <c r="E11168" s="6">
        <v>-28279</v>
      </c>
      <c r="F11168" t="s">
        <v>662</v>
      </c>
      <c r="G11168" t="s">
        <v>35</v>
      </c>
      <c r="H11168" t="s">
        <v>20</v>
      </c>
      <c r="I11168" t="s">
        <v>21821</v>
      </c>
      <c r="J11168" t="str">
        <f>HYPERLINK("https://www.boe.es/gazeta/dias/1822/07/28/pdfs/GMD-1822-221.pdf#page=2","Abrir facsímil")</f>
        <v>Abrir facsímil</v>
      </c>
      <c r="K11168" t="s">
        <v>22</v>
      </c>
    </row>
    <row r="11169" spans="1:11" ht="42" customHeight="1">
      <c r="A11169" t="s">
        <v>21822</v>
      </c>
      <c r="B11169" t="s">
        <v>21823</v>
      </c>
      <c r="C11169" t="s">
        <v>50</v>
      </c>
      <c r="D11169" t="s">
        <v>51</v>
      </c>
      <c r="E11169" s="6">
        <v>-28154</v>
      </c>
      <c r="F11169" t="s">
        <v>2321</v>
      </c>
      <c r="G11169" t="s">
        <v>3913</v>
      </c>
      <c r="H11169" t="s">
        <v>20</v>
      </c>
      <c r="I11169" t="s">
        <v>21824</v>
      </c>
      <c r="J11169" t="str">
        <f>HYPERLINK("https://www.boe.es/gazeta/dias/1822/11/30/pdfs/GMD-1822-350.pdf#page=4","Abrir facsímil")</f>
        <v>Abrir facsímil</v>
      </c>
      <c r="K11169" t="s">
        <v>22</v>
      </c>
    </row>
    <row r="11170" spans="1:11" ht="42" customHeight="1">
      <c r="A11170" t="s">
        <v>21825</v>
      </c>
      <c r="B11170" t="s">
        <v>21826</v>
      </c>
      <c r="C11170" t="s">
        <v>50</v>
      </c>
      <c r="D11170" t="s">
        <v>51</v>
      </c>
      <c r="E11170" s="6">
        <v>-28308</v>
      </c>
      <c r="F11170" t="s">
        <v>1050</v>
      </c>
      <c r="G11170" t="s">
        <v>157</v>
      </c>
      <c r="H11170" t="s">
        <v>20</v>
      </c>
      <c r="I11170" t="s">
        <v>21827</v>
      </c>
      <c r="J11170" t="str">
        <f>HYPERLINK("https://www.boe.es/gazeta/dias/1822/06/29/pdfs/GMD-1822-187.pdf#page=8","Abrir facsímil")</f>
        <v>Abrir facsímil</v>
      </c>
      <c r="K11170" t="s">
        <v>22</v>
      </c>
    </row>
    <row r="11171" spans="1:11" ht="42" customHeight="1">
      <c r="A11171" t="s">
        <v>21825</v>
      </c>
      <c r="B11171" t="s">
        <v>21826</v>
      </c>
      <c r="C11171" t="s">
        <v>50</v>
      </c>
      <c r="D11171" t="s">
        <v>51</v>
      </c>
      <c r="E11171" s="6">
        <v>-28293</v>
      </c>
      <c r="F11171" t="s">
        <v>152</v>
      </c>
      <c r="G11171" t="s">
        <v>31</v>
      </c>
      <c r="H11171" t="s">
        <v>20</v>
      </c>
      <c r="I11171" t="s">
        <v>21828</v>
      </c>
      <c r="J11171" t="str">
        <f>HYPERLINK("https://www.boe.es/gazeta/dias/1822/07/14/pdfs/GMD-1822-204.pdf#page=3","Abrir facsímil")</f>
        <v>Abrir facsímil</v>
      </c>
      <c r="K11171" t="s">
        <v>22</v>
      </c>
    </row>
    <row r="11172" spans="1:11" ht="42" customHeight="1">
      <c r="A11172" t="s">
        <v>21829</v>
      </c>
      <c r="B11172" t="s">
        <v>21829</v>
      </c>
      <c r="C11172" t="s">
        <v>71</v>
      </c>
      <c r="D11172" t="s">
        <v>17</v>
      </c>
      <c r="E11172" s="6">
        <v>-28428</v>
      </c>
      <c r="F11172" t="s">
        <v>1924</v>
      </c>
      <c r="G11172" t="s">
        <v>35</v>
      </c>
      <c r="H11172" t="s">
        <v>20</v>
      </c>
      <c r="I11172" t="s">
        <v>21830</v>
      </c>
      <c r="J11172" t="str">
        <f>HYPERLINK("https://www.boe.es/gazeta/dias/1822/03/01/pdfs/GMD-1822-61.pdf#page=2","Abrir facsímil")</f>
        <v>Abrir facsímil</v>
      </c>
      <c r="K11172" t="s">
        <v>22</v>
      </c>
    </row>
    <row r="11173" spans="1:11" ht="42" customHeight="1">
      <c r="A11173" t="s">
        <v>21831</v>
      </c>
      <c r="B11173" t="s">
        <v>21832</v>
      </c>
      <c r="C11173" t="s">
        <v>50</v>
      </c>
      <c r="D11173" t="s">
        <v>51</v>
      </c>
      <c r="E11173" s="6">
        <v>-28284</v>
      </c>
      <c r="F11173" t="s">
        <v>6484</v>
      </c>
      <c r="G11173" t="s">
        <v>31</v>
      </c>
      <c r="H11173" t="s">
        <v>20</v>
      </c>
      <c r="I11173" t="s">
        <v>21833</v>
      </c>
      <c r="J11173" t="str">
        <f>HYPERLINK("https://www.boe.es/gazeta/dias/1822/07/23/pdfs/GMD-1822-216.pdf#page=3","Abrir facsímil")</f>
        <v>Abrir facsímil</v>
      </c>
      <c r="K11173" t="s">
        <v>22</v>
      </c>
    </row>
    <row r="11174" spans="1:11" ht="42" customHeight="1">
      <c r="A11174" t="s">
        <v>21831</v>
      </c>
      <c r="B11174" t="s">
        <v>21832</v>
      </c>
      <c r="C11174" t="s">
        <v>42</v>
      </c>
      <c r="D11174" t="s">
        <v>17</v>
      </c>
      <c r="E11174" s="6">
        <v>-28284</v>
      </c>
      <c r="F11174" t="s">
        <v>6484</v>
      </c>
      <c r="G11174" t="s">
        <v>57</v>
      </c>
      <c r="H11174" t="s">
        <v>20</v>
      </c>
      <c r="I11174" t="s">
        <v>21834</v>
      </c>
      <c r="J11174" t="str">
        <f>HYPERLINK("https://www.boe.es/gazeta/dias/1822/07/23/pdfs/GMD-1822-216.pdf#page=4","Abrir facsímil")</f>
        <v>Abrir facsímil</v>
      </c>
      <c r="K11174" t="s">
        <v>22</v>
      </c>
    </row>
    <row r="11175" spans="1:11" ht="42" customHeight="1">
      <c r="A11175" t="s">
        <v>21831</v>
      </c>
      <c r="B11175" t="s">
        <v>21832</v>
      </c>
      <c r="C11175" t="s">
        <v>71</v>
      </c>
      <c r="D11175" t="s">
        <v>17</v>
      </c>
      <c r="E11175" s="6">
        <v>-28197</v>
      </c>
      <c r="F11175" t="s">
        <v>568</v>
      </c>
      <c r="G11175" t="s">
        <v>44</v>
      </c>
      <c r="H11175" t="s">
        <v>20</v>
      </c>
      <c r="I11175" t="s">
        <v>21835</v>
      </c>
      <c r="J11175" t="str">
        <f>HYPERLINK("https://www.boe.es/gazeta/dias/1822/10/18/pdfs/GMD-1822-305.pdf#page=1","Abrir facsímil")</f>
        <v>Abrir facsímil</v>
      </c>
      <c r="K11175" t="s">
        <v>22</v>
      </c>
    </row>
    <row r="11176" spans="1:11" ht="42" customHeight="1">
      <c r="A11176" t="s">
        <v>21836</v>
      </c>
      <c r="B11176" t="s">
        <v>21837</v>
      </c>
      <c r="C11176" t="s">
        <v>50</v>
      </c>
      <c r="D11176" t="s">
        <v>51</v>
      </c>
      <c r="E11176" s="6">
        <v>-28290</v>
      </c>
      <c r="F11176" t="s">
        <v>706</v>
      </c>
      <c r="G11176" t="s">
        <v>57</v>
      </c>
      <c r="H11176" t="s">
        <v>20</v>
      </c>
      <c r="I11176" t="s">
        <v>21838</v>
      </c>
      <c r="J11176" t="str">
        <f>HYPERLINK("https://www.boe.es/gazeta/dias/1822/07/17/pdfs/GMD-1822-207.pdf#page=4","Abrir facsímil")</f>
        <v>Abrir facsímil</v>
      </c>
      <c r="K11176" t="s">
        <v>22</v>
      </c>
    </row>
    <row r="11177" spans="1:11" ht="42" customHeight="1">
      <c r="A11177" t="s">
        <v>21839</v>
      </c>
      <c r="B11177" t="s">
        <v>21840</v>
      </c>
      <c r="C11177" t="s">
        <v>50</v>
      </c>
      <c r="D11177" t="s">
        <v>51</v>
      </c>
      <c r="E11177" s="6">
        <v>-28219</v>
      </c>
      <c r="F11177" t="s">
        <v>1082</v>
      </c>
      <c r="G11177" t="s">
        <v>31</v>
      </c>
      <c r="H11177" t="s">
        <v>45</v>
      </c>
      <c r="I11177" t="s">
        <v>21841</v>
      </c>
      <c r="J11177" t="str">
        <f>HYPERLINK("https://www.boe.es/gazeta/dias/1822/09/26/pdfs/GMD-1822-282.pdf#page=3","Abrir facsímil")</f>
        <v>Abrir facsímil</v>
      </c>
      <c r="K11177" t="s">
        <v>47</v>
      </c>
    </row>
    <row r="11178" spans="1:11" ht="42" customHeight="1">
      <c r="A11178" t="s">
        <v>21842</v>
      </c>
      <c r="B11178" t="s">
        <v>21843</v>
      </c>
      <c r="C11178" t="s">
        <v>16</v>
      </c>
      <c r="D11178" t="s">
        <v>17</v>
      </c>
      <c r="E11178" s="6">
        <v>-28382</v>
      </c>
      <c r="F11178" t="s">
        <v>973</v>
      </c>
      <c r="G11178" t="s">
        <v>63</v>
      </c>
      <c r="H11178" t="s">
        <v>20</v>
      </c>
      <c r="I11178" t="s">
        <v>21844</v>
      </c>
      <c r="J11178" t="str">
        <f>HYPERLINK("https://www.boe.es/gazeta/dias/1822/04/16/pdfs/GMD-1822-108.pdf#page=6","Abrir facsímil")</f>
        <v>Abrir facsímil</v>
      </c>
      <c r="K11178" t="s">
        <v>22</v>
      </c>
    </row>
    <row r="11179" spans="1:11" ht="42" customHeight="1">
      <c r="A11179" t="s">
        <v>21845</v>
      </c>
      <c r="B11179" t="s">
        <v>21845</v>
      </c>
      <c r="C11179" t="s">
        <v>50</v>
      </c>
      <c r="D11179" t="s">
        <v>51</v>
      </c>
      <c r="E11179" s="6">
        <v>-28358</v>
      </c>
      <c r="F11179" t="s">
        <v>211</v>
      </c>
      <c r="G11179" t="s">
        <v>157</v>
      </c>
      <c r="H11179" t="s">
        <v>20</v>
      </c>
      <c r="I11179" t="s">
        <v>21846</v>
      </c>
      <c r="J11179" t="str">
        <f>HYPERLINK("https://www.boe.es/gazeta/dias/1822/05/10/pdfs/GMD-1822-132.pdf#page=8","Abrir facsímil")</f>
        <v>Abrir facsímil</v>
      </c>
      <c r="K11179" t="s">
        <v>22</v>
      </c>
    </row>
    <row r="11180" spans="1:11" ht="42" customHeight="1">
      <c r="A11180" t="s">
        <v>21847</v>
      </c>
      <c r="B11180" t="s">
        <v>21848</v>
      </c>
      <c r="C11180" t="s">
        <v>50</v>
      </c>
      <c r="D11180" t="s">
        <v>51</v>
      </c>
      <c r="E11180" s="6">
        <v>-28383</v>
      </c>
      <c r="F11180" t="s">
        <v>488</v>
      </c>
      <c r="G11180" t="s">
        <v>63</v>
      </c>
      <c r="H11180" t="s">
        <v>20</v>
      </c>
      <c r="I11180" t="s">
        <v>21849</v>
      </c>
      <c r="J11180" t="str">
        <f>HYPERLINK("https://www.boe.es/gazeta/dias/1822/04/15/pdfs/GMD-1822-107.pdf#page=6","Abrir facsímil")</f>
        <v>Abrir facsímil</v>
      </c>
      <c r="K11180" t="s">
        <v>22</v>
      </c>
    </row>
    <row r="11181" spans="1:11" ht="42" customHeight="1">
      <c r="A11181" t="s">
        <v>21850</v>
      </c>
      <c r="B11181" t="s">
        <v>21851</v>
      </c>
      <c r="C11181" t="s">
        <v>16</v>
      </c>
      <c r="D11181" t="s">
        <v>17</v>
      </c>
      <c r="E11181" s="6">
        <v>-28474</v>
      </c>
      <c r="F11181" t="s">
        <v>30</v>
      </c>
      <c r="G11181" t="s">
        <v>31</v>
      </c>
      <c r="H11181" t="s">
        <v>20</v>
      </c>
      <c r="I11181" t="s">
        <v>21852</v>
      </c>
      <c r="J11181" t="str">
        <f>HYPERLINK("https://www.boe.es/gazeta/dias/1822/01/14/pdfs/GMD-1822-14.pdf#page=3","Abrir facsímil")</f>
        <v>Abrir facsímil</v>
      </c>
      <c r="K11181" t="s">
        <v>22</v>
      </c>
    </row>
    <row r="11182" spans="1:11" ht="42" customHeight="1">
      <c r="A11182" t="s">
        <v>21853</v>
      </c>
      <c r="B11182" t="s">
        <v>21854</v>
      </c>
      <c r="C11182" t="s">
        <v>362</v>
      </c>
      <c r="D11182" t="s">
        <v>17</v>
      </c>
      <c r="E11182" s="6">
        <v>-28254</v>
      </c>
      <c r="F11182" t="s">
        <v>3557</v>
      </c>
      <c r="G11182" t="s">
        <v>57</v>
      </c>
      <c r="H11182" t="s">
        <v>20</v>
      </c>
      <c r="I11182" t="s">
        <v>21855</v>
      </c>
      <c r="J11182" t="str">
        <f>HYPERLINK("https://www.boe.es/gazeta/dias/1822/08/22/pdfs/GMD-1822-246.pdf#page=4","Abrir facsímil")</f>
        <v>Abrir facsímil</v>
      </c>
      <c r="K11182" t="s">
        <v>22</v>
      </c>
    </row>
    <row r="11183" spans="1:11" ht="42" customHeight="1">
      <c r="A11183" t="s">
        <v>21856</v>
      </c>
      <c r="B11183" t="s">
        <v>21857</v>
      </c>
      <c r="C11183" t="s">
        <v>16</v>
      </c>
      <c r="D11183" t="s">
        <v>17</v>
      </c>
      <c r="E11183" s="6">
        <v>-28408</v>
      </c>
      <c r="F11183" t="s">
        <v>2561</v>
      </c>
      <c r="G11183" t="s">
        <v>63</v>
      </c>
      <c r="H11183" t="s">
        <v>20</v>
      </c>
      <c r="I11183" t="s">
        <v>21858</v>
      </c>
      <c r="J11183" t="str">
        <f>HYPERLINK("https://www.boe.es/gazeta/dias/1822/03/21/pdfs/GMD-1822-82.pdf#page=6","Abrir facsímil")</f>
        <v>Abrir facsímil</v>
      </c>
      <c r="K11183" t="s">
        <v>22</v>
      </c>
    </row>
    <row r="11184" spans="1:11" ht="42" customHeight="1">
      <c r="A11184" t="s">
        <v>21859</v>
      </c>
      <c r="B11184" t="s">
        <v>21860</v>
      </c>
      <c r="C11184" t="s">
        <v>28</v>
      </c>
      <c r="D11184" t="s">
        <v>29</v>
      </c>
      <c r="E11184" s="6">
        <v>-28294</v>
      </c>
      <c r="F11184" t="s">
        <v>2298</v>
      </c>
      <c r="G11184" t="s">
        <v>35</v>
      </c>
      <c r="H11184" t="s">
        <v>20</v>
      </c>
      <c r="I11184" t="s">
        <v>21861</v>
      </c>
      <c r="J11184" t="str">
        <f>HYPERLINK("https://www.boe.es/gazeta/dias/1822/07/13/pdfs/GMD-1822-203.pdf#page=2","Abrir facsímil")</f>
        <v>Abrir facsímil</v>
      </c>
      <c r="K11184" t="s">
        <v>22</v>
      </c>
    </row>
    <row r="11185" spans="1:11" ht="42" customHeight="1">
      <c r="A11185" t="s">
        <v>21862</v>
      </c>
      <c r="B11185" t="s">
        <v>21862</v>
      </c>
      <c r="C11185" t="s">
        <v>28</v>
      </c>
      <c r="D11185" t="s">
        <v>29</v>
      </c>
      <c r="E11185" s="6">
        <v>-28182</v>
      </c>
      <c r="F11185" t="s">
        <v>585</v>
      </c>
      <c r="G11185" t="s">
        <v>57</v>
      </c>
      <c r="H11185" t="s">
        <v>20</v>
      </c>
      <c r="I11185" t="s">
        <v>21863</v>
      </c>
      <c r="J11185" t="str">
        <f>HYPERLINK("https://www.boe.es/gazeta/dias/1822/11/02/pdfs/GMD-1822-320.pdf#page=4","Abrir facsímil")</f>
        <v>Abrir facsímil</v>
      </c>
      <c r="K11185" t="s">
        <v>22</v>
      </c>
    </row>
    <row r="11186" spans="1:11" ht="42" customHeight="1">
      <c r="A11186" t="s">
        <v>21864</v>
      </c>
      <c r="B11186" t="s">
        <v>21865</v>
      </c>
      <c r="C11186" t="s">
        <v>16</v>
      </c>
      <c r="D11186" t="s">
        <v>17</v>
      </c>
      <c r="E11186" s="6">
        <v>-28258</v>
      </c>
      <c r="F11186" t="s">
        <v>88</v>
      </c>
      <c r="G11186" t="s">
        <v>57</v>
      </c>
      <c r="H11186" t="s">
        <v>20</v>
      </c>
      <c r="I11186" t="s">
        <v>21866</v>
      </c>
      <c r="J11186" t="str">
        <f>HYPERLINK("https://www.boe.es/gazeta/dias/1822/08/18/pdfs/GMD-1822-242.pdf#page=4","Abrir facsímil")</f>
        <v>Abrir facsímil</v>
      </c>
      <c r="K11186" t="s">
        <v>22</v>
      </c>
    </row>
    <row r="11187" spans="1:11" ht="42" customHeight="1">
      <c r="A11187" t="s">
        <v>21867</v>
      </c>
      <c r="B11187" t="s">
        <v>21868</v>
      </c>
      <c r="C11187" t="s">
        <v>42</v>
      </c>
      <c r="D11187" t="s">
        <v>17</v>
      </c>
      <c r="E11187" s="6">
        <v>-28238</v>
      </c>
      <c r="F11187" t="s">
        <v>2077</v>
      </c>
      <c r="G11187" t="s">
        <v>31</v>
      </c>
      <c r="H11187" t="s">
        <v>20</v>
      </c>
      <c r="I11187" t="s">
        <v>21869</v>
      </c>
      <c r="J11187" t="str">
        <f>HYPERLINK("https://www.boe.es/gazeta/dias/1822/09/07/pdfs/GMD-1822-262.pdf#page=3","Abrir facsímil")</f>
        <v>Abrir facsímil</v>
      </c>
      <c r="K11187" t="s">
        <v>22</v>
      </c>
    </row>
    <row r="11188" spans="1:11" ht="42" customHeight="1">
      <c r="A11188" t="s">
        <v>21870</v>
      </c>
      <c r="B11188" t="s">
        <v>21870</v>
      </c>
      <c r="C11188" t="s">
        <v>28</v>
      </c>
      <c r="D11188" t="s">
        <v>29</v>
      </c>
      <c r="E11188" s="6">
        <v>-28368</v>
      </c>
      <c r="F11188" t="s">
        <v>126</v>
      </c>
      <c r="G11188" t="s">
        <v>57</v>
      </c>
      <c r="H11188" t="s">
        <v>20</v>
      </c>
      <c r="I11188" t="s">
        <v>21871</v>
      </c>
      <c r="J11188" t="str">
        <f>HYPERLINK("https://www.boe.es/gazeta/dias/1822/04/30/pdfs/GMD-1822-122.pdf#page=4","Abrir facsímil")</f>
        <v>Abrir facsímil</v>
      </c>
      <c r="K11188" t="s">
        <v>22</v>
      </c>
    </row>
    <row r="11189" spans="1:11" ht="42" customHeight="1">
      <c r="A11189" t="s">
        <v>21872</v>
      </c>
      <c r="B11189" t="s">
        <v>21873</v>
      </c>
      <c r="C11189" t="s">
        <v>16</v>
      </c>
      <c r="D11189" t="s">
        <v>17</v>
      </c>
      <c r="E11189" s="6">
        <v>-28241</v>
      </c>
      <c r="F11189" t="s">
        <v>3068</v>
      </c>
      <c r="G11189" t="s">
        <v>57</v>
      </c>
      <c r="H11189" t="s">
        <v>20</v>
      </c>
      <c r="I11189" t="s">
        <v>21874</v>
      </c>
      <c r="J11189" t="str">
        <f>HYPERLINK("https://www.boe.es/gazeta/dias/1822/09/04/pdfs/GMD-1822-259.pdf#page=4","Abrir facsímil")</f>
        <v>Abrir facsímil</v>
      </c>
      <c r="K11189" t="s">
        <v>22</v>
      </c>
    </row>
    <row r="11190" spans="1:11" ht="42" customHeight="1">
      <c r="A11190" t="s">
        <v>21875</v>
      </c>
      <c r="B11190" t="s">
        <v>21875</v>
      </c>
      <c r="C11190" t="s">
        <v>50</v>
      </c>
      <c r="D11190" t="s">
        <v>51</v>
      </c>
      <c r="E11190" s="6">
        <v>-28328</v>
      </c>
      <c r="F11190" t="s">
        <v>540</v>
      </c>
      <c r="G11190" t="s">
        <v>541</v>
      </c>
      <c r="H11190" t="s">
        <v>20</v>
      </c>
      <c r="I11190" t="s">
        <v>21876</v>
      </c>
      <c r="J11190" t="str">
        <f>HYPERLINK("https://www.boe.es/gazeta/dias/1822/06/09/pdfs/GMD-1822-166.pdf#page=4","Abrir facsímil")</f>
        <v>Abrir facsímil</v>
      </c>
      <c r="K11190" t="s">
        <v>22</v>
      </c>
    </row>
    <row r="11191" spans="1:11" ht="42" customHeight="1">
      <c r="A11191" t="s">
        <v>21877</v>
      </c>
      <c r="B11191" t="s">
        <v>21878</v>
      </c>
      <c r="C11191" t="s">
        <v>28</v>
      </c>
      <c r="D11191" t="s">
        <v>29</v>
      </c>
      <c r="E11191" s="6">
        <v>-28402</v>
      </c>
      <c r="F11191" t="s">
        <v>473</v>
      </c>
      <c r="G11191" t="s">
        <v>57</v>
      </c>
      <c r="H11191" t="s">
        <v>20</v>
      </c>
      <c r="I11191" t="s">
        <v>21879</v>
      </c>
      <c r="J11191" t="str">
        <f>HYPERLINK("https://www.boe.es/gazeta/dias/1822/03/27/pdfs/GMD-1822-88.pdf#page=4","Abrir facsímil")</f>
        <v>Abrir facsímil</v>
      </c>
      <c r="K11191" t="s">
        <v>22</v>
      </c>
    </row>
    <row r="11192" spans="1:11" ht="42" customHeight="1">
      <c r="A11192" t="s">
        <v>21880</v>
      </c>
      <c r="B11192" t="s">
        <v>21881</v>
      </c>
      <c r="C11192" t="s">
        <v>71</v>
      </c>
      <c r="D11192" t="s">
        <v>17</v>
      </c>
      <c r="E11192" s="6">
        <v>-28480</v>
      </c>
      <c r="F11192" t="s">
        <v>995</v>
      </c>
      <c r="G11192" t="s">
        <v>19</v>
      </c>
      <c r="H11192" t="s">
        <v>20</v>
      </c>
      <c r="I11192" t="s">
        <v>21882</v>
      </c>
      <c r="J11192" t="str">
        <f>HYPERLINK("https://www.boe.es/gazeta/dias/1822/01/08/pdfs/GMD-1822-8.pdf#page=5","Abrir facsímil")</f>
        <v>Abrir facsímil</v>
      </c>
      <c r="K11192" t="s">
        <v>22</v>
      </c>
    </row>
    <row r="11193" spans="1:11" ht="42" customHeight="1">
      <c r="A11193" t="s">
        <v>21883</v>
      </c>
      <c r="B11193" t="s">
        <v>21883</v>
      </c>
      <c r="C11193" t="s">
        <v>16</v>
      </c>
      <c r="D11193" t="s">
        <v>17</v>
      </c>
      <c r="E11193" s="6">
        <v>-28478</v>
      </c>
      <c r="F11193" t="s">
        <v>1093</v>
      </c>
      <c r="G11193" t="s">
        <v>44</v>
      </c>
      <c r="H11193" t="s">
        <v>20</v>
      </c>
      <c r="I11193" t="s">
        <v>21884</v>
      </c>
      <c r="J11193" t="str">
        <f>HYPERLINK("https://www.boe.es/gazeta/dias/1822/01/10/pdfs/GMD-1822-10.pdf#page=1","Abrir facsímil")</f>
        <v>Abrir facsímil</v>
      </c>
      <c r="K11193" t="s">
        <v>22</v>
      </c>
    </row>
    <row r="11194" spans="1:11" ht="42" customHeight="1">
      <c r="A11194" t="s">
        <v>21885</v>
      </c>
      <c r="B11194" t="s">
        <v>21886</v>
      </c>
      <c r="C11194" t="s">
        <v>61</v>
      </c>
      <c r="D11194" t="s">
        <v>17</v>
      </c>
      <c r="E11194" s="6">
        <v>-28243</v>
      </c>
      <c r="F11194" t="s">
        <v>1829</v>
      </c>
      <c r="G11194" t="s">
        <v>57</v>
      </c>
      <c r="H11194" t="s">
        <v>20</v>
      </c>
      <c r="I11194" t="s">
        <v>21887</v>
      </c>
      <c r="J11194" t="str">
        <f>HYPERLINK("https://www.boe.es/gazeta/dias/1822/09/02/pdfs/GMD-1822-257.pdf#page=4","Abrir facsímil")</f>
        <v>Abrir facsímil</v>
      </c>
      <c r="K11194" t="s">
        <v>22</v>
      </c>
    </row>
    <row r="11195" spans="1:11" ht="42" customHeight="1">
      <c r="A11195" t="s">
        <v>21888</v>
      </c>
      <c r="B11195" t="s">
        <v>21889</v>
      </c>
      <c r="C11195" t="s">
        <v>50</v>
      </c>
      <c r="D11195" t="s">
        <v>51</v>
      </c>
      <c r="E11195" s="6">
        <v>-28321</v>
      </c>
      <c r="F11195" t="s">
        <v>1142</v>
      </c>
      <c r="G11195" t="s">
        <v>63</v>
      </c>
      <c r="H11195" t="s">
        <v>20</v>
      </c>
      <c r="I11195" t="s">
        <v>21890</v>
      </c>
      <c r="J11195" t="str">
        <f>HYPERLINK("https://www.boe.es/gazeta/dias/1822/06/16/pdfs/GMD-1822-173.pdf#page=6","Abrir facsímil")</f>
        <v>Abrir facsímil</v>
      </c>
      <c r="K11195" t="s">
        <v>22</v>
      </c>
    </row>
    <row r="11196" spans="1:11" ht="42" customHeight="1">
      <c r="A11196" t="s">
        <v>21891</v>
      </c>
      <c r="B11196" t="s">
        <v>21891</v>
      </c>
      <c r="C11196" t="s">
        <v>42</v>
      </c>
      <c r="D11196" t="s">
        <v>17</v>
      </c>
      <c r="E11196" s="6">
        <v>-28156</v>
      </c>
      <c r="F11196" t="s">
        <v>1568</v>
      </c>
      <c r="G11196" t="s">
        <v>35</v>
      </c>
      <c r="H11196" t="s">
        <v>20</v>
      </c>
      <c r="I11196" t="s">
        <v>21892</v>
      </c>
      <c r="J11196" t="str">
        <f>HYPERLINK("https://www.boe.es/gazeta/dias/1822/11/28/pdfs/GMD-1822-348.pdf#page=2","Abrir facsímil")</f>
        <v>Abrir facsímil</v>
      </c>
      <c r="K11196" t="s">
        <v>22</v>
      </c>
    </row>
    <row r="11197" spans="1:11" ht="42" customHeight="1">
      <c r="A11197" t="s">
        <v>21891</v>
      </c>
      <c r="B11197" t="s">
        <v>21891</v>
      </c>
      <c r="C11197" t="s">
        <v>71</v>
      </c>
      <c r="D11197" t="s">
        <v>17</v>
      </c>
      <c r="E11197" s="6">
        <v>-28156</v>
      </c>
      <c r="F11197" t="s">
        <v>1568</v>
      </c>
      <c r="G11197" t="s">
        <v>31</v>
      </c>
      <c r="H11197" t="s">
        <v>20</v>
      </c>
      <c r="I11197" t="s">
        <v>21893</v>
      </c>
      <c r="J11197" t="str">
        <f>HYPERLINK("https://www.boe.es/gazeta/dias/1822/11/28/pdfs/GMD-1822-348.pdf#page=3","Abrir facsímil")</f>
        <v>Abrir facsímil</v>
      </c>
      <c r="K11197" t="s">
        <v>22</v>
      </c>
    </row>
    <row r="11198" spans="1:11" ht="42" customHeight="1">
      <c r="A11198" t="s">
        <v>21894</v>
      </c>
      <c r="B11198" t="s">
        <v>21895</v>
      </c>
      <c r="C11198" t="s">
        <v>50</v>
      </c>
      <c r="D11198" t="s">
        <v>51</v>
      </c>
      <c r="E11198" s="6">
        <v>-28415</v>
      </c>
      <c r="F11198" t="s">
        <v>77</v>
      </c>
      <c r="G11198" t="s">
        <v>19</v>
      </c>
      <c r="H11198" t="s">
        <v>20</v>
      </c>
      <c r="I11198" t="s">
        <v>21896</v>
      </c>
      <c r="J11198" t="str">
        <f>HYPERLINK("https://www.boe.es/gazeta/dias/1822/03/14/pdfs/GMD-1822-75.pdf#page=5","Abrir facsímil")</f>
        <v>Abrir facsímil</v>
      </c>
      <c r="K11198" t="s">
        <v>22</v>
      </c>
    </row>
    <row r="11199" spans="1:11" ht="42" customHeight="1">
      <c r="A11199" t="s">
        <v>21897</v>
      </c>
      <c r="B11199" t="s">
        <v>21898</v>
      </c>
      <c r="C11199" t="s">
        <v>50</v>
      </c>
      <c r="D11199" t="s">
        <v>51</v>
      </c>
      <c r="E11199" s="6">
        <v>-28479</v>
      </c>
      <c r="F11199" t="s">
        <v>1091</v>
      </c>
      <c r="G11199" t="s">
        <v>63</v>
      </c>
      <c r="H11199" t="s">
        <v>20</v>
      </c>
      <c r="I11199" t="s">
        <v>21899</v>
      </c>
      <c r="J11199" t="str">
        <f>HYPERLINK("https://www.boe.es/gazeta/dias/1822/01/09/pdfs/GMD-1822-9.pdf#page=6","Abrir facsímil")</f>
        <v>Abrir facsímil</v>
      </c>
      <c r="K11199" t="s">
        <v>22</v>
      </c>
    </row>
    <row r="11200" spans="1:11" ht="42" customHeight="1">
      <c r="A11200" t="s">
        <v>21900</v>
      </c>
      <c r="B11200" t="s">
        <v>21900</v>
      </c>
      <c r="C11200" t="s">
        <v>42</v>
      </c>
      <c r="D11200" t="s">
        <v>17</v>
      </c>
      <c r="E11200" s="6">
        <v>-28150</v>
      </c>
      <c r="F11200" t="s">
        <v>62</v>
      </c>
      <c r="G11200" t="s">
        <v>31</v>
      </c>
      <c r="H11200" t="s">
        <v>20</v>
      </c>
      <c r="I11200" t="s">
        <v>21901</v>
      </c>
      <c r="J11200" t="str">
        <f>HYPERLINK("https://www.boe.es/gazeta/dias/1822/12/04/pdfs/GMD-1822-354.pdf#page=3","Abrir facsímil")</f>
        <v>Abrir facsímil</v>
      </c>
      <c r="K11200" t="s">
        <v>22</v>
      </c>
    </row>
    <row r="11201" spans="1:11" ht="42" customHeight="1">
      <c r="A11201" t="s">
        <v>21902</v>
      </c>
      <c r="B11201" t="s">
        <v>21903</v>
      </c>
      <c r="C11201" t="s">
        <v>28</v>
      </c>
      <c r="D11201" t="s">
        <v>29</v>
      </c>
      <c r="E11201" s="6">
        <v>-28241</v>
      </c>
      <c r="F11201" t="s">
        <v>3068</v>
      </c>
      <c r="G11201" t="s">
        <v>57</v>
      </c>
      <c r="H11201" t="s">
        <v>20</v>
      </c>
      <c r="I11201" t="s">
        <v>21904</v>
      </c>
      <c r="J11201" t="str">
        <f>HYPERLINK("https://www.boe.es/gazeta/dias/1822/09/04/pdfs/GMD-1822-259.pdf#page=4","Abrir facsímil")</f>
        <v>Abrir facsímil</v>
      </c>
      <c r="K11201" t="s">
        <v>22</v>
      </c>
    </row>
    <row r="11202" spans="1:11" ht="42" customHeight="1">
      <c r="A11202" t="s">
        <v>21905</v>
      </c>
      <c r="B11202" t="s">
        <v>21906</v>
      </c>
      <c r="C11202" t="s">
        <v>50</v>
      </c>
      <c r="D11202" t="s">
        <v>51</v>
      </c>
      <c r="E11202" s="6">
        <v>-28396</v>
      </c>
      <c r="F11202" t="s">
        <v>1138</v>
      </c>
      <c r="G11202" t="s">
        <v>167</v>
      </c>
      <c r="H11202" t="s">
        <v>20</v>
      </c>
      <c r="I11202" t="s">
        <v>21907</v>
      </c>
      <c r="J11202" t="str">
        <f>HYPERLINK("https://www.boe.es/gazeta/dias/1822/04/02/pdfs/GMD-1822-94.pdf#page=7","Abrir facsímil")</f>
        <v>Abrir facsímil</v>
      </c>
      <c r="K11202" t="s">
        <v>22</v>
      </c>
    </row>
    <row r="11203" spans="1:11" ht="42" customHeight="1">
      <c r="A11203" t="s">
        <v>21908</v>
      </c>
      <c r="B11203" t="s">
        <v>21909</v>
      </c>
      <c r="C11203" t="s">
        <v>50</v>
      </c>
      <c r="D11203" t="s">
        <v>51</v>
      </c>
      <c r="E11203" s="6">
        <v>-28260</v>
      </c>
      <c r="F11203" t="s">
        <v>135</v>
      </c>
      <c r="G11203" t="s">
        <v>35</v>
      </c>
      <c r="H11203" t="s">
        <v>20</v>
      </c>
      <c r="I11203" t="s">
        <v>21910</v>
      </c>
      <c r="J11203" t="str">
        <f>HYPERLINK("https://www.boe.es/gazeta/dias/1822/08/16/pdfs/GMD-1822-240.pdf#page=2","Abrir facsímil")</f>
        <v>Abrir facsímil</v>
      </c>
      <c r="K11203" t="s">
        <v>22</v>
      </c>
    </row>
    <row r="11204" spans="1:11" ht="42" customHeight="1">
      <c r="A11204" t="s">
        <v>21911</v>
      </c>
      <c r="B11204" t="s">
        <v>21912</v>
      </c>
      <c r="C11204" t="s">
        <v>42</v>
      </c>
      <c r="D11204" t="s">
        <v>17</v>
      </c>
      <c r="E11204" s="6">
        <v>-28425</v>
      </c>
      <c r="F11204" t="s">
        <v>419</v>
      </c>
      <c r="G11204" t="s">
        <v>57</v>
      </c>
      <c r="H11204" t="s">
        <v>20</v>
      </c>
      <c r="I11204" t="s">
        <v>21913</v>
      </c>
      <c r="J11204" t="str">
        <f>HYPERLINK("https://www.boe.es/gazeta/dias/1822/03/04/pdfs/GMD-1822-65.pdf#page=4","Abrir facsímil")</f>
        <v>Abrir facsímil</v>
      </c>
      <c r="K11204" t="s">
        <v>22</v>
      </c>
    </row>
    <row r="11205" spans="1:11" ht="42" customHeight="1">
      <c r="A11205" t="s">
        <v>21914</v>
      </c>
      <c r="B11205" t="s">
        <v>21915</v>
      </c>
      <c r="C11205" t="s">
        <v>50</v>
      </c>
      <c r="D11205" t="s">
        <v>51</v>
      </c>
      <c r="E11205" s="6">
        <v>-28427</v>
      </c>
      <c r="F11205" t="s">
        <v>755</v>
      </c>
      <c r="G11205" t="s">
        <v>57</v>
      </c>
      <c r="H11205" t="s">
        <v>20</v>
      </c>
      <c r="I11205" t="s">
        <v>21916</v>
      </c>
      <c r="J11205" t="str">
        <f>HYPERLINK("https://www.boe.es/gazeta/dias/1822/03/02/pdfs/GMD-1822-63.pdf#page=4","Abrir facsímil")</f>
        <v>Abrir facsímil</v>
      </c>
      <c r="K11205" t="s">
        <v>22</v>
      </c>
    </row>
    <row r="11206" spans="1:11" ht="42" customHeight="1">
      <c r="A11206" t="s">
        <v>21917</v>
      </c>
      <c r="B11206" t="s">
        <v>21918</v>
      </c>
      <c r="C11206" t="s">
        <v>28</v>
      </c>
      <c r="D11206" t="s">
        <v>29</v>
      </c>
      <c r="E11206" s="6">
        <v>-28447</v>
      </c>
      <c r="F11206" t="s">
        <v>997</v>
      </c>
      <c r="G11206" t="s">
        <v>57</v>
      </c>
      <c r="H11206" t="s">
        <v>20</v>
      </c>
      <c r="I11206" t="s">
        <v>21919</v>
      </c>
      <c r="J11206" t="str">
        <f>HYPERLINK("https://www.boe.es/gazeta/dias/1822/02/10/pdfs/GMD-1822-41.pdf#page=4","Abrir facsímil")</f>
        <v>Abrir facsímil</v>
      </c>
      <c r="K11206" t="s">
        <v>22</v>
      </c>
    </row>
    <row r="11207" spans="1:11" ht="42" customHeight="1">
      <c r="A11207" t="s">
        <v>21920</v>
      </c>
      <c r="B11207" t="s">
        <v>21920</v>
      </c>
      <c r="C11207" t="s">
        <v>50</v>
      </c>
      <c r="D11207" t="s">
        <v>51</v>
      </c>
      <c r="E11207" s="6">
        <v>-28329</v>
      </c>
      <c r="F11207" t="s">
        <v>354</v>
      </c>
      <c r="G11207" t="s">
        <v>44</v>
      </c>
      <c r="H11207" t="s">
        <v>20</v>
      </c>
      <c r="I11207" t="s">
        <v>21921</v>
      </c>
      <c r="J11207" t="str">
        <f>HYPERLINK("https://www.boe.es/gazeta/dias/1822/06/08/pdfs/GMD-1822-165.pdf#page=1","Abrir facsímil")</f>
        <v>Abrir facsímil</v>
      </c>
      <c r="K11207" t="s">
        <v>22</v>
      </c>
    </row>
    <row r="11208" spans="1:11" ht="42" customHeight="1">
      <c r="A11208" t="s">
        <v>21922</v>
      </c>
      <c r="B11208" t="s">
        <v>21923</v>
      </c>
      <c r="C11208" t="s">
        <v>50</v>
      </c>
      <c r="D11208" t="s">
        <v>51</v>
      </c>
      <c r="E11208" s="6">
        <v>-28210</v>
      </c>
      <c r="F11208" t="s">
        <v>218</v>
      </c>
      <c r="G11208" t="s">
        <v>19</v>
      </c>
      <c r="H11208" t="s">
        <v>20</v>
      </c>
      <c r="I11208" t="s">
        <v>21924</v>
      </c>
      <c r="J11208" t="str">
        <f>HYPERLINK("https://www.boe.es/gazeta/dias/1822/10/05/pdfs/GMD-1822-291.pdf#page=5","Abrir facsímil")</f>
        <v>Abrir facsímil</v>
      </c>
      <c r="K11208" t="s">
        <v>22</v>
      </c>
    </row>
    <row r="11209" spans="1:11" ht="42" customHeight="1">
      <c r="A11209" t="s">
        <v>21925</v>
      </c>
      <c r="B11209" t="s">
        <v>21926</v>
      </c>
      <c r="C11209" t="s">
        <v>71</v>
      </c>
      <c r="D11209" t="s">
        <v>17</v>
      </c>
      <c r="E11209" s="6">
        <v>-28398</v>
      </c>
      <c r="F11209" t="s">
        <v>1961</v>
      </c>
      <c r="G11209" t="s">
        <v>31</v>
      </c>
      <c r="H11209" t="s">
        <v>20</v>
      </c>
      <c r="I11209" t="s">
        <v>21927</v>
      </c>
      <c r="J11209" t="str">
        <f>HYPERLINK("https://www.boe.es/gazeta/dias/1822/03/31/pdfs/GMD-1822-92.pdf#page=3","Abrir facsímil")</f>
        <v>Abrir facsímil</v>
      </c>
      <c r="K11209" t="s">
        <v>22</v>
      </c>
    </row>
    <row r="11210" spans="1:11" ht="42" customHeight="1">
      <c r="A11210" t="s">
        <v>21928</v>
      </c>
      <c r="B11210" t="s">
        <v>21929</v>
      </c>
      <c r="C11210" t="s">
        <v>42</v>
      </c>
      <c r="D11210" t="s">
        <v>17</v>
      </c>
      <c r="E11210" s="6">
        <v>-28258</v>
      </c>
      <c r="F11210" t="s">
        <v>88</v>
      </c>
      <c r="G11210" t="s">
        <v>31</v>
      </c>
      <c r="H11210" t="s">
        <v>20</v>
      </c>
      <c r="I11210" t="s">
        <v>21930</v>
      </c>
      <c r="J11210" t="str">
        <f>HYPERLINK("https://www.boe.es/gazeta/dias/1822/08/18/pdfs/GMD-1822-242.pdf#page=3","Abrir facsímil")</f>
        <v>Abrir facsímil</v>
      </c>
      <c r="K11210" t="s">
        <v>22</v>
      </c>
    </row>
    <row r="11211" spans="1:11" ht="42" customHeight="1">
      <c r="A11211" t="s">
        <v>21931</v>
      </c>
      <c r="B11211" t="s">
        <v>21931</v>
      </c>
      <c r="C11211" t="s">
        <v>28</v>
      </c>
      <c r="D11211" t="s">
        <v>29</v>
      </c>
      <c r="E11211" s="6">
        <v>-28191</v>
      </c>
      <c r="F11211" t="s">
        <v>710</v>
      </c>
      <c r="G11211" t="s">
        <v>63</v>
      </c>
      <c r="H11211" t="s">
        <v>20</v>
      </c>
      <c r="I11211" t="s">
        <v>21932</v>
      </c>
      <c r="J11211" t="str">
        <f>HYPERLINK("https://www.boe.es/gazeta/dias/1822/10/24/pdfs/GMD-1822-311.pdf#page=6","Abrir facsímil")</f>
        <v>Abrir facsímil</v>
      </c>
      <c r="K11211" t="s">
        <v>22</v>
      </c>
    </row>
    <row r="11212" spans="1:11" ht="42" customHeight="1">
      <c r="A11212" t="s">
        <v>21933</v>
      </c>
      <c r="B11212" t="s">
        <v>21934</v>
      </c>
      <c r="C11212" t="s">
        <v>50</v>
      </c>
      <c r="D11212" t="s">
        <v>51</v>
      </c>
      <c r="E11212" s="6">
        <v>-28230</v>
      </c>
      <c r="F11212" t="s">
        <v>1735</v>
      </c>
      <c r="G11212" t="s">
        <v>57</v>
      </c>
      <c r="H11212" t="s">
        <v>20</v>
      </c>
      <c r="I11212" t="s">
        <v>21935</v>
      </c>
      <c r="J11212" t="str">
        <f>HYPERLINK("https://www.boe.es/gazeta/dias/1822/09/15/pdfs/GMD-1822-271.pdf#page=4","Abrir facsímil")</f>
        <v>Abrir facsímil</v>
      </c>
      <c r="K11212" t="s">
        <v>22</v>
      </c>
    </row>
    <row r="11213" spans="1:11" ht="42" customHeight="1">
      <c r="A11213" t="s">
        <v>21936</v>
      </c>
      <c r="B11213" t="s">
        <v>21937</v>
      </c>
      <c r="C11213" t="s">
        <v>42</v>
      </c>
      <c r="D11213" t="s">
        <v>17</v>
      </c>
      <c r="E11213" s="6">
        <v>-28144</v>
      </c>
      <c r="F11213" t="s">
        <v>288</v>
      </c>
      <c r="G11213" t="s">
        <v>63</v>
      </c>
      <c r="H11213" t="s">
        <v>20</v>
      </c>
      <c r="I11213" t="s">
        <v>21938</v>
      </c>
      <c r="J11213" t="str">
        <f>HYPERLINK("https://www.boe.es/gazeta/dias/1822/12/10/pdfs/GMD-1822-360.pdf#page=6","Abrir facsímil")</f>
        <v>Abrir facsímil</v>
      </c>
      <c r="K11213" t="s">
        <v>22</v>
      </c>
    </row>
    <row r="11214" spans="1:11" ht="42" customHeight="1">
      <c r="A11214" t="s">
        <v>21939</v>
      </c>
      <c r="B11214" t="s">
        <v>21939</v>
      </c>
      <c r="C11214" t="s">
        <v>50</v>
      </c>
      <c r="D11214" t="s">
        <v>51</v>
      </c>
      <c r="E11214" s="6">
        <v>-28191</v>
      </c>
      <c r="F11214" t="s">
        <v>710</v>
      </c>
      <c r="G11214" t="s">
        <v>167</v>
      </c>
      <c r="H11214" t="s">
        <v>20</v>
      </c>
      <c r="I11214" t="s">
        <v>21940</v>
      </c>
      <c r="J11214" t="str">
        <f>HYPERLINK("https://www.boe.es/gazeta/dias/1822/10/24/pdfs/GMD-1822-311.pdf#page=7","Abrir facsímil")</f>
        <v>Abrir facsímil</v>
      </c>
      <c r="K11214" t="s">
        <v>22</v>
      </c>
    </row>
    <row r="11215" spans="1:11" ht="42" customHeight="1">
      <c r="A11215" t="s">
        <v>21941</v>
      </c>
      <c r="B11215" t="s">
        <v>21942</v>
      </c>
      <c r="C11215" t="s">
        <v>50</v>
      </c>
      <c r="D11215" t="s">
        <v>51</v>
      </c>
      <c r="E11215" s="6">
        <v>-28264</v>
      </c>
      <c r="F11215" t="s">
        <v>1329</v>
      </c>
      <c r="G11215" t="s">
        <v>57</v>
      </c>
      <c r="H11215" t="s">
        <v>20</v>
      </c>
      <c r="I11215" t="s">
        <v>21943</v>
      </c>
      <c r="J11215" t="str">
        <f>HYPERLINK("https://www.boe.es/gazeta/dias/1822/08/12/pdfs/GMD-1822-236.pdf#page=4","Abrir facsímil")</f>
        <v>Abrir facsímil</v>
      </c>
      <c r="K11215" t="s">
        <v>22</v>
      </c>
    </row>
    <row r="11216" spans="1:11" ht="42" customHeight="1">
      <c r="A11216" t="s">
        <v>21944</v>
      </c>
      <c r="B11216" t="s">
        <v>21945</v>
      </c>
      <c r="C11216" t="s">
        <v>71</v>
      </c>
      <c r="D11216" t="s">
        <v>17</v>
      </c>
      <c r="E11216" s="6">
        <v>-28406</v>
      </c>
      <c r="F11216" t="s">
        <v>462</v>
      </c>
      <c r="G11216" t="s">
        <v>31</v>
      </c>
      <c r="H11216" t="s">
        <v>20</v>
      </c>
      <c r="I11216" t="s">
        <v>21946</v>
      </c>
      <c r="J11216" t="str">
        <f>HYPERLINK("https://www.boe.es/gazeta/dias/1822/03/23/pdfs/GMD-1822-84.pdf#page=3","Abrir facsímil")</f>
        <v>Abrir facsímil</v>
      </c>
      <c r="K11216" t="s">
        <v>22</v>
      </c>
    </row>
    <row r="11217" spans="1:11" ht="42" customHeight="1">
      <c r="A11217" t="s">
        <v>21947</v>
      </c>
      <c r="B11217" t="s">
        <v>21948</v>
      </c>
      <c r="C11217" t="s">
        <v>28</v>
      </c>
      <c r="D11217" t="s">
        <v>29</v>
      </c>
      <c r="E11217" s="6">
        <v>-28125</v>
      </c>
      <c r="F11217" t="s">
        <v>322</v>
      </c>
      <c r="G11217" t="s">
        <v>19</v>
      </c>
      <c r="H11217" t="s">
        <v>20</v>
      </c>
      <c r="I11217" t="s">
        <v>21949</v>
      </c>
      <c r="J11217" t="str">
        <f>HYPERLINK("https://www.boe.es/gazeta/dias/1822/12/29/pdfs/GMD-1822-379.pdf#page=5","Abrir facsímil")</f>
        <v>Abrir facsímil</v>
      </c>
      <c r="K11217" t="s">
        <v>22</v>
      </c>
    </row>
    <row r="11218" spans="1:11" ht="42" customHeight="1">
      <c r="A11218" t="s">
        <v>21950</v>
      </c>
      <c r="B11218" t="s">
        <v>21950</v>
      </c>
      <c r="C11218" t="s">
        <v>28</v>
      </c>
      <c r="D11218" t="s">
        <v>29</v>
      </c>
      <c r="E11218" s="6">
        <v>-28439</v>
      </c>
      <c r="F11218" t="s">
        <v>2752</v>
      </c>
      <c r="G11218" t="s">
        <v>4031</v>
      </c>
      <c r="H11218" t="s">
        <v>20</v>
      </c>
      <c r="I11218" t="s">
        <v>21951</v>
      </c>
      <c r="J11218" t="str">
        <f>HYPERLINK("https://www.boe.es/gazeta/dias/1822/02/18/pdfs/GMD-1822-50.pdf#page=2","Abrir facsímil")</f>
        <v>Abrir facsímil</v>
      </c>
      <c r="K11218" t="s">
        <v>22</v>
      </c>
    </row>
    <row r="11219" spans="1:11" ht="42" customHeight="1">
      <c r="A11219" t="s">
        <v>21952</v>
      </c>
      <c r="B11219" t="s">
        <v>21953</v>
      </c>
      <c r="C11219" t="s">
        <v>50</v>
      </c>
      <c r="D11219" t="s">
        <v>51</v>
      </c>
      <c r="E11219" s="6">
        <v>-28230</v>
      </c>
      <c r="F11219" t="s">
        <v>1735</v>
      </c>
      <c r="G11219" t="s">
        <v>31</v>
      </c>
      <c r="H11219" t="s">
        <v>20</v>
      </c>
      <c r="I11219" t="s">
        <v>21954</v>
      </c>
      <c r="J11219" t="str">
        <f>HYPERLINK("https://www.boe.es/gazeta/dias/1822/09/15/pdfs/GMD-1822-271.pdf#page=3","Abrir facsímil")</f>
        <v>Abrir facsímil</v>
      </c>
      <c r="K11219" t="s">
        <v>22</v>
      </c>
    </row>
    <row r="11220" spans="1:11" ht="42" customHeight="1">
      <c r="A11220" t="s">
        <v>21955</v>
      </c>
      <c r="B11220" t="s">
        <v>21956</v>
      </c>
      <c r="C11220" t="s">
        <v>362</v>
      </c>
      <c r="D11220" t="s">
        <v>17</v>
      </c>
      <c r="E11220" s="6">
        <v>-28450</v>
      </c>
      <c r="F11220" t="s">
        <v>1450</v>
      </c>
      <c r="G11220" t="s">
        <v>2247</v>
      </c>
      <c r="H11220" t="s">
        <v>20</v>
      </c>
      <c r="I11220" t="s">
        <v>21957</v>
      </c>
      <c r="J11220" t="str">
        <f>HYPERLINK("https://www.boe.es/gazeta/dias/1822/02/07/pdfs/GMD-1822-38.pdf#page=6","Abrir facsímil")</f>
        <v>Abrir facsímil</v>
      </c>
      <c r="K11220" t="s">
        <v>22</v>
      </c>
    </row>
    <row r="11221" spans="1:11" ht="42" customHeight="1">
      <c r="A11221" t="s">
        <v>21958</v>
      </c>
      <c r="B11221" t="s">
        <v>21959</v>
      </c>
      <c r="C11221" t="s">
        <v>42</v>
      </c>
      <c r="D11221" t="s">
        <v>17</v>
      </c>
      <c r="E11221" s="6">
        <v>-28287</v>
      </c>
      <c r="F11221" t="s">
        <v>1295</v>
      </c>
      <c r="G11221" t="s">
        <v>63</v>
      </c>
      <c r="H11221" t="s">
        <v>20</v>
      </c>
      <c r="I11221" t="s">
        <v>21960</v>
      </c>
      <c r="J11221" t="str">
        <f>HYPERLINK("https://www.boe.es/gazeta/dias/1822/07/20/pdfs/GMD-1822-212.pdf#page=6","Abrir facsímil")</f>
        <v>Abrir facsímil</v>
      </c>
      <c r="K11221" t="s">
        <v>22</v>
      </c>
    </row>
    <row r="11222" spans="1:11" ht="42" customHeight="1">
      <c r="A11222" t="s">
        <v>21961</v>
      </c>
      <c r="B11222" t="s">
        <v>21962</v>
      </c>
      <c r="C11222" t="s">
        <v>42</v>
      </c>
      <c r="D11222" t="s">
        <v>17</v>
      </c>
      <c r="E11222" s="6">
        <v>-28230</v>
      </c>
      <c r="F11222" t="s">
        <v>1735</v>
      </c>
      <c r="G11222" t="s">
        <v>31</v>
      </c>
      <c r="H11222" t="s">
        <v>20</v>
      </c>
      <c r="I11222" t="s">
        <v>21963</v>
      </c>
      <c r="J11222" t="str">
        <f>HYPERLINK("https://www.boe.es/gazeta/dias/1822/09/15/pdfs/GMD-1822-271.pdf#page=3","Abrir facsímil")</f>
        <v>Abrir facsímil</v>
      </c>
      <c r="K11222" t="s">
        <v>22</v>
      </c>
    </row>
    <row r="11223" spans="1:11" ht="42" customHeight="1">
      <c r="A11223" t="s">
        <v>21964</v>
      </c>
      <c r="B11223" t="s">
        <v>21965</v>
      </c>
      <c r="C11223" t="s">
        <v>61</v>
      </c>
      <c r="D11223" t="s">
        <v>17</v>
      </c>
      <c r="E11223" s="6">
        <v>-28297</v>
      </c>
      <c r="F11223" t="s">
        <v>1972</v>
      </c>
      <c r="G11223" t="s">
        <v>57</v>
      </c>
      <c r="H11223" t="s">
        <v>20</v>
      </c>
      <c r="I11223" t="s">
        <v>21966</v>
      </c>
      <c r="J11223" t="str">
        <f>HYPERLINK("https://www.boe.es/gazeta/dias/1822/07/10/pdfs/GMD-1822-200.pdf#page=4","Abrir facsímil")</f>
        <v>Abrir facsímil</v>
      </c>
      <c r="K11223" t="s">
        <v>22</v>
      </c>
    </row>
    <row r="11224" spans="1:11" ht="42" customHeight="1">
      <c r="A11224" t="s">
        <v>21967</v>
      </c>
      <c r="B11224" t="s">
        <v>21968</v>
      </c>
      <c r="C11224" t="s">
        <v>50</v>
      </c>
      <c r="D11224" t="s">
        <v>51</v>
      </c>
      <c r="E11224" s="6">
        <v>-28264</v>
      </c>
      <c r="F11224" t="s">
        <v>1329</v>
      </c>
      <c r="G11224" t="s">
        <v>57</v>
      </c>
      <c r="H11224" t="s">
        <v>20</v>
      </c>
      <c r="I11224" t="s">
        <v>21969</v>
      </c>
      <c r="J11224" t="str">
        <f>HYPERLINK("https://www.boe.es/gazeta/dias/1822/08/12/pdfs/GMD-1822-236.pdf#page=4","Abrir facsímil")</f>
        <v>Abrir facsímil</v>
      </c>
      <c r="K11224" t="s">
        <v>22</v>
      </c>
    </row>
    <row r="11225" spans="1:11" ht="42" customHeight="1">
      <c r="A11225" t="s">
        <v>21970</v>
      </c>
      <c r="B11225" t="s">
        <v>21971</v>
      </c>
      <c r="C11225" t="s">
        <v>50</v>
      </c>
      <c r="D11225" t="s">
        <v>51</v>
      </c>
      <c r="E11225" s="6">
        <v>-28153</v>
      </c>
      <c r="F11225" t="s">
        <v>946</v>
      </c>
      <c r="G11225" t="s">
        <v>44</v>
      </c>
      <c r="H11225" t="s">
        <v>20</v>
      </c>
      <c r="I11225" t="s">
        <v>21972</v>
      </c>
      <c r="J11225" t="str">
        <f>HYPERLINK("https://www.boe.es/gazeta/dias/1822/12/01/pdfs/GMD-1822-351.pdf#page=1","Abrir facsímil")</f>
        <v>Abrir facsímil</v>
      </c>
      <c r="K11225" t="s">
        <v>22</v>
      </c>
    </row>
    <row r="11226" spans="1:11" ht="42" customHeight="1">
      <c r="A11226" t="s">
        <v>21973</v>
      </c>
      <c r="B11226" t="s">
        <v>21974</v>
      </c>
      <c r="C11226" t="s">
        <v>50</v>
      </c>
      <c r="D11226" t="s">
        <v>51</v>
      </c>
      <c r="E11226" s="6">
        <v>-28417</v>
      </c>
      <c r="F11226" t="s">
        <v>1394</v>
      </c>
      <c r="G11226" t="s">
        <v>31</v>
      </c>
      <c r="H11226" t="s">
        <v>20</v>
      </c>
      <c r="I11226" t="s">
        <v>21975</v>
      </c>
      <c r="J11226" t="str">
        <f>HYPERLINK("https://www.boe.es/gazeta/dias/1822/03/12/pdfs/GMD-1822-73.pdf#page=3","Abrir facsímil")</f>
        <v>Abrir facsímil</v>
      </c>
      <c r="K11226" t="s">
        <v>22</v>
      </c>
    </row>
    <row r="11227" spans="1:11" ht="42" customHeight="1">
      <c r="A11227" t="s">
        <v>21976</v>
      </c>
      <c r="B11227" t="s">
        <v>21977</v>
      </c>
      <c r="C11227" t="s">
        <v>71</v>
      </c>
      <c r="D11227" t="s">
        <v>17</v>
      </c>
      <c r="E11227" s="6">
        <v>-28427</v>
      </c>
      <c r="F11227" t="s">
        <v>755</v>
      </c>
      <c r="G11227" t="s">
        <v>57</v>
      </c>
      <c r="H11227" t="s">
        <v>20</v>
      </c>
      <c r="I11227" t="s">
        <v>21978</v>
      </c>
      <c r="J11227" t="str">
        <f>HYPERLINK("https://www.boe.es/gazeta/dias/1822/03/02/pdfs/GMD-1822-63.pdf#page=4","Abrir facsímil")</f>
        <v>Abrir facsímil</v>
      </c>
      <c r="K11227" t="s">
        <v>22</v>
      </c>
    </row>
    <row r="11228" spans="1:11" ht="42" customHeight="1">
      <c r="A11228" t="s">
        <v>21979</v>
      </c>
      <c r="B11228" t="s">
        <v>21980</v>
      </c>
      <c r="C11228" t="s">
        <v>42</v>
      </c>
      <c r="D11228" t="s">
        <v>17</v>
      </c>
      <c r="E11228" s="6">
        <v>-28391</v>
      </c>
      <c r="F11228" t="s">
        <v>378</v>
      </c>
      <c r="G11228" t="s">
        <v>63</v>
      </c>
      <c r="H11228" t="s">
        <v>20</v>
      </c>
      <c r="I11228" t="s">
        <v>21981</v>
      </c>
      <c r="J11228" t="str">
        <f>HYPERLINK("https://www.boe.es/gazeta/dias/1822/04/07/pdfs/GMD-1822-99.pdf#page=6","Abrir facsímil")</f>
        <v>Abrir facsímil</v>
      </c>
      <c r="K11228" t="s">
        <v>22</v>
      </c>
    </row>
    <row r="11229" spans="1:11" ht="42" customHeight="1">
      <c r="A11229" t="s">
        <v>21979</v>
      </c>
      <c r="B11229" t="s">
        <v>21980</v>
      </c>
      <c r="C11229" t="s">
        <v>50</v>
      </c>
      <c r="D11229" t="s">
        <v>51</v>
      </c>
      <c r="E11229" s="6">
        <v>-28358</v>
      </c>
      <c r="F11229" t="s">
        <v>211</v>
      </c>
      <c r="G11229" t="s">
        <v>157</v>
      </c>
      <c r="H11229" t="s">
        <v>20</v>
      </c>
      <c r="I11229" t="s">
        <v>21982</v>
      </c>
      <c r="J11229" t="str">
        <f>HYPERLINK("https://www.boe.es/gazeta/dias/1822/05/10/pdfs/GMD-1822-132.pdf#page=8","Abrir facsímil")</f>
        <v>Abrir facsímil</v>
      </c>
      <c r="K11229" t="s">
        <v>22</v>
      </c>
    </row>
    <row r="11230" spans="1:11" ht="42" customHeight="1">
      <c r="A11230" t="s">
        <v>21983</v>
      </c>
      <c r="B11230" t="s">
        <v>21984</v>
      </c>
      <c r="C11230" t="s">
        <v>61</v>
      </c>
      <c r="D11230" t="s">
        <v>17</v>
      </c>
      <c r="E11230" s="6">
        <v>-28391</v>
      </c>
      <c r="F11230" t="s">
        <v>378</v>
      </c>
      <c r="G11230" t="s">
        <v>63</v>
      </c>
      <c r="H11230" t="s">
        <v>20</v>
      </c>
      <c r="I11230" t="s">
        <v>21985</v>
      </c>
      <c r="J11230" t="str">
        <f>HYPERLINK("https://www.boe.es/gazeta/dias/1822/04/07/pdfs/GMD-1822-99.pdf#page=6","Abrir facsímil")</f>
        <v>Abrir facsímil</v>
      </c>
      <c r="K11230" t="s">
        <v>22</v>
      </c>
    </row>
    <row r="11231" spans="1:11" ht="42" customHeight="1">
      <c r="A11231" t="s">
        <v>21986</v>
      </c>
      <c r="B11231" t="s">
        <v>21987</v>
      </c>
      <c r="C11231" t="s">
        <v>28</v>
      </c>
      <c r="D11231" t="s">
        <v>29</v>
      </c>
      <c r="E11231" s="6">
        <v>-28486</v>
      </c>
      <c r="F11231" t="s">
        <v>1046</v>
      </c>
      <c r="G11231" t="s">
        <v>57</v>
      </c>
      <c r="H11231" t="s">
        <v>20</v>
      </c>
      <c r="I11231" t="s">
        <v>21988</v>
      </c>
      <c r="J11231" t="str">
        <f>HYPERLINK("https://www.boe.es/gazeta/dias/1822/01/02/pdfs/GMD-1822-2.pdf#page=4","Abrir facsímil")</f>
        <v>Abrir facsímil</v>
      </c>
      <c r="K11231" t="s">
        <v>22</v>
      </c>
    </row>
    <row r="11232" spans="1:11" ht="42" customHeight="1">
      <c r="A11232" t="s">
        <v>21989</v>
      </c>
      <c r="B11232" t="s">
        <v>21989</v>
      </c>
      <c r="C11232" t="s">
        <v>50</v>
      </c>
      <c r="D11232" t="s">
        <v>51</v>
      </c>
      <c r="E11232" s="6">
        <v>-28411</v>
      </c>
      <c r="F11232" t="s">
        <v>1509</v>
      </c>
      <c r="G11232" t="s">
        <v>44</v>
      </c>
      <c r="H11232" t="s">
        <v>20</v>
      </c>
      <c r="I11232" t="s">
        <v>21990</v>
      </c>
      <c r="J11232" t="str">
        <f>HYPERLINK("https://www.boe.es/gazeta/dias/1822/03/18/pdfs/GMD-1822-79.pdf#page=1","Abrir facsímil")</f>
        <v>Abrir facsímil</v>
      </c>
      <c r="K11232" t="s">
        <v>22</v>
      </c>
    </row>
    <row r="11233" spans="1:11" ht="42" customHeight="1">
      <c r="A11233" t="s">
        <v>21991</v>
      </c>
      <c r="B11233" t="s">
        <v>21991</v>
      </c>
      <c r="C11233" t="s">
        <v>50</v>
      </c>
      <c r="D11233" t="s">
        <v>51</v>
      </c>
      <c r="E11233" s="6">
        <v>-28224</v>
      </c>
      <c r="F11233" t="s">
        <v>1902</v>
      </c>
      <c r="G11233" t="s">
        <v>35</v>
      </c>
      <c r="H11233" t="s">
        <v>20</v>
      </c>
      <c r="I11233" t="s">
        <v>21992</v>
      </c>
      <c r="J11233" t="str">
        <f>HYPERLINK("https://www.boe.es/gazeta/dias/1822/09/21/pdfs/GMD-1822-277.pdf#page=2","Abrir facsímil")</f>
        <v>Abrir facsímil</v>
      </c>
      <c r="K11233" t="s">
        <v>22</v>
      </c>
    </row>
    <row r="11234" spans="1:11" ht="42" customHeight="1">
      <c r="A11234" t="s">
        <v>21991</v>
      </c>
      <c r="B11234" t="s">
        <v>21991</v>
      </c>
      <c r="C11234" t="s">
        <v>50</v>
      </c>
      <c r="D11234" t="s">
        <v>51</v>
      </c>
      <c r="E11234" s="6">
        <v>-28213</v>
      </c>
      <c r="F11234" t="s">
        <v>558</v>
      </c>
      <c r="G11234" t="s">
        <v>57</v>
      </c>
      <c r="H11234" t="s">
        <v>20</v>
      </c>
      <c r="I11234" t="s">
        <v>21993</v>
      </c>
      <c r="J11234" t="str">
        <f>HYPERLINK("https://www.boe.es/gazeta/dias/1822/10/02/pdfs/GMD-1822-288.pdf#page=4","Abrir facsímil")</f>
        <v>Abrir facsímil</v>
      </c>
      <c r="K11234" t="s">
        <v>22</v>
      </c>
    </row>
    <row r="11235" spans="1:11" ht="42" customHeight="1">
      <c r="A11235" t="s">
        <v>21994</v>
      </c>
      <c r="B11235" t="s">
        <v>21995</v>
      </c>
      <c r="C11235" t="s">
        <v>50</v>
      </c>
      <c r="D11235" t="s">
        <v>51</v>
      </c>
      <c r="E11235" s="6">
        <v>-28335</v>
      </c>
      <c r="F11235" t="s">
        <v>3346</v>
      </c>
      <c r="G11235" t="s">
        <v>35</v>
      </c>
      <c r="H11235" t="s">
        <v>45</v>
      </c>
      <c r="I11235" t="s">
        <v>21996</v>
      </c>
      <c r="J11235" t="str">
        <f>HYPERLINK("https://www.boe.es/gazeta/dias/1822/06/02/pdfs/GMD-1822-158.pdf#page=2","Abrir facsímil")</f>
        <v>Abrir facsímil</v>
      </c>
      <c r="K11235" t="s">
        <v>47</v>
      </c>
    </row>
    <row r="11236" spans="1:11" ht="42" customHeight="1">
      <c r="A11236" t="s">
        <v>21997</v>
      </c>
      <c r="B11236" t="s">
        <v>21998</v>
      </c>
      <c r="C11236" t="s">
        <v>50</v>
      </c>
      <c r="D11236" t="s">
        <v>51</v>
      </c>
      <c r="E11236" s="6">
        <v>-28415</v>
      </c>
      <c r="F11236" t="s">
        <v>77</v>
      </c>
      <c r="G11236" t="s">
        <v>63</v>
      </c>
      <c r="H11236" t="s">
        <v>20</v>
      </c>
      <c r="I11236" t="s">
        <v>21999</v>
      </c>
      <c r="J11236" t="str">
        <f>HYPERLINK("https://www.boe.es/gazeta/dias/1822/03/14/pdfs/GMD-1822-75.pdf#page=6","Abrir facsímil")</f>
        <v>Abrir facsímil</v>
      </c>
      <c r="K11236" t="s">
        <v>22</v>
      </c>
    </row>
    <row r="11237" spans="1:11" ht="42" customHeight="1">
      <c r="A11237" t="s">
        <v>22000</v>
      </c>
      <c r="B11237" t="s">
        <v>22001</v>
      </c>
      <c r="C11237" t="s">
        <v>61</v>
      </c>
      <c r="D11237" t="s">
        <v>17</v>
      </c>
      <c r="E11237" s="6">
        <v>-28178</v>
      </c>
      <c r="F11237" t="s">
        <v>318</v>
      </c>
      <c r="G11237" t="s">
        <v>63</v>
      </c>
      <c r="H11237" t="s">
        <v>45</v>
      </c>
      <c r="I11237" t="s">
        <v>22002</v>
      </c>
      <c r="J11237" t="str">
        <f>HYPERLINK("https://www.boe.es/gazeta/dias/1822/11/06/pdfs/GMD-1822-326.pdf#page=6","Abrir facsímil")</f>
        <v>Abrir facsímil</v>
      </c>
      <c r="K11237" t="s">
        <v>47</v>
      </c>
    </row>
    <row r="11238" spans="1:11" ht="42" customHeight="1">
      <c r="A11238" t="s">
        <v>22003</v>
      </c>
      <c r="B11238" t="s">
        <v>22004</v>
      </c>
      <c r="C11238" t="s">
        <v>42</v>
      </c>
      <c r="D11238" t="s">
        <v>17</v>
      </c>
      <c r="E11238" s="6">
        <v>-28220</v>
      </c>
      <c r="F11238" t="s">
        <v>1914</v>
      </c>
      <c r="G11238" t="s">
        <v>44</v>
      </c>
      <c r="H11238" t="s">
        <v>20</v>
      </c>
      <c r="I11238" t="s">
        <v>22005</v>
      </c>
      <c r="J11238" t="str">
        <f>HYPERLINK("https://www.boe.es/gazeta/dias/1822/09/25/pdfs/GMD-1822-281.pdf#page=1","Abrir facsímil")</f>
        <v>Abrir facsímil</v>
      </c>
      <c r="K11238" t="s">
        <v>22</v>
      </c>
    </row>
    <row r="11239" spans="1:11" ht="42" customHeight="1">
      <c r="A11239" t="s">
        <v>22006</v>
      </c>
      <c r="B11239" t="s">
        <v>22007</v>
      </c>
      <c r="C11239" t="s">
        <v>50</v>
      </c>
      <c r="D11239" t="s">
        <v>51</v>
      </c>
      <c r="E11239" s="6">
        <v>-28217</v>
      </c>
      <c r="F11239" t="s">
        <v>1892</v>
      </c>
      <c r="G11239" t="s">
        <v>1952</v>
      </c>
      <c r="H11239" t="s">
        <v>20</v>
      </c>
      <c r="I11239" t="s">
        <v>22008</v>
      </c>
      <c r="J11239" t="str">
        <f>HYPERLINK("https://www.boe.es/gazeta/dias/1822/09/28/pdfs/GMD-1822-284.pdf#page=2","Abrir facsímil")</f>
        <v>Abrir facsímil</v>
      </c>
      <c r="K11239" t="s">
        <v>22</v>
      </c>
    </row>
    <row r="11240" spans="1:11" ht="42" customHeight="1">
      <c r="A11240" t="s">
        <v>22009</v>
      </c>
      <c r="B11240" t="s">
        <v>22009</v>
      </c>
      <c r="C11240" t="s">
        <v>50</v>
      </c>
      <c r="D11240" t="s">
        <v>51</v>
      </c>
      <c r="E11240" s="6">
        <v>-28396</v>
      </c>
      <c r="F11240" t="s">
        <v>1138</v>
      </c>
      <c r="G11240" t="s">
        <v>167</v>
      </c>
      <c r="H11240" t="s">
        <v>20</v>
      </c>
      <c r="I11240" t="s">
        <v>22010</v>
      </c>
      <c r="J11240" t="str">
        <f>HYPERLINK("https://www.boe.es/gazeta/dias/1822/04/02/pdfs/GMD-1822-94.pdf#page=7","Abrir facsímil")</f>
        <v>Abrir facsímil</v>
      </c>
      <c r="K11240" t="s">
        <v>22</v>
      </c>
    </row>
    <row r="11241" spans="1:11" ht="42" customHeight="1">
      <c r="A11241" t="s">
        <v>22009</v>
      </c>
      <c r="B11241" t="s">
        <v>22009</v>
      </c>
      <c r="C11241" t="s">
        <v>50</v>
      </c>
      <c r="D11241" t="s">
        <v>51</v>
      </c>
      <c r="E11241" s="6">
        <v>-28363</v>
      </c>
      <c r="F11241" t="s">
        <v>72</v>
      </c>
      <c r="G11241" t="s">
        <v>31</v>
      </c>
      <c r="H11241" t="s">
        <v>20</v>
      </c>
      <c r="I11241" t="s">
        <v>22011</v>
      </c>
      <c r="J11241" t="str">
        <f>HYPERLINK("https://www.boe.es/gazeta/dias/1822/05/05/pdfs/GMD-1822-127.pdf#page=3","Abrir facsímil")</f>
        <v>Abrir facsímil</v>
      </c>
      <c r="K11241" t="s">
        <v>22</v>
      </c>
    </row>
    <row r="11242" spans="1:11" ht="42" customHeight="1">
      <c r="A11242" t="s">
        <v>22012</v>
      </c>
      <c r="B11242" t="s">
        <v>22013</v>
      </c>
      <c r="C11242" t="s">
        <v>61</v>
      </c>
      <c r="D11242" t="s">
        <v>17</v>
      </c>
      <c r="E11242" s="6">
        <v>-28384</v>
      </c>
      <c r="F11242" t="s">
        <v>258</v>
      </c>
      <c r="G11242" t="s">
        <v>31</v>
      </c>
      <c r="H11242" t="s">
        <v>20</v>
      </c>
      <c r="I11242" t="s">
        <v>22014</v>
      </c>
      <c r="J11242" t="str">
        <f>HYPERLINK("https://www.boe.es/gazeta/dias/1822/04/14/pdfs/GMD-1822-106.pdf#page=3","Abrir facsímil")</f>
        <v>Abrir facsímil</v>
      </c>
      <c r="K11242" t="s">
        <v>22</v>
      </c>
    </row>
    <row r="11243" spans="1:11" ht="42" customHeight="1">
      <c r="A11243" t="s">
        <v>22015</v>
      </c>
      <c r="B11243" t="s">
        <v>22016</v>
      </c>
      <c r="C11243" t="s">
        <v>28</v>
      </c>
      <c r="D11243" t="s">
        <v>29</v>
      </c>
      <c r="E11243" s="6">
        <v>-28417</v>
      </c>
      <c r="F11243" t="s">
        <v>1394</v>
      </c>
      <c r="G11243" t="s">
        <v>35</v>
      </c>
      <c r="H11243" t="s">
        <v>20</v>
      </c>
      <c r="I11243" t="s">
        <v>22017</v>
      </c>
      <c r="J11243" t="str">
        <f>HYPERLINK("https://www.boe.es/gazeta/dias/1822/03/12/pdfs/GMD-1822-73.pdf#page=2","Abrir facsímil")</f>
        <v>Abrir facsímil</v>
      </c>
      <c r="K11243" t="s">
        <v>22</v>
      </c>
    </row>
    <row r="11244" spans="1:11" ht="42" customHeight="1">
      <c r="A11244" t="s">
        <v>22018</v>
      </c>
      <c r="B11244" t="s">
        <v>22019</v>
      </c>
      <c r="C11244" t="s">
        <v>50</v>
      </c>
      <c r="D11244" t="s">
        <v>51</v>
      </c>
      <c r="E11244" s="6">
        <v>-28137</v>
      </c>
      <c r="F11244" t="s">
        <v>312</v>
      </c>
      <c r="G11244" t="s">
        <v>63</v>
      </c>
      <c r="H11244" t="s">
        <v>20</v>
      </c>
      <c r="I11244" t="s">
        <v>22020</v>
      </c>
      <c r="J11244" t="str">
        <f>HYPERLINK("https://www.boe.es/gazeta/dias/1822/12/17/pdfs/GMD-1822-367.pdf#page=6","Abrir facsímil")</f>
        <v>Abrir facsímil</v>
      </c>
      <c r="K11244" t="s">
        <v>22</v>
      </c>
    </row>
    <row r="11245" spans="1:11" ht="42" customHeight="1">
      <c r="A11245" t="s">
        <v>22021</v>
      </c>
      <c r="B11245" t="s">
        <v>22022</v>
      </c>
      <c r="C11245" t="s">
        <v>50</v>
      </c>
      <c r="D11245" t="s">
        <v>51</v>
      </c>
      <c r="E11245" s="6">
        <v>-28147</v>
      </c>
      <c r="F11245" t="s">
        <v>1611</v>
      </c>
      <c r="G11245" t="s">
        <v>63</v>
      </c>
      <c r="H11245" t="s">
        <v>20</v>
      </c>
      <c r="I11245" t="s">
        <v>22023</v>
      </c>
      <c r="J11245" t="str">
        <f>HYPERLINK("https://www.boe.es/gazeta/dias/1822/12/07/pdfs/GMD-1822-357.pdf#page=6","Abrir facsímil")</f>
        <v>Abrir facsímil</v>
      </c>
      <c r="K11245" t="s">
        <v>22</v>
      </c>
    </row>
    <row r="11246" spans="1:11" ht="42" customHeight="1">
      <c r="A11246" t="s">
        <v>22024</v>
      </c>
      <c r="B11246" t="s">
        <v>22025</v>
      </c>
      <c r="C11246" t="s">
        <v>50</v>
      </c>
      <c r="D11246" t="s">
        <v>51</v>
      </c>
      <c r="E11246" s="6">
        <v>-28150</v>
      </c>
      <c r="F11246" t="s">
        <v>62</v>
      </c>
      <c r="G11246" t="s">
        <v>63</v>
      </c>
      <c r="H11246" t="s">
        <v>20</v>
      </c>
      <c r="I11246" t="s">
        <v>22026</v>
      </c>
      <c r="J11246" t="str">
        <f>HYPERLINK("https://www.boe.es/gazeta/dias/1822/12/04/pdfs/GMD-1822-354.pdf#page=6","Abrir facsímil")</f>
        <v>Abrir facsímil</v>
      </c>
      <c r="K11246" t="s">
        <v>22</v>
      </c>
    </row>
    <row r="11247" spans="1:11" ht="42" customHeight="1">
      <c r="A11247" t="s">
        <v>22027</v>
      </c>
      <c r="B11247" t="s">
        <v>22027</v>
      </c>
      <c r="C11247" t="s">
        <v>28</v>
      </c>
      <c r="D11247" t="s">
        <v>29</v>
      </c>
      <c r="E11247" s="6">
        <v>-28212</v>
      </c>
      <c r="F11247" t="s">
        <v>560</v>
      </c>
      <c r="G11247" t="s">
        <v>35</v>
      </c>
      <c r="H11247" t="s">
        <v>20</v>
      </c>
      <c r="I11247" t="s">
        <v>22028</v>
      </c>
      <c r="J11247" t="str">
        <f>HYPERLINK("https://www.boe.es/gazeta/dias/1822/10/03/pdfs/GMD-1822-289.pdf#page=2","Abrir facsímil")</f>
        <v>Abrir facsímil</v>
      </c>
      <c r="K11247" t="s">
        <v>22</v>
      </c>
    </row>
    <row r="11248" spans="1:11" ht="42" customHeight="1">
      <c r="A11248" t="s">
        <v>22029</v>
      </c>
      <c r="B11248" t="s">
        <v>22029</v>
      </c>
      <c r="C11248" t="s">
        <v>50</v>
      </c>
      <c r="D11248" t="s">
        <v>51</v>
      </c>
      <c r="E11248" s="6">
        <v>-28212</v>
      </c>
      <c r="F11248" t="s">
        <v>560</v>
      </c>
      <c r="G11248" t="s">
        <v>35</v>
      </c>
      <c r="H11248" t="s">
        <v>20</v>
      </c>
      <c r="I11248" t="s">
        <v>22030</v>
      </c>
      <c r="J11248" t="str">
        <f>HYPERLINK("https://www.boe.es/gazeta/dias/1822/10/03/pdfs/GMD-1822-289.pdf#page=2","Abrir facsímil")</f>
        <v>Abrir facsímil</v>
      </c>
      <c r="K11248" t="s">
        <v>22</v>
      </c>
    </row>
    <row r="11249" spans="1:11" ht="42" customHeight="1">
      <c r="A11249" t="s">
        <v>22029</v>
      </c>
      <c r="B11249" t="s">
        <v>22029</v>
      </c>
      <c r="C11249" t="s">
        <v>42</v>
      </c>
      <c r="D11249" t="s">
        <v>17</v>
      </c>
      <c r="E11249" s="6">
        <v>-28212</v>
      </c>
      <c r="F11249" t="s">
        <v>560</v>
      </c>
      <c r="G11249" t="s">
        <v>31</v>
      </c>
      <c r="H11249" t="s">
        <v>20</v>
      </c>
      <c r="I11249" t="s">
        <v>22031</v>
      </c>
      <c r="J11249" t="str">
        <f>HYPERLINK("https://www.boe.es/gazeta/dias/1822/10/03/pdfs/GMD-1822-289.pdf#page=3","Abrir facsímil")</f>
        <v>Abrir facsímil</v>
      </c>
      <c r="K11249" t="s">
        <v>22</v>
      </c>
    </row>
    <row r="11250" spans="1:11" ht="42" customHeight="1">
      <c r="A11250" t="s">
        <v>22029</v>
      </c>
      <c r="B11250" t="s">
        <v>22029</v>
      </c>
      <c r="C11250" t="s">
        <v>42</v>
      </c>
      <c r="D11250" t="s">
        <v>17</v>
      </c>
      <c r="E11250" s="6">
        <v>-28190</v>
      </c>
      <c r="F11250" t="s">
        <v>576</v>
      </c>
      <c r="G11250" t="s">
        <v>44</v>
      </c>
      <c r="H11250" t="s">
        <v>20</v>
      </c>
      <c r="I11250" t="s">
        <v>22032</v>
      </c>
      <c r="J11250" t="str">
        <f>HYPERLINK("https://www.boe.es/gazeta/dias/1822/10/25/pdfs/GMD-1822-312.pdf#page=1","Abrir facsímil")</f>
        <v>Abrir facsímil</v>
      </c>
      <c r="K11250" t="s">
        <v>22</v>
      </c>
    </row>
    <row r="11251" spans="1:11" ht="42" customHeight="1">
      <c r="A11251" t="s">
        <v>22033</v>
      </c>
      <c r="B11251" t="s">
        <v>22034</v>
      </c>
      <c r="C11251" t="s">
        <v>28</v>
      </c>
      <c r="D11251" t="s">
        <v>29</v>
      </c>
      <c r="E11251" s="6">
        <v>-28441</v>
      </c>
      <c r="F11251" t="s">
        <v>429</v>
      </c>
      <c r="G11251" t="s">
        <v>31</v>
      </c>
      <c r="H11251" t="s">
        <v>45</v>
      </c>
      <c r="I11251" t="s">
        <v>22035</v>
      </c>
      <c r="J11251" t="str">
        <f>HYPERLINK("https://www.boe.es/gazeta/dias/1822/02/16/pdfs/GMD-1822-48.pdf#page=3","Abrir facsímil")</f>
        <v>Abrir facsímil</v>
      </c>
      <c r="K11251" t="s">
        <v>47</v>
      </c>
    </row>
    <row r="11252" spans="1:11" ht="42" customHeight="1">
      <c r="A11252" t="s">
        <v>22036</v>
      </c>
      <c r="B11252" t="s">
        <v>22037</v>
      </c>
      <c r="C11252" t="s">
        <v>28</v>
      </c>
      <c r="D11252" t="s">
        <v>29</v>
      </c>
      <c r="E11252" s="6">
        <v>-28280</v>
      </c>
      <c r="F11252" t="s">
        <v>56</v>
      </c>
      <c r="G11252" t="s">
        <v>57</v>
      </c>
      <c r="H11252" t="s">
        <v>20</v>
      </c>
      <c r="I11252" t="s">
        <v>22038</v>
      </c>
      <c r="J11252" t="str">
        <f>HYPERLINK("https://www.boe.es/gazeta/dias/1822/07/27/pdfs/GMD-1822-220.pdf#page=4","Abrir facsímil")</f>
        <v>Abrir facsímil</v>
      </c>
      <c r="K11252" t="s">
        <v>22</v>
      </c>
    </row>
    <row r="11253" spans="1:11" ht="42" customHeight="1">
      <c r="A11253" t="s">
        <v>22039</v>
      </c>
      <c r="B11253" t="s">
        <v>22040</v>
      </c>
      <c r="C11253" t="s">
        <v>42</v>
      </c>
      <c r="D11253" t="s">
        <v>17</v>
      </c>
      <c r="E11253" s="6">
        <v>-28282</v>
      </c>
      <c r="F11253" t="s">
        <v>6600</v>
      </c>
      <c r="G11253" t="s">
        <v>6601</v>
      </c>
      <c r="H11253" t="s">
        <v>20</v>
      </c>
      <c r="I11253" t="s">
        <v>22041</v>
      </c>
      <c r="J11253" t="str">
        <f>HYPERLINK("https://www.boe.es/gazeta/dias/1822/07/25/pdfs/GMD-1822-218.pdf#page=4","Abrir facsímil")</f>
        <v>Abrir facsímil</v>
      </c>
      <c r="K11253" t="s">
        <v>22</v>
      </c>
    </row>
    <row r="11254" spans="1:11" ht="42" customHeight="1">
      <c r="A11254" t="s">
        <v>22042</v>
      </c>
      <c r="B11254" t="s">
        <v>22043</v>
      </c>
      <c r="C11254" t="s">
        <v>42</v>
      </c>
      <c r="D11254" t="s">
        <v>17</v>
      </c>
      <c r="E11254" s="6">
        <v>-28477</v>
      </c>
      <c r="F11254" t="s">
        <v>1668</v>
      </c>
      <c r="G11254" t="s">
        <v>19</v>
      </c>
      <c r="H11254" t="s">
        <v>20</v>
      </c>
      <c r="I11254" t="s">
        <v>22044</v>
      </c>
      <c r="J11254" t="str">
        <f>HYPERLINK("https://www.boe.es/gazeta/dias/1822/01/11/pdfs/GMD-1822-11.pdf#page=5","Abrir facsímil")</f>
        <v>Abrir facsímil</v>
      </c>
      <c r="K11254" t="s">
        <v>22</v>
      </c>
    </row>
    <row r="11255" spans="1:11" ht="42" customHeight="1">
      <c r="A11255" t="s">
        <v>22045</v>
      </c>
      <c r="B11255" t="s">
        <v>22046</v>
      </c>
      <c r="C11255" t="s">
        <v>28</v>
      </c>
      <c r="D11255" t="s">
        <v>29</v>
      </c>
      <c r="E11255" s="6">
        <v>-28212</v>
      </c>
      <c r="F11255" t="s">
        <v>560</v>
      </c>
      <c r="G11255" t="s">
        <v>35</v>
      </c>
      <c r="H11255" t="s">
        <v>20</v>
      </c>
      <c r="I11255" t="s">
        <v>22047</v>
      </c>
      <c r="J11255" t="str">
        <f>HYPERLINK("https://www.boe.es/gazeta/dias/1822/10/03/pdfs/GMD-1822-289.pdf#page=2","Abrir facsímil")</f>
        <v>Abrir facsímil</v>
      </c>
      <c r="K11255" t="s">
        <v>22</v>
      </c>
    </row>
    <row r="11256" spans="1:11" ht="42" customHeight="1">
      <c r="A11256" t="s">
        <v>22048</v>
      </c>
      <c r="B11256" t="s">
        <v>22048</v>
      </c>
      <c r="C11256" t="s">
        <v>42</v>
      </c>
      <c r="D11256" t="s">
        <v>17</v>
      </c>
      <c r="E11256" s="6">
        <v>-28434</v>
      </c>
      <c r="F11256" t="s">
        <v>433</v>
      </c>
      <c r="G11256" t="s">
        <v>57</v>
      </c>
      <c r="H11256" t="s">
        <v>20</v>
      </c>
      <c r="I11256" t="s">
        <v>22049</v>
      </c>
      <c r="J11256" t="str">
        <f>HYPERLINK("https://www.boe.es/gazeta/dias/1822/02/23/pdfs/GMD-1822-55.pdf#page=4","Abrir facsímil")</f>
        <v>Abrir facsímil</v>
      </c>
      <c r="K11256" t="s">
        <v>22</v>
      </c>
    </row>
    <row r="11257" spans="1:11" ht="42" customHeight="1">
      <c r="A11257" t="s">
        <v>22048</v>
      </c>
      <c r="B11257" t="s">
        <v>22048</v>
      </c>
      <c r="C11257" t="s">
        <v>71</v>
      </c>
      <c r="D11257" t="s">
        <v>17</v>
      </c>
      <c r="E11257" s="6">
        <v>-28432</v>
      </c>
      <c r="F11257" t="s">
        <v>195</v>
      </c>
      <c r="G11257" t="s">
        <v>31</v>
      </c>
      <c r="H11257" t="s">
        <v>20</v>
      </c>
      <c r="I11257" t="s">
        <v>22050</v>
      </c>
      <c r="J11257" t="str">
        <f>HYPERLINK("https://www.boe.es/gazeta/dias/1822/02/25/pdfs/GMD-1822-57.pdf#page=3","Abrir facsímil")</f>
        <v>Abrir facsímil</v>
      </c>
      <c r="K11257" t="s">
        <v>22</v>
      </c>
    </row>
    <row r="11258" spans="1:11" ht="42" customHeight="1">
      <c r="A11258" t="s">
        <v>22048</v>
      </c>
      <c r="B11258" t="s">
        <v>22048</v>
      </c>
      <c r="C11258" t="s">
        <v>28</v>
      </c>
      <c r="D11258" t="s">
        <v>29</v>
      </c>
      <c r="E11258" s="6">
        <v>-28213</v>
      </c>
      <c r="F11258" t="s">
        <v>558</v>
      </c>
      <c r="G11258" t="s">
        <v>31</v>
      </c>
      <c r="H11258" t="s">
        <v>20</v>
      </c>
      <c r="I11258" t="s">
        <v>22051</v>
      </c>
      <c r="J11258" t="str">
        <f>HYPERLINK("https://www.boe.es/gazeta/dias/1822/10/02/pdfs/GMD-1822-288.pdf#page=3","Abrir facsímil")</f>
        <v>Abrir facsímil</v>
      </c>
      <c r="K11258" t="s">
        <v>22</v>
      </c>
    </row>
    <row r="11259" spans="1:11" ht="42" customHeight="1">
      <c r="A11259" t="s">
        <v>22052</v>
      </c>
      <c r="B11259" t="s">
        <v>22053</v>
      </c>
      <c r="C11259" t="s">
        <v>42</v>
      </c>
      <c r="D11259" t="s">
        <v>17</v>
      </c>
      <c r="E11259" s="6">
        <v>-28225</v>
      </c>
      <c r="F11259" t="s">
        <v>177</v>
      </c>
      <c r="G11259" t="s">
        <v>178</v>
      </c>
      <c r="H11259" t="s">
        <v>20</v>
      </c>
      <c r="I11259" t="s">
        <v>22054</v>
      </c>
      <c r="J11259" t="str">
        <f>HYPERLINK("https://www.boe.es/gazeta/dias/1822/09/20/pdfs/GMD-1822-276.pdf#page=3","Abrir facsímil")</f>
        <v>Abrir facsímil</v>
      </c>
      <c r="K11259" t="s">
        <v>22</v>
      </c>
    </row>
    <row r="11260" spans="1:11" ht="42" customHeight="1">
      <c r="A11260" t="s">
        <v>22055</v>
      </c>
      <c r="B11260" t="s">
        <v>22056</v>
      </c>
      <c r="C11260" t="s">
        <v>28</v>
      </c>
      <c r="D11260" t="s">
        <v>29</v>
      </c>
      <c r="E11260" s="6">
        <v>-28432</v>
      </c>
      <c r="F11260" t="s">
        <v>195</v>
      </c>
      <c r="G11260" t="s">
        <v>31</v>
      </c>
      <c r="H11260" t="s">
        <v>20</v>
      </c>
      <c r="I11260" t="s">
        <v>22057</v>
      </c>
      <c r="J11260" t="str">
        <f>HYPERLINK("https://www.boe.es/gazeta/dias/1822/02/25/pdfs/GMD-1822-57.pdf#page=3","Abrir facsímil")</f>
        <v>Abrir facsímil</v>
      </c>
      <c r="K11260" t="s">
        <v>22</v>
      </c>
    </row>
    <row r="11261" spans="1:11" ht="42" customHeight="1">
      <c r="A11261" t="s">
        <v>22058</v>
      </c>
      <c r="B11261" t="s">
        <v>22059</v>
      </c>
      <c r="C11261" t="s">
        <v>50</v>
      </c>
      <c r="D11261" t="s">
        <v>51</v>
      </c>
      <c r="E11261" s="6">
        <v>-28416</v>
      </c>
      <c r="F11261" t="s">
        <v>97</v>
      </c>
      <c r="G11261" t="s">
        <v>63</v>
      </c>
      <c r="H11261" t="s">
        <v>20</v>
      </c>
      <c r="I11261" t="s">
        <v>22060</v>
      </c>
      <c r="J11261" t="str">
        <f>HYPERLINK("https://www.boe.es/gazeta/dias/1822/03/13/pdfs/GMD-1822-74.pdf#page=6","Abrir facsímil")</f>
        <v>Abrir facsímil</v>
      </c>
      <c r="K11261" t="s">
        <v>22</v>
      </c>
    </row>
    <row r="11262" spans="1:11" ht="42" customHeight="1">
      <c r="A11262" t="s">
        <v>22061</v>
      </c>
      <c r="B11262" t="s">
        <v>22061</v>
      </c>
      <c r="C11262" t="s">
        <v>28</v>
      </c>
      <c r="D11262" t="s">
        <v>29</v>
      </c>
      <c r="E11262" s="6">
        <v>-28432</v>
      </c>
      <c r="F11262" t="s">
        <v>195</v>
      </c>
      <c r="G11262" t="s">
        <v>31</v>
      </c>
      <c r="H11262" t="s">
        <v>20</v>
      </c>
      <c r="I11262" t="s">
        <v>22062</v>
      </c>
      <c r="J11262" t="str">
        <f>HYPERLINK("https://www.boe.es/gazeta/dias/1822/02/25/pdfs/GMD-1822-57.pdf#page=3","Abrir facsímil")</f>
        <v>Abrir facsímil</v>
      </c>
      <c r="K11262" t="s">
        <v>22</v>
      </c>
    </row>
    <row r="11263" spans="1:11" ht="42" customHeight="1">
      <c r="A11263" t="s">
        <v>22063</v>
      </c>
      <c r="B11263" t="s">
        <v>22063</v>
      </c>
      <c r="C11263" t="s">
        <v>50</v>
      </c>
      <c r="D11263" t="s">
        <v>51</v>
      </c>
      <c r="E11263" s="6">
        <v>-28432</v>
      </c>
      <c r="F11263" t="s">
        <v>195</v>
      </c>
      <c r="G11263" t="s">
        <v>57</v>
      </c>
      <c r="H11263" t="s">
        <v>20</v>
      </c>
      <c r="I11263" t="s">
        <v>22064</v>
      </c>
      <c r="J11263" t="str">
        <f>HYPERLINK("https://www.boe.es/gazeta/dias/1822/02/25/pdfs/GMD-1822-57.pdf#page=4","Abrir facsímil")</f>
        <v>Abrir facsímil</v>
      </c>
      <c r="K11263" t="s">
        <v>22</v>
      </c>
    </row>
    <row r="11264" spans="1:11" ht="42" customHeight="1">
      <c r="A11264" t="s">
        <v>22065</v>
      </c>
      <c r="B11264" t="s">
        <v>22065</v>
      </c>
      <c r="C11264" t="s">
        <v>42</v>
      </c>
      <c r="D11264" t="s">
        <v>17</v>
      </c>
      <c r="E11264" s="6">
        <v>-28432</v>
      </c>
      <c r="F11264" t="s">
        <v>195</v>
      </c>
      <c r="G11264" t="s">
        <v>31</v>
      </c>
      <c r="H11264" t="s">
        <v>20</v>
      </c>
      <c r="I11264" t="s">
        <v>22066</v>
      </c>
      <c r="J11264" t="str">
        <f>HYPERLINK("https://www.boe.es/gazeta/dias/1822/02/25/pdfs/GMD-1822-57.pdf#page=3","Abrir facsímil")</f>
        <v>Abrir facsímil</v>
      </c>
      <c r="K11264" t="s">
        <v>22</v>
      </c>
    </row>
    <row r="11265" spans="1:11" ht="42" customHeight="1">
      <c r="A11265" t="s">
        <v>22067</v>
      </c>
      <c r="B11265" t="s">
        <v>22067</v>
      </c>
      <c r="C11265" t="s">
        <v>50</v>
      </c>
      <c r="D11265" t="s">
        <v>51</v>
      </c>
      <c r="E11265" s="6">
        <v>-28247</v>
      </c>
      <c r="F11265" t="s">
        <v>2023</v>
      </c>
      <c r="G11265" t="s">
        <v>44</v>
      </c>
      <c r="H11265" t="s">
        <v>20</v>
      </c>
      <c r="I11265" t="s">
        <v>22068</v>
      </c>
      <c r="J11265" t="str">
        <f>HYPERLINK("https://www.boe.es/gazeta/dias/1822/08/29/pdfs/GMD-1822-253.pdf#page=1","Abrir facsímil")</f>
        <v>Abrir facsímil</v>
      </c>
      <c r="K11265" t="s">
        <v>22</v>
      </c>
    </row>
    <row r="11266" spans="1:11" ht="42" customHeight="1">
      <c r="A11266" t="s">
        <v>22069</v>
      </c>
      <c r="B11266" t="s">
        <v>22070</v>
      </c>
      <c r="C11266" t="s">
        <v>16</v>
      </c>
      <c r="D11266" t="s">
        <v>17</v>
      </c>
      <c r="E11266" s="6">
        <v>-28408</v>
      </c>
      <c r="F11266" t="s">
        <v>2561</v>
      </c>
      <c r="G11266" t="s">
        <v>63</v>
      </c>
      <c r="H11266" t="s">
        <v>20</v>
      </c>
      <c r="I11266" t="s">
        <v>22071</v>
      </c>
      <c r="J11266" t="str">
        <f>HYPERLINK("https://www.boe.es/gazeta/dias/1822/03/21/pdfs/GMD-1822-82.pdf#page=6","Abrir facsímil")</f>
        <v>Abrir facsímil</v>
      </c>
      <c r="K11266" t="s">
        <v>22</v>
      </c>
    </row>
    <row r="11267" spans="1:11" ht="42" customHeight="1">
      <c r="A11267" t="s">
        <v>22072</v>
      </c>
      <c r="B11267" t="s">
        <v>22073</v>
      </c>
      <c r="C11267" t="s">
        <v>50</v>
      </c>
      <c r="D11267" t="s">
        <v>51</v>
      </c>
      <c r="E11267" s="6">
        <v>-28396</v>
      </c>
      <c r="F11267" t="s">
        <v>1138</v>
      </c>
      <c r="G11267" t="s">
        <v>157</v>
      </c>
      <c r="H11267" t="s">
        <v>20</v>
      </c>
      <c r="I11267" t="s">
        <v>22074</v>
      </c>
      <c r="J11267" t="str">
        <f>HYPERLINK("https://www.boe.es/gazeta/dias/1822/04/02/pdfs/GMD-1822-94.pdf#page=8","Abrir facsímil")</f>
        <v>Abrir facsímil</v>
      </c>
      <c r="K11267" t="s">
        <v>22</v>
      </c>
    </row>
    <row r="11268" spans="1:11" ht="42" customHeight="1">
      <c r="A11268" t="s">
        <v>22075</v>
      </c>
      <c r="B11268" t="s">
        <v>22076</v>
      </c>
      <c r="C11268" t="s">
        <v>50</v>
      </c>
      <c r="D11268" t="s">
        <v>51</v>
      </c>
      <c r="E11268" s="6">
        <v>-28264</v>
      </c>
      <c r="F11268" t="s">
        <v>1329</v>
      </c>
      <c r="G11268" t="s">
        <v>57</v>
      </c>
      <c r="H11268" t="s">
        <v>20</v>
      </c>
      <c r="I11268" t="s">
        <v>22077</v>
      </c>
      <c r="J11268" t="str">
        <f>HYPERLINK("https://www.boe.es/gazeta/dias/1822/08/12/pdfs/GMD-1822-236.pdf#page=4","Abrir facsímil")</f>
        <v>Abrir facsímil</v>
      </c>
      <c r="K11268" t="s">
        <v>22</v>
      </c>
    </row>
    <row r="11269" spans="1:11" ht="42" customHeight="1">
      <c r="A11269" t="s">
        <v>22078</v>
      </c>
      <c r="B11269" t="s">
        <v>22079</v>
      </c>
      <c r="C11269" t="s">
        <v>28</v>
      </c>
      <c r="D11269" t="s">
        <v>29</v>
      </c>
      <c r="E11269" s="6">
        <v>-28220</v>
      </c>
      <c r="F11269" t="s">
        <v>1914</v>
      </c>
      <c r="G11269" t="s">
        <v>57</v>
      </c>
      <c r="H11269" t="s">
        <v>20</v>
      </c>
      <c r="I11269" t="s">
        <v>22080</v>
      </c>
      <c r="J11269" t="str">
        <f>HYPERLINK("https://www.boe.es/gazeta/dias/1822/09/25/pdfs/GMD-1822-281.pdf#page=4","Abrir facsímil")</f>
        <v>Abrir facsímil</v>
      </c>
      <c r="K11269" t="s">
        <v>22</v>
      </c>
    </row>
    <row r="11270" spans="1:11" ht="42" customHeight="1">
      <c r="A11270" t="s">
        <v>22081</v>
      </c>
      <c r="B11270" t="s">
        <v>22081</v>
      </c>
      <c r="C11270" t="s">
        <v>28</v>
      </c>
      <c r="D11270" t="s">
        <v>29</v>
      </c>
      <c r="E11270" s="6">
        <v>-28363</v>
      </c>
      <c r="F11270" t="s">
        <v>72</v>
      </c>
      <c r="G11270" t="s">
        <v>63</v>
      </c>
      <c r="H11270" t="s">
        <v>20</v>
      </c>
      <c r="I11270" t="s">
        <v>22082</v>
      </c>
      <c r="J11270" t="str">
        <f>HYPERLINK("https://www.boe.es/gazeta/dias/1822/05/05/pdfs/GMD-1822-127.pdf#page=6","Abrir facsímil")</f>
        <v>Abrir facsímil</v>
      </c>
      <c r="K11270" t="s">
        <v>22</v>
      </c>
    </row>
    <row r="11271" spans="1:11" ht="42" customHeight="1">
      <c r="A11271" t="s">
        <v>22081</v>
      </c>
      <c r="B11271" t="s">
        <v>22081</v>
      </c>
      <c r="C11271" t="s">
        <v>28</v>
      </c>
      <c r="D11271" t="s">
        <v>29</v>
      </c>
      <c r="E11271" s="6">
        <v>-28189</v>
      </c>
      <c r="F11271" t="s">
        <v>645</v>
      </c>
      <c r="G11271" t="s">
        <v>57</v>
      </c>
      <c r="H11271" t="s">
        <v>20</v>
      </c>
      <c r="I11271" t="s">
        <v>22083</v>
      </c>
      <c r="J11271" t="str">
        <f>HYPERLINK("https://www.boe.es/gazeta/dias/1822/10/26/pdfs/GMD-1822-313.pdf#page=4","Abrir facsímil")</f>
        <v>Abrir facsímil</v>
      </c>
      <c r="K11271" t="s">
        <v>22</v>
      </c>
    </row>
    <row r="11272" spans="1:11" ht="42" customHeight="1">
      <c r="A11272" t="s">
        <v>22084</v>
      </c>
      <c r="B11272" t="s">
        <v>22084</v>
      </c>
      <c r="C11272" t="s">
        <v>28</v>
      </c>
      <c r="D11272" t="s">
        <v>29</v>
      </c>
      <c r="E11272" s="6">
        <v>-28416</v>
      </c>
      <c r="F11272" t="s">
        <v>97</v>
      </c>
      <c r="G11272" t="s">
        <v>19</v>
      </c>
      <c r="H11272" t="s">
        <v>20</v>
      </c>
      <c r="I11272" t="s">
        <v>22085</v>
      </c>
      <c r="J11272" t="str">
        <f>HYPERLINK("https://www.boe.es/gazeta/dias/1822/03/13/pdfs/GMD-1822-74.pdf#page=5","Abrir facsímil")</f>
        <v>Abrir facsímil</v>
      </c>
      <c r="K11272" t="s">
        <v>22</v>
      </c>
    </row>
    <row r="11273" spans="1:11" ht="42" customHeight="1">
      <c r="A11273" t="s">
        <v>22086</v>
      </c>
      <c r="B11273" t="s">
        <v>22086</v>
      </c>
      <c r="C11273" t="s">
        <v>28</v>
      </c>
      <c r="D11273" t="s">
        <v>29</v>
      </c>
      <c r="E11273" s="6">
        <v>-28417</v>
      </c>
      <c r="F11273" t="s">
        <v>1394</v>
      </c>
      <c r="G11273" t="s">
        <v>57</v>
      </c>
      <c r="H11273" t="s">
        <v>20</v>
      </c>
      <c r="I11273" t="s">
        <v>22087</v>
      </c>
      <c r="J11273" t="str">
        <f>HYPERLINK("https://www.boe.es/gazeta/dias/1822/03/12/pdfs/GMD-1822-73.pdf#page=4","Abrir facsímil")</f>
        <v>Abrir facsímil</v>
      </c>
      <c r="K11273" t="s">
        <v>22</v>
      </c>
    </row>
    <row r="11274" spans="1:11" ht="42" customHeight="1">
      <c r="A11274" t="s">
        <v>22086</v>
      </c>
      <c r="B11274" t="s">
        <v>22086</v>
      </c>
      <c r="C11274" t="s">
        <v>42</v>
      </c>
      <c r="D11274" t="s">
        <v>17</v>
      </c>
      <c r="E11274" s="6">
        <v>-28414</v>
      </c>
      <c r="F11274" t="s">
        <v>187</v>
      </c>
      <c r="G11274" t="s">
        <v>63</v>
      </c>
      <c r="H11274" t="s">
        <v>20</v>
      </c>
      <c r="I11274" t="s">
        <v>22088</v>
      </c>
      <c r="J11274" t="str">
        <f>HYPERLINK("https://www.boe.es/gazeta/dias/1822/03/15/pdfs/GMD-1822-76.pdf#page=6","Abrir facsímil")</f>
        <v>Abrir facsímil</v>
      </c>
      <c r="K11274" t="s">
        <v>22</v>
      </c>
    </row>
    <row r="11275" spans="1:11" ht="42" customHeight="1">
      <c r="A11275" t="s">
        <v>22086</v>
      </c>
      <c r="B11275" t="s">
        <v>22086</v>
      </c>
      <c r="C11275" t="s">
        <v>42</v>
      </c>
      <c r="D11275" t="s">
        <v>17</v>
      </c>
      <c r="E11275" s="6">
        <v>-28412</v>
      </c>
      <c r="F11275" t="s">
        <v>825</v>
      </c>
      <c r="G11275" t="s">
        <v>31</v>
      </c>
      <c r="H11275" t="s">
        <v>20</v>
      </c>
      <c r="I11275" t="s">
        <v>22089</v>
      </c>
      <c r="J11275" t="str">
        <f>HYPERLINK("https://www.boe.es/gazeta/dias/1822/03/17/pdfs/GMD-1822-78.pdf#page=3","Abrir facsímil")</f>
        <v>Abrir facsímil</v>
      </c>
      <c r="K11275" t="s">
        <v>22</v>
      </c>
    </row>
    <row r="11276" spans="1:11" ht="42" customHeight="1">
      <c r="A11276" t="s">
        <v>22086</v>
      </c>
      <c r="B11276" t="s">
        <v>22086</v>
      </c>
      <c r="C11276" t="s">
        <v>71</v>
      </c>
      <c r="D11276" t="s">
        <v>17</v>
      </c>
      <c r="E11276" s="6">
        <v>-28412</v>
      </c>
      <c r="F11276" t="s">
        <v>825</v>
      </c>
      <c r="G11276" t="s">
        <v>57</v>
      </c>
      <c r="H11276" t="s">
        <v>20</v>
      </c>
      <c r="I11276" t="s">
        <v>22090</v>
      </c>
      <c r="J11276" t="str">
        <f>HYPERLINK("https://www.boe.es/gazeta/dias/1822/03/17/pdfs/GMD-1822-78.pdf#page=4","Abrir facsímil")</f>
        <v>Abrir facsímil</v>
      </c>
      <c r="K11276" t="s">
        <v>22</v>
      </c>
    </row>
    <row r="11277" spans="1:11" ht="42" customHeight="1">
      <c r="A11277" t="s">
        <v>22086</v>
      </c>
      <c r="B11277" t="s">
        <v>22086</v>
      </c>
      <c r="C11277" t="s">
        <v>42</v>
      </c>
      <c r="D11277" t="s">
        <v>17</v>
      </c>
      <c r="E11277" s="6">
        <v>-28410</v>
      </c>
      <c r="F11277" t="s">
        <v>966</v>
      </c>
      <c r="G11277" t="s">
        <v>31</v>
      </c>
      <c r="H11277" t="s">
        <v>20</v>
      </c>
      <c r="I11277" t="s">
        <v>22091</v>
      </c>
      <c r="J11277" t="str">
        <f>HYPERLINK("https://www.boe.es/gazeta/dias/1822/03/19/pdfs/GMD-1822-80.pdf#page=3","Abrir facsímil")</f>
        <v>Abrir facsímil</v>
      </c>
      <c r="K11277" t="s">
        <v>22</v>
      </c>
    </row>
    <row r="11278" spans="1:11" ht="42" customHeight="1">
      <c r="A11278" t="s">
        <v>22086</v>
      </c>
      <c r="B11278" t="s">
        <v>22086</v>
      </c>
      <c r="C11278" t="s">
        <v>42</v>
      </c>
      <c r="D11278" t="s">
        <v>17</v>
      </c>
      <c r="E11278" s="6">
        <v>-28410</v>
      </c>
      <c r="F11278" t="s">
        <v>966</v>
      </c>
      <c r="G11278" t="s">
        <v>57</v>
      </c>
      <c r="H11278" t="s">
        <v>20</v>
      </c>
      <c r="I11278" t="s">
        <v>22092</v>
      </c>
      <c r="J11278" t="str">
        <f>HYPERLINK("https://www.boe.es/gazeta/dias/1822/03/19/pdfs/GMD-1822-80.pdf#page=4","Abrir facsímil")</f>
        <v>Abrir facsímil</v>
      </c>
      <c r="K11278" t="s">
        <v>22</v>
      </c>
    </row>
    <row r="11279" spans="1:11" ht="42" customHeight="1">
      <c r="A11279" t="s">
        <v>22086</v>
      </c>
      <c r="B11279" t="s">
        <v>22086</v>
      </c>
      <c r="C11279" t="s">
        <v>24</v>
      </c>
      <c r="D11279" t="s">
        <v>17</v>
      </c>
      <c r="E11279" s="6">
        <v>-28409</v>
      </c>
      <c r="F11279" t="s">
        <v>394</v>
      </c>
      <c r="G11279" t="s">
        <v>63</v>
      </c>
      <c r="H11279" t="s">
        <v>20</v>
      </c>
      <c r="I11279" t="s">
        <v>22093</v>
      </c>
      <c r="J11279" t="str">
        <f>HYPERLINK("https://www.boe.es/gazeta/dias/1822/03/20/pdfs/GMD-1822-81.pdf#page=6","Abrir facsímil")</f>
        <v>Abrir facsímil</v>
      </c>
      <c r="K11279" t="s">
        <v>22</v>
      </c>
    </row>
    <row r="11280" spans="1:11" ht="42" customHeight="1">
      <c r="A11280" t="s">
        <v>22086</v>
      </c>
      <c r="B11280" t="s">
        <v>22086</v>
      </c>
      <c r="C11280" t="s">
        <v>71</v>
      </c>
      <c r="D11280" t="s">
        <v>17</v>
      </c>
      <c r="E11280" s="6">
        <v>-28393</v>
      </c>
      <c r="F11280" t="s">
        <v>326</v>
      </c>
      <c r="G11280" t="s">
        <v>57</v>
      </c>
      <c r="H11280" t="s">
        <v>20</v>
      </c>
      <c r="I11280" t="s">
        <v>22094</v>
      </c>
      <c r="J11280" t="str">
        <f>HYPERLINK("https://www.boe.es/gazeta/dias/1822/04/05/pdfs/GMD-1822-97.pdf#page=4","Abrir facsímil")</f>
        <v>Abrir facsímil</v>
      </c>
      <c r="K11280" t="s">
        <v>22</v>
      </c>
    </row>
    <row r="11281" spans="1:11" ht="42" customHeight="1">
      <c r="A11281" t="s">
        <v>22086</v>
      </c>
      <c r="B11281" t="s">
        <v>22086</v>
      </c>
      <c r="C11281" t="s">
        <v>16</v>
      </c>
      <c r="D11281" t="s">
        <v>17</v>
      </c>
      <c r="E11281" s="6">
        <v>-28386</v>
      </c>
      <c r="F11281" t="s">
        <v>2993</v>
      </c>
      <c r="G11281" t="s">
        <v>57</v>
      </c>
      <c r="H11281" t="s">
        <v>20</v>
      </c>
      <c r="I11281" t="s">
        <v>22095</v>
      </c>
      <c r="J11281" t="str">
        <f>HYPERLINK("https://www.boe.es/gazeta/dias/1822/04/12/pdfs/GMD-1822-104.pdf#page=4","Abrir facsímil")</f>
        <v>Abrir facsímil</v>
      </c>
      <c r="K11281" t="s">
        <v>22</v>
      </c>
    </row>
    <row r="11282" spans="1:11" ht="42" customHeight="1">
      <c r="A11282" t="s">
        <v>22086</v>
      </c>
      <c r="B11282" t="s">
        <v>22086</v>
      </c>
      <c r="C11282" t="s">
        <v>50</v>
      </c>
      <c r="D11282" t="s">
        <v>51</v>
      </c>
      <c r="E11282" s="6">
        <v>-28385</v>
      </c>
      <c r="F11282" t="s">
        <v>484</v>
      </c>
      <c r="G11282" t="s">
        <v>31</v>
      </c>
      <c r="H11282" t="s">
        <v>20</v>
      </c>
      <c r="I11282" t="s">
        <v>22096</v>
      </c>
      <c r="J11282" t="str">
        <f>HYPERLINK("https://www.boe.es/gazeta/dias/1822/04/13/pdfs/GMD-1822-105.pdf#page=3","Abrir facsímil")</f>
        <v>Abrir facsímil</v>
      </c>
      <c r="K11282" t="s">
        <v>22</v>
      </c>
    </row>
    <row r="11283" spans="1:11" ht="42" customHeight="1">
      <c r="A11283" t="s">
        <v>22086</v>
      </c>
      <c r="B11283" t="s">
        <v>22086</v>
      </c>
      <c r="C11283" t="s">
        <v>42</v>
      </c>
      <c r="D11283" t="s">
        <v>17</v>
      </c>
      <c r="E11283" s="6">
        <v>-28383</v>
      </c>
      <c r="F11283" t="s">
        <v>488</v>
      </c>
      <c r="G11283" t="s">
        <v>31</v>
      </c>
      <c r="H11283" t="s">
        <v>20</v>
      </c>
      <c r="I11283" t="s">
        <v>22097</v>
      </c>
      <c r="J11283" t="str">
        <f>HYPERLINK("https://www.boe.es/gazeta/dias/1822/04/15/pdfs/GMD-1822-107.pdf#page=3","Abrir facsímil")</f>
        <v>Abrir facsímil</v>
      </c>
      <c r="K11283" t="s">
        <v>22</v>
      </c>
    </row>
    <row r="11284" spans="1:11" ht="42" customHeight="1">
      <c r="A11284" t="s">
        <v>22086</v>
      </c>
      <c r="B11284" t="s">
        <v>22086</v>
      </c>
      <c r="C11284" t="s">
        <v>16</v>
      </c>
      <c r="D11284" t="s">
        <v>17</v>
      </c>
      <c r="E11284" s="6">
        <v>-28382</v>
      </c>
      <c r="F11284" t="s">
        <v>973</v>
      </c>
      <c r="G11284" t="s">
        <v>63</v>
      </c>
      <c r="H11284" t="s">
        <v>20</v>
      </c>
      <c r="I11284" t="s">
        <v>22098</v>
      </c>
      <c r="J11284" t="str">
        <f>HYPERLINK("https://www.boe.es/gazeta/dias/1822/04/16/pdfs/GMD-1822-108.pdf#page=6","Abrir facsímil")</f>
        <v>Abrir facsímil</v>
      </c>
      <c r="K11284" t="s">
        <v>22</v>
      </c>
    </row>
    <row r="11285" spans="1:11" ht="42" customHeight="1">
      <c r="A11285" t="s">
        <v>22086</v>
      </c>
      <c r="B11285" t="s">
        <v>22086</v>
      </c>
      <c r="C11285" t="s">
        <v>71</v>
      </c>
      <c r="D11285" t="s">
        <v>17</v>
      </c>
      <c r="E11285" s="6">
        <v>-28381</v>
      </c>
      <c r="F11285" t="s">
        <v>358</v>
      </c>
      <c r="G11285" t="s">
        <v>57</v>
      </c>
      <c r="H11285" t="s">
        <v>20</v>
      </c>
      <c r="I11285" t="s">
        <v>22099</v>
      </c>
      <c r="J11285" t="str">
        <f>HYPERLINK("https://www.boe.es/gazeta/dias/1822/04/17/pdfs/GMD-1822-109.pdf#page=4","Abrir facsímil")</f>
        <v>Abrir facsímil</v>
      </c>
      <c r="K11285" t="s">
        <v>22</v>
      </c>
    </row>
    <row r="11286" spans="1:11" ht="42" customHeight="1">
      <c r="A11286" t="s">
        <v>22086</v>
      </c>
      <c r="B11286" t="s">
        <v>22086</v>
      </c>
      <c r="C11286" t="s">
        <v>28</v>
      </c>
      <c r="D11286" t="s">
        <v>29</v>
      </c>
      <c r="E11286" s="6">
        <v>-28380</v>
      </c>
      <c r="F11286" t="s">
        <v>492</v>
      </c>
      <c r="G11286" t="s">
        <v>31</v>
      </c>
      <c r="H11286" t="s">
        <v>20</v>
      </c>
      <c r="I11286" t="s">
        <v>22100</v>
      </c>
      <c r="J11286" t="str">
        <f>HYPERLINK("https://www.boe.es/gazeta/dias/1822/04/18/pdfs/GMD-1822-110.pdf#page=3","Abrir facsímil")</f>
        <v>Abrir facsímil</v>
      </c>
      <c r="K11286" t="s">
        <v>22</v>
      </c>
    </row>
    <row r="11287" spans="1:11" ht="42" customHeight="1">
      <c r="A11287" t="s">
        <v>22086</v>
      </c>
      <c r="B11287" t="s">
        <v>22086</v>
      </c>
      <c r="C11287" t="s">
        <v>28</v>
      </c>
      <c r="D11287" t="s">
        <v>29</v>
      </c>
      <c r="E11287" s="6">
        <v>-28380</v>
      </c>
      <c r="F11287" t="s">
        <v>492</v>
      </c>
      <c r="G11287" t="s">
        <v>57</v>
      </c>
      <c r="H11287" t="s">
        <v>20</v>
      </c>
      <c r="I11287" t="s">
        <v>22101</v>
      </c>
      <c r="J11287" t="str">
        <f>HYPERLINK("https://www.boe.es/gazeta/dias/1822/04/18/pdfs/GMD-1822-110.pdf#page=4","Abrir facsímil")</f>
        <v>Abrir facsímil</v>
      </c>
      <c r="K11287" t="s">
        <v>22</v>
      </c>
    </row>
    <row r="11288" spans="1:11" ht="42" customHeight="1">
      <c r="A11288" t="s">
        <v>22086</v>
      </c>
      <c r="B11288" t="s">
        <v>22086</v>
      </c>
      <c r="C11288" t="s">
        <v>71</v>
      </c>
      <c r="D11288" t="s">
        <v>17</v>
      </c>
      <c r="E11288" s="6">
        <v>-28379</v>
      </c>
      <c r="F11288" t="s">
        <v>494</v>
      </c>
      <c r="G11288" t="s">
        <v>35</v>
      </c>
      <c r="H11288" t="s">
        <v>20</v>
      </c>
      <c r="I11288" t="s">
        <v>22102</v>
      </c>
      <c r="J11288" t="str">
        <f>HYPERLINK("https://www.boe.es/gazeta/dias/1822/04/19/pdfs/GMD-1822-111.pdf#page=2","Abrir facsímil")</f>
        <v>Abrir facsímil</v>
      </c>
      <c r="K11288" t="s">
        <v>22</v>
      </c>
    </row>
    <row r="11289" spans="1:11" ht="42" customHeight="1">
      <c r="A11289" t="s">
        <v>22086</v>
      </c>
      <c r="B11289" t="s">
        <v>22086</v>
      </c>
      <c r="C11289" t="s">
        <v>28</v>
      </c>
      <c r="D11289" t="s">
        <v>29</v>
      </c>
      <c r="E11289" s="6">
        <v>-28379</v>
      </c>
      <c r="F11289" t="s">
        <v>494</v>
      </c>
      <c r="G11289" t="s">
        <v>19</v>
      </c>
      <c r="H11289" t="s">
        <v>20</v>
      </c>
      <c r="I11289" t="s">
        <v>22103</v>
      </c>
      <c r="J11289" t="str">
        <f>HYPERLINK("https://www.boe.es/gazeta/dias/1822/04/19/pdfs/GMD-1822-111.pdf#page=5","Abrir facsímil")</f>
        <v>Abrir facsímil</v>
      </c>
      <c r="K11289" t="s">
        <v>22</v>
      </c>
    </row>
    <row r="11290" spans="1:11" ht="42" customHeight="1">
      <c r="A11290" t="s">
        <v>22086</v>
      </c>
      <c r="B11290" t="s">
        <v>22086</v>
      </c>
      <c r="C11290" t="s">
        <v>71</v>
      </c>
      <c r="D11290" t="s">
        <v>17</v>
      </c>
      <c r="E11290" s="6">
        <v>-28378</v>
      </c>
      <c r="F11290" t="s">
        <v>496</v>
      </c>
      <c r="G11290" t="s">
        <v>35</v>
      </c>
      <c r="H11290" t="s">
        <v>20</v>
      </c>
      <c r="I11290" t="s">
        <v>22104</v>
      </c>
      <c r="J11290" t="str">
        <f>HYPERLINK("https://www.boe.es/gazeta/dias/1822/04/20/pdfs/GMD-1822-112.pdf#page=2","Abrir facsímil")</f>
        <v>Abrir facsímil</v>
      </c>
      <c r="K11290" t="s">
        <v>22</v>
      </c>
    </row>
    <row r="11291" spans="1:11" ht="42" customHeight="1">
      <c r="A11291" t="s">
        <v>22086</v>
      </c>
      <c r="B11291" t="s">
        <v>22086</v>
      </c>
      <c r="C11291" t="s">
        <v>42</v>
      </c>
      <c r="D11291" t="s">
        <v>17</v>
      </c>
      <c r="E11291" s="6">
        <v>-28377</v>
      </c>
      <c r="F11291" t="s">
        <v>498</v>
      </c>
      <c r="G11291" t="s">
        <v>35</v>
      </c>
      <c r="H11291" t="s">
        <v>20</v>
      </c>
      <c r="I11291" t="s">
        <v>22105</v>
      </c>
      <c r="J11291" t="str">
        <f>HYPERLINK("https://www.boe.es/gazeta/dias/1822/04/21/pdfs/GMD-1822-113.pdf#page=2","Abrir facsímil")</f>
        <v>Abrir facsímil</v>
      </c>
      <c r="K11291" t="s">
        <v>22</v>
      </c>
    </row>
    <row r="11292" spans="1:11" ht="42" customHeight="1">
      <c r="A11292" t="s">
        <v>22086</v>
      </c>
      <c r="B11292" t="s">
        <v>22086</v>
      </c>
      <c r="C11292" t="s">
        <v>1141</v>
      </c>
      <c r="D11292" t="s">
        <v>29</v>
      </c>
      <c r="E11292" s="6">
        <v>-28373</v>
      </c>
      <c r="F11292" t="s">
        <v>614</v>
      </c>
      <c r="G11292" t="s">
        <v>31</v>
      </c>
      <c r="H11292" t="s">
        <v>20</v>
      </c>
      <c r="I11292" t="s">
        <v>22106</v>
      </c>
      <c r="J11292" t="str">
        <f>HYPERLINK("https://www.boe.es/gazeta/dias/1822/04/25/pdfs/GMD-1822-117.pdf#page=3","Abrir facsímil")</f>
        <v>Abrir facsímil</v>
      </c>
      <c r="K11292" t="s">
        <v>22</v>
      </c>
    </row>
    <row r="11293" spans="1:11" ht="42" customHeight="1">
      <c r="A11293" t="s">
        <v>22086</v>
      </c>
      <c r="B11293" t="s">
        <v>22086</v>
      </c>
      <c r="C11293" t="s">
        <v>50</v>
      </c>
      <c r="D11293" t="s">
        <v>51</v>
      </c>
      <c r="E11293" s="6">
        <v>-28371</v>
      </c>
      <c r="F11293" t="s">
        <v>401</v>
      </c>
      <c r="G11293" t="s">
        <v>31</v>
      </c>
      <c r="H11293" t="s">
        <v>20</v>
      </c>
      <c r="I11293" t="s">
        <v>22107</v>
      </c>
      <c r="J11293" t="str">
        <f>HYPERLINK("https://www.boe.es/gazeta/dias/1822/04/27/pdfs/GMD-1822-119.pdf#page=3","Abrir facsímil")</f>
        <v>Abrir facsímil</v>
      </c>
      <c r="K11293" t="s">
        <v>22</v>
      </c>
    </row>
    <row r="11294" spans="1:11" ht="42" customHeight="1">
      <c r="A11294" t="s">
        <v>22086</v>
      </c>
      <c r="B11294" t="s">
        <v>22086</v>
      </c>
      <c r="C11294" t="s">
        <v>61</v>
      </c>
      <c r="D11294" t="s">
        <v>17</v>
      </c>
      <c r="E11294" s="6">
        <v>-28368</v>
      </c>
      <c r="F11294" t="s">
        <v>126</v>
      </c>
      <c r="G11294" t="s">
        <v>44</v>
      </c>
      <c r="H11294" t="s">
        <v>20</v>
      </c>
      <c r="I11294" t="s">
        <v>22108</v>
      </c>
      <c r="J11294" t="str">
        <f>HYPERLINK("https://www.boe.es/gazeta/dias/1822/04/30/pdfs/GMD-1822-122.pdf#page=1","Abrir facsímil")</f>
        <v>Abrir facsímil</v>
      </c>
      <c r="K11294" t="s">
        <v>22</v>
      </c>
    </row>
    <row r="11295" spans="1:11" ht="42" customHeight="1">
      <c r="A11295" t="s">
        <v>22086</v>
      </c>
      <c r="B11295" t="s">
        <v>22086</v>
      </c>
      <c r="C11295" t="s">
        <v>42</v>
      </c>
      <c r="D11295" t="s">
        <v>17</v>
      </c>
      <c r="E11295" s="6">
        <v>-28367</v>
      </c>
      <c r="F11295" t="s">
        <v>280</v>
      </c>
      <c r="G11295" t="s">
        <v>57</v>
      </c>
      <c r="H11295" t="s">
        <v>20</v>
      </c>
      <c r="I11295" t="s">
        <v>22109</v>
      </c>
      <c r="J11295" t="str">
        <f>HYPERLINK("https://www.boe.es/gazeta/dias/1822/05/01/pdfs/GMD-1822-123.pdf#page=4","Abrir facsímil")</f>
        <v>Abrir facsímil</v>
      </c>
      <c r="K11295" t="s">
        <v>22</v>
      </c>
    </row>
    <row r="11296" spans="1:11" ht="42" customHeight="1">
      <c r="A11296" t="s">
        <v>22086</v>
      </c>
      <c r="B11296" t="s">
        <v>22086</v>
      </c>
      <c r="C11296" t="s">
        <v>71</v>
      </c>
      <c r="D11296" t="s">
        <v>17</v>
      </c>
      <c r="E11296" s="6">
        <v>-28363</v>
      </c>
      <c r="F11296" t="s">
        <v>72</v>
      </c>
      <c r="G11296" t="s">
        <v>57</v>
      </c>
      <c r="H11296" t="s">
        <v>20</v>
      </c>
      <c r="I11296" t="s">
        <v>22110</v>
      </c>
      <c r="J11296" t="str">
        <f>HYPERLINK("https://www.boe.es/gazeta/dias/1822/05/05/pdfs/GMD-1822-127.pdf#page=4","Abrir facsímil")</f>
        <v>Abrir facsímil</v>
      </c>
      <c r="K11296" t="s">
        <v>22</v>
      </c>
    </row>
    <row r="11297" spans="1:11" ht="42" customHeight="1">
      <c r="A11297" t="s">
        <v>22086</v>
      </c>
      <c r="B11297" t="s">
        <v>22086</v>
      </c>
      <c r="C11297" t="s">
        <v>42</v>
      </c>
      <c r="D11297" t="s">
        <v>17</v>
      </c>
      <c r="E11297" s="6">
        <v>-28363</v>
      </c>
      <c r="F11297" t="s">
        <v>72</v>
      </c>
      <c r="G11297" t="s">
        <v>63</v>
      </c>
      <c r="H11297" t="s">
        <v>20</v>
      </c>
      <c r="I11297" t="s">
        <v>22111</v>
      </c>
      <c r="J11297" t="str">
        <f>HYPERLINK("https://www.boe.es/gazeta/dias/1822/05/05/pdfs/GMD-1822-127.pdf#page=6","Abrir facsímil")</f>
        <v>Abrir facsímil</v>
      </c>
      <c r="K11297" t="s">
        <v>22</v>
      </c>
    </row>
    <row r="11298" spans="1:11" ht="42" customHeight="1">
      <c r="A11298" t="s">
        <v>22086</v>
      </c>
      <c r="B11298" t="s">
        <v>22086</v>
      </c>
      <c r="C11298" t="s">
        <v>50</v>
      </c>
      <c r="D11298" t="s">
        <v>51</v>
      </c>
      <c r="E11298" s="6">
        <v>-28362</v>
      </c>
      <c r="F11298" t="s">
        <v>511</v>
      </c>
      <c r="G11298" t="s">
        <v>19</v>
      </c>
      <c r="H11298" t="s">
        <v>20</v>
      </c>
      <c r="I11298" t="s">
        <v>22112</v>
      </c>
      <c r="J11298" t="str">
        <f>HYPERLINK("https://www.boe.es/gazeta/dias/1822/05/06/pdfs/GMD-1822-128.pdf#page=5","Abrir facsímil")</f>
        <v>Abrir facsímil</v>
      </c>
      <c r="K11298" t="s">
        <v>22</v>
      </c>
    </row>
    <row r="11299" spans="1:11" ht="42" customHeight="1">
      <c r="A11299" t="s">
        <v>22086</v>
      </c>
      <c r="B11299" t="s">
        <v>22086</v>
      </c>
      <c r="C11299" t="s">
        <v>71</v>
      </c>
      <c r="D11299" t="s">
        <v>17</v>
      </c>
      <c r="E11299" s="6">
        <v>-28348</v>
      </c>
      <c r="F11299" t="s">
        <v>2903</v>
      </c>
      <c r="G11299" t="s">
        <v>31</v>
      </c>
      <c r="H11299" t="s">
        <v>20</v>
      </c>
      <c r="I11299" t="s">
        <v>22113</v>
      </c>
      <c r="J11299" t="str">
        <f>HYPERLINK("https://www.boe.es/gazeta/dias/1822/05/20/pdfs/GMD-1822-143.pdf#page=3","Abrir facsímil")</f>
        <v>Abrir facsímil</v>
      </c>
      <c r="K11299" t="s">
        <v>22</v>
      </c>
    </row>
    <row r="11300" spans="1:11" ht="42" customHeight="1">
      <c r="A11300" t="s">
        <v>22086</v>
      </c>
      <c r="B11300" t="s">
        <v>22086</v>
      </c>
      <c r="C11300" t="s">
        <v>28</v>
      </c>
      <c r="D11300" t="s">
        <v>29</v>
      </c>
      <c r="E11300" s="6">
        <v>-28341</v>
      </c>
      <c r="F11300" t="s">
        <v>284</v>
      </c>
      <c r="G11300" t="s">
        <v>57</v>
      </c>
      <c r="H11300" t="s">
        <v>20</v>
      </c>
      <c r="I11300" t="s">
        <v>22114</v>
      </c>
      <c r="J11300" t="str">
        <f>HYPERLINK("https://www.boe.es/gazeta/dias/1822/05/27/pdfs/GMD-1822-152.pdf#page=4","Abrir facsímil")</f>
        <v>Abrir facsímil</v>
      </c>
      <c r="K11300" t="s">
        <v>22</v>
      </c>
    </row>
    <row r="11301" spans="1:11" ht="42" customHeight="1">
      <c r="A11301" t="s">
        <v>22086</v>
      </c>
      <c r="B11301" t="s">
        <v>22086</v>
      </c>
      <c r="C11301" t="s">
        <v>42</v>
      </c>
      <c r="D11301" t="s">
        <v>17</v>
      </c>
      <c r="E11301" s="6">
        <v>-28324</v>
      </c>
      <c r="F11301" t="s">
        <v>305</v>
      </c>
      <c r="G11301" t="s">
        <v>57</v>
      </c>
      <c r="H11301" t="s">
        <v>20</v>
      </c>
      <c r="I11301" t="s">
        <v>22115</v>
      </c>
      <c r="J11301" t="str">
        <f>HYPERLINK("https://www.boe.es/gazeta/dias/1822/06/13/pdfs/GMD-1822-170.pdf#page=4","Abrir facsímil")</f>
        <v>Abrir facsímil</v>
      </c>
      <c r="K11301" t="s">
        <v>22</v>
      </c>
    </row>
    <row r="11302" spans="1:11" ht="42" customHeight="1">
      <c r="A11302" t="s">
        <v>22086</v>
      </c>
      <c r="B11302" t="s">
        <v>22086</v>
      </c>
      <c r="C11302" t="s">
        <v>50</v>
      </c>
      <c r="D11302" t="s">
        <v>51</v>
      </c>
      <c r="E11302" s="6">
        <v>-28323</v>
      </c>
      <c r="F11302" t="s">
        <v>116</v>
      </c>
      <c r="G11302" t="s">
        <v>63</v>
      </c>
      <c r="H11302" t="s">
        <v>20</v>
      </c>
      <c r="I11302" t="s">
        <v>22116</v>
      </c>
      <c r="J11302" t="str">
        <f>HYPERLINK("https://www.boe.es/gazeta/dias/1822/06/14/pdfs/GMD-1822-171.pdf#page=6","Abrir facsímil")</f>
        <v>Abrir facsímil</v>
      </c>
      <c r="K11302" t="s">
        <v>22</v>
      </c>
    </row>
    <row r="11303" spans="1:11" ht="42" customHeight="1">
      <c r="A11303" t="s">
        <v>22086</v>
      </c>
      <c r="B11303" t="s">
        <v>22086</v>
      </c>
      <c r="C11303" t="s">
        <v>50</v>
      </c>
      <c r="D11303" t="s">
        <v>51</v>
      </c>
      <c r="E11303" s="6">
        <v>-28321</v>
      </c>
      <c r="F11303" t="s">
        <v>1142</v>
      </c>
      <c r="G11303" t="s">
        <v>31</v>
      </c>
      <c r="H11303" t="s">
        <v>20</v>
      </c>
      <c r="I11303" t="s">
        <v>22117</v>
      </c>
      <c r="J11303" t="str">
        <f>HYPERLINK("https://www.boe.es/gazeta/dias/1822/06/16/pdfs/GMD-1822-173.pdf#page=3","Abrir facsímil")</f>
        <v>Abrir facsímil</v>
      </c>
      <c r="K11303" t="s">
        <v>22</v>
      </c>
    </row>
    <row r="11304" spans="1:11" ht="42" customHeight="1">
      <c r="A11304" t="s">
        <v>22086</v>
      </c>
      <c r="B11304" t="s">
        <v>22086</v>
      </c>
      <c r="C11304" t="s">
        <v>42</v>
      </c>
      <c r="D11304" t="s">
        <v>17</v>
      </c>
      <c r="E11304" s="6">
        <v>-28318</v>
      </c>
      <c r="F11304" t="s">
        <v>397</v>
      </c>
      <c r="G11304" t="s">
        <v>31</v>
      </c>
      <c r="H11304" t="s">
        <v>20</v>
      </c>
      <c r="I11304" t="s">
        <v>22118</v>
      </c>
      <c r="J11304" t="str">
        <f>HYPERLINK("https://www.boe.es/gazeta/dias/1822/06/19/pdfs/GMD-1822-176.pdf#page=3","Abrir facsímil")</f>
        <v>Abrir facsímil</v>
      </c>
      <c r="K11304" t="s">
        <v>22</v>
      </c>
    </row>
    <row r="11305" spans="1:11" ht="42" customHeight="1">
      <c r="A11305" t="s">
        <v>22086</v>
      </c>
      <c r="B11305" t="s">
        <v>22086</v>
      </c>
      <c r="C11305" t="s">
        <v>71</v>
      </c>
      <c r="D11305" t="s">
        <v>17</v>
      </c>
      <c r="E11305" s="6">
        <v>-28318</v>
      </c>
      <c r="F11305" t="s">
        <v>397</v>
      </c>
      <c r="G11305" t="s">
        <v>57</v>
      </c>
      <c r="H11305" t="s">
        <v>20</v>
      </c>
      <c r="I11305" t="s">
        <v>22119</v>
      </c>
      <c r="J11305" t="str">
        <f>HYPERLINK("https://www.boe.es/gazeta/dias/1822/06/19/pdfs/GMD-1822-176.pdf#page=4","Abrir facsímil")</f>
        <v>Abrir facsímil</v>
      </c>
      <c r="K11305" t="s">
        <v>22</v>
      </c>
    </row>
    <row r="11306" spans="1:11" ht="42" customHeight="1">
      <c r="A11306" t="s">
        <v>22086</v>
      </c>
      <c r="B11306" t="s">
        <v>22086</v>
      </c>
      <c r="C11306" t="s">
        <v>71</v>
      </c>
      <c r="D11306" t="s">
        <v>17</v>
      </c>
      <c r="E11306" s="6">
        <v>-28317</v>
      </c>
      <c r="F11306" t="s">
        <v>546</v>
      </c>
      <c r="G11306" t="s">
        <v>31</v>
      </c>
      <c r="H11306" t="s">
        <v>20</v>
      </c>
      <c r="I11306" t="s">
        <v>22120</v>
      </c>
      <c r="J11306" t="str">
        <f>HYPERLINK("https://www.boe.es/gazeta/dias/1822/06/20/pdfs/GMD-1822-177.pdf#page=3","Abrir facsímil")</f>
        <v>Abrir facsímil</v>
      </c>
      <c r="K11306" t="s">
        <v>22</v>
      </c>
    </row>
    <row r="11307" spans="1:11" ht="42" customHeight="1">
      <c r="A11307" t="s">
        <v>22086</v>
      </c>
      <c r="B11307" t="s">
        <v>22086</v>
      </c>
      <c r="C11307" t="s">
        <v>42</v>
      </c>
      <c r="D11307" t="s">
        <v>17</v>
      </c>
      <c r="E11307" s="6">
        <v>-28317</v>
      </c>
      <c r="F11307" t="s">
        <v>546</v>
      </c>
      <c r="G11307" t="s">
        <v>57</v>
      </c>
      <c r="H11307" t="s">
        <v>20</v>
      </c>
      <c r="I11307" t="s">
        <v>22121</v>
      </c>
      <c r="J11307" t="str">
        <f>HYPERLINK("https://www.boe.es/gazeta/dias/1822/06/20/pdfs/GMD-1822-177.pdf#page=4","Abrir facsímil")</f>
        <v>Abrir facsímil</v>
      </c>
      <c r="K11307" t="s">
        <v>22</v>
      </c>
    </row>
    <row r="11308" spans="1:11" ht="42" customHeight="1">
      <c r="A11308" t="s">
        <v>22086</v>
      </c>
      <c r="B11308" t="s">
        <v>22086</v>
      </c>
      <c r="C11308" t="s">
        <v>42</v>
      </c>
      <c r="D11308" t="s">
        <v>17</v>
      </c>
      <c r="E11308" s="6">
        <v>-28314</v>
      </c>
      <c r="F11308" t="s">
        <v>309</v>
      </c>
      <c r="G11308" t="s">
        <v>35</v>
      </c>
      <c r="H11308" t="s">
        <v>20</v>
      </c>
      <c r="I11308" t="s">
        <v>22122</v>
      </c>
      <c r="J11308" t="str">
        <f>HYPERLINK("https://www.boe.es/gazeta/dias/1822/06/23/pdfs/GMD-1822-181.pdf#page=2","Abrir facsímil")</f>
        <v>Abrir facsímil</v>
      </c>
      <c r="K11308" t="s">
        <v>22</v>
      </c>
    </row>
    <row r="11309" spans="1:11" ht="42" customHeight="1">
      <c r="A11309" t="s">
        <v>22086</v>
      </c>
      <c r="B11309" t="s">
        <v>22086</v>
      </c>
      <c r="C11309" t="s">
        <v>28</v>
      </c>
      <c r="D11309" t="s">
        <v>29</v>
      </c>
      <c r="E11309" s="6">
        <v>-28313</v>
      </c>
      <c r="F11309" t="s">
        <v>315</v>
      </c>
      <c r="G11309" t="s">
        <v>549</v>
      </c>
      <c r="H11309" t="s">
        <v>20</v>
      </c>
      <c r="I11309" t="s">
        <v>22123</v>
      </c>
      <c r="J11309" t="str">
        <f>HYPERLINK("https://www.boe.es/gazeta/dias/1822/06/24/pdfs/GMD-1822-182.pdf#page=6","Abrir facsímil")</f>
        <v>Abrir facsímil</v>
      </c>
      <c r="K11309" t="s">
        <v>22</v>
      </c>
    </row>
    <row r="11310" spans="1:11" ht="42" customHeight="1">
      <c r="A11310" t="s">
        <v>22086</v>
      </c>
      <c r="B11310" t="s">
        <v>22086</v>
      </c>
      <c r="C11310" t="s">
        <v>50</v>
      </c>
      <c r="D11310" t="s">
        <v>51</v>
      </c>
      <c r="E11310" s="6">
        <v>-28313</v>
      </c>
      <c r="F11310" t="s">
        <v>315</v>
      </c>
      <c r="G11310" t="s">
        <v>57</v>
      </c>
      <c r="H11310" t="s">
        <v>20</v>
      </c>
      <c r="I11310" t="s">
        <v>22124</v>
      </c>
      <c r="J11310" t="str">
        <f>HYPERLINK("https://www.boe.es/gazeta/dias/1822/06/24/pdfs/GMD-1822-182.pdf#page=4","Abrir facsímil")</f>
        <v>Abrir facsímil</v>
      </c>
      <c r="K11310" t="s">
        <v>22</v>
      </c>
    </row>
    <row r="11311" spans="1:11" ht="42" customHeight="1">
      <c r="A11311" t="s">
        <v>22086</v>
      </c>
      <c r="B11311" t="s">
        <v>22086</v>
      </c>
      <c r="C11311" t="s">
        <v>71</v>
      </c>
      <c r="D11311" t="s">
        <v>17</v>
      </c>
      <c r="E11311" s="6">
        <v>-28203</v>
      </c>
      <c r="F11311" t="s">
        <v>564</v>
      </c>
      <c r="G11311" t="s">
        <v>44</v>
      </c>
      <c r="H11311" t="s">
        <v>20</v>
      </c>
      <c r="I11311" t="s">
        <v>22125</v>
      </c>
      <c r="J11311" t="str">
        <f>HYPERLINK("https://www.boe.es/gazeta/dias/1822/10/12/pdfs/GMD-1822-299.pdf#page=1","Abrir facsímil")</f>
        <v>Abrir facsímil</v>
      </c>
      <c r="K11311" t="s">
        <v>22</v>
      </c>
    </row>
    <row r="11312" spans="1:11" ht="42" customHeight="1">
      <c r="A11312" t="s">
        <v>22086</v>
      </c>
      <c r="B11312" t="s">
        <v>22086</v>
      </c>
      <c r="C11312" t="s">
        <v>71</v>
      </c>
      <c r="D11312" t="s">
        <v>17</v>
      </c>
      <c r="E11312" s="6">
        <v>-28194</v>
      </c>
      <c r="F11312" t="s">
        <v>18</v>
      </c>
      <c r="G11312" t="s">
        <v>44</v>
      </c>
      <c r="H11312" t="s">
        <v>20</v>
      </c>
      <c r="I11312" t="s">
        <v>22126</v>
      </c>
      <c r="J11312" t="str">
        <f>HYPERLINK("https://www.boe.es/gazeta/dias/1822/10/21/pdfs/GMD-1822-308.pdf#page=1","Abrir facsímil")</f>
        <v>Abrir facsímil</v>
      </c>
      <c r="K11312" t="s">
        <v>22</v>
      </c>
    </row>
    <row r="11313" spans="1:11" ht="42" customHeight="1">
      <c r="A11313" t="s">
        <v>22086</v>
      </c>
      <c r="B11313" t="s">
        <v>22086</v>
      </c>
      <c r="C11313" t="s">
        <v>71</v>
      </c>
      <c r="D11313" t="s">
        <v>17</v>
      </c>
      <c r="E11313" s="6">
        <v>-28194</v>
      </c>
      <c r="F11313" t="s">
        <v>18</v>
      </c>
      <c r="G11313" t="s">
        <v>35</v>
      </c>
      <c r="H11313" t="s">
        <v>20</v>
      </c>
      <c r="I11313" t="s">
        <v>22127</v>
      </c>
      <c r="J11313" t="str">
        <f>HYPERLINK("https://www.boe.es/gazeta/dias/1822/10/21/pdfs/GMD-1822-308.pdf#page=2","Abrir facsímil")</f>
        <v>Abrir facsímil</v>
      </c>
      <c r="K11313" t="s">
        <v>22</v>
      </c>
    </row>
    <row r="11314" spans="1:11" ht="42" customHeight="1">
      <c r="A11314" t="s">
        <v>22086</v>
      </c>
      <c r="B11314" t="s">
        <v>22086</v>
      </c>
      <c r="C11314" t="s">
        <v>42</v>
      </c>
      <c r="D11314" t="s">
        <v>17</v>
      </c>
      <c r="E11314" s="6">
        <v>-28194</v>
      </c>
      <c r="F11314" t="s">
        <v>18</v>
      </c>
      <c r="G11314" t="s">
        <v>31</v>
      </c>
      <c r="H11314" t="s">
        <v>20</v>
      </c>
      <c r="I11314" t="s">
        <v>22128</v>
      </c>
      <c r="J11314" t="str">
        <f>HYPERLINK("https://www.boe.es/gazeta/dias/1822/10/21/pdfs/GMD-1822-308.pdf#page=3","Abrir facsímil")</f>
        <v>Abrir facsímil</v>
      </c>
      <c r="K11314" t="s">
        <v>22</v>
      </c>
    </row>
    <row r="11315" spans="1:11" ht="42" customHeight="1">
      <c r="A11315" t="s">
        <v>22086</v>
      </c>
      <c r="B11315" t="s">
        <v>22086</v>
      </c>
      <c r="C11315" t="s">
        <v>42</v>
      </c>
      <c r="D11315" t="s">
        <v>17</v>
      </c>
      <c r="E11315" s="6">
        <v>-28194</v>
      </c>
      <c r="F11315" t="s">
        <v>18</v>
      </c>
      <c r="G11315" t="s">
        <v>57</v>
      </c>
      <c r="H11315" t="s">
        <v>20</v>
      </c>
      <c r="I11315" t="s">
        <v>22129</v>
      </c>
      <c r="J11315" t="str">
        <f>HYPERLINK("https://www.boe.es/gazeta/dias/1822/10/21/pdfs/GMD-1822-308.pdf#page=4","Abrir facsímil")</f>
        <v>Abrir facsímil</v>
      </c>
      <c r="K11315" t="s">
        <v>22</v>
      </c>
    </row>
    <row r="11316" spans="1:11" ht="42" customHeight="1">
      <c r="A11316" t="s">
        <v>22086</v>
      </c>
      <c r="B11316" t="s">
        <v>22086</v>
      </c>
      <c r="C11316" t="s">
        <v>42</v>
      </c>
      <c r="D11316" t="s">
        <v>17</v>
      </c>
      <c r="E11316" s="6">
        <v>-28193</v>
      </c>
      <c r="F11316" t="s">
        <v>574</v>
      </c>
      <c r="G11316" t="s">
        <v>31</v>
      </c>
      <c r="H11316" t="s">
        <v>20</v>
      </c>
      <c r="I11316" t="s">
        <v>22130</v>
      </c>
      <c r="J11316" t="str">
        <f>HYPERLINK("https://www.boe.es/gazeta/dias/1822/10/22/pdfs/GMD-1822-309.pdf#page=3","Abrir facsímil")</f>
        <v>Abrir facsímil</v>
      </c>
      <c r="K11316" t="s">
        <v>22</v>
      </c>
    </row>
    <row r="11317" spans="1:11" ht="42" customHeight="1">
      <c r="A11317" t="s">
        <v>22086</v>
      </c>
      <c r="B11317" t="s">
        <v>22086</v>
      </c>
      <c r="C11317" t="s">
        <v>71</v>
      </c>
      <c r="D11317" t="s">
        <v>17</v>
      </c>
      <c r="E11317" s="6">
        <v>-28192</v>
      </c>
      <c r="F11317" t="s">
        <v>43</v>
      </c>
      <c r="G11317" t="s">
        <v>63</v>
      </c>
      <c r="H11317" t="s">
        <v>20</v>
      </c>
      <c r="I11317" t="s">
        <v>22131</v>
      </c>
      <c r="J11317" t="str">
        <f>HYPERLINK("https://www.boe.es/gazeta/dias/1822/10/23/pdfs/GMD-1822-310.pdf#page=6","Abrir facsímil")</f>
        <v>Abrir facsímil</v>
      </c>
      <c r="K11317" t="s">
        <v>22</v>
      </c>
    </row>
    <row r="11318" spans="1:11" ht="42" customHeight="1">
      <c r="A11318" t="s">
        <v>22086</v>
      </c>
      <c r="B11318" t="s">
        <v>22086</v>
      </c>
      <c r="C11318" t="s">
        <v>28</v>
      </c>
      <c r="D11318" t="s">
        <v>29</v>
      </c>
      <c r="E11318" s="6">
        <v>-28189</v>
      </c>
      <c r="F11318" t="s">
        <v>645</v>
      </c>
      <c r="G11318" t="s">
        <v>57</v>
      </c>
      <c r="H11318" t="s">
        <v>20</v>
      </c>
      <c r="I11318" t="s">
        <v>22132</v>
      </c>
      <c r="J11318" t="str">
        <f>HYPERLINK("https://www.boe.es/gazeta/dias/1822/10/26/pdfs/GMD-1822-313.pdf#page=4","Abrir facsímil")</f>
        <v>Abrir facsímil</v>
      </c>
      <c r="K11318" t="s">
        <v>22</v>
      </c>
    </row>
    <row r="11319" spans="1:11" ht="42" customHeight="1">
      <c r="A11319" t="s">
        <v>22086</v>
      </c>
      <c r="B11319" t="s">
        <v>22086</v>
      </c>
      <c r="C11319" t="s">
        <v>28</v>
      </c>
      <c r="D11319" t="s">
        <v>29</v>
      </c>
      <c r="E11319" s="6">
        <v>-28188</v>
      </c>
      <c r="F11319" t="s">
        <v>578</v>
      </c>
      <c r="G11319" t="s">
        <v>63</v>
      </c>
      <c r="H11319" t="s">
        <v>20</v>
      </c>
      <c r="I11319" t="s">
        <v>22133</v>
      </c>
      <c r="J11319" t="str">
        <f>HYPERLINK("https://www.boe.es/gazeta/dias/1822/10/27/pdfs/GMD-1822-314.pdf#page=6","Abrir facsímil")</f>
        <v>Abrir facsímil</v>
      </c>
      <c r="K11319" t="s">
        <v>22</v>
      </c>
    </row>
    <row r="11320" spans="1:11" ht="42" customHeight="1">
      <c r="A11320" t="s">
        <v>22086</v>
      </c>
      <c r="B11320" t="s">
        <v>22086</v>
      </c>
      <c r="C11320" t="s">
        <v>362</v>
      </c>
      <c r="D11320" t="s">
        <v>17</v>
      </c>
      <c r="E11320" s="6">
        <v>-28185</v>
      </c>
      <c r="F11320" t="s">
        <v>933</v>
      </c>
      <c r="G11320" t="s">
        <v>31</v>
      </c>
      <c r="H11320" t="s">
        <v>20</v>
      </c>
      <c r="I11320" t="s">
        <v>22134</v>
      </c>
      <c r="J11320" t="str">
        <f>HYPERLINK("https://www.boe.es/gazeta/dias/1822/10/30/pdfs/GMD-1822-317.pdf#page=3","Abrir facsímil")</f>
        <v>Abrir facsímil</v>
      </c>
      <c r="K11320" t="s">
        <v>22</v>
      </c>
    </row>
    <row r="11321" spans="1:11" ht="42" customHeight="1">
      <c r="A11321" t="s">
        <v>22086</v>
      </c>
      <c r="B11321" t="s">
        <v>22086</v>
      </c>
      <c r="C11321" t="s">
        <v>50</v>
      </c>
      <c r="D11321" t="s">
        <v>51</v>
      </c>
      <c r="E11321" s="6">
        <v>-28184</v>
      </c>
      <c r="F11321" t="s">
        <v>1423</v>
      </c>
      <c r="G11321" t="s">
        <v>35</v>
      </c>
      <c r="H11321" t="s">
        <v>20</v>
      </c>
      <c r="I11321" t="s">
        <v>22135</v>
      </c>
      <c r="J11321" t="str">
        <f>HYPERLINK("https://www.boe.es/gazeta/dias/1822/10/31/pdfs/GMD-1822-318.pdf#page=2","Abrir facsímil")</f>
        <v>Abrir facsímil</v>
      </c>
      <c r="K11321" t="s">
        <v>22</v>
      </c>
    </row>
    <row r="11322" spans="1:11" ht="42" customHeight="1">
      <c r="A11322" t="s">
        <v>22086</v>
      </c>
      <c r="B11322" t="s">
        <v>22086</v>
      </c>
      <c r="C11322" t="s">
        <v>16</v>
      </c>
      <c r="D11322" t="s">
        <v>17</v>
      </c>
      <c r="E11322" s="6">
        <v>-28182</v>
      </c>
      <c r="F11322" t="s">
        <v>585</v>
      </c>
      <c r="G11322" t="s">
        <v>35</v>
      </c>
      <c r="H11322" t="s">
        <v>20</v>
      </c>
      <c r="I11322" t="s">
        <v>22136</v>
      </c>
      <c r="J11322" t="str">
        <f>HYPERLINK("https://www.boe.es/gazeta/dias/1822/11/02/pdfs/GMD-1822-320.pdf#page=2","Abrir facsímil")</f>
        <v>Abrir facsímil</v>
      </c>
      <c r="K11322" t="s">
        <v>22</v>
      </c>
    </row>
    <row r="11323" spans="1:11" ht="42" customHeight="1">
      <c r="A11323" t="s">
        <v>22086</v>
      </c>
      <c r="B11323" t="s">
        <v>22086</v>
      </c>
      <c r="C11323" t="s">
        <v>71</v>
      </c>
      <c r="D11323" t="s">
        <v>17</v>
      </c>
      <c r="E11323" s="6">
        <v>-28182</v>
      </c>
      <c r="F11323" t="s">
        <v>585</v>
      </c>
      <c r="G11323" t="s">
        <v>31</v>
      </c>
      <c r="H11323" t="s">
        <v>20</v>
      </c>
      <c r="I11323" t="s">
        <v>22137</v>
      </c>
      <c r="J11323" t="str">
        <f>HYPERLINK("https://www.boe.es/gazeta/dias/1822/11/02/pdfs/GMD-1822-320.pdf#page=3","Abrir facsímil")</f>
        <v>Abrir facsímil</v>
      </c>
      <c r="K11323" t="s">
        <v>22</v>
      </c>
    </row>
    <row r="11324" spans="1:11" ht="42" customHeight="1">
      <c r="A11324" t="s">
        <v>22086</v>
      </c>
      <c r="B11324" t="s">
        <v>22086</v>
      </c>
      <c r="C11324" t="s">
        <v>71</v>
      </c>
      <c r="D11324" t="s">
        <v>17</v>
      </c>
      <c r="E11324" s="6">
        <v>-28181</v>
      </c>
      <c r="F11324" t="s">
        <v>739</v>
      </c>
      <c r="G11324" t="s">
        <v>57</v>
      </c>
      <c r="H11324" t="s">
        <v>20</v>
      </c>
      <c r="I11324" t="s">
        <v>22138</v>
      </c>
      <c r="J11324" t="str">
        <f>HYPERLINK("https://www.boe.es/gazeta/dias/1822/11/03/pdfs/GMD-1822-321.pdf#page=4","Abrir facsímil")</f>
        <v>Abrir facsímil</v>
      </c>
      <c r="K11324" t="s">
        <v>22</v>
      </c>
    </row>
    <row r="11325" spans="1:11" ht="42" customHeight="1">
      <c r="A11325" t="s">
        <v>22086</v>
      </c>
      <c r="B11325" t="s">
        <v>22086</v>
      </c>
      <c r="C11325" t="s">
        <v>50</v>
      </c>
      <c r="D11325" t="s">
        <v>51</v>
      </c>
      <c r="E11325" s="6">
        <v>-28180</v>
      </c>
      <c r="F11325" t="s">
        <v>839</v>
      </c>
      <c r="G11325" t="s">
        <v>44</v>
      </c>
      <c r="H11325" t="s">
        <v>20</v>
      </c>
      <c r="I11325" t="s">
        <v>22139</v>
      </c>
      <c r="J11325" t="str">
        <f>HYPERLINK("https://www.boe.es/gazeta/dias/1822/11/04/pdfs/GMD-1822-323.pdf#page=1","Abrir facsímil")</f>
        <v>Abrir facsímil</v>
      </c>
      <c r="K11325" t="s">
        <v>22</v>
      </c>
    </row>
    <row r="11326" spans="1:11" ht="42" customHeight="1">
      <c r="A11326" t="s">
        <v>22086</v>
      </c>
      <c r="B11326" t="s">
        <v>22086</v>
      </c>
      <c r="C11326" t="s">
        <v>28</v>
      </c>
      <c r="D11326" t="s">
        <v>29</v>
      </c>
      <c r="E11326" s="6">
        <v>-28180</v>
      </c>
      <c r="F11326" t="s">
        <v>839</v>
      </c>
      <c r="G11326" t="s">
        <v>35</v>
      </c>
      <c r="H11326" t="s">
        <v>20</v>
      </c>
      <c r="I11326" t="s">
        <v>22140</v>
      </c>
      <c r="J11326" t="str">
        <f>HYPERLINK("https://www.boe.es/gazeta/dias/1822/11/04/pdfs/GMD-1822-323.pdf#page=2","Abrir facsímil")</f>
        <v>Abrir facsímil</v>
      </c>
      <c r="K11326" t="s">
        <v>22</v>
      </c>
    </row>
    <row r="11327" spans="1:11" ht="42" customHeight="1">
      <c r="A11327" t="s">
        <v>22086</v>
      </c>
      <c r="B11327" t="s">
        <v>22086</v>
      </c>
      <c r="C11327" t="s">
        <v>42</v>
      </c>
      <c r="D11327" t="s">
        <v>17</v>
      </c>
      <c r="E11327" s="6">
        <v>-28180</v>
      </c>
      <c r="F11327" t="s">
        <v>839</v>
      </c>
      <c r="G11327" t="s">
        <v>57</v>
      </c>
      <c r="H11327" t="s">
        <v>20</v>
      </c>
      <c r="I11327" t="s">
        <v>22141</v>
      </c>
      <c r="J11327" t="str">
        <f>HYPERLINK("https://www.boe.es/gazeta/dias/1822/11/04/pdfs/GMD-1822-323.pdf#page=4","Abrir facsímil")</f>
        <v>Abrir facsímil</v>
      </c>
      <c r="K11327" t="s">
        <v>22</v>
      </c>
    </row>
    <row r="11328" spans="1:11" ht="42" customHeight="1">
      <c r="A11328" t="s">
        <v>22086</v>
      </c>
      <c r="B11328" t="s">
        <v>22086</v>
      </c>
      <c r="C11328" t="s">
        <v>28</v>
      </c>
      <c r="D11328" t="s">
        <v>29</v>
      </c>
      <c r="E11328" s="6">
        <v>-28177</v>
      </c>
      <c r="F11328" t="s">
        <v>587</v>
      </c>
      <c r="G11328" t="s">
        <v>888</v>
      </c>
      <c r="H11328" t="s">
        <v>20</v>
      </c>
      <c r="I11328" t="s">
        <v>22142</v>
      </c>
      <c r="J11328" t="str">
        <f>HYPERLINK("https://www.boe.es/gazeta/dias/1822/11/07/pdfs/GMD-1822-327.pdf#page=4","Abrir facsímil")</f>
        <v>Abrir facsímil</v>
      </c>
      <c r="K11328" t="s">
        <v>22</v>
      </c>
    </row>
    <row r="11329" spans="1:11" ht="42" customHeight="1">
      <c r="A11329" t="s">
        <v>22086</v>
      </c>
      <c r="B11329" t="s">
        <v>22086</v>
      </c>
      <c r="C11329" t="s">
        <v>61</v>
      </c>
      <c r="D11329" t="s">
        <v>17</v>
      </c>
      <c r="E11329" s="6">
        <v>-28160</v>
      </c>
      <c r="F11329" t="s">
        <v>148</v>
      </c>
      <c r="G11329" t="s">
        <v>57</v>
      </c>
      <c r="H11329" t="s">
        <v>20</v>
      </c>
      <c r="I11329" t="s">
        <v>22143</v>
      </c>
      <c r="J11329" t="str">
        <f>HYPERLINK("https://www.boe.es/gazeta/dias/1822/11/24/pdfs/GMD-1822-344.pdf#page=4","Abrir facsímil")</f>
        <v>Abrir facsímil</v>
      </c>
      <c r="K11329" t="s">
        <v>22</v>
      </c>
    </row>
    <row r="11330" spans="1:11" ht="42" customHeight="1">
      <c r="A11330" t="s">
        <v>22086</v>
      </c>
      <c r="B11330" t="s">
        <v>22086</v>
      </c>
      <c r="C11330" t="s">
        <v>71</v>
      </c>
      <c r="D11330" t="s">
        <v>17</v>
      </c>
      <c r="E11330" s="6">
        <v>-28158</v>
      </c>
      <c r="F11330" t="s">
        <v>590</v>
      </c>
      <c r="G11330" t="s">
        <v>35</v>
      </c>
      <c r="H11330" t="s">
        <v>20</v>
      </c>
      <c r="I11330" t="s">
        <v>22144</v>
      </c>
      <c r="J11330" t="str">
        <f>HYPERLINK("https://www.boe.es/gazeta/dias/1822/11/26/pdfs/GMD-1822-346.pdf#page=2","Abrir facsímil")</f>
        <v>Abrir facsímil</v>
      </c>
      <c r="K11330" t="s">
        <v>22</v>
      </c>
    </row>
    <row r="11331" spans="1:11" ht="42" customHeight="1">
      <c r="A11331" t="s">
        <v>22086</v>
      </c>
      <c r="B11331" t="s">
        <v>22086</v>
      </c>
      <c r="C11331" t="s">
        <v>50</v>
      </c>
      <c r="D11331" t="s">
        <v>51</v>
      </c>
      <c r="E11331" s="6">
        <v>-28158</v>
      </c>
      <c r="F11331" t="s">
        <v>590</v>
      </c>
      <c r="G11331" t="s">
        <v>19</v>
      </c>
      <c r="H11331" t="s">
        <v>20</v>
      </c>
      <c r="I11331" t="s">
        <v>22145</v>
      </c>
      <c r="J11331" t="str">
        <f>HYPERLINK("https://www.boe.es/gazeta/dias/1822/11/26/pdfs/GMD-1822-346.pdf#page=5","Abrir facsímil")</f>
        <v>Abrir facsímil</v>
      </c>
      <c r="K11331" t="s">
        <v>22</v>
      </c>
    </row>
    <row r="11332" spans="1:11" ht="42" customHeight="1">
      <c r="A11332" t="s">
        <v>22146</v>
      </c>
      <c r="B11332" t="s">
        <v>22147</v>
      </c>
      <c r="C11332" t="s">
        <v>50</v>
      </c>
      <c r="D11332" t="s">
        <v>51</v>
      </c>
      <c r="E11332" s="6">
        <v>-28260</v>
      </c>
      <c r="F11332" t="s">
        <v>135</v>
      </c>
      <c r="G11332" t="s">
        <v>35</v>
      </c>
      <c r="H11332" t="s">
        <v>20</v>
      </c>
      <c r="I11332" t="s">
        <v>22148</v>
      </c>
      <c r="J11332" t="str">
        <f>HYPERLINK("https://www.boe.es/gazeta/dias/1822/08/16/pdfs/GMD-1822-240.pdf#page=2","Abrir facsímil")</f>
        <v>Abrir facsímil</v>
      </c>
      <c r="K11332" t="s">
        <v>22</v>
      </c>
    </row>
    <row r="11333" spans="1:11" ht="42" customHeight="1">
      <c r="A11333" t="s">
        <v>22149</v>
      </c>
      <c r="B11333" t="s">
        <v>22150</v>
      </c>
      <c r="C11333" t="s">
        <v>28</v>
      </c>
      <c r="D11333" t="s">
        <v>29</v>
      </c>
      <c r="E11333" s="6">
        <v>-28436</v>
      </c>
      <c r="F11333" t="s">
        <v>431</v>
      </c>
      <c r="G11333" t="s">
        <v>1428</v>
      </c>
      <c r="H11333" t="s">
        <v>20</v>
      </c>
      <c r="I11333" t="s">
        <v>22151</v>
      </c>
      <c r="J11333" t="str">
        <f>HYPERLINK("https://www.boe.es/gazeta/dias/1822/02/21/pdfs/GMD-1822-53.pdf#page=3","Abrir facsímil")</f>
        <v>Abrir facsímil</v>
      </c>
      <c r="K11333" t="s">
        <v>22</v>
      </c>
    </row>
    <row r="11334" spans="1:11" ht="42" customHeight="1">
      <c r="A11334" t="s">
        <v>22152</v>
      </c>
      <c r="B11334" t="s">
        <v>22153</v>
      </c>
      <c r="C11334" t="s">
        <v>50</v>
      </c>
      <c r="D11334" t="s">
        <v>51</v>
      </c>
      <c r="E11334" s="6">
        <v>-28162</v>
      </c>
      <c r="F11334" t="s">
        <v>3949</v>
      </c>
      <c r="G11334" t="s">
        <v>57</v>
      </c>
      <c r="H11334" t="s">
        <v>20</v>
      </c>
      <c r="I11334" t="s">
        <v>22154</v>
      </c>
      <c r="J11334" t="str">
        <f>HYPERLINK("https://www.boe.es/gazeta/dias/1822/11/22/pdfs/GMD-1822-342.pdf#page=4","Abrir facsímil")</f>
        <v>Abrir facsímil</v>
      </c>
      <c r="K11334" t="s">
        <v>22</v>
      </c>
    </row>
    <row r="11335" spans="1:11" ht="42" customHeight="1">
      <c r="A11335" t="s">
        <v>22155</v>
      </c>
      <c r="B11335" t="s">
        <v>22155</v>
      </c>
      <c r="C11335" t="s">
        <v>28</v>
      </c>
      <c r="D11335" t="s">
        <v>29</v>
      </c>
      <c r="E11335" s="6">
        <v>-28410</v>
      </c>
      <c r="F11335" t="s">
        <v>966</v>
      </c>
      <c r="G11335" t="s">
        <v>57</v>
      </c>
      <c r="H11335" t="s">
        <v>20</v>
      </c>
      <c r="I11335" t="s">
        <v>22156</v>
      </c>
      <c r="J11335" t="str">
        <f>HYPERLINK("https://www.boe.es/gazeta/dias/1822/03/19/pdfs/GMD-1822-80.pdf#page=4","Abrir facsímil")</f>
        <v>Abrir facsímil</v>
      </c>
      <c r="K11335" t="s">
        <v>22</v>
      </c>
    </row>
    <row r="11336" spans="1:11" ht="42" customHeight="1">
      <c r="A11336" t="s">
        <v>22155</v>
      </c>
      <c r="B11336" t="s">
        <v>22155</v>
      </c>
      <c r="C11336" t="s">
        <v>42</v>
      </c>
      <c r="D11336" t="s">
        <v>17</v>
      </c>
      <c r="E11336" s="6">
        <v>-28365</v>
      </c>
      <c r="F11336" t="s">
        <v>506</v>
      </c>
      <c r="G11336" t="s">
        <v>35</v>
      </c>
      <c r="H11336" t="s">
        <v>20</v>
      </c>
      <c r="I11336" t="s">
        <v>22157</v>
      </c>
      <c r="J11336" t="str">
        <f>HYPERLINK("https://www.boe.es/gazeta/dias/1822/05/03/pdfs/GMD-1822-125.pdf#page=2","Abrir facsímil")</f>
        <v>Abrir facsímil</v>
      </c>
      <c r="K11336" t="s">
        <v>22</v>
      </c>
    </row>
    <row r="11337" spans="1:11" ht="42" customHeight="1">
      <c r="A11337" t="s">
        <v>22158</v>
      </c>
      <c r="B11337" t="s">
        <v>22159</v>
      </c>
      <c r="C11337" t="s">
        <v>50</v>
      </c>
      <c r="D11337" t="s">
        <v>51</v>
      </c>
      <c r="E11337" s="6">
        <v>-28343</v>
      </c>
      <c r="F11337" t="s">
        <v>1019</v>
      </c>
      <c r="G11337" t="s">
        <v>44</v>
      </c>
      <c r="H11337" t="s">
        <v>20</v>
      </c>
      <c r="I11337" t="s">
        <v>22160</v>
      </c>
      <c r="J11337" t="str">
        <f>HYPERLINK("https://www.boe.es/gazeta/dias/1822/05/25/pdfs/GMD-1822-150.pdf#page=1","Abrir facsímil")</f>
        <v>Abrir facsímil</v>
      </c>
      <c r="K11337" t="s">
        <v>22</v>
      </c>
    </row>
    <row r="11338" spans="1:11" ht="42" customHeight="1">
      <c r="A11338" t="s">
        <v>22161</v>
      </c>
      <c r="B11338" t="s">
        <v>22161</v>
      </c>
      <c r="C11338" t="s">
        <v>28</v>
      </c>
      <c r="D11338" t="s">
        <v>29</v>
      </c>
      <c r="E11338" s="6">
        <v>-28431</v>
      </c>
      <c r="F11338" t="s">
        <v>1258</v>
      </c>
      <c r="G11338" t="s">
        <v>31</v>
      </c>
      <c r="H11338" t="s">
        <v>20</v>
      </c>
      <c r="I11338" t="s">
        <v>22162</v>
      </c>
      <c r="J11338" t="str">
        <f>HYPERLINK("https://www.boe.es/gazeta/dias/1822/02/26/pdfs/GMD-1822-58.pdf#page=3","Abrir facsímil")</f>
        <v>Abrir facsímil</v>
      </c>
      <c r="K11338" t="s">
        <v>22</v>
      </c>
    </row>
    <row r="11339" spans="1:11" ht="42" customHeight="1">
      <c r="A11339" t="s">
        <v>22161</v>
      </c>
      <c r="B11339" t="s">
        <v>22161</v>
      </c>
      <c r="C11339" t="s">
        <v>16</v>
      </c>
      <c r="D11339" t="s">
        <v>17</v>
      </c>
      <c r="E11339" s="6">
        <v>-28426</v>
      </c>
      <c r="F11339" t="s">
        <v>1178</v>
      </c>
      <c r="G11339" t="s">
        <v>35</v>
      </c>
      <c r="H11339" t="s">
        <v>20</v>
      </c>
      <c r="I11339" t="s">
        <v>22163</v>
      </c>
      <c r="J11339" t="str">
        <f>HYPERLINK("https://www.boe.es/gazeta/dias/1822/03/03/pdfs/GMD-1822-64.pdf#page=2","Abrir facsímil")</f>
        <v>Abrir facsímil</v>
      </c>
      <c r="K11339" t="s">
        <v>22</v>
      </c>
    </row>
    <row r="11340" spans="1:11" ht="42" customHeight="1">
      <c r="A11340" t="s">
        <v>22161</v>
      </c>
      <c r="B11340" t="s">
        <v>22161</v>
      </c>
      <c r="C11340" t="s">
        <v>28</v>
      </c>
      <c r="D11340" t="s">
        <v>29</v>
      </c>
      <c r="E11340" s="6">
        <v>-28426</v>
      </c>
      <c r="F11340" t="s">
        <v>1178</v>
      </c>
      <c r="G11340" t="s">
        <v>31</v>
      </c>
      <c r="H11340" t="s">
        <v>20</v>
      </c>
      <c r="I11340" t="s">
        <v>22164</v>
      </c>
      <c r="J11340" t="str">
        <f>HYPERLINK("https://www.boe.es/gazeta/dias/1822/03/03/pdfs/GMD-1822-64.pdf#page=3","Abrir facsímil")</f>
        <v>Abrir facsímil</v>
      </c>
      <c r="K11340" t="s">
        <v>22</v>
      </c>
    </row>
    <row r="11341" spans="1:11" ht="42" customHeight="1">
      <c r="A11341" t="s">
        <v>22161</v>
      </c>
      <c r="B11341" t="s">
        <v>22161</v>
      </c>
      <c r="C11341" t="s">
        <v>42</v>
      </c>
      <c r="D11341" t="s">
        <v>17</v>
      </c>
      <c r="E11341" s="6">
        <v>-28426</v>
      </c>
      <c r="F11341" t="s">
        <v>1178</v>
      </c>
      <c r="G11341" t="s">
        <v>57</v>
      </c>
      <c r="H11341" t="s">
        <v>20</v>
      </c>
      <c r="I11341" t="s">
        <v>22165</v>
      </c>
      <c r="J11341" t="str">
        <f>HYPERLINK("https://www.boe.es/gazeta/dias/1822/03/03/pdfs/GMD-1822-64.pdf#page=4","Abrir facsímil")</f>
        <v>Abrir facsímil</v>
      </c>
      <c r="K11341" t="s">
        <v>22</v>
      </c>
    </row>
    <row r="11342" spans="1:11" ht="42" customHeight="1">
      <c r="A11342" t="s">
        <v>22161</v>
      </c>
      <c r="B11342" t="s">
        <v>22161</v>
      </c>
      <c r="C11342" t="s">
        <v>28</v>
      </c>
      <c r="D11342" t="s">
        <v>29</v>
      </c>
      <c r="E11342" s="6">
        <v>-28425</v>
      </c>
      <c r="F11342" t="s">
        <v>419</v>
      </c>
      <c r="G11342" t="s">
        <v>35</v>
      </c>
      <c r="H11342" t="s">
        <v>20</v>
      </c>
      <c r="I11342" t="s">
        <v>22166</v>
      </c>
      <c r="J11342" t="str">
        <f>HYPERLINK("https://www.boe.es/gazeta/dias/1822/03/04/pdfs/GMD-1822-65.pdf#page=2","Abrir facsímil")</f>
        <v>Abrir facsímil</v>
      </c>
      <c r="K11342" t="s">
        <v>22</v>
      </c>
    </row>
    <row r="11343" spans="1:11" ht="42" customHeight="1">
      <c r="A11343" t="s">
        <v>22161</v>
      </c>
      <c r="B11343" t="s">
        <v>22161</v>
      </c>
      <c r="C11343" t="s">
        <v>28</v>
      </c>
      <c r="D11343" t="s">
        <v>29</v>
      </c>
      <c r="E11343" s="6">
        <v>-28424</v>
      </c>
      <c r="F11343" t="s">
        <v>439</v>
      </c>
      <c r="G11343" t="s">
        <v>35</v>
      </c>
      <c r="H11343" t="s">
        <v>20</v>
      </c>
      <c r="I11343" t="s">
        <v>22167</v>
      </c>
      <c r="J11343" t="str">
        <f>HYPERLINK("https://www.boe.es/gazeta/dias/1822/03/05/pdfs/GMD-1822-66.pdf#page=2","Abrir facsímil")</f>
        <v>Abrir facsímil</v>
      </c>
      <c r="K11343" t="s">
        <v>22</v>
      </c>
    </row>
    <row r="11344" spans="1:11" ht="42" customHeight="1">
      <c r="A11344" t="s">
        <v>22161</v>
      </c>
      <c r="B11344" t="s">
        <v>22161</v>
      </c>
      <c r="C11344" t="s">
        <v>24</v>
      </c>
      <c r="D11344" t="s">
        <v>17</v>
      </c>
      <c r="E11344" s="6">
        <v>-28423</v>
      </c>
      <c r="F11344" t="s">
        <v>441</v>
      </c>
      <c r="G11344" t="s">
        <v>35</v>
      </c>
      <c r="H11344" t="s">
        <v>20</v>
      </c>
      <c r="I11344" t="s">
        <v>22168</v>
      </c>
      <c r="J11344" t="str">
        <f>HYPERLINK("https://www.boe.es/gazeta/dias/1822/03/06/pdfs/GMD-1822-67.pdf#page=2","Abrir facsímil")</f>
        <v>Abrir facsímil</v>
      </c>
      <c r="K11344" t="s">
        <v>22</v>
      </c>
    </row>
    <row r="11345" spans="1:11" ht="42" customHeight="1">
      <c r="A11345" t="s">
        <v>22161</v>
      </c>
      <c r="B11345" t="s">
        <v>22161</v>
      </c>
      <c r="C11345" t="s">
        <v>28</v>
      </c>
      <c r="D11345" t="s">
        <v>29</v>
      </c>
      <c r="E11345" s="6">
        <v>-28423</v>
      </c>
      <c r="F11345" t="s">
        <v>441</v>
      </c>
      <c r="G11345" t="s">
        <v>31</v>
      </c>
      <c r="H11345" t="s">
        <v>20</v>
      </c>
      <c r="I11345" t="s">
        <v>22169</v>
      </c>
      <c r="J11345" t="str">
        <f>HYPERLINK("https://www.boe.es/gazeta/dias/1822/03/06/pdfs/GMD-1822-67.pdf#page=3","Abrir facsímil")</f>
        <v>Abrir facsímil</v>
      </c>
      <c r="K11345" t="s">
        <v>22</v>
      </c>
    </row>
    <row r="11346" spans="1:11" ht="42" customHeight="1">
      <c r="A11346" t="s">
        <v>22161</v>
      </c>
      <c r="B11346" t="s">
        <v>22161</v>
      </c>
      <c r="C11346" t="s">
        <v>28</v>
      </c>
      <c r="D11346" t="s">
        <v>29</v>
      </c>
      <c r="E11346" s="6">
        <v>-28423</v>
      </c>
      <c r="F11346" t="s">
        <v>441</v>
      </c>
      <c r="G11346" t="s">
        <v>63</v>
      </c>
      <c r="H11346" t="s">
        <v>20</v>
      </c>
      <c r="I11346" t="s">
        <v>22170</v>
      </c>
      <c r="J11346" t="str">
        <f>HYPERLINK("https://www.boe.es/gazeta/dias/1822/03/06/pdfs/GMD-1822-67.pdf#page=6","Abrir facsímil")</f>
        <v>Abrir facsímil</v>
      </c>
      <c r="K11346" t="s">
        <v>22</v>
      </c>
    </row>
    <row r="11347" spans="1:11" ht="42" customHeight="1">
      <c r="A11347" t="s">
        <v>22161</v>
      </c>
      <c r="B11347" t="s">
        <v>22161</v>
      </c>
      <c r="C11347" t="s">
        <v>24</v>
      </c>
      <c r="D11347" t="s">
        <v>17</v>
      </c>
      <c r="E11347" s="6">
        <v>-28422</v>
      </c>
      <c r="F11347" t="s">
        <v>416</v>
      </c>
      <c r="G11347" t="s">
        <v>57</v>
      </c>
      <c r="H11347" t="s">
        <v>20</v>
      </c>
      <c r="I11347" t="s">
        <v>22171</v>
      </c>
      <c r="J11347" t="str">
        <f>HYPERLINK("https://www.boe.es/gazeta/dias/1822/03/07/pdfs/GMD-1822-68.pdf#page=4","Abrir facsímil")</f>
        <v>Abrir facsímil</v>
      </c>
      <c r="K11347" t="s">
        <v>22</v>
      </c>
    </row>
    <row r="11348" spans="1:11" ht="42" customHeight="1">
      <c r="A11348" t="s">
        <v>22161</v>
      </c>
      <c r="B11348" t="s">
        <v>22161</v>
      </c>
      <c r="C11348" t="s">
        <v>28</v>
      </c>
      <c r="D11348" t="s">
        <v>29</v>
      </c>
      <c r="E11348" s="6">
        <v>-28421</v>
      </c>
      <c r="F11348" t="s">
        <v>446</v>
      </c>
      <c r="G11348" t="s">
        <v>19</v>
      </c>
      <c r="H11348" t="s">
        <v>20</v>
      </c>
      <c r="I11348" t="s">
        <v>22172</v>
      </c>
      <c r="J11348" t="str">
        <f>HYPERLINK("https://www.boe.es/gazeta/dias/1822/03/08/pdfs/GMD-1822-69.pdf#page=5","Abrir facsímil")</f>
        <v>Abrir facsímil</v>
      </c>
      <c r="K11348" t="s">
        <v>22</v>
      </c>
    </row>
    <row r="11349" spans="1:11" ht="42" customHeight="1">
      <c r="A11349" t="s">
        <v>22161</v>
      </c>
      <c r="B11349" t="s">
        <v>22161</v>
      </c>
      <c r="C11349" t="s">
        <v>28</v>
      </c>
      <c r="D11349" t="s">
        <v>29</v>
      </c>
      <c r="E11349" s="6">
        <v>-28421</v>
      </c>
      <c r="F11349" t="s">
        <v>446</v>
      </c>
      <c r="G11349" t="s">
        <v>63</v>
      </c>
      <c r="H11349" t="s">
        <v>20</v>
      </c>
      <c r="I11349" t="s">
        <v>22173</v>
      </c>
      <c r="J11349" t="str">
        <f>HYPERLINK("https://www.boe.es/gazeta/dias/1822/03/08/pdfs/GMD-1822-69.pdf#page=6","Abrir facsímil")</f>
        <v>Abrir facsímil</v>
      </c>
      <c r="K11349" t="s">
        <v>22</v>
      </c>
    </row>
    <row r="11350" spans="1:11" ht="42" customHeight="1">
      <c r="A11350" t="s">
        <v>22161</v>
      </c>
      <c r="B11350" t="s">
        <v>22161</v>
      </c>
      <c r="C11350" t="s">
        <v>50</v>
      </c>
      <c r="D11350" t="s">
        <v>51</v>
      </c>
      <c r="E11350" s="6">
        <v>-28419</v>
      </c>
      <c r="F11350" t="s">
        <v>1392</v>
      </c>
      <c r="G11350" t="s">
        <v>19</v>
      </c>
      <c r="H11350" t="s">
        <v>20</v>
      </c>
      <c r="I11350" t="s">
        <v>22174</v>
      </c>
      <c r="J11350" t="str">
        <f>HYPERLINK("https://www.boe.es/gazeta/dias/1822/03/10/pdfs/GMD-1822-71.pdf#page=5","Abrir facsímil")</f>
        <v>Abrir facsímil</v>
      </c>
      <c r="K11350" t="s">
        <v>22</v>
      </c>
    </row>
    <row r="11351" spans="1:11" ht="42" customHeight="1">
      <c r="A11351" t="s">
        <v>22161</v>
      </c>
      <c r="B11351" t="s">
        <v>22161</v>
      </c>
      <c r="C11351" t="s">
        <v>28</v>
      </c>
      <c r="D11351" t="s">
        <v>29</v>
      </c>
      <c r="E11351" s="6">
        <v>-28419</v>
      </c>
      <c r="F11351" t="s">
        <v>1392</v>
      </c>
      <c r="G11351" t="s">
        <v>63</v>
      </c>
      <c r="H11351" t="s">
        <v>20</v>
      </c>
      <c r="I11351" t="s">
        <v>22175</v>
      </c>
      <c r="J11351" t="str">
        <f>HYPERLINK("https://www.boe.es/gazeta/dias/1822/03/10/pdfs/GMD-1822-71.pdf#page=6","Abrir facsímil")</f>
        <v>Abrir facsímil</v>
      </c>
      <c r="K11351" t="s">
        <v>22</v>
      </c>
    </row>
    <row r="11352" spans="1:11" ht="42" customHeight="1">
      <c r="A11352" t="s">
        <v>22161</v>
      </c>
      <c r="B11352" t="s">
        <v>22161</v>
      </c>
      <c r="C11352" t="s">
        <v>28</v>
      </c>
      <c r="D11352" t="s">
        <v>29</v>
      </c>
      <c r="E11352" s="6">
        <v>-28417</v>
      </c>
      <c r="F11352" t="s">
        <v>1394</v>
      </c>
      <c r="G11352" t="s">
        <v>57</v>
      </c>
      <c r="H11352" t="s">
        <v>20</v>
      </c>
      <c r="I11352" t="s">
        <v>22176</v>
      </c>
      <c r="J11352" t="str">
        <f>HYPERLINK("https://www.boe.es/gazeta/dias/1822/03/12/pdfs/GMD-1822-73.pdf#page=4","Abrir facsímil")</f>
        <v>Abrir facsímil</v>
      </c>
      <c r="K11352" t="s">
        <v>22</v>
      </c>
    </row>
    <row r="11353" spans="1:11" ht="42" customHeight="1">
      <c r="A11353" t="s">
        <v>22161</v>
      </c>
      <c r="B11353" t="s">
        <v>22161</v>
      </c>
      <c r="C11353" t="s">
        <v>42</v>
      </c>
      <c r="D11353" t="s">
        <v>17</v>
      </c>
      <c r="E11353" s="6">
        <v>-28415</v>
      </c>
      <c r="F11353" t="s">
        <v>77</v>
      </c>
      <c r="G11353" t="s">
        <v>19</v>
      </c>
      <c r="H11353" t="s">
        <v>20</v>
      </c>
      <c r="I11353" t="s">
        <v>22177</v>
      </c>
      <c r="J11353" t="str">
        <f>HYPERLINK("https://www.boe.es/gazeta/dias/1822/03/14/pdfs/GMD-1822-75.pdf#page=5","Abrir facsímil")</f>
        <v>Abrir facsímil</v>
      </c>
      <c r="K11353" t="s">
        <v>22</v>
      </c>
    </row>
    <row r="11354" spans="1:11" ht="42" customHeight="1">
      <c r="A11354" t="s">
        <v>22161</v>
      </c>
      <c r="B11354" t="s">
        <v>22161</v>
      </c>
      <c r="C11354" t="s">
        <v>16</v>
      </c>
      <c r="D11354" t="s">
        <v>17</v>
      </c>
      <c r="E11354" s="6">
        <v>-28414</v>
      </c>
      <c r="F11354" t="s">
        <v>187</v>
      </c>
      <c r="G11354" t="s">
        <v>63</v>
      </c>
      <c r="H11354" t="s">
        <v>20</v>
      </c>
      <c r="I11354" t="s">
        <v>22178</v>
      </c>
      <c r="J11354" t="str">
        <f>HYPERLINK("https://www.boe.es/gazeta/dias/1822/03/15/pdfs/GMD-1822-76.pdf#page=6","Abrir facsímil")</f>
        <v>Abrir facsímil</v>
      </c>
      <c r="K11354" t="s">
        <v>22</v>
      </c>
    </row>
    <row r="11355" spans="1:11" ht="42" customHeight="1">
      <c r="A11355" t="s">
        <v>22161</v>
      </c>
      <c r="B11355" t="s">
        <v>22161</v>
      </c>
      <c r="C11355" t="s">
        <v>28</v>
      </c>
      <c r="D11355" t="s">
        <v>29</v>
      </c>
      <c r="E11355" s="6">
        <v>-28412</v>
      </c>
      <c r="F11355" t="s">
        <v>825</v>
      </c>
      <c r="G11355" t="s">
        <v>57</v>
      </c>
      <c r="H11355" t="s">
        <v>20</v>
      </c>
      <c r="I11355" t="s">
        <v>22179</v>
      </c>
      <c r="J11355" t="str">
        <f>HYPERLINK("https://www.boe.es/gazeta/dias/1822/03/17/pdfs/GMD-1822-78.pdf#page=4","Abrir facsímil")</f>
        <v>Abrir facsímil</v>
      </c>
      <c r="K11355" t="s">
        <v>22</v>
      </c>
    </row>
    <row r="11356" spans="1:11" ht="42" customHeight="1">
      <c r="A11356" t="s">
        <v>22161</v>
      </c>
      <c r="B11356" t="s">
        <v>22161</v>
      </c>
      <c r="C11356" t="s">
        <v>28</v>
      </c>
      <c r="D11356" t="s">
        <v>29</v>
      </c>
      <c r="E11356" s="6">
        <v>-28410</v>
      </c>
      <c r="F11356" t="s">
        <v>966</v>
      </c>
      <c r="G11356" t="s">
        <v>57</v>
      </c>
      <c r="H11356" t="s">
        <v>20</v>
      </c>
      <c r="I11356" t="s">
        <v>22180</v>
      </c>
      <c r="J11356" t="str">
        <f>HYPERLINK("https://www.boe.es/gazeta/dias/1822/03/19/pdfs/GMD-1822-80.pdf#page=4","Abrir facsímil")</f>
        <v>Abrir facsímil</v>
      </c>
      <c r="K11356" t="s">
        <v>22</v>
      </c>
    </row>
    <row r="11357" spans="1:11" ht="42" customHeight="1">
      <c r="A11357" t="s">
        <v>22161</v>
      </c>
      <c r="B11357" t="s">
        <v>22161</v>
      </c>
      <c r="C11357" t="s">
        <v>28</v>
      </c>
      <c r="D11357" t="s">
        <v>29</v>
      </c>
      <c r="E11357" s="6">
        <v>-28409</v>
      </c>
      <c r="F11357" t="s">
        <v>394</v>
      </c>
      <c r="G11357" t="s">
        <v>31</v>
      </c>
      <c r="H11357" t="s">
        <v>20</v>
      </c>
      <c r="I11357" t="s">
        <v>22181</v>
      </c>
      <c r="J11357" t="str">
        <f>HYPERLINK("https://www.boe.es/gazeta/dias/1822/03/20/pdfs/GMD-1822-81.pdf#page=3","Abrir facsímil")</f>
        <v>Abrir facsímil</v>
      </c>
      <c r="K11357" t="s">
        <v>22</v>
      </c>
    </row>
    <row r="11358" spans="1:11" ht="42" customHeight="1">
      <c r="A11358" t="s">
        <v>22161</v>
      </c>
      <c r="B11358" t="s">
        <v>22161</v>
      </c>
      <c r="C11358" t="s">
        <v>71</v>
      </c>
      <c r="D11358" t="s">
        <v>17</v>
      </c>
      <c r="E11358" s="6">
        <v>-28406</v>
      </c>
      <c r="F11358" t="s">
        <v>462</v>
      </c>
      <c r="G11358" t="s">
        <v>31</v>
      </c>
      <c r="H11358" t="s">
        <v>20</v>
      </c>
      <c r="I11358" t="s">
        <v>22182</v>
      </c>
      <c r="J11358" t="str">
        <f>HYPERLINK("https://www.boe.es/gazeta/dias/1822/03/23/pdfs/GMD-1822-84.pdf#page=3","Abrir facsímil")</f>
        <v>Abrir facsímil</v>
      </c>
      <c r="K11358" t="s">
        <v>22</v>
      </c>
    </row>
    <row r="11359" spans="1:11" ht="42" customHeight="1">
      <c r="A11359" t="s">
        <v>22161</v>
      </c>
      <c r="B11359" t="s">
        <v>22161</v>
      </c>
      <c r="C11359" t="s">
        <v>28</v>
      </c>
      <c r="D11359" t="s">
        <v>29</v>
      </c>
      <c r="E11359" s="6">
        <v>-28404</v>
      </c>
      <c r="F11359" t="s">
        <v>421</v>
      </c>
      <c r="G11359" t="s">
        <v>35</v>
      </c>
      <c r="H11359" t="s">
        <v>20</v>
      </c>
      <c r="I11359" t="s">
        <v>22183</v>
      </c>
      <c r="J11359" t="str">
        <f>HYPERLINK("https://www.boe.es/gazeta/dias/1822/03/25/pdfs/GMD-1822-86.pdf#page=2","Abrir facsímil")</f>
        <v>Abrir facsímil</v>
      </c>
      <c r="K11359" t="s">
        <v>22</v>
      </c>
    </row>
    <row r="11360" spans="1:11" ht="42" customHeight="1">
      <c r="A11360" t="s">
        <v>22161</v>
      </c>
      <c r="B11360" t="s">
        <v>22161</v>
      </c>
      <c r="C11360" t="s">
        <v>71</v>
      </c>
      <c r="D11360" t="s">
        <v>17</v>
      </c>
      <c r="E11360" s="6">
        <v>-28403</v>
      </c>
      <c r="F11360" t="s">
        <v>471</v>
      </c>
      <c r="G11360" t="s">
        <v>31</v>
      </c>
      <c r="H11360" t="s">
        <v>20</v>
      </c>
      <c r="I11360" t="s">
        <v>22184</v>
      </c>
      <c r="J11360" t="str">
        <f>HYPERLINK("https://www.boe.es/gazeta/dias/1822/03/26/pdfs/GMD-1822-87.pdf#page=3","Abrir facsímil")</f>
        <v>Abrir facsímil</v>
      </c>
      <c r="K11360" t="s">
        <v>22</v>
      </c>
    </row>
    <row r="11361" spans="1:11" ht="42" customHeight="1">
      <c r="A11361" t="s">
        <v>22161</v>
      </c>
      <c r="B11361" t="s">
        <v>22161</v>
      </c>
      <c r="C11361" t="s">
        <v>71</v>
      </c>
      <c r="D11361" t="s">
        <v>17</v>
      </c>
      <c r="E11361" s="6">
        <v>-28400</v>
      </c>
      <c r="F11361" t="s">
        <v>1937</v>
      </c>
      <c r="G11361" t="s">
        <v>2260</v>
      </c>
      <c r="H11361" t="s">
        <v>20</v>
      </c>
      <c r="I11361" t="s">
        <v>22185</v>
      </c>
      <c r="J11361" t="str">
        <f>HYPERLINK("https://www.boe.es/gazeta/dias/1822/03/29/pdfs/GMD-1822-90.pdf#page=4","Abrir facsímil")</f>
        <v>Abrir facsímil</v>
      </c>
      <c r="K11361" t="s">
        <v>22</v>
      </c>
    </row>
    <row r="11362" spans="1:11" ht="42" customHeight="1">
      <c r="A11362" t="s">
        <v>22161</v>
      </c>
      <c r="B11362" t="s">
        <v>22161</v>
      </c>
      <c r="C11362" t="s">
        <v>71</v>
      </c>
      <c r="D11362" t="s">
        <v>17</v>
      </c>
      <c r="E11362" s="6">
        <v>-28398</v>
      </c>
      <c r="F11362" t="s">
        <v>1961</v>
      </c>
      <c r="G11362" t="s">
        <v>31</v>
      </c>
      <c r="H11362" t="s">
        <v>20</v>
      </c>
      <c r="I11362" t="s">
        <v>22186</v>
      </c>
      <c r="J11362" t="str">
        <f>HYPERLINK("https://www.boe.es/gazeta/dias/1822/03/31/pdfs/GMD-1822-92.pdf#page=3","Abrir facsímil")</f>
        <v>Abrir facsímil</v>
      </c>
      <c r="K11362" t="s">
        <v>22</v>
      </c>
    </row>
    <row r="11363" spans="1:11" ht="42" customHeight="1">
      <c r="A11363" t="s">
        <v>22161</v>
      </c>
      <c r="B11363" t="s">
        <v>22161</v>
      </c>
      <c r="C11363" t="s">
        <v>28</v>
      </c>
      <c r="D11363" t="s">
        <v>29</v>
      </c>
      <c r="E11363" s="6">
        <v>-28395</v>
      </c>
      <c r="F11363" t="s">
        <v>237</v>
      </c>
      <c r="G11363" t="s">
        <v>57</v>
      </c>
      <c r="H11363" t="s">
        <v>20</v>
      </c>
      <c r="I11363" t="s">
        <v>22187</v>
      </c>
      <c r="J11363" t="str">
        <f>HYPERLINK("https://www.boe.es/gazeta/dias/1822/04/03/pdfs/GMD-1822-95.pdf#page=4","Abrir facsímil")</f>
        <v>Abrir facsímil</v>
      </c>
      <c r="K11363" t="s">
        <v>22</v>
      </c>
    </row>
    <row r="11364" spans="1:11" ht="42" customHeight="1">
      <c r="A11364" t="s">
        <v>22161</v>
      </c>
      <c r="B11364" t="s">
        <v>22161</v>
      </c>
      <c r="C11364" t="s">
        <v>71</v>
      </c>
      <c r="D11364" t="s">
        <v>17</v>
      </c>
      <c r="E11364" s="6">
        <v>-28393</v>
      </c>
      <c r="F11364" t="s">
        <v>326</v>
      </c>
      <c r="G11364" t="s">
        <v>57</v>
      </c>
      <c r="H11364" t="s">
        <v>20</v>
      </c>
      <c r="I11364" t="s">
        <v>22188</v>
      </c>
      <c r="J11364" t="str">
        <f>HYPERLINK("https://www.boe.es/gazeta/dias/1822/04/05/pdfs/GMD-1822-97.pdf#page=4","Abrir facsímil")</f>
        <v>Abrir facsímil</v>
      </c>
      <c r="K11364" t="s">
        <v>22</v>
      </c>
    </row>
    <row r="11365" spans="1:11" ht="42" customHeight="1">
      <c r="A11365" t="s">
        <v>22161</v>
      </c>
      <c r="B11365" t="s">
        <v>22161</v>
      </c>
      <c r="C11365" t="s">
        <v>16</v>
      </c>
      <c r="D11365" t="s">
        <v>17</v>
      </c>
      <c r="E11365" s="6">
        <v>-28357</v>
      </c>
      <c r="F11365" t="s">
        <v>690</v>
      </c>
      <c r="G11365" t="s">
        <v>19</v>
      </c>
      <c r="H11365" t="s">
        <v>20</v>
      </c>
      <c r="I11365" t="s">
        <v>22189</v>
      </c>
      <c r="J11365" t="str">
        <f>HYPERLINK("https://www.boe.es/gazeta/dias/1822/05/11/pdfs/GMD-1822-133.pdf#page=5","Abrir facsímil")</f>
        <v>Abrir facsímil</v>
      </c>
      <c r="K11365" t="s">
        <v>22</v>
      </c>
    </row>
    <row r="11366" spans="1:11" ht="42" customHeight="1">
      <c r="A11366" t="s">
        <v>22161</v>
      </c>
      <c r="B11366" t="s">
        <v>22161</v>
      </c>
      <c r="C11366" t="s">
        <v>24</v>
      </c>
      <c r="D11366" t="s">
        <v>17</v>
      </c>
      <c r="E11366" s="6">
        <v>-28356</v>
      </c>
      <c r="F11366" t="s">
        <v>4170</v>
      </c>
      <c r="G11366" t="s">
        <v>35</v>
      </c>
      <c r="H11366" t="s">
        <v>20</v>
      </c>
      <c r="I11366" t="s">
        <v>22190</v>
      </c>
      <c r="J11366" t="str">
        <f>HYPERLINK("https://www.boe.es/gazeta/dias/1822/05/12/pdfs/GMD-1822-134.pdf#page=2","Abrir facsímil")</f>
        <v>Abrir facsímil</v>
      </c>
      <c r="K11366" t="s">
        <v>22</v>
      </c>
    </row>
    <row r="11367" spans="1:11" ht="42" customHeight="1">
      <c r="A11367" t="s">
        <v>22161</v>
      </c>
      <c r="B11367" t="s">
        <v>22161</v>
      </c>
      <c r="C11367" t="s">
        <v>28</v>
      </c>
      <c r="D11367" t="s">
        <v>29</v>
      </c>
      <c r="E11367" s="6">
        <v>-28354</v>
      </c>
      <c r="F11367" t="s">
        <v>226</v>
      </c>
      <c r="G11367" t="s">
        <v>31</v>
      </c>
      <c r="H11367" t="s">
        <v>20</v>
      </c>
      <c r="I11367" t="s">
        <v>22191</v>
      </c>
      <c r="J11367" t="str">
        <f>HYPERLINK("https://www.boe.es/gazeta/dias/1822/05/14/pdfs/GMD-1822-136.pdf#page=3","Abrir facsímil")</f>
        <v>Abrir facsímil</v>
      </c>
      <c r="K11367" t="s">
        <v>22</v>
      </c>
    </row>
    <row r="11368" spans="1:11" ht="42" customHeight="1">
      <c r="A11368" t="s">
        <v>22161</v>
      </c>
      <c r="B11368" t="s">
        <v>22161</v>
      </c>
      <c r="C11368" t="s">
        <v>28</v>
      </c>
      <c r="D11368" t="s">
        <v>29</v>
      </c>
      <c r="E11368" s="6">
        <v>-28350</v>
      </c>
      <c r="F11368" t="s">
        <v>352</v>
      </c>
      <c r="G11368" t="s">
        <v>63</v>
      </c>
      <c r="H11368" t="s">
        <v>20</v>
      </c>
      <c r="I11368" t="s">
        <v>22192</v>
      </c>
      <c r="J11368" t="str">
        <f>HYPERLINK("https://www.boe.es/gazeta/dias/1822/05/18/pdfs/GMD-1822-140.pdf#page=6","Abrir facsímil")</f>
        <v>Abrir facsímil</v>
      </c>
      <c r="K11368" t="s">
        <v>22</v>
      </c>
    </row>
    <row r="11369" spans="1:11" ht="42" customHeight="1">
      <c r="A11369" t="s">
        <v>22161</v>
      </c>
      <c r="B11369" t="s">
        <v>22161</v>
      </c>
      <c r="C11369" t="s">
        <v>71</v>
      </c>
      <c r="D11369" t="s">
        <v>17</v>
      </c>
      <c r="E11369" s="6">
        <v>-28347</v>
      </c>
      <c r="F11369" t="s">
        <v>520</v>
      </c>
      <c r="G11369" t="s">
        <v>44</v>
      </c>
      <c r="H11369" t="s">
        <v>20</v>
      </c>
      <c r="I11369" t="s">
        <v>22193</v>
      </c>
      <c r="J11369" t="str">
        <f>HYPERLINK("https://www.boe.es/gazeta/dias/1822/05/21/pdfs/GMD-1822-144.pdf#page=1","Abrir facsímil")</f>
        <v>Abrir facsímil</v>
      </c>
      <c r="K11369" t="s">
        <v>22</v>
      </c>
    </row>
    <row r="11370" spans="1:11" ht="42" customHeight="1">
      <c r="A11370" t="s">
        <v>22161</v>
      </c>
      <c r="B11370" t="s">
        <v>22161</v>
      </c>
      <c r="C11370" t="s">
        <v>50</v>
      </c>
      <c r="D11370" t="s">
        <v>51</v>
      </c>
      <c r="E11370" s="6">
        <v>-28347</v>
      </c>
      <c r="F11370" t="s">
        <v>520</v>
      </c>
      <c r="G11370" t="s">
        <v>35</v>
      </c>
      <c r="H11370" t="s">
        <v>20</v>
      </c>
      <c r="I11370" t="s">
        <v>22194</v>
      </c>
      <c r="J11370" t="str">
        <f>HYPERLINK("https://www.boe.es/gazeta/dias/1822/05/21/pdfs/GMD-1822-144.pdf#page=2","Abrir facsímil")</f>
        <v>Abrir facsímil</v>
      </c>
      <c r="K11370" t="s">
        <v>22</v>
      </c>
    </row>
    <row r="11371" spans="1:11" ht="42" customHeight="1">
      <c r="A11371" t="s">
        <v>22161</v>
      </c>
      <c r="B11371" t="s">
        <v>22161</v>
      </c>
      <c r="C11371" t="s">
        <v>28</v>
      </c>
      <c r="D11371" t="s">
        <v>29</v>
      </c>
      <c r="E11371" s="6">
        <v>-28346</v>
      </c>
      <c r="F11371" t="s">
        <v>191</v>
      </c>
      <c r="G11371" t="s">
        <v>2823</v>
      </c>
      <c r="H11371" t="s">
        <v>20</v>
      </c>
      <c r="I11371" t="s">
        <v>22195</v>
      </c>
      <c r="J11371" t="str">
        <f>HYPERLINK("https://www.boe.es/gazeta/dias/1822/05/22/pdfs/GMD-1822-145.pdf#page=4","Abrir facsímil")</f>
        <v>Abrir facsímil</v>
      </c>
      <c r="K11371" t="s">
        <v>22</v>
      </c>
    </row>
    <row r="11372" spans="1:11" ht="42" customHeight="1">
      <c r="A11372" t="s">
        <v>22161</v>
      </c>
      <c r="B11372" t="s">
        <v>22161</v>
      </c>
      <c r="C11372" t="s">
        <v>28</v>
      </c>
      <c r="D11372" t="s">
        <v>29</v>
      </c>
      <c r="E11372" s="6">
        <v>-28346</v>
      </c>
      <c r="F11372" t="s">
        <v>191</v>
      </c>
      <c r="G11372" t="s">
        <v>31</v>
      </c>
      <c r="H11372" t="s">
        <v>20</v>
      </c>
      <c r="I11372" t="s">
        <v>22196</v>
      </c>
      <c r="J11372" t="str">
        <f>HYPERLINK("https://www.boe.es/gazeta/dias/1822/05/22/pdfs/GMD-1822-145.pdf#page=3","Abrir facsímil")</f>
        <v>Abrir facsímil</v>
      </c>
      <c r="K11372" t="s">
        <v>22</v>
      </c>
    </row>
    <row r="11373" spans="1:11" ht="42" customHeight="1">
      <c r="A11373" t="s">
        <v>22161</v>
      </c>
      <c r="B11373" t="s">
        <v>22161</v>
      </c>
      <c r="C11373" t="s">
        <v>28</v>
      </c>
      <c r="D11373" t="s">
        <v>29</v>
      </c>
      <c r="E11373" s="6">
        <v>-28344</v>
      </c>
      <c r="F11373" t="s">
        <v>524</v>
      </c>
      <c r="G11373" t="s">
        <v>57</v>
      </c>
      <c r="H11373" t="s">
        <v>20</v>
      </c>
      <c r="I11373" t="s">
        <v>22197</v>
      </c>
      <c r="J11373" t="str">
        <f>HYPERLINK("https://www.boe.es/gazeta/dias/1822/05/24/pdfs/GMD-1822-148.pdf#page=4","Abrir facsímil")</f>
        <v>Abrir facsímil</v>
      </c>
      <c r="K11373" t="s">
        <v>22</v>
      </c>
    </row>
    <row r="11374" spans="1:11" ht="42" customHeight="1">
      <c r="A11374" t="s">
        <v>22161</v>
      </c>
      <c r="B11374" t="s">
        <v>22161</v>
      </c>
      <c r="C11374" t="s">
        <v>50</v>
      </c>
      <c r="D11374" t="s">
        <v>51</v>
      </c>
      <c r="E11374" s="6">
        <v>-28338</v>
      </c>
      <c r="F11374" t="s">
        <v>527</v>
      </c>
      <c r="G11374" t="s">
        <v>35</v>
      </c>
      <c r="H11374" t="s">
        <v>20</v>
      </c>
      <c r="I11374" t="s">
        <v>22198</v>
      </c>
      <c r="J11374" t="str">
        <f>HYPERLINK("https://www.boe.es/gazeta/dias/1822/05/30/pdfs/GMD-1822-155.pdf#page=2","Abrir facsímil")</f>
        <v>Abrir facsímil</v>
      </c>
      <c r="K11374" t="s">
        <v>22</v>
      </c>
    </row>
    <row r="11375" spans="1:11" ht="42" customHeight="1">
      <c r="A11375" t="s">
        <v>22161</v>
      </c>
      <c r="B11375" t="s">
        <v>22161</v>
      </c>
      <c r="C11375" t="s">
        <v>28</v>
      </c>
      <c r="D11375" t="s">
        <v>29</v>
      </c>
      <c r="E11375" s="6">
        <v>-28206</v>
      </c>
      <c r="F11375" t="s">
        <v>562</v>
      </c>
      <c r="G11375" t="s">
        <v>35</v>
      </c>
      <c r="H11375" t="s">
        <v>20</v>
      </c>
      <c r="I11375" t="s">
        <v>22199</v>
      </c>
      <c r="J11375" t="str">
        <f>HYPERLINK("https://www.boe.es/gazeta/dias/1822/10/09/pdfs/GMD-1822-296.pdf#page=2","Abrir facsímil")</f>
        <v>Abrir facsímil</v>
      </c>
      <c r="K11375" t="s">
        <v>22</v>
      </c>
    </row>
    <row r="11376" spans="1:11" ht="42" customHeight="1">
      <c r="A11376" t="s">
        <v>22161</v>
      </c>
      <c r="B11376" t="s">
        <v>22161</v>
      </c>
      <c r="C11376" t="s">
        <v>71</v>
      </c>
      <c r="D11376" t="s">
        <v>17</v>
      </c>
      <c r="E11376" s="6">
        <v>-28176</v>
      </c>
      <c r="F11376" t="s">
        <v>780</v>
      </c>
      <c r="G11376" t="s">
        <v>5014</v>
      </c>
      <c r="H11376" t="s">
        <v>20</v>
      </c>
      <c r="I11376" t="s">
        <v>22200</v>
      </c>
      <c r="J11376" t="str">
        <f>HYPERLINK("https://www.boe.es/gazeta/dias/1822/11/08/pdfs/GMD-1822-328.pdf#page=4","Abrir facsímil")</f>
        <v>Abrir facsímil</v>
      </c>
      <c r="K11376" t="s">
        <v>22</v>
      </c>
    </row>
    <row r="11377" spans="1:11" ht="42" customHeight="1">
      <c r="A11377" t="s">
        <v>22161</v>
      </c>
      <c r="B11377" t="s">
        <v>22161</v>
      </c>
      <c r="C11377" t="s">
        <v>42</v>
      </c>
      <c r="D11377" t="s">
        <v>17</v>
      </c>
      <c r="E11377" s="6">
        <v>-28162</v>
      </c>
      <c r="F11377" t="s">
        <v>3949</v>
      </c>
      <c r="G11377" t="s">
        <v>35</v>
      </c>
      <c r="H11377" t="s">
        <v>20</v>
      </c>
      <c r="I11377" t="s">
        <v>22201</v>
      </c>
      <c r="J11377" t="str">
        <f>HYPERLINK("https://www.boe.es/gazeta/dias/1822/11/22/pdfs/GMD-1822-342.pdf#page=2","Abrir facsímil")</f>
        <v>Abrir facsímil</v>
      </c>
      <c r="K11377" t="s">
        <v>22</v>
      </c>
    </row>
    <row r="11378" spans="1:11" ht="42" customHeight="1">
      <c r="A11378" t="s">
        <v>22202</v>
      </c>
      <c r="B11378" t="s">
        <v>22203</v>
      </c>
      <c r="C11378" t="s">
        <v>42</v>
      </c>
      <c r="D11378" t="s">
        <v>17</v>
      </c>
      <c r="E11378" s="6">
        <v>-28359</v>
      </c>
      <c r="F11378" t="s">
        <v>209</v>
      </c>
      <c r="G11378" t="s">
        <v>35</v>
      </c>
      <c r="H11378" t="s">
        <v>20</v>
      </c>
      <c r="I11378" t="s">
        <v>22204</v>
      </c>
      <c r="J11378" t="str">
        <f>HYPERLINK("https://www.boe.es/gazeta/dias/1822/05/09/pdfs/GMD-1822-131.pdf#page=2","Abrir facsímil")</f>
        <v>Abrir facsímil</v>
      </c>
      <c r="K11378" t="s">
        <v>22</v>
      </c>
    </row>
    <row r="11379" spans="1:11" ht="42" customHeight="1">
      <c r="A11379" t="s">
        <v>22205</v>
      </c>
      <c r="B11379" t="s">
        <v>22205</v>
      </c>
      <c r="C11379" t="s">
        <v>42</v>
      </c>
      <c r="D11379" t="s">
        <v>17</v>
      </c>
      <c r="E11379" s="6">
        <v>-28180</v>
      </c>
      <c r="F11379" t="s">
        <v>839</v>
      </c>
      <c r="G11379" t="s">
        <v>31</v>
      </c>
      <c r="H11379" t="s">
        <v>20</v>
      </c>
      <c r="I11379" t="s">
        <v>22206</v>
      </c>
      <c r="J11379" t="str">
        <f>HYPERLINK("https://www.boe.es/gazeta/dias/1822/11/04/pdfs/GMD-1822-323.pdf#page=3","Abrir facsímil")</f>
        <v>Abrir facsímil</v>
      </c>
      <c r="K11379" t="s">
        <v>22</v>
      </c>
    </row>
    <row r="11380" spans="1:11" ht="42" customHeight="1">
      <c r="A11380" t="s">
        <v>22207</v>
      </c>
      <c r="B11380" t="s">
        <v>22207</v>
      </c>
      <c r="C11380" t="s">
        <v>42</v>
      </c>
      <c r="D11380" t="s">
        <v>17</v>
      </c>
      <c r="E11380" s="6">
        <v>-28377</v>
      </c>
      <c r="F11380" t="s">
        <v>498</v>
      </c>
      <c r="G11380" t="s">
        <v>35</v>
      </c>
      <c r="H11380" t="s">
        <v>20</v>
      </c>
      <c r="I11380" t="s">
        <v>22208</v>
      </c>
      <c r="J11380" t="str">
        <f>HYPERLINK("https://www.boe.es/gazeta/dias/1822/04/21/pdfs/GMD-1822-113.pdf#page=2","Abrir facsímil")</f>
        <v>Abrir facsímil</v>
      </c>
      <c r="K11380" t="s">
        <v>22</v>
      </c>
    </row>
    <row r="11381" spans="1:11" ht="42" customHeight="1">
      <c r="A11381" t="s">
        <v>22209</v>
      </c>
      <c r="B11381" t="s">
        <v>22209</v>
      </c>
      <c r="C11381" t="s">
        <v>28</v>
      </c>
      <c r="D11381" t="s">
        <v>29</v>
      </c>
      <c r="E11381" s="6">
        <v>-28418</v>
      </c>
      <c r="F11381" t="s">
        <v>205</v>
      </c>
      <c r="G11381" t="s">
        <v>44</v>
      </c>
      <c r="H11381" t="s">
        <v>20</v>
      </c>
      <c r="I11381" t="s">
        <v>22210</v>
      </c>
      <c r="J11381" t="str">
        <f>HYPERLINK("https://www.boe.es/gazeta/dias/1822/03/11/pdfs/GMD-1822-72.pdf#page=1","Abrir facsímil")</f>
        <v>Abrir facsímil</v>
      </c>
      <c r="K11381" t="s">
        <v>22</v>
      </c>
    </row>
    <row r="11382" spans="1:11" ht="42" customHeight="1">
      <c r="A11382" t="s">
        <v>22211</v>
      </c>
      <c r="B11382" t="s">
        <v>22211</v>
      </c>
      <c r="C11382" t="s">
        <v>50</v>
      </c>
      <c r="D11382" t="s">
        <v>51</v>
      </c>
      <c r="E11382" s="6">
        <v>-28354</v>
      </c>
      <c r="F11382" t="s">
        <v>226</v>
      </c>
      <c r="G11382" t="s">
        <v>57</v>
      </c>
      <c r="H11382" t="s">
        <v>20</v>
      </c>
      <c r="I11382" t="s">
        <v>22212</v>
      </c>
      <c r="J11382" t="str">
        <f>HYPERLINK("https://www.boe.es/gazeta/dias/1822/05/14/pdfs/GMD-1822-136.pdf#page=4","Abrir facsímil")</f>
        <v>Abrir facsímil</v>
      </c>
      <c r="K11382" t="s">
        <v>22</v>
      </c>
    </row>
    <row r="11383" spans="1:11" ht="42" customHeight="1">
      <c r="A11383" t="s">
        <v>22211</v>
      </c>
      <c r="B11383" t="s">
        <v>22211</v>
      </c>
      <c r="C11383" t="s">
        <v>71</v>
      </c>
      <c r="D11383" t="s">
        <v>17</v>
      </c>
      <c r="E11383" s="6">
        <v>-28310</v>
      </c>
      <c r="F11383" t="s">
        <v>241</v>
      </c>
      <c r="G11383" t="s">
        <v>63</v>
      </c>
      <c r="H11383" t="s">
        <v>20</v>
      </c>
      <c r="I11383" t="s">
        <v>22213</v>
      </c>
      <c r="J11383" t="str">
        <f>HYPERLINK("https://www.boe.es/gazeta/dias/1822/06/27/pdfs/GMD-1822-185.pdf#page=6","Abrir facsímil")</f>
        <v>Abrir facsímil</v>
      </c>
      <c r="K11383" t="s">
        <v>22</v>
      </c>
    </row>
    <row r="11384" spans="1:11" ht="42" customHeight="1">
      <c r="A11384" t="s">
        <v>22211</v>
      </c>
      <c r="B11384" t="s">
        <v>22211</v>
      </c>
      <c r="C11384" t="s">
        <v>50</v>
      </c>
      <c r="D11384" t="s">
        <v>51</v>
      </c>
      <c r="E11384" s="6">
        <v>-28300</v>
      </c>
      <c r="F11384" t="s">
        <v>6533</v>
      </c>
      <c r="G11384" t="s">
        <v>35</v>
      </c>
      <c r="H11384" t="s">
        <v>20</v>
      </c>
      <c r="I11384" t="s">
        <v>22214</v>
      </c>
      <c r="J11384" t="str">
        <f>HYPERLINK("https://www.boe.es/gazeta/dias/1822/07/07/pdfs/GMD-1822-196.pdf#page=2","Abrir facsímil")</f>
        <v>Abrir facsímil</v>
      </c>
      <c r="K11384" t="s">
        <v>22</v>
      </c>
    </row>
    <row r="11385" spans="1:11" ht="42" customHeight="1">
      <c r="A11385" t="s">
        <v>22211</v>
      </c>
      <c r="B11385" t="s">
        <v>22211</v>
      </c>
      <c r="C11385" t="s">
        <v>71</v>
      </c>
      <c r="D11385" t="s">
        <v>17</v>
      </c>
      <c r="E11385" s="6">
        <v>-28201</v>
      </c>
      <c r="F11385" t="s">
        <v>163</v>
      </c>
      <c r="G11385" t="s">
        <v>44</v>
      </c>
      <c r="H11385" t="s">
        <v>20</v>
      </c>
      <c r="I11385" t="s">
        <v>22215</v>
      </c>
      <c r="J11385" t="str">
        <f>HYPERLINK("https://www.boe.es/gazeta/dias/1822/10/14/pdfs/GMD-1822-301.pdf#page=1","Abrir facsímil")</f>
        <v>Abrir facsímil</v>
      </c>
      <c r="K11385" t="s">
        <v>22</v>
      </c>
    </row>
    <row r="11386" spans="1:11" ht="42" customHeight="1">
      <c r="A11386" t="s">
        <v>22211</v>
      </c>
      <c r="B11386" t="s">
        <v>22211</v>
      </c>
      <c r="C11386" t="s">
        <v>42</v>
      </c>
      <c r="D11386" t="s">
        <v>17</v>
      </c>
      <c r="E11386" s="6">
        <v>-28153</v>
      </c>
      <c r="F11386" t="s">
        <v>946</v>
      </c>
      <c r="G11386" t="s">
        <v>44</v>
      </c>
      <c r="H11386" t="s">
        <v>20</v>
      </c>
      <c r="I11386" t="s">
        <v>22216</v>
      </c>
      <c r="J11386" t="str">
        <f>HYPERLINK("https://www.boe.es/gazeta/dias/1822/12/01/pdfs/GMD-1822-351.pdf#page=1","Abrir facsímil")</f>
        <v>Abrir facsímil</v>
      </c>
      <c r="K11386" t="s">
        <v>22</v>
      </c>
    </row>
    <row r="11387" spans="1:11" ht="42" customHeight="1">
      <c r="A11387" t="s">
        <v>22217</v>
      </c>
      <c r="B11387" t="s">
        <v>22217</v>
      </c>
      <c r="C11387" t="s">
        <v>71</v>
      </c>
      <c r="D11387" t="s">
        <v>17</v>
      </c>
      <c r="E11387" s="6">
        <v>-28480</v>
      </c>
      <c r="F11387" t="s">
        <v>995</v>
      </c>
      <c r="G11387" t="s">
        <v>19</v>
      </c>
      <c r="H11387" t="s">
        <v>20</v>
      </c>
      <c r="I11387" t="s">
        <v>22218</v>
      </c>
      <c r="J11387" t="str">
        <f>HYPERLINK("https://www.boe.es/gazeta/dias/1822/01/08/pdfs/GMD-1822-8.pdf#page=5","Abrir facsímil")</f>
        <v>Abrir facsímil</v>
      </c>
      <c r="K11387" t="s">
        <v>22</v>
      </c>
    </row>
    <row r="11388" spans="1:11" ht="42" customHeight="1">
      <c r="A11388" t="s">
        <v>22217</v>
      </c>
      <c r="B11388" t="s">
        <v>22217</v>
      </c>
      <c r="C11388" t="s">
        <v>42</v>
      </c>
      <c r="D11388" t="s">
        <v>17</v>
      </c>
      <c r="E11388" s="6">
        <v>-28479</v>
      </c>
      <c r="F11388" t="s">
        <v>1091</v>
      </c>
      <c r="G11388" t="s">
        <v>31</v>
      </c>
      <c r="H11388" t="s">
        <v>20</v>
      </c>
      <c r="I11388" t="s">
        <v>22219</v>
      </c>
      <c r="J11388" t="str">
        <f>HYPERLINK("https://www.boe.es/gazeta/dias/1822/01/09/pdfs/GMD-1822-9.pdf#page=3","Abrir facsímil")</f>
        <v>Abrir facsímil</v>
      </c>
      <c r="K11388" t="s">
        <v>22</v>
      </c>
    </row>
    <row r="11389" spans="1:11" ht="42" customHeight="1">
      <c r="A11389" t="s">
        <v>22217</v>
      </c>
      <c r="B11389" t="s">
        <v>22217</v>
      </c>
      <c r="C11389" t="s">
        <v>42</v>
      </c>
      <c r="D11389" t="s">
        <v>17</v>
      </c>
      <c r="E11389" s="6">
        <v>-28479</v>
      </c>
      <c r="F11389" t="s">
        <v>1091</v>
      </c>
      <c r="G11389" t="s">
        <v>57</v>
      </c>
      <c r="H11389" t="s">
        <v>20</v>
      </c>
      <c r="I11389" t="s">
        <v>22220</v>
      </c>
      <c r="J11389" t="str">
        <f>HYPERLINK("https://www.boe.es/gazeta/dias/1822/01/09/pdfs/GMD-1822-9.pdf#page=4","Abrir facsímil")</f>
        <v>Abrir facsímil</v>
      </c>
      <c r="K11389" t="s">
        <v>22</v>
      </c>
    </row>
    <row r="11390" spans="1:11" ht="42" customHeight="1">
      <c r="A11390" t="s">
        <v>22217</v>
      </c>
      <c r="B11390" t="s">
        <v>22217</v>
      </c>
      <c r="C11390" t="s">
        <v>28</v>
      </c>
      <c r="D11390" t="s">
        <v>29</v>
      </c>
      <c r="E11390" s="6">
        <v>-28468</v>
      </c>
      <c r="F11390" t="s">
        <v>1012</v>
      </c>
      <c r="G11390" t="s">
        <v>57</v>
      </c>
      <c r="H11390" t="s">
        <v>20</v>
      </c>
      <c r="I11390" t="s">
        <v>22221</v>
      </c>
      <c r="J11390" t="str">
        <f>HYPERLINK("https://www.boe.es/gazeta/dias/1822/01/20/pdfs/GMD-1822-20.pdf#page=4","Abrir facsímil")</f>
        <v>Abrir facsímil</v>
      </c>
      <c r="K11390" t="s">
        <v>22</v>
      </c>
    </row>
    <row r="11391" spans="1:11" ht="42" customHeight="1">
      <c r="A11391" t="s">
        <v>22217</v>
      </c>
      <c r="B11391" t="s">
        <v>22217</v>
      </c>
      <c r="C11391" t="s">
        <v>42</v>
      </c>
      <c r="D11391" t="s">
        <v>17</v>
      </c>
      <c r="E11391" s="6">
        <v>-28461</v>
      </c>
      <c r="F11391" t="s">
        <v>1801</v>
      </c>
      <c r="G11391" t="s">
        <v>57</v>
      </c>
      <c r="H11391" t="s">
        <v>20</v>
      </c>
      <c r="I11391" t="s">
        <v>22222</v>
      </c>
      <c r="J11391" t="str">
        <f>HYPERLINK("https://www.boe.es/gazeta/dias/1822/01/27/pdfs/GMD-1822-27.pdf#page=4","Abrir facsímil")</f>
        <v>Abrir facsímil</v>
      </c>
      <c r="K11391" t="s">
        <v>22</v>
      </c>
    </row>
    <row r="11392" spans="1:11" ht="42" customHeight="1">
      <c r="A11392" t="s">
        <v>22217</v>
      </c>
      <c r="B11392" t="s">
        <v>22217</v>
      </c>
      <c r="C11392" t="s">
        <v>42</v>
      </c>
      <c r="D11392" t="s">
        <v>17</v>
      </c>
      <c r="E11392" s="6">
        <v>-28460</v>
      </c>
      <c r="F11392" t="s">
        <v>112</v>
      </c>
      <c r="G11392" t="s">
        <v>63</v>
      </c>
      <c r="H11392" t="s">
        <v>20</v>
      </c>
      <c r="I11392" t="s">
        <v>22223</v>
      </c>
      <c r="J11392" t="str">
        <f>HYPERLINK("https://www.boe.es/gazeta/dias/1822/01/28/pdfs/GMD-1822-28.pdf#page=6","Abrir facsímil")</f>
        <v>Abrir facsímil</v>
      </c>
      <c r="K11392" t="s">
        <v>22</v>
      </c>
    </row>
    <row r="11393" spans="1:11" ht="42" customHeight="1">
      <c r="A11393" t="s">
        <v>22217</v>
      </c>
      <c r="B11393" t="s">
        <v>22217</v>
      </c>
      <c r="C11393" t="s">
        <v>24</v>
      </c>
      <c r="D11393" t="s">
        <v>17</v>
      </c>
      <c r="E11393" s="6">
        <v>-28450</v>
      </c>
      <c r="F11393" t="s">
        <v>1450</v>
      </c>
      <c r="G11393" t="s">
        <v>31</v>
      </c>
      <c r="H11393" t="s">
        <v>20</v>
      </c>
      <c r="I11393" t="s">
        <v>22224</v>
      </c>
      <c r="J11393" t="str">
        <f>HYPERLINK("https://www.boe.es/gazeta/dias/1822/02/07/pdfs/GMD-1822-38.pdf#page=3","Abrir facsímil")</f>
        <v>Abrir facsímil</v>
      </c>
      <c r="K11393" t="s">
        <v>22</v>
      </c>
    </row>
    <row r="11394" spans="1:11" ht="42" customHeight="1">
      <c r="A11394" t="s">
        <v>22217</v>
      </c>
      <c r="B11394" t="s">
        <v>22217</v>
      </c>
      <c r="C11394" t="s">
        <v>71</v>
      </c>
      <c r="D11394" t="s">
        <v>17</v>
      </c>
      <c r="E11394" s="6">
        <v>-28449</v>
      </c>
      <c r="F11394" t="s">
        <v>1342</v>
      </c>
      <c r="G11394" t="s">
        <v>31</v>
      </c>
      <c r="H11394" t="s">
        <v>20</v>
      </c>
      <c r="I11394" t="s">
        <v>22225</v>
      </c>
      <c r="J11394" t="str">
        <f>HYPERLINK("https://www.boe.es/gazeta/dias/1822/02/08/pdfs/GMD-1822-39.pdf#page=3","Abrir facsímil")</f>
        <v>Abrir facsímil</v>
      </c>
      <c r="K11394" t="s">
        <v>22</v>
      </c>
    </row>
    <row r="11395" spans="1:11" ht="42" customHeight="1">
      <c r="A11395" t="s">
        <v>22217</v>
      </c>
      <c r="B11395" t="s">
        <v>22217</v>
      </c>
      <c r="C11395" t="s">
        <v>50</v>
      </c>
      <c r="D11395" t="s">
        <v>51</v>
      </c>
      <c r="E11395" s="6">
        <v>-28445</v>
      </c>
      <c r="F11395" t="s">
        <v>1622</v>
      </c>
      <c r="G11395" t="s">
        <v>35</v>
      </c>
      <c r="H11395" t="s">
        <v>20</v>
      </c>
      <c r="I11395" t="s">
        <v>22226</v>
      </c>
      <c r="J11395" t="str">
        <f>HYPERLINK("https://www.boe.es/gazeta/dias/1822/02/12/pdfs/GMD-1822-43.pdf#page=2","Abrir facsímil")</f>
        <v>Abrir facsímil</v>
      </c>
      <c r="K11395" t="s">
        <v>22</v>
      </c>
    </row>
    <row r="11396" spans="1:11" ht="42" customHeight="1">
      <c r="A11396" t="s">
        <v>22227</v>
      </c>
      <c r="B11396" t="s">
        <v>22228</v>
      </c>
      <c r="C11396" t="s">
        <v>61</v>
      </c>
      <c r="D11396" t="s">
        <v>17</v>
      </c>
      <c r="E11396" s="6">
        <v>-28258</v>
      </c>
      <c r="F11396" t="s">
        <v>88</v>
      </c>
      <c r="G11396" t="s">
        <v>31</v>
      </c>
      <c r="H11396" t="s">
        <v>20</v>
      </c>
      <c r="I11396" t="s">
        <v>22229</v>
      </c>
      <c r="J11396" t="str">
        <f>HYPERLINK("https://www.boe.es/gazeta/dias/1822/08/18/pdfs/GMD-1822-242.pdf#page=3","Abrir facsímil")</f>
        <v>Abrir facsímil</v>
      </c>
      <c r="K11396" t="s">
        <v>22</v>
      </c>
    </row>
    <row r="11397" spans="1:11" ht="42" customHeight="1">
      <c r="A11397" t="s">
        <v>22230</v>
      </c>
      <c r="B11397" t="s">
        <v>22231</v>
      </c>
      <c r="C11397" t="s">
        <v>28</v>
      </c>
      <c r="D11397" t="s">
        <v>29</v>
      </c>
      <c r="E11397" s="6">
        <v>-28188</v>
      </c>
      <c r="F11397" t="s">
        <v>578</v>
      </c>
      <c r="G11397" t="s">
        <v>157</v>
      </c>
      <c r="H11397" t="s">
        <v>20</v>
      </c>
      <c r="I11397" t="s">
        <v>22232</v>
      </c>
      <c r="J11397" t="str">
        <f>HYPERLINK("https://www.boe.es/gazeta/dias/1822/10/27/pdfs/GMD-1822-314.pdf#page=8","Abrir facsímil")</f>
        <v>Abrir facsímil</v>
      </c>
      <c r="K11397" t="s">
        <v>22</v>
      </c>
    </row>
    <row r="11398" spans="1:11" ht="42" customHeight="1">
      <c r="A11398" t="s">
        <v>22233</v>
      </c>
      <c r="B11398" t="s">
        <v>22233</v>
      </c>
      <c r="C11398" t="s">
        <v>50</v>
      </c>
      <c r="D11398" t="s">
        <v>51</v>
      </c>
      <c r="E11398" s="6">
        <v>-28265</v>
      </c>
      <c r="F11398" t="s">
        <v>1263</v>
      </c>
      <c r="G11398" t="s">
        <v>57</v>
      </c>
      <c r="H11398" t="s">
        <v>20</v>
      </c>
      <c r="I11398" t="s">
        <v>22234</v>
      </c>
      <c r="J11398" t="str">
        <f>HYPERLINK("https://www.boe.es/gazeta/dias/1822/08/11/pdfs/GMD-1822-235.pdf#page=4","Abrir facsímil")</f>
        <v>Abrir facsímil</v>
      </c>
      <c r="K11398" t="s">
        <v>22</v>
      </c>
    </row>
    <row r="11399" spans="1:11" ht="42" customHeight="1">
      <c r="A11399" t="s">
        <v>22235</v>
      </c>
      <c r="B11399" t="s">
        <v>22235</v>
      </c>
      <c r="C11399" t="s">
        <v>28</v>
      </c>
      <c r="D11399" t="s">
        <v>29</v>
      </c>
      <c r="E11399" s="6">
        <v>-28306</v>
      </c>
      <c r="F11399" t="s">
        <v>348</v>
      </c>
      <c r="G11399" t="s">
        <v>31</v>
      </c>
      <c r="H11399" t="s">
        <v>20</v>
      </c>
      <c r="I11399" t="s">
        <v>22236</v>
      </c>
      <c r="J11399" t="str">
        <f>HYPERLINK("https://www.boe.es/gazeta/dias/1822/07/01/pdfs/GMD-1822-190.pdf#page=3","Abrir facsímil")</f>
        <v>Abrir facsímil</v>
      </c>
      <c r="K11399" t="s">
        <v>22</v>
      </c>
    </row>
    <row r="11400" spans="1:11" ht="42" customHeight="1">
      <c r="A11400" t="s">
        <v>22237</v>
      </c>
      <c r="B11400" t="s">
        <v>22237</v>
      </c>
      <c r="C11400" t="s">
        <v>42</v>
      </c>
      <c r="D11400" t="s">
        <v>17</v>
      </c>
      <c r="E11400" s="6">
        <v>-28166</v>
      </c>
      <c r="F11400" t="s">
        <v>942</v>
      </c>
      <c r="G11400" t="s">
        <v>44</v>
      </c>
      <c r="H11400" t="s">
        <v>20</v>
      </c>
      <c r="I11400" t="s">
        <v>22238</v>
      </c>
      <c r="J11400" t="str">
        <f>HYPERLINK("https://www.boe.es/gazeta/dias/1822/11/18/pdfs/GMD-1822-338.pdf#page=1","Abrir facsímil")</f>
        <v>Abrir facsímil</v>
      </c>
      <c r="K11400" t="s">
        <v>22</v>
      </c>
    </row>
    <row r="11401" spans="1:11" ht="42" customHeight="1">
      <c r="A11401" t="s">
        <v>22239</v>
      </c>
      <c r="B11401" t="s">
        <v>22240</v>
      </c>
      <c r="C11401" t="s">
        <v>50</v>
      </c>
      <c r="D11401" t="s">
        <v>723</v>
      </c>
      <c r="E11401" s="6">
        <v>-28181</v>
      </c>
      <c r="F11401" t="s">
        <v>724</v>
      </c>
      <c r="G11401" t="s">
        <v>44</v>
      </c>
      <c r="H11401" t="s">
        <v>20</v>
      </c>
      <c r="I11401" t="s">
        <v>22241</v>
      </c>
      <c r="J11401" t="str">
        <f>HYPERLINK("https://www.boe.es/gazeta/dias/1822/11/03/pdfs/GMD-1822-322E.pdf#page=1","Abrir facsímil")</f>
        <v>Abrir facsímil</v>
      </c>
      <c r="K11401" t="s">
        <v>22</v>
      </c>
    </row>
    <row r="11402" spans="1:11" ht="42" customHeight="1">
      <c r="A11402" t="s">
        <v>22242</v>
      </c>
      <c r="B11402" t="s">
        <v>22243</v>
      </c>
      <c r="C11402" t="s">
        <v>61</v>
      </c>
      <c r="D11402" t="s">
        <v>17</v>
      </c>
      <c r="E11402" s="6">
        <v>-28328</v>
      </c>
      <c r="F11402" t="s">
        <v>540</v>
      </c>
      <c r="G11402" t="s">
        <v>31</v>
      </c>
      <c r="H11402" t="s">
        <v>20</v>
      </c>
      <c r="I11402" t="s">
        <v>22244</v>
      </c>
      <c r="J11402" t="str">
        <f>HYPERLINK("https://www.boe.es/gazeta/dias/1822/06/09/pdfs/GMD-1822-166.pdf#page=3","Abrir facsímil")</f>
        <v>Abrir facsímil</v>
      </c>
      <c r="K11402" t="s">
        <v>22</v>
      </c>
    </row>
    <row r="11403" spans="1:11" ht="42" customHeight="1">
      <c r="A11403" t="s">
        <v>22245</v>
      </c>
      <c r="B11403" t="s">
        <v>22246</v>
      </c>
      <c r="C11403" t="s">
        <v>50</v>
      </c>
      <c r="D11403" t="s">
        <v>51</v>
      </c>
      <c r="E11403" s="6">
        <v>-28238</v>
      </c>
      <c r="F11403" t="s">
        <v>2077</v>
      </c>
      <c r="G11403" t="s">
        <v>35</v>
      </c>
      <c r="H11403" t="s">
        <v>20</v>
      </c>
      <c r="I11403" t="s">
        <v>22247</v>
      </c>
      <c r="J11403" t="str">
        <f>HYPERLINK("https://www.boe.es/gazeta/dias/1822/09/07/pdfs/GMD-1822-262.pdf#page=2","Abrir facsímil")</f>
        <v>Abrir facsímil</v>
      </c>
      <c r="K11403" t="s">
        <v>22</v>
      </c>
    </row>
    <row r="11404" spans="1:11" ht="42" customHeight="1">
      <c r="A11404" t="s">
        <v>22248</v>
      </c>
      <c r="B11404" t="s">
        <v>22248</v>
      </c>
      <c r="C11404" t="s">
        <v>50</v>
      </c>
      <c r="D11404" t="s">
        <v>51</v>
      </c>
      <c r="E11404" s="6">
        <v>-28313</v>
      </c>
      <c r="F11404" t="s">
        <v>315</v>
      </c>
      <c r="G11404" t="s">
        <v>44</v>
      </c>
      <c r="H11404" t="s">
        <v>20</v>
      </c>
      <c r="I11404" t="s">
        <v>22249</v>
      </c>
      <c r="J11404" t="str">
        <f>HYPERLINK("https://www.boe.es/gazeta/dias/1822/06/24/pdfs/GMD-1822-182.pdf#page=1","Abrir facsímil")</f>
        <v>Abrir facsímil</v>
      </c>
      <c r="K11404" t="s">
        <v>22</v>
      </c>
    </row>
    <row r="11405" spans="1:11" ht="42" customHeight="1">
      <c r="A11405" t="s">
        <v>22250</v>
      </c>
      <c r="B11405" t="s">
        <v>22250</v>
      </c>
      <c r="C11405" t="s">
        <v>42</v>
      </c>
      <c r="D11405" t="s">
        <v>17</v>
      </c>
      <c r="E11405" s="6">
        <v>-28293</v>
      </c>
      <c r="F11405" t="s">
        <v>152</v>
      </c>
      <c r="G11405" t="s">
        <v>44</v>
      </c>
      <c r="H11405" t="s">
        <v>20</v>
      </c>
      <c r="I11405" t="s">
        <v>22251</v>
      </c>
      <c r="J11405" t="str">
        <f>HYPERLINK("https://www.boe.es/gazeta/dias/1822/07/14/pdfs/GMD-1822-204.pdf#page=1","Abrir facsímil")</f>
        <v>Abrir facsímil</v>
      </c>
      <c r="K11405" t="s">
        <v>22</v>
      </c>
    </row>
    <row r="11406" spans="1:11" ht="42" customHeight="1">
      <c r="A11406" t="s">
        <v>22252</v>
      </c>
      <c r="B11406" t="s">
        <v>22253</v>
      </c>
      <c r="C11406" t="s">
        <v>71</v>
      </c>
      <c r="D11406" t="s">
        <v>17</v>
      </c>
      <c r="E11406" s="6">
        <v>-28394</v>
      </c>
      <c r="F11406" t="s">
        <v>268</v>
      </c>
      <c r="G11406" t="s">
        <v>57</v>
      </c>
      <c r="H11406" t="s">
        <v>20</v>
      </c>
      <c r="I11406" t="s">
        <v>22254</v>
      </c>
      <c r="J11406" t="str">
        <f>HYPERLINK("https://www.boe.es/gazeta/dias/1822/04/04/pdfs/GMD-1822-96.pdf#page=4","Abrir facsímil")</f>
        <v>Abrir facsímil</v>
      </c>
      <c r="K11406" t="s">
        <v>22</v>
      </c>
    </row>
    <row r="11407" spans="1:11" ht="42" customHeight="1">
      <c r="A11407" t="s">
        <v>22255</v>
      </c>
      <c r="B11407" t="s">
        <v>22256</v>
      </c>
      <c r="C11407" t="s">
        <v>24</v>
      </c>
      <c r="D11407" t="s">
        <v>17</v>
      </c>
      <c r="E11407" s="6">
        <v>-28381</v>
      </c>
      <c r="F11407" t="s">
        <v>358</v>
      </c>
      <c r="G11407" t="s">
        <v>2269</v>
      </c>
      <c r="H11407" t="s">
        <v>20</v>
      </c>
      <c r="I11407" t="s">
        <v>22257</v>
      </c>
      <c r="J11407" t="str">
        <f>HYPERLINK("https://www.boe.es/gazeta/dias/1822/04/17/pdfs/GMD-1822-109.pdf#page=3","Abrir facsímil")</f>
        <v>Abrir facsímil</v>
      </c>
      <c r="K11407" t="s">
        <v>22</v>
      </c>
    </row>
    <row r="11408" spans="1:11" ht="42" customHeight="1">
      <c r="A11408" t="s">
        <v>22258</v>
      </c>
      <c r="B11408" t="s">
        <v>22258</v>
      </c>
      <c r="C11408" t="s">
        <v>71</v>
      </c>
      <c r="D11408" t="s">
        <v>17</v>
      </c>
      <c r="E11408" s="6">
        <v>-28169</v>
      </c>
      <c r="F11408" t="s">
        <v>2571</v>
      </c>
      <c r="G11408" t="s">
        <v>44</v>
      </c>
      <c r="H11408" t="s">
        <v>20</v>
      </c>
      <c r="I11408" t="s">
        <v>22259</v>
      </c>
      <c r="J11408" t="str">
        <f>HYPERLINK("https://www.boe.es/gazeta/dias/1822/11/15/pdfs/GMD-1822-335.pdf#page=1","Abrir facsímil")</f>
        <v>Abrir facsímil</v>
      </c>
      <c r="K11408" t="s">
        <v>22</v>
      </c>
    </row>
    <row r="11409" spans="1:11" ht="42" customHeight="1">
      <c r="A11409" t="s">
        <v>22260</v>
      </c>
      <c r="B11409" t="s">
        <v>22260</v>
      </c>
      <c r="C11409" t="s">
        <v>71</v>
      </c>
      <c r="D11409" t="s">
        <v>17</v>
      </c>
      <c r="E11409" s="6">
        <v>-28354</v>
      </c>
      <c r="F11409" t="s">
        <v>226</v>
      </c>
      <c r="G11409" t="s">
        <v>57</v>
      </c>
      <c r="H11409" t="s">
        <v>20</v>
      </c>
      <c r="I11409" t="s">
        <v>22261</v>
      </c>
      <c r="J11409" t="str">
        <f>HYPERLINK("https://www.boe.es/gazeta/dias/1822/05/14/pdfs/GMD-1822-136.pdf#page=4","Abrir facsímil")</f>
        <v>Abrir facsímil</v>
      </c>
      <c r="K11409" t="s">
        <v>22</v>
      </c>
    </row>
    <row r="11410" spans="1:11" ht="42" customHeight="1">
      <c r="A11410" t="s">
        <v>22262</v>
      </c>
      <c r="B11410" t="s">
        <v>22262</v>
      </c>
      <c r="C11410" t="s">
        <v>24</v>
      </c>
      <c r="D11410" t="s">
        <v>17</v>
      </c>
      <c r="E11410" s="6">
        <v>-28307</v>
      </c>
      <c r="F11410" t="s">
        <v>555</v>
      </c>
      <c r="G11410" t="s">
        <v>157</v>
      </c>
      <c r="H11410" t="s">
        <v>20</v>
      </c>
      <c r="I11410" t="s">
        <v>22263</v>
      </c>
      <c r="J11410" t="str">
        <f>HYPERLINK("https://www.boe.es/gazeta/dias/1822/06/30/pdfs/GMD-1822-188.pdf#page=8","Abrir facsímil")</f>
        <v>Abrir facsímil</v>
      </c>
      <c r="K11410" t="s">
        <v>22</v>
      </c>
    </row>
    <row r="11411" spans="1:11" ht="42" customHeight="1">
      <c r="A11411" t="s">
        <v>22264</v>
      </c>
      <c r="B11411" t="s">
        <v>22264</v>
      </c>
      <c r="C11411" t="s">
        <v>1141</v>
      </c>
      <c r="D11411" t="s">
        <v>29</v>
      </c>
      <c r="E11411" s="6">
        <v>-28321</v>
      </c>
      <c r="F11411" t="s">
        <v>1142</v>
      </c>
      <c r="G11411" t="s">
        <v>57</v>
      </c>
      <c r="H11411" t="s">
        <v>20</v>
      </c>
      <c r="I11411" t="s">
        <v>22265</v>
      </c>
      <c r="J11411" t="str">
        <f>HYPERLINK("https://www.boe.es/gazeta/dias/1822/06/16/pdfs/GMD-1822-173.pdf#page=4","Abrir facsímil")</f>
        <v>Abrir facsímil</v>
      </c>
      <c r="K11411" t="s">
        <v>22</v>
      </c>
    </row>
    <row r="11412" spans="1:11" ht="42" customHeight="1">
      <c r="A11412" t="s">
        <v>22266</v>
      </c>
      <c r="B11412" t="s">
        <v>22267</v>
      </c>
      <c r="C11412" t="s">
        <v>28</v>
      </c>
      <c r="D11412" t="s">
        <v>29</v>
      </c>
      <c r="E11412" s="6">
        <v>-28436</v>
      </c>
      <c r="F11412" t="s">
        <v>431</v>
      </c>
      <c r="G11412" t="s">
        <v>1428</v>
      </c>
      <c r="H11412" t="s">
        <v>20</v>
      </c>
      <c r="I11412" t="s">
        <v>22268</v>
      </c>
      <c r="J11412" t="str">
        <f>HYPERLINK("https://www.boe.es/gazeta/dias/1822/02/21/pdfs/GMD-1822-53.pdf#page=3","Abrir facsímil")</f>
        <v>Abrir facsímil</v>
      </c>
      <c r="K11412" t="s">
        <v>22</v>
      </c>
    </row>
    <row r="11413" spans="1:11" ht="42" customHeight="1">
      <c r="A11413" t="s">
        <v>22269</v>
      </c>
      <c r="B11413" t="s">
        <v>22270</v>
      </c>
      <c r="C11413" t="s">
        <v>50</v>
      </c>
      <c r="D11413" t="s">
        <v>51</v>
      </c>
      <c r="E11413" s="6">
        <v>-28163</v>
      </c>
      <c r="F11413" t="s">
        <v>891</v>
      </c>
      <c r="G11413" t="s">
        <v>35</v>
      </c>
      <c r="H11413" t="s">
        <v>20</v>
      </c>
      <c r="I11413" t="s">
        <v>22271</v>
      </c>
      <c r="J11413" t="str">
        <f>HYPERLINK("https://www.boe.es/gazeta/dias/1822/11/21/pdfs/GMD-1822-341.pdf#page=2","Abrir facsímil")</f>
        <v>Abrir facsímil</v>
      </c>
      <c r="K11413" t="s">
        <v>22</v>
      </c>
    </row>
    <row r="11414" spans="1:11" ht="42" customHeight="1">
      <c r="A11414" t="s">
        <v>22272</v>
      </c>
      <c r="B11414" t="s">
        <v>22273</v>
      </c>
      <c r="C11414" t="s">
        <v>50</v>
      </c>
      <c r="D11414" t="s">
        <v>51</v>
      </c>
      <c r="E11414" s="6">
        <v>-28130</v>
      </c>
      <c r="F11414" t="s">
        <v>34</v>
      </c>
      <c r="G11414" t="s">
        <v>19</v>
      </c>
      <c r="H11414" t="s">
        <v>20</v>
      </c>
      <c r="I11414" t="s">
        <v>22274</v>
      </c>
      <c r="J11414" t="str">
        <f>HYPERLINK("https://www.boe.es/gazeta/dias/1822/12/24/pdfs/GMD-1822-374.pdf#page=5","Abrir facsímil")</f>
        <v>Abrir facsímil</v>
      </c>
      <c r="K11414" t="s">
        <v>22</v>
      </c>
    </row>
    <row r="11415" spans="1:11" ht="42" customHeight="1">
      <c r="A11415" t="s">
        <v>22275</v>
      </c>
      <c r="B11415" t="s">
        <v>22275</v>
      </c>
      <c r="C11415" t="s">
        <v>71</v>
      </c>
      <c r="D11415" t="s">
        <v>17</v>
      </c>
      <c r="E11415" s="6">
        <v>-28466</v>
      </c>
      <c r="F11415" t="s">
        <v>4119</v>
      </c>
      <c r="G11415" t="s">
        <v>63</v>
      </c>
      <c r="H11415" t="s">
        <v>20</v>
      </c>
      <c r="I11415" t="s">
        <v>22276</v>
      </c>
      <c r="J11415" t="str">
        <f>HYPERLINK("https://www.boe.es/gazeta/dias/1822/01/22/pdfs/GMD-1822-22.pdf#page=6","Abrir facsímil")</f>
        <v>Abrir facsímil</v>
      </c>
      <c r="K11415" t="s">
        <v>22</v>
      </c>
    </row>
    <row r="11416" spans="1:11" ht="42" customHeight="1">
      <c r="A11416" t="s">
        <v>22277</v>
      </c>
      <c r="B11416" t="s">
        <v>22278</v>
      </c>
      <c r="C11416" t="s">
        <v>24</v>
      </c>
      <c r="D11416" t="s">
        <v>17</v>
      </c>
      <c r="E11416" s="6">
        <v>-28306</v>
      </c>
      <c r="F11416" t="s">
        <v>348</v>
      </c>
      <c r="G11416" t="s">
        <v>57</v>
      </c>
      <c r="H11416" t="s">
        <v>20</v>
      </c>
      <c r="I11416" t="s">
        <v>22279</v>
      </c>
      <c r="J11416" t="str">
        <f>HYPERLINK("https://www.boe.es/gazeta/dias/1822/07/01/pdfs/GMD-1822-190.pdf#page=4","Abrir facsímil")</f>
        <v>Abrir facsímil</v>
      </c>
      <c r="K11416" t="s">
        <v>22</v>
      </c>
    </row>
    <row r="11417" spans="1:11" ht="42" customHeight="1">
      <c r="A11417" t="s">
        <v>22280</v>
      </c>
      <c r="B11417" t="s">
        <v>22280</v>
      </c>
      <c r="C11417" t="s">
        <v>42</v>
      </c>
      <c r="D11417" t="s">
        <v>17</v>
      </c>
      <c r="E11417" s="6">
        <v>-28444</v>
      </c>
      <c r="F11417" t="s">
        <v>681</v>
      </c>
      <c r="G11417" t="s">
        <v>31</v>
      </c>
      <c r="H11417" t="s">
        <v>20</v>
      </c>
      <c r="I11417" t="s">
        <v>22281</v>
      </c>
      <c r="J11417" t="str">
        <f>HYPERLINK("https://www.boe.es/gazeta/dias/1822/02/13/pdfs/GMD-1822-44.pdf#page=3","Abrir facsímil")</f>
        <v>Abrir facsímil</v>
      </c>
      <c r="K11417" t="s">
        <v>22</v>
      </c>
    </row>
    <row r="11418" spans="1:11" ht="42" customHeight="1">
      <c r="A11418" t="s">
        <v>22282</v>
      </c>
      <c r="B11418" t="s">
        <v>22283</v>
      </c>
      <c r="C11418" t="s">
        <v>50</v>
      </c>
      <c r="D11418" t="s">
        <v>51</v>
      </c>
      <c r="E11418" s="6">
        <v>-28415</v>
      </c>
      <c r="F11418" t="s">
        <v>77</v>
      </c>
      <c r="G11418" t="s">
        <v>19</v>
      </c>
      <c r="H11418" t="s">
        <v>20</v>
      </c>
      <c r="I11418" t="s">
        <v>22284</v>
      </c>
      <c r="J11418" t="str">
        <f>HYPERLINK("https://www.boe.es/gazeta/dias/1822/03/14/pdfs/GMD-1822-75.pdf#page=5","Abrir facsímil")</f>
        <v>Abrir facsímil</v>
      </c>
      <c r="K11418" t="s">
        <v>22</v>
      </c>
    </row>
    <row r="11419" spans="1:11" ht="42" customHeight="1">
      <c r="A11419" t="s">
        <v>22285</v>
      </c>
      <c r="B11419" t="s">
        <v>22286</v>
      </c>
      <c r="C11419" t="s">
        <v>50</v>
      </c>
      <c r="D11419" t="s">
        <v>51</v>
      </c>
      <c r="E11419" s="6">
        <v>-28238</v>
      </c>
      <c r="F11419" t="s">
        <v>2077</v>
      </c>
      <c r="G11419" t="s">
        <v>35</v>
      </c>
      <c r="H11419" t="s">
        <v>20</v>
      </c>
      <c r="I11419" t="s">
        <v>22287</v>
      </c>
      <c r="J11419" t="str">
        <f>HYPERLINK("https://www.boe.es/gazeta/dias/1822/09/07/pdfs/GMD-1822-262.pdf#page=2","Abrir facsímil")</f>
        <v>Abrir facsímil</v>
      </c>
      <c r="K11419" t="s">
        <v>22</v>
      </c>
    </row>
    <row r="11420" spans="1:11" ht="42" customHeight="1">
      <c r="A11420" t="s">
        <v>22288</v>
      </c>
      <c r="B11420" t="s">
        <v>22289</v>
      </c>
      <c r="C11420" t="s">
        <v>71</v>
      </c>
      <c r="D11420" t="s">
        <v>17</v>
      </c>
      <c r="E11420" s="6">
        <v>-28412</v>
      </c>
      <c r="F11420" t="s">
        <v>825</v>
      </c>
      <c r="G11420" t="s">
        <v>35</v>
      </c>
      <c r="H11420" t="s">
        <v>20</v>
      </c>
      <c r="I11420" t="s">
        <v>22290</v>
      </c>
      <c r="J11420" t="str">
        <f>HYPERLINK("https://www.boe.es/gazeta/dias/1822/03/17/pdfs/GMD-1822-78.pdf#page=2","Abrir facsímil")</f>
        <v>Abrir facsímil</v>
      </c>
      <c r="K11420" t="s">
        <v>22</v>
      </c>
    </row>
    <row r="11421" spans="1:11" ht="42" customHeight="1">
      <c r="A11421" t="s">
        <v>22291</v>
      </c>
      <c r="B11421" t="s">
        <v>22292</v>
      </c>
      <c r="C11421" t="s">
        <v>50</v>
      </c>
      <c r="D11421" t="s">
        <v>51</v>
      </c>
      <c r="E11421" s="6">
        <v>-28417</v>
      </c>
      <c r="F11421" t="s">
        <v>1394</v>
      </c>
      <c r="G11421" t="s">
        <v>31</v>
      </c>
      <c r="H11421" t="s">
        <v>20</v>
      </c>
      <c r="I11421" t="s">
        <v>22293</v>
      </c>
      <c r="J11421" t="str">
        <f>HYPERLINK("https://www.boe.es/gazeta/dias/1822/03/12/pdfs/GMD-1822-73.pdf#page=3","Abrir facsímil")</f>
        <v>Abrir facsímil</v>
      </c>
      <c r="K11421" t="s">
        <v>22</v>
      </c>
    </row>
    <row r="11422" spans="1:11" ht="42" customHeight="1">
      <c r="A11422" t="s">
        <v>22291</v>
      </c>
      <c r="B11422" t="s">
        <v>22292</v>
      </c>
      <c r="C11422" t="s">
        <v>362</v>
      </c>
      <c r="D11422" t="s">
        <v>17</v>
      </c>
      <c r="E11422" s="6">
        <v>-28413</v>
      </c>
      <c r="F11422" t="s">
        <v>458</v>
      </c>
      <c r="G11422" t="s">
        <v>31</v>
      </c>
      <c r="H11422" t="s">
        <v>20</v>
      </c>
      <c r="I11422" t="s">
        <v>22294</v>
      </c>
      <c r="J11422" t="str">
        <f>HYPERLINK("https://www.boe.es/gazeta/dias/1822/03/16/pdfs/GMD-1822-77.pdf#page=3","Abrir facsímil")</f>
        <v>Abrir facsímil</v>
      </c>
      <c r="K11422" t="s">
        <v>22</v>
      </c>
    </row>
    <row r="11423" spans="1:11" ht="42" customHeight="1">
      <c r="A11423" t="s">
        <v>22291</v>
      </c>
      <c r="B11423" t="s">
        <v>22292</v>
      </c>
      <c r="C11423" t="s">
        <v>50</v>
      </c>
      <c r="D11423" t="s">
        <v>51</v>
      </c>
      <c r="E11423" s="6">
        <v>-28340</v>
      </c>
      <c r="F11423" t="s">
        <v>139</v>
      </c>
      <c r="G11423" t="s">
        <v>63</v>
      </c>
      <c r="H11423" t="s">
        <v>20</v>
      </c>
      <c r="I11423" t="s">
        <v>22295</v>
      </c>
      <c r="J11423" t="str">
        <f>HYPERLINK("https://www.boe.es/gazeta/dias/1822/05/28/pdfs/GMD-1822-153.pdf#page=6","Abrir facsímil")</f>
        <v>Abrir facsímil</v>
      </c>
      <c r="K11423" t="s">
        <v>22</v>
      </c>
    </row>
    <row r="11424" spans="1:11" ht="42" customHeight="1">
      <c r="A11424" t="s">
        <v>22296</v>
      </c>
      <c r="B11424" t="s">
        <v>22297</v>
      </c>
      <c r="C11424" t="s">
        <v>50</v>
      </c>
      <c r="D11424" t="s">
        <v>51</v>
      </c>
      <c r="E11424" s="6">
        <v>-28337</v>
      </c>
      <c r="F11424" t="s">
        <v>1836</v>
      </c>
      <c r="G11424" t="s">
        <v>31</v>
      </c>
      <c r="H11424" t="s">
        <v>20</v>
      </c>
      <c r="I11424" t="s">
        <v>22298</v>
      </c>
      <c r="J11424" t="str">
        <f>HYPERLINK("https://www.boe.es/gazeta/dias/1822/05/31/pdfs/GMD-1822-156.pdf#page=3","Abrir facsímil")</f>
        <v>Abrir facsímil</v>
      </c>
      <c r="K11424" t="s">
        <v>22</v>
      </c>
    </row>
    <row r="11425" spans="1:11" ht="42" customHeight="1">
      <c r="A11425" t="s">
        <v>22291</v>
      </c>
      <c r="B11425" t="s">
        <v>22292</v>
      </c>
      <c r="C11425" t="s">
        <v>50</v>
      </c>
      <c r="D11425" t="s">
        <v>51</v>
      </c>
      <c r="E11425" s="6">
        <v>-28177</v>
      </c>
      <c r="F11425" t="s">
        <v>587</v>
      </c>
      <c r="G11425" t="s">
        <v>35</v>
      </c>
      <c r="H11425" t="s">
        <v>20</v>
      </c>
      <c r="I11425" t="s">
        <v>22299</v>
      </c>
      <c r="J11425" t="str">
        <f>HYPERLINK("https://www.boe.es/gazeta/dias/1822/11/07/pdfs/GMD-1822-327.pdf#page=2","Abrir facsímil")</f>
        <v>Abrir facsímil</v>
      </c>
      <c r="K11425" t="s">
        <v>22</v>
      </c>
    </row>
    <row r="11426" spans="1:11" ht="42" customHeight="1">
      <c r="A11426" t="s">
        <v>22300</v>
      </c>
      <c r="B11426" t="s">
        <v>22301</v>
      </c>
      <c r="C11426" t="s">
        <v>42</v>
      </c>
      <c r="D11426" t="s">
        <v>17</v>
      </c>
      <c r="E11426" s="6">
        <v>-28413</v>
      </c>
      <c r="F11426" t="s">
        <v>458</v>
      </c>
      <c r="G11426" t="s">
        <v>31</v>
      </c>
      <c r="H11426" t="s">
        <v>20</v>
      </c>
      <c r="I11426" t="s">
        <v>22302</v>
      </c>
      <c r="J11426" t="str">
        <f>HYPERLINK("https://www.boe.es/gazeta/dias/1822/03/16/pdfs/GMD-1822-77.pdf#page=3","Abrir facsímil")</f>
        <v>Abrir facsímil</v>
      </c>
      <c r="K11426" t="s">
        <v>22</v>
      </c>
    </row>
    <row r="11427" spans="1:11" ht="42" customHeight="1">
      <c r="A11427" t="s">
        <v>22303</v>
      </c>
      <c r="B11427" t="s">
        <v>22304</v>
      </c>
      <c r="C11427" t="s">
        <v>50</v>
      </c>
      <c r="D11427" t="s">
        <v>51</v>
      </c>
      <c r="E11427" s="6">
        <v>-28176</v>
      </c>
      <c r="F11427" t="s">
        <v>780</v>
      </c>
      <c r="G11427" t="s">
        <v>63</v>
      </c>
      <c r="H11427" t="s">
        <v>20</v>
      </c>
      <c r="I11427" t="s">
        <v>22305</v>
      </c>
      <c r="J11427" t="str">
        <f>HYPERLINK("https://www.boe.es/gazeta/dias/1822/11/08/pdfs/GMD-1822-328.pdf#page=6","Abrir facsímil")</f>
        <v>Abrir facsímil</v>
      </c>
      <c r="K11427" t="s">
        <v>22</v>
      </c>
    </row>
    <row r="11428" spans="1:11" ht="42" customHeight="1">
      <c r="A11428" t="s">
        <v>22306</v>
      </c>
      <c r="B11428" t="s">
        <v>22307</v>
      </c>
      <c r="C11428" t="s">
        <v>50</v>
      </c>
      <c r="D11428" t="s">
        <v>51</v>
      </c>
      <c r="E11428" s="6">
        <v>-28415</v>
      </c>
      <c r="F11428" t="s">
        <v>77</v>
      </c>
      <c r="G11428" t="s">
        <v>63</v>
      </c>
      <c r="H11428" t="s">
        <v>20</v>
      </c>
      <c r="I11428" t="s">
        <v>22308</v>
      </c>
      <c r="J11428" t="str">
        <f>HYPERLINK("https://www.boe.es/gazeta/dias/1822/03/14/pdfs/GMD-1822-75.pdf#page=6","Abrir facsímil")</f>
        <v>Abrir facsímil</v>
      </c>
      <c r="K11428" t="s">
        <v>22</v>
      </c>
    </row>
    <row r="11429" spans="1:11" ht="42" customHeight="1">
      <c r="A11429" t="s">
        <v>22306</v>
      </c>
      <c r="B11429" t="s">
        <v>22307</v>
      </c>
      <c r="C11429" t="s">
        <v>50</v>
      </c>
      <c r="D11429" t="s">
        <v>51</v>
      </c>
      <c r="E11429" s="6">
        <v>-28337</v>
      </c>
      <c r="F11429" t="s">
        <v>1836</v>
      </c>
      <c r="G11429" t="s">
        <v>4337</v>
      </c>
      <c r="H11429" t="s">
        <v>20</v>
      </c>
      <c r="I11429" t="s">
        <v>22309</v>
      </c>
      <c r="J11429" t="str">
        <f>HYPERLINK("https://www.boe.es/gazeta/dias/1822/05/31/pdfs/GMD-1822-156.pdf#page=6","Abrir facsímil")</f>
        <v>Abrir facsímil</v>
      </c>
      <c r="K11429" t="s">
        <v>22</v>
      </c>
    </row>
    <row r="11430" spans="1:11" ht="42" customHeight="1">
      <c r="A11430" t="s">
        <v>22310</v>
      </c>
      <c r="B11430" t="s">
        <v>22311</v>
      </c>
      <c r="C11430" t="s">
        <v>28</v>
      </c>
      <c r="D11430" t="s">
        <v>29</v>
      </c>
      <c r="E11430" s="6">
        <v>-28241</v>
      </c>
      <c r="F11430" t="s">
        <v>3068</v>
      </c>
      <c r="G11430" t="s">
        <v>57</v>
      </c>
      <c r="H11430" t="s">
        <v>20</v>
      </c>
      <c r="I11430" t="s">
        <v>22312</v>
      </c>
      <c r="J11430" t="str">
        <f>HYPERLINK("https://www.boe.es/gazeta/dias/1822/09/04/pdfs/GMD-1822-259.pdf#page=4","Abrir facsímil")</f>
        <v>Abrir facsímil</v>
      </c>
      <c r="K11430" t="s">
        <v>22</v>
      </c>
    </row>
    <row r="11431" spans="1:11" ht="42" customHeight="1">
      <c r="A11431" t="s">
        <v>22313</v>
      </c>
      <c r="B11431" t="s">
        <v>22314</v>
      </c>
      <c r="C11431" t="s">
        <v>50</v>
      </c>
      <c r="D11431" t="s">
        <v>51</v>
      </c>
      <c r="E11431" s="6">
        <v>-28345</v>
      </c>
      <c r="F11431" t="s">
        <v>294</v>
      </c>
      <c r="G11431" t="s">
        <v>63</v>
      </c>
      <c r="H11431" t="s">
        <v>20</v>
      </c>
      <c r="I11431" t="s">
        <v>22315</v>
      </c>
      <c r="J11431" t="str">
        <f>HYPERLINK("https://www.boe.es/gazeta/dias/1822/05/23/pdfs/GMD-1822-147.pdf#page=6","Abrir facsímil")</f>
        <v>Abrir facsímil</v>
      </c>
      <c r="K11431" t="s">
        <v>22</v>
      </c>
    </row>
    <row r="11432" spans="1:11" ht="42" customHeight="1">
      <c r="A11432" t="s">
        <v>22313</v>
      </c>
      <c r="B11432" t="s">
        <v>22314</v>
      </c>
      <c r="C11432" t="s">
        <v>71</v>
      </c>
      <c r="D11432" t="s">
        <v>17</v>
      </c>
      <c r="E11432" s="6">
        <v>-28225</v>
      </c>
      <c r="F11432" t="s">
        <v>177</v>
      </c>
      <c r="G11432" t="s">
        <v>178</v>
      </c>
      <c r="H11432" t="s">
        <v>20</v>
      </c>
      <c r="I11432" t="s">
        <v>22316</v>
      </c>
      <c r="J11432" t="str">
        <f>HYPERLINK("https://www.boe.es/gazeta/dias/1822/09/20/pdfs/GMD-1822-276.pdf#page=3","Abrir facsímil")</f>
        <v>Abrir facsímil</v>
      </c>
      <c r="K11432" t="s">
        <v>22</v>
      </c>
    </row>
    <row r="11433" spans="1:11" ht="42" customHeight="1">
      <c r="A11433" t="s">
        <v>22317</v>
      </c>
      <c r="B11433" t="s">
        <v>22317</v>
      </c>
      <c r="C11433" t="s">
        <v>42</v>
      </c>
      <c r="D11433" t="s">
        <v>17</v>
      </c>
      <c r="E11433" s="6">
        <v>-28448</v>
      </c>
      <c r="F11433" t="s">
        <v>1670</v>
      </c>
      <c r="G11433" t="s">
        <v>35</v>
      </c>
      <c r="H11433" t="s">
        <v>20</v>
      </c>
      <c r="I11433" t="s">
        <v>22318</v>
      </c>
      <c r="J11433" t="str">
        <f>HYPERLINK("https://www.boe.es/gazeta/dias/1822/02/09/pdfs/GMD-1822-40.pdf#page=2","Abrir facsímil")</f>
        <v>Abrir facsímil</v>
      </c>
      <c r="K11433" t="s">
        <v>22</v>
      </c>
    </row>
    <row r="11434" spans="1:11" ht="42" customHeight="1">
      <c r="A11434" t="s">
        <v>22319</v>
      </c>
      <c r="B11434" t="s">
        <v>22320</v>
      </c>
      <c r="C11434" t="s">
        <v>16</v>
      </c>
      <c r="D11434" t="s">
        <v>17</v>
      </c>
      <c r="E11434" s="6">
        <v>-28391</v>
      </c>
      <c r="F11434" t="s">
        <v>378</v>
      </c>
      <c r="G11434" t="s">
        <v>63</v>
      </c>
      <c r="H11434" t="s">
        <v>20</v>
      </c>
      <c r="I11434" t="s">
        <v>22321</v>
      </c>
      <c r="J11434" t="str">
        <f>HYPERLINK("https://www.boe.es/gazeta/dias/1822/04/07/pdfs/GMD-1822-99.pdf#page=6","Abrir facsímil")</f>
        <v>Abrir facsímil</v>
      </c>
      <c r="K11434" t="s">
        <v>22</v>
      </c>
    </row>
    <row r="11435" spans="1:11" ht="42" customHeight="1">
      <c r="A11435" t="s">
        <v>22322</v>
      </c>
      <c r="B11435" t="s">
        <v>22323</v>
      </c>
      <c r="C11435" t="s">
        <v>50</v>
      </c>
      <c r="D11435" t="s">
        <v>51</v>
      </c>
      <c r="E11435" s="6">
        <v>-28290</v>
      </c>
      <c r="F11435" t="s">
        <v>706</v>
      </c>
      <c r="G11435" t="s">
        <v>35</v>
      </c>
      <c r="H11435" t="s">
        <v>20</v>
      </c>
      <c r="I11435" t="s">
        <v>22324</v>
      </c>
      <c r="J11435" t="str">
        <f>HYPERLINK("https://www.boe.es/gazeta/dias/1822/07/17/pdfs/GMD-1822-207.pdf#page=2","Abrir facsímil")</f>
        <v>Abrir facsímil</v>
      </c>
      <c r="K11435" t="s">
        <v>22</v>
      </c>
    </row>
    <row r="11436" spans="1:11" ht="42" customHeight="1">
      <c r="A11436" t="s">
        <v>22325</v>
      </c>
      <c r="B11436" t="s">
        <v>22326</v>
      </c>
      <c r="C11436" t="s">
        <v>1141</v>
      </c>
      <c r="D11436" t="s">
        <v>29</v>
      </c>
      <c r="E11436" s="6">
        <v>-28230</v>
      </c>
      <c r="F11436" t="s">
        <v>1735</v>
      </c>
      <c r="G11436" t="s">
        <v>31</v>
      </c>
      <c r="H11436" t="s">
        <v>20</v>
      </c>
      <c r="I11436" t="s">
        <v>22327</v>
      </c>
      <c r="J11436" t="str">
        <f>HYPERLINK("https://www.boe.es/gazeta/dias/1822/09/15/pdfs/GMD-1822-271.pdf#page=3","Abrir facsímil")</f>
        <v>Abrir facsímil</v>
      </c>
      <c r="K11436" t="s">
        <v>22</v>
      </c>
    </row>
    <row r="11437" spans="1:11" ht="42" customHeight="1">
      <c r="A11437" t="s">
        <v>22328</v>
      </c>
      <c r="B11437" t="s">
        <v>22329</v>
      </c>
      <c r="C11437" t="s">
        <v>16</v>
      </c>
      <c r="D11437" t="s">
        <v>17</v>
      </c>
      <c r="E11437" s="6">
        <v>-28323</v>
      </c>
      <c r="F11437" t="s">
        <v>116</v>
      </c>
      <c r="G11437" t="s">
        <v>31</v>
      </c>
      <c r="H11437" t="s">
        <v>20</v>
      </c>
      <c r="I11437" t="s">
        <v>22330</v>
      </c>
      <c r="J11437" t="str">
        <f>HYPERLINK("https://www.boe.es/gazeta/dias/1822/06/14/pdfs/GMD-1822-171.pdf#page=3","Abrir facsímil")</f>
        <v>Abrir facsímil</v>
      </c>
      <c r="K11437" t="s">
        <v>22</v>
      </c>
    </row>
    <row r="11438" spans="1:11" ht="42" customHeight="1">
      <c r="A11438" t="s">
        <v>22331</v>
      </c>
      <c r="B11438" t="s">
        <v>22331</v>
      </c>
      <c r="C11438" t="s">
        <v>362</v>
      </c>
      <c r="D11438" t="s">
        <v>17</v>
      </c>
      <c r="E11438" s="6">
        <v>-28478</v>
      </c>
      <c r="F11438" t="s">
        <v>1093</v>
      </c>
      <c r="G11438" t="s">
        <v>35</v>
      </c>
      <c r="H11438" t="s">
        <v>20</v>
      </c>
      <c r="I11438" t="s">
        <v>22332</v>
      </c>
      <c r="J11438" t="str">
        <f>HYPERLINK("https://www.boe.es/gazeta/dias/1822/01/10/pdfs/GMD-1822-10.pdf#page=2","Abrir facsímil")</f>
        <v>Abrir facsímil</v>
      </c>
      <c r="K11438" t="s">
        <v>22</v>
      </c>
    </row>
    <row r="11439" spans="1:11" ht="42" customHeight="1">
      <c r="A11439" t="s">
        <v>22333</v>
      </c>
      <c r="B11439" t="s">
        <v>22333</v>
      </c>
      <c r="C11439" t="s">
        <v>42</v>
      </c>
      <c r="D11439" t="s">
        <v>17</v>
      </c>
      <c r="E11439" s="6">
        <v>-28478</v>
      </c>
      <c r="F11439" t="s">
        <v>1093</v>
      </c>
      <c r="G11439" t="s">
        <v>31</v>
      </c>
      <c r="H11439" t="s">
        <v>20</v>
      </c>
      <c r="I11439" t="s">
        <v>22334</v>
      </c>
      <c r="J11439" t="str">
        <f>HYPERLINK("https://www.boe.es/gazeta/dias/1822/01/10/pdfs/GMD-1822-10.pdf#page=3","Abrir facsímil")</f>
        <v>Abrir facsímil</v>
      </c>
      <c r="K11439" t="s">
        <v>22</v>
      </c>
    </row>
    <row r="11440" spans="1:11" ht="42" customHeight="1">
      <c r="A11440" t="s">
        <v>22333</v>
      </c>
      <c r="B11440" t="s">
        <v>22333</v>
      </c>
      <c r="C11440" t="s">
        <v>24</v>
      </c>
      <c r="D11440" t="s">
        <v>17</v>
      </c>
      <c r="E11440" s="6">
        <v>-28474</v>
      </c>
      <c r="F11440" t="s">
        <v>30</v>
      </c>
      <c r="G11440" t="s">
        <v>57</v>
      </c>
      <c r="H11440" t="s">
        <v>20</v>
      </c>
      <c r="I11440" t="s">
        <v>22335</v>
      </c>
      <c r="J11440" t="str">
        <f>HYPERLINK("https://www.boe.es/gazeta/dias/1822/01/14/pdfs/GMD-1822-14.pdf#page=4","Abrir facsímil")</f>
        <v>Abrir facsímil</v>
      </c>
      <c r="K11440" t="s">
        <v>22</v>
      </c>
    </row>
    <row r="11441" spans="1:11" ht="42" customHeight="1">
      <c r="A11441" t="s">
        <v>22333</v>
      </c>
      <c r="B11441" t="s">
        <v>22333</v>
      </c>
      <c r="C11441" t="s">
        <v>71</v>
      </c>
      <c r="D11441" t="s">
        <v>17</v>
      </c>
      <c r="E11441" s="6">
        <v>-28473</v>
      </c>
      <c r="F11441" t="s">
        <v>2337</v>
      </c>
      <c r="G11441" t="s">
        <v>35</v>
      </c>
      <c r="H11441" t="s">
        <v>20</v>
      </c>
      <c r="I11441" t="s">
        <v>22336</v>
      </c>
      <c r="J11441" t="str">
        <f>HYPERLINK("https://www.boe.es/gazeta/dias/1822/01/15/pdfs/GMD-1822-15.pdf#page=2","Abrir facsímil")</f>
        <v>Abrir facsímil</v>
      </c>
      <c r="K11441" t="s">
        <v>22</v>
      </c>
    </row>
    <row r="11442" spans="1:11" ht="42" customHeight="1">
      <c r="A11442" t="s">
        <v>22333</v>
      </c>
      <c r="B11442" t="s">
        <v>22333</v>
      </c>
      <c r="C11442" t="s">
        <v>50</v>
      </c>
      <c r="D11442" t="s">
        <v>51</v>
      </c>
      <c r="E11442" s="6">
        <v>-28470</v>
      </c>
      <c r="F11442" t="s">
        <v>1444</v>
      </c>
      <c r="G11442" t="s">
        <v>57</v>
      </c>
      <c r="H11442" t="s">
        <v>20</v>
      </c>
      <c r="I11442" t="s">
        <v>22337</v>
      </c>
      <c r="J11442" t="str">
        <f>HYPERLINK("https://www.boe.es/gazeta/dias/1822/01/18/pdfs/GMD-1822-18.pdf#page=4","Abrir facsímil")</f>
        <v>Abrir facsímil</v>
      </c>
      <c r="K11442" t="s">
        <v>22</v>
      </c>
    </row>
    <row r="11443" spans="1:11" ht="42" customHeight="1">
      <c r="A11443" t="s">
        <v>22333</v>
      </c>
      <c r="B11443" t="s">
        <v>22333</v>
      </c>
      <c r="C11443" t="s">
        <v>71</v>
      </c>
      <c r="D11443" t="s">
        <v>17</v>
      </c>
      <c r="E11443" s="6">
        <v>-28462</v>
      </c>
      <c r="F11443" t="s">
        <v>1099</v>
      </c>
      <c r="G11443" t="s">
        <v>57</v>
      </c>
      <c r="H11443" t="s">
        <v>20</v>
      </c>
      <c r="I11443" t="s">
        <v>22338</v>
      </c>
      <c r="J11443" t="str">
        <f>HYPERLINK("https://www.boe.es/gazeta/dias/1822/01/26/pdfs/GMD-1822-26.pdf#page=4","Abrir facsímil")</f>
        <v>Abrir facsímil</v>
      </c>
      <c r="K11443" t="s">
        <v>22</v>
      </c>
    </row>
    <row r="11444" spans="1:11" ht="42" customHeight="1">
      <c r="A11444" t="s">
        <v>22333</v>
      </c>
      <c r="B11444" t="s">
        <v>22333</v>
      </c>
      <c r="C11444" t="s">
        <v>24</v>
      </c>
      <c r="D11444" t="s">
        <v>17</v>
      </c>
      <c r="E11444" s="6">
        <v>-28458</v>
      </c>
      <c r="F11444" t="s">
        <v>1151</v>
      </c>
      <c r="G11444" t="s">
        <v>35</v>
      </c>
      <c r="H11444" t="s">
        <v>20</v>
      </c>
      <c r="I11444" t="s">
        <v>22339</v>
      </c>
      <c r="J11444" t="str">
        <f>HYPERLINK("https://www.boe.es/gazeta/dias/1822/01/30/pdfs/GMD-1822-30.pdf#page=2","Abrir facsímil")</f>
        <v>Abrir facsímil</v>
      </c>
      <c r="K11444" t="s">
        <v>22</v>
      </c>
    </row>
    <row r="11445" spans="1:11" ht="42" customHeight="1">
      <c r="A11445" t="s">
        <v>22333</v>
      </c>
      <c r="B11445" t="s">
        <v>22333</v>
      </c>
      <c r="C11445" t="s">
        <v>42</v>
      </c>
      <c r="D11445" t="s">
        <v>17</v>
      </c>
      <c r="E11445" s="6">
        <v>-28456</v>
      </c>
      <c r="F11445" t="s">
        <v>1104</v>
      </c>
      <c r="G11445" t="s">
        <v>1105</v>
      </c>
      <c r="H11445" t="s">
        <v>20</v>
      </c>
      <c r="I11445" t="s">
        <v>22340</v>
      </c>
      <c r="J11445" t="str">
        <f>HYPERLINK("https://www.boe.es/gazeta/dias/1822/02/01/pdfs/GMD-1822-32.pdf#page=4","Abrir facsímil")</f>
        <v>Abrir facsímil</v>
      </c>
      <c r="K11445" t="s">
        <v>22</v>
      </c>
    </row>
    <row r="11446" spans="1:11" ht="42" customHeight="1">
      <c r="A11446" t="s">
        <v>22333</v>
      </c>
      <c r="B11446" t="s">
        <v>22333</v>
      </c>
      <c r="C11446" t="s">
        <v>42</v>
      </c>
      <c r="D11446" t="s">
        <v>17</v>
      </c>
      <c r="E11446" s="6">
        <v>-28450</v>
      </c>
      <c r="F11446" t="s">
        <v>1450</v>
      </c>
      <c r="G11446" t="s">
        <v>35</v>
      </c>
      <c r="H11446" t="s">
        <v>20</v>
      </c>
      <c r="I11446" t="s">
        <v>22341</v>
      </c>
      <c r="J11446" t="str">
        <f>HYPERLINK("https://www.boe.es/gazeta/dias/1822/02/07/pdfs/GMD-1822-38.pdf#page=2","Abrir facsímil")</f>
        <v>Abrir facsímil</v>
      </c>
      <c r="K11446" t="s">
        <v>22</v>
      </c>
    </row>
    <row r="11447" spans="1:11" ht="42" customHeight="1">
      <c r="A11447" t="s">
        <v>22333</v>
      </c>
      <c r="B11447" t="s">
        <v>22333</v>
      </c>
      <c r="C11447" t="s">
        <v>71</v>
      </c>
      <c r="D11447" t="s">
        <v>17</v>
      </c>
      <c r="E11447" s="6">
        <v>-28449</v>
      </c>
      <c r="F11447" t="s">
        <v>1342</v>
      </c>
      <c r="G11447" t="s">
        <v>31</v>
      </c>
      <c r="H11447" t="s">
        <v>20</v>
      </c>
      <c r="I11447" t="s">
        <v>22342</v>
      </c>
      <c r="J11447" t="str">
        <f>HYPERLINK("https://www.boe.es/gazeta/dias/1822/02/08/pdfs/GMD-1822-39.pdf#page=3","Abrir facsímil")</f>
        <v>Abrir facsímil</v>
      </c>
      <c r="K11447" t="s">
        <v>22</v>
      </c>
    </row>
    <row r="11448" spans="1:11" ht="42" customHeight="1">
      <c r="A11448" t="s">
        <v>22333</v>
      </c>
      <c r="B11448" t="s">
        <v>22333</v>
      </c>
      <c r="C11448" t="s">
        <v>28</v>
      </c>
      <c r="D11448" t="s">
        <v>29</v>
      </c>
      <c r="E11448" s="6">
        <v>-28443</v>
      </c>
      <c r="F11448" t="s">
        <v>668</v>
      </c>
      <c r="G11448" t="s">
        <v>35</v>
      </c>
      <c r="H11448" t="s">
        <v>20</v>
      </c>
      <c r="I11448" t="s">
        <v>22343</v>
      </c>
      <c r="J11448" t="str">
        <f>HYPERLINK("https://www.boe.es/gazeta/dias/1822/02/14/pdfs/GMD-1822-45.pdf#page=2","Abrir facsímil")</f>
        <v>Abrir facsímil</v>
      </c>
      <c r="K11448" t="s">
        <v>22</v>
      </c>
    </row>
    <row r="11449" spans="1:11" ht="42" customHeight="1">
      <c r="A11449" t="s">
        <v>22344</v>
      </c>
      <c r="B11449" t="s">
        <v>22345</v>
      </c>
      <c r="C11449" t="s">
        <v>16</v>
      </c>
      <c r="D11449" t="s">
        <v>17</v>
      </c>
      <c r="E11449" s="6">
        <v>-28370</v>
      </c>
      <c r="F11449" t="s">
        <v>207</v>
      </c>
      <c r="G11449" t="s">
        <v>63</v>
      </c>
      <c r="H11449" t="s">
        <v>20</v>
      </c>
      <c r="I11449" t="s">
        <v>22346</v>
      </c>
      <c r="J11449" t="str">
        <f>HYPERLINK("https://www.boe.es/gazeta/dias/1822/04/28/pdfs/GMD-1822-120.pdf#page=6","Abrir facsímil")</f>
        <v>Abrir facsímil</v>
      </c>
      <c r="K11449" t="s">
        <v>22</v>
      </c>
    </row>
    <row r="11450" spans="1:11" ht="42" customHeight="1">
      <c r="A11450" t="s">
        <v>22344</v>
      </c>
      <c r="B11450" t="s">
        <v>22345</v>
      </c>
      <c r="C11450" t="s">
        <v>42</v>
      </c>
      <c r="D11450" t="s">
        <v>17</v>
      </c>
      <c r="E11450" s="6">
        <v>-28322</v>
      </c>
      <c r="F11450" t="s">
        <v>2205</v>
      </c>
      <c r="G11450" t="s">
        <v>57</v>
      </c>
      <c r="H11450" t="s">
        <v>20</v>
      </c>
      <c r="I11450" t="s">
        <v>22347</v>
      </c>
      <c r="J11450" t="str">
        <f>HYPERLINK("https://www.boe.es/gazeta/dias/1822/06/15/pdfs/GMD-1822-172.pdf#page=4","Abrir facsímil")</f>
        <v>Abrir facsímil</v>
      </c>
      <c r="K11450" t="s">
        <v>22</v>
      </c>
    </row>
    <row r="11451" spans="1:11" ht="42" customHeight="1">
      <c r="A11451" t="s">
        <v>22344</v>
      </c>
      <c r="B11451" t="s">
        <v>22345</v>
      </c>
      <c r="C11451" t="s">
        <v>42</v>
      </c>
      <c r="D11451" t="s">
        <v>17</v>
      </c>
      <c r="E11451" s="6">
        <v>-28219</v>
      </c>
      <c r="F11451" t="s">
        <v>1082</v>
      </c>
      <c r="G11451" t="s">
        <v>31</v>
      </c>
      <c r="H11451" t="s">
        <v>20</v>
      </c>
      <c r="I11451" t="s">
        <v>22348</v>
      </c>
      <c r="J11451" t="str">
        <f>HYPERLINK("https://www.boe.es/gazeta/dias/1822/09/26/pdfs/GMD-1822-282.pdf#page=3","Abrir facsímil")</f>
        <v>Abrir facsímil</v>
      </c>
      <c r="K11451" t="s">
        <v>22</v>
      </c>
    </row>
    <row r="11452" spans="1:11" ht="42" customHeight="1">
      <c r="A11452" t="s">
        <v>22344</v>
      </c>
      <c r="B11452" t="s">
        <v>22345</v>
      </c>
      <c r="C11452" t="s">
        <v>50</v>
      </c>
      <c r="D11452" t="s">
        <v>51</v>
      </c>
      <c r="E11452" s="6">
        <v>-28169</v>
      </c>
      <c r="F11452" t="s">
        <v>2571</v>
      </c>
      <c r="G11452" t="s">
        <v>63</v>
      </c>
      <c r="H11452" t="s">
        <v>20</v>
      </c>
      <c r="I11452" t="s">
        <v>22349</v>
      </c>
      <c r="J11452" t="str">
        <f>HYPERLINK("https://www.boe.es/gazeta/dias/1822/11/15/pdfs/GMD-1822-335.pdf#page=6","Abrir facsímil")</f>
        <v>Abrir facsímil</v>
      </c>
      <c r="K11452" t="s">
        <v>22</v>
      </c>
    </row>
    <row r="11453" spans="1:11" ht="42" customHeight="1">
      <c r="A11453" t="s">
        <v>22350</v>
      </c>
      <c r="B11453" t="s">
        <v>22351</v>
      </c>
      <c r="C11453" t="s">
        <v>42</v>
      </c>
      <c r="D11453" t="s">
        <v>17</v>
      </c>
      <c r="E11453" s="6">
        <v>-28381</v>
      </c>
      <c r="F11453" t="s">
        <v>358</v>
      </c>
      <c r="G11453" t="s">
        <v>63</v>
      </c>
      <c r="H11453" t="s">
        <v>20</v>
      </c>
      <c r="I11453" t="s">
        <v>22352</v>
      </c>
      <c r="J11453" t="str">
        <f>HYPERLINK("https://www.boe.es/gazeta/dias/1822/04/17/pdfs/GMD-1822-109.pdf#page=6","Abrir facsímil")</f>
        <v>Abrir facsímil</v>
      </c>
      <c r="K11453" t="s">
        <v>22</v>
      </c>
    </row>
    <row r="11454" spans="1:11" ht="42" customHeight="1">
      <c r="A11454" t="s">
        <v>22353</v>
      </c>
      <c r="B11454" t="s">
        <v>22353</v>
      </c>
      <c r="C11454" t="s">
        <v>16</v>
      </c>
      <c r="D11454" t="s">
        <v>17</v>
      </c>
      <c r="E11454" s="6">
        <v>-28474</v>
      </c>
      <c r="F11454" t="s">
        <v>30</v>
      </c>
      <c r="G11454" t="s">
        <v>31</v>
      </c>
      <c r="H11454" t="s">
        <v>20</v>
      </c>
      <c r="I11454" t="s">
        <v>22354</v>
      </c>
      <c r="J11454" t="str">
        <f>HYPERLINK("https://www.boe.es/gazeta/dias/1822/01/14/pdfs/GMD-1822-14.pdf#page=3","Abrir facsímil")</f>
        <v>Abrir facsímil</v>
      </c>
      <c r="K11454" t="s">
        <v>22</v>
      </c>
    </row>
    <row r="11455" spans="1:11" ht="42" customHeight="1">
      <c r="A11455" t="s">
        <v>22355</v>
      </c>
      <c r="B11455" t="s">
        <v>22356</v>
      </c>
      <c r="C11455" t="s">
        <v>50</v>
      </c>
      <c r="D11455" t="s">
        <v>51</v>
      </c>
      <c r="E11455" s="6">
        <v>-28171</v>
      </c>
      <c r="F11455" t="s">
        <v>1075</v>
      </c>
      <c r="G11455" t="s">
        <v>57</v>
      </c>
      <c r="H11455" t="s">
        <v>20</v>
      </c>
      <c r="I11455" t="s">
        <v>22357</v>
      </c>
      <c r="J11455" t="str">
        <f>HYPERLINK("https://www.boe.es/gazeta/dias/1822/11/13/pdfs/GMD-1822-333.pdf#page=4","Abrir facsímil")</f>
        <v>Abrir facsímil</v>
      </c>
      <c r="K11455" t="s">
        <v>22</v>
      </c>
    </row>
    <row r="11456" spans="1:11" ht="42" customHeight="1">
      <c r="A11456" t="s">
        <v>22358</v>
      </c>
      <c r="B11456" t="s">
        <v>22359</v>
      </c>
      <c r="C11456" t="s">
        <v>24</v>
      </c>
      <c r="D11456" t="s">
        <v>17</v>
      </c>
      <c r="E11456" s="6">
        <v>-28313</v>
      </c>
      <c r="F11456" t="s">
        <v>315</v>
      </c>
      <c r="G11456" t="s">
        <v>157</v>
      </c>
      <c r="H11456" t="s">
        <v>20</v>
      </c>
      <c r="I11456" t="s">
        <v>22360</v>
      </c>
      <c r="J11456" t="str">
        <f>HYPERLINK("https://www.boe.es/gazeta/dias/1822/06/24/pdfs/GMD-1822-182.pdf#page=8","Abrir facsímil")</f>
        <v>Abrir facsímil</v>
      </c>
      <c r="K11456" t="s">
        <v>22</v>
      </c>
    </row>
    <row r="11457" spans="1:11" ht="42" customHeight="1">
      <c r="A11457" t="s">
        <v>22358</v>
      </c>
      <c r="B11457" t="s">
        <v>22359</v>
      </c>
      <c r="C11457" t="s">
        <v>50</v>
      </c>
      <c r="D11457" t="s">
        <v>51</v>
      </c>
      <c r="E11457" s="6">
        <v>-28168</v>
      </c>
      <c r="F11457" t="s">
        <v>3672</v>
      </c>
      <c r="G11457" t="s">
        <v>57</v>
      </c>
      <c r="H11457" t="s">
        <v>20</v>
      </c>
      <c r="I11457" t="s">
        <v>22361</v>
      </c>
      <c r="J11457" t="str">
        <f>HYPERLINK("https://www.boe.es/gazeta/dias/1822/11/16/pdfs/GMD-1822-336.pdf#page=4","Abrir facsímil")</f>
        <v>Abrir facsímil</v>
      </c>
      <c r="K11457" t="s">
        <v>22</v>
      </c>
    </row>
    <row r="11458" spans="1:11" ht="42" customHeight="1">
      <c r="A11458" t="s">
        <v>22362</v>
      </c>
      <c r="B11458" t="s">
        <v>22363</v>
      </c>
      <c r="C11458" t="s">
        <v>28</v>
      </c>
      <c r="D11458" t="s">
        <v>29</v>
      </c>
      <c r="E11458" s="6">
        <v>-28213</v>
      </c>
      <c r="F11458" t="s">
        <v>558</v>
      </c>
      <c r="G11458" t="s">
        <v>57</v>
      </c>
      <c r="H11458" t="s">
        <v>20</v>
      </c>
      <c r="I11458" t="s">
        <v>22364</v>
      </c>
      <c r="J11458" t="str">
        <f>HYPERLINK("https://www.boe.es/gazeta/dias/1822/10/02/pdfs/GMD-1822-288.pdf#page=4","Abrir facsímil")</f>
        <v>Abrir facsímil</v>
      </c>
      <c r="K11458" t="s">
        <v>22</v>
      </c>
    </row>
    <row r="11459" spans="1:11" ht="42" customHeight="1">
      <c r="A11459" t="s">
        <v>22365</v>
      </c>
      <c r="B11459" t="s">
        <v>22366</v>
      </c>
      <c r="C11459" t="s">
        <v>50</v>
      </c>
      <c r="D11459" t="s">
        <v>51</v>
      </c>
      <c r="E11459" s="6">
        <v>-28311</v>
      </c>
      <c r="F11459" t="s">
        <v>736</v>
      </c>
      <c r="G11459" t="s">
        <v>157</v>
      </c>
      <c r="H11459" t="s">
        <v>20</v>
      </c>
      <c r="I11459" t="s">
        <v>22367</v>
      </c>
      <c r="J11459" t="str">
        <f>HYPERLINK("https://www.boe.es/gazeta/dias/1822/06/26/pdfs/GMD-1822-184.pdf#page=8","Abrir facsímil")</f>
        <v>Abrir facsímil</v>
      </c>
      <c r="K11459" t="s">
        <v>22</v>
      </c>
    </row>
    <row r="11460" spans="1:11" ht="42" customHeight="1">
      <c r="A11460" t="s">
        <v>22368</v>
      </c>
      <c r="B11460" t="s">
        <v>22368</v>
      </c>
      <c r="C11460" t="s">
        <v>42</v>
      </c>
      <c r="D11460" t="s">
        <v>17</v>
      </c>
      <c r="E11460" s="6">
        <v>-28421</v>
      </c>
      <c r="F11460" t="s">
        <v>446</v>
      </c>
      <c r="G11460" t="s">
        <v>31</v>
      </c>
      <c r="H11460" t="s">
        <v>20</v>
      </c>
      <c r="I11460" t="s">
        <v>22369</v>
      </c>
      <c r="J11460" t="str">
        <f>HYPERLINK("https://www.boe.es/gazeta/dias/1822/03/08/pdfs/GMD-1822-69.pdf#page=3","Abrir facsímil")</f>
        <v>Abrir facsímil</v>
      </c>
      <c r="K11460" t="s">
        <v>22</v>
      </c>
    </row>
    <row r="11461" spans="1:11" ht="42" customHeight="1">
      <c r="A11461" t="s">
        <v>22370</v>
      </c>
      <c r="B11461" t="s">
        <v>22370</v>
      </c>
      <c r="C11461" t="s">
        <v>28</v>
      </c>
      <c r="D11461" t="s">
        <v>29</v>
      </c>
      <c r="E11461" s="6">
        <v>-28339</v>
      </c>
      <c r="F11461" t="s">
        <v>197</v>
      </c>
      <c r="G11461" t="s">
        <v>63</v>
      </c>
      <c r="H11461" t="s">
        <v>20</v>
      </c>
      <c r="I11461" t="s">
        <v>22371</v>
      </c>
      <c r="J11461" t="str">
        <f>HYPERLINK("https://www.boe.es/gazeta/dias/1822/05/29/pdfs/GMD-1822-154.pdf#page=6","Abrir facsímil")</f>
        <v>Abrir facsímil</v>
      </c>
      <c r="K11461" t="s">
        <v>22</v>
      </c>
    </row>
    <row r="11462" spans="1:11" ht="42" customHeight="1">
      <c r="A11462" t="s">
        <v>22370</v>
      </c>
      <c r="B11462" t="s">
        <v>22370</v>
      </c>
      <c r="C11462" t="s">
        <v>42</v>
      </c>
      <c r="D11462" t="s">
        <v>17</v>
      </c>
      <c r="E11462" s="6">
        <v>-28337</v>
      </c>
      <c r="F11462" t="s">
        <v>1836</v>
      </c>
      <c r="G11462" t="s">
        <v>19</v>
      </c>
      <c r="H11462" t="s">
        <v>20</v>
      </c>
      <c r="I11462" t="s">
        <v>22372</v>
      </c>
      <c r="J11462" t="str">
        <f>HYPERLINK("https://www.boe.es/gazeta/dias/1822/05/31/pdfs/GMD-1822-156.pdf#page=5","Abrir facsímil")</f>
        <v>Abrir facsímil</v>
      </c>
      <c r="K11462" t="s">
        <v>22</v>
      </c>
    </row>
    <row r="11463" spans="1:11" ht="42" customHeight="1">
      <c r="A11463" t="s">
        <v>22373</v>
      </c>
      <c r="B11463" t="s">
        <v>22373</v>
      </c>
      <c r="C11463" t="s">
        <v>71</v>
      </c>
      <c r="D11463" t="s">
        <v>17</v>
      </c>
      <c r="E11463" s="6">
        <v>-28422</v>
      </c>
      <c r="F11463" t="s">
        <v>416</v>
      </c>
      <c r="G11463" t="s">
        <v>31</v>
      </c>
      <c r="H11463" t="s">
        <v>20</v>
      </c>
      <c r="I11463" t="s">
        <v>22374</v>
      </c>
      <c r="J11463" t="str">
        <f>HYPERLINK("https://www.boe.es/gazeta/dias/1822/03/07/pdfs/GMD-1822-68.pdf#page=3","Abrir facsímil")</f>
        <v>Abrir facsímil</v>
      </c>
      <c r="K11463" t="s">
        <v>22</v>
      </c>
    </row>
    <row r="11464" spans="1:11" ht="42" customHeight="1">
      <c r="A11464" t="s">
        <v>22373</v>
      </c>
      <c r="B11464" t="s">
        <v>22373</v>
      </c>
      <c r="C11464" t="s">
        <v>42</v>
      </c>
      <c r="D11464" t="s">
        <v>17</v>
      </c>
      <c r="E11464" s="6">
        <v>-28382</v>
      </c>
      <c r="F11464" t="s">
        <v>973</v>
      </c>
      <c r="G11464" t="s">
        <v>31</v>
      </c>
      <c r="H11464" t="s">
        <v>20</v>
      </c>
      <c r="I11464" t="s">
        <v>22375</v>
      </c>
      <c r="J11464" t="str">
        <f>HYPERLINK("https://www.boe.es/gazeta/dias/1822/04/16/pdfs/GMD-1822-108.pdf#page=3","Abrir facsímil")</f>
        <v>Abrir facsímil</v>
      </c>
      <c r="K11464" t="s">
        <v>22</v>
      </c>
    </row>
    <row r="11465" spans="1:11" ht="42" customHeight="1">
      <c r="A11465" t="s">
        <v>22373</v>
      </c>
      <c r="B11465" t="s">
        <v>22373</v>
      </c>
      <c r="C11465" t="s">
        <v>42</v>
      </c>
      <c r="D11465" t="s">
        <v>17</v>
      </c>
      <c r="E11465" s="6">
        <v>-28334</v>
      </c>
      <c r="F11465" t="s">
        <v>532</v>
      </c>
      <c r="G11465" t="s">
        <v>31</v>
      </c>
      <c r="H11465" t="s">
        <v>20</v>
      </c>
      <c r="I11465" t="s">
        <v>22376</v>
      </c>
      <c r="J11465" t="str">
        <f>HYPERLINK("https://www.boe.es/gazeta/dias/1822/06/03/pdfs/GMD-1822-159.pdf#page=3","Abrir facsímil")</f>
        <v>Abrir facsímil</v>
      </c>
      <c r="K11465" t="s">
        <v>22</v>
      </c>
    </row>
    <row r="11466" spans="1:11" ht="42" customHeight="1">
      <c r="A11466" t="s">
        <v>22377</v>
      </c>
      <c r="B11466" t="s">
        <v>22378</v>
      </c>
      <c r="C11466" t="s">
        <v>362</v>
      </c>
      <c r="D11466" t="s">
        <v>17</v>
      </c>
      <c r="E11466" s="6">
        <v>-28258</v>
      </c>
      <c r="F11466" t="s">
        <v>88</v>
      </c>
      <c r="G11466" t="s">
        <v>57</v>
      </c>
      <c r="H11466" t="s">
        <v>20</v>
      </c>
      <c r="I11466" t="s">
        <v>22379</v>
      </c>
      <c r="J11466" t="str">
        <f>HYPERLINK("https://www.boe.es/gazeta/dias/1822/08/18/pdfs/GMD-1822-242.pdf#page=4","Abrir facsímil")</f>
        <v>Abrir facsímil</v>
      </c>
      <c r="K11466" t="s">
        <v>22</v>
      </c>
    </row>
    <row r="11467" spans="1:11" ht="42" customHeight="1">
      <c r="A11467" t="s">
        <v>22380</v>
      </c>
      <c r="B11467" t="s">
        <v>22381</v>
      </c>
      <c r="C11467" t="s">
        <v>50</v>
      </c>
      <c r="D11467" t="s">
        <v>51</v>
      </c>
      <c r="E11467" s="6">
        <v>-28123</v>
      </c>
      <c r="F11467" t="s">
        <v>603</v>
      </c>
      <c r="G11467" t="s">
        <v>35</v>
      </c>
      <c r="H11467" t="s">
        <v>20</v>
      </c>
      <c r="I11467" t="s">
        <v>22382</v>
      </c>
      <c r="J11467" t="str">
        <f>HYPERLINK("https://www.boe.es/gazeta/dias/1822/12/31/pdfs/GMD-1822-381.pdf#page=2","Abrir facsímil")</f>
        <v>Abrir facsímil</v>
      </c>
      <c r="K11467" t="s">
        <v>22</v>
      </c>
    </row>
    <row r="11468" spans="1:11" ht="42" customHeight="1">
      <c r="A11468" t="s">
        <v>22383</v>
      </c>
      <c r="B11468" t="s">
        <v>22384</v>
      </c>
      <c r="C11468" t="s">
        <v>50</v>
      </c>
      <c r="D11468" t="s">
        <v>51</v>
      </c>
      <c r="E11468" s="6">
        <v>-28391</v>
      </c>
      <c r="F11468" t="s">
        <v>378</v>
      </c>
      <c r="G11468" t="s">
        <v>19</v>
      </c>
      <c r="H11468" t="s">
        <v>45</v>
      </c>
      <c r="I11468" t="s">
        <v>22385</v>
      </c>
      <c r="J11468" t="str">
        <f>HYPERLINK("https://www.boe.es/gazeta/dias/1822/04/07/pdfs/GMD-1822-99.pdf#page=5","Abrir facsímil")</f>
        <v>Abrir facsímil</v>
      </c>
      <c r="K11468" t="s">
        <v>47</v>
      </c>
    </row>
    <row r="11469" spans="1:11" ht="42" customHeight="1">
      <c r="A11469" t="s">
        <v>22386</v>
      </c>
      <c r="B11469" t="s">
        <v>22387</v>
      </c>
      <c r="C11469" t="s">
        <v>28</v>
      </c>
      <c r="D11469" t="s">
        <v>29</v>
      </c>
      <c r="E11469" s="6">
        <v>-28345</v>
      </c>
      <c r="F11469" t="s">
        <v>294</v>
      </c>
      <c r="G11469" t="s">
        <v>63</v>
      </c>
      <c r="H11469" t="s">
        <v>20</v>
      </c>
      <c r="I11469" t="s">
        <v>22388</v>
      </c>
      <c r="J11469" t="str">
        <f>HYPERLINK("https://www.boe.es/gazeta/dias/1822/05/23/pdfs/GMD-1822-147.pdf#page=6","Abrir facsímil")</f>
        <v>Abrir facsímil</v>
      </c>
      <c r="K11469" t="s">
        <v>22</v>
      </c>
    </row>
    <row r="11470" spans="1:11" ht="42" customHeight="1">
      <c r="A11470" t="s">
        <v>22389</v>
      </c>
      <c r="B11470" t="s">
        <v>22389</v>
      </c>
      <c r="C11470" t="s">
        <v>50</v>
      </c>
      <c r="D11470" t="s">
        <v>51</v>
      </c>
      <c r="E11470" s="6">
        <v>-28172</v>
      </c>
      <c r="F11470" t="s">
        <v>674</v>
      </c>
      <c r="G11470" t="s">
        <v>31</v>
      </c>
      <c r="H11470" t="s">
        <v>20</v>
      </c>
      <c r="I11470" t="s">
        <v>22390</v>
      </c>
      <c r="J11470" t="str">
        <f>HYPERLINK("https://www.boe.es/gazeta/dias/1822/11/12/pdfs/GMD-1822-332.pdf#page=3","Abrir facsímil")</f>
        <v>Abrir facsímil</v>
      </c>
      <c r="K11470" t="s">
        <v>22</v>
      </c>
    </row>
    <row r="11471" spans="1:11" ht="42" customHeight="1">
      <c r="A11471" t="s">
        <v>22391</v>
      </c>
      <c r="B11471" t="s">
        <v>22392</v>
      </c>
      <c r="C11471" t="s">
        <v>50</v>
      </c>
      <c r="D11471" t="s">
        <v>51</v>
      </c>
      <c r="E11471" s="6">
        <v>-28150</v>
      </c>
      <c r="F11471" t="s">
        <v>62</v>
      </c>
      <c r="G11471" t="s">
        <v>19</v>
      </c>
      <c r="H11471" t="s">
        <v>20</v>
      </c>
      <c r="I11471" t="s">
        <v>22393</v>
      </c>
      <c r="J11471" t="str">
        <f>HYPERLINK("https://www.boe.es/gazeta/dias/1822/12/04/pdfs/GMD-1822-354.pdf#page=5","Abrir facsímil")</f>
        <v>Abrir facsímil</v>
      </c>
      <c r="K11471" t="s">
        <v>22</v>
      </c>
    </row>
    <row r="11472" spans="1:11" ht="42" customHeight="1">
      <c r="A11472" t="s">
        <v>22394</v>
      </c>
      <c r="B11472" t="s">
        <v>22395</v>
      </c>
      <c r="C11472" t="s">
        <v>16</v>
      </c>
      <c r="D11472" t="s">
        <v>17</v>
      </c>
      <c r="E11472" s="6">
        <v>-28483</v>
      </c>
      <c r="F11472" t="s">
        <v>254</v>
      </c>
      <c r="G11472" t="s">
        <v>44</v>
      </c>
      <c r="H11472" t="s">
        <v>20</v>
      </c>
      <c r="I11472" t="s">
        <v>22396</v>
      </c>
      <c r="J11472" t="str">
        <f>HYPERLINK("https://www.boe.es/gazeta/dias/1822/01/05/pdfs/GMD-1822-5.pdf#page=1","Abrir facsímil")</f>
        <v>Abrir facsímil</v>
      </c>
      <c r="K11472" t="s">
        <v>22</v>
      </c>
    </row>
    <row r="11473" spans="1:11" ht="42" customHeight="1">
      <c r="A11473" t="s">
        <v>22397</v>
      </c>
      <c r="B11473" t="s">
        <v>22397</v>
      </c>
      <c r="C11473" t="s">
        <v>28</v>
      </c>
      <c r="D11473" t="s">
        <v>29</v>
      </c>
      <c r="E11473" s="6">
        <v>-28311</v>
      </c>
      <c r="F11473" t="s">
        <v>736</v>
      </c>
      <c r="G11473" t="s">
        <v>63</v>
      </c>
      <c r="H11473" t="s">
        <v>20</v>
      </c>
      <c r="I11473" t="s">
        <v>22398</v>
      </c>
      <c r="J11473" t="str">
        <f>HYPERLINK("https://www.boe.es/gazeta/dias/1822/06/26/pdfs/GMD-1822-184.pdf#page=6","Abrir facsímil")</f>
        <v>Abrir facsímil</v>
      </c>
      <c r="K11473" t="s">
        <v>22</v>
      </c>
    </row>
    <row r="11474" spans="1:11" ht="42" customHeight="1">
      <c r="A11474" t="s">
        <v>22399</v>
      </c>
      <c r="B11474" t="s">
        <v>22399</v>
      </c>
      <c r="C11474" t="s">
        <v>50</v>
      </c>
      <c r="D11474" t="s">
        <v>51</v>
      </c>
      <c r="E11474" s="6">
        <v>-28328</v>
      </c>
      <c r="F11474" t="s">
        <v>540</v>
      </c>
      <c r="G11474" t="s">
        <v>541</v>
      </c>
      <c r="H11474" t="s">
        <v>20</v>
      </c>
      <c r="I11474" t="s">
        <v>22400</v>
      </c>
      <c r="J11474" t="str">
        <f>HYPERLINK("https://www.boe.es/gazeta/dias/1822/06/09/pdfs/GMD-1822-166.pdf#page=4","Abrir facsímil")</f>
        <v>Abrir facsímil</v>
      </c>
      <c r="K11474" t="s">
        <v>22</v>
      </c>
    </row>
    <row r="11475" spans="1:11" ht="42" customHeight="1">
      <c r="A11475" t="s">
        <v>22401</v>
      </c>
      <c r="B11475" t="s">
        <v>22401</v>
      </c>
      <c r="C11475" t="s">
        <v>50</v>
      </c>
      <c r="D11475" t="s">
        <v>51</v>
      </c>
      <c r="E11475" s="6">
        <v>-28184</v>
      </c>
      <c r="F11475" t="s">
        <v>1423</v>
      </c>
      <c r="G11475" t="s">
        <v>57</v>
      </c>
      <c r="H11475" t="s">
        <v>20</v>
      </c>
      <c r="I11475" t="s">
        <v>22402</v>
      </c>
      <c r="J11475" t="str">
        <f>HYPERLINK("https://www.boe.es/gazeta/dias/1822/10/31/pdfs/GMD-1822-318.pdf#page=4","Abrir facsímil")</f>
        <v>Abrir facsímil</v>
      </c>
      <c r="K11475" t="s">
        <v>22</v>
      </c>
    </row>
    <row r="11476" spans="1:11" ht="42" customHeight="1">
      <c r="A11476" t="s">
        <v>22403</v>
      </c>
      <c r="B11476" t="s">
        <v>22403</v>
      </c>
      <c r="C11476" t="s">
        <v>50</v>
      </c>
      <c r="D11476" t="s">
        <v>51</v>
      </c>
      <c r="E11476" s="6">
        <v>-28483</v>
      </c>
      <c r="F11476" t="s">
        <v>254</v>
      </c>
      <c r="G11476" t="s">
        <v>44</v>
      </c>
      <c r="H11476" t="s">
        <v>20</v>
      </c>
      <c r="I11476" t="s">
        <v>22404</v>
      </c>
      <c r="J11476" t="str">
        <f>HYPERLINK("https://www.boe.es/gazeta/dias/1822/01/05/pdfs/GMD-1822-5.pdf#page=1","Abrir facsímil")</f>
        <v>Abrir facsímil</v>
      </c>
      <c r="K11476" t="s">
        <v>22</v>
      </c>
    </row>
    <row r="11477" spans="1:11" ht="42" customHeight="1">
      <c r="A11477" t="s">
        <v>22405</v>
      </c>
      <c r="B11477" t="s">
        <v>22406</v>
      </c>
      <c r="C11477" t="s">
        <v>42</v>
      </c>
      <c r="D11477" t="s">
        <v>17</v>
      </c>
      <c r="E11477" s="6">
        <v>-28237</v>
      </c>
      <c r="F11477" t="s">
        <v>878</v>
      </c>
      <c r="G11477" t="s">
        <v>31</v>
      </c>
      <c r="H11477" t="s">
        <v>20</v>
      </c>
      <c r="I11477" t="s">
        <v>22407</v>
      </c>
      <c r="J11477" t="str">
        <f>HYPERLINK("https://www.boe.es/gazeta/dias/1822/09/08/pdfs/GMD-1822-264.pdf#page=3","Abrir facsímil")</f>
        <v>Abrir facsímil</v>
      </c>
      <c r="K11477" t="s">
        <v>22</v>
      </c>
    </row>
    <row r="11478" spans="1:11" ht="42" customHeight="1">
      <c r="A11478" t="s">
        <v>22408</v>
      </c>
      <c r="B11478" t="s">
        <v>22408</v>
      </c>
      <c r="C11478" t="s">
        <v>50</v>
      </c>
      <c r="D11478" t="s">
        <v>51</v>
      </c>
      <c r="E11478" s="6">
        <v>-28271</v>
      </c>
      <c r="F11478" t="s">
        <v>4942</v>
      </c>
      <c r="G11478" t="s">
        <v>57</v>
      </c>
      <c r="H11478" t="s">
        <v>20</v>
      </c>
      <c r="I11478" t="s">
        <v>22409</v>
      </c>
      <c r="J11478" t="str">
        <f>HYPERLINK("https://www.boe.es/gazeta/dias/1822/08/05/pdfs/GMD-1822-229.pdf#page=4","Abrir facsímil")</f>
        <v>Abrir facsímil</v>
      </c>
      <c r="K11478" t="s">
        <v>22</v>
      </c>
    </row>
    <row r="11479" spans="1:11" ht="42" customHeight="1">
      <c r="A11479" t="s">
        <v>22410</v>
      </c>
      <c r="B11479" t="s">
        <v>22411</v>
      </c>
      <c r="C11479" t="s">
        <v>50</v>
      </c>
      <c r="D11479" t="s">
        <v>51</v>
      </c>
      <c r="E11479" s="6">
        <v>-28483</v>
      </c>
      <c r="F11479" t="s">
        <v>254</v>
      </c>
      <c r="G11479" t="s">
        <v>44</v>
      </c>
      <c r="H11479" t="s">
        <v>20</v>
      </c>
      <c r="I11479" t="s">
        <v>22412</v>
      </c>
      <c r="J11479" t="str">
        <f>HYPERLINK("https://www.boe.es/gazeta/dias/1822/01/05/pdfs/GMD-1822-5.pdf#page=1","Abrir facsímil")</f>
        <v>Abrir facsímil</v>
      </c>
      <c r="K11479" t="s">
        <v>22</v>
      </c>
    </row>
    <row r="11480" spans="1:11" ht="42" customHeight="1">
      <c r="A11480" t="s">
        <v>22413</v>
      </c>
      <c r="B11480" t="s">
        <v>22413</v>
      </c>
      <c r="C11480" t="s">
        <v>71</v>
      </c>
      <c r="D11480" t="s">
        <v>17</v>
      </c>
      <c r="E11480" s="6">
        <v>-28220</v>
      </c>
      <c r="F11480" t="s">
        <v>1914</v>
      </c>
      <c r="G11480" t="s">
        <v>1915</v>
      </c>
      <c r="H11480" t="s">
        <v>20</v>
      </c>
      <c r="I11480" t="s">
        <v>22414</v>
      </c>
      <c r="J11480" t="str">
        <f>HYPERLINK("https://www.boe.es/gazeta/dias/1822/09/25/pdfs/GMD-1822-281.pdf#page=3","Abrir facsímil")</f>
        <v>Abrir facsímil</v>
      </c>
      <c r="K11480" t="s">
        <v>22</v>
      </c>
    </row>
    <row r="11481" spans="1:11" ht="42" customHeight="1">
      <c r="A11481" t="s">
        <v>22415</v>
      </c>
      <c r="B11481" t="s">
        <v>22416</v>
      </c>
      <c r="C11481" t="s">
        <v>50</v>
      </c>
      <c r="D11481" t="s">
        <v>51</v>
      </c>
      <c r="E11481" s="6">
        <v>-28367</v>
      </c>
      <c r="F11481" t="s">
        <v>280</v>
      </c>
      <c r="G11481" t="s">
        <v>44</v>
      </c>
      <c r="H11481" t="s">
        <v>45</v>
      </c>
      <c r="I11481" t="s">
        <v>22417</v>
      </c>
      <c r="J11481" t="str">
        <f>HYPERLINK("https://www.boe.es/gazeta/dias/1822/05/01/pdfs/GMD-1822-123.pdf#page=1","Abrir facsímil")</f>
        <v>Abrir facsímil</v>
      </c>
      <c r="K11481" t="s">
        <v>47</v>
      </c>
    </row>
    <row r="11482" spans="1:11" ht="42" customHeight="1">
      <c r="A11482" t="s">
        <v>22418</v>
      </c>
      <c r="B11482" t="s">
        <v>22419</v>
      </c>
      <c r="C11482" t="s">
        <v>16</v>
      </c>
      <c r="D11482" t="s">
        <v>17</v>
      </c>
      <c r="E11482" s="6">
        <v>-28386</v>
      </c>
      <c r="F11482" t="s">
        <v>2993</v>
      </c>
      <c r="G11482" t="s">
        <v>35</v>
      </c>
      <c r="H11482" t="s">
        <v>20</v>
      </c>
      <c r="I11482" t="s">
        <v>22420</v>
      </c>
      <c r="J11482" t="str">
        <f>HYPERLINK("https://www.boe.es/gazeta/dias/1822/04/12/pdfs/GMD-1822-104.pdf#page=2","Abrir facsímil")</f>
        <v>Abrir facsímil</v>
      </c>
      <c r="K11482" t="s">
        <v>22</v>
      </c>
    </row>
    <row r="11483" spans="1:11" ht="42" customHeight="1">
      <c r="A11483" t="s">
        <v>22421</v>
      </c>
      <c r="B11483" t="s">
        <v>22421</v>
      </c>
      <c r="C11483" t="s">
        <v>50</v>
      </c>
      <c r="D11483" t="s">
        <v>51</v>
      </c>
      <c r="E11483" s="6">
        <v>-28327</v>
      </c>
      <c r="F11483" t="s">
        <v>38</v>
      </c>
      <c r="G11483" t="s">
        <v>31</v>
      </c>
      <c r="H11483" t="s">
        <v>20</v>
      </c>
      <c r="I11483" t="s">
        <v>22422</v>
      </c>
      <c r="J11483" t="str">
        <f>HYPERLINK("https://www.boe.es/gazeta/dias/1822/06/10/pdfs/GMD-1822-167.pdf#page=3","Abrir facsímil")</f>
        <v>Abrir facsímil</v>
      </c>
      <c r="K11483" t="s">
        <v>22</v>
      </c>
    </row>
    <row r="11484" spans="1:11" ht="42" customHeight="1">
      <c r="A11484" t="s">
        <v>22423</v>
      </c>
      <c r="B11484" t="s">
        <v>22424</v>
      </c>
      <c r="C11484" t="s">
        <v>42</v>
      </c>
      <c r="D11484" t="s">
        <v>17</v>
      </c>
      <c r="E11484" s="6">
        <v>-28387</v>
      </c>
      <c r="F11484" t="s">
        <v>2874</v>
      </c>
      <c r="G11484" t="s">
        <v>31</v>
      </c>
      <c r="H11484" t="s">
        <v>20</v>
      </c>
      <c r="I11484" t="s">
        <v>22425</v>
      </c>
      <c r="J11484" t="str">
        <f>HYPERLINK("https://www.boe.es/gazeta/dias/1822/04/11/pdfs/GMD-1822-103.pdf#page=3","Abrir facsímil")</f>
        <v>Abrir facsímil</v>
      </c>
      <c r="K11484" t="s">
        <v>22</v>
      </c>
    </row>
    <row r="11485" spans="1:11" ht="42" customHeight="1">
      <c r="A11485" t="s">
        <v>22426</v>
      </c>
      <c r="B11485" t="s">
        <v>22427</v>
      </c>
      <c r="C11485" t="s">
        <v>16</v>
      </c>
      <c r="D11485" t="s">
        <v>17</v>
      </c>
      <c r="E11485" s="6">
        <v>-28153</v>
      </c>
      <c r="F11485" t="s">
        <v>946</v>
      </c>
      <c r="G11485" t="s">
        <v>44</v>
      </c>
      <c r="H11485" t="s">
        <v>20</v>
      </c>
      <c r="I11485" t="s">
        <v>22428</v>
      </c>
      <c r="J11485" t="str">
        <f>HYPERLINK("https://www.boe.es/gazeta/dias/1822/12/01/pdfs/GMD-1822-351.pdf#page=1","Abrir facsímil")</f>
        <v>Abrir facsímil</v>
      </c>
      <c r="K11485" t="s">
        <v>22</v>
      </c>
    </row>
    <row r="11486" spans="1:11" ht="42" customHeight="1">
      <c r="A11486" t="s">
        <v>22429</v>
      </c>
      <c r="B11486" t="s">
        <v>22429</v>
      </c>
      <c r="C11486" t="s">
        <v>50</v>
      </c>
      <c r="D11486" t="s">
        <v>51</v>
      </c>
      <c r="E11486" s="6">
        <v>-28432</v>
      </c>
      <c r="F11486" t="s">
        <v>195</v>
      </c>
      <c r="G11486" t="s">
        <v>35</v>
      </c>
      <c r="H11486" t="s">
        <v>20</v>
      </c>
      <c r="I11486" t="s">
        <v>22430</v>
      </c>
      <c r="J11486" t="str">
        <f>HYPERLINK("https://www.boe.es/gazeta/dias/1822/02/25/pdfs/GMD-1822-57.pdf#page=2","Abrir facsímil")</f>
        <v>Abrir facsímil</v>
      </c>
      <c r="K11486" t="s">
        <v>22</v>
      </c>
    </row>
    <row r="11487" spans="1:11" ht="42" customHeight="1">
      <c r="A11487" t="s">
        <v>22431</v>
      </c>
      <c r="B11487" t="s">
        <v>22432</v>
      </c>
      <c r="C11487" t="s">
        <v>50</v>
      </c>
      <c r="D11487" t="s">
        <v>51</v>
      </c>
      <c r="E11487" s="6">
        <v>-28254</v>
      </c>
      <c r="F11487" t="s">
        <v>3557</v>
      </c>
      <c r="G11487" t="s">
        <v>35</v>
      </c>
      <c r="H11487" t="s">
        <v>20</v>
      </c>
      <c r="I11487" t="s">
        <v>22433</v>
      </c>
      <c r="J11487" t="str">
        <f>HYPERLINK("https://www.boe.es/gazeta/dias/1822/08/22/pdfs/GMD-1822-246.pdf#page=2","Abrir facsímil")</f>
        <v>Abrir facsímil</v>
      </c>
      <c r="K11487" t="s">
        <v>22</v>
      </c>
    </row>
    <row r="11488" spans="1:11" ht="42" customHeight="1">
      <c r="A11488" t="s">
        <v>22434</v>
      </c>
      <c r="B11488" t="s">
        <v>22434</v>
      </c>
      <c r="C11488" t="s">
        <v>24</v>
      </c>
      <c r="D11488" t="s">
        <v>17</v>
      </c>
      <c r="E11488" s="6">
        <v>-28153</v>
      </c>
      <c r="F11488" t="s">
        <v>946</v>
      </c>
      <c r="G11488" t="s">
        <v>31</v>
      </c>
      <c r="H11488" t="s">
        <v>20</v>
      </c>
      <c r="I11488" t="s">
        <v>22435</v>
      </c>
      <c r="J11488" t="str">
        <f>HYPERLINK("https://www.boe.es/gazeta/dias/1822/12/01/pdfs/GMD-1822-351.pdf#page=3","Abrir facsímil")</f>
        <v>Abrir facsímil</v>
      </c>
      <c r="K11488" t="s">
        <v>22</v>
      </c>
    </row>
    <row r="11489" spans="1:11" ht="42" customHeight="1">
      <c r="A11489" t="s">
        <v>22436</v>
      </c>
      <c r="B11489" t="s">
        <v>22437</v>
      </c>
      <c r="C11489" t="s">
        <v>50</v>
      </c>
      <c r="D11489" t="s">
        <v>51</v>
      </c>
      <c r="E11489" s="6">
        <v>-28415</v>
      </c>
      <c r="F11489" t="s">
        <v>77</v>
      </c>
      <c r="G11489" t="s">
        <v>19</v>
      </c>
      <c r="H11489" t="s">
        <v>20</v>
      </c>
      <c r="I11489" t="s">
        <v>22438</v>
      </c>
      <c r="J11489" t="str">
        <f>HYPERLINK("https://www.boe.es/gazeta/dias/1822/03/14/pdfs/GMD-1822-75.pdf#page=5","Abrir facsímil")</f>
        <v>Abrir facsímil</v>
      </c>
      <c r="K11489" t="s">
        <v>22</v>
      </c>
    </row>
    <row r="11490" spans="1:11" ht="42" customHeight="1">
      <c r="A11490" t="s">
        <v>22439</v>
      </c>
      <c r="B11490" t="s">
        <v>22440</v>
      </c>
      <c r="C11490" t="s">
        <v>28</v>
      </c>
      <c r="D11490" t="s">
        <v>29</v>
      </c>
      <c r="E11490" s="6">
        <v>-28432</v>
      </c>
      <c r="F11490" t="s">
        <v>195</v>
      </c>
      <c r="G11490" t="s">
        <v>57</v>
      </c>
      <c r="H11490" t="s">
        <v>20</v>
      </c>
      <c r="I11490" t="s">
        <v>22441</v>
      </c>
      <c r="J11490" t="str">
        <f>HYPERLINK("https://www.boe.es/gazeta/dias/1822/02/25/pdfs/GMD-1822-57.pdf#page=4","Abrir facsímil")</f>
        <v>Abrir facsímil</v>
      </c>
      <c r="K11490" t="s">
        <v>22</v>
      </c>
    </row>
    <row r="11491" spans="1:11" ht="42" customHeight="1">
      <c r="A11491" t="s">
        <v>22442</v>
      </c>
      <c r="B11491" t="s">
        <v>22443</v>
      </c>
      <c r="C11491" t="s">
        <v>28</v>
      </c>
      <c r="D11491" t="s">
        <v>29</v>
      </c>
      <c r="E11491" s="6">
        <v>-28326</v>
      </c>
      <c r="F11491" t="s">
        <v>543</v>
      </c>
      <c r="G11491" t="s">
        <v>63</v>
      </c>
      <c r="H11491" t="s">
        <v>20</v>
      </c>
      <c r="I11491" t="s">
        <v>22444</v>
      </c>
      <c r="J11491" t="str">
        <f>HYPERLINK("https://www.boe.es/gazeta/dias/1822/06/11/pdfs/GMD-1822-168.pdf#page=6","Abrir facsímil")</f>
        <v>Abrir facsímil</v>
      </c>
      <c r="K11491" t="s">
        <v>22</v>
      </c>
    </row>
    <row r="11492" spans="1:11" ht="42" customHeight="1">
      <c r="A11492" t="s">
        <v>22445</v>
      </c>
      <c r="B11492" t="s">
        <v>22446</v>
      </c>
      <c r="C11492" t="s">
        <v>42</v>
      </c>
      <c r="D11492" t="s">
        <v>17</v>
      </c>
      <c r="E11492" s="6">
        <v>-28352</v>
      </c>
      <c r="F11492" t="s">
        <v>1575</v>
      </c>
      <c r="G11492" t="s">
        <v>63</v>
      </c>
      <c r="H11492" t="s">
        <v>20</v>
      </c>
      <c r="I11492" t="s">
        <v>22447</v>
      </c>
      <c r="J11492" t="str">
        <f>HYPERLINK("https://www.boe.es/gazeta/dias/1822/05/16/pdfs/GMD-1822-138.pdf#page=6","Abrir facsímil")</f>
        <v>Abrir facsímil</v>
      </c>
      <c r="K11492" t="s">
        <v>22</v>
      </c>
    </row>
    <row r="11493" spans="1:11" ht="42" customHeight="1">
      <c r="A11493" t="s">
        <v>22448</v>
      </c>
      <c r="B11493" t="s">
        <v>22449</v>
      </c>
      <c r="C11493" t="s">
        <v>16</v>
      </c>
      <c r="D11493" t="s">
        <v>17</v>
      </c>
      <c r="E11493" s="6">
        <v>-28326</v>
      </c>
      <c r="F11493" t="s">
        <v>543</v>
      </c>
      <c r="G11493" t="s">
        <v>63</v>
      </c>
      <c r="H11493" t="s">
        <v>20</v>
      </c>
      <c r="I11493" t="s">
        <v>22450</v>
      </c>
      <c r="J11493" t="str">
        <f>HYPERLINK("https://www.boe.es/gazeta/dias/1822/06/11/pdfs/GMD-1822-168.pdf#page=6","Abrir facsímil")</f>
        <v>Abrir facsímil</v>
      </c>
      <c r="K11493" t="s">
        <v>22</v>
      </c>
    </row>
    <row r="11494" spans="1:11" ht="42" customHeight="1">
      <c r="A11494" t="s">
        <v>22448</v>
      </c>
      <c r="B11494" t="s">
        <v>22449</v>
      </c>
      <c r="C11494" t="s">
        <v>42</v>
      </c>
      <c r="D11494" t="s">
        <v>17</v>
      </c>
      <c r="E11494" s="6">
        <v>-28306</v>
      </c>
      <c r="F11494" t="s">
        <v>348</v>
      </c>
      <c r="G11494" t="s">
        <v>57</v>
      </c>
      <c r="H11494" t="s">
        <v>20</v>
      </c>
      <c r="I11494" t="s">
        <v>22451</v>
      </c>
      <c r="J11494" t="str">
        <f>HYPERLINK("https://www.boe.es/gazeta/dias/1822/07/01/pdfs/GMD-1822-190.pdf#page=4","Abrir facsímil")</f>
        <v>Abrir facsímil</v>
      </c>
      <c r="K11494" t="s">
        <v>22</v>
      </c>
    </row>
    <row r="11495" spans="1:11" ht="42" customHeight="1">
      <c r="A11495" t="s">
        <v>22452</v>
      </c>
      <c r="B11495" t="s">
        <v>22453</v>
      </c>
      <c r="C11495" t="s">
        <v>50</v>
      </c>
      <c r="D11495" t="s">
        <v>51</v>
      </c>
      <c r="E11495" s="6">
        <v>-28308</v>
      </c>
      <c r="F11495" t="s">
        <v>1050</v>
      </c>
      <c r="G11495" t="s">
        <v>35</v>
      </c>
      <c r="H11495" t="s">
        <v>20</v>
      </c>
      <c r="I11495" t="s">
        <v>22454</v>
      </c>
      <c r="J11495" t="str">
        <f>HYPERLINK("https://www.boe.es/gazeta/dias/1822/06/29/pdfs/GMD-1822-187.pdf#page=2","Abrir facsímil")</f>
        <v>Abrir facsímil</v>
      </c>
      <c r="K11495" t="s">
        <v>22</v>
      </c>
    </row>
    <row r="11496" spans="1:11" ht="42" customHeight="1">
      <c r="A11496" t="s">
        <v>22455</v>
      </c>
      <c r="B11496" t="s">
        <v>22456</v>
      </c>
      <c r="C11496" t="s">
        <v>50</v>
      </c>
      <c r="D11496" t="s">
        <v>51</v>
      </c>
      <c r="E11496" s="6">
        <v>-28345</v>
      </c>
      <c r="F11496" t="s">
        <v>294</v>
      </c>
      <c r="G11496" t="s">
        <v>19</v>
      </c>
      <c r="H11496" t="s">
        <v>20</v>
      </c>
      <c r="I11496" t="s">
        <v>22457</v>
      </c>
      <c r="J11496" t="str">
        <f>HYPERLINK("https://www.boe.es/gazeta/dias/1822/05/23/pdfs/GMD-1822-147.pdf#page=5","Abrir facsímil")</f>
        <v>Abrir facsímil</v>
      </c>
      <c r="K11496" t="s">
        <v>22</v>
      </c>
    </row>
    <row r="11497" spans="1:11" ht="42" customHeight="1">
      <c r="A11497" t="s">
        <v>22458</v>
      </c>
      <c r="B11497" t="s">
        <v>22459</v>
      </c>
      <c r="C11497" t="s">
        <v>50</v>
      </c>
      <c r="D11497" t="s">
        <v>51</v>
      </c>
      <c r="E11497" s="6">
        <v>-28229</v>
      </c>
      <c r="F11497" t="s">
        <v>2310</v>
      </c>
      <c r="G11497" t="s">
        <v>35</v>
      </c>
      <c r="H11497" t="s">
        <v>20</v>
      </c>
      <c r="I11497" t="s">
        <v>22460</v>
      </c>
      <c r="J11497" t="str">
        <f>HYPERLINK("https://www.boe.es/gazeta/dias/1822/09/16/pdfs/GMD-1822-272.pdf#page=2","Abrir facsímil")</f>
        <v>Abrir facsímil</v>
      </c>
      <c r="K11497" t="s">
        <v>22</v>
      </c>
    </row>
    <row r="11498" spans="1:11" ht="42" customHeight="1">
      <c r="A11498" t="s">
        <v>22461</v>
      </c>
      <c r="B11498" t="s">
        <v>22462</v>
      </c>
      <c r="C11498" t="s">
        <v>50</v>
      </c>
      <c r="D11498" t="s">
        <v>51</v>
      </c>
      <c r="E11498" s="6">
        <v>-28391</v>
      </c>
      <c r="F11498" t="s">
        <v>378</v>
      </c>
      <c r="G11498" t="s">
        <v>63</v>
      </c>
      <c r="H11498" t="s">
        <v>20</v>
      </c>
      <c r="I11498" t="s">
        <v>22463</v>
      </c>
      <c r="J11498" t="str">
        <f>HYPERLINK("https://www.boe.es/gazeta/dias/1822/04/07/pdfs/GMD-1822-99.pdf#page=6","Abrir facsímil")</f>
        <v>Abrir facsímil</v>
      </c>
      <c r="K11498" t="s">
        <v>22</v>
      </c>
    </row>
    <row r="11499" spans="1:11" ht="42" customHeight="1">
      <c r="A11499" t="s">
        <v>22464</v>
      </c>
      <c r="B11499" t="s">
        <v>22465</v>
      </c>
      <c r="C11499" t="s">
        <v>61</v>
      </c>
      <c r="D11499" t="s">
        <v>17</v>
      </c>
      <c r="E11499" s="6">
        <v>-28407</v>
      </c>
      <c r="F11499" t="s">
        <v>460</v>
      </c>
      <c r="G11499" t="s">
        <v>35</v>
      </c>
      <c r="H11499" t="s">
        <v>20</v>
      </c>
      <c r="I11499" t="s">
        <v>22466</v>
      </c>
      <c r="J11499" t="str">
        <f>HYPERLINK("https://www.boe.es/gazeta/dias/1822/03/22/pdfs/GMD-1822-83.pdf#page=2","Abrir facsímil")</f>
        <v>Abrir facsímil</v>
      </c>
      <c r="K11499" t="s">
        <v>22</v>
      </c>
    </row>
    <row r="11500" spans="1:11" ht="42" customHeight="1">
      <c r="A11500" t="s">
        <v>22467</v>
      </c>
      <c r="B11500" t="s">
        <v>22468</v>
      </c>
      <c r="C11500" t="s">
        <v>28</v>
      </c>
      <c r="D11500" t="s">
        <v>29</v>
      </c>
      <c r="E11500" s="6">
        <v>-28125</v>
      </c>
      <c r="F11500" t="s">
        <v>322</v>
      </c>
      <c r="G11500" t="s">
        <v>19</v>
      </c>
      <c r="H11500" t="s">
        <v>20</v>
      </c>
      <c r="I11500" t="s">
        <v>22469</v>
      </c>
      <c r="J11500" t="str">
        <f>HYPERLINK("https://www.boe.es/gazeta/dias/1822/12/29/pdfs/GMD-1822-379.pdf#page=5","Abrir facsímil")</f>
        <v>Abrir facsímil</v>
      </c>
      <c r="K11500" t="s">
        <v>22</v>
      </c>
    </row>
    <row r="11501" spans="1:11" ht="42" customHeight="1">
      <c r="A11501" t="s">
        <v>22470</v>
      </c>
      <c r="B11501" t="s">
        <v>22471</v>
      </c>
      <c r="C11501" t="s">
        <v>16</v>
      </c>
      <c r="D11501" t="s">
        <v>17</v>
      </c>
      <c r="E11501" s="6">
        <v>-28228</v>
      </c>
      <c r="F11501" t="s">
        <v>718</v>
      </c>
      <c r="G11501" t="s">
        <v>57</v>
      </c>
      <c r="H11501" t="s">
        <v>20</v>
      </c>
      <c r="I11501" t="s">
        <v>22472</v>
      </c>
      <c r="J11501" t="str">
        <f>HYPERLINK("https://www.boe.es/gazeta/dias/1822/09/17/pdfs/GMD-1822-273.pdf#page=4","Abrir facsímil")</f>
        <v>Abrir facsímil</v>
      </c>
      <c r="K11501" t="s">
        <v>22</v>
      </c>
    </row>
    <row r="11502" spans="1:11" ht="42" customHeight="1">
      <c r="A11502" t="s">
        <v>22473</v>
      </c>
      <c r="B11502" t="s">
        <v>22474</v>
      </c>
      <c r="C11502" t="s">
        <v>50</v>
      </c>
      <c r="D11502" t="s">
        <v>51</v>
      </c>
      <c r="E11502" s="6">
        <v>-28254</v>
      </c>
      <c r="F11502" t="s">
        <v>3557</v>
      </c>
      <c r="G11502" t="s">
        <v>35</v>
      </c>
      <c r="H11502" t="s">
        <v>20</v>
      </c>
      <c r="I11502" t="s">
        <v>22475</v>
      </c>
      <c r="J11502" t="str">
        <f>HYPERLINK("https://www.boe.es/gazeta/dias/1822/08/22/pdfs/GMD-1822-246.pdf#page=2","Abrir facsímil")</f>
        <v>Abrir facsímil</v>
      </c>
      <c r="K11502" t="s">
        <v>22</v>
      </c>
    </row>
    <row r="11503" spans="1:11" ht="42" customHeight="1">
      <c r="A11503" t="s">
        <v>22476</v>
      </c>
      <c r="B11503" t="s">
        <v>22477</v>
      </c>
      <c r="C11503" t="s">
        <v>71</v>
      </c>
      <c r="D11503" t="s">
        <v>17</v>
      </c>
      <c r="E11503" s="6">
        <v>-28328</v>
      </c>
      <c r="F11503" t="s">
        <v>540</v>
      </c>
      <c r="G11503" t="s">
        <v>63</v>
      </c>
      <c r="H11503" t="s">
        <v>20</v>
      </c>
      <c r="I11503" t="s">
        <v>22478</v>
      </c>
      <c r="J11503" t="str">
        <f>HYPERLINK("https://www.boe.es/gazeta/dias/1822/06/09/pdfs/GMD-1822-166.pdf#page=6","Abrir facsímil")</f>
        <v>Abrir facsímil</v>
      </c>
      <c r="K11503" t="s">
        <v>22</v>
      </c>
    </row>
    <row r="11504" spans="1:11" ht="42" customHeight="1">
      <c r="A11504" t="s">
        <v>22479</v>
      </c>
      <c r="B11504" t="s">
        <v>22480</v>
      </c>
      <c r="C11504" t="s">
        <v>50</v>
      </c>
      <c r="D11504" t="s">
        <v>51</v>
      </c>
      <c r="E11504" s="6">
        <v>-28333</v>
      </c>
      <c r="F11504" t="s">
        <v>1928</v>
      </c>
      <c r="G11504" t="s">
        <v>35</v>
      </c>
      <c r="H11504" t="s">
        <v>20</v>
      </c>
      <c r="I11504" t="s">
        <v>22481</v>
      </c>
      <c r="J11504" t="str">
        <f>HYPERLINK("https://www.boe.es/gazeta/dias/1822/06/04/pdfs/GMD-1822-161.pdf#page=2","Abrir facsímil")</f>
        <v>Abrir facsímil</v>
      </c>
      <c r="K11504" t="s">
        <v>22</v>
      </c>
    </row>
    <row r="11505" spans="1:11" ht="42" customHeight="1">
      <c r="A11505" t="s">
        <v>22482</v>
      </c>
      <c r="B11505" t="s">
        <v>22482</v>
      </c>
      <c r="C11505" t="s">
        <v>28</v>
      </c>
      <c r="D11505" t="s">
        <v>29</v>
      </c>
      <c r="E11505" s="6">
        <v>-28395</v>
      </c>
      <c r="F11505" t="s">
        <v>237</v>
      </c>
      <c r="G11505" t="s">
        <v>35</v>
      </c>
      <c r="H11505" t="s">
        <v>20</v>
      </c>
      <c r="I11505" t="s">
        <v>22483</v>
      </c>
      <c r="J11505" t="str">
        <f>HYPERLINK("https://www.boe.es/gazeta/dias/1822/04/03/pdfs/GMD-1822-95.pdf#page=2","Abrir facsímil")</f>
        <v>Abrir facsímil</v>
      </c>
      <c r="K11505" t="s">
        <v>22</v>
      </c>
    </row>
    <row r="11506" spans="1:11" ht="42" customHeight="1">
      <c r="A11506" t="s">
        <v>22484</v>
      </c>
      <c r="B11506" t="s">
        <v>22485</v>
      </c>
      <c r="C11506" t="s">
        <v>362</v>
      </c>
      <c r="D11506" t="s">
        <v>17</v>
      </c>
      <c r="E11506" s="6">
        <v>-28378</v>
      </c>
      <c r="F11506" t="s">
        <v>496</v>
      </c>
      <c r="G11506" t="s">
        <v>57</v>
      </c>
      <c r="H11506" t="s">
        <v>20</v>
      </c>
      <c r="I11506" t="s">
        <v>22486</v>
      </c>
      <c r="J11506" t="str">
        <f>HYPERLINK("https://www.boe.es/gazeta/dias/1822/04/20/pdfs/GMD-1822-112.pdf#page=4","Abrir facsímil")</f>
        <v>Abrir facsímil</v>
      </c>
      <c r="K11506" t="s">
        <v>22</v>
      </c>
    </row>
    <row r="11507" spans="1:11" ht="42" customHeight="1">
      <c r="A11507" t="s">
        <v>22487</v>
      </c>
      <c r="B11507" t="s">
        <v>22488</v>
      </c>
      <c r="C11507" t="s">
        <v>50</v>
      </c>
      <c r="D11507" t="s">
        <v>51</v>
      </c>
      <c r="E11507" s="6">
        <v>-28229</v>
      </c>
      <c r="F11507" t="s">
        <v>2310</v>
      </c>
      <c r="G11507" t="s">
        <v>35</v>
      </c>
      <c r="H11507" t="s">
        <v>20</v>
      </c>
      <c r="I11507" t="s">
        <v>22489</v>
      </c>
      <c r="J11507" t="str">
        <f>HYPERLINK("https://www.boe.es/gazeta/dias/1822/09/16/pdfs/GMD-1822-272.pdf#page=2","Abrir facsímil")</f>
        <v>Abrir facsímil</v>
      </c>
      <c r="K11507" t="s">
        <v>22</v>
      </c>
    </row>
    <row r="11508" spans="1:11" ht="42" customHeight="1">
      <c r="A11508" t="s">
        <v>22490</v>
      </c>
      <c r="B11508" t="s">
        <v>22490</v>
      </c>
      <c r="C11508" t="s">
        <v>71</v>
      </c>
      <c r="D11508" t="s">
        <v>17</v>
      </c>
      <c r="E11508" s="6">
        <v>-28165</v>
      </c>
      <c r="F11508" t="s">
        <v>846</v>
      </c>
      <c r="G11508" t="s">
        <v>35</v>
      </c>
      <c r="H11508" t="s">
        <v>20</v>
      </c>
      <c r="I11508" t="s">
        <v>22491</v>
      </c>
      <c r="J11508" t="str">
        <f>HYPERLINK("https://www.boe.es/gazeta/dias/1822/11/19/pdfs/GMD-1822-339.pdf#page=2","Abrir facsímil")</f>
        <v>Abrir facsímil</v>
      </c>
      <c r="K11508" t="s">
        <v>22</v>
      </c>
    </row>
    <row r="11509" spans="1:11" ht="42" customHeight="1">
      <c r="A11509" t="s">
        <v>22492</v>
      </c>
      <c r="B11509" t="s">
        <v>22493</v>
      </c>
      <c r="C11509" t="s">
        <v>42</v>
      </c>
      <c r="D11509" t="s">
        <v>17</v>
      </c>
      <c r="E11509" s="6">
        <v>-28172</v>
      </c>
      <c r="F11509" t="s">
        <v>674</v>
      </c>
      <c r="G11509" t="s">
        <v>57</v>
      </c>
      <c r="H11509" t="s">
        <v>20</v>
      </c>
      <c r="I11509" t="s">
        <v>22494</v>
      </c>
      <c r="J11509" t="str">
        <f>HYPERLINK("https://www.boe.es/gazeta/dias/1822/11/12/pdfs/GMD-1822-332.pdf#page=4","Abrir facsímil")</f>
        <v>Abrir facsímil</v>
      </c>
      <c r="K11509" t="s">
        <v>22</v>
      </c>
    </row>
    <row r="11510" spans="1:11" ht="42" customHeight="1">
      <c r="A11510" t="s">
        <v>22495</v>
      </c>
      <c r="B11510" t="s">
        <v>22496</v>
      </c>
      <c r="C11510" t="s">
        <v>50</v>
      </c>
      <c r="D11510" t="s">
        <v>51</v>
      </c>
      <c r="E11510" s="6">
        <v>-28398</v>
      </c>
      <c r="F11510" t="s">
        <v>1961</v>
      </c>
      <c r="G11510" t="s">
        <v>35</v>
      </c>
      <c r="H11510" t="s">
        <v>20</v>
      </c>
      <c r="I11510" t="s">
        <v>22497</v>
      </c>
      <c r="J11510" t="str">
        <f>HYPERLINK("https://www.boe.es/gazeta/dias/1822/03/31/pdfs/GMD-1822-92.pdf#page=2","Abrir facsímil")</f>
        <v>Abrir facsímil</v>
      </c>
      <c r="K11510" t="s">
        <v>22</v>
      </c>
    </row>
    <row r="11511" spans="1:11" ht="42" customHeight="1">
      <c r="A11511" t="s">
        <v>22498</v>
      </c>
      <c r="B11511" t="s">
        <v>22499</v>
      </c>
      <c r="C11511" t="s">
        <v>50</v>
      </c>
      <c r="D11511" t="s">
        <v>51</v>
      </c>
      <c r="E11511" s="6">
        <v>-28171</v>
      </c>
      <c r="F11511" t="s">
        <v>1075</v>
      </c>
      <c r="G11511" t="s">
        <v>57</v>
      </c>
      <c r="H11511" t="s">
        <v>20</v>
      </c>
      <c r="I11511" t="s">
        <v>22500</v>
      </c>
      <c r="J11511" t="str">
        <f>HYPERLINK("https://www.boe.es/gazeta/dias/1822/11/13/pdfs/GMD-1822-333.pdf#page=4","Abrir facsímil")</f>
        <v>Abrir facsímil</v>
      </c>
      <c r="K11511" t="s">
        <v>22</v>
      </c>
    </row>
    <row r="11512" spans="1:11" ht="42" customHeight="1">
      <c r="A11512" t="s">
        <v>22501</v>
      </c>
      <c r="B11512" t="s">
        <v>22502</v>
      </c>
      <c r="C11512" t="s">
        <v>61</v>
      </c>
      <c r="D11512" t="s">
        <v>17</v>
      </c>
      <c r="E11512" s="6">
        <v>-28384</v>
      </c>
      <c r="F11512" t="s">
        <v>258</v>
      </c>
      <c r="G11512" t="s">
        <v>63</v>
      </c>
      <c r="H11512" t="s">
        <v>20</v>
      </c>
      <c r="I11512" t="s">
        <v>22503</v>
      </c>
      <c r="J11512" t="str">
        <f>HYPERLINK("https://www.boe.es/gazeta/dias/1822/04/14/pdfs/GMD-1822-106.pdf#page=6","Abrir facsímil")</f>
        <v>Abrir facsímil</v>
      </c>
      <c r="K11512" t="s">
        <v>22</v>
      </c>
    </row>
    <row r="11513" spans="1:11" ht="42" customHeight="1">
      <c r="A11513" t="s">
        <v>22504</v>
      </c>
      <c r="B11513" t="s">
        <v>22505</v>
      </c>
      <c r="C11513" t="s">
        <v>61</v>
      </c>
      <c r="D11513" t="s">
        <v>17</v>
      </c>
      <c r="E11513" s="6">
        <v>-28398</v>
      </c>
      <c r="F11513" t="s">
        <v>1961</v>
      </c>
      <c r="G11513" t="s">
        <v>35</v>
      </c>
      <c r="H11513" t="s">
        <v>20</v>
      </c>
      <c r="I11513" t="s">
        <v>22506</v>
      </c>
      <c r="J11513" t="str">
        <f>HYPERLINK("https://www.boe.es/gazeta/dias/1822/03/31/pdfs/GMD-1822-92.pdf#page=2","Abrir facsímil")</f>
        <v>Abrir facsímil</v>
      </c>
      <c r="K11513" t="s">
        <v>22</v>
      </c>
    </row>
    <row r="11514" spans="1:11" ht="42" customHeight="1">
      <c r="A11514" t="s">
        <v>22507</v>
      </c>
      <c r="B11514" t="s">
        <v>22507</v>
      </c>
      <c r="C11514" t="s">
        <v>28</v>
      </c>
      <c r="D11514" t="s">
        <v>29</v>
      </c>
      <c r="E11514" s="6">
        <v>-28422</v>
      </c>
      <c r="F11514" t="s">
        <v>416</v>
      </c>
      <c r="G11514" t="s">
        <v>35</v>
      </c>
      <c r="H11514" t="s">
        <v>20</v>
      </c>
      <c r="I11514" t="s">
        <v>22508</v>
      </c>
      <c r="J11514" t="str">
        <f>HYPERLINK("https://www.boe.es/gazeta/dias/1822/03/07/pdfs/GMD-1822-68.pdf#page=2","Abrir facsímil")</f>
        <v>Abrir facsímil</v>
      </c>
      <c r="K11514" t="s">
        <v>22</v>
      </c>
    </row>
    <row r="11515" spans="1:11" ht="42" customHeight="1">
      <c r="A11515" t="s">
        <v>22507</v>
      </c>
      <c r="B11515" t="s">
        <v>22507</v>
      </c>
      <c r="C11515" t="s">
        <v>28</v>
      </c>
      <c r="D11515" t="s">
        <v>29</v>
      </c>
      <c r="E11515" s="6">
        <v>-28383</v>
      </c>
      <c r="F11515" t="s">
        <v>488</v>
      </c>
      <c r="G11515" t="s">
        <v>19</v>
      </c>
      <c r="H11515" t="s">
        <v>20</v>
      </c>
      <c r="I11515" t="s">
        <v>22509</v>
      </c>
      <c r="J11515" t="str">
        <f>HYPERLINK("https://www.boe.es/gazeta/dias/1822/04/15/pdfs/GMD-1822-107.pdf#page=5","Abrir facsímil")</f>
        <v>Abrir facsímil</v>
      </c>
      <c r="K11515" t="s">
        <v>22</v>
      </c>
    </row>
    <row r="11516" spans="1:11" ht="42" customHeight="1">
      <c r="A11516" t="s">
        <v>22507</v>
      </c>
      <c r="B11516" t="s">
        <v>22507</v>
      </c>
      <c r="C11516" t="s">
        <v>42</v>
      </c>
      <c r="D11516" t="s">
        <v>17</v>
      </c>
      <c r="E11516" s="6">
        <v>-28378</v>
      </c>
      <c r="F11516" t="s">
        <v>496</v>
      </c>
      <c r="G11516" t="s">
        <v>35</v>
      </c>
      <c r="H11516" t="s">
        <v>20</v>
      </c>
      <c r="I11516" t="s">
        <v>22510</v>
      </c>
      <c r="J11516" t="str">
        <f>HYPERLINK("https://www.boe.es/gazeta/dias/1822/04/20/pdfs/GMD-1822-112.pdf#page=2","Abrir facsímil")</f>
        <v>Abrir facsímil</v>
      </c>
      <c r="K11516" t="s">
        <v>22</v>
      </c>
    </row>
    <row r="11517" spans="1:11" ht="42" customHeight="1">
      <c r="A11517" t="s">
        <v>22507</v>
      </c>
      <c r="B11517" t="s">
        <v>22507</v>
      </c>
      <c r="C11517" t="s">
        <v>71</v>
      </c>
      <c r="D11517" t="s">
        <v>17</v>
      </c>
      <c r="E11517" s="6">
        <v>-28357</v>
      </c>
      <c r="F11517" t="s">
        <v>690</v>
      </c>
      <c r="G11517" t="s">
        <v>35</v>
      </c>
      <c r="H11517" t="s">
        <v>20</v>
      </c>
      <c r="I11517" t="s">
        <v>22511</v>
      </c>
      <c r="J11517" t="str">
        <f>HYPERLINK("https://www.boe.es/gazeta/dias/1822/05/11/pdfs/GMD-1822-133.pdf#page=2","Abrir facsímil")</f>
        <v>Abrir facsímil</v>
      </c>
      <c r="K11517" t="s">
        <v>22</v>
      </c>
    </row>
    <row r="11518" spans="1:11" ht="42" customHeight="1">
      <c r="A11518" t="s">
        <v>22507</v>
      </c>
      <c r="B11518" t="s">
        <v>22507</v>
      </c>
      <c r="C11518" t="s">
        <v>42</v>
      </c>
      <c r="D11518" t="s">
        <v>17</v>
      </c>
      <c r="E11518" s="6">
        <v>-28346</v>
      </c>
      <c r="F11518" t="s">
        <v>191</v>
      </c>
      <c r="G11518" t="s">
        <v>35</v>
      </c>
      <c r="H11518" t="s">
        <v>20</v>
      </c>
      <c r="I11518" t="s">
        <v>22512</v>
      </c>
      <c r="J11518" t="str">
        <f>HYPERLINK("https://www.boe.es/gazeta/dias/1822/05/22/pdfs/GMD-1822-145.pdf#page=2","Abrir facsímil")</f>
        <v>Abrir facsímil</v>
      </c>
      <c r="K11518" t="s">
        <v>22</v>
      </c>
    </row>
    <row r="11519" spans="1:11" ht="42" customHeight="1">
      <c r="A11519" t="s">
        <v>22507</v>
      </c>
      <c r="B11519" t="s">
        <v>22507</v>
      </c>
      <c r="C11519" t="s">
        <v>16</v>
      </c>
      <c r="D11519" t="s">
        <v>17</v>
      </c>
      <c r="E11519" s="6">
        <v>-28321</v>
      </c>
      <c r="F11519" t="s">
        <v>1142</v>
      </c>
      <c r="G11519" t="s">
        <v>44</v>
      </c>
      <c r="H11519" t="s">
        <v>20</v>
      </c>
      <c r="I11519" t="s">
        <v>22513</v>
      </c>
      <c r="J11519" t="str">
        <f>HYPERLINK("https://www.boe.es/gazeta/dias/1822/06/16/pdfs/GMD-1822-173.pdf#page=1","Abrir facsímil")</f>
        <v>Abrir facsímil</v>
      </c>
      <c r="K11519" t="s">
        <v>22</v>
      </c>
    </row>
    <row r="11520" spans="1:11" ht="42" customHeight="1">
      <c r="A11520" t="s">
        <v>22507</v>
      </c>
      <c r="B11520" t="s">
        <v>22507</v>
      </c>
      <c r="C11520" t="s">
        <v>28</v>
      </c>
      <c r="D11520" t="s">
        <v>29</v>
      </c>
      <c r="E11520" s="6">
        <v>-28314</v>
      </c>
      <c r="F11520" t="s">
        <v>309</v>
      </c>
      <c r="G11520" t="s">
        <v>35</v>
      </c>
      <c r="H11520" t="s">
        <v>20</v>
      </c>
      <c r="I11520" t="s">
        <v>22514</v>
      </c>
      <c r="J11520" t="str">
        <f>HYPERLINK("https://www.boe.es/gazeta/dias/1822/06/23/pdfs/GMD-1822-181.pdf#page=2","Abrir facsímil")</f>
        <v>Abrir facsímil</v>
      </c>
      <c r="K11520" t="s">
        <v>22</v>
      </c>
    </row>
    <row r="11521" spans="1:11" ht="42" customHeight="1">
      <c r="A11521" t="s">
        <v>22515</v>
      </c>
      <c r="B11521" t="s">
        <v>22516</v>
      </c>
      <c r="C11521" t="s">
        <v>50</v>
      </c>
      <c r="D11521" t="s">
        <v>51</v>
      </c>
      <c r="E11521" s="6">
        <v>-28378</v>
      </c>
      <c r="F11521" t="s">
        <v>496</v>
      </c>
      <c r="G11521" t="s">
        <v>57</v>
      </c>
      <c r="H11521" t="s">
        <v>45</v>
      </c>
      <c r="I11521" t="s">
        <v>22517</v>
      </c>
      <c r="J11521" t="str">
        <f>HYPERLINK("https://www.boe.es/gazeta/dias/1822/04/20/pdfs/GMD-1822-112.pdf#page=4","Abrir facsímil")</f>
        <v>Abrir facsímil</v>
      </c>
      <c r="K11521" t="s">
        <v>47</v>
      </c>
    </row>
    <row r="11522" spans="1:11" ht="42" customHeight="1">
      <c r="A11522" t="s">
        <v>22518</v>
      </c>
      <c r="B11522" t="s">
        <v>22519</v>
      </c>
      <c r="C11522" t="s">
        <v>50</v>
      </c>
      <c r="D11522" t="s">
        <v>51</v>
      </c>
      <c r="E11522" s="6">
        <v>-28314</v>
      </c>
      <c r="F11522" t="s">
        <v>309</v>
      </c>
      <c r="G11522" t="s">
        <v>63</v>
      </c>
      <c r="H11522" t="s">
        <v>20</v>
      </c>
      <c r="I11522" t="s">
        <v>22520</v>
      </c>
      <c r="J11522" t="str">
        <f>HYPERLINK("https://www.boe.es/gazeta/dias/1822/06/23/pdfs/GMD-1822-181.pdf#page=6","Abrir facsímil")</f>
        <v>Abrir facsímil</v>
      </c>
      <c r="K11522" t="s">
        <v>22</v>
      </c>
    </row>
    <row r="11523" spans="1:11" ht="42" customHeight="1">
      <c r="A11523" t="s">
        <v>22521</v>
      </c>
      <c r="B11523" t="s">
        <v>22522</v>
      </c>
      <c r="C11523" t="s">
        <v>61</v>
      </c>
      <c r="D11523" t="s">
        <v>17</v>
      </c>
      <c r="E11523" s="6">
        <v>-28311</v>
      </c>
      <c r="F11523" t="s">
        <v>736</v>
      </c>
      <c r="G11523" t="s">
        <v>157</v>
      </c>
      <c r="H11523" t="s">
        <v>20</v>
      </c>
      <c r="I11523" t="s">
        <v>22523</v>
      </c>
      <c r="J11523" t="str">
        <f>HYPERLINK("https://www.boe.es/gazeta/dias/1822/06/26/pdfs/GMD-1822-184.pdf#page=8","Abrir facsímil")</f>
        <v>Abrir facsímil</v>
      </c>
      <c r="K11523" t="s">
        <v>22</v>
      </c>
    </row>
    <row r="11524" spans="1:11" ht="42" customHeight="1">
      <c r="A11524" t="s">
        <v>22524</v>
      </c>
      <c r="B11524" t="s">
        <v>22524</v>
      </c>
      <c r="C11524" t="s">
        <v>42</v>
      </c>
      <c r="D11524" t="s">
        <v>17</v>
      </c>
      <c r="E11524" s="6">
        <v>-28476</v>
      </c>
      <c r="F11524" t="s">
        <v>160</v>
      </c>
      <c r="G11524" t="s">
        <v>31</v>
      </c>
      <c r="H11524" t="s">
        <v>20</v>
      </c>
      <c r="I11524" t="s">
        <v>22525</v>
      </c>
      <c r="J11524" t="str">
        <f>HYPERLINK("https://www.boe.es/gazeta/dias/1822/01/12/pdfs/GMD-1822-12.pdf#page=3","Abrir facsímil")</f>
        <v>Abrir facsímil</v>
      </c>
      <c r="K11524" t="s">
        <v>22</v>
      </c>
    </row>
    <row r="11525" spans="1:11" ht="42" customHeight="1">
      <c r="A11525" t="s">
        <v>22524</v>
      </c>
      <c r="B11525" t="s">
        <v>22524</v>
      </c>
      <c r="C11525" t="s">
        <v>50</v>
      </c>
      <c r="D11525" t="s">
        <v>51</v>
      </c>
      <c r="E11525" s="6">
        <v>-28307</v>
      </c>
      <c r="F11525" t="s">
        <v>555</v>
      </c>
      <c r="G11525" t="s">
        <v>871</v>
      </c>
      <c r="H11525" t="s">
        <v>20</v>
      </c>
      <c r="I11525" t="s">
        <v>22526</v>
      </c>
      <c r="J11525" t="str">
        <f>HYPERLINK("https://www.boe.es/gazeta/dias/1822/06/30/pdfs/GMD-1822-188.pdf#page=4","Abrir facsímil")</f>
        <v>Abrir facsímil</v>
      </c>
      <c r="K11525" t="s">
        <v>22</v>
      </c>
    </row>
    <row r="11526" spans="1:11" ht="42" customHeight="1">
      <c r="A11526" t="s">
        <v>22527</v>
      </c>
      <c r="B11526" t="s">
        <v>22528</v>
      </c>
      <c r="C11526" t="s">
        <v>50</v>
      </c>
      <c r="D11526" t="s">
        <v>51</v>
      </c>
      <c r="E11526" s="6">
        <v>-28208</v>
      </c>
      <c r="F11526" t="s">
        <v>230</v>
      </c>
      <c r="G11526" t="s">
        <v>57</v>
      </c>
      <c r="H11526" t="s">
        <v>20</v>
      </c>
      <c r="I11526" t="s">
        <v>22529</v>
      </c>
      <c r="J11526" t="str">
        <f>HYPERLINK("https://www.boe.es/gazeta/dias/1822/10/07/pdfs/GMD-1822-293.pdf#page=4","Abrir facsímil")</f>
        <v>Abrir facsímil</v>
      </c>
      <c r="K11526" t="s">
        <v>22</v>
      </c>
    </row>
    <row r="11527" spans="1:11" ht="42" customHeight="1">
      <c r="A11527" t="s">
        <v>22530</v>
      </c>
      <c r="B11527" t="s">
        <v>22531</v>
      </c>
      <c r="C11527" t="s">
        <v>28</v>
      </c>
      <c r="D11527" t="s">
        <v>29</v>
      </c>
      <c r="E11527" s="6">
        <v>-28229</v>
      </c>
      <c r="F11527" t="s">
        <v>2310</v>
      </c>
      <c r="G11527" t="s">
        <v>57</v>
      </c>
      <c r="H11527" t="s">
        <v>45</v>
      </c>
      <c r="I11527" t="s">
        <v>22532</v>
      </c>
      <c r="J11527" t="str">
        <f>HYPERLINK("https://www.boe.es/gazeta/dias/1822/09/16/pdfs/GMD-1822-272.pdf#page=4","Abrir facsímil")</f>
        <v>Abrir facsímil</v>
      </c>
      <c r="K11527" t="s">
        <v>47</v>
      </c>
    </row>
    <row r="11528" spans="1:11" ht="42" customHeight="1">
      <c r="A11528" t="s">
        <v>22533</v>
      </c>
      <c r="B11528" t="s">
        <v>22534</v>
      </c>
      <c r="C11528" t="s">
        <v>71</v>
      </c>
      <c r="D11528" t="s">
        <v>17</v>
      </c>
      <c r="E11528" s="6">
        <v>-28199</v>
      </c>
      <c r="F11528" t="s">
        <v>656</v>
      </c>
      <c r="G11528" t="s">
        <v>19</v>
      </c>
      <c r="H11528" t="s">
        <v>45</v>
      </c>
      <c r="I11528" t="s">
        <v>22535</v>
      </c>
      <c r="J11528" t="str">
        <f>HYPERLINK("https://www.boe.es/gazeta/dias/1822/10/16/pdfs/GMD-1822-303.pdf#page=5","Abrir facsímil")</f>
        <v>Abrir facsímil</v>
      </c>
      <c r="K11528" t="s">
        <v>47</v>
      </c>
    </row>
    <row r="11529" spans="1:11" ht="42" customHeight="1">
      <c r="A11529" t="s">
        <v>22536</v>
      </c>
      <c r="B11529" t="s">
        <v>22537</v>
      </c>
      <c r="C11529" t="s">
        <v>42</v>
      </c>
      <c r="D11529" t="s">
        <v>17</v>
      </c>
      <c r="E11529" s="6">
        <v>-28472</v>
      </c>
      <c r="F11529" t="s">
        <v>5485</v>
      </c>
      <c r="G11529" t="s">
        <v>57</v>
      </c>
      <c r="H11529" t="s">
        <v>20</v>
      </c>
      <c r="I11529" t="s">
        <v>22538</v>
      </c>
      <c r="J11529" t="str">
        <f>HYPERLINK("https://www.boe.es/gazeta/dias/1822/01/16/pdfs/GMD-1822-16.pdf#page=4","Abrir facsímil")</f>
        <v>Abrir facsímil</v>
      </c>
      <c r="K11529" t="s">
        <v>22</v>
      </c>
    </row>
    <row r="11530" spans="1:11" ht="42" customHeight="1">
      <c r="A11530" t="s">
        <v>22539</v>
      </c>
      <c r="B11530" t="s">
        <v>22540</v>
      </c>
      <c r="C11530" t="s">
        <v>42</v>
      </c>
      <c r="D11530" t="s">
        <v>17</v>
      </c>
      <c r="E11530" s="6">
        <v>-28380</v>
      </c>
      <c r="F11530" t="s">
        <v>492</v>
      </c>
      <c r="G11530" t="s">
        <v>63</v>
      </c>
      <c r="H11530" t="s">
        <v>20</v>
      </c>
      <c r="I11530" t="s">
        <v>22541</v>
      </c>
      <c r="J11530" t="str">
        <f>HYPERLINK("https://www.boe.es/gazeta/dias/1822/04/18/pdfs/GMD-1822-110.pdf#page=6","Abrir facsímil")</f>
        <v>Abrir facsímil</v>
      </c>
      <c r="K11530" t="s">
        <v>22</v>
      </c>
    </row>
    <row r="11531" spans="1:11" ht="42" customHeight="1">
      <c r="A11531" t="s">
        <v>22539</v>
      </c>
      <c r="B11531" t="s">
        <v>22540</v>
      </c>
      <c r="C11531" t="s">
        <v>50</v>
      </c>
      <c r="D11531" t="s">
        <v>51</v>
      </c>
      <c r="E11531" s="6">
        <v>-28334</v>
      </c>
      <c r="F11531" t="s">
        <v>532</v>
      </c>
      <c r="G11531" t="s">
        <v>157</v>
      </c>
      <c r="H11531" t="s">
        <v>20</v>
      </c>
      <c r="I11531" t="s">
        <v>22542</v>
      </c>
      <c r="J11531" t="str">
        <f>HYPERLINK("https://www.boe.es/gazeta/dias/1822/06/03/pdfs/GMD-1822-159.pdf#page=8","Abrir facsímil")</f>
        <v>Abrir facsímil</v>
      </c>
      <c r="K11531" t="s">
        <v>22</v>
      </c>
    </row>
    <row r="11532" spans="1:11" ht="42" customHeight="1">
      <c r="A11532" t="s">
        <v>22539</v>
      </c>
      <c r="B11532" t="s">
        <v>22540</v>
      </c>
      <c r="C11532" t="s">
        <v>24</v>
      </c>
      <c r="D11532" t="s">
        <v>17</v>
      </c>
      <c r="E11532" s="6">
        <v>-28219</v>
      </c>
      <c r="F11532" t="s">
        <v>1082</v>
      </c>
      <c r="G11532" t="s">
        <v>57</v>
      </c>
      <c r="H11532" t="s">
        <v>20</v>
      </c>
      <c r="I11532" t="s">
        <v>22543</v>
      </c>
      <c r="J11532" t="str">
        <f>HYPERLINK("https://www.boe.es/gazeta/dias/1822/09/26/pdfs/GMD-1822-282.pdf#page=4","Abrir facsímil")</f>
        <v>Abrir facsímil</v>
      </c>
      <c r="K11532" t="s">
        <v>22</v>
      </c>
    </row>
    <row r="11533" spans="1:11" ht="42" customHeight="1">
      <c r="A11533" t="s">
        <v>22544</v>
      </c>
      <c r="B11533" t="s">
        <v>22545</v>
      </c>
      <c r="C11533" t="s">
        <v>50</v>
      </c>
      <c r="D11533" t="s">
        <v>51</v>
      </c>
      <c r="E11533" s="6">
        <v>-28260</v>
      </c>
      <c r="F11533" t="s">
        <v>135</v>
      </c>
      <c r="G11533" t="s">
        <v>31</v>
      </c>
      <c r="H11533" t="s">
        <v>20</v>
      </c>
      <c r="I11533" t="s">
        <v>22546</v>
      </c>
      <c r="J11533" t="str">
        <f>HYPERLINK("https://www.boe.es/gazeta/dias/1822/08/16/pdfs/GMD-1822-240.pdf#page=3","Abrir facsímil")</f>
        <v>Abrir facsímil</v>
      </c>
      <c r="K11533" t="s">
        <v>22</v>
      </c>
    </row>
    <row r="11534" spans="1:11" ht="42" customHeight="1">
      <c r="A11534" t="s">
        <v>22547</v>
      </c>
      <c r="B11534" t="s">
        <v>22548</v>
      </c>
      <c r="C11534" t="s">
        <v>50</v>
      </c>
      <c r="D11534" t="s">
        <v>51</v>
      </c>
      <c r="E11534" s="6">
        <v>-28210</v>
      </c>
      <c r="F11534" t="s">
        <v>218</v>
      </c>
      <c r="G11534" t="s">
        <v>19</v>
      </c>
      <c r="H11534" t="s">
        <v>20</v>
      </c>
      <c r="I11534" t="s">
        <v>22549</v>
      </c>
      <c r="J11534" t="str">
        <f>HYPERLINK("https://www.boe.es/gazeta/dias/1822/10/05/pdfs/GMD-1822-291.pdf#page=5","Abrir facsímil")</f>
        <v>Abrir facsímil</v>
      </c>
      <c r="K11534" t="s">
        <v>22</v>
      </c>
    </row>
    <row r="11535" spans="1:11" ht="42" customHeight="1">
      <c r="A11535" t="s">
        <v>22550</v>
      </c>
      <c r="B11535" t="s">
        <v>22551</v>
      </c>
      <c r="C11535" t="s">
        <v>50</v>
      </c>
      <c r="D11535" t="s">
        <v>51</v>
      </c>
      <c r="E11535" s="6">
        <v>-28279</v>
      </c>
      <c r="F11535" t="s">
        <v>662</v>
      </c>
      <c r="G11535" t="s">
        <v>57</v>
      </c>
      <c r="H11535" t="s">
        <v>20</v>
      </c>
      <c r="I11535" t="s">
        <v>22552</v>
      </c>
      <c r="J11535" t="str">
        <f>HYPERLINK("https://www.boe.es/gazeta/dias/1822/07/28/pdfs/GMD-1822-221.pdf#page=4","Abrir facsímil")</f>
        <v>Abrir facsímil</v>
      </c>
      <c r="K11535" t="s">
        <v>22</v>
      </c>
    </row>
    <row r="11536" spans="1:11" ht="42" customHeight="1">
      <c r="A11536" t="s">
        <v>22553</v>
      </c>
      <c r="B11536" t="s">
        <v>22554</v>
      </c>
      <c r="C11536" t="s">
        <v>28</v>
      </c>
      <c r="D11536" t="s">
        <v>29</v>
      </c>
      <c r="E11536" s="6">
        <v>-28243</v>
      </c>
      <c r="F11536" t="s">
        <v>1829</v>
      </c>
      <c r="G11536" t="s">
        <v>57</v>
      </c>
      <c r="H11536" t="s">
        <v>20</v>
      </c>
      <c r="I11536" t="s">
        <v>22555</v>
      </c>
      <c r="J11536" t="str">
        <f>HYPERLINK("https://www.boe.es/gazeta/dias/1822/09/02/pdfs/GMD-1822-257.pdf#page=4","Abrir facsímil")</f>
        <v>Abrir facsímil</v>
      </c>
      <c r="K11536" t="s">
        <v>22</v>
      </c>
    </row>
    <row r="11537" spans="1:11" ht="42" customHeight="1">
      <c r="A11537" t="s">
        <v>22556</v>
      </c>
      <c r="B11537" t="s">
        <v>22557</v>
      </c>
      <c r="C11537" t="s">
        <v>28</v>
      </c>
      <c r="D11537" t="s">
        <v>29</v>
      </c>
      <c r="E11537" s="6">
        <v>-28326</v>
      </c>
      <c r="F11537" t="s">
        <v>543</v>
      </c>
      <c r="G11537" t="s">
        <v>63</v>
      </c>
      <c r="H11537" t="s">
        <v>20</v>
      </c>
      <c r="I11537" t="s">
        <v>22558</v>
      </c>
      <c r="J11537" t="str">
        <f>HYPERLINK("https://www.boe.es/gazeta/dias/1822/06/11/pdfs/GMD-1822-168.pdf#page=6","Abrir facsímil")</f>
        <v>Abrir facsímil</v>
      </c>
      <c r="K11537" t="s">
        <v>22</v>
      </c>
    </row>
    <row r="11538" spans="1:11" ht="42" customHeight="1">
      <c r="A11538" t="s">
        <v>22559</v>
      </c>
      <c r="B11538" t="s">
        <v>22560</v>
      </c>
      <c r="C11538" t="s">
        <v>16</v>
      </c>
      <c r="D11538" t="s">
        <v>17</v>
      </c>
      <c r="E11538" s="6">
        <v>-28328</v>
      </c>
      <c r="F11538" t="s">
        <v>540</v>
      </c>
      <c r="G11538" t="s">
        <v>63</v>
      </c>
      <c r="H11538" t="s">
        <v>20</v>
      </c>
      <c r="I11538" t="s">
        <v>22561</v>
      </c>
      <c r="J11538" t="str">
        <f>HYPERLINK("https://www.boe.es/gazeta/dias/1822/06/09/pdfs/GMD-1822-166.pdf#page=6","Abrir facsímil")</f>
        <v>Abrir facsímil</v>
      </c>
      <c r="K11538" t="s">
        <v>22</v>
      </c>
    </row>
    <row r="11539" spans="1:11" ht="42" customHeight="1">
      <c r="A11539" t="s">
        <v>22562</v>
      </c>
      <c r="B11539" t="s">
        <v>22563</v>
      </c>
      <c r="C11539" t="s">
        <v>50</v>
      </c>
      <c r="D11539" t="s">
        <v>51</v>
      </c>
      <c r="E11539" s="6">
        <v>-28408</v>
      </c>
      <c r="F11539" t="s">
        <v>2561</v>
      </c>
      <c r="G11539" t="s">
        <v>63</v>
      </c>
      <c r="H11539" t="s">
        <v>20</v>
      </c>
      <c r="I11539" t="s">
        <v>22564</v>
      </c>
      <c r="J11539" t="str">
        <f>HYPERLINK("https://www.boe.es/gazeta/dias/1822/03/21/pdfs/GMD-1822-82.pdf#page=6","Abrir facsímil")</f>
        <v>Abrir facsímil</v>
      </c>
      <c r="K11539" t="s">
        <v>22</v>
      </c>
    </row>
    <row r="11540" spans="1:11" ht="42" customHeight="1">
      <c r="A11540" t="s">
        <v>22565</v>
      </c>
      <c r="B11540" t="s">
        <v>22566</v>
      </c>
      <c r="C11540" t="s">
        <v>16</v>
      </c>
      <c r="D11540" t="s">
        <v>17</v>
      </c>
      <c r="E11540" s="6">
        <v>-28409</v>
      </c>
      <c r="F11540" t="s">
        <v>394</v>
      </c>
      <c r="G11540" t="s">
        <v>35</v>
      </c>
      <c r="H11540" t="s">
        <v>20</v>
      </c>
      <c r="I11540" t="s">
        <v>22567</v>
      </c>
      <c r="J11540" t="str">
        <f>HYPERLINK("https://www.boe.es/gazeta/dias/1822/03/20/pdfs/GMD-1822-81.pdf#page=2","Abrir facsímil")</f>
        <v>Abrir facsímil</v>
      </c>
      <c r="K11540" t="s">
        <v>22</v>
      </c>
    </row>
    <row r="11541" spans="1:11" ht="42" customHeight="1">
      <c r="A11541" t="s">
        <v>22568</v>
      </c>
      <c r="B11541" t="s">
        <v>22569</v>
      </c>
      <c r="C11541" t="s">
        <v>50</v>
      </c>
      <c r="D11541" t="s">
        <v>51</v>
      </c>
      <c r="E11541" s="6">
        <v>-28416</v>
      </c>
      <c r="F11541" t="s">
        <v>97</v>
      </c>
      <c r="G11541" t="s">
        <v>63</v>
      </c>
      <c r="H11541" t="s">
        <v>20</v>
      </c>
      <c r="I11541" t="s">
        <v>22570</v>
      </c>
      <c r="J11541" t="str">
        <f>HYPERLINK("https://www.boe.es/gazeta/dias/1822/03/13/pdfs/GMD-1822-74.pdf#page=6","Abrir facsímil")</f>
        <v>Abrir facsímil</v>
      </c>
      <c r="K11541" t="s">
        <v>22</v>
      </c>
    </row>
    <row r="11542" spans="1:11" ht="42" customHeight="1">
      <c r="A11542" t="s">
        <v>22571</v>
      </c>
      <c r="B11542" t="s">
        <v>22572</v>
      </c>
      <c r="C11542" t="s">
        <v>50</v>
      </c>
      <c r="D11542" t="s">
        <v>51</v>
      </c>
      <c r="E11542" s="6">
        <v>-28399</v>
      </c>
      <c r="F11542" t="s">
        <v>476</v>
      </c>
      <c r="G11542" t="s">
        <v>44</v>
      </c>
      <c r="H11542" t="s">
        <v>20</v>
      </c>
      <c r="I11542" t="s">
        <v>22573</v>
      </c>
      <c r="J11542" t="str">
        <f>HYPERLINK("https://www.boe.es/gazeta/dias/1822/03/30/pdfs/GMD-1822-91.pdf#page=1","Abrir facsímil")</f>
        <v>Abrir facsímil</v>
      </c>
      <c r="K11542" t="s">
        <v>22</v>
      </c>
    </row>
    <row r="11543" spans="1:11" ht="42" customHeight="1">
      <c r="A11543" t="s">
        <v>22574</v>
      </c>
      <c r="B11543" t="s">
        <v>22575</v>
      </c>
      <c r="C11543" t="s">
        <v>42</v>
      </c>
      <c r="D11543" t="s">
        <v>17</v>
      </c>
      <c r="E11543" s="6">
        <v>-28467</v>
      </c>
      <c r="F11543" t="s">
        <v>1096</v>
      </c>
      <c r="G11543" t="s">
        <v>57</v>
      </c>
      <c r="H11543" t="s">
        <v>20</v>
      </c>
      <c r="I11543" t="s">
        <v>22576</v>
      </c>
      <c r="J11543" t="str">
        <f>HYPERLINK("https://www.boe.es/gazeta/dias/1822/01/21/pdfs/GMD-1822-21.pdf#page=4","Abrir facsímil")</f>
        <v>Abrir facsímil</v>
      </c>
      <c r="K11543" t="s">
        <v>22</v>
      </c>
    </row>
    <row r="11544" spans="1:11" ht="42" customHeight="1">
      <c r="A11544" t="s">
        <v>22577</v>
      </c>
      <c r="B11544" t="s">
        <v>22578</v>
      </c>
      <c r="C11544" t="s">
        <v>50</v>
      </c>
      <c r="D11544" t="s">
        <v>51</v>
      </c>
      <c r="E11544" s="6">
        <v>-28236</v>
      </c>
      <c r="F11544" t="s">
        <v>714</v>
      </c>
      <c r="G11544" t="s">
        <v>57</v>
      </c>
      <c r="H11544" t="s">
        <v>20</v>
      </c>
      <c r="I11544" t="s">
        <v>22579</v>
      </c>
      <c r="J11544" t="str">
        <f>HYPERLINK("https://www.boe.es/gazeta/dias/1822/09/09/pdfs/GMD-1822-265.pdf#page=4","Abrir facsímil")</f>
        <v>Abrir facsímil</v>
      </c>
      <c r="K11544" t="s">
        <v>22</v>
      </c>
    </row>
    <row r="11545" spans="1:11" ht="42" customHeight="1">
      <c r="A11545" t="s">
        <v>22580</v>
      </c>
      <c r="B11545" t="s">
        <v>22580</v>
      </c>
      <c r="C11545" t="s">
        <v>50</v>
      </c>
      <c r="D11545" t="s">
        <v>51</v>
      </c>
      <c r="E11545" s="6">
        <v>-28327</v>
      </c>
      <c r="F11545" t="s">
        <v>38</v>
      </c>
      <c r="G11545" t="s">
        <v>31</v>
      </c>
      <c r="H11545" t="s">
        <v>20</v>
      </c>
      <c r="I11545" t="s">
        <v>22581</v>
      </c>
      <c r="J11545" t="str">
        <f>HYPERLINK("https://www.boe.es/gazeta/dias/1822/06/10/pdfs/GMD-1822-167.pdf#page=3","Abrir facsímil")</f>
        <v>Abrir facsímil</v>
      </c>
      <c r="K11545" t="s">
        <v>22</v>
      </c>
    </row>
    <row r="11546" spans="1:11" ht="42" customHeight="1">
      <c r="A11546" t="s">
        <v>22582</v>
      </c>
      <c r="B11546" t="s">
        <v>22582</v>
      </c>
      <c r="C11546" t="s">
        <v>71</v>
      </c>
      <c r="D11546" t="s">
        <v>17</v>
      </c>
      <c r="E11546" s="6">
        <v>-28457</v>
      </c>
      <c r="F11546" t="s">
        <v>1655</v>
      </c>
      <c r="G11546" t="s">
        <v>35</v>
      </c>
      <c r="H11546" t="s">
        <v>20</v>
      </c>
      <c r="I11546" t="s">
        <v>22583</v>
      </c>
      <c r="J11546" t="str">
        <f>HYPERLINK("https://www.boe.es/gazeta/dias/1822/01/31/pdfs/GMD-1822-31.pdf#page=2","Abrir facsímil")</f>
        <v>Abrir facsímil</v>
      </c>
      <c r="K11546" t="s">
        <v>22</v>
      </c>
    </row>
    <row r="11547" spans="1:11" ht="42" customHeight="1">
      <c r="A11547" t="s">
        <v>22584</v>
      </c>
      <c r="B11547" t="s">
        <v>22584</v>
      </c>
      <c r="C11547" t="s">
        <v>50</v>
      </c>
      <c r="D11547" t="s">
        <v>51</v>
      </c>
      <c r="E11547" s="6">
        <v>-28420</v>
      </c>
      <c r="F11547" t="s">
        <v>449</v>
      </c>
      <c r="G11547" t="s">
        <v>31</v>
      </c>
      <c r="H11547" t="s">
        <v>20</v>
      </c>
      <c r="I11547" t="s">
        <v>22585</v>
      </c>
      <c r="J11547" t="str">
        <f>HYPERLINK("https://www.boe.es/gazeta/dias/1822/03/09/pdfs/GMD-1822-70.pdf#page=3","Abrir facsímil")</f>
        <v>Abrir facsímil</v>
      </c>
      <c r="K11547" t="s">
        <v>22</v>
      </c>
    </row>
    <row r="11548" spans="1:11" ht="42" customHeight="1">
      <c r="A11548" t="s">
        <v>22586</v>
      </c>
      <c r="B11548" t="s">
        <v>22587</v>
      </c>
      <c r="C11548" t="s">
        <v>42</v>
      </c>
      <c r="D11548" t="s">
        <v>17</v>
      </c>
      <c r="E11548" s="6">
        <v>-28378</v>
      </c>
      <c r="F11548" t="s">
        <v>496</v>
      </c>
      <c r="G11548" t="s">
        <v>57</v>
      </c>
      <c r="H11548" t="s">
        <v>20</v>
      </c>
      <c r="I11548" t="s">
        <v>22588</v>
      </c>
      <c r="J11548" t="str">
        <f>HYPERLINK("https://www.boe.es/gazeta/dias/1822/04/20/pdfs/GMD-1822-112.pdf#page=4","Abrir facsímil")</f>
        <v>Abrir facsímil</v>
      </c>
      <c r="K11548" t="s">
        <v>22</v>
      </c>
    </row>
    <row r="11549" spans="1:11" ht="42" customHeight="1">
      <c r="A11549" t="s">
        <v>22589</v>
      </c>
      <c r="B11549" t="s">
        <v>22590</v>
      </c>
      <c r="C11549" t="s">
        <v>61</v>
      </c>
      <c r="D11549" t="s">
        <v>17</v>
      </c>
      <c r="E11549" s="6">
        <v>-28306</v>
      </c>
      <c r="F11549" t="s">
        <v>348</v>
      </c>
      <c r="G11549" t="s">
        <v>35</v>
      </c>
      <c r="H11549" t="s">
        <v>20</v>
      </c>
      <c r="I11549" t="s">
        <v>22591</v>
      </c>
      <c r="J11549" t="str">
        <f>HYPERLINK("https://www.boe.es/gazeta/dias/1822/07/01/pdfs/GMD-1822-190.pdf#page=2","Abrir facsímil")</f>
        <v>Abrir facsímil</v>
      </c>
      <c r="K11549" t="s">
        <v>22</v>
      </c>
    </row>
    <row r="11550" spans="1:11" ht="42" customHeight="1">
      <c r="A11550" t="s">
        <v>22592</v>
      </c>
      <c r="B11550" t="s">
        <v>22592</v>
      </c>
      <c r="C11550" t="s">
        <v>50</v>
      </c>
      <c r="D11550" t="s">
        <v>51</v>
      </c>
      <c r="E11550" s="6">
        <v>-28464</v>
      </c>
      <c r="F11550" t="s">
        <v>1447</v>
      </c>
      <c r="G11550" t="s">
        <v>35</v>
      </c>
      <c r="H11550" t="s">
        <v>20</v>
      </c>
      <c r="I11550" t="s">
        <v>22593</v>
      </c>
      <c r="J11550" t="str">
        <f>HYPERLINK("https://www.boe.es/gazeta/dias/1822/01/24/pdfs/GMD-1822-24.pdf#page=2","Abrir facsímil")</f>
        <v>Abrir facsímil</v>
      </c>
      <c r="K11550" t="s">
        <v>22</v>
      </c>
    </row>
    <row r="11551" spans="1:11" ht="42" customHeight="1">
      <c r="A11551" t="s">
        <v>22592</v>
      </c>
      <c r="B11551" t="s">
        <v>22592</v>
      </c>
      <c r="C11551" t="s">
        <v>28</v>
      </c>
      <c r="D11551" t="s">
        <v>29</v>
      </c>
      <c r="E11551" s="6">
        <v>-28457</v>
      </c>
      <c r="F11551" t="s">
        <v>1655</v>
      </c>
      <c r="G11551" t="s">
        <v>35</v>
      </c>
      <c r="H11551" t="s">
        <v>20</v>
      </c>
      <c r="I11551" t="s">
        <v>22594</v>
      </c>
      <c r="J11551" t="str">
        <f>HYPERLINK("https://www.boe.es/gazeta/dias/1822/01/31/pdfs/GMD-1822-31.pdf#page=2","Abrir facsímil")</f>
        <v>Abrir facsímil</v>
      </c>
      <c r="K11551" t="s">
        <v>22</v>
      </c>
    </row>
    <row r="11552" spans="1:11" ht="42" customHeight="1">
      <c r="A11552" t="s">
        <v>22592</v>
      </c>
      <c r="B11552" t="s">
        <v>22592</v>
      </c>
      <c r="C11552" t="s">
        <v>24</v>
      </c>
      <c r="D11552" t="s">
        <v>17</v>
      </c>
      <c r="E11552" s="6">
        <v>-28451</v>
      </c>
      <c r="F11552" t="s">
        <v>1674</v>
      </c>
      <c r="G11552" t="s">
        <v>31</v>
      </c>
      <c r="H11552" t="s">
        <v>20</v>
      </c>
      <c r="I11552" t="s">
        <v>22595</v>
      </c>
      <c r="J11552" t="str">
        <f>HYPERLINK("https://www.boe.es/gazeta/dias/1822/02/06/pdfs/GMD-1822-37.pdf#page=3","Abrir facsímil")</f>
        <v>Abrir facsímil</v>
      </c>
      <c r="K11552" t="s">
        <v>22</v>
      </c>
    </row>
    <row r="11553" spans="1:11" ht="42" customHeight="1">
      <c r="A11553" t="s">
        <v>22592</v>
      </c>
      <c r="B11553" t="s">
        <v>22592</v>
      </c>
      <c r="C11553" t="s">
        <v>50</v>
      </c>
      <c r="D11553" t="s">
        <v>51</v>
      </c>
      <c r="E11553" s="6">
        <v>-28420</v>
      </c>
      <c r="F11553" t="s">
        <v>449</v>
      </c>
      <c r="G11553" t="s">
        <v>31</v>
      </c>
      <c r="H11553" t="s">
        <v>20</v>
      </c>
      <c r="I11553" t="s">
        <v>22596</v>
      </c>
      <c r="J11553" t="str">
        <f>HYPERLINK("https://www.boe.es/gazeta/dias/1822/03/09/pdfs/GMD-1822-70.pdf#page=3","Abrir facsímil")</f>
        <v>Abrir facsímil</v>
      </c>
      <c r="K11553" t="s">
        <v>22</v>
      </c>
    </row>
    <row r="11554" spans="1:11" ht="42" customHeight="1">
      <c r="A11554" t="s">
        <v>22592</v>
      </c>
      <c r="B11554" t="s">
        <v>22592</v>
      </c>
      <c r="C11554" t="s">
        <v>50</v>
      </c>
      <c r="D11554" t="s">
        <v>51</v>
      </c>
      <c r="E11554" s="6">
        <v>-28338</v>
      </c>
      <c r="F11554" t="s">
        <v>527</v>
      </c>
      <c r="G11554" t="s">
        <v>57</v>
      </c>
      <c r="H11554" t="s">
        <v>20</v>
      </c>
      <c r="I11554" t="s">
        <v>22597</v>
      </c>
      <c r="J11554" t="str">
        <f>HYPERLINK("https://www.boe.es/gazeta/dias/1822/05/30/pdfs/GMD-1822-155.pdf#page=4","Abrir facsímil")</f>
        <v>Abrir facsímil</v>
      </c>
      <c r="K11554" t="s">
        <v>22</v>
      </c>
    </row>
    <row r="11555" spans="1:11" ht="42" customHeight="1">
      <c r="A11555" t="s">
        <v>22592</v>
      </c>
      <c r="B11555" t="s">
        <v>22592</v>
      </c>
      <c r="C11555" t="s">
        <v>50</v>
      </c>
      <c r="D11555" t="s">
        <v>51</v>
      </c>
      <c r="E11555" s="6">
        <v>-28328</v>
      </c>
      <c r="F11555" t="s">
        <v>540</v>
      </c>
      <c r="G11555" t="s">
        <v>541</v>
      </c>
      <c r="H11555" t="s">
        <v>20</v>
      </c>
      <c r="I11555" t="s">
        <v>22598</v>
      </c>
      <c r="J11555" t="str">
        <f>HYPERLINK("https://www.boe.es/gazeta/dias/1822/06/09/pdfs/GMD-1822-166.pdf#page=4","Abrir facsímil")</f>
        <v>Abrir facsímil</v>
      </c>
      <c r="K11555" t="s">
        <v>22</v>
      </c>
    </row>
    <row r="11556" spans="1:11" ht="42" customHeight="1">
      <c r="A11556" t="s">
        <v>22592</v>
      </c>
      <c r="B11556" t="s">
        <v>22592</v>
      </c>
      <c r="C11556" t="s">
        <v>50</v>
      </c>
      <c r="D11556" t="s">
        <v>51</v>
      </c>
      <c r="E11556" s="6">
        <v>-28327</v>
      </c>
      <c r="F11556" t="s">
        <v>38</v>
      </c>
      <c r="G11556" t="s">
        <v>57</v>
      </c>
      <c r="H11556" t="s">
        <v>20</v>
      </c>
      <c r="I11556" t="s">
        <v>22599</v>
      </c>
      <c r="J11556" t="str">
        <f>HYPERLINK("https://www.boe.es/gazeta/dias/1822/06/10/pdfs/GMD-1822-167.pdf#page=4","Abrir facsímil")</f>
        <v>Abrir facsímil</v>
      </c>
      <c r="K11556" t="s">
        <v>22</v>
      </c>
    </row>
    <row r="11557" spans="1:11" ht="42" customHeight="1">
      <c r="A11557" t="s">
        <v>22592</v>
      </c>
      <c r="B11557" t="s">
        <v>22592</v>
      </c>
      <c r="C11557" t="s">
        <v>50</v>
      </c>
      <c r="D11557" t="s">
        <v>51</v>
      </c>
      <c r="E11557" s="6">
        <v>-28323</v>
      </c>
      <c r="F11557" t="s">
        <v>116</v>
      </c>
      <c r="G11557" t="s">
        <v>35</v>
      </c>
      <c r="H11557" t="s">
        <v>20</v>
      </c>
      <c r="I11557" t="s">
        <v>22600</v>
      </c>
      <c r="J11557" t="str">
        <f>HYPERLINK("https://www.boe.es/gazeta/dias/1822/06/14/pdfs/GMD-1822-171.pdf#page=2","Abrir facsímil")</f>
        <v>Abrir facsímil</v>
      </c>
      <c r="K11557" t="s">
        <v>22</v>
      </c>
    </row>
    <row r="11558" spans="1:11" ht="42" customHeight="1">
      <c r="A11558" t="s">
        <v>22592</v>
      </c>
      <c r="B11558" t="s">
        <v>22592</v>
      </c>
      <c r="C11558" t="s">
        <v>50</v>
      </c>
      <c r="D11558" t="s">
        <v>51</v>
      </c>
      <c r="E11558" s="6">
        <v>-28223</v>
      </c>
      <c r="F11558" t="s">
        <v>2374</v>
      </c>
      <c r="G11558" t="s">
        <v>35</v>
      </c>
      <c r="H11558" t="s">
        <v>20</v>
      </c>
      <c r="I11558" t="s">
        <v>22601</v>
      </c>
      <c r="J11558" t="str">
        <f>HYPERLINK("https://www.boe.es/gazeta/dias/1822/09/22/pdfs/GMD-1822-278.pdf#page=2","Abrir facsímil")</f>
        <v>Abrir facsímil</v>
      </c>
      <c r="K11558" t="s">
        <v>22</v>
      </c>
    </row>
    <row r="11559" spans="1:11" ht="42" customHeight="1">
      <c r="A11559" t="s">
        <v>22602</v>
      </c>
      <c r="B11559" t="s">
        <v>22603</v>
      </c>
      <c r="C11559" t="s">
        <v>50</v>
      </c>
      <c r="D11559" t="s">
        <v>51</v>
      </c>
      <c r="E11559" s="6">
        <v>-28484</v>
      </c>
      <c r="F11559" t="s">
        <v>743</v>
      </c>
      <c r="G11559" t="s">
        <v>31</v>
      </c>
      <c r="H11559" t="s">
        <v>20</v>
      </c>
      <c r="I11559" t="s">
        <v>22604</v>
      </c>
      <c r="J11559" t="str">
        <f>HYPERLINK("https://www.boe.es/gazeta/dias/1822/01/04/pdfs/GMD-1822-4.pdf#page=3","Abrir facsímil")</f>
        <v>Abrir facsímil</v>
      </c>
      <c r="K11559" t="s">
        <v>22</v>
      </c>
    </row>
    <row r="11560" spans="1:11" ht="42" customHeight="1">
      <c r="A11560" t="s">
        <v>22602</v>
      </c>
      <c r="B11560" t="s">
        <v>22603</v>
      </c>
      <c r="C11560" t="s">
        <v>16</v>
      </c>
      <c r="D11560" t="s">
        <v>17</v>
      </c>
      <c r="E11560" s="6">
        <v>-28393</v>
      </c>
      <c r="F11560" t="s">
        <v>326</v>
      </c>
      <c r="G11560" t="s">
        <v>57</v>
      </c>
      <c r="H11560" t="s">
        <v>20</v>
      </c>
      <c r="I11560" t="s">
        <v>22605</v>
      </c>
      <c r="J11560" t="str">
        <f>HYPERLINK("https://www.boe.es/gazeta/dias/1822/04/05/pdfs/GMD-1822-97.pdf#page=4","Abrir facsímil")</f>
        <v>Abrir facsímil</v>
      </c>
      <c r="K11560" t="s">
        <v>22</v>
      </c>
    </row>
    <row r="11561" spans="1:11" ht="42" customHeight="1">
      <c r="A11561" t="s">
        <v>22602</v>
      </c>
      <c r="B11561" t="s">
        <v>22603</v>
      </c>
      <c r="C11561" t="s">
        <v>42</v>
      </c>
      <c r="D11561" t="s">
        <v>17</v>
      </c>
      <c r="E11561" s="6">
        <v>-28369</v>
      </c>
      <c r="F11561" t="s">
        <v>1590</v>
      </c>
      <c r="G11561" t="s">
        <v>35</v>
      </c>
      <c r="H11561" t="s">
        <v>20</v>
      </c>
      <c r="I11561" t="s">
        <v>22606</v>
      </c>
      <c r="J11561" t="str">
        <f>HYPERLINK("https://www.boe.es/gazeta/dias/1822/04/29/pdfs/GMD-1822-121.pdf#page=2","Abrir facsímil")</f>
        <v>Abrir facsímil</v>
      </c>
      <c r="K11561" t="s">
        <v>22</v>
      </c>
    </row>
    <row r="11562" spans="1:11" ht="42" customHeight="1">
      <c r="A11562" t="s">
        <v>22602</v>
      </c>
      <c r="B11562" t="s">
        <v>22603</v>
      </c>
      <c r="C11562" t="s">
        <v>42</v>
      </c>
      <c r="D11562" t="s">
        <v>17</v>
      </c>
      <c r="E11562" s="6">
        <v>-28257</v>
      </c>
      <c r="F11562" t="s">
        <v>1171</v>
      </c>
      <c r="G11562" t="s">
        <v>31</v>
      </c>
      <c r="H11562" t="s">
        <v>20</v>
      </c>
      <c r="I11562" t="s">
        <v>22607</v>
      </c>
      <c r="J11562" t="str">
        <f>HYPERLINK("https://www.boe.es/gazeta/dias/1822/08/19/pdfs/GMD-1822-243.pdf#page=3","Abrir facsímil")</f>
        <v>Abrir facsímil</v>
      </c>
      <c r="K11562" t="s">
        <v>22</v>
      </c>
    </row>
    <row r="11563" spans="1:11" ht="42" customHeight="1">
      <c r="A11563" t="s">
        <v>22608</v>
      </c>
      <c r="B11563" t="s">
        <v>22609</v>
      </c>
      <c r="C11563" t="s">
        <v>42</v>
      </c>
      <c r="D11563" t="s">
        <v>17</v>
      </c>
      <c r="E11563" s="6">
        <v>-28150</v>
      </c>
      <c r="F11563" t="s">
        <v>62</v>
      </c>
      <c r="G11563" t="s">
        <v>63</v>
      </c>
      <c r="H11563" t="s">
        <v>20</v>
      </c>
      <c r="I11563" t="s">
        <v>22610</v>
      </c>
      <c r="J11563" t="str">
        <f>HYPERLINK("https://www.boe.es/gazeta/dias/1822/12/04/pdfs/GMD-1822-354.pdf#page=6","Abrir facsímil")</f>
        <v>Abrir facsímil</v>
      </c>
      <c r="K11563" t="s">
        <v>22</v>
      </c>
    </row>
    <row r="11564" spans="1:11" ht="42" customHeight="1">
      <c r="A11564" t="s">
        <v>22611</v>
      </c>
      <c r="B11564" t="s">
        <v>22612</v>
      </c>
      <c r="C11564" t="s">
        <v>42</v>
      </c>
      <c r="D11564" t="s">
        <v>17</v>
      </c>
      <c r="E11564" s="6">
        <v>-28258</v>
      </c>
      <c r="F11564" t="s">
        <v>88</v>
      </c>
      <c r="G11564" t="s">
        <v>57</v>
      </c>
      <c r="H11564" t="s">
        <v>20</v>
      </c>
      <c r="I11564" t="s">
        <v>22613</v>
      </c>
      <c r="J11564" t="str">
        <f>HYPERLINK("https://www.boe.es/gazeta/dias/1822/08/18/pdfs/GMD-1822-242.pdf#page=4","Abrir facsímil")</f>
        <v>Abrir facsímil</v>
      </c>
      <c r="K11564" t="s">
        <v>22</v>
      </c>
    </row>
    <row r="11565" spans="1:11" ht="42" customHeight="1">
      <c r="A11565" t="s">
        <v>22614</v>
      </c>
      <c r="B11565" t="s">
        <v>22615</v>
      </c>
      <c r="C11565" t="s">
        <v>362</v>
      </c>
      <c r="D11565" t="s">
        <v>17</v>
      </c>
      <c r="E11565" s="6">
        <v>-28427</v>
      </c>
      <c r="F11565" t="s">
        <v>755</v>
      </c>
      <c r="G11565" t="s">
        <v>57</v>
      </c>
      <c r="H11565" t="s">
        <v>20</v>
      </c>
      <c r="I11565" t="s">
        <v>22616</v>
      </c>
      <c r="J11565" t="str">
        <f>HYPERLINK("https://www.boe.es/gazeta/dias/1822/03/02/pdfs/GMD-1822-63.pdf#page=4","Abrir facsímil")</f>
        <v>Abrir facsímil</v>
      </c>
      <c r="K11565" t="s">
        <v>22</v>
      </c>
    </row>
    <row r="11566" spans="1:11" ht="42" customHeight="1">
      <c r="A11566" t="s">
        <v>22617</v>
      </c>
      <c r="B11566" t="s">
        <v>22618</v>
      </c>
      <c r="C11566" t="s">
        <v>24</v>
      </c>
      <c r="D11566" t="s">
        <v>17</v>
      </c>
      <c r="E11566" s="6">
        <v>-28450</v>
      </c>
      <c r="F11566" t="s">
        <v>1450</v>
      </c>
      <c r="G11566" t="s">
        <v>2247</v>
      </c>
      <c r="H11566" t="s">
        <v>20</v>
      </c>
      <c r="I11566" t="s">
        <v>22619</v>
      </c>
      <c r="J11566" t="str">
        <f>HYPERLINK("https://www.boe.es/gazeta/dias/1822/02/07/pdfs/GMD-1822-38.pdf#page=6","Abrir facsímil")</f>
        <v>Abrir facsímil</v>
      </c>
      <c r="K11566" t="s">
        <v>22</v>
      </c>
    </row>
    <row r="11567" spans="1:11" ht="42" customHeight="1">
      <c r="A11567" t="s">
        <v>22620</v>
      </c>
      <c r="B11567" t="s">
        <v>22621</v>
      </c>
      <c r="C11567" t="s">
        <v>28</v>
      </c>
      <c r="D11567" t="s">
        <v>29</v>
      </c>
      <c r="E11567" s="6">
        <v>-28274</v>
      </c>
      <c r="F11567" t="s">
        <v>3371</v>
      </c>
      <c r="G11567" t="s">
        <v>57</v>
      </c>
      <c r="H11567" t="s">
        <v>20</v>
      </c>
      <c r="I11567" t="s">
        <v>22622</v>
      </c>
      <c r="J11567" t="str">
        <f>HYPERLINK("https://www.boe.es/gazeta/dias/1822/08/02/pdfs/GMD-1822-226.pdf#page=4","Abrir facsímil")</f>
        <v>Abrir facsímil</v>
      </c>
      <c r="K11567" t="s">
        <v>22</v>
      </c>
    </row>
    <row r="11568" spans="1:11" ht="42" customHeight="1">
      <c r="A11568" t="s">
        <v>22623</v>
      </c>
      <c r="B11568" t="s">
        <v>22624</v>
      </c>
      <c r="C11568" t="s">
        <v>28</v>
      </c>
      <c r="D11568" t="s">
        <v>29</v>
      </c>
      <c r="E11568" s="6">
        <v>-28427</v>
      </c>
      <c r="F11568" t="s">
        <v>755</v>
      </c>
      <c r="G11568" t="s">
        <v>57</v>
      </c>
      <c r="H11568" t="s">
        <v>20</v>
      </c>
      <c r="I11568" t="s">
        <v>22625</v>
      </c>
      <c r="J11568" t="str">
        <f>HYPERLINK("https://www.boe.es/gazeta/dias/1822/03/02/pdfs/GMD-1822-63.pdf#page=4","Abrir facsímil")</f>
        <v>Abrir facsímil</v>
      </c>
      <c r="K11568" t="s">
        <v>22</v>
      </c>
    </row>
    <row r="11569" spans="1:11" ht="42" customHeight="1">
      <c r="A11569" t="s">
        <v>22626</v>
      </c>
      <c r="B11569" t="s">
        <v>22627</v>
      </c>
      <c r="C11569" t="s">
        <v>71</v>
      </c>
      <c r="D11569" t="s">
        <v>17</v>
      </c>
      <c r="E11569" s="6">
        <v>-28406</v>
      </c>
      <c r="F11569" t="s">
        <v>462</v>
      </c>
      <c r="G11569" t="s">
        <v>157</v>
      </c>
      <c r="H11569" t="s">
        <v>20</v>
      </c>
      <c r="I11569" t="s">
        <v>22628</v>
      </c>
      <c r="J11569" t="str">
        <f>HYPERLINK("https://www.boe.es/gazeta/dias/1822/03/23/pdfs/GMD-1822-84.pdf#page=8","Abrir facsímil")</f>
        <v>Abrir facsímil</v>
      </c>
      <c r="K11569" t="s">
        <v>22</v>
      </c>
    </row>
    <row r="11570" spans="1:11" ht="42" customHeight="1">
      <c r="A11570" t="s">
        <v>22629</v>
      </c>
      <c r="B11570" t="s">
        <v>22630</v>
      </c>
      <c r="C11570" t="s">
        <v>28</v>
      </c>
      <c r="D11570" t="s">
        <v>29</v>
      </c>
      <c r="E11570" s="6">
        <v>-28308</v>
      </c>
      <c r="F11570" t="s">
        <v>1050</v>
      </c>
      <c r="G11570" t="s">
        <v>35</v>
      </c>
      <c r="H11570" t="s">
        <v>45</v>
      </c>
      <c r="I11570" t="s">
        <v>22631</v>
      </c>
      <c r="J11570" t="str">
        <f>HYPERLINK("https://www.boe.es/gazeta/dias/1822/06/29/pdfs/GMD-1822-187.pdf#page=2","Abrir facsímil")</f>
        <v>Abrir facsímil</v>
      </c>
      <c r="K11570" t="s">
        <v>47</v>
      </c>
    </row>
    <row r="11571" spans="1:11" ht="42" customHeight="1">
      <c r="A11571" t="s">
        <v>22632</v>
      </c>
      <c r="B11571" t="s">
        <v>22633</v>
      </c>
      <c r="C11571" t="s">
        <v>50</v>
      </c>
      <c r="D11571" t="s">
        <v>51</v>
      </c>
      <c r="E11571" s="6">
        <v>-28407</v>
      </c>
      <c r="F11571" t="s">
        <v>460</v>
      </c>
      <c r="G11571" t="s">
        <v>35</v>
      </c>
      <c r="H11571" t="s">
        <v>20</v>
      </c>
      <c r="I11571" t="s">
        <v>22634</v>
      </c>
      <c r="J11571" t="str">
        <f>HYPERLINK("https://www.boe.es/gazeta/dias/1822/03/22/pdfs/GMD-1822-83.pdf#page=2","Abrir facsímil")</f>
        <v>Abrir facsímil</v>
      </c>
      <c r="K11571" t="s">
        <v>22</v>
      </c>
    </row>
    <row r="11572" spans="1:11" ht="42" customHeight="1">
      <c r="A11572" t="s">
        <v>22632</v>
      </c>
      <c r="B11572" t="s">
        <v>22633</v>
      </c>
      <c r="C11572" t="s">
        <v>50</v>
      </c>
      <c r="D11572" t="s">
        <v>51</v>
      </c>
      <c r="E11572" s="6">
        <v>-28396</v>
      </c>
      <c r="F11572" t="s">
        <v>1138</v>
      </c>
      <c r="G11572" t="s">
        <v>157</v>
      </c>
      <c r="H11572" t="s">
        <v>20</v>
      </c>
      <c r="I11572" t="s">
        <v>22635</v>
      </c>
      <c r="J11572" t="str">
        <f>HYPERLINK("https://www.boe.es/gazeta/dias/1822/04/02/pdfs/GMD-1822-94.pdf#page=8","Abrir facsímil")</f>
        <v>Abrir facsímil</v>
      </c>
      <c r="K11572" t="s">
        <v>22</v>
      </c>
    </row>
    <row r="11573" spans="1:11" ht="42" customHeight="1">
      <c r="A11573" t="s">
        <v>22636</v>
      </c>
      <c r="B11573" t="s">
        <v>22637</v>
      </c>
      <c r="C11573" t="s">
        <v>16</v>
      </c>
      <c r="D11573" t="s">
        <v>17</v>
      </c>
      <c r="E11573" s="6">
        <v>-28225</v>
      </c>
      <c r="F11573" t="s">
        <v>177</v>
      </c>
      <c r="G11573" t="s">
        <v>178</v>
      </c>
      <c r="H11573" t="s">
        <v>20</v>
      </c>
      <c r="I11573" t="s">
        <v>22638</v>
      </c>
      <c r="J11573" t="str">
        <f>HYPERLINK("https://www.boe.es/gazeta/dias/1822/09/20/pdfs/GMD-1822-276.pdf#page=3","Abrir facsímil")</f>
        <v>Abrir facsímil</v>
      </c>
      <c r="K11573" t="s">
        <v>22</v>
      </c>
    </row>
    <row r="11574" spans="1:11" ht="42" customHeight="1">
      <c r="A11574" t="s">
        <v>22639</v>
      </c>
      <c r="B11574" t="s">
        <v>22639</v>
      </c>
      <c r="C11574" t="s">
        <v>50</v>
      </c>
      <c r="D11574" t="s">
        <v>51</v>
      </c>
      <c r="E11574" s="6">
        <v>-28420</v>
      </c>
      <c r="F11574" t="s">
        <v>449</v>
      </c>
      <c r="G11574" t="s">
        <v>31</v>
      </c>
      <c r="H11574" t="s">
        <v>20</v>
      </c>
      <c r="I11574" t="s">
        <v>22640</v>
      </c>
      <c r="J11574" t="str">
        <f>HYPERLINK("https://www.boe.es/gazeta/dias/1822/03/09/pdfs/GMD-1822-70.pdf#page=3","Abrir facsímil")</f>
        <v>Abrir facsímil</v>
      </c>
      <c r="K11574" t="s">
        <v>22</v>
      </c>
    </row>
    <row r="11575" spans="1:11" ht="42" customHeight="1">
      <c r="A11575" t="s">
        <v>22641</v>
      </c>
      <c r="B11575" t="s">
        <v>22642</v>
      </c>
      <c r="C11575" t="s">
        <v>50</v>
      </c>
      <c r="D11575" t="s">
        <v>51</v>
      </c>
      <c r="E11575" s="6">
        <v>-28483</v>
      </c>
      <c r="F11575" t="s">
        <v>254</v>
      </c>
      <c r="G11575" t="s">
        <v>44</v>
      </c>
      <c r="H11575" t="s">
        <v>20</v>
      </c>
      <c r="I11575" t="s">
        <v>22643</v>
      </c>
      <c r="J11575" t="str">
        <f>HYPERLINK("https://www.boe.es/gazeta/dias/1822/01/05/pdfs/GMD-1822-5.pdf#page=1","Abrir facsímil")</f>
        <v>Abrir facsímil</v>
      </c>
      <c r="K11575" t="s">
        <v>22</v>
      </c>
    </row>
    <row r="11576" spans="1:11" ht="42" customHeight="1">
      <c r="A11576" t="s">
        <v>22644</v>
      </c>
      <c r="B11576" t="s">
        <v>22645</v>
      </c>
      <c r="C11576" t="s">
        <v>42</v>
      </c>
      <c r="D11576" t="s">
        <v>17</v>
      </c>
      <c r="E11576" s="6">
        <v>-28168</v>
      </c>
      <c r="F11576" t="s">
        <v>3672</v>
      </c>
      <c r="G11576" t="s">
        <v>57</v>
      </c>
      <c r="H11576" t="s">
        <v>20</v>
      </c>
      <c r="I11576" t="s">
        <v>22646</v>
      </c>
      <c r="J11576" t="str">
        <f>HYPERLINK("https://www.boe.es/gazeta/dias/1822/11/16/pdfs/GMD-1822-336.pdf#page=4","Abrir facsímil")</f>
        <v>Abrir facsímil</v>
      </c>
      <c r="K11576" t="s">
        <v>22</v>
      </c>
    </row>
    <row r="11577" spans="1:11" ht="42" customHeight="1">
      <c r="A11577" t="s">
        <v>22647</v>
      </c>
      <c r="B11577" t="s">
        <v>22648</v>
      </c>
      <c r="C11577" t="s">
        <v>28</v>
      </c>
      <c r="D11577" t="s">
        <v>29</v>
      </c>
      <c r="E11577" s="6">
        <v>-28378</v>
      </c>
      <c r="F11577" t="s">
        <v>496</v>
      </c>
      <c r="G11577" t="s">
        <v>57</v>
      </c>
      <c r="H11577" t="s">
        <v>20</v>
      </c>
      <c r="I11577" t="s">
        <v>22649</v>
      </c>
      <c r="J11577" t="str">
        <f>HYPERLINK("https://www.boe.es/gazeta/dias/1822/04/20/pdfs/GMD-1822-112.pdf#page=4","Abrir facsímil")</f>
        <v>Abrir facsímil</v>
      </c>
      <c r="K11577" t="s">
        <v>22</v>
      </c>
    </row>
    <row r="11578" spans="1:11" ht="42" customHeight="1">
      <c r="A11578" t="s">
        <v>22650</v>
      </c>
      <c r="B11578" t="s">
        <v>22651</v>
      </c>
      <c r="C11578" t="s">
        <v>24</v>
      </c>
      <c r="D11578" t="s">
        <v>17</v>
      </c>
      <c r="E11578" s="6">
        <v>-28391</v>
      </c>
      <c r="F11578" t="s">
        <v>378</v>
      </c>
      <c r="G11578" t="s">
        <v>63</v>
      </c>
      <c r="H11578" t="s">
        <v>20</v>
      </c>
      <c r="I11578" t="s">
        <v>22652</v>
      </c>
      <c r="J11578" t="str">
        <f>HYPERLINK("https://www.boe.es/gazeta/dias/1822/04/07/pdfs/GMD-1822-99.pdf#page=6","Abrir facsímil")</f>
        <v>Abrir facsímil</v>
      </c>
      <c r="K11578" t="s">
        <v>22</v>
      </c>
    </row>
    <row r="11579" spans="1:11" ht="42" customHeight="1">
      <c r="A11579" t="s">
        <v>22653</v>
      </c>
      <c r="B11579" t="s">
        <v>22654</v>
      </c>
      <c r="C11579" t="s">
        <v>24</v>
      </c>
      <c r="D11579" t="s">
        <v>17</v>
      </c>
      <c r="E11579" s="6">
        <v>-28260</v>
      </c>
      <c r="F11579" t="s">
        <v>135</v>
      </c>
      <c r="G11579" t="s">
        <v>31</v>
      </c>
      <c r="H11579" t="s">
        <v>20</v>
      </c>
      <c r="I11579" t="s">
        <v>22655</v>
      </c>
      <c r="J11579" t="str">
        <f>HYPERLINK("https://www.boe.es/gazeta/dias/1822/08/16/pdfs/GMD-1822-240.pdf#page=3","Abrir facsímil")</f>
        <v>Abrir facsímil</v>
      </c>
      <c r="K11579" t="s">
        <v>22</v>
      </c>
    </row>
    <row r="11580" spans="1:11" ht="42" customHeight="1">
      <c r="A11580" t="s">
        <v>22656</v>
      </c>
      <c r="B11580" t="s">
        <v>22657</v>
      </c>
      <c r="C11580" t="s">
        <v>28</v>
      </c>
      <c r="D11580" t="s">
        <v>29</v>
      </c>
      <c r="E11580" s="6">
        <v>-28374</v>
      </c>
      <c r="F11580" t="s">
        <v>171</v>
      </c>
      <c r="G11580" t="s">
        <v>57</v>
      </c>
      <c r="H11580" t="s">
        <v>45</v>
      </c>
      <c r="I11580" t="s">
        <v>22658</v>
      </c>
      <c r="J11580" t="str">
        <f>HYPERLINK("https://www.boe.es/gazeta/dias/1822/04/24/pdfs/GMD-1822-116.pdf#page=4","Abrir facsímil")</f>
        <v>Abrir facsímil</v>
      </c>
      <c r="K11580" t="s">
        <v>47</v>
      </c>
    </row>
    <row r="11581" spans="1:11" ht="42" customHeight="1">
      <c r="A11581" t="s">
        <v>22656</v>
      </c>
      <c r="B11581" t="s">
        <v>22657</v>
      </c>
      <c r="C11581" t="s">
        <v>50</v>
      </c>
      <c r="D11581" t="s">
        <v>51</v>
      </c>
      <c r="E11581" s="6">
        <v>-28340</v>
      </c>
      <c r="F11581" t="s">
        <v>139</v>
      </c>
      <c r="G11581" t="s">
        <v>63</v>
      </c>
      <c r="H11581" t="s">
        <v>45</v>
      </c>
      <c r="I11581" t="s">
        <v>22659</v>
      </c>
      <c r="J11581" t="str">
        <f>HYPERLINK("https://www.boe.es/gazeta/dias/1822/05/28/pdfs/GMD-1822-153.pdf#page=6","Abrir facsímil")</f>
        <v>Abrir facsímil</v>
      </c>
      <c r="K11581" t="s">
        <v>47</v>
      </c>
    </row>
    <row r="11582" spans="1:11" ht="42" customHeight="1">
      <c r="A11582" t="s">
        <v>22660</v>
      </c>
      <c r="B11582" t="s">
        <v>22661</v>
      </c>
      <c r="C11582" t="s">
        <v>50</v>
      </c>
      <c r="D11582" t="s">
        <v>51</v>
      </c>
      <c r="E11582" s="6">
        <v>-28208</v>
      </c>
      <c r="F11582" t="s">
        <v>230</v>
      </c>
      <c r="G11582" t="s">
        <v>35</v>
      </c>
      <c r="H11582" t="s">
        <v>45</v>
      </c>
      <c r="I11582" t="s">
        <v>22662</v>
      </c>
      <c r="J11582" t="str">
        <f>HYPERLINK("https://www.boe.es/gazeta/dias/1822/10/07/pdfs/GMD-1822-293.pdf#page=2","Abrir facsímil")</f>
        <v>Abrir facsímil</v>
      </c>
      <c r="K11582" t="s">
        <v>47</v>
      </c>
    </row>
    <row r="11583" spans="1:11" ht="42" customHeight="1">
      <c r="A11583" t="s">
        <v>22663</v>
      </c>
      <c r="B11583" t="s">
        <v>22664</v>
      </c>
      <c r="C11583" t="s">
        <v>50</v>
      </c>
      <c r="D11583" t="s">
        <v>723</v>
      </c>
      <c r="E11583" s="6">
        <v>-28290</v>
      </c>
      <c r="F11583" t="s">
        <v>16355</v>
      </c>
      <c r="G11583" t="s">
        <v>44</v>
      </c>
      <c r="H11583" t="s">
        <v>45</v>
      </c>
      <c r="I11583" t="s">
        <v>22665</v>
      </c>
      <c r="J11583" t="str">
        <f>HYPERLINK("https://www.boe.es/gazeta/dias/1822/07/17/pdfs/GMD-1822-208E.pdf#page=1","Abrir facsímil")</f>
        <v>Abrir facsímil</v>
      </c>
      <c r="K11583" t="s">
        <v>47</v>
      </c>
    </row>
    <row r="11584" spans="1:11" ht="42" customHeight="1">
      <c r="A11584" t="s">
        <v>22666</v>
      </c>
      <c r="B11584" t="s">
        <v>22667</v>
      </c>
      <c r="C11584" t="s">
        <v>50</v>
      </c>
      <c r="D11584" t="s">
        <v>51</v>
      </c>
      <c r="E11584" s="6">
        <v>-28302</v>
      </c>
      <c r="F11584" t="s">
        <v>791</v>
      </c>
      <c r="G11584" t="s">
        <v>31</v>
      </c>
      <c r="H11584" t="s">
        <v>20</v>
      </c>
      <c r="I11584" t="s">
        <v>22668</v>
      </c>
      <c r="J11584" t="str">
        <f>HYPERLINK("https://www.boe.es/gazeta/dias/1822/07/05/pdfs/GMD-1822-194.pdf#page=3","Abrir facsímil")</f>
        <v>Abrir facsímil</v>
      </c>
      <c r="K11584" t="s">
        <v>22</v>
      </c>
    </row>
    <row r="11585" spans="1:11" ht="42" customHeight="1">
      <c r="A11585" t="s">
        <v>22669</v>
      </c>
      <c r="B11585" t="s">
        <v>22669</v>
      </c>
      <c r="C11585" t="s">
        <v>42</v>
      </c>
      <c r="D11585" t="s">
        <v>17</v>
      </c>
      <c r="E11585" s="6">
        <v>-28183</v>
      </c>
      <c r="F11585" t="s">
        <v>583</v>
      </c>
      <c r="G11585" t="s">
        <v>35</v>
      </c>
      <c r="H11585" t="s">
        <v>20</v>
      </c>
      <c r="I11585" t="s">
        <v>22670</v>
      </c>
      <c r="J11585" t="str">
        <f>HYPERLINK("https://www.boe.es/gazeta/dias/1822/11/01/pdfs/GMD-1822-319.pdf#page=2","Abrir facsímil")</f>
        <v>Abrir facsímil</v>
      </c>
      <c r="K11585" t="s">
        <v>22</v>
      </c>
    </row>
    <row r="11586" spans="1:11" ht="42" customHeight="1">
      <c r="A11586" t="s">
        <v>22671</v>
      </c>
      <c r="B11586" t="s">
        <v>22672</v>
      </c>
      <c r="C11586" t="s">
        <v>16</v>
      </c>
      <c r="D11586" t="s">
        <v>17</v>
      </c>
      <c r="E11586" s="6">
        <v>-28200</v>
      </c>
      <c r="F11586" t="s">
        <v>1037</v>
      </c>
      <c r="G11586" t="s">
        <v>19</v>
      </c>
      <c r="H11586" t="s">
        <v>20</v>
      </c>
      <c r="I11586" t="s">
        <v>22673</v>
      </c>
      <c r="J11586" t="str">
        <f>HYPERLINK("https://www.boe.es/gazeta/dias/1822/10/15/pdfs/GMD-1822-302.pdf#page=5","Abrir facsímil")</f>
        <v>Abrir facsímil</v>
      </c>
      <c r="K11586" t="s">
        <v>22</v>
      </c>
    </row>
    <row r="11587" spans="1:11" ht="42" customHeight="1">
      <c r="A11587" t="s">
        <v>22674</v>
      </c>
      <c r="B11587" t="s">
        <v>22675</v>
      </c>
      <c r="C11587" t="s">
        <v>42</v>
      </c>
      <c r="D11587" t="s">
        <v>17</v>
      </c>
      <c r="E11587" s="6">
        <v>-28353</v>
      </c>
      <c r="F11587" t="s">
        <v>843</v>
      </c>
      <c r="G11587" t="s">
        <v>35</v>
      </c>
      <c r="H11587" t="s">
        <v>20</v>
      </c>
      <c r="I11587" t="s">
        <v>22676</v>
      </c>
      <c r="J11587" t="str">
        <f>HYPERLINK("https://www.boe.es/gazeta/dias/1822/05/15/pdfs/GMD-1822-137.pdf#page=2","Abrir facsímil")</f>
        <v>Abrir facsímil</v>
      </c>
      <c r="K11587" t="s">
        <v>22</v>
      </c>
    </row>
    <row r="11588" spans="1:11" ht="42" customHeight="1">
      <c r="A11588" t="s">
        <v>22677</v>
      </c>
      <c r="B11588" t="s">
        <v>22677</v>
      </c>
      <c r="C11588" t="s">
        <v>362</v>
      </c>
      <c r="D11588" t="s">
        <v>17</v>
      </c>
      <c r="E11588" s="6">
        <v>-28401</v>
      </c>
      <c r="F11588" t="s">
        <v>108</v>
      </c>
      <c r="G11588" t="s">
        <v>31</v>
      </c>
      <c r="H11588" t="s">
        <v>20</v>
      </c>
      <c r="I11588" t="s">
        <v>22678</v>
      </c>
      <c r="J11588" t="str">
        <f>HYPERLINK("https://www.boe.es/gazeta/dias/1822/03/28/pdfs/GMD-1822-89.pdf#page=3","Abrir facsímil")</f>
        <v>Abrir facsímil</v>
      </c>
      <c r="K11588" t="s">
        <v>22</v>
      </c>
    </row>
    <row r="11589" spans="1:11" ht="42" customHeight="1">
      <c r="A11589" t="s">
        <v>22677</v>
      </c>
      <c r="B11589" t="s">
        <v>22677</v>
      </c>
      <c r="C11589" t="s">
        <v>50</v>
      </c>
      <c r="D11589" t="s">
        <v>51</v>
      </c>
      <c r="E11589" s="6">
        <v>-28389</v>
      </c>
      <c r="F11589" t="s">
        <v>481</v>
      </c>
      <c r="G11589" t="s">
        <v>35</v>
      </c>
      <c r="H11589" t="s">
        <v>20</v>
      </c>
      <c r="I11589" t="s">
        <v>22679</v>
      </c>
      <c r="J11589" t="str">
        <f>HYPERLINK("https://www.boe.es/gazeta/dias/1822/04/09/pdfs/GMD-1822-101.pdf#page=2","Abrir facsímil")</f>
        <v>Abrir facsímil</v>
      </c>
      <c r="K11589" t="s">
        <v>22</v>
      </c>
    </row>
    <row r="11590" spans="1:11" ht="42" customHeight="1">
      <c r="A11590" t="s">
        <v>22677</v>
      </c>
      <c r="B11590" t="s">
        <v>22677</v>
      </c>
      <c r="C11590" t="s">
        <v>50</v>
      </c>
      <c r="D11590" t="s">
        <v>51</v>
      </c>
      <c r="E11590" s="6">
        <v>-28375</v>
      </c>
      <c r="F11590" t="s">
        <v>2035</v>
      </c>
      <c r="G11590" t="s">
        <v>31</v>
      </c>
      <c r="H11590" t="s">
        <v>20</v>
      </c>
      <c r="I11590" t="s">
        <v>22680</v>
      </c>
      <c r="J11590" t="str">
        <f>HYPERLINK("https://www.boe.es/gazeta/dias/1822/04/23/pdfs/GMD-1822-115.pdf#page=3","Abrir facsímil")</f>
        <v>Abrir facsímil</v>
      </c>
      <c r="K11590" t="s">
        <v>22</v>
      </c>
    </row>
    <row r="11591" spans="1:11" ht="42" customHeight="1">
      <c r="A11591" t="s">
        <v>22677</v>
      </c>
      <c r="B11591" t="s">
        <v>22677</v>
      </c>
      <c r="C11591" t="s">
        <v>16</v>
      </c>
      <c r="D11591" t="s">
        <v>17</v>
      </c>
      <c r="E11591" s="6">
        <v>-28368</v>
      </c>
      <c r="F11591" t="s">
        <v>126</v>
      </c>
      <c r="G11591" t="s">
        <v>44</v>
      </c>
      <c r="H11591" t="s">
        <v>20</v>
      </c>
      <c r="I11591" t="s">
        <v>22681</v>
      </c>
      <c r="J11591" t="str">
        <f>HYPERLINK("https://www.boe.es/gazeta/dias/1822/04/30/pdfs/GMD-1822-122.pdf#page=1","Abrir facsímil")</f>
        <v>Abrir facsímil</v>
      </c>
      <c r="K11591" t="s">
        <v>22</v>
      </c>
    </row>
    <row r="11592" spans="1:11" ht="42" customHeight="1">
      <c r="A11592" t="s">
        <v>22677</v>
      </c>
      <c r="B11592" t="s">
        <v>22677</v>
      </c>
      <c r="C11592" t="s">
        <v>50</v>
      </c>
      <c r="D11592" t="s">
        <v>51</v>
      </c>
      <c r="E11592" s="6">
        <v>-28358</v>
      </c>
      <c r="F11592" t="s">
        <v>211</v>
      </c>
      <c r="G11592" t="s">
        <v>157</v>
      </c>
      <c r="H11592" t="s">
        <v>20</v>
      </c>
      <c r="I11592" t="s">
        <v>22682</v>
      </c>
      <c r="J11592" t="str">
        <f>HYPERLINK("https://www.boe.es/gazeta/dias/1822/05/10/pdfs/GMD-1822-132.pdf#page=8","Abrir facsímil")</f>
        <v>Abrir facsímil</v>
      </c>
      <c r="K11592" t="s">
        <v>22</v>
      </c>
    </row>
    <row r="11593" spans="1:11" ht="42" customHeight="1">
      <c r="A11593" t="s">
        <v>22677</v>
      </c>
      <c r="B11593" t="s">
        <v>22677</v>
      </c>
      <c r="C11593" t="s">
        <v>50</v>
      </c>
      <c r="D11593" t="s">
        <v>51</v>
      </c>
      <c r="E11593" s="6">
        <v>-28289</v>
      </c>
      <c r="F11593" t="s">
        <v>390</v>
      </c>
      <c r="G11593" t="s">
        <v>35</v>
      </c>
      <c r="H11593" t="s">
        <v>20</v>
      </c>
      <c r="I11593" t="s">
        <v>22683</v>
      </c>
      <c r="J11593" t="str">
        <f>HYPERLINK("https://www.boe.es/gazeta/dias/1822/07/18/pdfs/GMD-1822-209.pdf#page=2","Abrir facsímil")</f>
        <v>Abrir facsímil</v>
      </c>
      <c r="K11593" t="s">
        <v>22</v>
      </c>
    </row>
    <row r="11594" spans="1:11" ht="42" customHeight="1">
      <c r="A11594" t="s">
        <v>22677</v>
      </c>
      <c r="B11594" t="s">
        <v>22677</v>
      </c>
      <c r="C11594" t="s">
        <v>28</v>
      </c>
      <c r="D11594" t="s">
        <v>29</v>
      </c>
      <c r="E11594" s="6">
        <v>-28161</v>
      </c>
      <c r="F11594" t="s">
        <v>166</v>
      </c>
      <c r="G11594" t="s">
        <v>157</v>
      </c>
      <c r="H11594" t="s">
        <v>20</v>
      </c>
      <c r="I11594" t="s">
        <v>22684</v>
      </c>
      <c r="J11594" t="str">
        <f>HYPERLINK("https://www.boe.es/gazeta/dias/1822/11/23/pdfs/GMD-1822-343.pdf#page=8","Abrir facsímil")</f>
        <v>Abrir facsímil</v>
      </c>
      <c r="K11594" t="s">
        <v>22</v>
      </c>
    </row>
    <row r="11595" spans="1:11" ht="42" customHeight="1">
      <c r="A11595" t="s">
        <v>22677</v>
      </c>
      <c r="B11595" t="s">
        <v>22677</v>
      </c>
      <c r="C11595" t="s">
        <v>42</v>
      </c>
      <c r="D11595" t="s">
        <v>17</v>
      </c>
      <c r="E11595" s="6">
        <v>-28132</v>
      </c>
      <c r="F11595" t="s">
        <v>820</v>
      </c>
      <c r="G11595" t="s">
        <v>821</v>
      </c>
      <c r="H11595" t="s">
        <v>20</v>
      </c>
      <c r="I11595" t="s">
        <v>22685</v>
      </c>
      <c r="J11595" t="str">
        <f>HYPERLINK("https://www.boe.es/gazeta/dias/1822/12/22/pdfs/GMD-1822-372.pdf#page=4","Abrir facsímil")</f>
        <v>Abrir facsímil</v>
      </c>
      <c r="K11595" t="s">
        <v>22</v>
      </c>
    </row>
    <row r="11596" spans="1:11" ht="42" customHeight="1">
      <c r="A11596" t="s">
        <v>22686</v>
      </c>
      <c r="B11596" t="s">
        <v>22687</v>
      </c>
      <c r="C11596" t="s">
        <v>28</v>
      </c>
      <c r="D11596" t="s">
        <v>29</v>
      </c>
      <c r="E11596" s="6">
        <v>-28464</v>
      </c>
      <c r="F11596" t="s">
        <v>1447</v>
      </c>
      <c r="G11596" t="s">
        <v>57</v>
      </c>
      <c r="H11596" t="s">
        <v>45</v>
      </c>
      <c r="I11596" t="s">
        <v>22688</v>
      </c>
      <c r="J11596" t="str">
        <f>HYPERLINK("https://www.boe.es/gazeta/dias/1822/01/24/pdfs/GMD-1822-24.pdf#page=4","Abrir facsímil")</f>
        <v>Abrir facsímil</v>
      </c>
      <c r="K11596" t="s">
        <v>47</v>
      </c>
    </row>
    <row r="11597" spans="1:11" ht="42" customHeight="1">
      <c r="A11597" t="s">
        <v>22689</v>
      </c>
      <c r="B11597" t="s">
        <v>22690</v>
      </c>
      <c r="C11597" t="s">
        <v>28</v>
      </c>
      <c r="D11597" t="s">
        <v>29</v>
      </c>
      <c r="E11597" s="6">
        <v>-28464</v>
      </c>
      <c r="F11597" t="s">
        <v>1447</v>
      </c>
      <c r="G11597" t="s">
        <v>57</v>
      </c>
      <c r="H11597" t="s">
        <v>20</v>
      </c>
      <c r="I11597" t="s">
        <v>22691</v>
      </c>
      <c r="J11597" t="str">
        <f>HYPERLINK("https://www.boe.es/gazeta/dias/1822/01/24/pdfs/GMD-1822-24.pdf#page=4","Abrir facsímil")</f>
        <v>Abrir facsímil</v>
      </c>
      <c r="K11597" t="s">
        <v>22</v>
      </c>
    </row>
    <row r="11598" spans="1:11" ht="42" customHeight="1">
      <c r="A11598" t="s">
        <v>22689</v>
      </c>
      <c r="B11598" t="s">
        <v>22690</v>
      </c>
      <c r="C11598" t="s">
        <v>61</v>
      </c>
      <c r="D11598" t="s">
        <v>17</v>
      </c>
      <c r="E11598" s="6">
        <v>-28369</v>
      </c>
      <c r="F11598" t="s">
        <v>1590</v>
      </c>
      <c r="G11598" t="s">
        <v>35</v>
      </c>
      <c r="H11598" t="s">
        <v>20</v>
      </c>
      <c r="I11598" t="s">
        <v>22692</v>
      </c>
      <c r="J11598" t="str">
        <f>HYPERLINK("https://www.boe.es/gazeta/dias/1822/04/29/pdfs/GMD-1822-121.pdf#page=2","Abrir facsímil")</f>
        <v>Abrir facsímil</v>
      </c>
      <c r="K11598" t="s">
        <v>22</v>
      </c>
    </row>
    <row r="11599" spans="1:11" ht="42" customHeight="1">
      <c r="A11599" t="s">
        <v>22693</v>
      </c>
      <c r="B11599" t="s">
        <v>22694</v>
      </c>
      <c r="C11599" t="s">
        <v>50</v>
      </c>
      <c r="D11599" t="s">
        <v>51</v>
      </c>
      <c r="E11599" s="6">
        <v>-28319</v>
      </c>
      <c r="F11599" t="s">
        <v>271</v>
      </c>
      <c r="G11599" t="s">
        <v>63</v>
      </c>
      <c r="H11599" t="s">
        <v>20</v>
      </c>
      <c r="I11599" t="s">
        <v>22695</v>
      </c>
      <c r="J11599" t="str">
        <f>HYPERLINK("https://www.boe.es/gazeta/dias/1822/06/18/pdfs/GMD-1822-175.pdf#page=6","Abrir facsímil")</f>
        <v>Abrir facsímil</v>
      </c>
      <c r="K11599" t="s">
        <v>22</v>
      </c>
    </row>
    <row r="11600" spans="1:11" ht="42" customHeight="1">
      <c r="A11600" t="s">
        <v>22696</v>
      </c>
      <c r="B11600" t="s">
        <v>22697</v>
      </c>
      <c r="C11600" t="s">
        <v>50</v>
      </c>
      <c r="D11600" t="s">
        <v>51</v>
      </c>
      <c r="E11600" s="6">
        <v>-28210</v>
      </c>
      <c r="F11600" t="s">
        <v>218</v>
      </c>
      <c r="G11600" t="s">
        <v>63</v>
      </c>
      <c r="H11600" t="s">
        <v>20</v>
      </c>
      <c r="I11600" t="s">
        <v>22698</v>
      </c>
      <c r="J11600" t="str">
        <f>HYPERLINK("https://www.boe.es/gazeta/dias/1822/10/05/pdfs/GMD-1822-291.pdf#page=6","Abrir facsímil")</f>
        <v>Abrir facsímil</v>
      </c>
      <c r="K11600" t="s">
        <v>22</v>
      </c>
    </row>
    <row r="11601" spans="1:11" ht="42" customHeight="1">
      <c r="A11601" t="s">
        <v>22699</v>
      </c>
      <c r="B11601" t="s">
        <v>22700</v>
      </c>
      <c r="C11601" t="s">
        <v>50</v>
      </c>
      <c r="D11601" t="s">
        <v>51</v>
      </c>
      <c r="E11601" s="6">
        <v>-28264</v>
      </c>
      <c r="F11601" t="s">
        <v>1329</v>
      </c>
      <c r="G11601" t="s">
        <v>57</v>
      </c>
      <c r="H11601" t="s">
        <v>20</v>
      </c>
      <c r="I11601" t="s">
        <v>22701</v>
      </c>
      <c r="J11601" t="str">
        <f>HYPERLINK("https://www.boe.es/gazeta/dias/1822/08/12/pdfs/GMD-1822-236.pdf#page=4","Abrir facsímil")</f>
        <v>Abrir facsímil</v>
      </c>
      <c r="K11601" t="s">
        <v>22</v>
      </c>
    </row>
    <row r="11602" spans="1:11" ht="42" customHeight="1">
      <c r="A11602" t="s">
        <v>22702</v>
      </c>
      <c r="B11602" t="s">
        <v>22703</v>
      </c>
      <c r="C11602" t="s">
        <v>42</v>
      </c>
      <c r="D11602" t="s">
        <v>17</v>
      </c>
      <c r="E11602" s="6">
        <v>-28393</v>
      </c>
      <c r="F11602" t="s">
        <v>326</v>
      </c>
      <c r="G11602" t="s">
        <v>57</v>
      </c>
      <c r="H11602" t="s">
        <v>20</v>
      </c>
      <c r="I11602" t="s">
        <v>22704</v>
      </c>
      <c r="J11602" t="str">
        <f>HYPERLINK("https://www.boe.es/gazeta/dias/1822/04/05/pdfs/GMD-1822-97.pdf#page=4","Abrir facsímil")</f>
        <v>Abrir facsímil</v>
      </c>
      <c r="K11602" t="s">
        <v>22</v>
      </c>
    </row>
    <row r="11603" spans="1:11" ht="42" customHeight="1">
      <c r="A11603" t="s">
        <v>22702</v>
      </c>
      <c r="B11603" t="s">
        <v>22703</v>
      </c>
      <c r="C11603" t="s">
        <v>16</v>
      </c>
      <c r="D11603" t="s">
        <v>17</v>
      </c>
      <c r="E11603" s="6">
        <v>-28382</v>
      </c>
      <c r="F11603" t="s">
        <v>973</v>
      </c>
      <c r="G11603" t="s">
        <v>63</v>
      </c>
      <c r="H11603" t="s">
        <v>20</v>
      </c>
      <c r="I11603" t="s">
        <v>22705</v>
      </c>
      <c r="J11603" t="str">
        <f>HYPERLINK("https://www.boe.es/gazeta/dias/1822/04/16/pdfs/GMD-1822-108.pdf#page=6","Abrir facsímil")</f>
        <v>Abrir facsímil</v>
      </c>
      <c r="K11603" t="s">
        <v>22</v>
      </c>
    </row>
    <row r="11604" spans="1:11" ht="42" customHeight="1">
      <c r="A11604" t="s">
        <v>22702</v>
      </c>
      <c r="B11604" t="s">
        <v>22703</v>
      </c>
      <c r="C11604" t="s">
        <v>16</v>
      </c>
      <c r="D11604" t="s">
        <v>17</v>
      </c>
      <c r="E11604" s="6">
        <v>-28379</v>
      </c>
      <c r="F11604" t="s">
        <v>494</v>
      </c>
      <c r="G11604" t="s">
        <v>63</v>
      </c>
      <c r="H11604" t="s">
        <v>20</v>
      </c>
      <c r="I11604" t="s">
        <v>22706</v>
      </c>
      <c r="J11604" t="str">
        <f>HYPERLINK("https://www.boe.es/gazeta/dias/1822/04/19/pdfs/GMD-1822-111.pdf#page=6","Abrir facsímil")</f>
        <v>Abrir facsímil</v>
      </c>
      <c r="K11604" t="s">
        <v>22</v>
      </c>
    </row>
    <row r="11605" spans="1:11" ht="42" customHeight="1">
      <c r="A11605" t="s">
        <v>22702</v>
      </c>
      <c r="B11605" t="s">
        <v>22703</v>
      </c>
      <c r="C11605" t="s">
        <v>24</v>
      </c>
      <c r="D11605" t="s">
        <v>17</v>
      </c>
      <c r="E11605" s="6">
        <v>-28371</v>
      </c>
      <c r="F11605" t="s">
        <v>401</v>
      </c>
      <c r="G11605" t="s">
        <v>63</v>
      </c>
      <c r="H11605" t="s">
        <v>20</v>
      </c>
      <c r="I11605" t="s">
        <v>22707</v>
      </c>
      <c r="J11605" t="str">
        <f>HYPERLINK("https://www.boe.es/gazeta/dias/1822/04/27/pdfs/GMD-1822-119.pdf#page=6","Abrir facsímil")</f>
        <v>Abrir facsímil</v>
      </c>
      <c r="K11605" t="s">
        <v>22</v>
      </c>
    </row>
    <row r="11606" spans="1:11" ht="42" customHeight="1">
      <c r="A11606" t="s">
        <v>22702</v>
      </c>
      <c r="B11606" t="s">
        <v>22703</v>
      </c>
      <c r="C11606" t="s">
        <v>16</v>
      </c>
      <c r="D11606" t="s">
        <v>17</v>
      </c>
      <c r="E11606" s="6">
        <v>-28322</v>
      </c>
      <c r="F11606" t="s">
        <v>2205</v>
      </c>
      <c r="G11606" t="s">
        <v>57</v>
      </c>
      <c r="H11606" t="s">
        <v>20</v>
      </c>
      <c r="I11606" t="s">
        <v>22708</v>
      </c>
      <c r="J11606" t="str">
        <f>HYPERLINK("https://www.boe.es/gazeta/dias/1822/06/15/pdfs/GMD-1822-172.pdf#page=4","Abrir facsímil")</f>
        <v>Abrir facsímil</v>
      </c>
      <c r="K11606" t="s">
        <v>22</v>
      </c>
    </row>
    <row r="11607" spans="1:11" ht="42" customHeight="1">
      <c r="A11607" t="s">
        <v>22702</v>
      </c>
      <c r="B11607" t="s">
        <v>22703</v>
      </c>
      <c r="C11607" t="s">
        <v>42</v>
      </c>
      <c r="D11607" t="s">
        <v>17</v>
      </c>
      <c r="E11607" s="6">
        <v>-28250</v>
      </c>
      <c r="F11607" t="s">
        <v>1174</v>
      </c>
      <c r="G11607" t="s">
        <v>57</v>
      </c>
      <c r="H11607" t="s">
        <v>20</v>
      </c>
      <c r="I11607" t="s">
        <v>22709</v>
      </c>
      <c r="J11607" t="str">
        <f>HYPERLINK("https://www.boe.es/gazeta/dias/1822/08/26/pdfs/GMD-1822-250.pdf#page=4","Abrir facsímil")</f>
        <v>Abrir facsímil</v>
      </c>
      <c r="K11607" t="s">
        <v>22</v>
      </c>
    </row>
    <row r="11608" spans="1:11" ht="42" customHeight="1">
      <c r="A11608" t="s">
        <v>22702</v>
      </c>
      <c r="B11608" t="s">
        <v>22703</v>
      </c>
      <c r="C11608" t="s">
        <v>28</v>
      </c>
      <c r="D11608" t="s">
        <v>29</v>
      </c>
      <c r="E11608" s="6">
        <v>-28193</v>
      </c>
      <c r="F11608" t="s">
        <v>574</v>
      </c>
      <c r="G11608" t="s">
        <v>63</v>
      </c>
      <c r="H11608" t="s">
        <v>20</v>
      </c>
      <c r="I11608" t="s">
        <v>22710</v>
      </c>
      <c r="J11608" t="str">
        <f>HYPERLINK("https://www.boe.es/gazeta/dias/1822/10/22/pdfs/GMD-1822-309.pdf#page=6","Abrir facsímil")</f>
        <v>Abrir facsímil</v>
      </c>
      <c r="K11608" t="s">
        <v>22</v>
      </c>
    </row>
    <row r="11609" spans="1:11" ht="42" customHeight="1">
      <c r="A11609" t="s">
        <v>22711</v>
      </c>
      <c r="B11609" t="s">
        <v>22712</v>
      </c>
      <c r="C11609" t="s">
        <v>50</v>
      </c>
      <c r="D11609" t="s">
        <v>51</v>
      </c>
      <c r="E11609" s="6">
        <v>-28370</v>
      </c>
      <c r="F11609" t="s">
        <v>207</v>
      </c>
      <c r="G11609" t="s">
        <v>63</v>
      </c>
      <c r="H11609" t="s">
        <v>20</v>
      </c>
      <c r="I11609" t="s">
        <v>22713</v>
      </c>
      <c r="J11609" t="str">
        <f>HYPERLINK("https://www.boe.es/gazeta/dias/1822/04/28/pdfs/GMD-1822-120.pdf#page=6","Abrir facsímil")</f>
        <v>Abrir facsímil</v>
      </c>
      <c r="K11609" t="s">
        <v>22</v>
      </c>
    </row>
    <row r="11610" spans="1:11" ht="42" customHeight="1">
      <c r="A11610" t="s">
        <v>22714</v>
      </c>
      <c r="B11610" t="s">
        <v>22715</v>
      </c>
      <c r="C11610" t="s">
        <v>42</v>
      </c>
      <c r="D11610" t="s">
        <v>723</v>
      </c>
      <c r="E11610" s="6">
        <v>-28181</v>
      </c>
      <c r="F11610" t="s">
        <v>724</v>
      </c>
      <c r="G11610" t="s">
        <v>35</v>
      </c>
      <c r="H11610" t="s">
        <v>20</v>
      </c>
      <c r="I11610" t="s">
        <v>22716</v>
      </c>
      <c r="J11610" t="str">
        <f>HYPERLINK("https://www.boe.es/gazeta/dias/1822/11/03/pdfs/GMD-1822-322E.pdf#page=2","Abrir facsímil")</f>
        <v>Abrir facsímil</v>
      </c>
      <c r="K11610" t="s">
        <v>22</v>
      </c>
    </row>
    <row r="11611" spans="1:11" ht="42" customHeight="1">
      <c r="A11611" t="s">
        <v>22717</v>
      </c>
      <c r="B11611" t="s">
        <v>22717</v>
      </c>
      <c r="C11611" t="s">
        <v>50</v>
      </c>
      <c r="D11611" t="s">
        <v>51</v>
      </c>
      <c r="E11611" s="6">
        <v>-28484</v>
      </c>
      <c r="F11611" t="s">
        <v>743</v>
      </c>
      <c r="G11611" t="s">
        <v>31</v>
      </c>
      <c r="H11611" t="s">
        <v>20</v>
      </c>
      <c r="I11611" t="s">
        <v>22718</v>
      </c>
      <c r="J11611" t="str">
        <f>HYPERLINK("https://www.boe.es/gazeta/dias/1822/01/04/pdfs/GMD-1822-4.pdf#page=3","Abrir facsímil")</f>
        <v>Abrir facsímil</v>
      </c>
      <c r="K11611" t="s">
        <v>22</v>
      </c>
    </row>
    <row r="11612" spans="1:11" ht="42" customHeight="1">
      <c r="A11612" t="s">
        <v>22717</v>
      </c>
      <c r="B11612" t="s">
        <v>22717</v>
      </c>
      <c r="C11612" t="s">
        <v>42</v>
      </c>
      <c r="D11612" t="s">
        <v>17</v>
      </c>
      <c r="E11612" s="6">
        <v>-28483</v>
      </c>
      <c r="F11612" t="s">
        <v>254</v>
      </c>
      <c r="G11612" t="s">
        <v>44</v>
      </c>
      <c r="H11612" t="s">
        <v>20</v>
      </c>
      <c r="I11612" t="s">
        <v>22719</v>
      </c>
      <c r="J11612" t="str">
        <f>HYPERLINK("https://www.boe.es/gazeta/dias/1822/01/05/pdfs/GMD-1822-5.pdf#page=1","Abrir facsímil")</f>
        <v>Abrir facsímil</v>
      </c>
      <c r="K11612" t="s">
        <v>22</v>
      </c>
    </row>
    <row r="11613" spans="1:11" ht="42" customHeight="1">
      <c r="A11613" t="s">
        <v>22717</v>
      </c>
      <c r="B11613" t="s">
        <v>22717</v>
      </c>
      <c r="C11613" t="s">
        <v>28</v>
      </c>
      <c r="D11613" t="s">
        <v>29</v>
      </c>
      <c r="E11613" s="6">
        <v>-28467</v>
      </c>
      <c r="F11613" t="s">
        <v>1096</v>
      </c>
      <c r="G11613" t="s">
        <v>35</v>
      </c>
      <c r="H11613" t="s">
        <v>20</v>
      </c>
      <c r="I11613" t="s">
        <v>22720</v>
      </c>
      <c r="J11613" t="str">
        <f>HYPERLINK("https://www.boe.es/gazeta/dias/1822/01/21/pdfs/GMD-1822-21.pdf#page=2","Abrir facsímil")</f>
        <v>Abrir facsímil</v>
      </c>
      <c r="K11613" t="s">
        <v>22</v>
      </c>
    </row>
    <row r="11614" spans="1:11" ht="42" customHeight="1">
      <c r="A11614" t="s">
        <v>22717</v>
      </c>
      <c r="B11614" t="s">
        <v>22717</v>
      </c>
      <c r="C11614" t="s">
        <v>50</v>
      </c>
      <c r="D11614" t="s">
        <v>51</v>
      </c>
      <c r="E11614" s="6">
        <v>-28394</v>
      </c>
      <c r="F11614" t="s">
        <v>268</v>
      </c>
      <c r="G11614" t="s">
        <v>57</v>
      </c>
      <c r="H11614" t="s">
        <v>20</v>
      </c>
      <c r="I11614" t="s">
        <v>22721</v>
      </c>
      <c r="J11614" t="str">
        <f>HYPERLINK("https://www.boe.es/gazeta/dias/1822/04/04/pdfs/GMD-1822-96.pdf#page=4","Abrir facsímil")</f>
        <v>Abrir facsímil</v>
      </c>
      <c r="K11614" t="s">
        <v>22</v>
      </c>
    </row>
    <row r="11615" spans="1:11" ht="42" customHeight="1">
      <c r="A11615" t="s">
        <v>22717</v>
      </c>
      <c r="B11615" t="s">
        <v>22717</v>
      </c>
      <c r="C11615" t="s">
        <v>50</v>
      </c>
      <c r="D11615" t="s">
        <v>51</v>
      </c>
      <c r="E11615" s="6">
        <v>-28287</v>
      </c>
      <c r="F11615" t="s">
        <v>1295</v>
      </c>
      <c r="G11615" t="s">
        <v>31</v>
      </c>
      <c r="H11615" t="s">
        <v>20</v>
      </c>
      <c r="I11615" t="s">
        <v>22722</v>
      </c>
      <c r="J11615" t="str">
        <f>HYPERLINK("https://www.boe.es/gazeta/dias/1822/07/20/pdfs/GMD-1822-212.pdf#page=3","Abrir facsímil")</f>
        <v>Abrir facsímil</v>
      </c>
      <c r="K11615" t="s">
        <v>22</v>
      </c>
    </row>
    <row r="11616" spans="1:11" ht="42" customHeight="1">
      <c r="A11616" t="s">
        <v>22717</v>
      </c>
      <c r="B11616" t="s">
        <v>22717</v>
      </c>
      <c r="C11616" t="s">
        <v>42</v>
      </c>
      <c r="D11616" t="s">
        <v>17</v>
      </c>
      <c r="E11616" s="6">
        <v>-28274</v>
      </c>
      <c r="F11616" t="s">
        <v>3371</v>
      </c>
      <c r="G11616" t="s">
        <v>44</v>
      </c>
      <c r="H11616" t="s">
        <v>20</v>
      </c>
      <c r="I11616" t="s">
        <v>22723</v>
      </c>
      <c r="J11616" t="str">
        <f>HYPERLINK("https://www.boe.es/gazeta/dias/1822/08/02/pdfs/GMD-1822-226.pdf#page=1","Abrir facsímil")</f>
        <v>Abrir facsímil</v>
      </c>
      <c r="K11616" t="s">
        <v>22</v>
      </c>
    </row>
    <row r="11617" spans="1:11" ht="42" customHeight="1">
      <c r="A11617" t="s">
        <v>22717</v>
      </c>
      <c r="B11617" t="s">
        <v>22717</v>
      </c>
      <c r="C11617" t="s">
        <v>50</v>
      </c>
      <c r="D11617" t="s">
        <v>51</v>
      </c>
      <c r="E11617" s="6">
        <v>-28264</v>
      </c>
      <c r="F11617" t="s">
        <v>1329</v>
      </c>
      <c r="G11617" t="s">
        <v>57</v>
      </c>
      <c r="H11617" t="s">
        <v>20</v>
      </c>
      <c r="I11617" t="s">
        <v>22724</v>
      </c>
      <c r="J11617" t="str">
        <f>HYPERLINK("https://www.boe.es/gazeta/dias/1822/08/12/pdfs/GMD-1822-236.pdf#page=4","Abrir facsímil")</f>
        <v>Abrir facsímil</v>
      </c>
      <c r="K11617" t="s">
        <v>22</v>
      </c>
    </row>
    <row r="11618" spans="1:11" ht="42" customHeight="1">
      <c r="A11618" t="s">
        <v>22717</v>
      </c>
      <c r="B11618" t="s">
        <v>22717</v>
      </c>
      <c r="C11618" t="s">
        <v>50</v>
      </c>
      <c r="D11618" t="s">
        <v>51</v>
      </c>
      <c r="E11618" s="6">
        <v>-28235</v>
      </c>
      <c r="F11618" t="s">
        <v>1470</v>
      </c>
      <c r="G11618" t="s">
        <v>35</v>
      </c>
      <c r="H11618" t="s">
        <v>20</v>
      </c>
      <c r="I11618" t="s">
        <v>22725</v>
      </c>
      <c r="J11618" t="str">
        <f>HYPERLINK("https://www.boe.es/gazeta/dias/1822/09/10/pdfs/GMD-1822-266.pdf#page=2","Abrir facsímil")</f>
        <v>Abrir facsímil</v>
      </c>
      <c r="K11618" t="s">
        <v>22</v>
      </c>
    </row>
    <row r="11619" spans="1:11" ht="42" customHeight="1">
      <c r="A11619" t="s">
        <v>22726</v>
      </c>
      <c r="B11619" t="s">
        <v>22726</v>
      </c>
      <c r="C11619" t="s">
        <v>50</v>
      </c>
      <c r="D11619" t="s">
        <v>51</v>
      </c>
      <c r="E11619" s="6">
        <v>-28413</v>
      </c>
      <c r="F11619" t="s">
        <v>458</v>
      </c>
      <c r="G11619" t="s">
        <v>19</v>
      </c>
      <c r="H11619" t="s">
        <v>20</v>
      </c>
      <c r="I11619" t="s">
        <v>22727</v>
      </c>
      <c r="J11619" t="str">
        <f>HYPERLINK("https://www.boe.es/gazeta/dias/1822/03/16/pdfs/GMD-1822-77.pdf#page=5","Abrir facsímil")</f>
        <v>Abrir facsímil</v>
      </c>
      <c r="K11619" t="s">
        <v>22</v>
      </c>
    </row>
    <row r="11620" spans="1:11" ht="42" customHeight="1">
      <c r="A11620" t="s">
        <v>22728</v>
      </c>
      <c r="B11620" t="s">
        <v>22729</v>
      </c>
      <c r="C11620" t="s">
        <v>42</v>
      </c>
      <c r="D11620" t="s">
        <v>17</v>
      </c>
      <c r="E11620" s="6">
        <v>-28223</v>
      </c>
      <c r="F11620" t="s">
        <v>2374</v>
      </c>
      <c r="G11620" t="s">
        <v>57</v>
      </c>
      <c r="H11620" t="s">
        <v>20</v>
      </c>
      <c r="I11620" t="s">
        <v>22730</v>
      </c>
      <c r="J11620" t="str">
        <f>HYPERLINK("https://www.boe.es/gazeta/dias/1822/09/22/pdfs/GMD-1822-278.pdf#page=4","Abrir facsímil")</f>
        <v>Abrir facsímil</v>
      </c>
      <c r="K11620" t="s">
        <v>22</v>
      </c>
    </row>
    <row r="11621" spans="1:11" ht="42" customHeight="1">
      <c r="A11621" t="s">
        <v>22731</v>
      </c>
      <c r="B11621" t="s">
        <v>22731</v>
      </c>
      <c r="C11621" t="s">
        <v>28</v>
      </c>
      <c r="D11621" t="s">
        <v>29</v>
      </c>
      <c r="E11621" s="6">
        <v>-28377</v>
      </c>
      <c r="F11621" t="s">
        <v>498</v>
      </c>
      <c r="G11621" t="s">
        <v>35</v>
      </c>
      <c r="H11621" t="s">
        <v>20</v>
      </c>
      <c r="I11621" t="s">
        <v>22732</v>
      </c>
      <c r="J11621" t="str">
        <f>HYPERLINK("https://www.boe.es/gazeta/dias/1822/04/21/pdfs/GMD-1822-113.pdf#page=2","Abrir facsímil")</f>
        <v>Abrir facsímil</v>
      </c>
      <c r="K11621" t="s">
        <v>22</v>
      </c>
    </row>
    <row r="11622" spans="1:11" ht="42" customHeight="1">
      <c r="A11622" t="s">
        <v>22733</v>
      </c>
      <c r="B11622" t="s">
        <v>22734</v>
      </c>
      <c r="C11622" t="s">
        <v>50</v>
      </c>
      <c r="D11622" t="s">
        <v>51</v>
      </c>
      <c r="E11622" s="6">
        <v>-28309</v>
      </c>
      <c r="F11622" t="s">
        <v>553</v>
      </c>
      <c r="G11622" t="s">
        <v>44</v>
      </c>
      <c r="H11622" t="s">
        <v>20</v>
      </c>
      <c r="I11622" t="s">
        <v>22735</v>
      </c>
      <c r="J11622" t="str">
        <f>HYPERLINK("https://www.boe.es/gazeta/dias/1822/06/28/pdfs/GMD-1822-186.pdf#page=1","Abrir facsímil")</f>
        <v>Abrir facsímil</v>
      </c>
      <c r="K11622" t="s">
        <v>22</v>
      </c>
    </row>
    <row r="11623" spans="1:11" ht="42" customHeight="1">
      <c r="A11623" t="s">
        <v>22736</v>
      </c>
      <c r="B11623" t="s">
        <v>22736</v>
      </c>
      <c r="C11623" t="s">
        <v>50</v>
      </c>
      <c r="D11623" t="s">
        <v>51</v>
      </c>
      <c r="E11623" s="6">
        <v>-28252</v>
      </c>
      <c r="F11623" t="s">
        <v>4333</v>
      </c>
      <c r="G11623" t="s">
        <v>44</v>
      </c>
      <c r="H11623" t="s">
        <v>20</v>
      </c>
      <c r="I11623" t="s">
        <v>22737</v>
      </c>
      <c r="J11623" t="str">
        <f>HYPERLINK("https://www.boe.es/gazeta/dias/1822/08/24/pdfs/GMD-1822-248.pdf#page=1","Abrir facsímil")</f>
        <v>Abrir facsímil</v>
      </c>
      <c r="K11623" t="s">
        <v>22</v>
      </c>
    </row>
    <row r="11624" spans="1:11" ht="42" customHeight="1">
      <c r="A11624" t="s">
        <v>22738</v>
      </c>
      <c r="B11624" t="s">
        <v>22739</v>
      </c>
      <c r="C11624" t="s">
        <v>61</v>
      </c>
      <c r="D11624" t="s">
        <v>17</v>
      </c>
      <c r="E11624" s="6">
        <v>-28147</v>
      </c>
      <c r="F11624" t="s">
        <v>1611</v>
      </c>
      <c r="G11624" t="s">
        <v>63</v>
      </c>
      <c r="H11624" t="s">
        <v>20</v>
      </c>
      <c r="I11624" t="s">
        <v>22740</v>
      </c>
      <c r="J11624" t="str">
        <f>HYPERLINK("https://www.boe.es/gazeta/dias/1822/12/07/pdfs/GMD-1822-357.pdf#page=6","Abrir facsímil")</f>
        <v>Abrir facsímil</v>
      </c>
      <c r="K11624" t="s">
        <v>22</v>
      </c>
    </row>
    <row r="11625" spans="1:11" ht="42" customHeight="1">
      <c r="A11625" t="s">
        <v>22741</v>
      </c>
      <c r="B11625" t="s">
        <v>22742</v>
      </c>
      <c r="C11625" t="s">
        <v>71</v>
      </c>
      <c r="D11625" t="s">
        <v>17</v>
      </c>
      <c r="E11625" s="6">
        <v>-28330</v>
      </c>
      <c r="F11625" t="s">
        <v>896</v>
      </c>
      <c r="G11625" t="s">
        <v>57</v>
      </c>
      <c r="H11625" t="s">
        <v>20</v>
      </c>
      <c r="I11625" t="s">
        <v>22743</v>
      </c>
      <c r="J11625" t="str">
        <f>HYPERLINK("https://www.boe.es/gazeta/dias/1822/06/07/pdfs/GMD-1822-164.pdf#page=4","Abrir facsímil")</f>
        <v>Abrir facsímil</v>
      </c>
      <c r="K11625" t="s">
        <v>22</v>
      </c>
    </row>
    <row r="11626" spans="1:11" ht="42" customHeight="1">
      <c r="A11626" t="s">
        <v>22744</v>
      </c>
      <c r="B11626" t="s">
        <v>22745</v>
      </c>
      <c r="C11626" t="s">
        <v>50</v>
      </c>
      <c r="D11626" t="s">
        <v>51</v>
      </c>
      <c r="E11626" s="6">
        <v>-28339</v>
      </c>
      <c r="F11626" t="s">
        <v>197</v>
      </c>
      <c r="G11626" t="s">
        <v>63</v>
      </c>
      <c r="H11626" t="s">
        <v>20</v>
      </c>
      <c r="I11626" t="s">
        <v>22746</v>
      </c>
      <c r="J11626" t="str">
        <f>HYPERLINK("https://www.boe.es/gazeta/dias/1822/05/29/pdfs/GMD-1822-154.pdf#page=6","Abrir facsímil")</f>
        <v>Abrir facsímil</v>
      </c>
      <c r="K11626" t="s">
        <v>22</v>
      </c>
    </row>
    <row r="11627" spans="1:11" ht="42" customHeight="1">
      <c r="A11627" t="s">
        <v>22747</v>
      </c>
      <c r="B11627" t="s">
        <v>22747</v>
      </c>
      <c r="C11627" t="s">
        <v>42</v>
      </c>
      <c r="D11627" t="s">
        <v>17</v>
      </c>
      <c r="E11627" s="6">
        <v>-28449</v>
      </c>
      <c r="F11627" t="s">
        <v>1342</v>
      </c>
      <c r="G11627" t="s">
        <v>44</v>
      </c>
      <c r="H11627" t="s">
        <v>20</v>
      </c>
      <c r="I11627" t="s">
        <v>22748</v>
      </c>
      <c r="J11627" t="str">
        <f>HYPERLINK("https://www.boe.es/gazeta/dias/1822/02/08/pdfs/GMD-1822-39.pdf#page=1","Abrir facsímil")</f>
        <v>Abrir facsímil</v>
      </c>
      <c r="K11627" t="s">
        <v>22</v>
      </c>
    </row>
    <row r="11628" spans="1:11" ht="42" customHeight="1">
      <c r="A11628" t="s">
        <v>22747</v>
      </c>
      <c r="B11628" t="s">
        <v>22747</v>
      </c>
      <c r="C11628" t="s">
        <v>50</v>
      </c>
      <c r="D11628" t="s">
        <v>51</v>
      </c>
      <c r="E11628" s="6">
        <v>-28155</v>
      </c>
      <c r="F11628" t="s">
        <v>833</v>
      </c>
      <c r="G11628" t="s">
        <v>57</v>
      </c>
      <c r="H11628" t="s">
        <v>20</v>
      </c>
      <c r="I11628" t="s">
        <v>22749</v>
      </c>
      <c r="J11628" t="str">
        <f>HYPERLINK("https://www.boe.es/gazeta/dias/1822/11/29/pdfs/GMD-1822-349.pdf#page=4","Abrir facsímil")</f>
        <v>Abrir facsímil</v>
      </c>
      <c r="K11628" t="s">
        <v>22</v>
      </c>
    </row>
    <row r="11629" spans="1:11" ht="42" customHeight="1">
      <c r="A11629" t="s">
        <v>22750</v>
      </c>
      <c r="B11629" t="s">
        <v>22751</v>
      </c>
      <c r="C11629" t="s">
        <v>50</v>
      </c>
      <c r="D11629" t="s">
        <v>51</v>
      </c>
      <c r="E11629" s="6">
        <v>-28401</v>
      </c>
      <c r="F11629" t="s">
        <v>108</v>
      </c>
      <c r="G11629" t="s">
        <v>35</v>
      </c>
      <c r="H11629" t="s">
        <v>20</v>
      </c>
      <c r="I11629" t="s">
        <v>22752</v>
      </c>
      <c r="J11629" t="str">
        <f>HYPERLINK("https://www.boe.es/gazeta/dias/1822/03/28/pdfs/GMD-1822-89.pdf#page=2","Abrir facsímil")</f>
        <v>Abrir facsímil</v>
      </c>
      <c r="K11629" t="s">
        <v>22</v>
      </c>
    </row>
    <row r="11630" spans="1:11" ht="42" customHeight="1">
      <c r="A11630" t="s">
        <v>22753</v>
      </c>
      <c r="B11630" t="s">
        <v>22754</v>
      </c>
      <c r="C11630" t="s">
        <v>71</v>
      </c>
      <c r="D11630" t="s">
        <v>17</v>
      </c>
      <c r="E11630" s="6">
        <v>-28395</v>
      </c>
      <c r="F11630" t="s">
        <v>237</v>
      </c>
      <c r="G11630" t="s">
        <v>31</v>
      </c>
      <c r="H11630" t="s">
        <v>20</v>
      </c>
      <c r="I11630" t="s">
        <v>22755</v>
      </c>
      <c r="J11630" t="str">
        <f>HYPERLINK("https://www.boe.es/gazeta/dias/1822/04/03/pdfs/GMD-1822-95.pdf#page=3","Abrir facsímil")</f>
        <v>Abrir facsímil</v>
      </c>
      <c r="K11630" t="s">
        <v>22</v>
      </c>
    </row>
    <row r="11631" spans="1:11" ht="42" customHeight="1">
      <c r="A11631" t="s">
        <v>22756</v>
      </c>
      <c r="B11631" t="s">
        <v>22757</v>
      </c>
      <c r="C11631" t="s">
        <v>50</v>
      </c>
      <c r="D11631" t="s">
        <v>51</v>
      </c>
      <c r="E11631" s="6">
        <v>-28303</v>
      </c>
      <c r="F11631" t="s">
        <v>201</v>
      </c>
      <c r="G11631" t="s">
        <v>31</v>
      </c>
      <c r="H11631" t="s">
        <v>20</v>
      </c>
      <c r="I11631" t="s">
        <v>22758</v>
      </c>
      <c r="J11631" t="str">
        <f>HYPERLINK("https://www.boe.es/gazeta/dias/1822/07/04/pdfs/GMD-1822-193.pdf#page=3","Abrir facsímil")</f>
        <v>Abrir facsímil</v>
      </c>
      <c r="K11631" t="s">
        <v>22</v>
      </c>
    </row>
    <row r="11632" spans="1:11" ht="42" customHeight="1">
      <c r="A11632" t="s">
        <v>22759</v>
      </c>
      <c r="B11632" t="s">
        <v>22760</v>
      </c>
      <c r="C11632" t="s">
        <v>50</v>
      </c>
      <c r="D11632" t="s">
        <v>51</v>
      </c>
      <c r="E11632" s="6">
        <v>-28264</v>
      </c>
      <c r="F11632" t="s">
        <v>1329</v>
      </c>
      <c r="G11632" t="s">
        <v>57</v>
      </c>
      <c r="H11632" t="s">
        <v>20</v>
      </c>
      <c r="I11632" t="s">
        <v>22761</v>
      </c>
      <c r="J11632" t="str">
        <f>HYPERLINK("https://www.boe.es/gazeta/dias/1822/08/12/pdfs/GMD-1822-236.pdf#page=4","Abrir facsímil")</f>
        <v>Abrir facsímil</v>
      </c>
      <c r="K11632" t="s">
        <v>22</v>
      </c>
    </row>
    <row r="11633" spans="1:11" ht="42" customHeight="1">
      <c r="A11633" t="s">
        <v>22762</v>
      </c>
      <c r="B11633" t="s">
        <v>22763</v>
      </c>
      <c r="C11633" t="s">
        <v>42</v>
      </c>
      <c r="D11633" t="s">
        <v>17</v>
      </c>
      <c r="E11633" s="6">
        <v>-28210</v>
      </c>
      <c r="F11633" t="s">
        <v>218</v>
      </c>
      <c r="G11633" t="s">
        <v>19</v>
      </c>
      <c r="H11633" t="s">
        <v>20</v>
      </c>
      <c r="I11633" t="s">
        <v>22764</v>
      </c>
      <c r="J11633" t="str">
        <f>HYPERLINK("https://www.boe.es/gazeta/dias/1822/10/05/pdfs/GMD-1822-291.pdf#page=5","Abrir facsímil")</f>
        <v>Abrir facsímil</v>
      </c>
      <c r="K11633" t="s">
        <v>22</v>
      </c>
    </row>
    <row r="11634" spans="1:11" ht="42" customHeight="1">
      <c r="A11634" t="s">
        <v>22765</v>
      </c>
      <c r="B11634" t="s">
        <v>22766</v>
      </c>
      <c r="C11634" t="s">
        <v>50</v>
      </c>
      <c r="D11634" t="s">
        <v>51</v>
      </c>
      <c r="E11634" s="6">
        <v>-28259</v>
      </c>
      <c r="F11634" t="s">
        <v>1912</v>
      </c>
      <c r="G11634" t="s">
        <v>57</v>
      </c>
      <c r="H11634" t="s">
        <v>20</v>
      </c>
      <c r="I11634" t="s">
        <v>22767</v>
      </c>
      <c r="J11634" t="str">
        <f>HYPERLINK("https://www.boe.es/gazeta/dias/1822/08/17/pdfs/GMD-1822-241.pdf#page=4","Abrir facsímil")</f>
        <v>Abrir facsímil</v>
      </c>
      <c r="K11634" t="s">
        <v>22</v>
      </c>
    </row>
    <row r="11635" spans="1:11" ht="42" customHeight="1">
      <c r="A11635" t="s">
        <v>22768</v>
      </c>
      <c r="B11635" t="s">
        <v>22768</v>
      </c>
      <c r="C11635" t="s">
        <v>42</v>
      </c>
      <c r="D11635" t="s">
        <v>17</v>
      </c>
      <c r="E11635" s="6">
        <v>-28162</v>
      </c>
      <c r="F11635" t="s">
        <v>3949</v>
      </c>
      <c r="G11635" t="s">
        <v>31</v>
      </c>
      <c r="H11635" t="s">
        <v>20</v>
      </c>
      <c r="I11635" t="s">
        <v>22769</v>
      </c>
      <c r="J11635" t="str">
        <f>HYPERLINK("https://www.boe.es/gazeta/dias/1822/11/22/pdfs/GMD-1822-342.pdf#page=3","Abrir facsímil")</f>
        <v>Abrir facsímil</v>
      </c>
      <c r="K11635" t="s">
        <v>22</v>
      </c>
    </row>
    <row r="11636" spans="1:11" ht="42" customHeight="1">
      <c r="A11636" t="s">
        <v>22770</v>
      </c>
      <c r="B11636" t="s">
        <v>22770</v>
      </c>
      <c r="C11636" t="s">
        <v>50</v>
      </c>
      <c r="D11636" t="s">
        <v>51</v>
      </c>
      <c r="E11636" s="6">
        <v>-28472</v>
      </c>
      <c r="F11636" t="s">
        <v>5485</v>
      </c>
      <c r="G11636" t="s">
        <v>35</v>
      </c>
      <c r="H11636" t="s">
        <v>20</v>
      </c>
      <c r="I11636" t="s">
        <v>22771</v>
      </c>
      <c r="J11636" t="str">
        <f>HYPERLINK("https://www.boe.es/gazeta/dias/1822/01/16/pdfs/GMD-1822-16.pdf#page=2","Abrir facsímil")</f>
        <v>Abrir facsímil</v>
      </c>
      <c r="K11636" t="s">
        <v>22</v>
      </c>
    </row>
    <row r="11637" spans="1:11" ht="42" customHeight="1">
      <c r="A11637" t="s">
        <v>22770</v>
      </c>
      <c r="B11637" t="s">
        <v>22770</v>
      </c>
      <c r="C11637" t="s">
        <v>28</v>
      </c>
      <c r="D11637" t="s">
        <v>29</v>
      </c>
      <c r="E11637" s="6">
        <v>-28454</v>
      </c>
      <c r="F11637" t="s">
        <v>2033</v>
      </c>
      <c r="G11637" t="s">
        <v>157</v>
      </c>
      <c r="H11637" t="s">
        <v>20</v>
      </c>
      <c r="I11637" t="s">
        <v>22772</v>
      </c>
      <c r="J11637" t="str">
        <f>HYPERLINK("https://www.boe.es/gazeta/dias/1822/02/03/pdfs/GMD-1822-34.pdf#page=8","Abrir facsímil")</f>
        <v>Abrir facsímil</v>
      </c>
      <c r="K11637" t="s">
        <v>22</v>
      </c>
    </row>
    <row r="11638" spans="1:11" ht="42" customHeight="1">
      <c r="A11638" t="s">
        <v>22770</v>
      </c>
      <c r="B11638" t="s">
        <v>22770</v>
      </c>
      <c r="C11638" t="s">
        <v>28</v>
      </c>
      <c r="D11638" t="s">
        <v>29</v>
      </c>
      <c r="E11638" s="6">
        <v>-28436</v>
      </c>
      <c r="F11638" t="s">
        <v>431</v>
      </c>
      <c r="G11638" t="s">
        <v>1428</v>
      </c>
      <c r="H11638" t="s">
        <v>20</v>
      </c>
      <c r="I11638" t="s">
        <v>22773</v>
      </c>
      <c r="J11638" t="str">
        <f>HYPERLINK("https://www.boe.es/gazeta/dias/1822/02/21/pdfs/GMD-1822-53.pdf#page=3","Abrir facsímil")</f>
        <v>Abrir facsímil</v>
      </c>
      <c r="K11638" t="s">
        <v>22</v>
      </c>
    </row>
    <row r="11639" spans="1:11" ht="42" customHeight="1">
      <c r="A11639" t="s">
        <v>22770</v>
      </c>
      <c r="B11639" t="s">
        <v>22770</v>
      </c>
      <c r="C11639" t="s">
        <v>362</v>
      </c>
      <c r="D11639" t="s">
        <v>17</v>
      </c>
      <c r="E11639" s="6">
        <v>-28435</v>
      </c>
      <c r="F11639" t="s">
        <v>1710</v>
      </c>
      <c r="G11639" t="s">
        <v>57</v>
      </c>
      <c r="H11639" t="s">
        <v>20</v>
      </c>
      <c r="I11639" t="s">
        <v>22774</v>
      </c>
      <c r="J11639" t="str">
        <f>HYPERLINK("https://www.boe.es/gazeta/dias/1822/02/22/pdfs/GMD-1822-54.pdf#page=4","Abrir facsímil")</f>
        <v>Abrir facsímil</v>
      </c>
      <c r="K11639" t="s">
        <v>22</v>
      </c>
    </row>
    <row r="11640" spans="1:11" ht="42" customHeight="1">
      <c r="A11640" t="s">
        <v>22770</v>
      </c>
      <c r="B11640" t="s">
        <v>22770</v>
      </c>
      <c r="C11640" t="s">
        <v>28</v>
      </c>
      <c r="D11640" t="s">
        <v>29</v>
      </c>
      <c r="E11640" s="6">
        <v>-28432</v>
      </c>
      <c r="F11640" t="s">
        <v>195</v>
      </c>
      <c r="G11640" t="s">
        <v>57</v>
      </c>
      <c r="H11640" t="s">
        <v>20</v>
      </c>
      <c r="I11640" t="s">
        <v>22775</v>
      </c>
      <c r="J11640" t="str">
        <f>HYPERLINK("https://www.boe.es/gazeta/dias/1822/02/25/pdfs/GMD-1822-57.pdf#page=4","Abrir facsímil")</f>
        <v>Abrir facsímil</v>
      </c>
      <c r="K11640" t="s">
        <v>22</v>
      </c>
    </row>
    <row r="11641" spans="1:11" ht="42" customHeight="1">
      <c r="A11641" t="s">
        <v>22770</v>
      </c>
      <c r="B11641" t="s">
        <v>22770</v>
      </c>
      <c r="C11641" t="s">
        <v>42</v>
      </c>
      <c r="D11641" t="s">
        <v>17</v>
      </c>
      <c r="E11641" s="6">
        <v>-28428</v>
      </c>
      <c r="F11641" t="s">
        <v>1924</v>
      </c>
      <c r="G11641" t="s">
        <v>57</v>
      </c>
      <c r="H11641" t="s">
        <v>20</v>
      </c>
      <c r="I11641" t="s">
        <v>22776</v>
      </c>
      <c r="J11641" t="str">
        <f>HYPERLINK("https://www.boe.es/gazeta/dias/1822/03/01/pdfs/GMD-1822-61.pdf#page=4","Abrir facsímil")</f>
        <v>Abrir facsímil</v>
      </c>
      <c r="K11641" t="s">
        <v>22</v>
      </c>
    </row>
    <row r="11642" spans="1:11" ht="42" customHeight="1">
      <c r="A11642" t="s">
        <v>22770</v>
      </c>
      <c r="B11642" t="s">
        <v>22770</v>
      </c>
      <c r="C11642" t="s">
        <v>28</v>
      </c>
      <c r="D11642" t="s">
        <v>29</v>
      </c>
      <c r="E11642" s="6">
        <v>-28427</v>
      </c>
      <c r="F11642" t="s">
        <v>755</v>
      </c>
      <c r="G11642" t="s">
        <v>31</v>
      </c>
      <c r="H11642" t="s">
        <v>20</v>
      </c>
      <c r="I11642" t="s">
        <v>22777</v>
      </c>
      <c r="J11642" t="str">
        <f>HYPERLINK("https://www.boe.es/gazeta/dias/1822/03/02/pdfs/GMD-1822-63.pdf#page=3","Abrir facsímil")</f>
        <v>Abrir facsímil</v>
      </c>
      <c r="K11642" t="s">
        <v>22</v>
      </c>
    </row>
    <row r="11643" spans="1:11" ht="42" customHeight="1">
      <c r="A11643" t="s">
        <v>22770</v>
      </c>
      <c r="B11643" t="s">
        <v>22770</v>
      </c>
      <c r="C11643" t="s">
        <v>42</v>
      </c>
      <c r="D11643" t="s">
        <v>17</v>
      </c>
      <c r="E11643" s="6">
        <v>-28417</v>
      </c>
      <c r="F11643" t="s">
        <v>1394</v>
      </c>
      <c r="G11643" t="s">
        <v>35</v>
      </c>
      <c r="H11643" t="s">
        <v>20</v>
      </c>
      <c r="I11643" t="s">
        <v>22778</v>
      </c>
      <c r="J11643" t="str">
        <f>HYPERLINK("https://www.boe.es/gazeta/dias/1822/03/12/pdfs/GMD-1822-73.pdf#page=2","Abrir facsímil")</f>
        <v>Abrir facsímil</v>
      </c>
      <c r="K11643" t="s">
        <v>22</v>
      </c>
    </row>
    <row r="11644" spans="1:11" ht="42" customHeight="1">
      <c r="A11644" t="s">
        <v>22770</v>
      </c>
      <c r="B11644" t="s">
        <v>22770</v>
      </c>
      <c r="C11644" t="s">
        <v>42</v>
      </c>
      <c r="D11644" t="s">
        <v>17</v>
      </c>
      <c r="E11644" s="6">
        <v>-28415</v>
      </c>
      <c r="F11644" t="s">
        <v>77</v>
      </c>
      <c r="G11644" t="s">
        <v>63</v>
      </c>
      <c r="H11644" t="s">
        <v>20</v>
      </c>
      <c r="I11644" t="s">
        <v>22779</v>
      </c>
      <c r="J11644" t="str">
        <f>HYPERLINK("https://www.boe.es/gazeta/dias/1822/03/14/pdfs/GMD-1822-75.pdf#page=6","Abrir facsímil")</f>
        <v>Abrir facsímil</v>
      </c>
      <c r="K11644" t="s">
        <v>22</v>
      </c>
    </row>
    <row r="11645" spans="1:11" ht="42" customHeight="1">
      <c r="A11645" t="s">
        <v>22770</v>
      </c>
      <c r="B11645" t="s">
        <v>22770</v>
      </c>
      <c r="C11645" t="s">
        <v>71</v>
      </c>
      <c r="D11645" t="s">
        <v>17</v>
      </c>
      <c r="E11645" s="6">
        <v>-28413</v>
      </c>
      <c r="F11645" t="s">
        <v>458</v>
      </c>
      <c r="G11645" t="s">
        <v>22780</v>
      </c>
      <c r="H11645" t="s">
        <v>20</v>
      </c>
      <c r="I11645" t="s">
        <v>22781</v>
      </c>
      <c r="J11645" t="str">
        <f>HYPERLINK("https://www.boe.es/gazeta/dias/1822/03/16/pdfs/GMD-1822-77.pdf#page=2","Abrir facsímil")</f>
        <v>Abrir facsímil</v>
      </c>
      <c r="K11645" t="s">
        <v>22</v>
      </c>
    </row>
    <row r="11646" spans="1:11" ht="42" customHeight="1">
      <c r="A11646" t="s">
        <v>22770</v>
      </c>
      <c r="B11646" t="s">
        <v>22770</v>
      </c>
      <c r="C11646" t="s">
        <v>42</v>
      </c>
      <c r="D11646" t="s">
        <v>17</v>
      </c>
      <c r="E11646" s="6">
        <v>-28395</v>
      </c>
      <c r="F11646" t="s">
        <v>237</v>
      </c>
      <c r="G11646" t="s">
        <v>57</v>
      </c>
      <c r="H11646" t="s">
        <v>20</v>
      </c>
      <c r="I11646" t="s">
        <v>22782</v>
      </c>
      <c r="J11646" t="str">
        <f>HYPERLINK("https://www.boe.es/gazeta/dias/1822/04/03/pdfs/GMD-1822-95.pdf#page=4","Abrir facsímil")</f>
        <v>Abrir facsímil</v>
      </c>
      <c r="K11646" t="s">
        <v>22</v>
      </c>
    </row>
    <row r="11647" spans="1:11" ht="42" customHeight="1">
      <c r="A11647" t="s">
        <v>22770</v>
      </c>
      <c r="B11647" t="s">
        <v>22770</v>
      </c>
      <c r="C11647" t="s">
        <v>28</v>
      </c>
      <c r="D11647" t="s">
        <v>29</v>
      </c>
      <c r="E11647" s="6">
        <v>-28370</v>
      </c>
      <c r="F11647" t="s">
        <v>207</v>
      </c>
      <c r="G11647" t="s">
        <v>63</v>
      </c>
      <c r="H11647" t="s">
        <v>20</v>
      </c>
      <c r="I11647" t="s">
        <v>22783</v>
      </c>
      <c r="J11647" t="str">
        <f>HYPERLINK("https://www.boe.es/gazeta/dias/1822/04/28/pdfs/GMD-1822-120.pdf#page=6","Abrir facsímil")</f>
        <v>Abrir facsímil</v>
      </c>
      <c r="K11647" t="s">
        <v>22</v>
      </c>
    </row>
    <row r="11648" spans="1:11" ht="42" customHeight="1">
      <c r="A11648" t="s">
        <v>22770</v>
      </c>
      <c r="B11648" t="s">
        <v>22770</v>
      </c>
      <c r="C11648" t="s">
        <v>28</v>
      </c>
      <c r="D11648" t="s">
        <v>29</v>
      </c>
      <c r="E11648" s="6">
        <v>-28323</v>
      </c>
      <c r="F11648" t="s">
        <v>116</v>
      </c>
      <c r="G11648" t="s">
        <v>31</v>
      </c>
      <c r="H11648" t="s">
        <v>20</v>
      </c>
      <c r="I11648" t="s">
        <v>22784</v>
      </c>
      <c r="J11648" t="str">
        <f>HYPERLINK("https://www.boe.es/gazeta/dias/1822/06/14/pdfs/GMD-1822-171.pdf#page=3","Abrir facsímil")</f>
        <v>Abrir facsímil</v>
      </c>
      <c r="K11648" t="s">
        <v>22</v>
      </c>
    </row>
    <row r="11649" spans="1:11" ht="42" customHeight="1">
      <c r="A11649" t="s">
        <v>22770</v>
      </c>
      <c r="B11649" t="s">
        <v>22770</v>
      </c>
      <c r="C11649" t="s">
        <v>16</v>
      </c>
      <c r="D11649" t="s">
        <v>17</v>
      </c>
      <c r="E11649" s="6">
        <v>-28322</v>
      </c>
      <c r="F11649" t="s">
        <v>2205</v>
      </c>
      <c r="G11649" t="s">
        <v>57</v>
      </c>
      <c r="H11649" t="s">
        <v>20</v>
      </c>
      <c r="I11649" t="s">
        <v>22785</v>
      </c>
      <c r="J11649" t="str">
        <f>HYPERLINK("https://www.boe.es/gazeta/dias/1822/06/15/pdfs/GMD-1822-172.pdf#page=4","Abrir facsímil")</f>
        <v>Abrir facsímil</v>
      </c>
      <c r="K11649" t="s">
        <v>22</v>
      </c>
    </row>
    <row r="11650" spans="1:11" ht="42" customHeight="1">
      <c r="A11650" t="s">
        <v>22770</v>
      </c>
      <c r="B11650" t="s">
        <v>22770</v>
      </c>
      <c r="C11650" t="s">
        <v>50</v>
      </c>
      <c r="D11650" t="s">
        <v>51</v>
      </c>
      <c r="E11650" s="6">
        <v>-28303</v>
      </c>
      <c r="F11650" t="s">
        <v>201</v>
      </c>
      <c r="G11650" t="s">
        <v>31</v>
      </c>
      <c r="H11650" t="s">
        <v>20</v>
      </c>
      <c r="I11650" t="s">
        <v>22786</v>
      </c>
      <c r="J11650" t="str">
        <f>HYPERLINK("https://www.boe.es/gazeta/dias/1822/07/04/pdfs/GMD-1822-193.pdf#page=3","Abrir facsímil")</f>
        <v>Abrir facsímil</v>
      </c>
      <c r="K11650" t="s">
        <v>22</v>
      </c>
    </row>
    <row r="11651" spans="1:11" ht="42" customHeight="1">
      <c r="A11651" t="s">
        <v>22770</v>
      </c>
      <c r="B11651" t="s">
        <v>22770</v>
      </c>
      <c r="C11651" t="s">
        <v>50</v>
      </c>
      <c r="D11651" t="s">
        <v>51</v>
      </c>
      <c r="E11651" s="6">
        <v>-28292</v>
      </c>
      <c r="F11651" t="s">
        <v>222</v>
      </c>
      <c r="G11651" t="s">
        <v>31</v>
      </c>
      <c r="H11651" t="s">
        <v>20</v>
      </c>
      <c r="I11651" t="s">
        <v>22787</v>
      </c>
      <c r="J11651" t="str">
        <f>HYPERLINK("https://www.boe.es/gazeta/dias/1822/07/15/pdfs/GMD-1822-205.pdf#page=3","Abrir facsímil")</f>
        <v>Abrir facsímil</v>
      </c>
      <c r="K11651" t="s">
        <v>22</v>
      </c>
    </row>
    <row r="11652" spans="1:11" ht="42" customHeight="1">
      <c r="A11652" t="s">
        <v>22770</v>
      </c>
      <c r="B11652" t="s">
        <v>22770</v>
      </c>
      <c r="C11652" t="s">
        <v>28</v>
      </c>
      <c r="D11652" t="s">
        <v>29</v>
      </c>
      <c r="E11652" s="6">
        <v>-28283</v>
      </c>
      <c r="F11652" t="s">
        <v>1477</v>
      </c>
      <c r="G11652" t="s">
        <v>57</v>
      </c>
      <c r="H11652" t="s">
        <v>20</v>
      </c>
      <c r="I11652" t="s">
        <v>22788</v>
      </c>
      <c r="J11652" t="str">
        <f>HYPERLINK("https://www.boe.es/gazeta/dias/1822/07/24/pdfs/GMD-1822-217.pdf#page=4","Abrir facsímil")</f>
        <v>Abrir facsímil</v>
      </c>
      <c r="K11652" t="s">
        <v>22</v>
      </c>
    </row>
    <row r="11653" spans="1:11" ht="42" customHeight="1">
      <c r="A11653" t="s">
        <v>22770</v>
      </c>
      <c r="B11653" t="s">
        <v>22770</v>
      </c>
      <c r="C11653" t="s">
        <v>28</v>
      </c>
      <c r="D11653" t="s">
        <v>29</v>
      </c>
      <c r="E11653" s="6">
        <v>-28224</v>
      </c>
      <c r="F11653" t="s">
        <v>1902</v>
      </c>
      <c r="G11653" t="s">
        <v>57</v>
      </c>
      <c r="H11653" t="s">
        <v>20</v>
      </c>
      <c r="I11653" t="s">
        <v>22789</v>
      </c>
      <c r="J11653" t="str">
        <f>HYPERLINK("https://www.boe.es/gazeta/dias/1822/09/21/pdfs/GMD-1822-277.pdf#page=4","Abrir facsímil")</f>
        <v>Abrir facsímil</v>
      </c>
      <c r="K11653" t="s">
        <v>22</v>
      </c>
    </row>
    <row r="11654" spans="1:11" ht="42" customHeight="1">
      <c r="A11654" t="s">
        <v>22770</v>
      </c>
      <c r="B11654" t="s">
        <v>22770</v>
      </c>
      <c r="C11654" t="s">
        <v>362</v>
      </c>
      <c r="D11654" t="s">
        <v>17</v>
      </c>
      <c r="E11654" s="6">
        <v>-28223</v>
      </c>
      <c r="F11654" t="s">
        <v>2374</v>
      </c>
      <c r="G11654" t="s">
        <v>57</v>
      </c>
      <c r="H11654" t="s">
        <v>20</v>
      </c>
      <c r="I11654" t="s">
        <v>22790</v>
      </c>
      <c r="J11654" t="str">
        <f>HYPERLINK("https://www.boe.es/gazeta/dias/1822/09/22/pdfs/GMD-1822-278.pdf#page=4","Abrir facsímil")</f>
        <v>Abrir facsímil</v>
      </c>
      <c r="K11654" t="s">
        <v>22</v>
      </c>
    </row>
    <row r="11655" spans="1:11" ht="42" customHeight="1">
      <c r="A11655" t="s">
        <v>22770</v>
      </c>
      <c r="B11655" t="s">
        <v>22770</v>
      </c>
      <c r="C11655" t="s">
        <v>362</v>
      </c>
      <c r="D11655" t="s">
        <v>17</v>
      </c>
      <c r="E11655" s="6">
        <v>-28181</v>
      </c>
      <c r="F11655" t="s">
        <v>739</v>
      </c>
      <c r="G11655" t="s">
        <v>63</v>
      </c>
      <c r="H11655" t="s">
        <v>20</v>
      </c>
      <c r="I11655" t="s">
        <v>22791</v>
      </c>
      <c r="J11655" t="str">
        <f>HYPERLINK("https://www.boe.es/gazeta/dias/1822/11/03/pdfs/GMD-1822-321.pdf#page=6","Abrir facsímil")</f>
        <v>Abrir facsímil</v>
      </c>
      <c r="K11655" t="s">
        <v>22</v>
      </c>
    </row>
    <row r="11656" spans="1:11" ht="42" customHeight="1">
      <c r="A11656" t="s">
        <v>22770</v>
      </c>
      <c r="B11656" t="s">
        <v>22770</v>
      </c>
      <c r="C11656" t="s">
        <v>28</v>
      </c>
      <c r="D11656" t="s">
        <v>29</v>
      </c>
      <c r="E11656" s="6">
        <v>-28163</v>
      </c>
      <c r="F11656" t="s">
        <v>891</v>
      </c>
      <c r="G11656" t="s">
        <v>35</v>
      </c>
      <c r="H11656" t="s">
        <v>20</v>
      </c>
      <c r="I11656" t="s">
        <v>22792</v>
      </c>
      <c r="J11656" t="str">
        <f>HYPERLINK("https://www.boe.es/gazeta/dias/1822/11/21/pdfs/GMD-1822-341.pdf#page=2","Abrir facsímil")</f>
        <v>Abrir facsímil</v>
      </c>
      <c r="K11656" t="s">
        <v>22</v>
      </c>
    </row>
    <row r="11657" spans="1:11" ht="42" customHeight="1">
      <c r="A11657" t="s">
        <v>22770</v>
      </c>
      <c r="B11657" t="s">
        <v>22770</v>
      </c>
      <c r="C11657" t="s">
        <v>50</v>
      </c>
      <c r="D11657" t="s">
        <v>51</v>
      </c>
      <c r="E11657" s="6">
        <v>-28159</v>
      </c>
      <c r="F11657" t="s">
        <v>67</v>
      </c>
      <c r="G11657" t="s">
        <v>57</v>
      </c>
      <c r="H11657" t="s">
        <v>20</v>
      </c>
      <c r="I11657" t="s">
        <v>22793</v>
      </c>
      <c r="J11657" t="str">
        <f>HYPERLINK("https://www.boe.es/gazeta/dias/1822/11/25/pdfs/GMD-1822-345.pdf#page=4","Abrir facsímil")</f>
        <v>Abrir facsímil</v>
      </c>
      <c r="K11657" t="s">
        <v>22</v>
      </c>
    </row>
    <row r="11658" spans="1:11" ht="42" customHeight="1">
      <c r="A11658" t="s">
        <v>22770</v>
      </c>
      <c r="B11658" t="s">
        <v>22770</v>
      </c>
      <c r="C11658" t="s">
        <v>71</v>
      </c>
      <c r="D11658" t="s">
        <v>17</v>
      </c>
      <c r="E11658" s="6">
        <v>-28158</v>
      </c>
      <c r="F11658" t="s">
        <v>590</v>
      </c>
      <c r="G11658" t="s">
        <v>57</v>
      </c>
      <c r="H11658" t="s">
        <v>20</v>
      </c>
      <c r="I11658" t="s">
        <v>22794</v>
      </c>
      <c r="J11658" t="str">
        <f>HYPERLINK("https://www.boe.es/gazeta/dias/1822/11/26/pdfs/GMD-1822-346.pdf#page=4","Abrir facsímil")</f>
        <v>Abrir facsímil</v>
      </c>
      <c r="K11658" t="s">
        <v>22</v>
      </c>
    </row>
    <row r="11659" spans="1:11" ht="42" customHeight="1">
      <c r="A11659" t="s">
        <v>22770</v>
      </c>
      <c r="B11659" t="s">
        <v>22770</v>
      </c>
      <c r="C11659" t="s">
        <v>42</v>
      </c>
      <c r="D11659" t="s">
        <v>17</v>
      </c>
      <c r="E11659" s="6">
        <v>-28152</v>
      </c>
      <c r="F11659" t="s">
        <v>122</v>
      </c>
      <c r="G11659" t="s">
        <v>19</v>
      </c>
      <c r="H11659" t="s">
        <v>20</v>
      </c>
      <c r="I11659" t="s">
        <v>22795</v>
      </c>
      <c r="J11659" t="str">
        <f>HYPERLINK("https://www.boe.es/gazeta/dias/1822/12/02/pdfs/GMD-1822-352.pdf#page=5","Abrir facsímil")</f>
        <v>Abrir facsímil</v>
      </c>
      <c r="K11659" t="s">
        <v>22</v>
      </c>
    </row>
    <row r="11660" spans="1:11" ht="42" customHeight="1">
      <c r="A11660" t="s">
        <v>22770</v>
      </c>
      <c r="B11660" t="s">
        <v>22770</v>
      </c>
      <c r="C11660" t="s">
        <v>16</v>
      </c>
      <c r="D11660" t="s">
        <v>17</v>
      </c>
      <c r="E11660" s="6">
        <v>-28144</v>
      </c>
      <c r="F11660" t="s">
        <v>288</v>
      </c>
      <c r="G11660" t="s">
        <v>63</v>
      </c>
      <c r="H11660" t="s">
        <v>20</v>
      </c>
      <c r="I11660" t="s">
        <v>22796</v>
      </c>
      <c r="J11660" t="str">
        <f>HYPERLINK("https://www.boe.es/gazeta/dias/1822/12/10/pdfs/GMD-1822-360.pdf#page=6","Abrir facsímil")</f>
        <v>Abrir facsímil</v>
      </c>
      <c r="K11660" t="s">
        <v>22</v>
      </c>
    </row>
    <row r="11661" spans="1:11" ht="42" customHeight="1">
      <c r="A11661" t="s">
        <v>22770</v>
      </c>
      <c r="B11661" t="s">
        <v>22770</v>
      </c>
      <c r="C11661" t="s">
        <v>50</v>
      </c>
      <c r="D11661" t="s">
        <v>51</v>
      </c>
      <c r="E11661" s="6">
        <v>-28130</v>
      </c>
      <c r="F11661" t="s">
        <v>34</v>
      </c>
      <c r="G11661" t="s">
        <v>63</v>
      </c>
      <c r="H11661" t="s">
        <v>20</v>
      </c>
      <c r="I11661" t="s">
        <v>22797</v>
      </c>
      <c r="J11661" t="str">
        <f>HYPERLINK("https://www.boe.es/gazeta/dias/1822/12/24/pdfs/GMD-1822-374.pdf#page=6","Abrir facsímil")</f>
        <v>Abrir facsímil</v>
      </c>
      <c r="K11661" t="s">
        <v>22</v>
      </c>
    </row>
    <row r="11662" spans="1:11" ht="42" customHeight="1">
      <c r="A11662" t="s">
        <v>22798</v>
      </c>
      <c r="B11662" t="s">
        <v>22799</v>
      </c>
      <c r="C11662" t="s">
        <v>50</v>
      </c>
      <c r="D11662" t="s">
        <v>51</v>
      </c>
      <c r="E11662" s="6">
        <v>-28154</v>
      </c>
      <c r="F11662" t="s">
        <v>2321</v>
      </c>
      <c r="G11662" t="s">
        <v>3913</v>
      </c>
      <c r="H11662" t="s">
        <v>20</v>
      </c>
      <c r="I11662" t="s">
        <v>22800</v>
      </c>
      <c r="J11662" t="str">
        <f>HYPERLINK("https://www.boe.es/gazeta/dias/1822/11/30/pdfs/GMD-1822-350.pdf#page=4","Abrir facsímil")</f>
        <v>Abrir facsímil</v>
      </c>
      <c r="K11662" t="s">
        <v>22</v>
      </c>
    </row>
    <row r="11663" spans="1:11" ht="42" customHeight="1">
      <c r="A11663" t="s">
        <v>22801</v>
      </c>
      <c r="B11663" t="s">
        <v>22802</v>
      </c>
      <c r="C11663" t="s">
        <v>61</v>
      </c>
      <c r="D11663" t="s">
        <v>17</v>
      </c>
      <c r="E11663" s="6">
        <v>-28208</v>
      </c>
      <c r="F11663" t="s">
        <v>230</v>
      </c>
      <c r="G11663" t="s">
        <v>57</v>
      </c>
      <c r="H11663" t="s">
        <v>20</v>
      </c>
      <c r="I11663" t="s">
        <v>22803</v>
      </c>
      <c r="J11663" t="str">
        <f>HYPERLINK("https://www.boe.es/gazeta/dias/1822/10/07/pdfs/GMD-1822-293.pdf#page=4","Abrir facsímil")</f>
        <v>Abrir facsímil</v>
      </c>
      <c r="K11663" t="s">
        <v>22</v>
      </c>
    </row>
    <row r="11664" spans="1:11" ht="42" customHeight="1">
      <c r="A11664" t="s">
        <v>22804</v>
      </c>
      <c r="B11664" t="s">
        <v>22804</v>
      </c>
      <c r="C11664" t="s">
        <v>24</v>
      </c>
      <c r="D11664" t="s">
        <v>17</v>
      </c>
      <c r="E11664" s="6">
        <v>-28474</v>
      </c>
      <c r="F11664" t="s">
        <v>30</v>
      </c>
      <c r="G11664" t="s">
        <v>57</v>
      </c>
      <c r="H11664" t="s">
        <v>20</v>
      </c>
      <c r="I11664" t="s">
        <v>22805</v>
      </c>
      <c r="J11664" t="str">
        <f>HYPERLINK("https://www.boe.es/gazeta/dias/1822/01/14/pdfs/GMD-1822-14.pdf#page=4","Abrir facsímil")</f>
        <v>Abrir facsímil</v>
      </c>
      <c r="K11664" t="s">
        <v>22</v>
      </c>
    </row>
    <row r="11665" spans="1:11" ht="42" customHeight="1">
      <c r="A11665" t="s">
        <v>22804</v>
      </c>
      <c r="B11665" t="s">
        <v>22804</v>
      </c>
      <c r="C11665" t="s">
        <v>28</v>
      </c>
      <c r="D11665" t="s">
        <v>29</v>
      </c>
      <c r="E11665" s="6">
        <v>-28451</v>
      </c>
      <c r="F11665" t="s">
        <v>1674</v>
      </c>
      <c r="G11665" t="s">
        <v>31</v>
      </c>
      <c r="H11665" t="s">
        <v>20</v>
      </c>
      <c r="I11665" t="s">
        <v>22806</v>
      </c>
      <c r="J11665" t="str">
        <f>HYPERLINK("https://www.boe.es/gazeta/dias/1822/02/06/pdfs/GMD-1822-37.pdf#page=3","Abrir facsímil")</f>
        <v>Abrir facsímil</v>
      </c>
      <c r="K11665" t="s">
        <v>22</v>
      </c>
    </row>
    <row r="11666" spans="1:11" ht="42" customHeight="1">
      <c r="A11666" t="s">
        <v>22807</v>
      </c>
      <c r="B11666" t="s">
        <v>22808</v>
      </c>
      <c r="C11666" t="s">
        <v>71</v>
      </c>
      <c r="D11666" t="s">
        <v>17</v>
      </c>
      <c r="E11666" s="6">
        <v>-28404</v>
      </c>
      <c r="F11666" t="s">
        <v>421</v>
      </c>
      <c r="G11666" t="s">
        <v>44</v>
      </c>
      <c r="H11666" t="s">
        <v>20</v>
      </c>
      <c r="I11666" t="s">
        <v>22809</v>
      </c>
      <c r="J11666" t="str">
        <f>HYPERLINK("https://www.boe.es/gazeta/dias/1822/03/25/pdfs/GMD-1822-86.pdf#page=1","Abrir facsímil")</f>
        <v>Abrir facsímil</v>
      </c>
      <c r="K11666" t="s">
        <v>22</v>
      </c>
    </row>
    <row r="11667" spans="1:11" ht="42" customHeight="1">
      <c r="A11667" t="s">
        <v>22810</v>
      </c>
      <c r="B11667" t="s">
        <v>22811</v>
      </c>
      <c r="C11667" t="s">
        <v>42</v>
      </c>
      <c r="D11667" t="s">
        <v>17</v>
      </c>
      <c r="E11667" s="6">
        <v>-28402</v>
      </c>
      <c r="F11667" t="s">
        <v>473</v>
      </c>
      <c r="G11667" t="s">
        <v>35</v>
      </c>
      <c r="H11667" t="s">
        <v>20</v>
      </c>
      <c r="I11667" t="s">
        <v>22812</v>
      </c>
      <c r="J11667" t="str">
        <f>HYPERLINK("https://www.boe.es/gazeta/dias/1822/03/27/pdfs/GMD-1822-88.pdf#page=2","Abrir facsímil")</f>
        <v>Abrir facsímil</v>
      </c>
      <c r="K11667" t="s">
        <v>22</v>
      </c>
    </row>
    <row r="11668" spans="1:11" ht="42" customHeight="1">
      <c r="A11668" t="s">
        <v>22813</v>
      </c>
      <c r="B11668" t="s">
        <v>22814</v>
      </c>
      <c r="C11668" t="s">
        <v>50</v>
      </c>
      <c r="D11668" t="s">
        <v>51</v>
      </c>
      <c r="E11668" s="6">
        <v>-28125</v>
      </c>
      <c r="F11668" t="s">
        <v>322</v>
      </c>
      <c r="G11668" t="s">
        <v>19</v>
      </c>
      <c r="H11668" t="s">
        <v>20</v>
      </c>
      <c r="I11668" t="s">
        <v>22815</v>
      </c>
      <c r="J11668" t="str">
        <f>HYPERLINK("https://www.boe.es/gazeta/dias/1822/12/29/pdfs/GMD-1822-379.pdf#page=5","Abrir facsímil")</f>
        <v>Abrir facsímil</v>
      </c>
      <c r="K11668" t="s">
        <v>22</v>
      </c>
    </row>
    <row r="11669" spans="1:11" ht="42" customHeight="1">
      <c r="A11669" t="s">
        <v>22816</v>
      </c>
      <c r="B11669" t="s">
        <v>22817</v>
      </c>
      <c r="C11669" t="s">
        <v>50</v>
      </c>
      <c r="D11669" t="s">
        <v>51</v>
      </c>
      <c r="E11669" s="6">
        <v>-28280</v>
      </c>
      <c r="F11669" t="s">
        <v>56</v>
      </c>
      <c r="G11669" t="s">
        <v>57</v>
      </c>
      <c r="H11669" t="s">
        <v>20</v>
      </c>
      <c r="I11669" t="s">
        <v>22818</v>
      </c>
      <c r="J11669" t="str">
        <f>HYPERLINK("https://www.boe.es/gazeta/dias/1822/07/27/pdfs/GMD-1822-220.pdf#page=4","Abrir facsímil")</f>
        <v>Abrir facsímil</v>
      </c>
      <c r="K11669" t="s">
        <v>22</v>
      </c>
    </row>
    <row r="11670" spans="1:11" ht="42" customHeight="1">
      <c r="A11670" t="s">
        <v>22819</v>
      </c>
      <c r="B11670" t="s">
        <v>22820</v>
      </c>
      <c r="C11670" t="s">
        <v>50</v>
      </c>
      <c r="D11670" t="s">
        <v>51</v>
      </c>
      <c r="E11670" s="6">
        <v>-28276</v>
      </c>
      <c r="F11670" t="s">
        <v>4746</v>
      </c>
      <c r="G11670" t="s">
        <v>35</v>
      </c>
      <c r="H11670" t="s">
        <v>20</v>
      </c>
      <c r="I11670" t="s">
        <v>22821</v>
      </c>
      <c r="J11670" t="str">
        <f>HYPERLINK("https://www.boe.es/gazeta/dias/1822/07/31/pdfs/GMD-1822-224.pdf#page=2","Abrir facsímil")</f>
        <v>Abrir facsímil</v>
      </c>
      <c r="K11670" t="s">
        <v>22</v>
      </c>
    </row>
    <row r="11671" spans="1:11" ht="42" customHeight="1">
      <c r="A11671" t="s">
        <v>22819</v>
      </c>
      <c r="B11671" t="s">
        <v>22820</v>
      </c>
      <c r="C11671" t="s">
        <v>50</v>
      </c>
      <c r="D11671" t="s">
        <v>51</v>
      </c>
      <c r="E11671" s="6">
        <v>-28238</v>
      </c>
      <c r="F11671" t="s">
        <v>2077</v>
      </c>
      <c r="G11671" t="s">
        <v>44</v>
      </c>
      <c r="H11671" t="s">
        <v>20</v>
      </c>
      <c r="I11671" t="s">
        <v>22822</v>
      </c>
      <c r="J11671" t="str">
        <f>HYPERLINK("https://www.boe.es/gazeta/dias/1822/09/07/pdfs/GMD-1822-262.pdf#page=1","Abrir facsímil")</f>
        <v>Abrir facsímil</v>
      </c>
      <c r="K11671" t="s">
        <v>22</v>
      </c>
    </row>
    <row r="11672" spans="1:11" ht="42" customHeight="1">
      <c r="A11672" t="s">
        <v>22823</v>
      </c>
      <c r="B11672" t="s">
        <v>22824</v>
      </c>
      <c r="C11672" t="s">
        <v>61</v>
      </c>
      <c r="D11672" t="s">
        <v>17</v>
      </c>
      <c r="E11672" s="6">
        <v>-28378</v>
      </c>
      <c r="F11672" t="s">
        <v>496</v>
      </c>
      <c r="G11672" t="s">
        <v>57</v>
      </c>
      <c r="H11672" t="s">
        <v>20</v>
      </c>
      <c r="I11672" t="s">
        <v>22825</v>
      </c>
      <c r="J11672" t="str">
        <f>HYPERLINK("https://www.boe.es/gazeta/dias/1822/04/20/pdfs/GMD-1822-112.pdf#page=4","Abrir facsímil")</f>
        <v>Abrir facsímil</v>
      </c>
      <c r="K11672" t="s">
        <v>22</v>
      </c>
    </row>
    <row r="11673" spans="1:11" ht="42" customHeight="1">
      <c r="A11673" t="s">
        <v>22826</v>
      </c>
      <c r="B11673" t="s">
        <v>22826</v>
      </c>
      <c r="C11673" t="s">
        <v>50</v>
      </c>
      <c r="D11673" t="s">
        <v>51</v>
      </c>
      <c r="E11673" s="6">
        <v>-28486</v>
      </c>
      <c r="F11673" t="s">
        <v>1046</v>
      </c>
      <c r="G11673" t="s">
        <v>35</v>
      </c>
      <c r="H11673" t="s">
        <v>20</v>
      </c>
      <c r="I11673" t="s">
        <v>22827</v>
      </c>
      <c r="J11673" t="str">
        <f>HYPERLINK("https://www.boe.es/gazeta/dias/1822/01/02/pdfs/GMD-1822-2.pdf#page=2","Abrir facsímil")</f>
        <v>Abrir facsímil</v>
      </c>
      <c r="K11673" t="s">
        <v>22</v>
      </c>
    </row>
    <row r="11674" spans="1:11" ht="42" customHeight="1">
      <c r="A11674" t="s">
        <v>22828</v>
      </c>
      <c r="B11674" t="s">
        <v>22829</v>
      </c>
      <c r="C11674" t="s">
        <v>50</v>
      </c>
      <c r="D11674" t="s">
        <v>51</v>
      </c>
      <c r="E11674" s="6">
        <v>-28415</v>
      </c>
      <c r="F11674" t="s">
        <v>77</v>
      </c>
      <c r="G11674" t="s">
        <v>63</v>
      </c>
      <c r="H11674" t="s">
        <v>20</v>
      </c>
      <c r="I11674" t="s">
        <v>22830</v>
      </c>
      <c r="J11674" t="str">
        <f>HYPERLINK("https://www.boe.es/gazeta/dias/1822/03/14/pdfs/GMD-1822-75.pdf#page=6","Abrir facsímil")</f>
        <v>Abrir facsímil</v>
      </c>
      <c r="K11674" t="s">
        <v>22</v>
      </c>
    </row>
    <row r="11675" spans="1:11" ht="42" customHeight="1">
      <c r="A11675" t="s">
        <v>22831</v>
      </c>
      <c r="B11675" t="s">
        <v>22832</v>
      </c>
      <c r="C11675" t="s">
        <v>50</v>
      </c>
      <c r="D11675" t="s">
        <v>51</v>
      </c>
      <c r="E11675" s="6">
        <v>-28182</v>
      </c>
      <c r="F11675" t="s">
        <v>585</v>
      </c>
      <c r="G11675" t="s">
        <v>44</v>
      </c>
      <c r="H11675" t="s">
        <v>20</v>
      </c>
      <c r="I11675" t="s">
        <v>22833</v>
      </c>
      <c r="J11675" t="str">
        <f>HYPERLINK("https://www.boe.es/gazeta/dias/1822/11/02/pdfs/GMD-1822-320.pdf#page=1","Abrir facsímil")</f>
        <v>Abrir facsímil</v>
      </c>
      <c r="K11675" t="s">
        <v>22</v>
      </c>
    </row>
    <row r="11676" spans="1:11" ht="42" customHeight="1">
      <c r="A11676" t="s">
        <v>22834</v>
      </c>
      <c r="B11676" t="s">
        <v>22835</v>
      </c>
      <c r="C11676" t="s">
        <v>50</v>
      </c>
      <c r="D11676" t="s">
        <v>51</v>
      </c>
      <c r="E11676" s="6">
        <v>-28265</v>
      </c>
      <c r="F11676" t="s">
        <v>1263</v>
      </c>
      <c r="G11676" t="s">
        <v>57</v>
      </c>
      <c r="H11676" t="s">
        <v>20</v>
      </c>
      <c r="I11676" t="s">
        <v>22836</v>
      </c>
      <c r="J11676" t="str">
        <f>HYPERLINK("https://www.boe.es/gazeta/dias/1822/08/11/pdfs/GMD-1822-235.pdf#page=4","Abrir facsímil")</f>
        <v>Abrir facsímil</v>
      </c>
      <c r="K11676" t="s">
        <v>22</v>
      </c>
    </row>
    <row r="11677" spans="1:11" ht="42" customHeight="1">
      <c r="A11677" t="s">
        <v>22837</v>
      </c>
      <c r="B11677" t="s">
        <v>22837</v>
      </c>
      <c r="C11677" t="s">
        <v>42</v>
      </c>
      <c r="D11677" t="s">
        <v>17</v>
      </c>
      <c r="E11677" s="6">
        <v>-28476</v>
      </c>
      <c r="F11677" t="s">
        <v>160</v>
      </c>
      <c r="G11677" t="s">
        <v>35</v>
      </c>
      <c r="H11677" t="s">
        <v>20</v>
      </c>
      <c r="I11677" t="s">
        <v>22838</v>
      </c>
      <c r="J11677" t="str">
        <f>HYPERLINK("https://www.boe.es/gazeta/dias/1822/01/12/pdfs/GMD-1822-12.pdf#page=2","Abrir facsímil")</f>
        <v>Abrir facsímil</v>
      </c>
      <c r="K11677" t="s">
        <v>22</v>
      </c>
    </row>
    <row r="11678" spans="1:11" ht="42" customHeight="1">
      <c r="A11678" t="s">
        <v>22839</v>
      </c>
      <c r="B11678" t="s">
        <v>22840</v>
      </c>
      <c r="C11678" t="s">
        <v>50</v>
      </c>
      <c r="D11678" t="s">
        <v>51</v>
      </c>
      <c r="E11678" s="6">
        <v>-28258</v>
      </c>
      <c r="F11678" t="s">
        <v>88</v>
      </c>
      <c r="G11678" t="s">
        <v>57</v>
      </c>
      <c r="H11678" t="s">
        <v>20</v>
      </c>
      <c r="I11678" t="s">
        <v>22841</v>
      </c>
      <c r="J11678" t="str">
        <f>HYPERLINK("https://www.boe.es/gazeta/dias/1822/08/18/pdfs/GMD-1822-242.pdf#page=4","Abrir facsímil")</f>
        <v>Abrir facsímil</v>
      </c>
      <c r="K11678" t="s">
        <v>22</v>
      </c>
    </row>
    <row r="11679" spans="1:11" ht="42" customHeight="1">
      <c r="A11679" t="s">
        <v>22842</v>
      </c>
      <c r="B11679" t="s">
        <v>22843</v>
      </c>
      <c r="C11679" t="s">
        <v>50</v>
      </c>
      <c r="D11679" t="s">
        <v>51</v>
      </c>
      <c r="E11679" s="6">
        <v>-28264</v>
      </c>
      <c r="F11679" t="s">
        <v>1329</v>
      </c>
      <c r="G11679" t="s">
        <v>57</v>
      </c>
      <c r="H11679" t="s">
        <v>20</v>
      </c>
      <c r="I11679" t="s">
        <v>22844</v>
      </c>
      <c r="J11679" t="str">
        <f>HYPERLINK("https://www.boe.es/gazeta/dias/1822/08/12/pdfs/GMD-1822-236.pdf#page=4","Abrir facsímil")</f>
        <v>Abrir facsímil</v>
      </c>
      <c r="K11679" t="s">
        <v>22</v>
      </c>
    </row>
    <row r="11680" spans="1:11" ht="42" customHeight="1">
      <c r="A11680" t="s">
        <v>22845</v>
      </c>
      <c r="B11680" t="s">
        <v>22845</v>
      </c>
      <c r="C11680" t="s">
        <v>50</v>
      </c>
      <c r="D11680" t="s">
        <v>51</v>
      </c>
      <c r="E11680" s="6">
        <v>-28415</v>
      </c>
      <c r="F11680" t="s">
        <v>77</v>
      </c>
      <c r="G11680" t="s">
        <v>19</v>
      </c>
      <c r="H11680" t="s">
        <v>20</v>
      </c>
      <c r="I11680" t="s">
        <v>22846</v>
      </c>
      <c r="J11680" t="str">
        <f>HYPERLINK("https://www.boe.es/gazeta/dias/1822/03/14/pdfs/GMD-1822-75.pdf#page=5","Abrir facsímil")</f>
        <v>Abrir facsímil</v>
      </c>
      <c r="K11680" t="s">
        <v>22</v>
      </c>
    </row>
    <row r="11681" spans="1:11" ht="42" customHeight="1">
      <c r="A11681" t="s">
        <v>22847</v>
      </c>
      <c r="B11681" t="s">
        <v>22847</v>
      </c>
      <c r="C11681" t="s">
        <v>28</v>
      </c>
      <c r="D11681" t="s">
        <v>29</v>
      </c>
      <c r="E11681" s="6">
        <v>-28374</v>
      </c>
      <c r="F11681" t="s">
        <v>171</v>
      </c>
      <c r="G11681" t="s">
        <v>57</v>
      </c>
      <c r="H11681" t="s">
        <v>20</v>
      </c>
      <c r="I11681" t="s">
        <v>22848</v>
      </c>
      <c r="J11681" t="str">
        <f>HYPERLINK("https://www.boe.es/gazeta/dias/1822/04/24/pdfs/GMD-1822-116.pdf#page=4","Abrir facsímil")</f>
        <v>Abrir facsímil</v>
      </c>
      <c r="K11681" t="s">
        <v>22</v>
      </c>
    </row>
    <row r="11682" spans="1:11" ht="42" customHeight="1">
      <c r="A11682" t="s">
        <v>22849</v>
      </c>
      <c r="B11682" t="s">
        <v>22850</v>
      </c>
      <c r="C11682" t="s">
        <v>16</v>
      </c>
      <c r="D11682" t="s">
        <v>17</v>
      </c>
      <c r="E11682" s="6">
        <v>-28241</v>
      </c>
      <c r="F11682" t="s">
        <v>3068</v>
      </c>
      <c r="G11682" t="s">
        <v>57</v>
      </c>
      <c r="H11682" t="s">
        <v>20</v>
      </c>
      <c r="I11682" t="s">
        <v>22851</v>
      </c>
      <c r="J11682" t="str">
        <f>HYPERLINK("https://www.boe.es/gazeta/dias/1822/09/04/pdfs/GMD-1822-259.pdf#page=4","Abrir facsímil")</f>
        <v>Abrir facsímil</v>
      </c>
      <c r="K11682" t="s">
        <v>22</v>
      </c>
    </row>
    <row r="11683" spans="1:11" ht="42" customHeight="1">
      <c r="A11683" t="s">
        <v>22852</v>
      </c>
      <c r="B11683" t="s">
        <v>22853</v>
      </c>
      <c r="C11683" t="s">
        <v>50</v>
      </c>
      <c r="D11683" t="s">
        <v>51</v>
      </c>
      <c r="E11683" s="6">
        <v>-28401</v>
      </c>
      <c r="F11683" t="s">
        <v>108</v>
      </c>
      <c r="G11683" t="s">
        <v>31</v>
      </c>
      <c r="H11683" t="s">
        <v>20</v>
      </c>
      <c r="I11683" t="s">
        <v>22854</v>
      </c>
      <c r="J11683" t="str">
        <f>HYPERLINK("https://www.boe.es/gazeta/dias/1822/03/28/pdfs/GMD-1822-89.pdf#page=3","Abrir facsímil")</f>
        <v>Abrir facsímil</v>
      </c>
      <c r="K11683" t="s">
        <v>22</v>
      </c>
    </row>
    <row r="11684" spans="1:11" ht="42" customHeight="1">
      <c r="A11684" t="s">
        <v>22855</v>
      </c>
      <c r="B11684" t="s">
        <v>22856</v>
      </c>
      <c r="C11684" t="s">
        <v>28</v>
      </c>
      <c r="D11684" t="s">
        <v>29</v>
      </c>
      <c r="E11684" s="6">
        <v>-28420</v>
      </c>
      <c r="F11684" t="s">
        <v>449</v>
      </c>
      <c r="G11684" t="s">
        <v>31</v>
      </c>
      <c r="H11684" t="s">
        <v>20</v>
      </c>
      <c r="I11684" t="s">
        <v>22857</v>
      </c>
      <c r="J11684" t="str">
        <f>HYPERLINK("https://www.boe.es/gazeta/dias/1822/03/09/pdfs/GMD-1822-70.pdf#page=3","Abrir facsímil")</f>
        <v>Abrir facsímil</v>
      </c>
      <c r="K11684" t="s">
        <v>22</v>
      </c>
    </row>
    <row r="11685" spans="1:11" ht="42" customHeight="1">
      <c r="A11685" t="s">
        <v>22858</v>
      </c>
      <c r="B11685" t="s">
        <v>22859</v>
      </c>
      <c r="C11685" t="s">
        <v>24</v>
      </c>
      <c r="D11685" t="s">
        <v>17</v>
      </c>
      <c r="E11685" s="6">
        <v>-28464</v>
      </c>
      <c r="F11685" t="s">
        <v>1447</v>
      </c>
      <c r="G11685" t="s">
        <v>57</v>
      </c>
      <c r="H11685" t="s">
        <v>20</v>
      </c>
      <c r="I11685" t="s">
        <v>22860</v>
      </c>
      <c r="J11685" t="str">
        <f>HYPERLINK("https://www.boe.es/gazeta/dias/1822/01/24/pdfs/GMD-1822-24.pdf#page=4","Abrir facsímil")</f>
        <v>Abrir facsímil</v>
      </c>
      <c r="K11685" t="s">
        <v>22</v>
      </c>
    </row>
    <row r="11686" spans="1:11" ht="42" customHeight="1">
      <c r="A11686" t="s">
        <v>22858</v>
      </c>
      <c r="B11686" t="s">
        <v>22859</v>
      </c>
      <c r="C11686" t="s">
        <v>28</v>
      </c>
      <c r="D11686" t="s">
        <v>29</v>
      </c>
      <c r="E11686" s="6">
        <v>-28440</v>
      </c>
      <c r="F11686" t="s">
        <v>1307</v>
      </c>
      <c r="G11686" t="s">
        <v>57</v>
      </c>
      <c r="H11686" t="s">
        <v>20</v>
      </c>
      <c r="I11686" t="s">
        <v>22861</v>
      </c>
      <c r="J11686" t="str">
        <f>HYPERLINK("https://www.boe.es/gazeta/dias/1822/02/17/pdfs/GMD-1822-49.pdf#page=4","Abrir facsímil")</f>
        <v>Abrir facsímil</v>
      </c>
      <c r="K11686" t="s">
        <v>22</v>
      </c>
    </row>
    <row r="11687" spans="1:11" ht="42" customHeight="1">
      <c r="A11687" t="s">
        <v>22862</v>
      </c>
      <c r="B11687" t="s">
        <v>22863</v>
      </c>
      <c r="C11687" t="s">
        <v>50</v>
      </c>
      <c r="D11687" t="s">
        <v>51</v>
      </c>
      <c r="E11687" s="6">
        <v>-28214</v>
      </c>
      <c r="F11687" t="s">
        <v>814</v>
      </c>
      <c r="G11687" t="s">
        <v>31</v>
      </c>
      <c r="H11687" t="s">
        <v>20</v>
      </c>
      <c r="I11687" t="s">
        <v>22864</v>
      </c>
      <c r="J11687" t="str">
        <f>HYPERLINK("https://www.boe.es/gazeta/dias/1822/10/01/pdfs/GMD-1822-287.pdf#page=3","Abrir facsímil")</f>
        <v>Abrir facsímil</v>
      </c>
      <c r="K11687" t="s">
        <v>22</v>
      </c>
    </row>
    <row r="11688" spans="1:11" ht="42" customHeight="1">
      <c r="A11688" t="s">
        <v>22865</v>
      </c>
      <c r="B11688" t="s">
        <v>22866</v>
      </c>
      <c r="C11688" t="s">
        <v>61</v>
      </c>
      <c r="D11688" t="s">
        <v>17</v>
      </c>
      <c r="E11688" s="6">
        <v>-28147</v>
      </c>
      <c r="F11688" t="s">
        <v>1611</v>
      </c>
      <c r="G11688" t="s">
        <v>63</v>
      </c>
      <c r="H11688" t="s">
        <v>45</v>
      </c>
      <c r="I11688" t="s">
        <v>22867</v>
      </c>
      <c r="J11688" t="str">
        <f>HYPERLINK("https://www.boe.es/gazeta/dias/1822/12/07/pdfs/GMD-1822-357.pdf#page=6","Abrir facsímil")</f>
        <v>Abrir facsímil</v>
      </c>
      <c r="K11688" t="s">
        <v>47</v>
      </c>
    </row>
    <row r="11689" spans="1:11" ht="42" customHeight="1">
      <c r="A11689" t="s">
        <v>22868</v>
      </c>
      <c r="B11689" t="s">
        <v>22869</v>
      </c>
      <c r="C11689" t="s">
        <v>42</v>
      </c>
      <c r="D11689" t="s">
        <v>17</v>
      </c>
      <c r="E11689" s="6">
        <v>-28365</v>
      </c>
      <c r="F11689" t="s">
        <v>506</v>
      </c>
      <c r="G11689" t="s">
        <v>2093</v>
      </c>
      <c r="H11689" t="s">
        <v>20</v>
      </c>
      <c r="I11689" t="s">
        <v>22870</v>
      </c>
      <c r="J11689" t="str">
        <f>HYPERLINK("https://www.boe.es/gazeta/dias/1822/05/03/pdfs/GMD-1822-125.pdf#page=6","Abrir facsímil")</f>
        <v>Abrir facsímil</v>
      </c>
      <c r="K11689" t="s">
        <v>22</v>
      </c>
    </row>
    <row r="11690" spans="1:11" ht="42" customHeight="1">
      <c r="A11690" t="s">
        <v>22871</v>
      </c>
      <c r="B11690" t="s">
        <v>22872</v>
      </c>
      <c r="C11690" t="s">
        <v>362</v>
      </c>
      <c r="D11690" t="s">
        <v>17</v>
      </c>
      <c r="E11690" s="6">
        <v>-28220</v>
      </c>
      <c r="F11690" t="s">
        <v>1914</v>
      </c>
      <c r="G11690" t="s">
        <v>57</v>
      </c>
      <c r="H11690" t="s">
        <v>20</v>
      </c>
      <c r="I11690" t="s">
        <v>22873</v>
      </c>
      <c r="J11690" t="str">
        <f>HYPERLINK("https://www.boe.es/gazeta/dias/1822/09/25/pdfs/GMD-1822-281.pdf#page=4","Abrir facsímil")</f>
        <v>Abrir facsímil</v>
      </c>
      <c r="K11690" t="s">
        <v>22</v>
      </c>
    </row>
    <row r="11691" spans="1:11" ht="42" customHeight="1">
      <c r="A11691" t="s">
        <v>22874</v>
      </c>
      <c r="B11691" t="s">
        <v>22875</v>
      </c>
      <c r="C11691" t="s">
        <v>42</v>
      </c>
      <c r="D11691" t="s">
        <v>17</v>
      </c>
      <c r="E11691" s="6">
        <v>-28322</v>
      </c>
      <c r="F11691" t="s">
        <v>2205</v>
      </c>
      <c r="G11691" t="s">
        <v>57</v>
      </c>
      <c r="H11691" t="s">
        <v>20</v>
      </c>
      <c r="I11691" t="s">
        <v>22876</v>
      </c>
      <c r="J11691" t="str">
        <f>HYPERLINK("https://www.boe.es/gazeta/dias/1822/06/15/pdfs/GMD-1822-172.pdf#page=4","Abrir facsímil")</f>
        <v>Abrir facsímil</v>
      </c>
      <c r="K11691" t="s">
        <v>22</v>
      </c>
    </row>
    <row r="11692" spans="1:11" ht="42" customHeight="1">
      <c r="A11692" t="s">
        <v>22877</v>
      </c>
      <c r="B11692" t="s">
        <v>22878</v>
      </c>
      <c r="C11692" t="s">
        <v>50</v>
      </c>
      <c r="D11692" t="s">
        <v>51</v>
      </c>
      <c r="E11692" s="6">
        <v>-28450</v>
      </c>
      <c r="F11692" t="s">
        <v>1450</v>
      </c>
      <c r="G11692" t="s">
        <v>31</v>
      </c>
      <c r="H11692" t="s">
        <v>20</v>
      </c>
      <c r="I11692" t="s">
        <v>22879</v>
      </c>
      <c r="J11692" t="str">
        <f>HYPERLINK("https://www.boe.es/gazeta/dias/1822/02/07/pdfs/GMD-1822-38.pdf#page=3","Abrir facsímil")</f>
        <v>Abrir facsímil</v>
      </c>
      <c r="K11692" t="s">
        <v>22</v>
      </c>
    </row>
    <row r="11693" spans="1:11" ht="42" customHeight="1">
      <c r="A11693" t="s">
        <v>22880</v>
      </c>
      <c r="B11693" t="s">
        <v>22880</v>
      </c>
      <c r="C11693" t="s">
        <v>28</v>
      </c>
      <c r="D11693" t="s">
        <v>29</v>
      </c>
      <c r="E11693" s="6">
        <v>-28171</v>
      </c>
      <c r="F11693" t="s">
        <v>1075</v>
      </c>
      <c r="G11693" t="s">
        <v>44</v>
      </c>
      <c r="H11693" t="s">
        <v>20</v>
      </c>
      <c r="I11693" t="s">
        <v>22881</v>
      </c>
      <c r="J11693" t="str">
        <f>HYPERLINK("https://www.boe.es/gazeta/dias/1822/11/13/pdfs/GMD-1822-333.pdf#page=1","Abrir facsímil")</f>
        <v>Abrir facsímil</v>
      </c>
      <c r="K11693" t="s">
        <v>22</v>
      </c>
    </row>
    <row r="11694" spans="1:11" ht="42" customHeight="1">
      <c r="A11694" t="s">
        <v>22882</v>
      </c>
      <c r="B11694" t="s">
        <v>22883</v>
      </c>
      <c r="C11694" t="s">
        <v>24</v>
      </c>
      <c r="D11694" t="s">
        <v>17</v>
      </c>
      <c r="E11694" s="6">
        <v>-28307</v>
      </c>
      <c r="F11694" t="s">
        <v>555</v>
      </c>
      <c r="G11694" t="s">
        <v>157</v>
      </c>
      <c r="H11694" t="s">
        <v>20</v>
      </c>
      <c r="I11694" t="s">
        <v>22884</v>
      </c>
      <c r="J11694" t="str">
        <f>HYPERLINK("https://www.boe.es/gazeta/dias/1822/06/30/pdfs/GMD-1822-188.pdf#page=8","Abrir facsímil")</f>
        <v>Abrir facsímil</v>
      </c>
      <c r="K11694" t="s">
        <v>22</v>
      </c>
    </row>
    <row r="11695" spans="1:11" ht="42" customHeight="1">
      <c r="A11695" t="s">
        <v>22885</v>
      </c>
      <c r="B11695" t="s">
        <v>22886</v>
      </c>
      <c r="C11695" t="s">
        <v>28</v>
      </c>
      <c r="D11695" t="s">
        <v>29</v>
      </c>
      <c r="E11695" s="6">
        <v>-28414</v>
      </c>
      <c r="F11695" t="s">
        <v>187</v>
      </c>
      <c r="G11695" t="s">
        <v>63</v>
      </c>
      <c r="H11695" t="s">
        <v>20</v>
      </c>
      <c r="I11695" t="s">
        <v>22887</v>
      </c>
      <c r="J11695" t="str">
        <f>HYPERLINK("https://www.boe.es/gazeta/dias/1822/03/15/pdfs/GMD-1822-76.pdf#page=6","Abrir facsímil")</f>
        <v>Abrir facsímil</v>
      </c>
      <c r="K11695" t="s">
        <v>22</v>
      </c>
    </row>
    <row r="11696" spans="1:11" ht="42" customHeight="1">
      <c r="A11696" t="s">
        <v>22888</v>
      </c>
      <c r="B11696" t="s">
        <v>22889</v>
      </c>
      <c r="C11696" t="s">
        <v>50</v>
      </c>
      <c r="D11696" t="s">
        <v>51</v>
      </c>
      <c r="E11696" s="6">
        <v>-28284</v>
      </c>
      <c r="F11696" t="s">
        <v>6484</v>
      </c>
      <c r="G11696" t="s">
        <v>35</v>
      </c>
      <c r="H11696" t="s">
        <v>20</v>
      </c>
      <c r="I11696" t="s">
        <v>22890</v>
      </c>
      <c r="J11696" t="str">
        <f>HYPERLINK("https://www.boe.es/gazeta/dias/1822/07/23/pdfs/GMD-1822-216.pdf#page=2","Abrir facsímil")</f>
        <v>Abrir facsímil</v>
      </c>
      <c r="K11696" t="s">
        <v>22</v>
      </c>
    </row>
    <row r="11697" spans="1:11" ht="42" customHeight="1">
      <c r="A11697" t="s">
        <v>22891</v>
      </c>
      <c r="B11697" t="s">
        <v>22892</v>
      </c>
      <c r="C11697" t="s">
        <v>50</v>
      </c>
      <c r="D11697" t="s">
        <v>51</v>
      </c>
      <c r="E11697" s="6">
        <v>-28258</v>
      </c>
      <c r="F11697" t="s">
        <v>88</v>
      </c>
      <c r="G11697" t="s">
        <v>31</v>
      </c>
      <c r="H11697" t="s">
        <v>45</v>
      </c>
      <c r="I11697" t="s">
        <v>22893</v>
      </c>
      <c r="J11697" t="str">
        <f>HYPERLINK("https://www.boe.es/gazeta/dias/1822/08/18/pdfs/GMD-1822-242.pdf#page=3","Abrir facsímil")</f>
        <v>Abrir facsímil</v>
      </c>
      <c r="K11697" t="s">
        <v>47</v>
      </c>
    </row>
    <row r="11698" spans="1:11" ht="42" customHeight="1">
      <c r="A11698" t="s">
        <v>22894</v>
      </c>
      <c r="B11698" t="s">
        <v>22895</v>
      </c>
      <c r="C11698" t="s">
        <v>16</v>
      </c>
      <c r="D11698" t="s">
        <v>17</v>
      </c>
      <c r="E11698" s="6">
        <v>-28214</v>
      </c>
      <c r="F11698" t="s">
        <v>814</v>
      </c>
      <c r="G11698" t="s">
        <v>57</v>
      </c>
      <c r="H11698" t="s">
        <v>20</v>
      </c>
      <c r="I11698" t="s">
        <v>22896</v>
      </c>
      <c r="J11698" t="str">
        <f>HYPERLINK("https://www.boe.es/gazeta/dias/1822/10/01/pdfs/GMD-1822-287.pdf#page=4","Abrir facsímil")</f>
        <v>Abrir facsímil</v>
      </c>
      <c r="K11698" t="s">
        <v>22</v>
      </c>
    </row>
    <row r="11699" spans="1:11" ht="42" customHeight="1">
      <c r="A11699" t="s">
        <v>22897</v>
      </c>
      <c r="B11699" t="s">
        <v>22898</v>
      </c>
      <c r="C11699" t="s">
        <v>50</v>
      </c>
      <c r="D11699" t="s">
        <v>51</v>
      </c>
      <c r="E11699" s="6">
        <v>-28349</v>
      </c>
      <c r="F11699" t="s">
        <v>518</v>
      </c>
      <c r="G11699" t="s">
        <v>57</v>
      </c>
      <c r="H11699" t="s">
        <v>20</v>
      </c>
      <c r="I11699" t="s">
        <v>22899</v>
      </c>
      <c r="J11699" t="str">
        <f>HYPERLINK("https://www.boe.es/gazeta/dias/1822/05/19/pdfs/GMD-1822-141.pdf#page=4","Abrir facsímil")</f>
        <v>Abrir facsímil</v>
      </c>
      <c r="K11699" t="s">
        <v>22</v>
      </c>
    </row>
    <row r="11700" spans="1:11" ht="42" customHeight="1">
      <c r="A11700" t="s">
        <v>22900</v>
      </c>
      <c r="B11700" t="s">
        <v>22901</v>
      </c>
      <c r="C11700" t="s">
        <v>16</v>
      </c>
      <c r="D11700" t="s">
        <v>17</v>
      </c>
      <c r="E11700" s="6">
        <v>-28377</v>
      </c>
      <c r="F11700" t="s">
        <v>498</v>
      </c>
      <c r="G11700" t="s">
        <v>57</v>
      </c>
      <c r="H11700" t="s">
        <v>20</v>
      </c>
      <c r="I11700" t="s">
        <v>22902</v>
      </c>
      <c r="J11700" t="str">
        <f>HYPERLINK("https://www.boe.es/gazeta/dias/1822/04/21/pdfs/GMD-1822-113.pdf#page=4","Abrir facsímil")</f>
        <v>Abrir facsímil</v>
      </c>
      <c r="K11700" t="s">
        <v>22</v>
      </c>
    </row>
    <row r="11701" spans="1:11" ht="42" customHeight="1">
      <c r="A11701" t="s">
        <v>22903</v>
      </c>
      <c r="B11701" t="s">
        <v>22904</v>
      </c>
      <c r="C11701" t="s">
        <v>362</v>
      </c>
      <c r="D11701" t="s">
        <v>17</v>
      </c>
      <c r="E11701" s="6">
        <v>-28378</v>
      </c>
      <c r="F11701" t="s">
        <v>496</v>
      </c>
      <c r="G11701" t="s">
        <v>57</v>
      </c>
      <c r="H11701" t="s">
        <v>20</v>
      </c>
      <c r="I11701" t="s">
        <v>22905</v>
      </c>
      <c r="J11701" t="str">
        <f>HYPERLINK("https://www.boe.es/gazeta/dias/1822/04/20/pdfs/GMD-1822-112.pdf#page=4","Abrir facsímil")</f>
        <v>Abrir facsímil</v>
      </c>
      <c r="K11701" t="s">
        <v>22</v>
      </c>
    </row>
    <row r="11702" spans="1:11" ht="42" customHeight="1">
      <c r="A11702" t="s">
        <v>22906</v>
      </c>
      <c r="B11702" t="s">
        <v>22907</v>
      </c>
      <c r="C11702" t="s">
        <v>71</v>
      </c>
      <c r="D11702" t="s">
        <v>17</v>
      </c>
      <c r="E11702" s="6">
        <v>-28460</v>
      </c>
      <c r="F11702" t="s">
        <v>112</v>
      </c>
      <c r="G11702" t="s">
        <v>35</v>
      </c>
      <c r="H11702" t="s">
        <v>20</v>
      </c>
      <c r="I11702" t="s">
        <v>22908</v>
      </c>
      <c r="J11702" t="str">
        <f>HYPERLINK("https://www.boe.es/gazeta/dias/1822/01/28/pdfs/GMD-1822-28.pdf#page=2","Abrir facsímil")</f>
        <v>Abrir facsímil</v>
      </c>
      <c r="K11702" t="s">
        <v>22</v>
      </c>
    </row>
    <row r="11703" spans="1:11" ht="42" customHeight="1">
      <c r="A11703" t="s">
        <v>22909</v>
      </c>
      <c r="B11703" t="s">
        <v>22910</v>
      </c>
      <c r="C11703" t="s">
        <v>24</v>
      </c>
      <c r="D11703" t="s">
        <v>17</v>
      </c>
      <c r="E11703" s="6">
        <v>-28374</v>
      </c>
      <c r="F11703" t="s">
        <v>171</v>
      </c>
      <c r="G11703" t="s">
        <v>57</v>
      </c>
      <c r="H11703" t="s">
        <v>20</v>
      </c>
      <c r="I11703" t="s">
        <v>22911</v>
      </c>
      <c r="J11703" t="str">
        <f>HYPERLINK("https://www.boe.es/gazeta/dias/1822/04/24/pdfs/GMD-1822-116.pdf#page=4","Abrir facsímil")</f>
        <v>Abrir facsímil</v>
      </c>
      <c r="K11703" t="s">
        <v>22</v>
      </c>
    </row>
    <row r="11704" spans="1:11" ht="42" customHeight="1">
      <c r="A11704" t="s">
        <v>22912</v>
      </c>
      <c r="B11704" t="s">
        <v>22913</v>
      </c>
      <c r="C11704" t="s">
        <v>61</v>
      </c>
      <c r="D11704" t="s">
        <v>17</v>
      </c>
      <c r="E11704" s="6">
        <v>-28293</v>
      </c>
      <c r="F11704" t="s">
        <v>152</v>
      </c>
      <c r="G11704" t="s">
        <v>57</v>
      </c>
      <c r="H11704" t="s">
        <v>20</v>
      </c>
      <c r="I11704" t="s">
        <v>22914</v>
      </c>
      <c r="J11704" t="str">
        <f>HYPERLINK("https://www.boe.es/gazeta/dias/1822/07/14/pdfs/GMD-1822-204.pdf#page=4","Abrir facsímil")</f>
        <v>Abrir facsímil</v>
      </c>
      <c r="K11704" t="s">
        <v>22</v>
      </c>
    </row>
    <row r="11705" spans="1:11" ht="42" customHeight="1">
      <c r="A11705" t="s">
        <v>22915</v>
      </c>
      <c r="B11705" t="s">
        <v>22916</v>
      </c>
      <c r="C11705" t="s">
        <v>61</v>
      </c>
      <c r="D11705" t="s">
        <v>17</v>
      </c>
      <c r="E11705" s="6">
        <v>-28150</v>
      </c>
      <c r="F11705" t="s">
        <v>62</v>
      </c>
      <c r="G11705" t="s">
        <v>63</v>
      </c>
      <c r="H11705" t="s">
        <v>20</v>
      </c>
      <c r="I11705" t="s">
        <v>22917</v>
      </c>
      <c r="J11705" t="str">
        <f>HYPERLINK("https://www.boe.es/gazeta/dias/1822/12/04/pdfs/GMD-1822-354.pdf#page=6","Abrir facsímil")</f>
        <v>Abrir facsímil</v>
      </c>
      <c r="K11705" t="s">
        <v>22</v>
      </c>
    </row>
    <row r="11706" spans="1:11" ht="42" customHeight="1">
      <c r="A11706" t="s">
        <v>22918</v>
      </c>
      <c r="B11706" t="s">
        <v>22918</v>
      </c>
      <c r="C11706" t="s">
        <v>28</v>
      </c>
      <c r="D11706" t="s">
        <v>29</v>
      </c>
      <c r="E11706" s="6">
        <v>-28421</v>
      </c>
      <c r="F11706" t="s">
        <v>446</v>
      </c>
      <c r="G11706" t="s">
        <v>44</v>
      </c>
      <c r="H11706" t="s">
        <v>20</v>
      </c>
      <c r="I11706" t="s">
        <v>22919</v>
      </c>
      <c r="J11706" t="str">
        <f>HYPERLINK("https://www.boe.es/gazeta/dias/1822/03/08/pdfs/GMD-1822-69.pdf#page=1","Abrir facsímil")</f>
        <v>Abrir facsímil</v>
      </c>
      <c r="K11706" t="s">
        <v>22</v>
      </c>
    </row>
    <row r="11707" spans="1:11" ht="42" customHeight="1">
      <c r="A11707" t="s">
        <v>22920</v>
      </c>
      <c r="B11707" t="s">
        <v>22921</v>
      </c>
      <c r="C11707" t="s">
        <v>42</v>
      </c>
      <c r="D11707" t="s">
        <v>17</v>
      </c>
      <c r="E11707" s="6">
        <v>-28381</v>
      </c>
      <c r="F11707" t="s">
        <v>358</v>
      </c>
      <c r="G11707" t="s">
        <v>63</v>
      </c>
      <c r="H11707" t="s">
        <v>20</v>
      </c>
      <c r="I11707" t="s">
        <v>22922</v>
      </c>
      <c r="J11707" t="str">
        <f>HYPERLINK("https://www.boe.es/gazeta/dias/1822/04/17/pdfs/GMD-1822-109.pdf#page=6","Abrir facsímil")</f>
        <v>Abrir facsímil</v>
      </c>
      <c r="K11707" t="s">
        <v>22</v>
      </c>
    </row>
    <row r="11708" spans="1:11" ht="42" customHeight="1">
      <c r="A11708" t="s">
        <v>22923</v>
      </c>
      <c r="B11708" t="s">
        <v>22924</v>
      </c>
      <c r="C11708" t="s">
        <v>16</v>
      </c>
      <c r="D11708" t="s">
        <v>17</v>
      </c>
      <c r="E11708" s="6">
        <v>-28435</v>
      </c>
      <c r="F11708" t="s">
        <v>1710</v>
      </c>
      <c r="G11708" t="s">
        <v>57</v>
      </c>
      <c r="H11708" t="s">
        <v>20</v>
      </c>
      <c r="I11708" t="s">
        <v>22925</v>
      </c>
      <c r="J11708" t="str">
        <f>HYPERLINK("https://www.boe.es/gazeta/dias/1822/02/22/pdfs/GMD-1822-54.pdf#page=4","Abrir facsímil")</f>
        <v>Abrir facsímil</v>
      </c>
      <c r="K11708" t="s">
        <v>22</v>
      </c>
    </row>
    <row r="11709" spans="1:11" ht="42" customHeight="1">
      <c r="A11709" t="s">
        <v>22923</v>
      </c>
      <c r="B11709" t="s">
        <v>22924</v>
      </c>
      <c r="C11709" t="s">
        <v>50</v>
      </c>
      <c r="D11709" t="s">
        <v>51</v>
      </c>
      <c r="E11709" s="6">
        <v>-28395</v>
      </c>
      <c r="F11709" t="s">
        <v>237</v>
      </c>
      <c r="G11709" t="s">
        <v>57</v>
      </c>
      <c r="H11709" t="s">
        <v>20</v>
      </c>
      <c r="I11709" t="s">
        <v>22926</v>
      </c>
      <c r="J11709" t="str">
        <f>HYPERLINK("https://www.boe.es/gazeta/dias/1822/04/03/pdfs/GMD-1822-95.pdf#page=4","Abrir facsímil")</f>
        <v>Abrir facsímil</v>
      </c>
      <c r="K11709" t="s">
        <v>22</v>
      </c>
    </row>
    <row r="11710" spans="1:11" ht="42" customHeight="1">
      <c r="A11710" t="s">
        <v>22923</v>
      </c>
      <c r="B11710" t="s">
        <v>22924</v>
      </c>
      <c r="C11710" t="s">
        <v>24</v>
      </c>
      <c r="D11710" t="s">
        <v>17</v>
      </c>
      <c r="E11710" s="6">
        <v>-28391</v>
      </c>
      <c r="F11710" t="s">
        <v>378</v>
      </c>
      <c r="G11710" t="s">
        <v>63</v>
      </c>
      <c r="H11710" t="s">
        <v>20</v>
      </c>
      <c r="I11710" t="s">
        <v>22927</v>
      </c>
      <c r="J11710" t="str">
        <f>HYPERLINK("https://www.boe.es/gazeta/dias/1822/04/07/pdfs/GMD-1822-99.pdf#page=6","Abrir facsímil")</f>
        <v>Abrir facsímil</v>
      </c>
      <c r="K11710" t="s">
        <v>22</v>
      </c>
    </row>
    <row r="11711" spans="1:11" ht="42" customHeight="1">
      <c r="A11711" t="s">
        <v>22923</v>
      </c>
      <c r="B11711" t="s">
        <v>22924</v>
      </c>
      <c r="C11711" t="s">
        <v>71</v>
      </c>
      <c r="D11711" t="s">
        <v>17</v>
      </c>
      <c r="E11711" s="6">
        <v>-28275</v>
      </c>
      <c r="F11711" t="s">
        <v>1297</v>
      </c>
      <c r="G11711" t="s">
        <v>57</v>
      </c>
      <c r="H11711" t="s">
        <v>20</v>
      </c>
      <c r="I11711" t="s">
        <v>22928</v>
      </c>
      <c r="J11711" t="str">
        <f>HYPERLINK("https://www.boe.es/gazeta/dias/1822/08/01/pdfs/GMD-1822-225.pdf#page=4","Abrir facsímil")</f>
        <v>Abrir facsímil</v>
      </c>
      <c r="K11711" t="s">
        <v>22</v>
      </c>
    </row>
    <row r="11712" spans="1:11" ht="42" customHeight="1">
      <c r="A11712" t="s">
        <v>22923</v>
      </c>
      <c r="B11712" t="s">
        <v>22924</v>
      </c>
      <c r="C11712" t="s">
        <v>71</v>
      </c>
      <c r="D11712" t="s">
        <v>17</v>
      </c>
      <c r="E11712" s="6">
        <v>-28192</v>
      </c>
      <c r="F11712" t="s">
        <v>43</v>
      </c>
      <c r="G11712" t="s">
        <v>157</v>
      </c>
      <c r="H11712" t="s">
        <v>20</v>
      </c>
      <c r="I11712" t="s">
        <v>22929</v>
      </c>
      <c r="J11712" t="str">
        <f>HYPERLINK("https://www.boe.es/gazeta/dias/1822/10/23/pdfs/GMD-1822-310.pdf#page=8","Abrir facsímil")</f>
        <v>Abrir facsímil</v>
      </c>
      <c r="K11712" t="s">
        <v>22</v>
      </c>
    </row>
    <row r="11713" spans="1:11" ht="42" customHeight="1">
      <c r="A11713" t="s">
        <v>22930</v>
      </c>
      <c r="B11713" t="s">
        <v>22931</v>
      </c>
      <c r="C11713" t="s">
        <v>24</v>
      </c>
      <c r="D11713" t="s">
        <v>17</v>
      </c>
      <c r="E11713" s="6">
        <v>-28371</v>
      </c>
      <c r="F11713" t="s">
        <v>401</v>
      </c>
      <c r="G11713" t="s">
        <v>63</v>
      </c>
      <c r="H11713" t="s">
        <v>20</v>
      </c>
      <c r="I11713" t="s">
        <v>22932</v>
      </c>
      <c r="J11713" t="str">
        <f>HYPERLINK("https://www.boe.es/gazeta/dias/1822/04/27/pdfs/GMD-1822-119.pdf#page=6","Abrir facsímil")</f>
        <v>Abrir facsímil</v>
      </c>
      <c r="K11713" t="s">
        <v>22</v>
      </c>
    </row>
    <row r="11714" spans="1:11" ht="42" customHeight="1">
      <c r="A11714" t="s">
        <v>22933</v>
      </c>
      <c r="B11714" t="s">
        <v>22934</v>
      </c>
      <c r="C11714" t="s">
        <v>28</v>
      </c>
      <c r="D11714" t="s">
        <v>29</v>
      </c>
      <c r="E11714" s="6">
        <v>-28380</v>
      </c>
      <c r="F11714" t="s">
        <v>492</v>
      </c>
      <c r="G11714" t="s">
        <v>63</v>
      </c>
      <c r="H11714" t="s">
        <v>20</v>
      </c>
      <c r="I11714" t="s">
        <v>22935</v>
      </c>
      <c r="J11714" t="str">
        <f>HYPERLINK("https://www.boe.es/gazeta/dias/1822/04/18/pdfs/GMD-1822-110.pdf#page=6","Abrir facsímil")</f>
        <v>Abrir facsímil</v>
      </c>
      <c r="K11714" t="s">
        <v>22</v>
      </c>
    </row>
    <row r="11715" spans="1:11" ht="42" customHeight="1">
      <c r="A11715" t="s">
        <v>22933</v>
      </c>
      <c r="B11715" t="s">
        <v>22934</v>
      </c>
      <c r="C11715" t="s">
        <v>24</v>
      </c>
      <c r="D11715" t="s">
        <v>17</v>
      </c>
      <c r="E11715" s="6">
        <v>-28364</v>
      </c>
      <c r="F11715" t="s">
        <v>509</v>
      </c>
      <c r="G11715" t="s">
        <v>63</v>
      </c>
      <c r="H11715" t="s">
        <v>20</v>
      </c>
      <c r="I11715" t="s">
        <v>22936</v>
      </c>
      <c r="J11715" t="str">
        <f>HYPERLINK("https://www.boe.es/gazeta/dias/1822/05/04/pdfs/GMD-1822-126.pdf#page=6","Abrir facsímil")</f>
        <v>Abrir facsímil</v>
      </c>
      <c r="K11715" t="s">
        <v>22</v>
      </c>
    </row>
    <row r="11716" spans="1:11" ht="42" customHeight="1">
      <c r="A11716" t="s">
        <v>22937</v>
      </c>
      <c r="B11716" t="s">
        <v>22938</v>
      </c>
      <c r="C11716" t="s">
        <v>28</v>
      </c>
      <c r="D11716" t="s">
        <v>29</v>
      </c>
      <c r="E11716" s="6">
        <v>-28272</v>
      </c>
      <c r="F11716" t="s">
        <v>52</v>
      </c>
      <c r="G11716" t="s">
        <v>57</v>
      </c>
      <c r="H11716" t="s">
        <v>20</v>
      </c>
      <c r="I11716" t="s">
        <v>22939</v>
      </c>
      <c r="J11716" t="str">
        <f>HYPERLINK("https://www.boe.es/gazeta/dias/1822/08/04/pdfs/GMD-1822-228.pdf#page=4","Abrir facsímil")</f>
        <v>Abrir facsímil</v>
      </c>
      <c r="K11716" t="s">
        <v>22</v>
      </c>
    </row>
    <row r="11717" spans="1:11" ht="42" customHeight="1">
      <c r="A11717" t="s">
        <v>22933</v>
      </c>
      <c r="B11717" t="s">
        <v>22934</v>
      </c>
      <c r="C11717" t="s">
        <v>362</v>
      </c>
      <c r="D11717" t="s">
        <v>17</v>
      </c>
      <c r="E11717" s="6">
        <v>-28243</v>
      </c>
      <c r="F11717" t="s">
        <v>1829</v>
      </c>
      <c r="G11717" t="s">
        <v>57</v>
      </c>
      <c r="H11717" t="s">
        <v>20</v>
      </c>
      <c r="I11717" t="s">
        <v>22940</v>
      </c>
      <c r="J11717" t="str">
        <f>HYPERLINK("https://www.boe.es/gazeta/dias/1822/09/02/pdfs/GMD-1822-257.pdf#page=4","Abrir facsímil")</f>
        <v>Abrir facsímil</v>
      </c>
      <c r="K11717" t="s">
        <v>22</v>
      </c>
    </row>
    <row r="11718" spans="1:11" ht="42" customHeight="1">
      <c r="A11718" t="s">
        <v>22933</v>
      </c>
      <c r="B11718" t="s">
        <v>22934</v>
      </c>
      <c r="C11718" t="s">
        <v>16</v>
      </c>
      <c r="D11718" t="s">
        <v>17</v>
      </c>
      <c r="E11718" s="6">
        <v>-28229</v>
      </c>
      <c r="F11718" t="s">
        <v>2310</v>
      </c>
      <c r="G11718" t="s">
        <v>57</v>
      </c>
      <c r="H11718" t="s">
        <v>20</v>
      </c>
      <c r="I11718" t="s">
        <v>22941</v>
      </c>
      <c r="J11718" t="str">
        <f>HYPERLINK("https://www.boe.es/gazeta/dias/1822/09/16/pdfs/GMD-1822-272.pdf#page=4","Abrir facsímil")</f>
        <v>Abrir facsímil</v>
      </c>
      <c r="K11718" t="s">
        <v>22</v>
      </c>
    </row>
    <row r="11719" spans="1:11" ht="42" customHeight="1">
      <c r="A11719" t="s">
        <v>22942</v>
      </c>
      <c r="B11719" t="s">
        <v>22943</v>
      </c>
      <c r="C11719" t="s">
        <v>71</v>
      </c>
      <c r="D11719" t="s">
        <v>17</v>
      </c>
      <c r="E11719" s="6">
        <v>-28313</v>
      </c>
      <c r="F11719" t="s">
        <v>315</v>
      </c>
      <c r="G11719" t="s">
        <v>157</v>
      </c>
      <c r="H11719" t="s">
        <v>20</v>
      </c>
      <c r="I11719" t="s">
        <v>22944</v>
      </c>
      <c r="J11719" t="str">
        <f>HYPERLINK("https://www.boe.es/gazeta/dias/1822/06/24/pdfs/GMD-1822-182.pdf#page=8","Abrir facsímil")</f>
        <v>Abrir facsímil</v>
      </c>
      <c r="K11719" t="s">
        <v>22</v>
      </c>
    </row>
    <row r="11720" spans="1:11" ht="42" customHeight="1">
      <c r="A11720" t="s">
        <v>22945</v>
      </c>
      <c r="B11720" t="s">
        <v>22946</v>
      </c>
      <c r="C11720" t="s">
        <v>42</v>
      </c>
      <c r="D11720" t="s">
        <v>17</v>
      </c>
      <c r="E11720" s="6">
        <v>-28259</v>
      </c>
      <c r="F11720" t="s">
        <v>1912</v>
      </c>
      <c r="G11720" t="s">
        <v>57</v>
      </c>
      <c r="H11720" t="s">
        <v>20</v>
      </c>
      <c r="I11720" t="s">
        <v>22947</v>
      </c>
      <c r="J11720" t="str">
        <f>HYPERLINK("https://www.boe.es/gazeta/dias/1822/08/17/pdfs/GMD-1822-241.pdf#page=4","Abrir facsímil")</f>
        <v>Abrir facsímil</v>
      </c>
      <c r="K11720" t="s">
        <v>22</v>
      </c>
    </row>
    <row r="11721" spans="1:11" ht="42" customHeight="1">
      <c r="A11721" t="s">
        <v>22948</v>
      </c>
      <c r="B11721" t="s">
        <v>22949</v>
      </c>
      <c r="C11721" t="s">
        <v>24</v>
      </c>
      <c r="D11721" t="s">
        <v>17</v>
      </c>
      <c r="E11721" s="6">
        <v>-28479</v>
      </c>
      <c r="F11721" t="s">
        <v>1091</v>
      </c>
      <c r="G11721" t="s">
        <v>63</v>
      </c>
      <c r="H11721" t="s">
        <v>20</v>
      </c>
      <c r="I11721" t="s">
        <v>22950</v>
      </c>
      <c r="J11721" t="str">
        <f>HYPERLINK("https://www.boe.es/gazeta/dias/1822/01/09/pdfs/GMD-1822-9.pdf#page=6","Abrir facsímil")</f>
        <v>Abrir facsímil</v>
      </c>
      <c r="K11721" t="s">
        <v>22</v>
      </c>
    </row>
    <row r="11722" spans="1:11" ht="42" customHeight="1">
      <c r="A11722" t="s">
        <v>22951</v>
      </c>
      <c r="B11722" t="s">
        <v>22952</v>
      </c>
      <c r="C11722" t="s">
        <v>50</v>
      </c>
      <c r="D11722" t="s">
        <v>51</v>
      </c>
      <c r="E11722" s="6">
        <v>-28264</v>
      </c>
      <c r="F11722" t="s">
        <v>1329</v>
      </c>
      <c r="G11722" t="s">
        <v>57</v>
      </c>
      <c r="H11722" t="s">
        <v>20</v>
      </c>
      <c r="I11722" t="s">
        <v>22953</v>
      </c>
      <c r="J11722" t="str">
        <f>HYPERLINK("https://www.boe.es/gazeta/dias/1822/08/12/pdfs/GMD-1822-236.pdf#page=4","Abrir facsímil")</f>
        <v>Abrir facsímil</v>
      </c>
      <c r="K11722" t="s">
        <v>22</v>
      </c>
    </row>
    <row r="11723" spans="1:11" ht="42" customHeight="1">
      <c r="A11723" t="s">
        <v>22954</v>
      </c>
      <c r="B11723" t="s">
        <v>22955</v>
      </c>
      <c r="C11723" t="s">
        <v>50</v>
      </c>
      <c r="D11723" t="s">
        <v>51</v>
      </c>
      <c r="E11723" s="6">
        <v>-28264</v>
      </c>
      <c r="F11723" t="s">
        <v>1329</v>
      </c>
      <c r="G11723" t="s">
        <v>57</v>
      </c>
      <c r="H11723" t="s">
        <v>20</v>
      </c>
      <c r="I11723" t="s">
        <v>22956</v>
      </c>
      <c r="J11723" t="str">
        <f>HYPERLINK("https://www.boe.es/gazeta/dias/1822/08/12/pdfs/GMD-1822-236.pdf#page=4","Abrir facsímil")</f>
        <v>Abrir facsímil</v>
      </c>
      <c r="K11723" t="s">
        <v>22</v>
      </c>
    </row>
    <row r="11724" spans="1:11" ht="42" customHeight="1">
      <c r="A11724" t="s">
        <v>22957</v>
      </c>
      <c r="B11724" t="s">
        <v>22957</v>
      </c>
      <c r="C11724" t="s">
        <v>28</v>
      </c>
      <c r="D11724" t="s">
        <v>29</v>
      </c>
      <c r="E11724" s="6">
        <v>-28418</v>
      </c>
      <c r="F11724" t="s">
        <v>205</v>
      </c>
      <c r="G11724" t="s">
        <v>57</v>
      </c>
      <c r="H11724" t="s">
        <v>20</v>
      </c>
      <c r="I11724" t="s">
        <v>22958</v>
      </c>
      <c r="J11724" t="str">
        <f>HYPERLINK("https://www.boe.es/gazeta/dias/1822/03/11/pdfs/GMD-1822-72.pdf#page=4","Abrir facsímil")</f>
        <v>Abrir facsímil</v>
      </c>
      <c r="K11724" t="s">
        <v>22</v>
      </c>
    </row>
    <row r="11725" spans="1:11" ht="42" customHeight="1">
      <c r="A11725" t="s">
        <v>22959</v>
      </c>
      <c r="B11725" t="s">
        <v>22960</v>
      </c>
      <c r="C11725" t="s">
        <v>16</v>
      </c>
      <c r="D11725" t="s">
        <v>17</v>
      </c>
      <c r="E11725" s="6">
        <v>-28127</v>
      </c>
      <c r="F11725" t="s">
        <v>409</v>
      </c>
      <c r="G11725" t="s">
        <v>19</v>
      </c>
      <c r="H11725" t="s">
        <v>20</v>
      </c>
      <c r="I11725" t="s">
        <v>22961</v>
      </c>
      <c r="J11725" t="str">
        <f>HYPERLINK("https://www.boe.es/gazeta/dias/1822/12/27/pdfs/GMD-1822-377.pdf#page=5","Abrir facsímil")</f>
        <v>Abrir facsímil</v>
      </c>
      <c r="K11725" t="s">
        <v>22</v>
      </c>
    </row>
    <row r="11726" spans="1:11" ht="42" customHeight="1">
      <c r="A11726" t="s">
        <v>22962</v>
      </c>
      <c r="B11726" t="s">
        <v>22963</v>
      </c>
      <c r="C11726" t="s">
        <v>16</v>
      </c>
      <c r="D11726" t="s">
        <v>17</v>
      </c>
      <c r="E11726" s="6">
        <v>-28313</v>
      </c>
      <c r="F11726" t="s">
        <v>315</v>
      </c>
      <c r="G11726" t="s">
        <v>157</v>
      </c>
      <c r="H11726" t="s">
        <v>20</v>
      </c>
      <c r="I11726" t="s">
        <v>22964</v>
      </c>
      <c r="J11726" t="str">
        <f>HYPERLINK("https://www.boe.es/gazeta/dias/1822/06/24/pdfs/GMD-1822-182.pdf#page=8","Abrir facsímil")</f>
        <v>Abrir facsímil</v>
      </c>
      <c r="K11726" t="s">
        <v>22</v>
      </c>
    </row>
    <row r="11727" spans="1:11" ht="42" customHeight="1">
      <c r="A11727" t="s">
        <v>22965</v>
      </c>
      <c r="B11727" t="s">
        <v>22966</v>
      </c>
      <c r="C11727" t="s">
        <v>42</v>
      </c>
      <c r="D11727" t="s">
        <v>17</v>
      </c>
      <c r="E11727" s="6">
        <v>-28232</v>
      </c>
      <c r="F11727" t="s">
        <v>3875</v>
      </c>
      <c r="G11727" t="s">
        <v>31</v>
      </c>
      <c r="H11727" t="s">
        <v>20</v>
      </c>
      <c r="I11727" t="s">
        <v>22967</v>
      </c>
      <c r="J11727" t="str">
        <f>HYPERLINK("https://www.boe.es/gazeta/dias/1822/09/13/pdfs/GMD-1822-269.pdf#page=3","Abrir facsímil")</f>
        <v>Abrir facsímil</v>
      </c>
      <c r="K11727" t="s">
        <v>22</v>
      </c>
    </row>
    <row r="11728" spans="1:11" ht="42" customHeight="1">
      <c r="A11728" t="s">
        <v>22968</v>
      </c>
      <c r="B11728" t="s">
        <v>22969</v>
      </c>
      <c r="C11728" t="s">
        <v>50</v>
      </c>
      <c r="D11728" t="s">
        <v>51</v>
      </c>
      <c r="E11728" s="6">
        <v>-28427</v>
      </c>
      <c r="F11728" t="s">
        <v>755</v>
      </c>
      <c r="G11728" t="s">
        <v>31</v>
      </c>
      <c r="H11728" t="s">
        <v>20</v>
      </c>
      <c r="I11728" t="s">
        <v>22970</v>
      </c>
      <c r="J11728" t="str">
        <f>HYPERLINK("https://www.boe.es/gazeta/dias/1822/03/02/pdfs/GMD-1822-63.pdf#page=3","Abrir facsímil")</f>
        <v>Abrir facsímil</v>
      </c>
      <c r="K11728" t="s">
        <v>22</v>
      </c>
    </row>
    <row r="11729" spans="1:11" ht="42" customHeight="1">
      <c r="A11729" t="s">
        <v>22971</v>
      </c>
      <c r="B11729" t="s">
        <v>22972</v>
      </c>
      <c r="C11729" t="s">
        <v>61</v>
      </c>
      <c r="D11729" t="s">
        <v>17</v>
      </c>
      <c r="E11729" s="6">
        <v>-28287</v>
      </c>
      <c r="F11729" t="s">
        <v>1295</v>
      </c>
      <c r="G11729" t="s">
        <v>19</v>
      </c>
      <c r="H11729" t="s">
        <v>20</v>
      </c>
      <c r="I11729" t="s">
        <v>22973</v>
      </c>
      <c r="J11729" t="str">
        <f>HYPERLINK("https://www.boe.es/gazeta/dias/1822/07/20/pdfs/GMD-1822-212.pdf#page=5","Abrir facsímil")</f>
        <v>Abrir facsímil</v>
      </c>
      <c r="K11729" t="s">
        <v>22</v>
      </c>
    </row>
    <row r="11730" spans="1:11" ht="42" customHeight="1">
      <c r="A11730" t="s">
        <v>22974</v>
      </c>
      <c r="B11730" t="s">
        <v>22974</v>
      </c>
      <c r="C11730" t="s">
        <v>42</v>
      </c>
      <c r="D11730" t="s">
        <v>17</v>
      </c>
      <c r="E11730" s="6">
        <v>-28357</v>
      </c>
      <c r="F11730" t="s">
        <v>690</v>
      </c>
      <c r="G11730" t="s">
        <v>35</v>
      </c>
      <c r="H11730" t="s">
        <v>20</v>
      </c>
      <c r="I11730" t="s">
        <v>22975</v>
      </c>
      <c r="J11730" t="str">
        <f>HYPERLINK("https://www.boe.es/gazeta/dias/1822/05/11/pdfs/GMD-1822-133.pdf#page=2","Abrir facsímil")</f>
        <v>Abrir facsímil</v>
      </c>
      <c r="K11730" t="s">
        <v>22</v>
      </c>
    </row>
    <row r="11731" spans="1:11" ht="42" customHeight="1">
      <c r="A11731" t="s">
        <v>22974</v>
      </c>
      <c r="B11731" t="s">
        <v>22974</v>
      </c>
      <c r="C11731" t="s">
        <v>50</v>
      </c>
      <c r="D11731" t="s">
        <v>51</v>
      </c>
      <c r="E11731" s="6">
        <v>-28337</v>
      </c>
      <c r="F11731" t="s">
        <v>1836</v>
      </c>
      <c r="G11731" t="s">
        <v>44</v>
      </c>
      <c r="H11731" t="s">
        <v>20</v>
      </c>
      <c r="I11731" t="s">
        <v>22976</v>
      </c>
      <c r="J11731" t="str">
        <f>HYPERLINK("https://www.boe.es/gazeta/dias/1822/05/31/pdfs/GMD-1822-156.pdf#page=1","Abrir facsímil")</f>
        <v>Abrir facsímil</v>
      </c>
      <c r="K11731" t="s">
        <v>22</v>
      </c>
    </row>
    <row r="11732" spans="1:11" ht="42" customHeight="1">
      <c r="A11732" t="s">
        <v>22974</v>
      </c>
      <c r="B11732" t="s">
        <v>22974</v>
      </c>
      <c r="C11732" t="s">
        <v>71</v>
      </c>
      <c r="D11732" t="s">
        <v>17</v>
      </c>
      <c r="E11732" s="6">
        <v>-28191</v>
      </c>
      <c r="F11732" t="s">
        <v>710</v>
      </c>
      <c r="G11732" t="s">
        <v>44</v>
      </c>
      <c r="H11732" t="s">
        <v>20</v>
      </c>
      <c r="I11732" t="s">
        <v>22977</v>
      </c>
      <c r="J11732" t="str">
        <f>HYPERLINK("https://www.boe.es/gazeta/dias/1822/10/24/pdfs/GMD-1822-311.pdf#page=1","Abrir facsímil")</f>
        <v>Abrir facsímil</v>
      </c>
      <c r="K11732" t="s">
        <v>22</v>
      </c>
    </row>
    <row r="11733" spans="1:11" ht="42" customHeight="1">
      <c r="A11733" t="s">
        <v>22974</v>
      </c>
      <c r="B11733" t="s">
        <v>22974</v>
      </c>
      <c r="C11733" t="s">
        <v>50</v>
      </c>
      <c r="D11733" t="s">
        <v>51</v>
      </c>
      <c r="E11733" s="6">
        <v>-28171</v>
      </c>
      <c r="F11733" t="s">
        <v>1075</v>
      </c>
      <c r="G11733" t="s">
        <v>44</v>
      </c>
      <c r="H11733" t="s">
        <v>20</v>
      </c>
      <c r="I11733" t="s">
        <v>22978</v>
      </c>
      <c r="J11733" t="str">
        <f>HYPERLINK("https://www.boe.es/gazeta/dias/1822/11/13/pdfs/GMD-1822-333.pdf#page=1","Abrir facsímil")</f>
        <v>Abrir facsímil</v>
      </c>
      <c r="K11733" t="s">
        <v>22</v>
      </c>
    </row>
    <row r="11734" spans="1:11" ht="42" customHeight="1">
      <c r="A11734" t="s">
        <v>22974</v>
      </c>
      <c r="B11734" t="s">
        <v>22974</v>
      </c>
      <c r="C11734" t="s">
        <v>71</v>
      </c>
      <c r="D11734" t="s">
        <v>17</v>
      </c>
      <c r="E11734" s="6">
        <v>-28136</v>
      </c>
      <c r="F11734" t="s">
        <v>948</v>
      </c>
      <c r="G11734" t="s">
        <v>44</v>
      </c>
      <c r="H11734" t="s">
        <v>20</v>
      </c>
      <c r="I11734" t="s">
        <v>22979</v>
      </c>
      <c r="J11734" t="str">
        <f>HYPERLINK("https://www.boe.es/gazeta/dias/1822/12/18/pdfs/GMD-1822-368.pdf#page=1","Abrir facsímil")</f>
        <v>Abrir facsímil</v>
      </c>
      <c r="K11734" t="s">
        <v>22</v>
      </c>
    </row>
    <row r="11735" spans="1:11" ht="42" customHeight="1">
      <c r="A11735" t="s">
        <v>22974</v>
      </c>
      <c r="B11735" t="s">
        <v>22974</v>
      </c>
      <c r="C11735" t="s">
        <v>50</v>
      </c>
      <c r="D11735" t="s">
        <v>51</v>
      </c>
      <c r="E11735" s="6">
        <v>-28127</v>
      </c>
      <c r="F11735" t="s">
        <v>409</v>
      </c>
      <c r="G11735" t="s">
        <v>31</v>
      </c>
      <c r="H11735" t="s">
        <v>20</v>
      </c>
      <c r="I11735" t="s">
        <v>22980</v>
      </c>
      <c r="J11735" t="str">
        <f>HYPERLINK("https://www.boe.es/gazeta/dias/1822/12/27/pdfs/GMD-1822-377.pdf#page=3","Abrir facsímil")</f>
        <v>Abrir facsímil</v>
      </c>
      <c r="K11735" t="s">
        <v>22</v>
      </c>
    </row>
    <row r="11736" spans="1:11" ht="42" customHeight="1">
      <c r="A11736" t="s">
        <v>22981</v>
      </c>
      <c r="B11736" t="s">
        <v>22981</v>
      </c>
      <c r="C11736" t="s">
        <v>42</v>
      </c>
      <c r="D11736" t="s">
        <v>17</v>
      </c>
      <c r="E11736" s="6">
        <v>-28378</v>
      </c>
      <c r="F11736" t="s">
        <v>496</v>
      </c>
      <c r="G11736" t="s">
        <v>57</v>
      </c>
      <c r="H11736" t="s">
        <v>20</v>
      </c>
      <c r="I11736" t="s">
        <v>22982</v>
      </c>
      <c r="J11736" t="str">
        <f>HYPERLINK("https://www.boe.es/gazeta/dias/1822/04/20/pdfs/GMD-1822-112.pdf#page=4","Abrir facsímil")</f>
        <v>Abrir facsímil</v>
      </c>
      <c r="K11736" t="s">
        <v>22</v>
      </c>
    </row>
    <row r="11737" spans="1:11" ht="42" customHeight="1">
      <c r="A11737" t="s">
        <v>22983</v>
      </c>
      <c r="B11737" t="s">
        <v>22984</v>
      </c>
      <c r="C11737" t="s">
        <v>42</v>
      </c>
      <c r="D11737" t="s">
        <v>17</v>
      </c>
      <c r="E11737" s="6">
        <v>-28156</v>
      </c>
      <c r="F11737" t="s">
        <v>1568</v>
      </c>
      <c r="G11737" t="s">
        <v>63</v>
      </c>
      <c r="H11737" t="s">
        <v>20</v>
      </c>
      <c r="I11737" t="s">
        <v>22985</v>
      </c>
      <c r="J11737" t="str">
        <f>HYPERLINK("https://www.boe.es/gazeta/dias/1822/11/28/pdfs/GMD-1822-348.pdf#page=6","Abrir facsímil")</f>
        <v>Abrir facsímil</v>
      </c>
      <c r="K11737" t="s">
        <v>22</v>
      </c>
    </row>
    <row r="11738" spans="1:11" ht="42" customHeight="1">
      <c r="A11738" t="s">
        <v>22986</v>
      </c>
      <c r="B11738" t="s">
        <v>22987</v>
      </c>
      <c r="C11738" t="s">
        <v>28</v>
      </c>
      <c r="D11738" t="s">
        <v>29</v>
      </c>
      <c r="E11738" s="6">
        <v>-28473</v>
      </c>
      <c r="F11738" t="s">
        <v>2337</v>
      </c>
      <c r="G11738" t="s">
        <v>157</v>
      </c>
      <c r="H11738" t="s">
        <v>20</v>
      </c>
      <c r="I11738" t="s">
        <v>22988</v>
      </c>
      <c r="J11738" t="str">
        <f>HYPERLINK("https://www.boe.es/gazeta/dias/1822/01/15/pdfs/GMD-1822-15.pdf#page=8","Abrir facsímil")</f>
        <v>Abrir facsímil</v>
      </c>
      <c r="K11738" t="s">
        <v>22</v>
      </c>
    </row>
    <row r="11739" spans="1:11" ht="42" customHeight="1">
      <c r="A11739" t="s">
        <v>22986</v>
      </c>
      <c r="B11739" t="s">
        <v>22987</v>
      </c>
      <c r="C11739" t="s">
        <v>28</v>
      </c>
      <c r="D11739" t="s">
        <v>29</v>
      </c>
      <c r="E11739" s="6">
        <v>-28440</v>
      </c>
      <c r="F11739" t="s">
        <v>1307</v>
      </c>
      <c r="G11739" t="s">
        <v>57</v>
      </c>
      <c r="H11739" t="s">
        <v>20</v>
      </c>
      <c r="I11739" t="s">
        <v>22989</v>
      </c>
      <c r="J11739" t="str">
        <f>HYPERLINK("https://www.boe.es/gazeta/dias/1822/02/17/pdfs/GMD-1822-49.pdf#page=4","Abrir facsímil")</f>
        <v>Abrir facsímil</v>
      </c>
      <c r="K11739" t="s">
        <v>22</v>
      </c>
    </row>
    <row r="11740" spans="1:11" ht="42" customHeight="1">
      <c r="A11740" t="s">
        <v>22986</v>
      </c>
      <c r="B11740" t="s">
        <v>22987</v>
      </c>
      <c r="C11740" t="s">
        <v>50</v>
      </c>
      <c r="D11740" t="s">
        <v>51</v>
      </c>
      <c r="E11740" s="6">
        <v>-28246</v>
      </c>
      <c r="F11740" t="s">
        <v>3246</v>
      </c>
      <c r="G11740" t="s">
        <v>1085</v>
      </c>
      <c r="H11740" t="s">
        <v>20</v>
      </c>
      <c r="I11740" t="s">
        <v>22990</v>
      </c>
      <c r="J11740" t="str">
        <f>HYPERLINK("https://www.boe.es/gazeta/dias/1822/08/30/pdfs/GMD-1822-254.pdf#page=5","Abrir facsímil")</f>
        <v>Abrir facsímil</v>
      </c>
      <c r="K11740" t="s">
        <v>22</v>
      </c>
    </row>
    <row r="11741" spans="1:11" ht="42" customHeight="1">
      <c r="A11741" t="s">
        <v>22991</v>
      </c>
      <c r="B11741" t="s">
        <v>22992</v>
      </c>
      <c r="C11741" t="s">
        <v>28</v>
      </c>
      <c r="D11741" t="s">
        <v>29</v>
      </c>
      <c r="E11741" s="6">
        <v>-28464</v>
      </c>
      <c r="F11741" t="s">
        <v>1447</v>
      </c>
      <c r="G11741" t="s">
        <v>57</v>
      </c>
      <c r="H11741" t="s">
        <v>45</v>
      </c>
      <c r="I11741" t="s">
        <v>22993</v>
      </c>
      <c r="J11741" t="str">
        <f>HYPERLINK("https://www.boe.es/gazeta/dias/1822/01/24/pdfs/GMD-1822-24.pdf#page=4","Abrir facsímil")</f>
        <v>Abrir facsímil</v>
      </c>
      <c r="K11741" t="s">
        <v>47</v>
      </c>
    </row>
    <row r="11742" spans="1:11" ht="42" customHeight="1">
      <c r="A11742" t="s">
        <v>22991</v>
      </c>
      <c r="B11742" t="s">
        <v>22992</v>
      </c>
      <c r="C11742" t="s">
        <v>28</v>
      </c>
      <c r="D11742" t="s">
        <v>29</v>
      </c>
      <c r="E11742" s="6">
        <v>-28287</v>
      </c>
      <c r="F11742" t="s">
        <v>1295</v>
      </c>
      <c r="G11742" t="s">
        <v>63</v>
      </c>
      <c r="H11742" t="s">
        <v>45</v>
      </c>
      <c r="I11742" t="s">
        <v>22994</v>
      </c>
      <c r="J11742" t="str">
        <f>HYPERLINK("https://www.boe.es/gazeta/dias/1822/07/20/pdfs/GMD-1822-212.pdf#page=6","Abrir facsímil")</f>
        <v>Abrir facsímil</v>
      </c>
      <c r="K11742" t="s">
        <v>47</v>
      </c>
    </row>
    <row r="11743" spans="1:11" ht="42" customHeight="1">
      <c r="A11743" t="s">
        <v>22995</v>
      </c>
      <c r="B11743" t="s">
        <v>22995</v>
      </c>
      <c r="C11743" t="s">
        <v>50</v>
      </c>
      <c r="D11743" t="s">
        <v>51</v>
      </c>
      <c r="E11743" s="6">
        <v>-28188</v>
      </c>
      <c r="F11743" t="s">
        <v>578</v>
      </c>
      <c r="G11743" t="s">
        <v>31</v>
      </c>
      <c r="H11743" t="s">
        <v>20</v>
      </c>
      <c r="I11743" t="s">
        <v>22996</v>
      </c>
      <c r="J11743" t="str">
        <f>HYPERLINK("https://www.boe.es/gazeta/dias/1822/10/27/pdfs/GMD-1822-314.pdf#page=3","Abrir facsímil")</f>
        <v>Abrir facsímil</v>
      </c>
      <c r="K11743" t="s">
        <v>22</v>
      </c>
    </row>
    <row r="11744" spans="1:11" ht="42" customHeight="1">
      <c r="A11744" t="s">
        <v>22997</v>
      </c>
      <c r="B11744" t="s">
        <v>22998</v>
      </c>
      <c r="C11744" t="s">
        <v>50</v>
      </c>
      <c r="D11744" t="s">
        <v>51</v>
      </c>
      <c r="E11744" s="6">
        <v>-28371</v>
      </c>
      <c r="F11744" t="s">
        <v>401</v>
      </c>
      <c r="G11744" t="s">
        <v>19</v>
      </c>
      <c r="H11744" t="s">
        <v>20</v>
      </c>
      <c r="I11744" t="s">
        <v>22999</v>
      </c>
      <c r="J11744" t="str">
        <f>HYPERLINK("https://www.boe.es/gazeta/dias/1822/04/27/pdfs/GMD-1822-119.pdf#page=5","Abrir facsímil")</f>
        <v>Abrir facsímil</v>
      </c>
      <c r="K11744" t="s">
        <v>22</v>
      </c>
    </row>
    <row r="11745" spans="1:11" ht="42" customHeight="1">
      <c r="A11745" t="s">
        <v>23000</v>
      </c>
      <c r="B11745" t="s">
        <v>23000</v>
      </c>
      <c r="C11745" t="s">
        <v>50</v>
      </c>
      <c r="D11745" t="s">
        <v>51</v>
      </c>
      <c r="E11745" s="6">
        <v>-28359</v>
      </c>
      <c r="F11745" t="s">
        <v>209</v>
      </c>
      <c r="G11745" t="s">
        <v>31</v>
      </c>
      <c r="H11745" t="s">
        <v>20</v>
      </c>
      <c r="I11745" t="s">
        <v>23001</v>
      </c>
      <c r="J11745" t="str">
        <f>HYPERLINK("https://www.boe.es/gazeta/dias/1822/05/09/pdfs/GMD-1822-131.pdf#page=3","Abrir facsímil")</f>
        <v>Abrir facsímil</v>
      </c>
      <c r="K11745" t="s">
        <v>22</v>
      </c>
    </row>
    <row r="11746" spans="1:11" ht="42" customHeight="1">
      <c r="A11746" t="s">
        <v>23002</v>
      </c>
      <c r="B11746" t="s">
        <v>23003</v>
      </c>
      <c r="C11746" t="s">
        <v>42</v>
      </c>
      <c r="D11746" t="s">
        <v>17</v>
      </c>
      <c r="E11746" s="6">
        <v>-28210</v>
      </c>
      <c r="F11746" t="s">
        <v>218</v>
      </c>
      <c r="G11746" t="s">
        <v>19</v>
      </c>
      <c r="H11746" t="s">
        <v>20</v>
      </c>
      <c r="I11746" t="s">
        <v>23004</v>
      </c>
      <c r="J11746" t="str">
        <f>HYPERLINK("https://www.boe.es/gazeta/dias/1822/10/05/pdfs/GMD-1822-291.pdf#page=5","Abrir facsímil")</f>
        <v>Abrir facsímil</v>
      </c>
      <c r="K11746" t="s">
        <v>22</v>
      </c>
    </row>
    <row r="11747" spans="1:11" ht="42" customHeight="1">
      <c r="A11747" t="s">
        <v>23005</v>
      </c>
      <c r="B11747" t="s">
        <v>23006</v>
      </c>
      <c r="C11747" t="s">
        <v>50</v>
      </c>
      <c r="D11747" t="s">
        <v>51</v>
      </c>
      <c r="E11747" s="6">
        <v>-28149</v>
      </c>
      <c r="F11747" t="s">
        <v>1322</v>
      </c>
      <c r="G11747" t="s">
        <v>57</v>
      </c>
      <c r="H11747" t="s">
        <v>20</v>
      </c>
      <c r="I11747" t="s">
        <v>23007</v>
      </c>
      <c r="J11747" t="str">
        <f>HYPERLINK("https://www.boe.es/gazeta/dias/1822/12/05/pdfs/GMD-1822-355.pdf#page=4","Abrir facsímil")</f>
        <v>Abrir facsímil</v>
      </c>
      <c r="K11747" t="s">
        <v>22</v>
      </c>
    </row>
    <row r="11748" spans="1:11" ht="42" customHeight="1">
      <c r="A11748" t="s">
        <v>23008</v>
      </c>
      <c r="B11748" t="s">
        <v>23009</v>
      </c>
      <c r="C11748" t="s">
        <v>50</v>
      </c>
      <c r="D11748" t="s">
        <v>51</v>
      </c>
      <c r="E11748" s="6">
        <v>-28265</v>
      </c>
      <c r="F11748" t="s">
        <v>1263</v>
      </c>
      <c r="G11748" t="s">
        <v>57</v>
      </c>
      <c r="H11748" t="s">
        <v>45</v>
      </c>
      <c r="I11748" t="s">
        <v>23010</v>
      </c>
      <c r="J11748" t="str">
        <f>HYPERLINK("https://www.boe.es/gazeta/dias/1822/08/11/pdfs/GMD-1822-235.pdf#page=4","Abrir facsímil")</f>
        <v>Abrir facsímil</v>
      </c>
      <c r="K11748" t="s">
        <v>47</v>
      </c>
    </row>
    <row r="11749" spans="1:11" ht="42" customHeight="1">
      <c r="A11749" t="s">
        <v>23011</v>
      </c>
      <c r="B11749" t="s">
        <v>23012</v>
      </c>
      <c r="C11749" t="s">
        <v>28</v>
      </c>
      <c r="D11749" t="s">
        <v>29</v>
      </c>
      <c r="E11749" s="6">
        <v>-28401</v>
      </c>
      <c r="F11749" t="s">
        <v>108</v>
      </c>
      <c r="G11749" t="s">
        <v>31</v>
      </c>
      <c r="H11749" t="s">
        <v>20</v>
      </c>
      <c r="I11749" t="s">
        <v>23013</v>
      </c>
      <c r="J11749" t="str">
        <f>HYPERLINK("https://www.boe.es/gazeta/dias/1822/03/28/pdfs/GMD-1822-89.pdf#page=3","Abrir facsímil")</f>
        <v>Abrir facsímil</v>
      </c>
      <c r="K11749" t="s">
        <v>22</v>
      </c>
    </row>
    <row r="11750" spans="1:11" ht="42" customHeight="1">
      <c r="A11750" t="s">
        <v>23014</v>
      </c>
      <c r="B11750" t="s">
        <v>23015</v>
      </c>
      <c r="C11750" t="s">
        <v>28</v>
      </c>
      <c r="D11750" t="s">
        <v>29</v>
      </c>
      <c r="E11750" s="6">
        <v>-28244</v>
      </c>
      <c r="F11750" t="s">
        <v>6163</v>
      </c>
      <c r="G11750" t="s">
        <v>57</v>
      </c>
      <c r="H11750" t="s">
        <v>20</v>
      </c>
      <c r="I11750" t="s">
        <v>23016</v>
      </c>
      <c r="J11750" t="str">
        <f>HYPERLINK("https://www.boe.es/gazeta/dias/1822/09/01/pdfs/GMD-1822-256.pdf#page=4","Abrir facsímil")</f>
        <v>Abrir facsímil</v>
      </c>
      <c r="K11750" t="s">
        <v>22</v>
      </c>
    </row>
    <row r="11751" spans="1:11" ht="42" customHeight="1">
      <c r="A11751" t="s">
        <v>23017</v>
      </c>
      <c r="B11751" t="s">
        <v>23018</v>
      </c>
      <c r="C11751" t="s">
        <v>50</v>
      </c>
      <c r="D11751" t="s">
        <v>51</v>
      </c>
      <c r="E11751" s="6">
        <v>-28208</v>
      </c>
      <c r="F11751" t="s">
        <v>230</v>
      </c>
      <c r="G11751" t="s">
        <v>57</v>
      </c>
      <c r="H11751" t="s">
        <v>20</v>
      </c>
      <c r="I11751" t="s">
        <v>23019</v>
      </c>
      <c r="J11751" t="str">
        <f>HYPERLINK("https://www.boe.es/gazeta/dias/1822/10/07/pdfs/GMD-1822-293.pdf#page=4","Abrir facsímil")</f>
        <v>Abrir facsímil</v>
      </c>
      <c r="K11751" t="s">
        <v>22</v>
      </c>
    </row>
    <row r="11752" spans="1:11" ht="42" customHeight="1">
      <c r="A11752" t="s">
        <v>23020</v>
      </c>
      <c r="B11752" t="s">
        <v>23021</v>
      </c>
      <c r="C11752" t="s">
        <v>71</v>
      </c>
      <c r="D11752" t="s">
        <v>17</v>
      </c>
      <c r="E11752" s="6">
        <v>-28363</v>
      </c>
      <c r="F11752" t="s">
        <v>72</v>
      </c>
      <c r="G11752" t="s">
        <v>63</v>
      </c>
      <c r="H11752" t="s">
        <v>20</v>
      </c>
      <c r="I11752" t="s">
        <v>23022</v>
      </c>
      <c r="J11752" t="str">
        <f>HYPERLINK("https://www.boe.es/gazeta/dias/1822/05/05/pdfs/GMD-1822-127.pdf#page=6","Abrir facsímil")</f>
        <v>Abrir facsímil</v>
      </c>
      <c r="K11752" t="s">
        <v>22</v>
      </c>
    </row>
    <row r="11753" spans="1:11" ht="42" customHeight="1">
      <c r="A11753" t="s">
        <v>23023</v>
      </c>
      <c r="B11753" t="s">
        <v>23024</v>
      </c>
      <c r="C11753" t="s">
        <v>42</v>
      </c>
      <c r="D11753" t="s">
        <v>17</v>
      </c>
      <c r="E11753" s="6">
        <v>-28407</v>
      </c>
      <c r="F11753" t="s">
        <v>460</v>
      </c>
      <c r="G11753" t="s">
        <v>35</v>
      </c>
      <c r="H11753" t="s">
        <v>20</v>
      </c>
      <c r="I11753" t="s">
        <v>23025</v>
      </c>
      <c r="J11753" t="str">
        <f>HYPERLINK("https://www.boe.es/gazeta/dias/1822/03/22/pdfs/GMD-1822-83.pdf#page=2","Abrir facsímil")</f>
        <v>Abrir facsímil</v>
      </c>
      <c r="K11753" t="s">
        <v>22</v>
      </c>
    </row>
    <row r="11754" spans="1:11" ht="42" customHeight="1">
      <c r="A11754" t="s">
        <v>23026</v>
      </c>
      <c r="B11754" t="s">
        <v>23027</v>
      </c>
      <c r="C11754" t="s">
        <v>24</v>
      </c>
      <c r="D11754" t="s">
        <v>17</v>
      </c>
      <c r="E11754" s="6">
        <v>-28204</v>
      </c>
      <c r="F11754" t="s">
        <v>3190</v>
      </c>
      <c r="G11754" t="s">
        <v>157</v>
      </c>
      <c r="H11754" t="s">
        <v>20</v>
      </c>
      <c r="I11754" t="s">
        <v>23028</v>
      </c>
      <c r="J11754" t="str">
        <f>HYPERLINK("https://www.boe.es/gazeta/dias/1822/10/11/pdfs/GMD-1822-298.pdf#page=8","Abrir facsímil")</f>
        <v>Abrir facsímil</v>
      </c>
      <c r="K11754" t="s">
        <v>22</v>
      </c>
    </row>
    <row r="11755" spans="1:11" ht="42" customHeight="1">
      <c r="A11755" t="s">
        <v>23029</v>
      </c>
      <c r="B11755" t="s">
        <v>23030</v>
      </c>
      <c r="C11755" t="s">
        <v>50</v>
      </c>
      <c r="D11755" t="s">
        <v>51</v>
      </c>
      <c r="E11755" s="6">
        <v>-28315</v>
      </c>
      <c r="F11755" t="s">
        <v>1220</v>
      </c>
      <c r="G11755" t="s">
        <v>63</v>
      </c>
      <c r="H11755" t="s">
        <v>20</v>
      </c>
      <c r="I11755" t="s">
        <v>23031</v>
      </c>
      <c r="J11755" t="str">
        <f>HYPERLINK("https://www.boe.es/gazeta/dias/1822/06/22/pdfs/GMD-1822-180.pdf#page=6","Abrir facsímil")</f>
        <v>Abrir facsímil</v>
      </c>
      <c r="K11755" t="s">
        <v>22</v>
      </c>
    </row>
    <row r="11756" spans="1:11" ht="42" customHeight="1">
      <c r="A11756" t="s">
        <v>23032</v>
      </c>
      <c r="B11756" t="s">
        <v>23033</v>
      </c>
      <c r="C11756" t="s">
        <v>71</v>
      </c>
      <c r="D11756" t="s">
        <v>17</v>
      </c>
      <c r="E11756" s="6">
        <v>-28225</v>
      </c>
      <c r="F11756" t="s">
        <v>177</v>
      </c>
      <c r="G11756" t="s">
        <v>178</v>
      </c>
      <c r="H11756" t="s">
        <v>20</v>
      </c>
      <c r="I11756" t="s">
        <v>23034</v>
      </c>
      <c r="J11756" t="str">
        <f>HYPERLINK("https://www.boe.es/gazeta/dias/1822/09/20/pdfs/GMD-1822-276.pdf#page=3","Abrir facsímil")</f>
        <v>Abrir facsímil</v>
      </c>
      <c r="K11756" t="s">
        <v>22</v>
      </c>
    </row>
    <row r="11757" spans="1:11" ht="42" customHeight="1">
      <c r="A11757" t="s">
        <v>23035</v>
      </c>
      <c r="B11757" t="s">
        <v>23036</v>
      </c>
      <c r="C11757" t="s">
        <v>42</v>
      </c>
      <c r="D11757" t="s">
        <v>17</v>
      </c>
      <c r="E11757" s="6">
        <v>-28345</v>
      </c>
      <c r="F11757" t="s">
        <v>294</v>
      </c>
      <c r="G11757" t="s">
        <v>63</v>
      </c>
      <c r="H11757" t="s">
        <v>20</v>
      </c>
      <c r="I11757" t="s">
        <v>23037</v>
      </c>
      <c r="J11757" t="str">
        <f>HYPERLINK("https://www.boe.es/gazeta/dias/1822/05/23/pdfs/GMD-1822-147.pdf#page=6","Abrir facsímil")</f>
        <v>Abrir facsímil</v>
      </c>
      <c r="K11757" t="s">
        <v>22</v>
      </c>
    </row>
    <row r="11758" spans="1:11" ht="42" customHeight="1">
      <c r="A11758" t="s">
        <v>23038</v>
      </c>
      <c r="B11758" t="s">
        <v>23039</v>
      </c>
      <c r="C11758" t="s">
        <v>28</v>
      </c>
      <c r="D11758" t="s">
        <v>29</v>
      </c>
      <c r="E11758" s="6">
        <v>-28345</v>
      </c>
      <c r="F11758" t="s">
        <v>294</v>
      </c>
      <c r="G11758" t="s">
        <v>63</v>
      </c>
      <c r="H11758" t="s">
        <v>20</v>
      </c>
      <c r="I11758" t="s">
        <v>23040</v>
      </c>
      <c r="J11758" t="str">
        <f>HYPERLINK("https://www.boe.es/gazeta/dias/1822/05/23/pdfs/GMD-1822-147.pdf#page=6","Abrir facsímil")</f>
        <v>Abrir facsímil</v>
      </c>
      <c r="K11758" t="s">
        <v>22</v>
      </c>
    </row>
    <row r="11759" spans="1:11" ht="42" customHeight="1">
      <c r="A11759" t="s">
        <v>23041</v>
      </c>
      <c r="B11759" t="s">
        <v>23042</v>
      </c>
      <c r="C11759" t="s">
        <v>42</v>
      </c>
      <c r="D11759" t="s">
        <v>17</v>
      </c>
      <c r="E11759" s="6">
        <v>-28252</v>
      </c>
      <c r="F11759" t="s">
        <v>4333</v>
      </c>
      <c r="G11759" t="s">
        <v>35</v>
      </c>
      <c r="H11759" t="s">
        <v>20</v>
      </c>
      <c r="I11759" t="s">
        <v>23043</v>
      </c>
      <c r="J11759" t="str">
        <f>HYPERLINK("https://www.boe.es/gazeta/dias/1822/08/24/pdfs/GMD-1822-248.pdf#page=2","Abrir facsímil")</f>
        <v>Abrir facsímil</v>
      </c>
      <c r="K11759" t="s">
        <v>22</v>
      </c>
    </row>
    <row r="11760" spans="1:11" ht="42" customHeight="1">
      <c r="A11760" t="s">
        <v>23044</v>
      </c>
      <c r="B11760" t="s">
        <v>23045</v>
      </c>
      <c r="C11760" t="s">
        <v>28</v>
      </c>
      <c r="D11760" t="s">
        <v>29</v>
      </c>
      <c r="E11760" s="6">
        <v>-28374</v>
      </c>
      <c r="F11760" t="s">
        <v>171</v>
      </c>
      <c r="G11760" t="s">
        <v>57</v>
      </c>
      <c r="H11760" t="s">
        <v>20</v>
      </c>
      <c r="I11760" t="s">
        <v>23046</v>
      </c>
      <c r="J11760" t="str">
        <f>HYPERLINK("https://www.boe.es/gazeta/dias/1822/04/24/pdfs/GMD-1822-116.pdf#page=4","Abrir facsímil")</f>
        <v>Abrir facsímil</v>
      </c>
      <c r="K11760" t="s">
        <v>22</v>
      </c>
    </row>
    <row r="11761" spans="1:11" ht="42" customHeight="1">
      <c r="A11761" t="s">
        <v>23047</v>
      </c>
      <c r="B11761" t="s">
        <v>23047</v>
      </c>
      <c r="C11761" t="s">
        <v>42</v>
      </c>
      <c r="D11761" t="s">
        <v>17</v>
      </c>
      <c r="E11761" s="6">
        <v>-28459</v>
      </c>
      <c r="F11761" t="s">
        <v>1102</v>
      </c>
      <c r="G11761" t="s">
        <v>31</v>
      </c>
      <c r="H11761" t="s">
        <v>20</v>
      </c>
      <c r="I11761" t="s">
        <v>23048</v>
      </c>
      <c r="J11761" t="str">
        <f>HYPERLINK("https://www.boe.es/gazeta/dias/1822/01/29/pdfs/GMD-1822-29.pdf#page=3","Abrir facsímil")</f>
        <v>Abrir facsímil</v>
      </c>
      <c r="K11761" t="s">
        <v>22</v>
      </c>
    </row>
    <row r="11762" spans="1:11" ht="42" customHeight="1">
      <c r="A11762" t="s">
        <v>23047</v>
      </c>
      <c r="B11762" t="s">
        <v>23047</v>
      </c>
      <c r="C11762" t="s">
        <v>71</v>
      </c>
      <c r="D11762" t="s">
        <v>17</v>
      </c>
      <c r="E11762" s="6">
        <v>-28450</v>
      </c>
      <c r="F11762" t="s">
        <v>1450</v>
      </c>
      <c r="G11762" t="s">
        <v>31</v>
      </c>
      <c r="H11762" t="s">
        <v>20</v>
      </c>
      <c r="I11762" t="s">
        <v>23049</v>
      </c>
      <c r="J11762" t="str">
        <f>HYPERLINK("https://www.boe.es/gazeta/dias/1822/02/07/pdfs/GMD-1822-38.pdf#page=3","Abrir facsímil")</f>
        <v>Abrir facsímil</v>
      </c>
      <c r="K11762" t="s">
        <v>22</v>
      </c>
    </row>
    <row r="11763" spans="1:11" ht="42" customHeight="1">
      <c r="A11763" t="s">
        <v>23047</v>
      </c>
      <c r="B11763" t="s">
        <v>23047</v>
      </c>
      <c r="C11763" t="s">
        <v>24</v>
      </c>
      <c r="D11763" t="s">
        <v>17</v>
      </c>
      <c r="E11763" s="6">
        <v>-28449</v>
      </c>
      <c r="F11763" t="s">
        <v>1342</v>
      </c>
      <c r="G11763" t="s">
        <v>35</v>
      </c>
      <c r="H11763" t="s">
        <v>20</v>
      </c>
      <c r="I11763" t="s">
        <v>23050</v>
      </c>
      <c r="J11763" t="str">
        <f>HYPERLINK("https://www.boe.es/gazeta/dias/1822/02/08/pdfs/GMD-1822-39.pdf#page=2","Abrir facsímil")</f>
        <v>Abrir facsímil</v>
      </c>
      <c r="K11763" t="s">
        <v>22</v>
      </c>
    </row>
    <row r="11764" spans="1:11" ht="42" customHeight="1">
      <c r="A11764" t="s">
        <v>23047</v>
      </c>
      <c r="B11764" t="s">
        <v>23047</v>
      </c>
      <c r="C11764" t="s">
        <v>28</v>
      </c>
      <c r="D11764" t="s">
        <v>29</v>
      </c>
      <c r="E11764" s="6">
        <v>-28445</v>
      </c>
      <c r="F11764" t="s">
        <v>1622</v>
      </c>
      <c r="G11764" t="s">
        <v>57</v>
      </c>
      <c r="H11764" t="s">
        <v>20</v>
      </c>
      <c r="I11764" t="s">
        <v>23051</v>
      </c>
      <c r="J11764" t="str">
        <f>HYPERLINK("https://www.boe.es/gazeta/dias/1822/02/12/pdfs/GMD-1822-43.pdf#page=4","Abrir facsímil")</f>
        <v>Abrir facsímil</v>
      </c>
      <c r="K11764" t="s">
        <v>22</v>
      </c>
    </row>
    <row r="11765" spans="1:11" ht="42" customHeight="1">
      <c r="A11765" t="s">
        <v>23047</v>
      </c>
      <c r="B11765" t="s">
        <v>23047</v>
      </c>
      <c r="C11765" t="s">
        <v>28</v>
      </c>
      <c r="D11765" t="s">
        <v>29</v>
      </c>
      <c r="E11765" s="6">
        <v>-28429</v>
      </c>
      <c r="F11765" t="s">
        <v>2397</v>
      </c>
      <c r="G11765" t="s">
        <v>57</v>
      </c>
      <c r="H11765" t="s">
        <v>20</v>
      </c>
      <c r="I11765" t="s">
        <v>23052</v>
      </c>
      <c r="J11765" t="str">
        <f>HYPERLINK("https://www.boe.es/gazeta/dias/1822/02/28/pdfs/GMD-1822-60.pdf#page=4","Abrir facsímil")</f>
        <v>Abrir facsímil</v>
      </c>
      <c r="K11765" t="s">
        <v>22</v>
      </c>
    </row>
    <row r="11766" spans="1:11" ht="42" customHeight="1">
      <c r="A11766" t="s">
        <v>23047</v>
      </c>
      <c r="B11766" t="s">
        <v>23047</v>
      </c>
      <c r="C11766" t="s">
        <v>50</v>
      </c>
      <c r="D11766" t="s">
        <v>51</v>
      </c>
      <c r="E11766" s="6">
        <v>-28424</v>
      </c>
      <c r="F11766" t="s">
        <v>439</v>
      </c>
      <c r="G11766" t="s">
        <v>31</v>
      </c>
      <c r="H11766" t="s">
        <v>20</v>
      </c>
      <c r="I11766" t="s">
        <v>23053</v>
      </c>
      <c r="J11766" t="str">
        <f>HYPERLINK("https://www.boe.es/gazeta/dias/1822/03/05/pdfs/GMD-1822-66.pdf#page=3","Abrir facsímil")</f>
        <v>Abrir facsímil</v>
      </c>
      <c r="K11766" t="s">
        <v>22</v>
      </c>
    </row>
    <row r="11767" spans="1:11" ht="42" customHeight="1">
      <c r="A11767" t="s">
        <v>23047</v>
      </c>
      <c r="B11767" t="s">
        <v>23047</v>
      </c>
      <c r="C11767" t="s">
        <v>50</v>
      </c>
      <c r="D11767" t="s">
        <v>51</v>
      </c>
      <c r="E11767" s="6">
        <v>-28206</v>
      </c>
      <c r="F11767" t="s">
        <v>562</v>
      </c>
      <c r="G11767" t="s">
        <v>35</v>
      </c>
      <c r="H11767" t="s">
        <v>20</v>
      </c>
      <c r="I11767" t="s">
        <v>23054</v>
      </c>
      <c r="J11767" t="str">
        <f>HYPERLINK("https://www.boe.es/gazeta/dias/1822/10/09/pdfs/GMD-1822-296.pdf#page=2","Abrir facsímil")</f>
        <v>Abrir facsímil</v>
      </c>
      <c r="K11767" t="s">
        <v>22</v>
      </c>
    </row>
    <row r="11768" spans="1:11" ht="42" customHeight="1">
      <c r="A11768" t="s">
        <v>23047</v>
      </c>
      <c r="B11768" t="s">
        <v>23047</v>
      </c>
      <c r="C11768" t="s">
        <v>42</v>
      </c>
      <c r="D11768" t="s">
        <v>17</v>
      </c>
      <c r="E11768" s="6">
        <v>-28205</v>
      </c>
      <c r="F11768" t="s">
        <v>806</v>
      </c>
      <c r="G11768" t="s">
        <v>35</v>
      </c>
      <c r="H11768" t="s">
        <v>20</v>
      </c>
      <c r="I11768" t="s">
        <v>23055</v>
      </c>
      <c r="J11768" t="str">
        <f>HYPERLINK("https://www.boe.es/gazeta/dias/1822/10/10/pdfs/GMD-1822-297.pdf#page=2","Abrir facsímil")</f>
        <v>Abrir facsímil</v>
      </c>
      <c r="K11768" t="s">
        <v>22</v>
      </c>
    </row>
    <row r="11769" spans="1:11" ht="42" customHeight="1">
      <c r="A11769" t="s">
        <v>23056</v>
      </c>
      <c r="B11769" t="s">
        <v>23057</v>
      </c>
      <c r="C11769" t="s">
        <v>50</v>
      </c>
      <c r="D11769" t="s">
        <v>51</v>
      </c>
      <c r="E11769" s="6">
        <v>-28391</v>
      </c>
      <c r="F11769" t="s">
        <v>378</v>
      </c>
      <c r="G11769" t="s">
        <v>63</v>
      </c>
      <c r="H11769" t="s">
        <v>45</v>
      </c>
      <c r="I11769" t="s">
        <v>23058</v>
      </c>
      <c r="J11769" t="str">
        <f>HYPERLINK("https://www.boe.es/gazeta/dias/1822/04/07/pdfs/GMD-1822-99.pdf#page=6","Abrir facsímil")</f>
        <v>Abrir facsímil</v>
      </c>
      <c r="K11769" t="s">
        <v>47</v>
      </c>
    </row>
    <row r="11770" spans="1:11" ht="42" customHeight="1">
      <c r="A11770" t="s">
        <v>23059</v>
      </c>
      <c r="B11770" t="s">
        <v>23060</v>
      </c>
      <c r="C11770" t="s">
        <v>50</v>
      </c>
      <c r="D11770" t="s">
        <v>51</v>
      </c>
      <c r="E11770" s="6">
        <v>-28395</v>
      </c>
      <c r="F11770" t="s">
        <v>237</v>
      </c>
      <c r="G11770" t="s">
        <v>57</v>
      </c>
      <c r="H11770" t="s">
        <v>20</v>
      </c>
      <c r="I11770" t="s">
        <v>23061</v>
      </c>
      <c r="J11770" t="str">
        <f>HYPERLINK("https://www.boe.es/gazeta/dias/1822/04/03/pdfs/GMD-1822-95.pdf#page=4","Abrir facsímil")</f>
        <v>Abrir facsímil</v>
      </c>
      <c r="K11770" t="s">
        <v>22</v>
      </c>
    </row>
    <row r="11771" spans="1:11" ht="42" customHeight="1">
      <c r="A11771" t="s">
        <v>23062</v>
      </c>
      <c r="B11771" t="s">
        <v>23063</v>
      </c>
      <c r="C11771" t="s">
        <v>50</v>
      </c>
      <c r="D11771" t="s">
        <v>51</v>
      </c>
      <c r="E11771" s="6">
        <v>-28264</v>
      </c>
      <c r="F11771" t="s">
        <v>1329</v>
      </c>
      <c r="G11771" t="s">
        <v>31</v>
      </c>
      <c r="H11771" t="s">
        <v>20</v>
      </c>
      <c r="I11771" t="s">
        <v>23064</v>
      </c>
      <c r="J11771" t="str">
        <f>HYPERLINK("https://www.boe.es/gazeta/dias/1822/08/12/pdfs/GMD-1822-236.pdf#page=3","Abrir facsímil")</f>
        <v>Abrir facsímil</v>
      </c>
      <c r="K11771" t="s">
        <v>22</v>
      </c>
    </row>
    <row r="11772" spans="1:11" ht="42" customHeight="1">
      <c r="A11772" t="s">
        <v>23065</v>
      </c>
      <c r="B11772" t="s">
        <v>23066</v>
      </c>
      <c r="C11772" t="s">
        <v>50</v>
      </c>
      <c r="D11772" t="s">
        <v>51</v>
      </c>
      <c r="E11772" s="6">
        <v>-28125</v>
      </c>
      <c r="F11772" t="s">
        <v>322</v>
      </c>
      <c r="G11772" t="s">
        <v>19</v>
      </c>
      <c r="H11772" t="s">
        <v>20</v>
      </c>
      <c r="I11772" t="s">
        <v>23067</v>
      </c>
      <c r="J11772" t="str">
        <f>HYPERLINK("https://www.boe.es/gazeta/dias/1822/12/29/pdfs/GMD-1822-379.pdf#page=5","Abrir facsímil")</f>
        <v>Abrir facsímil</v>
      </c>
      <c r="K11772" t="s">
        <v>22</v>
      </c>
    </row>
    <row r="11773" spans="1:11" ht="42" customHeight="1">
      <c r="A11773" t="s">
        <v>23068</v>
      </c>
      <c r="B11773" t="s">
        <v>23069</v>
      </c>
      <c r="C11773" t="s">
        <v>50</v>
      </c>
      <c r="D11773" t="s">
        <v>51</v>
      </c>
      <c r="E11773" s="6">
        <v>-28419</v>
      </c>
      <c r="F11773" t="s">
        <v>1392</v>
      </c>
      <c r="G11773" t="s">
        <v>63</v>
      </c>
      <c r="H11773" t="s">
        <v>20</v>
      </c>
      <c r="I11773" t="s">
        <v>23070</v>
      </c>
      <c r="J11773" t="str">
        <f>HYPERLINK("https://www.boe.es/gazeta/dias/1822/03/10/pdfs/GMD-1822-71.pdf#page=6","Abrir facsímil")</f>
        <v>Abrir facsímil</v>
      </c>
      <c r="K11773" t="s">
        <v>22</v>
      </c>
    </row>
    <row r="11774" spans="1:11" ht="42" customHeight="1">
      <c r="A11774" t="s">
        <v>23071</v>
      </c>
      <c r="B11774" t="s">
        <v>23072</v>
      </c>
      <c r="C11774" t="s">
        <v>28</v>
      </c>
      <c r="D11774" t="s">
        <v>29</v>
      </c>
      <c r="E11774" s="6">
        <v>-28432</v>
      </c>
      <c r="F11774" t="s">
        <v>195</v>
      </c>
      <c r="G11774" t="s">
        <v>57</v>
      </c>
      <c r="H11774" t="s">
        <v>20</v>
      </c>
      <c r="I11774" t="s">
        <v>23073</v>
      </c>
      <c r="J11774" t="str">
        <f>HYPERLINK("https://www.boe.es/gazeta/dias/1822/02/25/pdfs/GMD-1822-57.pdf#page=4","Abrir facsímil")</f>
        <v>Abrir facsímil</v>
      </c>
      <c r="K11774" t="s">
        <v>22</v>
      </c>
    </row>
    <row r="11775" spans="1:11" ht="42" customHeight="1">
      <c r="A11775" t="s">
        <v>23071</v>
      </c>
      <c r="B11775" t="s">
        <v>23072</v>
      </c>
      <c r="C11775" t="s">
        <v>42</v>
      </c>
      <c r="D11775" t="s">
        <v>17</v>
      </c>
      <c r="E11775" s="6">
        <v>-28359</v>
      </c>
      <c r="F11775" t="s">
        <v>209</v>
      </c>
      <c r="G11775" t="s">
        <v>31</v>
      </c>
      <c r="H11775" t="s">
        <v>20</v>
      </c>
      <c r="I11775" t="s">
        <v>23074</v>
      </c>
      <c r="J11775" t="str">
        <f>HYPERLINK("https://www.boe.es/gazeta/dias/1822/05/09/pdfs/GMD-1822-131.pdf#page=3","Abrir facsímil")</f>
        <v>Abrir facsímil</v>
      </c>
      <c r="K11775" t="s">
        <v>22</v>
      </c>
    </row>
    <row r="11776" spans="1:11" ht="42" customHeight="1">
      <c r="A11776" t="s">
        <v>23075</v>
      </c>
      <c r="B11776" t="s">
        <v>23076</v>
      </c>
      <c r="C11776" t="s">
        <v>50</v>
      </c>
      <c r="D11776" t="s">
        <v>51</v>
      </c>
      <c r="E11776" s="6">
        <v>-28302</v>
      </c>
      <c r="F11776" t="s">
        <v>791</v>
      </c>
      <c r="G11776" t="s">
        <v>31</v>
      </c>
      <c r="H11776" t="s">
        <v>20</v>
      </c>
      <c r="I11776" t="s">
        <v>23077</v>
      </c>
      <c r="J11776" t="str">
        <f>HYPERLINK("https://www.boe.es/gazeta/dias/1822/07/05/pdfs/GMD-1822-194.pdf#page=3","Abrir facsímil")</f>
        <v>Abrir facsímil</v>
      </c>
      <c r="K11776" t="s">
        <v>22</v>
      </c>
    </row>
    <row r="11777" spans="1:11" ht="42" customHeight="1">
      <c r="A11777" t="s">
        <v>23078</v>
      </c>
      <c r="B11777" t="s">
        <v>23079</v>
      </c>
      <c r="C11777" t="s">
        <v>71</v>
      </c>
      <c r="D11777" t="s">
        <v>17</v>
      </c>
      <c r="E11777" s="6">
        <v>-28171</v>
      </c>
      <c r="F11777" t="s">
        <v>1075</v>
      </c>
      <c r="G11777" t="s">
        <v>57</v>
      </c>
      <c r="H11777" t="s">
        <v>20</v>
      </c>
      <c r="I11777" t="s">
        <v>23080</v>
      </c>
      <c r="J11777" t="str">
        <f>HYPERLINK("https://www.boe.es/gazeta/dias/1822/11/13/pdfs/GMD-1822-333.pdf#page=4","Abrir facsímil")</f>
        <v>Abrir facsímil</v>
      </c>
      <c r="K11777" t="s">
        <v>22</v>
      </c>
    </row>
    <row r="11778" spans="1:11" ht="42" customHeight="1">
      <c r="A11778" t="s">
        <v>23081</v>
      </c>
      <c r="B11778" t="s">
        <v>23082</v>
      </c>
      <c r="C11778" t="s">
        <v>50</v>
      </c>
      <c r="D11778" t="s">
        <v>51</v>
      </c>
      <c r="E11778" s="6">
        <v>-28170</v>
      </c>
      <c r="F11778" t="s">
        <v>1457</v>
      </c>
      <c r="G11778" t="s">
        <v>19</v>
      </c>
      <c r="H11778" t="s">
        <v>20</v>
      </c>
      <c r="I11778" t="s">
        <v>23083</v>
      </c>
      <c r="J11778" t="str">
        <f>HYPERLINK("https://www.boe.es/gazeta/dias/1822/11/14/pdfs/GMD-1822-334.pdf#page=5","Abrir facsímil")</f>
        <v>Abrir facsímil</v>
      </c>
      <c r="K11778" t="s">
        <v>22</v>
      </c>
    </row>
    <row r="11779" spans="1:11" ht="42" customHeight="1">
      <c r="A11779" t="s">
        <v>23084</v>
      </c>
      <c r="B11779" t="s">
        <v>23085</v>
      </c>
      <c r="C11779" t="s">
        <v>50</v>
      </c>
      <c r="D11779" t="s">
        <v>51</v>
      </c>
      <c r="E11779" s="6">
        <v>-28311</v>
      </c>
      <c r="F11779" t="s">
        <v>736</v>
      </c>
      <c r="G11779" t="s">
        <v>157</v>
      </c>
      <c r="H11779" t="s">
        <v>20</v>
      </c>
      <c r="I11779" t="s">
        <v>23086</v>
      </c>
      <c r="J11779" t="str">
        <f>HYPERLINK("https://www.boe.es/gazeta/dias/1822/06/26/pdfs/GMD-1822-184.pdf#page=8","Abrir facsímil")</f>
        <v>Abrir facsímil</v>
      </c>
      <c r="K11779" t="s">
        <v>22</v>
      </c>
    </row>
    <row r="11780" spans="1:11" ht="42" customHeight="1">
      <c r="A11780" t="s">
        <v>23087</v>
      </c>
      <c r="B11780" t="s">
        <v>23088</v>
      </c>
      <c r="C11780" t="s">
        <v>50</v>
      </c>
      <c r="D11780" t="s">
        <v>51</v>
      </c>
      <c r="E11780" s="6">
        <v>-28319</v>
      </c>
      <c r="F11780" t="s">
        <v>271</v>
      </c>
      <c r="G11780" t="s">
        <v>63</v>
      </c>
      <c r="H11780" t="s">
        <v>20</v>
      </c>
      <c r="I11780" t="s">
        <v>23089</v>
      </c>
      <c r="J11780" t="str">
        <f>HYPERLINK("https://www.boe.es/gazeta/dias/1822/06/18/pdfs/GMD-1822-175.pdf#page=6","Abrir facsímil")</f>
        <v>Abrir facsímil</v>
      </c>
      <c r="K11780" t="s">
        <v>22</v>
      </c>
    </row>
    <row r="11781" spans="1:11" ht="42" customHeight="1">
      <c r="A11781" t="s">
        <v>23090</v>
      </c>
      <c r="B11781" t="s">
        <v>23091</v>
      </c>
      <c r="C11781" t="s">
        <v>28</v>
      </c>
      <c r="D11781" t="s">
        <v>29</v>
      </c>
      <c r="E11781" s="6">
        <v>-28366</v>
      </c>
      <c r="F11781" t="s">
        <v>120</v>
      </c>
      <c r="G11781" t="s">
        <v>19</v>
      </c>
      <c r="H11781" t="s">
        <v>20</v>
      </c>
      <c r="I11781" t="s">
        <v>23092</v>
      </c>
      <c r="J11781" t="str">
        <f>HYPERLINK("https://www.boe.es/gazeta/dias/1822/05/02/pdfs/GMD-1822-124.pdf#page=5","Abrir facsímil")</f>
        <v>Abrir facsímil</v>
      </c>
      <c r="K11781" t="s">
        <v>22</v>
      </c>
    </row>
    <row r="11782" spans="1:11" ht="42" customHeight="1">
      <c r="A11782" t="s">
        <v>23093</v>
      </c>
      <c r="B11782" t="s">
        <v>23094</v>
      </c>
      <c r="C11782" t="s">
        <v>24</v>
      </c>
      <c r="D11782" t="s">
        <v>17</v>
      </c>
      <c r="E11782" s="6">
        <v>-28150</v>
      </c>
      <c r="F11782" t="s">
        <v>62</v>
      </c>
      <c r="G11782" t="s">
        <v>63</v>
      </c>
      <c r="H11782" t="s">
        <v>20</v>
      </c>
      <c r="I11782" t="s">
        <v>23095</v>
      </c>
      <c r="J11782" t="str">
        <f>HYPERLINK("https://www.boe.es/gazeta/dias/1822/12/04/pdfs/GMD-1822-354.pdf#page=6","Abrir facsímil")</f>
        <v>Abrir facsímil</v>
      </c>
      <c r="K11782" t="s">
        <v>22</v>
      </c>
    </row>
    <row r="11783" spans="1:11" ht="42" customHeight="1">
      <c r="A11783" t="s">
        <v>23096</v>
      </c>
      <c r="B11783" t="s">
        <v>23096</v>
      </c>
      <c r="C11783" t="s">
        <v>50</v>
      </c>
      <c r="D11783" t="s">
        <v>51</v>
      </c>
      <c r="E11783" s="6">
        <v>-28366</v>
      </c>
      <c r="F11783" t="s">
        <v>120</v>
      </c>
      <c r="G11783" t="s">
        <v>35</v>
      </c>
      <c r="H11783" t="s">
        <v>20</v>
      </c>
      <c r="I11783" t="s">
        <v>23097</v>
      </c>
      <c r="J11783" t="str">
        <f>HYPERLINK("https://www.boe.es/gazeta/dias/1822/05/02/pdfs/GMD-1822-124.pdf#page=2","Abrir facsímil")</f>
        <v>Abrir facsímil</v>
      </c>
      <c r="K11783" t="s">
        <v>22</v>
      </c>
    </row>
    <row r="11784" spans="1:11" ht="42" customHeight="1">
      <c r="A11784" t="s">
        <v>23098</v>
      </c>
      <c r="B11784" t="s">
        <v>23099</v>
      </c>
      <c r="C11784" t="s">
        <v>42</v>
      </c>
      <c r="D11784" t="s">
        <v>17</v>
      </c>
      <c r="E11784" s="6">
        <v>-28289</v>
      </c>
      <c r="F11784" t="s">
        <v>390</v>
      </c>
      <c r="G11784" t="s">
        <v>31</v>
      </c>
      <c r="H11784" t="s">
        <v>20</v>
      </c>
      <c r="I11784" t="s">
        <v>23100</v>
      </c>
      <c r="J11784" t="str">
        <f>HYPERLINK("https://www.boe.es/gazeta/dias/1822/07/18/pdfs/GMD-1822-209.pdf#page=3","Abrir facsímil")</f>
        <v>Abrir facsímil</v>
      </c>
      <c r="K11784" t="s">
        <v>22</v>
      </c>
    </row>
    <row r="11785" spans="1:11" ht="42" customHeight="1">
      <c r="A11785" t="s">
        <v>23098</v>
      </c>
      <c r="B11785" t="s">
        <v>23099</v>
      </c>
      <c r="C11785" t="s">
        <v>50</v>
      </c>
      <c r="D11785" t="s">
        <v>51</v>
      </c>
      <c r="E11785" s="6">
        <v>-28142</v>
      </c>
      <c r="F11785" t="s">
        <v>290</v>
      </c>
      <c r="G11785" t="s">
        <v>57</v>
      </c>
      <c r="H11785" t="s">
        <v>20</v>
      </c>
      <c r="I11785" t="s">
        <v>23101</v>
      </c>
      <c r="J11785" t="str">
        <f>HYPERLINK("https://www.boe.es/gazeta/dias/1822/12/12/pdfs/GMD-1822-362.pdf#page=4","Abrir facsímil")</f>
        <v>Abrir facsímil</v>
      </c>
      <c r="K11785" t="s">
        <v>22</v>
      </c>
    </row>
    <row r="11786" spans="1:11" ht="42" customHeight="1">
      <c r="A11786" t="s">
        <v>23102</v>
      </c>
      <c r="B11786" t="s">
        <v>23103</v>
      </c>
      <c r="C11786" t="s">
        <v>50</v>
      </c>
      <c r="D11786" t="s">
        <v>51</v>
      </c>
      <c r="E11786" s="6">
        <v>-28461</v>
      </c>
      <c r="F11786" t="s">
        <v>1801</v>
      </c>
      <c r="G11786" t="s">
        <v>35</v>
      </c>
      <c r="H11786" t="s">
        <v>20</v>
      </c>
      <c r="I11786" t="s">
        <v>23104</v>
      </c>
      <c r="J11786" t="str">
        <f>HYPERLINK("https://www.boe.es/gazeta/dias/1822/01/27/pdfs/GMD-1822-27.pdf#page=2","Abrir facsímil")</f>
        <v>Abrir facsímil</v>
      </c>
      <c r="K11786" t="s">
        <v>22</v>
      </c>
    </row>
    <row r="11787" spans="1:11" ht="42" customHeight="1">
      <c r="A11787" t="s">
        <v>23105</v>
      </c>
      <c r="B11787" t="s">
        <v>23106</v>
      </c>
      <c r="C11787" t="s">
        <v>28</v>
      </c>
      <c r="D11787" t="s">
        <v>29</v>
      </c>
      <c r="E11787" s="6">
        <v>-28468</v>
      </c>
      <c r="F11787" t="s">
        <v>1012</v>
      </c>
      <c r="G11787" t="s">
        <v>44</v>
      </c>
      <c r="H11787" t="s">
        <v>20</v>
      </c>
      <c r="I11787" t="s">
        <v>23107</v>
      </c>
      <c r="J11787" t="str">
        <f>HYPERLINK("https://www.boe.es/gazeta/dias/1822/01/20/pdfs/GMD-1822-20.pdf#page=1","Abrir facsímil")</f>
        <v>Abrir facsímil</v>
      </c>
      <c r="K11787" t="s">
        <v>22</v>
      </c>
    </row>
    <row r="11788" spans="1:11" ht="42" customHeight="1">
      <c r="A11788" t="s">
        <v>23105</v>
      </c>
      <c r="B11788" t="s">
        <v>23106</v>
      </c>
      <c r="C11788" t="s">
        <v>28</v>
      </c>
      <c r="D11788" t="s">
        <v>29</v>
      </c>
      <c r="E11788" s="6">
        <v>-28443</v>
      </c>
      <c r="F11788" t="s">
        <v>668</v>
      </c>
      <c r="G11788" t="s">
        <v>57</v>
      </c>
      <c r="H11788" t="s">
        <v>20</v>
      </c>
      <c r="I11788" t="s">
        <v>23108</v>
      </c>
      <c r="J11788" t="str">
        <f>HYPERLINK("https://www.boe.es/gazeta/dias/1822/02/14/pdfs/GMD-1822-45.pdf#page=4","Abrir facsímil")</f>
        <v>Abrir facsímil</v>
      </c>
      <c r="K11788" t="s">
        <v>22</v>
      </c>
    </row>
    <row r="11789" spans="1:11" ht="42" customHeight="1">
      <c r="A11789" t="s">
        <v>23105</v>
      </c>
      <c r="B11789" t="s">
        <v>23106</v>
      </c>
      <c r="C11789" t="s">
        <v>24</v>
      </c>
      <c r="D11789" t="s">
        <v>17</v>
      </c>
      <c r="E11789" s="6">
        <v>-28291</v>
      </c>
      <c r="F11789" t="s">
        <v>363</v>
      </c>
      <c r="G11789" t="s">
        <v>57</v>
      </c>
      <c r="H11789" t="s">
        <v>20</v>
      </c>
      <c r="I11789" t="s">
        <v>23109</v>
      </c>
      <c r="J11789" t="str">
        <f>HYPERLINK("https://www.boe.es/gazeta/dias/1822/07/16/pdfs/GMD-1822-206.pdf#page=4","Abrir facsímil")</f>
        <v>Abrir facsímil</v>
      </c>
      <c r="K11789" t="s">
        <v>22</v>
      </c>
    </row>
    <row r="11790" spans="1:11" ht="42" customHeight="1">
      <c r="A11790" t="s">
        <v>23105</v>
      </c>
      <c r="B11790" t="s">
        <v>23106</v>
      </c>
      <c r="C11790" t="s">
        <v>24</v>
      </c>
      <c r="D11790" t="s">
        <v>17</v>
      </c>
      <c r="E11790" s="6">
        <v>-28197</v>
      </c>
      <c r="F11790" t="s">
        <v>568</v>
      </c>
      <c r="G11790" t="s">
        <v>63</v>
      </c>
      <c r="H11790" t="s">
        <v>20</v>
      </c>
      <c r="I11790" t="s">
        <v>23110</v>
      </c>
      <c r="J11790" t="str">
        <f>HYPERLINK("https://www.boe.es/gazeta/dias/1822/10/18/pdfs/GMD-1822-305.pdf#page=6","Abrir facsímil")</f>
        <v>Abrir facsímil</v>
      </c>
      <c r="K11790" t="s">
        <v>22</v>
      </c>
    </row>
    <row r="11791" spans="1:11" ht="42" customHeight="1">
      <c r="A11791" t="s">
        <v>23111</v>
      </c>
      <c r="B11791" t="s">
        <v>23112</v>
      </c>
      <c r="C11791" t="s">
        <v>50</v>
      </c>
      <c r="D11791" t="s">
        <v>51</v>
      </c>
      <c r="E11791" s="6">
        <v>-28293</v>
      </c>
      <c r="F11791" t="s">
        <v>152</v>
      </c>
      <c r="G11791" t="s">
        <v>31</v>
      </c>
      <c r="H11791" t="s">
        <v>20</v>
      </c>
      <c r="I11791" t="s">
        <v>23113</v>
      </c>
      <c r="J11791" t="str">
        <f>HYPERLINK("https://www.boe.es/gazeta/dias/1822/07/14/pdfs/GMD-1822-204.pdf#page=3","Abrir facsímil")</f>
        <v>Abrir facsímil</v>
      </c>
      <c r="K11791" t="s">
        <v>22</v>
      </c>
    </row>
    <row r="11792" spans="1:11" ht="42" customHeight="1">
      <c r="A11792" t="s">
        <v>23114</v>
      </c>
      <c r="B11792" t="s">
        <v>23115</v>
      </c>
      <c r="C11792" t="s">
        <v>28</v>
      </c>
      <c r="D11792" t="s">
        <v>29</v>
      </c>
      <c r="E11792" s="6">
        <v>-28462</v>
      </c>
      <c r="F11792" t="s">
        <v>1099</v>
      </c>
      <c r="G11792" t="s">
        <v>57</v>
      </c>
      <c r="H11792" t="s">
        <v>20</v>
      </c>
      <c r="I11792" t="s">
        <v>23116</v>
      </c>
      <c r="J11792" t="str">
        <f>HYPERLINK("https://www.boe.es/gazeta/dias/1822/01/26/pdfs/GMD-1822-26.pdf#page=4","Abrir facsímil")</f>
        <v>Abrir facsímil</v>
      </c>
      <c r="K11792" t="s">
        <v>22</v>
      </c>
    </row>
    <row r="11793" spans="1:11" ht="42" customHeight="1">
      <c r="A11793" t="s">
        <v>23114</v>
      </c>
      <c r="B11793" t="s">
        <v>23115</v>
      </c>
      <c r="C11793" t="s">
        <v>28</v>
      </c>
      <c r="D11793" t="s">
        <v>29</v>
      </c>
      <c r="E11793" s="6">
        <v>-28452</v>
      </c>
      <c r="F11793" t="s">
        <v>7772</v>
      </c>
      <c r="G11793" t="s">
        <v>57</v>
      </c>
      <c r="H11793" t="s">
        <v>20</v>
      </c>
      <c r="I11793" t="s">
        <v>23117</v>
      </c>
      <c r="J11793" t="str">
        <f>HYPERLINK("https://www.boe.es/gazeta/dias/1822/02/05/pdfs/GMD-1822-36.pdf#page=4","Abrir facsímil")</f>
        <v>Abrir facsímil</v>
      </c>
      <c r="K11793" t="s">
        <v>22</v>
      </c>
    </row>
    <row r="11794" spans="1:11" ht="42" customHeight="1">
      <c r="A11794" t="s">
        <v>23118</v>
      </c>
      <c r="B11794" t="s">
        <v>23119</v>
      </c>
      <c r="C11794" t="s">
        <v>28</v>
      </c>
      <c r="D11794" t="s">
        <v>29</v>
      </c>
      <c r="E11794" s="6">
        <v>-28427</v>
      </c>
      <c r="F11794" t="s">
        <v>755</v>
      </c>
      <c r="G11794" t="s">
        <v>57</v>
      </c>
      <c r="H11794" t="s">
        <v>20</v>
      </c>
      <c r="I11794" t="s">
        <v>23120</v>
      </c>
      <c r="J11794" t="str">
        <f>HYPERLINK("https://www.boe.es/gazeta/dias/1822/03/02/pdfs/GMD-1822-63.pdf#page=4","Abrir facsímil")</f>
        <v>Abrir facsímil</v>
      </c>
      <c r="K11794" t="s">
        <v>22</v>
      </c>
    </row>
    <row r="11795" spans="1:11" ht="42" customHeight="1">
      <c r="A11795" t="s">
        <v>23121</v>
      </c>
      <c r="B11795" t="s">
        <v>23121</v>
      </c>
      <c r="C11795" t="s">
        <v>42</v>
      </c>
      <c r="D11795" t="s">
        <v>17</v>
      </c>
      <c r="E11795" s="6">
        <v>-28396</v>
      </c>
      <c r="F11795" t="s">
        <v>1138</v>
      </c>
      <c r="G11795" t="s">
        <v>35</v>
      </c>
      <c r="H11795" t="s">
        <v>20</v>
      </c>
      <c r="I11795" t="s">
        <v>23122</v>
      </c>
      <c r="J11795" t="str">
        <f>HYPERLINK("https://www.boe.es/gazeta/dias/1822/04/02/pdfs/GMD-1822-94.pdf#page=2","Abrir facsímil")</f>
        <v>Abrir facsímil</v>
      </c>
      <c r="K11795" t="s">
        <v>22</v>
      </c>
    </row>
    <row r="11796" spans="1:11" ht="42" customHeight="1">
      <c r="A11796" t="s">
        <v>23123</v>
      </c>
      <c r="B11796" t="s">
        <v>23124</v>
      </c>
      <c r="C11796" t="s">
        <v>42</v>
      </c>
      <c r="D11796" t="s">
        <v>17</v>
      </c>
      <c r="E11796" s="6">
        <v>-28396</v>
      </c>
      <c r="F11796" t="s">
        <v>1138</v>
      </c>
      <c r="G11796" t="s">
        <v>44</v>
      </c>
      <c r="H11796" t="s">
        <v>20</v>
      </c>
      <c r="I11796" t="s">
        <v>23125</v>
      </c>
      <c r="J11796" t="str">
        <f>HYPERLINK("https://www.boe.es/gazeta/dias/1822/04/02/pdfs/GMD-1822-94.pdf#page=1","Abrir facsímil")</f>
        <v>Abrir facsímil</v>
      </c>
      <c r="K11796" t="s">
        <v>22</v>
      </c>
    </row>
    <row r="11797" spans="1:11" ht="42" customHeight="1">
      <c r="A11797" t="s">
        <v>23126</v>
      </c>
      <c r="B11797" t="s">
        <v>23127</v>
      </c>
      <c r="C11797" t="s">
        <v>50</v>
      </c>
      <c r="D11797" t="s">
        <v>51</v>
      </c>
      <c r="E11797" s="6">
        <v>-28324</v>
      </c>
      <c r="F11797" t="s">
        <v>305</v>
      </c>
      <c r="G11797" t="s">
        <v>35</v>
      </c>
      <c r="H11797" t="s">
        <v>20</v>
      </c>
      <c r="I11797" t="s">
        <v>23128</v>
      </c>
      <c r="J11797" t="str">
        <f>HYPERLINK("https://www.boe.es/gazeta/dias/1822/06/13/pdfs/GMD-1822-170.pdf#page=2","Abrir facsímil")</f>
        <v>Abrir facsímil</v>
      </c>
      <c r="K11797" t="s">
        <v>22</v>
      </c>
    </row>
    <row r="11798" spans="1:11" ht="42" customHeight="1">
      <c r="A11798" t="s">
        <v>23129</v>
      </c>
      <c r="B11798" t="s">
        <v>23130</v>
      </c>
      <c r="C11798" t="s">
        <v>42</v>
      </c>
      <c r="D11798" t="s">
        <v>17</v>
      </c>
      <c r="E11798" s="6">
        <v>-28396</v>
      </c>
      <c r="F11798" t="s">
        <v>1138</v>
      </c>
      <c r="G11798" t="s">
        <v>35</v>
      </c>
      <c r="H11798" t="s">
        <v>20</v>
      </c>
      <c r="I11798" t="s">
        <v>23131</v>
      </c>
      <c r="J11798" t="str">
        <f>HYPERLINK("https://www.boe.es/gazeta/dias/1822/04/02/pdfs/GMD-1822-94.pdf#page=2","Abrir facsímil")</f>
        <v>Abrir facsímil</v>
      </c>
      <c r="K11798" t="s">
        <v>22</v>
      </c>
    </row>
    <row r="11799" spans="1:11" ht="42" customHeight="1">
      <c r="A11799" t="s">
        <v>23132</v>
      </c>
      <c r="B11799" t="s">
        <v>23132</v>
      </c>
      <c r="C11799" t="s">
        <v>50</v>
      </c>
      <c r="D11799" t="s">
        <v>51</v>
      </c>
      <c r="E11799" s="6">
        <v>-28261</v>
      </c>
      <c r="F11799" t="s">
        <v>5685</v>
      </c>
      <c r="G11799" t="s">
        <v>35</v>
      </c>
      <c r="H11799" t="s">
        <v>20</v>
      </c>
      <c r="I11799" t="s">
        <v>23133</v>
      </c>
      <c r="J11799" t="str">
        <f>HYPERLINK("https://www.boe.es/gazeta/dias/1822/08/15/pdfs/GMD-1822-239.pdf#page=2","Abrir facsímil")</f>
        <v>Abrir facsímil</v>
      </c>
      <c r="K11799" t="s">
        <v>22</v>
      </c>
    </row>
    <row r="11800" spans="1:11" ht="42" customHeight="1">
      <c r="A11800" t="s">
        <v>23134</v>
      </c>
      <c r="B11800" t="s">
        <v>23135</v>
      </c>
      <c r="C11800" t="s">
        <v>28</v>
      </c>
      <c r="D11800" t="s">
        <v>29</v>
      </c>
      <c r="E11800" s="6">
        <v>-28445</v>
      </c>
      <c r="F11800" t="s">
        <v>1622</v>
      </c>
      <c r="G11800" t="s">
        <v>57</v>
      </c>
      <c r="H11800" t="s">
        <v>20</v>
      </c>
      <c r="I11800" t="s">
        <v>23136</v>
      </c>
      <c r="J11800" t="str">
        <f>HYPERLINK("https://www.boe.es/gazeta/dias/1822/02/12/pdfs/GMD-1822-43.pdf#page=4","Abrir facsímil")</f>
        <v>Abrir facsímil</v>
      </c>
      <c r="K11800" t="s">
        <v>22</v>
      </c>
    </row>
    <row r="11801" spans="1:11" ht="42" customHeight="1">
      <c r="A11801" t="s">
        <v>23137</v>
      </c>
      <c r="B11801" t="s">
        <v>23138</v>
      </c>
      <c r="C11801" t="s">
        <v>50</v>
      </c>
      <c r="D11801" t="s">
        <v>51</v>
      </c>
      <c r="E11801" s="6">
        <v>-28483</v>
      </c>
      <c r="F11801" t="s">
        <v>254</v>
      </c>
      <c r="G11801" t="s">
        <v>44</v>
      </c>
      <c r="H11801" t="s">
        <v>20</v>
      </c>
      <c r="I11801" t="s">
        <v>23139</v>
      </c>
      <c r="J11801" t="str">
        <f>HYPERLINK("https://www.boe.es/gazeta/dias/1822/01/05/pdfs/GMD-1822-5.pdf#page=1","Abrir facsímil")</f>
        <v>Abrir facsímil</v>
      </c>
      <c r="K11801" t="s">
        <v>22</v>
      </c>
    </row>
    <row r="11802" spans="1:11" ht="42" customHeight="1">
      <c r="A11802" t="s">
        <v>23140</v>
      </c>
      <c r="B11802" t="s">
        <v>23141</v>
      </c>
      <c r="C11802" t="s">
        <v>50</v>
      </c>
      <c r="D11802" t="s">
        <v>51</v>
      </c>
      <c r="E11802" s="6">
        <v>-28264</v>
      </c>
      <c r="F11802" t="s">
        <v>1329</v>
      </c>
      <c r="G11802" t="s">
        <v>57</v>
      </c>
      <c r="H11802" t="s">
        <v>20</v>
      </c>
      <c r="I11802" t="s">
        <v>23142</v>
      </c>
      <c r="J11802" t="str">
        <f>HYPERLINK("https://www.boe.es/gazeta/dias/1822/08/12/pdfs/GMD-1822-236.pdf#page=4","Abrir facsímil")</f>
        <v>Abrir facsímil</v>
      </c>
      <c r="K11802" t="s">
        <v>22</v>
      </c>
    </row>
    <row r="11803" spans="1:11" ht="42" customHeight="1">
      <c r="A11803" t="s">
        <v>23143</v>
      </c>
      <c r="B11803" t="s">
        <v>23144</v>
      </c>
      <c r="C11803" t="s">
        <v>50</v>
      </c>
      <c r="D11803" t="s">
        <v>51</v>
      </c>
      <c r="E11803" s="6">
        <v>-28137</v>
      </c>
      <c r="F11803" t="s">
        <v>312</v>
      </c>
      <c r="G11803" t="s">
        <v>63</v>
      </c>
      <c r="H11803" t="s">
        <v>20</v>
      </c>
      <c r="I11803" t="s">
        <v>23145</v>
      </c>
      <c r="J11803" t="str">
        <f>HYPERLINK("https://www.boe.es/gazeta/dias/1822/12/17/pdfs/GMD-1822-367.pdf#page=6","Abrir facsímil")</f>
        <v>Abrir facsímil</v>
      </c>
      <c r="K11803" t="s">
        <v>22</v>
      </c>
    </row>
    <row r="11804" spans="1:11" ht="42" customHeight="1">
      <c r="A11804" t="s">
        <v>23146</v>
      </c>
      <c r="B11804" t="s">
        <v>23146</v>
      </c>
      <c r="C11804" t="s">
        <v>50</v>
      </c>
      <c r="D11804" t="s">
        <v>51</v>
      </c>
      <c r="E11804" s="6">
        <v>-28447</v>
      </c>
      <c r="F11804" t="s">
        <v>997</v>
      </c>
      <c r="G11804" t="s">
        <v>44</v>
      </c>
      <c r="H11804" t="s">
        <v>20</v>
      </c>
      <c r="I11804" t="s">
        <v>23147</v>
      </c>
      <c r="J11804" t="str">
        <f>HYPERLINK("https://www.boe.es/gazeta/dias/1822/02/10/pdfs/GMD-1822-41.pdf#page=1","Abrir facsímil")</f>
        <v>Abrir facsímil</v>
      </c>
      <c r="K11804" t="s">
        <v>22</v>
      </c>
    </row>
    <row r="11805" spans="1:11" ht="42" customHeight="1">
      <c r="A11805" t="s">
        <v>23148</v>
      </c>
      <c r="B11805" t="s">
        <v>23148</v>
      </c>
      <c r="C11805" t="s">
        <v>50</v>
      </c>
      <c r="D11805" t="s">
        <v>51</v>
      </c>
      <c r="E11805" s="6">
        <v>-28361</v>
      </c>
      <c r="F11805" t="s">
        <v>374</v>
      </c>
      <c r="G11805" t="s">
        <v>44</v>
      </c>
      <c r="H11805" t="s">
        <v>20</v>
      </c>
      <c r="I11805" t="s">
        <v>23149</v>
      </c>
      <c r="J11805" t="str">
        <f>HYPERLINK("https://www.boe.es/gazeta/dias/1822/05/07/pdfs/GMD-1822-129.pdf#page=1","Abrir facsímil")</f>
        <v>Abrir facsímil</v>
      </c>
      <c r="K11805" t="s">
        <v>22</v>
      </c>
    </row>
    <row r="11806" spans="1:11" ht="42" customHeight="1">
      <c r="A11806" t="s">
        <v>23150</v>
      </c>
      <c r="B11806" t="s">
        <v>23151</v>
      </c>
      <c r="C11806" t="s">
        <v>50</v>
      </c>
      <c r="D11806" t="s">
        <v>51</v>
      </c>
      <c r="E11806" s="6">
        <v>-28284</v>
      </c>
      <c r="F11806" t="s">
        <v>6484</v>
      </c>
      <c r="G11806" t="s">
        <v>35</v>
      </c>
      <c r="H11806" t="s">
        <v>20</v>
      </c>
      <c r="I11806" t="s">
        <v>23152</v>
      </c>
      <c r="J11806" t="str">
        <f>HYPERLINK("https://www.boe.es/gazeta/dias/1822/07/23/pdfs/GMD-1822-216.pdf#page=2","Abrir facsímil")</f>
        <v>Abrir facsímil</v>
      </c>
      <c r="K11806" t="s">
        <v>22</v>
      </c>
    </row>
    <row r="11807" spans="1:11" ht="42" customHeight="1">
      <c r="A11807" t="s">
        <v>23153</v>
      </c>
      <c r="B11807" t="s">
        <v>23153</v>
      </c>
      <c r="C11807" t="s">
        <v>28</v>
      </c>
      <c r="D11807" t="s">
        <v>29</v>
      </c>
      <c r="E11807" s="6">
        <v>-28418</v>
      </c>
      <c r="F11807" t="s">
        <v>205</v>
      </c>
      <c r="G11807" t="s">
        <v>57</v>
      </c>
      <c r="H11807" t="s">
        <v>20</v>
      </c>
      <c r="I11807" t="s">
        <v>23154</v>
      </c>
      <c r="J11807" t="str">
        <f>HYPERLINK("https://www.boe.es/gazeta/dias/1822/03/11/pdfs/GMD-1822-72.pdf#page=4","Abrir facsímil")</f>
        <v>Abrir facsímil</v>
      </c>
      <c r="K11807" t="s">
        <v>22</v>
      </c>
    </row>
    <row r="11808" spans="1:11" ht="42" customHeight="1">
      <c r="A11808" t="s">
        <v>23155</v>
      </c>
      <c r="B11808" t="s">
        <v>23156</v>
      </c>
      <c r="C11808" t="s">
        <v>71</v>
      </c>
      <c r="D11808" t="s">
        <v>17</v>
      </c>
      <c r="E11808" s="6">
        <v>-28390</v>
      </c>
      <c r="F11808" t="s">
        <v>665</v>
      </c>
      <c r="G11808" t="s">
        <v>57</v>
      </c>
      <c r="H11808" t="s">
        <v>20</v>
      </c>
      <c r="I11808" t="s">
        <v>23157</v>
      </c>
      <c r="J11808" t="str">
        <f>HYPERLINK("https://www.boe.es/gazeta/dias/1822/04/08/pdfs/GMD-1822-100.pdf#page=4","Abrir facsímil")</f>
        <v>Abrir facsímil</v>
      </c>
      <c r="K11808" t="s">
        <v>22</v>
      </c>
    </row>
    <row r="11809" spans="1:11" ht="42" customHeight="1">
      <c r="A11809" t="s">
        <v>23155</v>
      </c>
      <c r="B11809" t="s">
        <v>23156</v>
      </c>
      <c r="C11809" t="s">
        <v>1141</v>
      </c>
      <c r="D11809" t="s">
        <v>29</v>
      </c>
      <c r="E11809" s="6">
        <v>-28230</v>
      </c>
      <c r="F11809" t="s">
        <v>1735</v>
      </c>
      <c r="G11809" t="s">
        <v>31</v>
      </c>
      <c r="H11809" t="s">
        <v>20</v>
      </c>
      <c r="I11809" t="s">
        <v>23158</v>
      </c>
      <c r="J11809" t="str">
        <f>HYPERLINK("https://www.boe.es/gazeta/dias/1822/09/15/pdfs/GMD-1822-271.pdf#page=3","Abrir facsímil")</f>
        <v>Abrir facsímil</v>
      </c>
      <c r="K11809" t="s">
        <v>22</v>
      </c>
    </row>
    <row r="11810" spans="1:11" ht="42" customHeight="1">
      <c r="A11810" t="s">
        <v>23159</v>
      </c>
      <c r="B11810" t="s">
        <v>23160</v>
      </c>
      <c r="C11810" t="s">
        <v>16</v>
      </c>
      <c r="D11810" t="s">
        <v>17</v>
      </c>
      <c r="E11810" s="6">
        <v>-28368</v>
      </c>
      <c r="F11810" t="s">
        <v>126</v>
      </c>
      <c r="G11810" t="s">
        <v>44</v>
      </c>
      <c r="H11810" t="s">
        <v>20</v>
      </c>
      <c r="I11810" t="s">
        <v>23161</v>
      </c>
      <c r="J11810" t="str">
        <f>HYPERLINK("https://www.boe.es/gazeta/dias/1822/04/30/pdfs/GMD-1822-122.pdf#page=1","Abrir facsímil")</f>
        <v>Abrir facsímil</v>
      </c>
      <c r="K11810" t="s">
        <v>22</v>
      </c>
    </row>
    <row r="11811" spans="1:11" ht="42" customHeight="1">
      <c r="A11811" t="s">
        <v>23162</v>
      </c>
      <c r="B11811" t="s">
        <v>23162</v>
      </c>
      <c r="C11811" t="s">
        <v>42</v>
      </c>
      <c r="D11811" t="s">
        <v>17</v>
      </c>
      <c r="E11811" s="6">
        <v>-28432</v>
      </c>
      <c r="F11811" t="s">
        <v>195</v>
      </c>
      <c r="G11811" t="s">
        <v>31</v>
      </c>
      <c r="H11811" t="s">
        <v>20</v>
      </c>
      <c r="I11811" t="s">
        <v>23163</v>
      </c>
      <c r="J11811" t="str">
        <f>HYPERLINK("https://www.boe.es/gazeta/dias/1822/02/25/pdfs/GMD-1822-57.pdf#page=3","Abrir facsímil")</f>
        <v>Abrir facsímil</v>
      </c>
      <c r="K11811" t="s">
        <v>22</v>
      </c>
    </row>
    <row r="11812" spans="1:11" ht="42" customHeight="1">
      <c r="A11812" t="s">
        <v>23162</v>
      </c>
      <c r="B11812" t="s">
        <v>23162</v>
      </c>
      <c r="C11812" t="s">
        <v>28</v>
      </c>
      <c r="D11812" t="s">
        <v>29</v>
      </c>
      <c r="E11812" s="6">
        <v>-28418</v>
      </c>
      <c r="F11812" t="s">
        <v>205</v>
      </c>
      <c r="G11812" t="s">
        <v>57</v>
      </c>
      <c r="H11812" t="s">
        <v>20</v>
      </c>
      <c r="I11812" t="s">
        <v>23164</v>
      </c>
      <c r="J11812" t="str">
        <f>HYPERLINK("https://www.boe.es/gazeta/dias/1822/03/11/pdfs/GMD-1822-72.pdf#page=4","Abrir facsímil")</f>
        <v>Abrir facsímil</v>
      </c>
      <c r="K11812" t="s">
        <v>22</v>
      </c>
    </row>
    <row r="11813" spans="1:11" ht="42" customHeight="1">
      <c r="A11813" t="s">
        <v>23162</v>
      </c>
      <c r="B11813" t="s">
        <v>23162</v>
      </c>
      <c r="C11813" t="s">
        <v>50</v>
      </c>
      <c r="D11813" t="s">
        <v>51</v>
      </c>
      <c r="E11813" s="6">
        <v>-28415</v>
      </c>
      <c r="F11813" t="s">
        <v>77</v>
      </c>
      <c r="G11813" t="s">
        <v>57</v>
      </c>
      <c r="H11813" t="s">
        <v>20</v>
      </c>
      <c r="I11813" t="s">
        <v>23165</v>
      </c>
      <c r="J11813" t="str">
        <f>HYPERLINK("https://www.boe.es/gazeta/dias/1822/03/14/pdfs/GMD-1822-75.pdf#page=4","Abrir facsímil")</f>
        <v>Abrir facsímil</v>
      </c>
      <c r="K11813" t="s">
        <v>22</v>
      </c>
    </row>
    <row r="11814" spans="1:11" ht="42" customHeight="1">
      <c r="A11814" t="s">
        <v>23162</v>
      </c>
      <c r="B11814" t="s">
        <v>23162</v>
      </c>
      <c r="C11814" t="s">
        <v>24</v>
      </c>
      <c r="D11814" t="s">
        <v>17</v>
      </c>
      <c r="E11814" s="6">
        <v>-28412</v>
      </c>
      <c r="F11814" t="s">
        <v>825</v>
      </c>
      <c r="G11814" t="s">
        <v>35</v>
      </c>
      <c r="H11814" t="s">
        <v>20</v>
      </c>
      <c r="I11814" t="s">
        <v>23166</v>
      </c>
      <c r="J11814" t="str">
        <f>HYPERLINK("https://www.boe.es/gazeta/dias/1822/03/17/pdfs/GMD-1822-78.pdf#page=2","Abrir facsímil")</f>
        <v>Abrir facsímil</v>
      </c>
      <c r="K11814" t="s">
        <v>22</v>
      </c>
    </row>
    <row r="11815" spans="1:11" ht="42" customHeight="1">
      <c r="A11815" t="s">
        <v>23162</v>
      </c>
      <c r="B11815" t="s">
        <v>23162</v>
      </c>
      <c r="C11815" t="s">
        <v>50</v>
      </c>
      <c r="D11815" t="s">
        <v>51</v>
      </c>
      <c r="E11815" s="6">
        <v>-28411</v>
      </c>
      <c r="F11815" t="s">
        <v>1509</v>
      </c>
      <c r="G11815" t="s">
        <v>44</v>
      </c>
      <c r="H11815" t="s">
        <v>20</v>
      </c>
      <c r="I11815" t="s">
        <v>23167</v>
      </c>
      <c r="J11815" t="str">
        <f>HYPERLINK("https://www.boe.es/gazeta/dias/1822/03/18/pdfs/GMD-1822-79.pdf#page=1","Abrir facsímil")</f>
        <v>Abrir facsímil</v>
      </c>
      <c r="K11815" t="s">
        <v>22</v>
      </c>
    </row>
    <row r="11816" spans="1:11" ht="42" customHeight="1">
      <c r="A11816" t="s">
        <v>23162</v>
      </c>
      <c r="B11816" t="s">
        <v>23162</v>
      </c>
      <c r="C11816" t="s">
        <v>28</v>
      </c>
      <c r="D11816" t="s">
        <v>29</v>
      </c>
      <c r="E11816" s="6">
        <v>-28410</v>
      </c>
      <c r="F11816" t="s">
        <v>966</v>
      </c>
      <c r="G11816" t="s">
        <v>35</v>
      </c>
      <c r="H11816" t="s">
        <v>20</v>
      </c>
      <c r="I11816" t="s">
        <v>23168</v>
      </c>
      <c r="J11816" t="str">
        <f>HYPERLINK("https://www.boe.es/gazeta/dias/1822/03/19/pdfs/GMD-1822-80.pdf#page=2","Abrir facsímil")</f>
        <v>Abrir facsímil</v>
      </c>
      <c r="K11816" t="s">
        <v>22</v>
      </c>
    </row>
    <row r="11817" spans="1:11" ht="42" customHeight="1">
      <c r="A11817" t="s">
        <v>23162</v>
      </c>
      <c r="B11817" t="s">
        <v>23162</v>
      </c>
      <c r="C11817" t="s">
        <v>28</v>
      </c>
      <c r="D11817" t="s">
        <v>29</v>
      </c>
      <c r="E11817" s="6">
        <v>-28410</v>
      </c>
      <c r="F11817" t="s">
        <v>966</v>
      </c>
      <c r="G11817" t="s">
        <v>57</v>
      </c>
      <c r="H11817" t="s">
        <v>20</v>
      </c>
      <c r="I11817" t="s">
        <v>23169</v>
      </c>
      <c r="J11817" t="str">
        <f>HYPERLINK("https://www.boe.es/gazeta/dias/1822/03/19/pdfs/GMD-1822-80.pdf#page=4","Abrir facsímil")</f>
        <v>Abrir facsímil</v>
      </c>
      <c r="K11817" t="s">
        <v>22</v>
      </c>
    </row>
    <row r="11818" spans="1:11" ht="42" customHeight="1">
      <c r="A11818" t="s">
        <v>23162</v>
      </c>
      <c r="B11818" t="s">
        <v>23162</v>
      </c>
      <c r="C11818" t="s">
        <v>16</v>
      </c>
      <c r="D11818" t="s">
        <v>17</v>
      </c>
      <c r="E11818" s="6">
        <v>-28407</v>
      </c>
      <c r="F11818" t="s">
        <v>460</v>
      </c>
      <c r="G11818" t="s">
        <v>35</v>
      </c>
      <c r="H11818" t="s">
        <v>20</v>
      </c>
      <c r="I11818" t="s">
        <v>23170</v>
      </c>
      <c r="J11818" t="str">
        <f>HYPERLINK("https://www.boe.es/gazeta/dias/1822/03/22/pdfs/GMD-1822-83.pdf#page=2","Abrir facsímil")</f>
        <v>Abrir facsímil</v>
      </c>
      <c r="K11818" t="s">
        <v>22</v>
      </c>
    </row>
    <row r="11819" spans="1:11" ht="42" customHeight="1">
      <c r="A11819" t="s">
        <v>23162</v>
      </c>
      <c r="B11819" t="s">
        <v>23162</v>
      </c>
      <c r="C11819" t="s">
        <v>71</v>
      </c>
      <c r="D11819" t="s">
        <v>17</v>
      </c>
      <c r="E11819" s="6">
        <v>-28395</v>
      </c>
      <c r="F11819" t="s">
        <v>237</v>
      </c>
      <c r="G11819" t="s">
        <v>35</v>
      </c>
      <c r="H11819" t="s">
        <v>20</v>
      </c>
      <c r="I11819" t="s">
        <v>23171</v>
      </c>
      <c r="J11819" t="str">
        <f>HYPERLINK("https://www.boe.es/gazeta/dias/1822/04/03/pdfs/GMD-1822-95.pdf#page=2","Abrir facsímil")</f>
        <v>Abrir facsímil</v>
      </c>
      <c r="K11819" t="s">
        <v>22</v>
      </c>
    </row>
    <row r="11820" spans="1:11" ht="42" customHeight="1">
      <c r="A11820" t="s">
        <v>23162</v>
      </c>
      <c r="B11820" t="s">
        <v>23162</v>
      </c>
      <c r="C11820" t="s">
        <v>24</v>
      </c>
      <c r="D11820" t="s">
        <v>17</v>
      </c>
      <c r="E11820" s="6">
        <v>-28387</v>
      </c>
      <c r="F11820" t="s">
        <v>2874</v>
      </c>
      <c r="G11820" t="s">
        <v>31</v>
      </c>
      <c r="H11820" t="s">
        <v>20</v>
      </c>
      <c r="I11820" t="s">
        <v>23172</v>
      </c>
      <c r="J11820" t="str">
        <f>HYPERLINK("https://www.boe.es/gazeta/dias/1822/04/11/pdfs/GMD-1822-103.pdf#page=3","Abrir facsímil")</f>
        <v>Abrir facsímil</v>
      </c>
      <c r="K11820" t="s">
        <v>22</v>
      </c>
    </row>
    <row r="11821" spans="1:11" ht="42" customHeight="1">
      <c r="A11821" t="s">
        <v>23162</v>
      </c>
      <c r="B11821" t="s">
        <v>23162</v>
      </c>
      <c r="C11821" t="s">
        <v>61</v>
      </c>
      <c r="D11821" t="s">
        <v>17</v>
      </c>
      <c r="E11821" s="6">
        <v>-28386</v>
      </c>
      <c r="F11821" t="s">
        <v>2993</v>
      </c>
      <c r="G11821" t="s">
        <v>31</v>
      </c>
      <c r="H11821" t="s">
        <v>20</v>
      </c>
      <c r="I11821" t="s">
        <v>23173</v>
      </c>
      <c r="J11821" t="str">
        <f>HYPERLINK("https://www.boe.es/gazeta/dias/1822/04/12/pdfs/GMD-1822-104.pdf#page=3","Abrir facsímil")</f>
        <v>Abrir facsímil</v>
      </c>
      <c r="K11821" t="s">
        <v>22</v>
      </c>
    </row>
    <row r="11822" spans="1:11" ht="42" customHeight="1">
      <c r="A11822" t="s">
        <v>23162</v>
      </c>
      <c r="B11822" t="s">
        <v>23162</v>
      </c>
      <c r="C11822" t="s">
        <v>71</v>
      </c>
      <c r="D11822" t="s">
        <v>17</v>
      </c>
      <c r="E11822" s="6">
        <v>-28385</v>
      </c>
      <c r="F11822" t="s">
        <v>484</v>
      </c>
      <c r="G11822" t="s">
        <v>63</v>
      </c>
      <c r="H11822" t="s">
        <v>20</v>
      </c>
      <c r="I11822" t="s">
        <v>23174</v>
      </c>
      <c r="J11822" t="str">
        <f>HYPERLINK("https://www.boe.es/gazeta/dias/1822/04/13/pdfs/GMD-1822-105.pdf#page=6","Abrir facsímil")</f>
        <v>Abrir facsímil</v>
      </c>
      <c r="K11822" t="s">
        <v>22</v>
      </c>
    </row>
    <row r="11823" spans="1:11" ht="42" customHeight="1">
      <c r="A11823" t="s">
        <v>23162</v>
      </c>
      <c r="B11823" t="s">
        <v>23162</v>
      </c>
      <c r="C11823" t="s">
        <v>50</v>
      </c>
      <c r="D11823" t="s">
        <v>51</v>
      </c>
      <c r="E11823" s="6">
        <v>-28372</v>
      </c>
      <c r="F11823" t="s">
        <v>503</v>
      </c>
      <c r="G11823" t="s">
        <v>35</v>
      </c>
      <c r="H11823" t="s">
        <v>20</v>
      </c>
      <c r="I11823" t="s">
        <v>23175</v>
      </c>
      <c r="J11823" t="str">
        <f>HYPERLINK("https://www.boe.es/gazeta/dias/1822/04/26/pdfs/GMD-1822-118.pdf#page=2","Abrir facsímil")</f>
        <v>Abrir facsímil</v>
      </c>
      <c r="K11823" t="s">
        <v>22</v>
      </c>
    </row>
    <row r="11824" spans="1:11" ht="42" customHeight="1">
      <c r="A11824" t="s">
        <v>23162</v>
      </c>
      <c r="B11824" t="s">
        <v>23162</v>
      </c>
      <c r="C11824" t="s">
        <v>28</v>
      </c>
      <c r="D11824" t="s">
        <v>29</v>
      </c>
      <c r="E11824" s="6">
        <v>-28371</v>
      </c>
      <c r="F11824" t="s">
        <v>401</v>
      </c>
      <c r="G11824" t="s">
        <v>31</v>
      </c>
      <c r="H11824" t="s">
        <v>20</v>
      </c>
      <c r="I11824" t="s">
        <v>23176</v>
      </c>
      <c r="J11824" t="str">
        <f>HYPERLINK("https://www.boe.es/gazeta/dias/1822/04/27/pdfs/GMD-1822-119.pdf#page=3","Abrir facsímil")</f>
        <v>Abrir facsímil</v>
      </c>
      <c r="K11824" t="s">
        <v>22</v>
      </c>
    </row>
    <row r="11825" spans="1:11" ht="42" customHeight="1">
      <c r="A11825" t="s">
        <v>23162</v>
      </c>
      <c r="B11825" t="s">
        <v>23162</v>
      </c>
      <c r="C11825" t="s">
        <v>28</v>
      </c>
      <c r="D11825" t="s">
        <v>29</v>
      </c>
      <c r="E11825" s="6">
        <v>-28359</v>
      </c>
      <c r="F11825" t="s">
        <v>209</v>
      </c>
      <c r="G11825" t="s">
        <v>19</v>
      </c>
      <c r="H11825" t="s">
        <v>20</v>
      </c>
      <c r="I11825" t="s">
        <v>23177</v>
      </c>
      <c r="J11825" t="str">
        <f>HYPERLINK("https://www.boe.es/gazeta/dias/1822/05/09/pdfs/GMD-1822-131.pdf#page=5","Abrir facsímil")</f>
        <v>Abrir facsímil</v>
      </c>
      <c r="K11825" t="s">
        <v>22</v>
      </c>
    </row>
    <row r="11826" spans="1:11" ht="42" customHeight="1">
      <c r="A11826" t="s">
        <v>23162</v>
      </c>
      <c r="B11826" t="s">
        <v>23162</v>
      </c>
      <c r="C11826" t="s">
        <v>28</v>
      </c>
      <c r="D11826" t="s">
        <v>29</v>
      </c>
      <c r="E11826" s="6">
        <v>-28358</v>
      </c>
      <c r="F11826" t="s">
        <v>211</v>
      </c>
      <c r="G11826" t="s">
        <v>57</v>
      </c>
      <c r="H11826" t="s">
        <v>20</v>
      </c>
      <c r="I11826" t="s">
        <v>23178</v>
      </c>
      <c r="J11826" t="str">
        <f>HYPERLINK("https://www.boe.es/gazeta/dias/1822/05/10/pdfs/GMD-1822-132.pdf#page=4","Abrir facsímil")</f>
        <v>Abrir facsímil</v>
      </c>
      <c r="K11826" t="s">
        <v>22</v>
      </c>
    </row>
    <row r="11827" spans="1:11" ht="42" customHeight="1">
      <c r="A11827" t="s">
        <v>23162</v>
      </c>
      <c r="B11827" t="s">
        <v>23162</v>
      </c>
      <c r="C11827" t="s">
        <v>50</v>
      </c>
      <c r="D11827" t="s">
        <v>51</v>
      </c>
      <c r="E11827" s="6">
        <v>-28357</v>
      </c>
      <c r="F11827" t="s">
        <v>690</v>
      </c>
      <c r="G11827" t="s">
        <v>44</v>
      </c>
      <c r="H11827" t="s">
        <v>20</v>
      </c>
      <c r="I11827" t="s">
        <v>23179</v>
      </c>
      <c r="J11827" t="str">
        <f>HYPERLINK("https://www.boe.es/gazeta/dias/1822/05/11/pdfs/GMD-1822-133.pdf#page=1","Abrir facsímil")</f>
        <v>Abrir facsímil</v>
      </c>
      <c r="K11827" t="s">
        <v>22</v>
      </c>
    </row>
    <row r="11828" spans="1:11" ht="42" customHeight="1">
      <c r="A11828" t="s">
        <v>23162</v>
      </c>
      <c r="B11828" t="s">
        <v>23162</v>
      </c>
      <c r="C11828" t="s">
        <v>28</v>
      </c>
      <c r="D11828" t="s">
        <v>29</v>
      </c>
      <c r="E11828" s="6">
        <v>-28342</v>
      </c>
      <c r="F11828" t="s">
        <v>2281</v>
      </c>
      <c r="G11828" t="s">
        <v>19</v>
      </c>
      <c r="H11828" t="s">
        <v>20</v>
      </c>
      <c r="I11828" t="s">
        <v>23180</v>
      </c>
      <c r="J11828" t="str">
        <f>HYPERLINK("https://www.boe.es/gazeta/dias/1822/05/26/pdfs/GMD-1822-151.pdf#page=5","Abrir facsímil")</f>
        <v>Abrir facsímil</v>
      </c>
      <c r="K11828" t="s">
        <v>22</v>
      </c>
    </row>
    <row r="11829" spans="1:11" ht="42" customHeight="1">
      <c r="A11829" t="s">
        <v>23162</v>
      </c>
      <c r="B11829" t="s">
        <v>23162</v>
      </c>
      <c r="C11829" t="s">
        <v>42</v>
      </c>
      <c r="D11829" t="s">
        <v>17</v>
      </c>
      <c r="E11829" s="6">
        <v>-28341</v>
      </c>
      <c r="F11829" t="s">
        <v>284</v>
      </c>
      <c r="G11829" t="s">
        <v>19</v>
      </c>
      <c r="H11829" t="s">
        <v>20</v>
      </c>
      <c r="I11829" t="s">
        <v>23181</v>
      </c>
      <c r="J11829" t="str">
        <f>HYPERLINK("https://www.boe.es/gazeta/dias/1822/05/27/pdfs/GMD-1822-152.pdf#page=5","Abrir facsímil")</f>
        <v>Abrir facsímil</v>
      </c>
      <c r="K11829" t="s">
        <v>22</v>
      </c>
    </row>
    <row r="11830" spans="1:11" ht="42" customHeight="1">
      <c r="A11830" t="s">
        <v>23162</v>
      </c>
      <c r="B11830" t="s">
        <v>23162</v>
      </c>
      <c r="C11830" t="s">
        <v>28</v>
      </c>
      <c r="D11830" t="s">
        <v>29</v>
      </c>
      <c r="E11830" s="6">
        <v>-28328</v>
      </c>
      <c r="F11830" t="s">
        <v>540</v>
      </c>
      <c r="G11830" t="s">
        <v>19</v>
      </c>
      <c r="H11830" t="s">
        <v>20</v>
      </c>
      <c r="I11830" t="s">
        <v>23182</v>
      </c>
      <c r="J11830" t="str">
        <f>HYPERLINK("https://www.boe.es/gazeta/dias/1822/06/09/pdfs/GMD-1822-166.pdf#page=5","Abrir facsímil")</f>
        <v>Abrir facsímil</v>
      </c>
      <c r="K11830" t="s">
        <v>22</v>
      </c>
    </row>
    <row r="11831" spans="1:11" ht="42" customHeight="1">
      <c r="A11831" t="s">
        <v>23162</v>
      </c>
      <c r="B11831" t="s">
        <v>23162</v>
      </c>
      <c r="C11831" t="s">
        <v>16</v>
      </c>
      <c r="D11831" t="s">
        <v>17</v>
      </c>
      <c r="E11831" s="6">
        <v>-28324</v>
      </c>
      <c r="F11831" t="s">
        <v>305</v>
      </c>
      <c r="G11831" t="s">
        <v>31</v>
      </c>
      <c r="H11831" t="s">
        <v>20</v>
      </c>
      <c r="I11831" t="s">
        <v>23183</v>
      </c>
      <c r="J11831" t="str">
        <f>HYPERLINK("https://www.boe.es/gazeta/dias/1822/06/13/pdfs/GMD-1822-170.pdf#page=3","Abrir facsímil")</f>
        <v>Abrir facsímil</v>
      </c>
      <c r="K11831" t="s">
        <v>22</v>
      </c>
    </row>
    <row r="11832" spans="1:11" ht="42" customHeight="1">
      <c r="A11832" t="s">
        <v>23162</v>
      </c>
      <c r="B11832" t="s">
        <v>23162</v>
      </c>
      <c r="C11832" t="s">
        <v>42</v>
      </c>
      <c r="D11832" t="s">
        <v>17</v>
      </c>
      <c r="E11832" s="6">
        <v>-28322</v>
      </c>
      <c r="F11832" t="s">
        <v>2205</v>
      </c>
      <c r="G11832" t="s">
        <v>31</v>
      </c>
      <c r="H11832" t="s">
        <v>20</v>
      </c>
      <c r="I11832" t="s">
        <v>23184</v>
      </c>
      <c r="J11832" t="str">
        <f>HYPERLINK("https://www.boe.es/gazeta/dias/1822/06/15/pdfs/GMD-1822-172.pdf#page=3","Abrir facsímil")</f>
        <v>Abrir facsímil</v>
      </c>
      <c r="K11832" t="s">
        <v>22</v>
      </c>
    </row>
    <row r="11833" spans="1:11" ht="42" customHeight="1">
      <c r="A11833" t="s">
        <v>23162</v>
      </c>
      <c r="B11833" t="s">
        <v>23162</v>
      </c>
      <c r="C11833" t="s">
        <v>50</v>
      </c>
      <c r="D11833" t="s">
        <v>51</v>
      </c>
      <c r="E11833" s="6">
        <v>-28320</v>
      </c>
      <c r="F11833" t="s">
        <v>700</v>
      </c>
      <c r="G11833" t="s">
        <v>31</v>
      </c>
      <c r="H11833" t="s">
        <v>20</v>
      </c>
      <c r="I11833" t="s">
        <v>23185</v>
      </c>
      <c r="J11833" t="str">
        <f>HYPERLINK("https://www.boe.es/gazeta/dias/1822/06/17/pdfs/GMD-1822-174.pdf#page=3","Abrir facsímil")</f>
        <v>Abrir facsímil</v>
      </c>
      <c r="K11833" t="s">
        <v>22</v>
      </c>
    </row>
    <row r="11834" spans="1:11" ht="42" customHeight="1">
      <c r="A11834" t="s">
        <v>23162</v>
      </c>
      <c r="B11834" t="s">
        <v>23162</v>
      </c>
      <c r="C11834" t="s">
        <v>71</v>
      </c>
      <c r="D11834" t="s">
        <v>17</v>
      </c>
      <c r="E11834" s="6">
        <v>-28310</v>
      </c>
      <c r="F11834" t="s">
        <v>241</v>
      </c>
      <c r="G11834" t="s">
        <v>35</v>
      </c>
      <c r="H11834" t="s">
        <v>20</v>
      </c>
      <c r="I11834" t="s">
        <v>23186</v>
      </c>
      <c r="J11834" t="str">
        <f>HYPERLINK("https://www.boe.es/gazeta/dias/1822/06/27/pdfs/GMD-1822-185.pdf#page=2","Abrir facsímil")</f>
        <v>Abrir facsímil</v>
      </c>
      <c r="K11834" t="s">
        <v>22</v>
      </c>
    </row>
    <row r="11835" spans="1:11" ht="42" customHeight="1">
      <c r="A11835" t="s">
        <v>23162</v>
      </c>
      <c r="B11835" t="s">
        <v>23162</v>
      </c>
      <c r="C11835" t="s">
        <v>71</v>
      </c>
      <c r="D11835" t="s">
        <v>17</v>
      </c>
      <c r="E11835" s="6">
        <v>-28310</v>
      </c>
      <c r="F11835" t="s">
        <v>241</v>
      </c>
      <c r="G11835" t="s">
        <v>31</v>
      </c>
      <c r="H11835" t="s">
        <v>20</v>
      </c>
      <c r="I11835" t="s">
        <v>23187</v>
      </c>
      <c r="J11835" t="str">
        <f>HYPERLINK("https://www.boe.es/gazeta/dias/1822/06/27/pdfs/GMD-1822-185.pdf#page=3","Abrir facsímil")</f>
        <v>Abrir facsímil</v>
      </c>
      <c r="K11835" t="s">
        <v>22</v>
      </c>
    </row>
    <row r="11836" spans="1:11" ht="42" customHeight="1">
      <c r="A11836" t="s">
        <v>23162</v>
      </c>
      <c r="B11836" t="s">
        <v>23162</v>
      </c>
      <c r="C11836" t="s">
        <v>50</v>
      </c>
      <c r="D11836" t="s">
        <v>51</v>
      </c>
      <c r="E11836" s="6">
        <v>-28211</v>
      </c>
      <c r="F11836" t="s">
        <v>273</v>
      </c>
      <c r="G11836" t="s">
        <v>57</v>
      </c>
      <c r="H11836" t="s">
        <v>20</v>
      </c>
      <c r="I11836" t="s">
        <v>23188</v>
      </c>
      <c r="J11836" t="str">
        <f>HYPERLINK("https://www.boe.es/gazeta/dias/1822/10/04/pdfs/GMD-1822-290.pdf#page=4","Abrir facsímil")</f>
        <v>Abrir facsímil</v>
      </c>
      <c r="K11836" t="s">
        <v>22</v>
      </c>
    </row>
    <row r="11837" spans="1:11" ht="42" customHeight="1">
      <c r="A11837" t="s">
        <v>23162</v>
      </c>
      <c r="B11837" t="s">
        <v>23162</v>
      </c>
      <c r="C11837" t="s">
        <v>50</v>
      </c>
      <c r="D11837" t="s">
        <v>51</v>
      </c>
      <c r="E11837" s="6">
        <v>-28192</v>
      </c>
      <c r="F11837" t="s">
        <v>43</v>
      </c>
      <c r="G11837" t="s">
        <v>19</v>
      </c>
      <c r="H11837" t="s">
        <v>20</v>
      </c>
      <c r="I11837" t="s">
        <v>23189</v>
      </c>
      <c r="J11837" t="str">
        <f>HYPERLINK("https://www.boe.es/gazeta/dias/1822/10/23/pdfs/GMD-1822-310.pdf#page=5","Abrir facsímil")</f>
        <v>Abrir facsímil</v>
      </c>
      <c r="K11837" t="s">
        <v>22</v>
      </c>
    </row>
    <row r="11838" spans="1:11" ht="42" customHeight="1">
      <c r="A11838" t="s">
        <v>23162</v>
      </c>
      <c r="B11838" t="s">
        <v>23162</v>
      </c>
      <c r="C11838" t="s">
        <v>71</v>
      </c>
      <c r="D11838" t="s">
        <v>17</v>
      </c>
      <c r="E11838" s="6">
        <v>-28188</v>
      </c>
      <c r="F11838" t="s">
        <v>578</v>
      </c>
      <c r="G11838" t="s">
        <v>63</v>
      </c>
      <c r="H11838" t="s">
        <v>20</v>
      </c>
      <c r="I11838" t="s">
        <v>23190</v>
      </c>
      <c r="J11838" t="str">
        <f>HYPERLINK("https://www.boe.es/gazeta/dias/1822/10/27/pdfs/GMD-1822-314.pdf#page=6","Abrir facsímil")</f>
        <v>Abrir facsímil</v>
      </c>
      <c r="K11838" t="s">
        <v>22</v>
      </c>
    </row>
    <row r="11839" spans="1:11" ht="42" customHeight="1">
      <c r="A11839" t="s">
        <v>23162</v>
      </c>
      <c r="B11839" t="s">
        <v>23162</v>
      </c>
      <c r="C11839" t="s">
        <v>50</v>
      </c>
      <c r="D11839" t="s">
        <v>51</v>
      </c>
      <c r="E11839" s="6">
        <v>-28187</v>
      </c>
      <c r="F11839" t="s">
        <v>929</v>
      </c>
      <c r="G11839" t="s">
        <v>35</v>
      </c>
      <c r="H11839" t="s">
        <v>20</v>
      </c>
      <c r="I11839" t="s">
        <v>23191</v>
      </c>
      <c r="J11839" t="str">
        <f>HYPERLINK("https://www.boe.es/gazeta/dias/1822/10/28/pdfs/GMD-1822-315.pdf#page=2","Abrir facsímil")</f>
        <v>Abrir facsímil</v>
      </c>
      <c r="K11839" t="s">
        <v>22</v>
      </c>
    </row>
    <row r="11840" spans="1:11" ht="42" customHeight="1">
      <c r="A11840" t="s">
        <v>23192</v>
      </c>
      <c r="B11840" t="s">
        <v>23193</v>
      </c>
      <c r="C11840" t="s">
        <v>16</v>
      </c>
      <c r="D11840" t="s">
        <v>17</v>
      </c>
      <c r="E11840" s="6">
        <v>-28432</v>
      </c>
      <c r="F11840" t="s">
        <v>195</v>
      </c>
      <c r="G11840" t="s">
        <v>57</v>
      </c>
      <c r="H11840" t="s">
        <v>20</v>
      </c>
      <c r="I11840" t="s">
        <v>23194</v>
      </c>
      <c r="J11840" t="str">
        <f>HYPERLINK("https://www.boe.es/gazeta/dias/1822/02/25/pdfs/GMD-1822-57.pdf#page=4","Abrir facsímil")</f>
        <v>Abrir facsímil</v>
      </c>
      <c r="K11840" t="s">
        <v>22</v>
      </c>
    </row>
    <row r="11841" spans="1:11" ht="42" customHeight="1">
      <c r="A11841" t="s">
        <v>23195</v>
      </c>
      <c r="B11841" t="s">
        <v>23196</v>
      </c>
      <c r="C11841" t="s">
        <v>50</v>
      </c>
      <c r="D11841" t="s">
        <v>51</v>
      </c>
      <c r="E11841" s="6">
        <v>-28191</v>
      </c>
      <c r="F11841" t="s">
        <v>710</v>
      </c>
      <c r="G11841" t="s">
        <v>167</v>
      </c>
      <c r="H11841" t="s">
        <v>20</v>
      </c>
      <c r="I11841" t="s">
        <v>23197</v>
      </c>
      <c r="J11841" t="str">
        <f>HYPERLINK("https://www.boe.es/gazeta/dias/1822/10/24/pdfs/GMD-1822-311.pdf#page=7","Abrir facsímil")</f>
        <v>Abrir facsímil</v>
      </c>
      <c r="K11841" t="s">
        <v>22</v>
      </c>
    </row>
    <row r="11842" spans="1:11" ht="42" customHeight="1">
      <c r="A11842" t="s">
        <v>23198</v>
      </c>
      <c r="B11842" t="s">
        <v>23199</v>
      </c>
      <c r="C11842" t="s">
        <v>28</v>
      </c>
      <c r="D11842" t="s">
        <v>29</v>
      </c>
      <c r="E11842" s="6">
        <v>-28360</v>
      </c>
      <c r="F11842" t="s">
        <v>514</v>
      </c>
      <c r="G11842" t="s">
        <v>35</v>
      </c>
      <c r="H11842" t="s">
        <v>20</v>
      </c>
      <c r="I11842" t="s">
        <v>23200</v>
      </c>
      <c r="J11842" t="str">
        <f>HYPERLINK("https://www.boe.es/gazeta/dias/1822/05/08/pdfs/GMD-1822-130.pdf#page=2","Abrir facsímil")</f>
        <v>Abrir facsímil</v>
      </c>
      <c r="K11842" t="s">
        <v>22</v>
      </c>
    </row>
    <row r="11843" spans="1:11" ht="42" customHeight="1">
      <c r="A11843" t="s">
        <v>23201</v>
      </c>
      <c r="B11843" t="s">
        <v>23202</v>
      </c>
      <c r="C11843" t="s">
        <v>42</v>
      </c>
      <c r="D11843" t="s">
        <v>17</v>
      </c>
      <c r="E11843" s="6">
        <v>-28436</v>
      </c>
      <c r="F11843" t="s">
        <v>431</v>
      </c>
      <c r="G11843" t="s">
        <v>57</v>
      </c>
      <c r="H11843" t="s">
        <v>20</v>
      </c>
      <c r="I11843" t="s">
        <v>23203</v>
      </c>
      <c r="J11843" t="str">
        <f>HYPERLINK("https://www.boe.es/gazeta/dias/1822/02/21/pdfs/GMD-1822-53.pdf#page=4","Abrir facsímil")</f>
        <v>Abrir facsímil</v>
      </c>
      <c r="K11843" t="s">
        <v>22</v>
      </c>
    </row>
    <row r="11844" spans="1:11" ht="42" customHeight="1">
      <c r="A11844" t="s">
        <v>23201</v>
      </c>
      <c r="B11844" t="s">
        <v>23202</v>
      </c>
      <c r="C11844" t="s">
        <v>42</v>
      </c>
      <c r="D11844" t="s">
        <v>17</v>
      </c>
      <c r="E11844" s="6">
        <v>-28364</v>
      </c>
      <c r="F11844" t="s">
        <v>509</v>
      </c>
      <c r="G11844" t="s">
        <v>63</v>
      </c>
      <c r="H11844" t="s">
        <v>20</v>
      </c>
      <c r="I11844" t="s">
        <v>23204</v>
      </c>
      <c r="J11844" t="str">
        <f>HYPERLINK("https://www.boe.es/gazeta/dias/1822/05/04/pdfs/GMD-1822-126.pdf#page=6","Abrir facsímil")</f>
        <v>Abrir facsímil</v>
      </c>
      <c r="K11844" t="s">
        <v>22</v>
      </c>
    </row>
    <row r="11845" spans="1:11" ht="42" customHeight="1">
      <c r="A11845" t="s">
        <v>23205</v>
      </c>
      <c r="B11845" t="s">
        <v>23206</v>
      </c>
      <c r="C11845" t="s">
        <v>50</v>
      </c>
      <c r="D11845" t="s">
        <v>51</v>
      </c>
      <c r="E11845" s="6">
        <v>-28279</v>
      </c>
      <c r="F11845" t="s">
        <v>662</v>
      </c>
      <c r="G11845" t="s">
        <v>57</v>
      </c>
      <c r="H11845" t="s">
        <v>20</v>
      </c>
      <c r="I11845" t="s">
        <v>23207</v>
      </c>
      <c r="J11845" t="str">
        <f>HYPERLINK("https://www.boe.es/gazeta/dias/1822/07/28/pdfs/GMD-1822-221.pdf#page=4","Abrir facsímil")</f>
        <v>Abrir facsímil</v>
      </c>
      <c r="K11845" t="s">
        <v>22</v>
      </c>
    </row>
    <row r="11846" spans="1:11" ht="42" customHeight="1">
      <c r="A11846" t="s">
        <v>23208</v>
      </c>
      <c r="B11846" t="s">
        <v>23209</v>
      </c>
      <c r="C11846" t="s">
        <v>28</v>
      </c>
      <c r="D11846" t="s">
        <v>29</v>
      </c>
      <c r="E11846" s="6">
        <v>-28322</v>
      </c>
      <c r="F11846" t="s">
        <v>2205</v>
      </c>
      <c r="G11846" t="s">
        <v>3031</v>
      </c>
      <c r="H11846" t="s">
        <v>20</v>
      </c>
      <c r="I11846" t="s">
        <v>23210</v>
      </c>
      <c r="J11846" t="str">
        <f>HYPERLINK("https://www.boe.es/gazeta/dias/1822/06/15/pdfs/GMD-1822-172.pdf#page=2","Abrir facsímil")</f>
        <v>Abrir facsímil</v>
      </c>
      <c r="K11846" t="s">
        <v>22</v>
      </c>
    </row>
    <row r="11847" spans="1:11" ht="42" customHeight="1">
      <c r="A11847" t="s">
        <v>23211</v>
      </c>
      <c r="B11847" t="s">
        <v>23212</v>
      </c>
      <c r="C11847" t="s">
        <v>42</v>
      </c>
      <c r="D11847" t="s">
        <v>17</v>
      </c>
      <c r="E11847" s="6">
        <v>-28338</v>
      </c>
      <c r="F11847" t="s">
        <v>527</v>
      </c>
      <c r="G11847" t="s">
        <v>31</v>
      </c>
      <c r="H11847" t="s">
        <v>20</v>
      </c>
      <c r="I11847" t="s">
        <v>23213</v>
      </c>
      <c r="J11847" t="str">
        <f>HYPERLINK("https://www.boe.es/gazeta/dias/1822/05/30/pdfs/GMD-1822-155.pdf#page=3","Abrir facsímil")</f>
        <v>Abrir facsímil</v>
      </c>
      <c r="K11847" t="s">
        <v>22</v>
      </c>
    </row>
    <row r="11848" spans="1:11" ht="42" customHeight="1">
      <c r="A11848" t="s">
        <v>23214</v>
      </c>
      <c r="B11848" t="s">
        <v>23214</v>
      </c>
      <c r="C11848" t="s">
        <v>50</v>
      </c>
      <c r="D11848" t="s">
        <v>51</v>
      </c>
      <c r="E11848" s="6">
        <v>-28471</v>
      </c>
      <c r="F11848" t="s">
        <v>1436</v>
      </c>
      <c r="G11848" t="s">
        <v>63</v>
      </c>
      <c r="H11848" t="s">
        <v>20</v>
      </c>
      <c r="I11848" t="s">
        <v>23215</v>
      </c>
      <c r="J11848" t="str">
        <f>HYPERLINK("https://www.boe.es/gazeta/dias/1822/01/17/pdfs/GMD-1822-17.pdf#page=6","Abrir facsímil")</f>
        <v>Abrir facsímil</v>
      </c>
      <c r="K11848" t="s">
        <v>22</v>
      </c>
    </row>
    <row r="11849" spans="1:11" ht="42" customHeight="1">
      <c r="A11849" t="s">
        <v>23214</v>
      </c>
      <c r="B11849" t="s">
        <v>23214</v>
      </c>
      <c r="C11849" t="s">
        <v>50</v>
      </c>
      <c r="D11849" t="s">
        <v>51</v>
      </c>
      <c r="E11849" s="6">
        <v>-28470</v>
      </c>
      <c r="F11849" t="s">
        <v>1444</v>
      </c>
      <c r="G11849" t="s">
        <v>31</v>
      </c>
      <c r="H11849" t="s">
        <v>20</v>
      </c>
      <c r="I11849" t="s">
        <v>23216</v>
      </c>
      <c r="J11849" t="str">
        <f>HYPERLINK("https://www.boe.es/gazeta/dias/1822/01/18/pdfs/GMD-1822-18.pdf#page=3","Abrir facsímil")</f>
        <v>Abrir facsímil</v>
      </c>
      <c r="K11849" t="s">
        <v>22</v>
      </c>
    </row>
    <row r="11850" spans="1:11" ht="42" customHeight="1">
      <c r="A11850" t="s">
        <v>23214</v>
      </c>
      <c r="B11850" t="s">
        <v>23214</v>
      </c>
      <c r="C11850" t="s">
        <v>28</v>
      </c>
      <c r="D11850" t="s">
        <v>29</v>
      </c>
      <c r="E11850" s="6">
        <v>-28431</v>
      </c>
      <c r="F11850" t="s">
        <v>1258</v>
      </c>
      <c r="G11850" t="s">
        <v>31</v>
      </c>
      <c r="H11850" t="s">
        <v>20</v>
      </c>
      <c r="I11850" t="s">
        <v>23217</v>
      </c>
      <c r="J11850" t="str">
        <f>HYPERLINK("https://www.boe.es/gazeta/dias/1822/02/26/pdfs/GMD-1822-58.pdf#page=3","Abrir facsímil")</f>
        <v>Abrir facsímil</v>
      </c>
      <c r="K11850" t="s">
        <v>22</v>
      </c>
    </row>
    <row r="11851" spans="1:11" ht="42" customHeight="1">
      <c r="A11851" t="s">
        <v>23214</v>
      </c>
      <c r="B11851" t="s">
        <v>23214</v>
      </c>
      <c r="C11851" t="s">
        <v>28</v>
      </c>
      <c r="D11851" t="s">
        <v>29</v>
      </c>
      <c r="E11851" s="6">
        <v>-28421</v>
      </c>
      <c r="F11851" t="s">
        <v>446</v>
      </c>
      <c r="G11851" t="s">
        <v>19</v>
      </c>
      <c r="H11851" t="s">
        <v>20</v>
      </c>
      <c r="I11851" t="s">
        <v>23218</v>
      </c>
      <c r="J11851" t="str">
        <f>HYPERLINK("https://www.boe.es/gazeta/dias/1822/03/08/pdfs/GMD-1822-69.pdf#page=5","Abrir facsímil")</f>
        <v>Abrir facsímil</v>
      </c>
      <c r="K11851" t="s">
        <v>22</v>
      </c>
    </row>
    <row r="11852" spans="1:11" ht="42" customHeight="1">
      <c r="A11852" t="s">
        <v>23214</v>
      </c>
      <c r="B11852" t="s">
        <v>23214</v>
      </c>
      <c r="C11852" t="s">
        <v>50</v>
      </c>
      <c r="D11852" t="s">
        <v>51</v>
      </c>
      <c r="E11852" s="6">
        <v>-28419</v>
      </c>
      <c r="F11852" t="s">
        <v>1392</v>
      </c>
      <c r="G11852" t="s">
        <v>19</v>
      </c>
      <c r="H11852" t="s">
        <v>20</v>
      </c>
      <c r="I11852" t="s">
        <v>23219</v>
      </c>
      <c r="J11852" t="str">
        <f>HYPERLINK("https://www.boe.es/gazeta/dias/1822/03/10/pdfs/GMD-1822-71.pdf#page=5","Abrir facsímil")</f>
        <v>Abrir facsímil</v>
      </c>
      <c r="K11852" t="s">
        <v>22</v>
      </c>
    </row>
    <row r="11853" spans="1:11" ht="42" customHeight="1">
      <c r="A11853" t="s">
        <v>23214</v>
      </c>
      <c r="B11853" t="s">
        <v>23214</v>
      </c>
      <c r="C11853" t="s">
        <v>50</v>
      </c>
      <c r="D11853" t="s">
        <v>51</v>
      </c>
      <c r="E11853" s="6">
        <v>-28412</v>
      </c>
      <c r="F11853" t="s">
        <v>825</v>
      </c>
      <c r="G11853" t="s">
        <v>57</v>
      </c>
      <c r="H11853" t="s">
        <v>20</v>
      </c>
      <c r="I11853" t="s">
        <v>23220</v>
      </c>
      <c r="J11853" t="str">
        <f>HYPERLINK("https://www.boe.es/gazeta/dias/1822/03/17/pdfs/GMD-1822-78.pdf#page=4","Abrir facsímil")</f>
        <v>Abrir facsímil</v>
      </c>
      <c r="K11853" t="s">
        <v>22</v>
      </c>
    </row>
    <row r="11854" spans="1:11" ht="42" customHeight="1">
      <c r="A11854" t="s">
        <v>23214</v>
      </c>
      <c r="B11854" t="s">
        <v>23214</v>
      </c>
      <c r="C11854" t="s">
        <v>50</v>
      </c>
      <c r="D11854" t="s">
        <v>51</v>
      </c>
      <c r="E11854" s="6">
        <v>-28411</v>
      </c>
      <c r="F11854" t="s">
        <v>1509</v>
      </c>
      <c r="G11854" t="s">
        <v>35</v>
      </c>
      <c r="H11854" t="s">
        <v>20</v>
      </c>
      <c r="I11854" t="s">
        <v>23221</v>
      </c>
      <c r="J11854" t="str">
        <f>HYPERLINK("https://www.boe.es/gazeta/dias/1822/03/18/pdfs/GMD-1822-79.pdf#page=2","Abrir facsímil")</f>
        <v>Abrir facsímil</v>
      </c>
      <c r="K11854" t="s">
        <v>22</v>
      </c>
    </row>
    <row r="11855" spans="1:11" ht="42" customHeight="1">
      <c r="A11855" t="s">
        <v>23214</v>
      </c>
      <c r="B11855" t="s">
        <v>23214</v>
      </c>
      <c r="C11855" t="s">
        <v>50</v>
      </c>
      <c r="D11855" t="s">
        <v>51</v>
      </c>
      <c r="E11855" s="6">
        <v>-28410</v>
      </c>
      <c r="F11855" t="s">
        <v>966</v>
      </c>
      <c r="G11855" t="s">
        <v>35</v>
      </c>
      <c r="H11855" t="s">
        <v>20</v>
      </c>
      <c r="I11855" t="s">
        <v>23222</v>
      </c>
      <c r="J11855" t="str">
        <f>HYPERLINK("https://www.boe.es/gazeta/dias/1822/03/19/pdfs/GMD-1822-80.pdf#page=2","Abrir facsímil")</f>
        <v>Abrir facsímil</v>
      </c>
      <c r="K11855" t="s">
        <v>22</v>
      </c>
    </row>
    <row r="11856" spans="1:11" ht="42" customHeight="1">
      <c r="A11856" t="s">
        <v>23214</v>
      </c>
      <c r="B11856" t="s">
        <v>23214</v>
      </c>
      <c r="C11856" t="s">
        <v>50</v>
      </c>
      <c r="D11856" t="s">
        <v>51</v>
      </c>
      <c r="E11856" s="6">
        <v>-28405</v>
      </c>
      <c r="F11856" t="s">
        <v>466</v>
      </c>
      <c r="G11856" t="s">
        <v>57</v>
      </c>
      <c r="H11856" t="s">
        <v>20</v>
      </c>
      <c r="I11856" t="s">
        <v>23223</v>
      </c>
      <c r="J11856" t="str">
        <f>HYPERLINK("https://www.boe.es/gazeta/dias/1822/03/24/pdfs/GMD-1822-85.pdf#page=4","Abrir facsímil")</f>
        <v>Abrir facsímil</v>
      </c>
      <c r="K11856" t="s">
        <v>22</v>
      </c>
    </row>
    <row r="11857" spans="1:11" ht="42" customHeight="1">
      <c r="A11857" t="s">
        <v>23214</v>
      </c>
      <c r="B11857" t="s">
        <v>23214</v>
      </c>
      <c r="C11857" t="s">
        <v>50</v>
      </c>
      <c r="D11857" t="s">
        <v>51</v>
      </c>
      <c r="E11857" s="6">
        <v>-28402</v>
      </c>
      <c r="F11857" t="s">
        <v>473</v>
      </c>
      <c r="G11857" t="s">
        <v>35</v>
      </c>
      <c r="H11857" t="s">
        <v>20</v>
      </c>
      <c r="I11857" t="s">
        <v>23224</v>
      </c>
      <c r="J11857" t="str">
        <f>HYPERLINK("https://www.boe.es/gazeta/dias/1822/03/27/pdfs/GMD-1822-88.pdf#page=2","Abrir facsímil")</f>
        <v>Abrir facsímil</v>
      </c>
      <c r="K11857" t="s">
        <v>22</v>
      </c>
    </row>
    <row r="11858" spans="1:11" ht="42" customHeight="1">
      <c r="A11858" t="s">
        <v>23214</v>
      </c>
      <c r="B11858" t="s">
        <v>23214</v>
      </c>
      <c r="C11858" t="s">
        <v>50</v>
      </c>
      <c r="D11858" t="s">
        <v>51</v>
      </c>
      <c r="E11858" s="6">
        <v>-28402</v>
      </c>
      <c r="F11858" t="s">
        <v>473</v>
      </c>
      <c r="G11858" t="s">
        <v>19</v>
      </c>
      <c r="H11858" t="s">
        <v>20</v>
      </c>
      <c r="I11858" t="s">
        <v>23225</v>
      </c>
      <c r="J11858" t="str">
        <f>HYPERLINK("https://www.boe.es/gazeta/dias/1822/03/27/pdfs/GMD-1822-88.pdf#page=5","Abrir facsímil")</f>
        <v>Abrir facsímil</v>
      </c>
      <c r="K11858" t="s">
        <v>22</v>
      </c>
    </row>
    <row r="11859" spans="1:11" ht="42" customHeight="1">
      <c r="A11859" t="s">
        <v>23214</v>
      </c>
      <c r="B11859" t="s">
        <v>23214</v>
      </c>
      <c r="C11859" t="s">
        <v>50</v>
      </c>
      <c r="D11859" t="s">
        <v>51</v>
      </c>
      <c r="E11859" s="6">
        <v>-28402</v>
      </c>
      <c r="F11859" t="s">
        <v>473</v>
      </c>
      <c r="G11859" t="s">
        <v>63</v>
      </c>
      <c r="H11859" t="s">
        <v>20</v>
      </c>
      <c r="I11859" t="s">
        <v>23226</v>
      </c>
      <c r="J11859" t="str">
        <f>HYPERLINK("https://www.boe.es/gazeta/dias/1822/03/27/pdfs/GMD-1822-88.pdf#page=6","Abrir facsímil")</f>
        <v>Abrir facsímil</v>
      </c>
      <c r="K11859" t="s">
        <v>22</v>
      </c>
    </row>
    <row r="11860" spans="1:11" ht="42" customHeight="1">
      <c r="A11860" t="s">
        <v>23214</v>
      </c>
      <c r="B11860" t="s">
        <v>23214</v>
      </c>
      <c r="C11860" t="s">
        <v>50</v>
      </c>
      <c r="D11860" t="s">
        <v>51</v>
      </c>
      <c r="E11860" s="6">
        <v>-28396</v>
      </c>
      <c r="F11860" t="s">
        <v>1138</v>
      </c>
      <c r="G11860" t="s">
        <v>35</v>
      </c>
      <c r="H11860" t="s">
        <v>20</v>
      </c>
      <c r="I11860" t="s">
        <v>23227</v>
      </c>
      <c r="J11860" t="str">
        <f>HYPERLINK("https://www.boe.es/gazeta/dias/1822/04/02/pdfs/GMD-1822-94.pdf#page=2","Abrir facsímil")</f>
        <v>Abrir facsímil</v>
      </c>
      <c r="K11860" t="s">
        <v>22</v>
      </c>
    </row>
    <row r="11861" spans="1:11" ht="42" customHeight="1">
      <c r="A11861" t="s">
        <v>23214</v>
      </c>
      <c r="B11861" t="s">
        <v>23214</v>
      </c>
      <c r="C11861" t="s">
        <v>50</v>
      </c>
      <c r="D11861" t="s">
        <v>51</v>
      </c>
      <c r="E11861" s="6">
        <v>-28395</v>
      </c>
      <c r="F11861" t="s">
        <v>237</v>
      </c>
      <c r="G11861" t="s">
        <v>31</v>
      </c>
      <c r="H11861" t="s">
        <v>20</v>
      </c>
      <c r="I11861" t="s">
        <v>23228</v>
      </c>
      <c r="J11861" t="str">
        <f>HYPERLINK("https://www.boe.es/gazeta/dias/1822/04/03/pdfs/GMD-1822-95.pdf#page=3","Abrir facsímil")</f>
        <v>Abrir facsímil</v>
      </c>
      <c r="K11861" t="s">
        <v>22</v>
      </c>
    </row>
    <row r="11862" spans="1:11" ht="42" customHeight="1">
      <c r="A11862" t="s">
        <v>23214</v>
      </c>
      <c r="B11862" t="s">
        <v>23214</v>
      </c>
      <c r="C11862" t="s">
        <v>50</v>
      </c>
      <c r="D11862" t="s">
        <v>51</v>
      </c>
      <c r="E11862" s="6">
        <v>-28388</v>
      </c>
      <c r="F11862" t="s">
        <v>1268</v>
      </c>
      <c r="G11862" t="s">
        <v>44</v>
      </c>
      <c r="H11862" t="s">
        <v>20</v>
      </c>
      <c r="I11862" t="s">
        <v>23229</v>
      </c>
      <c r="J11862" t="str">
        <f>HYPERLINK("https://www.boe.es/gazeta/dias/1822/04/10/pdfs/GMD-1822-102.pdf#page=1","Abrir facsímil")</f>
        <v>Abrir facsímil</v>
      </c>
      <c r="K11862" t="s">
        <v>22</v>
      </c>
    </row>
    <row r="11863" spans="1:11" ht="42" customHeight="1">
      <c r="A11863" t="s">
        <v>23214</v>
      </c>
      <c r="B11863" t="s">
        <v>23214</v>
      </c>
      <c r="C11863" t="s">
        <v>28</v>
      </c>
      <c r="D11863" t="s">
        <v>29</v>
      </c>
      <c r="E11863" s="6">
        <v>-28376</v>
      </c>
      <c r="F11863" t="s">
        <v>500</v>
      </c>
      <c r="G11863" t="s">
        <v>501</v>
      </c>
      <c r="H11863" t="s">
        <v>20</v>
      </c>
      <c r="I11863" t="s">
        <v>23230</v>
      </c>
      <c r="J11863" t="str">
        <f>HYPERLINK("https://www.boe.es/gazeta/dias/1822/04/22/pdfs/GMD-1822-114.pdf#page=3","Abrir facsímil")</f>
        <v>Abrir facsímil</v>
      </c>
      <c r="K11863" t="s">
        <v>22</v>
      </c>
    </row>
    <row r="11864" spans="1:11" ht="42" customHeight="1">
      <c r="A11864" t="s">
        <v>23214</v>
      </c>
      <c r="B11864" t="s">
        <v>23214</v>
      </c>
      <c r="C11864" t="s">
        <v>24</v>
      </c>
      <c r="D11864" t="s">
        <v>17</v>
      </c>
      <c r="E11864" s="6">
        <v>-28371</v>
      </c>
      <c r="F11864" t="s">
        <v>401</v>
      </c>
      <c r="G11864" t="s">
        <v>35</v>
      </c>
      <c r="H11864" t="s">
        <v>20</v>
      </c>
      <c r="I11864" t="s">
        <v>23231</v>
      </c>
      <c r="J11864" t="str">
        <f>HYPERLINK("https://www.boe.es/gazeta/dias/1822/04/27/pdfs/GMD-1822-119.pdf#page=2","Abrir facsímil")</f>
        <v>Abrir facsímil</v>
      </c>
      <c r="K11864" t="s">
        <v>22</v>
      </c>
    </row>
    <row r="11865" spans="1:11" ht="42" customHeight="1">
      <c r="A11865" t="s">
        <v>23214</v>
      </c>
      <c r="B11865" t="s">
        <v>23214</v>
      </c>
      <c r="C11865" t="s">
        <v>28</v>
      </c>
      <c r="D11865" t="s">
        <v>29</v>
      </c>
      <c r="E11865" s="6">
        <v>-28370</v>
      </c>
      <c r="F11865" t="s">
        <v>207</v>
      </c>
      <c r="G11865" t="s">
        <v>35</v>
      </c>
      <c r="H11865" t="s">
        <v>20</v>
      </c>
      <c r="I11865" t="s">
        <v>23232</v>
      </c>
      <c r="J11865" t="str">
        <f>HYPERLINK("https://www.boe.es/gazeta/dias/1822/04/28/pdfs/GMD-1822-120.pdf#page=2","Abrir facsímil")</f>
        <v>Abrir facsímil</v>
      </c>
      <c r="K11865" t="s">
        <v>22</v>
      </c>
    </row>
    <row r="11866" spans="1:11" ht="42" customHeight="1">
      <c r="A11866" t="s">
        <v>23214</v>
      </c>
      <c r="B11866" t="s">
        <v>23214</v>
      </c>
      <c r="C11866" t="s">
        <v>28</v>
      </c>
      <c r="D11866" t="s">
        <v>29</v>
      </c>
      <c r="E11866" s="6">
        <v>-28363</v>
      </c>
      <c r="F11866" t="s">
        <v>72</v>
      </c>
      <c r="G11866" t="s">
        <v>57</v>
      </c>
      <c r="H11866" t="s">
        <v>20</v>
      </c>
      <c r="I11866" t="s">
        <v>23233</v>
      </c>
      <c r="J11866" t="str">
        <f>HYPERLINK("https://www.boe.es/gazeta/dias/1822/05/05/pdfs/GMD-1822-127.pdf#page=4","Abrir facsímil")</f>
        <v>Abrir facsímil</v>
      </c>
      <c r="K11866" t="s">
        <v>22</v>
      </c>
    </row>
    <row r="11867" spans="1:11" ht="42" customHeight="1">
      <c r="A11867" t="s">
        <v>23214</v>
      </c>
      <c r="B11867" t="s">
        <v>23214</v>
      </c>
      <c r="C11867" t="s">
        <v>28</v>
      </c>
      <c r="D11867" t="s">
        <v>29</v>
      </c>
      <c r="E11867" s="6">
        <v>-28355</v>
      </c>
      <c r="F11867" t="s">
        <v>692</v>
      </c>
      <c r="G11867" t="s">
        <v>19</v>
      </c>
      <c r="H11867" t="s">
        <v>20</v>
      </c>
      <c r="I11867" t="s">
        <v>23234</v>
      </c>
      <c r="J11867" t="str">
        <f>HYPERLINK("https://www.boe.es/gazeta/dias/1822/05/13/pdfs/GMD-1822-135.pdf#page=5","Abrir facsímil")</f>
        <v>Abrir facsímil</v>
      </c>
      <c r="K11867" t="s">
        <v>22</v>
      </c>
    </row>
    <row r="11868" spans="1:11" ht="42" customHeight="1">
      <c r="A11868" t="s">
        <v>23214</v>
      </c>
      <c r="B11868" t="s">
        <v>23214</v>
      </c>
      <c r="C11868" t="s">
        <v>50</v>
      </c>
      <c r="D11868" t="s">
        <v>51</v>
      </c>
      <c r="E11868" s="6">
        <v>-28349</v>
      </c>
      <c r="F11868" t="s">
        <v>518</v>
      </c>
      <c r="G11868" t="s">
        <v>31</v>
      </c>
      <c r="H11868" t="s">
        <v>20</v>
      </c>
      <c r="I11868" t="s">
        <v>23235</v>
      </c>
      <c r="J11868" t="str">
        <f>HYPERLINK("https://www.boe.es/gazeta/dias/1822/05/19/pdfs/GMD-1822-141.pdf#page=3","Abrir facsímil")</f>
        <v>Abrir facsímil</v>
      </c>
      <c r="K11868" t="s">
        <v>22</v>
      </c>
    </row>
    <row r="11869" spans="1:11" ht="42" customHeight="1">
      <c r="A11869" t="s">
        <v>23214</v>
      </c>
      <c r="B11869" t="s">
        <v>23214</v>
      </c>
      <c r="C11869" t="s">
        <v>50</v>
      </c>
      <c r="D11869" t="s">
        <v>51</v>
      </c>
      <c r="E11869" s="6">
        <v>-28346</v>
      </c>
      <c r="F11869" t="s">
        <v>191</v>
      </c>
      <c r="G11869" t="s">
        <v>2823</v>
      </c>
      <c r="H11869" t="s">
        <v>20</v>
      </c>
      <c r="I11869" t="s">
        <v>23236</v>
      </c>
      <c r="J11869" t="str">
        <f>HYPERLINK("https://www.boe.es/gazeta/dias/1822/05/22/pdfs/GMD-1822-145.pdf#page=4","Abrir facsímil")</f>
        <v>Abrir facsímil</v>
      </c>
      <c r="K11869" t="s">
        <v>22</v>
      </c>
    </row>
    <row r="11870" spans="1:11" ht="42" customHeight="1">
      <c r="A11870" t="s">
        <v>23214</v>
      </c>
      <c r="B11870" t="s">
        <v>23214</v>
      </c>
      <c r="C11870" t="s">
        <v>50</v>
      </c>
      <c r="D11870" t="s">
        <v>51</v>
      </c>
      <c r="E11870" s="6">
        <v>-28346</v>
      </c>
      <c r="F11870" t="s">
        <v>191</v>
      </c>
      <c r="G11870" t="s">
        <v>19</v>
      </c>
      <c r="H11870" t="s">
        <v>20</v>
      </c>
      <c r="I11870" t="s">
        <v>23237</v>
      </c>
      <c r="J11870" t="str">
        <f>HYPERLINK("https://www.boe.es/gazeta/dias/1822/05/22/pdfs/GMD-1822-145.pdf#page=5","Abrir facsímil")</f>
        <v>Abrir facsímil</v>
      </c>
      <c r="K11870" t="s">
        <v>22</v>
      </c>
    </row>
    <row r="11871" spans="1:11" ht="42" customHeight="1">
      <c r="A11871" t="s">
        <v>23214</v>
      </c>
      <c r="B11871" t="s">
        <v>23214</v>
      </c>
      <c r="C11871" t="s">
        <v>71</v>
      </c>
      <c r="D11871" t="s">
        <v>17</v>
      </c>
      <c r="E11871" s="6">
        <v>-28343</v>
      </c>
      <c r="F11871" t="s">
        <v>1019</v>
      </c>
      <c r="G11871" t="s">
        <v>44</v>
      </c>
      <c r="H11871" t="s">
        <v>20</v>
      </c>
      <c r="I11871" t="s">
        <v>23238</v>
      </c>
      <c r="J11871" t="str">
        <f>HYPERLINK("https://www.boe.es/gazeta/dias/1822/05/25/pdfs/GMD-1822-150.pdf#page=1","Abrir facsímil")</f>
        <v>Abrir facsímil</v>
      </c>
      <c r="K11871" t="s">
        <v>22</v>
      </c>
    </row>
    <row r="11872" spans="1:11" ht="42" customHeight="1">
      <c r="A11872" t="s">
        <v>23214</v>
      </c>
      <c r="B11872" t="s">
        <v>23214</v>
      </c>
      <c r="C11872" t="s">
        <v>50</v>
      </c>
      <c r="D11872" t="s">
        <v>51</v>
      </c>
      <c r="E11872" s="6">
        <v>-28342</v>
      </c>
      <c r="F11872" t="s">
        <v>2281</v>
      </c>
      <c r="G11872" t="s">
        <v>44</v>
      </c>
      <c r="H11872" t="s">
        <v>20</v>
      </c>
      <c r="I11872" t="s">
        <v>23239</v>
      </c>
      <c r="J11872" t="str">
        <f>HYPERLINK("https://www.boe.es/gazeta/dias/1822/05/26/pdfs/GMD-1822-151.pdf#page=1","Abrir facsímil")</f>
        <v>Abrir facsímil</v>
      </c>
      <c r="K11872" t="s">
        <v>22</v>
      </c>
    </row>
    <row r="11873" spans="1:11" ht="42" customHeight="1">
      <c r="A11873" t="s">
        <v>23214</v>
      </c>
      <c r="B11873" t="s">
        <v>23214</v>
      </c>
      <c r="C11873" t="s">
        <v>50</v>
      </c>
      <c r="D11873" t="s">
        <v>51</v>
      </c>
      <c r="E11873" s="6">
        <v>-28340</v>
      </c>
      <c r="F11873" t="s">
        <v>139</v>
      </c>
      <c r="G11873" t="s">
        <v>31</v>
      </c>
      <c r="H11873" t="s">
        <v>20</v>
      </c>
      <c r="I11873" t="s">
        <v>23240</v>
      </c>
      <c r="J11873" t="str">
        <f>HYPERLINK("https://www.boe.es/gazeta/dias/1822/05/28/pdfs/GMD-1822-153.pdf#page=3","Abrir facsímil")</f>
        <v>Abrir facsímil</v>
      </c>
      <c r="K11873" t="s">
        <v>22</v>
      </c>
    </row>
    <row r="11874" spans="1:11" ht="42" customHeight="1">
      <c r="A11874" t="s">
        <v>23214</v>
      </c>
      <c r="B11874" t="s">
        <v>23214</v>
      </c>
      <c r="C11874" t="s">
        <v>50</v>
      </c>
      <c r="D11874" t="s">
        <v>51</v>
      </c>
      <c r="E11874" s="6">
        <v>-28339</v>
      </c>
      <c r="F11874" t="s">
        <v>197</v>
      </c>
      <c r="G11874" t="s">
        <v>44</v>
      </c>
      <c r="H11874" t="s">
        <v>20</v>
      </c>
      <c r="I11874" t="s">
        <v>23241</v>
      </c>
      <c r="J11874" t="str">
        <f>HYPERLINK("https://www.boe.es/gazeta/dias/1822/05/29/pdfs/GMD-1822-154.pdf#page=1","Abrir facsímil")</f>
        <v>Abrir facsímil</v>
      </c>
      <c r="K11874" t="s">
        <v>22</v>
      </c>
    </row>
    <row r="11875" spans="1:11" ht="42" customHeight="1">
      <c r="A11875" t="s">
        <v>23214</v>
      </c>
      <c r="B11875" t="s">
        <v>23214</v>
      </c>
      <c r="C11875" t="s">
        <v>42</v>
      </c>
      <c r="D11875" t="s">
        <v>17</v>
      </c>
      <c r="E11875" s="6">
        <v>-28335</v>
      </c>
      <c r="F11875" t="s">
        <v>3346</v>
      </c>
      <c r="G11875" t="s">
        <v>31</v>
      </c>
      <c r="H11875" t="s">
        <v>20</v>
      </c>
      <c r="I11875" t="s">
        <v>23242</v>
      </c>
      <c r="J11875" t="str">
        <f>HYPERLINK("https://www.boe.es/gazeta/dias/1822/06/02/pdfs/GMD-1822-158.pdf#page=3","Abrir facsímil")</f>
        <v>Abrir facsímil</v>
      </c>
      <c r="K11875" t="s">
        <v>22</v>
      </c>
    </row>
    <row r="11876" spans="1:11" ht="42" customHeight="1">
      <c r="A11876" t="s">
        <v>23214</v>
      </c>
      <c r="B11876" t="s">
        <v>23214</v>
      </c>
      <c r="C11876" t="s">
        <v>50</v>
      </c>
      <c r="D11876" t="s">
        <v>51</v>
      </c>
      <c r="E11876" s="6">
        <v>-28333</v>
      </c>
      <c r="F11876" t="s">
        <v>1928</v>
      </c>
      <c r="G11876" t="s">
        <v>44</v>
      </c>
      <c r="H11876" t="s">
        <v>20</v>
      </c>
      <c r="I11876" t="s">
        <v>23243</v>
      </c>
      <c r="J11876" t="str">
        <f>HYPERLINK("https://www.boe.es/gazeta/dias/1822/06/04/pdfs/GMD-1822-161.pdf#page=1","Abrir facsímil")</f>
        <v>Abrir facsímil</v>
      </c>
      <c r="K11876" t="s">
        <v>22</v>
      </c>
    </row>
    <row r="11877" spans="1:11" ht="42" customHeight="1">
      <c r="A11877" t="s">
        <v>23214</v>
      </c>
      <c r="B11877" t="s">
        <v>23214</v>
      </c>
      <c r="C11877" t="s">
        <v>50</v>
      </c>
      <c r="D11877" t="s">
        <v>51</v>
      </c>
      <c r="E11877" s="6">
        <v>-28328</v>
      </c>
      <c r="F11877" t="s">
        <v>540</v>
      </c>
      <c r="G11877" t="s">
        <v>541</v>
      </c>
      <c r="H11877" t="s">
        <v>20</v>
      </c>
      <c r="I11877" t="s">
        <v>23244</v>
      </c>
      <c r="J11877" t="str">
        <f>HYPERLINK("https://www.boe.es/gazeta/dias/1822/06/09/pdfs/GMD-1822-166.pdf#page=4","Abrir facsímil")</f>
        <v>Abrir facsímil</v>
      </c>
      <c r="K11877" t="s">
        <v>22</v>
      </c>
    </row>
    <row r="11878" spans="1:11" ht="42" customHeight="1">
      <c r="A11878" t="s">
        <v>23214</v>
      </c>
      <c r="B11878" t="s">
        <v>23214</v>
      </c>
      <c r="C11878" t="s">
        <v>50</v>
      </c>
      <c r="D11878" t="s">
        <v>51</v>
      </c>
      <c r="E11878" s="6">
        <v>-28326</v>
      </c>
      <c r="F11878" t="s">
        <v>543</v>
      </c>
      <c r="G11878" t="s">
        <v>63</v>
      </c>
      <c r="H11878" t="s">
        <v>20</v>
      </c>
      <c r="I11878" t="s">
        <v>23245</v>
      </c>
      <c r="J11878" t="str">
        <f>HYPERLINK("https://www.boe.es/gazeta/dias/1822/06/11/pdfs/GMD-1822-168.pdf#page=6","Abrir facsímil")</f>
        <v>Abrir facsímil</v>
      </c>
      <c r="K11878" t="s">
        <v>22</v>
      </c>
    </row>
    <row r="11879" spans="1:11" ht="42" customHeight="1">
      <c r="A11879" t="s">
        <v>23214</v>
      </c>
      <c r="B11879" t="s">
        <v>23214</v>
      </c>
      <c r="C11879" t="s">
        <v>50</v>
      </c>
      <c r="D11879" t="s">
        <v>51</v>
      </c>
      <c r="E11879" s="6">
        <v>-28321</v>
      </c>
      <c r="F11879" t="s">
        <v>1142</v>
      </c>
      <c r="G11879" t="s">
        <v>35</v>
      </c>
      <c r="H11879" t="s">
        <v>20</v>
      </c>
      <c r="I11879" t="s">
        <v>23246</v>
      </c>
      <c r="J11879" t="str">
        <f>HYPERLINK("https://www.boe.es/gazeta/dias/1822/06/16/pdfs/GMD-1822-173.pdf#page=2","Abrir facsímil")</f>
        <v>Abrir facsímil</v>
      </c>
      <c r="K11879" t="s">
        <v>22</v>
      </c>
    </row>
    <row r="11880" spans="1:11" ht="42" customHeight="1">
      <c r="A11880" t="s">
        <v>23214</v>
      </c>
      <c r="B11880" t="s">
        <v>23214</v>
      </c>
      <c r="C11880" t="s">
        <v>50</v>
      </c>
      <c r="D11880" t="s">
        <v>51</v>
      </c>
      <c r="E11880" s="6">
        <v>-28321</v>
      </c>
      <c r="F11880" t="s">
        <v>1142</v>
      </c>
      <c r="G11880" t="s">
        <v>31</v>
      </c>
      <c r="H11880" t="s">
        <v>20</v>
      </c>
      <c r="I11880" t="s">
        <v>23247</v>
      </c>
      <c r="J11880" t="str">
        <f>HYPERLINK("https://www.boe.es/gazeta/dias/1822/06/16/pdfs/GMD-1822-173.pdf#page=3","Abrir facsímil")</f>
        <v>Abrir facsímil</v>
      </c>
      <c r="K11880" t="s">
        <v>22</v>
      </c>
    </row>
    <row r="11881" spans="1:11" ht="42" customHeight="1">
      <c r="A11881" t="s">
        <v>23214</v>
      </c>
      <c r="B11881" t="s">
        <v>23214</v>
      </c>
      <c r="C11881" t="s">
        <v>50</v>
      </c>
      <c r="D11881" t="s">
        <v>51</v>
      </c>
      <c r="E11881" s="6">
        <v>-28318</v>
      </c>
      <c r="F11881" t="s">
        <v>397</v>
      </c>
      <c r="G11881" t="s">
        <v>57</v>
      </c>
      <c r="H11881" t="s">
        <v>20</v>
      </c>
      <c r="I11881" t="s">
        <v>23248</v>
      </c>
      <c r="J11881" t="str">
        <f>HYPERLINK("https://www.boe.es/gazeta/dias/1822/06/19/pdfs/GMD-1822-176.pdf#page=4","Abrir facsímil")</f>
        <v>Abrir facsímil</v>
      </c>
      <c r="K11881" t="s">
        <v>22</v>
      </c>
    </row>
    <row r="11882" spans="1:11" ht="42" customHeight="1">
      <c r="A11882" t="s">
        <v>23214</v>
      </c>
      <c r="B11882" t="s">
        <v>23214</v>
      </c>
      <c r="C11882" t="s">
        <v>50</v>
      </c>
      <c r="D11882" t="s">
        <v>51</v>
      </c>
      <c r="E11882" s="6">
        <v>-28316</v>
      </c>
      <c r="F11882" t="s">
        <v>1144</v>
      </c>
      <c r="G11882" t="s">
        <v>44</v>
      </c>
      <c r="H11882" t="s">
        <v>20</v>
      </c>
      <c r="I11882" t="s">
        <v>23249</v>
      </c>
      <c r="J11882" t="str">
        <f>HYPERLINK("https://www.boe.es/gazeta/dias/1822/06/21/pdfs/GMD-1822-179.pdf#page=1","Abrir facsímil")</f>
        <v>Abrir facsímil</v>
      </c>
      <c r="K11882" t="s">
        <v>22</v>
      </c>
    </row>
    <row r="11883" spans="1:11" ht="42" customHeight="1">
      <c r="A11883" t="s">
        <v>23214</v>
      </c>
      <c r="B11883" t="s">
        <v>23214</v>
      </c>
      <c r="C11883" t="s">
        <v>28</v>
      </c>
      <c r="D11883" t="s">
        <v>29</v>
      </c>
      <c r="E11883" s="6">
        <v>-28309</v>
      </c>
      <c r="F11883" t="s">
        <v>553</v>
      </c>
      <c r="G11883" t="s">
        <v>57</v>
      </c>
      <c r="H11883" t="s">
        <v>20</v>
      </c>
      <c r="I11883" t="s">
        <v>23250</v>
      </c>
      <c r="J11883" t="str">
        <f>HYPERLINK("https://www.boe.es/gazeta/dias/1822/06/28/pdfs/GMD-1822-186.pdf#page=4","Abrir facsímil")</f>
        <v>Abrir facsímil</v>
      </c>
      <c r="K11883" t="s">
        <v>22</v>
      </c>
    </row>
    <row r="11884" spans="1:11" ht="42" customHeight="1">
      <c r="A11884" t="s">
        <v>23214</v>
      </c>
      <c r="B11884" t="s">
        <v>23214</v>
      </c>
      <c r="C11884" t="s">
        <v>50</v>
      </c>
      <c r="D11884" t="s">
        <v>51</v>
      </c>
      <c r="E11884" s="6">
        <v>-28296</v>
      </c>
      <c r="F11884" t="s">
        <v>4121</v>
      </c>
      <c r="G11884" t="s">
        <v>57</v>
      </c>
      <c r="H11884" t="s">
        <v>20</v>
      </c>
      <c r="I11884" t="s">
        <v>23251</v>
      </c>
      <c r="J11884" t="str">
        <f>HYPERLINK("https://www.boe.es/gazeta/dias/1822/07/11/pdfs/GMD-1822-201.pdf#page=4","Abrir facsímil")</f>
        <v>Abrir facsímil</v>
      </c>
      <c r="K11884" t="s">
        <v>22</v>
      </c>
    </row>
    <row r="11885" spans="1:11" ht="42" customHeight="1">
      <c r="A11885" t="s">
        <v>23214</v>
      </c>
      <c r="B11885" t="s">
        <v>23214</v>
      </c>
      <c r="C11885" t="s">
        <v>50</v>
      </c>
      <c r="D11885" t="s">
        <v>51</v>
      </c>
      <c r="E11885" s="6">
        <v>-28290</v>
      </c>
      <c r="F11885" t="s">
        <v>706</v>
      </c>
      <c r="G11885" t="s">
        <v>57</v>
      </c>
      <c r="H11885" t="s">
        <v>20</v>
      </c>
      <c r="I11885" t="s">
        <v>23252</v>
      </c>
      <c r="J11885" t="str">
        <f>HYPERLINK("https://www.boe.es/gazeta/dias/1822/07/17/pdfs/GMD-1822-207.pdf#page=4","Abrir facsímil")</f>
        <v>Abrir facsímil</v>
      </c>
      <c r="K11885" t="s">
        <v>22</v>
      </c>
    </row>
    <row r="11886" spans="1:11" ht="42" customHeight="1">
      <c r="A11886" t="s">
        <v>23214</v>
      </c>
      <c r="B11886" t="s">
        <v>23214</v>
      </c>
      <c r="C11886" t="s">
        <v>50</v>
      </c>
      <c r="D11886" t="s">
        <v>51</v>
      </c>
      <c r="E11886" s="6">
        <v>-28286</v>
      </c>
      <c r="F11886" t="s">
        <v>1853</v>
      </c>
      <c r="G11886" t="s">
        <v>35</v>
      </c>
      <c r="H11886" t="s">
        <v>20</v>
      </c>
      <c r="I11886" t="s">
        <v>23253</v>
      </c>
      <c r="J11886" t="str">
        <f>HYPERLINK("https://www.boe.es/gazeta/dias/1822/07/21/pdfs/GMD-1822-213.pdf#page=2","Abrir facsímil")</f>
        <v>Abrir facsímil</v>
      </c>
      <c r="K11886" t="s">
        <v>22</v>
      </c>
    </row>
    <row r="11887" spans="1:11" ht="42" customHeight="1">
      <c r="A11887" t="s">
        <v>23214</v>
      </c>
      <c r="B11887" t="s">
        <v>23214</v>
      </c>
      <c r="C11887" t="s">
        <v>50</v>
      </c>
      <c r="D11887" t="s">
        <v>51</v>
      </c>
      <c r="E11887" s="6">
        <v>-28239</v>
      </c>
      <c r="F11887" t="s">
        <v>3154</v>
      </c>
      <c r="G11887" t="s">
        <v>31</v>
      </c>
      <c r="H11887" t="s">
        <v>20</v>
      </c>
      <c r="I11887" t="s">
        <v>23254</v>
      </c>
      <c r="J11887" t="str">
        <f>HYPERLINK("https://www.boe.es/gazeta/dias/1822/09/06/pdfs/GMD-1822-261.pdf#page=3","Abrir facsímil")</f>
        <v>Abrir facsímil</v>
      </c>
      <c r="K11887" t="s">
        <v>22</v>
      </c>
    </row>
    <row r="11888" spans="1:11" ht="42" customHeight="1">
      <c r="A11888" t="s">
        <v>23214</v>
      </c>
      <c r="B11888" t="s">
        <v>23214</v>
      </c>
      <c r="C11888" t="s">
        <v>50</v>
      </c>
      <c r="D11888" t="s">
        <v>51</v>
      </c>
      <c r="E11888" s="6">
        <v>-28225</v>
      </c>
      <c r="F11888" t="s">
        <v>177</v>
      </c>
      <c r="G11888" t="s">
        <v>35</v>
      </c>
      <c r="H11888" t="s">
        <v>20</v>
      </c>
      <c r="I11888" t="s">
        <v>23255</v>
      </c>
      <c r="J11888" t="str">
        <f>HYPERLINK("https://www.boe.es/gazeta/dias/1822/09/20/pdfs/GMD-1822-276.pdf#page=2","Abrir facsímil")</f>
        <v>Abrir facsímil</v>
      </c>
      <c r="K11888" t="s">
        <v>22</v>
      </c>
    </row>
    <row r="11889" spans="1:11" ht="42" customHeight="1">
      <c r="A11889" t="s">
        <v>23214</v>
      </c>
      <c r="B11889" t="s">
        <v>23214</v>
      </c>
      <c r="C11889" t="s">
        <v>50</v>
      </c>
      <c r="D11889" t="s">
        <v>51</v>
      </c>
      <c r="E11889" s="6">
        <v>-28221</v>
      </c>
      <c r="F11889" t="s">
        <v>2591</v>
      </c>
      <c r="G11889" t="s">
        <v>44</v>
      </c>
      <c r="H11889" t="s">
        <v>20</v>
      </c>
      <c r="I11889" t="s">
        <v>23256</v>
      </c>
      <c r="J11889" t="str">
        <f>HYPERLINK("https://www.boe.es/gazeta/dias/1822/09/24/pdfs/GMD-1822-280.pdf#page=1","Abrir facsímil")</f>
        <v>Abrir facsímil</v>
      </c>
      <c r="K11889" t="s">
        <v>22</v>
      </c>
    </row>
    <row r="11890" spans="1:11" ht="42" customHeight="1">
      <c r="A11890" t="s">
        <v>23214</v>
      </c>
      <c r="B11890" t="s">
        <v>23214</v>
      </c>
      <c r="C11890" t="s">
        <v>50</v>
      </c>
      <c r="D11890" t="s">
        <v>51</v>
      </c>
      <c r="E11890" s="6">
        <v>-28217</v>
      </c>
      <c r="F11890" t="s">
        <v>1892</v>
      </c>
      <c r="G11890" t="s">
        <v>57</v>
      </c>
      <c r="H11890" t="s">
        <v>20</v>
      </c>
      <c r="I11890" t="s">
        <v>23257</v>
      </c>
      <c r="J11890" t="str">
        <f>HYPERLINK("https://www.boe.es/gazeta/dias/1822/09/28/pdfs/GMD-1822-284.pdf#page=4","Abrir facsímil")</f>
        <v>Abrir facsímil</v>
      </c>
      <c r="K11890" t="s">
        <v>22</v>
      </c>
    </row>
    <row r="11891" spans="1:11" ht="42" customHeight="1">
      <c r="A11891" t="s">
        <v>23214</v>
      </c>
      <c r="B11891" t="s">
        <v>23214</v>
      </c>
      <c r="C11891" t="s">
        <v>50</v>
      </c>
      <c r="D11891" t="s">
        <v>51</v>
      </c>
      <c r="E11891" s="6">
        <v>-28201</v>
      </c>
      <c r="F11891" t="s">
        <v>163</v>
      </c>
      <c r="G11891" t="s">
        <v>57</v>
      </c>
      <c r="H11891" t="s">
        <v>20</v>
      </c>
      <c r="I11891" t="s">
        <v>23258</v>
      </c>
      <c r="J11891" t="str">
        <f>HYPERLINK("https://www.boe.es/gazeta/dias/1822/10/14/pdfs/GMD-1822-301.pdf#page=4","Abrir facsímil")</f>
        <v>Abrir facsímil</v>
      </c>
      <c r="K11891" t="s">
        <v>22</v>
      </c>
    </row>
    <row r="11892" spans="1:11" ht="42" customHeight="1">
      <c r="A11892" t="s">
        <v>23214</v>
      </c>
      <c r="B11892" t="s">
        <v>23214</v>
      </c>
      <c r="C11892" t="s">
        <v>50</v>
      </c>
      <c r="D11892" t="s">
        <v>51</v>
      </c>
      <c r="E11892" s="6">
        <v>-28198</v>
      </c>
      <c r="F11892" t="s">
        <v>981</v>
      </c>
      <c r="G11892" t="s">
        <v>57</v>
      </c>
      <c r="H11892" t="s">
        <v>20</v>
      </c>
      <c r="I11892" t="s">
        <v>23259</v>
      </c>
      <c r="J11892" t="str">
        <f>HYPERLINK("https://www.boe.es/gazeta/dias/1822/10/17/pdfs/GMD-1822-304.pdf#page=4","Abrir facsímil")</f>
        <v>Abrir facsímil</v>
      </c>
      <c r="K11892" t="s">
        <v>22</v>
      </c>
    </row>
    <row r="11893" spans="1:11" ht="42" customHeight="1">
      <c r="A11893" t="s">
        <v>23214</v>
      </c>
      <c r="B11893" t="s">
        <v>23214</v>
      </c>
      <c r="C11893" t="s">
        <v>50</v>
      </c>
      <c r="D11893" t="s">
        <v>51</v>
      </c>
      <c r="E11893" s="6">
        <v>-28194</v>
      </c>
      <c r="F11893" t="s">
        <v>18</v>
      </c>
      <c r="G11893" t="s">
        <v>63</v>
      </c>
      <c r="H11893" t="s">
        <v>20</v>
      </c>
      <c r="I11893" t="s">
        <v>23260</v>
      </c>
      <c r="J11893" t="str">
        <f>HYPERLINK("https://www.boe.es/gazeta/dias/1822/10/21/pdfs/GMD-1822-308.pdf#page=6","Abrir facsímil")</f>
        <v>Abrir facsímil</v>
      </c>
      <c r="K11893" t="s">
        <v>22</v>
      </c>
    </row>
    <row r="11894" spans="1:11" ht="42" customHeight="1">
      <c r="A11894" t="s">
        <v>23214</v>
      </c>
      <c r="B11894" t="s">
        <v>23214</v>
      </c>
      <c r="C11894" t="s">
        <v>50</v>
      </c>
      <c r="D11894" t="s">
        <v>51</v>
      </c>
      <c r="E11894" s="6">
        <v>-28191</v>
      </c>
      <c r="F11894" t="s">
        <v>710</v>
      </c>
      <c r="G11894" t="s">
        <v>167</v>
      </c>
      <c r="H11894" t="s">
        <v>20</v>
      </c>
      <c r="I11894" t="s">
        <v>23261</v>
      </c>
      <c r="J11894" t="str">
        <f>HYPERLINK("https://www.boe.es/gazeta/dias/1822/10/24/pdfs/GMD-1822-311.pdf#page=7","Abrir facsímil")</f>
        <v>Abrir facsímil</v>
      </c>
      <c r="K11894" t="s">
        <v>22</v>
      </c>
    </row>
    <row r="11895" spans="1:11" ht="42" customHeight="1">
      <c r="A11895" t="s">
        <v>23214</v>
      </c>
      <c r="B11895" t="s">
        <v>23214</v>
      </c>
      <c r="C11895" t="s">
        <v>28</v>
      </c>
      <c r="D11895" t="s">
        <v>29</v>
      </c>
      <c r="E11895" s="6">
        <v>-28178</v>
      </c>
      <c r="F11895" t="s">
        <v>318</v>
      </c>
      <c r="G11895" t="s">
        <v>44</v>
      </c>
      <c r="H11895" t="s">
        <v>20</v>
      </c>
      <c r="I11895" t="s">
        <v>23262</v>
      </c>
      <c r="J11895" t="str">
        <f>HYPERLINK("https://www.boe.es/gazeta/dias/1822/11/06/pdfs/GMD-1822-326.pdf#page=1","Abrir facsímil")</f>
        <v>Abrir facsímil</v>
      </c>
      <c r="K11895" t="s">
        <v>22</v>
      </c>
    </row>
    <row r="11896" spans="1:11" ht="42" customHeight="1">
      <c r="A11896" t="s">
        <v>23214</v>
      </c>
      <c r="B11896" t="s">
        <v>23214</v>
      </c>
      <c r="C11896" t="s">
        <v>50</v>
      </c>
      <c r="D11896" t="s">
        <v>51</v>
      </c>
      <c r="E11896" s="6">
        <v>-28177</v>
      </c>
      <c r="F11896" t="s">
        <v>587</v>
      </c>
      <c r="G11896" t="s">
        <v>19</v>
      </c>
      <c r="H11896" t="s">
        <v>20</v>
      </c>
      <c r="I11896" t="s">
        <v>23263</v>
      </c>
      <c r="J11896" t="str">
        <f>HYPERLINK("https://www.boe.es/gazeta/dias/1822/11/07/pdfs/GMD-1822-327.pdf#page=5","Abrir facsímil")</f>
        <v>Abrir facsímil</v>
      </c>
      <c r="K11896" t="s">
        <v>22</v>
      </c>
    </row>
    <row r="11897" spans="1:11" ht="42" customHeight="1">
      <c r="A11897" t="s">
        <v>23214</v>
      </c>
      <c r="B11897" t="s">
        <v>23214</v>
      </c>
      <c r="C11897" t="s">
        <v>50</v>
      </c>
      <c r="D11897" t="s">
        <v>51</v>
      </c>
      <c r="E11897" s="6">
        <v>-28158</v>
      </c>
      <c r="F11897" t="s">
        <v>590</v>
      </c>
      <c r="G11897" t="s">
        <v>19</v>
      </c>
      <c r="H11897" t="s">
        <v>20</v>
      </c>
      <c r="I11897" t="s">
        <v>23264</v>
      </c>
      <c r="J11897" t="str">
        <f>HYPERLINK("https://www.boe.es/gazeta/dias/1822/11/26/pdfs/GMD-1822-346.pdf#page=5","Abrir facsímil")</f>
        <v>Abrir facsímil</v>
      </c>
      <c r="K11897" t="s">
        <v>22</v>
      </c>
    </row>
    <row r="11898" spans="1:11" ht="42" customHeight="1">
      <c r="A11898" t="s">
        <v>23214</v>
      </c>
      <c r="B11898" t="s">
        <v>23214</v>
      </c>
      <c r="C11898" t="s">
        <v>42</v>
      </c>
      <c r="D11898" t="s">
        <v>17</v>
      </c>
      <c r="E11898" s="6">
        <v>-28136</v>
      </c>
      <c r="F11898" t="s">
        <v>948</v>
      </c>
      <c r="G11898" t="s">
        <v>44</v>
      </c>
      <c r="H11898" t="s">
        <v>20</v>
      </c>
      <c r="I11898" t="s">
        <v>23265</v>
      </c>
      <c r="J11898" t="str">
        <f>HYPERLINK("https://www.boe.es/gazeta/dias/1822/12/18/pdfs/GMD-1822-368.pdf#page=1","Abrir facsímil")</f>
        <v>Abrir facsímil</v>
      </c>
      <c r="K11898" t="s">
        <v>22</v>
      </c>
    </row>
    <row r="11899" spans="1:11" ht="42" customHeight="1">
      <c r="A11899" t="s">
        <v>23266</v>
      </c>
      <c r="B11899" t="s">
        <v>23267</v>
      </c>
      <c r="C11899" t="s">
        <v>16</v>
      </c>
      <c r="D11899" t="s">
        <v>17</v>
      </c>
      <c r="E11899" s="6">
        <v>-28410</v>
      </c>
      <c r="F11899" t="s">
        <v>966</v>
      </c>
      <c r="G11899" t="s">
        <v>35</v>
      </c>
      <c r="H11899" t="s">
        <v>20</v>
      </c>
      <c r="I11899" t="s">
        <v>23268</v>
      </c>
      <c r="J11899" t="str">
        <f>HYPERLINK("https://www.boe.es/gazeta/dias/1822/03/19/pdfs/GMD-1822-80.pdf#page=2","Abrir facsímil")</f>
        <v>Abrir facsímil</v>
      </c>
      <c r="K11899" t="s">
        <v>22</v>
      </c>
    </row>
    <row r="11900" spans="1:11" ht="42" customHeight="1">
      <c r="A11900" t="s">
        <v>23269</v>
      </c>
      <c r="B11900" t="s">
        <v>23270</v>
      </c>
      <c r="C11900" t="s">
        <v>61</v>
      </c>
      <c r="D11900" t="s">
        <v>17</v>
      </c>
      <c r="E11900" s="6">
        <v>-28379</v>
      </c>
      <c r="F11900" t="s">
        <v>494</v>
      </c>
      <c r="G11900" t="s">
        <v>35</v>
      </c>
      <c r="H11900" t="s">
        <v>20</v>
      </c>
      <c r="I11900" t="s">
        <v>23271</v>
      </c>
      <c r="J11900" t="str">
        <f>HYPERLINK("https://www.boe.es/gazeta/dias/1822/04/19/pdfs/GMD-1822-111.pdf#page=2","Abrir facsímil")</f>
        <v>Abrir facsímil</v>
      </c>
      <c r="K11900" t="s">
        <v>22</v>
      </c>
    </row>
    <row r="11901" spans="1:11" ht="42" customHeight="1">
      <c r="A11901" t="s">
        <v>23272</v>
      </c>
      <c r="B11901" t="s">
        <v>23273</v>
      </c>
      <c r="C11901" t="s">
        <v>28</v>
      </c>
      <c r="D11901" t="s">
        <v>29</v>
      </c>
      <c r="E11901" s="6">
        <v>-28431</v>
      </c>
      <c r="F11901" t="s">
        <v>1258</v>
      </c>
      <c r="G11901" t="s">
        <v>57</v>
      </c>
      <c r="H11901" t="s">
        <v>20</v>
      </c>
      <c r="I11901" t="s">
        <v>23274</v>
      </c>
      <c r="J11901" t="str">
        <f>HYPERLINK("https://www.boe.es/gazeta/dias/1822/02/26/pdfs/GMD-1822-58.pdf#page=4","Abrir facsímil")</f>
        <v>Abrir facsímil</v>
      </c>
      <c r="K11901" t="s">
        <v>22</v>
      </c>
    </row>
    <row r="11902" spans="1:11" ht="42" customHeight="1">
      <c r="A11902" t="s">
        <v>23272</v>
      </c>
      <c r="B11902" t="s">
        <v>23273</v>
      </c>
      <c r="C11902" t="s">
        <v>50</v>
      </c>
      <c r="D11902" t="s">
        <v>51</v>
      </c>
      <c r="E11902" s="6">
        <v>-28412</v>
      </c>
      <c r="F11902" t="s">
        <v>825</v>
      </c>
      <c r="G11902" t="s">
        <v>44</v>
      </c>
      <c r="H11902" t="s">
        <v>20</v>
      </c>
      <c r="I11902" t="s">
        <v>23275</v>
      </c>
      <c r="J11902" t="str">
        <f>HYPERLINK("https://www.boe.es/gazeta/dias/1822/03/17/pdfs/GMD-1822-78.pdf#page=1","Abrir facsímil")</f>
        <v>Abrir facsímil</v>
      </c>
      <c r="K11902" t="s">
        <v>22</v>
      </c>
    </row>
    <row r="11903" spans="1:11" ht="42" customHeight="1">
      <c r="A11903" t="s">
        <v>23272</v>
      </c>
      <c r="B11903" t="s">
        <v>23273</v>
      </c>
      <c r="C11903" t="s">
        <v>50</v>
      </c>
      <c r="D11903" t="s">
        <v>51</v>
      </c>
      <c r="E11903" s="6">
        <v>-28411</v>
      </c>
      <c r="F11903" t="s">
        <v>1509</v>
      </c>
      <c r="G11903" t="s">
        <v>35</v>
      </c>
      <c r="H11903" t="s">
        <v>20</v>
      </c>
      <c r="I11903" t="s">
        <v>23276</v>
      </c>
      <c r="J11903" t="str">
        <f>HYPERLINK("https://www.boe.es/gazeta/dias/1822/03/18/pdfs/GMD-1822-79.pdf#page=2","Abrir facsímil")</f>
        <v>Abrir facsímil</v>
      </c>
      <c r="K11903" t="s">
        <v>22</v>
      </c>
    </row>
    <row r="11904" spans="1:11" ht="42" customHeight="1">
      <c r="A11904" t="s">
        <v>23272</v>
      </c>
      <c r="B11904" t="s">
        <v>23273</v>
      </c>
      <c r="C11904" t="s">
        <v>42</v>
      </c>
      <c r="D11904" t="s">
        <v>17</v>
      </c>
      <c r="E11904" s="6">
        <v>-28399</v>
      </c>
      <c r="F11904" t="s">
        <v>476</v>
      </c>
      <c r="G11904" t="s">
        <v>44</v>
      </c>
      <c r="H11904" t="s">
        <v>20</v>
      </c>
      <c r="I11904" t="s">
        <v>23277</v>
      </c>
      <c r="J11904" t="str">
        <f>HYPERLINK("https://www.boe.es/gazeta/dias/1822/03/30/pdfs/GMD-1822-91.pdf#page=1","Abrir facsímil")</f>
        <v>Abrir facsímil</v>
      </c>
      <c r="K11904" t="s">
        <v>22</v>
      </c>
    </row>
    <row r="11905" spans="1:11" ht="42" customHeight="1">
      <c r="A11905" t="s">
        <v>23278</v>
      </c>
      <c r="B11905" t="s">
        <v>23279</v>
      </c>
      <c r="C11905" t="s">
        <v>42</v>
      </c>
      <c r="D11905" t="s">
        <v>17</v>
      </c>
      <c r="E11905" s="6">
        <v>-28440</v>
      </c>
      <c r="F11905" t="s">
        <v>1307</v>
      </c>
      <c r="G11905" t="s">
        <v>35</v>
      </c>
      <c r="H11905" t="s">
        <v>20</v>
      </c>
      <c r="I11905" t="s">
        <v>23280</v>
      </c>
      <c r="J11905" t="str">
        <f>HYPERLINK("https://www.boe.es/gazeta/dias/1822/02/17/pdfs/GMD-1822-49.pdf#page=2","Abrir facsímil")</f>
        <v>Abrir facsímil</v>
      </c>
      <c r="K11905" t="s">
        <v>22</v>
      </c>
    </row>
    <row r="11906" spans="1:11" ht="42" customHeight="1">
      <c r="A11906" t="s">
        <v>23281</v>
      </c>
      <c r="B11906" t="s">
        <v>23281</v>
      </c>
      <c r="C11906" t="s">
        <v>71</v>
      </c>
      <c r="D11906" t="s">
        <v>17</v>
      </c>
      <c r="E11906" s="6">
        <v>-28369</v>
      </c>
      <c r="F11906" t="s">
        <v>1590</v>
      </c>
      <c r="G11906" t="s">
        <v>57</v>
      </c>
      <c r="H11906" t="s">
        <v>20</v>
      </c>
      <c r="I11906" t="s">
        <v>23282</v>
      </c>
      <c r="J11906" t="str">
        <f>HYPERLINK("https://www.boe.es/gazeta/dias/1822/04/29/pdfs/GMD-1822-121.pdf#page=4","Abrir facsímil")</f>
        <v>Abrir facsímil</v>
      </c>
      <c r="K11906" t="s">
        <v>22</v>
      </c>
    </row>
    <row r="11907" spans="1:11" ht="42" customHeight="1">
      <c r="A11907" t="s">
        <v>23283</v>
      </c>
      <c r="B11907" t="s">
        <v>23284</v>
      </c>
      <c r="C11907" t="s">
        <v>42</v>
      </c>
      <c r="D11907" t="s">
        <v>17</v>
      </c>
      <c r="E11907" s="6">
        <v>-28222</v>
      </c>
      <c r="F11907" t="s">
        <v>2027</v>
      </c>
      <c r="G11907" t="s">
        <v>44</v>
      </c>
      <c r="H11907" t="s">
        <v>20</v>
      </c>
      <c r="I11907" t="s">
        <v>23285</v>
      </c>
      <c r="J11907" t="str">
        <f>HYPERLINK("https://www.boe.es/gazeta/dias/1822/09/23/pdfs/GMD-1822-279.pdf#page=1","Abrir facsímil")</f>
        <v>Abrir facsímil</v>
      </c>
      <c r="K11907" t="s">
        <v>22</v>
      </c>
    </row>
    <row r="11908" spans="1:11" ht="42" customHeight="1">
      <c r="A11908" t="s">
        <v>23286</v>
      </c>
      <c r="B11908" t="s">
        <v>23286</v>
      </c>
      <c r="C11908" t="s">
        <v>71</v>
      </c>
      <c r="D11908" t="s">
        <v>17</v>
      </c>
      <c r="E11908" s="6">
        <v>-28170</v>
      </c>
      <c r="F11908" t="s">
        <v>1457</v>
      </c>
      <c r="G11908" t="s">
        <v>19</v>
      </c>
      <c r="H11908" t="s">
        <v>20</v>
      </c>
      <c r="I11908" t="s">
        <v>23287</v>
      </c>
      <c r="J11908" t="str">
        <f>HYPERLINK("https://www.boe.es/gazeta/dias/1822/11/14/pdfs/GMD-1822-334.pdf#page=5","Abrir facsímil")</f>
        <v>Abrir facsímil</v>
      </c>
      <c r="K11908" t="s">
        <v>22</v>
      </c>
    </row>
    <row r="11909" spans="1:11" ht="42" customHeight="1">
      <c r="A11909" t="s">
        <v>23288</v>
      </c>
      <c r="B11909" t="s">
        <v>23289</v>
      </c>
      <c r="C11909" t="s">
        <v>50</v>
      </c>
      <c r="D11909" t="s">
        <v>51</v>
      </c>
      <c r="E11909" s="6">
        <v>-28209</v>
      </c>
      <c r="F11909" t="s">
        <v>748</v>
      </c>
      <c r="G11909" t="s">
        <v>57</v>
      </c>
      <c r="H11909" t="s">
        <v>20</v>
      </c>
      <c r="I11909" t="s">
        <v>23290</v>
      </c>
      <c r="J11909" t="str">
        <f>HYPERLINK("https://www.boe.es/gazeta/dias/1822/10/06/pdfs/GMD-1822-292.pdf#page=4","Abrir facsímil")</f>
        <v>Abrir facsímil</v>
      </c>
      <c r="K11909" t="s">
        <v>22</v>
      </c>
    </row>
    <row r="11910" spans="1:11" ht="42" customHeight="1">
      <c r="A11910" t="s">
        <v>23291</v>
      </c>
      <c r="B11910" t="s">
        <v>23292</v>
      </c>
      <c r="C11910" t="s">
        <v>50</v>
      </c>
      <c r="D11910" t="s">
        <v>51</v>
      </c>
      <c r="E11910" s="6">
        <v>-28240</v>
      </c>
      <c r="F11910" t="s">
        <v>678</v>
      </c>
      <c r="G11910" t="s">
        <v>57</v>
      </c>
      <c r="H11910" t="s">
        <v>20</v>
      </c>
      <c r="I11910" t="s">
        <v>23293</v>
      </c>
      <c r="J11910" t="str">
        <f>HYPERLINK("https://www.boe.es/gazeta/dias/1822/09/05/pdfs/GMD-1822-260.pdf#page=4","Abrir facsímil")</f>
        <v>Abrir facsímil</v>
      </c>
      <c r="K11910" t="s">
        <v>22</v>
      </c>
    </row>
    <row r="11911" spans="1:11" ht="42" customHeight="1">
      <c r="A11911" t="s">
        <v>23294</v>
      </c>
      <c r="B11911" t="s">
        <v>23295</v>
      </c>
      <c r="C11911" t="s">
        <v>61</v>
      </c>
      <c r="D11911" t="s">
        <v>17</v>
      </c>
      <c r="E11911" s="6">
        <v>-28400</v>
      </c>
      <c r="F11911" t="s">
        <v>1937</v>
      </c>
      <c r="G11911" t="s">
        <v>44</v>
      </c>
      <c r="H11911" t="s">
        <v>20</v>
      </c>
      <c r="I11911" t="s">
        <v>23296</v>
      </c>
      <c r="J11911" t="str">
        <f>HYPERLINK("https://www.boe.es/gazeta/dias/1822/03/29/pdfs/GMD-1822-90.pdf#page=1","Abrir facsímil")</f>
        <v>Abrir facsímil</v>
      </c>
      <c r="K11911" t="s">
        <v>22</v>
      </c>
    </row>
    <row r="11912" spans="1:11" ht="42" customHeight="1">
      <c r="A11912" t="s">
        <v>23294</v>
      </c>
      <c r="B11912" t="s">
        <v>23295</v>
      </c>
      <c r="C11912" t="s">
        <v>42</v>
      </c>
      <c r="D11912" t="s">
        <v>17</v>
      </c>
      <c r="E11912" s="6">
        <v>-28274</v>
      </c>
      <c r="F11912" t="s">
        <v>3371</v>
      </c>
      <c r="G11912" t="s">
        <v>44</v>
      </c>
      <c r="H11912" t="s">
        <v>20</v>
      </c>
      <c r="I11912" t="s">
        <v>23297</v>
      </c>
      <c r="J11912" t="str">
        <f>HYPERLINK("https://www.boe.es/gazeta/dias/1822/08/02/pdfs/GMD-1822-226.pdf#page=1","Abrir facsímil")</f>
        <v>Abrir facsímil</v>
      </c>
      <c r="K11912" t="s">
        <v>22</v>
      </c>
    </row>
    <row r="11913" spans="1:11" ht="42" customHeight="1">
      <c r="A11913" t="s">
        <v>23294</v>
      </c>
      <c r="B11913" t="s">
        <v>23295</v>
      </c>
      <c r="C11913" t="s">
        <v>24</v>
      </c>
      <c r="D11913" t="s">
        <v>17</v>
      </c>
      <c r="E11913" s="6">
        <v>-28214</v>
      </c>
      <c r="F11913" t="s">
        <v>814</v>
      </c>
      <c r="G11913" t="s">
        <v>31</v>
      </c>
      <c r="H11913" t="s">
        <v>20</v>
      </c>
      <c r="I11913" t="s">
        <v>23298</v>
      </c>
      <c r="J11913" t="str">
        <f>HYPERLINK("https://www.boe.es/gazeta/dias/1822/10/01/pdfs/GMD-1822-287.pdf#page=3","Abrir facsímil")</f>
        <v>Abrir facsímil</v>
      </c>
      <c r="K11913" t="s">
        <v>22</v>
      </c>
    </row>
    <row r="11914" spans="1:11" ht="42" customHeight="1">
      <c r="A11914" t="s">
        <v>23299</v>
      </c>
      <c r="B11914" t="s">
        <v>23300</v>
      </c>
      <c r="C11914" t="s">
        <v>71</v>
      </c>
      <c r="D11914" t="s">
        <v>17</v>
      </c>
      <c r="E11914" s="6">
        <v>-28258</v>
      </c>
      <c r="F11914" t="s">
        <v>88</v>
      </c>
      <c r="G11914" t="s">
        <v>35</v>
      </c>
      <c r="H11914" t="s">
        <v>20</v>
      </c>
      <c r="I11914" t="s">
        <v>23301</v>
      </c>
      <c r="J11914" t="str">
        <f>HYPERLINK("https://www.boe.es/gazeta/dias/1822/08/18/pdfs/GMD-1822-242.pdf#page=2","Abrir facsímil")</f>
        <v>Abrir facsímil</v>
      </c>
      <c r="K11914" t="s">
        <v>22</v>
      </c>
    </row>
    <row r="11915" spans="1:11" ht="42" customHeight="1">
      <c r="A11915" t="s">
        <v>23302</v>
      </c>
      <c r="B11915" t="s">
        <v>23303</v>
      </c>
      <c r="C11915" t="s">
        <v>16</v>
      </c>
      <c r="D11915" t="s">
        <v>17</v>
      </c>
      <c r="E11915" s="6">
        <v>-28439</v>
      </c>
      <c r="F11915" t="s">
        <v>2752</v>
      </c>
      <c r="G11915" t="s">
        <v>4031</v>
      </c>
      <c r="H11915" t="s">
        <v>20</v>
      </c>
      <c r="I11915" t="s">
        <v>23304</v>
      </c>
      <c r="J11915" t="str">
        <f>HYPERLINK("https://www.boe.es/gazeta/dias/1822/02/18/pdfs/GMD-1822-50.pdf#page=2","Abrir facsímil")</f>
        <v>Abrir facsímil</v>
      </c>
      <c r="K11915" t="s">
        <v>22</v>
      </c>
    </row>
    <row r="11916" spans="1:11" ht="42" customHeight="1">
      <c r="A11916" t="s">
        <v>23305</v>
      </c>
      <c r="B11916" t="s">
        <v>23306</v>
      </c>
      <c r="C11916" t="s">
        <v>24</v>
      </c>
      <c r="D11916" t="s">
        <v>17</v>
      </c>
      <c r="E11916" s="6">
        <v>-28420</v>
      </c>
      <c r="F11916" t="s">
        <v>449</v>
      </c>
      <c r="G11916" t="s">
        <v>63</v>
      </c>
      <c r="H11916" t="s">
        <v>20</v>
      </c>
      <c r="I11916" t="s">
        <v>23307</v>
      </c>
      <c r="J11916" t="str">
        <f>HYPERLINK("https://www.boe.es/gazeta/dias/1822/03/09/pdfs/GMD-1822-70.pdf#page=6","Abrir facsímil")</f>
        <v>Abrir facsímil</v>
      </c>
      <c r="K11916" t="s">
        <v>22</v>
      </c>
    </row>
    <row r="11917" spans="1:11" ht="42" customHeight="1">
      <c r="A11917" t="s">
        <v>23305</v>
      </c>
      <c r="B11917" t="s">
        <v>23306</v>
      </c>
      <c r="C11917" t="s">
        <v>50</v>
      </c>
      <c r="D11917" t="s">
        <v>51</v>
      </c>
      <c r="E11917" s="6">
        <v>-28373</v>
      </c>
      <c r="F11917" t="s">
        <v>614</v>
      </c>
      <c r="G11917" t="s">
        <v>35</v>
      </c>
      <c r="H11917" t="s">
        <v>20</v>
      </c>
      <c r="I11917" t="s">
        <v>23308</v>
      </c>
      <c r="J11917" t="str">
        <f>HYPERLINK("https://www.boe.es/gazeta/dias/1822/04/25/pdfs/GMD-1822-117.pdf#page=2","Abrir facsímil")</f>
        <v>Abrir facsímil</v>
      </c>
      <c r="K11917" t="s">
        <v>22</v>
      </c>
    </row>
    <row r="11918" spans="1:11" ht="42" customHeight="1">
      <c r="A11918" t="s">
        <v>23309</v>
      </c>
      <c r="B11918" t="s">
        <v>23310</v>
      </c>
      <c r="C11918" t="s">
        <v>42</v>
      </c>
      <c r="D11918" t="s">
        <v>17</v>
      </c>
      <c r="E11918" s="6">
        <v>-28370</v>
      </c>
      <c r="F11918" t="s">
        <v>207</v>
      </c>
      <c r="G11918" t="s">
        <v>19</v>
      </c>
      <c r="H11918" t="s">
        <v>20</v>
      </c>
      <c r="I11918" t="s">
        <v>23311</v>
      </c>
      <c r="J11918" t="str">
        <f>HYPERLINK("https://www.boe.es/gazeta/dias/1822/04/28/pdfs/GMD-1822-120.pdf#page=5","Abrir facsímil")</f>
        <v>Abrir facsímil</v>
      </c>
      <c r="K11918" t="s">
        <v>22</v>
      </c>
    </row>
    <row r="11919" spans="1:11" ht="42" customHeight="1">
      <c r="A11919" t="s">
        <v>23309</v>
      </c>
      <c r="B11919" t="s">
        <v>23310</v>
      </c>
      <c r="C11919" t="s">
        <v>28</v>
      </c>
      <c r="D11919" t="s">
        <v>29</v>
      </c>
      <c r="E11919" s="6">
        <v>-28331</v>
      </c>
      <c r="F11919" t="s">
        <v>537</v>
      </c>
      <c r="G11919" t="s">
        <v>35</v>
      </c>
      <c r="H11919" t="s">
        <v>20</v>
      </c>
      <c r="I11919" t="s">
        <v>23312</v>
      </c>
      <c r="J11919" t="str">
        <f>HYPERLINK("https://www.boe.es/gazeta/dias/1822/06/06/pdfs/GMD-1822-163.pdf#page=2","Abrir facsímil")</f>
        <v>Abrir facsímil</v>
      </c>
      <c r="K11919" t="s">
        <v>22</v>
      </c>
    </row>
    <row r="11920" spans="1:11" ht="42" customHeight="1">
      <c r="A11920" t="s">
        <v>23309</v>
      </c>
      <c r="B11920" t="s">
        <v>23310</v>
      </c>
      <c r="C11920" t="s">
        <v>71</v>
      </c>
      <c r="D11920" t="s">
        <v>17</v>
      </c>
      <c r="E11920" s="6">
        <v>-28190</v>
      </c>
      <c r="F11920" t="s">
        <v>576</v>
      </c>
      <c r="G11920" t="s">
        <v>35</v>
      </c>
      <c r="H11920" t="s">
        <v>20</v>
      </c>
      <c r="I11920" t="s">
        <v>23313</v>
      </c>
      <c r="J11920" t="str">
        <f>HYPERLINK("https://www.boe.es/gazeta/dias/1822/10/25/pdfs/GMD-1822-312.pdf#page=2","Abrir facsímil")</f>
        <v>Abrir facsímil</v>
      </c>
      <c r="K11920" t="s">
        <v>22</v>
      </c>
    </row>
    <row r="11921" spans="1:11" ht="42" customHeight="1">
      <c r="A11921" t="s">
        <v>23314</v>
      </c>
      <c r="B11921" t="s">
        <v>23315</v>
      </c>
      <c r="C11921" t="s">
        <v>28</v>
      </c>
      <c r="D11921" t="s">
        <v>29</v>
      </c>
      <c r="E11921" s="6">
        <v>-28436</v>
      </c>
      <c r="F11921" t="s">
        <v>431</v>
      </c>
      <c r="G11921" t="s">
        <v>1428</v>
      </c>
      <c r="H11921" t="s">
        <v>20</v>
      </c>
      <c r="I11921" t="s">
        <v>23316</v>
      </c>
      <c r="J11921" t="str">
        <f>HYPERLINK("https://www.boe.es/gazeta/dias/1822/02/21/pdfs/GMD-1822-53.pdf#page=3","Abrir facsímil")</f>
        <v>Abrir facsímil</v>
      </c>
      <c r="K11921" t="s">
        <v>22</v>
      </c>
    </row>
    <row r="11922" spans="1:11" ht="42" customHeight="1">
      <c r="A11922" t="s">
        <v>23317</v>
      </c>
      <c r="B11922" t="s">
        <v>23318</v>
      </c>
      <c r="C11922" t="s">
        <v>24</v>
      </c>
      <c r="D11922" t="s">
        <v>17</v>
      </c>
      <c r="E11922" s="6">
        <v>-28271</v>
      </c>
      <c r="F11922" t="s">
        <v>4942</v>
      </c>
      <c r="G11922" t="s">
        <v>57</v>
      </c>
      <c r="H11922" t="s">
        <v>20</v>
      </c>
      <c r="I11922" t="s">
        <v>23319</v>
      </c>
      <c r="J11922" t="str">
        <f>HYPERLINK("https://www.boe.es/gazeta/dias/1822/08/05/pdfs/GMD-1822-229.pdf#page=4","Abrir facsímil")</f>
        <v>Abrir facsímil</v>
      </c>
      <c r="K11922" t="s">
        <v>22</v>
      </c>
    </row>
    <row r="11923" spans="1:11" ht="42" customHeight="1">
      <c r="A11923" t="s">
        <v>23320</v>
      </c>
      <c r="B11923" t="s">
        <v>23321</v>
      </c>
      <c r="C11923" t="s">
        <v>16</v>
      </c>
      <c r="D11923" t="s">
        <v>17</v>
      </c>
      <c r="E11923" s="6">
        <v>-28271</v>
      </c>
      <c r="F11923" t="s">
        <v>4942</v>
      </c>
      <c r="G11923" t="s">
        <v>57</v>
      </c>
      <c r="H11923" t="s">
        <v>20</v>
      </c>
      <c r="I11923" t="s">
        <v>23322</v>
      </c>
      <c r="J11923" t="str">
        <f>HYPERLINK("https://www.boe.es/gazeta/dias/1822/08/05/pdfs/GMD-1822-229.pdf#page=4","Abrir facsímil")</f>
        <v>Abrir facsímil</v>
      </c>
      <c r="K11923" t="s">
        <v>22</v>
      </c>
    </row>
    <row r="11924" spans="1:11" ht="42" customHeight="1">
      <c r="A11924" t="s">
        <v>23323</v>
      </c>
      <c r="B11924" t="s">
        <v>23324</v>
      </c>
      <c r="C11924" t="s">
        <v>50</v>
      </c>
      <c r="D11924" t="s">
        <v>51</v>
      </c>
      <c r="E11924" s="6">
        <v>-28260</v>
      </c>
      <c r="F11924" t="s">
        <v>135</v>
      </c>
      <c r="G11924" t="s">
        <v>35</v>
      </c>
      <c r="H11924" t="s">
        <v>20</v>
      </c>
      <c r="I11924" t="s">
        <v>23325</v>
      </c>
      <c r="J11924" t="str">
        <f>HYPERLINK("https://www.boe.es/gazeta/dias/1822/08/16/pdfs/GMD-1822-240.pdf#page=2","Abrir facsímil")</f>
        <v>Abrir facsímil</v>
      </c>
      <c r="K11924" t="s">
        <v>22</v>
      </c>
    </row>
    <row r="11925" spans="1:11" ht="42" customHeight="1">
      <c r="A11925" t="s">
        <v>23326</v>
      </c>
      <c r="B11925" t="s">
        <v>23327</v>
      </c>
      <c r="C11925" t="s">
        <v>42</v>
      </c>
      <c r="D11925" t="s">
        <v>17</v>
      </c>
      <c r="E11925" s="6">
        <v>-28340</v>
      </c>
      <c r="F11925" t="s">
        <v>139</v>
      </c>
      <c r="G11925" t="s">
        <v>35</v>
      </c>
      <c r="H11925" t="s">
        <v>20</v>
      </c>
      <c r="I11925" t="s">
        <v>23328</v>
      </c>
      <c r="J11925" t="str">
        <f>HYPERLINK("https://www.boe.es/gazeta/dias/1822/05/28/pdfs/GMD-1822-153.pdf#page=2","Abrir facsímil")</f>
        <v>Abrir facsímil</v>
      </c>
      <c r="K11925" t="s">
        <v>22</v>
      </c>
    </row>
    <row r="11926" spans="1:11" ht="42" customHeight="1">
      <c r="A11926" t="s">
        <v>23326</v>
      </c>
      <c r="B11926" t="s">
        <v>23327</v>
      </c>
      <c r="C11926" t="s">
        <v>42</v>
      </c>
      <c r="D11926" t="s">
        <v>17</v>
      </c>
      <c r="E11926" s="6">
        <v>-28316</v>
      </c>
      <c r="F11926" t="s">
        <v>1144</v>
      </c>
      <c r="G11926" t="s">
        <v>63</v>
      </c>
      <c r="H11926" t="s">
        <v>20</v>
      </c>
      <c r="I11926" t="s">
        <v>23329</v>
      </c>
      <c r="J11926" t="str">
        <f>HYPERLINK("https://www.boe.es/gazeta/dias/1822/06/21/pdfs/GMD-1822-179.pdf#page=6","Abrir facsímil")</f>
        <v>Abrir facsímil</v>
      </c>
      <c r="K11926" t="s">
        <v>22</v>
      </c>
    </row>
    <row r="11927" spans="1:11" ht="42" customHeight="1">
      <c r="A11927" t="s">
        <v>23326</v>
      </c>
      <c r="B11927" t="s">
        <v>23327</v>
      </c>
      <c r="C11927" t="s">
        <v>42</v>
      </c>
      <c r="D11927" t="s">
        <v>17</v>
      </c>
      <c r="E11927" s="6">
        <v>-28200</v>
      </c>
      <c r="F11927" t="s">
        <v>1037</v>
      </c>
      <c r="G11927" t="s">
        <v>57</v>
      </c>
      <c r="H11927" t="s">
        <v>20</v>
      </c>
      <c r="I11927" t="s">
        <v>23330</v>
      </c>
      <c r="J11927" t="str">
        <f>HYPERLINK("https://www.boe.es/gazeta/dias/1822/10/15/pdfs/GMD-1822-302.pdf#page=4","Abrir facsímil")</f>
        <v>Abrir facsímil</v>
      </c>
      <c r="K11927" t="s">
        <v>22</v>
      </c>
    </row>
    <row r="11928" spans="1:11" ht="42" customHeight="1">
      <c r="A11928" t="s">
        <v>23331</v>
      </c>
      <c r="B11928" t="s">
        <v>23332</v>
      </c>
      <c r="C11928" t="s">
        <v>24</v>
      </c>
      <c r="D11928" t="s">
        <v>17</v>
      </c>
      <c r="E11928" s="6">
        <v>-28450</v>
      </c>
      <c r="F11928" t="s">
        <v>1450</v>
      </c>
      <c r="G11928" t="s">
        <v>2247</v>
      </c>
      <c r="H11928" t="s">
        <v>20</v>
      </c>
      <c r="I11928" t="s">
        <v>23333</v>
      </c>
      <c r="J11928" t="str">
        <f>HYPERLINK("https://www.boe.es/gazeta/dias/1822/02/07/pdfs/GMD-1822-38.pdf#page=6","Abrir facsímil")</f>
        <v>Abrir facsímil</v>
      </c>
      <c r="K11928" t="s">
        <v>22</v>
      </c>
    </row>
    <row r="11929" spans="1:11" ht="42" customHeight="1">
      <c r="A11929" t="s">
        <v>23334</v>
      </c>
      <c r="B11929" t="s">
        <v>23334</v>
      </c>
      <c r="C11929" t="s">
        <v>24</v>
      </c>
      <c r="D11929" t="s">
        <v>17</v>
      </c>
      <c r="E11929" s="6">
        <v>-28330</v>
      </c>
      <c r="F11929" t="s">
        <v>896</v>
      </c>
      <c r="G11929" t="s">
        <v>57</v>
      </c>
      <c r="H11929" t="s">
        <v>20</v>
      </c>
      <c r="I11929" t="s">
        <v>23335</v>
      </c>
      <c r="J11929" t="str">
        <f>HYPERLINK("https://www.boe.es/gazeta/dias/1822/06/07/pdfs/GMD-1822-164.pdf#page=4","Abrir facsímil")</f>
        <v>Abrir facsímil</v>
      </c>
      <c r="K11929" t="s">
        <v>22</v>
      </c>
    </row>
    <row r="11930" spans="1:11" ht="42" customHeight="1">
      <c r="A11930" t="s">
        <v>23336</v>
      </c>
      <c r="B11930" t="s">
        <v>23337</v>
      </c>
      <c r="C11930" t="s">
        <v>42</v>
      </c>
      <c r="D11930" t="s">
        <v>17</v>
      </c>
      <c r="E11930" s="6">
        <v>-28436</v>
      </c>
      <c r="F11930" t="s">
        <v>431</v>
      </c>
      <c r="G11930" t="s">
        <v>1428</v>
      </c>
      <c r="H11930" t="s">
        <v>45</v>
      </c>
      <c r="I11930" t="s">
        <v>23338</v>
      </c>
      <c r="J11930" t="str">
        <f>HYPERLINK("https://www.boe.es/gazeta/dias/1822/02/21/pdfs/GMD-1822-53.pdf#page=3","Abrir facsímil")</f>
        <v>Abrir facsímil</v>
      </c>
      <c r="K11930" t="s">
        <v>47</v>
      </c>
    </row>
    <row r="11931" spans="1:11" ht="42" customHeight="1">
      <c r="A11931" t="s">
        <v>23339</v>
      </c>
      <c r="B11931" t="s">
        <v>23340</v>
      </c>
      <c r="C11931" t="s">
        <v>50</v>
      </c>
      <c r="D11931" t="s">
        <v>51</v>
      </c>
      <c r="E11931" s="6">
        <v>-28211</v>
      </c>
      <c r="F11931" t="s">
        <v>273</v>
      </c>
      <c r="G11931" t="s">
        <v>35</v>
      </c>
      <c r="H11931" t="s">
        <v>20</v>
      </c>
      <c r="I11931" t="s">
        <v>23341</v>
      </c>
      <c r="J11931" t="str">
        <f>HYPERLINK("https://www.boe.es/gazeta/dias/1822/10/04/pdfs/GMD-1822-290.pdf#page=2","Abrir facsímil")</f>
        <v>Abrir facsímil</v>
      </c>
      <c r="K11931" t="s">
        <v>22</v>
      </c>
    </row>
    <row r="11932" spans="1:11" ht="42" customHeight="1">
      <c r="A11932" t="s">
        <v>23342</v>
      </c>
      <c r="B11932" t="s">
        <v>23343</v>
      </c>
      <c r="C11932" t="s">
        <v>50</v>
      </c>
      <c r="D11932" t="s">
        <v>51</v>
      </c>
      <c r="E11932" s="6">
        <v>-28211</v>
      </c>
      <c r="F11932" t="s">
        <v>273</v>
      </c>
      <c r="G11932" t="s">
        <v>31</v>
      </c>
      <c r="H11932" t="s">
        <v>45</v>
      </c>
      <c r="I11932" t="s">
        <v>23344</v>
      </c>
      <c r="J11932" t="str">
        <f>HYPERLINK("https://www.boe.es/gazeta/dias/1822/10/04/pdfs/GMD-1822-290.pdf#page=3","Abrir facsímil")</f>
        <v>Abrir facsímil</v>
      </c>
      <c r="K11932" t="s">
        <v>47</v>
      </c>
    </row>
    <row r="11933" spans="1:11" ht="42" customHeight="1">
      <c r="A11933" t="s">
        <v>23345</v>
      </c>
      <c r="B11933" t="s">
        <v>23346</v>
      </c>
      <c r="C11933" t="s">
        <v>42</v>
      </c>
      <c r="D11933" t="s">
        <v>17</v>
      </c>
      <c r="E11933" s="6">
        <v>-28393</v>
      </c>
      <c r="F11933" t="s">
        <v>326</v>
      </c>
      <c r="G11933" t="s">
        <v>57</v>
      </c>
      <c r="H11933" t="s">
        <v>20</v>
      </c>
      <c r="I11933" t="s">
        <v>23347</v>
      </c>
      <c r="J11933" t="str">
        <f>HYPERLINK("https://www.boe.es/gazeta/dias/1822/04/05/pdfs/GMD-1822-97.pdf#page=4","Abrir facsímil")</f>
        <v>Abrir facsímil</v>
      </c>
      <c r="K11933" t="s">
        <v>22</v>
      </c>
    </row>
    <row r="11934" spans="1:11" ht="42" customHeight="1">
      <c r="A11934" t="s">
        <v>23345</v>
      </c>
      <c r="B11934" t="s">
        <v>23346</v>
      </c>
      <c r="C11934" t="s">
        <v>50</v>
      </c>
      <c r="D11934" t="s">
        <v>51</v>
      </c>
      <c r="E11934" s="6">
        <v>-28345</v>
      </c>
      <c r="F11934" t="s">
        <v>294</v>
      </c>
      <c r="G11934" t="s">
        <v>63</v>
      </c>
      <c r="H11934" t="s">
        <v>20</v>
      </c>
      <c r="I11934" t="s">
        <v>23348</v>
      </c>
      <c r="J11934" t="str">
        <f>HYPERLINK("https://www.boe.es/gazeta/dias/1822/05/23/pdfs/GMD-1822-147.pdf#page=6","Abrir facsímil")</f>
        <v>Abrir facsímil</v>
      </c>
      <c r="K11934" t="s">
        <v>22</v>
      </c>
    </row>
    <row r="11935" spans="1:11" ht="42" customHeight="1">
      <c r="A11935" t="s">
        <v>23345</v>
      </c>
      <c r="B11935" t="s">
        <v>23346</v>
      </c>
      <c r="C11935" t="s">
        <v>42</v>
      </c>
      <c r="D11935" t="s">
        <v>17</v>
      </c>
      <c r="E11935" s="6">
        <v>-28308</v>
      </c>
      <c r="F11935" t="s">
        <v>1050</v>
      </c>
      <c r="G11935" t="s">
        <v>157</v>
      </c>
      <c r="H11935" t="s">
        <v>20</v>
      </c>
      <c r="I11935" t="s">
        <v>23349</v>
      </c>
      <c r="J11935" t="str">
        <f>HYPERLINK("https://www.boe.es/gazeta/dias/1822/06/29/pdfs/GMD-1822-187.pdf#page=8","Abrir facsímil")</f>
        <v>Abrir facsímil</v>
      </c>
      <c r="K11935" t="s">
        <v>22</v>
      </c>
    </row>
    <row r="11936" spans="1:11" ht="42" customHeight="1">
      <c r="A11936" t="s">
        <v>23350</v>
      </c>
      <c r="B11936" t="s">
        <v>23351</v>
      </c>
      <c r="C11936" t="s">
        <v>28</v>
      </c>
      <c r="D11936" t="s">
        <v>29</v>
      </c>
      <c r="E11936" s="6">
        <v>-28287</v>
      </c>
      <c r="F11936" t="s">
        <v>1295</v>
      </c>
      <c r="G11936" t="s">
        <v>63</v>
      </c>
      <c r="H11936" t="s">
        <v>20</v>
      </c>
      <c r="I11936" t="s">
        <v>23352</v>
      </c>
      <c r="J11936" t="str">
        <f>HYPERLINK("https://www.boe.es/gazeta/dias/1822/07/20/pdfs/GMD-1822-212.pdf#page=6","Abrir facsímil")</f>
        <v>Abrir facsímil</v>
      </c>
      <c r="K11936" t="s">
        <v>22</v>
      </c>
    </row>
    <row r="11937" spans="1:11" ht="42" customHeight="1">
      <c r="A11937" t="s">
        <v>23345</v>
      </c>
      <c r="B11937" t="s">
        <v>23346</v>
      </c>
      <c r="C11937" t="s">
        <v>28</v>
      </c>
      <c r="D11937" t="s">
        <v>29</v>
      </c>
      <c r="E11937" s="6">
        <v>-28272</v>
      </c>
      <c r="F11937" t="s">
        <v>52</v>
      </c>
      <c r="G11937" t="s">
        <v>57</v>
      </c>
      <c r="H11937" t="s">
        <v>20</v>
      </c>
      <c r="I11937" t="s">
        <v>23353</v>
      </c>
      <c r="J11937" t="str">
        <f>HYPERLINK("https://www.boe.es/gazeta/dias/1822/08/04/pdfs/GMD-1822-228.pdf#page=4","Abrir facsímil")</f>
        <v>Abrir facsímil</v>
      </c>
      <c r="K11937" t="s">
        <v>22</v>
      </c>
    </row>
    <row r="11938" spans="1:11" ht="42" customHeight="1">
      <c r="A11938" t="s">
        <v>23345</v>
      </c>
      <c r="B11938" t="s">
        <v>23346</v>
      </c>
      <c r="C11938" t="s">
        <v>28</v>
      </c>
      <c r="D11938" t="s">
        <v>29</v>
      </c>
      <c r="E11938" s="6">
        <v>-28229</v>
      </c>
      <c r="F11938" t="s">
        <v>2310</v>
      </c>
      <c r="G11938" t="s">
        <v>57</v>
      </c>
      <c r="H11938" t="s">
        <v>20</v>
      </c>
      <c r="I11938" t="s">
        <v>23354</v>
      </c>
      <c r="J11938" t="str">
        <f>HYPERLINK("https://www.boe.es/gazeta/dias/1822/09/16/pdfs/GMD-1822-272.pdf#page=4","Abrir facsímil")</f>
        <v>Abrir facsímil</v>
      </c>
      <c r="K11938" t="s">
        <v>22</v>
      </c>
    </row>
    <row r="11939" spans="1:11" ht="42" customHeight="1">
      <c r="A11939" t="s">
        <v>23345</v>
      </c>
      <c r="B11939" t="s">
        <v>23346</v>
      </c>
      <c r="C11939" t="s">
        <v>71</v>
      </c>
      <c r="D11939" t="s">
        <v>17</v>
      </c>
      <c r="E11939" s="6">
        <v>-28208</v>
      </c>
      <c r="F11939" t="s">
        <v>230</v>
      </c>
      <c r="G11939" t="s">
        <v>57</v>
      </c>
      <c r="H11939" t="s">
        <v>20</v>
      </c>
      <c r="I11939" t="s">
        <v>23355</v>
      </c>
      <c r="J11939" t="str">
        <f>HYPERLINK("https://www.boe.es/gazeta/dias/1822/10/07/pdfs/GMD-1822-293.pdf#page=4","Abrir facsímil")</f>
        <v>Abrir facsímil</v>
      </c>
      <c r="K11939" t="s">
        <v>22</v>
      </c>
    </row>
    <row r="11940" spans="1:11" ht="42" customHeight="1">
      <c r="A11940" t="s">
        <v>23356</v>
      </c>
      <c r="B11940" t="s">
        <v>23357</v>
      </c>
      <c r="C11940" t="s">
        <v>42</v>
      </c>
      <c r="D11940" t="s">
        <v>17</v>
      </c>
      <c r="E11940" s="6">
        <v>-28277</v>
      </c>
      <c r="F11940" t="s">
        <v>296</v>
      </c>
      <c r="G11940" t="s">
        <v>63</v>
      </c>
      <c r="H11940" t="s">
        <v>20</v>
      </c>
      <c r="I11940" t="s">
        <v>23358</v>
      </c>
      <c r="J11940" t="str">
        <f>HYPERLINK("https://www.boe.es/gazeta/dias/1822/07/30/pdfs/GMD-1822-223.pdf#page=6","Abrir facsímil")</f>
        <v>Abrir facsímil</v>
      </c>
      <c r="K11940" t="s">
        <v>22</v>
      </c>
    </row>
    <row r="11941" spans="1:11" ht="42" customHeight="1">
      <c r="A11941" t="s">
        <v>23359</v>
      </c>
      <c r="B11941" t="s">
        <v>23360</v>
      </c>
      <c r="C11941" t="s">
        <v>42</v>
      </c>
      <c r="D11941" t="s">
        <v>17</v>
      </c>
      <c r="E11941" s="6">
        <v>-28162</v>
      </c>
      <c r="F11941" t="s">
        <v>3949</v>
      </c>
      <c r="G11941" t="s">
        <v>19</v>
      </c>
      <c r="H11941" t="s">
        <v>20</v>
      </c>
      <c r="I11941" t="s">
        <v>23361</v>
      </c>
      <c r="J11941" t="str">
        <f>HYPERLINK("https://www.boe.es/gazeta/dias/1822/11/22/pdfs/GMD-1822-342.pdf#page=5","Abrir facsímil")</f>
        <v>Abrir facsímil</v>
      </c>
      <c r="K11941" t="s">
        <v>22</v>
      </c>
    </row>
    <row r="11942" spans="1:11" ht="42" customHeight="1">
      <c r="A11942" t="s">
        <v>23362</v>
      </c>
      <c r="B11942" t="s">
        <v>23363</v>
      </c>
      <c r="C11942" t="s">
        <v>71</v>
      </c>
      <c r="D11942" t="s">
        <v>17</v>
      </c>
      <c r="E11942" s="6">
        <v>-28423</v>
      </c>
      <c r="F11942" t="s">
        <v>441</v>
      </c>
      <c r="G11942" t="s">
        <v>63</v>
      </c>
      <c r="H11942" t="s">
        <v>20</v>
      </c>
      <c r="I11942" t="s">
        <v>23364</v>
      </c>
      <c r="J11942" t="str">
        <f>HYPERLINK("https://www.boe.es/gazeta/dias/1822/03/06/pdfs/GMD-1822-67.pdf#page=6","Abrir facsímil")</f>
        <v>Abrir facsímil</v>
      </c>
      <c r="K11942" t="s">
        <v>22</v>
      </c>
    </row>
    <row r="11943" spans="1:11" ht="42" customHeight="1">
      <c r="A11943" t="s">
        <v>23365</v>
      </c>
      <c r="B11943" t="s">
        <v>23366</v>
      </c>
      <c r="C11943" t="s">
        <v>50</v>
      </c>
      <c r="D11943" t="s">
        <v>51</v>
      </c>
      <c r="E11943" s="6">
        <v>-28303</v>
      </c>
      <c r="F11943" t="s">
        <v>201</v>
      </c>
      <c r="G11943" t="s">
        <v>31</v>
      </c>
      <c r="H11943" t="s">
        <v>20</v>
      </c>
      <c r="I11943" t="s">
        <v>23367</v>
      </c>
      <c r="J11943" t="str">
        <f>HYPERLINK("https://www.boe.es/gazeta/dias/1822/07/04/pdfs/GMD-1822-193.pdf#page=3","Abrir facsímil")</f>
        <v>Abrir facsímil</v>
      </c>
      <c r="K11943" t="s">
        <v>22</v>
      </c>
    </row>
    <row r="11944" spans="1:11" ht="42" customHeight="1">
      <c r="A11944" t="s">
        <v>23368</v>
      </c>
      <c r="B11944" t="s">
        <v>23369</v>
      </c>
      <c r="C11944" t="s">
        <v>61</v>
      </c>
      <c r="D11944" t="s">
        <v>17</v>
      </c>
      <c r="E11944" s="6">
        <v>-28429</v>
      </c>
      <c r="F11944" t="s">
        <v>2397</v>
      </c>
      <c r="G11944" t="s">
        <v>35</v>
      </c>
      <c r="H11944" t="s">
        <v>20</v>
      </c>
      <c r="I11944" t="s">
        <v>23370</v>
      </c>
      <c r="J11944" t="str">
        <f>HYPERLINK("https://www.boe.es/gazeta/dias/1822/02/28/pdfs/GMD-1822-60.pdf#page=2","Abrir facsímil")</f>
        <v>Abrir facsímil</v>
      </c>
      <c r="K11944" t="s">
        <v>22</v>
      </c>
    </row>
    <row r="11945" spans="1:11" ht="42" customHeight="1">
      <c r="A11945" t="s">
        <v>23371</v>
      </c>
      <c r="B11945" t="s">
        <v>23372</v>
      </c>
      <c r="C11945" t="s">
        <v>28</v>
      </c>
      <c r="D11945" t="s">
        <v>29</v>
      </c>
      <c r="E11945" s="6">
        <v>-28428</v>
      </c>
      <c r="F11945" t="s">
        <v>1924</v>
      </c>
      <c r="G11945" t="s">
        <v>31</v>
      </c>
      <c r="H11945" t="s">
        <v>20</v>
      </c>
      <c r="I11945" t="s">
        <v>23373</v>
      </c>
      <c r="J11945" t="str">
        <f>HYPERLINK("https://www.boe.es/gazeta/dias/1822/03/01/pdfs/GMD-1822-61.pdf#page=3","Abrir facsímil")</f>
        <v>Abrir facsímil</v>
      </c>
      <c r="K11945" t="s">
        <v>22</v>
      </c>
    </row>
    <row r="11946" spans="1:11" ht="42" customHeight="1">
      <c r="A11946" t="s">
        <v>23374</v>
      </c>
      <c r="B11946" t="s">
        <v>23375</v>
      </c>
      <c r="C11946" t="s">
        <v>28</v>
      </c>
      <c r="D11946" t="s">
        <v>29</v>
      </c>
      <c r="E11946" s="6">
        <v>-28318</v>
      </c>
      <c r="F11946" t="s">
        <v>397</v>
      </c>
      <c r="G11946" t="s">
        <v>157</v>
      </c>
      <c r="H11946" t="s">
        <v>20</v>
      </c>
      <c r="I11946" t="s">
        <v>23376</v>
      </c>
      <c r="J11946" t="str">
        <f>HYPERLINK("https://www.boe.es/gazeta/dias/1822/06/19/pdfs/GMD-1822-176.pdf#page=8","Abrir facsímil")</f>
        <v>Abrir facsímil</v>
      </c>
      <c r="K11946" t="s">
        <v>22</v>
      </c>
    </row>
    <row r="11947" spans="1:11" ht="42" customHeight="1">
      <c r="A11947" t="s">
        <v>23377</v>
      </c>
      <c r="B11947" t="s">
        <v>23377</v>
      </c>
      <c r="C11947" t="s">
        <v>50</v>
      </c>
      <c r="D11947" t="s">
        <v>51</v>
      </c>
      <c r="E11947" s="6">
        <v>-28398</v>
      </c>
      <c r="F11947" t="s">
        <v>1961</v>
      </c>
      <c r="G11947" t="s">
        <v>35</v>
      </c>
      <c r="H11947" t="s">
        <v>20</v>
      </c>
      <c r="I11947" t="s">
        <v>23378</v>
      </c>
      <c r="J11947" t="str">
        <f>HYPERLINK("https://www.boe.es/gazeta/dias/1822/03/31/pdfs/GMD-1822-92.pdf#page=2","Abrir facsímil")</f>
        <v>Abrir facsímil</v>
      </c>
      <c r="K11947" t="s">
        <v>22</v>
      </c>
    </row>
    <row r="11948" spans="1:11" ht="42" customHeight="1">
      <c r="A11948" t="s">
        <v>23379</v>
      </c>
      <c r="B11948" t="s">
        <v>23380</v>
      </c>
      <c r="C11948" t="s">
        <v>28</v>
      </c>
      <c r="D11948" t="s">
        <v>29</v>
      </c>
      <c r="E11948" s="6">
        <v>-28378</v>
      </c>
      <c r="F11948" t="s">
        <v>496</v>
      </c>
      <c r="G11948" t="s">
        <v>57</v>
      </c>
      <c r="H11948" t="s">
        <v>20</v>
      </c>
      <c r="I11948" t="s">
        <v>23381</v>
      </c>
      <c r="J11948" t="str">
        <f>HYPERLINK("https://www.boe.es/gazeta/dias/1822/04/20/pdfs/GMD-1822-112.pdf#page=4","Abrir facsímil")</f>
        <v>Abrir facsímil</v>
      </c>
      <c r="K11948" t="s">
        <v>22</v>
      </c>
    </row>
    <row r="11949" spans="1:11" ht="42" customHeight="1">
      <c r="A11949" t="s">
        <v>23382</v>
      </c>
      <c r="B11949" t="s">
        <v>23383</v>
      </c>
      <c r="C11949" t="s">
        <v>50</v>
      </c>
      <c r="D11949" t="s">
        <v>51</v>
      </c>
      <c r="E11949" s="6">
        <v>-28258</v>
      </c>
      <c r="F11949" t="s">
        <v>88</v>
      </c>
      <c r="G11949" t="s">
        <v>57</v>
      </c>
      <c r="H11949" t="s">
        <v>20</v>
      </c>
      <c r="I11949" t="s">
        <v>23384</v>
      </c>
      <c r="J11949" t="str">
        <f>HYPERLINK("https://www.boe.es/gazeta/dias/1822/08/18/pdfs/GMD-1822-242.pdf#page=4","Abrir facsímil")</f>
        <v>Abrir facsímil</v>
      </c>
      <c r="K11949" t="s">
        <v>22</v>
      </c>
    </row>
    <row r="11950" spans="1:11" ht="42" customHeight="1">
      <c r="A11950" t="s">
        <v>23385</v>
      </c>
      <c r="B11950" t="s">
        <v>23386</v>
      </c>
      <c r="C11950" t="s">
        <v>71</v>
      </c>
      <c r="D11950" t="s">
        <v>17</v>
      </c>
      <c r="E11950" s="6">
        <v>-28381</v>
      </c>
      <c r="F11950" t="s">
        <v>358</v>
      </c>
      <c r="G11950" t="s">
        <v>2269</v>
      </c>
      <c r="H11950" t="s">
        <v>20</v>
      </c>
      <c r="I11950" t="s">
        <v>23387</v>
      </c>
      <c r="J11950" t="str">
        <f>HYPERLINK("https://www.boe.es/gazeta/dias/1822/04/17/pdfs/GMD-1822-109.pdf#page=3","Abrir facsímil")</f>
        <v>Abrir facsímil</v>
      </c>
      <c r="K11950" t="s">
        <v>22</v>
      </c>
    </row>
    <row r="11951" spans="1:11" ht="42" customHeight="1">
      <c r="A11951" t="s">
        <v>23388</v>
      </c>
      <c r="B11951" t="s">
        <v>23389</v>
      </c>
      <c r="C11951" t="s">
        <v>50</v>
      </c>
      <c r="D11951" t="s">
        <v>51</v>
      </c>
      <c r="E11951" s="6">
        <v>-28354</v>
      </c>
      <c r="F11951" t="s">
        <v>226</v>
      </c>
      <c r="G11951" t="s">
        <v>63</v>
      </c>
      <c r="H11951" t="s">
        <v>20</v>
      </c>
      <c r="I11951" t="s">
        <v>23390</v>
      </c>
      <c r="J11951" t="str">
        <f>HYPERLINK("https://www.boe.es/gazeta/dias/1822/05/14/pdfs/GMD-1822-136.pdf#page=6","Abrir facsímil")</f>
        <v>Abrir facsímil</v>
      </c>
      <c r="K11951" t="s">
        <v>22</v>
      </c>
    </row>
    <row r="11952" spans="1:11" ht="42" customHeight="1">
      <c r="A11952" t="s">
        <v>23391</v>
      </c>
      <c r="B11952" t="s">
        <v>23392</v>
      </c>
      <c r="C11952" t="s">
        <v>50</v>
      </c>
      <c r="D11952" t="s">
        <v>51</v>
      </c>
      <c r="E11952" s="6">
        <v>-28208</v>
      </c>
      <c r="F11952" t="s">
        <v>230</v>
      </c>
      <c r="G11952" t="s">
        <v>57</v>
      </c>
      <c r="H11952" t="s">
        <v>20</v>
      </c>
      <c r="I11952" t="s">
        <v>23393</v>
      </c>
      <c r="J11952" t="str">
        <f>HYPERLINK("https://www.boe.es/gazeta/dias/1822/10/07/pdfs/GMD-1822-293.pdf#page=4","Abrir facsímil")</f>
        <v>Abrir facsímil</v>
      </c>
      <c r="K11952" t="s">
        <v>22</v>
      </c>
    </row>
    <row r="11953" spans="1:11" ht="42" customHeight="1">
      <c r="A11953" t="s">
        <v>23394</v>
      </c>
      <c r="B11953" t="s">
        <v>23395</v>
      </c>
      <c r="C11953" t="s">
        <v>28</v>
      </c>
      <c r="D11953" t="s">
        <v>29</v>
      </c>
      <c r="E11953" s="6">
        <v>-28419</v>
      </c>
      <c r="F11953" t="s">
        <v>1392</v>
      </c>
      <c r="G11953" t="s">
        <v>63</v>
      </c>
      <c r="H11953" t="s">
        <v>20</v>
      </c>
      <c r="I11953" t="s">
        <v>23396</v>
      </c>
      <c r="J11953" t="str">
        <f>HYPERLINK("https://www.boe.es/gazeta/dias/1822/03/10/pdfs/GMD-1822-71.pdf#page=6","Abrir facsímil")</f>
        <v>Abrir facsímil</v>
      </c>
      <c r="K11953" t="s">
        <v>22</v>
      </c>
    </row>
    <row r="11954" spans="1:11" ht="42" customHeight="1">
      <c r="A11954" t="s">
        <v>23397</v>
      </c>
      <c r="B11954" t="s">
        <v>23398</v>
      </c>
      <c r="C11954" t="s">
        <v>61</v>
      </c>
      <c r="D11954" t="s">
        <v>17</v>
      </c>
      <c r="E11954" s="6">
        <v>-28455</v>
      </c>
      <c r="F11954" t="s">
        <v>1107</v>
      </c>
      <c r="G11954" t="s">
        <v>63</v>
      </c>
      <c r="H11954" t="s">
        <v>20</v>
      </c>
      <c r="I11954" t="s">
        <v>23399</v>
      </c>
      <c r="J11954" t="str">
        <f>HYPERLINK("https://www.boe.es/gazeta/dias/1822/02/02/pdfs/GMD-1822-33.pdf#page=6","Abrir facsímil")</f>
        <v>Abrir facsímil</v>
      </c>
      <c r="K11954" t="s">
        <v>22</v>
      </c>
    </row>
    <row r="11955" spans="1:11" ht="42" customHeight="1">
      <c r="A11955" t="s">
        <v>23400</v>
      </c>
      <c r="B11955" t="s">
        <v>23401</v>
      </c>
      <c r="C11955" t="s">
        <v>50</v>
      </c>
      <c r="D11955" t="s">
        <v>51</v>
      </c>
      <c r="E11955" s="6">
        <v>-28150</v>
      </c>
      <c r="F11955" t="s">
        <v>62</v>
      </c>
      <c r="G11955" t="s">
        <v>63</v>
      </c>
      <c r="H11955" t="s">
        <v>20</v>
      </c>
      <c r="I11955" t="s">
        <v>23402</v>
      </c>
      <c r="J11955" t="str">
        <f>HYPERLINK("https://www.boe.es/gazeta/dias/1822/12/04/pdfs/GMD-1822-354.pdf#page=6","Abrir facsímil")</f>
        <v>Abrir facsímil</v>
      </c>
      <c r="K11955" t="s">
        <v>22</v>
      </c>
    </row>
    <row r="11956" spans="1:11" ht="42" customHeight="1">
      <c r="A11956" t="s">
        <v>23403</v>
      </c>
      <c r="B11956" t="s">
        <v>23404</v>
      </c>
      <c r="C11956" t="s">
        <v>24</v>
      </c>
      <c r="D11956" t="s">
        <v>17</v>
      </c>
      <c r="E11956" s="6">
        <v>-28479</v>
      </c>
      <c r="F11956" t="s">
        <v>1091</v>
      </c>
      <c r="G11956" t="s">
        <v>63</v>
      </c>
      <c r="H11956" t="s">
        <v>20</v>
      </c>
      <c r="I11956" t="s">
        <v>23405</v>
      </c>
      <c r="J11956" t="str">
        <f>HYPERLINK("https://www.boe.es/gazeta/dias/1822/01/09/pdfs/GMD-1822-9.pdf#page=6","Abrir facsímil")</f>
        <v>Abrir facsímil</v>
      </c>
      <c r="K11956" t="s">
        <v>22</v>
      </c>
    </row>
    <row r="11957" spans="1:11" ht="42" customHeight="1">
      <c r="A11957" t="s">
        <v>23406</v>
      </c>
      <c r="B11957" t="s">
        <v>23407</v>
      </c>
      <c r="C11957" t="s">
        <v>28</v>
      </c>
      <c r="D11957" t="s">
        <v>29</v>
      </c>
      <c r="E11957" s="6">
        <v>-28406</v>
      </c>
      <c r="F11957" t="s">
        <v>462</v>
      </c>
      <c r="G11957" t="s">
        <v>31</v>
      </c>
      <c r="H11957" t="s">
        <v>20</v>
      </c>
      <c r="I11957" t="s">
        <v>23408</v>
      </c>
      <c r="J11957" t="str">
        <f>HYPERLINK("https://www.boe.es/gazeta/dias/1822/03/23/pdfs/GMD-1822-84.pdf#page=3","Abrir facsímil")</f>
        <v>Abrir facsímil</v>
      </c>
      <c r="K11957" t="s">
        <v>22</v>
      </c>
    </row>
    <row r="11958" spans="1:11" ht="42" customHeight="1">
      <c r="A11958" t="s">
        <v>23409</v>
      </c>
      <c r="B11958" t="s">
        <v>23409</v>
      </c>
      <c r="C11958" t="s">
        <v>61</v>
      </c>
      <c r="D11958" t="s">
        <v>17</v>
      </c>
      <c r="E11958" s="6">
        <v>-28407</v>
      </c>
      <c r="F11958" t="s">
        <v>460</v>
      </c>
      <c r="G11958" t="s">
        <v>35</v>
      </c>
      <c r="H11958" t="s">
        <v>20</v>
      </c>
      <c r="I11958" t="s">
        <v>23410</v>
      </c>
      <c r="J11958" t="str">
        <f>HYPERLINK("https://www.boe.es/gazeta/dias/1822/03/22/pdfs/GMD-1822-83.pdf#page=2","Abrir facsímil")</f>
        <v>Abrir facsímil</v>
      </c>
      <c r="K11958" t="s">
        <v>22</v>
      </c>
    </row>
    <row r="11959" spans="1:11" ht="42" customHeight="1">
      <c r="A11959" t="s">
        <v>23411</v>
      </c>
      <c r="B11959" t="s">
        <v>23411</v>
      </c>
      <c r="C11959" t="s">
        <v>28</v>
      </c>
      <c r="D11959" t="s">
        <v>29</v>
      </c>
      <c r="E11959" s="6">
        <v>-28343</v>
      </c>
      <c r="F11959" t="s">
        <v>1019</v>
      </c>
      <c r="G11959" t="s">
        <v>63</v>
      </c>
      <c r="H11959" t="s">
        <v>20</v>
      </c>
      <c r="I11959" t="s">
        <v>23412</v>
      </c>
      <c r="J11959" t="str">
        <f>HYPERLINK("https://www.boe.es/gazeta/dias/1822/05/25/pdfs/GMD-1822-150.pdf#page=6","Abrir facsímil")</f>
        <v>Abrir facsímil</v>
      </c>
      <c r="K11959" t="s">
        <v>22</v>
      </c>
    </row>
    <row r="11960" spans="1:11" ht="42" customHeight="1">
      <c r="A11960" t="s">
        <v>23413</v>
      </c>
      <c r="B11960" t="s">
        <v>23413</v>
      </c>
      <c r="C11960" t="s">
        <v>50</v>
      </c>
      <c r="D11960" t="s">
        <v>51</v>
      </c>
      <c r="E11960" s="6">
        <v>-28155</v>
      </c>
      <c r="F11960" t="s">
        <v>833</v>
      </c>
      <c r="G11960" t="s">
        <v>57</v>
      </c>
      <c r="H11960" t="s">
        <v>20</v>
      </c>
      <c r="I11960" t="s">
        <v>23414</v>
      </c>
      <c r="J11960" t="str">
        <f>HYPERLINK("https://www.boe.es/gazeta/dias/1822/11/29/pdfs/GMD-1822-349.pdf#page=4","Abrir facsímil")</f>
        <v>Abrir facsímil</v>
      </c>
      <c r="K11960" t="s">
        <v>22</v>
      </c>
    </row>
    <row r="11961" spans="1:11" ht="42" customHeight="1">
      <c r="A11961" t="s">
        <v>23415</v>
      </c>
      <c r="B11961" t="s">
        <v>23415</v>
      </c>
      <c r="C11961" t="s">
        <v>50</v>
      </c>
      <c r="D11961" t="s">
        <v>51</v>
      </c>
      <c r="E11961" s="6">
        <v>-28397</v>
      </c>
      <c r="F11961" t="s">
        <v>1401</v>
      </c>
      <c r="G11961" t="s">
        <v>57</v>
      </c>
      <c r="H11961" t="s">
        <v>20</v>
      </c>
      <c r="I11961" t="s">
        <v>23416</v>
      </c>
      <c r="J11961" t="str">
        <f>HYPERLINK("https://www.boe.es/gazeta/dias/1822/04/01/pdfs/GMD-1822-93.pdf#page=4","Abrir facsímil")</f>
        <v>Abrir facsímil</v>
      </c>
      <c r="K11961" t="s">
        <v>22</v>
      </c>
    </row>
    <row r="11962" spans="1:11" ht="42" customHeight="1">
      <c r="A11962" t="s">
        <v>23415</v>
      </c>
      <c r="B11962" t="s">
        <v>23415</v>
      </c>
      <c r="C11962" t="s">
        <v>16</v>
      </c>
      <c r="D11962" t="s">
        <v>17</v>
      </c>
      <c r="E11962" s="6">
        <v>-28352</v>
      </c>
      <c r="F11962" t="s">
        <v>1575</v>
      </c>
      <c r="G11962" t="s">
        <v>31</v>
      </c>
      <c r="H11962" t="s">
        <v>20</v>
      </c>
      <c r="I11962" t="s">
        <v>23417</v>
      </c>
      <c r="J11962" t="str">
        <f>HYPERLINK("https://www.boe.es/gazeta/dias/1822/05/16/pdfs/GMD-1822-138.pdf#page=3","Abrir facsímil")</f>
        <v>Abrir facsímil</v>
      </c>
      <c r="K11962" t="s">
        <v>22</v>
      </c>
    </row>
    <row r="11963" spans="1:11" ht="42" customHeight="1">
      <c r="A11963" t="s">
        <v>23415</v>
      </c>
      <c r="B11963" t="s">
        <v>23415</v>
      </c>
      <c r="C11963" t="s">
        <v>50</v>
      </c>
      <c r="D11963" t="s">
        <v>51</v>
      </c>
      <c r="E11963" s="6">
        <v>-28343</v>
      </c>
      <c r="F11963" t="s">
        <v>1019</v>
      </c>
      <c r="G11963" t="s">
        <v>44</v>
      </c>
      <c r="H11963" t="s">
        <v>20</v>
      </c>
      <c r="I11963" t="s">
        <v>23418</v>
      </c>
      <c r="J11963" t="str">
        <f>HYPERLINK("https://www.boe.es/gazeta/dias/1822/05/25/pdfs/GMD-1822-150.pdf#page=1","Abrir facsímil")</f>
        <v>Abrir facsímil</v>
      </c>
      <c r="K11963" t="s">
        <v>22</v>
      </c>
    </row>
    <row r="11964" spans="1:11" ht="42" customHeight="1">
      <c r="A11964" t="s">
        <v>23415</v>
      </c>
      <c r="B11964" t="s">
        <v>23415</v>
      </c>
      <c r="C11964" t="s">
        <v>42</v>
      </c>
      <c r="D11964" t="s">
        <v>17</v>
      </c>
      <c r="E11964" s="6">
        <v>-28338</v>
      </c>
      <c r="F11964" t="s">
        <v>527</v>
      </c>
      <c r="G11964" t="s">
        <v>31</v>
      </c>
      <c r="H11964" t="s">
        <v>20</v>
      </c>
      <c r="I11964" t="s">
        <v>23419</v>
      </c>
      <c r="J11964" t="str">
        <f>HYPERLINK("https://www.boe.es/gazeta/dias/1822/05/30/pdfs/GMD-1822-155.pdf#page=3","Abrir facsímil")</f>
        <v>Abrir facsímil</v>
      </c>
      <c r="K11964" t="s">
        <v>22</v>
      </c>
    </row>
    <row r="11965" spans="1:11" ht="42" customHeight="1">
      <c r="A11965" t="s">
        <v>23415</v>
      </c>
      <c r="B11965" t="s">
        <v>23415</v>
      </c>
      <c r="C11965" t="s">
        <v>42</v>
      </c>
      <c r="D11965" t="s">
        <v>17</v>
      </c>
      <c r="E11965" s="6">
        <v>-28321</v>
      </c>
      <c r="F11965" t="s">
        <v>1142</v>
      </c>
      <c r="G11965" t="s">
        <v>31</v>
      </c>
      <c r="H11965" t="s">
        <v>20</v>
      </c>
      <c r="I11965" t="s">
        <v>23420</v>
      </c>
      <c r="J11965" t="str">
        <f>HYPERLINK("https://www.boe.es/gazeta/dias/1822/06/16/pdfs/GMD-1822-173.pdf#page=3","Abrir facsímil")</f>
        <v>Abrir facsímil</v>
      </c>
      <c r="K11965" t="s">
        <v>22</v>
      </c>
    </row>
    <row r="11966" spans="1:11" ht="42" customHeight="1">
      <c r="A11966" t="s">
        <v>23415</v>
      </c>
      <c r="B11966" t="s">
        <v>23415</v>
      </c>
      <c r="C11966" t="s">
        <v>50</v>
      </c>
      <c r="D11966" t="s">
        <v>51</v>
      </c>
      <c r="E11966" s="6">
        <v>-28211</v>
      </c>
      <c r="F11966" t="s">
        <v>273</v>
      </c>
      <c r="G11966" t="s">
        <v>57</v>
      </c>
      <c r="H11966" t="s">
        <v>20</v>
      </c>
      <c r="I11966" t="s">
        <v>23421</v>
      </c>
      <c r="J11966" t="str">
        <f>HYPERLINK("https://www.boe.es/gazeta/dias/1822/10/04/pdfs/GMD-1822-290.pdf#page=4","Abrir facsímil")</f>
        <v>Abrir facsímil</v>
      </c>
      <c r="K11966" t="s">
        <v>22</v>
      </c>
    </row>
    <row r="11967" spans="1:11" ht="42" customHeight="1">
      <c r="A11967" t="s">
        <v>23415</v>
      </c>
      <c r="B11967" t="s">
        <v>23415</v>
      </c>
      <c r="C11967" t="s">
        <v>42</v>
      </c>
      <c r="D11967" t="s">
        <v>17</v>
      </c>
      <c r="E11967" s="6">
        <v>-28193</v>
      </c>
      <c r="F11967" t="s">
        <v>574</v>
      </c>
      <c r="G11967" t="s">
        <v>57</v>
      </c>
      <c r="H11967" t="s">
        <v>20</v>
      </c>
      <c r="I11967" t="s">
        <v>23422</v>
      </c>
      <c r="J11967" t="str">
        <f>HYPERLINK("https://www.boe.es/gazeta/dias/1822/10/22/pdfs/GMD-1822-309.pdf#page=4","Abrir facsímil")</f>
        <v>Abrir facsímil</v>
      </c>
      <c r="K11967" t="s">
        <v>22</v>
      </c>
    </row>
    <row r="11968" spans="1:11" ht="42" customHeight="1">
      <c r="A11968" t="s">
        <v>23415</v>
      </c>
      <c r="B11968" t="s">
        <v>23415</v>
      </c>
      <c r="C11968" t="s">
        <v>50</v>
      </c>
      <c r="D11968" t="s">
        <v>51</v>
      </c>
      <c r="E11968" s="6">
        <v>-28184</v>
      </c>
      <c r="F11968" t="s">
        <v>1423</v>
      </c>
      <c r="G11968" t="s">
        <v>35</v>
      </c>
      <c r="H11968" t="s">
        <v>20</v>
      </c>
      <c r="I11968" t="s">
        <v>23423</v>
      </c>
      <c r="J11968" t="str">
        <f>HYPERLINK("https://www.boe.es/gazeta/dias/1822/10/31/pdfs/GMD-1822-318.pdf#page=2","Abrir facsímil")</f>
        <v>Abrir facsímil</v>
      </c>
      <c r="K11968" t="s">
        <v>22</v>
      </c>
    </row>
    <row r="11969" spans="1:11" ht="42" customHeight="1">
      <c r="A11969" t="s">
        <v>23424</v>
      </c>
      <c r="B11969" t="s">
        <v>23425</v>
      </c>
      <c r="C11969" t="s">
        <v>42</v>
      </c>
      <c r="D11969" t="s">
        <v>17</v>
      </c>
      <c r="E11969" s="6">
        <v>-28375</v>
      </c>
      <c r="F11969" t="s">
        <v>2035</v>
      </c>
      <c r="G11969" t="s">
        <v>31</v>
      </c>
      <c r="H11969" t="s">
        <v>20</v>
      </c>
      <c r="I11969" t="s">
        <v>23426</v>
      </c>
      <c r="J11969" t="str">
        <f>HYPERLINK("https://www.boe.es/gazeta/dias/1822/04/23/pdfs/GMD-1822-115.pdf#page=3","Abrir facsímil")</f>
        <v>Abrir facsímil</v>
      </c>
      <c r="K11969" t="s">
        <v>22</v>
      </c>
    </row>
    <row r="11970" spans="1:11" ht="42" customHeight="1">
      <c r="A11970" t="s">
        <v>23424</v>
      </c>
      <c r="B11970" t="s">
        <v>23425</v>
      </c>
      <c r="C11970" t="s">
        <v>50</v>
      </c>
      <c r="D11970" t="s">
        <v>723</v>
      </c>
      <c r="E11970" s="6">
        <v>-28299</v>
      </c>
      <c r="F11970" t="s">
        <v>3792</v>
      </c>
      <c r="G11970" t="s">
        <v>44</v>
      </c>
      <c r="H11970" t="s">
        <v>20</v>
      </c>
      <c r="I11970" t="s">
        <v>23427</v>
      </c>
      <c r="J11970" t="str">
        <f>HYPERLINK("https://www.boe.es/gazeta/dias/1822/07/08/pdfs/GMD-1822-198E.pdf#page=1","Abrir facsímil")</f>
        <v>Abrir facsímil</v>
      </c>
      <c r="K11970" t="s">
        <v>22</v>
      </c>
    </row>
    <row r="11971" spans="1:11" ht="42" customHeight="1">
      <c r="A11971" t="s">
        <v>23428</v>
      </c>
      <c r="B11971" t="s">
        <v>23429</v>
      </c>
      <c r="C11971" t="s">
        <v>50</v>
      </c>
      <c r="D11971" t="s">
        <v>51</v>
      </c>
      <c r="E11971" s="6">
        <v>-28374</v>
      </c>
      <c r="F11971" t="s">
        <v>171</v>
      </c>
      <c r="G11971" t="s">
        <v>57</v>
      </c>
      <c r="H11971" t="s">
        <v>20</v>
      </c>
      <c r="I11971" t="s">
        <v>23430</v>
      </c>
      <c r="J11971" t="str">
        <f>HYPERLINK("https://www.boe.es/gazeta/dias/1822/04/24/pdfs/GMD-1822-116.pdf#page=4","Abrir facsímil")</f>
        <v>Abrir facsímil</v>
      </c>
      <c r="K11971" t="s">
        <v>22</v>
      </c>
    </row>
    <row r="11972" spans="1:11" ht="42" customHeight="1">
      <c r="A11972" t="s">
        <v>23431</v>
      </c>
      <c r="B11972" t="s">
        <v>23432</v>
      </c>
      <c r="C11972" t="s">
        <v>16</v>
      </c>
      <c r="D11972" t="s">
        <v>17</v>
      </c>
      <c r="E11972" s="6">
        <v>-28468</v>
      </c>
      <c r="F11972" t="s">
        <v>1012</v>
      </c>
      <c r="G11972" t="s">
        <v>35</v>
      </c>
      <c r="H11972" t="s">
        <v>20</v>
      </c>
      <c r="I11972" t="s">
        <v>23433</v>
      </c>
      <c r="J11972" t="str">
        <f>HYPERLINK("https://www.boe.es/gazeta/dias/1822/01/20/pdfs/GMD-1822-20.pdf#page=2","Abrir facsímil")</f>
        <v>Abrir facsímil</v>
      </c>
      <c r="K11972" t="s">
        <v>22</v>
      </c>
    </row>
    <row r="11973" spans="1:11" ht="42" customHeight="1">
      <c r="A11973" t="s">
        <v>23434</v>
      </c>
      <c r="B11973" t="s">
        <v>23435</v>
      </c>
      <c r="C11973" t="s">
        <v>42</v>
      </c>
      <c r="D11973" t="s">
        <v>17</v>
      </c>
      <c r="E11973" s="6">
        <v>-28477</v>
      </c>
      <c r="F11973" t="s">
        <v>1668</v>
      </c>
      <c r="G11973" t="s">
        <v>19</v>
      </c>
      <c r="H11973" t="s">
        <v>20</v>
      </c>
      <c r="I11973" t="s">
        <v>23436</v>
      </c>
      <c r="J11973" t="str">
        <f>HYPERLINK("https://www.boe.es/gazeta/dias/1822/01/11/pdfs/GMD-1822-11.pdf#page=5","Abrir facsímil")</f>
        <v>Abrir facsímil</v>
      </c>
      <c r="K11973" t="s">
        <v>22</v>
      </c>
    </row>
    <row r="11974" spans="1:11" ht="42" customHeight="1">
      <c r="A11974" t="s">
        <v>23437</v>
      </c>
      <c r="B11974" t="s">
        <v>23437</v>
      </c>
      <c r="C11974" t="s">
        <v>50</v>
      </c>
      <c r="D11974" t="s">
        <v>51</v>
      </c>
      <c r="E11974" s="6">
        <v>-28160</v>
      </c>
      <c r="F11974" t="s">
        <v>148</v>
      </c>
      <c r="G11974" t="s">
        <v>63</v>
      </c>
      <c r="H11974" t="s">
        <v>20</v>
      </c>
      <c r="I11974" t="s">
        <v>23438</v>
      </c>
      <c r="J11974" t="str">
        <f>HYPERLINK("https://www.boe.es/gazeta/dias/1822/11/24/pdfs/GMD-1822-344.pdf#page=6","Abrir facsímil")</f>
        <v>Abrir facsímil</v>
      </c>
      <c r="K11974" t="s">
        <v>22</v>
      </c>
    </row>
    <row r="11975" spans="1:11" ht="42" customHeight="1">
      <c r="A11975" t="s">
        <v>23439</v>
      </c>
      <c r="B11975" t="s">
        <v>23439</v>
      </c>
      <c r="C11975" t="s">
        <v>50</v>
      </c>
      <c r="D11975" t="s">
        <v>51</v>
      </c>
      <c r="E11975" s="6">
        <v>-28225</v>
      </c>
      <c r="F11975" t="s">
        <v>177</v>
      </c>
      <c r="G11975" t="s">
        <v>178</v>
      </c>
      <c r="H11975" t="s">
        <v>20</v>
      </c>
      <c r="I11975" t="s">
        <v>23440</v>
      </c>
      <c r="J11975" t="str">
        <f>HYPERLINK("https://www.boe.es/gazeta/dias/1822/09/20/pdfs/GMD-1822-276.pdf#page=3","Abrir facsímil")</f>
        <v>Abrir facsímil</v>
      </c>
      <c r="K11975" t="s">
        <v>22</v>
      </c>
    </row>
    <row r="11976" spans="1:11" ht="42" customHeight="1">
      <c r="A11976" t="s">
        <v>23441</v>
      </c>
      <c r="B11976" t="s">
        <v>23442</v>
      </c>
      <c r="C11976" t="s">
        <v>61</v>
      </c>
      <c r="D11976" t="s">
        <v>17</v>
      </c>
      <c r="E11976" s="6">
        <v>-28142</v>
      </c>
      <c r="F11976" t="s">
        <v>290</v>
      </c>
      <c r="G11976" t="s">
        <v>57</v>
      </c>
      <c r="H11976" t="s">
        <v>20</v>
      </c>
      <c r="I11976" t="s">
        <v>23443</v>
      </c>
      <c r="J11976" t="str">
        <f>HYPERLINK("https://www.boe.es/gazeta/dias/1822/12/12/pdfs/GMD-1822-362.pdf#page=4","Abrir facsímil")</f>
        <v>Abrir facsímil</v>
      </c>
      <c r="K11976" t="s">
        <v>22</v>
      </c>
    </row>
    <row r="11977" spans="1:11" ht="42" customHeight="1">
      <c r="A11977" t="s">
        <v>23444</v>
      </c>
      <c r="B11977" t="s">
        <v>23445</v>
      </c>
      <c r="C11977" t="s">
        <v>50</v>
      </c>
      <c r="D11977" t="s">
        <v>51</v>
      </c>
      <c r="E11977" s="6">
        <v>-28251</v>
      </c>
      <c r="F11977" t="s">
        <v>1485</v>
      </c>
      <c r="G11977" t="s">
        <v>57</v>
      </c>
      <c r="H11977" t="s">
        <v>20</v>
      </c>
      <c r="I11977" t="s">
        <v>23446</v>
      </c>
      <c r="J11977" t="str">
        <f>HYPERLINK("https://www.boe.es/gazeta/dias/1822/08/25/pdfs/GMD-1822-249.pdf#page=4","Abrir facsímil")</f>
        <v>Abrir facsímil</v>
      </c>
      <c r="K11977" t="s">
        <v>22</v>
      </c>
    </row>
    <row r="11978" spans="1:11" ht="42" customHeight="1">
      <c r="A11978" t="s">
        <v>23447</v>
      </c>
      <c r="B11978" t="s">
        <v>23448</v>
      </c>
      <c r="C11978" t="s">
        <v>50</v>
      </c>
      <c r="D11978" t="s">
        <v>51</v>
      </c>
      <c r="E11978" s="6">
        <v>-28260</v>
      </c>
      <c r="F11978" t="s">
        <v>135</v>
      </c>
      <c r="G11978" t="s">
        <v>31</v>
      </c>
      <c r="H11978" t="s">
        <v>20</v>
      </c>
      <c r="I11978" t="s">
        <v>23449</v>
      </c>
      <c r="J11978" t="str">
        <f>HYPERLINK("https://www.boe.es/gazeta/dias/1822/08/16/pdfs/GMD-1822-240.pdf#page=3","Abrir facsímil")</f>
        <v>Abrir facsímil</v>
      </c>
      <c r="K11978" t="s">
        <v>22</v>
      </c>
    </row>
    <row r="11979" spans="1:11" ht="42" customHeight="1">
      <c r="A11979" t="s">
        <v>23450</v>
      </c>
      <c r="B11979" t="s">
        <v>23451</v>
      </c>
      <c r="C11979" t="s">
        <v>42</v>
      </c>
      <c r="D11979" t="s">
        <v>17</v>
      </c>
      <c r="E11979" s="6">
        <v>-28260</v>
      </c>
      <c r="F11979" t="s">
        <v>135</v>
      </c>
      <c r="G11979" t="s">
        <v>31</v>
      </c>
      <c r="H11979" t="s">
        <v>20</v>
      </c>
      <c r="I11979" t="s">
        <v>23452</v>
      </c>
      <c r="J11979" t="str">
        <f>HYPERLINK("https://www.boe.es/gazeta/dias/1822/08/16/pdfs/GMD-1822-240.pdf#page=3","Abrir facsímil")</f>
        <v>Abrir facsímil</v>
      </c>
      <c r="K11979" t="s">
        <v>22</v>
      </c>
    </row>
    <row r="11980" spans="1:11" ht="42" customHeight="1">
      <c r="A11980" t="s">
        <v>23453</v>
      </c>
      <c r="B11980" t="s">
        <v>23453</v>
      </c>
      <c r="C11980" t="s">
        <v>42</v>
      </c>
      <c r="D11980" t="s">
        <v>17</v>
      </c>
      <c r="E11980" s="6">
        <v>-28459</v>
      </c>
      <c r="F11980" t="s">
        <v>1102</v>
      </c>
      <c r="G11980" t="s">
        <v>57</v>
      </c>
      <c r="H11980" t="s">
        <v>20</v>
      </c>
      <c r="I11980" t="s">
        <v>23454</v>
      </c>
      <c r="J11980" t="str">
        <f>HYPERLINK("https://www.boe.es/gazeta/dias/1822/01/29/pdfs/GMD-1822-29.pdf#page=4","Abrir facsímil")</f>
        <v>Abrir facsímil</v>
      </c>
      <c r="K11980" t="s">
        <v>22</v>
      </c>
    </row>
    <row r="11981" spans="1:11" ht="42" customHeight="1">
      <c r="A11981" t="s">
        <v>23455</v>
      </c>
      <c r="B11981" t="s">
        <v>23456</v>
      </c>
      <c r="C11981" t="s">
        <v>50</v>
      </c>
      <c r="D11981" t="s">
        <v>51</v>
      </c>
      <c r="E11981" s="6">
        <v>-28264</v>
      </c>
      <c r="F11981" t="s">
        <v>1329</v>
      </c>
      <c r="G11981" t="s">
        <v>57</v>
      </c>
      <c r="H11981" t="s">
        <v>20</v>
      </c>
      <c r="I11981" t="s">
        <v>23457</v>
      </c>
      <c r="J11981" t="str">
        <f>HYPERLINK("https://www.boe.es/gazeta/dias/1822/08/12/pdfs/GMD-1822-236.pdf#page=4","Abrir facsímil")</f>
        <v>Abrir facsímil</v>
      </c>
      <c r="K11981" t="s">
        <v>22</v>
      </c>
    </row>
    <row r="11982" spans="1:11" ht="42" customHeight="1">
      <c r="A11982" t="s">
        <v>23458</v>
      </c>
      <c r="B11982" t="s">
        <v>23458</v>
      </c>
      <c r="C11982" t="s">
        <v>50</v>
      </c>
      <c r="D11982" t="s">
        <v>51</v>
      </c>
      <c r="E11982" s="6">
        <v>-28422</v>
      </c>
      <c r="F11982" t="s">
        <v>416</v>
      </c>
      <c r="G11982" t="s">
        <v>44</v>
      </c>
      <c r="H11982" t="s">
        <v>20</v>
      </c>
      <c r="I11982" t="s">
        <v>23459</v>
      </c>
      <c r="J11982" t="str">
        <f>HYPERLINK("https://www.boe.es/gazeta/dias/1822/03/07/pdfs/GMD-1822-68.pdf#page=1","Abrir facsímil")</f>
        <v>Abrir facsímil</v>
      </c>
      <c r="K11982" t="s">
        <v>22</v>
      </c>
    </row>
    <row r="11983" spans="1:11" ht="42" customHeight="1">
      <c r="A11983" t="s">
        <v>23458</v>
      </c>
      <c r="B11983" t="s">
        <v>23458</v>
      </c>
      <c r="C11983" t="s">
        <v>50</v>
      </c>
      <c r="D11983" t="s">
        <v>51</v>
      </c>
      <c r="E11983" s="6">
        <v>-28410</v>
      </c>
      <c r="F11983" t="s">
        <v>966</v>
      </c>
      <c r="G11983" t="s">
        <v>44</v>
      </c>
      <c r="H11983" t="s">
        <v>20</v>
      </c>
      <c r="I11983" t="s">
        <v>23460</v>
      </c>
      <c r="J11983" t="str">
        <f>HYPERLINK("https://www.boe.es/gazeta/dias/1822/03/19/pdfs/GMD-1822-80.pdf#page=1","Abrir facsímil")</f>
        <v>Abrir facsímil</v>
      </c>
      <c r="K11983" t="s">
        <v>22</v>
      </c>
    </row>
    <row r="11984" spans="1:11" ht="42" customHeight="1">
      <c r="A11984" t="s">
        <v>23461</v>
      </c>
      <c r="B11984" t="s">
        <v>23462</v>
      </c>
      <c r="C11984" t="s">
        <v>42</v>
      </c>
      <c r="D11984" t="s">
        <v>17</v>
      </c>
      <c r="E11984" s="6">
        <v>-28123</v>
      </c>
      <c r="F11984" t="s">
        <v>603</v>
      </c>
      <c r="G11984" t="s">
        <v>31</v>
      </c>
      <c r="H11984" t="s">
        <v>45</v>
      </c>
      <c r="I11984" t="s">
        <v>23463</v>
      </c>
      <c r="J11984" t="str">
        <f>HYPERLINK("https://www.boe.es/gazeta/dias/1822/12/31/pdfs/GMD-1822-381.pdf#page=3","Abrir facsímil")</f>
        <v>Abrir facsímil</v>
      </c>
      <c r="K11984" t="s">
        <v>47</v>
      </c>
    </row>
    <row r="11985" spans="1:11" ht="42" customHeight="1">
      <c r="A11985" t="s">
        <v>23464</v>
      </c>
      <c r="B11985" t="s">
        <v>23465</v>
      </c>
      <c r="C11985" t="s">
        <v>71</v>
      </c>
      <c r="D11985" t="s">
        <v>17</v>
      </c>
      <c r="E11985" s="6">
        <v>-28199</v>
      </c>
      <c r="F11985" t="s">
        <v>656</v>
      </c>
      <c r="G11985" t="s">
        <v>19</v>
      </c>
      <c r="H11985" t="s">
        <v>20</v>
      </c>
      <c r="I11985" t="s">
        <v>23466</v>
      </c>
      <c r="J11985" t="str">
        <f>HYPERLINK("https://www.boe.es/gazeta/dias/1822/10/16/pdfs/GMD-1822-303.pdf#page=5","Abrir facsímil")</f>
        <v>Abrir facsímil</v>
      </c>
      <c r="K11985" t="s">
        <v>22</v>
      </c>
    </row>
    <row r="11986" spans="1:11" ht="42" customHeight="1">
      <c r="A11986" t="s">
        <v>23467</v>
      </c>
      <c r="B11986" t="s">
        <v>23467</v>
      </c>
      <c r="C11986" t="s">
        <v>71</v>
      </c>
      <c r="D11986" t="s">
        <v>17</v>
      </c>
      <c r="E11986" s="6">
        <v>-28388</v>
      </c>
      <c r="F11986" t="s">
        <v>1268</v>
      </c>
      <c r="G11986" t="s">
        <v>57</v>
      </c>
      <c r="H11986" t="s">
        <v>20</v>
      </c>
      <c r="I11986" t="s">
        <v>23468</v>
      </c>
      <c r="J11986" t="str">
        <f>HYPERLINK("https://www.boe.es/gazeta/dias/1822/04/10/pdfs/GMD-1822-102.pdf#page=4","Abrir facsímil")</f>
        <v>Abrir facsímil</v>
      </c>
      <c r="K11986" t="s">
        <v>22</v>
      </c>
    </row>
    <row r="11987" spans="1:11" ht="42" customHeight="1">
      <c r="A11987" t="s">
        <v>23469</v>
      </c>
      <c r="B11987" t="s">
        <v>23469</v>
      </c>
      <c r="C11987" t="s">
        <v>61</v>
      </c>
      <c r="D11987" t="s">
        <v>17</v>
      </c>
      <c r="E11987" s="6">
        <v>-28150</v>
      </c>
      <c r="F11987" t="s">
        <v>62</v>
      </c>
      <c r="G11987" t="s">
        <v>63</v>
      </c>
      <c r="H11987" t="s">
        <v>20</v>
      </c>
      <c r="I11987" t="s">
        <v>23470</v>
      </c>
      <c r="J11987" t="str">
        <f>HYPERLINK("https://www.boe.es/gazeta/dias/1822/12/04/pdfs/GMD-1822-354.pdf#page=6","Abrir facsímil")</f>
        <v>Abrir facsímil</v>
      </c>
      <c r="K11987" t="s">
        <v>22</v>
      </c>
    </row>
    <row r="11988" spans="1:11" ht="42" customHeight="1">
      <c r="A11988" t="s">
        <v>23471</v>
      </c>
      <c r="B11988" t="s">
        <v>23472</v>
      </c>
      <c r="C11988" t="s">
        <v>42</v>
      </c>
      <c r="D11988" t="s">
        <v>17</v>
      </c>
      <c r="E11988" s="6">
        <v>-28158</v>
      </c>
      <c r="F11988" t="s">
        <v>590</v>
      </c>
      <c r="G11988" t="s">
        <v>63</v>
      </c>
      <c r="H11988" t="s">
        <v>20</v>
      </c>
      <c r="I11988" t="s">
        <v>23473</v>
      </c>
      <c r="J11988" t="str">
        <f>HYPERLINK("https://www.boe.es/gazeta/dias/1822/11/26/pdfs/GMD-1822-346.pdf#page=6","Abrir facsímil")</f>
        <v>Abrir facsímil</v>
      </c>
      <c r="K11988" t="s">
        <v>22</v>
      </c>
    </row>
    <row r="11989" spans="1:11" ht="42" customHeight="1">
      <c r="A11989" t="s">
        <v>23474</v>
      </c>
      <c r="B11989" t="s">
        <v>23475</v>
      </c>
      <c r="C11989" t="s">
        <v>42</v>
      </c>
      <c r="D11989" t="s">
        <v>17</v>
      </c>
      <c r="E11989" s="6">
        <v>-28352</v>
      </c>
      <c r="F11989" t="s">
        <v>1575</v>
      </c>
      <c r="G11989" t="s">
        <v>63</v>
      </c>
      <c r="H11989" t="s">
        <v>20</v>
      </c>
      <c r="I11989" t="s">
        <v>23476</v>
      </c>
      <c r="J11989" t="str">
        <f>HYPERLINK("https://www.boe.es/gazeta/dias/1822/05/16/pdfs/GMD-1822-138.pdf#page=6","Abrir facsímil")</f>
        <v>Abrir facsímil</v>
      </c>
      <c r="K11989" t="s">
        <v>22</v>
      </c>
    </row>
    <row r="11990" spans="1:11" ht="42" customHeight="1">
      <c r="A11990" t="s">
        <v>23477</v>
      </c>
      <c r="B11990" t="s">
        <v>23478</v>
      </c>
      <c r="C11990" t="s">
        <v>24</v>
      </c>
      <c r="D11990" t="s">
        <v>17</v>
      </c>
      <c r="E11990" s="6">
        <v>-28295</v>
      </c>
      <c r="F11990" t="s">
        <v>81</v>
      </c>
      <c r="G11990" t="s">
        <v>57</v>
      </c>
      <c r="H11990" t="s">
        <v>20</v>
      </c>
      <c r="I11990" t="s">
        <v>23479</v>
      </c>
      <c r="J11990" t="str">
        <f>HYPERLINK("https://www.boe.es/gazeta/dias/1822/07/12/pdfs/GMD-1822-202.pdf#page=4","Abrir facsímil")</f>
        <v>Abrir facsímil</v>
      </c>
      <c r="K11990" t="s">
        <v>22</v>
      </c>
    </row>
    <row r="11991" spans="1:11" ht="42" customHeight="1">
      <c r="A11991" t="s">
        <v>23480</v>
      </c>
      <c r="B11991" t="s">
        <v>23481</v>
      </c>
      <c r="C11991" t="s">
        <v>71</v>
      </c>
      <c r="D11991" t="s">
        <v>17</v>
      </c>
      <c r="E11991" s="6">
        <v>-28335</v>
      </c>
      <c r="F11991" t="s">
        <v>3346</v>
      </c>
      <c r="G11991" t="s">
        <v>63</v>
      </c>
      <c r="H11991" t="s">
        <v>20</v>
      </c>
      <c r="I11991" t="s">
        <v>23482</v>
      </c>
      <c r="J11991" t="str">
        <f>HYPERLINK("https://www.boe.es/gazeta/dias/1822/06/02/pdfs/GMD-1822-158.pdf#page=6","Abrir facsímil")</f>
        <v>Abrir facsímil</v>
      </c>
      <c r="K11991" t="s">
        <v>22</v>
      </c>
    </row>
    <row r="11992" spans="1:11" ht="42" customHeight="1">
      <c r="A11992" t="s">
        <v>23483</v>
      </c>
      <c r="B11992" t="s">
        <v>23484</v>
      </c>
      <c r="C11992" t="s">
        <v>28</v>
      </c>
      <c r="D11992" t="s">
        <v>29</v>
      </c>
      <c r="E11992" s="6">
        <v>-28358</v>
      </c>
      <c r="F11992" t="s">
        <v>211</v>
      </c>
      <c r="G11992" t="s">
        <v>157</v>
      </c>
      <c r="H11992" t="s">
        <v>20</v>
      </c>
      <c r="I11992" t="s">
        <v>23485</v>
      </c>
      <c r="J11992" t="str">
        <f>HYPERLINK("https://www.boe.es/gazeta/dias/1822/05/10/pdfs/GMD-1822-132.pdf#page=8","Abrir facsímil")</f>
        <v>Abrir facsímil</v>
      </c>
      <c r="K11992" t="s">
        <v>22</v>
      </c>
    </row>
    <row r="11993" spans="1:11" ht="42" customHeight="1">
      <c r="A11993" t="s">
        <v>23486</v>
      </c>
      <c r="B11993" t="s">
        <v>23486</v>
      </c>
      <c r="C11993" t="s">
        <v>42</v>
      </c>
      <c r="D11993" t="s">
        <v>17</v>
      </c>
      <c r="E11993" s="6">
        <v>-28421</v>
      </c>
      <c r="F11993" t="s">
        <v>446</v>
      </c>
      <c r="G11993" t="s">
        <v>31</v>
      </c>
      <c r="H11993" t="s">
        <v>20</v>
      </c>
      <c r="I11993" t="s">
        <v>23487</v>
      </c>
      <c r="J11993" t="str">
        <f>HYPERLINK("https://www.boe.es/gazeta/dias/1822/03/08/pdfs/GMD-1822-69.pdf#page=3","Abrir facsímil")</f>
        <v>Abrir facsímil</v>
      </c>
      <c r="K11993" t="s">
        <v>22</v>
      </c>
    </row>
    <row r="11994" spans="1:11" ht="42" customHeight="1">
      <c r="A11994" t="s">
        <v>23486</v>
      </c>
      <c r="B11994" t="s">
        <v>23486</v>
      </c>
      <c r="C11994" t="s">
        <v>28</v>
      </c>
      <c r="D11994" t="s">
        <v>29</v>
      </c>
      <c r="E11994" s="6">
        <v>-28341</v>
      </c>
      <c r="F11994" t="s">
        <v>284</v>
      </c>
      <c r="G11994" t="s">
        <v>63</v>
      </c>
      <c r="H11994" t="s">
        <v>20</v>
      </c>
      <c r="I11994" t="s">
        <v>23488</v>
      </c>
      <c r="J11994" t="str">
        <f>HYPERLINK("https://www.boe.es/gazeta/dias/1822/05/27/pdfs/GMD-1822-152.pdf#page=6","Abrir facsímil")</f>
        <v>Abrir facsímil</v>
      </c>
      <c r="K11994" t="s">
        <v>22</v>
      </c>
    </row>
    <row r="11995" spans="1:11" ht="42" customHeight="1">
      <c r="A11995" t="s">
        <v>23486</v>
      </c>
      <c r="B11995" t="s">
        <v>23486</v>
      </c>
      <c r="C11995" t="s">
        <v>28</v>
      </c>
      <c r="D11995" t="s">
        <v>29</v>
      </c>
      <c r="E11995" s="6">
        <v>-28340</v>
      </c>
      <c r="F11995" t="s">
        <v>139</v>
      </c>
      <c r="G11995" t="s">
        <v>63</v>
      </c>
      <c r="H11995" t="s">
        <v>20</v>
      </c>
      <c r="I11995" t="s">
        <v>23489</v>
      </c>
      <c r="J11995" t="str">
        <f>HYPERLINK("https://www.boe.es/gazeta/dias/1822/05/28/pdfs/GMD-1822-153.pdf#page=6","Abrir facsímil")</f>
        <v>Abrir facsímil</v>
      </c>
      <c r="K11995" t="s">
        <v>22</v>
      </c>
    </row>
    <row r="11996" spans="1:11" ht="42" customHeight="1">
      <c r="A11996" t="s">
        <v>23490</v>
      </c>
      <c r="B11996" t="s">
        <v>23491</v>
      </c>
      <c r="C11996" t="s">
        <v>50</v>
      </c>
      <c r="D11996" t="s">
        <v>51</v>
      </c>
      <c r="E11996" s="6">
        <v>-28264</v>
      </c>
      <c r="F11996" t="s">
        <v>1329</v>
      </c>
      <c r="G11996" t="s">
        <v>57</v>
      </c>
      <c r="H11996" t="s">
        <v>20</v>
      </c>
      <c r="I11996" t="s">
        <v>23492</v>
      </c>
      <c r="J11996" t="str">
        <f>HYPERLINK("https://www.boe.es/gazeta/dias/1822/08/12/pdfs/GMD-1822-236.pdf#page=4","Abrir facsímil")</f>
        <v>Abrir facsímil</v>
      </c>
      <c r="K11996" t="s">
        <v>22</v>
      </c>
    </row>
    <row r="11997" spans="1:11" ht="42" customHeight="1">
      <c r="A11997" t="s">
        <v>23493</v>
      </c>
      <c r="B11997" t="s">
        <v>23494</v>
      </c>
      <c r="C11997" t="s">
        <v>50</v>
      </c>
      <c r="D11997" t="s">
        <v>51</v>
      </c>
      <c r="E11997" s="6">
        <v>-28125</v>
      </c>
      <c r="F11997" t="s">
        <v>322</v>
      </c>
      <c r="G11997" t="s">
        <v>31</v>
      </c>
      <c r="H11997" t="s">
        <v>20</v>
      </c>
      <c r="I11997" t="s">
        <v>23495</v>
      </c>
      <c r="J11997" t="str">
        <f>HYPERLINK("https://www.boe.es/gazeta/dias/1822/12/29/pdfs/GMD-1822-379.pdf#page=3","Abrir facsímil")</f>
        <v>Abrir facsímil</v>
      </c>
      <c r="K11997" t="s">
        <v>22</v>
      </c>
    </row>
    <row r="11998" spans="1:11" ht="42" customHeight="1">
      <c r="A11998" t="s">
        <v>23496</v>
      </c>
      <c r="B11998" t="s">
        <v>23497</v>
      </c>
      <c r="C11998" t="s">
        <v>50</v>
      </c>
      <c r="D11998" t="s">
        <v>51</v>
      </c>
      <c r="E11998" s="6">
        <v>-28162</v>
      </c>
      <c r="F11998" t="s">
        <v>3949</v>
      </c>
      <c r="G11998" t="s">
        <v>63</v>
      </c>
      <c r="H11998" t="s">
        <v>20</v>
      </c>
      <c r="I11998" t="s">
        <v>23498</v>
      </c>
      <c r="J11998" t="str">
        <f>HYPERLINK("https://www.boe.es/gazeta/dias/1822/11/22/pdfs/GMD-1822-342.pdf#page=6","Abrir facsímil")</f>
        <v>Abrir facsímil</v>
      </c>
      <c r="K11998" t="s">
        <v>22</v>
      </c>
    </row>
    <row r="11999" spans="1:11" ht="42" customHeight="1">
      <c r="A11999" t="s">
        <v>23499</v>
      </c>
      <c r="B11999" t="s">
        <v>23500</v>
      </c>
      <c r="C11999" t="s">
        <v>28</v>
      </c>
      <c r="D11999" t="s">
        <v>29</v>
      </c>
      <c r="E11999" s="6">
        <v>-28280</v>
      </c>
      <c r="F11999" t="s">
        <v>56</v>
      </c>
      <c r="G11999" t="s">
        <v>57</v>
      </c>
      <c r="H11999" t="s">
        <v>20</v>
      </c>
      <c r="I11999" t="s">
        <v>23501</v>
      </c>
      <c r="J11999" t="str">
        <f>HYPERLINK("https://www.boe.es/gazeta/dias/1822/07/27/pdfs/GMD-1822-220.pdf#page=4","Abrir facsímil")</f>
        <v>Abrir facsímil</v>
      </c>
      <c r="K11999" t="s">
        <v>22</v>
      </c>
    </row>
    <row r="12000" spans="1:11" ht="42" customHeight="1">
      <c r="A12000" t="s">
        <v>23502</v>
      </c>
      <c r="B12000" t="s">
        <v>23503</v>
      </c>
      <c r="C12000" t="s">
        <v>24</v>
      </c>
      <c r="D12000" t="s">
        <v>17</v>
      </c>
      <c r="E12000" s="6">
        <v>-28306</v>
      </c>
      <c r="F12000" t="s">
        <v>348</v>
      </c>
      <c r="G12000" t="s">
        <v>57</v>
      </c>
      <c r="H12000" t="s">
        <v>20</v>
      </c>
      <c r="I12000" t="s">
        <v>23504</v>
      </c>
      <c r="J12000" t="str">
        <f>HYPERLINK("https://www.boe.es/gazeta/dias/1822/07/01/pdfs/GMD-1822-190.pdf#page=4","Abrir facsímil")</f>
        <v>Abrir facsímil</v>
      </c>
      <c r="K12000" t="s">
        <v>22</v>
      </c>
    </row>
    <row r="12001" spans="1:11" ht="42" customHeight="1">
      <c r="A12001" t="s">
        <v>23505</v>
      </c>
      <c r="B12001" t="s">
        <v>23506</v>
      </c>
      <c r="C12001" t="s">
        <v>50</v>
      </c>
      <c r="D12001" t="s">
        <v>51</v>
      </c>
      <c r="E12001" s="6">
        <v>-28152</v>
      </c>
      <c r="F12001" t="s">
        <v>122</v>
      </c>
      <c r="G12001" t="s">
        <v>19</v>
      </c>
      <c r="H12001" t="s">
        <v>45</v>
      </c>
      <c r="I12001" t="s">
        <v>23507</v>
      </c>
      <c r="J12001" t="str">
        <f>HYPERLINK("https://www.boe.es/gazeta/dias/1822/12/02/pdfs/GMD-1822-352.pdf#page=5","Abrir facsímil")</f>
        <v>Abrir facsímil</v>
      </c>
      <c r="K12001" t="s">
        <v>47</v>
      </c>
    </row>
    <row r="12002" spans="1:11" ht="42" customHeight="1">
      <c r="A12002" t="s">
        <v>23508</v>
      </c>
      <c r="B12002" t="s">
        <v>23509</v>
      </c>
      <c r="C12002" t="s">
        <v>50</v>
      </c>
      <c r="D12002" t="s">
        <v>51</v>
      </c>
      <c r="E12002" s="6">
        <v>-28265</v>
      </c>
      <c r="F12002" t="s">
        <v>1263</v>
      </c>
      <c r="G12002" t="s">
        <v>57</v>
      </c>
      <c r="H12002" t="s">
        <v>20</v>
      </c>
      <c r="I12002" t="s">
        <v>23510</v>
      </c>
      <c r="J12002" t="str">
        <f>HYPERLINK("https://www.boe.es/gazeta/dias/1822/08/11/pdfs/GMD-1822-235.pdf#page=4","Abrir facsímil")</f>
        <v>Abrir facsímil</v>
      </c>
      <c r="K12002" t="s">
        <v>22</v>
      </c>
    </row>
    <row r="12003" spans="1:11" ht="42" customHeight="1">
      <c r="A12003" t="s">
        <v>23511</v>
      </c>
      <c r="B12003" t="s">
        <v>23512</v>
      </c>
      <c r="C12003" t="s">
        <v>50</v>
      </c>
      <c r="D12003" t="s">
        <v>51</v>
      </c>
      <c r="E12003" s="6">
        <v>-28264</v>
      </c>
      <c r="F12003" t="s">
        <v>1329</v>
      </c>
      <c r="G12003" t="s">
        <v>57</v>
      </c>
      <c r="H12003" t="s">
        <v>20</v>
      </c>
      <c r="I12003" t="s">
        <v>23513</v>
      </c>
      <c r="J12003" t="str">
        <f>HYPERLINK("https://www.boe.es/gazeta/dias/1822/08/12/pdfs/GMD-1822-236.pdf#page=4","Abrir facsímil")</f>
        <v>Abrir facsímil</v>
      </c>
      <c r="K12003" t="s">
        <v>22</v>
      </c>
    </row>
    <row r="12004" spans="1:11" ht="42" customHeight="1">
      <c r="A12004" t="s">
        <v>23514</v>
      </c>
      <c r="B12004" t="s">
        <v>23515</v>
      </c>
      <c r="C12004" t="s">
        <v>28</v>
      </c>
      <c r="D12004" t="s">
        <v>29</v>
      </c>
      <c r="E12004" s="6">
        <v>-28393</v>
      </c>
      <c r="F12004" t="s">
        <v>326</v>
      </c>
      <c r="G12004" t="s">
        <v>57</v>
      </c>
      <c r="H12004" t="s">
        <v>20</v>
      </c>
      <c r="I12004" t="s">
        <v>23516</v>
      </c>
      <c r="J12004" t="str">
        <f>HYPERLINK("https://www.boe.es/gazeta/dias/1822/04/05/pdfs/GMD-1822-97.pdf#page=4","Abrir facsímil")</f>
        <v>Abrir facsímil</v>
      </c>
      <c r="K12004" t="s">
        <v>22</v>
      </c>
    </row>
    <row r="12005" spans="1:11" ht="42" customHeight="1">
      <c r="A12005" t="s">
        <v>23514</v>
      </c>
      <c r="B12005" t="s">
        <v>23515</v>
      </c>
      <c r="C12005" t="s">
        <v>28</v>
      </c>
      <c r="D12005" t="s">
        <v>29</v>
      </c>
      <c r="E12005" s="6">
        <v>-28343</v>
      </c>
      <c r="F12005" t="s">
        <v>1019</v>
      </c>
      <c r="G12005" t="s">
        <v>63</v>
      </c>
      <c r="H12005" t="s">
        <v>20</v>
      </c>
      <c r="I12005" t="s">
        <v>23517</v>
      </c>
      <c r="J12005" t="str">
        <f>HYPERLINK("https://www.boe.es/gazeta/dias/1822/05/25/pdfs/GMD-1822-150.pdf#page=6","Abrir facsímil")</f>
        <v>Abrir facsímil</v>
      </c>
      <c r="K12005" t="s">
        <v>22</v>
      </c>
    </row>
    <row r="12006" spans="1:11" ht="42" customHeight="1">
      <c r="A12006" t="s">
        <v>23514</v>
      </c>
      <c r="B12006" t="s">
        <v>23515</v>
      </c>
      <c r="C12006" t="s">
        <v>61</v>
      </c>
      <c r="D12006" t="s">
        <v>17</v>
      </c>
      <c r="E12006" s="6">
        <v>-28195</v>
      </c>
      <c r="F12006" t="s">
        <v>770</v>
      </c>
      <c r="G12006" t="s">
        <v>63</v>
      </c>
      <c r="H12006" t="s">
        <v>20</v>
      </c>
      <c r="I12006" t="s">
        <v>23518</v>
      </c>
      <c r="J12006" t="str">
        <f>HYPERLINK("https://www.boe.es/gazeta/dias/1822/10/20/pdfs/GMD-1822-307.pdf#page=6","Abrir facsímil")</f>
        <v>Abrir facsímil</v>
      </c>
      <c r="K12006" t="s">
        <v>22</v>
      </c>
    </row>
    <row r="12007" spans="1:11" ht="42" customHeight="1">
      <c r="A12007" t="s">
        <v>23519</v>
      </c>
      <c r="B12007" t="s">
        <v>23520</v>
      </c>
      <c r="C12007" t="s">
        <v>50</v>
      </c>
      <c r="D12007" t="s">
        <v>51</v>
      </c>
      <c r="E12007" s="6">
        <v>-28208</v>
      </c>
      <c r="F12007" t="s">
        <v>230</v>
      </c>
      <c r="G12007" t="s">
        <v>57</v>
      </c>
      <c r="H12007" t="s">
        <v>20</v>
      </c>
      <c r="I12007" t="s">
        <v>23521</v>
      </c>
      <c r="J12007" t="str">
        <f>HYPERLINK("https://www.boe.es/gazeta/dias/1822/10/07/pdfs/GMD-1822-293.pdf#page=4","Abrir facsímil")</f>
        <v>Abrir facsímil</v>
      </c>
      <c r="K12007" t="s">
        <v>22</v>
      </c>
    </row>
    <row r="12008" spans="1:11" ht="42" customHeight="1">
      <c r="A12008" t="s">
        <v>23522</v>
      </c>
      <c r="B12008" t="s">
        <v>23523</v>
      </c>
      <c r="C12008" t="s">
        <v>50</v>
      </c>
      <c r="D12008" t="s">
        <v>51</v>
      </c>
      <c r="E12008" s="6">
        <v>-28385</v>
      </c>
      <c r="F12008" t="s">
        <v>484</v>
      </c>
      <c r="G12008" t="s">
        <v>35</v>
      </c>
      <c r="H12008" t="s">
        <v>20</v>
      </c>
      <c r="I12008" t="s">
        <v>23524</v>
      </c>
      <c r="J12008" t="str">
        <f>HYPERLINK("https://www.boe.es/gazeta/dias/1822/04/13/pdfs/GMD-1822-105.pdf#page=2","Abrir facsímil")</f>
        <v>Abrir facsímil</v>
      </c>
      <c r="K12008" t="s">
        <v>22</v>
      </c>
    </row>
    <row r="12009" spans="1:11" ht="42" customHeight="1">
      <c r="A12009" t="s">
        <v>23525</v>
      </c>
      <c r="B12009" t="s">
        <v>23526</v>
      </c>
      <c r="C12009" t="s">
        <v>362</v>
      </c>
      <c r="D12009" t="s">
        <v>17</v>
      </c>
      <c r="E12009" s="6">
        <v>-28254</v>
      </c>
      <c r="F12009" t="s">
        <v>3557</v>
      </c>
      <c r="G12009" t="s">
        <v>57</v>
      </c>
      <c r="H12009" t="s">
        <v>20</v>
      </c>
      <c r="I12009" t="s">
        <v>23527</v>
      </c>
      <c r="J12009" t="str">
        <f>HYPERLINK("https://www.boe.es/gazeta/dias/1822/08/22/pdfs/GMD-1822-246.pdf#page=4","Abrir facsímil")</f>
        <v>Abrir facsímil</v>
      </c>
      <c r="K12009" t="s">
        <v>22</v>
      </c>
    </row>
    <row r="12010" spans="1:11" ht="42" customHeight="1">
      <c r="A12010" t="s">
        <v>23528</v>
      </c>
      <c r="B12010" t="s">
        <v>23529</v>
      </c>
      <c r="C12010" t="s">
        <v>362</v>
      </c>
      <c r="D12010" t="s">
        <v>17</v>
      </c>
      <c r="E12010" s="6">
        <v>-28450</v>
      </c>
      <c r="F12010" t="s">
        <v>1450</v>
      </c>
      <c r="G12010" t="s">
        <v>2247</v>
      </c>
      <c r="H12010" t="s">
        <v>20</v>
      </c>
      <c r="I12010" t="s">
        <v>23530</v>
      </c>
      <c r="J12010" t="str">
        <f>HYPERLINK("https://www.boe.es/gazeta/dias/1822/02/07/pdfs/GMD-1822-38.pdf#page=6","Abrir facsímil")</f>
        <v>Abrir facsímil</v>
      </c>
      <c r="K12010" t="s">
        <v>22</v>
      </c>
    </row>
    <row r="12011" spans="1:11" ht="42" customHeight="1">
      <c r="A12011" t="s">
        <v>23528</v>
      </c>
      <c r="B12011" t="s">
        <v>23529</v>
      </c>
      <c r="C12011" t="s">
        <v>50</v>
      </c>
      <c r="D12011" t="s">
        <v>51</v>
      </c>
      <c r="E12011" s="6">
        <v>-28383</v>
      </c>
      <c r="F12011" t="s">
        <v>488</v>
      </c>
      <c r="G12011" t="s">
        <v>63</v>
      </c>
      <c r="H12011" t="s">
        <v>20</v>
      </c>
      <c r="I12011" t="s">
        <v>23531</v>
      </c>
      <c r="J12011" t="str">
        <f>HYPERLINK("https://www.boe.es/gazeta/dias/1822/04/15/pdfs/GMD-1822-107.pdf#page=6","Abrir facsímil")</f>
        <v>Abrir facsímil</v>
      </c>
      <c r="K12011" t="s">
        <v>22</v>
      </c>
    </row>
    <row r="12012" spans="1:11" ht="42" customHeight="1">
      <c r="A12012" t="s">
        <v>23528</v>
      </c>
      <c r="B12012" t="s">
        <v>23529</v>
      </c>
      <c r="C12012" t="s">
        <v>50</v>
      </c>
      <c r="D12012" t="s">
        <v>51</v>
      </c>
      <c r="E12012" s="6">
        <v>-28379</v>
      </c>
      <c r="F12012" t="s">
        <v>494</v>
      </c>
      <c r="G12012" t="s">
        <v>19</v>
      </c>
      <c r="H12012" t="s">
        <v>20</v>
      </c>
      <c r="I12012" t="s">
        <v>23532</v>
      </c>
      <c r="J12012" t="str">
        <f>HYPERLINK("https://www.boe.es/gazeta/dias/1822/04/19/pdfs/GMD-1822-111.pdf#page=5","Abrir facsímil")</f>
        <v>Abrir facsímil</v>
      </c>
      <c r="K12012" t="s">
        <v>22</v>
      </c>
    </row>
    <row r="12013" spans="1:11" ht="42" customHeight="1">
      <c r="A12013" t="s">
        <v>23528</v>
      </c>
      <c r="B12013" t="s">
        <v>23529</v>
      </c>
      <c r="C12013" t="s">
        <v>50</v>
      </c>
      <c r="D12013" t="s">
        <v>51</v>
      </c>
      <c r="E12013" s="6">
        <v>-28349</v>
      </c>
      <c r="F12013" t="s">
        <v>518</v>
      </c>
      <c r="G12013" t="s">
        <v>44</v>
      </c>
      <c r="H12013" t="s">
        <v>20</v>
      </c>
      <c r="I12013" t="s">
        <v>23533</v>
      </c>
      <c r="J12013" t="str">
        <f>HYPERLINK("https://www.boe.es/gazeta/dias/1822/05/19/pdfs/GMD-1822-141.pdf#page=1","Abrir facsímil")</f>
        <v>Abrir facsímil</v>
      </c>
      <c r="K12013" t="s">
        <v>22</v>
      </c>
    </row>
    <row r="12014" spans="1:11" ht="42" customHeight="1">
      <c r="A12014" t="s">
        <v>23528</v>
      </c>
      <c r="B12014" t="s">
        <v>23529</v>
      </c>
      <c r="C12014" t="s">
        <v>50</v>
      </c>
      <c r="D12014" t="s">
        <v>51</v>
      </c>
      <c r="E12014" s="6">
        <v>-28155</v>
      </c>
      <c r="F12014" t="s">
        <v>833</v>
      </c>
      <c r="G12014" t="s">
        <v>63</v>
      </c>
      <c r="H12014" t="s">
        <v>20</v>
      </c>
      <c r="I12014" t="s">
        <v>23534</v>
      </c>
      <c r="J12014" t="str">
        <f>HYPERLINK("https://www.boe.es/gazeta/dias/1822/11/29/pdfs/GMD-1822-349.pdf#page=6","Abrir facsímil")</f>
        <v>Abrir facsímil</v>
      </c>
      <c r="K12014" t="s">
        <v>22</v>
      </c>
    </row>
    <row r="12015" spans="1:11" ht="42" customHeight="1">
      <c r="A12015" t="s">
        <v>23535</v>
      </c>
      <c r="B12015" t="s">
        <v>23536</v>
      </c>
      <c r="C12015" t="s">
        <v>50</v>
      </c>
      <c r="D12015" t="s">
        <v>51</v>
      </c>
      <c r="E12015" s="6">
        <v>-28391</v>
      </c>
      <c r="F12015" t="s">
        <v>378</v>
      </c>
      <c r="G12015" t="s">
        <v>63</v>
      </c>
      <c r="H12015" t="s">
        <v>20</v>
      </c>
      <c r="I12015" t="s">
        <v>23537</v>
      </c>
      <c r="J12015" t="str">
        <f>HYPERLINK("https://www.boe.es/gazeta/dias/1822/04/07/pdfs/GMD-1822-99.pdf#page=6","Abrir facsímil")</f>
        <v>Abrir facsímil</v>
      </c>
      <c r="K12015" t="s">
        <v>22</v>
      </c>
    </row>
    <row r="12016" spans="1:11" ht="42" customHeight="1">
      <c r="A12016" t="s">
        <v>23535</v>
      </c>
      <c r="B12016" t="s">
        <v>23536</v>
      </c>
      <c r="C12016" t="s">
        <v>42</v>
      </c>
      <c r="D12016" t="s">
        <v>17</v>
      </c>
      <c r="E12016" s="6">
        <v>-28219</v>
      </c>
      <c r="F12016" t="s">
        <v>1082</v>
      </c>
      <c r="G12016" t="s">
        <v>31</v>
      </c>
      <c r="H12016" t="s">
        <v>20</v>
      </c>
      <c r="I12016" t="s">
        <v>23538</v>
      </c>
      <c r="J12016" t="str">
        <f>HYPERLINK("https://www.boe.es/gazeta/dias/1822/09/26/pdfs/GMD-1822-282.pdf#page=3","Abrir facsímil")</f>
        <v>Abrir facsímil</v>
      </c>
      <c r="K12016" t="s">
        <v>22</v>
      </c>
    </row>
    <row r="12017" spans="1:11" ht="42" customHeight="1">
      <c r="A12017" t="s">
        <v>23535</v>
      </c>
      <c r="B12017" t="s">
        <v>23536</v>
      </c>
      <c r="C12017" t="s">
        <v>42</v>
      </c>
      <c r="D12017" t="s">
        <v>17</v>
      </c>
      <c r="E12017" s="6">
        <v>-28213</v>
      </c>
      <c r="F12017" t="s">
        <v>558</v>
      </c>
      <c r="G12017" t="s">
        <v>57</v>
      </c>
      <c r="H12017" t="s">
        <v>20</v>
      </c>
      <c r="I12017" t="s">
        <v>23539</v>
      </c>
      <c r="J12017" t="str">
        <f>HYPERLINK("https://www.boe.es/gazeta/dias/1822/10/02/pdfs/GMD-1822-288.pdf#page=4","Abrir facsímil")</f>
        <v>Abrir facsímil</v>
      </c>
      <c r="K12017" t="s">
        <v>22</v>
      </c>
    </row>
    <row r="12018" spans="1:11" ht="42" customHeight="1">
      <c r="A12018" t="s">
        <v>23540</v>
      </c>
      <c r="B12018" t="s">
        <v>23541</v>
      </c>
      <c r="C12018" t="s">
        <v>50</v>
      </c>
      <c r="D12018" t="s">
        <v>51</v>
      </c>
      <c r="E12018" s="6">
        <v>-28340</v>
      </c>
      <c r="F12018" t="s">
        <v>139</v>
      </c>
      <c r="G12018" t="s">
        <v>63</v>
      </c>
      <c r="H12018" t="s">
        <v>20</v>
      </c>
      <c r="I12018" t="s">
        <v>23542</v>
      </c>
      <c r="J12018" t="str">
        <f>HYPERLINK("https://www.boe.es/gazeta/dias/1822/05/28/pdfs/GMD-1822-153.pdf#page=6","Abrir facsímil")</f>
        <v>Abrir facsímil</v>
      </c>
      <c r="K12018" t="s">
        <v>22</v>
      </c>
    </row>
    <row r="12019" spans="1:11" ht="42" customHeight="1">
      <c r="A12019" t="s">
        <v>23543</v>
      </c>
      <c r="B12019" t="s">
        <v>23544</v>
      </c>
      <c r="C12019" t="s">
        <v>50</v>
      </c>
      <c r="D12019" t="s">
        <v>51</v>
      </c>
      <c r="E12019" s="6">
        <v>-28352</v>
      </c>
      <c r="F12019" t="s">
        <v>1575</v>
      </c>
      <c r="G12019" t="s">
        <v>63</v>
      </c>
      <c r="H12019" t="s">
        <v>20</v>
      </c>
      <c r="I12019" t="s">
        <v>23545</v>
      </c>
      <c r="J12019" t="str">
        <f>HYPERLINK("https://www.boe.es/gazeta/dias/1822/05/16/pdfs/GMD-1822-138.pdf#page=6","Abrir facsímil")</f>
        <v>Abrir facsímil</v>
      </c>
      <c r="K12019" t="s">
        <v>22</v>
      </c>
    </row>
    <row r="12020" spans="1:11" ht="42" customHeight="1">
      <c r="A12020" t="s">
        <v>23546</v>
      </c>
      <c r="B12020" t="s">
        <v>23547</v>
      </c>
      <c r="C12020" t="s">
        <v>42</v>
      </c>
      <c r="D12020" t="s">
        <v>17</v>
      </c>
      <c r="E12020" s="6">
        <v>-28251</v>
      </c>
      <c r="F12020" t="s">
        <v>1485</v>
      </c>
      <c r="G12020" t="s">
        <v>31</v>
      </c>
      <c r="H12020" t="s">
        <v>20</v>
      </c>
      <c r="I12020" t="s">
        <v>23548</v>
      </c>
      <c r="J12020" t="str">
        <f>HYPERLINK("https://www.boe.es/gazeta/dias/1822/08/25/pdfs/GMD-1822-249.pdf#page=3","Abrir facsímil")</f>
        <v>Abrir facsímil</v>
      </c>
      <c r="K12020" t="s">
        <v>22</v>
      </c>
    </row>
    <row r="12021" spans="1:11" ht="42" customHeight="1">
      <c r="A12021" t="s">
        <v>23549</v>
      </c>
      <c r="B12021" t="s">
        <v>23550</v>
      </c>
      <c r="C12021" t="s">
        <v>50</v>
      </c>
      <c r="D12021" t="s">
        <v>51</v>
      </c>
      <c r="E12021" s="6">
        <v>-28221</v>
      </c>
      <c r="F12021" t="s">
        <v>2591</v>
      </c>
      <c r="G12021" t="s">
        <v>57</v>
      </c>
      <c r="H12021" t="s">
        <v>20</v>
      </c>
      <c r="I12021" t="s">
        <v>23551</v>
      </c>
      <c r="J12021" t="str">
        <f>HYPERLINK("https://www.boe.es/gazeta/dias/1822/09/24/pdfs/GMD-1822-280.pdf#page=4","Abrir facsímil")</f>
        <v>Abrir facsímil</v>
      </c>
      <c r="K12021" t="s">
        <v>22</v>
      </c>
    </row>
    <row r="12022" spans="1:11" ht="42" customHeight="1">
      <c r="A12022" t="s">
        <v>23552</v>
      </c>
      <c r="B12022" t="s">
        <v>23553</v>
      </c>
      <c r="C12022" t="s">
        <v>71</v>
      </c>
      <c r="D12022" t="s">
        <v>17</v>
      </c>
      <c r="E12022" s="6">
        <v>-28322</v>
      </c>
      <c r="F12022" t="s">
        <v>2205</v>
      </c>
      <c r="G12022" t="s">
        <v>3031</v>
      </c>
      <c r="H12022" t="s">
        <v>20</v>
      </c>
      <c r="I12022" t="s">
        <v>23554</v>
      </c>
      <c r="J12022" t="str">
        <f>HYPERLINK("https://www.boe.es/gazeta/dias/1822/06/15/pdfs/GMD-1822-172.pdf#page=2","Abrir facsímil")</f>
        <v>Abrir facsímil</v>
      </c>
      <c r="K12022" t="s">
        <v>22</v>
      </c>
    </row>
    <row r="12023" spans="1:11" ht="42" customHeight="1">
      <c r="A12023" t="s">
        <v>23555</v>
      </c>
      <c r="B12023" t="s">
        <v>23556</v>
      </c>
      <c r="C12023" t="s">
        <v>42</v>
      </c>
      <c r="D12023" t="s">
        <v>17</v>
      </c>
      <c r="E12023" s="6">
        <v>-28359</v>
      </c>
      <c r="F12023" t="s">
        <v>209</v>
      </c>
      <c r="G12023" t="s">
        <v>31</v>
      </c>
      <c r="H12023" t="s">
        <v>20</v>
      </c>
      <c r="I12023" t="s">
        <v>23557</v>
      </c>
      <c r="J12023" t="str">
        <f>HYPERLINK("https://www.boe.es/gazeta/dias/1822/05/09/pdfs/GMD-1822-131.pdf#page=3","Abrir facsímil")</f>
        <v>Abrir facsímil</v>
      </c>
      <c r="K12023" t="s">
        <v>22</v>
      </c>
    </row>
    <row r="12024" spans="1:11" ht="42" customHeight="1">
      <c r="A12024" t="s">
        <v>23558</v>
      </c>
      <c r="B12024" t="s">
        <v>23559</v>
      </c>
      <c r="C12024" t="s">
        <v>50</v>
      </c>
      <c r="D12024" t="s">
        <v>51</v>
      </c>
      <c r="E12024" s="6">
        <v>-28228</v>
      </c>
      <c r="F12024" t="s">
        <v>718</v>
      </c>
      <c r="G12024" t="s">
        <v>719</v>
      </c>
      <c r="H12024" t="s">
        <v>20</v>
      </c>
      <c r="I12024" t="s">
        <v>23560</v>
      </c>
      <c r="J12024" t="str">
        <f>HYPERLINK("https://www.boe.es/gazeta/dias/1822/09/17/pdfs/GMD-1822-273.pdf#page=3","Abrir facsímil")</f>
        <v>Abrir facsímil</v>
      </c>
      <c r="K12024" t="s">
        <v>22</v>
      </c>
    </row>
    <row r="12025" spans="1:11" ht="42" customHeight="1">
      <c r="A12025" t="s">
        <v>23561</v>
      </c>
      <c r="B12025" t="s">
        <v>23562</v>
      </c>
      <c r="C12025" t="s">
        <v>28</v>
      </c>
      <c r="D12025" t="s">
        <v>29</v>
      </c>
      <c r="E12025" s="6">
        <v>-28321</v>
      </c>
      <c r="F12025" t="s">
        <v>1142</v>
      </c>
      <c r="G12025" t="s">
        <v>31</v>
      </c>
      <c r="H12025" t="s">
        <v>20</v>
      </c>
      <c r="I12025" t="s">
        <v>23563</v>
      </c>
      <c r="J12025" t="str">
        <f>HYPERLINK("https://www.boe.es/gazeta/dias/1822/06/16/pdfs/GMD-1822-173.pdf#page=3","Abrir facsímil")</f>
        <v>Abrir facsímil</v>
      </c>
      <c r="K12025" t="s">
        <v>22</v>
      </c>
    </row>
    <row r="12026" spans="1:11" ht="42" customHeight="1">
      <c r="A12026" t="s">
        <v>23564</v>
      </c>
      <c r="B12026" t="s">
        <v>23565</v>
      </c>
      <c r="C12026" t="s">
        <v>71</v>
      </c>
      <c r="D12026" t="s">
        <v>17</v>
      </c>
      <c r="E12026" s="6">
        <v>-28414</v>
      </c>
      <c r="F12026" t="s">
        <v>187</v>
      </c>
      <c r="G12026" t="s">
        <v>63</v>
      </c>
      <c r="H12026" t="s">
        <v>20</v>
      </c>
      <c r="I12026" t="s">
        <v>23566</v>
      </c>
      <c r="J12026" t="str">
        <f>HYPERLINK("https://www.boe.es/gazeta/dias/1822/03/15/pdfs/GMD-1822-76.pdf#page=6","Abrir facsímil")</f>
        <v>Abrir facsímil</v>
      </c>
      <c r="K12026" t="s">
        <v>22</v>
      </c>
    </row>
    <row r="12027" spans="1:11" ht="42" customHeight="1">
      <c r="A12027" t="s">
        <v>23567</v>
      </c>
      <c r="B12027" t="s">
        <v>23568</v>
      </c>
      <c r="C12027" t="s">
        <v>28</v>
      </c>
      <c r="D12027" t="s">
        <v>29</v>
      </c>
      <c r="E12027" s="6">
        <v>-28188</v>
      </c>
      <c r="F12027" t="s">
        <v>578</v>
      </c>
      <c r="G12027" t="s">
        <v>157</v>
      </c>
      <c r="H12027" t="s">
        <v>20</v>
      </c>
      <c r="I12027" t="s">
        <v>23569</v>
      </c>
      <c r="J12027" t="str">
        <f>HYPERLINK("https://www.boe.es/gazeta/dias/1822/10/27/pdfs/GMD-1822-314.pdf#page=8","Abrir facsímil")</f>
        <v>Abrir facsímil</v>
      </c>
      <c r="K12027" t="s">
        <v>22</v>
      </c>
    </row>
    <row r="12028" spans="1:11" ht="42" customHeight="1">
      <c r="A12028" t="s">
        <v>23570</v>
      </c>
      <c r="B12028" t="s">
        <v>23571</v>
      </c>
      <c r="C12028" t="s">
        <v>42</v>
      </c>
      <c r="D12028" t="s">
        <v>17</v>
      </c>
      <c r="E12028" s="6">
        <v>-28208</v>
      </c>
      <c r="F12028" t="s">
        <v>230</v>
      </c>
      <c r="G12028" t="s">
        <v>57</v>
      </c>
      <c r="H12028" t="s">
        <v>20</v>
      </c>
      <c r="I12028" t="s">
        <v>23572</v>
      </c>
      <c r="J12028" t="str">
        <f>HYPERLINK("https://www.boe.es/gazeta/dias/1822/10/07/pdfs/GMD-1822-293.pdf#page=4","Abrir facsímil")</f>
        <v>Abrir facsímil</v>
      </c>
      <c r="K12028" t="s">
        <v>22</v>
      </c>
    </row>
    <row r="12029" spans="1:11" ht="42" customHeight="1">
      <c r="A12029" t="s">
        <v>23573</v>
      </c>
      <c r="B12029" t="s">
        <v>23573</v>
      </c>
      <c r="C12029" t="s">
        <v>50</v>
      </c>
      <c r="D12029" t="s">
        <v>51</v>
      </c>
      <c r="E12029" s="6">
        <v>-28472</v>
      </c>
      <c r="F12029" t="s">
        <v>5485</v>
      </c>
      <c r="G12029" t="s">
        <v>44</v>
      </c>
      <c r="H12029" t="s">
        <v>20</v>
      </c>
      <c r="I12029" t="s">
        <v>23574</v>
      </c>
      <c r="J12029" t="str">
        <f>HYPERLINK("https://www.boe.es/gazeta/dias/1822/01/16/pdfs/GMD-1822-16.pdf#page=1","Abrir facsímil")</f>
        <v>Abrir facsímil</v>
      </c>
      <c r="K12029" t="s">
        <v>22</v>
      </c>
    </row>
    <row r="12030" spans="1:11" ht="42" customHeight="1">
      <c r="A12030" t="s">
        <v>23573</v>
      </c>
      <c r="B12030" t="s">
        <v>23573</v>
      </c>
      <c r="C12030" t="s">
        <v>50</v>
      </c>
      <c r="D12030" t="s">
        <v>51</v>
      </c>
      <c r="E12030" s="6">
        <v>-28459</v>
      </c>
      <c r="F12030" t="s">
        <v>1102</v>
      </c>
      <c r="G12030" t="s">
        <v>44</v>
      </c>
      <c r="H12030" t="s">
        <v>20</v>
      </c>
      <c r="I12030" t="s">
        <v>23575</v>
      </c>
      <c r="J12030" t="str">
        <f>HYPERLINK("https://www.boe.es/gazeta/dias/1822/01/29/pdfs/GMD-1822-29.pdf#page=1","Abrir facsímil")</f>
        <v>Abrir facsímil</v>
      </c>
      <c r="K12030" t="s">
        <v>22</v>
      </c>
    </row>
    <row r="12031" spans="1:11" ht="42" customHeight="1">
      <c r="A12031" t="s">
        <v>23573</v>
      </c>
      <c r="B12031" t="s">
        <v>23573</v>
      </c>
      <c r="C12031" t="s">
        <v>50</v>
      </c>
      <c r="D12031" t="s">
        <v>51</v>
      </c>
      <c r="E12031" s="6">
        <v>-28440</v>
      </c>
      <c r="F12031" t="s">
        <v>1307</v>
      </c>
      <c r="G12031" t="s">
        <v>35</v>
      </c>
      <c r="H12031" t="s">
        <v>20</v>
      </c>
      <c r="I12031" t="s">
        <v>23576</v>
      </c>
      <c r="J12031" t="str">
        <f>HYPERLINK("https://www.boe.es/gazeta/dias/1822/02/17/pdfs/GMD-1822-49.pdf#page=2","Abrir facsímil")</f>
        <v>Abrir facsímil</v>
      </c>
      <c r="K12031" t="s">
        <v>22</v>
      </c>
    </row>
    <row r="12032" spans="1:11" ht="42" customHeight="1">
      <c r="A12032" t="s">
        <v>23577</v>
      </c>
      <c r="B12032" t="s">
        <v>23577</v>
      </c>
      <c r="C12032" t="s">
        <v>50</v>
      </c>
      <c r="D12032" t="s">
        <v>51</v>
      </c>
      <c r="E12032" s="6">
        <v>-28295</v>
      </c>
      <c r="F12032" t="s">
        <v>81</v>
      </c>
      <c r="G12032" t="s">
        <v>57</v>
      </c>
      <c r="H12032" t="s">
        <v>20</v>
      </c>
      <c r="I12032" t="s">
        <v>23578</v>
      </c>
      <c r="J12032" t="str">
        <f>HYPERLINK("https://www.boe.es/gazeta/dias/1822/07/12/pdfs/GMD-1822-202.pdf#page=4","Abrir facsímil")</f>
        <v>Abrir facsímil</v>
      </c>
      <c r="K12032" t="s">
        <v>22</v>
      </c>
    </row>
    <row r="12033" spans="1:11" ht="42" customHeight="1">
      <c r="A12033" t="s">
        <v>23579</v>
      </c>
      <c r="B12033" t="s">
        <v>23579</v>
      </c>
      <c r="C12033" t="s">
        <v>24</v>
      </c>
      <c r="D12033" t="s">
        <v>17</v>
      </c>
      <c r="E12033" s="6">
        <v>-28359</v>
      </c>
      <c r="F12033" t="s">
        <v>209</v>
      </c>
      <c r="G12033" t="s">
        <v>31</v>
      </c>
      <c r="H12033" t="s">
        <v>20</v>
      </c>
      <c r="I12033" t="s">
        <v>23580</v>
      </c>
      <c r="J12033" t="str">
        <f>HYPERLINK("https://www.boe.es/gazeta/dias/1822/05/09/pdfs/GMD-1822-131.pdf#page=3","Abrir facsímil")</f>
        <v>Abrir facsímil</v>
      </c>
      <c r="K12033" t="s">
        <v>22</v>
      </c>
    </row>
    <row r="12034" spans="1:11" ht="42" customHeight="1">
      <c r="A12034" t="s">
        <v>23579</v>
      </c>
      <c r="B12034" t="s">
        <v>23579</v>
      </c>
      <c r="C12034" t="s">
        <v>50</v>
      </c>
      <c r="D12034" t="s">
        <v>51</v>
      </c>
      <c r="E12034" s="6">
        <v>-28355</v>
      </c>
      <c r="F12034" t="s">
        <v>692</v>
      </c>
      <c r="G12034" t="s">
        <v>19</v>
      </c>
      <c r="H12034" t="s">
        <v>20</v>
      </c>
      <c r="I12034" t="s">
        <v>23581</v>
      </c>
      <c r="J12034" t="str">
        <f>HYPERLINK("https://www.boe.es/gazeta/dias/1822/05/13/pdfs/GMD-1822-135.pdf#page=5","Abrir facsímil")</f>
        <v>Abrir facsímil</v>
      </c>
      <c r="K12034" t="s">
        <v>22</v>
      </c>
    </row>
    <row r="12035" spans="1:11" ht="42" customHeight="1">
      <c r="A12035" t="s">
        <v>23579</v>
      </c>
      <c r="B12035" t="s">
        <v>23579</v>
      </c>
      <c r="C12035" t="s">
        <v>42</v>
      </c>
      <c r="D12035" t="s">
        <v>17</v>
      </c>
      <c r="E12035" s="6">
        <v>-28327</v>
      </c>
      <c r="F12035" t="s">
        <v>38</v>
      </c>
      <c r="G12035" t="s">
        <v>35</v>
      </c>
      <c r="H12035" t="s">
        <v>20</v>
      </c>
      <c r="I12035" t="s">
        <v>23582</v>
      </c>
      <c r="J12035" t="str">
        <f>HYPERLINK("https://www.boe.es/gazeta/dias/1822/06/10/pdfs/GMD-1822-167.pdf#page=2","Abrir facsímil")</f>
        <v>Abrir facsímil</v>
      </c>
      <c r="K12035" t="s">
        <v>22</v>
      </c>
    </row>
    <row r="12036" spans="1:11" ht="42" customHeight="1">
      <c r="A12036" t="s">
        <v>23579</v>
      </c>
      <c r="B12036" t="s">
        <v>23579</v>
      </c>
      <c r="C12036" t="s">
        <v>50</v>
      </c>
      <c r="D12036" t="s">
        <v>51</v>
      </c>
      <c r="E12036" s="6">
        <v>-28323</v>
      </c>
      <c r="F12036" t="s">
        <v>116</v>
      </c>
      <c r="G12036" t="s">
        <v>44</v>
      </c>
      <c r="H12036" t="s">
        <v>20</v>
      </c>
      <c r="I12036" t="s">
        <v>23583</v>
      </c>
      <c r="J12036" t="str">
        <f>HYPERLINK("https://www.boe.es/gazeta/dias/1822/06/14/pdfs/GMD-1822-171.pdf#page=1","Abrir facsímil")</f>
        <v>Abrir facsímil</v>
      </c>
      <c r="K12036" t="s">
        <v>22</v>
      </c>
    </row>
    <row r="12037" spans="1:11" ht="42" customHeight="1">
      <c r="A12037" t="s">
        <v>23579</v>
      </c>
      <c r="B12037" t="s">
        <v>23579</v>
      </c>
      <c r="C12037" t="s">
        <v>42</v>
      </c>
      <c r="D12037" t="s">
        <v>17</v>
      </c>
      <c r="E12037" s="6">
        <v>-28323</v>
      </c>
      <c r="F12037" t="s">
        <v>116</v>
      </c>
      <c r="G12037" t="s">
        <v>31</v>
      </c>
      <c r="H12037" t="s">
        <v>20</v>
      </c>
      <c r="I12037" t="s">
        <v>23584</v>
      </c>
      <c r="J12037" t="str">
        <f>HYPERLINK("https://www.boe.es/gazeta/dias/1822/06/14/pdfs/GMD-1822-171.pdf#page=3","Abrir facsímil")</f>
        <v>Abrir facsímil</v>
      </c>
      <c r="K12037" t="s">
        <v>22</v>
      </c>
    </row>
    <row r="12038" spans="1:11" ht="42" customHeight="1">
      <c r="A12038" t="s">
        <v>23579</v>
      </c>
      <c r="B12038" t="s">
        <v>23579</v>
      </c>
      <c r="C12038" t="s">
        <v>42</v>
      </c>
      <c r="D12038" t="s">
        <v>17</v>
      </c>
      <c r="E12038" s="6">
        <v>-28321</v>
      </c>
      <c r="F12038" t="s">
        <v>1142</v>
      </c>
      <c r="G12038" t="s">
        <v>44</v>
      </c>
      <c r="H12038" t="s">
        <v>20</v>
      </c>
      <c r="I12038" t="s">
        <v>23585</v>
      </c>
      <c r="J12038" t="str">
        <f>HYPERLINK("https://www.boe.es/gazeta/dias/1822/06/16/pdfs/GMD-1822-173.pdf#page=1","Abrir facsímil")</f>
        <v>Abrir facsímil</v>
      </c>
      <c r="K12038" t="s">
        <v>22</v>
      </c>
    </row>
    <row r="12039" spans="1:11" ht="42" customHeight="1">
      <c r="A12039" t="s">
        <v>23579</v>
      </c>
      <c r="B12039" t="s">
        <v>23579</v>
      </c>
      <c r="C12039" t="s">
        <v>28</v>
      </c>
      <c r="D12039" t="s">
        <v>29</v>
      </c>
      <c r="E12039" s="6">
        <v>-28310</v>
      </c>
      <c r="F12039" t="s">
        <v>241</v>
      </c>
      <c r="G12039" t="s">
        <v>35</v>
      </c>
      <c r="H12039" t="s">
        <v>20</v>
      </c>
      <c r="I12039" t="s">
        <v>23586</v>
      </c>
      <c r="J12039" t="str">
        <f>HYPERLINK("https://www.boe.es/gazeta/dias/1822/06/27/pdfs/GMD-1822-185.pdf#page=2","Abrir facsímil")</f>
        <v>Abrir facsímil</v>
      </c>
      <c r="K12039" t="s">
        <v>22</v>
      </c>
    </row>
    <row r="12040" spans="1:11" ht="42" customHeight="1">
      <c r="A12040" t="s">
        <v>23579</v>
      </c>
      <c r="B12040" t="s">
        <v>23579</v>
      </c>
      <c r="C12040" t="s">
        <v>42</v>
      </c>
      <c r="D12040" t="s">
        <v>17</v>
      </c>
      <c r="E12040" s="6">
        <v>-28307</v>
      </c>
      <c r="F12040" t="s">
        <v>555</v>
      </c>
      <c r="G12040" t="s">
        <v>871</v>
      </c>
      <c r="H12040" t="s">
        <v>20</v>
      </c>
      <c r="I12040" t="s">
        <v>23587</v>
      </c>
      <c r="J12040" t="str">
        <f>HYPERLINK("https://www.boe.es/gazeta/dias/1822/06/30/pdfs/GMD-1822-188.pdf#page=4","Abrir facsímil")</f>
        <v>Abrir facsímil</v>
      </c>
      <c r="K12040" t="s">
        <v>22</v>
      </c>
    </row>
    <row r="12041" spans="1:11" ht="42" customHeight="1">
      <c r="A12041" t="s">
        <v>23588</v>
      </c>
      <c r="B12041" t="s">
        <v>23589</v>
      </c>
      <c r="C12041" t="s">
        <v>24</v>
      </c>
      <c r="D12041" t="s">
        <v>17</v>
      </c>
      <c r="E12041" s="6">
        <v>-28479</v>
      </c>
      <c r="F12041" t="s">
        <v>1091</v>
      </c>
      <c r="G12041" t="s">
        <v>63</v>
      </c>
      <c r="H12041" t="s">
        <v>20</v>
      </c>
      <c r="I12041" t="s">
        <v>23590</v>
      </c>
      <c r="J12041" t="str">
        <f>HYPERLINK("https://www.boe.es/gazeta/dias/1822/01/09/pdfs/GMD-1822-9.pdf#page=6","Abrir facsímil")</f>
        <v>Abrir facsímil</v>
      </c>
      <c r="K12041" t="s">
        <v>22</v>
      </c>
    </row>
    <row r="12042" spans="1:11" ht="42" customHeight="1">
      <c r="A12042" t="s">
        <v>23591</v>
      </c>
      <c r="B12042" t="s">
        <v>23592</v>
      </c>
      <c r="C12042" t="s">
        <v>50</v>
      </c>
      <c r="D12042" t="s">
        <v>51</v>
      </c>
      <c r="E12042" s="6">
        <v>-28284</v>
      </c>
      <c r="F12042" t="s">
        <v>6484</v>
      </c>
      <c r="G12042" t="s">
        <v>35</v>
      </c>
      <c r="H12042" t="s">
        <v>45</v>
      </c>
      <c r="I12042" t="s">
        <v>23593</v>
      </c>
      <c r="J12042" t="str">
        <f>HYPERLINK("https://www.boe.es/gazeta/dias/1822/07/23/pdfs/GMD-1822-216.pdf#page=2","Abrir facsímil")</f>
        <v>Abrir facsímil</v>
      </c>
      <c r="K12042" t="s">
        <v>47</v>
      </c>
    </row>
    <row r="12043" spans="1:11" ht="42" customHeight="1">
      <c r="A12043" t="s">
        <v>23594</v>
      </c>
      <c r="B12043" t="s">
        <v>23595</v>
      </c>
      <c r="C12043" t="s">
        <v>42</v>
      </c>
      <c r="D12043" t="s">
        <v>17</v>
      </c>
      <c r="E12043" s="6">
        <v>-28307</v>
      </c>
      <c r="F12043" t="s">
        <v>555</v>
      </c>
      <c r="G12043" t="s">
        <v>157</v>
      </c>
      <c r="H12043" t="s">
        <v>20</v>
      </c>
      <c r="I12043" t="s">
        <v>23596</v>
      </c>
      <c r="J12043" t="str">
        <f>HYPERLINK("https://www.boe.es/gazeta/dias/1822/06/30/pdfs/GMD-1822-188.pdf#page=8","Abrir facsímil")</f>
        <v>Abrir facsímil</v>
      </c>
      <c r="K12043" t="s">
        <v>22</v>
      </c>
    </row>
    <row r="12044" spans="1:11" ht="42" customHeight="1">
      <c r="A12044" t="s">
        <v>23597</v>
      </c>
      <c r="B12044" t="s">
        <v>23598</v>
      </c>
      <c r="C12044" t="s">
        <v>71</v>
      </c>
      <c r="D12044" t="s">
        <v>17</v>
      </c>
      <c r="E12044" s="6">
        <v>-28486</v>
      </c>
      <c r="F12044" t="s">
        <v>1046</v>
      </c>
      <c r="G12044" t="s">
        <v>35</v>
      </c>
      <c r="H12044" t="s">
        <v>20</v>
      </c>
      <c r="I12044" t="s">
        <v>23599</v>
      </c>
      <c r="J12044" t="str">
        <f>HYPERLINK("https://www.boe.es/gazeta/dias/1822/01/02/pdfs/GMD-1822-2.pdf#page=2","Abrir facsímil")</f>
        <v>Abrir facsímil</v>
      </c>
      <c r="K12044" t="s">
        <v>22</v>
      </c>
    </row>
    <row r="12045" spans="1:11" ht="42" customHeight="1">
      <c r="A12045" t="s">
        <v>23600</v>
      </c>
      <c r="B12045" t="s">
        <v>23600</v>
      </c>
      <c r="C12045" t="s">
        <v>24</v>
      </c>
      <c r="D12045" t="s">
        <v>17</v>
      </c>
      <c r="E12045" s="6">
        <v>-28311</v>
      </c>
      <c r="F12045" t="s">
        <v>736</v>
      </c>
      <c r="G12045" t="s">
        <v>157</v>
      </c>
      <c r="H12045" t="s">
        <v>20</v>
      </c>
      <c r="I12045" t="s">
        <v>23601</v>
      </c>
      <c r="J12045" t="str">
        <f>HYPERLINK("https://www.boe.es/gazeta/dias/1822/06/26/pdfs/GMD-1822-184.pdf#page=8","Abrir facsímil")</f>
        <v>Abrir facsímil</v>
      </c>
      <c r="K12045" t="s">
        <v>22</v>
      </c>
    </row>
    <row r="12046" spans="1:11" ht="42" customHeight="1">
      <c r="A12046" t="s">
        <v>23602</v>
      </c>
      <c r="B12046" t="s">
        <v>23603</v>
      </c>
      <c r="C12046" t="s">
        <v>61</v>
      </c>
      <c r="D12046" t="s">
        <v>17</v>
      </c>
      <c r="E12046" s="6">
        <v>-28311</v>
      </c>
      <c r="F12046" t="s">
        <v>736</v>
      </c>
      <c r="G12046" t="s">
        <v>157</v>
      </c>
      <c r="H12046" t="s">
        <v>20</v>
      </c>
      <c r="I12046" t="s">
        <v>23604</v>
      </c>
      <c r="J12046" t="str">
        <f>HYPERLINK("https://www.boe.es/gazeta/dias/1822/06/26/pdfs/GMD-1822-184.pdf#page=8","Abrir facsímil")</f>
        <v>Abrir facsímil</v>
      </c>
      <c r="K12046" t="s">
        <v>22</v>
      </c>
    </row>
    <row r="12047" spans="1:11" ht="42" customHeight="1">
      <c r="A12047" t="s">
        <v>23605</v>
      </c>
      <c r="B12047" t="s">
        <v>23606</v>
      </c>
      <c r="C12047" t="s">
        <v>61</v>
      </c>
      <c r="D12047" t="s">
        <v>17</v>
      </c>
      <c r="E12047" s="6">
        <v>-28421</v>
      </c>
      <c r="F12047" t="s">
        <v>446</v>
      </c>
      <c r="G12047" t="s">
        <v>63</v>
      </c>
      <c r="H12047" t="s">
        <v>20</v>
      </c>
      <c r="I12047" t="s">
        <v>23607</v>
      </c>
      <c r="J12047" t="str">
        <f>HYPERLINK("https://www.boe.es/gazeta/dias/1822/03/08/pdfs/GMD-1822-69.pdf#page=6","Abrir facsímil")</f>
        <v>Abrir facsímil</v>
      </c>
      <c r="K12047" t="s">
        <v>22</v>
      </c>
    </row>
    <row r="12048" spans="1:11" ht="42" customHeight="1">
      <c r="A12048" t="s">
        <v>23608</v>
      </c>
      <c r="B12048" t="s">
        <v>23609</v>
      </c>
      <c r="C12048" t="s">
        <v>61</v>
      </c>
      <c r="D12048" t="s">
        <v>17</v>
      </c>
      <c r="E12048" s="6">
        <v>-28153</v>
      </c>
      <c r="F12048" t="s">
        <v>946</v>
      </c>
      <c r="G12048" t="s">
        <v>44</v>
      </c>
      <c r="H12048" t="s">
        <v>20</v>
      </c>
      <c r="I12048" t="s">
        <v>23610</v>
      </c>
      <c r="J12048" t="str">
        <f>HYPERLINK("https://www.boe.es/gazeta/dias/1822/12/01/pdfs/GMD-1822-351.pdf#page=1","Abrir facsímil")</f>
        <v>Abrir facsímil</v>
      </c>
      <c r="K12048" t="s">
        <v>22</v>
      </c>
    </row>
    <row r="12049" spans="1:11" ht="42" customHeight="1">
      <c r="A12049" t="s">
        <v>23611</v>
      </c>
      <c r="B12049" t="s">
        <v>23612</v>
      </c>
      <c r="C12049" t="s">
        <v>61</v>
      </c>
      <c r="D12049" t="s">
        <v>17</v>
      </c>
      <c r="E12049" s="6">
        <v>-28311</v>
      </c>
      <c r="F12049" t="s">
        <v>736</v>
      </c>
      <c r="G12049" t="s">
        <v>157</v>
      </c>
      <c r="H12049" t="s">
        <v>20</v>
      </c>
      <c r="I12049" t="s">
        <v>23613</v>
      </c>
      <c r="J12049" t="str">
        <f>HYPERLINK("https://www.boe.es/gazeta/dias/1822/06/26/pdfs/GMD-1822-184.pdf#page=8","Abrir facsímil")</f>
        <v>Abrir facsímil</v>
      </c>
      <c r="K12049" t="s">
        <v>22</v>
      </c>
    </row>
    <row r="12050" spans="1:11" ht="42" customHeight="1">
      <c r="A12050" t="s">
        <v>23614</v>
      </c>
      <c r="B12050" t="s">
        <v>23615</v>
      </c>
      <c r="C12050" t="s">
        <v>42</v>
      </c>
      <c r="D12050" t="s">
        <v>17</v>
      </c>
      <c r="E12050" s="6">
        <v>-28244</v>
      </c>
      <c r="F12050" t="s">
        <v>6163</v>
      </c>
      <c r="G12050" t="s">
        <v>44</v>
      </c>
      <c r="H12050" t="s">
        <v>20</v>
      </c>
      <c r="I12050" t="s">
        <v>23616</v>
      </c>
      <c r="J12050" t="str">
        <f>HYPERLINK("https://www.boe.es/gazeta/dias/1822/09/01/pdfs/GMD-1822-256.pdf#page=1","Abrir facsímil")</f>
        <v>Abrir facsímil</v>
      </c>
      <c r="K12050" t="s">
        <v>22</v>
      </c>
    </row>
    <row r="12051" spans="1:11" ht="42" customHeight="1">
      <c r="A12051" t="s">
        <v>23617</v>
      </c>
      <c r="B12051" t="s">
        <v>23617</v>
      </c>
      <c r="C12051" t="s">
        <v>71</v>
      </c>
      <c r="D12051" t="s">
        <v>17</v>
      </c>
      <c r="E12051" s="6">
        <v>-28421</v>
      </c>
      <c r="F12051" t="s">
        <v>446</v>
      </c>
      <c r="G12051" t="s">
        <v>31</v>
      </c>
      <c r="H12051" t="s">
        <v>20</v>
      </c>
      <c r="I12051" t="s">
        <v>23618</v>
      </c>
      <c r="J12051" t="str">
        <f>HYPERLINK("https://www.boe.es/gazeta/dias/1822/03/08/pdfs/GMD-1822-69.pdf#page=3","Abrir facsímil")</f>
        <v>Abrir facsímil</v>
      </c>
      <c r="K12051" t="s">
        <v>22</v>
      </c>
    </row>
    <row r="12052" spans="1:11" ht="42" customHeight="1">
      <c r="A12052" t="s">
        <v>23617</v>
      </c>
      <c r="B12052" t="s">
        <v>23617</v>
      </c>
      <c r="C12052" t="s">
        <v>42</v>
      </c>
      <c r="D12052" t="s">
        <v>17</v>
      </c>
      <c r="E12052" s="6">
        <v>-28310</v>
      </c>
      <c r="F12052" t="s">
        <v>241</v>
      </c>
      <c r="G12052" t="s">
        <v>44</v>
      </c>
      <c r="H12052" t="s">
        <v>20</v>
      </c>
      <c r="I12052" t="s">
        <v>23619</v>
      </c>
      <c r="J12052" t="str">
        <f>HYPERLINK("https://www.boe.es/gazeta/dias/1822/06/27/pdfs/GMD-1822-185.pdf#page=1","Abrir facsímil")</f>
        <v>Abrir facsímil</v>
      </c>
      <c r="K12052" t="s">
        <v>22</v>
      </c>
    </row>
    <row r="12053" spans="1:11" ht="42" customHeight="1">
      <c r="A12053" t="s">
        <v>23617</v>
      </c>
      <c r="B12053" t="s">
        <v>23617</v>
      </c>
      <c r="C12053" t="s">
        <v>42</v>
      </c>
      <c r="D12053" t="s">
        <v>17</v>
      </c>
      <c r="E12053" s="6">
        <v>-28309</v>
      </c>
      <c r="F12053" t="s">
        <v>553</v>
      </c>
      <c r="G12053" t="s">
        <v>2934</v>
      </c>
      <c r="H12053" t="s">
        <v>20</v>
      </c>
      <c r="I12053" t="s">
        <v>23620</v>
      </c>
      <c r="J12053" t="str">
        <f>HYPERLINK("https://www.boe.es/gazeta/dias/1822/06/28/pdfs/GMD-1822-186.pdf#page=2","Abrir facsímil")</f>
        <v>Abrir facsímil</v>
      </c>
      <c r="K12053" t="s">
        <v>22</v>
      </c>
    </row>
    <row r="12054" spans="1:11" ht="42" customHeight="1">
      <c r="A12054" t="s">
        <v>23621</v>
      </c>
      <c r="B12054" t="s">
        <v>23622</v>
      </c>
      <c r="C12054" t="s">
        <v>50</v>
      </c>
      <c r="D12054" t="s">
        <v>51</v>
      </c>
      <c r="E12054" s="6">
        <v>-28210</v>
      </c>
      <c r="F12054" t="s">
        <v>218</v>
      </c>
      <c r="G12054" t="s">
        <v>19</v>
      </c>
      <c r="H12054" t="s">
        <v>20</v>
      </c>
      <c r="I12054" t="s">
        <v>23623</v>
      </c>
      <c r="J12054" t="str">
        <f>HYPERLINK("https://www.boe.es/gazeta/dias/1822/10/05/pdfs/GMD-1822-291.pdf#page=5","Abrir facsímil")</f>
        <v>Abrir facsímil</v>
      </c>
      <c r="K12054" t="s">
        <v>22</v>
      </c>
    </row>
    <row r="12055" spans="1:11" ht="42" customHeight="1">
      <c r="A12055" t="s">
        <v>23624</v>
      </c>
      <c r="B12055" t="s">
        <v>23624</v>
      </c>
      <c r="C12055" t="s">
        <v>42</v>
      </c>
      <c r="D12055" t="s">
        <v>17</v>
      </c>
      <c r="E12055" s="6">
        <v>-28419</v>
      </c>
      <c r="F12055" t="s">
        <v>1392</v>
      </c>
      <c r="G12055" t="s">
        <v>19</v>
      </c>
      <c r="H12055" t="s">
        <v>20</v>
      </c>
      <c r="I12055" t="s">
        <v>23625</v>
      </c>
      <c r="J12055" t="str">
        <f>HYPERLINK("https://www.boe.es/gazeta/dias/1822/03/10/pdfs/GMD-1822-71.pdf#page=5","Abrir facsímil")</f>
        <v>Abrir facsímil</v>
      </c>
      <c r="K12055" t="s">
        <v>22</v>
      </c>
    </row>
    <row r="12056" spans="1:11" ht="42" customHeight="1">
      <c r="A12056" t="s">
        <v>23626</v>
      </c>
      <c r="B12056" t="s">
        <v>23627</v>
      </c>
      <c r="C12056" t="s">
        <v>24</v>
      </c>
      <c r="D12056" t="s">
        <v>17</v>
      </c>
      <c r="E12056" s="6">
        <v>-28395</v>
      </c>
      <c r="F12056" t="s">
        <v>237</v>
      </c>
      <c r="G12056" t="s">
        <v>35</v>
      </c>
      <c r="H12056" t="s">
        <v>20</v>
      </c>
      <c r="I12056" t="s">
        <v>23628</v>
      </c>
      <c r="J12056" t="str">
        <f>HYPERLINK("https://www.boe.es/gazeta/dias/1822/04/03/pdfs/GMD-1822-95.pdf#page=2","Abrir facsímil")</f>
        <v>Abrir facsímil</v>
      </c>
      <c r="K12056" t="s">
        <v>22</v>
      </c>
    </row>
    <row r="12057" spans="1:11" ht="42" customHeight="1">
      <c r="A12057" t="s">
        <v>23629</v>
      </c>
      <c r="B12057" t="s">
        <v>23630</v>
      </c>
      <c r="C12057" t="s">
        <v>50</v>
      </c>
      <c r="D12057" t="s">
        <v>51</v>
      </c>
      <c r="E12057" s="6">
        <v>-28264</v>
      </c>
      <c r="F12057" t="s">
        <v>1329</v>
      </c>
      <c r="G12057" t="s">
        <v>57</v>
      </c>
      <c r="H12057" t="s">
        <v>20</v>
      </c>
      <c r="I12057" t="s">
        <v>23631</v>
      </c>
      <c r="J12057" t="str">
        <f>HYPERLINK("https://www.boe.es/gazeta/dias/1822/08/12/pdfs/GMD-1822-236.pdf#page=4","Abrir facsímil")</f>
        <v>Abrir facsímil</v>
      </c>
      <c r="K12057" t="s">
        <v>22</v>
      </c>
    </row>
    <row r="12058" spans="1:11" ht="42" customHeight="1">
      <c r="A12058" t="s">
        <v>23632</v>
      </c>
      <c r="B12058" t="s">
        <v>23633</v>
      </c>
      <c r="C12058" t="s">
        <v>50</v>
      </c>
      <c r="D12058" t="s">
        <v>51</v>
      </c>
      <c r="E12058" s="6">
        <v>-28415</v>
      </c>
      <c r="F12058" t="s">
        <v>77</v>
      </c>
      <c r="G12058" t="s">
        <v>19</v>
      </c>
      <c r="H12058" t="s">
        <v>20</v>
      </c>
      <c r="I12058" t="s">
        <v>23634</v>
      </c>
      <c r="J12058" t="str">
        <f>HYPERLINK("https://www.boe.es/gazeta/dias/1822/03/14/pdfs/GMD-1822-75.pdf#page=5","Abrir facsímil")</f>
        <v>Abrir facsímil</v>
      </c>
      <c r="K12058" t="s">
        <v>22</v>
      </c>
    </row>
    <row r="12059" spans="1:11" ht="42" customHeight="1">
      <c r="A12059" t="s">
        <v>23635</v>
      </c>
      <c r="B12059" t="s">
        <v>23635</v>
      </c>
      <c r="C12059" t="s">
        <v>42</v>
      </c>
      <c r="D12059" t="s">
        <v>17</v>
      </c>
      <c r="E12059" s="6">
        <v>-28161</v>
      </c>
      <c r="F12059" t="s">
        <v>166</v>
      </c>
      <c r="G12059" t="s">
        <v>157</v>
      </c>
      <c r="H12059" t="s">
        <v>20</v>
      </c>
      <c r="I12059" t="s">
        <v>23636</v>
      </c>
      <c r="J12059" t="str">
        <f>HYPERLINK("https://www.boe.es/gazeta/dias/1822/11/23/pdfs/GMD-1822-343.pdf#page=8","Abrir facsímil")</f>
        <v>Abrir facsímil</v>
      </c>
      <c r="K12059" t="s">
        <v>22</v>
      </c>
    </row>
    <row r="12060" spans="1:11" ht="42" customHeight="1">
      <c r="A12060" t="s">
        <v>23637</v>
      </c>
      <c r="B12060" t="s">
        <v>23638</v>
      </c>
      <c r="C12060" t="s">
        <v>50</v>
      </c>
      <c r="D12060" t="s">
        <v>51</v>
      </c>
      <c r="E12060" s="6">
        <v>-28260</v>
      </c>
      <c r="F12060" t="s">
        <v>135</v>
      </c>
      <c r="G12060" t="s">
        <v>57</v>
      </c>
      <c r="H12060" t="s">
        <v>20</v>
      </c>
      <c r="I12060" t="s">
        <v>23639</v>
      </c>
      <c r="J12060" t="str">
        <f>HYPERLINK("https://www.boe.es/gazeta/dias/1822/08/16/pdfs/GMD-1822-240.pdf#page=4","Abrir facsímil")</f>
        <v>Abrir facsímil</v>
      </c>
      <c r="K12060" t="s">
        <v>22</v>
      </c>
    </row>
    <row r="12061" spans="1:11" ht="42" customHeight="1">
      <c r="A12061" t="s">
        <v>23640</v>
      </c>
      <c r="B12061" t="s">
        <v>23640</v>
      </c>
      <c r="C12061" t="s">
        <v>50</v>
      </c>
      <c r="D12061" t="s">
        <v>51</v>
      </c>
      <c r="E12061" s="6">
        <v>-28141</v>
      </c>
      <c r="F12061" t="s">
        <v>265</v>
      </c>
      <c r="G12061" t="s">
        <v>44</v>
      </c>
      <c r="H12061" t="s">
        <v>20</v>
      </c>
      <c r="I12061" t="s">
        <v>23641</v>
      </c>
      <c r="J12061" t="str">
        <f>HYPERLINK("https://www.boe.es/gazeta/dias/1822/12/13/pdfs/GMD-1822-363.pdf#page=1","Abrir facsímil")</f>
        <v>Abrir facsímil</v>
      </c>
      <c r="K12061" t="s">
        <v>22</v>
      </c>
    </row>
    <row r="12062" spans="1:11" ht="42" customHeight="1">
      <c r="A12062" t="s">
        <v>23642</v>
      </c>
      <c r="B12062" t="s">
        <v>23643</v>
      </c>
      <c r="C12062" t="s">
        <v>42</v>
      </c>
      <c r="D12062" t="s">
        <v>17</v>
      </c>
      <c r="E12062" s="6">
        <v>-28170</v>
      </c>
      <c r="F12062" t="s">
        <v>1457</v>
      </c>
      <c r="G12062" t="s">
        <v>19</v>
      </c>
      <c r="H12062" t="s">
        <v>45</v>
      </c>
      <c r="I12062" t="s">
        <v>23644</v>
      </c>
      <c r="J12062" t="str">
        <f>HYPERLINK("https://www.boe.es/gazeta/dias/1822/11/14/pdfs/GMD-1822-334.pdf#page=5","Abrir facsímil")</f>
        <v>Abrir facsímil</v>
      </c>
      <c r="K12062" t="s">
        <v>47</v>
      </c>
    </row>
    <row r="12063" spans="1:11" ht="42" customHeight="1">
      <c r="A12063" t="s">
        <v>23645</v>
      </c>
      <c r="B12063" t="s">
        <v>23646</v>
      </c>
      <c r="C12063" t="s">
        <v>50</v>
      </c>
      <c r="D12063" t="s">
        <v>51</v>
      </c>
      <c r="E12063" s="6">
        <v>-28214</v>
      </c>
      <c r="F12063" t="s">
        <v>814</v>
      </c>
      <c r="G12063" t="s">
        <v>44</v>
      </c>
      <c r="H12063" t="s">
        <v>20</v>
      </c>
      <c r="I12063" t="s">
        <v>23647</v>
      </c>
      <c r="J12063" t="str">
        <f>HYPERLINK("https://www.boe.es/gazeta/dias/1822/10/01/pdfs/GMD-1822-287.pdf#page=1","Abrir facsímil")</f>
        <v>Abrir facsímil</v>
      </c>
      <c r="K12063" t="s">
        <v>22</v>
      </c>
    </row>
    <row r="12064" spans="1:11" ht="42" customHeight="1">
      <c r="A12064" t="s">
        <v>23648</v>
      </c>
      <c r="B12064" t="s">
        <v>23648</v>
      </c>
      <c r="C12064" t="s">
        <v>42</v>
      </c>
      <c r="D12064" t="s">
        <v>17</v>
      </c>
      <c r="E12064" s="6">
        <v>-28188</v>
      </c>
      <c r="F12064" t="s">
        <v>578</v>
      </c>
      <c r="G12064" t="s">
        <v>31</v>
      </c>
      <c r="H12064" t="s">
        <v>20</v>
      </c>
      <c r="I12064" t="s">
        <v>23649</v>
      </c>
      <c r="J12064" t="str">
        <f>HYPERLINK("https://www.boe.es/gazeta/dias/1822/10/27/pdfs/GMD-1822-314.pdf#page=3","Abrir facsímil")</f>
        <v>Abrir facsímil</v>
      </c>
      <c r="K12064" t="s">
        <v>22</v>
      </c>
    </row>
    <row r="12065" spans="1:11" ht="42" customHeight="1">
      <c r="A12065" t="s">
        <v>23648</v>
      </c>
      <c r="B12065" t="s">
        <v>23648</v>
      </c>
      <c r="C12065" t="s">
        <v>71</v>
      </c>
      <c r="D12065" t="s">
        <v>17</v>
      </c>
      <c r="E12065" s="6">
        <v>-28188</v>
      </c>
      <c r="F12065" t="s">
        <v>578</v>
      </c>
      <c r="G12065" t="s">
        <v>63</v>
      </c>
      <c r="H12065" t="s">
        <v>20</v>
      </c>
      <c r="I12065" t="s">
        <v>23650</v>
      </c>
      <c r="J12065" t="str">
        <f>HYPERLINK("https://www.boe.es/gazeta/dias/1822/10/27/pdfs/GMD-1822-314.pdf#page=6","Abrir facsímil")</f>
        <v>Abrir facsímil</v>
      </c>
      <c r="K12065" t="s">
        <v>22</v>
      </c>
    </row>
    <row r="12066" spans="1:11" ht="42" customHeight="1">
      <c r="A12066" t="s">
        <v>23648</v>
      </c>
      <c r="B12066" t="s">
        <v>23648</v>
      </c>
      <c r="C12066" t="s">
        <v>50</v>
      </c>
      <c r="D12066" t="s">
        <v>51</v>
      </c>
      <c r="E12066" s="6">
        <v>-28186</v>
      </c>
      <c r="F12066" t="s">
        <v>581</v>
      </c>
      <c r="G12066" t="s">
        <v>57</v>
      </c>
      <c r="H12066" t="s">
        <v>20</v>
      </c>
      <c r="I12066" t="s">
        <v>23651</v>
      </c>
      <c r="J12066" t="str">
        <f>HYPERLINK("https://www.boe.es/gazeta/dias/1822/10/29/pdfs/GMD-1822-316.pdf#page=4","Abrir facsímil")</f>
        <v>Abrir facsímil</v>
      </c>
      <c r="K12066" t="s">
        <v>22</v>
      </c>
    </row>
    <row r="12067" spans="1:11" ht="42" customHeight="1">
      <c r="A12067" t="s">
        <v>23648</v>
      </c>
      <c r="B12067" t="s">
        <v>23648</v>
      </c>
      <c r="C12067" t="s">
        <v>42</v>
      </c>
      <c r="D12067" t="s">
        <v>17</v>
      </c>
      <c r="E12067" s="6">
        <v>-28136</v>
      </c>
      <c r="F12067" t="s">
        <v>948</v>
      </c>
      <c r="G12067" t="s">
        <v>19</v>
      </c>
      <c r="H12067" t="s">
        <v>20</v>
      </c>
      <c r="I12067" t="s">
        <v>23652</v>
      </c>
      <c r="J12067" t="str">
        <f>HYPERLINK("https://www.boe.es/gazeta/dias/1822/12/18/pdfs/GMD-1822-368.pdf#page=5","Abrir facsímil")</f>
        <v>Abrir facsímil</v>
      </c>
      <c r="K12067" t="s">
        <v>22</v>
      </c>
    </row>
    <row r="12068" spans="1:11" ht="42" customHeight="1">
      <c r="A12068" t="s">
        <v>23648</v>
      </c>
      <c r="B12068" t="s">
        <v>23648</v>
      </c>
      <c r="C12068" t="s">
        <v>42</v>
      </c>
      <c r="D12068" t="s">
        <v>17</v>
      </c>
      <c r="E12068" s="6">
        <v>-28130</v>
      </c>
      <c r="F12068" t="s">
        <v>34</v>
      </c>
      <c r="G12068" t="s">
        <v>31</v>
      </c>
      <c r="H12068" t="s">
        <v>20</v>
      </c>
      <c r="I12068" t="s">
        <v>23653</v>
      </c>
      <c r="J12068" t="str">
        <f>HYPERLINK("https://www.boe.es/gazeta/dias/1822/12/24/pdfs/GMD-1822-374.pdf#page=3","Abrir facsímil")</f>
        <v>Abrir facsímil</v>
      </c>
      <c r="K12068" t="s">
        <v>22</v>
      </c>
    </row>
    <row r="12069" spans="1:11" ht="42" customHeight="1">
      <c r="A12069" t="s">
        <v>23654</v>
      </c>
      <c r="B12069" t="s">
        <v>23655</v>
      </c>
      <c r="C12069" t="s">
        <v>28</v>
      </c>
      <c r="D12069" t="s">
        <v>29</v>
      </c>
      <c r="E12069" s="6">
        <v>-28359</v>
      </c>
      <c r="F12069" t="s">
        <v>209</v>
      </c>
      <c r="G12069" t="s">
        <v>35</v>
      </c>
      <c r="H12069" t="s">
        <v>20</v>
      </c>
      <c r="I12069" t="s">
        <v>23656</v>
      </c>
      <c r="J12069" t="str">
        <f>HYPERLINK("https://www.boe.es/gazeta/dias/1822/05/09/pdfs/GMD-1822-131.pdf#page=2","Abrir facsímil")</f>
        <v>Abrir facsímil</v>
      </c>
      <c r="K12069" t="s">
        <v>22</v>
      </c>
    </row>
    <row r="12070" spans="1:11" ht="42" customHeight="1">
      <c r="A12070" t="s">
        <v>23657</v>
      </c>
      <c r="B12070" t="s">
        <v>23657</v>
      </c>
      <c r="C12070" t="s">
        <v>42</v>
      </c>
      <c r="D12070" t="s">
        <v>17</v>
      </c>
      <c r="E12070" s="6">
        <v>-28320</v>
      </c>
      <c r="F12070" t="s">
        <v>700</v>
      </c>
      <c r="G12070" t="s">
        <v>57</v>
      </c>
      <c r="H12070" t="s">
        <v>20</v>
      </c>
      <c r="I12070" t="s">
        <v>23658</v>
      </c>
      <c r="J12070" t="str">
        <f>HYPERLINK("https://www.boe.es/gazeta/dias/1822/06/17/pdfs/GMD-1822-174.pdf#page=4","Abrir facsímil")</f>
        <v>Abrir facsímil</v>
      </c>
      <c r="K12070" t="s">
        <v>22</v>
      </c>
    </row>
    <row r="12071" spans="1:11" ht="42" customHeight="1">
      <c r="A12071" t="s">
        <v>23659</v>
      </c>
      <c r="B12071" t="s">
        <v>23659</v>
      </c>
      <c r="C12071" t="s">
        <v>71</v>
      </c>
      <c r="D12071" t="s">
        <v>17</v>
      </c>
      <c r="E12071" s="6">
        <v>-28342</v>
      </c>
      <c r="F12071" t="s">
        <v>2281</v>
      </c>
      <c r="G12071" t="s">
        <v>19</v>
      </c>
      <c r="H12071" t="s">
        <v>20</v>
      </c>
      <c r="I12071" t="s">
        <v>23660</v>
      </c>
      <c r="J12071" t="str">
        <f>HYPERLINK("https://www.boe.es/gazeta/dias/1822/05/26/pdfs/GMD-1822-151.pdf#page=5","Abrir facsímil")</f>
        <v>Abrir facsímil</v>
      </c>
      <c r="K12071" t="s">
        <v>22</v>
      </c>
    </row>
    <row r="12072" spans="1:11" ht="42" customHeight="1">
      <c r="A12072" t="s">
        <v>23661</v>
      </c>
      <c r="B12072" t="s">
        <v>23662</v>
      </c>
      <c r="C12072" t="s">
        <v>24</v>
      </c>
      <c r="D12072" t="s">
        <v>17</v>
      </c>
      <c r="E12072" s="6">
        <v>-28487</v>
      </c>
      <c r="F12072" t="s">
        <v>426</v>
      </c>
      <c r="G12072" t="s">
        <v>63</v>
      </c>
      <c r="H12072" t="s">
        <v>20</v>
      </c>
      <c r="I12072" t="s">
        <v>23663</v>
      </c>
      <c r="J12072" t="str">
        <f>HYPERLINK("https://www.boe.es/gazeta/dias/1822/01/01/pdfs/GMD-1822-1.pdf#page=6","Abrir facsímil")</f>
        <v>Abrir facsímil</v>
      </c>
      <c r="K12072" t="s">
        <v>22</v>
      </c>
    </row>
    <row r="12073" spans="1:11" ht="42" customHeight="1">
      <c r="A12073" t="s">
        <v>23664</v>
      </c>
      <c r="B12073" t="s">
        <v>23665</v>
      </c>
      <c r="C12073" t="s">
        <v>50</v>
      </c>
      <c r="D12073" t="s">
        <v>51</v>
      </c>
      <c r="E12073" s="6">
        <v>-28314</v>
      </c>
      <c r="F12073" t="s">
        <v>309</v>
      </c>
      <c r="G12073" t="s">
        <v>63</v>
      </c>
      <c r="H12073" t="s">
        <v>45</v>
      </c>
      <c r="I12073" t="s">
        <v>23666</v>
      </c>
      <c r="J12073" t="str">
        <f>HYPERLINK("https://www.boe.es/gazeta/dias/1822/06/23/pdfs/GMD-1822-181.pdf#page=6","Abrir facsímil")</f>
        <v>Abrir facsímil</v>
      </c>
      <c r="K12073" t="s">
        <v>47</v>
      </c>
    </row>
    <row r="12074" spans="1:11" ht="42" customHeight="1">
      <c r="A12074" t="s">
        <v>23667</v>
      </c>
      <c r="B12074" t="s">
        <v>23668</v>
      </c>
      <c r="C12074" t="s">
        <v>50</v>
      </c>
      <c r="D12074" t="s">
        <v>51</v>
      </c>
      <c r="E12074" s="6">
        <v>-28258</v>
      </c>
      <c r="F12074" t="s">
        <v>88</v>
      </c>
      <c r="G12074" t="s">
        <v>57</v>
      </c>
      <c r="H12074" t="s">
        <v>45</v>
      </c>
      <c r="I12074" t="s">
        <v>23669</v>
      </c>
      <c r="J12074" t="str">
        <f>HYPERLINK("https://www.boe.es/gazeta/dias/1822/08/18/pdfs/GMD-1822-242.pdf#page=4","Abrir facsímil")</f>
        <v>Abrir facsímil</v>
      </c>
      <c r="K12074" t="s">
        <v>47</v>
      </c>
    </row>
    <row r="12075" spans="1:11" ht="42" customHeight="1">
      <c r="A12075" t="s">
        <v>23670</v>
      </c>
      <c r="B12075" t="s">
        <v>23671</v>
      </c>
      <c r="C12075" t="s">
        <v>71</v>
      </c>
      <c r="D12075" t="s">
        <v>17</v>
      </c>
      <c r="E12075" s="6">
        <v>-28347</v>
      </c>
      <c r="F12075" t="s">
        <v>520</v>
      </c>
      <c r="G12075" t="s">
        <v>35</v>
      </c>
      <c r="H12075" t="s">
        <v>45</v>
      </c>
      <c r="I12075" t="s">
        <v>23672</v>
      </c>
      <c r="J12075" t="str">
        <f>HYPERLINK("https://www.boe.es/gazeta/dias/1822/05/21/pdfs/GMD-1822-144.pdf#page=2","Abrir facsímil")</f>
        <v>Abrir facsímil</v>
      </c>
      <c r="K12075" t="s">
        <v>47</v>
      </c>
    </row>
    <row r="12076" spans="1:11" ht="42" customHeight="1">
      <c r="A12076" t="s">
        <v>23673</v>
      </c>
      <c r="B12076" t="s">
        <v>23674</v>
      </c>
      <c r="C12076" t="s">
        <v>71</v>
      </c>
      <c r="D12076" t="s">
        <v>17</v>
      </c>
      <c r="E12076" s="6">
        <v>-28373</v>
      </c>
      <c r="F12076" t="s">
        <v>614</v>
      </c>
      <c r="G12076" t="s">
        <v>57</v>
      </c>
      <c r="H12076" t="s">
        <v>45</v>
      </c>
      <c r="I12076" t="s">
        <v>23675</v>
      </c>
      <c r="J12076" t="str">
        <f>HYPERLINK("https://www.boe.es/gazeta/dias/1822/04/25/pdfs/GMD-1822-117.pdf#page=4","Abrir facsímil")</f>
        <v>Abrir facsímil</v>
      </c>
      <c r="K12076" t="s">
        <v>47</v>
      </c>
    </row>
    <row r="12077" spans="1:11" ht="42" customHeight="1">
      <c r="A12077" t="s">
        <v>23676</v>
      </c>
      <c r="B12077" t="s">
        <v>23677</v>
      </c>
      <c r="C12077" t="s">
        <v>71</v>
      </c>
      <c r="D12077" t="s">
        <v>17</v>
      </c>
      <c r="E12077" s="6">
        <v>-28400</v>
      </c>
      <c r="F12077" t="s">
        <v>1937</v>
      </c>
      <c r="G12077" t="s">
        <v>35</v>
      </c>
      <c r="H12077" t="s">
        <v>20</v>
      </c>
      <c r="I12077" t="s">
        <v>23678</v>
      </c>
      <c r="J12077" t="str">
        <f>HYPERLINK("https://www.boe.es/gazeta/dias/1822/03/29/pdfs/GMD-1822-90.pdf#page=2","Abrir facsímil")</f>
        <v>Abrir facsímil</v>
      </c>
      <c r="K12077" t="s">
        <v>22</v>
      </c>
    </row>
    <row r="12078" spans="1:11" ht="42" customHeight="1">
      <c r="A12078" t="s">
        <v>23676</v>
      </c>
      <c r="B12078" t="s">
        <v>23677</v>
      </c>
      <c r="C12078" t="s">
        <v>71</v>
      </c>
      <c r="D12078" t="s">
        <v>17</v>
      </c>
      <c r="E12078" s="6">
        <v>-28356</v>
      </c>
      <c r="F12078" t="s">
        <v>4170</v>
      </c>
      <c r="G12078" t="s">
        <v>35</v>
      </c>
      <c r="H12078" t="s">
        <v>20</v>
      </c>
      <c r="I12078" t="s">
        <v>23679</v>
      </c>
      <c r="J12078" t="str">
        <f>HYPERLINK("https://www.boe.es/gazeta/dias/1822/05/12/pdfs/GMD-1822-134.pdf#page=2","Abrir facsímil")</f>
        <v>Abrir facsímil</v>
      </c>
      <c r="K12078" t="s">
        <v>22</v>
      </c>
    </row>
    <row r="12079" spans="1:11" ht="42" customHeight="1">
      <c r="A12079" t="s">
        <v>23680</v>
      </c>
      <c r="B12079" t="s">
        <v>23681</v>
      </c>
      <c r="C12079" t="s">
        <v>50</v>
      </c>
      <c r="D12079" t="s">
        <v>51</v>
      </c>
      <c r="E12079" s="6">
        <v>-28238</v>
      </c>
      <c r="F12079" t="s">
        <v>2077</v>
      </c>
      <c r="G12079" t="s">
        <v>44</v>
      </c>
      <c r="H12079" t="s">
        <v>45</v>
      </c>
      <c r="I12079" t="s">
        <v>23682</v>
      </c>
      <c r="J12079" t="str">
        <f>HYPERLINK("https://www.boe.es/gazeta/dias/1822/09/07/pdfs/GMD-1822-262.pdf#page=1","Abrir facsímil")</f>
        <v>Abrir facsímil</v>
      </c>
      <c r="K12079" t="s">
        <v>47</v>
      </c>
    </row>
    <row r="12080" spans="1:11" ht="42" customHeight="1">
      <c r="A12080" t="s">
        <v>23683</v>
      </c>
      <c r="B12080" t="s">
        <v>23684</v>
      </c>
      <c r="C12080" t="s">
        <v>28</v>
      </c>
      <c r="D12080" t="s">
        <v>29</v>
      </c>
      <c r="E12080" s="6">
        <v>-28326</v>
      </c>
      <c r="F12080" t="s">
        <v>543</v>
      </c>
      <c r="G12080" t="s">
        <v>63</v>
      </c>
      <c r="H12080" t="s">
        <v>20</v>
      </c>
      <c r="I12080" t="s">
        <v>23685</v>
      </c>
      <c r="J12080" t="str">
        <f>HYPERLINK("https://www.boe.es/gazeta/dias/1822/06/11/pdfs/GMD-1822-168.pdf#page=6","Abrir facsímil")</f>
        <v>Abrir facsímil</v>
      </c>
      <c r="K12080" t="s">
        <v>22</v>
      </c>
    </row>
    <row r="12081" spans="1:11" ht="42" customHeight="1">
      <c r="A12081" t="s">
        <v>23686</v>
      </c>
      <c r="B12081" t="s">
        <v>23686</v>
      </c>
      <c r="C12081" t="s">
        <v>28</v>
      </c>
      <c r="D12081" t="s">
        <v>29</v>
      </c>
      <c r="E12081" s="6">
        <v>-28259</v>
      </c>
      <c r="F12081" t="s">
        <v>1912</v>
      </c>
      <c r="G12081" t="s">
        <v>57</v>
      </c>
      <c r="H12081" t="s">
        <v>20</v>
      </c>
      <c r="I12081" t="s">
        <v>23687</v>
      </c>
      <c r="J12081" t="str">
        <f>HYPERLINK("https://www.boe.es/gazeta/dias/1822/08/17/pdfs/GMD-1822-241.pdf#page=4","Abrir facsímil")</f>
        <v>Abrir facsímil</v>
      </c>
      <c r="K12081" t="s">
        <v>22</v>
      </c>
    </row>
    <row r="12082" spans="1:11" ht="42" customHeight="1">
      <c r="A12082" t="s">
        <v>23688</v>
      </c>
      <c r="B12082" t="s">
        <v>23689</v>
      </c>
      <c r="C12082" t="s">
        <v>24</v>
      </c>
      <c r="D12082" t="s">
        <v>17</v>
      </c>
      <c r="E12082" s="6">
        <v>-28364</v>
      </c>
      <c r="F12082" t="s">
        <v>509</v>
      </c>
      <c r="G12082" t="s">
        <v>63</v>
      </c>
      <c r="H12082" t="s">
        <v>20</v>
      </c>
      <c r="I12082" t="s">
        <v>23690</v>
      </c>
      <c r="J12082" t="str">
        <f>HYPERLINK("https://www.boe.es/gazeta/dias/1822/05/04/pdfs/GMD-1822-126.pdf#page=6","Abrir facsímil")</f>
        <v>Abrir facsímil</v>
      </c>
      <c r="K12082" t="s">
        <v>22</v>
      </c>
    </row>
    <row r="12083" spans="1:11" ht="42" customHeight="1">
      <c r="A12083" t="s">
        <v>23691</v>
      </c>
      <c r="B12083" t="s">
        <v>23692</v>
      </c>
      <c r="C12083" t="s">
        <v>24</v>
      </c>
      <c r="D12083" t="s">
        <v>17</v>
      </c>
      <c r="E12083" s="6">
        <v>-28374</v>
      </c>
      <c r="F12083" t="s">
        <v>171</v>
      </c>
      <c r="G12083" t="s">
        <v>57</v>
      </c>
      <c r="H12083" t="s">
        <v>20</v>
      </c>
      <c r="I12083" t="s">
        <v>23693</v>
      </c>
      <c r="J12083" t="str">
        <f>HYPERLINK("https://www.boe.es/gazeta/dias/1822/04/24/pdfs/GMD-1822-116.pdf#page=4","Abrir facsímil")</f>
        <v>Abrir facsímil</v>
      </c>
      <c r="K12083" t="s">
        <v>22</v>
      </c>
    </row>
    <row r="12084" spans="1:11" ht="42" customHeight="1">
      <c r="A12084" t="s">
        <v>23691</v>
      </c>
      <c r="B12084" t="s">
        <v>23692</v>
      </c>
      <c r="C12084" t="s">
        <v>71</v>
      </c>
      <c r="D12084" t="s">
        <v>17</v>
      </c>
      <c r="E12084" s="6">
        <v>-28270</v>
      </c>
      <c r="F12084" t="s">
        <v>130</v>
      </c>
      <c r="G12084" t="s">
        <v>131</v>
      </c>
      <c r="H12084" t="s">
        <v>20</v>
      </c>
      <c r="I12084" t="s">
        <v>23694</v>
      </c>
      <c r="J12084" t="str">
        <f>HYPERLINK("https://www.boe.es/gazeta/dias/1822/08/06/pdfs/GMD-1822-230.pdf#page=6","Abrir facsímil")</f>
        <v>Abrir facsímil</v>
      </c>
      <c r="K12084" t="s">
        <v>22</v>
      </c>
    </row>
    <row r="12085" spans="1:11" ht="42" customHeight="1">
      <c r="A12085" t="s">
        <v>23691</v>
      </c>
      <c r="B12085" t="s">
        <v>23692</v>
      </c>
      <c r="C12085" t="s">
        <v>42</v>
      </c>
      <c r="D12085" t="s">
        <v>17</v>
      </c>
      <c r="E12085" s="6">
        <v>-28266</v>
      </c>
      <c r="F12085" t="s">
        <v>1169</v>
      </c>
      <c r="G12085" t="s">
        <v>57</v>
      </c>
      <c r="H12085" t="s">
        <v>20</v>
      </c>
      <c r="I12085" t="s">
        <v>23695</v>
      </c>
      <c r="J12085" t="str">
        <f>HYPERLINK("https://www.boe.es/gazeta/dias/1822/08/10/pdfs/GMD-1822-234.pdf#page=4","Abrir facsímil")</f>
        <v>Abrir facsímil</v>
      </c>
      <c r="K12085" t="s">
        <v>22</v>
      </c>
    </row>
    <row r="12086" spans="1:11" ht="42" customHeight="1">
      <c r="A12086" t="s">
        <v>23691</v>
      </c>
      <c r="B12086" t="s">
        <v>23692</v>
      </c>
      <c r="C12086" t="s">
        <v>42</v>
      </c>
      <c r="D12086" t="s">
        <v>17</v>
      </c>
      <c r="E12086" s="6">
        <v>-28221</v>
      </c>
      <c r="F12086" t="s">
        <v>2591</v>
      </c>
      <c r="G12086" t="s">
        <v>57</v>
      </c>
      <c r="H12086" t="s">
        <v>20</v>
      </c>
      <c r="I12086" t="s">
        <v>23696</v>
      </c>
      <c r="J12086" t="str">
        <f>HYPERLINK("https://www.boe.es/gazeta/dias/1822/09/24/pdfs/GMD-1822-280.pdf#page=4","Abrir facsímil")</f>
        <v>Abrir facsímil</v>
      </c>
      <c r="K12086" t="s">
        <v>22</v>
      </c>
    </row>
    <row r="12087" spans="1:11" ht="42" customHeight="1">
      <c r="A12087" t="s">
        <v>23697</v>
      </c>
      <c r="B12087" t="s">
        <v>23698</v>
      </c>
      <c r="C12087" t="s">
        <v>50</v>
      </c>
      <c r="D12087" t="s">
        <v>51</v>
      </c>
      <c r="E12087" s="6">
        <v>-28270</v>
      </c>
      <c r="F12087" t="s">
        <v>130</v>
      </c>
      <c r="G12087" t="s">
        <v>131</v>
      </c>
      <c r="H12087" t="s">
        <v>20</v>
      </c>
      <c r="I12087" t="s">
        <v>23699</v>
      </c>
      <c r="J12087" t="str">
        <f>HYPERLINK("https://www.boe.es/gazeta/dias/1822/08/06/pdfs/GMD-1822-230.pdf#page=6","Abrir facsímil")</f>
        <v>Abrir facsímil</v>
      </c>
      <c r="K12087" t="s">
        <v>22</v>
      </c>
    </row>
    <row r="12088" spans="1:11" ht="42" customHeight="1">
      <c r="A12088" t="s">
        <v>23700</v>
      </c>
      <c r="B12088" t="s">
        <v>23701</v>
      </c>
      <c r="C12088" t="s">
        <v>28</v>
      </c>
      <c r="D12088" t="s">
        <v>29</v>
      </c>
      <c r="E12088" s="6">
        <v>-28195</v>
      </c>
      <c r="F12088" t="s">
        <v>770</v>
      </c>
      <c r="G12088" t="s">
        <v>63</v>
      </c>
      <c r="H12088" t="s">
        <v>20</v>
      </c>
      <c r="I12088" t="s">
        <v>23702</v>
      </c>
      <c r="J12088" t="str">
        <f>HYPERLINK("https://www.boe.es/gazeta/dias/1822/10/20/pdfs/GMD-1822-307.pdf#page=6","Abrir facsímil")</f>
        <v>Abrir facsímil</v>
      </c>
      <c r="K12088" t="s">
        <v>22</v>
      </c>
    </row>
    <row r="12089" spans="1:11" ht="42" customHeight="1">
      <c r="A12089" t="s">
        <v>23703</v>
      </c>
      <c r="B12089" t="s">
        <v>23704</v>
      </c>
      <c r="C12089" t="s">
        <v>71</v>
      </c>
      <c r="D12089" t="s">
        <v>17</v>
      </c>
      <c r="E12089" s="6">
        <v>-28332</v>
      </c>
      <c r="F12089" t="s">
        <v>535</v>
      </c>
      <c r="G12089" t="s">
        <v>31</v>
      </c>
      <c r="H12089" t="s">
        <v>45</v>
      </c>
      <c r="I12089" t="s">
        <v>23705</v>
      </c>
      <c r="J12089" t="str">
        <f>HYPERLINK("https://www.boe.es/gazeta/dias/1822/06/05/pdfs/GMD-1822-162.pdf#page=3","Abrir facsímil")</f>
        <v>Abrir facsímil</v>
      </c>
      <c r="K12089" t="s">
        <v>47</v>
      </c>
    </row>
    <row r="12090" spans="1:11" ht="42" customHeight="1">
      <c r="A12090" t="s">
        <v>23706</v>
      </c>
      <c r="B12090" t="s">
        <v>23707</v>
      </c>
      <c r="C12090" t="s">
        <v>50</v>
      </c>
      <c r="D12090" t="s">
        <v>51</v>
      </c>
      <c r="E12090" s="6">
        <v>-28311</v>
      </c>
      <c r="F12090" t="s">
        <v>736</v>
      </c>
      <c r="G12090" t="s">
        <v>167</v>
      </c>
      <c r="H12090" t="s">
        <v>20</v>
      </c>
      <c r="I12090" t="s">
        <v>23708</v>
      </c>
      <c r="J12090" t="str">
        <f>HYPERLINK("https://www.boe.es/gazeta/dias/1822/06/26/pdfs/GMD-1822-184.pdf#page=7","Abrir facsímil")</f>
        <v>Abrir facsímil</v>
      </c>
      <c r="K12090" t="s">
        <v>22</v>
      </c>
    </row>
    <row r="12091" spans="1:11" ht="42" customHeight="1">
      <c r="A12091" t="s">
        <v>23709</v>
      </c>
      <c r="B12091" t="s">
        <v>23710</v>
      </c>
      <c r="C12091" t="s">
        <v>16</v>
      </c>
      <c r="D12091" t="s">
        <v>17</v>
      </c>
      <c r="E12091" s="6">
        <v>-28273</v>
      </c>
      <c r="F12091" t="s">
        <v>1063</v>
      </c>
      <c r="G12091" t="s">
        <v>57</v>
      </c>
      <c r="H12091" t="s">
        <v>20</v>
      </c>
      <c r="I12091" t="s">
        <v>23711</v>
      </c>
      <c r="J12091" t="str">
        <f>HYPERLINK("https://www.boe.es/gazeta/dias/1822/08/03/pdfs/GMD-1822-227.pdf#page=4","Abrir facsímil")</f>
        <v>Abrir facsímil</v>
      </c>
      <c r="K12091" t="s">
        <v>22</v>
      </c>
    </row>
    <row r="12092" spans="1:11" ht="42" customHeight="1">
      <c r="A12092" t="s">
        <v>23712</v>
      </c>
      <c r="B12092" t="s">
        <v>23713</v>
      </c>
      <c r="C12092" t="s">
        <v>42</v>
      </c>
      <c r="D12092" t="s">
        <v>17</v>
      </c>
      <c r="E12092" s="6">
        <v>-28473</v>
      </c>
      <c r="F12092" t="s">
        <v>2337</v>
      </c>
      <c r="G12092" t="s">
        <v>57</v>
      </c>
      <c r="H12092" t="s">
        <v>20</v>
      </c>
      <c r="I12092" t="s">
        <v>23714</v>
      </c>
      <c r="J12092" t="str">
        <f>HYPERLINK("https://www.boe.es/gazeta/dias/1822/01/15/pdfs/GMD-1822-15.pdf#page=4","Abrir facsímil")</f>
        <v>Abrir facsímil</v>
      </c>
      <c r="K12092" t="s">
        <v>22</v>
      </c>
    </row>
    <row r="12093" spans="1:11" ht="42" customHeight="1">
      <c r="A12093" t="s">
        <v>23712</v>
      </c>
      <c r="B12093" t="s">
        <v>23713</v>
      </c>
      <c r="C12093" t="s">
        <v>50</v>
      </c>
      <c r="D12093" t="s">
        <v>51</v>
      </c>
      <c r="E12093" s="6">
        <v>-28473</v>
      </c>
      <c r="F12093" t="s">
        <v>2337</v>
      </c>
      <c r="G12093" t="s">
        <v>19</v>
      </c>
      <c r="H12093" t="s">
        <v>20</v>
      </c>
      <c r="I12093" t="s">
        <v>23715</v>
      </c>
      <c r="J12093" t="str">
        <f>HYPERLINK("https://www.boe.es/gazeta/dias/1822/01/15/pdfs/GMD-1822-15.pdf#page=5","Abrir facsímil")</f>
        <v>Abrir facsímil</v>
      </c>
      <c r="K12093" t="s">
        <v>22</v>
      </c>
    </row>
    <row r="12094" spans="1:11" ht="42" customHeight="1">
      <c r="A12094" t="s">
        <v>23712</v>
      </c>
      <c r="B12094" t="s">
        <v>23713</v>
      </c>
      <c r="C12094" t="s">
        <v>50</v>
      </c>
      <c r="D12094" t="s">
        <v>51</v>
      </c>
      <c r="E12094" s="6">
        <v>-28473</v>
      </c>
      <c r="F12094" t="s">
        <v>2337</v>
      </c>
      <c r="G12094" t="s">
        <v>63</v>
      </c>
      <c r="H12094" t="s">
        <v>20</v>
      </c>
      <c r="I12094" t="s">
        <v>23716</v>
      </c>
      <c r="J12094" t="str">
        <f>HYPERLINK("https://www.boe.es/gazeta/dias/1822/01/15/pdfs/GMD-1822-15.pdf#page=6","Abrir facsímil")</f>
        <v>Abrir facsímil</v>
      </c>
      <c r="K12094" t="s">
        <v>22</v>
      </c>
    </row>
    <row r="12095" spans="1:11" ht="42" customHeight="1">
      <c r="A12095" t="s">
        <v>23712</v>
      </c>
      <c r="B12095" t="s">
        <v>23713</v>
      </c>
      <c r="C12095" t="s">
        <v>28</v>
      </c>
      <c r="D12095" t="s">
        <v>29</v>
      </c>
      <c r="E12095" s="6">
        <v>-28401</v>
      </c>
      <c r="F12095" t="s">
        <v>108</v>
      </c>
      <c r="G12095" t="s">
        <v>31</v>
      </c>
      <c r="H12095" t="s">
        <v>20</v>
      </c>
      <c r="I12095" t="s">
        <v>23717</v>
      </c>
      <c r="J12095" t="str">
        <f>HYPERLINK("https://www.boe.es/gazeta/dias/1822/03/28/pdfs/GMD-1822-89.pdf#page=3","Abrir facsímil")</f>
        <v>Abrir facsímil</v>
      </c>
      <c r="K12095" t="s">
        <v>22</v>
      </c>
    </row>
    <row r="12096" spans="1:11" ht="42" customHeight="1">
      <c r="A12096" t="s">
        <v>23712</v>
      </c>
      <c r="B12096" t="s">
        <v>23713</v>
      </c>
      <c r="C12096" t="s">
        <v>71</v>
      </c>
      <c r="D12096" t="s">
        <v>17</v>
      </c>
      <c r="E12096" s="6">
        <v>-28401</v>
      </c>
      <c r="F12096" t="s">
        <v>108</v>
      </c>
      <c r="G12096" t="s">
        <v>57</v>
      </c>
      <c r="H12096" t="s">
        <v>20</v>
      </c>
      <c r="I12096" t="s">
        <v>23718</v>
      </c>
      <c r="J12096" t="str">
        <f>HYPERLINK("https://www.boe.es/gazeta/dias/1822/03/28/pdfs/GMD-1822-89.pdf#page=4","Abrir facsímil")</f>
        <v>Abrir facsímil</v>
      </c>
      <c r="K12096" t="s">
        <v>22</v>
      </c>
    </row>
    <row r="12097" spans="1:11" ht="42" customHeight="1">
      <c r="A12097" t="s">
        <v>23712</v>
      </c>
      <c r="B12097" t="s">
        <v>23713</v>
      </c>
      <c r="C12097" t="s">
        <v>61</v>
      </c>
      <c r="D12097" t="s">
        <v>17</v>
      </c>
      <c r="E12097" s="6">
        <v>-28162</v>
      </c>
      <c r="F12097" t="s">
        <v>3949</v>
      </c>
      <c r="G12097" t="s">
        <v>63</v>
      </c>
      <c r="H12097" t="s">
        <v>20</v>
      </c>
      <c r="I12097" t="s">
        <v>23719</v>
      </c>
      <c r="J12097" t="str">
        <f>HYPERLINK("https://www.boe.es/gazeta/dias/1822/11/22/pdfs/GMD-1822-342.pdf#page=6","Abrir facsímil")</f>
        <v>Abrir facsímil</v>
      </c>
      <c r="K12097" t="s">
        <v>22</v>
      </c>
    </row>
    <row r="12098" spans="1:11" ht="42" customHeight="1">
      <c r="A12098" t="s">
        <v>23720</v>
      </c>
      <c r="B12098" t="s">
        <v>23721</v>
      </c>
      <c r="C12098" t="s">
        <v>362</v>
      </c>
      <c r="D12098" t="s">
        <v>17</v>
      </c>
      <c r="E12098" s="6">
        <v>-28378</v>
      </c>
      <c r="F12098" t="s">
        <v>496</v>
      </c>
      <c r="G12098" t="s">
        <v>57</v>
      </c>
      <c r="H12098" t="s">
        <v>45</v>
      </c>
      <c r="I12098" t="s">
        <v>23722</v>
      </c>
      <c r="J12098" t="str">
        <f>HYPERLINK("https://www.boe.es/gazeta/dias/1822/04/20/pdfs/GMD-1822-112.pdf#page=4","Abrir facsímil")</f>
        <v>Abrir facsímil</v>
      </c>
      <c r="K12098" t="s">
        <v>47</v>
      </c>
    </row>
    <row r="12099" spans="1:11" ht="42" customHeight="1">
      <c r="A12099" t="s">
        <v>23723</v>
      </c>
      <c r="B12099" t="s">
        <v>23724</v>
      </c>
      <c r="C12099" t="s">
        <v>28</v>
      </c>
      <c r="D12099" t="s">
        <v>29</v>
      </c>
      <c r="E12099" s="6">
        <v>-28378</v>
      </c>
      <c r="F12099" t="s">
        <v>496</v>
      </c>
      <c r="G12099" t="s">
        <v>57</v>
      </c>
      <c r="H12099" t="s">
        <v>45</v>
      </c>
      <c r="I12099" t="s">
        <v>23725</v>
      </c>
      <c r="J12099" t="str">
        <f>HYPERLINK("https://www.boe.es/gazeta/dias/1822/04/20/pdfs/GMD-1822-112.pdf#page=4","Abrir facsímil")</f>
        <v>Abrir facsímil</v>
      </c>
      <c r="K12099" t="s">
        <v>47</v>
      </c>
    </row>
    <row r="12100" spans="1:11" ht="42" customHeight="1">
      <c r="A12100" t="s">
        <v>23726</v>
      </c>
      <c r="B12100" t="s">
        <v>23727</v>
      </c>
      <c r="C12100" t="s">
        <v>50</v>
      </c>
      <c r="D12100" t="s">
        <v>51</v>
      </c>
      <c r="E12100" s="6">
        <v>-28415</v>
      </c>
      <c r="F12100" t="s">
        <v>77</v>
      </c>
      <c r="G12100" t="s">
        <v>63</v>
      </c>
      <c r="H12100" t="s">
        <v>20</v>
      </c>
      <c r="I12100" t="s">
        <v>23728</v>
      </c>
      <c r="J12100" t="str">
        <f>HYPERLINK("https://www.boe.es/gazeta/dias/1822/03/14/pdfs/GMD-1822-75.pdf#page=6","Abrir facsímil")</f>
        <v>Abrir facsímil</v>
      </c>
      <c r="K12100" t="s">
        <v>22</v>
      </c>
    </row>
    <row r="12101" spans="1:11" ht="42" customHeight="1">
      <c r="A12101" t="s">
        <v>23729</v>
      </c>
      <c r="B12101" t="s">
        <v>23729</v>
      </c>
      <c r="C12101" t="s">
        <v>71</v>
      </c>
      <c r="D12101" t="s">
        <v>17</v>
      </c>
      <c r="E12101" s="6">
        <v>-28449</v>
      </c>
      <c r="F12101" t="s">
        <v>1342</v>
      </c>
      <c r="G12101" t="s">
        <v>31</v>
      </c>
      <c r="H12101" t="s">
        <v>20</v>
      </c>
      <c r="I12101" t="s">
        <v>23730</v>
      </c>
      <c r="J12101" t="str">
        <f>HYPERLINK("https://www.boe.es/gazeta/dias/1822/02/08/pdfs/GMD-1822-39.pdf#page=3","Abrir facsímil")</f>
        <v>Abrir facsímil</v>
      </c>
      <c r="K12101" t="s">
        <v>22</v>
      </c>
    </row>
    <row r="12102" spans="1:11" ht="42" customHeight="1">
      <c r="A12102" t="s">
        <v>23731</v>
      </c>
      <c r="B12102" t="s">
        <v>23732</v>
      </c>
      <c r="C12102" t="s">
        <v>42</v>
      </c>
      <c r="D12102" t="s">
        <v>17</v>
      </c>
      <c r="E12102" s="6">
        <v>-28251</v>
      </c>
      <c r="F12102" t="s">
        <v>1485</v>
      </c>
      <c r="G12102" t="s">
        <v>31</v>
      </c>
      <c r="H12102" t="s">
        <v>20</v>
      </c>
      <c r="I12102" t="s">
        <v>23733</v>
      </c>
      <c r="J12102" t="str">
        <f>HYPERLINK("https://www.boe.es/gazeta/dias/1822/08/25/pdfs/GMD-1822-249.pdf#page=3","Abrir facsímil")</f>
        <v>Abrir facsímil</v>
      </c>
      <c r="K12102" t="s">
        <v>22</v>
      </c>
    </row>
    <row r="12103" spans="1:11" ht="42" customHeight="1">
      <c r="A12103" t="s">
        <v>23734</v>
      </c>
      <c r="B12103" t="s">
        <v>23734</v>
      </c>
      <c r="C12103" t="s">
        <v>28</v>
      </c>
      <c r="D12103" t="s">
        <v>29</v>
      </c>
      <c r="E12103" s="6">
        <v>-28415</v>
      </c>
      <c r="F12103" t="s">
        <v>77</v>
      </c>
      <c r="G12103" t="s">
        <v>35</v>
      </c>
      <c r="H12103" t="s">
        <v>20</v>
      </c>
      <c r="I12103" t="s">
        <v>23735</v>
      </c>
      <c r="J12103" t="str">
        <f>HYPERLINK("https://www.boe.es/gazeta/dias/1822/03/14/pdfs/GMD-1822-75.pdf#page=2","Abrir facsímil")</f>
        <v>Abrir facsímil</v>
      </c>
      <c r="K12103" t="s">
        <v>22</v>
      </c>
    </row>
    <row r="12104" spans="1:11" ht="42" customHeight="1">
      <c r="A12104" t="s">
        <v>23736</v>
      </c>
      <c r="B12104" t="s">
        <v>23736</v>
      </c>
      <c r="C12104" t="s">
        <v>50</v>
      </c>
      <c r="D12104" t="s">
        <v>51</v>
      </c>
      <c r="E12104" s="6">
        <v>-28184</v>
      </c>
      <c r="F12104" t="s">
        <v>1423</v>
      </c>
      <c r="G12104" t="s">
        <v>31</v>
      </c>
      <c r="H12104" t="s">
        <v>20</v>
      </c>
      <c r="I12104" t="s">
        <v>23737</v>
      </c>
      <c r="J12104" t="str">
        <f>HYPERLINK("https://www.boe.es/gazeta/dias/1822/10/31/pdfs/GMD-1822-318.pdf#page=3","Abrir facsímil")</f>
        <v>Abrir facsímil</v>
      </c>
      <c r="K12104" t="s">
        <v>22</v>
      </c>
    </row>
    <row r="12105" spans="1:11" ht="42" customHeight="1">
      <c r="A12105" t="s">
        <v>23738</v>
      </c>
      <c r="B12105" t="s">
        <v>23738</v>
      </c>
      <c r="C12105" t="s">
        <v>50</v>
      </c>
      <c r="D12105" t="s">
        <v>51</v>
      </c>
      <c r="E12105" s="6">
        <v>-28201</v>
      </c>
      <c r="F12105" t="s">
        <v>163</v>
      </c>
      <c r="G12105" t="s">
        <v>57</v>
      </c>
      <c r="H12105" t="s">
        <v>20</v>
      </c>
      <c r="I12105" t="s">
        <v>23739</v>
      </c>
      <c r="J12105" t="str">
        <f>HYPERLINK("https://www.boe.es/gazeta/dias/1822/10/14/pdfs/GMD-1822-301.pdf#page=4","Abrir facsímil")</f>
        <v>Abrir facsímil</v>
      </c>
      <c r="K12105" t="s">
        <v>22</v>
      </c>
    </row>
    <row r="12106" spans="1:11" ht="42" customHeight="1">
      <c r="A12106" t="s">
        <v>23738</v>
      </c>
      <c r="B12106" t="s">
        <v>23738</v>
      </c>
      <c r="C12106" t="s">
        <v>16</v>
      </c>
      <c r="D12106" t="s">
        <v>17</v>
      </c>
      <c r="E12106" s="6">
        <v>-28197</v>
      </c>
      <c r="F12106" t="s">
        <v>568</v>
      </c>
      <c r="G12106" t="s">
        <v>57</v>
      </c>
      <c r="H12106" t="s">
        <v>20</v>
      </c>
      <c r="I12106" t="s">
        <v>23740</v>
      </c>
      <c r="J12106" t="str">
        <f>HYPERLINK("https://www.boe.es/gazeta/dias/1822/10/18/pdfs/GMD-1822-305.pdf#page=4","Abrir facsímil")</f>
        <v>Abrir facsímil</v>
      </c>
      <c r="K12106" t="s">
        <v>22</v>
      </c>
    </row>
    <row r="12107" spans="1:11" ht="42" customHeight="1">
      <c r="A12107" t="s">
        <v>23741</v>
      </c>
      <c r="B12107" t="s">
        <v>23742</v>
      </c>
      <c r="C12107" t="s">
        <v>71</v>
      </c>
      <c r="D12107" t="s">
        <v>17</v>
      </c>
      <c r="E12107" s="6">
        <v>-28406</v>
      </c>
      <c r="F12107" t="s">
        <v>462</v>
      </c>
      <c r="G12107" t="s">
        <v>31</v>
      </c>
      <c r="H12107" t="s">
        <v>20</v>
      </c>
      <c r="I12107" t="s">
        <v>23743</v>
      </c>
      <c r="J12107" t="str">
        <f>HYPERLINK("https://www.boe.es/gazeta/dias/1822/03/23/pdfs/GMD-1822-84.pdf#page=3","Abrir facsímil")</f>
        <v>Abrir facsímil</v>
      </c>
      <c r="K12107" t="s">
        <v>22</v>
      </c>
    </row>
    <row r="12108" spans="1:11" ht="42" customHeight="1">
      <c r="A12108" t="s">
        <v>23744</v>
      </c>
      <c r="B12108" t="s">
        <v>23745</v>
      </c>
      <c r="C12108" t="s">
        <v>24</v>
      </c>
      <c r="D12108" t="s">
        <v>17</v>
      </c>
      <c r="E12108" s="6">
        <v>-28379</v>
      </c>
      <c r="F12108" t="s">
        <v>494</v>
      </c>
      <c r="G12108" t="s">
        <v>63</v>
      </c>
      <c r="H12108" t="s">
        <v>20</v>
      </c>
      <c r="I12108" t="s">
        <v>23746</v>
      </c>
      <c r="J12108" t="str">
        <f>HYPERLINK("https://www.boe.es/gazeta/dias/1822/04/19/pdfs/GMD-1822-111.pdf#page=6","Abrir facsímil")</f>
        <v>Abrir facsímil</v>
      </c>
      <c r="K12108" t="s">
        <v>22</v>
      </c>
    </row>
    <row r="12109" spans="1:11" ht="42" customHeight="1">
      <c r="A12109" t="s">
        <v>23744</v>
      </c>
      <c r="B12109" t="s">
        <v>23745</v>
      </c>
      <c r="C12109" t="s">
        <v>28</v>
      </c>
      <c r="D12109" t="s">
        <v>29</v>
      </c>
      <c r="E12109" s="6">
        <v>-28345</v>
      </c>
      <c r="F12109" t="s">
        <v>294</v>
      </c>
      <c r="G12109" t="s">
        <v>63</v>
      </c>
      <c r="H12109" t="s">
        <v>20</v>
      </c>
      <c r="I12109" t="s">
        <v>23747</v>
      </c>
      <c r="J12109" t="str">
        <f>HYPERLINK("https://www.boe.es/gazeta/dias/1822/05/23/pdfs/GMD-1822-147.pdf#page=6","Abrir facsímil")</f>
        <v>Abrir facsímil</v>
      </c>
      <c r="K12109" t="s">
        <v>22</v>
      </c>
    </row>
    <row r="12110" spans="1:11" ht="42" customHeight="1">
      <c r="A12110" t="s">
        <v>23744</v>
      </c>
      <c r="B12110" t="s">
        <v>23745</v>
      </c>
      <c r="C12110" t="s">
        <v>28</v>
      </c>
      <c r="D12110" t="s">
        <v>29</v>
      </c>
      <c r="E12110" s="6">
        <v>-28341</v>
      </c>
      <c r="F12110" t="s">
        <v>284</v>
      </c>
      <c r="G12110" t="s">
        <v>63</v>
      </c>
      <c r="H12110" t="s">
        <v>20</v>
      </c>
      <c r="I12110" t="s">
        <v>23748</v>
      </c>
      <c r="J12110" t="str">
        <f>HYPERLINK("https://www.boe.es/gazeta/dias/1822/05/27/pdfs/GMD-1822-152.pdf#page=6","Abrir facsímil")</f>
        <v>Abrir facsímil</v>
      </c>
      <c r="K12110" t="s">
        <v>22</v>
      </c>
    </row>
    <row r="12111" spans="1:11" ht="42" customHeight="1">
      <c r="A12111" t="s">
        <v>23749</v>
      </c>
      <c r="B12111" t="s">
        <v>23750</v>
      </c>
      <c r="C12111" t="s">
        <v>50</v>
      </c>
      <c r="D12111" t="s">
        <v>51</v>
      </c>
      <c r="E12111" s="6">
        <v>-28292</v>
      </c>
      <c r="F12111" t="s">
        <v>222</v>
      </c>
      <c r="G12111" t="s">
        <v>31</v>
      </c>
      <c r="H12111" t="s">
        <v>20</v>
      </c>
      <c r="I12111" t="s">
        <v>23751</v>
      </c>
      <c r="J12111" t="str">
        <f>HYPERLINK("https://www.boe.es/gazeta/dias/1822/07/15/pdfs/GMD-1822-205.pdf#page=3","Abrir facsímil")</f>
        <v>Abrir facsímil</v>
      </c>
      <c r="K12111" t="s">
        <v>22</v>
      </c>
    </row>
    <row r="12112" spans="1:11" ht="42" customHeight="1">
      <c r="A12112" t="s">
        <v>23752</v>
      </c>
      <c r="B12112" t="s">
        <v>23752</v>
      </c>
      <c r="C12112" t="s">
        <v>71</v>
      </c>
      <c r="D12112" t="s">
        <v>17</v>
      </c>
      <c r="E12112" s="6">
        <v>-28479</v>
      </c>
      <c r="F12112" t="s">
        <v>1091</v>
      </c>
      <c r="G12112" t="s">
        <v>35</v>
      </c>
      <c r="H12112" t="s">
        <v>20</v>
      </c>
      <c r="I12112" t="s">
        <v>23753</v>
      </c>
      <c r="J12112" t="str">
        <f>HYPERLINK("https://www.boe.es/gazeta/dias/1822/01/09/pdfs/GMD-1822-9.pdf#page=2","Abrir facsímil")</f>
        <v>Abrir facsímil</v>
      </c>
      <c r="K12112" t="s">
        <v>22</v>
      </c>
    </row>
    <row r="12113" spans="1:11" ht="42" customHeight="1">
      <c r="A12113" t="s">
        <v>23752</v>
      </c>
      <c r="B12113" t="s">
        <v>23752</v>
      </c>
      <c r="C12113" t="s">
        <v>16</v>
      </c>
      <c r="D12113" t="s">
        <v>17</v>
      </c>
      <c r="E12113" s="6">
        <v>-28476</v>
      </c>
      <c r="F12113" t="s">
        <v>160</v>
      </c>
      <c r="G12113" t="s">
        <v>31</v>
      </c>
      <c r="H12113" t="s">
        <v>20</v>
      </c>
      <c r="I12113" t="s">
        <v>23754</v>
      </c>
      <c r="J12113" t="str">
        <f>HYPERLINK("https://www.boe.es/gazeta/dias/1822/01/12/pdfs/GMD-1822-12.pdf#page=3","Abrir facsímil")</f>
        <v>Abrir facsímil</v>
      </c>
      <c r="K12113" t="s">
        <v>22</v>
      </c>
    </row>
    <row r="12114" spans="1:11" ht="42" customHeight="1">
      <c r="A12114" t="s">
        <v>23752</v>
      </c>
      <c r="B12114" t="s">
        <v>23752</v>
      </c>
      <c r="C12114" t="s">
        <v>71</v>
      </c>
      <c r="D12114" t="s">
        <v>17</v>
      </c>
      <c r="E12114" s="6">
        <v>-28422</v>
      </c>
      <c r="F12114" t="s">
        <v>416</v>
      </c>
      <c r="G12114" t="s">
        <v>35</v>
      </c>
      <c r="H12114" t="s">
        <v>20</v>
      </c>
      <c r="I12114" t="s">
        <v>23755</v>
      </c>
      <c r="J12114" t="str">
        <f>HYPERLINK("https://www.boe.es/gazeta/dias/1822/03/07/pdfs/GMD-1822-68.pdf#page=2","Abrir facsímil")</f>
        <v>Abrir facsímil</v>
      </c>
      <c r="K12114" t="s">
        <v>22</v>
      </c>
    </row>
    <row r="12115" spans="1:11" ht="42" customHeight="1">
      <c r="A12115" t="s">
        <v>23752</v>
      </c>
      <c r="B12115" t="s">
        <v>23752</v>
      </c>
      <c r="C12115" t="s">
        <v>28</v>
      </c>
      <c r="D12115" t="s">
        <v>29</v>
      </c>
      <c r="E12115" s="6">
        <v>-28421</v>
      </c>
      <c r="F12115" t="s">
        <v>446</v>
      </c>
      <c r="G12115" t="s">
        <v>57</v>
      </c>
      <c r="H12115" t="s">
        <v>20</v>
      </c>
      <c r="I12115" t="s">
        <v>23756</v>
      </c>
      <c r="J12115" t="str">
        <f>HYPERLINK("https://www.boe.es/gazeta/dias/1822/03/08/pdfs/GMD-1822-69.pdf#page=4","Abrir facsímil")</f>
        <v>Abrir facsímil</v>
      </c>
      <c r="K12115" t="s">
        <v>22</v>
      </c>
    </row>
    <row r="12116" spans="1:11" ht="42" customHeight="1">
      <c r="A12116" t="s">
        <v>23752</v>
      </c>
      <c r="B12116" t="s">
        <v>23752</v>
      </c>
      <c r="C12116" t="s">
        <v>28</v>
      </c>
      <c r="D12116" t="s">
        <v>29</v>
      </c>
      <c r="E12116" s="6">
        <v>-28419</v>
      </c>
      <c r="F12116" t="s">
        <v>1392</v>
      </c>
      <c r="G12116" t="s">
        <v>19</v>
      </c>
      <c r="H12116" t="s">
        <v>20</v>
      </c>
      <c r="I12116" t="s">
        <v>23757</v>
      </c>
      <c r="J12116" t="str">
        <f>HYPERLINK("https://www.boe.es/gazeta/dias/1822/03/10/pdfs/GMD-1822-71.pdf#page=5","Abrir facsímil")</f>
        <v>Abrir facsímil</v>
      </c>
      <c r="K12116" t="s">
        <v>22</v>
      </c>
    </row>
    <row r="12117" spans="1:11" ht="42" customHeight="1">
      <c r="A12117" t="s">
        <v>23752</v>
      </c>
      <c r="B12117" t="s">
        <v>23752</v>
      </c>
      <c r="C12117" t="s">
        <v>28</v>
      </c>
      <c r="D12117" t="s">
        <v>29</v>
      </c>
      <c r="E12117" s="6">
        <v>-28418</v>
      </c>
      <c r="F12117" t="s">
        <v>205</v>
      </c>
      <c r="G12117" t="s">
        <v>57</v>
      </c>
      <c r="H12117" t="s">
        <v>20</v>
      </c>
      <c r="I12117" t="s">
        <v>23758</v>
      </c>
      <c r="J12117" t="str">
        <f>HYPERLINK("https://www.boe.es/gazeta/dias/1822/03/11/pdfs/GMD-1822-72.pdf#page=4","Abrir facsímil")</f>
        <v>Abrir facsímil</v>
      </c>
      <c r="K12117" t="s">
        <v>22</v>
      </c>
    </row>
    <row r="12118" spans="1:11" ht="42" customHeight="1">
      <c r="A12118" t="s">
        <v>23752</v>
      </c>
      <c r="B12118" t="s">
        <v>23752</v>
      </c>
      <c r="C12118" t="s">
        <v>42</v>
      </c>
      <c r="D12118" t="s">
        <v>17</v>
      </c>
      <c r="E12118" s="6">
        <v>-28418</v>
      </c>
      <c r="F12118" t="s">
        <v>205</v>
      </c>
      <c r="G12118" t="s">
        <v>19</v>
      </c>
      <c r="H12118" t="s">
        <v>20</v>
      </c>
      <c r="I12118" t="s">
        <v>23759</v>
      </c>
      <c r="J12118" t="str">
        <f>HYPERLINK("https://www.boe.es/gazeta/dias/1822/03/11/pdfs/GMD-1822-72.pdf#page=5","Abrir facsímil")</f>
        <v>Abrir facsímil</v>
      </c>
      <c r="K12118" t="s">
        <v>22</v>
      </c>
    </row>
    <row r="12119" spans="1:11" ht="42" customHeight="1">
      <c r="A12119" t="s">
        <v>23752</v>
      </c>
      <c r="B12119" t="s">
        <v>23752</v>
      </c>
      <c r="C12119" t="s">
        <v>71</v>
      </c>
      <c r="D12119" t="s">
        <v>17</v>
      </c>
      <c r="E12119" s="6">
        <v>-28417</v>
      </c>
      <c r="F12119" t="s">
        <v>1394</v>
      </c>
      <c r="G12119" t="s">
        <v>35</v>
      </c>
      <c r="H12119" t="s">
        <v>20</v>
      </c>
      <c r="I12119" t="s">
        <v>23760</v>
      </c>
      <c r="J12119" t="str">
        <f>HYPERLINK("https://www.boe.es/gazeta/dias/1822/03/12/pdfs/GMD-1822-73.pdf#page=2","Abrir facsímil")</f>
        <v>Abrir facsímil</v>
      </c>
      <c r="K12119" t="s">
        <v>22</v>
      </c>
    </row>
    <row r="12120" spans="1:11" ht="42" customHeight="1">
      <c r="A12120" t="s">
        <v>23752</v>
      </c>
      <c r="B12120" t="s">
        <v>23752</v>
      </c>
      <c r="C12120" t="s">
        <v>71</v>
      </c>
      <c r="D12120" t="s">
        <v>17</v>
      </c>
      <c r="E12120" s="6">
        <v>-28417</v>
      </c>
      <c r="F12120" t="s">
        <v>1394</v>
      </c>
      <c r="G12120" t="s">
        <v>57</v>
      </c>
      <c r="H12120" t="s">
        <v>20</v>
      </c>
      <c r="I12120" t="s">
        <v>23761</v>
      </c>
      <c r="J12120" t="str">
        <f>HYPERLINK("https://www.boe.es/gazeta/dias/1822/03/12/pdfs/GMD-1822-73.pdf#page=4","Abrir facsímil")</f>
        <v>Abrir facsímil</v>
      </c>
      <c r="K12120" t="s">
        <v>22</v>
      </c>
    </row>
    <row r="12121" spans="1:11" ht="42" customHeight="1">
      <c r="A12121" t="s">
        <v>23752</v>
      </c>
      <c r="B12121" t="s">
        <v>23752</v>
      </c>
      <c r="C12121" t="s">
        <v>71</v>
      </c>
      <c r="D12121" t="s">
        <v>17</v>
      </c>
      <c r="E12121" s="6">
        <v>-28416</v>
      </c>
      <c r="F12121" t="s">
        <v>97</v>
      </c>
      <c r="G12121" t="s">
        <v>19</v>
      </c>
      <c r="H12121" t="s">
        <v>20</v>
      </c>
      <c r="I12121" t="s">
        <v>23762</v>
      </c>
      <c r="J12121" t="str">
        <f>HYPERLINK("https://www.boe.es/gazeta/dias/1822/03/13/pdfs/GMD-1822-74.pdf#page=5","Abrir facsímil")</f>
        <v>Abrir facsímil</v>
      </c>
      <c r="K12121" t="s">
        <v>22</v>
      </c>
    </row>
    <row r="12122" spans="1:11" ht="42" customHeight="1">
      <c r="A12122" t="s">
        <v>23752</v>
      </c>
      <c r="B12122" t="s">
        <v>23752</v>
      </c>
      <c r="C12122" t="s">
        <v>28</v>
      </c>
      <c r="D12122" t="s">
        <v>29</v>
      </c>
      <c r="E12122" s="6">
        <v>-28415</v>
      </c>
      <c r="F12122" t="s">
        <v>77</v>
      </c>
      <c r="G12122" t="s">
        <v>31</v>
      </c>
      <c r="H12122" t="s">
        <v>20</v>
      </c>
      <c r="I12122" t="s">
        <v>23763</v>
      </c>
      <c r="J12122" t="str">
        <f>HYPERLINK("https://www.boe.es/gazeta/dias/1822/03/14/pdfs/GMD-1822-75.pdf#page=3","Abrir facsímil")</f>
        <v>Abrir facsímil</v>
      </c>
      <c r="K12122" t="s">
        <v>22</v>
      </c>
    </row>
    <row r="12123" spans="1:11" ht="42" customHeight="1">
      <c r="A12123" t="s">
        <v>23752</v>
      </c>
      <c r="B12123" t="s">
        <v>23752</v>
      </c>
      <c r="C12123" t="s">
        <v>28</v>
      </c>
      <c r="D12123" t="s">
        <v>29</v>
      </c>
      <c r="E12123" s="6">
        <v>-28414</v>
      </c>
      <c r="F12123" t="s">
        <v>187</v>
      </c>
      <c r="G12123" t="s">
        <v>57</v>
      </c>
      <c r="H12123" t="s">
        <v>20</v>
      </c>
      <c r="I12123" t="s">
        <v>23764</v>
      </c>
      <c r="J12123" t="str">
        <f>HYPERLINK("https://www.boe.es/gazeta/dias/1822/03/15/pdfs/GMD-1822-76.pdf#page=4","Abrir facsímil")</f>
        <v>Abrir facsímil</v>
      </c>
      <c r="K12123" t="s">
        <v>22</v>
      </c>
    </row>
    <row r="12124" spans="1:11" ht="42" customHeight="1">
      <c r="A12124" t="s">
        <v>23752</v>
      </c>
      <c r="B12124" t="s">
        <v>23752</v>
      </c>
      <c r="C12124" t="s">
        <v>50</v>
      </c>
      <c r="D12124" t="s">
        <v>51</v>
      </c>
      <c r="E12124" s="6">
        <v>-28413</v>
      </c>
      <c r="F12124" t="s">
        <v>458</v>
      </c>
      <c r="G12124" t="s">
        <v>19</v>
      </c>
      <c r="H12124" t="s">
        <v>20</v>
      </c>
      <c r="I12124" t="s">
        <v>23765</v>
      </c>
      <c r="J12124" t="str">
        <f>HYPERLINK("https://www.boe.es/gazeta/dias/1822/03/16/pdfs/GMD-1822-77.pdf#page=5","Abrir facsímil")</f>
        <v>Abrir facsímil</v>
      </c>
      <c r="K12124" t="s">
        <v>22</v>
      </c>
    </row>
    <row r="12125" spans="1:11" ht="42" customHeight="1">
      <c r="A12125" t="s">
        <v>23752</v>
      </c>
      <c r="B12125" t="s">
        <v>23752</v>
      </c>
      <c r="C12125" t="s">
        <v>71</v>
      </c>
      <c r="D12125" t="s">
        <v>17</v>
      </c>
      <c r="E12125" s="6">
        <v>-28411</v>
      </c>
      <c r="F12125" t="s">
        <v>1509</v>
      </c>
      <c r="G12125" t="s">
        <v>31</v>
      </c>
      <c r="H12125" t="s">
        <v>20</v>
      </c>
      <c r="I12125" t="s">
        <v>23766</v>
      </c>
      <c r="J12125" t="str">
        <f>HYPERLINK("https://www.boe.es/gazeta/dias/1822/03/18/pdfs/GMD-1822-79.pdf#page=3","Abrir facsímil")</f>
        <v>Abrir facsímil</v>
      </c>
      <c r="K12125" t="s">
        <v>22</v>
      </c>
    </row>
    <row r="12126" spans="1:11" ht="42" customHeight="1">
      <c r="A12126" t="s">
        <v>23752</v>
      </c>
      <c r="B12126" t="s">
        <v>23752</v>
      </c>
      <c r="C12126" t="s">
        <v>42</v>
      </c>
      <c r="D12126" t="s">
        <v>17</v>
      </c>
      <c r="E12126" s="6">
        <v>-28410</v>
      </c>
      <c r="F12126" t="s">
        <v>966</v>
      </c>
      <c r="G12126" t="s">
        <v>35</v>
      </c>
      <c r="H12126" t="s">
        <v>20</v>
      </c>
      <c r="I12126" t="s">
        <v>23767</v>
      </c>
      <c r="J12126" t="str">
        <f>HYPERLINK("https://www.boe.es/gazeta/dias/1822/03/19/pdfs/GMD-1822-80.pdf#page=2","Abrir facsímil")</f>
        <v>Abrir facsímil</v>
      </c>
      <c r="K12126" t="s">
        <v>22</v>
      </c>
    </row>
    <row r="12127" spans="1:11" ht="42" customHeight="1">
      <c r="A12127" t="s">
        <v>23752</v>
      </c>
      <c r="B12127" t="s">
        <v>23752</v>
      </c>
      <c r="C12127" t="s">
        <v>71</v>
      </c>
      <c r="D12127" t="s">
        <v>17</v>
      </c>
      <c r="E12127" s="6">
        <v>-28410</v>
      </c>
      <c r="F12127" t="s">
        <v>966</v>
      </c>
      <c r="G12127" t="s">
        <v>57</v>
      </c>
      <c r="H12127" t="s">
        <v>20</v>
      </c>
      <c r="I12127" t="s">
        <v>23768</v>
      </c>
      <c r="J12127" t="str">
        <f>HYPERLINK("https://www.boe.es/gazeta/dias/1822/03/19/pdfs/GMD-1822-80.pdf#page=4","Abrir facsímil")</f>
        <v>Abrir facsímil</v>
      </c>
      <c r="K12127" t="s">
        <v>22</v>
      </c>
    </row>
    <row r="12128" spans="1:11" ht="42" customHeight="1">
      <c r="A12128" t="s">
        <v>23752</v>
      </c>
      <c r="B12128" t="s">
        <v>23752</v>
      </c>
      <c r="C12128" t="s">
        <v>50</v>
      </c>
      <c r="D12128" t="s">
        <v>51</v>
      </c>
      <c r="E12128" s="6">
        <v>-28406</v>
      </c>
      <c r="F12128" t="s">
        <v>462</v>
      </c>
      <c r="G12128" t="s">
        <v>57</v>
      </c>
      <c r="H12128" t="s">
        <v>20</v>
      </c>
      <c r="I12128" t="s">
        <v>23769</v>
      </c>
      <c r="J12128" t="str">
        <f>HYPERLINK("https://www.boe.es/gazeta/dias/1822/03/23/pdfs/GMD-1822-84.pdf#page=4","Abrir facsímil")</f>
        <v>Abrir facsímil</v>
      </c>
      <c r="K12128" t="s">
        <v>22</v>
      </c>
    </row>
    <row r="12129" spans="1:11" ht="42" customHeight="1">
      <c r="A12129" t="s">
        <v>23752</v>
      </c>
      <c r="B12129" t="s">
        <v>23752</v>
      </c>
      <c r="C12129" t="s">
        <v>16</v>
      </c>
      <c r="D12129" t="s">
        <v>17</v>
      </c>
      <c r="E12129" s="6">
        <v>-28406</v>
      </c>
      <c r="F12129" t="s">
        <v>462</v>
      </c>
      <c r="G12129" t="s">
        <v>167</v>
      </c>
      <c r="H12129" t="s">
        <v>20</v>
      </c>
      <c r="I12129" t="s">
        <v>23770</v>
      </c>
      <c r="J12129" t="str">
        <f>HYPERLINK("https://www.boe.es/gazeta/dias/1822/03/23/pdfs/GMD-1822-84.pdf#page=7","Abrir facsímil")</f>
        <v>Abrir facsímil</v>
      </c>
      <c r="K12129" t="s">
        <v>22</v>
      </c>
    </row>
    <row r="12130" spans="1:11" ht="42" customHeight="1">
      <c r="A12130" t="s">
        <v>23752</v>
      </c>
      <c r="B12130" t="s">
        <v>23752</v>
      </c>
      <c r="C12130" t="s">
        <v>71</v>
      </c>
      <c r="D12130" t="s">
        <v>17</v>
      </c>
      <c r="E12130" s="6">
        <v>-28403</v>
      </c>
      <c r="F12130" t="s">
        <v>471</v>
      </c>
      <c r="G12130" t="s">
        <v>35</v>
      </c>
      <c r="H12130" t="s">
        <v>20</v>
      </c>
      <c r="I12130" t="s">
        <v>23771</v>
      </c>
      <c r="J12130" t="str">
        <f>HYPERLINK("https://www.boe.es/gazeta/dias/1822/03/26/pdfs/GMD-1822-87.pdf#page=2","Abrir facsímil")</f>
        <v>Abrir facsímil</v>
      </c>
      <c r="K12130" t="s">
        <v>22</v>
      </c>
    </row>
    <row r="12131" spans="1:11" ht="42" customHeight="1">
      <c r="A12131" t="s">
        <v>23752</v>
      </c>
      <c r="B12131" t="s">
        <v>23752</v>
      </c>
      <c r="C12131" t="s">
        <v>71</v>
      </c>
      <c r="D12131" t="s">
        <v>17</v>
      </c>
      <c r="E12131" s="6">
        <v>-28402</v>
      </c>
      <c r="F12131" t="s">
        <v>473</v>
      </c>
      <c r="G12131" t="s">
        <v>31</v>
      </c>
      <c r="H12131" t="s">
        <v>20</v>
      </c>
      <c r="I12131" t="s">
        <v>23772</v>
      </c>
      <c r="J12131" t="str">
        <f>HYPERLINK("https://www.boe.es/gazeta/dias/1822/03/27/pdfs/GMD-1822-88.pdf#page=3","Abrir facsímil")</f>
        <v>Abrir facsímil</v>
      </c>
      <c r="K12131" t="s">
        <v>22</v>
      </c>
    </row>
    <row r="12132" spans="1:11" ht="42" customHeight="1">
      <c r="A12132" t="s">
        <v>23752</v>
      </c>
      <c r="B12132" t="s">
        <v>23752</v>
      </c>
      <c r="C12132" t="s">
        <v>71</v>
      </c>
      <c r="D12132" t="s">
        <v>17</v>
      </c>
      <c r="E12132" s="6">
        <v>-28401</v>
      </c>
      <c r="F12132" t="s">
        <v>108</v>
      </c>
      <c r="G12132" t="s">
        <v>57</v>
      </c>
      <c r="H12132" t="s">
        <v>20</v>
      </c>
      <c r="I12132" t="s">
        <v>23773</v>
      </c>
      <c r="J12132" t="str">
        <f>HYPERLINK("https://www.boe.es/gazeta/dias/1822/03/28/pdfs/GMD-1822-89.pdf#page=4","Abrir facsímil")</f>
        <v>Abrir facsímil</v>
      </c>
      <c r="K12132" t="s">
        <v>22</v>
      </c>
    </row>
    <row r="12133" spans="1:11" ht="42" customHeight="1">
      <c r="A12133" t="s">
        <v>23752</v>
      </c>
      <c r="B12133" t="s">
        <v>23752</v>
      </c>
      <c r="C12133" t="s">
        <v>42</v>
      </c>
      <c r="D12133" t="s">
        <v>17</v>
      </c>
      <c r="E12133" s="6">
        <v>-28394</v>
      </c>
      <c r="F12133" t="s">
        <v>268</v>
      </c>
      <c r="G12133" t="s">
        <v>35</v>
      </c>
      <c r="H12133" t="s">
        <v>20</v>
      </c>
      <c r="I12133" t="s">
        <v>23774</v>
      </c>
      <c r="J12133" t="str">
        <f>HYPERLINK("https://www.boe.es/gazeta/dias/1822/04/04/pdfs/GMD-1822-96.pdf#page=2","Abrir facsímil")</f>
        <v>Abrir facsímil</v>
      </c>
      <c r="K12133" t="s">
        <v>22</v>
      </c>
    </row>
    <row r="12134" spans="1:11" ht="42" customHeight="1">
      <c r="A12134" t="s">
        <v>23752</v>
      </c>
      <c r="B12134" t="s">
        <v>23752</v>
      </c>
      <c r="C12134" t="s">
        <v>42</v>
      </c>
      <c r="D12134" t="s">
        <v>17</v>
      </c>
      <c r="E12134" s="6">
        <v>-28390</v>
      </c>
      <c r="F12134" t="s">
        <v>665</v>
      </c>
      <c r="G12134" t="s">
        <v>31</v>
      </c>
      <c r="H12134" t="s">
        <v>20</v>
      </c>
      <c r="I12134" t="s">
        <v>23775</v>
      </c>
      <c r="J12134" t="str">
        <f>HYPERLINK("https://www.boe.es/gazeta/dias/1822/04/08/pdfs/GMD-1822-100.pdf#page=3","Abrir facsímil")</f>
        <v>Abrir facsímil</v>
      </c>
      <c r="K12134" t="s">
        <v>22</v>
      </c>
    </row>
    <row r="12135" spans="1:11" ht="42" customHeight="1">
      <c r="A12135" t="s">
        <v>23752</v>
      </c>
      <c r="B12135" t="s">
        <v>23752</v>
      </c>
      <c r="C12135" t="s">
        <v>28</v>
      </c>
      <c r="D12135" t="s">
        <v>29</v>
      </c>
      <c r="E12135" s="6">
        <v>-28389</v>
      </c>
      <c r="F12135" t="s">
        <v>481</v>
      </c>
      <c r="G12135" t="s">
        <v>35</v>
      </c>
      <c r="H12135" t="s">
        <v>20</v>
      </c>
      <c r="I12135" t="s">
        <v>23776</v>
      </c>
      <c r="J12135" t="str">
        <f>HYPERLINK("https://www.boe.es/gazeta/dias/1822/04/09/pdfs/GMD-1822-101.pdf#page=2","Abrir facsímil")</f>
        <v>Abrir facsímil</v>
      </c>
      <c r="K12135" t="s">
        <v>22</v>
      </c>
    </row>
    <row r="12136" spans="1:11" ht="42" customHeight="1">
      <c r="A12136" t="s">
        <v>23752</v>
      </c>
      <c r="B12136" t="s">
        <v>23752</v>
      </c>
      <c r="C12136" t="s">
        <v>71</v>
      </c>
      <c r="D12136" t="s">
        <v>17</v>
      </c>
      <c r="E12136" s="6">
        <v>-28388</v>
      </c>
      <c r="F12136" t="s">
        <v>1268</v>
      </c>
      <c r="G12136" t="s">
        <v>57</v>
      </c>
      <c r="H12136" t="s">
        <v>20</v>
      </c>
      <c r="I12136" t="s">
        <v>23777</v>
      </c>
      <c r="J12136" t="str">
        <f>HYPERLINK("https://www.boe.es/gazeta/dias/1822/04/10/pdfs/GMD-1822-102.pdf#page=4","Abrir facsímil")</f>
        <v>Abrir facsímil</v>
      </c>
      <c r="K12136" t="s">
        <v>22</v>
      </c>
    </row>
    <row r="12137" spans="1:11" ht="42" customHeight="1">
      <c r="A12137" t="s">
        <v>23752</v>
      </c>
      <c r="B12137" t="s">
        <v>23752</v>
      </c>
      <c r="C12137" t="s">
        <v>71</v>
      </c>
      <c r="D12137" t="s">
        <v>17</v>
      </c>
      <c r="E12137" s="6">
        <v>-28386</v>
      </c>
      <c r="F12137" t="s">
        <v>2993</v>
      </c>
      <c r="G12137" t="s">
        <v>31</v>
      </c>
      <c r="H12137" t="s">
        <v>20</v>
      </c>
      <c r="I12137" t="s">
        <v>23778</v>
      </c>
      <c r="J12137" t="str">
        <f>HYPERLINK("https://www.boe.es/gazeta/dias/1822/04/12/pdfs/GMD-1822-104.pdf#page=3","Abrir facsímil")</f>
        <v>Abrir facsímil</v>
      </c>
      <c r="K12137" t="s">
        <v>22</v>
      </c>
    </row>
    <row r="12138" spans="1:11" ht="42" customHeight="1">
      <c r="A12138" t="s">
        <v>23752</v>
      </c>
      <c r="B12138" t="s">
        <v>23752</v>
      </c>
      <c r="C12138" t="s">
        <v>71</v>
      </c>
      <c r="D12138" t="s">
        <v>17</v>
      </c>
      <c r="E12138" s="6">
        <v>-28384</v>
      </c>
      <c r="F12138" t="s">
        <v>258</v>
      </c>
      <c r="G12138" t="s">
        <v>57</v>
      </c>
      <c r="H12138" t="s">
        <v>20</v>
      </c>
      <c r="I12138" t="s">
        <v>23779</v>
      </c>
      <c r="J12138" t="str">
        <f>HYPERLINK("https://www.boe.es/gazeta/dias/1822/04/14/pdfs/GMD-1822-106.pdf#page=4","Abrir facsímil")</f>
        <v>Abrir facsímil</v>
      </c>
      <c r="K12138" t="s">
        <v>22</v>
      </c>
    </row>
    <row r="12139" spans="1:11" ht="42" customHeight="1">
      <c r="A12139" t="s">
        <v>23752</v>
      </c>
      <c r="B12139" t="s">
        <v>23752</v>
      </c>
      <c r="C12139" t="s">
        <v>71</v>
      </c>
      <c r="D12139" t="s">
        <v>17</v>
      </c>
      <c r="E12139" s="6">
        <v>-28382</v>
      </c>
      <c r="F12139" t="s">
        <v>973</v>
      </c>
      <c r="G12139" t="s">
        <v>57</v>
      </c>
      <c r="H12139" t="s">
        <v>20</v>
      </c>
      <c r="I12139" t="s">
        <v>23780</v>
      </c>
      <c r="J12139" t="str">
        <f>HYPERLINK("https://www.boe.es/gazeta/dias/1822/04/16/pdfs/GMD-1822-108.pdf#page=4","Abrir facsímil")</f>
        <v>Abrir facsímil</v>
      </c>
      <c r="K12139" t="s">
        <v>22</v>
      </c>
    </row>
    <row r="12140" spans="1:11" ht="42" customHeight="1">
      <c r="A12140" t="s">
        <v>23752</v>
      </c>
      <c r="B12140" t="s">
        <v>23752</v>
      </c>
      <c r="C12140" t="s">
        <v>42</v>
      </c>
      <c r="D12140" t="s">
        <v>17</v>
      </c>
      <c r="E12140" s="6">
        <v>-28381</v>
      </c>
      <c r="F12140" t="s">
        <v>358</v>
      </c>
      <c r="G12140" t="s">
        <v>19</v>
      </c>
      <c r="H12140" t="s">
        <v>20</v>
      </c>
      <c r="I12140" t="s">
        <v>23781</v>
      </c>
      <c r="J12140" t="str">
        <f>HYPERLINK("https://www.boe.es/gazeta/dias/1822/04/17/pdfs/GMD-1822-109.pdf#page=5","Abrir facsímil")</f>
        <v>Abrir facsímil</v>
      </c>
      <c r="K12140" t="s">
        <v>22</v>
      </c>
    </row>
    <row r="12141" spans="1:11" ht="42" customHeight="1">
      <c r="A12141" t="s">
        <v>23752</v>
      </c>
      <c r="B12141" t="s">
        <v>23752</v>
      </c>
      <c r="C12141" t="s">
        <v>50</v>
      </c>
      <c r="D12141" t="s">
        <v>51</v>
      </c>
      <c r="E12141" s="6">
        <v>-28380</v>
      </c>
      <c r="F12141" t="s">
        <v>492</v>
      </c>
      <c r="G12141" t="s">
        <v>19</v>
      </c>
      <c r="H12141" t="s">
        <v>20</v>
      </c>
      <c r="I12141" t="s">
        <v>23782</v>
      </c>
      <c r="J12141" t="str">
        <f>HYPERLINK("https://www.boe.es/gazeta/dias/1822/04/18/pdfs/GMD-1822-110.pdf#page=5","Abrir facsímil")</f>
        <v>Abrir facsímil</v>
      </c>
      <c r="K12141" t="s">
        <v>22</v>
      </c>
    </row>
    <row r="12142" spans="1:11" ht="42" customHeight="1">
      <c r="A12142" t="s">
        <v>23752</v>
      </c>
      <c r="B12142" t="s">
        <v>23752</v>
      </c>
      <c r="C12142" t="s">
        <v>16</v>
      </c>
      <c r="D12142" t="s">
        <v>17</v>
      </c>
      <c r="E12142" s="6">
        <v>-28379</v>
      </c>
      <c r="F12142" t="s">
        <v>494</v>
      </c>
      <c r="G12142" t="s">
        <v>19</v>
      </c>
      <c r="H12142" t="s">
        <v>20</v>
      </c>
      <c r="I12142" t="s">
        <v>23783</v>
      </c>
      <c r="J12142" t="str">
        <f>HYPERLINK("https://www.boe.es/gazeta/dias/1822/04/19/pdfs/GMD-1822-111.pdf#page=5","Abrir facsímil")</f>
        <v>Abrir facsímil</v>
      </c>
      <c r="K12142" t="s">
        <v>22</v>
      </c>
    </row>
    <row r="12143" spans="1:11" ht="42" customHeight="1">
      <c r="A12143" t="s">
        <v>23752</v>
      </c>
      <c r="B12143" t="s">
        <v>23752</v>
      </c>
      <c r="C12143" t="s">
        <v>71</v>
      </c>
      <c r="D12143" t="s">
        <v>17</v>
      </c>
      <c r="E12143" s="6">
        <v>-28378</v>
      </c>
      <c r="F12143" t="s">
        <v>496</v>
      </c>
      <c r="G12143" t="s">
        <v>35</v>
      </c>
      <c r="H12143" t="s">
        <v>20</v>
      </c>
      <c r="I12143" t="s">
        <v>23784</v>
      </c>
      <c r="J12143" t="str">
        <f>HYPERLINK("https://www.boe.es/gazeta/dias/1822/04/20/pdfs/GMD-1822-112.pdf#page=2","Abrir facsímil")</f>
        <v>Abrir facsímil</v>
      </c>
      <c r="K12143" t="s">
        <v>22</v>
      </c>
    </row>
    <row r="12144" spans="1:11" ht="42" customHeight="1">
      <c r="A12144" t="s">
        <v>23752</v>
      </c>
      <c r="B12144" t="s">
        <v>23752</v>
      </c>
      <c r="C12144" t="s">
        <v>50</v>
      </c>
      <c r="D12144" t="s">
        <v>51</v>
      </c>
      <c r="E12144" s="6">
        <v>-28378</v>
      </c>
      <c r="F12144" t="s">
        <v>496</v>
      </c>
      <c r="G12144" t="s">
        <v>31</v>
      </c>
      <c r="H12144" t="s">
        <v>20</v>
      </c>
      <c r="I12144" t="s">
        <v>23785</v>
      </c>
      <c r="J12144" t="str">
        <f>HYPERLINK("https://www.boe.es/gazeta/dias/1822/04/20/pdfs/GMD-1822-112.pdf#page=3","Abrir facsímil")</f>
        <v>Abrir facsímil</v>
      </c>
      <c r="K12144" t="s">
        <v>22</v>
      </c>
    </row>
    <row r="12145" spans="1:11" ht="42" customHeight="1">
      <c r="A12145" t="s">
        <v>23752</v>
      </c>
      <c r="B12145" t="s">
        <v>23752</v>
      </c>
      <c r="C12145" t="s">
        <v>71</v>
      </c>
      <c r="D12145" t="s">
        <v>17</v>
      </c>
      <c r="E12145" s="6">
        <v>-28378</v>
      </c>
      <c r="F12145" t="s">
        <v>496</v>
      </c>
      <c r="G12145" t="s">
        <v>57</v>
      </c>
      <c r="H12145" t="s">
        <v>20</v>
      </c>
      <c r="I12145" t="s">
        <v>23786</v>
      </c>
      <c r="J12145" t="str">
        <f>HYPERLINK("https://www.boe.es/gazeta/dias/1822/04/20/pdfs/GMD-1822-112.pdf#page=4","Abrir facsímil")</f>
        <v>Abrir facsímil</v>
      </c>
      <c r="K12145" t="s">
        <v>22</v>
      </c>
    </row>
    <row r="12146" spans="1:11" ht="42" customHeight="1">
      <c r="A12146" t="s">
        <v>23752</v>
      </c>
      <c r="B12146" t="s">
        <v>23752</v>
      </c>
      <c r="C12146" t="s">
        <v>42</v>
      </c>
      <c r="D12146" t="s">
        <v>17</v>
      </c>
      <c r="E12146" s="6">
        <v>-28377</v>
      </c>
      <c r="F12146" t="s">
        <v>498</v>
      </c>
      <c r="G12146" t="s">
        <v>35</v>
      </c>
      <c r="H12146" t="s">
        <v>20</v>
      </c>
      <c r="I12146" t="s">
        <v>23787</v>
      </c>
      <c r="J12146" t="str">
        <f>HYPERLINK("https://www.boe.es/gazeta/dias/1822/04/21/pdfs/GMD-1822-113.pdf#page=2","Abrir facsímil")</f>
        <v>Abrir facsímil</v>
      </c>
      <c r="K12146" t="s">
        <v>22</v>
      </c>
    </row>
    <row r="12147" spans="1:11" ht="42" customHeight="1">
      <c r="A12147" t="s">
        <v>23752</v>
      </c>
      <c r="B12147" t="s">
        <v>23752</v>
      </c>
      <c r="C12147" t="s">
        <v>28</v>
      </c>
      <c r="D12147" t="s">
        <v>29</v>
      </c>
      <c r="E12147" s="6">
        <v>-28371</v>
      </c>
      <c r="F12147" t="s">
        <v>401</v>
      </c>
      <c r="G12147" t="s">
        <v>57</v>
      </c>
      <c r="H12147" t="s">
        <v>20</v>
      </c>
      <c r="I12147" t="s">
        <v>23788</v>
      </c>
      <c r="J12147" t="str">
        <f>HYPERLINK("https://www.boe.es/gazeta/dias/1822/04/27/pdfs/GMD-1822-119.pdf#page=4","Abrir facsímil")</f>
        <v>Abrir facsímil</v>
      </c>
      <c r="K12147" t="s">
        <v>22</v>
      </c>
    </row>
    <row r="12148" spans="1:11" ht="42" customHeight="1">
      <c r="A12148" t="s">
        <v>23752</v>
      </c>
      <c r="B12148" t="s">
        <v>23752</v>
      </c>
      <c r="C12148" t="s">
        <v>50</v>
      </c>
      <c r="D12148" t="s">
        <v>51</v>
      </c>
      <c r="E12148" s="6">
        <v>-28365</v>
      </c>
      <c r="F12148" t="s">
        <v>506</v>
      </c>
      <c r="G12148" t="s">
        <v>35</v>
      </c>
      <c r="H12148" t="s">
        <v>20</v>
      </c>
      <c r="I12148" t="s">
        <v>23789</v>
      </c>
      <c r="J12148" t="str">
        <f>HYPERLINK("https://www.boe.es/gazeta/dias/1822/05/03/pdfs/GMD-1822-125.pdf#page=2","Abrir facsímil")</f>
        <v>Abrir facsímil</v>
      </c>
      <c r="K12148" t="s">
        <v>22</v>
      </c>
    </row>
    <row r="12149" spans="1:11" ht="42" customHeight="1">
      <c r="A12149" t="s">
        <v>23752</v>
      </c>
      <c r="B12149" t="s">
        <v>23752</v>
      </c>
      <c r="C12149" t="s">
        <v>28</v>
      </c>
      <c r="D12149" t="s">
        <v>29</v>
      </c>
      <c r="E12149" s="6">
        <v>-28365</v>
      </c>
      <c r="F12149" t="s">
        <v>506</v>
      </c>
      <c r="G12149" t="s">
        <v>31</v>
      </c>
      <c r="H12149" t="s">
        <v>20</v>
      </c>
      <c r="I12149" t="s">
        <v>23790</v>
      </c>
      <c r="J12149" t="str">
        <f>HYPERLINK("https://www.boe.es/gazeta/dias/1822/05/03/pdfs/GMD-1822-125.pdf#page=3","Abrir facsímil")</f>
        <v>Abrir facsímil</v>
      </c>
      <c r="K12149" t="s">
        <v>22</v>
      </c>
    </row>
    <row r="12150" spans="1:11" ht="42" customHeight="1">
      <c r="A12150" t="s">
        <v>23752</v>
      </c>
      <c r="B12150" t="s">
        <v>23752</v>
      </c>
      <c r="C12150" t="s">
        <v>42</v>
      </c>
      <c r="D12150" t="s">
        <v>17</v>
      </c>
      <c r="E12150" s="6">
        <v>-28364</v>
      </c>
      <c r="F12150" t="s">
        <v>509</v>
      </c>
      <c r="G12150" t="s">
        <v>35</v>
      </c>
      <c r="H12150" t="s">
        <v>20</v>
      </c>
      <c r="I12150" t="s">
        <v>23791</v>
      </c>
      <c r="J12150" t="str">
        <f>HYPERLINK("https://www.boe.es/gazeta/dias/1822/05/04/pdfs/GMD-1822-126.pdf#page=2","Abrir facsímil")</f>
        <v>Abrir facsímil</v>
      </c>
      <c r="K12150" t="s">
        <v>22</v>
      </c>
    </row>
    <row r="12151" spans="1:11" ht="42" customHeight="1">
      <c r="A12151" t="s">
        <v>23752</v>
      </c>
      <c r="B12151" t="s">
        <v>23752</v>
      </c>
      <c r="C12151" t="s">
        <v>24</v>
      </c>
      <c r="D12151" t="s">
        <v>17</v>
      </c>
      <c r="E12151" s="6">
        <v>-28364</v>
      </c>
      <c r="F12151" t="s">
        <v>509</v>
      </c>
      <c r="G12151" t="s">
        <v>19</v>
      </c>
      <c r="H12151" t="s">
        <v>20</v>
      </c>
      <c r="I12151" t="s">
        <v>23792</v>
      </c>
      <c r="J12151" t="str">
        <f>HYPERLINK("https://www.boe.es/gazeta/dias/1822/05/04/pdfs/GMD-1822-126.pdf#page=5","Abrir facsímil")</f>
        <v>Abrir facsímil</v>
      </c>
      <c r="K12151" t="s">
        <v>22</v>
      </c>
    </row>
    <row r="12152" spans="1:11" ht="42" customHeight="1">
      <c r="A12152" t="s">
        <v>23752</v>
      </c>
      <c r="B12152" t="s">
        <v>23752</v>
      </c>
      <c r="C12152" t="s">
        <v>28</v>
      </c>
      <c r="D12152" t="s">
        <v>29</v>
      </c>
      <c r="E12152" s="6">
        <v>-28363</v>
      </c>
      <c r="F12152" t="s">
        <v>72</v>
      </c>
      <c r="G12152" t="s">
        <v>44</v>
      </c>
      <c r="H12152" t="s">
        <v>20</v>
      </c>
      <c r="I12152" t="s">
        <v>23793</v>
      </c>
      <c r="J12152" t="str">
        <f>HYPERLINK("https://www.boe.es/gazeta/dias/1822/05/05/pdfs/GMD-1822-127.pdf#page=1","Abrir facsímil")</f>
        <v>Abrir facsímil</v>
      </c>
      <c r="K12152" t="s">
        <v>22</v>
      </c>
    </row>
    <row r="12153" spans="1:11" ht="42" customHeight="1">
      <c r="A12153" t="s">
        <v>23752</v>
      </c>
      <c r="B12153" t="s">
        <v>23752</v>
      </c>
      <c r="C12153" t="s">
        <v>28</v>
      </c>
      <c r="D12153" t="s">
        <v>29</v>
      </c>
      <c r="E12153" s="6">
        <v>-28360</v>
      </c>
      <c r="F12153" t="s">
        <v>514</v>
      </c>
      <c r="G12153" t="s">
        <v>57</v>
      </c>
      <c r="H12153" t="s">
        <v>20</v>
      </c>
      <c r="I12153" t="s">
        <v>23794</v>
      </c>
      <c r="J12153" t="str">
        <f>HYPERLINK("https://www.boe.es/gazeta/dias/1822/05/08/pdfs/GMD-1822-130.pdf#page=4","Abrir facsímil")</f>
        <v>Abrir facsímil</v>
      </c>
      <c r="K12153" t="s">
        <v>22</v>
      </c>
    </row>
    <row r="12154" spans="1:11" ht="42" customHeight="1">
      <c r="A12154" t="s">
        <v>23752</v>
      </c>
      <c r="B12154" t="s">
        <v>23752</v>
      </c>
      <c r="C12154" t="s">
        <v>28</v>
      </c>
      <c r="D12154" t="s">
        <v>29</v>
      </c>
      <c r="E12154" s="6">
        <v>-28359</v>
      </c>
      <c r="F12154" t="s">
        <v>209</v>
      </c>
      <c r="G12154" t="s">
        <v>19</v>
      </c>
      <c r="H12154" t="s">
        <v>20</v>
      </c>
      <c r="I12154" t="s">
        <v>23795</v>
      </c>
      <c r="J12154" t="str">
        <f>HYPERLINK("https://www.boe.es/gazeta/dias/1822/05/09/pdfs/GMD-1822-131.pdf#page=5","Abrir facsímil")</f>
        <v>Abrir facsímil</v>
      </c>
      <c r="K12154" t="s">
        <v>22</v>
      </c>
    </row>
    <row r="12155" spans="1:11" ht="42" customHeight="1">
      <c r="A12155" t="s">
        <v>23752</v>
      </c>
      <c r="B12155" t="s">
        <v>23752</v>
      </c>
      <c r="C12155" t="s">
        <v>16</v>
      </c>
      <c r="D12155" t="s">
        <v>17</v>
      </c>
      <c r="E12155" s="6">
        <v>-28357</v>
      </c>
      <c r="F12155" t="s">
        <v>690</v>
      </c>
      <c r="G12155" t="s">
        <v>35</v>
      </c>
      <c r="H12155" t="s">
        <v>20</v>
      </c>
      <c r="I12155" t="s">
        <v>23796</v>
      </c>
      <c r="J12155" t="str">
        <f>HYPERLINK("https://www.boe.es/gazeta/dias/1822/05/11/pdfs/GMD-1822-133.pdf#page=2","Abrir facsímil")</f>
        <v>Abrir facsímil</v>
      </c>
      <c r="K12155" t="s">
        <v>22</v>
      </c>
    </row>
    <row r="12156" spans="1:11" ht="42" customHeight="1">
      <c r="A12156" t="s">
        <v>23752</v>
      </c>
      <c r="B12156" t="s">
        <v>23752</v>
      </c>
      <c r="C12156" t="s">
        <v>16</v>
      </c>
      <c r="D12156" t="s">
        <v>17</v>
      </c>
      <c r="E12156" s="6">
        <v>-28357</v>
      </c>
      <c r="F12156" t="s">
        <v>690</v>
      </c>
      <c r="G12156" t="s">
        <v>57</v>
      </c>
      <c r="H12156" t="s">
        <v>20</v>
      </c>
      <c r="I12156" t="s">
        <v>23797</v>
      </c>
      <c r="J12156" t="str">
        <f>HYPERLINK("https://www.boe.es/gazeta/dias/1822/05/11/pdfs/GMD-1822-133.pdf#page=4","Abrir facsímil")</f>
        <v>Abrir facsímil</v>
      </c>
      <c r="K12156" t="s">
        <v>22</v>
      </c>
    </row>
    <row r="12157" spans="1:11" ht="42" customHeight="1">
      <c r="A12157" t="s">
        <v>23752</v>
      </c>
      <c r="B12157" t="s">
        <v>23752</v>
      </c>
      <c r="C12157" t="s">
        <v>71</v>
      </c>
      <c r="D12157" t="s">
        <v>17</v>
      </c>
      <c r="E12157" s="6">
        <v>-28355</v>
      </c>
      <c r="F12157" t="s">
        <v>692</v>
      </c>
      <c r="G12157" t="s">
        <v>63</v>
      </c>
      <c r="H12157" t="s">
        <v>20</v>
      </c>
      <c r="I12157" t="s">
        <v>23798</v>
      </c>
      <c r="J12157" t="str">
        <f>HYPERLINK("https://www.boe.es/gazeta/dias/1822/05/13/pdfs/GMD-1822-135.pdf#page=6","Abrir facsímil")</f>
        <v>Abrir facsímil</v>
      </c>
      <c r="K12157" t="s">
        <v>22</v>
      </c>
    </row>
    <row r="12158" spans="1:11" ht="42" customHeight="1">
      <c r="A12158" t="s">
        <v>23752</v>
      </c>
      <c r="B12158" t="s">
        <v>23752</v>
      </c>
      <c r="C12158" t="s">
        <v>28</v>
      </c>
      <c r="D12158" t="s">
        <v>29</v>
      </c>
      <c r="E12158" s="6">
        <v>-28354</v>
      </c>
      <c r="F12158" t="s">
        <v>226</v>
      </c>
      <c r="G12158" t="s">
        <v>35</v>
      </c>
      <c r="H12158" t="s">
        <v>20</v>
      </c>
      <c r="I12158" t="s">
        <v>23799</v>
      </c>
      <c r="J12158" t="str">
        <f>HYPERLINK("https://www.boe.es/gazeta/dias/1822/05/14/pdfs/GMD-1822-136.pdf#page=2","Abrir facsímil")</f>
        <v>Abrir facsímil</v>
      </c>
      <c r="K12158" t="s">
        <v>22</v>
      </c>
    </row>
    <row r="12159" spans="1:11" ht="42" customHeight="1">
      <c r="A12159" t="s">
        <v>23752</v>
      </c>
      <c r="B12159" t="s">
        <v>23752</v>
      </c>
      <c r="C12159" t="s">
        <v>28</v>
      </c>
      <c r="D12159" t="s">
        <v>29</v>
      </c>
      <c r="E12159" s="6">
        <v>-28354</v>
      </c>
      <c r="F12159" t="s">
        <v>226</v>
      </c>
      <c r="G12159" t="s">
        <v>31</v>
      </c>
      <c r="H12159" t="s">
        <v>20</v>
      </c>
      <c r="I12159" t="s">
        <v>23800</v>
      </c>
      <c r="J12159" t="str">
        <f>HYPERLINK("https://www.boe.es/gazeta/dias/1822/05/14/pdfs/GMD-1822-136.pdf#page=3","Abrir facsímil")</f>
        <v>Abrir facsímil</v>
      </c>
      <c r="K12159" t="s">
        <v>22</v>
      </c>
    </row>
    <row r="12160" spans="1:11" ht="42" customHeight="1">
      <c r="A12160" t="s">
        <v>23752</v>
      </c>
      <c r="B12160" t="s">
        <v>23752</v>
      </c>
      <c r="C12160" t="s">
        <v>42</v>
      </c>
      <c r="D12160" t="s">
        <v>17</v>
      </c>
      <c r="E12160" s="6">
        <v>-28353</v>
      </c>
      <c r="F12160" t="s">
        <v>843</v>
      </c>
      <c r="G12160" t="s">
        <v>31</v>
      </c>
      <c r="H12160" t="s">
        <v>20</v>
      </c>
      <c r="I12160" t="s">
        <v>23801</v>
      </c>
      <c r="J12160" t="str">
        <f>HYPERLINK("https://www.boe.es/gazeta/dias/1822/05/15/pdfs/GMD-1822-137.pdf#page=3","Abrir facsímil")</f>
        <v>Abrir facsímil</v>
      </c>
      <c r="K12160" t="s">
        <v>22</v>
      </c>
    </row>
    <row r="12161" spans="1:11" ht="42" customHeight="1">
      <c r="A12161" t="s">
        <v>23752</v>
      </c>
      <c r="B12161" t="s">
        <v>23752</v>
      </c>
      <c r="C12161" t="s">
        <v>71</v>
      </c>
      <c r="D12161" t="s">
        <v>17</v>
      </c>
      <c r="E12161" s="6">
        <v>-28353</v>
      </c>
      <c r="F12161" t="s">
        <v>843</v>
      </c>
      <c r="G12161" t="s">
        <v>57</v>
      </c>
      <c r="H12161" t="s">
        <v>20</v>
      </c>
      <c r="I12161" t="s">
        <v>23802</v>
      </c>
      <c r="J12161" t="str">
        <f>HYPERLINK("https://www.boe.es/gazeta/dias/1822/05/15/pdfs/GMD-1822-137.pdf#page=4","Abrir facsímil")</f>
        <v>Abrir facsímil</v>
      </c>
      <c r="K12161" t="s">
        <v>22</v>
      </c>
    </row>
    <row r="12162" spans="1:11" ht="42" customHeight="1">
      <c r="A12162" t="s">
        <v>23752</v>
      </c>
      <c r="B12162" t="s">
        <v>23752</v>
      </c>
      <c r="C12162" t="s">
        <v>71</v>
      </c>
      <c r="D12162" t="s">
        <v>17</v>
      </c>
      <c r="E12162" s="6">
        <v>-28352</v>
      </c>
      <c r="F12162" t="s">
        <v>1575</v>
      </c>
      <c r="G12162" t="s">
        <v>31</v>
      </c>
      <c r="H12162" t="s">
        <v>20</v>
      </c>
      <c r="I12162" t="s">
        <v>23803</v>
      </c>
      <c r="J12162" t="str">
        <f>HYPERLINK("https://www.boe.es/gazeta/dias/1822/05/16/pdfs/GMD-1822-138.pdf#page=3","Abrir facsímil")</f>
        <v>Abrir facsímil</v>
      </c>
      <c r="K12162" t="s">
        <v>22</v>
      </c>
    </row>
    <row r="12163" spans="1:11" ht="42" customHeight="1">
      <c r="A12163" t="s">
        <v>23752</v>
      </c>
      <c r="B12163" t="s">
        <v>23752</v>
      </c>
      <c r="C12163" t="s">
        <v>50</v>
      </c>
      <c r="D12163" t="s">
        <v>51</v>
      </c>
      <c r="E12163" s="6">
        <v>-28349</v>
      </c>
      <c r="F12163" t="s">
        <v>518</v>
      </c>
      <c r="G12163" t="s">
        <v>31</v>
      </c>
      <c r="H12163" t="s">
        <v>20</v>
      </c>
      <c r="I12163" t="s">
        <v>23804</v>
      </c>
      <c r="J12163" t="str">
        <f>HYPERLINK("https://www.boe.es/gazeta/dias/1822/05/19/pdfs/GMD-1822-141.pdf#page=3","Abrir facsímil")</f>
        <v>Abrir facsímil</v>
      </c>
      <c r="K12163" t="s">
        <v>22</v>
      </c>
    </row>
    <row r="12164" spans="1:11" ht="42" customHeight="1">
      <c r="A12164" t="s">
        <v>23752</v>
      </c>
      <c r="B12164" t="s">
        <v>23752</v>
      </c>
      <c r="C12164" t="s">
        <v>71</v>
      </c>
      <c r="D12164" t="s">
        <v>17</v>
      </c>
      <c r="E12164" s="6">
        <v>-28346</v>
      </c>
      <c r="F12164" t="s">
        <v>191</v>
      </c>
      <c r="G12164" t="s">
        <v>35</v>
      </c>
      <c r="H12164" t="s">
        <v>20</v>
      </c>
      <c r="I12164" t="s">
        <v>23805</v>
      </c>
      <c r="J12164" t="str">
        <f>HYPERLINK("https://www.boe.es/gazeta/dias/1822/05/22/pdfs/GMD-1822-145.pdf#page=2","Abrir facsímil")</f>
        <v>Abrir facsímil</v>
      </c>
      <c r="K12164" t="s">
        <v>22</v>
      </c>
    </row>
    <row r="12165" spans="1:11" ht="42" customHeight="1">
      <c r="A12165" t="s">
        <v>23752</v>
      </c>
      <c r="B12165" t="s">
        <v>23752</v>
      </c>
      <c r="C12165" t="s">
        <v>28</v>
      </c>
      <c r="D12165" t="s">
        <v>29</v>
      </c>
      <c r="E12165" s="6">
        <v>-28346</v>
      </c>
      <c r="F12165" t="s">
        <v>191</v>
      </c>
      <c r="G12165" t="s">
        <v>31</v>
      </c>
      <c r="H12165" t="s">
        <v>20</v>
      </c>
      <c r="I12165" t="s">
        <v>23806</v>
      </c>
      <c r="J12165" t="str">
        <f>HYPERLINK("https://www.boe.es/gazeta/dias/1822/05/22/pdfs/GMD-1822-145.pdf#page=3","Abrir facsímil")</f>
        <v>Abrir facsímil</v>
      </c>
      <c r="K12165" t="s">
        <v>22</v>
      </c>
    </row>
    <row r="12166" spans="1:11" ht="42" customHeight="1">
      <c r="A12166" t="s">
        <v>23752</v>
      </c>
      <c r="B12166" t="s">
        <v>23752</v>
      </c>
      <c r="C12166" t="s">
        <v>42</v>
      </c>
      <c r="D12166" t="s">
        <v>17</v>
      </c>
      <c r="E12166" s="6">
        <v>-28345</v>
      </c>
      <c r="F12166" t="s">
        <v>294</v>
      </c>
      <c r="G12166" t="s">
        <v>31</v>
      </c>
      <c r="H12166" t="s">
        <v>20</v>
      </c>
      <c r="I12166" t="s">
        <v>23807</v>
      </c>
      <c r="J12166" t="str">
        <f>HYPERLINK("https://www.boe.es/gazeta/dias/1822/05/23/pdfs/GMD-1822-147.pdf#page=3","Abrir facsímil")</f>
        <v>Abrir facsímil</v>
      </c>
      <c r="K12166" t="s">
        <v>22</v>
      </c>
    </row>
    <row r="12167" spans="1:11" ht="42" customHeight="1">
      <c r="A12167" t="s">
        <v>23752</v>
      </c>
      <c r="B12167" t="s">
        <v>23752</v>
      </c>
      <c r="C12167" t="s">
        <v>24</v>
      </c>
      <c r="D12167" t="s">
        <v>17</v>
      </c>
      <c r="E12167" s="6">
        <v>-28344</v>
      </c>
      <c r="F12167" t="s">
        <v>524</v>
      </c>
      <c r="G12167" t="s">
        <v>31</v>
      </c>
      <c r="H12167" t="s">
        <v>20</v>
      </c>
      <c r="I12167" t="s">
        <v>23808</v>
      </c>
      <c r="J12167" t="str">
        <f>HYPERLINK("https://www.boe.es/gazeta/dias/1822/05/24/pdfs/GMD-1822-148.pdf#page=3","Abrir facsímil")</f>
        <v>Abrir facsímil</v>
      </c>
      <c r="K12167" t="s">
        <v>22</v>
      </c>
    </row>
    <row r="12168" spans="1:11" ht="42" customHeight="1">
      <c r="A12168" t="s">
        <v>23752</v>
      </c>
      <c r="B12168" t="s">
        <v>23752</v>
      </c>
      <c r="C12168" t="s">
        <v>42</v>
      </c>
      <c r="D12168" t="s">
        <v>17</v>
      </c>
      <c r="E12168" s="6">
        <v>-28341</v>
      </c>
      <c r="F12168" t="s">
        <v>284</v>
      </c>
      <c r="G12168" t="s">
        <v>35</v>
      </c>
      <c r="H12168" t="s">
        <v>20</v>
      </c>
      <c r="I12168" t="s">
        <v>23809</v>
      </c>
      <c r="J12168" t="str">
        <f>HYPERLINK("https://www.boe.es/gazeta/dias/1822/05/27/pdfs/GMD-1822-152.pdf#page=2","Abrir facsímil")</f>
        <v>Abrir facsímil</v>
      </c>
      <c r="K12168" t="s">
        <v>22</v>
      </c>
    </row>
    <row r="12169" spans="1:11" ht="42" customHeight="1">
      <c r="A12169" t="s">
        <v>23752</v>
      </c>
      <c r="B12169" t="s">
        <v>23752</v>
      </c>
      <c r="C12169" t="s">
        <v>42</v>
      </c>
      <c r="D12169" t="s">
        <v>17</v>
      </c>
      <c r="E12169" s="6">
        <v>-28341</v>
      </c>
      <c r="F12169" t="s">
        <v>284</v>
      </c>
      <c r="G12169" t="s">
        <v>57</v>
      </c>
      <c r="H12169" t="s">
        <v>20</v>
      </c>
      <c r="I12169" t="s">
        <v>23810</v>
      </c>
      <c r="J12169" t="str">
        <f>HYPERLINK("https://www.boe.es/gazeta/dias/1822/05/27/pdfs/GMD-1822-152.pdf#page=4","Abrir facsímil")</f>
        <v>Abrir facsímil</v>
      </c>
      <c r="K12169" t="s">
        <v>22</v>
      </c>
    </row>
    <row r="12170" spans="1:11" ht="42" customHeight="1">
      <c r="A12170" t="s">
        <v>23752</v>
      </c>
      <c r="B12170" t="s">
        <v>23752</v>
      </c>
      <c r="C12170" t="s">
        <v>42</v>
      </c>
      <c r="D12170" t="s">
        <v>17</v>
      </c>
      <c r="E12170" s="6">
        <v>-28341</v>
      </c>
      <c r="F12170" t="s">
        <v>284</v>
      </c>
      <c r="G12170" t="s">
        <v>19</v>
      </c>
      <c r="H12170" t="s">
        <v>20</v>
      </c>
      <c r="I12170" t="s">
        <v>23811</v>
      </c>
      <c r="J12170" t="str">
        <f>HYPERLINK("https://www.boe.es/gazeta/dias/1822/05/27/pdfs/GMD-1822-152.pdf#page=5","Abrir facsímil")</f>
        <v>Abrir facsímil</v>
      </c>
      <c r="K12170" t="s">
        <v>22</v>
      </c>
    </row>
    <row r="12171" spans="1:11" ht="42" customHeight="1">
      <c r="A12171" t="s">
        <v>23752</v>
      </c>
      <c r="B12171" t="s">
        <v>23752</v>
      </c>
      <c r="C12171" t="s">
        <v>28</v>
      </c>
      <c r="D12171" t="s">
        <v>29</v>
      </c>
      <c r="E12171" s="6">
        <v>-28340</v>
      </c>
      <c r="F12171" t="s">
        <v>139</v>
      </c>
      <c r="G12171" t="s">
        <v>57</v>
      </c>
      <c r="H12171" t="s">
        <v>20</v>
      </c>
      <c r="I12171" t="s">
        <v>23812</v>
      </c>
      <c r="J12171" t="str">
        <f>HYPERLINK("https://www.boe.es/gazeta/dias/1822/05/28/pdfs/GMD-1822-153.pdf#page=4","Abrir facsímil")</f>
        <v>Abrir facsímil</v>
      </c>
      <c r="K12171" t="s">
        <v>22</v>
      </c>
    </row>
    <row r="12172" spans="1:11" ht="42" customHeight="1">
      <c r="A12172" t="s">
        <v>23752</v>
      </c>
      <c r="B12172" t="s">
        <v>23752</v>
      </c>
      <c r="C12172" t="s">
        <v>71</v>
      </c>
      <c r="D12172" t="s">
        <v>17</v>
      </c>
      <c r="E12172" s="6">
        <v>-28338</v>
      </c>
      <c r="F12172" t="s">
        <v>527</v>
      </c>
      <c r="G12172" t="s">
        <v>31</v>
      </c>
      <c r="H12172" t="s">
        <v>20</v>
      </c>
      <c r="I12172" t="s">
        <v>23813</v>
      </c>
      <c r="J12172" t="str">
        <f>HYPERLINK("https://www.boe.es/gazeta/dias/1822/05/30/pdfs/GMD-1822-155.pdf#page=3","Abrir facsímil")</f>
        <v>Abrir facsímil</v>
      </c>
      <c r="K12172" t="s">
        <v>22</v>
      </c>
    </row>
    <row r="12173" spans="1:11" ht="42" customHeight="1">
      <c r="A12173" t="s">
        <v>23752</v>
      </c>
      <c r="B12173" t="s">
        <v>23752</v>
      </c>
      <c r="C12173" t="s">
        <v>42</v>
      </c>
      <c r="D12173" t="s">
        <v>17</v>
      </c>
      <c r="E12173" s="6">
        <v>-28337</v>
      </c>
      <c r="F12173" t="s">
        <v>1836</v>
      </c>
      <c r="G12173" t="s">
        <v>44</v>
      </c>
      <c r="H12173" t="s">
        <v>20</v>
      </c>
      <c r="I12173" t="s">
        <v>23814</v>
      </c>
      <c r="J12173" t="str">
        <f>HYPERLINK("https://www.boe.es/gazeta/dias/1822/05/31/pdfs/GMD-1822-156.pdf#page=1","Abrir facsímil")</f>
        <v>Abrir facsímil</v>
      </c>
      <c r="K12173" t="s">
        <v>22</v>
      </c>
    </row>
    <row r="12174" spans="1:11" ht="42" customHeight="1">
      <c r="A12174" t="s">
        <v>23752</v>
      </c>
      <c r="B12174" t="s">
        <v>23752</v>
      </c>
      <c r="C12174" t="s">
        <v>42</v>
      </c>
      <c r="D12174" t="s">
        <v>17</v>
      </c>
      <c r="E12174" s="6">
        <v>-28337</v>
      </c>
      <c r="F12174" t="s">
        <v>1836</v>
      </c>
      <c r="G12174" t="s">
        <v>35</v>
      </c>
      <c r="H12174" t="s">
        <v>20</v>
      </c>
      <c r="I12174" t="s">
        <v>23815</v>
      </c>
      <c r="J12174" t="str">
        <f>HYPERLINK("https://www.boe.es/gazeta/dias/1822/05/31/pdfs/GMD-1822-156.pdf#page=2","Abrir facsímil")</f>
        <v>Abrir facsímil</v>
      </c>
      <c r="K12174" t="s">
        <v>22</v>
      </c>
    </row>
    <row r="12175" spans="1:11" ht="42" customHeight="1">
      <c r="A12175" t="s">
        <v>23752</v>
      </c>
      <c r="B12175" t="s">
        <v>23752</v>
      </c>
      <c r="C12175" t="s">
        <v>28</v>
      </c>
      <c r="D12175" t="s">
        <v>29</v>
      </c>
      <c r="E12175" s="6">
        <v>-28336</v>
      </c>
      <c r="F12175" t="s">
        <v>156</v>
      </c>
      <c r="G12175" t="s">
        <v>35</v>
      </c>
      <c r="H12175" t="s">
        <v>20</v>
      </c>
      <c r="I12175" t="s">
        <v>23816</v>
      </c>
      <c r="J12175" t="str">
        <f>HYPERLINK("https://www.boe.es/gazeta/dias/1822/06/01/pdfs/GMD-1822-157.pdf#page=2","Abrir facsímil")</f>
        <v>Abrir facsímil</v>
      </c>
      <c r="K12175" t="s">
        <v>22</v>
      </c>
    </row>
    <row r="12176" spans="1:11" ht="42" customHeight="1">
      <c r="A12176" t="s">
        <v>23752</v>
      </c>
      <c r="B12176" t="s">
        <v>23752</v>
      </c>
      <c r="C12176" t="s">
        <v>50</v>
      </c>
      <c r="D12176" t="s">
        <v>51</v>
      </c>
      <c r="E12176" s="6">
        <v>-28334</v>
      </c>
      <c r="F12176" t="s">
        <v>532</v>
      </c>
      <c r="G12176" t="s">
        <v>35</v>
      </c>
      <c r="H12176" t="s">
        <v>20</v>
      </c>
      <c r="I12176" t="s">
        <v>23817</v>
      </c>
      <c r="J12176" t="str">
        <f>HYPERLINK("https://www.boe.es/gazeta/dias/1822/06/03/pdfs/GMD-1822-159.pdf#page=2","Abrir facsímil")</f>
        <v>Abrir facsímil</v>
      </c>
      <c r="K12176" t="s">
        <v>22</v>
      </c>
    </row>
    <row r="12177" spans="1:11" ht="42" customHeight="1">
      <c r="A12177" t="s">
        <v>23752</v>
      </c>
      <c r="B12177" t="s">
        <v>23752</v>
      </c>
      <c r="C12177" t="s">
        <v>42</v>
      </c>
      <c r="D12177" t="s">
        <v>17</v>
      </c>
      <c r="E12177" s="6">
        <v>-28334</v>
      </c>
      <c r="F12177" t="s">
        <v>532</v>
      </c>
      <c r="G12177" t="s">
        <v>31</v>
      </c>
      <c r="H12177" t="s">
        <v>20</v>
      </c>
      <c r="I12177" t="s">
        <v>23818</v>
      </c>
      <c r="J12177" t="str">
        <f>HYPERLINK("https://www.boe.es/gazeta/dias/1822/06/03/pdfs/GMD-1822-159.pdf#page=3","Abrir facsímil")</f>
        <v>Abrir facsímil</v>
      </c>
      <c r="K12177" t="s">
        <v>22</v>
      </c>
    </row>
    <row r="12178" spans="1:11" ht="42" customHeight="1">
      <c r="A12178" t="s">
        <v>23752</v>
      </c>
      <c r="B12178" t="s">
        <v>23752</v>
      </c>
      <c r="C12178" t="s">
        <v>50</v>
      </c>
      <c r="D12178" t="s">
        <v>51</v>
      </c>
      <c r="E12178" s="6">
        <v>-28332</v>
      </c>
      <c r="F12178" t="s">
        <v>535</v>
      </c>
      <c r="G12178" t="s">
        <v>44</v>
      </c>
      <c r="H12178" t="s">
        <v>20</v>
      </c>
      <c r="I12178" t="s">
        <v>23819</v>
      </c>
      <c r="J12178" t="str">
        <f>HYPERLINK("https://www.boe.es/gazeta/dias/1822/06/05/pdfs/GMD-1822-162.pdf#page=1","Abrir facsímil")</f>
        <v>Abrir facsímil</v>
      </c>
      <c r="K12178" t="s">
        <v>22</v>
      </c>
    </row>
    <row r="12179" spans="1:11" ht="42" customHeight="1">
      <c r="A12179" t="s">
        <v>23752</v>
      </c>
      <c r="B12179" t="s">
        <v>23752</v>
      </c>
      <c r="C12179" t="s">
        <v>71</v>
      </c>
      <c r="D12179" t="s">
        <v>17</v>
      </c>
      <c r="E12179" s="6">
        <v>-28332</v>
      </c>
      <c r="F12179" t="s">
        <v>535</v>
      </c>
      <c r="G12179" t="s">
        <v>31</v>
      </c>
      <c r="H12179" t="s">
        <v>20</v>
      </c>
      <c r="I12179" t="s">
        <v>23820</v>
      </c>
      <c r="J12179" t="str">
        <f>HYPERLINK("https://www.boe.es/gazeta/dias/1822/06/05/pdfs/GMD-1822-162.pdf#page=3","Abrir facsímil")</f>
        <v>Abrir facsímil</v>
      </c>
      <c r="K12179" t="s">
        <v>22</v>
      </c>
    </row>
    <row r="12180" spans="1:11" ht="42" customHeight="1">
      <c r="A12180" t="s">
        <v>23752</v>
      </c>
      <c r="B12180" t="s">
        <v>23752</v>
      </c>
      <c r="C12180" t="s">
        <v>50</v>
      </c>
      <c r="D12180" t="s">
        <v>51</v>
      </c>
      <c r="E12180" s="6">
        <v>-28328</v>
      </c>
      <c r="F12180" t="s">
        <v>540</v>
      </c>
      <c r="G12180" t="s">
        <v>541</v>
      </c>
      <c r="H12180" t="s">
        <v>20</v>
      </c>
      <c r="I12180" t="s">
        <v>23821</v>
      </c>
      <c r="J12180" t="str">
        <f>HYPERLINK("https://www.boe.es/gazeta/dias/1822/06/09/pdfs/GMD-1822-166.pdf#page=4","Abrir facsímil")</f>
        <v>Abrir facsímil</v>
      </c>
      <c r="K12180" t="s">
        <v>22</v>
      </c>
    </row>
    <row r="12181" spans="1:11" ht="42" customHeight="1">
      <c r="A12181" t="s">
        <v>23752</v>
      </c>
      <c r="B12181" t="s">
        <v>23752</v>
      </c>
      <c r="C12181" t="s">
        <v>50</v>
      </c>
      <c r="D12181" t="s">
        <v>51</v>
      </c>
      <c r="E12181" s="6">
        <v>-28327</v>
      </c>
      <c r="F12181" t="s">
        <v>38</v>
      </c>
      <c r="G12181" t="s">
        <v>35</v>
      </c>
      <c r="H12181" t="s">
        <v>20</v>
      </c>
      <c r="I12181" t="s">
        <v>23822</v>
      </c>
      <c r="J12181" t="str">
        <f>HYPERLINK("https://www.boe.es/gazeta/dias/1822/06/10/pdfs/GMD-1822-167.pdf#page=2","Abrir facsímil")</f>
        <v>Abrir facsímil</v>
      </c>
      <c r="K12181" t="s">
        <v>22</v>
      </c>
    </row>
    <row r="12182" spans="1:11" ht="42" customHeight="1">
      <c r="A12182" t="s">
        <v>23752</v>
      </c>
      <c r="B12182" t="s">
        <v>23752</v>
      </c>
      <c r="C12182" t="s">
        <v>50</v>
      </c>
      <c r="D12182" t="s">
        <v>51</v>
      </c>
      <c r="E12182" s="6">
        <v>-28327</v>
      </c>
      <c r="F12182" t="s">
        <v>38</v>
      </c>
      <c r="G12182" t="s">
        <v>57</v>
      </c>
      <c r="H12182" t="s">
        <v>20</v>
      </c>
      <c r="I12182" t="s">
        <v>23823</v>
      </c>
      <c r="J12182" t="str">
        <f>HYPERLINK("https://www.boe.es/gazeta/dias/1822/06/10/pdfs/GMD-1822-167.pdf#page=4","Abrir facsímil")</f>
        <v>Abrir facsímil</v>
      </c>
      <c r="K12182" t="s">
        <v>22</v>
      </c>
    </row>
    <row r="12183" spans="1:11" ht="42" customHeight="1">
      <c r="A12183" t="s">
        <v>23752</v>
      </c>
      <c r="B12183" t="s">
        <v>23752</v>
      </c>
      <c r="C12183" t="s">
        <v>28</v>
      </c>
      <c r="D12183" t="s">
        <v>29</v>
      </c>
      <c r="E12183" s="6">
        <v>-28326</v>
      </c>
      <c r="F12183" t="s">
        <v>543</v>
      </c>
      <c r="G12183" t="s">
        <v>35</v>
      </c>
      <c r="H12183" t="s">
        <v>20</v>
      </c>
      <c r="I12183" t="s">
        <v>23824</v>
      </c>
      <c r="J12183" t="str">
        <f>HYPERLINK("https://www.boe.es/gazeta/dias/1822/06/11/pdfs/GMD-1822-168.pdf#page=2","Abrir facsímil")</f>
        <v>Abrir facsímil</v>
      </c>
      <c r="K12183" t="s">
        <v>22</v>
      </c>
    </row>
    <row r="12184" spans="1:11" ht="42" customHeight="1">
      <c r="A12184" t="s">
        <v>23752</v>
      </c>
      <c r="B12184" t="s">
        <v>23752</v>
      </c>
      <c r="C12184" t="s">
        <v>71</v>
      </c>
      <c r="D12184" t="s">
        <v>17</v>
      </c>
      <c r="E12184" s="6">
        <v>-28326</v>
      </c>
      <c r="F12184" t="s">
        <v>543</v>
      </c>
      <c r="G12184" t="s">
        <v>31</v>
      </c>
      <c r="H12184" t="s">
        <v>20</v>
      </c>
      <c r="I12184" t="s">
        <v>23825</v>
      </c>
      <c r="J12184" t="str">
        <f>HYPERLINK("https://www.boe.es/gazeta/dias/1822/06/11/pdfs/GMD-1822-168.pdf#page=3","Abrir facsímil")</f>
        <v>Abrir facsímil</v>
      </c>
      <c r="K12184" t="s">
        <v>22</v>
      </c>
    </row>
    <row r="12185" spans="1:11" ht="42" customHeight="1">
      <c r="A12185" t="s">
        <v>23752</v>
      </c>
      <c r="B12185" t="s">
        <v>23752</v>
      </c>
      <c r="C12185" t="s">
        <v>28</v>
      </c>
      <c r="D12185" t="s">
        <v>29</v>
      </c>
      <c r="E12185" s="6">
        <v>-28323</v>
      </c>
      <c r="F12185" t="s">
        <v>116</v>
      </c>
      <c r="G12185" t="s">
        <v>57</v>
      </c>
      <c r="H12185" t="s">
        <v>20</v>
      </c>
      <c r="I12185" t="s">
        <v>23826</v>
      </c>
      <c r="J12185" t="str">
        <f>HYPERLINK("https://www.boe.es/gazeta/dias/1822/06/14/pdfs/GMD-1822-171.pdf#page=4","Abrir facsímil")</f>
        <v>Abrir facsímil</v>
      </c>
      <c r="K12185" t="s">
        <v>22</v>
      </c>
    </row>
    <row r="12186" spans="1:11" ht="42" customHeight="1">
      <c r="A12186" t="s">
        <v>23752</v>
      </c>
      <c r="B12186" t="s">
        <v>23752</v>
      </c>
      <c r="C12186" t="s">
        <v>42</v>
      </c>
      <c r="D12186" t="s">
        <v>17</v>
      </c>
      <c r="E12186" s="6">
        <v>-28323</v>
      </c>
      <c r="F12186" t="s">
        <v>116</v>
      </c>
      <c r="G12186" t="s">
        <v>19</v>
      </c>
      <c r="H12186" t="s">
        <v>20</v>
      </c>
      <c r="I12186" t="s">
        <v>23827</v>
      </c>
      <c r="J12186" t="str">
        <f>HYPERLINK("https://www.boe.es/gazeta/dias/1822/06/14/pdfs/GMD-1822-171.pdf#page=5","Abrir facsímil")</f>
        <v>Abrir facsímil</v>
      </c>
      <c r="K12186" t="s">
        <v>22</v>
      </c>
    </row>
    <row r="12187" spans="1:11" ht="42" customHeight="1">
      <c r="A12187" t="s">
        <v>23752</v>
      </c>
      <c r="B12187" t="s">
        <v>23752</v>
      </c>
      <c r="C12187" t="s">
        <v>28</v>
      </c>
      <c r="D12187" t="s">
        <v>29</v>
      </c>
      <c r="E12187" s="6">
        <v>-28321</v>
      </c>
      <c r="F12187" t="s">
        <v>1142</v>
      </c>
      <c r="G12187" t="s">
        <v>35</v>
      </c>
      <c r="H12187" t="s">
        <v>20</v>
      </c>
      <c r="I12187" t="s">
        <v>23828</v>
      </c>
      <c r="J12187" t="str">
        <f>HYPERLINK("https://www.boe.es/gazeta/dias/1822/06/16/pdfs/GMD-1822-173.pdf#page=2","Abrir facsímil")</f>
        <v>Abrir facsímil</v>
      </c>
      <c r="K12187" t="s">
        <v>22</v>
      </c>
    </row>
    <row r="12188" spans="1:11" ht="42" customHeight="1">
      <c r="A12188" t="s">
        <v>23752</v>
      </c>
      <c r="B12188" t="s">
        <v>23752</v>
      </c>
      <c r="C12188" t="s">
        <v>42</v>
      </c>
      <c r="D12188" t="s">
        <v>17</v>
      </c>
      <c r="E12188" s="6">
        <v>-28321</v>
      </c>
      <c r="F12188" t="s">
        <v>1142</v>
      </c>
      <c r="G12188" t="s">
        <v>57</v>
      </c>
      <c r="H12188" t="s">
        <v>20</v>
      </c>
      <c r="I12188" t="s">
        <v>23829</v>
      </c>
      <c r="J12188" t="str">
        <f>HYPERLINK("https://www.boe.es/gazeta/dias/1822/06/16/pdfs/GMD-1822-173.pdf#page=4","Abrir facsímil")</f>
        <v>Abrir facsímil</v>
      </c>
      <c r="K12188" t="s">
        <v>22</v>
      </c>
    </row>
    <row r="12189" spans="1:11" ht="42" customHeight="1">
      <c r="A12189" t="s">
        <v>23752</v>
      </c>
      <c r="B12189" t="s">
        <v>23752</v>
      </c>
      <c r="C12189" t="s">
        <v>42</v>
      </c>
      <c r="D12189" t="s">
        <v>17</v>
      </c>
      <c r="E12189" s="6">
        <v>-28320</v>
      </c>
      <c r="F12189" t="s">
        <v>700</v>
      </c>
      <c r="G12189" t="s">
        <v>35</v>
      </c>
      <c r="H12189" t="s">
        <v>20</v>
      </c>
      <c r="I12189" t="s">
        <v>23830</v>
      </c>
      <c r="J12189" t="str">
        <f>HYPERLINK("https://www.boe.es/gazeta/dias/1822/06/17/pdfs/GMD-1822-174.pdf#page=2","Abrir facsímil")</f>
        <v>Abrir facsímil</v>
      </c>
      <c r="K12189" t="s">
        <v>22</v>
      </c>
    </row>
    <row r="12190" spans="1:11" ht="42" customHeight="1">
      <c r="A12190" t="s">
        <v>23752</v>
      </c>
      <c r="B12190" t="s">
        <v>23752</v>
      </c>
      <c r="C12190" t="s">
        <v>42</v>
      </c>
      <c r="D12190" t="s">
        <v>17</v>
      </c>
      <c r="E12190" s="6">
        <v>-28320</v>
      </c>
      <c r="F12190" t="s">
        <v>700</v>
      </c>
      <c r="G12190" t="s">
        <v>19</v>
      </c>
      <c r="H12190" t="s">
        <v>20</v>
      </c>
      <c r="I12190" t="s">
        <v>23831</v>
      </c>
      <c r="J12190" t="str">
        <f>HYPERLINK("https://www.boe.es/gazeta/dias/1822/06/17/pdfs/GMD-1822-174.pdf#page=5","Abrir facsímil")</f>
        <v>Abrir facsímil</v>
      </c>
      <c r="K12190" t="s">
        <v>22</v>
      </c>
    </row>
    <row r="12191" spans="1:11" ht="42" customHeight="1">
      <c r="A12191" t="s">
        <v>23752</v>
      </c>
      <c r="B12191" t="s">
        <v>23752</v>
      </c>
      <c r="C12191" t="s">
        <v>28</v>
      </c>
      <c r="D12191" t="s">
        <v>29</v>
      </c>
      <c r="E12191" s="6">
        <v>-28320</v>
      </c>
      <c r="F12191" t="s">
        <v>700</v>
      </c>
      <c r="G12191" t="s">
        <v>63</v>
      </c>
      <c r="H12191" t="s">
        <v>20</v>
      </c>
      <c r="I12191" t="s">
        <v>23832</v>
      </c>
      <c r="J12191" t="str">
        <f>HYPERLINK("https://www.boe.es/gazeta/dias/1822/06/17/pdfs/GMD-1822-174.pdf#page=6","Abrir facsímil")</f>
        <v>Abrir facsímil</v>
      </c>
      <c r="K12191" t="s">
        <v>22</v>
      </c>
    </row>
    <row r="12192" spans="1:11" ht="42" customHeight="1">
      <c r="A12192" t="s">
        <v>23752</v>
      </c>
      <c r="B12192" t="s">
        <v>23752</v>
      </c>
      <c r="C12192" t="s">
        <v>61</v>
      </c>
      <c r="D12192" t="s">
        <v>17</v>
      </c>
      <c r="E12192" s="6">
        <v>-28319</v>
      </c>
      <c r="F12192" t="s">
        <v>271</v>
      </c>
      <c r="G12192" t="s">
        <v>31</v>
      </c>
      <c r="H12192" t="s">
        <v>20</v>
      </c>
      <c r="I12192" t="s">
        <v>23833</v>
      </c>
      <c r="J12192" t="str">
        <f>HYPERLINK("https://www.boe.es/gazeta/dias/1822/06/18/pdfs/GMD-1822-175.pdf#page=3","Abrir facsímil")</f>
        <v>Abrir facsímil</v>
      </c>
      <c r="K12192" t="s">
        <v>22</v>
      </c>
    </row>
    <row r="12193" spans="1:11" ht="42" customHeight="1">
      <c r="A12193" t="s">
        <v>23752</v>
      </c>
      <c r="B12193" t="s">
        <v>23752</v>
      </c>
      <c r="C12193" t="s">
        <v>28</v>
      </c>
      <c r="D12193" t="s">
        <v>29</v>
      </c>
      <c r="E12193" s="6">
        <v>-28319</v>
      </c>
      <c r="F12193" t="s">
        <v>271</v>
      </c>
      <c r="G12193" t="s">
        <v>57</v>
      </c>
      <c r="H12193" t="s">
        <v>20</v>
      </c>
      <c r="I12193" t="s">
        <v>23834</v>
      </c>
      <c r="J12193" t="str">
        <f>HYPERLINK("https://www.boe.es/gazeta/dias/1822/06/18/pdfs/GMD-1822-175.pdf#page=4","Abrir facsímil")</f>
        <v>Abrir facsímil</v>
      </c>
      <c r="K12193" t="s">
        <v>22</v>
      </c>
    </row>
    <row r="12194" spans="1:11" ht="42" customHeight="1">
      <c r="A12194" t="s">
        <v>23752</v>
      </c>
      <c r="B12194" t="s">
        <v>23752</v>
      </c>
      <c r="C12194" t="s">
        <v>50</v>
      </c>
      <c r="D12194" t="s">
        <v>51</v>
      </c>
      <c r="E12194" s="6">
        <v>-28318</v>
      </c>
      <c r="F12194" t="s">
        <v>397</v>
      </c>
      <c r="G12194" t="s">
        <v>57</v>
      </c>
      <c r="H12194" t="s">
        <v>20</v>
      </c>
      <c r="I12194" t="s">
        <v>23835</v>
      </c>
      <c r="J12194" t="str">
        <f>HYPERLINK("https://www.boe.es/gazeta/dias/1822/06/19/pdfs/GMD-1822-176.pdf#page=4","Abrir facsímil")</f>
        <v>Abrir facsímil</v>
      </c>
      <c r="K12194" t="s">
        <v>22</v>
      </c>
    </row>
    <row r="12195" spans="1:11" ht="42" customHeight="1">
      <c r="A12195" t="s">
        <v>23752</v>
      </c>
      <c r="B12195" t="s">
        <v>23752</v>
      </c>
      <c r="C12195" t="s">
        <v>61</v>
      </c>
      <c r="D12195" t="s">
        <v>17</v>
      </c>
      <c r="E12195" s="6">
        <v>-28318</v>
      </c>
      <c r="F12195" t="s">
        <v>397</v>
      </c>
      <c r="G12195" t="s">
        <v>63</v>
      </c>
      <c r="H12195" t="s">
        <v>20</v>
      </c>
      <c r="I12195" t="s">
        <v>23836</v>
      </c>
      <c r="J12195" t="str">
        <f>HYPERLINK("https://www.boe.es/gazeta/dias/1822/06/19/pdfs/GMD-1822-176.pdf#page=6","Abrir facsímil")</f>
        <v>Abrir facsímil</v>
      </c>
      <c r="K12195" t="s">
        <v>22</v>
      </c>
    </row>
    <row r="12196" spans="1:11" ht="42" customHeight="1">
      <c r="A12196" t="s">
        <v>23752</v>
      </c>
      <c r="B12196" t="s">
        <v>23752</v>
      </c>
      <c r="C12196" t="s">
        <v>71</v>
      </c>
      <c r="D12196" t="s">
        <v>17</v>
      </c>
      <c r="E12196" s="6">
        <v>-28317</v>
      </c>
      <c r="F12196" t="s">
        <v>546</v>
      </c>
      <c r="G12196" t="s">
        <v>35</v>
      </c>
      <c r="H12196" t="s">
        <v>20</v>
      </c>
      <c r="I12196" t="s">
        <v>23837</v>
      </c>
      <c r="J12196" t="str">
        <f>HYPERLINK("https://www.boe.es/gazeta/dias/1822/06/20/pdfs/GMD-1822-177.pdf#page=2","Abrir facsímil")</f>
        <v>Abrir facsímil</v>
      </c>
      <c r="K12196" t="s">
        <v>22</v>
      </c>
    </row>
    <row r="12197" spans="1:11" ht="42" customHeight="1">
      <c r="A12197" t="s">
        <v>23752</v>
      </c>
      <c r="B12197" t="s">
        <v>23752</v>
      </c>
      <c r="C12197" t="s">
        <v>28</v>
      </c>
      <c r="D12197" t="s">
        <v>29</v>
      </c>
      <c r="E12197" s="6">
        <v>-28317</v>
      </c>
      <c r="F12197" t="s">
        <v>546</v>
      </c>
      <c r="G12197" t="s">
        <v>19</v>
      </c>
      <c r="H12197" t="s">
        <v>20</v>
      </c>
      <c r="I12197" t="s">
        <v>23838</v>
      </c>
      <c r="J12197" t="str">
        <f>HYPERLINK("https://www.boe.es/gazeta/dias/1822/06/20/pdfs/GMD-1822-177.pdf#page=5","Abrir facsímil")</f>
        <v>Abrir facsímil</v>
      </c>
      <c r="K12197" t="s">
        <v>22</v>
      </c>
    </row>
    <row r="12198" spans="1:11" ht="42" customHeight="1">
      <c r="A12198" t="s">
        <v>23752</v>
      </c>
      <c r="B12198" t="s">
        <v>23752</v>
      </c>
      <c r="C12198" t="s">
        <v>42</v>
      </c>
      <c r="D12198" t="s">
        <v>17</v>
      </c>
      <c r="E12198" s="6">
        <v>-28317</v>
      </c>
      <c r="F12198" t="s">
        <v>546</v>
      </c>
      <c r="G12198" t="s">
        <v>167</v>
      </c>
      <c r="H12198" t="s">
        <v>20</v>
      </c>
      <c r="I12198" t="s">
        <v>23839</v>
      </c>
      <c r="J12198" t="str">
        <f>HYPERLINK("https://www.boe.es/gazeta/dias/1822/06/20/pdfs/GMD-1822-177.pdf#page=7","Abrir facsímil")</f>
        <v>Abrir facsímil</v>
      </c>
      <c r="K12198" t="s">
        <v>22</v>
      </c>
    </row>
    <row r="12199" spans="1:11" ht="42" customHeight="1">
      <c r="A12199" t="s">
        <v>23752</v>
      </c>
      <c r="B12199" t="s">
        <v>23752</v>
      </c>
      <c r="C12199" t="s">
        <v>16</v>
      </c>
      <c r="D12199" t="s">
        <v>17</v>
      </c>
      <c r="E12199" s="6">
        <v>-28316</v>
      </c>
      <c r="F12199" t="s">
        <v>1144</v>
      </c>
      <c r="G12199" t="s">
        <v>35</v>
      </c>
      <c r="H12199" t="s">
        <v>20</v>
      </c>
      <c r="I12199" t="s">
        <v>23840</v>
      </c>
      <c r="J12199" t="str">
        <f>HYPERLINK("https://www.boe.es/gazeta/dias/1822/06/21/pdfs/GMD-1822-179.pdf#page=2","Abrir facsímil")</f>
        <v>Abrir facsímil</v>
      </c>
      <c r="K12199" t="s">
        <v>22</v>
      </c>
    </row>
    <row r="12200" spans="1:11" ht="42" customHeight="1">
      <c r="A12200" t="s">
        <v>23752</v>
      </c>
      <c r="B12200" t="s">
        <v>23752</v>
      </c>
      <c r="C12200" t="s">
        <v>50</v>
      </c>
      <c r="D12200" t="s">
        <v>51</v>
      </c>
      <c r="E12200" s="6">
        <v>-28314</v>
      </c>
      <c r="F12200" t="s">
        <v>309</v>
      </c>
      <c r="G12200" t="s">
        <v>35</v>
      </c>
      <c r="H12200" t="s">
        <v>20</v>
      </c>
      <c r="I12200" t="s">
        <v>23841</v>
      </c>
      <c r="J12200" t="str">
        <f>HYPERLINK("https://www.boe.es/gazeta/dias/1822/06/23/pdfs/GMD-1822-181.pdf#page=2","Abrir facsímil")</f>
        <v>Abrir facsímil</v>
      </c>
      <c r="K12200" t="s">
        <v>22</v>
      </c>
    </row>
    <row r="12201" spans="1:11" ht="42" customHeight="1">
      <c r="A12201" t="s">
        <v>23752</v>
      </c>
      <c r="B12201" t="s">
        <v>23752</v>
      </c>
      <c r="C12201" t="s">
        <v>28</v>
      </c>
      <c r="D12201" t="s">
        <v>29</v>
      </c>
      <c r="E12201" s="6">
        <v>-28313</v>
      </c>
      <c r="F12201" t="s">
        <v>315</v>
      </c>
      <c r="G12201" t="s">
        <v>35</v>
      </c>
      <c r="H12201" t="s">
        <v>20</v>
      </c>
      <c r="I12201" t="s">
        <v>23842</v>
      </c>
      <c r="J12201" t="str">
        <f>HYPERLINK("https://www.boe.es/gazeta/dias/1822/06/24/pdfs/GMD-1822-182.pdf#page=2","Abrir facsímil")</f>
        <v>Abrir facsímil</v>
      </c>
      <c r="K12201" t="s">
        <v>22</v>
      </c>
    </row>
    <row r="12202" spans="1:11" ht="42" customHeight="1">
      <c r="A12202" t="s">
        <v>23752</v>
      </c>
      <c r="B12202" t="s">
        <v>23752</v>
      </c>
      <c r="C12202" t="s">
        <v>71</v>
      </c>
      <c r="D12202" t="s">
        <v>17</v>
      </c>
      <c r="E12202" s="6">
        <v>-28311</v>
      </c>
      <c r="F12202" t="s">
        <v>736</v>
      </c>
      <c r="G12202" t="s">
        <v>57</v>
      </c>
      <c r="H12202" t="s">
        <v>20</v>
      </c>
      <c r="I12202" t="s">
        <v>23843</v>
      </c>
      <c r="J12202" t="str">
        <f>HYPERLINK("https://www.boe.es/gazeta/dias/1822/06/26/pdfs/GMD-1822-184.pdf#page=4","Abrir facsímil")</f>
        <v>Abrir facsímil</v>
      </c>
      <c r="K12202" t="s">
        <v>22</v>
      </c>
    </row>
    <row r="12203" spans="1:11" ht="42" customHeight="1">
      <c r="A12203" t="s">
        <v>23752</v>
      </c>
      <c r="B12203" t="s">
        <v>23752</v>
      </c>
      <c r="C12203" t="s">
        <v>28</v>
      </c>
      <c r="D12203" t="s">
        <v>29</v>
      </c>
      <c r="E12203" s="6">
        <v>-28308</v>
      </c>
      <c r="F12203" t="s">
        <v>1050</v>
      </c>
      <c r="G12203" t="s">
        <v>57</v>
      </c>
      <c r="H12203" t="s">
        <v>20</v>
      </c>
      <c r="I12203" t="s">
        <v>23844</v>
      </c>
      <c r="J12203" t="str">
        <f>HYPERLINK("https://www.boe.es/gazeta/dias/1822/06/29/pdfs/GMD-1822-187.pdf#page=4","Abrir facsímil")</f>
        <v>Abrir facsímil</v>
      </c>
      <c r="K12203" t="s">
        <v>22</v>
      </c>
    </row>
    <row r="12204" spans="1:11" ht="42" customHeight="1">
      <c r="A12204" t="s">
        <v>23752</v>
      </c>
      <c r="B12204" t="s">
        <v>23752</v>
      </c>
      <c r="C12204" t="s">
        <v>71</v>
      </c>
      <c r="D12204" t="s">
        <v>17</v>
      </c>
      <c r="E12204" s="6">
        <v>-28307</v>
      </c>
      <c r="F12204" t="s">
        <v>555</v>
      </c>
      <c r="G12204" t="s">
        <v>63</v>
      </c>
      <c r="H12204" t="s">
        <v>20</v>
      </c>
      <c r="I12204" t="s">
        <v>23845</v>
      </c>
      <c r="J12204" t="str">
        <f>HYPERLINK("https://www.boe.es/gazeta/dias/1822/06/30/pdfs/GMD-1822-188.pdf#page=6","Abrir facsímil")</f>
        <v>Abrir facsímil</v>
      </c>
      <c r="K12204" t="s">
        <v>22</v>
      </c>
    </row>
    <row r="12205" spans="1:11" ht="42" customHeight="1">
      <c r="A12205" t="s">
        <v>23752</v>
      </c>
      <c r="B12205" t="s">
        <v>23752</v>
      </c>
      <c r="C12205" t="s">
        <v>42</v>
      </c>
      <c r="D12205" t="s">
        <v>17</v>
      </c>
      <c r="E12205" s="6">
        <v>-28211</v>
      </c>
      <c r="F12205" t="s">
        <v>273</v>
      </c>
      <c r="G12205" t="s">
        <v>57</v>
      </c>
      <c r="H12205" t="s">
        <v>20</v>
      </c>
      <c r="I12205" t="s">
        <v>23846</v>
      </c>
      <c r="J12205" t="str">
        <f>HYPERLINK("https://www.boe.es/gazeta/dias/1822/10/04/pdfs/GMD-1822-290.pdf#page=4","Abrir facsímil")</f>
        <v>Abrir facsímil</v>
      </c>
      <c r="K12205" t="s">
        <v>22</v>
      </c>
    </row>
    <row r="12206" spans="1:11" ht="42" customHeight="1">
      <c r="A12206" t="s">
        <v>23752</v>
      </c>
      <c r="B12206" t="s">
        <v>23752</v>
      </c>
      <c r="C12206" t="s">
        <v>50</v>
      </c>
      <c r="D12206" t="s">
        <v>51</v>
      </c>
      <c r="E12206" s="6">
        <v>-28205</v>
      </c>
      <c r="F12206" t="s">
        <v>806</v>
      </c>
      <c r="G12206" t="s">
        <v>44</v>
      </c>
      <c r="H12206" t="s">
        <v>20</v>
      </c>
      <c r="I12206" t="s">
        <v>23847</v>
      </c>
      <c r="J12206" t="str">
        <f>HYPERLINK("https://www.boe.es/gazeta/dias/1822/10/10/pdfs/GMD-1822-297.pdf#page=1","Abrir facsímil")</f>
        <v>Abrir facsímil</v>
      </c>
      <c r="K12206" t="s">
        <v>22</v>
      </c>
    </row>
    <row r="12207" spans="1:11" ht="42" customHeight="1">
      <c r="A12207" t="s">
        <v>23752</v>
      </c>
      <c r="B12207" t="s">
        <v>23752</v>
      </c>
      <c r="C12207" t="s">
        <v>50</v>
      </c>
      <c r="D12207" t="s">
        <v>51</v>
      </c>
      <c r="E12207" s="6">
        <v>-28205</v>
      </c>
      <c r="F12207" t="s">
        <v>806</v>
      </c>
      <c r="G12207" t="s">
        <v>35</v>
      </c>
      <c r="H12207" t="s">
        <v>20</v>
      </c>
      <c r="I12207" t="s">
        <v>23848</v>
      </c>
      <c r="J12207" t="str">
        <f>HYPERLINK("https://www.boe.es/gazeta/dias/1822/10/10/pdfs/GMD-1822-297.pdf#page=2","Abrir facsímil")</f>
        <v>Abrir facsímil</v>
      </c>
      <c r="K12207" t="s">
        <v>22</v>
      </c>
    </row>
    <row r="12208" spans="1:11" ht="42" customHeight="1">
      <c r="A12208" t="s">
        <v>23752</v>
      </c>
      <c r="B12208" t="s">
        <v>23752</v>
      </c>
      <c r="C12208" t="s">
        <v>42</v>
      </c>
      <c r="D12208" t="s">
        <v>17</v>
      </c>
      <c r="E12208" s="6">
        <v>-28205</v>
      </c>
      <c r="F12208" t="s">
        <v>806</v>
      </c>
      <c r="G12208" t="s">
        <v>57</v>
      </c>
      <c r="H12208" t="s">
        <v>20</v>
      </c>
      <c r="I12208" t="s">
        <v>23849</v>
      </c>
      <c r="J12208" t="str">
        <f>HYPERLINK("https://www.boe.es/gazeta/dias/1822/10/10/pdfs/GMD-1822-297.pdf#page=4","Abrir facsímil")</f>
        <v>Abrir facsímil</v>
      </c>
      <c r="K12208" t="s">
        <v>22</v>
      </c>
    </row>
    <row r="12209" spans="1:11" ht="42" customHeight="1">
      <c r="A12209" t="s">
        <v>23752</v>
      </c>
      <c r="B12209" t="s">
        <v>23752</v>
      </c>
      <c r="C12209" t="s">
        <v>50</v>
      </c>
      <c r="D12209" t="s">
        <v>51</v>
      </c>
      <c r="E12209" s="6">
        <v>-28203</v>
      </c>
      <c r="F12209" t="s">
        <v>564</v>
      </c>
      <c r="G12209" t="s">
        <v>4185</v>
      </c>
      <c r="H12209" t="s">
        <v>20</v>
      </c>
      <c r="I12209" t="s">
        <v>23850</v>
      </c>
      <c r="J12209" t="str">
        <f>HYPERLINK("https://www.boe.es/gazeta/dias/1822/10/12/pdfs/GMD-1822-299.pdf#page=2","Abrir facsímil")</f>
        <v>Abrir facsímil</v>
      </c>
      <c r="K12209" t="s">
        <v>22</v>
      </c>
    </row>
    <row r="12210" spans="1:11" ht="42" customHeight="1">
      <c r="A12210" t="s">
        <v>23752</v>
      </c>
      <c r="B12210" t="s">
        <v>23752</v>
      </c>
      <c r="C12210" t="s">
        <v>50</v>
      </c>
      <c r="D12210" t="s">
        <v>51</v>
      </c>
      <c r="E12210" s="6">
        <v>-28202</v>
      </c>
      <c r="F12210" t="s">
        <v>922</v>
      </c>
      <c r="G12210" t="s">
        <v>44</v>
      </c>
      <c r="H12210" t="s">
        <v>20</v>
      </c>
      <c r="I12210" t="s">
        <v>23851</v>
      </c>
      <c r="J12210" t="str">
        <f>HYPERLINK("https://www.boe.es/gazeta/dias/1822/10/13/pdfs/GMD-1822-300.pdf#page=1","Abrir facsímil")</f>
        <v>Abrir facsímil</v>
      </c>
      <c r="K12210" t="s">
        <v>22</v>
      </c>
    </row>
    <row r="12211" spans="1:11" ht="42" customHeight="1">
      <c r="A12211" t="s">
        <v>23752</v>
      </c>
      <c r="B12211" t="s">
        <v>23752</v>
      </c>
      <c r="C12211" t="s">
        <v>42</v>
      </c>
      <c r="D12211" t="s">
        <v>17</v>
      </c>
      <c r="E12211" s="6">
        <v>-28201</v>
      </c>
      <c r="F12211" t="s">
        <v>163</v>
      </c>
      <c r="G12211" t="s">
        <v>31</v>
      </c>
      <c r="H12211" t="s">
        <v>20</v>
      </c>
      <c r="I12211" t="s">
        <v>23852</v>
      </c>
      <c r="J12211" t="str">
        <f>HYPERLINK("https://www.boe.es/gazeta/dias/1822/10/14/pdfs/GMD-1822-301.pdf#page=3","Abrir facsímil")</f>
        <v>Abrir facsímil</v>
      </c>
      <c r="K12211" t="s">
        <v>22</v>
      </c>
    </row>
    <row r="12212" spans="1:11" ht="42" customHeight="1">
      <c r="A12212" t="s">
        <v>23752</v>
      </c>
      <c r="B12212" t="s">
        <v>23752</v>
      </c>
      <c r="C12212" t="s">
        <v>42</v>
      </c>
      <c r="D12212" t="s">
        <v>17</v>
      </c>
      <c r="E12212" s="6">
        <v>-28200</v>
      </c>
      <c r="F12212" t="s">
        <v>1037</v>
      </c>
      <c r="G12212" t="s">
        <v>35</v>
      </c>
      <c r="H12212" t="s">
        <v>20</v>
      </c>
      <c r="I12212" t="s">
        <v>23853</v>
      </c>
      <c r="J12212" t="str">
        <f>HYPERLINK("https://www.boe.es/gazeta/dias/1822/10/15/pdfs/GMD-1822-302.pdf#page=2","Abrir facsímil")</f>
        <v>Abrir facsímil</v>
      </c>
      <c r="K12212" t="s">
        <v>22</v>
      </c>
    </row>
    <row r="12213" spans="1:11" ht="42" customHeight="1">
      <c r="A12213" t="s">
        <v>23752</v>
      </c>
      <c r="B12213" t="s">
        <v>23752</v>
      </c>
      <c r="C12213" t="s">
        <v>50</v>
      </c>
      <c r="D12213" t="s">
        <v>51</v>
      </c>
      <c r="E12213" s="6">
        <v>-28200</v>
      </c>
      <c r="F12213" t="s">
        <v>1037</v>
      </c>
      <c r="G12213" t="s">
        <v>57</v>
      </c>
      <c r="H12213" t="s">
        <v>20</v>
      </c>
      <c r="I12213" t="s">
        <v>23854</v>
      </c>
      <c r="J12213" t="str">
        <f>HYPERLINK("https://www.boe.es/gazeta/dias/1822/10/15/pdfs/GMD-1822-302.pdf#page=4","Abrir facsímil")</f>
        <v>Abrir facsímil</v>
      </c>
      <c r="K12213" t="s">
        <v>22</v>
      </c>
    </row>
    <row r="12214" spans="1:11" ht="42" customHeight="1">
      <c r="A12214" t="s">
        <v>23752</v>
      </c>
      <c r="B12214" t="s">
        <v>23752</v>
      </c>
      <c r="C12214" t="s">
        <v>71</v>
      </c>
      <c r="D12214" t="s">
        <v>17</v>
      </c>
      <c r="E12214" s="6">
        <v>-28199</v>
      </c>
      <c r="F12214" t="s">
        <v>656</v>
      </c>
      <c r="G12214" t="s">
        <v>35</v>
      </c>
      <c r="H12214" t="s">
        <v>20</v>
      </c>
      <c r="I12214" t="s">
        <v>23855</v>
      </c>
      <c r="J12214" t="str">
        <f>HYPERLINK("https://www.boe.es/gazeta/dias/1822/10/16/pdfs/GMD-1822-303.pdf#page=2","Abrir facsímil")</f>
        <v>Abrir facsímil</v>
      </c>
      <c r="K12214" t="s">
        <v>22</v>
      </c>
    </row>
    <row r="12215" spans="1:11" ht="42" customHeight="1">
      <c r="A12215" t="s">
        <v>23752</v>
      </c>
      <c r="B12215" t="s">
        <v>23752</v>
      </c>
      <c r="C12215" t="s">
        <v>42</v>
      </c>
      <c r="D12215" t="s">
        <v>17</v>
      </c>
      <c r="E12215" s="6">
        <v>-28199</v>
      </c>
      <c r="F12215" t="s">
        <v>656</v>
      </c>
      <c r="G12215" t="s">
        <v>57</v>
      </c>
      <c r="H12215" t="s">
        <v>20</v>
      </c>
      <c r="I12215" t="s">
        <v>23856</v>
      </c>
      <c r="J12215" t="str">
        <f>HYPERLINK("https://www.boe.es/gazeta/dias/1822/10/16/pdfs/GMD-1822-303.pdf#page=4","Abrir facsímil")</f>
        <v>Abrir facsímil</v>
      </c>
      <c r="K12215" t="s">
        <v>22</v>
      </c>
    </row>
    <row r="12216" spans="1:11" ht="42" customHeight="1">
      <c r="A12216" t="s">
        <v>23752</v>
      </c>
      <c r="B12216" t="s">
        <v>23752</v>
      </c>
      <c r="C12216" t="s">
        <v>50</v>
      </c>
      <c r="D12216" t="s">
        <v>51</v>
      </c>
      <c r="E12216" s="6">
        <v>-28198</v>
      </c>
      <c r="F12216" t="s">
        <v>981</v>
      </c>
      <c r="G12216" t="s">
        <v>35</v>
      </c>
      <c r="H12216" t="s">
        <v>20</v>
      </c>
      <c r="I12216" t="s">
        <v>23857</v>
      </c>
      <c r="J12216" t="str">
        <f>HYPERLINK("https://www.boe.es/gazeta/dias/1822/10/17/pdfs/GMD-1822-304.pdf#page=2","Abrir facsímil")</f>
        <v>Abrir facsímil</v>
      </c>
      <c r="K12216" t="s">
        <v>22</v>
      </c>
    </row>
    <row r="12217" spans="1:11" ht="42" customHeight="1">
      <c r="A12217" t="s">
        <v>23752</v>
      </c>
      <c r="B12217" t="s">
        <v>23752</v>
      </c>
      <c r="C12217" t="s">
        <v>42</v>
      </c>
      <c r="D12217" t="s">
        <v>17</v>
      </c>
      <c r="E12217" s="6">
        <v>-28197</v>
      </c>
      <c r="F12217" t="s">
        <v>568</v>
      </c>
      <c r="G12217" t="s">
        <v>35</v>
      </c>
      <c r="H12217" t="s">
        <v>20</v>
      </c>
      <c r="I12217" t="s">
        <v>23858</v>
      </c>
      <c r="J12217" t="str">
        <f>HYPERLINK("https://www.boe.es/gazeta/dias/1822/10/18/pdfs/GMD-1822-305.pdf#page=2","Abrir facsímil")</f>
        <v>Abrir facsímil</v>
      </c>
      <c r="K12217" t="s">
        <v>22</v>
      </c>
    </row>
    <row r="12218" spans="1:11" ht="42" customHeight="1">
      <c r="A12218" t="s">
        <v>23752</v>
      </c>
      <c r="B12218" t="s">
        <v>23752</v>
      </c>
      <c r="C12218" t="s">
        <v>28</v>
      </c>
      <c r="D12218" t="s">
        <v>29</v>
      </c>
      <c r="E12218" s="6">
        <v>-28197</v>
      </c>
      <c r="F12218" t="s">
        <v>568</v>
      </c>
      <c r="G12218" t="s">
        <v>31</v>
      </c>
      <c r="H12218" t="s">
        <v>20</v>
      </c>
      <c r="I12218" t="s">
        <v>23859</v>
      </c>
      <c r="J12218" t="str">
        <f>HYPERLINK("https://www.boe.es/gazeta/dias/1822/10/18/pdfs/GMD-1822-305.pdf#page=3","Abrir facsímil")</f>
        <v>Abrir facsímil</v>
      </c>
      <c r="K12218" t="s">
        <v>22</v>
      </c>
    </row>
    <row r="12219" spans="1:11" ht="42" customHeight="1">
      <c r="A12219" t="s">
        <v>23752</v>
      </c>
      <c r="B12219" t="s">
        <v>23752</v>
      </c>
      <c r="C12219" t="s">
        <v>42</v>
      </c>
      <c r="D12219" t="s">
        <v>17</v>
      </c>
      <c r="E12219" s="6">
        <v>-28197</v>
      </c>
      <c r="F12219" t="s">
        <v>568</v>
      </c>
      <c r="G12219" t="s">
        <v>57</v>
      </c>
      <c r="H12219" t="s">
        <v>20</v>
      </c>
      <c r="I12219" t="s">
        <v>23860</v>
      </c>
      <c r="J12219" t="str">
        <f>HYPERLINK("https://www.boe.es/gazeta/dias/1822/10/18/pdfs/GMD-1822-305.pdf#page=4","Abrir facsímil")</f>
        <v>Abrir facsímil</v>
      </c>
      <c r="K12219" t="s">
        <v>22</v>
      </c>
    </row>
    <row r="12220" spans="1:11" ht="42" customHeight="1">
      <c r="A12220" t="s">
        <v>23752</v>
      </c>
      <c r="B12220" t="s">
        <v>23752</v>
      </c>
      <c r="C12220" t="s">
        <v>42</v>
      </c>
      <c r="D12220" t="s">
        <v>17</v>
      </c>
      <c r="E12220" s="6">
        <v>-28196</v>
      </c>
      <c r="F12220" t="s">
        <v>570</v>
      </c>
      <c r="G12220" t="s">
        <v>44</v>
      </c>
      <c r="H12220" t="s">
        <v>20</v>
      </c>
      <c r="I12220" t="s">
        <v>23861</v>
      </c>
      <c r="J12220" t="str">
        <f>HYPERLINK("https://www.boe.es/gazeta/dias/1822/10/19/pdfs/GMD-1822-306.pdf#page=1","Abrir facsímil")</f>
        <v>Abrir facsímil</v>
      </c>
      <c r="K12220" t="s">
        <v>22</v>
      </c>
    </row>
    <row r="12221" spans="1:11" ht="42" customHeight="1">
      <c r="A12221" t="s">
        <v>23752</v>
      </c>
      <c r="B12221" t="s">
        <v>23752</v>
      </c>
      <c r="C12221" t="s">
        <v>42</v>
      </c>
      <c r="D12221" t="s">
        <v>17</v>
      </c>
      <c r="E12221" s="6">
        <v>-28196</v>
      </c>
      <c r="F12221" t="s">
        <v>570</v>
      </c>
      <c r="G12221" t="s">
        <v>35</v>
      </c>
      <c r="H12221" t="s">
        <v>20</v>
      </c>
      <c r="I12221" t="s">
        <v>23862</v>
      </c>
      <c r="J12221" t="str">
        <f>HYPERLINK("https://www.boe.es/gazeta/dias/1822/10/19/pdfs/GMD-1822-306.pdf#page=2","Abrir facsímil")</f>
        <v>Abrir facsímil</v>
      </c>
      <c r="K12221" t="s">
        <v>22</v>
      </c>
    </row>
    <row r="12222" spans="1:11" ht="42" customHeight="1">
      <c r="A12222" t="s">
        <v>23752</v>
      </c>
      <c r="B12222" t="s">
        <v>23752</v>
      </c>
      <c r="C12222" t="s">
        <v>28</v>
      </c>
      <c r="D12222" t="s">
        <v>29</v>
      </c>
      <c r="E12222" s="6">
        <v>-28195</v>
      </c>
      <c r="F12222" t="s">
        <v>770</v>
      </c>
      <c r="G12222" t="s">
        <v>19</v>
      </c>
      <c r="H12222" t="s">
        <v>20</v>
      </c>
      <c r="I12222" t="s">
        <v>23863</v>
      </c>
      <c r="J12222" t="str">
        <f>HYPERLINK("https://www.boe.es/gazeta/dias/1822/10/20/pdfs/GMD-1822-307.pdf#page=5","Abrir facsímil")</f>
        <v>Abrir facsímil</v>
      </c>
      <c r="K12222" t="s">
        <v>22</v>
      </c>
    </row>
    <row r="12223" spans="1:11" ht="42" customHeight="1">
      <c r="A12223" t="s">
        <v>23752</v>
      </c>
      <c r="B12223" t="s">
        <v>23752</v>
      </c>
      <c r="C12223" t="s">
        <v>50</v>
      </c>
      <c r="D12223" t="s">
        <v>51</v>
      </c>
      <c r="E12223" s="6">
        <v>-28193</v>
      </c>
      <c r="F12223" t="s">
        <v>574</v>
      </c>
      <c r="G12223" t="s">
        <v>35</v>
      </c>
      <c r="H12223" t="s">
        <v>20</v>
      </c>
      <c r="I12223" t="s">
        <v>23864</v>
      </c>
      <c r="J12223" t="str">
        <f>HYPERLINK("https://www.boe.es/gazeta/dias/1822/10/22/pdfs/GMD-1822-309.pdf#page=2","Abrir facsímil")</f>
        <v>Abrir facsímil</v>
      </c>
      <c r="K12223" t="s">
        <v>22</v>
      </c>
    </row>
    <row r="12224" spans="1:11" ht="42" customHeight="1">
      <c r="A12224" t="s">
        <v>23752</v>
      </c>
      <c r="B12224" t="s">
        <v>23752</v>
      </c>
      <c r="C12224" t="s">
        <v>24</v>
      </c>
      <c r="D12224" t="s">
        <v>17</v>
      </c>
      <c r="E12224" s="6">
        <v>-28193</v>
      </c>
      <c r="F12224" t="s">
        <v>574</v>
      </c>
      <c r="G12224" t="s">
        <v>31</v>
      </c>
      <c r="H12224" t="s">
        <v>20</v>
      </c>
      <c r="I12224" t="s">
        <v>23865</v>
      </c>
      <c r="J12224" t="str">
        <f>HYPERLINK("https://www.boe.es/gazeta/dias/1822/10/22/pdfs/GMD-1822-309.pdf#page=3","Abrir facsímil")</f>
        <v>Abrir facsímil</v>
      </c>
      <c r="K12224" t="s">
        <v>22</v>
      </c>
    </row>
    <row r="12225" spans="1:11" ht="42" customHeight="1">
      <c r="A12225" t="s">
        <v>23752</v>
      </c>
      <c r="B12225" t="s">
        <v>23752</v>
      </c>
      <c r="C12225" t="s">
        <v>71</v>
      </c>
      <c r="D12225" t="s">
        <v>17</v>
      </c>
      <c r="E12225" s="6">
        <v>-28192</v>
      </c>
      <c r="F12225" t="s">
        <v>43</v>
      </c>
      <c r="G12225" t="s">
        <v>63</v>
      </c>
      <c r="H12225" t="s">
        <v>20</v>
      </c>
      <c r="I12225" t="s">
        <v>23866</v>
      </c>
      <c r="J12225" t="str">
        <f>HYPERLINK("https://www.boe.es/gazeta/dias/1822/10/23/pdfs/GMD-1822-310.pdf#page=6","Abrir facsímil")</f>
        <v>Abrir facsímil</v>
      </c>
      <c r="K12225" t="s">
        <v>22</v>
      </c>
    </row>
    <row r="12226" spans="1:11" ht="42" customHeight="1">
      <c r="A12226" t="s">
        <v>23752</v>
      </c>
      <c r="B12226" t="s">
        <v>23752</v>
      </c>
      <c r="C12226" t="s">
        <v>50</v>
      </c>
      <c r="D12226" t="s">
        <v>51</v>
      </c>
      <c r="E12226" s="6">
        <v>-28191</v>
      </c>
      <c r="F12226" t="s">
        <v>710</v>
      </c>
      <c r="G12226" t="s">
        <v>44</v>
      </c>
      <c r="H12226" t="s">
        <v>20</v>
      </c>
      <c r="I12226" t="s">
        <v>23867</v>
      </c>
      <c r="J12226" t="str">
        <f>HYPERLINK("https://www.boe.es/gazeta/dias/1822/10/24/pdfs/GMD-1822-311.pdf#page=1","Abrir facsímil")</f>
        <v>Abrir facsímil</v>
      </c>
      <c r="K12226" t="s">
        <v>22</v>
      </c>
    </row>
    <row r="12227" spans="1:11" ht="42" customHeight="1">
      <c r="A12227" t="s">
        <v>23752</v>
      </c>
      <c r="B12227" t="s">
        <v>23752</v>
      </c>
      <c r="C12227" t="s">
        <v>42</v>
      </c>
      <c r="D12227" t="s">
        <v>17</v>
      </c>
      <c r="E12227" s="6">
        <v>-28191</v>
      </c>
      <c r="F12227" t="s">
        <v>710</v>
      </c>
      <c r="G12227" t="s">
        <v>31</v>
      </c>
      <c r="H12227" t="s">
        <v>20</v>
      </c>
      <c r="I12227" t="s">
        <v>23868</v>
      </c>
      <c r="J12227" t="str">
        <f>HYPERLINK("https://www.boe.es/gazeta/dias/1822/10/24/pdfs/GMD-1822-311.pdf#page=3","Abrir facsímil")</f>
        <v>Abrir facsímil</v>
      </c>
      <c r="K12227" t="s">
        <v>22</v>
      </c>
    </row>
    <row r="12228" spans="1:11" ht="42" customHeight="1">
      <c r="A12228" t="s">
        <v>23752</v>
      </c>
      <c r="B12228" t="s">
        <v>23752</v>
      </c>
      <c r="C12228" t="s">
        <v>42</v>
      </c>
      <c r="D12228" t="s">
        <v>17</v>
      </c>
      <c r="E12228" s="6">
        <v>-28191</v>
      </c>
      <c r="F12228" t="s">
        <v>710</v>
      </c>
      <c r="G12228" t="s">
        <v>57</v>
      </c>
      <c r="H12228" t="s">
        <v>20</v>
      </c>
      <c r="I12228" t="s">
        <v>23869</v>
      </c>
      <c r="J12228" t="str">
        <f>HYPERLINK("https://www.boe.es/gazeta/dias/1822/10/24/pdfs/GMD-1822-311.pdf#page=4","Abrir facsímil")</f>
        <v>Abrir facsímil</v>
      </c>
      <c r="K12228" t="s">
        <v>22</v>
      </c>
    </row>
    <row r="12229" spans="1:11" ht="42" customHeight="1">
      <c r="A12229" t="s">
        <v>23752</v>
      </c>
      <c r="B12229" t="s">
        <v>23752</v>
      </c>
      <c r="C12229" t="s">
        <v>24</v>
      </c>
      <c r="D12229" t="s">
        <v>17</v>
      </c>
      <c r="E12229" s="6">
        <v>-28191</v>
      </c>
      <c r="F12229" t="s">
        <v>710</v>
      </c>
      <c r="G12229" t="s">
        <v>19</v>
      </c>
      <c r="H12229" t="s">
        <v>20</v>
      </c>
      <c r="I12229" t="s">
        <v>23870</v>
      </c>
      <c r="J12229" t="str">
        <f>HYPERLINK("https://www.boe.es/gazeta/dias/1822/10/24/pdfs/GMD-1822-311.pdf#page=5","Abrir facsímil")</f>
        <v>Abrir facsímil</v>
      </c>
      <c r="K12229" t="s">
        <v>22</v>
      </c>
    </row>
    <row r="12230" spans="1:11" ht="42" customHeight="1">
      <c r="A12230" t="s">
        <v>23752</v>
      </c>
      <c r="B12230" t="s">
        <v>23752</v>
      </c>
      <c r="C12230" t="s">
        <v>28</v>
      </c>
      <c r="D12230" t="s">
        <v>29</v>
      </c>
      <c r="E12230" s="6">
        <v>-28190</v>
      </c>
      <c r="F12230" t="s">
        <v>576</v>
      </c>
      <c r="G12230" t="s">
        <v>44</v>
      </c>
      <c r="H12230" t="s">
        <v>20</v>
      </c>
      <c r="I12230" t="s">
        <v>23871</v>
      </c>
      <c r="J12230" t="str">
        <f>HYPERLINK("https://www.boe.es/gazeta/dias/1822/10/25/pdfs/GMD-1822-312.pdf#page=1","Abrir facsímil")</f>
        <v>Abrir facsímil</v>
      </c>
      <c r="K12230" t="s">
        <v>22</v>
      </c>
    </row>
    <row r="12231" spans="1:11" ht="42" customHeight="1">
      <c r="A12231" t="s">
        <v>23752</v>
      </c>
      <c r="B12231" t="s">
        <v>23752</v>
      </c>
      <c r="C12231" t="s">
        <v>28</v>
      </c>
      <c r="D12231" t="s">
        <v>29</v>
      </c>
      <c r="E12231" s="6">
        <v>-28188</v>
      </c>
      <c r="F12231" t="s">
        <v>578</v>
      </c>
      <c r="G12231" t="s">
        <v>35</v>
      </c>
      <c r="H12231" t="s">
        <v>20</v>
      </c>
      <c r="I12231" t="s">
        <v>23872</v>
      </c>
      <c r="J12231" t="str">
        <f>HYPERLINK("https://www.boe.es/gazeta/dias/1822/10/27/pdfs/GMD-1822-314.pdf#page=2","Abrir facsímil")</f>
        <v>Abrir facsímil</v>
      </c>
      <c r="K12231" t="s">
        <v>22</v>
      </c>
    </row>
    <row r="12232" spans="1:11" ht="42" customHeight="1">
      <c r="A12232" t="s">
        <v>23752</v>
      </c>
      <c r="B12232" t="s">
        <v>23752</v>
      </c>
      <c r="C12232" t="s">
        <v>42</v>
      </c>
      <c r="D12232" t="s">
        <v>17</v>
      </c>
      <c r="E12232" s="6">
        <v>-28188</v>
      </c>
      <c r="F12232" t="s">
        <v>578</v>
      </c>
      <c r="G12232" t="s">
        <v>31</v>
      </c>
      <c r="H12232" t="s">
        <v>20</v>
      </c>
      <c r="I12232" t="s">
        <v>23873</v>
      </c>
      <c r="J12232" t="str">
        <f>HYPERLINK("https://www.boe.es/gazeta/dias/1822/10/27/pdfs/GMD-1822-314.pdf#page=3","Abrir facsímil")</f>
        <v>Abrir facsímil</v>
      </c>
      <c r="K12232" t="s">
        <v>22</v>
      </c>
    </row>
    <row r="12233" spans="1:11" ht="42" customHeight="1">
      <c r="A12233" t="s">
        <v>23752</v>
      </c>
      <c r="B12233" t="s">
        <v>23752</v>
      </c>
      <c r="C12233" t="s">
        <v>61</v>
      </c>
      <c r="D12233" t="s">
        <v>17</v>
      </c>
      <c r="E12233" s="6">
        <v>-28187</v>
      </c>
      <c r="F12233" t="s">
        <v>929</v>
      </c>
      <c r="G12233" t="s">
        <v>35</v>
      </c>
      <c r="H12233" t="s">
        <v>20</v>
      </c>
      <c r="I12233" t="s">
        <v>23874</v>
      </c>
      <c r="J12233" t="str">
        <f>HYPERLINK("https://www.boe.es/gazeta/dias/1822/10/28/pdfs/GMD-1822-315.pdf#page=2","Abrir facsímil")</f>
        <v>Abrir facsímil</v>
      </c>
      <c r="K12233" t="s">
        <v>22</v>
      </c>
    </row>
    <row r="12234" spans="1:11" ht="42" customHeight="1">
      <c r="A12234" t="s">
        <v>23752</v>
      </c>
      <c r="B12234" t="s">
        <v>23752</v>
      </c>
      <c r="C12234" t="s">
        <v>61</v>
      </c>
      <c r="D12234" t="s">
        <v>17</v>
      </c>
      <c r="E12234" s="6">
        <v>-28186</v>
      </c>
      <c r="F12234" t="s">
        <v>581</v>
      </c>
      <c r="G12234" t="s">
        <v>35</v>
      </c>
      <c r="H12234" t="s">
        <v>20</v>
      </c>
      <c r="I12234" t="s">
        <v>23875</v>
      </c>
      <c r="J12234" t="str">
        <f>HYPERLINK("https://www.boe.es/gazeta/dias/1822/10/29/pdfs/GMD-1822-316.pdf#page=2","Abrir facsímil")</f>
        <v>Abrir facsímil</v>
      </c>
      <c r="K12234" t="s">
        <v>22</v>
      </c>
    </row>
    <row r="12235" spans="1:11" ht="42" customHeight="1">
      <c r="A12235" t="s">
        <v>23752</v>
      </c>
      <c r="B12235" t="s">
        <v>23752</v>
      </c>
      <c r="C12235" t="s">
        <v>50</v>
      </c>
      <c r="D12235" t="s">
        <v>51</v>
      </c>
      <c r="E12235" s="6">
        <v>-28186</v>
      </c>
      <c r="F12235" t="s">
        <v>581</v>
      </c>
      <c r="G12235" t="s">
        <v>31</v>
      </c>
      <c r="H12235" t="s">
        <v>20</v>
      </c>
      <c r="I12235" t="s">
        <v>23876</v>
      </c>
      <c r="J12235" t="str">
        <f>HYPERLINK("https://www.boe.es/gazeta/dias/1822/10/29/pdfs/GMD-1822-316.pdf#page=3","Abrir facsímil")</f>
        <v>Abrir facsímil</v>
      </c>
      <c r="K12235" t="s">
        <v>22</v>
      </c>
    </row>
    <row r="12236" spans="1:11" ht="42" customHeight="1">
      <c r="A12236" t="s">
        <v>23752</v>
      </c>
      <c r="B12236" t="s">
        <v>23752</v>
      </c>
      <c r="C12236" t="s">
        <v>50</v>
      </c>
      <c r="D12236" t="s">
        <v>51</v>
      </c>
      <c r="E12236" s="6">
        <v>-28186</v>
      </c>
      <c r="F12236" t="s">
        <v>581</v>
      </c>
      <c r="G12236" t="s">
        <v>57</v>
      </c>
      <c r="H12236" t="s">
        <v>20</v>
      </c>
      <c r="I12236" t="s">
        <v>23877</v>
      </c>
      <c r="J12236" t="str">
        <f>HYPERLINK("https://www.boe.es/gazeta/dias/1822/10/29/pdfs/GMD-1822-316.pdf#page=4","Abrir facsímil")</f>
        <v>Abrir facsímil</v>
      </c>
      <c r="K12236" t="s">
        <v>22</v>
      </c>
    </row>
    <row r="12237" spans="1:11" ht="42" customHeight="1">
      <c r="A12237" t="s">
        <v>23752</v>
      </c>
      <c r="B12237" t="s">
        <v>23752</v>
      </c>
      <c r="C12237" t="s">
        <v>42</v>
      </c>
      <c r="D12237" t="s">
        <v>17</v>
      </c>
      <c r="E12237" s="6">
        <v>-28185</v>
      </c>
      <c r="F12237" t="s">
        <v>933</v>
      </c>
      <c r="G12237" t="s">
        <v>35</v>
      </c>
      <c r="H12237" t="s">
        <v>20</v>
      </c>
      <c r="I12237" t="s">
        <v>23878</v>
      </c>
      <c r="J12237" t="str">
        <f>HYPERLINK("https://www.boe.es/gazeta/dias/1822/10/30/pdfs/GMD-1822-317.pdf#page=2","Abrir facsímil")</f>
        <v>Abrir facsímil</v>
      </c>
      <c r="K12237" t="s">
        <v>22</v>
      </c>
    </row>
    <row r="12238" spans="1:11" ht="42" customHeight="1">
      <c r="A12238" t="s">
        <v>23752</v>
      </c>
      <c r="B12238" t="s">
        <v>23752</v>
      </c>
      <c r="C12238" t="s">
        <v>42</v>
      </c>
      <c r="D12238" t="s">
        <v>17</v>
      </c>
      <c r="E12238" s="6">
        <v>-28185</v>
      </c>
      <c r="F12238" t="s">
        <v>933</v>
      </c>
      <c r="G12238" t="s">
        <v>31</v>
      </c>
      <c r="H12238" t="s">
        <v>20</v>
      </c>
      <c r="I12238" t="s">
        <v>23879</v>
      </c>
      <c r="J12238" t="str">
        <f>HYPERLINK("https://www.boe.es/gazeta/dias/1822/10/30/pdfs/GMD-1822-317.pdf#page=3","Abrir facsímil")</f>
        <v>Abrir facsímil</v>
      </c>
      <c r="K12238" t="s">
        <v>22</v>
      </c>
    </row>
    <row r="12239" spans="1:11" ht="42" customHeight="1">
      <c r="A12239" t="s">
        <v>23752</v>
      </c>
      <c r="B12239" t="s">
        <v>23752</v>
      </c>
      <c r="C12239" t="s">
        <v>50</v>
      </c>
      <c r="D12239" t="s">
        <v>51</v>
      </c>
      <c r="E12239" s="6">
        <v>-28184</v>
      </c>
      <c r="F12239" t="s">
        <v>1423</v>
      </c>
      <c r="G12239" t="s">
        <v>31</v>
      </c>
      <c r="H12239" t="s">
        <v>20</v>
      </c>
      <c r="I12239" t="s">
        <v>23880</v>
      </c>
      <c r="J12239" t="str">
        <f>HYPERLINK("https://www.boe.es/gazeta/dias/1822/10/31/pdfs/GMD-1822-318.pdf#page=3","Abrir facsímil")</f>
        <v>Abrir facsímil</v>
      </c>
      <c r="K12239" t="s">
        <v>22</v>
      </c>
    </row>
    <row r="12240" spans="1:11" ht="42" customHeight="1">
      <c r="A12240" t="s">
        <v>23752</v>
      </c>
      <c r="B12240" t="s">
        <v>23752</v>
      </c>
      <c r="C12240" t="s">
        <v>50</v>
      </c>
      <c r="D12240" t="s">
        <v>51</v>
      </c>
      <c r="E12240" s="6">
        <v>-28184</v>
      </c>
      <c r="F12240" t="s">
        <v>1423</v>
      </c>
      <c r="G12240" t="s">
        <v>57</v>
      </c>
      <c r="H12240" t="s">
        <v>20</v>
      </c>
      <c r="I12240" t="s">
        <v>23881</v>
      </c>
      <c r="J12240" t="str">
        <f>HYPERLINK("https://www.boe.es/gazeta/dias/1822/10/31/pdfs/GMD-1822-318.pdf#page=4","Abrir facsímil")</f>
        <v>Abrir facsímil</v>
      </c>
      <c r="K12240" t="s">
        <v>22</v>
      </c>
    </row>
    <row r="12241" spans="1:11" ht="42" customHeight="1">
      <c r="A12241" t="s">
        <v>23752</v>
      </c>
      <c r="B12241" t="s">
        <v>23752</v>
      </c>
      <c r="C12241" t="s">
        <v>42</v>
      </c>
      <c r="D12241" t="s">
        <v>17</v>
      </c>
      <c r="E12241" s="6">
        <v>-28183</v>
      </c>
      <c r="F12241" t="s">
        <v>583</v>
      </c>
      <c r="G12241" t="s">
        <v>57</v>
      </c>
      <c r="H12241" t="s">
        <v>20</v>
      </c>
      <c r="I12241" t="s">
        <v>23882</v>
      </c>
      <c r="J12241" t="str">
        <f>HYPERLINK("https://www.boe.es/gazeta/dias/1822/11/01/pdfs/GMD-1822-319.pdf#page=4","Abrir facsímil")</f>
        <v>Abrir facsímil</v>
      </c>
      <c r="K12241" t="s">
        <v>22</v>
      </c>
    </row>
    <row r="12242" spans="1:11" ht="42" customHeight="1">
      <c r="A12242" t="s">
        <v>23752</v>
      </c>
      <c r="B12242" t="s">
        <v>23752</v>
      </c>
      <c r="C12242" t="s">
        <v>61</v>
      </c>
      <c r="D12242" t="s">
        <v>17</v>
      </c>
      <c r="E12242" s="6">
        <v>-28181</v>
      </c>
      <c r="F12242" t="s">
        <v>739</v>
      </c>
      <c r="G12242" t="s">
        <v>35</v>
      </c>
      <c r="H12242" t="s">
        <v>20</v>
      </c>
      <c r="I12242" t="s">
        <v>23883</v>
      </c>
      <c r="J12242" t="str">
        <f>HYPERLINK("https://www.boe.es/gazeta/dias/1822/11/03/pdfs/GMD-1822-321.pdf#page=2","Abrir facsímil")</f>
        <v>Abrir facsímil</v>
      </c>
      <c r="K12242" t="s">
        <v>22</v>
      </c>
    </row>
    <row r="12243" spans="1:11" ht="42" customHeight="1">
      <c r="A12243" t="s">
        <v>23752</v>
      </c>
      <c r="B12243" t="s">
        <v>23752</v>
      </c>
      <c r="C12243" t="s">
        <v>42</v>
      </c>
      <c r="D12243" t="s">
        <v>17</v>
      </c>
      <c r="E12243" s="6">
        <v>-28181</v>
      </c>
      <c r="F12243" t="s">
        <v>739</v>
      </c>
      <c r="G12243" t="s">
        <v>31</v>
      </c>
      <c r="H12243" t="s">
        <v>20</v>
      </c>
      <c r="I12243" t="s">
        <v>23884</v>
      </c>
      <c r="J12243" t="str">
        <f>HYPERLINK("https://www.boe.es/gazeta/dias/1822/11/03/pdfs/GMD-1822-321.pdf#page=3","Abrir facsímil")</f>
        <v>Abrir facsímil</v>
      </c>
      <c r="K12243" t="s">
        <v>22</v>
      </c>
    </row>
    <row r="12244" spans="1:11" ht="42" customHeight="1">
      <c r="A12244" t="s">
        <v>23752</v>
      </c>
      <c r="B12244" t="s">
        <v>23752</v>
      </c>
      <c r="C12244" t="s">
        <v>28</v>
      </c>
      <c r="D12244" t="s">
        <v>29</v>
      </c>
      <c r="E12244" s="6">
        <v>-28181</v>
      </c>
      <c r="F12244" t="s">
        <v>739</v>
      </c>
      <c r="G12244" t="s">
        <v>57</v>
      </c>
      <c r="H12244" t="s">
        <v>20</v>
      </c>
      <c r="I12244" t="s">
        <v>23885</v>
      </c>
      <c r="J12244" t="str">
        <f>HYPERLINK("https://www.boe.es/gazeta/dias/1822/11/03/pdfs/GMD-1822-321.pdf#page=4","Abrir facsímil")</f>
        <v>Abrir facsímil</v>
      </c>
      <c r="K12244" t="s">
        <v>22</v>
      </c>
    </row>
    <row r="12245" spans="1:11" ht="42" customHeight="1">
      <c r="A12245" t="s">
        <v>23752</v>
      </c>
      <c r="B12245" t="s">
        <v>23752</v>
      </c>
      <c r="C12245" t="s">
        <v>50</v>
      </c>
      <c r="D12245" t="s">
        <v>51</v>
      </c>
      <c r="E12245" s="6">
        <v>-28178</v>
      </c>
      <c r="F12245" t="s">
        <v>318</v>
      </c>
      <c r="G12245" t="s">
        <v>57</v>
      </c>
      <c r="H12245" t="s">
        <v>20</v>
      </c>
      <c r="I12245" t="s">
        <v>23886</v>
      </c>
      <c r="J12245" t="str">
        <f>HYPERLINK("https://www.boe.es/gazeta/dias/1822/11/06/pdfs/GMD-1822-326.pdf#page=4","Abrir facsímil")</f>
        <v>Abrir facsímil</v>
      </c>
      <c r="K12245" t="s">
        <v>22</v>
      </c>
    </row>
    <row r="12246" spans="1:11" ht="42" customHeight="1">
      <c r="A12246" t="s">
        <v>23752</v>
      </c>
      <c r="B12246" t="s">
        <v>23752</v>
      </c>
      <c r="C12246" t="s">
        <v>71</v>
      </c>
      <c r="D12246" t="s">
        <v>17</v>
      </c>
      <c r="E12246" s="6">
        <v>-28177</v>
      </c>
      <c r="F12246" t="s">
        <v>587</v>
      </c>
      <c r="G12246" t="s">
        <v>888</v>
      </c>
      <c r="H12246" t="s">
        <v>20</v>
      </c>
      <c r="I12246" t="s">
        <v>23887</v>
      </c>
      <c r="J12246" t="str">
        <f>HYPERLINK("https://www.boe.es/gazeta/dias/1822/11/07/pdfs/GMD-1822-327.pdf#page=4","Abrir facsímil")</f>
        <v>Abrir facsímil</v>
      </c>
      <c r="K12246" t="s">
        <v>22</v>
      </c>
    </row>
    <row r="12247" spans="1:11" ht="42" customHeight="1">
      <c r="A12247" t="s">
        <v>23752</v>
      </c>
      <c r="B12247" t="s">
        <v>23752</v>
      </c>
      <c r="C12247" t="s">
        <v>71</v>
      </c>
      <c r="D12247" t="s">
        <v>17</v>
      </c>
      <c r="E12247" s="6">
        <v>-28176</v>
      </c>
      <c r="F12247" t="s">
        <v>780</v>
      </c>
      <c r="G12247" t="s">
        <v>35</v>
      </c>
      <c r="H12247" t="s">
        <v>20</v>
      </c>
      <c r="I12247" t="s">
        <v>23888</v>
      </c>
      <c r="J12247" t="str">
        <f>HYPERLINK("https://www.boe.es/gazeta/dias/1822/11/08/pdfs/GMD-1822-328.pdf#page=2","Abrir facsímil")</f>
        <v>Abrir facsímil</v>
      </c>
      <c r="K12247" t="s">
        <v>22</v>
      </c>
    </row>
    <row r="12248" spans="1:11" ht="42" customHeight="1">
      <c r="A12248" t="s">
        <v>23752</v>
      </c>
      <c r="B12248" t="s">
        <v>23752</v>
      </c>
      <c r="C12248" t="s">
        <v>50</v>
      </c>
      <c r="D12248" t="s">
        <v>51</v>
      </c>
      <c r="E12248" s="6">
        <v>-28174</v>
      </c>
      <c r="F12248" t="s">
        <v>881</v>
      </c>
      <c r="G12248" t="s">
        <v>19</v>
      </c>
      <c r="H12248" t="s">
        <v>20</v>
      </c>
      <c r="I12248" t="s">
        <v>23889</v>
      </c>
      <c r="J12248" t="str">
        <f>HYPERLINK("https://www.boe.es/gazeta/dias/1822/11/10/pdfs/GMD-1822-330.pdf#page=5","Abrir facsímil")</f>
        <v>Abrir facsímil</v>
      </c>
      <c r="K12248" t="s">
        <v>22</v>
      </c>
    </row>
    <row r="12249" spans="1:11" ht="42" customHeight="1">
      <c r="A12249" t="s">
        <v>23752</v>
      </c>
      <c r="B12249" t="s">
        <v>23752</v>
      </c>
      <c r="C12249" t="s">
        <v>71</v>
      </c>
      <c r="D12249" t="s">
        <v>17</v>
      </c>
      <c r="E12249" s="6">
        <v>-28173</v>
      </c>
      <c r="F12249" t="s">
        <v>2959</v>
      </c>
      <c r="G12249" t="s">
        <v>35</v>
      </c>
      <c r="H12249" t="s">
        <v>20</v>
      </c>
      <c r="I12249" t="s">
        <v>23890</v>
      </c>
      <c r="J12249" t="str">
        <f>HYPERLINK("https://www.boe.es/gazeta/dias/1822/11/11/pdfs/GMD-1822-331.pdf#page=2","Abrir facsímil")</f>
        <v>Abrir facsímil</v>
      </c>
      <c r="K12249" t="s">
        <v>22</v>
      </c>
    </row>
    <row r="12250" spans="1:11" ht="42" customHeight="1">
      <c r="A12250" t="s">
        <v>23752</v>
      </c>
      <c r="B12250" t="s">
        <v>23752</v>
      </c>
      <c r="C12250" t="s">
        <v>28</v>
      </c>
      <c r="D12250" t="s">
        <v>29</v>
      </c>
      <c r="E12250" s="6">
        <v>-28172</v>
      </c>
      <c r="F12250" t="s">
        <v>674</v>
      </c>
      <c r="G12250" t="s">
        <v>35</v>
      </c>
      <c r="H12250" t="s">
        <v>20</v>
      </c>
      <c r="I12250" t="s">
        <v>23891</v>
      </c>
      <c r="J12250" t="str">
        <f>HYPERLINK("https://www.boe.es/gazeta/dias/1822/11/12/pdfs/GMD-1822-332.pdf#page=2","Abrir facsímil")</f>
        <v>Abrir facsímil</v>
      </c>
      <c r="K12250" t="s">
        <v>22</v>
      </c>
    </row>
    <row r="12251" spans="1:11" ht="42" customHeight="1">
      <c r="A12251" t="s">
        <v>23752</v>
      </c>
      <c r="B12251" t="s">
        <v>23752</v>
      </c>
      <c r="C12251" t="s">
        <v>50</v>
      </c>
      <c r="D12251" t="s">
        <v>51</v>
      </c>
      <c r="E12251" s="6">
        <v>-28171</v>
      </c>
      <c r="F12251" t="s">
        <v>1075</v>
      </c>
      <c r="G12251" t="s">
        <v>44</v>
      </c>
      <c r="H12251" t="s">
        <v>20</v>
      </c>
      <c r="I12251" t="s">
        <v>23892</v>
      </c>
      <c r="J12251" t="str">
        <f>HYPERLINK("https://www.boe.es/gazeta/dias/1822/11/13/pdfs/GMD-1822-333.pdf#page=1","Abrir facsímil")</f>
        <v>Abrir facsímil</v>
      </c>
      <c r="K12251" t="s">
        <v>22</v>
      </c>
    </row>
    <row r="12252" spans="1:11" ht="42" customHeight="1">
      <c r="A12252" t="s">
        <v>23752</v>
      </c>
      <c r="B12252" t="s">
        <v>23752</v>
      </c>
      <c r="C12252" t="s">
        <v>28</v>
      </c>
      <c r="D12252" t="s">
        <v>29</v>
      </c>
      <c r="E12252" s="6">
        <v>-28171</v>
      </c>
      <c r="F12252" t="s">
        <v>1075</v>
      </c>
      <c r="G12252" t="s">
        <v>35</v>
      </c>
      <c r="H12252" t="s">
        <v>20</v>
      </c>
      <c r="I12252" t="s">
        <v>23893</v>
      </c>
      <c r="J12252" t="str">
        <f>HYPERLINK("https://www.boe.es/gazeta/dias/1822/11/13/pdfs/GMD-1822-333.pdf#page=2","Abrir facsímil")</f>
        <v>Abrir facsímil</v>
      </c>
      <c r="K12252" t="s">
        <v>22</v>
      </c>
    </row>
    <row r="12253" spans="1:11" ht="42" customHeight="1">
      <c r="A12253" t="s">
        <v>23752</v>
      </c>
      <c r="B12253" t="s">
        <v>23752</v>
      </c>
      <c r="C12253" t="s">
        <v>71</v>
      </c>
      <c r="D12253" t="s">
        <v>17</v>
      </c>
      <c r="E12253" s="6">
        <v>-28169</v>
      </c>
      <c r="F12253" t="s">
        <v>2571</v>
      </c>
      <c r="G12253" t="s">
        <v>44</v>
      </c>
      <c r="H12253" t="s">
        <v>20</v>
      </c>
      <c r="I12253" t="s">
        <v>23894</v>
      </c>
      <c r="J12253" t="str">
        <f>HYPERLINK("https://www.boe.es/gazeta/dias/1822/11/15/pdfs/GMD-1822-335.pdf#page=1","Abrir facsímil")</f>
        <v>Abrir facsímil</v>
      </c>
      <c r="K12253" t="s">
        <v>22</v>
      </c>
    </row>
    <row r="12254" spans="1:11" ht="42" customHeight="1">
      <c r="A12254" t="s">
        <v>23752</v>
      </c>
      <c r="B12254" t="s">
        <v>23752</v>
      </c>
      <c r="C12254" t="s">
        <v>71</v>
      </c>
      <c r="D12254" t="s">
        <v>17</v>
      </c>
      <c r="E12254" s="6">
        <v>-28169</v>
      </c>
      <c r="F12254" t="s">
        <v>2571</v>
      </c>
      <c r="G12254" t="s">
        <v>35</v>
      </c>
      <c r="H12254" t="s">
        <v>20</v>
      </c>
      <c r="I12254" t="s">
        <v>23895</v>
      </c>
      <c r="J12254" t="str">
        <f>HYPERLINK("https://www.boe.es/gazeta/dias/1822/11/15/pdfs/GMD-1822-335.pdf#page=2","Abrir facsímil")</f>
        <v>Abrir facsímil</v>
      </c>
      <c r="K12254" t="s">
        <v>22</v>
      </c>
    </row>
    <row r="12255" spans="1:11" ht="42" customHeight="1">
      <c r="A12255" t="s">
        <v>23752</v>
      </c>
      <c r="B12255" t="s">
        <v>23752</v>
      </c>
      <c r="C12255" t="s">
        <v>71</v>
      </c>
      <c r="D12255" t="s">
        <v>17</v>
      </c>
      <c r="E12255" s="6">
        <v>-28166</v>
      </c>
      <c r="F12255" t="s">
        <v>942</v>
      </c>
      <c r="G12255" t="s">
        <v>31</v>
      </c>
      <c r="H12255" t="s">
        <v>20</v>
      </c>
      <c r="I12255" t="s">
        <v>23896</v>
      </c>
      <c r="J12255" t="str">
        <f>HYPERLINK("https://www.boe.es/gazeta/dias/1822/11/18/pdfs/GMD-1822-338.pdf#page=3","Abrir facsímil")</f>
        <v>Abrir facsímil</v>
      </c>
      <c r="K12255" t="s">
        <v>22</v>
      </c>
    </row>
    <row r="12256" spans="1:11" ht="42" customHeight="1">
      <c r="A12256" t="s">
        <v>23752</v>
      </c>
      <c r="B12256" t="s">
        <v>23752</v>
      </c>
      <c r="C12256" t="s">
        <v>28</v>
      </c>
      <c r="D12256" t="s">
        <v>29</v>
      </c>
      <c r="E12256" s="6">
        <v>-28165</v>
      </c>
      <c r="F12256" t="s">
        <v>846</v>
      </c>
      <c r="G12256" t="s">
        <v>35</v>
      </c>
      <c r="H12256" t="s">
        <v>20</v>
      </c>
      <c r="I12256" t="s">
        <v>23897</v>
      </c>
      <c r="J12256" t="str">
        <f>HYPERLINK("https://www.boe.es/gazeta/dias/1822/11/19/pdfs/GMD-1822-339.pdf#page=2","Abrir facsímil")</f>
        <v>Abrir facsímil</v>
      </c>
      <c r="K12256" t="s">
        <v>22</v>
      </c>
    </row>
    <row r="12257" spans="1:11" ht="42" customHeight="1">
      <c r="A12257" t="s">
        <v>23752</v>
      </c>
      <c r="B12257" t="s">
        <v>23752</v>
      </c>
      <c r="C12257" t="s">
        <v>71</v>
      </c>
      <c r="D12257" t="s">
        <v>17</v>
      </c>
      <c r="E12257" s="6">
        <v>-28164</v>
      </c>
      <c r="F12257" t="s">
        <v>2172</v>
      </c>
      <c r="G12257" t="s">
        <v>57</v>
      </c>
      <c r="H12257" t="s">
        <v>20</v>
      </c>
      <c r="I12257" t="s">
        <v>23898</v>
      </c>
      <c r="J12257" t="str">
        <f>HYPERLINK("https://www.boe.es/gazeta/dias/1822/11/20/pdfs/GMD-1822-340.pdf#page=4","Abrir facsímil")</f>
        <v>Abrir facsímil</v>
      </c>
      <c r="K12257" t="s">
        <v>22</v>
      </c>
    </row>
    <row r="12258" spans="1:11" ht="42" customHeight="1">
      <c r="A12258" t="s">
        <v>23752</v>
      </c>
      <c r="B12258" t="s">
        <v>23752</v>
      </c>
      <c r="C12258" t="s">
        <v>50</v>
      </c>
      <c r="D12258" t="s">
        <v>51</v>
      </c>
      <c r="E12258" s="6">
        <v>-28155</v>
      </c>
      <c r="F12258" t="s">
        <v>833</v>
      </c>
      <c r="G12258" t="s">
        <v>44</v>
      </c>
      <c r="H12258" t="s">
        <v>20</v>
      </c>
      <c r="I12258" t="s">
        <v>23899</v>
      </c>
      <c r="J12258" t="str">
        <f>HYPERLINK("https://www.boe.es/gazeta/dias/1822/11/29/pdfs/GMD-1822-349.pdf#page=1","Abrir facsímil")</f>
        <v>Abrir facsímil</v>
      </c>
      <c r="K12258" t="s">
        <v>22</v>
      </c>
    </row>
    <row r="12259" spans="1:11" ht="42" customHeight="1">
      <c r="A12259" t="s">
        <v>23752</v>
      </c>
      <c r="B12259" t="s">
        <v>23752</v>
      </c>
      <c r="C12259" t="s">
        <v>42</v>
      </c>
      <c r="D12259" t="s">
        <v>17</v>
      </c>
      <c r="E12259" s="6">
        <v>-28155</v>
      </c>
      <c r="F12259" t="s">
        <v>833</v>
      </c>
      <c r="G12259" t="s">
        <v>35</v>
      </c>
      <c r="H12259" t="s">
        <v>20</v>
      </c>
      <c r="I12259" t="s">
        <v>23900</v>
      </c>
      <c r="J12259" t="str">
        <f>HYPERLINK("https://www.boe.es/gazeta/dias/1822/11/29/pdfs/GMD-1822-349.pdf#page=2","Abrir facsímil")</f>
        <v>Abrir facsímil</v>
      </c>
      <c r="K12259" t="s">
        <v>22</v>
      </c>
    </row>
    <row r="12260" spans="1:11" ht="42" customHeight="1">
      <c r="A12260" t="s">
        <v>23752</v>
      </c>
      <c r="B12260" t="s">
        <v>23752</v>
      </c>
      <c r="C12260" t="s">
        <v>24</v>
      </c>
      <c r="D12260" t="s">
        <v>17</v>
      </c>
      <c r="E12260" s="6">
        <v>-28150</v>
      </c>
      <c r="F12260" t="s">
        <v>62</v>
      </c>
      <c r="G12260" t="s">
        <v>57</v>
      </c>
      <c r="H12260" t="s">
        <v>20</v>
      </c>
      <c r="I12260" t="s">
        <v>23901</v>
      </c>
      <c r="J12260" t="str">
        <f>HYPERLINK("https://www.boe.es/gazeta/dias/1822/12/04/pdfs/GMD-1822-354.pdf#page=4","Abrir facsímil")</f>
        <v>Abrir facsímil</v>
      </c>
      <c r="K12260" t="s">
        <v>22</v>
      </c>
    </row>
    <row r="12261" spans="1:11" ht="42" customHeight="1">
      <c r="A12261" t="s">
        <v>23752</v>
      </c>
      <c r="B12261" t="s">
        <v>23752</v>
      </c>
      <c r="C12261" t="s">
        <v>50</v>
      </c>
      <c r="D12261" t="s">
        <v>51</v>
      </c>
      <c r="E12261" s="6">
        <v>-28147</v>
      </c>
      <c r="F12261" t="s">
        <v>1611</v>
      </c>
      <c r="G12261" t="s">
        <v>35</v>
      </c>
      <c r="H12261" t="s">
        <v>20</v>
      </c>
      <c r="I12261" t="s">
        <v>23902</v>
      </c>
      <c r="J12261" t="str">
        <f>HYPERLINK("https://www.boe.es/gazeta/dias/1822/12/07/pdfs/GMD-1822-357.pdf#page=2","Abrir facsímil")</f>
        <v>Abrir facsímil</v>
      </c>
      <c r="K12261" t="s">
        <v>22</v>
      </c>
    </row>
    <row r="12262" spans="1:11" ht="42" customHeight="1">
      <c r="A12262" t="s">
        <v>23752</v>
      </c>
      <c r="B12262" t="s">
        <v>23752</v>
      </c>
      <c r="C12262" t="s">
        <v>50</v>
      </c>
      <c r="D12262" t="s">
        <v>51</v>
      </c>
      <c r="E12262" s="6">
        <v>-28147</v>
      </c>
      <c r="F12262" t="s">
        <v>1611</v>
      </c>
      <c r="G12262" t="s">
        <v>19</v>
      </c>
      <c r="H12262" t="s">
        <v>20</v>
      </c>
      <c r="I12262" t="s">
        <v>23903</v>
      </c>
      <c r="J12262" t="str">
        <f>HYPERLINK("https://www.boe.es/gazeta/dias/1822/12/07/pdfs/GMD-1822-357.pdf#page=5","Abrir facsímil")</f>
        <v>Abrir facsímil</v>
      </c>
      <c r="K12262" t="s">
        <v>22</v>
      </c>
    </row>
    <row r="12263" spans="1:11" ht="42" customHeight="1">
      <c r="A12263" t="s">
        <v>23752</v>
      </c>
      <c r="B12263" t="s">
        <v>23752</v>
      </c>
      <c r="C12263" t="s">
        <v>50</v>
      </c>
      <c r="D12263" t="s">
        <v>51</v>
      </c>
      <c r="E12263" s="6">
        <v>-28146</v>
      </c>
      <c r="F12263" t="s">
        <v>180</v>
      </c>
      <c r="G12263" t="s">
        <v>35</v>
      </c>
      <c r="H12263" t="s">
        <v>20</v>
      </c>
      <c r="I12263" t="s">
        <v>23904</v>
      </c>
      <c r="J12263" t="str">
        <f>HYPERLINK("https://www.boe.es/gazeta/dias/1822/12/08/pdfs/GMD-1822-358.pdf#page=2","Abrir facsímil")</f>
        <v>Abrir facsímil</v>
      </c>
      <c r="K12263" t="s">
        <v>22</v>
      </c>
    </row>
    <row r="12264" spans="1:11" ht="42" customHeight="1">
      <c r="A12264" t="s">
        <v>23752</v>
      </c>
      <c r="B12264" t="s">
        <v>23752</v>
      </c>
      <c r="C12264" t="s">
        <v>61</v>
      </c>
      <c r="D12264" t="s">
        <v>17</v>
      </c>
      <c r="E12264" s="6">
        <v>-28143</v>
      </c>
      <c r="F12264" t="s">
        <v>2967</v>
      </c>
      <c r="G12264" t="s">
        <v>6049</v>
      </c>
      <c r="H12264" t="s">
        <v>20</v>
      </c>
      <c r="I12264" t="s">
        <v>23905</v>
      </c>
      <c r="J12264" t="str">
        <f>HYPERLINK("https://www.boe.es/gazeta/dias/1822/12/11/pdfs/GMD-1822-361.pdf#page=3","Abrir facsímil")</f>
        <v>Abrir facsímil</v>
      </c>
      <c r="K12264" t="s">
        <v>22</v>
      </c>
    </row>
    <row r="12265" spans="1:11" ht="42" customHeight="1">
      <c r="A12265" t="s">
        <v>23752</v>
      </c>
      <c r="B12265" t="s">
        <v>23752</v>
      </c>
      <c r="C12265" t="s">
        <v>362</v>
      </c>
      <c r="D12265" t="s">
        <v>17</v>
      </c>
      <c r="E12265" s="6">
        <v>-28139</v>
      </c>
      <c r="F12265" t="s">
        <v>143</v>
      </c>
      <c r="G12265" t="s">
        <v>35</v>
      </c>
      <c r="H12265" t="s">
        <v>20</v>
      </c>
      <c r="I12265" t="s">
        <v>23906</v>
      </c>
      <c r="J12265" t="str">
        <f>HYPERLINK("https://www.boe.es/gazeta/dias/1822/12/15/pdfs/GMD-1822-365.pdf#page=2","Abrir facsímil")</f>
        <v>Abrir facsímil</v>
      </c>
      <c r="K12265" t="s">
        <v>22</v>
      </c>
    </row>
    <row r="12266" spans="1:11" ht="42" customHeight="1">
      <c r="A12266" t="s">
        <v>23752</v>
      </c>
      <c r="B12266" t="s">
        <v>23752</v>
      </c>
      <c r="C12266" t="s">
        <v>42</v>
      </c>
      <c r="D12266" t="s">
        <v>17</v>
      </c>
      <c r="E12266" s="6">
        <v>-28138</v>
      </c>
      <c r="F12266" t="s">
        <v>3542</v>
      </c>
      <c r="G12266" t="s">
        <v>35</v>
      </c>
      <c r="H12266" t="s">
        <v>20</v>
      </c>
      <c r="I12266" t="s">
        <v>23907</v>
      </c>
      <c r="J12266" t="str">
        <f>HYPERLINK("https://www.boe.es/gazeta/dias/1822/12/16/pdfs/GMD-1822-366.pdf#page=2","Abrir facsímil")</f>
        <v>Abrir facsímil</v>
      </c>
      <c r="K12266" t="s">
        <v>22</v>
      </c>
    </row>
    <row r="12267" spans="1:11" ht="42" customHeight="1">
      <c r="A12267" t="s">
        <v>23752</v>
      </c>
      <c r="B12267" t="s">
        <v>23752</v>
      </c>
      <c r="C12267" t="s">
        <v>71</v>
      </c>
      <c r="D12267" t="s">
        <v>17</v>
      </c>
      <c r="E12267" s="6">
        <v>-28137</v>
      </c>
      <c r="F12267" t="s">
        <v>312</v>
      </c>
      <c r="G12267" t="s">
        <v>31</v>
      </c>
      <c r="H12267" t="s">
        <v>20</v>
      </c>
      <c r="I12267" t="s">
        <v>23908</v>
      </c>
      <c r="J12267" t="str">
        <f>HYPERLINK("https://www.boe.es/gazeta/dias/1822/12/17/pdfs/GMD-1822-367.pdf#page=3","Abrir facsímil")</f>
        <v>Abrir facsímil</v>
      </c>
      <c r="K12267" t="s">
        <v>22</v>
      </c>
    </row>
    <row r="12268" spans="1:11" ht="42" customHeight="1">
      <c r="A12268" t="s">
        <v>23752</v>
      </c>
      <c r="B12268" t="s">
        <v>23752</v>
      </c>
      <c r="C12268" t="s">
        <v>28</v>
      </c>
      <c r="D12268" t="s">
        <v>29</v>
      </c>
      <c r="E12268" s="6">
        <v>-28136</v>
      </c>
      <c r="F12268" t="s">
        <v>948</v>
      </c>
      <c r="G12268" t="s">
        <v>57</v>
      </c>
      <c r="H12268" t="s">
        <v>20</v>
      </c>
      <c r="I12268" t="s">
        <v>23909</v>
      </c>
      <c r="J12268" t="str">
        <f>HYPERLINK("https://www.boe.es/gazeta/dias/1822/12/18/pdfs/GMD-1822-368.pdf#page=4","Abrir facsímil")</f>
        <v>Abrir facsímil</v>
      </c>
      <c r="K12268" t="s">
        <v>22</v>
      </c>
    </row>
    <row r="12269" spans="1:11" ht="42" customHeight="1">
      <c r="A12269" t="s">
        <v>23752</v>
      </c>
      <c r="B12269" t="s">
        <v>23752</v>
      </c>
      <c r="C12269" t="s">
        <v>50</v>
      </c>
      <c r="D12269" t="s">
        <v>51</v>
      </c>
      <c r="E12269" s="6">
        <v>-28133</v>
      </c>
      <c r="F12269" t="s">
        <v>595</v>
      </c>
      <c r="G12269" t="s">
        <v>596</v>
      </c>
      <c r="H12269" t="s">
        <v>20</v>
      </c>
      <c r="I12269" t="s">
        <v>23910</v>
      </c>
      <c r="J12269" t="str">
        <f>HYPERLINK("https://www.boe.es/gazeta/dias/1822/12/21/pdfs/GMD-1822-371.pdf#page=2","Abrir facsímil")</f>
        <v>Abrir facsímil</v>
      </c>
      <c r="K12269" t="s">
        <v>22</v>
      </c>
    </row>
    <row r="12270" spans="1:11" ht="42" customHeight="1">
      <c r="A12270" t="s">
        <v>23752</v>
      </c>
      <c r="B12270" t="s">
        <v>23752</v>
      </c>
      <c r="C12270" t="s">
        <v>42</v>
      </c>
      <c r="D12270" t="s">
        <v>17</v>
      </c>
      <c r="E12270" s="6">
        <v>-28133</v>
      </c>
      <c r="F12270" t="s">
        <v>595</v>
      </c>
      <c r="G12270" t="s">
        <v>31</v>
      </c>
      <c r="H12270" t="s">
        <v>20</v>
      </c>
      <c r="I12270" t="s">
        <v>23911</v>
      </c>
      <c r="J12270" t="str">
        <f>HYPERLINK("https://www.boe.es/gazeta/dias/1822/12/21/pdfs/GMD-1822-371.pdf#page=3","Abrir facsímil")</f>
        <v>Abrir facsímil</v>
      </c>
      <c r="K12270" t="s">
        <v>22</v>
      </c>
    </row>
    <row r="12271" spans="1:11" ht="42" customHeight="1">
      <c r="A12271" t="s">
        <v>23752</v>
      </c>
      <c r="B12271" t="s">
        <v>23752</v>
      </c>
      <c r="C12271" t="s">
        <v>50</v>
      </c>
      <c r="D12271" t="s">
        <v>51</v>
      </c>
      <c r="E12271" s="6">
        <v>-28132</v>
      </c>
      <c r="F12271" t="s">
        <v>820</v>
      </c>
      <c r="G12271" t="s">
        <v>31</v>
      </c>
      <c r="H12271" t="s">
        <v>20</v>
      </c>
      <c r="I12271" t="s">
        <v>23912</v>
      </c>
      <c r="J12271" t="str">
        <f>HYPERLINK("https://www.boe.es/gazeta/dias/1822/12/22/pdfs/GMD-1822-372.pdf#page=3","Abrir facsímil")</f>
        <v>Abrir facsímil</v>
      </c>
      <c r="K12271" t="s">
        <v>22</v>
      </c>
    </row>
    <row r="12272" spans="1:11" ht="42" customHeight="1">
      <c r="A12272" t="s">
        <v>23752</v>
      </c>
      <c r="B12272" t="s">
        <v>23752</v>
      </c>
      <c r="C12272" t="s">
        <v>71</v>
      </c>
      <c r="D12272" t="s">
        <v>17</v>
      </c>
      <c r="E12272" s="6">
        <v>-28131</v>
      </c>
      <c r="F12272" t="s">
        <v>893</v>
      </c>
      <c r="G12272" t="s">
        <v>57</v>
      </c>
      <c r="H12272" t="s">
        <v>20</v>
      </c>
      <c r="I12272" t="s">
        <v>23913</v>
      </c>
      <c r="J12272" t="str">
        <f>HYPERLINK("https://www.boe.es/gazeta/dias/1822/12/23/pdfs/GMD-1822-373.pdf#page=4","Abrir facsímil")</f>
        <v>Abrir facsímil</v>
      </c>
      <c r="K12272" t="s">
        <v>22</v>
      </c>
    </row>
    <row r="12273" spans="1:11" ht="42" customHeight="1">
      <c r="A12273" t="s">
        <v>23752</v>
      </c>
      <c r="B12273" t="s">
        <v>23752</v>
      </c>
      <c r="C12273" t="s">
        <v>42</v>
      </c>
      <c r="D12273" t="s">
        <v>17</v>
      </c>
      <c r="E12273" s="6">
        <v>-28130</v>
      </c>
      <c r="F12273" t="s">
        <v>34</v>
      </c>
      <c r="G12273" t="s">
        <v>35</v>
      </c>
      <c r="H12273" t="s">
        <v>20</v>
      </c>
      <c r="I12273" t="s">
        <v>23914</v>
      </c>
      <c r="J12273" t="str">
        <f>HYPERLINK("https://www.boe.es/gazeta/dias/1822/12/24/pdfs/GMD-1822-374.pdf#page=2","Abrir facsímil")</f>
        <v>Abrir facsímil</v>
      </c>
      <c r="K12273" t="s">
        <v>22</v>
      </c>
    </row>
    <row r="12274" spans="1:11" ht="42" customHeight="1">
      <c r="A12274" t="s">
        <v>23752</v>
      </c>
      <c r="B12274" t="s">
        <v>23752</v>
      </c>
      <c r="C12274" t="s">
        <v>50</v>
      </c>
      <c r="D12274" t="s">
        <v>51</v>
      </c>
      <c r="E12274" s="6">
        <v>-28126</v>
      </c>
      <c r="F12274" t="s">
        <v>952</v>
      </c>
      <c r="G12274" t="s">
        <v>35</v>
      </c>
      <c r="H12274" t="s">
        <v>20</v>
      </c>
      <c r="I12274" t="s">
        <v>23915</v>
      </c>
      <c r="J12274" t="str">
        <f>HYPERLINK("https://www.boe.es/gazeta/dias/1822/12/28/pdfs/GMD-1822-378.pdf#page=2","Abrir facsímil")</f>
        <v>Abrir facsímil</v>
      </c>
      <c r="K12274" t="s">
        <v>22</v>
      </c>
    </row>
    <row r="12275" spans="1:11" ht="42" customHeight="1">
      <c r="A12275" t="s">
        <v>23752</v>
      </c>
      <c r="B12275" t="s">
        <v>23752</v>
      </c>
      <c r="C12275" t="s">
        <v>61</v>
      </c>
      <c r="D12275" t="s">
        <v>17</v>
      </c>
      <c r="E12275" s="6">
        <v>-28126</v>
      </c>
      <c r="F12275" t="s">
        <v>952</v>
      </c>
      <c r="G12275" t="s">
        <v>31</v>
      </c>
      <c r="H12275" t="s">
        <v>20</v>
      </c>
      <c r="I12275" t="s">
        <v>23916</v>
      </c>
      <c r="J12275" t="str">
        <f>HYPERLINK("https://www.boe.es/gazeta/dias/1822/12/28/pdfs/GMD-1822-378.pdf#page=3","Abrir facsímil")</f>
        <v>Abrir facsímil</v>
      </c>
      <c r="K12275" t="s">
        <v>22</v>
      </c>
    </row>
    <row r="12276" spans="1:11" ht="42" customHeight="1">
      <c r="A12276" t="s">
        <v>23752</v>
      </c>
      <c r="B12276" t="s">
        <v>23752</v>
      </c>
      <c r="C12276" t="s">
        <v>16</v>
      </c>
      <c r="D12276" t="s">
        <v>17</v>
      </c>
      <c r="E12276" s="6">
        <v>-28125</v>
      </c>
      <c r="F12276" t="s">
        <v>322</v>
      </c>
      <c r="G12276" t="s">
        <v>57</v>
      </c>
      <c r="H12276" t="s">
        <v>20</v>
      </c>
      <c r="I12276" t="s">
        <v>23917</v>
      </c>
      <c r="J12276" t="str">
        <f>HYPERLINK("https://www.boe.es/gazeta/dias/1822/12/29/pdfs/GMD-1822-379.pdf#page=4","Abrir facsímil")</f>
        <v>Abrir facsímil</v>
      </c>
      <c r="K12276" t="s">
        <v>22</v>
      </c>
    </row>
    <row r="12277" spans="1:11" ht="42" customHeight="1">
      <c r="A12277" t="s">
        <v>23752</v>
      </c>
      <c r="B12277" t="s">
        <v>23752</v>
      </c>
      <c r="C12277" t="s">
        <v>28</v>
      </c>
      <c r="D12277" t="s">
        <v>29</v>
      </c>
      <c r="E12277" s="6">
        <v>-28124</v>
      </c>
      <c r="F12277" t="s">
        <v>301</v>
      </c>
      <c r="G12277" t="s">
        <v>19</v>
      </c>
      <c r="H12277" t="s">
        <v>20</v>
      </c>
      <c r="I12277" t="s">
        <v>23918</v>
      </c>
      <c r="J12277" t="str">
        <f>HYPERLINK("https://www.boe.es/gazeta/dias/1822/12/30/pdfs/GMD-1822-380.pdf#page=5","Abrir facsímil")</f>
        <v>Abrir facsímil</v>
      </c>
      <c r="K12277" t="s">
        <v>22</v>
      </c>
    </row>
    <row r="12278" spans="1:11" ht="42" customHeight="1">
      <c r="A12278" t="s">
        <v>23752</v>
      </c>
      <c r="B12278" t="s">
        <v>23752</v>
      </c>
      <c r="C12278" t="s">
        <v>50</v>
      </c>
      <c r="D12278" t="s">
        <v>51</v>
      </c>
      <c r="E12278" s="6">
        <v>-28123</v>
      </c>
      <c r="F12278" t="s">
        <v>603</v>
      </c>
      <c r="G12278" t="s">
        <v>57</v>
      </c>
      <c r="H12278" t="s">
        <v>20</v>
      </c>
      <c r="I12278" t="s">
        <v>23919</v>
      </c>
      <c r="J12278" t="str">
        <f>HYPERLINK("https://www.boe.es/gazeta/dias/1822/12/31/pdfs/GMD-1822-381.pdf#page=4","Abrir facsímil")</f>
        <v>Abrir facsímil</v>
      </c>
      <c r="K12278" t="s">
        <v>22</v>
      </c>
    </row>
    <row r="12279" spans="1:11" ht="42" customHeight="1">
      <c r="A12279" t="s">
        <v>23920</v>
      </c>
      <c r="B12279" t="s">
        <v>23921</v>
      </c>
      <c r="C12279" t="s">
        <v>28</v>
      </c>
      <c r="D12279" t="s">
        <v>29</v>
      </c>
      <c r="E12279" s="6">
        <v>-28368</v>
      </c>
      <c r="F12279" t="s">
        <v>126</v>
      </c>
      <c r="G12279" t="s">
        <v>44</v>
      </c>
      <c r="H12279" t="s">
        <v>20</v>
      </c>
      <c r="I12279" t="s">
        <v>23922</v>
      </c>
      <c r="J12279" t="str">
        <f>HYPERLINK("https://www.boe.es/gazeta/dias/1822/04/30/pdfs/GMD-1822-122.pdf#page=1","Abrir facsímil")</f>
        <v>Abrir facsímil</v>
      </c>
      <c r="K12279" t="s">
        <v>22</v>
      </c>
    </row>
    <row r="12280" spans="1:11" ht="42" customHeight="1">
      <c r="A12280" t="s">
        <v>23923</v>
      </c>
      <c r="B12280" t="s">
        <v>23924</v>
      </c>
      <c r="C12280" t="s">
        <v>71</v>
      </c>
      <c r="D12280" t="s">
        <v>17</v>
      </c>
      <c r="E12280" s="6">
        <v>-28155</v>
      </c>
      <c r="F12280" t="s">
        <v>833</v>
      </c>
      <c r="G12280" t="s">
        <v>63</v>
      </c>
      <c r="H12280" t="s">
        <v>20</v>
      </c>
      <c r="I12280" t="s">
        <v>23925</v>
      </c>
      <c r="J12280" t="str">
        <f>HYPERLINK("https://www.boe.es/gazeta/dias/1822/11/29/pdfs/GMD-1822-349.pdf#page=6","Abrir facsímil")</f>
        <v>Abrir facsímil</v>
      </c>
      <c r="K12280" t="s">
        <v>22</v>
      </c>
    </row>
    <row r="12281" spans="1:11" ht="42" customHeight="1">
      <c r="A12281" t="s">
        <v>23926</v>
      </c>
      <c r="B12281" t="s">
        <v>23927</v>
      </c>
      <c r="C12281" t="s">
        <v>24</v>
      </c>
      <c r="D12281" t="s">
        <v>17</v>
      </c>
      <c r="E12281" s="6">
        <v>-28312</v>
      </c>
      <c r="F12281" t="s">
        <v>92</v>
      </c>
      <c r="G12281" t="s">
        <v>93</v>
      </c>
      <c r="H12281" t="s">
        <v>20</v>
      </c>
      <c r="I12281" t="s">
        <v>23928</v>
      </c>
      <c r="J12281" t="str">
        <f>HYPERLINK("https://www.boe.es/gazeta/dias/1822/06/25/pdfs/GMD-1822-183.pdf#page=4","Abrir facsímil")</f>
        <v>Abrir facsímil</v>
      </c>
      <c r="K12281" t="s">
        <v>22</v>
      </c>
    </row>
    <row r="12282" spans="1:11" ht="42" customHeight="1">
      <c r="A12282" t="s">
        <v>23929</v>
      </c>
      <c r="B12282" t="s">
        <v>23930</v>
      </c>
      <c r="C12282" t="s">
        <v>16</v>
      </c>
      <c r="D12282" t="s">
        <v>17</v>
      </c>
      <c r="E12282" s="6">
        <v>-28393</v>
      </c>
      <c r="F12282" t="s">
        <v>326</v>
      </c>
      <c r="G12282" t="s">
        <v>57</v>
      </c>
      <c r="H12282" t="s">
        <v>20</v>
      </c>
      <c r="I12282" t="s">
        <v>23931</v>
      </c>
      <c r="J12282" t="str">
        <f>HYPERLINK("https://www.boe.es/gazeta/dias/1822/04/05/pdfs/GMD-1822-97.pdf#page=4","Abrir facsímil")</f>
        <v>Abrir facsímil</v>
      </c>
      <c r="K12282" t="s">
        <v>22</v>
      </c>
    </row>
    <row r="12283" spans="1:11" ht="42" customHeight="1">
      <c r="A12283" t="s">
        <v>23929</v>
      </c>
      <c r="B12283" t="s">
        <v>23930</v>
      </c>
      <c r="C12283" t="s">
        <v>24</v>
      </c>
      <c r="D12283" t="s">
        <v>17</v>
      </c>
      <c r="E12283" s="6">
        <v>-28311</v>
      </c>
      <c r="F12283" t="s">
        <v>736</v>
      </c>
      <c r="G12283" t="s">
        <v>157</v>
      </c>
      <c r="H12283" t="s">
        <v>20</v>
      </c>
      <c r="I12283" t="s">
        <v>23932</v>
      </c>
      <c r="J12283" t="str">
        <f>HYPERLINK("https://www.boe.es/gazeta/dias/1822/06/26/pdfs/GMD-1822-184.pdf#page=8","Abrir facsímil")</f>
        <v>Abrir facsímil</v>
      </c>
      <c r="K12283" t="s">
        <v>22</v>
      </c>
    </row>
    <row r="12284" spans="1:11" ht="42" customHeight="1">
      <c r="A12284" t="s">
        <v>23929</v>
      </c>
      <c r="B12284" t="s">
        <v>23930</v>
      </c>
      <c r="C12284" t="s">
        <v>42</v>
      </c>
      <c r="D12284" t="s">
        <v>17</v>
      </c>
      <c r="E12284" s="6">
        <v>-28287</v>
      </c>
      <c r="F12284" t="s">
        <v>1295</v>
      </c>
      <c r="G12284" t="s">
        <v>63</v>
      </c>
      <c r="H12284" t="s">
        <v>20</v>
      </c>
      <c r="I12284" t="s">
        <v>23933</v>
      </c>
      <c r="J12284" t="str">
        <f>HYPERLINK("https://www.boe.es/gazeta/dias/1822/07/20/pdfs/GMD-1822-212.pdf#page=6","Abrir facsímil")</f>
        <v>Abrir facsímil</v>
      </c>
      <c r="K12284" t="s">
        <v>22</v>
      </c>
    </row>
    <row r="12285" spans="1:11" ht="42" customHeight="1">
      <c r="A12285" t="s">
        <v>23929</v>
      </c>
      <c r="B12285" t="s">
        <v>23930</v>
      </c>
      <c r="C12285" t="s">
        <v>42</v>
      </c>
      <c r="D12285" t="s">
        <v>17</v>
      </c>
      <c r="E12285" s="6">
        <v>-28270</v>
      </c>
      <c r="F12285" t="s">
        <v>130</v>
      </c>
      <c r="G12285" t="s">
        <v>131</v>
      </c>
      <c r="H12285" t="s">
        <v>20</v>
      </c>
      <c r="I12285" t="s">
        <v>23934</v>
      </c>
      <c r="J12285" t="str">
        <f>HYPERLINK("https://www.boe.es/gazeta/dias/1822/08/06/pdfs/GMD-1822-230.pdf#page=6","Abrir facsímil")</f>
        <v>Abrir facsímil</v>
      </c>
      <c r="K12285" t="s">
        <v>22</v>
      </c>
    </row>
    <row r="12286" spans="1:11" ht="42" customHeight="1">
      <c r="A12286" t="s">
        <v>23929</v>
      </c>
      <c r="B12286" t="s">
        <v>23930</v>
      </c>
      <c r="C12286" t="s">
        <v>24</v>
      </c>
      <c r="D12286" t="s">
        <v>17</v>
      </c>
      <c r="E12286" s="6">
        <v>-28267</v>
      </c>
      <c r="F12286" t="s">
        <v>1270</v>
      </c>
      <c r="G12286" t="s">
        <v>57</v>
      </c>
      <c r="H12286" t="s">
        <v>20</v>
      </c>
      <c r="I12286" t="s">
        <v>23935</v>
      </c>
      <c r="J12286" t="str">
        <f>HYPERLINK("https://www.boe.es/gazeta/dias/1822/08/09/pdfs/GMD-1822-233.pdf#page=4","Abrir facsímil")</f>
        <v>Abrir facsímil</v>
      </c>
      <c r="K12286" t="s">
        <v>22</v>
      </c>
    </row>
    <row r="12287" spans="1:11" ht="42" customHeight="1">
      <c r="A12287" t="s">
        <v>23929</v>
      </c>
      <c r="B12287" t="s">
        <v>23930</v>
      </c>
      <c r="C12287" t="s">
        <v>42</v>
      </c>
      <c r="D12287" t="s">
        <v>17</v>
      </c>
      <c r="E12287" s="6">
        <v>-28219</v>
      </c>
      <c r="F12287" t="s">
        <v>1082</v>
      </c>
      <c r="G12287" t="s">
        <v>31</v>
      </c>
      <c r="H12287" t="s">
        <v>20</v>
      </c>
      <c r="I12287" t="s">
        <v>23936</v>
      </c>
      <c r="J12287" t="str">
        <f>HYPERLINK("https://www.boe.es/gazeta/dias/1822/09/26/pdfs/GMD-1822-282.pdf#page=3","Abrir facsímil")</f>
        <v>Abrir facsímil</v>
      </c>
      <c r="K12287" t="s">
        <v>22</v>
      </c>
    </row>
    <row r="12288" spans="1:11" ht="42" customHeight="1">
      <c r="A12288" t="s">
        <v>23929</v>
      </c>
      <c r="B12288" t="s">
        <v>23930</v>
      </c>
      <c r="C12288" t="s">
        <v>42</v>
      </c>
      <c r="D12288" t="s">
        <v>17</v>
      </c>
      <c r="E12288" s="6">
        <v>-28214</v>
      </c>
      <c r="F12288" t="s">
        <v>814</v>
      </c>
      <c r="G12288" t="s">
        <v>57</v>
      </c>
      <c r="H12288" t="s">
        <v>20</v>
      </c>
      <c r="I12288" t="s">
        <v>23937</v>
      </c>
      <c r="J12288" t="str">
        <f>HYPERLINK("https://www.boe.es/gazeta/dias/1822/10/01/pdfs/GMD-1822-287.pdf#page=4","Abrir facsímil")</f>
        <v>Abrir facsímil</v>
      </c>
      <c r="K12288" t="s">
        <v>22</v>
      </c>
    </row>
    <row r="12289" spans="1:11" ht="42" customHeight="1">
      <c r="A12289" t="s">
        <v>23938</v>
      </c>
      <c r="B12289" t="s">
        <v>23939</v>
      </c>
      <c r="C12289" t="s">
        <v>61</v>
      </c>
      <c r="D12289" t="s">
        <v>17</v>
      </c>
      <c r="E12289" s="6">
        <v>-28389</v>
      </c>
      <c r="F12289" t="s">
        <v>481</v>
      </c>
      <c r="G12289" t="s">
        <v>35</v>
      </c>
      <c r="H12289" t="s">
        <v>20</v>
      </c>
      <c r="I12289" t="s">
        <v>23940</v>
      </c>
      <c r="J12289" t="str">
        <f>HYPERLINK("https://www.boe.es/gazeta/dias/1822/04/09/pdfs/GMD-1822-101.pdf#page=2","Abrir facsímil")</f>
        <v>Abrir facsímil</v>
      </c>
      <c r="K12289" t="s">
        <v>22</v>
      </c>
    </row>
    <row r="12290" spans="1:11" ht="42" customHeight="1">
      <c r="A12290" t="s">
        <v>23941</v>
      </c>
      <c r="B12290" t="s">
        <v>23942</v>
      </c>
      <c r="C12290" t="s">
        <v>50</v>
      </c>
      <c r="D12290" t="s">
        <v>51</v>
      </c>
      <c r="E12290" s="6">
        <v>-28345</v>
      </c>
      <c r="F12290" t="s">
        <v>294</v>
      </c>
      <c r="G12290" t="s">
        <v>44</v>
      </c>
      <c r="H12290" t="s">
        <v>20</v>
      </c>
      <c r="I12290" t="s">
        <v>23943</v>
      </c>
      <c r="J12290" t="str">
        <f>HYPERLINK("https://www.boe.es/gazeta/dias/1822/05/23/pdfs/GMD-1822-147.pdf#page=1","Abrir facsímil")</f>
        <v>Abrir facsímil</v>
      </c>
      <c r="K12290" t="s">
        <v>22</v>
      </c>
    </row>
    <row r="12291" spans="1:11" ht="42" customHeight="1">
      <c r="A12291" t="s">
        <v>23944</v>
      </c>
      <c r="B12291" t="s">
        <v>23945</v>
      </c>
      <c r="C12291" t="s">
        <v>28</v>
      </c>
      <c r="D12291" t="s">
        <v>29</v>
      </c>
      <c r="E12291" s="6">
        <v>-28310</v>
      </c>
      <c r="F12291" t="s">
        <v>241</v>
      </c>
      <c r="G12291" t="s">
        <v>31</v>
      </c>
      <c r="H12291" t="s">
        <v>20</v>
      </c>
      <c r="I12291" t="s">
        <v>23946</v>
      </c>
      <c r="J12291" t="str">
        <f>HYPERLINK("https://www.boe.es/gazeta/dias/1822/06/27/pdfs/GMD-1822-185.pdf#page=3","Abrir facsímil")</f>
        <v>Abrir facsímil</v>
      </c>
      <c r="K12291" t="s">
        <v>22</v>
      </c>
    </row>
    <row r="12292" spans="1:11" ht="42" customHeight="1">
      <c r="A12292" t="s">
        <v>23947</v>
      </c>
      <c r="B12292" t="s">
        <v>23948</v>
      </c>
      <c r="C12292" t="s">
        <v>50</v>
      </c>
      <c r="D12292" t="s">
        <v>51</v>
      </c>
      <c r="E12292" s="6">
        <v>-28411</v>
      </c>
      <c r="F12292" t="s">
        <v>1509</v>
      </c>
      <c r="G12292" t="s">
        <v>57</v>
      </c>
      <c r="H12292" t="s">
        <v>20</v>
      </c>
      <c r="I12292" t="s">
        <v>23949</v>
      </c>
      <c r="J12292" t="str">
        <f>HYPERLINK("https://www.boe.es/gazeta/dias/1822/03/18/pdfs/GMD-1822-79.pdf#page=4","Abrir facsímil")</f>
        <v>Abrir facsímil</v>
      </c>
      <c r="K12292" t="s">
        <v>22</v>
      </c>
    </row>
    <row r="12293" spans="1:11" ht="42" customHeight="1">
      <c r="A12293" t="s">
        <v>23950</v>
      </c>
      <c r="B12293" t="s">
        <v>23951</v>
      </c>
      <c r="C12293" t="s">
        <v>42</v>
      </c>
      <c r="D12293" t="s">
        <v>17</v>
      </c>
      <c r="E12293" s="6">
        <v>-28309</v>
      </c>
      <c r="F12293" t="s">
        <v>553</v>
      </c>
      <c r="G12293" t="s">
        <v>57</v>
      </c>
      <c r="H12293" t="s">
        <v>20</v>
      </c>
      <c r="I12293" t="s">
        <v>23952</v>
      </c>
      <c r="J12293" t="str">
        <f>HYPERLINK("https://www.boe.es/gazeta/dias/1822/06/28/pdfs/GMD-1822-186.pdf#page=4","Abrir facsímil")</f>
        <v>Abrir facsímil</v>
      </c>
      <c r="K12293" t="s">
        <v>22</v>
      </c>
    </row>
    <row r="12294" spans="1:11" ht="42" customHeight="1">
      <c r="A12294" t="s">
        <v>23953</v>
      </c>
      <c r="B12294" t="s">
        <v>23954</v>
      </c>
      <c r="C12294" t="s">
        <v>50</v>
      </c>
      <c r="D12294" t="s">
        <v>51</v>
      </c>
      <c r="E12294" s="6">
        <v>-28264</v>
      </c>
      <c r="F12294" t="s">
        <v>1329</v>
      </c>
      <c r="G12294" t="s">
        <v>57</v>
      </c>
      <c r="H12294" t="s">
        <v>20</v>
      </c>
      <c r="I12294" t="s">
        <v>23955</v>
      </c>
      <c r="J12294" t="str">
        <f>HYPERLINK("https://www.boe.es/gazeta/dias/1822/08/12/pdfs/GMD-1822-236.pdf#page=4","Abrir facsímil")</f>
        <v>Abrir facsímil</v>
      </c>
      <c r="K12294" t="s">
        <v>22</v>
      </c>
    </row>
    <row r="12295" spans="1:11" ht="42" customHeight="1">
      <c r="A12295" t="s">
        <v>23956</v>
      </c>
      <c r="B12295" t="s">
        <v>23957</v>
      </c>
      <c r="C12295" t="s">
        <v>16</v>
      </c>
      <c r="D12295" t="s">
        <v>17</v>
      </c>
      <c r="E12295" s="6">
        <v>-28390</v>
      </c>
      <c r="F12295" t="s">
        <v>665</v>
      </c>
      <c r="G12295" t="s">
        <v>57</v>
      </c>
      <c r="H12295" t="s">
        <v>20</v>
      </c>
      <c r="I12295" t="s">
        <v>23958</v>
      </c>
      <c r="J12295" t="str">
        <f>HYPERLINK("https://www.boe.es/gazeta/dias/1822/04/08/pdfs/GMD-1822-100.pdf#page=4","Abrir facsímil")</f>
        <v>Abrir facsímil</v>
      </c>
      <c r="K12295" t="s">
        <v>22</v>
      </c>
    </row>
    <row r="12296" spans="1:11" ht="42" customHeight="1">
      <c r="A12296" t="s">
        <v>23959</v>
      </c>
      <c r="B12296" t="s">
        <v>23960</v>
      </c>
      <c r="C12296" t="s">
        <v>28</v>
      </c>
      <c r="D12296" t="s">
        <v>29</v>
      </c>
      <c r="E12296" s="6">
        <v>-28210</v>
      </c>
      <c r="F12296" t="s">
        <v>218</v>
      </c>
      <c r="G12296" t="s">
        <v>19</v>
      </c>
      <c r="H12296" t="s">
        <v>20</v>
      </c>
      <c r="I12296" t="s">
        <v>23961</v>
      </c>
      <c r="J12296" t="str">
        <f>HYPERLINK("https://www.boe.es/gazeta/dias/1822/10/05/pdfs/GMD-1822-291.pdf#page=5","Abrir facsímil")</f>
        <v>Abrir facsímil</v>
      </c>
      <c r="K12296" t="s">
        <v>22</v>
      </c>
    </row>
    <row r="12297" spans="1:11" ht="42" customHeight="1">
      <c r="A12297" t="s">
        <v>23962</v>
      </c>
      <c r="B12297" t="s">
        <v>23963</v>
      </c>
      <c r="C12297" t="s">
        <v>28</v>
      </c>
      <c r="D12297" t="s">
        <v>29</v>
      </c>
      <c r="E12297" s="6">
        <v>-28243</v>
      </c>
      <c r="F12297" t="s">
        <v>1829</v>
      </c>
      <c r="G12297" t="s">
        <v>57</v>
      </c>
      <c r="H12297" t="s">
        <v>20</v>
      </c>
      <c r="I12297" t="s">
        <v>23964</v>
      </c>
      <c r="J12297" t="str">
        <f>HYPERLINK("https://www.boe.es/gazeta/dias/1822/09/02/pdfs/GMD-1822-257.pdf#page=4","Abrir facsímil")</f>
        <v>Abrir facsímil</v>
      </c>
      <c r="K12297" t="s">
        <v>22</v>
      </c>
    </row>
    <row r="12298" spans="1:11" ht="42" customHeight="1">
      <c r="A12298" t="s">
        <v>23965</v>
      </c>
      <c r="B12298" t="s">
        <v>23965</v>
      </c>
      <c r="C12298" t="s">
        <v>71</v>
      </c>
      <c r="D12298" t="s">
        <v>17</v>
      </c>
      <c r="E12298" s="6">
        <v>-28132</v>
      </c>
      <c r="F12298" t="s">
        <v>820</v>
      </c>
      <c r="G12298" t="s">
        <v>31</v>
      </c>
      <c r="H12298" t="s">
        <v>20</v>
      </c>
      <c r="I12298" t="s">
        <v>23966</v>
      </c>
      <c r="J12298" t="str">
        <f>HYPERLINK("https://www.boe.es/gazeta/dias/1822/12/22/pdfs/GMD-1822-372.pdf#page=3","Abrir facsímil")</f>
        <v>Abrir facsímil</v>
      </c>
      <c r="K12298" t="s">
        <v>22</v>
      </c>
    </row>
    <row r="12299" spans="1:11" ht="42" customHeight="1">
      <c r="A12299" t="s">
        <v>23967</v>
      </c>
      <c r="B12299" t="s">
        <v>23968</v>
      </c>
      <c r="C12299" t="s">
        <v>42</v>
      </c>
      <c r="D12299" t="s">
        <v>17</v>
      </c>
      <c r="E12299" s="6">
        <v>-28143</v>
      </c>
      <c r="F12299" t="s">
        <v>2967</v>
      </c>
      <c r="G12299" t="s">
        <v>57</v>
      </c>
      <c r="H12299" t="s">
        <v>20</v>
      </c>
      <c r="I12299" t="s">
        <v>23969</v>
      </c>
      <c r="J12299" t="str">
        <f>HYPERLINK("https://www.boe.es/gazeta/dias/1822/12/11/pdfs/GMD-1822-361.pdf#page=4","Abrir facsímil")</f>
        <v>Abrir facsímil</v>
      </c>
      <c r="K12299" t="s">
        <v>22</v>
      </c>
    </row>
    <row r="12300" spans="1:11" ht="42" customHeight="1">
      <c r="A12300" t="s">
        <v>23970</v>
      </c>
      <c r="B12300" t="s">
        <v>23970</v>
      </c>
      <c r="C12300" t="s">
        <v>71</v>
      </c>
      <c r="D12300" t="s">
        <v>17</v>
      </c>
      <c r="E12300" s="6">
        <v>-28188</v>
      </c>
      <c r="F12300" t="s">
        <v>578</v>
      </c>
      <c r="G12300" t="s">
        <v>35</v>
      </c>
      <c r="H12300" t="s">
        <v>20</v>
      </c>
      <c r="I12300" t="s">
        <v>23971</v>
      </c>
      <c r="J12300" t="str">
        <f>HYPERLINK("https://www.boe.es/gazeta/dias/1822/10/27/pdfs/GMD-1822-314.pdf#page=2","Abrir facsímil")</f>
        <v>Abrir facsímil</v>
      </c>
      <c r="K12300" t="s">
        <v>22</v>
      </c>
    </row>
    <row r="12301" spans="1:11" ht="42" customHeight="1">
      <c r="A12301" t="s">
        <v>23972</v>
      </c>
      <c r="B12301" t="s">
        <v>23972</v>
      </c>
      <c r="C12301" t="s">
        <v>71</v>
      </c>
      <c r="D12301" t="s">
        <v>17</v>
      </c>
      <c r="E12301" s="6">
        <v>-28355</v>
      </c>
      <c r="F12301" t="s">
        <v>692</v>
      </c>
      <c r="G12301" t="s">
        <v>44</v>
      </c>
      <c r="H12301" t="s">
        <v>20</v>
      </c>
      <c r="I12301" t="s">
        <v>23973</v>
      </c>
      <c r="J12301" t="str">
        <f>HYPERLINK("https://www.boe.es/gazeta/dias/1822/05/13/pdfs/GMD-1822-135.pdf#page=1","Abrir facsímil")</f>
        <v>Abrir facsímil</v>
      </c>
      <c r="K12301" t="s">
        <v>22</v>
      </c>
    </row>
    <row r="12302" spans="1:11" ht="42" customHeight="1">
      <c r="A12302" t="s">
        <v>23974</v>
      </c>
      <c r="B12302" t="s">
        <v>23975</v>
      </c>
      <c r="C12302" t="s">
        <v>50</v>
      </c>
      <c r="D12302" t="s">
        <v>51</v>
      </c>
      <c r="E12302" s="6">
        <v>-28414</v>
      </c>
      <c r="F12302" t="s">
        <v>187</v>
      </c>
      <c r="G12302" t="s">
        <v>63</v>
      </c>
      <c r="H12302" t="s">
        <v>20</v>
      </c>
      <c r="I12302" t="s">
        <v>23976</v>
      </c>
      <c r="J12302" t="str">
        <f>HYPERLINK("https://www.boe.es/gazeta/dias/1822/03/15/pdfs/GMD-1822-76.pdf#page=6","Abrir facsímil")</f>
        <v>Abrir facsímil</v>
      </c>
      <c r="K12302" t="s">
        <v>22</v>
      </c>
    </row>
    <row r="12303" spans="1:11" ht="42" customHeight="1">
      <c r="A12303" t="s">
        <v>23977</v>
      </c>
      <c r="B12303" t="s">
        <v>23978</v>
      </c>
      <c r="C12303" t="s">
        <v>61</v>
      </c>
      <c r="D12303" t="s">
        <v>17</v>
      </c>
      <c r="E12303" s="6">
        <v>-28208</v>
      </c>
      <c r="F12303" t="s">
        <v>230</v>
      </c>
      <c r="G12303" t="s">
        <v>57</v>
      </c>
      <c r="H12303" t="s">
        <v>20</v>
      </c>
      <c r="I12303" t="s">
        <v>23979</v>
      </c>
      <c r="J12303" t="str">
        <f>HYPERLINK("https://www.boe.es/gazeta/dias/1822/10/07/pdfs/GMD-1822-293.pdf#page=4","Abrir facsímil")</f>
        <v>Abrir facsímil</v>
      </c>
      <c r="K12303" t="s">
        <v>22</v>
      </c>
    </row>
    <row r="12304" spans="1:11" ht="42" customHeight="1">
      <c r="A12304" t="s">
        <v>23980</v>
      </c>
      <c r="B12304" t="s">
        <v>23981</v>
      </c>
      <c r="C12304" t="s">
        <v>71</v>
      </c>
      <c r="D12304" t="s">
        <v>17</v>
      </c>
      <c r="E12304" s="6">
        <v>-28175</v>
      </c>
      <c r="F12304" t="s">
        <v>341</v>
      </c>
      <c r="G12304" t="s">
        <v>57</v>
      </c>
      <c r="H12304" t="s">
        <v>20</v>
      </c>
      <c r="I12304" t="s">
        <v>23982</v>
      </c>
      <c r="J12304" t="str">
        <f>HYPERLINK("https://www.boe.es/gazeta/dias/1822/11/09/pdfs/GMD-1822-329.pdf#page=4","Abrir facsímil")</f>
        <v>Abrir facsímil</v>
      </c>
      <c r="K12304" t="s">
        <v>22</v>
      </c>
    </row>
    <row r="12305" spans="1:11" ht="42" customHeight="1">
      <c r="A12305" t="s">
        <v>23983</v>
      </c>
      <c r="B12305" t="s">
        <v>23983</v>
      </c>
      <c r="C12305" t="s">
        <v>24</v>
      </c>
      <c r="D12305" t="s">
        <v>17</v>
      </c>
      <c r="E12305" s="6">
        <v>-28383</v>
      </c>
      <c r="F12305" t="s">
        <v>488</v>
      </c>
      <c r="G12305" t="s">
        <v>63</v>
      </c>
      <c r="H12305" t="s">
        <v>20</v>
      </c>
      <c r="I12305" t="s">
        <v>23984</v>
      </c>
      <c r="J12305" t="str">
        <f>HYPERLINK("https://www.boe.es/gazeta/dias/1822/04/15/pdfs/GMD-1822-107.pdf#page=6","Abrir facsímil")</f>
        <v>Abrir facsímil</v>
      </c>
      <c r="K12305" t="s">
        <v>22</v>
      </c>
    </row>
    <row r="12306" spans="1:11" ht="42" customHeight="1">
      <c r="A12306" t="s">
        <v>23985</v>
      </c>
      <c r="B12306" t="s">
        <v>23986</v>
      </c>
      <c r="C12306" t="s">
        <v>28</v>
      </c>
      <c r="D12306" t="s">
        <v>29</v>
      </c>
      <c r="E12306" s="6">
        <v>-28217</v>
      </c>
      <c r="F12306" t="s">
        <v>1892</v>
      </c>
      <c r="G12306" t="s">
        <v>57</v>
      </c>
      <c r="H12306" t="s">
        <v>20</v>
      </c>
      <c r="I12306" t="s">
        <v>23987</v>
      </c>
      <c r="J12306" t="str">
        <f>HYPERLINK("https://www.boe.es/gazeta/dias/1822/09/28/pdfs/GMD-1822-284.pdf#page=4","Abrir facsímil")</f>
        <v>Abrir facsímil</v>
      </c>
      <c r="K12306" t="s">
        <v>22</v>
      </c>
    </row>
    <row r="12307" spans="1:11" ht="42" customHeight="1">
      <c r="A12307" t="s">
        <v>23988</v>
      </c>
      <c r="B12307" t="s">
        <v>23989</v>
      </c>
      <c r="C12307" t="s">
        <v>42</v>
      </c>
      <c r="D12307" t="s">
        <v>17</v>
      </c>
      <c r="E12307" s="6">
        <v>-28266</v>
      </c>
      <c r="F12307" t="s">
        <v>1169</v>
      </c>
      <c r="G12307" t="s">
        <v>35</v>
      </c>
      <c r="H12307" t="s">
        <v>20</v>
      </c>
      <c r="I12307" t="s">
        <v>23990</v>
      </c>
      <c r="J12307" t="str">
        <f>HYPERLINK("https://www.boe.es/gazeta/dias/1822/08/10/pdfs/GMD-1822-234.pdf#page=2","Abrir facsímil")</f>
        <v>Abrir facsímil</v>
      </c>
      <c r="K12307" t="s">
        <v>22</v>
      </c>
    </row>
    <row r="12308" spans="1:11" ht="42" customHeight="1">
      <c r="A12308" t="s">
        <v>23991</v>
      </c>
      <c r="B12308" t="s">
        <v>23991</v>
      </c>
      <c r="C12308" t="s">
        <v>42</v>
      </c>
      <c r="D12308" t="s">
        <v>17</v>
      </c>
      <c r="E12308" s="6">
        <v>-28404</v>
      </c>
      <c r="F12308" t="s">
        <v>421</v>
      </c>
      <c r="G12308" t="s">
        <v>57</v>
      </c>
      <c r="H12308" t="s">
        <v>20</v>
      </c>
      <c r="I12308" t="s">
        <v>23992</v>
      </c>
      <c r="J12308" t="str">
        <f>HYPERLINK("https://www.boe.es/gazeta/dias/1822/03/25/pdfs/GMD-1822-86.pdf#page=4","Abrir facsímil")</f>
        <v>Abrir facsímil</v>
      </c>
      <c r="K12308" t="s">
        <v>22</v>
      </c>
    </row>
    <row r="12309" spans="1:11" ht="42" customHeight="1">
      <c r="A12309" t="s">
        <v>23993</v>
      </c>
      <c r="B12309" t="s">
        <v>23993</v>
      </c>
      <c r="C12309" t="s">
        <v>50</v>
      </c>
      <c r="D12309" t="s">
        <v>51</v>
      </c>
      <c r="E12309" s="6">
        <v>-28445</v>
      </c>
      <c r="F12309" t="s">
        <v>1622</v>
      </c>
      <c r="G12309" t="s">
        <v>31</v>
      </c>
      <c r="H12309" t="s">
        <v>20</v>
      </c>
      <c r="I12309" t="s">
        <v>23994</v>
      </c>
      <c r="J12309" t="str">
        <f>HYPERLINK("https://www.boe.es/gazeta/dias/1822/02/12/pdfs/GMD-1822-43.pdf#page=3","Abrir facsímil")</f>
        <v>Abrir facsímil</v>
      </c>
      <c r="K12309" t="s">
        <v>22</v>
      </c>
    </row>
    <row r="12310" spans="1:11" ht="42" customHeight="1">
      <c r="A12310" t="s">
        <v>23995</v>
      </c>
      <c r="B12310" t="s">
        <v>23995</v>
      </c>
      <c r="C12310" t="s">
        <v>50</v>
      </c>
      <c r="D12310" t="s">
        <v>51</v>
      </c>
      <c r="E12310" s="6">
        <v>-28139</v>
      </c>
      <c r="F12310" t="s">
        <v>143</v>
      </c>
      <c r="G12310" t="s">
        <v>44</v>
      </c>
      <c r="H12310" t="s">
        <v>20</v>
      </c>
      <c r="I12310" t="s">
        <v>23996</v>
      </c>
      <c r="J12310" t="str">
        <f>HYPERLINK("https://www.boe.es/gazeta/dias/1822/12/15/pdfs/GMD-1822-365.pdf#page=1","Abrir facsímil")</f>
        <v>Abrir facsímil</v>
      </c>
      <c r="K12310" t="s">
        <v>22</v>
      </c>
    </row>
    <row r="12311" spans="1:11" ht="42" customHeight="1">
      <c r="A12311" t="s">
        <v>23997</v>
      </c>
      <c r="B12311" t="s">
        <v>23997</v>
      </c>
      <c r="C12311" t="s">
        <v>50</v>
      </c>
      <c r="D12311" t="s">
        <v>51</v>
      </c>
      <c r="E12311" s="6">
        <v>-28171</v>
      </c>
      <c r="F12311" t="s">
        <v>1075</v>
      </c>
      <c r="G12311" t="s">
        <v>44</v>
      </c>
      <c r="H12311" t="s">
        <v>20</v>
      </c>
      <c r="I12311" t="s">
        <v>23998</v>
      </c>
      <c r="J12311" t="str">
        <f>HYPERLINK("https://www.boe.es/gazeta/dias/1822/11/13/pdfs/GMD-1822-333.pdf#page=1","Abrir facsímil")</f>
        <v>Abrir facsímil</v>
      </c>
      <c r="K12311" t="s">
        <v>22</v>
      </c>
    </row>
    <row r="12312" spans="1:11" ht="42" customHeight="1">
      <c r="A12312" t="s">
        <v>23999</v>
      </c>
      <c r="B12312" t="s">
        <v>24000</v>
      </c>
      <c r="C12312" t="s">
        <v>50</v>
      </c>
      <c r="D12312" t="s">
        <v>51</v>
      </c>
      <c r="E12312" s="6">
        <v>-28427</v>
      </c>
      <c r="F12312" t="s">
        <v>755</v>
      </c>
      <c r="G12312" t="s">
        <v>35</v>
      </c>
      <c r="H12312" t="s">
        <v>20</v>
      </c>
      <c r="I12312" t="s">
        <v>24001</v>
      </c>
      <c r="J12312" t="str">
        <f>HYPERLINK("https://www.boe.es/gazeta/dias/1822/03/02/pdfs/GMD-1822-63.pdf#page=2","Abrir facsímil")</f>
        <v>Abrir facsímil</v>
      </c>
      <c r="K12312" t="s">
        <v>22</v>
      </c>
    </row>
    <row r="12313" spans="1:11" ht="42" customHeight="1">
      <c r="A12313" t="s">
        <v>24002</v>
      </c>
      <c r="B12313" t="s">
        <v>24003</v>
      </c>
      <c r="C12313" t="s">
        <v>42</v>
      </c>
      <c r="D12313" t="s">
        <v>17</v>
      </c>
      <c r="E12313" s="6">
        <v>-28244</v>
      </c>
      <c r="F12313" t="s">
        <v>6163</v>
      </c>
      <c r="G12313" t="s">
        <v>35</v>
      </c>
      <c r="H12313" t="s">
        <v>20</v>
      </c>
      <c r="I12313" t="s">
        <v>24004</v>
      </c>
      <c r="J12313" t="str">
        <f>HYPERLINK("https://www.boe.es/gazeta/dias/1822/09/01/pdfs/GMD-1822-256.pdf#page=2","Abrir facsímil")</f>
        <v>Abrir facsímil</v>
      </c>
      <c r="K12313" t="s">
        <v>22</v>
      </c>
    </row>
    <row r="12314" spans="1:11" ht="42" customHeight="1">
      <c r="A12314" t="s">
        <v>24005</v>
      </c>
      <c r="B12314" t="s">
        <v>24006</v>
      </c>
      <c r="C12314" t="s">
        <v>50</v>
      </c>
      <c r="D12314" t="s">
        <v>51</v>
      </c>
      <c r="E12314" s="6">
        <v>-28209</v>
      </c>
      <c r="F12314" t="s">
        <v>748</v>
      </c>
      <c r="G12314" t="s">
        <v>57</v>
      </c>
      <c r="H12314" t="s">
        <v>45</v>
      </c>
      <c r="I12314" t="s">
        <v>24007</v>
      </c>
      <c r="J12314" t="str">
        <f>HYPERLINK("https://www.boe.es/gazeta/dias/1822/10/06/pdfs/GMD-1822-292.pdf#page=4","Abrir facsímil")</f>
        <v>Abrir facsímil</v>
      </c>
      <c r="K12314" t="s">
        <v>47</v>
      </c>
    </row>
    <row r="12315" spans="1:11" ht="42" customHeight="1">
      <c r="A12315" t="s">
        <v>24008</v>
      </c>
      <c r="B12315" t="s">
        <v>24009</v>
      </c>
      <c r="C12315" t="s">
        <v>42</v>
      </c>
      <c r="D12315" t="s">
        <v>17</v>
      </c>
      <c r="E12315" s="6">
        <v>-28292</v>
      </c>
      <c r="F12315" t="s">
        <v>222</v>
      </c>
      <c r="G12315" t="s">
        <v>31</v>
      </c>
      <c r="H12315" t="s">
        <v>45</v>
      </c>
      <c r="I12315" t="s">
        <v>24010</v>
      </c>
      <c r="J12315" t="str">
        <f>HYPERLINK("https://www.boe.es/gazeta/dias/1822/07/15/pdfs/GMD-1822-205.pdf#page=3","Abrir facsímil")</f>
        <v>Abrir facsímil</v>
      </c>
      <c r="K12315" t="s">
        <v>47</v>
      </c>
    </row>
    <row r="12316" spans="1:11" ht="42" customHeight="1">
      <c r="A12316" t="s">
        <v>24011</v>
      </c>
      <c r="B12316" t="s">
        <v>24011</v>
      </c>
      <c r="C12316" t="s">
        <v>61</v>
      </c>
      <c r="D12316" t="s">
        <v>17</v>
      </c>
      <c r="E12316" s="6">
        <v>-28142</v>
      </c>
      <c r="F12316" t="s">
        <v>290</v>
      </c>
      <c r="G12316" t="s">
        <v>35</v>
      </c>
      <c r="H12316" t="s">
        <v>20</v>
      </c>
      <c r="I12316" t="s">
        <v>24012</v>
      </c>
      <c r="J12316" t="str">
        <f>HYPERLINK("https://www.boe.es/gazeta/dias/1822/12/12/pdfs/GMD-1822-362.pdf#page=2","Abrir facsímil")</f>
        <v>Abrir facsímil</v>
      </c>
      <c r="K12316" t="s">
        <v>22</v>
      </c>
    </row>
    <row r="12317" spans="1:11" ht="42" customHeight="1">
      <c r="A12317" t="s">
        <v>24013</v>
      </c>
      <c r="B12317" t="s">
        <v>24013</v>
      </c>
      <c r="C12317" t="s">
        <v>16</v>
      </c>
      <c r="D12317" t="s">
        <v>17</v>
      </c>
      <c r="E12317" s="6">
        <v>-28459</v>
      </c>
      <c r="F12317" t="s">
        <v>1102</v>
      </c>
      <c r="G12317" t="s">
        <v>57</v>
      </c>
      <c r="H12317" t="s">
        <v>20</v>
      </c>
      <c r="I12317" t="s">
        <v>24014</v>
      </c>
      <c r="J12317" t="str">
        <f>HYPERLINK("https://www.boe.es/gazeta/dias/1822/01/29/pdfs/GMD-1822-29.pdf#page=4","Abrir facsímil")</f>
        <v>Abrir facsímil</v>
      </c>
      <c r="K12317" t="s">
        <v>22</v>
      </c>
    </row>
    <row r="12318" spans="1:11" ht="42" customHeight="1">
      <c r="A12318" t="s">
        <v>24015</v>
      </c>
      <c r="B12318" t="s">
        <v>24016</v>
      </c>
      <c r="C12318" t="s">
        <v>28</v>
      </c>
      <c r="D12318" t="s">
        <v>29</v>
      </c>
      <c r="E12318" s="6">
        <v>-28389</v>
      </c>
      <c r="F12318" t="s">
        <v>481</v>
      </c>
      <c r="G12318" t="s">
        <v>57</v>
      </c>
      <c r="H12318" t="s">
        <v>20</v>
      </c>
      <c r="I12318" t="s">
        <v>24017</v>
      </c>
      <c r="J12318" t="str">
        <f>HYPERLINK("https://www.boe.es/gazeta/dias/1822/04/09/pdfs/GMD-1822-101.pdf#page=4","Abrir facsímil")</f>
        <v>Abrir facsímil</v>
      </c>
      <c r="K12318" t="s">
        <v>22</v>
      </c>
    </row>
    <row r="12319" spans="1:11" ht="42" customHeight="1">
      <c r="A12319" t="s">
        <v>24018</v>
      </c>
      <c r="B12319" t="s">
        <v>24018</v>
      </c>
      <c r="C12319" t="s">
        <v>50</v>
      </c>
      <c r="D12319" t="s">
        <v>51</v>
      </c>
      <c r="E12319" s="6">
        <v>-28264</v>
      </c>
      <c r="F12319" t="s">
        <v>1329</v>
      </c>
      <c r="G12319" t="s">
        <v>57</v>
      </c>
      <c r="H12319" t="s">
        <v>20</v>
      </c>
      <c r="I12319" t="s">
        <v>24019</v>
      </c>
      <c r="J12319" t="str">
        <f>HYPERLINK("https://www.boe.es/gazeta/dias/1822/08/12/pdfs/GMD-1822-236.pdf#page=4","Abrir facsímil")</f>
        <v>Abrir facsímil</v>
      </c>
      <c r="K12319" t="s">
        <v>22</v>
      </c>
    </row>
    <row r="12320" spans="1:11" ht="42" customHeight="1">
      <c r="A12320" t="s">
        <v>24020</v>
      </c>
      <c r="B12320" t="s">
        <v>24020</v>
      </c>
      <c r="C12320" t="s">
        <v>28</v>
      </c>
      <c r="D12320" t="s">
        <v>29</v>
      </c>
      <c r="E12320" s="6">
        <v>-28364</v>
      </c>
      <c r="F12320" t="s">
        <v>509</v>
      </c>
      <c r="G12320" t="s">
        <v>35</v>
      </c>
      <c r="H12320" t="s">
        <v>20</v>
      </c>
      <c r="I12320" t="s">
        <v>24021</v>
      </c>
      <c r="J12320" t="str">
        <f>HYPERLINK("https://www.boe.es/gazeta/dias/1822/05/04/pdfs/GMD-1822-126.pdf#page=2","Abrir facsímil")</f>
        <v>Abrir facsímil</v>
      </c>
      <c r="K12320" t="s">
        <v>22</v>
      </c>
    </row>
    <row r="12321" spans="1:11" ht="42" customHeight="1">
      <c r="A12321" t="s">
        <v>24020</v>
      </c>
      <c r="B12321" t="s">
        <v>24020</v>
      </c>
      <c r="C12321" t="s">
        <v>42</v>
      </c>
      <c r="D12321" t="s">
        <v>17</v>
      </c>
      <c r="E12321" s="6">
        <v>-28363</v>
      </c>
      <c r="F12321" t="s">
        <v>72</v>
      </c>
      <c r="G12321" t="s">
        <v>44</v>
      </c>
      <c r="H12321" t="s">
        <v>20</v>
      </c>
      <c r="I12321" t="s">
        <v>24022</v>
      </c>
      <c r="J12321" t="str">
        <f>HYPERLINK("https://www.boe.es/gazeta/dias/1822/05/05/pdfs/GMD-1822-127.pdf#page=1","Abrir facsímil")</f>
        <v>Abrir facsímil</v>
      </c>
      <c r="K12321" t="s">
        <v>22</v>
      </c>
    </row>
    <row r="12322" spans="1:11" ht="42" customHeight="1">
      <c r="A12322" t="s">
        <v>24020</v>
      </c>
      <c r="B12322" t="s">
        <v>24020</v>
      </c>
      <c r="C12322" t="s">
        <v>50</v>
      </c>
      <c r="D12322" t="s">
        <v>51</v>
      </c>
      <c r="E12322" s="6">
        <v>-28346</v>
      </c>
      <c r="F12322" t="s">
        <v>191</v>
      </c>
      <c r="G12322" t="s">
        <v>31</v>
      </c>
      <c r="H12322" t="s">
        <v>20</v>
      </c>
      <c r="I12322" t="s">
        <v>24023</v>
      </c>
      <c r="J12322" t="str">
        <f>HYPERLINK("https://www.boe.es/gazeta/dias/1822/05/22/pdfs/GMD-1822-145.pdf#page=3","Abrir facsímil")</f>
        <v>Abrir facsímil</v>
      </c>
      <c r="K12322" t="s">
        <v>22</v>
      </c>
    </row>
    <row r="12323" spans="1:11" ht="42" customHeight="1">
      <c r="A12323" t="s">
        <v>24020</v>
      </c>
      <c r="B12323" t="s">
        <v>24020</v>
      </c>
      <c r="C12323" t="s">
        <v>28</v>
      </c>
      <c r="D12323" t="s">
        <v>29</v>
      </c>
      <c r="E12323" s="6">
        <v>-28328</v>
      </c>
      <c r="F12323" t="s">
        <v>540</v>
      </c>
      <c r="G12323" t="s">
        <v>31</v>
      </c>
      <c r="H12323" t="s">
        <v>20</v>
      </c>
      <c r="I12323" t="s">
        <v>24024</v>
      </c>
      <c r="J12323" t="str">
        <f>HYPERLINK("https://www.boe.es/gazeta/dias/1822/06/09/pdfs/GMD-1822-166.pdf#page=3","Abrir facsímil")</f>
        <v>Abrir facsímil</v>
      </c>
      <c r="K12323" t="s">
        <v>22</v>
      </c>
    </row>
    <row r="12324" spans="1:11" ht="42" customHeight="1">
      <c r="A12324" t="s">
        <v>24020</v>
      </c>
      <c r="B12324" t="s">
        <v>24020</v>
      </c>
      <c r="C12324" t="s">
        <v>50</v>
      </c>
      <c r="D12324" t="s">
        <v>51</v>
      </c>
      <c r="E12324" s="6">
        <v>-28312</v>
      </c>
      <c r="F12324" t="s">
        <v>92</v>
      </c>
      <c r="G12324" t="s">
        <v>93</v>
      </c>
      <c r="H12324" t="s">
        <v>20</v>
      </c>
      <c r="I12324" t="s">
        <v>24025</v>
      </c>
      <c r="J12324" t="str">
        <f>HYPERLINK("https://www.boe.es/gazeta/dias/1822/06/25/pdfs/GMD-1822-183.pdf#page=4","Abrir facsímil")</f>
        <v>Abrir facsímil</v>
      </c>
      <c r="K12324" t="s">
        <v>22</v>
      </c>
    </row>
    <row r="12325" spans="1:11" ht="42" customHeight="1">
      <c r="A12325" t="s">
        <v>24020</v>
      </c>
      <c r="B12325" t="s">
        <v>24020</v>
      </c>
      <c r="C12325" t="s">
        <v>61</v>
      </c>
      <c r="D12325" t="s">
        <v>17</v>
      </c>
      <c r="E12325" s="6">
        <v>-28306</v>
      </c>
      <c r="F12325" t="s">
        <v>348</v>
      </c>
      <c r="G12325" t="s">
        <v>31</v>
      </c>
      <c r="H12325" t="s">
        <v>20</v>
      </c>
      <c r="I12325" t="s">
        <v>24026</v>
      </c>
      <c r="J12325" t="str">
        <f>HYPERLINK("https://www.boe.es/gazeta/dias/1822/07/01/pdfs/GMD-1822-190.pdf#page=3","Abrir facsímil")</f>
        <v>Abrir facsímil</v>
      </c>
      <c r="K12325" t="s">
        <v>22</v>
      </c>
    </row>
    <row r="12326" spans="1:11" ht="42" customHeight="1">
      <c r="A12326" t="s">
        <v>24020</v>
      </c>
      <c r="B12326" t="s">
        <v>24020</v>
      </c>
      <c r="C12326" t="s">
        <v>42</v>
      </c>
      <c r="D12326" t="s">
        <v>17</v>
      </c>
      <c r="E12326" s="6">
        <v>-28173</v>
      </c>
      <c r="F12326" t="s">
        <v>2959</v>
      </c>
      <c r="G12326" t="s">
        <v>57</v>
      </c>
      <c r="H12326" t="s">
        <v>20</v>
      </c>
      <c r="I12326" t="s">
        <v>24027</v>
      </c>
      <c r="J12326" t="str">
        <f>HYPERLINK("https://www.boe.es/gazeta/dias/1822/11/11/pdfs/GMD-1822-331.pdf#page=4","Abrir facsímil")</f>
        <v>Abrir facsímil</v>
      </c>
      <c r="K12326" t="s">
        <v>22</v>
      </c>
    </row>
    <row r="12327" spans="1:11" ht="42" customHeight="1">
      <c r="A12327" t="s">
        <v>24020</v>
      </c>
      <c r="B12327" t="s">
        <v>24020</v>
      </c>
      <c r="C12327" t="s">
        <v>50</v>
      </c>
      <c r="D12327" t="s">
        <v>51</v>
      </c>
      <c r="E12327" s="6">
        <v>-28169</v>
      </c>
      <c r="F12327" t="s">
        <v>2571</v>
      </c>
      <c r="G12327" t="s">
        <v>31</v>
      </c>
      <c r="H12327" t="s">
        <v>20</v>
      </c>
      <c r="I12327" t="s">
        <v>24028</v>
      </c>
      <c r="J12327" t="str">
        <f>HYPERLINK("https://www.boe.es/gazeta/dias/1822/11/15/pdfs/GMD-1822-335.pdf#page=3","Abrir facsímil")</f>
        <v>Abrir facsímil</v>
      </c>
      <c r="K12327" t="s">
        <v>22</v>
      </c>
    </row>
    <row r="12328" spans="1:11" ht="42" customHeight="1">
      <c r="A12328" t="s">
        <v>24029</v>
      </c>
      <c r="B12328" t="s">
        <v>24029</v>
      </c>
      <c r="C12328" t="s">
        <v>28</v>
      </c>
      <c r="D12328" t="s">
        <v>29</v>
      </c>
      <c r="E12328" s="6">
        <v>-28173</v>
      </c>
      <c r="F12328" t="s">
        <v>2959</v>
      </c>
      <c r="G12328" t="s">
        <v>57</v>
      </c>
      <c r="H12328" t="s">
        <v>20</v>
      </c>
      <c r="I12328" t="s">
        <v>24030</v>
      </c>
      <c r="J12328" t="str">
        <f>HYPERLINK("https://www.boe.es/gazeta/dias/1822/11/11/pdfs/GMD-1822-331.pdf#page=4","Abrir facsímil")</f>
        <v>Abrir facsímil</v>
      </c>
      <c r="K12328" t="s">
        <v>22</v>
      </c>
    </row>
    <row r="12329" spans="1:11" ht="42" customHeight="1">
      <c r="A12329" t="s">
        <v>24029</v>
      </c>
      <c r="B12329" t="s">
        <v>24029</v>
      </c>
      <c r="C12329" t="s">
        <v>71</v>
      </c>
      <c r="D12329" t="s">
        <v>17</v>
      </c>
      <c r="E12329" s="6">
        <v>-28171</v>
      </c>
      <c r="F12329" t="s">
        <v>1075</v>
      </c>
      <c r="G12329" t="s">
        <v>31</v>
      </c>
      <c r="H12329" t="s">
        <v>20</v>
      </c>
      <c r="I12329" t="s">
        <v>24031</v>
      </c>
      <c r="J12329" t="str">
        <f>HYPERLINK("https://www.boe.es/gazeta/dias/1822/11/13/pdfs/GMD-1822-333.pdf#page=3","Abrir facsímil")</f>
        <v>Abrir facsímil</v>
      </c>
      <c r="K12329" t="s">
        <v>22</v>
      </c>
    </row>
    <row r="12330" spans="1:11" ht="42" customHeight="1">
      <c r="A12330" t="s">
        <v>24032</v>
      </c>
      <c r="B12330" t="s">
        <v>24032</v>
      </c>
      <c r="C12330" t="s">
        <v>28</v>
      </c>
      <c r="D12330" t="s">
        <v>29</v>
      </c>
      <c r="E12330" s="6">
        <v>-28194</v>
      </c>
      <c r="F12330" t="s">
        <v>18</v>
      </c>
      <c r="G12330" t="s">
        <v>63</v>
      </c>
      <c r="H12330" t="s">
        <v>20</v>
      </c>
      <c r="I12330" t="s">
        <v>24033</v>
      </c>
      <c r="J12330" t="str">
        <f>HYPERLINK("https://www.boe.es/gazeta/dias/1822/10/21/pdfs/GMD-1822-308.pdf#page=6","Abrir facsímil")</f>
        <v>Abrir facsímil</v>
      </c>
      <c r="K12330" t="s">
        <v>22</v>
      </c>
    </row>
    <row r="12331" spans="1:11" ht="42" customHeight="1">
      <c r="A12331" t="s">
        <v>24034</v>
      </c>
      <c r="B12331" t="s">
        <v>24035</v>
      </c>
      <c r="C12331" t="s">
        <v>28</v>
      </c>
      <c r="D12331" t="s">
        <v>29</v>
      </c>
      <c r="E12331" s="6">
        <v>-28241</v>
      </c>
      <c r="F12331" t="s">
        <v>3068</v>
      </c>
      <c r="G12331" t="s">
        <v>57</v>
      </c>
      <c r="H12331" t="s">
        <v>20</v>
      </c>
      <c r="I12331" t="s">
        <v>24036</v>
      </c>
      <c r="J12331" t="str">
        <f>HYPERLINK("https://www.boe.es/gazeta/dias/1822/09/04/pdfs/GMD-1822-259.pdf#page=4","Abrir facsímil")</f>
        <v>Abrir facsímil</v>
      </c>
      <c r="K12331" t="s">
        <v>22</v>
      </c>
    </row>
    <row r="12332" spans="1:11" ht="42" customHeight="1">
      <c r="A12332" t="s">
        <v>24037</v>
      </c>
      <c r="B12332" t="s">
        <v>24038</v>
      </c>
      <c r="C12332" t="s">
        <v>28</v>
      </c>
      <c r="D12332" t="s">
        <v>29</v>
      </c>
      <c r="E12332" s="6">
        <v>-28411</v>
      </c>
      <c r="F12332" t="s">
        <v>1509</v>
      </c>
      <c r="G12332" t="s">
        <v>44</v>
      </c>
      <c r="H12332" t="s">
        <v>45</v>
      </c>
      <c r="I12332" t="s">
        <v>24039</v>
      </c>
      <c r="J12332" t="str">
        <f>HYPERLINK("https://www.boe.es/gazeta/dias/1822/03/18/pdfs/GMD-1822-79.pdf#page=1","Abrir facsímil")</f>
        <v>Abrir facsímil</v>
      </c>
      <c r="K12332" t="s">
        <v>47</v>
      </c>
    </row>
    <row r="12333" spans="1:11" ht="42" customHeight="1">
      <c r="A12333" t="s">
        <v>24040</v>
      </c>
      <c r="B12333" t="s">
        <v>24041</v>
      </c>
      <c r="C12333" t="s">
        <v>362</v>
      </c>
      <c r="D12333" t="s">
        <v>17</v>
      </c>
      <c r="E12333" s="6">
        <v>-28424</v>
      </c>
      <c r="F12333" t="s">
        <v>439</v>
      </c>
      <c r="G12333" t="s">
        <v>57</v>
      </c>
      <c r="H12333" t="s">
        <v>20</v>
      </c>
      <c r="I12333" t="s">
        <v>24042</v>
      </c>
      <c r="J12333" t="str">
        <f>HYPERLINK("https://www.boe.es/gazeta/dias/1822/03/05/pdfs/GMD-1822-66.pdf#page=4","Abrir facsímil")</f>
        <v>Abrir facsímil</v>
      </c>
      <c r="K12333" t="s">
        <v>22</v>
      </c>
    </row>
    <row r="12334" spans="1:11" ht="42" customHeight="1">
      <c r="A12334" t="s">
        <v>24043</v>
      </c>
      <c r="B12334" t="s">
        <v>24043</v>
      </c>
      <c r="C12334" t="s">
        <v>50</v>
      </c>
      <c r="D12334" t="s">
        <v>51</v>
      </c>
      <c r="E12334" s="6">
        <v>-28263</v>
      </c>
      <c r="F12334" t="s">
        <v>7233</v>
      </c>
      <c r="G12334" t="s">
        <v>31</v>
      </c>
      <c r="H12334" t="s">
        <v>20</v>
      </c>
      <c r="I12334" t="s">
        <v>24044</v>
      </c>
      <c r="J12334" t="str">
        <f>HYPERLINK("https://www.boe.es/gazeta/dias/1822/08/13/pdfs/GMD-1822-237.pdf#page=3","Abrir facsímil")</f>
        <v>Abrir facsímil</v>
      </c>
      <c r="K12334" t="s">
        <v>22</v>
      </c>
    </row>
    <row r="12335" spans="1:11" ht="42" customHeight="1">
      <c r="A12335" t="s">
        <v>24045</v>
      </c>
      <c r="B12335" t="s">
        <v>24046</v>
      </c>
      <c r="C12335" t="s">
        <v>71</v>
      </c>
      <c r="D12335" t="s">
        <v>17</v>
      </c>
      <c r="E12335" s="6">
        <v>-28417</v>
      </c>
      <c r="F12335" t="s">
        <v>1394</v>
      </c>
      <c r="G12335" t="s">
        <v>35</v>
      </c>
      <c r="H12335" t="s">
        <v>20</v>
      </c>
      <c r="I12335" t="s">
        <v>24047</v>
      </c>
      <c r="J12335" t="str">
        <f>HYPERLINK("https://www.boe.es/gazeta/dias/1822/03/12/pdfs/GMD-1822-73.pdf#page=2","Abrir facsímil")</f>
        <v>Abrir facsímil</v>
      </c>
      <c r="K12335" t="s">
        <v>22</v>
      </c>
    </row>
    <row r="12336" spans="1:11" ht="42" customHeight="1">
      <c r="A12336" t="s">
        <v>24048</v>
      </c>
      <c r="B12336" t="s">
        <v>24048</v>
      </c>
      <c r="C12336" t="s">
        <v>50</v>
      </c>
      <c r="D12336" t="s">
        <v>51</v>
      </c>
      <c r="E12336" s="6">
        <v>-28266</v>
      </c>
      <c r="F12336" t="s">
        <v>1169</v>
      </c>
      <c r="G12336" t="s">
        <v>35</v>
      </c>
      <c r="H12336" t="s">
        <v>20</v>
      </c>
      <c r="I12336" t="s">
        <v>24049</v>
      </c>
      <c r="J12336" t="str">
        <f>HYPERLINK("https://www.boe.es/gazeta/dias/1822/08/10/pdfs/GMD-1822-234.pdf#page=2","Abrir facsímil")</f>
        <v>Abrir facsímil</v>
      </c>
      <c r="K12336" t="s">
        <v>22</v>
      </c>
    </row>
    <row r="12337" spans="1:11" ht="42" customHeight="1">
      <c r="A12337" t="s">
        <v>24048</v>
      </c>
      <c r="B12337" t="s">
        <v>24048</v>
      </c>
      <c r="C12337" t="s">
        <v>362</v>
      </c>
      <c r="D12337" t="s">
        <v>17</v>
      </c>
      <c r="E12337" s="6">
        <v>-28263</v>
      </c>
      <c r="F12337" t="s">
        <v>7233</v>
      </c>
      <c r="G12337" t="s">
        <v>31</v>
      </c>
      <c r="H12337" t="s">
        <v>20</v>
      </c>
      <c r="I12337" t="s">
        <v>24050</v>
      </c>
      <c r="J12337" t="str">
        <f>HYPERLINK("https://www.boe.es/gazeta/dias/1822/08/13/pdfs/GMD-1822-237.pdf#page=3","Abrir facsímil")</f>
        <v>Abrir facsímil</v>
      </c>
      <c r="K12337" t="s">
        <v>22</v>
      </c>
    </row>
    <row r="12338" spans="1:11" ht="42" customHeight="1">
      <c r="A12338" t="s">
        <v>24048</v>
      </c>
      <c r="B12338" t="s">
        <v>24048</v>
      </c>
      <c r="C12338" t="s">
        <v>50</v>
      </c>
      <c r="D12338" t="s">
        <v>51</v>
      </c>
      <c r="E12338" s="6">
        <v>-28262</v>
      </c>
      <c r="F12338" t="s">
        <v>1771</v>
      </c>
      <c r="G12338" t="s">
        <v>44</v>
      </c>
      <c r="H12338" t="s">
        <v>20</v>
      </c>
      <c r="I12338" t="s">
        <v>24051</v>
      </c>
      <c r="J12338" t="str">
        <f>HYPERLINK("https://www.boe.es/gazeta/dias/1822/08/14/pdfs/GMD-1822-238.pdf#page=1","Abrir facsímil")</f>
        <v>Abrir facsímil</v>
      </c>
      <c r="K12338" t="s">
        <v>22</v>
      </c>
    </row>
    <row r="12339" spans="1:11" ht="42" customHeight="1">
      <c r="A12339" t="s">
        <v>24048</v>
      </c>
      <c r="B12339" t="s">
        <v>24048</v>
      </c>
      <c r="C12339" t="s">
        <v>71</v>
      </c>
      <c r="D12339" t="s">
        <v>17</v>
      </c>
      <c r="E12339" s="6">
        <v>-28256</v>
      </c>
      <c r="F12339" t="s">
        <v>1949</v>
      </c>
      <c r="G12339" t="s">
        <v>31</v>
      </c>
      <c r="H12339" t="s">
        <v>20</v>
      </c>
      <c r="I12339" t="s">
        <v>24052</v>
      </c>
      <c r="J12339" t="str">
        <f>HYPERLINK("https://www.boe.es/gazeta/dias/1822/08/20/pdfs/GMD-1822-244.pdf#page=3","Abrir facsímil")</f>
        <v>Abrir facsímil</v>
      </c>
      <c r="K12339" t="s">
        <v>22</v>
      </c>
    </row>
    <row r="12340" spans="1:11" ht="42" customHeight="1">
      <c r="A12340" t="s">
        <v>24048</v>
      </c>
      <c r="B12340" t="s">
        <v>24048</v>
      </c>
      <c r="C12340" t="s">
        <v>50</v>
      </c>
      <c r="D12340" t="s">
        <v>51</v>
      </c>
      <c r="E12340" s="6">
        <v>-28155</v>
      </c>
      <c r="F12340" t="s">
        <v>833</v>
      </c>
      <c r="G12340" t="s">
        <v>57</v>
      </c>
      <c r="H12340" t="s">
        <v>20</v>
      </c>
      <c r="I12340" t="s">
        <v>24053</v>
      </c>
      <c r="J12340" t="str">
        <f>HYPERLINK("https://www.boe.es/gazeta/dias/1822/11/29/pdfs/GMD-1822-349.pdf#page=4","Abrir facsímil")</f>
        <v>Abrir facsímil</v>
      </c>
      <c r="K12340" t="s">
        <v>22</v>
      </c>
    </row>
    <row r="12341" spans="1:11" ht="42" customHeight="1">
      <c r="A12341" t="s">
        <v>24054</v>
      </c>
      <c r="B12341" t="s">
        <v>24055</v>
      </c>
      <c r="C12341" t="s">
        <v>50</v>
      </c>
      <c r="D12341" t="s">
        <v>51</v>
      </c>
      <c r="E12341" s="6">
        <v>-28256</v>
      </c>
      <c r="F12341" t="s">
        <v>1949</v>
      </c>
      <c r="G12341" t="s">
        <v>31</v>
      </c>
      <c r="H12341" t="s">
        <v>20</v>
      </c>
      <c r="I12341" t="s">
        <v>24056</v>
      </c>
      <c r="J12341" t="str">
        <f>HYPERLINK("https://www.boe.es/gazeta/dias/1822/08/20/pdfs/GMD-1822-244.pdf#page=3","Abrir facsímil")</f>
        <v>Abrir facsímil</v>
      </c>
      <c r="K12341" t="s">
        <v>22</v>
      </c>
    </row>
    <row r="12342" spans="1:11" ht="42" customHeight="1">
      <c r="A12342" t="s">
        <v>24057</v>
      </c>
      <c r="B12342" t="s">
        <v>24058</v>
      </c>
      <c r="C12342" t="s">
        <v>71</v>
      </c>
      <c r="D12342" t="s">
        <v>17</v>
      </c>
      <c r="E12342" s="6">
        <v>-28255</v>
      </c>
      <c r="F12342" t="s">
        <v>4826</v>
      </c>
      <c r="G12342" t="s">
        <v>31</v>
      </c>
      <c r="H12342" t="s">
        <v>20</v>
      </c>
      <c r="I12342" t="s">
        <v>24059</v>
      </c>
      <c r="J12342" t="str">
        <f>HYPERLINK("https://www.boe.es/gazeta/dias/1822/08/21/pdfs/GMD-1822-245.pdf#page=3","Abrir facsímil")</f>
        <v>Abrir facsímil</v>
      </c>
      <c r="K12342" t="s">
        <v>22</v>
      </c>
    </row>
    <row r="12343" spans="1:11" ht="42" customHeight="1">
      <c r="A12343" t="s">
        <v>24060</v>
      </c>
      <c r="B12343" t="s">
        <v>24061</v>
      </c>
      <c r="C12343" t="s">
        <v>24</v>
      </c>
      <c r="D12343" t="s">
        <v>17</v>
      </c>
      <c r="E12343" s="6">
        <v>-28272</v>
      </c>
      <c r="F12343" t="s">
        <v>52</v>
      </c>
      <c r="G12343" t="s">
        <v>35</v>
      </c>
      <c r="H12343" t="s">
        <v>20</v>
      </c>
      <c r="I12343" t="s">
        <v>24062</v>
      </c>
      <c r="J12343" t="str">
        <f>HYPERLINK("https://www.boe.es/gazeta/dias/1822/08/04/pdfs/GMD-1822-228.pdf#page=2","Abrir facsímil")</f>
        <v>Abrir facsímil</v>
      </c>
      <c r="K12343" t="s">
        <v>22</v>
      </c>
    </row>
    <row r="12344" spans="1:11" ht="42" customHeight="1">
      <c r="A12344" t="s">
        <v>24060</v>
      </c>
      <c r="B12344" t="s">
        <v>24061</v>
      </c>
      <c r="C12344" t="s">
        <v>50</v>
      </c>
      <c r="D12344" t="s">
        <v>51</v>
      </c>
      <c r="E12344" s="6">
        <v>-28262</v>
      </c>
      <c r="F12344" t="s">
        <v>1771</v>
      </c>
      <c r="G12344" t="s">
        <v>44</v>
      </c>
      <c r="H12344" t="s">
        <v>20</v>
      </c>
      <c r="I12344" t="s">
        <v>24063</v>
      </c>
      <c r="J12344" t="str">
        <f>HYPERLINK("https://www.boe.es/gazeta/dias/1822/08/14/pdfs/GMD-1822-238.pdf#page=1","Abrir facsímil")</f>
        <v>Abrir facsímil</v>
      </c>
      <c r="K12344" t="s">
        <v>22</v>
      </c>
    </row>
    <row r="12345" spans="1:11" ht="42" customHeight="1">
      <c r="A12345" t="s">
        <v>24060</v>
      </c>
      <c r="B12345" t="s">
        <v>24061</v>
      </c>
      <c r="C12345" t="s">
        <v>50</v>
      </c>
      <c r="D12345" t="s">
        <v>51</v>
      </c>
      <c r="E12345" s="6">
        <v>-28261</v>
      </c>
      <c r="F12345" t="s">
        <v>5685</v>
      </c>
      <c r="G12345" t="s">
        <v>35</v>
      </c>
      <c r="H12345" t="s">
        <v>20</v>
      </c>
      <c r="I12345" t="s">
        <v>24064</v>
      </c>
      <c r="J12345" t="str">
        <f>HYPERLINK("https://www.boe.es/gazeta/dias/1822/08/15/pdfs/GMD-1822-239.pdf#page=2","Abrir facsímil")</f>
        <v>Abrir facsímil</v>
      </c>
      <c r="K12345" t="s">
        <v>22</v>
      </c>
    </row>
    <row r="12346" spans="1:11" ht="42" customHeight="1">
      <c r="A12346" t="s">
        <v>24060</v>
      </c>
      <c r="B12346" t="s">
        <v>24061</v>
      </c>
      <c r="C12346" t="s">
        <v>50</v>
      </c>
      <c r="D12346" t="s">
        <v>51</v>
      </c>
      <c r="E12346" s="6">
        <v>-28222</v>
      </c>
      <c r="F12346" t="s">
        <v>2027</v>
      </c>
      <c r="G12346" t="s">
        <v>57</v>
      </c>
      <c r="H12346" t="s">
        <v>20</v>
      </c>
      <c r="I12346" t="s">
        <v>24065</v>
      </c>
      <c r="J12346" t="str">
        <f>HYPERLINK("https://www.boe.es/gazeta/dias/1822/09/23/pdfs/GMD-1822-279.pdf#page=4","Abrir facsímil")</f>
        <v>Abrir facsímil</v>
      </c>
      <c r="K12346" t="s">
        <v>22</v>
      </c>
    </row>
    <row r="12347" spans="1:11" ht="42" customHeight="1">
      <c r="A12347" t="s">
        <v>24060</v>
      </c>
      <c r="B12347" t="s">
        <v>24061</v>
      </c>
      <c r="C12347" t="s">
        <v>50</v>
      </c>
      <c r="D12347" t="s">
        <v>51</v>
      </c>
      <c r="E12347" s="6">
        <v>-28211</v>
      </c>
      <c r="F12347" t="s">
        <v>273</v>
      </c>
      <c r="G12347" t="s">
        <v>35</v>
      </c>
      <c r="H12347" t="s">
        <v>20</v>
      </c>
      <c r="I12347" t="s">
        <v>24066</v>
      </c>
      <c r="J12347" t="str">
        <f>HYPERLINK("https://www.boe.es/gazeta/dias/1822/10/04/pdfs/GMD-1822-290.pdf#page=2","Abrir facsímil")</f>
        <v>Abrir facsímil</v>
      </c>
      <c r="K12347" t="s">
        <v>22</v>
      </c>
    </row>
    <row r="12348" spans="1:11" ht="42" customHeight="1">
      <c r="A12348" t="s">
        <v>24067</v>
      </c>
      <c r="B12348" t="s">
        <v>24068</v>
      </c>
      <c r="C12348" t="s">
        <v>28</v>
      </c>
      <c r="D12348" t="s">
        <v>29</v>
      </c>
      <c r="E12348" s="6">
        <v>-28315</v>
      </c>
      <c r="F12348" t="s">
        <v>1220</v>
      </c>
      <c r="G12348" t="s">
        <v>57</v>
      </c>
      <c r="H12348" t="s">
        <v>20</v>
      </c>
      <c r="I12348" t="s">
        <v>24069</v>
      </c>
      <c r="J12348" t="str">
        <f>HYPERLINK("https://www.boe.es/gazeta/dias/1822/06/22/pdfs/GMD-1822-180.pdf#page=4","Abrir facsímil")</f>
        <v>Abrir facsímil</v>
      </c>
      <c r="K12348" t="s">
        <v>22</v>
      </c>
    </row>
    <row r="12349" spans="1:11" ht="42" customHeight="1">
      <c r="A12349" t="s">
        <v>24070</v>
      </c>
      <c r="B12349" t="s">
        <v>24070</v>
      </c>
      <c r="C12349" t="s">
        <v>50</v>
      </c>
      <c r="D12349" t="s">
        <v>51</v>
      </c>
      <c r="E12349" s="6">
        <v>-28376</v>
      </c>
      <c r="F12349" t="s">
        <v>500</v>
      </c>
      <c r="G12349" t="s">
        <v>44</v>
      </c>
      <c r="H12349" t="s">
        <v>20</v>
      </c>
      <c r="I12349" t="s">
        <v>24071</v>
      </c>
      <c r="J12349" t="str">
        <f>HYPERLINK("https://www.boe.es/gazeta/dias/1822/04/22/pdfs/GMD-1822-114.pdf#page=1","Abrir facsímil")</f>
        <v>Abrir facsímil</v>
      </c>
      <c r="K12349" t="s">
        <v>22</v>
      </c>
    </row>
    <row r="12350" spans="1:11" ht="42" customHeight="1">
      <c r="A12350" t="s">
        <v>24070</v>
      </c>
      <c r="B12350" t="s">
        <v>24070</v>
      </c>
      <c r="C12350" t="s">
        <v>50</v>
      </c>
      <c r="D12350" t="s">
        <v>51</v>
      </c>
      <c r="E12350" s="6">
        <v>-28352</v>
      </c>
      <c r="F12350" t="s">
        <v>1575</v>
      </c>
      <c r="G12350" t="s">
        <v>44</v>
      </c>
      <c r="H12350" t="s">
        <v>20</v>
      </c>
      <c r="I12350" t="s">
        <v>24072</v>
      </c>
      <c r="J12350" t="str">
        <f>HYPERLINK("https://www.boe.es/gazeta/dias/1822/05/16/pdfs/GMD-1822-138.pdf#page=1","Abrir facsímil")</f>
        <v>Abrir facsímil</v>
      </c>
      <c r="K12350" t="s">
        <v>22</v>
      </c>
    </row>
    <row r="12351" spans="1:11" ht="42" customHeight="1">
      <c r="A12351" t="s">
        <v>24073</v>
      </c>
      <c r="B12351" t="s">
        <v>24073</v>
      </c>
      <c r="C12351" t="s">
        <v>61</v>
      </c>
      <c r="D12351" t="s">
        <v>17</v>
      </c>
      <c r="E12351" s="6">
        <v>-28278</v>
      </c>
      <c r="F12351" t="s">
        <v>368</v>
      </c>
      <c r="G12351" t="s">
        <v>35</v>
      </c>
      <c r="H12351" t="s">
        <v>20</v>
      </c>
      <c r="I12351" t="s">
        <v>24074</v>
      </c>
      <c r="J12351" t="str">
        <f>HYPERLINK("https://www.boe.es/gazeta/dias/1822/07/29/pdfs/GMD-1822-222.pdf#page=2","Abrir facsímil")</f>
        <v>Abrir facsímil</v>
      </c>
      <c r="K12351" t="s">
        <v>22</v>
      </c>
    </row>
    <row r="12352" spans="1:11" ht="42" customHeight="1">
      <c r="A12352" t="s">
        <v>24075</v>
      </c>
      <c r="B12352" t="s">
        <v>24075</v>
      </c>
      <c r="C12352" t="s">
        <v>50</v>
      </c>
      <c r="D12352" t="s">
        <v>51</v>
      </c>
      <c r="E12352" s="6">
        <v>-28179</v>
      </c>
      <c r="F12352" t="s">
        <v>935</v>
      </c>
      <c r="G12352" t="s">
        <v>57</v>
      </c>
      <c r="H12352" t="s">
        <v>20</v>
      </c>
      <c r="I12352" t="s">
        <v>24076</v>
      </c>
      <c r="J12352" t="str">
        <f>HYPERLINK("https://www.boe.es/gazeta/dias/1822/11/05/pdfs/GMD-1822-325.pdf#page=4","Abrir facsímil")</f>
        <v>Abrir facsímil</v>
      </c>
      <c r="K12352" t="s">
        <v>22</v>
      </c>
    </row>
    <row r="12353" spans="1:11" ht="42" customHeight="1">
      <c r="A12353" t="s">
        <v>24075</v>
      </c>
      <c r="B12353" t="s">
        <v>24075</v>
      </c>
      <c r="C12353" t="s">
        <v>50</v>
      </c>
      <c r="D12353" t="s">
        <v>51</v>
      </c>
      <c r="E12353" s="6">
        <v>-28167</v>
      </c>
      <c r="F12353" t="s">
        <v>904</v>
      </c>
      <c r="G12353" t="s">
        <v>44</v>
      </c>
      <c r="H12353" t="s">
        <v>20</v>
      </c>
      <c r="I12353" t="s">
        <v>24077</v>
      </c>
      <c r="J12353" t="str">
        <f>HYPERLINK("https://www.boe.es/gazeta/dias/1822/11/17/pdfs/GMD-1822-337.pdf#page=1","Abrir facsímil")</f>
        <v>Abrir facsímil</v>
      </c>
      <c r="K12353" t="s">
        <v>22</v>
      </c>
    </row>
    <row r="12354" spans="1:11" ht="42" customHeight="1">
      <c r="A12354" t="s">
        <v>24078</v>
      </c>
      <c r="B12354" t="s">
        <v>24079</v>
      </c>
      <c r="C12354" t="s">
        <v>50</v>
      </c>
      <c r="D12354" t="s">
        <v>51</v>
      </c>
      <c r="E12354" s="6">
        <v>-28207</v>
      </c>
      <c r="F12354" t="s">
        <v>1325</v>
      </c>
      <c r="G12354" t="s">
        <v>35</v>
      </c>
      <c r="H12354" t="s">
        <v>20</v>
      </c>
      <c r="I12354" t="s">
        <v>24080</v>
      </c>
      <c r="J12354" t="str">
        <f>HYPERLINK("https://www.boe.es/gazeta/dias/1822/10/08/pdfs/GMD-1822-295.pdf#page=2","Abrir facsímil")</f>
        <v>Abrir facsímil</v>
      </c>
      <c r="K12354" t="s">
        <v>22</v>
      </c>
    </row>
    <row r="12355" spans="1:11" ht="42" customHeight="1">
      <c r="A12355" t="s">
        <v>24078</v>
      </c>
      <c r="B12355" t="s">
        <v>24079</v>
      </c>
      <c r="C12355" t="s">
        <v>50</v>
      </c>
      <c r="D12355" t="s">
        <v>51</v>
      </c>
      <c r="E12355" s="6">
        <v>-28137</v>
      </c>
      <c r="F12355" t="s">
        <v>312</v>
      </c>
      <c r="G12355" t="s">
        <v>44</v>
      </c>
      <c r="H12355" t="s">
        <v>20</v>
      </c>
      <c r="I12355" t="s">
        <v>24081</v>
      </c>
      <c r="J12355" t="str">
        <f>HYPERLINK("https://www.boe.es/gazeta/dias/1822/12/17/pdfs/GMD-1822-367.pdf#page=1","Abrir facsímil")</f>
        <v>Abrir facsímil</v>
      </c>
      <c r="K12355" t="s">
        <v>22</v>
      </c>
    </row>
    <row r="12356" spans="1:11" ht="42" customHeight="1">
      <c r="A12356" t="s">
        <v>24082</v>
      </c>
      <c r="B12356" t="s">
        <v>24083</v>
      </c>
      <c r="C12356" t="s">
        <v>50</v>
      </c>
      <c r="D12356" t="s">
        <v>51</v>
      </c>
      <c r="E12356" s="6">
        <v>-28427</v>
      </c>
      <c r="F12356" t="s">
        <v>755</v>
      </c>
      <c r="G12356" t="s">
        <v>31</v>
      </c>
      <c r="H12356" t="s">
        <v>20</v>
      </c>
      <c r="I12356" t="s">
        <v>24084</v>
      </c>
      <c r="J12356" t="str">
        <f>HYPERLINK("https://www.boe.es/gazeta/dias/1822/03/02/pdfs/GMD-1822-63.pdf#page=3","Abrir facsímil")</f>
        <v>Abrir facsímil</v>
      </c>
      <c r="K12356" t="s">
        <v>22</v>
      </c>
    </row>
    <row r="12357" spans="1:11" ht="42" customHeight="1">
      <c r="A12357" t="s">
        <v>24085</v>
      </c>
      <c r="B12357" t="s">
        <v>24085</v>
      </c>
      <c r="C12357" t="s">
        <v>50</v>
      </c>
      <c r="D12357" t="s">
        <v>51</v>
      </c>
      <c r="E12357" s="6">
        <v>-28424</v>
      </c>
      <c r="F12357" t="s">
        <v>439</v>
      </c>
      <c r="G12357" t="s">
        <v>44</v>
      </c>
      <c r="H12357" t="s">
        <v>20</v>
      </c>
      <c r="I12357" t="s">
        <v>24086</v>
      </c>
      <c r="J12357" t="str">
        <f>HYPERLINK("https://www.boe.es/gazeta/dias/1822/03/05/pdfs/GMD-1822-66.pdf#page=1","Abrir facsímil")</f>
        <v>Abrir facsímil</v>
      </c>
      <c r="K12357" t="s">
        <v>22</v>
      </c>
    </row>
    <row r="12358" spans="1:11" ht="42" customHeight="1">
      <c r="A12358" t="s">
        <v>24087</v>
      </c>
      <c r="B12358" t="s">
        <v>24087</v>
      </c>
      <c r="C12358" t="s">
        <v>1141</v>
      </c>
      <c r="D12358" t="s">
        <v>29</v>
      </c>
      <c r="E12358" s="6">
        <v>-28478</v>
      </c>
      <c r="F12358" t="s">
        <v>1093</v>
      </c>
      <c r="G12358" t="s">
        <v>35</v>
      </c>
      <c r="H12358" t="s">
        <v>20</v>
      </c>
      <c r="I12358" t="s">
        <v>24088</v>
      </c>
      <c r="J12358" t="str">
        <f>HYPERLINK("https://www.boe.es/gazeta/dias/1822/01/10/pdfs/GMD-1822-10.pdf#page=2","Abrir facsímil")</f>
        <v>Abrir facsímil</v>
      </c>
      <c r="K12358" t="s">
        <v>22</v>
      </c>
    </row>
    <row r="12359" spans="1:11" ht="42" customHeight="1">
      <c r="A12359" t="s">
        <v>24087</v>
      </c>
      <c r="B12359" t="s">
        <v>24087</v>
      </c>
      <c r="C12359" t="s">
        <v>42</v>
      </c>
      <c r="D12359" t="s">
        <v>17</v>
      </c>
      <c r="E12359" s="6">
        <v>-28472</v>
      </c>
      <c r="F12359" t="s">
        <v>5485</v>
      </c>
      <c r="G12359" t="s">
        <v>35</v>
      </c>
      <c r="H12359" t="s">
        <v>20</v>
      </c>
      <c r="I12359" t="s">
        <v>24089</v>
      </c>
      <c r="J12359" t="str">
        <f>HYPERLINK("https://www.boe.es/gazeta/dias/1822/01/16/pdfs/GMD-1822-16.pdf#page=2","Abrir facsímil")</f>
        <v>Abrir facsímil</v>
      </c>
      <c r="K12359" t="s">
        <v>22</v>
      </c>
    </row>
    <row r="12360" spans="1:11" ht="42" customHeight="1">
      <c r="A12360" t="s">
        <v>24087</v>
      </c>
      <c r="B12360" t="s">
        <v>24087</v>
      </c>
      <c r="C12360" t="s">
        <v>28</v>
      </c>
      <c r="D12360" t="s">
        <v>29</v>
      </c>
      <c r="E12360" s="6">
        <v>-28459</v>
      </c>
      <c r="F12360" t="s">
        <v>1102</v>
      </c>
      <c r="G12360" t="s">
        <v>44</v>
      </c>
      <c r="H12360" t="s">
        <v>20</v>
      </c>
      <c r="I12360" t="s">
        <v>24090</v>
      </c>
      <c r="J12360" t="str">
        <f>HYPERLINK("https://www.boe.es/gazeta/dias/1822/01/29/pdfs/GMD-1822-29.pdf#page=1","Abrir facsímil")</f>
        <v>Abrir facsímil</v>
      </c>
      <c r="K12360" t="s">
        <v>22</v>
      </c>
    </row>
    <row r="12361" spans="1:11" ht="42" customHeight="1">
      <c r="A12361" t="s">
        <v>24087</v>
      </c>
      <c r="B12361" t="s">
        <v>24087</v>
      </c>
      <c r="C12361" t="s">
        <v>24</v>
      </c>
      <c r="D12361" t="s">
        <v>17</v>
      </c>
      <c r="E12361" s="6">
        <v>-28448</v>
      </c>
      <c r="F12361" t="s">
        <v>1670</v>
      </c>
      <c r="G12361" t="s">
        <v>35</v>
      </c>
      <c r="H12361" t="s">
        <v>20</v>
      </c>
      <c r="I12361" t="s">
        <v>24091</v>
      </c>
      <c r="J12361" t="str">
        <f>HYPERLINK("https://www.boe.es/gazeta/dias/1822/02/09/pdfs/GMD-1822-40.pdf#page=2","Abrir facsímil")</f>
        <v>Abrir facsímil</v>
      </c>
      <c r="K12361" t="s">
        <v>22</v>
      </c>
    </row>
    <row r="12362" spans="1:11" ht="42" customHeight="1">
      <c r="A12362" t="s">
        <v>24092</v>
      </c>
      <c r="B12362" t="s">
        <v>24092</v>
      </c>
      <c r="C12362" t="s">
        <v>71</v>
      </c>
      <c r="D12362" t="s">
        <v>17</v>
      </c>
      <c r="E12362" s="6">
        <v>-28445</v>
      </c>
      <c r="F12362" t="s">
        <v>1622</v>
      </c>
      <c r="G12362" t="s">
        <v>31</v>
      </c>
      <c r="H12362" t="s">
        <v>20</v>
      </c>
      <c r="I12362" t="s">
        <v>24093</v>
      </c>
      <c r="J12362" t="str">
        <f>HYPERLINK("https://www.boe.es/gazeta/dias/1822/02/12/pdfs/GMD-1822-43.pdf#page=3","Abrir facsímil")</f>
        <v>Abrir facsímil</v>
      </c>
      <c r="K12362" t="s">
        <v>22</v>
      </c>
    </row>
    <row r="12363" spans="1:11" ht="42" customHeight="1">
      <c r="A12363" t="s">
        <v>24094</v>
      </c>
      <c r="B12363" t="s">
        <v>24095</v>
      </c>
      <c r="C12363" t="s">
        <v>42</v>
      </c>
      <c r="D12363" t="s">
        <v>17</v>
      </c>
      <c r="E12363" s="6">
        <v>-28353</v>
      </c>
      <c r="F12363" t="s">
        <v>843</v>
      </c>
      <c r="G12363" t="s">
        <v>35</v>
      </c>
      <c r="H12363" t="s">
        <v>20</v>
      </c>
      <c r="I12363" t="s">
        <v>24096</v>
      </c>
      <c r="J12363" t="str">
        <f>HYPERLINK("https://www.boe.es/gazeta/dias/1822/05/15/pdfs/GMD-1822-137.pdf#page=2","Abrir facsímil")</f>
        <v>Abrir facsímil</v>
      </c>
      <c r="K12363" t="s">
        <v>22</v>
      </c>
    </row>
    <row r="12364" spans="1:11" ht="42" customHeight="1">
      <c r="A12364" t="s">
        <v>24094</v>
      </c>
      <c r="B12364" t="s">
        <v>24095</v>
      </c>
      <c r="C12364" t="s">
        <v>42</v>
      </c>
      <c r="D12364" t="s">
        <v>17</v>
      </c>
      <c r="E12364" s="6">
        <v>-28338</v>
      </c>
      <c r="F12364" t="s">
        <v>527</v>
      </c>
      <c r="G12364" t="s">
        <v>57</v>
      </c>
      <c r="H12364" t="s">
        <v>20</v>
      </c>
      <c r="I12364" t="s">
        <v>24097</v>
      </c>
      <c r="J12364" t="str">
        <f>HYPERLINK("https://www.boe.es/gazeta/dias/1822/05/30/pdfs/GMD-1822-155.pdf#page=4","Abrir facsímil")</f>
        <v>Abrir facsímil</v>
      </c>
      <c r="K12364" t="s">
        <v>22</v>
      </c>
    </row>
    <row r="12365" spans="1:11" ht="42" customHeight="1">
      <c r="A12365" t="s">
        <v>24094</v>
      </c>
      <c r="B12365" t="s">
        <v>24095</v>
      </c>
      <c r="C12365" t="s">
        <v>42</v>
      </c>
      <c r="D12365" t="s">
        <v>17</v>
      </c>
      <c r="E12365" s="6">
        <v>-28285</v>
      </c>
      <c r="F12365" t="s">
        <v>4539</v>
      </c>
      <c r="G12365" t="s">
        <v>57</v>
      </c>
      <c r="H12365" t="s">
        <v>20</v>
      </c>
      <c r="I12365" t="s">
        <v>24098</v>
      </c>
      <c r="J12365" t="str">
        <f>HYPERLINK("https://www.boe.es/gazeta/dias/1822/07/22/pdfs/GMD-1822-215.pdf#page=4","Abrir facsímil")</f>
        <v>Abrir facsímil</v>
      </c>
      <c r="K12365" t="s">
        <v>22</v>
      </c>
    </row>
    <row r="12366" spans="1:11" ht="42" customHeight="1">
      <c r="A12366" t="s">
        <v>24094</v>
      </c>
      <c r="B12366" t="s">
        <v>24095</v>
      </c>
      <c r="C12366" t="s">
        <v>50</v>
      </c>
      <c r="D12366" t="s">
        <v>51</v>
      </c>
      <c r="E12366" s="6">
        <v>-28270</v>
      </c>
      <c r="F12366" t="s">
        <v>130</v>
      </c>
      <c r="G12366" t="s">
        <v>131</v>
      </c>
      <c r="H12366" t="s">
        <v>20</v>
      </c>
      <c r="I12366" t="s">
        <v>24099</v>
      </c>
      <c r="J12366" t="str">
        <f>HYPERLINK("https://www.boe.es/gazeta/dias/1822/08/06/pdfs/GMD-1822-230.pdf#page=6","Abrir facsímil")</f>
        <v>Abrir facsímil</v>
      </c>
      <c r="K12366" t="s">
        <v>22</v>
      </c>
    </row>
    <row r="12367" spans="1:11" ht="42" customHeight="1">
      <c r="A12367" t="s">
        <v>24094</v>
      </c>
      <c r="B12367" t="s">
        <v>24095</v>
      </c>
      <c r="C12367" t="s">
        <v>42</v>
      </c>
      <c r="D12367" t="s">
        <v>17</v>
      </c>
      <c r="E12367" s="6">
        <v>-28195</v>
      </c>
      <c r="F12367" t="s">
        <v>770</v>
      </c>
      <c r="G12367" t="s">
        <v>63</v>
      </c>
      <c r="H12367" t="s">
        <v>20</v>
      </c>
      <c r="I12367" t="s">
        <v>24100</v>
      </c>
      <c r="J12367" t="str">
        <f>HYPERLINK("https://www.boe.es/gazeta/dias/1822/10/20/pdfs/GMD-1822-307.pdf#page=6","Abrir facsímil")</f>
        <v>Abrir facsímil</v>
      </c>
      <c r="K12367" t="s">
        <v>22</v>
      </c>
    </row>
    <row r="12368" spans="1:11" ht="42" customHeight="1">
      <c r="A12368" t="s">
        <v>24101</v>
      </c>
      <c r="B12368" t="s">
        <v>24102</v>
      </c>
      <c r="C12368" t="s">
        <v>24</v>
      </c>
      <c r="D12368" t="s">
        <v>17</v>
      </c>
      <c r="E12368" s="6">
        <v>-28323</v>
      </c>
      <c r="F12368" t="s">
        <v>116</v>
      </c>
      <c r="G12368" t="s">
        <v>44</v>
      </c>
      <c r="H12368" t="s">
        <v>20</v>
      </c>
      <c r="I12368" t="s">
        <v>24103</v>
      </c>
      <c r="J12368" t="str">
        <f>HYPERLINK("https://www.boe.es/gazeta/dias/1822/06/14/pdfs/GMD-1822-171.pdf#page=1","Abrir facsímil")</f>
        <v>Abrir facsímil</v>
      </c>
      <c r="K12368" t="s">
        <v>22</v>
      </c>
    </row>
    <row r="12369" spans="1:11" ht="42" customHeight="1">
      <c r="A12369" t="s">
        <v>24104</v>
      </c>
      <c r="B12369" t="s">
        <v>24104</v>
      </c>
      <c r="C12369" t="s">
        <v>24</v>
      </c>
      <c r="D12369" t="s">
        <v>17</v>
      </c>
      <c r="E12369" s="6">
        <v>-28205</v>
      </c>
      <c r="F12369" t="s">
        <v>806</v>
      </c>
      <c r="G12369" t="s">
        <v>63</v>
      </c>
      <c r="H12369" t="s">
        <v>20</v>
      </c>
      <c r="I12369" t="s">
        <v>24105</v>
      </c>
      <c r="J12369" t="str">
        <f>HYPERLINK("https://www.boe.es/gazeta/dias/1822/10/10/pdfs/GMD-1822-297.pdf#page=6","Abrir facsímil")</f>
        <v>Abrir facsímil</v>
      </c>
      <c r="K12369" t="s">
        <v>22</v>
      </c>
    </row>
    <row r="12370" spans="1:11" ht="42" customHeight="1">
      <c r="A12370" t="s">
        <v>24106</v>
      </c>
      <c r="B12370" t="s">
        <v>24106</v>
      </c>
      <c r="C12370" t="s">
        <v>50</v>
      </c>
      <c r="D12370" t="s">
        <v>51</v>
      </c>
      <c r="E12370" s="6">
        <v>-28337</v>
      </c>
      <c r="F12370" t="s">
        <v>1836</v>
      </c>
      <c r="G12370" t="s">
        <v>19</v>
      </c>
      <c r="H12370" t="s">
        <v>20</v>
      </c>
      <c r="I12370" t="s">
        <v>24107</v>
      </c>
      <c r="J12370" t="str">
        <f>HYPERLINK("https://www.boe.es/gazeta/dias/1822/05/31/pdfs/GMD-1822-156.pdf#page=5","Abrir facsímil")</f>
        <v>Abrir facsímil</v>
      </c>
      <c r="K12370" t="s">
        <v>22</v>
      </c>
    </row>
    <row r="12371" spans="1:11" ht="42" customHeight="1">
      <c r="A12371" t="s">
        <v>24108</v>
      </c>
      <c r="B12371" t="s">
        <v>24108</v>
      </c>
      <c r="C12371" t="s">
        <v>28</v>
      </c>
      <c r="D12371" t="s">
        <v>29</v>
      </c>
      <c r="E12371" s="6">
        <v>-28327</v>
      </c>
      <c r="F12371" t="s">
        <v>38</v>
      </c>
      <c r="G12371" t="s">
        <v>35</v>
      </c>
      <c r="H12371" t="s">
        <v>20</v>
      </c>
      <c r="I12371" t="s">
        <v>24109</v>
      </c>
      <c r="J12371" t="str">
        <f>HYPERLINK("https://www.boe.es/gazeta/dias/1822/06/10/pdfs/GMD-1822-167.pdf#page=2","Abrir facsímil")</f>
        <v>Abrir facsímil</v>
      </c>
      <c r="K12371" t="s">
        <v>22</v>
      </c>
    </row>
    <row r="12372" spans="1:11" ht="42" customHeight="1">
      <c r="A12372" t="s">
        <v>24108</v>
      </c>
      <c r="B12372" t="s">
        <v>24108</v>
      </c>
      <c r="C12372" t="s">
        <v>50</v>
      </c>
      <c r="D12372" t="s">
        <v>51</v>
      </c>
      <c r="E12372" s="6">
        <v>-28318</v>
      </c>
      <c r="F12372" t="s">
        <v>397</v>
      </c>
      <c r="G12372" t="s">
        <v>63</v>
      </c>
      <c r="H12372" t="s">
        <v>20</v>
      </c>
      <c r="I12372" t="s">
        <v>24110</v>
      </c>
      <c r="J12372" t="str">
        <f>HYPERLINK("https://www.boe.es/gazeta/dias/1822/06/19/pdfs/GMD-1822-176.pdf#page=6","Abrir facsímil")</f>
        <v>Abrir facsímil</v>
      </c>
      <c r="K12372" t="s">
        <v>22</v>
      </c>
    </row>
    <row r="12373" spans="1:11" ht="42" customHeight="1">
      <c r="A12373" t="s">
        <v>24108</v>
      </c>
      <c r="B12373" t="s">
        <v>24108</v>
      </c>
      <c r="C12373" t="s">
        <v>71</v>
      </c>
      <c r="D12373" t="s">
        <v>17</v>
      </c>
      <c r="E12373" s="6">
        <v>-28198</v>
      </c>
      <c r="F12373" t="s">
        <v>981</v>
      </c>
      <c r="G12373" t="s">
        <v>31</v>
      </c>
      <c r="H12373" t="s">
        <v>20</v>
      </c>
      <c r="I12373" t="s">
        <v>24111</v>
      </c>
      <c r="J12373" t="str">
        <f>HYPERLINK("https://www.boe.es/gazeta/dias/1822/10/17/pdfs/GMD-1822-304.pdf#page=3","Abrir facsímil")</f>
        <v>Abrir facsímil</v>
      </c>
      <c r="K12373" t="s">
        <v>22</v>
      </c>
    </row>
    <row r="12374" spans="1:11" ht="42" customHeight="1">
      <c r="A12374" t="s">
        <v>24108</v>
      </c>
      <c r="B12374" t="s">
        <v>24108</v>
      </c>
      <c r="C12374" t="s">
        <v>42</v>
      </c>
      <c r="D12374" t="s">
        <v>17</v>
      </c>
      <c r="E12374" s="6">
        <v>-28186</v>
      </c>
      <c r="F12374" t="s">
        <v>581</v>
      </c>
      <c r="G12374" t="s">
        <v>35</v>
      </c>
      <c r="H12374" t="s">
        <v>20</v>
      </c>
      <c r="I12374" t="s">
        <v>24112</v>
      </c>
      <c r="J12374" t="str">
        <f>HYPERLINK("https://www.boe.es/gazeta/dias/1822/10/29/pdfs/GMD-1822-316.pdf#page=2","Abrir facsímil")</f>
        <v>Abrir facsímil</v>
      </c>
      <c r="K12374" t="s">
        <v>22</v>
      </c>
    </row>
    <row r="12375" spans="1:11" ht="42" customHeight="1">
      <c r="A12375" t="s">
        <v>24113</v>
      </c>
      <c r="B12375" t="s">
        <v>24113</v>
      </c>
      <c r="C12375" t="s">
        <v>42</v>
      </c>
      <c r="D12375" t="s">
        <v>17</v>
      </c>
      <c r="E12375" s="6">
        <v>-28194</v>
      </c>
      <c r="F12375" t="s">
        <v>18</v>
      </c>
      <c r="G12375" t="s">
        <v>31</v>
      </c>
      <c r="H12375" t="s">
        <v>20</v>
      </c>
      <c r="I12375" t="s">
        <v>24114</v>
      </c>
      <c r="J12375" t="str">
        <f>HYPERLINK("https://www.boe.es/gazeta/dias/1822/10/21/pdfs/GMD-1822-308.pdf#page=3","Abrir facsímil")</f>
        <v>Abrir facsímil</v>
      </c>
      <c r="K12375" t="s">
        <v>22</v>
      </c>
    </row>
    <row r="12376" spans="1:11" ht="42" customHeight="1">
      <c r="A12376" t="s">
        <v>24115</v>
      </c>
      <c r="B12376" t="s">
        <v>24115</v>
      </c>
      <c r="C12376" t="s">
        <v>50</v>
      </c>
      <c r="D12376" t="s">
        <v>51</v>
      </c>
      <c r="E12376" s="6">
        <v>-28189</v>
      </c>
      <c r="F12376" t="s">
        <v>645</v>
      </c>
      <c r="G12376" t="s">
        <v>35</v>
      </c>
      <c r="H12376" t="s">
        <v>20</v>
      </c>
      <c r="I12376" t="s">
        <v>24116</v>
      </c>
      <c r="J12376" t="str">
        <f>HYPERLINK("https://www.boe.es/gazeta/dias/1822/10/26/pdfs/GMD-1822-313.pdf#page=2","Abrir facsímil")</f>
        <v>Abrir facsímil</v>
      </c>
      <c r="K12376" t="s">
        <v>22</v>
      </c>
    </row>
    <row r="12377" spans="1:11" ht="42" customHeight="1">
      <c r="A12377" t="s">
        <v>24117</v>
      </c>
      <c r="B12377" t="s">
        <v>24118</v>
      </c>
      <c r="C12377" t="s">
        <v>16</v>
      </c>
      <c r="D12377" t="s">
        <v>17</v>
      </c>
      <c r="E12377" s="6">
        <v>-28168</v>
      </c>
      <c r="F12377" t="s">
        <v>3672</v>
      </c>
      <c r="G12377" t="s">
        <v>57</v>
      </c>
      <c r="H12377" t="s">
        <v>20</v>
      </c>
      <c r="I12377" t="s">
        <v>24119</v>
      </c>
      <c r="J12377" t="str">
        <f>HYPERLINK("https://www.boe.es/gazeta/dias/1822/11/16/pdfs/GMD-1822-336.pdf#page=4","Abrir facsímil")</f>
        <v>Abrir facsímil</v>
      </c>
      <c r="K12377" t="s">
        <v>22</v>
      </c>
    </row>
    <row r="12378" spans="1:11" ht="42" customHeight="1">
      <c r="A12378" t="s">
        <v>24120</v>
      </c>
      <c r="B12378" t="s">
        <v>24121</v>
      </c>
      <c r="C12378" t="s">
        <v>24</v>
      </c>
      <c r="D12378" t="s">
        <v>17</v>
      </c>
      <c r="E12378" s="6">
        <v>-28148</v>
      </c>
      <c r="F12378" t="s">
        <v>1909</v>
      </c>
      <c r="G12378" t="s">
        <v>63</v>
      </c>
      <c r="H12378" t="s">
        <v>20</v>
      </c>
      <c r="I12378" t="s">
        <v>24122</v>
      </c>
      <c r="J12378" t="str">
        <f>HYPERLINK("https://www.boe.es/gazeta/dias/1822/12/06/pdfs/GMD-1822-356.pdf#page=6","Abrir facsímil")</f>
        <v>Abrir facsímil</v>
      </c>
      <c r="K12378" t="s">
        <v>22</v>
      </c>
    </row>
    <row r="12379" spans="1:11" ht="42" customHeight="1">
      <c r="A12379" t="s">
        <v>24123</v>
      </c>
      <c r="B12379" t="s">
        <v>24124</v>
      </c>
      <c r="C12379" t="s">
        <v>50</v>
      </c>
      <c r="D12379" t="s">
        <v>51</v>
      </c>
      <c r="E12379" s="6">
        <v>-28290</v>
      </c>
      <c r="F12379" t="s">
        <v>706</v>
      </c>
      <c r="G12379" t="s">
        <v>57</v>
      </c>
      <c r="H12379" t="s">
        <v>20</v>
      </c>
      <c r="I12379" t="s">
        <v>24125</v>
      </c>
      <c r="J12379" t="str">
        <f>HYPERLINK("https://www.boe.es/gazeta/dias/1822/07/17/pdfs/GMD-1822-207.pdf#page=4","Abrir facsímil")</f>
        <v>Abrir facsímil</v>
      </c>
      <c r="K12379" t="s">
        <v>22</v>
      </c>
    </row>
    <row r="12380" spans="1:11" ht="42" customHeight="1">
      <c r="A12380" t="s">
        <v>24126</v>
      </c>
      <c r="B12380" t="s">
        <v>24127</v>
      </c>
      <c r="C12380" t="s">
        <v>28</v>
      </c>
      <c r="D12380" t="s">
        <v>29</v>
      </c>
      <c r="E12380" s="6">
        <v>-28285</v>
      </c>
      <c r="F12380" t="s">
        <v>4539</v>
      </c>
      <c r="G12380" t="s">
        <v>57</v>
      </c>
      <c r="H12380" t="s">
        <v>20</v>
      </c>
      <c r="I12380" t="s">
        <v>24128</v>
      </c>
      <c r="J12380" t="str">
        <f>HYPERLINK("https://www.boe.es/gazeta/dias/1822/07/22/pdfs/GMD-1822-215.pdf#page=4","Abrir facsímil")</f>
        <v>Abrir facsímil</v>
      </c>
      <c r="K12380" t="s">
        <v>22</v>
      </c>
    </row>
    <row r="12381" spans="1:11" ht="42" customHeight="1">
      <c r="A12381" t="s">
        <v>24129</v>
      </c>
      <c r="B12381" t="s">
        <v>24130</v>
      </c>
      <c r="C12381" t="s">
        <v>42</v>
      </c>
      <c r="D12381" t="s">
        <v>17</v>
      </c>
      <c r="E12381" s="6">
        <v>-28158</v>
      </c>
      <c r="F12381" t="s">
        <v>590</v>
      </c>
      <c r="G12381" t="s">
        <v>63</v>
      </c>
      <c r="H12381" t="s">
        <v>20</v>
      </c>
      <c r="I12381" t="s">
        <v>24131</v>
      </c>
      <c r="J12381" t="str">
        <f>HYPERLINK("https://www.boe.es/gazeta/dias/1822/11/26/pdfs/GMD-1822-346.pdf#page=6","Abrir facsímil")</f>
        <v>Abrir facsímil</v>
      </c>
      <c r="K12381" t="s">
        <v>22</v>
      </c>
    </row>
    <row r="12382" spans="1:11" ht="42" customHeight="1">
      <c r="A12382" t="s">
        <v>24132</v>
      </c>
      <c r="B12382" t="s">
        <v>24133</v>
      </c>
      <c r="C12382" t="s">
        <v>61</v>
      </c>
      <c r="D12382" t="s">
        <v>17</v>
      </c>
      <c r="E12382" s="6">
        <v>-28311</v>
      </c>
      <c r="F12382" t="s">
        <v>736</v>
      </c>
      <c r="G12382" t="s">
        <v>157</v>
      </c>
      <c r="H12382" t="s">
        <v>20</v>
      </c>
      <c r="I12382" t="s">
        <v>24134</v>
      </c>
      <c r="J12382" t="str">
        <f>HYPERLINK("https://www.boe.es/gazeta/dias/1822/06/26/pdfs/GMD-1822-184.pdf#page=8","Abrir facsímil")</f>
        <v>Abrir facsímil</v>
      </c>
      <c r="K12382" t="s">
        <v>22</v>
      </c>
    </row>
    <row r="12383" spans="1:11" ht="42" customHeight="1">
      <c r="A12383" t="s">
        <v>24135</v>
      </c>
      <c r="B12383" t="s">
        <v>24136</v>
      </c>
      <c r="C12383" t="s">
        <v>28</v>
      </c>
      <c r="D12383" t="s">
        <v>29</v>
      </c>
      <c r="E12383" s="6">
        <v>-28370</v>
      </c>
      <c r="F12383" t="s">
        <v>207</v>
      </c>
      <c r="G12383" t="s">
        <v>63</v>
      </c>
      <c r="H12383" t="s">
        <v>20</v>
      </c>
      <c r="I12383" t="s">
        <v>24137</v>
      </c>
      <c r="J12383" t="str">
        <f>HYPERLINK("https://www.boe.es/gazeta/dias/1822/04/28/pdfs/GMD-1822-120.pdf#page=6","Abrir facsímil")</f>
        <v>Abrir facsímil</v>
      </c>
      <c r="K12383" t="s">
        <v>22</v>
      </c>
    </row>
    <row r="12384" spans="1:11" ht="42" customHeight="1">
      <c r="A12384" t="s">
        <v>24138</v>
      </c>
      <c r="B12384" t="s">
        <v>24139</v>
      </c>
      <c r="C12384" t="s">
        <v>42</v>
      </c>
      <c r="D12384" t="s">
        <v>17</v>
      </c>
      <c r="E12384" s="6">
        <v>-28366</v>
      </c>
      <c r="F12384" t="s">
        <v>120</v>
      </c>
      <c r="G12384" t="s">
        <v>63</v>
      </c>
      <c r="H12384" t="s">
        <v>45</v>
      </c>
      <c r="I12384" t="s">
        <v>24140</v>
      </c>
      <c r="J12384" t="str">
        <f>HYPERLINK("https://www.boe.es/gazeta/dias/1822/05/02/pdfs/GMD-1822-124.pdf#page=6","Abrir facsímil")</f>
        <v>Abrir facsímil</v>
      </c>
      <c r="K12384" t="s">
        <v>47</v>
      </c>
    </row>
    <row r="12385" spans="1:11" ht="42" customHeight="1">
      <c r="A12385" t="s">
        <v>24141</v>
      </c>
      <c r="B12385" t="s">
        <v>24141</v>
      </c>
      <c r="C12385" t="s">
        <v>42</v>
      </c>
      <c r="D12385" t="s">
        <v>17</v>
      </c>
      <c r="E12385" s="6">
        <v>-28224</v>
      </c>
      <c r="F12385" t="s">
        <v>1902</v>
      </c>
      <c r="G12385" t="s">
        <v>31</v>
      </c>
      <c r="H12385" t="s">
        <v>20</v>
      </c>
      <c r="I12385" t="s">
        <v>24142</v>
      </c>
      <c r="J12385" t="str">
        <f>HYPERLINK("https://www.boe.es/gazeta/dias/1822/09/21/pdfs/GMD-1822-277.pdf#page=3","Abrir facsímil")</f>
        <v>Abrir facsímil</v>
      </c>
      <c r="K12385" t="s">
        <v>22</v>
      </c>
    </row>
    <row r="12386" spans="1:11" ht="42" customHeight="1">
      <c r="A12386" t="s">
        <v>24143</v>
      </c>
      <c r="B12386" t="s">
        <v>24144</v>
      </c>
      <c r="C12386" t="s">
        <v>50</v>
      </c>
      <c r="D12386" t="s">
        <v>51</v>
      </c>
      <c r="E12386" s="6">
        <v>-28224</v>
      </c>
      <c r="F12386" t="s">
        <v>1902</v>
      </c>
      <c r="G12386" t="s">
        <v>31</v>
      </c>
      <c r="H12386" t="s">
        <v>45</v>
      </c>
      <c r="I12386" t="s">
        <v>24145</v>
      </c>
      <c r="J12386" t="str">
        <f>HYPERLINK("https://www.boe.es/gazeta/dias/1822/09/21/pdfs/GMD-1822-277.pdf#page=3","Abrir facsímil")</f>
        <v>Abrir facsímil</v>
      </c>
      <c r="K12386" t="s">
        <v>47</v>
      </c>
    </row>
    <row r="12387" spans="1:11" ht="42" customHeight="1">
      <c r="A12387" t="s">
        <v>24146</v>
      </c>
      <c r="B12387" t="s">
        <v>24146</v>
      </c>
      <c r="C12387" t="s">
        <v>71</v>
      </c>
      <c r="D12387" t="s">
        <v>17</v>
      </c>
      <c r="E12387" s="6">
        <v>-28163</v>
      </c>
      <c r="F12387" t="s">
        <v>891</v>
      </c>
      <c r="G12387" t="s">
        <v>31</v>
      </c>
      <c r="H12387" t="s">
        <v>20</v>
      </c>
      <c r="I12387" t="s">
        <v>24147</v>
      </c>
      <c r="J12387" t="str">
        <f>HYPERLINK("https://www.boe.es/gazeta/dias/1822/11/21/pdfs/GMD-1822-341.pdf#page=3","Abrir facsímil")</f>
        <v>Abrir facsímil</v>
      </c>
      <c r="K12387" t="s">
        <v>22</v>
      </c>
    </row>
    <row r="12388" spans="1:11" ht="42" customHeight="1">
      <c r="A12388" t="s">
        <v>24148</v>
      </c>
      <c r="B12388" t="s">
        <v>24149</v>
      </c>
      <c r="C12388" t="s">
        <v>28</v>
      </c>
      <c r="D12388" t="s">
        <v>29</v>
      </c>
      <c r="E12388" s="6">
        <v>-28436</v>
      </c>
      <c r="F12388" t="s">
        <v>431</v>
      </c>
      <c r="G12388" t="s">
        <v>1428</v>
      </c>
      <c r="H12388" t="s">
        <v>20</v>
      </c>
      <c r="I12388" t="s">
        <v>24150</v>
      </c>
      <c r="J12388" t="str">
        <f>HYPERLINK("https://www.boe.es/gazeta/dias/1822/02/21/pdfs/GMD-1822-53.pdf#page=3","Abrir facsímil")</f>
        <v>Abrir facsímil</v>
      </c>
      <c r="K12388" t="s">
        <v>22</v>
      </c>
    </row>
    <row r="12389" spans="1:11" ht="42" customHeight="1">
      <c r="A12389" t="s">
        <v>24151</v>
      </c>
      <c r="B12389" t="s">
        <v>24152</v>
      </c>
      <c r="C12389" t="s">
        <v>28</v>
      </c>
      <c r="D12389" t="s">
        <v>29</v>
      </c>
      <c r="E12389" s="6">
        <v>-28199</v>
      </c>
      <c r="F12389" t="s">
        <v>656</v>
      </c>
      <c r="G12389" t="s">
        <v>19</v>
      </c>
      <c r="H12389" t="s">
        <v>20</v>
      </c>
      <c r="I12389" t="s">
        <v>24153</v>
      </c>
      <c r="J12389" t="str">
        <f>HYPERLINK("https://www.boe.es/gazeta/dias/1822/10/16/pdfs/GMD-1822-303.pdf#page=5","Abrir facsímil")</f>
        <v>Abrir facsímil</v>
      </c>
      <c r="K12389" t="s">
        <v>22</v>
      </c>
    </row>
    <row r="12390" spans="1:11" ht="42" customHeight="1">
      <c r="A12390" t="s">
        <v>24154</v>
      </c>
      <c r="B12390" t="s">
        <v>24155</v>
      </c>
      <c r="C12390" t="s">
        <v>28</v>
      </c>
      <c r="D12390" t="s">
        <v>29</v>
      </c>
      <c r="E12390" s="6">
        <v>-28395</v>
      </c>
      <c r="F12390" t="s">
        <v>237</v>
      </c>
      <c r="G12390" t="s">
        <v>57</v>
      </c>
      <c r="H12390" t="s">
        <v>20</v>
      </c>
      <c r="I12390" t="s">
        <v>24156</v>
      </c>
      <c r="J12390" t="str">
        <f>HYPERLINK("https://www.boe.es/gazeta/dias/1822/04/03/pdfs/GMD-1822-95.pdf#page=4","Abrir facsímil")</f>
        <v>Abrir facsímil</v>
      </c>
      <c r="K12390" t="s">
        <v>22</v>
      </c>
    </row>
    <row r="12391" spans="1:11" ht="42" customHeight="1">
      <c r="A12391" t="s">
        <v>24154</v>
      </c>
      <c r="B12391" t="s">
        <v>24155</v>
      </c>
      <c r="C12391" t="s">
        <v>50</v>
      </c>
      <c r="D12391" t="s">
        <v>51</v>
      </c>
      <c r="E12391" s="6">
        <v>-28322</v>
      </c>
      <c r="F12391" t="s">
        <v>2205</v>
      </c>
      <c r="G12391" t="s">
        <v>57</v>
      </c>
      <c r="H12391" t="s">
        <v>20</v>
      </c>
      <c r="I12391" t="s">
        <v>24157</v>
      </c>
      <c r="J12391" t="str">
        <f>HYPERLINK("https://www.boe.es/gazeta/dias/1822/06/15/pdfs/GMD-1822-172.pdf#page=4","Abrir facsímil")</f>
        <v>Abrir facsímil</v>
      </c>
      <c r="K12391" t="s">
        <v>22</v>
      </c>
    </row>
    <row r="12392" spans="1:11" ht="42" customHeight="1">
      <c r="A12392" t="s">
        <v>24154</v>
      </c>
      <c r="B12392" t="s">
        <v>24155</v>
      </c>
      <c r="C12392" t="s">
        <v>28</v>
      </c>
      <c r="D12392" t="s">
        <v>29</v>
      </c>
      <c r="E12392" s="6">
        <v>-28311</v>
      </c>
      <c r="F12392" t="s">
        <v>736</v>
      </c>
      <c r="G12392" t="s">
        <v>157</v>
      </c>
      <c r="H12392" t="s">
        <v>20</v>
      </c>
      <c r="I12392" t="s">
        <v>24158</v>
      </c>
      <c r="J12392" t="str">
        <f>HYPERLINK("https://www.boe.es/gazeta/dias/1822/06/26/pdfs/GMD-1822-184.pdf#page=8","Abrir facsímil")</f>
        <v>Abrir facsímil</v>
      </c>
      <c r="K12392" t="s">
        <v>22</v>
      </c>
    </row>
    <row r="12393" spans="1:11" ht="42" customHeight="1">
      <c r="A12393" t="s">
        <v>24159</v>
      </c>
      <c r="B12393" t="s">
        <v>24160</v>
      </c>
      <c r="C12393" t="s">
        <v>50</v>
      </c>
      <c r="D12393" t="s">
        <v>51</v>
      </c>
      <c r="E12393" s="6">
        <v>-28304</v>
      </c>
      <c r="F12393" t="s">
        <v>4502</v>
      </c>
      <c r="G12393" t="s">
        <v>31</v>
      </c>
      <c r="H12393" t="s">
        <v>45</v>
      </c>
      <c r="I12393" t="s">
        <v>24161</v>
      </c>
      <c r="J12393" t="str">
        <f>HYPERLINK("https://www.boe.es/gazeta/dias/1822/07/03/pdfs/GMD-1822-192.pdf#page=3","Abrir facsímil")</f>
        <v>Abrir facsímil</v>
      </c>
      <c r="K12393" t="s">
        <v>47</v>
      </c>
    </row>
    <row r="12394" spans="1:11" ht="42" customHeight="1">
      <c r="A12394" t="s">
        <v>24162</v>
      </c>
      <c r="B12394" t="s">
        <v>24163</v>
      </c>
      <c r="C12394" t="s">
        <v>42</v>
      </c>
      <c r="D12394" t="s">
        <v>17</v>
      </c>
      <c r="E12394" s="6">
        <v>-28324</v>
      </c>
      <c r="F12394" t="s">
        <v>305</v>
      </c>
      <c r="G12394" t="s">
        <v>63</v>
      </c>
      <c r="H12394" t="s">
        <v>20</v>
      </c>
      <c r="I12394" t="s">
        <v>24164</v>
      </c>
      <c r="J12394" t="str">
        <f>HYPERLINK("https://www.boe.es/gazeta/dias/1822/06/13/pdfs/GMD-1822-170.pdf#page=6","Abrir facsímil")</f>
        <v>Abrir facsímil</v>
      </c>
      <c r="K12394" t="s">
        <v>22</v>
      </c>
    </row>
    <row r="12395" spans="1:11" ht="42" customHeight="1">
      <c r="A12395" t="s">
        <v>24162</v>
      </c>
      <c r="B12395" t="s">
        <v>24163</v>
      </c>
      <c r="C12395" t="s">
        <v>24</v>
      </c>
      <c r="D12395" t="s">
        <v>17</v>
      </c>
      <c r="E12395" s="6">
        <v>-28300</v>
      </c>
      <c r="F12395" t="s">
        <v>6533</v>
      </c>
      <c r="G12395" t="s">
        <v>57</v>
      </c>
      <c r="H12395" t="s">
        <v>20</v>
      </c>
      <c r="I12395" t="s">
        <v>24165</v>
      </c>
      <c r="J12395" t="str">
        <f>HYPERLINK("https://www.boe.es/gazeta/dias/1822/07/07/pdfs/GMD-1822-196.pdf#page=4","Abrir facsímil")</f>
        <v>Abrir facsímil</v>
      </c>
      <c r="K12395" t="s">
        <v>22</v>
      </c>
    </row>
    <row r="12396" spans="1:11" ht="42" customHeight="1">
      <c r="A12396" t="s">
        <v>24162</v>
      </c>
      <c r="B12396" t="s">
        <v>24163</v>
      </c>
      <c r="C12396" t="s">
        <v>42</v>
      </c>
      <c r="D12396" t="s">
        <v>17</v>
      </c>
      <c r="E12396" s="6">
        <v>-28276</v>
      </c>
      <c r="F12396" t="s">
        <v>4746</v>
      </c>
      <c r="G12396" t="s">
        <v>57</v>
      </c>
      <c r="H12396" t="s">
        <v>20</v>
      </c>
      <c r="I12396" t="s">
        <v>24166</v>
      </c>
      <c r="J12396" t="str">
        <f>HYPERLINK("https://www.boe.es/gazeta/dias/1822/07/31/pdfs/GMD-1822-224.pdf#page=4","Abrir facsímil")</f>
        <v>Abrir facsímil</v>
      </c>
      <c r="K12396" t="s">
        <v>22</v>
      </c>
    </row>
    <row r="12397" spans="1:11" ht="42" customHeight="1">
      <c r="A12397" t="s">
        <v>24162</v>
      </c>
      <c r="B12397" t="s">
        <v>24163</v>
      </c>
      <c r="C12397" t="s">
        <v>28</v>
      </c>
      <c r="D12397" t="s">
        <v>29</v>
      </c>
      <c r="E12397" s="6">
        <v>-28270</v>
      </c>
      <c r="F12397" t="s">
        <v>130</v>
      </c>
      <c r="G12397" t="s">
        <v>131</v>
      </c>
      <c r="H12397" t="s">
        <v>20</v>
      </c>
      <c r="I12397" t="s">
        <v>24167</v>
      </c>
      <c r="J12397" t="str">
        <f>HYPERLINK("https://www.boe.es/gazeta/dias/1822/08/06/pdfs/GMD-1822-230.pdf#page=6","Abrir facsímil")</f>
        <v>Abrir facsímil</v>
      </c>
      <c r="K12397" t="s">
        <v>22</v>
      </c>
    </row>
    <row r="12398" spans="1:11" ht="42" customHeight="1">
      <c r="A12398" t="s">
        <v>24162</v>
      </c>
      <c r="B12398" t="s">
        <v>24163</v>
      </c>
      <c r="C12398" t="s">
        <v>28</v>
      </c>
      <c r="D12398" t="s">
        <v>29</v>
      </c>
      <c r="E12398" s="6">
        <v>-28239</v>
      </c>
      <c r="F12398" t="s">
        <v>3154</v>
      </c>
      <c r="G12398" t="s">
        <v>57</v>
      </c>
      <c r="H12398" t="s">
        <v>20</v>
      </c>
      <c r="I12398" t="s">
        <v>24168</v>
      </c>
      <c r="J12398" t="str">
        <f>HYPERLINK("https://www.boe.es/gazeta/dias/1822/09/06/pdfs/GMD-1822-261.pdf#page=4","Abrir facsímil")</f>
        <v>Abrir facsímil</v>
      </c>
      <c r="K12398" t="s">
        <v>22</v>
      </c>
    </row>
    <row r="12399" spans="1:11" ht="42" customHeight="1">
      <c r="A12399" t="s">
        <v>24162</v>
      </c>
      <c r="B12399" t="s">
        <v>24163</v>
      </c>
      <c r="C12399" t="s">
        <v>61</v>
      </c>
      <c r="D12399" t="s">
        <v>17</v>
      </c>
      <c r="E12399" s="6">
        <v>-28183</v>
      </c>
      <c r="F12399" t="s">
        <v>583</v>
      </c>
      <c r="G12399" t="s">
        <v>63</v>
      </c>
      <c r="H12399" t="s">
        <v>20</v>
      </c>
      <c r="I12399" t="s">
        <v>24169</v>
      </c>
      <c r="J12399" t="str">
        <f>HYPERLINK("https://www.boe.es/gazeta/dias/1822/11/01/pdfs/GMD-1822-319.pdf#page=6","Abrir facsímil")</f>
        <v>Abrir facsímil</v>
      </c>
      <c r="K12399" t="s">
        <v>22</v>
      </c>
    </row>
    <row r="12400" spans="1:11" ht="42" customHeight="1">
      <c r="A12400" t="s">
        <v>24170</v>
      </c>
      <c r="B12400" t="s">
        <v>24171</v>
      </c>
      <c r="C12400" t="s">
        <v>24</v>
      </c>
      <c r="D12400" t="s">
        <v>17</v>
      </c>
      <c r="E12400" s="6">
        <v>-28345</v>
      </c>
      <c r="F12400" t="s">
        <v>294</v>
      </c>
      <c r="G12400" t="s">
        <v>63</v>
      </c>
      <c r="H12400" t="s">
        <v>20</v>
      </c>
      <c r="I12400" t="s">
        <v>24172</v>
      </c>
      <c r="J12400" t="str">
        <f>HYPERLINK("https://www.boe.es/gazeta/dias/1822/05/23/pdfs/GMD-1822-147.pdf#page=6","Abrir facsímil")</f>
        <v>Abrir facsímil</v>
      </c>
      <c r="K12400" t="s">
        <v>22</v>
      </c>
    </row>
    <row r="12401" spans="1:11" ht="42" customHeight="1">
      <c r="A12401" t="s">
        <v>24173</v>
      </c>
      <c r="B12401" t="s">
        <v>24174</v>
      </c>
      <c r="C12401" t="s">
        <v>50</v>
      </c>
      <c r="D12401" t="s">
        <v>51</v>
      </c>
      <c r="E12401" s="6">
        <v>-28264</v>
      </c>
      <c r="F12401" t="s">
        <v>1329</v>
      </c>
      <c r="G12401" t="s">
        <v>57</v>
      </c>
      <c r="H12401" t="s">
        <v>20</v>
      </c>
      <c r="I12401" t="s">
        <v>24175</v>
      </c>
      <c r="J12401" t="str">
        <f>HYPERLINK("https://www.boe.es/gazeta/dias/1822/08/12/pdfs/GMD-1822-236.pdf#page=4","Abrir facsímil")</f>
        <v>Abrir facsímil</v>
      </c>
      <c r="K12401" t="s">
        <v>22</v>
      </c>
    </row>
    <row r="12402" spans="1:11" ht="42" customHeight="1">
      <c r="A12402" t="s">
        <v>24176</v>
      </c>
      <c r="B12402" t="s">
        <v>24177</v>
      </c>
      <c r="C12402" t="s">
        <v>28</v>
      </c>
      <c r="D12402" t="s">
        <v>29</v>
      </c>
      <c r="E12402" s="6">
        <v>-28473</v>
      </c>
      <c r="F12402" t="s">
        <v>2337</v>
      </c>
      <c r="G12402" t="s">
        <v>157</v>
      </c>
      <c r="H12402" t="s">
        <v>20</v>
      </c>
      <c r="I12402" t="s">
        <v>24178</v>
      </c>
      <c r="J12402" t="str">
        <f>HYPERLINK("https://www.boe.es/gazeta/dias/1822/01/15/pdfs/GMD-1822-15.pdf#page=8","Abrir facsímil")</f>
        <v>Abrir facsímil</v>
      </c>
      <c r="K12402" t="s">
        <v>22</v>
      </c>
    </row>
    <row r="12403" spans="1:11" ht="42" customHeight="1">
      <c r="A12403" t="s">
        <v>24179</v>
      </c>
      <c r="B12403" t="s">
        <v>24180</v>
      </c>
      <c r="C12403" t="s">
        <v>50</v>
      </c>
      <c r="D12403" t="s">
        <v>51</v>
      </c>
      <c r="E12403" s="6">
        <v>-28260</v>
      </c>
      <c r="F12403" t="s">
        <v>135</v>
      </c>
      <c r="G12403" t="s">
        <v>31</v>
      </c>
      <c r="H12403" t="s">
        <v>20</v>
      </c>
      <c r="I12403" t="s">
        <v>24181</v>
      </c>
      <c r="J12403" t="str">
        <f>HYPERLINK("https://www.boe.es/gazeta/dias/1822/08/16/pdfs/GMD-1822-240.pdf#page=3","Abrir facsímil")</f>
        <v>Abrir facsímil</v>
      </c>
      <c r="K12403" t="s">
        <v>22</v>
      </c>
    </row>
    <row r="12404" spans="1:11" ht="42" customHeight="1">
      <c r="A12404" t="s">
        <v>24182</v>
      </c>
      <c r="B12404" t="s">
        <v>24183</v>
      </c>
      <c r="C12404" t="s">
        <v>71</v>
      </c>
      <c r="D12404" t="s">
        <v>17</v>
      </c>
      <c r="E12404" s="6">
        <v>-28485</v>
      </c>
      <c r="F12404" t="s">
        <v>1117</v>
      </c>
      <c r="G12404" t="s">
        <v>1118</v>
      </c>
      <c r="H12404" t="s">
        <v>20</v>
      </c>
      <c r="I12404" t="s">
        <v>24184</v>
      </c>
      <c r="J12404" t="str">
        <f>HYPERLINK("https://www.boe.es/gazeta/dias/1822/01/03/pdfs/GMD-1822-3.pdf#page=2","Abrir facsímil")</f>
        <v>Abrir facsímil</v>
      </c>
      <c r="K12404" t="s">
        <v>22</v>
      </c>
    </row>
    <row r="12405" spans="1:11" ht="42" customHeight="1">
      <c r="A12405" t="s">
        <v>24182</v>
      </c>
      <c r="B12405" t="s">
        <v>24183</v>
      </c>
      <c r="C12405" t="s">
        <v>16</v>
      </c>
      <c r="D12405" t="s">
        <v>17</v>
      </c>
      <c r="E12405" s="6">
        <v>-28475</v>
      </c>
      <c r="F12405" t="s">
        <v>1205</v>
      </c>
      <c r="G12405" t="s">
        <v>907</v>
      </c>
      <c r="H12405" t="s">
        <v>20</v>
      </c>
      <c r="I12405" t="s">
        <v>24185</v>
      </c>
      <c r="J12405" t="str">
        <f>HYPERLINK("https://www.boe.es/gazeta/dias/1822/01/13/pdfs/GMD-1822-13.pdf#page=5","Abrir facsímil")</f>
        <v>Abrir facsímil</v>
      </c>
      <c r="K12405" t="s">
        <v>22</v>
      </c>
    </row>
    <row r="12406" spans="1:11" ht="42" customHeight="1">
      <c r="A12406" t="s">
        <v>24186</v>
      </c>
      <c r="B12406" t="s">
        <v>24187</v>
      </c>
      <c r="C12406" t="s">
        <v>50</v>
      </c>
      <c r="D12406" t="s">
        <v>51</v>
      </c>
      <c r="E12406" s="6">
        <v>-28130</v>
      </c>
      <c r="F12406" t="s">
        <v>34</v>
      </c>
      <c r="G12406" t="s">
        <v>63</v>
      </c>
      <c r="H12406" t="s">
        <v>20</v>
      </c>
      <c r="I12406" t="s">
        <v>24188</v>
      </c>
      <c r="J12406" t="str">
        <f>HYPERLINK("https://www.boe.es/gazeta/dias/1822/12/24/pdfs/GMD-1822-374.pdf#page=6","Abrir facsímil")</f>
        <v>Abrir facsímil</v>
      </c>
      <c r="K12406" t="s">
        <v>22</v>
      </c>
    </row>
    <row r="12407" spans="1:11" ht="42" customHeight="1">
      <c r="A12407" t="s">
        <v>24189</v>
      </c>
      <c r="B12407" t="s">
        <v>24190</v>
      </c>
      <c r="C12407" t="s">
        <v>24</v>
      </c>
      <c r="D12407" t="s">
        <v>17</v>
      </c>
      <c r="E12407" s="6">
        <v>-28395</v>
      </c>
      <c r="F12407" t="s">
        <v>237</v>
      </c>
      <c r="G12407" t="s">
        <v>57</v>
      </c>
      <c r="H12407" t="s">
        <v>20</v>
      </c>
      <c r="I12407" t="s">
        <v>24191</v>
      </c>
      <c r="J12407" t="str">
        <f>HYPERLINK("https://www.boe.es/gazeta/dias/1822/04/03/pdfs/GMD-1822-95.pdf#page=4","Abrir facsímil")</f>
        <v>Abrir facsímil</v>
      </c>
      <c r="K12407" t="s">
        <v>22</v>
      </c>
    </row>
    <row r="12408" spans="1:11" ht="42" customHeight="1">
      <c r="A12408" t="s">
        <v>24189</v>
      </c>
      <c r="B12408" t="s">
        <v>24190</v>
      </c>
      <c r="C12408" t="s">
        <v>50</v>
      </c>
      <c r="D12408" t="s">
        <v>51</v>
      </c>
      <c r="E12408" s="6">
        <v>-28388</v>
      </c>
      <c r="F12408" t="s">
        <v>1268</v>
      </c>
      <c r="G12408" t="s">
        <v>57</v>
      </c>
      <c r="H12408" t="s">
        <v>20</v>
      </c>
      <c r="I12408" t="s">
        <v>24192</v>
      </c>
      <c r="J12408" t="str">
        <f>HYPERLINK("https://www.boe.es/gazeta/dias/1822/04/10/pdfs/GMD-1822-102.pdf#page=4","Abrir facsímil")</f>
        <v>Abrir facsímil</v>
      </c>
      <c r="K12408" t="s">
        <v>22</v>
      </c>
    </row>
    <row r="12409" spans="1:11" ht="42" customHeight="1">
      <c r="A12409" t="s">
        <v>24193</v>
      </c>
      <c r="B12409" t="s">
        <v>24194</v>
      </c>
      <c r="C12409" t="s">
        <v>28</v>
      </c>
      <c r="D12409" t="s">
        <v>29</v>
      </c>
      <c r="E12409" s="6">
        <v>-28272</v>
      </c>
      <c r="F12409" t="s">
        <v>52</v>
      </c>
      <c r="G12409" t="s">
        <v>57</v>
      </c>
      <c r="H12409" t="s">
        <v>20</v>
      </c>
      <c r="I12409" t="s">
        <v>24195</v>
      </c>
      <c r="J12409" t="str">
        <f>HYPERLINK("https://www.boe.es/gazeta/dias/1822/08/04/pdfs/GMD-1822-228.pdf#page=4","Abrir facsímil")</f>
        <v>Abrir facsímil</v>
      </c>
      <c r="K12409" t="s">
        <v>22</v>
      </c>
    </row>
    <row r="12410" spans="1:11" ht="42" customHeight="1">
      <c r="A12410" t="s">
        <v>24196</v>
      </c>
      <c r="B12410" t="s">
        <v>24197</v>
      </c>
      <c r="C12410" t="s">
        <v>50</v>
      </c>
      <c r="D12410" t="s">
        <v>51</v>
      </c>
      <c r="E12410" s="6">
        <v>-28437</v>
      </c>
      <c r="F12410" t="s">
        <v>2192</v>
      </c>
      <c r="G12410" t="s">
        <v>31</v>
      </c>
      <c r="H12410" t="s">
        <v>20</v>
      </c>
      <c r="I12410" t="s">
        <v>24198</v>
      </c>
      <c r="J12410" t="str">
        <f>HYPERLINK("https://www.boe.es/gazeta/dias/1822/02/20/pdfs/GMD-1822-52.pdf#page=3","Abrir facsímil")</f>
        <v>Abrir facsímil</v>
      </c>
      <c r="K12410" t="s">
        <v>22</v>
      </c>
    </row>
    <row r="12411" spans="1:11" ht="42" customHeight="1">
      <c r="A12411" t="s">
        <v>24199</v>
      </c>
      <c r="B12411" t="s">
        <v>24200</v>
      </c>
      <c r="C12411" t="s">
        <v>61</v>
      </c>
      <c r="D12411" t="s">
        <v>17</v>
      </c>
      <c r="E12411" s="6">
        <v>-28208</v>
      </c>
      <c r="F12411" t="s">
        <v>230</v>
      </c>
      <c r="G12411" t="s">
        <v>57</v>
      </c>
      <c r="H12411" t="s">
        <v>20</v>
      </c>
      <c r="I12411" t="s">
        <v>24201</v>
      </c>
      <c r="J12411" t="str">
        <f>HYPERLINK("https://www.boe.es/gazeta/dias/1822/10/07/pdfs/GMD-1822-293.pdf#page=4","Abrir facsímil")</f>
        <v>Abrir facsímil</v>
      </c>
      <c r="K12411" t="s">
        <v>22</v>
      </c>
    </row>
    <row r="12412" spans="1:11" ht="42" customHeight="1">
      <c r="A12412" t="s">
        <v>24202</v>
      </c>
      <c r="B12412" t="s">
        <v>24202</v>
      </c>
      <c r="C12412" t="s">
        <v>50</v>
      </c>
      <c r="D12412" t="s">
        <v>51</v>
      </c>
      <c r="E12412" s="6">
        <v>-28394</v>
      </c>
      <c r="F12412" t="s">
        <v>268</v>
      </c>
      <c r="G12412" t="s">
        <v>57</v>
      </c>
      <c r="H12412" t="s">
        <v>20</v>
      </c>
      <c r="I12412" t="s">
        <v>24203</v>
      </c>
      <c r="J12412" t="str">
        <f>HYPERLINK("https://www.boe.es/gazeta/dias/1822/04/04/pdfs/GMD-1822-96.pdf#page=4","Abrir facsímil")</f>
        <v>Abrir facsímil</v>
      </c>
      <c r="K12412" t="s">
        <v>22</v>
      </c>
    </row>
    <row r="12413" spans="1:11" ht="42" customHeight="1">
      <c r="A12413" t="s">
        <v>24204</v>
      </c>
      <c r="B12413" t="s">
        <v>24205</v>
      </c>
      <c r="C12413" t="s">
        <v>50</v>
      </c>
      <c r="D12413" t="s">
        <v>51</v>
      </c>
      <c r="E12413" s="6">
        <v>-28308</v>
      </c>
      <c r="F12413" t="s">
        <v>1050</v>
      </c>
      <c r="G12413" t="s">
        <v>167</v>
      </c>
      <c r="H12413" t="s">
        <v>20</v>
      </c>
      <c r="I12413" t="s">
        <v>24206</v>
      </c>
      <c r="J12413" t="str">
        <f>HYPERLINK("https://www.boe.es/gazeta/dias/1822/06/29/pdfs/GMD-1822-187.pdf#page=7","Abrir facsímil")</f>
        <v>Abrir facsímil</v>
      </c>
      <c r="K12413" t="s">
        <v>22</v>
      </c>
    </row>
    <row r="12414" spans="1:11" ht="42" customHeight="1">
      <c r="A12414" t="s">
        <v>24207</v>
      </c>
      <c r="B12414" t="s">
        <v>24207</v>
      </c>
      <c r="C12414" t="s">
        <v>50</v>
      </c>
      <c r="D12414" t="s">
        <v>51</v>
      </c>
      <c r="E12414" s="6">
        <v>-28245</v>
      </c>
      <c r="F12414" t="s">
        <v>2307</v>
      </c>
      <c r="G12414" t="s">
        <v>44</v>
      </c>
      <c r="H12414" t="s">
        <v>20</v>
      </c>
      <c r="I12414" t="s">
        <v>24208</v>
      </c>
      <c r="J12414" t="str">
        <f>HYPERLINK("https://www.boe.es/gazeta/dias/1822/08/31/pdfs/GMD-1822-255.pdf#page=1","Abrir facsímil")</f>
        <v>Abrir facsímil</v>
      </c>
      <c r="K12414" t="s">
        <v>22</v>
      </c>
    </row>
    <row r="12415" spans="1:11" ht="42" customHeight="1">
      <c r="A12415" t="s">
        <v>24209</v>
      </c>
      <c r="B12415" t="s">
        <v>24210</v>
      </c>
      <c r="C12415" t="s">
        <v>50</v>
      </c>
      <c r="D12415" t="s">
        <v>51</v>
      </c>
      <c r="E12415" s="6">
        <v>-28123</v>
      </c>
      <c r="F12415" t="s">
        <v>603</v>
      </c>
      <c r="G12415" t="s">
        <v>2642</v>
      </c>
      <c r="H12415" t="s">
        <v>20</v>
      </c>
      <c r="I12415" t="s">
        <v>24211</v>
      </c>
      <c r="J12415" t="str">
        <f>HYPERLINK("https://www.boe.es/gazeta/dias/1822/12/31/pdfs/GMD-1822-381.pdf#page=6","Abrir facsímil")</f>
        <v>Abrir facsímil</v>
      </c>
      <c r="K12415" t="s">
        <v>22</v>
      </c>
    </row>
    <row r="12416" spans="1:11" ht="42" customHeight="1">
      <c r="A12416" t="s">
        <v>24212</v>
      </c>
      <c r="B12416" t="s">
        <v>24212</v>
      </c>
      <c r="C12416" t="s">
        <v>71</v>
      </c>
      <c r="D12416" t="s">
        <v>17</v>
      </c>
      <c r="E12416" s="6">
        <v>-28394</v>
      </c>
      <c r="F12416" t="s">
        <v>268</v>
      </c>
      <c r="G12416" t="s">
        <v>31</v>
      </c>
      <c r="H12416" t="s">
        <v>20</v>
      </c>
      <c r="I12416" t="s">
        <v>24213</v>
      </c>
      <c r="J12416" t="str">
        <f>HYPERLINK("https://www.boe.es/gazeta/dias/1822/04/04/pdfs/GMD-1822-96.pdf#page=3","Abrir facsímil")</f>
        <v>Abrir facsímil</v>
      </c>
      <c r="K12416" t="s">
        <v>22</v>
      </c>
    </row>
    <row r="12417" spans="1:11" ht="42" customHeight="1">
      <c r="A12417" t="s">
        <v>24214</v>
      </c>
      <c r="B12417" t="s">
        <v>24214</v>
      </c>
      <c r="C12417" t="s">
        <v>42</v>
      </c>
      <c r="D12417" t="s">
        <v>17</v>
      </c>
      <c r="E12417" s="6">
        <v>-28199</v>
      </c>
      <c r="F12417" t="s">
        <v>656</v>
      </c>
      <c r="G12417" t="s">
        <v>19</v>
      </c>
      <c r="H12417" t="s">
        <v>20</v>
      </c>
      <c r="I12417" t="s">
        <v>24215</v>
      </c>
      <c r="J12417" t="str">
        <f>HYPERLINK("https://www.boe.es/gazeta/dias/1822/10/16/pdfs/GMD-1822-303.pdf#page=5","Abrir facsímil")</f>
        <v>Abrir facsímil</v>
      </c>
      <c r="K12417" t="s">
        <v>22</v>
      </c>
    </row>
    <row r="12418" spans="1:11" ht="42" customHeight="1">
      <c r="A12418" t="s">
        <v>24216</v>
      </c>
      <c r="B12418" t="s">
        <v>24217</v>
      </c>
      <c r="C12418" t="s">
        <v>61</v>
      </c>
      <c r="D12418" t="s">
        <v>17</v>
      </c>
      <c r="E12418" s="6">
        <v>-28257</v>
      </c>
      <c r="F12418" t="s">
        <v>1171</v>
      </c>
      <c r="G12418" t="s">
        <v>1172</v>
      </c>
      <c r="H12418" t="s">
        <v>20</v>
      </c>
      <c r="I12418" t="s">
        <v>24218</v>
      </c>
      <c r="J12418" t="str">
        <f>HYPERLINK("https://www.boe.es/gazeta/dias/1822/08/19/pdfs/GMD-1822-243.pdf#page=4","Abrir facsímil")</f>
        <v>Abrir facsímil</v>
      </c>
      <c r="K12418" t="s">
        <v>22</v>
      </c>
    </row>
    <row r="12419" spans="1:11" ht="42" customHeight="1">
      <c r="A12419" t="s">
        <v>24219</v>
      </c>
      <c r="B12419" t="s">
        <v>24219</v>
      </c>
      <c r="C12419" t="s">
        <v>28</v>
      </c>
      <c r="D12419" t="s">
        <v>29</v>
      </c>
      <c r="E12419" s="6">
        <v>-28403</v>
      </c>
      <c r="F12419" t="s">
        <v>471</v>
      </c>
      <c r="G12419" t="s">
        <v>31</v>
      </c>
      <c r="H12419" t="s">
        <v>20</v>
      </c>
      <c r="I12419" t="s">
        <v>24220</v>
      </c>
      <c r="J12419" t="str">
        <f>HYPERLINK("https://www.boe.es/gazeta/dias/1822/03/26/pdfs/GMD-1822-87.pdf#page=3","Abrir facsímil")</f>
        <v>Abrir facsímil</v>
      </c>
      <c r="K12419" t="s">
        <v>22</v>
      </c>
    </row>
    <row r="12420" spans="1:11" ht="42" customHeight="1">
      <c r="A12420" t="s">
        <v>24219</v>
      </c>
      <c r="B12420" t="s">
        <v>24219</v>
      </c>
      <c r="C12420" t="s">
        <v>42</v>
      </c>
      <c r="D12420" t="s">
        <v>17</v>
      </c>
      <c r="E12420" s="6">
        <v>-28338</v>
      </c>
      <c r="F12420" t="s">
        <v>527</v>
      </c>
      <c r="G12420" t="s">
        <v>57</v>
      </c>
      <c r="H12420" t="s">
        <v>20</v>
      </c>
      <c r="I12420" t="s">
        <v>24221</v>
      </c>
      <c r="J12420" t="str">
        <f>HYPERLINK("https://www.boe.es/gazeta/dias/1822/05/30/pdfs/GMD-1822-155.pdf#page=4","Abrir facsímil")</f>
        <v>Abrir facsímil</v>
      </c>
      <c r="K12420" t="s">
        <v>22</v>
      </c>
    </row>
    <row r="12421" spans="1:11" ht="42" customHeight="1">
      <c r="A12421" t="s">
        <v>24222</v>
      </c>
      <c r="B12421" t="s">
        <v>24223</v>
      </c>
      <c r="C12421" t="s">
        <v>28</v>
      </c>
      <c r="D12421" t="s">
        <v>29</v>
      </c>
      <c r="E12421" s="6">
        <v>-28309</v>
      </c>
      <c r="F12421" t="s">
        <v>553</v>
      </c>
      <c r="G12421" t="s">
        <v>157</v>
      </c>
      <c r="H12421" t="s">
        <v>45</v>
      </c>
      <c r="I12421" t="s">
        <v>24224</v>
      </c>
      <c r="J12421" t="str">
        <f>HYPERLINK("https://www.boe.es/gazeta/dias/1822/06/28/pdfs/GMD-1822-186.pdf#page=8","Abrir facsímil")</f>
        <v>Abrir facsímil</v>
      </c>
      <c r="K12421" t="s">
        <v>47</v>
      </c>
    </row>
    <row r="12422" spans="1:11" ht="42" customHeight="1">
      <c r="A12422" t="s">
        <v>24225</v>
      </c>
      <c r="B12422" t="s">
        <v>24225</v>
      </c>
      <c r="C12422" t="s">
        <v>1141</v>
      </c>
      <c r="D12422" t="s">
        <v>29</v>
      </c>
      <c r="E12422" s="6">
        <v>-28315</v>
      </c>
      <c r="F12422" t="s">
        <v>1220</v>
      </c>
      <c r="G12422" t="s">
        <v>57</v>
      </c>
      <c r="H12422" t="s">
        <v>20</v>
      </c>
      <c r="I12422" t="s">
        <v>24226</v>
      </c>
      <c r="J12422" t="str">
        <f>HYPERLINK("https://www.boe.es/gazeta/dias/1822/06/22/pdfs/GMD-1822-180.pdf#page=4","Abrir facsímil")</f>
        <v>Abrir facsímil</v>
      </c>
      <c r="K12422" t="s">
        <v>22</v>
      </c>
    </row>
    <row r="12423" spans="1:11" ht="42" customHeight="1">
      <c r="A12423" t="s">
        <v>24227</v>
      </c>
      <c r="B12423" t="s">
        <v>24227</v>
      </c>
      <c r="C12423" t="s">
        <v>42</v>
      </c>
      <c r="D12423" t="s">
        <v>17</v>
      </c>
      <c r="E12423" s="6">
        <v>-28423</v>
      </c>
      <c r="F12423" t="s">
        <v>441</v>
      </c>
      <c r="G12423" t="s">
        <v>35</v>
      </c>
      <c r="H12423" t="s">
        <v>20</v>
      </c>
      <c r="I12423" t="s">
        <v>24228</v>
      </c>
      <c r="J12423" t="str">
        <f>HYPERLINK("https://www.boe.es/gazeta/dias/1822/03/06/pdfs/GMD-1822-67.pdf#page=2","Abrir facsímil")</f>
        <v>Abrir facsímil</v>
      </c>
      <c r="K12423" t="s">
        <v>22</v>
      </c>
    </row>
    <row r="12424" spans="1:11" ht="42" customHeight="1">
      <c r="A12424" t="s">
        <v>24227</v>
      </c>
      <c r="B12424" t="s">
        <v>24227</v>
      </c>
      <c r="C12424" t="s">
        <v>42</v>
      </c>
      <c r="D12424" t="s">
        <v>17</v>
      </c>
      <c r="E12424" s="6">
        <v>-28423</v>
      </c>
      <c r="F12424" t="s">
        <v>441</v>
      </c>
      <c r="G12424" t="s">
        <v>19</v>
      </c>
      <c r="H12424" t="s">
        <v>20</v>
      </c>
      <c r="I12424" t="s">
        <v>24229</v>
      </c>
      <c r="J12424" t="str">
        <f>HYPERLINK("https://www.boe.es/gazeta/dias/1822/03/06/pdfs/GMD-1822-67.pdf#page=5","Abrir facsímil")</f>
        <v>Abrir facsímil</v>
      </c>
      <c r="K12424" t="s">
        <v>22</v>
      </c>
    </row>
    <row r="12425" spans="1:11" ht="42" customHeight="1">
      <c r="A12425" t="s">
        <v>24227</v>
      </c>
      <c r="B12425" t="s">
        <v>24227</v>
      </c>
      <c r="C12425" t="s">
        <v>50</v>
      </c>
      <c r="D12425" t="s">
        <v>51</v>
      </c>
      <c r="E12425" s="6">
        <v>-28419</v>
      </c>
      <c r="F12425" t="s">
        <v>1392</v>
      </c>
      <c r="G12425" t="s">
        <v>57</v>
      </c>
      <c r="H12425" t="s">
        <v>20</v>
      </c>
      <c r="I12425" t="s">
        <v>24230</v>
      </c>
      <c r="J12425" t="str">
        <f>HYPERLINK("https://www.boe.es/gazeta/dias/1822/03/10/pdfs/GMD-1822-71.pdf#page=4","Abrir facsímil")</f>
        <v>Abrir facsímil</v>
      </c>
      <c r="K12425" t="s">
        <v>22</v>
      </c>
    </row>
    <row r="12426" spans="1:11" ht="42" customHeight="1">
      <c r="A12426" t="s">
        <v>24227</v>
      </c>
      <c r="B12426" t="s">
        <v>24227</v>
      </c>
      <c r="C12426" t="s">
        <v>50</v>
      </c>
      <c r="D12426" t="s">
        <v>51</v>
      </c>
      <c r="E12426" s="6">
        <v>-28414</v>
      </c>
      <c r="F12426" t="s">
        <v>187</v>
      </c>
      <c r="G12426" t="s">
        <v>57</v>
      </c>
      <c r="H12426" t="s">
        <v>20</v>
      </c>
      <c r="I12426" t="s">
        <v>24231</v>
      </c>
      <c r="J12426" t="str">
        <f>HYPERLINK("https://www.boe.es/gazeta/dias/1822/03/15/pdfs/GMD-1822-76.pdf#page=4","Abrir facsímil")</f>
        <v>Abrir facsímil</v>
      </c>
      <c r="K12426" t="s">
        <v>22</v>
      </c>
    </row>
    <row r="12427" spans="1:11" ht="42" customHeight="1">
      <c r="A12427" t="s">
        <v>24232</v>
      </c>
      <c r="B12427" t="s">
        <v>24232</v>
      </c>
      <c r="C12427" t="s">
        <v>50</v>
      </c>
      <c r="D12427" t="s">
        <v>51</v>
      </c>
      <c r="E12427" s="6">
        <v>-28414</v>
      </c>
      <c r="F12427" t="s">
        <v>187</v>
      </c>
      <c r="G12427" t="s">
        <v>19</v>
      </c>
      <c r="H12427" t="s">
        <v>20</v>
      </c>
      <c r="I12427" t="s">
        <v>24233</v>
      </c>
      <c r="J12427" t="str">
        <f>HYPERLINK("https://www.boe.es/gazeta/dias/1822/03/15/pdfs/GMD-1822-76.pdf#page=5","Abrir facsímil")</f>
        <v>Abrir facsímil</v>
      </c>
      <c r="K12427" t="s">
        <v>22</v>
      </c>
    </row>
    <row r="12428" spans="1:11" ht="42" customHeight="1">
      <c r="A12428" t="s">
        <v>24227</v>
      </c>
      <c r="B12428" t="s">
        <v>24227</v>
      </c>
      <c r="C12428" t="s">
        <v>42</v>
      </c>
      <c r="D12428" t="s">
        <v>17</v>
      </c>
      <c r="E12428" s="6">
        <v>-28411</v>
      </c>
      <c r="F12428" t="s">
        <v>1509</v>
      </c>
      <c r="G12428" t="s">
        <v>31</v>
      </c>
      <c r="H12428" t="s">
        <v>20</v>
      </c>
      <c r="I12428" t="s">
        <v>24234</v>
      </c>
      <c r="J12428" t="str">
        <f>HYPERLINK("https://www.boe.es/gazeta/dias/1822/03/18/pdfs/GMD-1822-79.pdf#page=3","Abrir facsímil")</f>
        <v>Abrir facsímil</v>
      </c>
      <c r="K12428" t="s">
        <v>22</v>
      </c>
    </row>
    <row r="12429" spans="1:11" ht="42" customHeight="1">
      <c r="A12429" t="s">
        <v>24227</v>
      </c>
      <c r="B12429" t="s">
        <v>24227</v>
      </c>
      <c r="C12429" t="s">
        <v>71</v>
      </c>
      <c r="D12429" t="s">
        <v>17</v>
      </c>
      <c r="E12429" s="6">
        <v>-28402</v>
      </c>
      <c r="F12429" t="s">
        <v>473</v>
      </c>
      <c r="G12429" t="s">
        <v>35</v>
      </c>
      <c r="H12429" t="s">
        <v>20</v>
      </c>
      <c r="I12429" t="s">
        <v>24235</v>
      </c>
      <c r="J12429" t="str">
        <f>HYPERLINK("https://www.boe.es/gazeta/dias/1822/03/27/pdfs/GMD-1822-88.pdf#page=2","Abrir facsímil")</f>
        <v>Abrir facsímil</v>
      </c>
      <c r="K12429" t="s">
        <v>22</v>
      </c>
    </row>
    <row r="12430" spans="1:11" ht="42" customHeight="1">
      <c r="A12430" t="s">
        <v>24227</v>
      </c>
      <c r="B12430" t="s">
        <v>24227</v>
      </c>
      <c r="C12430" t="s">
        <v>16</v>
      </c>
      <c r="D12430" t="s">
        <v>17</v>
      </c>
      <c r="E12430" s="6">
        <v>-28380</v>
      </c>
      <c r="F12430" t="s">
        <v>492</v>
      </c>
      <c r="G12430" t="s">
        <v>31</v>
      </c>
      <c r="H12430" t="s">
        <v>20</v>
      </c>
      <c r="I12430" t="s">
        <v>24236</v>
      </c>
      <c r="J12430" t="str">
        <f>HYPERLINK("https://www.boe.es/gazeta/dias/1822/04/18/pdfs/GMD-1822-110.pdf#page=3","Abrir facsímil")</f>
        <v>Abrir facsímil</v>
      </c>
      <c r="K12430" t="s">
        <v>22</v>
      </c>
    </row>
    <row r="12431" spans="1:11" ht="42" customHeight="1">
      <c r="A12431" t="s">
        <v>24227</v>
      </c>
      <c r="B12431" t="s">
        <v>24227</v>
      </c>
      <c r="C12431" t="s">
        <v>42</v>
      </c>
      <c r="D12431" t="s">
        <v>17</v>
      </c>
      <c r="E12431" s="6">
        <v>-28380</v>
      </c>
      <c r="F12431" t="s">
        <v>492</v>
      </c>
      <c r="G12431" t="s">
        <v>57</v>
      </c>
      <c r="H12431" t="s">
        <v>20</v>
      </c>
      <c r="I12431" t="s">
        <v>24237</v>
      </c>
      <c r="J12431" t="str">
        <f>HYPERLINK("https://www.boe.es/gazeta/dias/1822/04/18/pdfs/GMD-1822-110.pdf#page=4","Abrir facsímil")</f>
        <v>Abrir facsímil</v>
      </c>
      <c r="K12431" t="s">
        <v>22</v>
      </c>
    </row>
    <row r="12432" spans="1:11" ht="42" customHeight="1">
      <c r="A12432" t="s">
        <v>24227</v>
      </c>
      <c r="B12432" t="s">
        <v>24227</v>
      </c>
      <c r="C12432" t="s">
        <v>71</v>
      </c>
      <c r="D12432" t="s">
        <v>17</v>
      </c>
      <c r="E12432" s="6">
        <v>-28379</v>
      </c>
      <c r="F12432" t="s">
        <v>494</v>
      </c>
      <c r="G12432" t="s">
        <v>57</v>
      </c>
      <c r="H12432" t="s">
        <v>20</v>
      </c>
      <c r="I12432" t="s">
        <v>24238</v>
      </c>
      <c r="J12432" t="str">
        <f>HYPERLINK("https://www.boe.es/gazeta/dias/1822/04/19/pdfs/GMD-1822-111.pdf#page=4","Abrir facsímil")</f>
        <v>Abrir facsímil</v>
      </c>
      <c r="K12432" t="s">
        <v>22</v>
      </c>
    </row>
    <row r="12433" spans="1:11" ht="42" customHeight="1">
      <c r="A12433" t="s">
        <v>24227</v>
      </c>
      <c r="B12433" t="s">
        <v>24227</v>
      </c>
      <c r="C12433" t="s">
        <v>50</v>
      </c>
      <c r="D12433" t="s">
        <v>51</v>
      </c>
      <c r="E12433" s="6">
        <v>-28379</v>
      </c>
      <c r="F12433" t="s">
        <v>494</v>
      </c>
      <c r="G12433" t="s">
        <v>19</v>
      </c>
      <c r="H12433" t="s">
        <v>20</v>
      </c>
      <c r="I12433" t="s">
        <v>24239</v>
      </c>
      <c r="J12433" t="str">
        <f>HYPERLINK("https://www.boe.es/gazeta/dias/1822/04/19/pdfs/GMD-1822-111.pdf#page=5","Abrir facsímil")</f>
        <v>Abrir facsímil</v>
      </c>
      <c r="K12433" t="s">
        <v>22</v>
      </c>
    </row>
    <row r="12434" spans="1:11" ht="42" customHeight="1">
      <c r="A12434" t="s">
        <v>24227</v>
      </c>
      <c r="B12434" t="s">
        <v>24227</v>
      </c>
      <c r="C12434" t="s">
        <v>50</v>
      </c>
      <c r="D12434" t="s">
        <v>51</v>
      </c>
      <c r="E12434" s="6">
        <v>-28372</v>
      </c>
      <c r="F12434" t="s">
        <v>503</v>
      </c>
      <c r="G12434" t="s">
        <v>19</v>
      </c>
      <c r="H12434" t="s">
        <v>20</v>
      </c>
      <c r="I12434" t="s">
        <v>24240</v>
      </c>
      <c r="J12434" t="str">
        <f>HYPERLINK("https://www.boe.es/gazeta/dias/1822/04/26/pdfs/GMD-1822-118.pdf#page=5","Abrir facsímil")</f>
        <v>Abrir facsímil</v>
      </c>
      <c r="K12434" t="s">
        <v>22</v>
      </c>
    </row>
    <row r="12435" spans="1:11" ht="42" customHeight="1">
      <c r="A12435" t="s">
        <v>24227</v>
      </c>
      <c r="B12435" t="s">
        <v>24227</v>
      </c>
      <c r="C12435" t="s">
        <v>71</v>
      </c>
      <c r="D12435" t="s">
        <v>17</v>
      </c>
      <c r="E12435" s="6">
        <v>-28370</v>
      </c>
      <c r="F12435" t="s">
        <v>207</v>
      </c>
      <c r="G12435" t="s">
        <v>35</v>
      </c>
      <c r="H12435" t="s">
        <v>20</v>
      </c>
      <c r="I12435" t="s">
        <v>24241</v>
      </c>
      <c r="J12435" t="str">
        <f>HYPERLINK("https://www.boe.es/gazeta/dias/1822/04/28/pdfs/GMD-1822-120.pdf#page=2","Abrir facsímil")</f>
        <v>Abrir facsímil</v>
      </c>
      <c r="K12435" t="s">
        <v>22</v>
      </c>
    </row>
    <row r="12436" spans="1:11" ht="42" customHeight="1">
      <c r="A12436" t="s">
        <v>24227</v>
      </c>
      <c r="B12436" t="s">
        <v>24227</v>
      </c>
      <c r="C12436" t="s">
        <v>50</v>
      </c>
      <c r="D12436" t="s">
        <v>51</v>
      </c>
      <c r="E12436" s="6">
        <v>-28363</v>
      </c>
      <c r="F12436" t="s">
        <v>72</v>
      </c>
      <c r="G12436" t="s">
        <v>57</v>
      </c>
      <c r="H12436" t="s">
        <v>20</v>
      </c>
      <c r="I12436" t="s">
        <v>24242</v>
      </c>
      <c r="J12436" t="str">
        <f>HYPERLINK("https://www.boe.es/gazeta/dias/1822/05/05/pdfs/GMD-1822-127.pdf#page=4","Abrir facsímil")</f>
        <v>Abrir facsímil</v>
      </c>
      <c r="K12436" t="s">
        <v>22</v>
      </c>
    </row>
    <row r="12437" spans="1:11" ht="42" customHeight="1">
      <c r="A12437" t="s">
        <v>24227</v>
      </c>
      <c r="B12437" t="s">
        <v>24227</v>
      </c>
      <c r="C12437" t="s">
        <v>50</v>
      </c>
      <c r="D12437" t="s">
        <v>51</v>
      </c>
      <c r="E12437" s="6">
        <v>-28359</v>
      </c>
      <c r="F12437" t="s">
        <v>209</v>
      </c>
      <c r="G12437" t="s">
        <v>35</v>
      </c>
      <c r="H12437" t="s">
        <v>20</v>
      </c>
      <c r="I12437" t="s">
        <v>24243</v>
      </c>
      <c r="J12437" t="str">
        <f>HYPERLINK("https://www.boe.es/gazeta/dias/1822/05/09/pdfs/GMD-1822-131.pdf#page=2","Abrir facsímil")</f>
        <v>Abrir facsímil</v>
      </c>
      <c r="K12437" t="s">
        <v>22</v>
      </c>
    </row>
    <row r="12438" spans="1:11" ht="42" customHeight="1">
      <c r="A12438" t="s">
        <v>24227</v>
      </c>
      <c r="B12438" t="s">
        <v>24227</v>
      </c>
      <c r="C12438" t="s">
        <v>28</v>
      </c>
      <c r="D12438" t="s">
        <v>29</v>
      </c>
      <c r="E12438" s="6">
        <v>-28359</v>
      </c>
      <c r="F12438" t="s">
        <v>209</v>
      </c>
      <c r="G12438" t="s">
        <v>19</v>
      </c>
      <c r="H12438" t="s">
        <v>20</v>
      </c>
      <c r="I12438" t="s">
        <v>24244</v>
      </c>
      <c r="J12438" t="str">
        <f>HYPERLINK("https://www.boe.es/gazeta/dias/1822/05/09/pdfs/GMD-1822-131.pdf#page=5","Abrir facsímil")</f>
        <v>Abrir facsímil</v>
      </c>
      <c r="K12438" t="s">
        <v>22</v>
      </c>
    </row>
    <row r="12439" spans="1:11" ht="42" customHeight="1">
      <c r="A12439" t="s">
        <v>24227</v>
      </c>
      <c r="B12439" t="s">
        <v>24227</v>
      </c>
      <c r="C12439" t="s">
        <v>42</v>
      </c>
      <c r="D12439" t="s">
        <v>17</v>
      </c>
      <c r="E12439" s="6">
        <v>-28355</v>
      </c>
      <c r="F12439" t="s">
        <v>692</v>
      </c>
      <c r="G12439" t="s">
        <v>63</v>
      </c>
      <c r="H12439" t="s">
        <v>20</v>
      </c>
      <c r="I12439" t="s">
        <v>24245</v>
      </c>
      <c r="J12439" t="str">
        <f>HYPERLINK("https://www.boe.es/gazeta/dias/1822/05/13/pdfs/GMD-1822-135.pdf#page=6","Abrir facsímil")</f>
        <v>Abrir facsímil</v>
      </c>
      <c r="K12439" t="s">
        <v>22</v>
      </c>
    </row>
    <row r="12440" spans="1:11" ht="42" customHeight="1">
      <c r="A12440" t="s">
        <v>24227</v>
      </c>
      <c r="B12440" t="s">
        <v>24227</v>
      </c>
      <c r="C12440" t="s">
        <v>61</v>
      </c>
      <c r="D12440" t="s">
        <v>17</v>
      </c>
      <c r="E12440" s="6">
        <v>-28353</v>
      </c>
      <c r="F12440" t="s">
        <v>843</v>
      </c>
      <c r="G12440" t="s">
        <v>57</v>
      </c>
      <c r="H12440" t="s">
        <v>20</v>
      </c>
      <c r="I12440" t="s">
        <v>24246</v>
      </c>
      <c r="J12440" t="str">
        <f>HYPERLINK("https://www.boe.es/gazeta/dias/1822/05/15/pdfs/GMD-1822-137.pdf#page=4","Abrir facsímil")</f>
        <v>Abrir facsímil</v>
      </c>
      <c r="K12440" t="s">
        <v>22</v>
      </c>
    </row>
    <row r="12441" spans="1:11" ht="42" customHeight="1">
      <c r="A12441" t="s">
        <v>24227</v>
      </c>
      <c r="B12441" t="s">
        <v>24227</v>
      </c>
      <c r="C12441" t="s">
        <v>50</v>
      </c>
      <c r="D12441" t="s">
        <v>51</v>
      </c>
      <c r="E12441" s="6">
        <v>-28347</v>
      </c>
      <c r="F12441" t="s">
        <v>520</v>
      </c>
      <c r="G12441" t="s">
        <v>57</v>
      </c>
      <c r="H12441" t="s">
        <v>20</v>
      </c>
      <c r="I12441" t="s">
        <v>24247</v>
      </c>
      <c r="J12441" t="str">
        <f>HYPERLINK("https://www.boe.es/gazeta/dias/1822/05/21/pdfs/GMD-1822-144.pdf#page=4","Abrir facsímil")</f>
        <v>Abrir facsímil</v>
      </c>
      <c r="K12441" t="s">
        <v>22</v>
      </c>
    </row>
    <row r="12442" spans="1:11" ht="42" customHeight="1">
      <c r="A12442" t="s">
        <v>24227</v>
      </c>
      <c r="B12442" t="s">
        <v>24227</v>
      </c>
      <c r="C12442" t="s">
        <v>28</v>
      </c>
      <c r="D12442" t="s">
        <v>29</v>
      </c>
      <c r="E12442" s="6">
        <v>-28346</v>
      </c>
      <c r="F12442" t="s">
        <v>191</v>
      </c>
      <c r="G12442" t="s">
        <v>35</v>
      </c>
      <c r="H12442" t="s">
        <v>20</v>
      </c>
      <c r="I12442" t="s">
        <v>24248</v>
      </c>
      <c r="J12442" t="str">
        <f>HYPERLINK("https://www.boe.es/gazeta/dias/1822/05/22/pdfs/GMD-1822-145.pdf#page=2","Abrir facsímil")</f>
        <v>Abrir facsímil</v>
      </c>
      <c r="K12442" t="s">
        <v>22</v>
      </c>
    </row>
    <row r="12443" spans="1:11" ht="42" customHeight="1">
      <c r="A12443" t="s">
        <v>24227</v>
      </c>
      <c r="B12443" t="s">
        <v>24227</v>
      </c>
      <c r="C12443" t="s">
        <v>42</v>
      </c>
      <c r="D12443" t="s">
        <v>17</v>
      </c>
      <c r="E12443" s="6">
        <v>-28332</v>
      </c>
      <c r="F12443" t="s">
        <v>535</v>
      </c>
      <c r="G12443" t="s">
        <v>35</v>
      </c>
      <c r="H12443" t="s">
        <v>20</v>
      </c>
      <c r="I12443" t="s">
        <v>24249</v>
      </c>
      <c r="J12443" t="str">
        <f>HYPERLINK("https://www.boe.es/gazeta/dias/1822/06/05/pdfs/GMD-1822-162.pdf#page=2","Abrir facsímil")</f>
        <v>Abrir facsímil</v>
      </c>
      <c r="K12443" t="s">
        <v>22</v>
      </c>
    </row>
    <row r="12444" spans="1:11" ht="42" customHeight="1">
      <c r="A12444" t="s">
        <v>24227</v>
      </c>
      <c r="B12444" t="s">
        <v>24227</v>
      </c>
      <c r="C12444" t="s">
        <v>50</v>
      </c>
      <c r="D12444" t="s">
        <v>51</v>
      </c>
      <c r="E12444" s="6">
        <v>-28326</v>
      </c>
      <c r="F12444" t="s">
        <v>543</v>
      </c>
      <c r="G12444" t="s">
        <v>31</v>
      </c>
      <c r="H12444" t="s">
        <v>20</v>
      </c>
      <c r="I12444" t="s">
        <v>24250</v>
      </c>
      <c r="J12444" t="str">
        <f>HYPERLINK("https://www.boe.es/gazeta/dias/1822/06/11/pdfs/GMD-1822-168.pdf#page=3","Abrir facsímil")</f>
        <v>Abrir facsímil</v>
      </c>
      <c r="K12444" t="s">
        <v>22</v>
      </c>
    </row>
    <row r="12445" spans="1:11" ht="42" customHeight="1">
      <c r="A12445" t="s">
        <v>24227</v>
      </c>
      <c r="B12445" t="s">
        <v>24227</v>
      </c>
      <c r="C12445" t="s">
        <v>42</v>
      </c>
      <c r="D12445" t="s">
        <v>17</v>
      </c>
      <c r="E12445" s="6">
        <v>-28320</v>
      </c>
      <c r="F12445" t="s">
        <v>700</v>
      </c>
      <c r="G12445" t="s">
        <v>44</v>
      </c>
      <c r="H12445" t="s">
        <v>20</v>
      </c>
      <c r="I12445" t="s">
        <v>24251</v>
      </c>
      <c r="J12445" t="str">
        <f>HYPERLINK("https://www.boe.es/gazeta/dias/1822/06/17/pdfs/GMD-1822-174.pdf#page=1","Abrir facsímil")</f>
        <v>Abrir facsímil</v>
      </c>
      <c r="K12445" t="s">
        <v>22</v>
      </c>
    </row>
    <row r="12446" spans="1:11" ht="42" customHeight="1">
      <c r="A12446" t="s">
        <v>24227</v>
      </c>
      <c r="B12446" t="s">
        <v>24227</v>
      </c>
      <c r="C12446" t="s">
        <v>42</v>
      </c>
      <c r="D12446" t="s">
        <v>17</v>
      </c>
      <c r="E12446" s="6">
        <v>-28314</v>
      </c>
      <c r="F12446" t="s">
        <v>309</v>
      </c>
      <c r="G12446" t="s">
        <v>35</v>
      </c>
      <c r="H12446" t="s">
        <v>20</v>
      </c>
      <c r="I12446" t="s">
        <v>24252</v>
      </c>
      <c r="J12446" t="str">
        <f>HYPERLINK("https://www.boe.es/gazeta/dias/1822/06/23/pdfs/GMD-1822-181.pdf#page=2","Abrir facsímil")</f>
        <v>Abrir facsímil</v>
      </c>
      <c r="K12446" t="s">
        <v>22</v>
      </c>
    </row>
    <row r="12447" spans="1:11" ht="42" customHeight="1">
      <c r="A12447" t="s">
        <v>24227</v>
      </c>
      <c r="B12447" t="s">
        <v>24227</v>
      </c>
      <c r="C12447" t="s">
        <v>42</v>
      </c>
      <c r="D12447" t="s">
        <v>17</v>
      </c>
      <c r="E12447" s="6">
        <v>-28313</v>
      </c>
      <c r="F12447" t="s">
        <v>315</v>
      </c>
      <c r="G12447" t="s">
        <v>549</v>
      </c>
      <c r="H12447" t="s">
        <v>20</v>
      </c>
      <c r="I12447" t="s">
        <v>24253</v>
      </c>
      <c r="J12447" t="str">
        <f>HYPERLINK("https://www.boe.es/gazeta/dias/1822/06/24/pdfs/GMD-1822-182.pdf#page=6","Abrir facsímil")</f>
        <v>Abrir facsímil</v>
      </c>
      <c r="K12447" t="s">
        <v>22</v>
      </c>
    </row>
    <row r="12448" spans="1:11" ht="42" customHeight="1">
      <c r="A12448" t="s">
        <v>24227</v>
      </c>
      <c r="B12448" t="s">
        <v>24227</v>
      </c>
      <c r="C12448" t="s">
        <v>50</v>
      </c>
      <c r="D12448" t="s">
        <v>51</v>
      </c>
      <c r="E12448" s="6">
        <v>-28203</v>
      </c>
      <c r="F12448" t="s">
        <v>564</v>
      </c>
      <c r="G12448" t="s">
        <v>44</v>
      </c>
      <c r="H12448" t="s">
        <v>20</v>
      </c>
      <c r="I12448" t="s">
        <v>24254</v>
      </c>
      <c r="J12448" t="str">
        <f>HYPERLINK("https://www.boe.es/gazeta/dias/1822/10/12/pdfs/GMD-1822-299.pdf#page=1","Abrir facsímil")</f>
        <v>Abrir facsímil</v>
      </c>
      <c r="K12448" t="s">
        <v>22</v>
      </c>
    </row>
    <row r="12449" spans="1:11" ht="42" customHeight="1">
      <c r="A12449" t="s">
        <v>24227</v>
      </c>
      <c r="B12449" t="s">
        <v>24227</v>
      </c>
      <c r="C12449" t="s">
        <v>50</v>
      </c>
      <c r="D12449" t="s">
        <v>51</v>
      </c>
      <c r="E12449" s="6">
        <v>-28202</v>
      </c>
      <c r="F12449" t="s">
        <v>922</v>
      </c>
      <c r="G12449" t="s">
        <v>44</v>
      </c>
      <c r="H12449" t="s">
        <v>20</v>
      </c>
      <c r="I12449" t="s">
        <v>24255</v>
      </c>
      <c r="J12449" t="str">
        <f>HYPERLINK("https://www.boe.es/gazeta/dias/1822/10/13/pdfs/GMD-1822-300.pdf#page=1","Abrir facsímil")</f>
        <v>Abrir facsímil</v>
      </c>
      <c r="K12449" t="s">
        <v>22</v>
      </c>
    </row>
    <row r="12450" spans="1:11" ht="42" customHeight="1">
      <c r="A12450" t="s">
        <v>24227</v>
      </c>
      <c r="B12450" t="s">
        <v>24227</v>
      </c>
      <c r="C12450" t="s">
        <v>42</v>
      </c>
      <c r="D12450" t="s">
        <v>17</v>
      </c>
      <c r="E12450" s="6">
        <v>-28197</v>
      </c>
      <c r="F12450" t="s">
        <v>568</v>
      </c>
      <c r="G12450" t="s">
        <v>57</v>
      </c>
      <c r="H12450" t="s">
        <v>20</v>
      </c>
      <c r="I12450" t="s">
        <v>24256</v>
      </c>
      <c r="J12450" t="str">
        <f>HYPERLINK("https://www.boe.es/gazeta/dias/1822/10/18/pdfs/GMD-1822-305.pdf#page=4","Abrir facsímil")</f>
        <v>Abrir facsímil</v>
      </c>
      <c r="K12450" t="s">
        <v>22</v>
      </c>
    </row>
    <row r="12451" spans="1:11" ht="42" customHeight="1">
      <c r="A12451" t="s">
        <v>24227</v>
      </c>
      <c r="B12451" t="s">
        <v>24227</v>
      </c>
      <c r="C12451" t="s">
        <v>71</v>
      </c>
      <c r="D12451" t="s">
        <v>17</v>
      </c>
      <c r="E12451" s="6">
        <v>-28194</v>
      </c>
      <c r="F12451" t="s">
        <v>18</v>
      </c>
      <c r="G12451" t="s">
        <v>31</v>
      </c>
      <c r="H12451" t="s">
        <v>20</v>
      </c>
      <c r="I12451" t="s">
        <v>24257</v>
      </c>
      <c r="J12451" t="str">
        <f>HYPERLINK("https://www.boe.es/gazeta/dias/1822/10/21/pdfs/GMD-1822-308.pdf#page=3","Abrir facsímil")</f>
        <v>Abrir facsímil</v>
      </c>
      <c r="K12451" t="s">
        <v>22</v>
      </c>
    </row>
    <row r="12452" spans="1:11" ht="42" customHeight="1">
      <c r="A12452" t="s">
        <v>24227</v>
      </c>
      <c r="B12452" t="s">
        <v>24227</v>
      </c>
      <c r="C12452" t="s">
        <v>24</v>
      </c>
      <c r="D12452" t="s">
        <v>17</v>
      </c>
      <c r="E12452" s="6">
        <v>-28193</v>
      </c>
      <c r="F12452" t="s">
        <v>574</v>
      </c>
      <c r="G12452" t="s">
        <v>19</v>
      </c>
      <c r="H12452" t="s">
        <v>20</v>
      </c>
      <c r="I12452" t="s">
        <v>24258</v>
      </c>
      <c r="J12452" t="str">
        <f>HYPERLINK("https://www.boe.es/gazeta/dias/1822/10/22/pdfs/GMD-1822-309.pdf#page=5","Abrir facsímil")</f>
        <v>Abrir facsímil</v>
      </c>
      <c r="K12452" t="s">
        <v>22</v>
      </c>
    </row>
    <row r="12453" spans="1:11" ht="42" customHeight="1">
      <c r="A12453" t="s">
        <v>24227</v>
      </c>
      <c r="B12453" t="s">
        <v>24227</v>
      </c>
      <c r="C12453" t="s">
        <v>24</v>
      </c>
      <c r="D12453" t="s">
        <v>17</v>
      </c>
      <c r="E12453" s="6">
        <v>-28192</v>
      </c>
      <c r="F12453" t="s">
        <v>43</v>
      </c>
      <c r="G12453" t="s">
        <v>57</v>
      </c>
      <c r="H12453" t="s">
        <v>20</v>
      </c>
      <c r="I12453" t="s">
        <v>24259</v>
      </c>
      <c r="J12453" t="str">
        <f>HYPERLINK("https://www.boe.es/gazeta/dias/1822/10/23/pdfs/GMD-1822-310.pdf#page=4","Abrir facsímil")</f>
        <v>Abrir facsímil</v>
      </c>
      <c r="K12453" t="s">
        <v>22</v>
      </c>
    </row>
    <row r="12454" spans="1:11" ht="42" customHeight="1">
      <c r="A12454" t="s">
        <v>24227</v>
      </c>
      <c r="B12454" t="s">
        <v>24227</v>
      </c>
      <c r="C12454" t="s">
        <v>28</v>
      </c>
      <c r="D12454" t="s">
        <v>29</v>
      </c>
      <c r="E12454" s="6">
        <v>-28192</v>
      </c>
      <c r="F12454" t="s">
        <v>43</v>
      </c>
      <c r="G12454" t="s">
        <v>63</v>
      </c>
      <c r="H12454" t="s">
        <v>20</v>
      </c>
      <c r="I12454" t="s">
        <v>24260</v>
      </c>
      <c r="J12454" t="str">
        <f>HYPERLINK("https://www.boe.es/gazeta/dias/1822/10/23/pdfs/GMD-1822-310.pdf#page=6","Abrir facsímil")</f>
        <v>Abrir facsímil</v>
      </c>
      <c r="K12454" t="s">
        <v>22</v>
      </c>
    </row>
    <row r="12455" spans="1:11" ht="42" customHeight="1">
      <c r="A12455" t="s">
        <v>24227</v>
      </c>
      <c r="B12455" t="s">
        <v>24227</v>
      </c>
      <c r="C12455" t="s">
        <v>16</v>
      </c>
      <c r="D12455" t="s">
        <v>17</v>
      </c>
      <c r="E12455" s="6">
        <v>-28191</v>
      </c>
      <c r="F12455" t="s">
        <v>710</v>
      </c>
      <c r="G12455" t="s">
        <v>57</v>
      </c>
      <c r="H12455" t="s">
        <v>20</v>
      </c>
      <c r="I12455" t="s">
        <v>24261</v>
      </c>
      <c r="J12455" t="str">
        <f>HYPERLINK("https://www.boe.es/gazeta/dias/1822/10/24/pdfs/GMD-1822-311.pdf#page=4","Abrir facsímil")</f>
        <v>Abrir facsímil</v>
      </c>
      <c r="K12455" t="s">
        <v>22</v>
      </c>
    </row>
    <row r="12456" spans="1:11" ht="42" customHeight="1">
      <c r="A12456" t="s">
        <v>24227</v>
      </c>
      <c r="B12456" t="s">
        <v>24227</v>
      </c>
      <c r="C12456" t="s">
        <v>71</v>
      </c>
      <c r="D12456" t="s">
        <v>17</v>
      </c>
      <c r="E12456" s="6">
        <v>-28182</v>
      </c>
      <c r="F12456" t="s">
        <v>585</v>
      </c>
      <c r="G12456" t="s">
        <v>31</v>
      </c>
      <c r="H12456" t="s">
        <v>20</v>
      </c>
      <c r="I12456" t="s">
        <v>24262</v>
      </c>
      <c r="J12456" t="str">
        <f>HYPERLINK("https://www.boe.es/gazeta/dias/1822/11/02/pdfs/GMD-1822-320.pdf#page=3","Abrir facsímil")</f>
        <v>Abrir facsímil</v>
      </c>
      <c r="K12456" t="s">
        <v>22</v>
      </c>
    </row>
    <row r="12457" spans="1:11" ht="42" customHeight="1">
      <c r="A12457" t="s">
        <v>24227</v>
      </c>
      <c r="B12457" t="s">
        <v>24227</v>
      </c>
      <c r="C12457" t="s">
        <v>42</v>
      </c>
      <c r="D12457" t="s">
        <v>17</v>
      </c>
      <c r="E12457" s="6">
        <v>-28181</v>
      </c>
      <c r="F12457" t="s">
        <v>739</v>
      </c>
      <c r="G12457" t="s">
        <v>35</v>
      </c>
      <c r="H12457" t="s">
        <v>20</v>
      </c>
      <c r="I12457" t="s">
        <v>24263</v>
      </c>
      <c r="J12457" t="str">
        <f>HYPERLINK("https://www.boe.es/gazeta/dias/1822/11/03/pdfs/GMD-1822-321.pdf#page=2","Abrir facsímil")</f>
        <v>Abrir facsímil</v>
      </c>
      <c r="K12457" t="s">
        <v>22</v>
      </c>
    </row>
    <row r="12458" spans="1:11" ht="42" customHeight="1">
      <c r="A12458" t="s">
        <v>24227</v>
      </c>
      <c r="B12458" t="s">
        <v>24227</v>
      </c>
      <c r="C12458" t="s">
        <v>42</v>
      </c>
      <c r="D12458" t="s">
        <v>17</v>
      </c>
      <c r="E12458" s="6">
        <v>-28181</v>
      </c>
      <c r="F12458" t="s">
        <v>739</v>
      </c>
      <c r="G12458" t="s">
        <v>57</v>
      </c>
      <c r="H12458" t="s">
        <v>20</v>
      </c>
      <c r="I12458" t="s">
        <v>24264</v>
      </c>
      <c r="J12458" t="str">
        <f>HYPERLINK("https://www.boe.es/gazeta/dias/1822/11/03/pdfs/GMD-1822-321.pdf#page=4","Abrir facsímil")</f>
        <v>Abrir facsímil</v>
      </c>
      <c r="K12458" t="s">
        <v>22</v>
      </c>
    </row>
    <row r="12459" spans="1:11" ht="42" customHeight="1">
      <c r="A12459" t="s">
        <v>24227</v>
      </c>
      <c r="B12459" t="s">
        <v>24227</v>
      </c>
      <c r="C12459" t="s">
        <v>71</v>
      </c>
      <c r="D12459" t="s">
        <v>17</v>
      </c>
      <c r="E12459" s="6">
        <v>-28180</v>
      </c>
      <c r="F12459" t="s">
        <v>839</v>
      </c>
      <c r="G12459" t="s">
        <v>35</v>
      </c>
      <c r="H12459" t="s">
        <v>20</v>
      </c>
      <c r="I12459" t="s">
        <v>24265</v>
      </c>
      <c r="J12459" t="str">
        <f>HYPERLINK("https://www.boe.es/gazeta/dias/1822/11/04/pdfs/GMD-1822-323.pdf#page=2","Abrir facsímil")</f>
        <v>Abrir facsímil</v>
      </c>
      <c r="K12459" t="s">
        <v>22</v>
      </c>
    </row>
    <row r="12460" spans="1:11" ht="42" customHeight="1">
      <c r="A12460" t="s">
        <v>24227</v>
      </c>
      <c r="B12460" t="s">
        <v>24227</v>
      </c>
      <c r="C12460" t="s">
        <v>50</v>
      </c>
      <c r="D12460" t="s">
        <v>51</v>
      </c>
      <c r="E12460" s="6">
        <v>-28179</v>
      </c>
      <c r="F12460" t="s">
        <v>935</v>
      </c>
      <c r="G12460" t="s">
        <v>35</v>
      </c>
      <c r="H12460" t="s">
        <v>20</v>
      </c>
      <c r="I12460" t="s">
        <v>24266</v>
      </c>
      <c r="J12460" t="str">
        <f>HYPERLINK("https://www.boe.es/gazeta/dias/1822/11/05/pdfs/GMD-1822-325.pdf#page=2","Abrir facsímil")</f>
        <v>Abrir facsímil</v>
      </c>
      <c r="K12460" t="s">
        <v>22</v>
      </c>
    </row>
    <row r="12461" spans="1:11" ht="42" customHeight="1">
      <c r="A12461" t="s">
        <v>24227</v>
      </c>
      <c r="B12461" t="s">
        <v>24227</v>
      </c>
      <c r="C12461" t="s">
        <v>16</v>
      </c>
      <c r="D12461" t="s">
        <v>17</v>
      </c>
      <c r="E12461" s="6">
        <v>-28178</v>
      </c>
      <c r="F12461" t="s">
        <v>318</v>
      </c>
      <c r="G12461" t="s">
        <v>31</v>
      </c>
      <c r="H12461" t="s">
        <v>20</v>
      </c>
      <c r="I12461" t="s">
        <v>24267</v>
      </c>
      <c r="J12461" t="str">
        <f>HYPERLINK("https://www.boe.es/gazeta/dias/1822/11/06/pdfs/GMD-1822-326.pdf#page=3","Abrir facsímil")</f>
        <v>Abrir facsímil</v>
      </c>
      <c r="K12461" t="s">
        <v>22</v>
      </c>
    </row>
    <row r="12462" spans="1:11" ht="42" customHeight="1">
      <c r="A12462" t="s">
        <v>24227</v>
      </c>
      <c r="B12462" t="s">
        <v>24227</v>
      </c>
      <c r="C12462" t="s">
        <v>50</v>
      </c>
      <c r="D12462" t="s">
        <v>51</v>
      </c>
      <c r="E12462" s="6">
        <v>-28172</v>
      </c>
      <c r="F12462" t="s">
        <v>674</v>
      </c>
      <c r="G12462" t="s">
        <v>35</v>
      </c>
      <c r="H12462" t="s">
        <v>20</v>
      </c>
      <c r="I12462" t="s">
        <v>24268</v>
      </c>
      <c r="J12462" t="str">
        <f>HYPERLINK("https://www.boe.es/gazeta/dias/1822/11/12/pdfs/GMD-1822-332.pdf#page=2","Abrir facsímil")</f>
        <v>Abrir facsímil</v>
      </c>
      <c r="K12462" t="s">
        <v>22</v>
      </c>
    </row>
    <row r="12463" spans="1:11" ht="42" customHeight="1">
      <c r="A12463" t="s">
        <v>24227</v>
      </c>
      <c r="B12463" t="s">
        <v>24227</v>
      </c>
      <c r="C12463" t="s">
        <v>71</v>
      </c>
      <c r="D12463" t="s">
        <v>17</v>
      </c>
      <c r="E12463" s="6">
        <v>-28167</v>
      </c>
      <c r="F12463" t="s">
        <v>904</v>
      </c>
      <c r="G12463" t="s">
        <v>35</v>
      </c>
      <c r="H12463" t="s">
        <v>20</v>
      </c>
      <c r="I12463" t="s">
        <v>24269</v>
      </c>
      <c r="J12463" t="str">
        <f>HYPERLINK("https://www.boe.es/gazeta/dias/1822/11/17/pdfs/GMD-1822-337.pdf#page=2","Abrir facsímil")</f>
        <v>Abrir facsímil</v>
      </c>
      <c r="K12463" t="s">
        <v>22</v>
      </c>
    </row>
    <row r="12464" spans="1:11" ht="42" customHeight="1">
      <c r="A12464" t="s">
        <v>24227</v>
      </c>
      <c r="B12464" t="s">
        <v>24227</v>
      </c>
      <c r="C12464" t="s">
        <v>42</v>
      </c>
      <c r="D12464" t="s">
        <v>17</v>
      </c>
      <c r="E12464" s="6">
        <v>-28166</v>
      </c>
      <c r="F12464" t="s">
        <v>942</v>
      </c>
      <c r="G12464" t="s">
        <v>31</v>
      </c>
      <c r="H12464" t="s">
        <v>20</v>
      </c>
      <c r="I12464" t="s">
        <v>24270</v>
      </c>
      <c r="J12464" t="str">
        <f>HYPERLINK("https://www.boe.es/gazeta/dias/1822/11/18/pdfs/GMD-1822-338.pdf#page=3","Abrir facsímil")</f>
        <v>Abrir facsímil</v>
      </c>
      <c r="K12464" t="s">
        <v>22</v>
      </c>
    </row>
    <row r="12465" spans="1:11" ht="42" customHeight="1">
      <c r="A12465" t="s">
        <v>24227</v>
      </c>
      <c r="B12465" t="s">
        <v>24227</v>
      </c>
      <c r="C12465" t="s">
        <v>50</v>
      </c>
      <c r="D12465" t="s">
        <v>51</v>
      </c>
      <c r="E12465" s="6">
        <v>-28163</v>
      </c>
      <c r="F12465" t="s">
        <v>891</v>
      </c>
      <c r="G12465" t="s">
        <v>57</v>
      </c>
      <c r="H12465" t="s">
        <v>20</v>
      </c>
      <c r="I12465" t="s">
        <v>24271</v>
      </c>
      <c r="J12465" t="str">
        <f>HYPERLINK("https://www.boe.es/gazeta/dias/1822/11/21/pdfs/GMD-1822-341.pdf#page=4","Abrir facsímil")</f>
        <v>Abrir facsímil</v>
      </c>
      <c r="K12465" t="s">
        <v>22</v>
      </c>
    </row>
    <row r="12466" spans="1:11" ht="42" customHeight="1">
      <c r="A12466" t="s">
        <v>24272</v>
      </c>
      <c r="B12466" t="s">
        <v>24273</v>
      </c>
      <c r="C12466" t="s">
        <v>16</v>
      </c>
      <c r="D12466" t="s">
        <v>17</v>
      </c>
      <c r="E12466" s="6">
        <v>-28383</v>
      </c>
      <c r="F12466" t="s">
        <v>488</v>
      </c>
      <c r="G12466" t="s">
        <v>63</v>
      </c>
      <c r="H12466" t="s">
        <v>20</v>
      </c>
      <c r="I12466" t="s">
        <v>24274</v>
      </c>
      <c r="J12466" t="str">
        <f>HYPERLINK("https://www.boe.es/gazeta/dias/1822/04/15/pdfs/GMD-1822-107.pdf#page=6","Abrir facsímil")</f>
        <v>Abrir facsímil</v>
      </c>
      <c r="K12466" t="s">
        <v>22</v>
      </c>
    </row>
    <row r="12467" spans="1:11" ht="42" customHeight="1">
      <c r="A12467" t="s">
        <v>24275</v>
      </c>
      <c r="B12467" t="s">
        <v>24276</v>
      </c>
      <c r="C12467" t="s">
        <v>50</v>
      </c>
      <c r="D12467" t="s">
        <v>51</v>
      </c>
      <c r="E12467" s="6">
        <v>-28335</v>
      </c>
      <c r="F12467" t="s">
        <v>3346</v>
      </c>
      <c r="G12467" t="s">
        <v>63</v>
      </c>
      <c r="H12467" t="s">
        <v>20</v>
      </c>
      <c r="I12467" t="s">
        <v>24277</v>
      </c>
      <c r="J12467" t="str">
        <f>HYPERLINK("https://www.boe.es/gazeta/dias/1822/06/02/pdfs/GMD-1822-158.pdf#page=6","Abrir facsímil")</f>
        <v>Abrir facsímil</v>
      </c>
      <c r="K12467" t="s">
        <v>22</v>
      </c>
    </row>
    <row r="12468" spans="1:11" ht="42" customHeight="1">
      <c r="A12468" t="s">
        <v>24278</v>
      </c>
      <c r="B12468" t="s">
        <v>24279</v>
      </c>
      <c r="C12468" t="s">
        <v>42</v>
      </c>
      <c r="D12468" t="s">
        <v>17</v>
      </c>
      <c r="E12468" s="6">
        <v>-28321</v>
      </c>
      <c r="F12468" t="s">
        <v>1142</v>
      </c>
      <c r="G12468" t="s">
        <v>35</v>
      </c>
      <c r="H12468" t="s">
        <v>20</v>
      </c>
      <c r="I12468" t="s">
        <v>24280</v>
      </c>
      <c r="J12468" t="str">
        <f>HYPERLINK("https://www.boe.es/gazeta/dias/1822/06/16/pdfs/GMD-1822-173.pdf#page=2","Abrir facsímil")</f>
        <v>Abrir facsímil</v>
      </c>
      <c r="K12468" t="s">
        <v>22</v>
      </c>
    </row>
    <row r="12469" spans="1:11" ht="42" customHeight="1">
      <c r="A12469" t="s">
        <v>24278</v>
      </c>
      <c r="B12469" t="s">
        <v>24279</v>
      </c>
      <c r="C12469" t="s">
        <v>28</v>
      </c>
      <c r="D12469" t="s">
        <v>29</v>
      </c>
      <c r="E12469" s="6">
        <v>-28214</v>
      </c>
      <c r="F12469" t="s">
        <v>814</v>
      </c>
      <c r="G12469" t="s">
        <v>57</v>
      </c>
      <c r="H12469" t="s">
        <v>20</v>
      </c>
      <c r="I12469" t="s">
        <v>24281</v>
      </c>
      <c r="J12469" t="str">
        <f>HYPERLINK("https://www.boe.es/gazeta/dias/1822/10/01/pdfs/GMD-1822-287.pdf#page=4","Abrir facsímil")</f>
        <v>Abrir facsímil</v>
      </c>
      <c r="K12469" t="s">
        <v>22</v>
      </c>
    </row>
    <row r="12470" spans="1:11" ht="42" customHeight="1">
      <c r="A12470" t="s">
        <v>24278</v>
      </c>
      <c r="B12470" t="s">
        <v>24279</v>
      </c>
      <c r="C12470" t="s">
        <v>50</v>
      </c>
      <c r="D12470" t="s">
        <v>51</v>
      </c>
      <c r="E12470" s="6">
        <v>-28152</v>
      </c>
      <c r="F12470" t="s">
        <v>122</v>
      </c>
      <c r="G12470" t="s">
        <v>57</v>
      </c>
      <c r="H12470" t="s">
        <v>20</v>
      </c>
      <c r="I12470" t="s">
        <v>24282</v>
      </c>
      <c r="J12470" t="str">
        <f>HYPERLINK("https://www.boe.es/gazeta/dias/1822/12/02/pdfs/GMD-1822-352.pdf#page=4","Abrir facsímil")</f>
        <v>Abrir facsímil</v>
      </c>
      <c r="K12470" t="s">
        <v>22</v>
      </c>
    </row>
    <row r="12471" spans="1:11" ht="42" customHeight="1">
      <c r="A12471" t="s">
        <v>24283</v>
      </c>
      <c r="B12471" t="s">
        <v>24284</v>
      </c>
      <c r="C12471" t="s">
        <v>42</v>
      </c>
      <c r="D12471" t="s">
        <v>17</v>
      </c>
      <c r="E12471" s="6">
        <v>-28209</v>
      </c>
      <c r="F12471" t="s">
        <v>748</v>
      </c>
      <c r="G12471" t="s">
        <v>57</v>
      </c>
      <c r="H12471" t="s">
        <v>20</v>
      </c>
      <c r="I12471" t="s">
        <v>24285</v>
      </c>
      <c r="J12471" t="str">
        <f>HYPERLINK("https://www.boe.es/gazeta/dias/1822/10/06/pdfs/GMD-1822-292.pdf#page=4","Abrir facsímil")</f>
        <v>Abrir facsímil</v>
      </c>
      <c r="K12471" t="s">
        <v>22</v>
      </c>
    </row>
    <row r="12472" spans="1:11" ht="42" customHeight="1">
      <c r="A12472" t="s">
        <v>24286</v>
      </c>
      <c r="B12472" t="s">
        <v>24287</v>
      </c>
      <c r="C12472" t="s">
        <v>50</v>
      </c>
      <c r="D12472" t="s">
        <v>51</v>
      </c>
      <c r="E12472" s="6">
        <v>-28346</v>
      </c>
      <c r="F12472" t="s">
        <v>191</v>
      </c>
      <c r="G12472" t="s">
        <v>63</v>
      </c>
      <c r="H12472" t="s">
        <v>20</v>
      </c>
      <c r="I12472" t="s">
        <v>24288</v>
      </c>
      <c r="J12472" t="str">
        <f>HYPERLINK("https://www.boe.es/gazeta/dias/1822/05/22/pdfs/GMD-1822-145.pdf#page=6","Abrir facsímil")</f>
        <v>Abrir facsímil</v>
      </c>
      <c r="K12472" t="s">
        <v>22</v>
      </c>
    </row>
    <row r="12473" spans="1:11" ht="42" customHeight="1">
      <c r="A12473" t="s">
        <v>24289</v>
      </c>
      <c r="B12473" t="s">
        <v>24290</v>
      </c>
      <c r="C12473" t="s">
        <v>50</v>
      </c>
      <c r="D12473" t="s">
        <v>51</v>
      </c>
      <c r="E12473" s="6">
        <v>-28340</v>
      </c>
      <c r="F12473" t="s">
        <v>139</v>
      </c>
      <c r="G12473" t="s">
        <v>63</v>
      </c>
      <c r="H12473" t="s">
        <v>20</v>
      </c>
      <c r="I12473" t="s">
        <v>24291</v>
      </c>
      <c r="J12473" t="str">
        <f>HYPERLINK("https://www.boe.es/gazeta/dias/1822/05/28/pdfs/GMD-1822-153.pdf#page=6","Abrir facsímil")</f>
        <v>Abrir facsímil</v>
      </c>
      <c r="K12473" t="s">
        <v>22</v>
      </c>
    </row>
    <row r="12474" spans="1:11" ht="42" customHeight="1">
      <c r="A12474" t="s">
        <v>24286</v>
      </c>
      <c r="B12474" t="s">
        <v>24287</v>
      </c>
      <c r="C12474" t="s">
        <v>50</v>
      </c>
      <c r="D12474" t="s">
        <v>51</v>
      </c>
      <c r="E12474" s="6">
        <v>-28286</v>
      </c>
      <c r="F12474" t="s">
        <v>1853</v>
      </c>
      <c r="G12474" t="s">
        <v>57</v>
      </c>
      <c r="H12474" t="s">
        <v>20</v>
      </c>
      <c r="I12474" t="s">
        <v>24292</v>
      </c>
      <c r="J12474" t="str">
        <f>HYPERLINK("https://www.boe.es/gazeta/dias/1822/07/21/pdfs/GMD-1822-213.pdf#page=4","Abrir facsímil")</f>
        <v>Abrir facsímil</v>
      </c>
      <c r="K12474" t="s">
        <v>22</v>
      </c>
    </row>
    <row r="12475" spans="1:11" ht="42" customHeight="1">
      <c r="A12475" t="s">
        <v>24293</v>
      </c>
      <c r="B12475" t="s">
        <v>24294</v>
      </c>
      <c r="C12475" t="s">
        <v>42</v>
      </c>
      <c r="D12475" t="s">
        <v>17</v>
      </c>
      <c r="E12475" s="6">
        <v>-28351</v>
      </c>
      <c r="F12475" t="s">
        <v>282</v>
      </c>
      <c r="G12475" t="s">
        <v>57</v>
      </c>
      <c r="H12475" t="s">
        <v>20</v>
      </c>
      <c r="I12475" t="s">
        <v>24295</v>
      </c>
      <c r="J12475" t="str">
        <f>HYPERLINK("https://www.boe.es/gazeta/dias/1822/05/17/pdfs/GMD-1822-139.pdf#page=4","Abrir facsímil")</f>
        <v>Abrir facsímil</v>
      </c>
      <c r="K12475" t="s">
        <v>22</v>
      </c>
    </row>
    <row r="12476" spans="1:11" ht="42" customHeight="1">
      <c r="A12476" t="s">
        <v>24293</v>
      </c>
      <c r="B12476" t="s">
        <v>24294</v>
      </c>
      <c r="C12476" t="s">
        <v>50</v>
      </c>
      <c r="D12476" t="s">
        <v>51</v>
      </c>
      <c r="E12476" s="6">
        <v>-28303</v>
      </c>
      <c r="F12476" t="s">
        <v>201</v>
      </c>
      <c r="G12476" t="s">
        <v>57</v>
      </c>
      <c r="H12476" t="s">
        <v>20</v>
      </c>
      <c r="I12476" t="s">
        <v>24296</v>
      </c>
      <c r="J12476" t="str">
        <f>HYPERLINK("https://www.boe.es/gazeta/dias/1822/07/04/pdfs/GMD-1822-193.pdf#page=4","Abrir facsímil")</f>
        <v>Abrir facsímil</v>
      </c>
      <c r="K12476" t="s">
        <v>22</v>
      </c>
    </row>
    <row r="12477" spans="1:11" ht="42" customHeight="1">
      <c r="A12477" t="s">
        <v>24297</v>
      </c>
      <c r="B12477" t="s">
        <v>24298</v>
      </c>
      <c r="C12477" t="s">
        <v>50</v>
      </c>
      <c r="D12477" t="s">
        <v>51</v>
      </c>
      <c r="E12477" s="6">
        <v>-28322</v>
      </c>
      <c r="F12477" t="s">
        <v>2205</v>
      </c>
      <c r="G12477" t="s">
        <v>3031</v>
      </c>
      <c r="H12477" t="s">
        <v>20</v>
      </c>
      <c r="I12477" t="s">
        <v>24299</v>
      </c>
      <c r="J12477" t="str">
        <f>HYPERLINK("https://www.boe.es/gazeta/dias/1822/06/15/pdfs/GMD-1822-172.pdf#page=2","Abrir facsímil")</f>
        <v>Abrir facsímil</v>
      </c>
      <c r="K12477" t="s">
        <v>22</v>
      </c>
    </row>
    <row r="12478" spans="1:11" ht="42" customHeight="1">
      <c r="A12478" t="s">
        <v>24300</v>
      </c>
      <c r="B12478" t="s">
        <v>24301</v>
      </c>
      <c r="C12478" t="s">
        <v>362</v>
      </c>
      <c r="D12478" t="s">
        <v>17</v>
      </c>
      <c r="E12478" s="6">
        <v>-28354</v>
      </c>
      <c r="F12478" t="s">
        <v>226</v>
      </c>
      <c r="G12478" t="s">
        <v>44</v>
      </c>
      <c r="H12478" t="s">
        <v>20</v>
      </c>
      <c r="I12478" t="s">
        <v>24302</v>
      </c>
      <c r="J12478" t="str">
        <f>HYPERLINK("https://www.boe.es/gazeta/dias/1822/05/14/pdfs/GMD-1822-136.pdf#page=1","Abrir facsímil")</f>
        <v>Abrir facsímil</v>
      </c>
      <c r="K12478" t="s">
        <v>22</v>
      </c>
    </row>
    <row r="12479" spans="1:11" ht="42" customHeight="1">
      <c r="A12479" t="s">
        <v>24303</v>
      </c>
      <c r="B12479" t="s">
        <v>24304</v>
      </c>
      <c r="C12479" t="s">
        <v>50</v>
      </c>
      <c r="D12479" t="s">
        <v>51</v>
      </c>
      <c r="E12479" s="6">
        <v>-28300</v>
      </c>
      <c r="F12479" t="s">
        <v>6533</v>
      </c>
      <c r="G12479" t="s">
        <v>57</v>
      </c>
      <c r="H12479" t="s">
        <v>20</v>
      </c>
      <c r="I12479" t="s">
        <v>24305</v>
      </c>
      <c r="J12479" t="str">
        <f>HYPERLINK("https://www.boe.es/gazeta/dias/1822/07/07/pdfs/GMD-1822-196.pdf#page=4","Abrir facsímil")</f>
        <v>Abrir facsímil</v>
      </c>
      <c r="K12479" t="s">
        <v>22</v>
      </c>
    </row>
    <row r="12480" spans="1:11" ht="42" customHeight="1">
      <c r="A12480" t="s">
        <v>24306</v>
      </c>
      <c r="B12480" t="s">
        <v>24307</v>
      </c>
      <c r="C12480" t="s">
        <v>50</v>
      </c>
      <c r="D12480" t="s">
        <v>51</v>
      </c>
      <c r="E12480" s="6">
        <v>-28265</v>
      </c>
      <c r="F12480" t="s">
        <v>1263</v>
      </c>
      <c r="G12480" t="s">
        <v>57</v>
      </c>
      <c r="H12480" t="s">
        <v>20</v>
      </c>
      <c r="I12480" t="s">
        <v>24308</v>
      </c>
      <c r="J12480" t="str">
        <f>HYPERLINK("https://www.boe.es/gazeta/dias/1822/08/11/pdfs/GMD-1822-235.pdf#page=4","Abrir facsímil")</f>
        <v>Abrir facsímil</v>
      </c>
      <c r="K12480" t="s">
        <v>22</v>
      </c>
    </row>
    <row r="12481" spans="1:11" ht="42" customHeight="1">
      <c r="A12481" t="s">
        <v>24309</v>
      </c>
      <c r="B12481" t="s">
        <v>24310</v>
      </c>
      <c r="C12481" t="s">
        <v>42</v>
      </c>
      <c r="D12481" t="s">
        <v>17</v>
      </c>
      <c r="E12481" s="6">
        <v>-28327</v>
      </c>
      <c r="F12481" t="s">
        <v>38</v>
      </c>
      <c r="G12481" t="s">
        <v>31</v>
      </c>
      <c r="H12481" t="s">
        <v>20</v>
      </c>
      <c r="I12481" t="s">
        <v>24311</v>
      </c>
      <c r="J12481" t="str">
        <f>HYPERLINK("https://www.boe.es/gazeta/dias/1822/06/10/pdfs/GMD-1822-167.pdf#page=3","Abrir facsímil")</f>
        <v>Abrir facsímil</v>
      </c>
      <c r="K12481" t="s">
        <v>22</v>
      </c>
    </row>
    <row r="12482" spans="1:11" ht="42" customHeight="1">
      <c r="A12482" t="s">
        <v>24312</v>
      </c>
      <c r="B12482" t="s">
        <v>24313</v>
      </c>
      <c r="C12482" t="s">
        <v>28</v>
      </c>
      <c r="D12482" t="s">
        <v>29</v>
      </c>
      <c r="E12482" s="6">
        <v>-28436</v>
      </c>
      <c r="F12482" t="s">
        <v>431</v>
      </c>
      <c r="G12482" t="s">
        <v>1428</v>
      </c>
      <c r="H12482" t="s">
        <v>45</v>
      </c>
      <c r="I12482" t="s">
        <v>24314</v>
      </c>
      <c r="J12482" t="str">
        <f>HYPERLINK("https://www.boe.es/gazeta/dias/1822/02/21/pdfs/GMD-1822-53.pdf#page=3","Abrir facsímil")</f>
        <v>Abrir facsímil</v>
      </c>
      <c r="K12482" t="s">
        <v>47</v>
      </c>
    </row>
    <row r="12483" spans="1:11" ht="42" customHeight="1">
      <c r="A12483" t="s">
        <v>24315</v>
      </c>
      <c r="B12483" t="s">
        <v>24315</v>
      </c>
      <c r="C12483" t="s">
        <v>42</v>
      </c>
      <c r="D12483" t="s">
        <v>17</v>
      </c>
      <c r="E12483" s="6">
        <v>-28130</v>
      </c>
      <c r="F12483" t="s">
        <v>34</v>
      </c>
      <c r="G12483" t="s">
        <v>35</v>
      </c>
      <c r="H12483" t="s">
        <v>20</v>
      </c>
      <c r="I12483" t="s">
        <v>24316</v>
      </c>
      <c r="J12483" t="str">
        <f>HYPERLINK("https://www.boe.es/gazeta/dias/1822/12/24/pdfs/GMD-1822-374.pdf#page=2","Abrir facsímil")</f>
        <v>Abrir facsímil</v>
      </c>
      <c r="K12483" t="s">
        <v>22</v>
      </c>
    </row>
    <row r="12484" spans="1:11" ht="42" customHeight="1">
      <c r="A12484" t="s">
        <v>24317</v>
      </c>
      <c r="B12484" t="s">
        <v>24317</v>
      </c>
      <c r="C12484" t="s">
        <v>50</v>
      </c>
      <c r="D12484" t="s">
        <v>51</v>
      </c>
      <c r="E12484" s="6">
        <v>-28308</v>
      </c>
      <c r="F12484" t="s">
        <v>1050</v>
      </c>
      <c r="G12484" t="s">
        <v>167</v>
      </c>
      <c r="H12484" t="s">
        <v>20</v>
      </c>
      <c r="I12484" t="s">
        <v>24318</v>
      </c>
      <c r="J12484" t="str">
        <f>HYPERLINK("https://www.boe.es/gazeta/dias/1822/06/29/pdfs/GMD-1822-187.pdf#page=7","Abrir facsímil")</f>
        <v>Abrir facsímil</v>
      </c>
      <c r="K12484" t="s">
        <v>22</v>
      </c>
    </row>
    <row r="12485" spans="1:11" ht="42" customHeight="1">
      <c r="A12485" t="s">
        <v>24319</v>
      </c>
      <c r="B12485" t="s">
        <v>24320</v>
      </c>
      <c r="C12485" t="s">
        <v>50</v>
      </c>
      <c r="D12485" t="s">
        <v>51</v>
      </c>
      <c r="E12485" s="6">
        <v>-28359</v>
      </c>
      <c r="F12485" t="s">
        <v>209</v>
      </c>
      <c r="G12485" t="s">
        <v>44</v>
      </c>
      <c r="H12485" t="s">
        <v>45</v>
      </c>
      <c r="I12485" t="s">
        <v>24321</v>
      </c>
      <c r="J12485" t="str">
        <f>HYPERLINK("https://www.boe.es/gazeta/dias/1822/05/09/pdfs/GMD-1822-131.pdf#page=1","Abrir facsímil")</f>
        <v>Abrir facsímil</v>
      </c>
      <c r="K12485" t="s">
        <v>47</v>
      </c>
    </row>
    <row r="12486" spans="1:11" ht="42" customHeight="1">
      <c r="A12486" t="s">
        <v>24322</v>
      </c>
      <c r="B12486" t="s">
        <v>24322</v>
      </c>
      <c r="C12486" t="s">
        <v>42</v>
      </c>
      <c r="D12486" t="s">
        <v>17</v>
      </c>
      <c r="E12486" s="6">
        <v>-28354</v>
      </c>
      <c r="F12486" t="s">
        <v>226</v>
      </c>
      <c r="G12486" t="s">
        <v>19</v>
      </c>
      <c r="H12486" t="s">
        <v>20</v>
      </c>
      <c r="I12486" t="s">
        <v>24323</v>
      </c>
      <c r="J12486" t="str">
        <f>HYPERLINK("https://www.boe.es/gazeta/dias/1822/05/14/pdfs/GMD-1822-136.pdf#page=5","Abrir facsímil")</f>
        <v>Abrir facsímil</v>
      </c>
      <c r="K12486" t="s">
        <v>22</v>
      </c>
    </row>
    <row r="12487" spans="1:11" ht="42" customHeight="1">
      <c r="A12487" t="s">
        <v>24324</v>
      </c>
      <c r="B12487" t="s">
        <v>24324</v>
      </c>
      <c r="C12487" t="s">
        <v>71</v>
      </c>
      <c r="D12487" t="s">
        <v>17</v>
      </c>
      <c r="E12487" s="6">
        <v>-28180</v>
      </c>
      <c r="F12487" t="s">
        <v>839</v>
      </c>
      <c r="G12487" t="s">
        <v>31</v>
      </c>
      <c r="H12487" t="s">
        <v>20</v>
      </c>
      <c r="I12487" t="s">
        <v>24325</v>
      </c>
      <c r="J12487" t="str">
        <f>HYPERLINK("https://www.boe.es/gazeta/dias/1822/11/04/pdfs/GMD-1822-323.pdf#page=3","Abrir facsímil")</f>
        <v>Abrir facsímil</v>
      </c>
      <c r="K12487" t="s">
        <v>22</v>
      </c>
    </row>
    <row r="12488" spans="1:11" ht="42" customHeight="1">
      <c r="A12488" t="s">
        <v>24326</v>
      </c>
      <c r="B12488" t="s">
        <v>24326</v>
      </c>
      <c r="C12488" t="s">
        <v>50</v>
      </c>
      <c r="D12488" t="s">
        <v>51</v>
      </c>
      <c r="E12488" s="6">
        <v>-28144</v>
      </c>
      <c r="F12488" t="s">
        <v>288</v>
      </c>
      <c r="G12488" t="s">
        <v>44</v>
      </c>
      <c r="H12488" t="s">
        <v>20</v>
      </c>
      <c r="I12488" t="s">
        <v>24327</v>
      </c>
      <c r="J12488" t="str">
        <f>HYPERLINK("https://www.boe.es/gazeta/dias/1822/12/10/pdfs/GMD-1822-360.pdf#page=1","Abrir facsímil")</f>
        <v>Abrir facsímil</v>
      </c>
      <c r="K12488" t="s">
        <v>22</v>
      </c>
    </row>
    <row r="12489" spans="1:11" ht="42" customHeight="1">
      <c r="A12489" t="s">
        <v>24328</v>
      </c>
      <c r="B12489" t="s">
        <v>24329</v>
      </c>
      <c r="C12489" t="s">
        <v>50</v>
      </c>
      <c r="D12489" t="s">
        <v>51</v>
      </c>
      <c r="E12489" s="6">
        <v>-28293</v>
      </c>
      <c r="F12489" t="s">
        <v>152</v>
      </c>
      <c r="G12489" t="s">
        <v>31</v>
      </c>
      <c r="H12489" t="s">
        <v>20</v>
      </c>
      <c r="I12489" t="s">
        <v>24330</v>
      </c>
      <c r="J12489" t="str">
        <f>HYPERLINK("https://www.boe.es/gazeta/dias/1822/07/14/pdfs/GMD-1822-204.pdf#page=3","Abrir facsímil")</f>
        <v>Abrir facsímil</v>
      </c>
      <c r="K12489" t="s">
        <v>22</v>
      </c>
    </row>
    <row r="12490" spans="1:11" ht="42" customHeight="1">
      <c r="A12490" t="s">
        <v>24331</v>
      </c>
      <c r="B12490" t="s">
        <v>24332</v>
      </c>
      <c r="C12490" t="s">
        <v>50</v>
      </c>
      <c r="D12490" t="s">
        <v>51</v>
      </c>
      <c r="E12490" s="6">
        <v>-28313</v>
      </c>
      <c r="F12490" t="s">
        <v>315</v>
      </c>
      <c r="G12490" t="s">
        <v>157</v>
      </c>
      <c r="H12490" t="s">
        <v>20</v>
      </c>
      <c r="I12490" t="s">
        <v>24333</v>
      </c>
      <c r="J12490" t="str">
        <f>HYPERLINK("https://www.boe.es/gazeta/dias/1822/06/24/pdfs/GMD-1822-182.pdf#page=8","Abrir facsímil")</f>
        <v>Abrir facsímil</v>
      </c>
      <c r="K12490" t="s">
        <v>22</v>
      </c>
    </row>
    <row r="12491" spans="1:11" ht="42" customHeight="1">
      <c r="A12491" t="s">
        <v>24331</v>
      </c>
      <c r="B12491" t="s">
        <v>24332</v>
      </c>
      <c r="C12491" t="s">
        <v>24</v>
      </c>
      <c r="D12491" t="s">
        <v>17</v>
      </c>
      <c r="E12491" s="6">
        <v>-28145</v>
      </c>
      <c r="F12491" t="s">
        <v>1350</v>
      </c>
      <c r="G12491" t="s">
        <v>6049</v>
      </c>
      <c r="H12491" t="s">
        <v>20</v>
      </c>
      <c r="I12491" t="s">
        <v>24334</v>
      </c>
      <c r="J12491" t="str">
        <f>HYPERLINK("https://www.boe.es/gazeta/dias/1822/12/09/pdfs/GMD-1822-359.pdf#page=5","Abrir facsímil")</f>
        <v>Abrir facsímil</v>
      </c>
      <c r="K12491" t="s">
        <v>22</v>
      </c>
    </row>
    <row r="12492" spans="1:11" ht="42" customHeight="1">
      <c r="A12492" t="s">
        <v>24335</v>
      </c>
      <c r="B12492" t="s">
        <v>24335</v>
      </c>
      <c r="C12492" t="s">
        <v>42</v>
      </c>
      <c r="D12492" t="s">
        <v>17</v>
      </c>
      <c r="E12492" s="6">
        <v>-28423</v>
      </c>
      <c r="F12492" t="s">
        <v>441</v>
      </c>
      <c r="G12492" t="s">
        <v>35</v>
      </c>
      <c r="H12492" t="s">
        <v>20</v>
      </c>
      <c r="I12492" t="s">
        <v>24336</v>
      </c>
      <c r="J12492" t="str">
        <f>HYPERLINK("https://www.boe.es/gazeta/dias/1822/03/06/pdfs/GMD-1822-67.pdf#page=2","Abrir facsímil")</f>
        <v>Abrir facsímil</v>
      </c>
      <c r="K12492" t="s">
        <v>22</v>
      </c>
    </row>
    <row r="12493" spans="1:11" ht="42" customHeight="1">
      <c r="A12493" t="s">
        <v>24337</v>
      </c>
      <c r="B12493" t="s">
        <v>24338</v>
      </c>
      <c r="C12493" t="s">
        <v>24</v>
      </c>
      <c r="D12493" t="s">
        <v>17</v>
      </c>
      <c r="E12493" s="6">
        <v>-28159</v>
      </c>
      <c r="F12493" t="s">
        <v>67</v>
      </c>
      <c r="G12493" t="s">
        <v>31</v>
      </c>
      <c r="H12493" t="s">
        <v>20</v>
      </c>
      <c r="I12493" t="s">
        <v>24339</v>
      </c>
      <c r="J12493" t="str">
        <f>HYPERLINK("https://www.boe.es/gazeta/dias/1822/11/25/pdfs/GMD-1822-345.pdf#page=3","Abrir facsímil")</f>
        <v>Abrir facsímil</v>
      </c>
      <c r="K12493" t="s">
        <v>22</v>
      </c>
    </row>
    <row r="12494" spans="1:11" ht="42" customHeight="1">
      <c r="A12494" t="s">
        <v>24340</v>
      </c>
      <c r="B12494" t="s">
        <v>24340</v>
      </c>
      <c r="C12494" t="s">
        <v>42</v>
      </c>
      <c r="D12494" t="s">
        <v>17</v>
      </c>
      <c r="E12494" s="6">
        <v>-28279</v>
      </c>
      <c r="F12494" t="s">
        <v>662</v>
      </c>
      <c r="G12494" t="s">
        <v>44</v>
      </c>
      <c r="H12494" t="s">
        <v>20</v>
      </c>
      <c r="I12494" t="s">
        <v>24341</v>
      </c>
      <c r="J12494" t="str">
        <f>HYPERLINK("https://www.boe.es/gazeta/dias/1822/07/28/pdfs/GMD-1822-221.pdf#page=1","Abrir facsímil")</f>
        <v>Abrir facsímil</v>
      </c>
      <c r="K12494" t="s">
        <v>22</v>
      </c>
    </row>
    <row r="12495" spans="1:11" ht="42" customHeight="1">
      <c r="A12495" t="s">
        <v>24342</v>
      </c>
      <c r="B12495" t="s">
        <v>24342</v>
      </c>
      <c r="C12495" t="s">
        <v>71</v>
      </c>
      <c r="D12495" t="s">
        <v>17</v>
      </c>
      <c r="E12495" s="6">
        <v>-28354</v>
      </c>
      <c r="F12495" t="s">
        <v>226</v>
      </c>
      <c r="G12495" t="s">
        <v>31</v>
      </c>
      <c r="H12495" t="s">
        <v>20</v>
      </c>
      <c r="I12495" t="s">
        <v>24343</v>
      </c>
      <c r="J12495" t="str">
        <f>HYPERLINK("https://www.boe.es/gazeta/dias/1822/05/14/pdfs/GMD-1822-136.pdf#page=3","Abrir facsímil")</f>
        <v>Abrir facsímil</v>
      </c>
      <c r="K12495" t="s">
        <v>22</v>
      </c>
    </row>
    <row r="12496" spans="1:11" ht="42" customHeight="1">
      <c r="A12496" t="s">
        <v>24344</v>
      </c>
      <c r="B12496" t="s">
        <v>24345</v>
      </c>
      <c r="C12496" t="s">
        <v>50</v>
      </c>
      <c r="D12496" t="s">
        <v>51</v>
      </c>
      <c r="E12496" s="6">
        <v>-28268</v>
      </c>
      <c r="F12496" t="s">
        <v>7231</v>
      </c>
      <c r="G12496" t="s">
        <v>35</v>
      </c>
      <c r="H12496" t="s">
        <v>45</v>
      </c>
      <c r="I12496" t="s">
        <v>24346</v>
      </c>
      <c r="J12496" t="str">
        <f>HYPERLINK("https://www.boe.es/gazeta/dias/1822/08/08/pdfs/GMD-1822-232.pdf#page=2","Abrir facsímil")</f>
        <v>Abrir facsímil</v>
      </c>
      <c r="K12496" t="s">
        <v>47</v>
      </c>
    </row>
    <row r="12497" spans="1:11" ht="42" customHeight="1">
      <c r="A12497" t="s">
        <v>24347</v>
      </c>
      <c r="B12497" t="s">
        <v>24348</v>
      </c>
      <c r="C12497" t="s">
        <v>28</v>
      </c>
      <c r="D12497" t="s">
        <v>29</v>
      </c>
      <c r="E12497" s="6">
        <v>-28366</v>
      </c>
      <c r="F12497" t="s">
        <v>120</v>
      </c>
      <c r="G12497" t="s">
        <v>63</v>
      </c>
      <c r="H12497" t="s">
        <v>45</v>
      </c>
      <c r="I12497" t="s">
        <v>24349</v>
      </c>
      <c r="J12497" t="str">
        <f>HYPERLINK("https://www.boe.es/gazeta/dias/1822/05/02/pdfs/GMD-1822-124.pdf#page=6","Abrir facsímil")</f>
        <v>Abrir facsímil</v>
      </c>
      <c r="K12497" t="s">
        <v>47</v>
      </c>
    </row>
    <row r="12498" spans="1:11" ht="42" customHeight="1">
      <c r="A12498" t="s">
        <v>24350</v>
      </c>
      <c r="B12498" t="s">
        <v>24351</v>
      </c>
      <c r="C12498" t="s">
        <v>28</v>
      </c>
      <c r="D12498" t="s">
        <v>29</v>
      </c>
      <c r="E12498" s="6">
        <v>-28350</v>
      </c>
      <c r="F12498" t="s">
        <v>352</v>
      </c>
      <c r="G12498" t="s">
        <v>63</v>
      </c>
      <c r="H12498" t="s">
        <v>45</v>
      </c>
      <c r="I12498" t="s">
        <v>24352</v>
      </c>
      <c r="J12498" t="str">
        <f>HYPERLINK("https://www.boe.es/gazeta/dias/1822/05/18/pdfs/GMD-1822-140.pdf#page=6","Abrir facsímil")</f>
        <v>Abrir facsímil</v>
      </c>
      <c r="K12498" t="s">
        <v>47</v>
      </c>
    </row>
    <row r="12499" spans="1:11" ht="42" customHeight="1">
      <c r="A12499" t="s">
        <v>24353</v>
      </c>
      <c r="B12499" t="s">
        <v>24353</v>
      </c>
      <c r="C12499" t="s">
        <v>24</v>
      </c>
      <c r="D12499" t="s">
        <v>17</v>
      </c>
      <c r="E12499" s="6">
        <v>-28340</v>
      </c>
      <c r="F12499" t="s">
        <v>139</v>
      </c>
      <c r="G12499" t="s">
        <v>57</v>
      </c>
      <c r="H12499" t="s">
        <v>20</v>
      </c>
      <c r="I12499" t="s">
        <v>24354</v>
      </c>
      <c r="J12499" t="str">
        <f>HYPERLINK("https://www.boe.es/gazeta/dias/1822/05/28/pdfs/GMD-1822-153.pdf#page=4","Abrir facsímil")</f>
        <v>Abrir facsímil</v>
      </c>
      <c r="K12499" t="s">
        <v>22</v>
      </c>
    </row>
    <row r="12500" spans="1:11" ht="42" customHeight="1">
      <c r="A12500" t="s">
        <v>24355</v>
      </c>
      <c r="B12500" t="s">
        <v>24355</v>
      </c>
      <c r="C12500" t="s">
        <v>71</v>
      </c>
      <c r="D12500" t="s">
        <v>17</v>
      </c>
      <c r="E12500" s="6">
        <v>-28357</v>
      </c>
      <c r="F12500" t="s">
        <v>690</v>
      </c>
      <c r="G12500" t="s">
        <v>19</v>
      </c>
      <c r="H12500" t="s">
        <v>20</v>
      </c>
      <c r="I12500" t="s">
        <v>24356</v>
      </c>
      <c r="J12500" t="str">
        <f>HYPERLINK("https://www.boe.es/gazeta/dias/1822/05/11/pdfs/GMD-1822-133.pdf#page=5","Abrir facsímil")</f>
        <v>Abrir facsímil</v>
      </c>
      <c r="K12500" t="s">
        <v>22</v>
      </c>
    </row>
    <row r="12501" spans="1:11" ht="42" customHeight="1">
      <c r="A12501" t="s">
        <v>24355</v>
      </c>
      <c r="B12501" t="s">
        <v>24355</v>
      </c>
      <c r="C12501" t="s">
        <v>71</v>
      </c>
      <c r="D12501" t="s">
        <v>17</v>
      </c>
      <c r="E12501" s="6">
        <v>-28355</v>
      </c>
      <c r="F12501" t="s">
        <v>692</v>
      </c>
      <c r="G12501" t="s">
        <v>35</v>
      </c>
      <c r="H12501" t="s">
        <v>20</v>
      </c>
      <c r="I12501" t="s">
        <v>24357</v>
      </c>
      <c r="J12501" t="str">
        <f>HYPERLINK("https://www.boe.es/gazeta/dias/1822/05/13/pdfs/GMD-1822-135.pdf#page=2","Abrir facsímil")</f>
        <v>Abrir facsímil</v>
      </c>
      <c r="K12501" t="s">
        <v>22</v>
      </c>
    </row>
    <row r="12502" spans="1:11" ht="42" customHeight="1">
      <c r="A12502" t="s">
        <v>24355</v>
      </c>
      <c r="B12502" t="s">
        <v>24355</v>
      </c>
      <c r="C12502" t="s">
        <v>24</v>
      </c>
      <c r="D12502" t="s">
        <v>17</v>
      </c>
      <c r="E12502" s="6">
        <v>-28314</v>
      </c>
      <c r="F12502" t="s">
        <v>309</v>
      </c>
      <c r="G12502" t="s">
        <v>31</v>
      </c>
      <c r="H12502" t="s">
        <v>20</v>
      </c>
      <c r="I12502" t="s">
        <v>24358</v>
      </c>
      <c r="J12502" t="str">
        <f>HYPERLINK("https://www.boe.es/gazeta/dias/1822/06/23/pdfs/GMD-1822-181.pdf#page=3","Abrir facsímil")</f>
        <v>Abrir facsímil</v>
      </c>
      <c r="K12502" t="s">
        <v>22</v>
      </c>
    </row>
    <row r="12503" spans="1:11" ht="42" customHeight="1">
      <c r="A12503" t="s">
        <v>24355</v>
      </c>
      <c r="B12503" t="s">
        <v>24355</v>
      </c>
      <c r="C12503" t="s">
        <v>61</v>
      </c>
      <c r="D12503" t="s">
        <v>17</v>
      </c>
      <c r="E12503" s="6">
        <v>-28257</v>
      </c>
      <c r="F12503" t="s">
        <v>1171</v>
      </c>
      <c r="G12503" t="s">
        <v>1172</v>
      </c>
      <c r="H12503" t="s">
        <v>20</v>
      </c>
      <c r="I12503" t="s">
        <v>24359</v>
      </c>
      <c r="J12503" t="str">
        <f>HYPERLINK("https://www.boe.es/gazeta/dias/1822/08/19/pdfs/GMD-1822-243.pdf#page=4","Abrir facsímil")</f>
        <v>Abrir facsímil</v>
      </c>
      <c r="K12503" t="s">
        <v>22</v>
      </c>
    </row>
    <row r="12504" spans="1:11" ht="42" customHeight="1">
      <c r="A12504" t="s">
        <v>24355</v>
      </c>
      <c r="B12504" t="s">
        <v>24355</v>
      </c>
      <c r="C12504" t="s">
        <v>50</v>
      </c>
      <c r="D12504" t="s">
        <v>51</v>
      </c>
      <c r="E12504" s="6">
        <v>-28182</v>
      </c>
      <c r="F12504" t="s">
        <v>585</v>
      </c>
      <c r="G12504" t="s">
        <v>19</v>
      </c>
      <c r="H12504" t="s">
        <v>20</v>
      </c>
      <c r="I12504" t="s">
        <v>24360</v>
      </c>
      <c r="J12504" t="str">
        <f>HYPERLINK("https://www.boe.es/gazeta/dias/1822/11/02/pdfs/GMD-1822-320.pdf#page=5","Abrir facsímil")</f>
        <v>Abrir facsímil</v>
      </c>
      <c r="K12504" t="s">
        <v>22</v>
      </c>
    </row>
    <row r="12505" spans="1:11" ht="42" customHeight="1">
      <c r="A12505" t="s">
        <v>24355</v>
      </c>
      <c r="B12505" t="s">
        <v>24355</v>
      </c>
      <c r="C12505" t="s">
        <v>71</v>
      </c>
      <c r="D12505" t="s">
        <v>17</v>
      </c>
      <c r="E12505" s="6">
        <v>-28167</v>
      </c>
      <c r="F12505" t="s">
        <v>904</v>
      </c>
      <c r="G12505" t="s">
        <v>31</v>
      </c>
      <c r="H12505" t="s">
        <v>20</v>
      </c>
      <c r="I12505" t="s">
        <v>24361</v>
      </c>
      <c r="J12505" t="str">
        <f>HYPERLINK("https://www.boe.es/gazeta/dias/1822/11/17/pdfs/GMD-1822-337.pdf#page=3","Abrir facsímil")</f>
        <v>Abrir facsímil</v>
      </c>
      <c r="K12505" t="s">
        <v>22</v>
      </c>
    </row>
    <row r="12506" spans="1:11" ht="42" customHeight="1">
      <c r="A12506" t="s">
        <v>24355</v>
      </c>
      <c r="B12506" t="s">
        <v>24355</v>
      </c>
      <c r="C12506" t="s">
        <v>42</v>
      </c>
      <c r="D12506" t="s">
        <v>17</v>
      </c>
      <c r="E12506" s="6">
        <v>-28147</v>
      </c>
      <c r="F12506" t="s">
        <v>1611</v>
      </c>
      <c r="G12506" t="s">
        <v>31</v>
      </c>
      <c r="H12506" t="s">
        <v>20</v>
      </c>
      <c r="I12506" t="s">
        <v>24362</v>
      </c>
      <c r="J12506" t="str">
        <f>HYPERLINK("https://www.boe.es/gazeta/dias/1822/12/07/pdfs/GMD-1822-357.pdf#page=3","Abrir facsímil")</f>
        <v>Abrir facsímil</v>
      </c>
      <c r="K12506" t="s">
        <v>22</v>
      </c>
    </row>
    <row r="12507" spans="1:11" ht="42" customHeight="1">
      <c r="A12507" t="s">
        <v>24363</v>
      </c>
      <c r="B12507" t="s">
        <v>24363</v>
      </c>
      <c r="C12507" t="s">
        <v>28</v>
      </c>
      <c r="D12507" t="s">
        <v>29</v>
      </c>
      <c r="E12507" s="6">
        <v>-28391</v>
      </c>
      <c r="F12507" t="s">
        <v>378</v>
      </c>
      <c r="G12507" t="s">
        <v>31</v>
      </c>
      <c r="H12507" t="s">
        <v>20</v>
      </c>
      <c r="I12507" t="s">
        <v>24364</v>
      </c>
      <c r="J12507" t="str">
        <f>HYPERLINK("https://www.boe.es/gazeta/dias/1822/04/07/pdfs/GMD-1822-99.pdf#page=3","Abrir facsímil")</f>
        <v>Abrir facsímil</v>
      </c>
      <c r="K12507" t="s">
        <v>22</v>
      </c>
    </row>
    <row r="12508" spans="1:11" ht="42" customHeight="1">
      <c r="A12508" t="s">
        <v>24365</v>
      </c>
      <c r="B12508" t="s">
        <v>24365</v>
      </c>
      <c r="C12508" t="s">
        <v>71</v>
      </c>
      <c r="D12508" t="s">
        <v>17</v>
      </c>
      <c r="E12508" s="6">
        <v>-28342</v>
      </c>
      <c r="F12508" t="s">
        <v>2281</v>
      </c>
      <c r="G12508" t="s">
        <v>19</v>
      </c>
      <c r="H12508" t="s">
        <v>20</v>
      </c>
      <c r="I12508" t="s">
        <v>24366</v>
      </c>
      <c r="J12508" t="str">
        <f>HYPERLINK("https://www.boe.es/gazeta/dias/1822/05/26/pdfs/GMD-1822-151.pdf#page=5","Abrir facsímil")</f>
        <v>Abrir facsímil</v>
      </c>
      <c r="K12508" t="s">
        <v>22</v>
      </c>
    </row>
    <row r="12509" spans="1:11" ht="42" customHeight="1">
      <c r="A12509" t="s">
        <v>24367</v>
      </c>
      <c r="B12509" t="s">
        <v>24368</v>
      </c>
      <c r="C12509" t="s">
        <v>28</v>
      </c>
      <c r="D12509" t="s">
        <v>29</v>
      </c>
      <c r="E12509" s="6">
        <v>-28479</v>
      </c>
      <c r="F12509" t="s">
        <v>1091</v>
      </c>
      <c r="G12509" t="s">
        <v>63</v>
      </c>
      <c r="H12509" t="s">
        <v>20</v>
      </c>
      <c r="I12509" t="s">
        <v>24369</v>
      </c>
      <c r="J12509" t="str">
        <f>HYPERLINK("https://www.boe.es/gazeta/dias/1822/01/09/pdfs/GMD-1822-9.pdf#page=6","Abrir facsímil")</f>
        <v>Abrir facsímil</v>
      </c>
      <c r="K12509" t="s">
        <v>22</v>
      </c>
    </row>
    <row r="12510" spans="1:11" ht="42" customHeight="1">
      <c r="A12510" t="s">
        <v>24370</v>
      </c>
      <c r="B12510" t="s">
        <v>24371</v>
      </c>
      <c r="C12510" t="s">
        <v>42</v>
      </c>
      <c r="D12510" t="s">
        <v>17</v>
      </c>
      <c r="E12510" s="6">
        <v>-28165</v>
      </c>
      <c r="F12510" t="s">
        <v>846</v>
      </c>
      <c r="G12510" t="s">
        <v>57</v>
      </c>
      <c r="H12510" t="s">
        <v>20</v>
      </c>
      <c r="I12510" t="s">
        <v>24372</v>
      </c>
      <c r="J12510" t="str">
        <f>HYPERLINK("https://www.boe.es/gazeta/dias/1822/11/19/pdfs/GMD-1822-339.pdf#page=4","Abrir facsímil")</f>
        <v>Abrir facsímil</v>
      </c>
      <c r="K12510" t="s">
        <v>22</v>
      </c>
    </row>
    <row r="12511" spans="1:11" ht="42" customHeight="1">
      <c r="A12511" t="s">
        <v>24373</v>
      </c>
      <c r="B12511" t="s">
        <v>24373</v>
      </c>
      <c r="C12511" t="s">
        <v>50</v>
      </c>
      <c r="D12511" t="s">
        <v>51</v>
      </c>
      <c r="E12511" s="6">
        <v>-28372</v>
      </c>
      <c r="F12511" t="s">
        <v>503</v>
      </c>
      <c r="G12511" t="s">
        <v>63</v>
      </c>
      <c r="H12511" t="s">
        <v>20</v>
      </c>
      <c r="I12511" t="s">
        <v>24374</v>
      </c>
      <c r="J12511" t="str">
        <f>HYPERLINK("https://www.boe.es/gazeta/dias/1822/04/26/pdfs/GMD-1822-118.pdf#page=6","Abrir facsímil")</f>
        <v>Abrir facsímil</v>
      </c>
      <c r="K12511" t="s">
        <v>22</v>
      </c>
    </row>
    <row r="12512" spans="1:11" ht="42" customHeight="1">
      <c r="A12512" t="s">
        <v>24375</v>
      </c>
      <c r="B12512" t="s">
        <v>24376</v>
      </c>
      <c r="C12512" t="s">
        <v>50</v>
      </c>
      <c r="D12512" t="s">
        <v>51</v>
      </c>
      <c r="E12512" s="6">
        <v>-28227</v>
      </c>
      <c r="F12512" t="s">
        <v>2148</v>
      </c>
      <c r="G12512" t="s">
        <v>35</v>
      </c>
      <c r="H12512" t="s">
        <v>20</v>
      </c>
      <c r="I12512" t="s">
        <v>24377</v>
      </c>
      <c r="J12512" t="str">
        <f>HYPERLINK("https://www.boe.es/gazeta/dias/1822/09/18/pdfs/GMD-1822-274.pdf#page=2","Abrir facsímil")</f>
        <v>Abrir facsímil</v>
      </c>
      <c r="K12512" t="s">
        <v>22</v>
      </c>
    </row>
    <row r="12513" spans="1:11" ht="42" customHeight="1">
      <c r="A12513" t="s">
        <v>24378</v>
      </c>
      <c r="B12513" t="s">
        <v>24379</v>
      </c>
      <c r="C12513" t="s">
        <v>50</v>
      </c>
      <c r="D12513" t="s">
        <v>51</v>
      </c>
      <c r="E12513" s="6">
        <v>-28264</v>
      </c>
      <c r="F12513" t="s">
        <v>1329</v>
      </c>
      <c r="G12513" t="s">
        <v>31</v>
      </c>
      <c r="H12513" t="s">
        <v>20</v>
      </c>
      <c r="I12513" t="s">
        <v>24380</v>
      </c>
      <c r="J12513" t="str">
        <f>HYPERLINK("https://www.boe.es/gazeta/dias/1822/08/12/pdfs/GMD-1822-236.pdf#page=3","Abrir facsímil")</f>
        <v>Abrir facsímil</v>
      </c>
      <c r="K12513" t="s">
        <v>22</v>
      </c>
    </row>
    <row r="12514" spans="1:11" ht="42" customHeight="1">
      <c r="A12514" t="s">
        <v>24381</v>
      </c>
      <c r="B12514" t="s">
        <v>24381</v>
      </c>
      <c r="C12514" t="s">
        <v>28</v>
      </c>
      <c r="D12514" t="s">
        <v>29</v>
      </c>
      <c r="E12514" s="6">
        <v>-28418</v>
      </c>
      <c r="F12514" t="s">
        <v>205</v>
      </c>
      <c r="G12514" t="s">
        <v>19</v>
      </c>
      <c r="H12514" t="s">
        <v>20</v>
      </c>
      <c r="I12514" t="s">
        <v>24382</v>
      </c>
      <c r="J12514" t="str">
        <f>HYPERLINK("https://www.boe.es/gazeta/dias/1822/03/11/pdfs/GMD-1822-72.pdf#page=5","Abrir facsímil")</f>
        <v>Abrir facsímil</v>
      </c>
      <c r="K12514" t="s">
        <v>22</v>
      </c>
    </row>
    <row r="12515" spans="1:11" ht="42" customHeight="1">
      <c r="A12515" t="s">
        <v>24383</v>
      </c>
      <c r="B12515" t="s">
        <v>24384</v>
      </c>
      <c r="C12515" t="s">
        <v>71</v>
      </c>
      <c r="D12515" t="s">
        <v>17</v>
      </c>
      <c r="E12515" s="6">
        <v>-28306</v>
      </c>
      <c r="F12515" t="s">
        <v>348</v>
      </c>
      <c r="G12515" t="s">
        <v>57</v>
      </c>
      <c r="H12515" t="s">
        <v>20</v>
      </c>
      <c r="I12515" t="s">
        <v>24385</v>
      </c>
      <c r="J12515" t="str">
        <f>HYPERLINK("https://www.boe.es/gazeta/dias/1822/07/01/pdfs/GMD-1822-190.pdf#page=4","Abrir facsímil")</f>
        <v>Abrir facsímil</v>
      </c>
      <c r="K12515" t="s">
        <v>22</v>
      </c>
    </row>
    <row r="12516" spans="1:11" ht="42" customHeight="1">
      <c r="A12516" t="s">
        <v>24386</v>
      </c>
      <c r="B12516" t="s">
        <v>24386</v>
      </c>
      <c r="C12516" t="s">
        <v>28</v>
      </c>
      <c r="D12516" t="s">
        <v>29</v>
      </c>
      <c r="E12516" s="6">
        <v>-28403</v>
      </c>
      <c r="F12516" t="s">
        <v>471</v>
      </c>
      <c r="G12516" t="s">
        <v>31</v>
      </c>
      <c r="H12516" t="s">
        <v>20</v>
      </c>
      <c r="I12516" t="s">
        <v>24387</v>
      </c>
      <c r="J12516" t="str">
        <f>HYPERLINK("https://www.boe.es/gazeta/dias/1822/03/26/pdfs/GMD-1822-87.pdf#page=3","Abrir facsímil")</f>
        <v>Abrir facsímil</v>
      </c>
      <c r="K12516" t="s">
        <v>22</v>
      </c>
    </row>
    <row r="12517" spans="1:11" ht="42" customHeight="1">
      <c r="A12517" t="s">
        <v>24388</v>
      </c>
      <c r="B12517" t="s">
        <v>24389</v>
      </c>
      <c r="C12517" t="s">
        <v>1141</v>
      </c>
      <c r="D12517" t="s">
        <v>29</v>
      </c>
      <c r="E12517" s="6">
        <v>-28260</v>
      </c>
      <c r="F12517" t="s">
        <v>135</v>
      </c>
      <c r="G12517" t="s">
        <v>63</v>
      </c>
      <c r="H12517" t="s">
        <v>20</v>
      </c>
      <c r="I12517" t="s">
        <v>24390</v>
      </c>
      <c r="J12517" t="str">
        <f>HYPERLINK("https://www.boe.es/gazeta/dias/1822/08/16/pdfs/GMD-1822-240.pdf#page=6","Abrir facsímil")</f>
        <v>Abrir facsímil</v>
      </c>
      <c r="K12517" t="s">
        <v>22</v>
      </c>
    </row>
    <row r="12518" spans="1:11" ht="42" customHeight="1">
      <c r="A12518" t="s">
        <v>24391</v>
      </c>
      <c r="B12518" t="s">
        <v>24392</v>
      </c>
      <c r="C12518" t="s">
        <v>50</v>
      </c>
      <c r="D12518" t="s">
        <v>51</v>
      </c>
      <c r="E12518" s="6">
        <v>-28274</v>
      </c>
      <c r="F12518" t="s">
        <v>3371</v>
      </c>
      <c r="G12518" t="s">
        <v>57</v>
      </c>
      <c r="H12518" t="s">
        <v>20</v>
      </c>
      <c r="I12518" t="s">
        <v>24393</v>
      </c>
      <c r="J12518" t="str">
        <f>HYPERLINK("https://www.boe.es/gazeta/dias/1822/08/02/pdfs/GMD-1822-226.pdf#page=4","Abrir facsímil")</f>
        <v>Abrir facsímil</v>
      </c>
      <c r="K12518" t="s">
        <v>22</v>
      </c>
    </row>
    <row r="12519" spans="1:11" ht="42" customHeight="1">
      <c r="A12519" t="s">
        <v>24394</v>
      </c>
      <c r="B12519" t="s">
        <v>24395</v>
      </c>
      <c r="C12519" t="s">
        <v>50</v>
      </c>
      <c r="D12519" t="s">
        <v>51</v>
      </c>
      <c r="E12519" s="6">
        <v>-28358</v>
      </c>
      <c r="F12519" t="s">
        <v>211</v>
      </c>
      <c r="G12519" t="s">
        <v>35</v>
      </c>
      <c r="H12519" t="s">
        <v>20</v>
      </c>
      <c r="I12519" t="s">
        <v>24396</v>
      </c>
      <c r="J12519" t="str">
        <f>HYPERLINK("https://www.boe.es/gazeta/dias/1822/05/10/pdfs/GMD-1822-132.pdf#page=2","Abrir facsímil")</f>
        <v>Abrir facsímil</v>
      </c>
      <c r="K12519" t="s">
        <v>22</v>
      </c>
    </row>
    <row r="12520" spans="1:11" ht="42" customHeight="1">
      <c r="A12520" t="s">
        <v>24397</v>
      </c>
      <c r="B12520" t="s">
        <v>24397</v>
      </c>
      <c r="C12520" t="s">
        <v>42</v>
      </c>
      <c r="D12520" t="s">
        <v>17</v>
      </c>
      <c r="E12520" s="6">
        <v>-28123</v>
      </c>
      <c r="F12520" t="s">
        <v>603</v>
      </c>
      <c r="G12520" t="s">
        <v>19</v>
      </c>
      <c r="H12520" t="s">
        <v>20</v>
      </c>
      <c r="I12520" t="s">
        <v>24398</v>
      </c>
      <c r="J12520" t="str">
        <f>HYPERLINK("https://www.boe.es/gazeta/dias/1822/12/31/pdfs/GMD-1822-381.pdf#page=5","Abrir facsímil")</f>
        <v>Abrir facsímil</v>
      </c>
      <c r="K12520" t="s">
        <v>22</v>
      </c>
    </row>
    <row r="12521" spans="1:11" ht="42" customHeight="1">
      <c r="A12521" t="s">
        <v>24399</v>
      </c>
      <c r="B12521" t="s">
        <v>24399</v>
      </c>
      <c r="C12521" t="s">
        <v>50</v>
      </c>
      <c r="D12521" t="s">
        <v>51</v>
      </c>
      <c r="E12521" s="6">
        <v>-28418</v>
      </c>
      <c r="F12521" t="s">
        <v>205</v>
      </c>
      <c r="G12521" t="s">
        <v>31</v>
      </c>
      <c r="H12521" t="s">
        <v>20</v>
      </c>
      <c r="I12521" t="s">
        <v>24400</v>
      </c>
      <c r="J12521" t="str">
        <f>HYPERLINK("https://www.boe.es/gazeta/dias/1822/03/11/pdfs/GMD-1822-72.pdf#page=3","Abrir facsímil")</f>
        <v>Abrir facsímil</v>
      </c>
      <c r="K12521" t="s">
        <v>22</v>
      </c>
    </row>
    <row r="12522" spans="1:11" ht="42" customHeight="1">
      <c r="A12522" t="s">
        <v>24401</v>
      </c>
      <c r="B12522" t="s">
        <v>24401</v>
      </c>
      <c r="C12522" t="s">
        <v>42</v>
      </c>
      <c r="D12522" t="s">
        <v>17</v>
      </c>
      <c r="E12522" s="6">
        <v>-28404</v>
      </c>
      <c r="F12522" t="s">
        <v>421</v>
      </c>
      <c r="G12522" t="s">
        <v>35</v>
      </c>
      <c r="H12522" t="s">
        <v>20</v>
      </c>
      <c r="I12522" t="s">
        <v>24402</v>
      </c>
      <c r="J12522" t="str">
        <f>HYPERLINK("https://www.boe.es/gazeta/dias/1822/03/25/pdfs/GMD-1822-86.pdf#page=2","Abrir facsímil")</f>
        <v>Abrir facsímil</v>
      </c>
      <c r="K12522" t="s">
        <v>22</v>
      </c>
    </row>
    <row r="12523" spans="1:11" ht="42" customHeight="1">
      <c r="A12523" t="s">
        <v>24401</v>
      </c>
      <c r="B12523" t="s">
        <v>24401</v>
      </c>
      <c r="C12523" t="s">
        <v>24</v>
      </c>
      <c r="D12523" t="s">
        <v>17</v>
      </c>
      <c r="E12523" s="6">
        <v>-28153</v>
      </c>
      <c r="F12523" t="s">
        <v>946</v>
      </c>
      <c r="G12523" t="s">
        <v>31</v>
      </c>
      <c r="H12523" t="s">
        <v>20</v>
      </c>
      <c r="I12523" t="s">
        <v>24403</v>
      </c>
      <c r="J12523" t="str">
        <f>HYPERLINK("https://www.boe.es/gazeta/dias/1822/12/01/pdfs/GMD-1822-351.pdf#page=3","Abrir facsímil")</f>
        <v>Abrir facsímil</v>
      </c>
      <c r="K12523" t="s">
        <v>22</v>
      </c>
    </row>
    <row r="12524" spans="1:11" ht="42" customHeight="1">
      <c r="A12524" t="s">
        <v>24404</v>
      </c>
      <c r="B12524" t="s">
        <v>24404</v>
      </c>
      <c r="C12524" t="s">
        <v>42</v>
      </c>
      <c r="D12524" t="s">
        <v>17</v>
      </c>
      <c r="E12524" s="6">
        <v>-28318</v>
      </c>
      <c r="F12524" t="s">
        <v>397</v>
      </c>
      <c r="G12524" t="s">
        <v>31</v>
      </c>
      <c r="H12524" t="s">
        <v>20</v>
      </c>
      <c r="I12524" t="s">
        <v>24405</v>
      </c>
      <c r="J12524" t="str">
        <f>HYPERLINK("https://www.boe.es/gazeta/dias/1822/06/19/pdfs/GMD-1822-176.pdf#page=3","Abrir facsímil")</f>
        <v>Abrir facsímil</v>
      </c>
      <c r="K12524" t="s">
        <v>22</v>
      </c>
    </row>
    <row r="12525" spans="1:11" ht="42" customHeight="1">
      <c r="A12525" t="s">
        <v>24406</v>
      </c>
      <c r="B12525" t="s">
        <v>24406</v>
      </c>
      <c r="C12525" t="s">
        <v>50</v>
      </c>
      <c r="D12525" t="s">
        <v>51</v>
      </c>
      <c r="E12525" s="6">
        <v>-28308</v>
      </c>
      <c r="F12525" t="s">
        <v>1050</v>
      </c>
      <c r="G12525" t="s">
        <v>63</v>
      </c>
      <c r="H12525" t="s">
        <v>20</v>
      </c>
      <c r="I12525" t="s">
        <v>24407</v>
      </c>
      <c r="J12525" t="str">
        <f>HYPERLINK("https://www.boe.es/gazeta/dias/1822/06/29/pdfs/GMD-1822-187.pdf#page=6","Abrir facsímil")</f>
        <v>Abrir facsímil</v>
      </c>
      <c r="K12525" t="s">
        <v>22</v>
      </c>
    </row>
    <row r="12526" spans="1:11" ht="42" customHeight="1">
      <c r="A12526" t="s">
        <v>24408</v>
      </c>
      <c r="B12526" t="s">
        <v>24408</v>
      </c>
      <c r="C12526" t="s">
        <v>71</v>
      </c>
      <c r="D12526" t="s">
        <v>17</v>
      </c>
      <c r="E12526" s="6">
        <v>-28424</v>
      </c>
      <c r="F12526" t="s">
        <v>439</v>
      </c>
      <c r="G12526" t="s">
        <v>31</v>
      </c>
      <c r="H12526" t="s">
        <v>20</v>
      </c>
      <c r="I12526" t="s">
        <v>24409</v>
      </c>
      <c r="J12526" t="str">
        <f>HYPERLINK("https://www.boe.es/gazeta/dias/1822/03/05/pdfs/GMD-1822-66.pdf#page=3","Abrir facsímil")</f>
        <v>Abrir facsímil</v>
      </c>
      <c r="K12526" t="s">
        <v>22</v>
      </c>
    </row>
    <row r="12527" spans="1:11" ht="42" customHeight="1">
      <c r="A12527" t="s">
        <v>24408</v>
      </c>
      <c r="B12527" t="s">
        <v>24408</v>
      </c>
      <c r="C12527" t="s">
        <v>50</v>
      </c>
      <c r="D12527" t="s">
        <v>51</v>
      </c>
      <c r="E12527" s="6">
        <v>-28418</v>
      </c>
      <c r="F12527" t="s">
        <v>205</v>
      </c>
      <c r="G12527" t="s">
        <v>31</v>
      </c>
      <c r="H12527" t="s">
        <v>20</v>
      </c>
      <c r="I12527" t="s">
        <v>24410</v>
      </c>
      <c r="J12527" t="str">
        <f>HYPERLINK("https://www.boe.es/gazeta/dias/1822/03/11/pdfs/GMD-1822-72.pdf#page=3","Abrir facsímil")</f>
        <v>Abrir facsímil</v>
      </c>
      <c r="K12527" t="s">
        <v>22</v>
      </c>
    </row>
    <row r="12528" spans="1:11" ht="42" customHeight="1">
      <c r="A12528" t="s">
        <v>24408</v>
      </c>
      <c r="B12528" t="s">
        <v>24408</v>
      </c>
      <c r="C12528" t="s">
        <v>50</v>
      </c>
      <c r="D12528" t="s">
        <v>51</v>
      </c>
      <c r="E12528" s="6">
        <v>-28418</v>
      </c>
      <c r="F12528" t="s">
        <v>205</v>
      </c>
      <c r="G12528" t="s">
        <v>63</v>
      </c>
      <c r="H12528" t="s">
        <v>20</v>
      </c>
      <c r="I12528" t="s">
        <v>24411</v>
      </c>
      <c r="J12528" t="str">
        <f>HYPERLINK("https://www.boe.es/gazeta/dias/1822/03/11/pdfs/GMD-1822-72.pdf#page=6","Abrir facsímil")</f>
        <v>Abrir facsímil</v>
      </c>
      <c r="K12528" t="s">
        <v>22</v>
      </c>
    </row>
    <row r="12529" spans="1:11" ht="42" customHeight="1">
      <c r="A12529" t="s">
        <v>24408</v>
      </c>
      <c r="B12529" t="s">
        <v>24408</v>
      </c>
      <c r="C12529" t="s">
        <v>71</v>
      </c>
      <c r="D12529" t="s">
        <v>17</v>
      </c>
      <c r="E12529" s="6">
        <v>-28405</v>
      </c>
      <c r="F12529" t="s">
        <v>466</v>
      </c>
      <c r="G12529" t="s">
        <v>35</v>
      </c>
      <c r="H12529" t="s">
        <v>20</v>
      </c>
      <c r="I12529" t="s">
        <v>24412</v>
      </c>
      <c r="J12529" t="str">
        <f>HYPERLINK("https://www.boe.es/gazeta/dias/1822/03/24/pdfs/GMD-1822-85.pdf#page=2","Abrir facsímil")</f>
        <v>Abrir facsímil</v>
      </c>
      <c r="K12529" t="s">
        <v>22</v>
      </c>
    </row>
    <row r="12530" spans="1:11" ht="42" customHeight="1">
      <c r="A12530" t="s">
        <v>24408</v>
      </c>
      <c r="B12530" t="s">
        <v>24408</v>
      </c>
      <c r="C12530" t="s">
        <v>50</v>
      </c>
      <c r="D12530" t="s">
        <v>51</v>
      </c>
      <c r="E12530" s="6">
        <v>-28403</v>
      </c>
      <c r="F12530" t="s">
        <v>471</v>
      </c>
      <c r="G12530" t="s">
        <v>35</v>
      </c>
      <c r="H12530" t="s">
        <v>20</v>
      </c>
      <c r="I12530" t="s">
        <v>24413</v>
      </c>
      <c r="J12530" t="str">
        <f>HYPERLINK("https://www.boe.es/gazeta/dias/1822/03/26/pdfs/GMD-1822-87.pdf#page=2","Abrir facsímil")</f>
        <v>Abrir facsímil</v>
      </c>
      <c r="K12530" t="s">
        <v>22</v>
      </c>
    </row>
    <row r="12531" spans="1:11" ht="42" customHeight="1">
      <c r="A12531" t="s">
        <v>24408</v>
      </c>
      <c r="B12531" t="s">
        <v>24408</v>
      </c>
      <c r="C12531" t="s">
        <v>28</v>
      </c>
      <c r="D12531" t="s">
        <v>29</v>
      </c>
      <c r="E12531" s="6">
        <v>-28396</v>
      </c>
      <c r="F12531" t="s">
        <v>1138</v>
      </c>
      <c r="G12531" t="s">
        <v>167</v>
      </c>
      <c r="H12531" t="s">
        <v>20</v>
      </c>
      <c r="I12531" t="s">
        <v>24414</v>
      </c>
      <c r="J12531" t="str">
        <f>HYPERLINK("https://www.boe.es/gazeta/dias/1822/04/02/pdfs/GMD-1822-94.pdf#page=7","Abrir facsímil")</f>
        <v>Abrir facsímil</v>
      </c>
      <c r="K12531" t="s">
        <v>22</v>
      </c>
    </row>
    <row r="12532" spans="1:11" ht="42" customHeight="1">
      <c r="A12532" t="s">
        <v>24408</v>
      </c>
      <c r="B12532" t="s">
        <v>24408</v>
      </c>
      <c r="C12532" t="s">
        <v>28</v>
      </c>
      <c r="D12532" t="s">
        <v>29</v>
      </c>
      <c r="E12532" s="6">
        <v>-28395</v>
      </c>
      <c r="F12532" t="s">
        <v>237</v>
      </c>
      <c r="G12532" t="s">
        <v>31</v>
      </c>
      <c r="H12532" t="s">
        <v>20</v>
      </c>
      <c r="I12532" t="s">
        <v>24415</v>
      </c>
      <c r="J12532" t="str">
        <f>HYPERLINK("https://www.boe.es/gazeta/dias/1822/04/03/pdfs/GMD-1822-95.pdf#page=3","Abrir facsímil")</f>
        <v>Abrir facsímil</v>
      </c>
      <c r="K12532" t="s">
        <v>22</v>
      </c>
    </row>
    <row r="12533" spans="1:11" ht="42" customHeight="1">
      <c r="A12533" t="s">
        <v>24408</v>
      </c>
      <c r="B12533" t="s">
        <v>24408</v>
      </c>
      <c r="C12533" t="s">
        <v>16</v>
      </c>
      <c r="D12533" t="s">
        <v>17</v>
      </c>
      <c r="E12533" s="6">
        <v>-28378</v>
      </c>
      <c r="F12533" t="s">
        <v>496</v>
      </c>
      <c r="G12533" t="s">
        <v>35</v>
      </c>
      <c r="H12533" t="s">
        <v>20</v>
      </c>
      <c r="I12533" t="s">
        <v>24416</v>
      </c>
      <c r="J12533" t="str">
        <f>HYPERLINK("https://www.boe.es/gazeta/dias/1822/04/20/pdfs/GMD-1822-112.pdf#page=2","Abrir facsímil")</f>
        <v>Abrir facsímil</v>
      </c>
      <c r="K12533" t="s">
        <v>22</v>
      </c>
    </row>
    <row r="12534" spans="1:11" ht="42" customHeight="1">
      <c r="A12534" t="s">
        <v>24408</v>
      </c>
      <c r="B12534" t="s">
        <v>24408</v>
      </c>
      <c r="C12534" t="s">
        <v>71</v>
      </c>
      <c r="D12534" t="s">
        <v>17</v>
      </c>
      <c r="E12534" s="6">
        <v>-28365</v>
      </c>
      <c r="F12534" t="s">
        <v>506</v>
      </c>
      <c r="G12534" t="s">
        <v>31</v>
      </c>
      <c r="H12534" t="s">
        <v>20</v>
      </c>
      <c r="I12534" t="s">
        <v>24417</v>
      </c>
      <c r="J12534" t="str">
        <f>HYPERLINK("https://www.boe.es/gazeta/dias/1822/05/03/pdfs/GMD-1822-125.pdf#page=3","Abrir facsímil")</f>
        <v>Abrir facsímil</v>
      </c>
      <c r="K12534" t="s">
        <v>22</v>
      </c>
    </row>
    <row r="12535" spans="1:11" ht="42" customHeight="1">
      <c r="A12535" t="s">
        <v>24408</v>
      </c>
      <c r="B12535" t="s">
        <v>24408</v>
      </c>
      <c r="C12535" t="s">
        <v>42</v>
      </c>
      <c r="D12535" t="s">
        <v>17</v>
      </c>
      <c r="E12535" s="6">
        <v>-28364</v>
      </c>
      <c r="F12535" t="s">
        <v>509</v>
      </c>
      <c r="G12535" t="s">
        <v>35</v>
      </c>
      <c r="H12535" t="s">
        <v>20</v>
      </c>
      <c r="I12535" t="s">
        <v>24418</v>
      </c>
      <c r="J12535" t="str">
        <f>HYPERLINK("https://www.boe.es/gazeta/dias/1822/05/04/pdfs/GMD-1822-126.pdf#page=2","Abrir facsímil")</f>
        <v>Abrir facsímil</v>
      </c>
      <c r="K12535" t="s">
        <v>22</v>
      </c>
    </row>
    <row r="12536" spans="1:11" ht="42" customHeight="1">
      <c r="A12536" t="s">
        <v>24408</v>
      </c>
      <c r="B12536" t="s">
        <v>24408</v>
      </c>
      <c r="C12536" t="s">
        <v>71</v>
      </c>
      <c r="D12536" t="s">
        <v>17</v>
      </c>
      <c r="E12536" s="6">
        <v>-28363</v>
      </c>
      <c r="F12536" t="s">
        <v>72</v>
      </c>
      <c r="G12536" t="s">
        <v>35</v>
      </c>
      <c r="H12536" t="s">
        <v>20</v>
      </c>
      <c r="I12536" t="s">
        <v>24419</v>
      </c>
      <c r="J12536" t="str">
        <f>HYPERLINK("https://www.boe.es/gazeta/dias/1822/05/05/pdfs/GMD-1822-127.pdf#page=2","Abrir facsímil")</f>
        <v>Abrir facsímil</v>
      </c>
      <c r="K12536" t="s">
        <v>22</v>
      </c>
    </row>
    <row r="12537" spans="1:11" ht="42" customHeight="1">
      <c r="A12537" t="s">
        <v>24408</v>
      </c>
      <c r="B12537" t="s">
        <v>24408</v>
      </c>
      <c r="C12537" t="s">
        <v>50</v>
      </c>
      <c r="D12537" t="s">
        <v>51</v>
      </c>
      <c r="E12537" s="6">
        <v>-28352</v>
      </c>
      <c r="F12537" t="s">
        <v>1575</v>
      </c>
      <c r="G12537" t="s">
        <v>35</v>
      </c>
      <c r="H12537" t="s">
        <v>20</v>
      </c>
      <c r="I12537" t="s">
        <v>24420</v>
      </c>
      <c r="J12537" t="str">
        <f>HYPERLINK("https://www.boe.es/gazeta/dias/1822/05/16/pdfs/GMD-1822-138.pdf#page=2","Abrir facsímil")</f>
        <v>Abrir facsímil</v>
      </c>
      <c r="K12537" t="s">
        <v>22</v>
      </c>
    </row>
    <row r="12538" spans="1:11" ht="42" customHeight="1">
      <c r="A12538" t="s">
        <v>24408</v>
      </c>
      <c r="B12538" t="s">
        <v>24408</v>
      </c>
      <c r="C12538" t="s">
        <v>71</v>
      </c>
      <c r="D12538" t="s">
        <v>17</v>
      </c>
      <c r="E12538" s="6">
        <v>-28345</v>
      </c>
      <c r="F12538" t="s">
        <v>294</v>
      </c>
      <c r="G12538" t="s">
        <v>35</v>
      </c>
      <c r="H12538" t="s">
        <v>20</v>
      </c>
      <c r="I12538" t="s">
        <v>24421</v>
      </c>
      <c r="J12538" t="str">
        <f>HYPERLINK("https://www.boe.es/gazeta/dias/1822/05/23/pdfs/GMD-1822-147.pdf#page=2","Abrir facsímil")</f>
        <v>Abrir facsímil</v>
      </c>
      <c r="K12538" t="s">
        <v>22</v>
      </c>
    </row>
    <row r="12539" spans="1:11" ht="42" customHeight="1">
      <c r="A12539" t="s">
        <v>24408</v>
      </c>
      <c r="B12539" t="s">
        <v>24408</v>
      </c>
      <c r="C12539" t="s">
        <v>28</v>
      </c>
      <c r="D12539" t="s">
        <v>29</v>
      </c>
      <c r="E12539" s="6">
        <v>-28344</v>
      </c>
      <c r="F12539" t="s">
        <v>524</v>
      </c>
      <c r="G12539" t="s">
        <v>1040</v>
      </c>
      <c r="H12539" t="s">
        <v>20</v>
      </c>
      <c r="I12539" t="s">
        <v>24422</v>
      </c>
      <c r="J12539" t="str">
        <f>HYPERLINK("https://www.boe.es/gazeta/dias/1822/05/24/pdfs/GMD-1822-148.pdf#page=2","Abrir facsímil")</f>
        <v>Abrir facsímil</v>
      </c>
      <c r="K12539" t="s">
        <v>22</v>
      </c>
    </row>
    <row r="12540" spans="1:11" ht="42" customHeight="1">
      <c r="A12540" t="s">
        <v>24408</v>
      </c>
      <c r="B12540" t="s">
        <v>24408</v>
      </c>
      <c r="C12540" t="s">
        <v>42</v>
      </c>
      <c r="D12540" t="s">
        <v>17</v>
      </c>
      <c r="E12540" s="6">
        <v>-28343</v>
      </c>
      <c r="F12540" t="s">
        <v>1019</v>
      </c>
      <c r="G12540" t="s">
        <v>19</v>
      </c>
      <c r="H12540" t="s">
        <v>20</v>
      </c>
      <c r="I12540" t="s">
        <v>24423</v>
      </c>
      <c r="J12540" t="str">
        <f>HYPERLINK("https://www.boe.es/gazeta/dias/1822/05/25/pdfs/GMD-1822-150.pdf#page=5","Abrir facsímil")</f>
        <v>Abrir facsímil</v>
      </c>
      <c r="K12540" t="s">
        <v>22</v>
      </c>
    </row>
    <row r="12541" spans="1:11" ht="42" customHeight="1">
      <c r="A12541" t="s">
        <v>24408</v>
      </c>
      <c r="B12541" t="s">
        <v>24408</v>
      </c>
      <c r="C12541" t="s">
        <v>71</v>
      </c>
      <c r="D12541" t="s">
        <v>17</v>
      </c>
      <c r="E12541" s="6">
        <v>-28341</v>
      </c>
      <c r="F12541" t="s">
        <v>284</v>
      </c>
      <c r="G12541" t="s">
        <v>31</v>
      </c>
      <c r="H12541" t="s">
        <v>20</v>
      </c>
      <c r="I12541" t="s">
        <v>24424</v>
      </c>
      <c r="J12541" t="str">
        <f>HYPERLINK("https://www.boe.es/gazeta/dias/1822/05/27/pdfs/GMD-1822-152.pdf#page=3","Abrir facsímil")</f>
        <v>Abrir facsímil</v>
      </c>
      <c r="K12541" t="s">
        <v>22</v>
      </c>
    </row>
    <row r="12542" spans="1:11" ht="42" customHeight="1">
      <c r="A12542" t="s">
        <v>24408</v>
      </c>
      <c r="B12542" t="s">
        <v>24408</v>
      </c>
      <c r="C12542" t="s">
        <v>28</v>
      </c>
      <c r="D12542" t="s">
        <v>29</v>
      </c>
      <c r="E12542" s="6">
        <v>-28340</v>
      </c>
      <c r="F12542" t="s">
        <v>139</v>
      </c>
      <c r="G12542" t="s">
        <v>31</v>
      </c>
      <c r="H12542" t="s">
        <v>20</v>
      </c>
      <c r="I12542" t="s">
        <v>24425</v>
      </c>
      <c r="J12542" t="str">
        <f>HYPERLINK("https://www.boe.es/gazeta/dias/1822/05/28/pdfs/GMD-1822-153.pdf#page=3","Abrir facsímil")</f>
        <v>Abrir facsímil</v>
      </c>
      <c r="K12542" t="s">
        <v>22</v>
      </c>
    </row>
    <row r="12543" spans="1:11" ht="42" customHeight="1">
      <c r="A12543" t="s">
        <v>24408</v>
      </c>
      <c r="B12543" t="s">
        <v>24408</v>
      </c>
      <c r="C12543" t="s">
        <v>50</v>
      </c>
      <c r="D12543" t="s">
        <v>51</v>
      </c>
      <c r="E12543" s="6">
        <v>-28334</v>
      </c>
      <c r="F12543" t="s">
        <v>532</v>
      </c>
      <c r="G12543" t="s">
        <v>31</v>
      </c>
      <c r="H12543" t="s">
        <v>20</v>
      </c>
      <c r="I12543" t="s">
        <v>24426</v>
      </c>
      <c r="J12543" t="str">
        <f>HYPERLINK("https://www.boe.es/gazeta/dias/1822/06/03/pdfs/GMD-1822-159.pdf#page=3","Abrir facsímil")</f>
        <v>Abrir facsímil</v>
      </c>
      <c r="K12543" t="s">
        <v>22</v>
      </c>
    </row>
    <row r="12544" spans="1:11" ht="42" customHeight="1">
      <c r="A12544" t="s">
        <v>24408</v>
      </c>
      <c r="B12544" t="s">
        <v>24408</v>
      </c>
      <c r="C12544" t="s">
        <v>71</v>
      </c>
      <c r="D12544" t="s">
        <v>17</v>
      </c>
      <c r="E12544" s="6">
        <v>-28332</v>
      </c>
      <c r="F12544" t="s">
        <v>535</v>
      </c>
      <c r="G12544" t="s">
        <v>31</v>
      </c>
      <c r="H12544" t="s">
        <v>20</v>
      </c>
      <c r="I12544" t="s">
        <v>24427</v>
      </c>
      <c r="J12544" t="str">
        <f>HYPERLINK("https://www.boe.es/gazeta/dias/1822/06/05/pdfs/GMD-1822-162.pdf#page=3","Abrir facsímil")</f>
        <v>Abrir facsímil</v>
      </c>
      <c r="K12544" t="s">
        <v>22</v>
      </c>
    </row>
    <row r="12545" spans="1:11" ht="42" customHeight="1">
      <c r="A12545" t="s">
        <v>24408</v>
      </c>
      <c r="B12545" t="s">
        <v>24408</v>
      </c>
      <c r="C12545" t="s">
        <v>42</v>
      </c>
      <c r="D12545" t="s">
        <v>17</v>
      </c>
      <c r="E12545" s="6">
        <v>-28326</v>
      </c>
      <c r="F12545" t="s">
        <v>543</v>
      </c>
      <c r="G12545" t="s">
        <v>35</v>
      </c>
      <c r="H12545" t="s">
        <v>20</v>
      </c>
      <c r="I12545" t="s">
        <v>24428</v>
      </c>
      <c r="J12545" t="str">
        <f>HYPERLINK("https://www.boe.es/gazeta/dias/1822/06/11/pdfs/GMD-1822-168.pdf#page=2","Abrir facsímil")</f>
        <v>Abrir facsímil</v>
      </c>
      <c r="K12545" t="s">
        <v>22</v>
      </c>
    </row>
    <row r="12546" spans="1:11" ht="42" customHeight="1">
      <c r="A12546" t="s">
        <v>24408</v>
      </c>
      <c r="B12546" t="s">
        <v>24408</v>
      </c>
      <c r="C12546" t="s">
        <v>16</v>
      </c>
      <c r="D12546" t="s">
        <v>17</v>
      </c>
      <c r="E12546" s="6">
        <v>-28324</v>
      </c>
      <c r="F12546" t="s">
        <v>305</v>
      </c>
      <c r="G12546" t="s">
        <v>31</v>
      </c>
      <c r="H12546" t="s">
        <v>20</v>
      </c>
      <c r="I12546" t="s">
        <v>24429</v>
      </c>
      <c r="J12546" t="str">
        <f>HYPERLINK("https://www.boe.es/gazeta/dias/1822/06/13/pdfs/GMD-1822-170.pdf#page=3","Abrir facsímil")</f>
        <v>Abrir facsímil</v>
      </c>
      <c r="K12546" t="s">
        <v>22</v>
      </c>
    </row>
    <row r="12547" spans="1:11" ht="42" customHeight="1">
      <c r="A12547" t="s">
        <v>24408</v>
      </c>
      <c r="B12547" t="s">
        <v>24408</v>
      </c>
      <c r="C12547" t="s">
        <v>42</v>
      </c>
      <c r="D12547" t="s">
        <v>17</v>
      </c>
      <c r="E12547" s="6">
        <v>-28324</v>
      </c>
      <c r="F12547" t="s">
        <v>305</v>
      </c>
      <c r="G12547" t="s">
        <v>57</v>
      </c>
      <c r="H12547" t="s">
        <v>20</v>
      </c>
      <c r="I12547" t="s">
        <v>24430</v>
      </c>
      <c r="J12547" t="str">
        <f>HYPERLINK("https://www.boe.es/gazeta/dias/1822/06/13/pdfs/GMD-1822-170.pdf#page=4","Abrir facsímil")</f>
        <v>Abrir facsímil</v>
      </c>
      <c r="K12547" t="s">
        <v>22</v>
      </c>
    </row>
    <row r="12548" spans="1:11" ht="42" customHeight="1">
      <c r="A12548" t="s">
        <v>24408</v>
      </c>
      <c r="B12548" t="s">
        <v>24408</v>
      </c>
      <c r="C12548" t="s">
        <v>71</v>
      </c>
      <c r="D12548" t="s">
        <v>17</v>
      </c>
      <c r="E12548" s="6">
        <v>-28319</v>
      </c>
      <c r="F12548" t="s">
        <v>271</v>
      </c>
      <c r="G12548" t="s">
        <v>31</v>
      </c>
      <c r="H12548" t="s">
        <v>20</v>
      </c>
      <c r="I12548" t="s">
        <v>24431</v>
      </c>
      <c r="J12548" t="str">
        <f>HYPERLINK("https://www.boe.es/gazeta/dias/1822/06/18/pdfs/GMD-1822-175.pdf#page=3","Abrir facsímil")</f>
        <v>Abrir facsímil</v>
      </c>
      <c r="K12548" t="s">
        <v>22</v>
      </c>
    </row>
    <row r="12549" spans="1:11" ht="42" customHeight="1">
      <c r="A12549" t="s">
        <v>24408</v>
      </c>
      <c r="B12549" t="s">
        <v>24408</v>
      </c>
      <c r="C12549" t="s">
        <v>50</v>
      </c>
      <c r="D12549" t="s">
        <v>51</v>
      </c>
      <c r="E12549" s="6">
        <v>-28318</v>
      </c>
      <c r="F12549" t="s">
        <v>397</v>
      </c>
      <c r="G12549" t="s">
        <v>63</v>
      </c>
      <c r="H12549" t="s">
        <v>20</v>
      </c>
      <c r="I12549" t="s">
        <v>24432</v>
      </c>
      <c r="J12549" t="str">
        <f>HYPERLINK("https://www.boe.es/gazeta/dias/1822/06/19/pdfs/GMD-1822-176.pdf#page=6","Abrir facsímil")</f>
        <v>Abrir facsímil</v>
      </c>
      <c r="K12549" t="s">
        <v>22</v>
      </c>
    </row>
    <row r="12550" spans="1:11" ht="42" customHeight="1">
      <c r="A12550" t="s">
        <v>24408</v>
      </c>
      <c r="B12550" t="s">
        <v>24408</v>
      </c>
      <c r="C12550" t="s">
        <v>71</v>
      </c>
      <c r="D12550" t="s">
        <v>17</v>
      </c>
      <c r="E12550" s="6">
        <v>-28317</v>
      </c>
      <c r="F12550" t="s">
        <v>546</v>
      </c>
      <c r="G12550" t="s">
        <v>57</v>
      </c>
      <c r="H12550" t="s">
        <v>20</v>
      </c>
      <c r="I12550" t="s">
        <v>24433</v>
      </c>
      <c r="J12550" t="str">
        <f>HYPERLINK("https://www.boe.es/gazeta/dias/1822/06/20/pdfs/GMD-1822-177.pdf#page=4","Abrir facsímil")</f>
        <v>Abrir facsímil</v>
      </c>
      <c r="K12550" t="s">
        <v>22</v>
      </c>
    </row>
    <row r="12551" spans="1:11" ht="42" customHeight="1">
      <c r="A12551" t="s">
        <v>24408</v>
      </c>
      <c r="B12551" t="s">
        <v>24408</v>
      </c>
      <c r="C12551" t="s">
        <v>28</v>
      </c>
      <c r="D12551" t="s">
        <v>29</v>
      </c>
      <c r="E12551" s="6">
        <v>-28316</v>
      </c>
      <c r="F12551" t="s">
        <v>1144</v>
      </c>
      <c r="G12551" t="s">
        <v>57</v>
      </c>
      <c r="H12551" t="s">
        <v>20</v>
      </c>
      <c r="I12551" t="s">
        <v>24434</v>
      </c>
      <c r="J12551" t="str">
        <f>HYPERLINK("https://www.boe.es/gazeta/dias/1822/06/21/pdfs/GMD-1822-179.pdf#page=4","Abrir facsímil")</f>
        <v>Abrir facsímil</v>
      </c>
      <c r="K12551" t="s">
        <v>22</v>
      </c>
    </row>
    <row r="12552" spans="1:11" ht="42" customHeight="1">
      <c r="A12552" t="s">
        <v>24408</v>
      </c>
      <c r="B12552" t="s">
        <v>24408</v>
      </c>
      <c r="C12552" t="s">
        <v>42</v>
      </c>
      <c r="D12552" t="s">
        <v>17</v>
      </c>
      <c r="E12552" s="6">
        <v>-28315</v>
      </c>
      <c r="F12552" t="s">
        <v>1220</v>
      </c>
      <c r="G12552" t="s">
        <v>57</v>
      </c>
      <c r="H12552" t="s">
        <v>20</v>
      </c>
      <c r="I12552" t="s">
        <v>24435</v>
      </c>
      <c r="J12552" t="str">
        <f>HYPERLINK("https://www.boe.es/gazeta/dias/1822/06/22/pdfs/GMD-1822-180.pdf#page=4","Abrir facsímil")</f>
        <v>Abrir facsímil</v>
      </c>
      <c r="K12552" t="s">
        <v>22</v>
      </c>
    </row>
    <row r="12553" spans="1:11" ht="42" customHeight="1">
      <c r="A12553" t="s">
        <v>24408</v>
      </c>
      <c r="B12553" t="s">
        <v>24408</v>
      </c>
      <c r="C12553" t="s">
        <v>50</v>
      </c>
      <c r="D12553" t="s">
        <v>51</v>
      </c>
      <c r="E12553" s="6">
        <v>-28205</v>
      </c>
      <c r="F12553" t="s">
        <v>806</v>
      </c>
      <c r="G12553" t="s">
        <v>57</v>
      </c>
      <c r="H12553" t="s">
        <v>20</v>
      </c>
      <c r="I12553" t="s">
        <v>24436</v>
      </c>
      <c r="J12553" t="str">
        <f>HYPERLINK("https://www.boe.es/gazeta/dias/1822/10/10/pdfs/GMD-1822-297.pdf#page=4","Abrir facsímil")</f>
        <v>Abrir facsímil</v>
      </c>
      <c r="K12553" t="s">
        <v>22</v>
      </c>
    </row>
    <row r="12554" spans="1:11" ht="42" customHeight="1">
      <c r="A12554" t="s">
        <v>24408</v>
      </c>
      <c r="B12554" t="s">
        <v>24408</v>
      </c>
      <c r="C12554" t="s">
        <v>42</v>
      </c>
      <c r="D12554" t="s">
        <v>17</v>
      </c>
      <c r="E12554" s="6">
        <v>-28205</v>
      </c>
      <c r="F12554" t="s">
        <v>806</v>
      </c>
      <c r="G12554" t="s">
        <v>19</v>
      </c>
      <c r="H12554" t="s">
        <v>20</v>
      </c>
      <c r="I12554" t="s">
        <v>24437</v>
      </c>
      <c r="J12554" t="str">
        <f>HYPERLINK("https://www.boe.es/gazeta/dias/1822/10/10/pdfs/GMD-1822-297.pdf#page=5","Abrir facsímil")</f>
        <v>Abrir facsímil</v>
      </c>
      <c r="K12554" t="s">
        <v>22</v>
      </c>
    </row>
    <row r="12555" spans="1:11" ht="42" customHeight="1">
      <c r="A12555" t="s">
        <v>24408</v>
      </c>
      <c r="B12555" t="s">
        <v>24408</v>
      </c>
      <c r="C12555" t="s">
        <v>50</v>
      </c>
      <c r="D12555" t="s">
        <v>51</v>
      </c>
      <c r="E12555" s="6">
        <v>-28200</v>
      </c>
      <c r="F12555" t="s">
        <v>1037</v>
      </c>
      <c r="G12555" t="s">
        <v>19</v>
      </c>
      <c r="H12555" t="s">
        <v>20</v>
      </c>
      <c r="I12555" t="s">
        <v>24438</v>
      </c>
      <c r="J12555" t="str">
        <f>HYPERLINK("https://www.boe.es/gazeta/dias/1822/10/15/pdfs/GMD-1822-302.pdf#page=5","Abrir facsímil")</f>
        <v>Abrir facsímil</v>
      </c>
      <c r="K12555" t="s">
        <v>22</v>
      </c>
    </row>
    <row r="12556" spans="1:11" ht="42" customHeight="1">
      <c r="A12556" t="s">
        <v>24408</v>
      </c>
      <c r="B12556" t="s">
        <v>24408</v>
      </c>
      <c r="C12556" t="s">
        <v>71</v>
      </c>
      <c r="D12556" t="s">
        <v>17</v>
      </c>
      <c r="E12556" s="6">
        <v>-28199</v>
      </c>
      <c r="F12556" t="s">
        <v>656</v>
      </c>
      <c r="G12556" t="s">
        <v>35</v>
      </c>
      <c r="H12556" t="s">
        <v>20</v>
      </c>
      <c r="I12556" t="s">
        <v>24439</v>
      </c>
      <c r="J12556" t="str">
        <f>HYPERLINK("https://www.boe.es/gazeta/dias/1822/10/16/pdfs/GMD-1822-303.pdf#page=2","Abrir facsímil")</f>
        <v>Abrir facsímil</v>
      </c>
      <c r="K12556" t="s">
        <v>22</v>
      </c>
    </row>
    <row r="12557" spans="1:11" ht="42" customHeight="1">
      <c r="A12557" t="s">
        <v>24408</v>
      </c>
      <c r="B12557" t="s">
        <v>24408</v>
      </c>
      <c r="C12557" t="s">
        <v>42</v>
      </c>
      <c r="D12557" t="s">
        <v>17</v>
      </c>
      <c r="E12557" s="6">
        <v>-28191</v>
      </c>
      <c r="F12557" t="s">
        <v>710</v>
      </c>
      <c r="G12557" t="s">
        <v>44</v>
      </c>
      <c r="H12557" t="s">
        <v>20</v>
      </c>
      <c r="I12557" t="s">
        <v>24440</v>
      </c>
      <c r="J12557" t="str">
        <f>HYPERLINK("https://www.boe.es/gazeta/dias/1822/10/24/pdfs/GMD-1822-311.pdf#page=1","Abrir facsímil")</f>
        <v>Abrir facsímil</v>
      </c>
      <c r="K12557" t="s">
        <v>22</v>
      </c>
    </row>
    <row r="12558" spans="1:11" ht="42" customHeight="1">
      <c r="A12558" t="s">
        <v>24408</v>
      </c>
      <c r="B12558" t="s">
        <v>24408</v>
      </c>
      <c r="C12558" t="s">
        <v>42</v>
      </c>
      <c r="D12558" t="s">
        <v>17</v>
      </c>
      <c r="E12558" s="6">
        <v>-28178</v>
      </c>
      <c r="F12558" t="s">
        <v>318</v>
      </c>
      <c r="G12558" t="s">
        <v>44</v>
      </c>
      <c r="H12558" t="s">
        <v>20</v>
      </c>
      <c r="I12558" t="s">
        <v>24441</v>
      </c>
      <c r="J12558" t="str">
        <f>HYPERLINK("https://www.boe.es/gazeta/dias/1822/11/06/pdfs/GMD-1822-326.pdf#page=1","Abrir facsímil")</f>
        <v>Abrir facsímil</v>
      </c>
      <c r="K12558" t="s">
        <v>22</v>
      </c>
    </row>
    <row r="12559" spans="1:11" ht="42" customHeight="1">
      <c r="A12559" t="s">
        <v>24408</v>
      </c>
      <c r="B12559" t="s">
        <v>24408</v>
      </c>
      <c r="C12559" t="s">
        <v>42</v>
      </c>
      <c r="D12559" t="s">
        <v>17</v>
      </c>
      <c r="E12559" s="6">
        <v>-28178</v>
      </c>
      <c r="F12559" t="s">
        <v>318</v>
      </c>
      <c r="G12559" t="s">
        <v>35</v>
      </c>
      <c r="H12559" t="s">
        <v>20</v>
      </c>
      <c r="I12559" t="s">
        <v>24442</v>
      </c>
      <c r="J12559" t="str">
        <f>HYPERLINK("https://www.boe.es/gazeta/dias/1822/11/06/pdfs/GMD-1822-326.pdf#page=2","Abrir facsímil")</f>
        <v>Abrir facsímil</v>
      </c>
      <c r="K12559" t="s">
        <v>22</v>
      </c>
    </row>
    <row r="12560" spans="1:11" ht="42" customHeight="1">
      <c r="A12560" t="s">
        <v>24408</v>
      </c>
      <c r="B12560" t="s">
        <v>24408</v>
      </c>
      <c r="C12560" t="s">
        <v>50</v>
      </c>
      <c r="D12560" t="s">
        <v>51</v>
      </c>
      <c r="E12560" s="6">
        <v>-28173</v>
      </c>
      <c r="F12560" t="s">
        <v>2959</v>
      </c>
      <c r="G12560" t="s">
        <v>35</v>
      </c>
      <c r="H12560" t="s">
        <v>20</v>
      </c>
      <c r="I12560" t="s">
        <v>24443</v>
      </c>
      <c r="J12560" t="str">
        <f>HYPERLINK("https://www.boe.es/gazeta/dias/1822/11/11/pdfs/GMD-1822-331.pdf#page=2","Abrir facsímil")</f>
        <v>Abrir facsímil</v>
      </c>
      <c r="K12560" t="s">
        <v>22</v>
      </c>
    </row>
    <row r="12561" spans="1:11" ht="42" customHeight="1">
      <c r="A12561" t="s">
        <v>24408</v>
      </c>
      <c r="B12561" t="s">
        <v>24408</v>
      </c>
      <c r="C12561" t="s">
        <v>50</v>
      </c>
      <c r="D12561" t="s">
        <v>51</v>
      </c>
      <c r="E12561" s="6">
        <v>-28170</v>
      </c>
      <c r="F12561" t="s">
        <v>1457</v>
      </c>
      <c r="G12561" t="s">
        <v>57</v>
      </c>
      <c r="H12561" t="s">
        <v>20</v>
      </c>
      <c r="I12561" t="s">
        <v>24444</v>
      </c>
      <c r="J12561" t="str">
        <f>HYPERLINK("https://www.boe.es/gazeta/dias/1822/11/14/pdfs/GMD-1822-334.pdf#page=4","Abrir facsímil")</f>
        <v>Abrir facsímil</v>
      </c>
      <c r="K12561" t="s">
        <v>22</v>
      </c>
    </row>
    <row r="12562" spans="1:11" ht="42" customHeight="1">
      <c r="A12562" t="s">
        <v>24408</v>
      </c>
      <c r="B12562" t="s">
        <v>24408</v>
      </c>
      <c r="C12562" t="s">
        <v>50</v>
      </c>
      <c r="D12562" t="s">
        <v>51</v>
      </c>
      <c r="E12562" s="6">
        <v>-28163</v>
      </c>
      <c r="F12562" t="s">
        <v>891</v>
      </c>
      <c r="G12562" t="s">
        <v>57</v>
      </c>
      <c r="H12562" t="s">
        <v>20</v>
      </c>
      <c r="I12562" t="s">
        <v>24445</v>
      </c>
      <c r="J12562" t="str">
        <f>HYPERLINK("https://www.boe.es/gazeta/dias/1822/11/21/pdfs/GMD-1822-341.pdf#page=4","Abrir facsímil")</f>
        <v>Abrir facsímil</v>
      </c>
      <c r="K12562" t="s">
        <v>22</v>
      </c>
    </row>
    <row r="12563" spans="1:11" ht="42" customHeight="1">
      <c r="A12563" t="s">
        <v>24408</v>
      </c>
      <c r="B12563" t="s">
        <v>24408</v>
      </c>
      <c r="C12563" t="s">
        <v>42</v>
      </c>
      <c r="D12563" t="s">
        <v>17</v>
      </c>
      <c r="E12563" s="6">
        <v>-28162</v>
      </c>
      <c r="F12563" t="s">
        <v>3949</v>
      </c>
      <c r="G12563" t="s">
        <v>31</v>
      </c>
      <c r="H12563" t="s">
        <v>20</v>
      </c>
      <c r="I12563" t="s">
        <v>24446</v>
      </c>
      <c r="J12563" t="str">
        <f>HYPERLINK("https://www.boe.es/gazeta/dias/1822/11/22/pdfs/GMD-1822-342.pdf#page=3","Abrir facsímil")</f>
        <v>Abrir facsímil</v>
      </c>
      <c r="K12563" t="s">
        <v>22</v>
      </c>
    </row>
    <row r="12564" spans="1:11" ht="42" customHeight="1">
      <c r="A12564" t="s">
        <v>24408</v>
      </c>
      <c r="B12564" t="s">
        <v>24408</v>
      </c>
      <c r="C12564" t="s">
        <v>50</v>
      </c>
      <c r="D12564" t="s">
        <v>51</v>
      </c>
      <c r="E12564" s="6">
        <v>-28161</v>
      </c>
      <c r="F12564" t="s">
        <v>166</v>
      </c>
      <c r="G12564" t="s">
        <v>31</v>
      </c>
      <c r="H12564" t="s">
        <v>20</v>
      </c>
      <c r="I12564" t="s">
        <v>24447</v>
      </c>
      <c r="J12564" t="str">
        <f>HYPERLINK("https://www.boe.es/gazeta/dias/1822/11/23/pdfs/GMD-1822-343.pdf#page=3","Abrir facsímil")</f>
        <v>Abrir facsímil</v>
      </c>
      <c r="K12564" t="s">
        <v>22</v>
      </c>
    </row>
    <row r="12565" spans="1:11" ht="42" customHeight="1">
      <c r="A12565" t="s">
        <v>24408</v>
      </c>
      <c r="B12565" t="s">
        <v>24408</v>
      </c>
      <c r="C12565" t="s">
        <v>50</v>
      </c>
      <c r="D12565" t="s">
        <v>51</v>
      </c>
      <c r="E12565" s="6">
        <v>-28154</v>
      </c>
      <c r="F12565" t="s">
        <v>2321</v>
      </c>
      <c r="G12565" t="s">
        <v>35</v>
      </c>
      <c r="H12565" t="s">
        <v>20</v>
      </c>
      <c r="I12565" t="s">
        <v>24448</v>
      </c>
      <c r="J12565" t="str">
        <f>HYPERLINK("https://www.boe.es/gazeta/dias/1822/11/30/pdfs/GMD-1822-350.pdf#page=2","Abrir facsímil")</f>
        <v>Abrir facsímil</v>
      </c>
      <c r="K12565" t="s">
        <v>22</v>
      </c>
    </row>
    <row r="12566" spans="1:11" ht="42" customHeight="1">
      <c r="A12566" t="s">
        <v>24408</v>
      </c>
      <c r="B12566" t="s">
        <v>24408</v>
      </c>
      <c r="C12566" t="s">
        <v>50</v>
      </c>
      <c r="D12566" t="s">
        <v>51</v>
      </c>
      <c r="E12566" s="6">
        <v>-28153</v>
      </c>
      <c r="F12566" t="s">
        <v>946</v>
      </c>
      <c r="G12566" t="s">
        <v>35</v>
      </c>
      <c r="H12566" t="s">
        <v>20</v>
      </c>
      <c r="I12566" t="s">
        <v>24449</v>
      </c>
      <c r="J12566" t="str">
        <f>HYPERLINK("https://www.boe.es/gazeta/dias/1822/12/01/pdfs/GMD-1822-351.pdf#page=2","Abrir facsímil")</f>
        <v>Abrir facsímil</v>
      </c>
      <c r="K12566" t="s">
        <v>22</v>
      </c>
    </row>
    <row r="12567" spans="1:11" ht="42" customHeight="1">
      <c r="A12567" t="s">
        <v>24450</v>
      </c>
      <c r="B12567" t="s">
        <v>24451</v>
      </c>
      <c r="C12567" t="s">
        <v>28</v>
      </c>
      <c r="D12567" t="s">
        <v>29</v>
      </c>
      <c r="E12567" s="6">
        <v>-28396</v>
      </c>
      <c r="F12567" t="s">
        <v>1138</v>
      </c>
      <c r="G12567" t="s">
        <v>157</v>
      </c>
      <c r="H12567" t="s">
        <v>20</v>
      </c>
      <c r="I12567" t="s">
        <v>24452</v>
      </c>
      <c r="J12567" t="str">
        <f>HYPERLINK("https://www.boe.es/gazeta/dias/1822/04/02/pdfs/GMD-1822-94.pdf#page=8","Abrir facsímil")</f>
        <v>Abrir facsímil</v>
      </c>
      <c r="K12567" t="s">
        <v>22</v>
      </c>
    </row>
    <row r="12568" spans="1:11" ht="42" customHeight="1">
      <c r="A12568" t="s">
        <v>24453</v>
      </c>
      <c r="B12568" t="s">
        <v>24454</v>
      </c>
      <c r="C12568" t="s">
        <v>42</v>
      </c>
      <c r="D12568" t="s">
        <v>17</v>
      </c>
      <c r="E12568" s="6">
        <v>-28373</v>
      </c>
      <c r="F12568" t="s">
        <v>614</v>
      </c>
      <c r="G12568" t="s">
        <v>35</v>
      </c>
      <c r="H12568" t="s">
        <v>20</v>
      </c>
      <c r="I12568" t="s">
        <v>24455</v>
      </c>
      <c r="J12568" t="str">
        <f>HYPERLINK("https://www.boe.es/gazeta/dias/1822/04/25/pdfs/GMD-1822-117.pdf#page=2","Abrir facsímil")</f>
        <v>Abrir facsímil</v>
      </c>
      <c r="K12568" t="s">
        <v>22</v>
      </c>
    </row>
    <row r="12569" spans="1:11" ht="42" customHeight="1">
      <c r="A12569" t="s">
        <v>24456</v>
      </c>
      <c r="B12569" t="s">
        <v>24456</v>
      </c>
      <c r="C12569" t="s">
        <v>42</v>
      </c>
      <c r="D12569" t="s">
        <v>17</v>
      </c>
      <c r="E12569" s="6">
        <v>-28413</v>
      </c>
      <c r="F12569" t="s">
        <v>458</v>
      </c>
      <c r="G12569" t="s">
        <v>44</v>
      </c>
      <c r="H12569" t="s">
        <v>20</v>
      </c>
      <c r="I12569" t="s">
        <v>24457</v>
      </c>
      <c r="J12569" t="str">
        <f>HYPERLINK("https://www.boe.es/gazeta/dias/1822/03/16/pdfs/GMD-1822-77.pdf#page=1","Abrir facsímil")</f>
        <v>Abrir facsímil</v>
      </c>
      <c r="K12569" t="s">
        <v>22</v>
      </c>
    </row>
    <row r="12570" spans="1:11" ht="42" customHeight="1">
      <c r="A12570" t="s">
        <v>24456</v>
      </c>
      <c r="B12570" t="s">
        <v>24456</v>
      </c>
      <c r="C12570" t="s">
        <v>28</v>
      </c>
      <c r="D12570" t="s">
        <v>29</v>
      </c>
      <c r="E12570" s="6">
        <v>-28371</v>
      </c>
      <c r="F12570" t="s">
        <v>401</v>
      </c>
      <c r="G12570" t="s">
        <v>44</v>
      </c>
      <c r="H12570" t="s">
        <v>20</v>
      </c>
      <c r="I12570" t="s">
        <v>24458</v>
      </c>
      <c r="J12570" t="str">
        <f>HYPERLINK("https://www.boe.es/gazeta/dias/1822/04/27/pdfs/GMD-1822-119.pdf#page=1","Abrir facsímil")</f>
        <v>Abrir facsímil</v>
      </c>
      <c r="K12570" t="s">
        <v>22</v>
      </c>
    </row>
    <row r="12571" spans="1:11" ht="42" customHeight="1">
      <c r="A12571" t="s">
        <v>24459</v>
      </c>
      <c r="B12571" t="s">
        <v>24459</v>
      </c>
      <c r="C12571" t="s">
        <v>42</v>
      </c>
      <c r="D12571" t="s">
        <v>17</v>
      </c>
      <c r="E12571" s="6">
        <v>-28344</v>
      </c>
      <c r="F12571" t="s">
        <v>524</v>
      </c>
      <c r="G12571" t="s">
        <v>1040</v>
      </c>
      <c r="H12571" t="s">
        <v>20</v>
      </c>
      <c r="I12571" t="s">
        <v>24460</v>
      </c>
      <c r="J12571" t="str">
        <f>HYPERLINK("https://www.boe.es/gazeta/dias/1822/05/24/pdfs/GMD-1822-148.pdf#page=2","Abrir facsímil")</f>
        <v>Abrir facsímil</v>
      </c>
      <c r="K12571" t="s">
        <v>22</v>
      </c>
    </row>
    <row r="12572" spans="1:11" ht="42" customHeight="1">
      <c r="A12572" t="s">
        <v>24461</v>
      </c>
      <c r="B12572" t="s">
        <v>24461</v>
      </c>
      <c r="C12572" t="s">
        <v>50</v>
      </c>
      <c r="D12572" t="s">
        <v>51</v>
      </c>
      <c r="E12572" s="6">
        <v>-28458</v>
      </c>
      <c r="F12572" t="s">
        <v>1151</v>
      </c>
      <c r="G12572" t="s">
        <v>44</v>
      </c>
      <c r="H12572" t="s">
        <v>20</v>
      </c>
      <c r="I12572" t="s">
        <v>24462</v>
      </c>
      <c r="J12572" t="str">
        <f>HYPERLINK("https://www.boe.es/gazeta/dias/1822/01/30/pdfs/GMD-1822-30.pdf#page=1","Abrir facsímil")</f>
        <v>Abrir facsímil</v>
      </c>
      <c r="K12572" t="s">
        <v>22</v>
      </c>
    </row>
    <row r="12573" spans="1:11" ht="42" customHeight="1">
      <c r="A12573" t="s">
        <v>24463</v>
      </c>
      <c r="B12573" t="s">
        <v>24463</v>
      </c>
      <c r="C12573" t="s">
        <v>50</v>
      </c>
      <c r="D12573" t="s">
        <v>51</v>
      </c>
      <c r="E12573" s="6">
        <v>-28365</v>
      </c>
      <c r="F12573" t="s">
        <v>506</v>
      </c>
      <c r="G12573" t="s">
        <v>44</v>
      </c>
      <c r="H12573" t="s">
        <v>20</v>
      </c>
      <c r="I12573" t="s">
        <v>24464</v>
      </c>
      <c r="J12573" t="str">
        <f>HYPERLINK("https://www.boe.es/gazeta/dias/1822/05/03/pdfs/GMD-1822-125.pdf#page=1","Abrir facsímil")</f>
        <v>Abrir facsímil</v>
      </c>
      <c r="K12573" t="s">
        <v>22</v>
      </c>
    </row>
    <row r="12574" spans="1:11" ht="42" customHeight="1">
      <c r="A12574" t="s">
        <v>24465</v>
      </c>
      <c r="B12574" t="s">
        <v>24465</v>
      </c>
      <c r="C12574" t="s">
        <v>50</v>
      </c>
      <c r="D12574" t="s">
        <v>51</v>
      </c>
      <c r="E12574" s="6">
        <v>-28252</v>
      </c>
      <c r="F12574" t="s">
        <v>4333</v>
      </c>
      <c r="G12574" t="s">
        <v>44</v>
      </c>
      <c r="H12574" t="s">
        <v>20</v>
      </c>
      <c r="I12574" t="s">
        <v>24466</v>
      </c>
      <c r="J12574" t="str">
        <f>HYPERLINK("https://www.boe.es/gazeta/dias/1822/08/24/pdfs/GMD-1822-248.pdf#page=1","Abrir facsímil")</f>
        <v>Abrir facsímil</v>
      </c>
      <c r="K12574" t="s">
        <v>22</v>
      </c>
    </row>
    <row r="12575" spans="1:11" ht="42" customHeight="1">
      <c r="A12575" t="s">
        <v>24467</v>
      </c>
      <c r="B12575" t="s">
        <v>24468</v>
      </c>
      <c r="C12575" t="s">
        <v>42</v>
      </c>
      <c r="D12575" t="s">
        <v>17</v>
      </c>
      <c r="E12575" s="6">
        <v>-28315</v>
      </c>
      <c r="F12575" t="s">
        <v>1220</v>
      </c>
      <c r="G12575" t="s">
        <v>57</v>
      </c>
      <c r="H12575" t="s">
        <v>20</v>
      </c>
      <c r="I12575" t="s">
        <v>24469</v>
      </c>
      <c r="J12575" t="str">
        <f>HYPERLINK("https://www.boe.es/gazeta/dias/1822/06/22/pdfs/GMD-1822-180.pdf#page=4","Abrir facsímil")</f>
        <v>Abrir facsímil</v>
      </c>
      <c r="K12575" t="s">
        <v>22</v>
      </c>
    </row>
    <row r="12576" spans="1:11" ht="42" customHeight="1">
      <c r="A12576" t="s">
        <v>24470</v>
      </c>
      <c r="B12576" t="s">
        <v>24470</v>
      </c>
      <c r="C12576" t="s">
        <v>50</v>
      </c>
      <c r="D12576" t="s">
        <v>51</v>
      </c>
      <c r="E12576" s="6">
        <v>-28333</v>
      </c>
      <c r="F12576" t="s">
        <v>1928</v>
      </c>
      <c r="G12576" t="s">
        <v>63</v>
      </c>
      <c r="H12576" t="s">
        <v>20</v>
      </c>
      <c r="I12576" t="s">
        <v>24471</v>
      </c>
      <c r="J12576" t="str">
        <f>HYPERLINK("https://www.boe.es/gazeta/dias/1822/06/04/pdfs/GMD-1822-161.pdf#page=6","Abrir facsímil")</f>
        <v>Abrir facsímil</v>
      </c>
      <c r="K12576" t="s">
        <v>22</v>
      </c>
    </row>
    <row r="12577" spans="1:11" ht="42" customHeight="1">
      <c r="A12577" t="s">
        <v>24472</v>
      </c>
      <c r="B12577" t="s">
        <v>24473</v>
      </c>
      <c r="C12577" t="s">
        <v>42</v>
      </c>
      <c r="D12577" t="s">
        <v>17</v>
      </c>
      <c r="E12577" s="6">
        <v>-28223</v>
      </c>
      <c r="F12577" t="s">
        <v>2374</v>
      </c>
      <c r="G12577" t="s">
        <v>31</v>
      </c>
      <c r="H12577" t="s">
        <v>20</v>
      </c>
      <c r="I12577" t="s">
        <v>24474</v>
      </c>
      <c r="J12577" t="str">
        <f>HYPERLINK("https://www.boe.es/gazeta/dias/1822/09/22/pdfs/GMD-1822-278.pdf#page=3","Abrir facsímil")</f>
        <v>Abrir facsímil</v>
      </c>
      <c r="K12577" t="s">
        <v>22</v>
      </c>
    </row>
    <row r="12578" spans="1:11" ht="42" customHeight="1">
      <c r="A12578" t="s">
        <v>24475</v>
      </c>
      <c r="B12578" t="s">
        <v>24476</v>
      </c>
      <c r="C12578" t="s">
        <v>71</v>
      </c>
      <c r="D12578" t="s">
        <v>17</v>
      </c>
      <c r="E12578" s="6">
        <v>-28327</v>
      </c>
      <c r="F12578" t="s">
        <v>38</v>
      </c>
      <c r="G12578" t="s">
        <v>63</v>
      </c>
      <c r="H12578" t="s">
        <v>20</v>
      </c>
      <c r="I12578" t="s">
        <v>24477</v>
      </c>
      <c r="J12578" t="str">
        <f>HYPERLINK("https://www.boe.es/gazeta/dias/1822/06/10/pdfs/GMD-1822-167.pdf#page=6","Abrir facsímil")</f>
        <v>Abrir facsímil</v>
      </c>
      <c r="K12578" t="s">
        <v>22</v>
      </c>
    </row>
    <row r="12579" spans="1:11" ht="42" customHeight="1">
      <c r="A12579" t="s">
        <v>24478</v>
      </c>
      <c r="B12579" t="s">
        <v>24478</v>
      </c>
      <c r="C12579" t="s">
        <v>50</v>
      </c>
      <c r="D12579" t="s">
        <v>51</v>
      </c>
      <c r="E12579" s="6">
        <v>-28414</v>
      </c>
      <c r="F12579" t="s">
        <v>187</v>
      </c>
      <c r="G12579" t="s">
        <v>31</v>
      </c>
      <c r="H12579" t="s">
        <v>20</v>
      </c>
      <c r="I12579" t="s">
        <v>24479</v>
      </c>
      <c r="J12579" t="str">
        <f>HYPERLINK("https://www.boe.es/gazeta/dias/1822/03/15/pdfs/GMD-1822-76.pdf#page=3","Abrir facsímil")</f>
        <v>Abrir facsímil</v>
      </c>
      <c r="K12579" t="s">
        <v>22</v>
      </c>
    </row>
    <row r="12580" spans="1:11" ht="42" customHeight="1">
      <c r="A12580" t="s">
        <v>24480</v>
      </c>
      <c r="B12580" t="s">
        <v>24480</v>
      </c>
      <c r="C12580" t="s">
        <v>50</v>
      </c>
      <c r="D12580" t="s">
        <v>51</v>
      </c>
      <c r="E12580" s="6">
        <v>-28344</v>
      </c>
      <c r="F12580" t="s">
        <v>524</v>
      </c>
      <c r="G12580" t="s">
        <v>63</v>
      </c>
      <c r="H12580" t="s">
        <v>20</v>
      </c>
      <c r="I12580" t="s">
        <v>24481</v>
      </c>
      <c r="J12580" t="str">
        <f>HYPERLINK("https://www.boe.es/gazeta/dias/1822/05/24/pdfs/GMD-1822-148.pdf#page=6","Abrir facsímil")</f>
        <v>Abrir facsímil</v>
      </c>
      <c r="K12580" t="s">
        <v>22</v>
      </c>
    </row>
    <row r="12581" spans="1:11" ht="42" customHeight="1">
      <c r="A12581" t="s">
        <v>24482</v>
      </c>
      <c r="B12581" t="s">
        <v>24482</v>
      </c>
      <c r="C12581" t="s">
        <v>28</v>
      </c>
      <c r="D12581" t="s">
        <v>29</v>
      </c>
      <c r="E12581" s="6">
        <v>-28167</v>
      </c>
      <c r="F12581" t="s">
        <v>904</v>
      </c>
      <c r="G12581" t="s">
        <v>35</v>
      </c>
      <c r="H12581" t="s">
        <v>20</v>
      </c>
      <c r="I12581" t="s">
        <v>24483</v>
      </c>
      <c r="J12581" t="str">
        <f>HYPERLINK("https://www.boe.es/gazeta/dias/1822/11/17/pdfs/GMD-1822-337.pdf#page=2","Abrir facsímil")</f>
        <v>Abrir facsímil</v>
      </c>
      <c r="K12581" t="s">
        <v>22</v>
      </c>
    </row>
    <row r="12582" spans="1:11" ht="42" customHeight="1">
      <c r="A12582" t="s">
        <v>24484</v>
      </c>
      <c r="B12582" t="s">
        <v>24485</v>
      </c>
      <c r="C12582" t="s">
        <v>50</v>
      </c>
      <c r="D12582" t="s">
        <v>51</v>
      </c>
      <c r="E12582" s="6">
        <v>-28258</v>
      </c>
      <c r="F12582" t="s">
        <v>88</v>
      </c>
      <c r="G12582" t="s">
        <v>57</v>
      </c>
      <c r="H12582" t="s">
        <v>20</v>
      </c>
      <c r="I12582" t="s">
        <v>24486</v>
      </c>
      <c r="J12582" t="str">
        <f>HYPERLINK("https://www.boe.es/gazeta/dias/1822/08/18/pdfs/GMD-1822-242.pdf#page=4","Abrir facsímil")</f>
        <v>Abrir facsímil</v>
      </c>
      <c r="K12582" t="s">
        <v>22</v>
      </c>
    </row>
    <row r="12583" spans="1:11" ht="42" customHeight="1">
      <c r="A12583" t="s">
        <v>24487</v>
      </c>
      <c r="B12583" t="s">
        <v>24488</v>
      </c>
      <c r="C12583" t="s">
        <v>42</v>
      </c>
      <c r="D12583" t="s">
        <v>17</v>
      </c>
      <c r="E12583" s="6">
        <v>-28364</v>
      </c>
      <c r="F12583" t="s">
        <v>509</v>
      </c>
      <c r="G12583" t="s">
        <v>63</v>
      </c>
      <c r="H12583" t="s">
        <v>20</v>
      </c>
      <c r="I12583" t="s">
        <v>24489</v>
      </c>
      <c r="J12583" t="str">
        <f>HYPERLINK("https://www.boe.es/gazeta/dias/1822/05/04/pdfs/GMD-1822-126.pdf#page=6","Abrir facsímil")</f>
        <v>Abrir facsímil</v>
      </c>
      <c r="K12583" t="s">
        <v>22</v>
      </c>
    </row>
    <row r="12584" spans="1:11" ht="42" customHeight="1">
      <c r="A12584" t="s">
        <v>24490</v>
      </c>
      <c r="B12584" t="s">
        <v>24491</v>
      </c>
      <c r="C12584" t="s">
        <v>16</v>
      </c>
      <c r="D12584" t="s">
        <v>17</v>
      </c>
      <c r="E12584" s="6">
        <v>-28409</v>
      </c>
      <c r="F12584" t="s">
        <v>394</v>
      </c>
      <c r="G12584" t="s">
        <v>57</v>
      </c>
      <c r="H12584" t="s">
        <v>20</v>
      </c>
      <c r="I12584" t="s">
        <v>24492</v>
      </c>
      <c r="J12584" t="str">
        <f>HYPERLINK("https://www.boe.es/gazeta/dias/1822/03/20/pdfs/GMD-1822-81.pdf#page=4","Abrir facsímil")</f>
        <v>Abrir facsímil</v>
      </c>
      <c r="K12584" t="s">
        <v>22</v>
      </c>
    </row>
    <row r="12585" spans="1:11" ht="42" customHeight="1">
      <c r="A12585" t="s">
        <v>24493</v>
      </c>
      <c r="B12585" t="s">
        <v>24494</v>
      </c>
      <c r="C12585" t="s">
        <v>50</v>
      </c>
      <c r="D12585" t="s">
        <v>51</v>
      </c>
      <c r="E12585" s="6">
        <v>-28361</v>
      </c>
      <c r="F12585" t="s">
        <v>374</v>
      </c>
      <c r="G12585" t="s">
        <v>35</v>
      </c>
      <c r="H12585" t="s">
        <v>20</v>
      </c>
      <c r="I12585" t="s">
        <v>24495</v>
      </c>
      <c r="J12585" t="str">
        <f>HYPERLINK("https://www.boe.es/gazeta/dias/1822/05/07/pdfs/GMD-1822-129.pdf#page=2","Abrir facsímil")</f>
        <v>Abrir facsímil</v>
      </c>
      <c r="K12585" t="s">
        <v>22</v>
      </c>
    </row>
    <row r="12586" spans="1:11" ht="42" customHeight="1">
      <c r="A12586" t="s">
        <v>24496</v>
      </c>
      <c r="B12586" t="s">
        <v>24497</v>
      </c>
      <c r="C12586" t="s">
        <v>16</v>
      </c>
      <c r="D12586" t="s">
        <v>17</v>
      </c>
      <c r="E12586" s="6">
        <v>-28189</v>
      </c>
      <c r="F12586" t="s">
        <v>645</v>
      </c>
      <c r="G12586" t="s">
        <v>19</v>
      </c>
      <c r="H12586" t="s">
        <v>20</v>
      </c>
      <c r="I12586" t="s">
        <v>24498</v>
      </c>
      <c r="J12586" t="str">
        <f>HYPERLINK("https://www.boe.es/gazeta/dias/1822/10/26/pdfs/GMD-1822-313.pdf#page=5","Abrir facsímil")</f>
        <v>Abrir facsímil</v>
      </c>
      <c r="K12586" t="s">
        <v>22</v>
      </c>
    </row>
    <row r="12587" spans="1:11" ht="42" customHeight="1">
      <c r="A12587" t="s">
        <v>24499</v>
      </c>
      <c r="B12587" t="s">
        <v>24500</v>
      </c>
      <c r="C12587" t="s">
        <v>24</v>
      </c>
      <c r="D12587" t="s">
        <v>17</v>
      </c>
      <c r="E12587" s="6">
        <v>-28427</v>
      </c>
      <c r="F12587" t="s">
        <v>755</v>
      </c>
      <c r="G12587" t="s">
        <v>31</v>
      </c>
      <c r="H12587" t="s">
        <v>20</v>
      </c>
      <c r="I12587" t="s">
        <v>24501</v>
      </c>
      <c r="J12587" t="str">
        <f>HYPERLINK("https://www.boe.es/gazeta/dias/1822/03/02/pdfs/GMD-1822-63.pdf#page=3","Abrir facsímil")</f>
        <v>Abrir facsímil</v>
      </c>
      <c r="K12587" t="s">
        <v>22</v>
      </c>
    </row>
    <row r="12588" spans="1:11" ht="42" customHeight="1">
      <c r="A12588" t="s">
        <v>24502</v>
      </c>
      <c r="B12588" t="s">
        <v>24503</v>
      </c>
      <c r="C12588" t="s">
        <v>42</v>
      </c>
      <c r="D12588" t="s">
        <v>17</v>
      </c>
      <c r="E12588" s="6">
        <v>-28279</v>
      </c>
      <c r="F12588" t="s">
        <v>662</v>
      </c>
      <c r="G12588" t="s">
        <v>35</v>
      </c>
      <c r="H12588" t="s">
        <v>20</v>
      </c>
      <c r="I12588" t="s">
        <v>24504</v>
      </c>
      <c r="J12588" t="str">
        <f>HYPERLINK("https://www.boe.es/gazeta/dias/1822/07/28/pdfs/GMD-1822-221.pdf#page=2","Abrir facsímil")</f>
        <v>Abrir facsímil</v>
      </c>
      <c r="K12588" t="s">
        <v>22</v>
      </c>
    </row>
    <row r="12589" spans="1:11" ht="42" customHeight="1">
      <c r="A12589" t="s">
        <v>24505</v>
      </c>
      <c r="B12589" t="s">
        <v>24505</v>
      </c>
      <c r="C12589" t="s">
        <v>42</v>
      </c>
      <c r="D12589" t="s">
        <v>17</v>
      </c>
      <c r="E12589" s="6">
        <v>-28378</v>
      </c>
      <c r="F12589" t="s">
        <v>496</v>
      </c>
      <c r="G12589" t="s">
        <v>31</v>
      </c>
      <c r="H12589" t="s">
        <v>20</v>
      </c>
      <c r="I12589" t="s">
        <v>24506</v>
      </c>
      <c r="J12589" t="str">
        <f>HYPERLINK("https://www.boe.es/gazeta/dias/1822/04/20/pdfs/GMD-1822-112.pdf#page=3","Abrir facsímil")</f>
        <v>Abrir facsímil</v>
      </c>
      <c r="K12589" t="s">
        <v>22</v>
      </c>
    </row>
    <row r="12590" spans="1:11" ht="42" customHeight="1">
      <c r="A12590" t="s">
        <v>24505</v>
      </c>
      <c r="B12590" t="s">
        <v>24505</v>
      </c>
      <c r="C12590" t="s">
        <v>71</v>
      </c>
      <c r="D12590" t="s">
        <v>17</v>
      </c>
      <c r="E12590" s="6">
        <v>-28350</v>
      </c>
      <c r="F12590" t="s">
        <v>352</v>
      </c>
      <c r="G12590" t="s">
        <v>19</v>
      </c>
      <c r="H12590" t="s">
        <v>20</v>
      </c>
      <c r="I12590" t="s">
        <v>24507</v>
      </c>
      <c r="J12590" t="str">
        <f>HYPERLINK("https://www.boe.es/gazeta/dias/1822/05/18/pdfs/GMD-1822-140.pdf#page=5","Abrir facsímil")</f>
        <v>Abrir facsímil</v>
      </c>
      <c r="K12590" t="s">
        <v>22</v>
      </c>
    </row>
    <row r="12591" spans="1:11" ht="42" customHeight="1">
      <c r="A12591" t="s">
        <v>24508</v>
      </c>
      <c r="B12591" t="s">
        <v>24509</v>
      </c>
      <c r="C12591" t="s">
        <v>42</v>
      </c>
      <c r="D12591" t="s">
        <v>17</v>
      </c>
      <c r="E12591" s="6">
        <v>-28254</v>
      </c>
      <c r="F12591" t="s">
        <v>3557</v>
      </c>
      <c r="G12591" t="s">
        <v>57</v>
      </c>
      <c r="H12591" t="s">
        <v>20</v>
      </c>
      <c r="I12591" t="s">
        <v>24510</v>
      </c>
      <c r="J12591" t="str">
        <f>HYPERLINK("https://www.boe.es/gazeta/dias/1822/08/22/pdfs/GMD-1822-246.pdf#page=4","Abrir facsímil")</f>
        <v>Abrir facsímil</v>
      </c>
      <c r="K12591" t="s">
        <v>22</v>
      </c>
    </row>
    <row r="12592" spans="1:11" ht="42" customHeight="1">
      <c r="A12592" t="s">
        <v>24511</v>
      </c>
      <c r="B12592" t="s">
        <v>24511</v>
      </c>
      <c r="C12592" t="s">
        <v>50</v>
      </c>
      <c r="D12592" t="s">
        <v>51</v>
      </c>
      <c r="E12592" s="6">
        <v>-28132</v>
      </c>
      <c r="F12592" t="s">
        <v>820</v>
      </c>
      <c r="G12592" t="s">
        <v>821</v>
      </c>
      <c r="H12592" t="s">
        <v>20</v>
      </c>
      <c r="I12592" t="s">
        <v>24512</v>
      </c>
      <c r="J12592" t="str">
        <f>HYPERLINK("https://www.boe.es/gazeta/dias/1822/12/22/pdfs/GMD-1822-372.pdf#page=4","Abrir facsímil")</f>
        <v>Abrir facsímil</v>
      </c>
      <c r="K12592" t="s">
        <v>22</v>
      </c>
    </row>
    <row r="12593" spans="1:11" ht="42" customHeight="1">
      <c r="A12593" t="s">
        <v>24513</v>
      </c>
      <c r="B12593" t="s">
        <v>24514</v>
      </c>
      <c r="C12593" t="s">
        <v>42</v>
      </c>
      <c r="D12593" t="s">
        <v>17</v>
      </c>
      <c r="E12593" s="6">
        <v>-28172</v>
      </c>
      <c r="F12593" t="s">
        <v>674</v>
      </c>
      <c r="G12593" t="s">
        <v>57</v>
      </c>
      <c r="H12593" t="s">
        <v>20</v>
      </c>
      <c r="I12593" t="s">
        <v>24515</v>
      </c>
      <c r="J12593" t="str">
        <f>HYPERLINK("https://www.boe.es/gazeta/dias/1822/11/12/pdfs/GMD-1822-332.pdf#page=4","Abrir facsímil")</f>
        <v>Abrir facsímil</v>
      </c>
      <c r="K12593" t="s">
        <v>22</v>
      </c>
    </row>
    <row r="12594" spans="1:11" ht="42" customHeight="1">
      <c r="A12594" t="s">
        <v>24516</v>
      </c>
      <c r="B12594" t="s">
        <v>24516</v>
      </c>
      <c r="C12594" t="s">
        <v>42</v>
      </c>
      <c r="D12594" t="s">
        <v>17</v>
      </c>
      <c r="E12594" s="6">
        <v>-28415</v>
      </c>
      <c r="F12594" t="s">
        <v>77</v>
      </c>
      <c r="G12594" t="s">
        <v>44</v>
      </c>
      <c r="H12594" t="s">
        <v>20</v>
      </c>
      <c r="I12594" t="s">
        <v>24517</v>
      </c>
      <c r="J12594" t="str">
        <f>HYPERLINK("https://www.boe.es/gazeta/dias/1822/03/14/pdfs/GMD-1822-75.pdf#page=1","Abrir facsímil")</f>
        <v>Abrir facsímil</v>
      </c>
      <c r="K12594" t="s">
        <v>22</v>
      </c>
    </row>
    <row r="12595" spans="1:11" ht="42" customHeight="1">
      <c r="A12595" t="s">
        <v>24518</v>
      </c>
      <c r="B12595" t="s">
        <v>24519</v>
      </c>
      <c r="C12595" t="s">
        <v>50</v>
      </c>
      <c r="D12595" t="s">
        <v>51</v>
      </c>
      <c r="E12595" s="6">
        <v>-28349</v>
      </c>
      <c r="F12595" t="s">
        <v>518</v>
      </c>
      <c r="G12595" t="s">
        <v>57</v>
      </c>
      <c r="H12595" t="s">
        <v>20</v>
      </c>
      <c r="I12595" t="s">
        <v>24520</v>
      </c>
      <c r="J12595" t="str">
        <f>HYPERLINK("https://www.boe.es/gazeta/dias/1822/05/19/pdfs/GMD-1822-141.pdf#page=4","Abrir facsímil")</f>
        <v>Abrir facsímil</v>
      </c>
      <c r="K12595" t="s">
        <v>22</v>
      </c>
    </row>
    <row r="12596" spans="1:11" ht="42" customHeight="1">
      <c r="A12596" t="s">
        <v>24521</v>
      </c>
      <c r="B12596" t="s">
        <v>24522</v>
      </c>
      <c r="C12596" t="s">
        <v>16</v>
      </c>
      <c r="D12596" t="s">
        <v>17</v>
      </c>
      <c r="E12596" s="6">
        <v>-28171</v>
      </c>
      <c r="F12596" t="s">
        <v>1075</v>
      </c>
      <c r="G12596" t="s">
        <v>57</v>
      </c>
      <c r="H12596" t="s">
        <v>20</v>
      </c>
      <c r="I12596" t="s">
        <v>24523</v>
      </c>
      <c r="J12596" t="str">
        <f>HYPERLINK("https://www.boe.es/gazeta/dias/1822/11/13/pdfs/GMD-1822-333.pdf#page=4","Abrir facsímil")</f>
        <v>Abrir facsímil</v>
      </c>
      <c r="K12596" t="s">
        <v>22</v>
      </c>
    </row>
    <row r="12597" spans="1:11" ht="42" customHeight="1">
      <c r="A12597" t="s">
        <v>24524</v>
      </c>
      <c r="B12597" t="s">
        <v>24524</v>
      </c>
      <c r="C12597" t="s">
        <v>71</v>
      </c>
      <c r="D12597" t="s">
        <v>17</v>
      </c>
      <c r="E12597" s="6">
        <v>-28411</v>
      </c>
      <c r="F12597" t="s">
        <v>1509</v>
      </c>
      <c r="G12597" t="s">
        <v>31</v>
      </c>
      <c r="H12597" t="s">
        <v>20</v>
      </c>
      <c r="I12597" t="s">
        <v>24525</v>
      </c>
      <c r="J12597" t="str">
        <f>HYPERLINK("https://www.boe.es/gazeta/dias/1822/03/18/pdfs/GMD-1822-79.pdf#page=3","Abrir facsímil")</f>
        <v>Abrir facsímil</v>
      </c>
      <c r="K12597" t="s">
        <v>22</v>
      </c>
    </row>
    <row r="12598" spans="1:11" ht="42" customHeight="1">
      <c r="A12598" t="s">
        <v>24524</v>
      </c>
      <c r="B12598" t="s">
        <v>24524</v>
      </c>
      <c r="C12598" t="s">
        <v>50</v>
      </c>
      <c r="D12598" t="s">
        <v>51</v>
      </c>
      <c r="E12598" s="6">
        <v>-28405</v>
      </c>
      <c r="F12598" t="s">
        <v>466</v>
      </c>
      <c r="G12598" t="s">
        <v>57</v>
      </c>
      <c r="H12598" t="s">
        <v>20</v>
      </c>
      <c r="I12598" t="s">
        <v>24526</v>
      </c>
      <c r="J12598" t="str">
        <f>HYPERLINK("https://www.boe.es/gazeta/dias/1822/03/24/pdfs/GMD-1822-85.pdf#page=4","Abrir facsímil")</f>
        <v>Abrir facsímil</v>
      </c>
      <c r="K12598" t="s">
        <v>22</v>
      </c>
    </row>
    <row r="12599" spans="1:11" ht="42" customHeight="1">
      <c r="A12599" t="s">
        <v>24527</v>
      </c>
      <c r="B12599" t="s">
        <v>24527</v>
      </c>
      <c r="C12599" t="s">
        <v>42</v>
      </c>
      <c r="D12599" t="s">
        <v>17</v>
      </c>
      <c r="E12599" s="6">
        <v>-28390</v>
      </c>
      <c r="F12599" t="s">
        <v>665</v>
      </c>
      <c r="G12599" t="s">
        <v>31</v>
      </c>
      <c r="H12599" t="s">
        <v>20</v>
      </c>
      <c r="I12599" t="s">
        <v>24528</v>
      </c>
      <c r="J12599" t="str">
        <f>HYPERLINK("https://www.boe.es/gazeta/dias/1822/04/08/pdfs/GMD-1822-100.pdf#page=3","Abrir facsímil")</f>
        <v>Abrir facsímil</v>
      </c>
      <c r="K12599" t="s">
        <v>22</v>
      </c>
    </row>
    <row r="12600" spans="1:11" ht="42" customHeight="1">
      <c r="A12600" t="s">
        <v>24524</v>
      </c>
      <c r="B12600" t="s">
        <v>24524</v>
      </c>
      <c r="C12600" t="s">
        <v>16</v>
      </c>
      <c r="D12600" t="s">
        <v>17</v>
      </c>
      <c r="E12600" s="6">
        <v>-28334</v>
      </c>
      <c r="F12600" t="s">
        <v>532</v>
      </c>
      <c r="G12600" t="s">
        <v>35</v>
      </c>
      <c r="H12600" t="s">
        <v>20</v>
      </c>
      <c r="I12600" t="s">
        <v>24529</v>
      </c>
      <c r="J12600" t="str">
        <f>HYPERLINK("https://www.boe.es/gazeta/dias/1822/06/03/pdfs/GMD-1822-159.pdf#page=2","Abrir facsímil")</f>
        <v>Abrir facsímil</v>
      </c>
      <c r="K12600" t="s">
        <v>22</v>
      </c>
    </row>
    <row r="12601" spans="1:11" ht="42" customHeight="1">
      <c r="A12601" t="s">
        <v>24524</v>
      </c>
      <c r="B12601" t="s">
        <v>24524</v>
      </c>
      <c r="C12601" t="s">
        <v>50</v>
      </c>
      <c r="D12601" t="s">
        <v>51</v>
      </c>
      <c r="E12601" s="6">
        <v>-28196</v>
      </c>
      <c r="F12601" t="s">
        <v>570</v>
      </c>
      <c r="G12601" t="s">
        <v>31</v>
      </c>
      <c r="H12601" t="s">
        <v>20</v>
      </c>
      <c r="I12601" t="s">
        <v>24530</v>
      </c>
      <c r="J12601" t="str">
        <f>HYPERLINK("https://www.boe.es/gazeta/dias/1822/10/19/pdfs/GMD-1822-306.pdf#page=3","Abrir facsímil")</f>
        <v>Abrir facsímil</v>
      </c>
      <c r="K12601" t="s">
        <v>22</v>
      </c>
    </row>
    <row r="12602" spans="1:11" ht="42" customHeight="1">
      <c r="A12602" t="s">
        <v>24531</v>
      </c>
      <c r="B12602" t="s">
        <v>24531</v>
      </c>
      <c r="C12602" t="s">
        <v>28</v>
      </c>
      <c r="D12602" t="s">
        <v>29</v>
      </c>
      <c r="E12602" s="6">
        <v>-28363</v>
      </c>
      <c r="F12602" t="s">
        <v>72</v>
      </c>
      <c r="G12602" t="s">
        <v>19</v>
      </c>
      <c r="H12602" t="s">
        <v>20</v>
      </c>
      <c r="I12602" t="s">
        <v>24532</v>
      </c>
      <c r="J12602" t="str">
        <f>HYPERLINK("https://www.boe.es/gazeta/dias/1822/05/05/pdfs/GMD-1822-127.pdf#page=5","Abrir facsímil")</f>
        <v>Abrir facsímil</v>
      </c>
      <c r="K12602" t="s">
        <v>22</v>
      </c>
    </row>
    <row r="12603" spans="1:11" ht="42" customHeight="1">
      <c r="A12603" t="s">
        <v>24533</v>
      </c>
      <c r="B12603" t="s">
        <v>24533</v>
      </c>
      <c r="C12603" t="s">
        <v>42</v>
      </c>
      <c r="D12603" t="s">
        <v>17</v>
      </c>
      <c r="E12603" s="6">
        <v>-28231</v>
      </c>
      <c r="F12603" t="s">
        <v>2049</v>
      </c>
      <c r="G12603" t="s">
        <v>57</v>
      </c>
      <c r="H12603" t="s">
        <v>20</v>
      </c>
      <c r="I12603" t="s">
        <v>24534</v>
      </c>
      <c r="J12603" t="str">
        <f>HYPERLINK("https://www.boe.es/gazeta/dias/1822/09/14/pdfs/GMD-1822-270.pdf#page=4","Abrir facsímil")</f>
        <v>Abrir facsímil</v>
      </c>
      <c r="K12603" t="s">
        <v>22</v>
      </c>
    </row>
    <row r="12604" spans="1:11" ht="42" customHeight="1">
      <c r="A12604" t="s">
        <v>24535</v>
      </c>
      <c r="B12604" t="s">
        <v>24535</v>
      </c>
      <c r="C12604" t="s">
        <v>42</v>
      </c>
      <c r="D12604" t="s">
        <v>17</v>
      </c>
      <c r="E12604" s="6">
        <v>-28237</v>
      </c>
      <c r="F12604" t="s">
        <v>878</v>
      </c>
      <c r="G12604" t="s">
        <v>31</v>
      </c>
      <c r="H12604" t="s">
        <v>20</v>
      </c>
      <c r="I12604" t="s">
        <v>24536</v>
      </c>
      <c r="J12604" t="str">
        <f>HYPERLINK("https://www.boe.es/gazeta/dias/1822/09/08/pdfs/GMD-1822-264.pdf#page=3","Abrir facsímil")</f>
        <v>Abrir facsímil</v>
      </c>
      <c r="K12604" t="s">
        <v>22</v>
      </c>
    </row>
    <row r="12605" spans="1:11" ht="42" customHeight="1">
      <c r="A12605" t="s">
        <v>24535</v>
      </c>
      <c r="B12605" t="s">
        <v>24535</v>
      </c>
      <c r="C12605" t="s">
        <v>42</v>
      </c>
      <c r="D12605" t="s">
        <v>17</v>
      </c>
      <c r="E12605" s="6">
        <v>-28231</v>
      </c>
      <c r="F12605" t="s">
        <v>2049</v>
      </c>
      <c r="G12605" t="s">
        <v>57</v>
      </c>
      <c r="H12605" t="s">
        <v>20</v>
      </c>
      <c r="I12605" t="s">
        <v>24537</v>
      </c>
      <c r="J12605" t="str">
        <f>HYPERLINK("https://www.boe.es/gazeta/dias/1822/09/14/pdfs/GMD-1822-270.pdf#page=4","Abrir facsímil")</f>
        <v>Abrir facsímil</v>
      </c>
      <c r="K12605" t="s">
        <v>22</v>
      </c>
    </row>
    <row r="12606" spans="1:11" ht="42" customHeight="1">
      <c r="A12606" t="s">
        <v>24538</v>
      </c>
      <c r="B12606" t="s">
        <v>24539</v>
      </c>
      <c r="C12606" t="s">
        <v>50</v>
      </c>
      <c r="D12606" t="s">
        <v>51</v>
      </c>
      <c r="E12606" s="6">
        <v>-28142</v>
      </c>
      <c r="F12606" t="s">
        <v>290</v>
      </c>
      <c r="G12606" t="s">
        <v>57</v>
      </c>
      <c r="H12606" t="s">
        <v>20</v>
      </c>
      <c r="I12606" t="s">
        <v>24540</v>
      </c>
      <c r="J12606" t="str">
        <f>HYPERLINK("https://www.boe.es/gazeta/dias/1822/12/12/pdfs/GMD-1822-362.pdf#page=4","Abrir facsímil")</f>
        <v>Abrir facsímil</v>
      </c>
      <c r="K12606" t="s">
        <v>22</v>
      </c>
    </row>
    <row r="12607" spans="1:11" ht="42" customHeight="1">
      <c r="A12607" t="s">
        <v>24541</v>
      </c>
      <c r="B12607" t="s">
        <v>24542</v>
      </c>
      <c r="C12607" t="s">
        <v>362</v>
      </c>
      <c r="D12607" t="s">
        <v>17</v>
      </c>
      <c r="E12607" s="6">
        <v>-28449</v>
      </c>
      <c r="F12607" t="s">
        <v>1342</v>
      </c>
      <c r="G12607" t="s">
        <v>57</v>
      </c>
      <c r="H12607" t="s">
        <v>20</v>
      </c>
      <c r="I12607" t="s">
        <v>24543</v>
      </c>
      <c r="J12607" t="str">
        <f>HYPERLINK("https://www.boe.es/gazeta/dias/1822/02/08/pdfs/GMD-1822-39.pdf#page=4","Abrir facsímil")</f>
        <v>Abrir facsímil</v>
      </c>
      <c r="K12607" t="s">
        <v>22</v>
      </c>
    </row>
    <row r="12608" spans="1:11" ht="42" customHeight="1">
      <c r="A12608" t="s">
        <v>24544</v>
      </c>
      <c r="B12608" t="s">
        <v>24544</v>
      </c>
      <c r="C12608" t="s">
        <v>71</v>
      </c>
      <c r="D12608" t="s">
        <v>17</v>
      </c>
      <c r="E12608" s="6">
        <v>-28475</v>
      </c>
      <c r="F12608" t="s">
        <v>1205</v>
      </c>
      <c r="G12608" t="s">
        <v>31</v>
      </c>
      <c r="H12608" t="s">
        <v>20</v>
      </c>
      <c r="I12608" t="s">
        <v>24545</v>
      </c>
      <c r="J12608" t="str">
        <f>HYPERLINK("https://www.boe.es/gazeta/dias/1822/01/13/pdfs/GMD-1822-13.pdf#page=3","Abrir facsímil")</f>
        <v>Abrir facsímil</v>
      </c>
      <c r="K12608" t="s">
        <v>22</v>
      </c>
    </row>
    <row r="12609" spans="1:11" ht="42" customHeight="1">
      <c r="A12609" t="s">
        <v>24544</v>
      </c>
      <c r="B12609" t="s">
        <v>24544</v>
      </c>
      <c r="C12609" t="s">
        <v>71</v>
      </c>
      <c r="D12609" t="s">
        <v>17</v>
      </c>
      <c r="E12609" s="6">
        <v>-28413</v>
      </c>
      <c r="F12609" t="s">
        <v>458</v>
      </c>
      <c r="G12609" t="s">
        <v>31</v>
      </c>
      <c r="H12609" t="s">
        <v>20</v>
      </c>
      <c r="I12609" t="s">
        <v>24546</v>
      </c>
      <c r="J12609" t="str">
        <f>HYPERLINK("https://www.boe.es/gazeta/dias/1822/03/16/pdfs/GMD-1822-77.pdf#page=3","Abrir facsímil")</f>
        <v>Abrir facsímil</v>
      </c>
      <c r="K12609" t="s">
        <v>22</v>
      </c>
    </row>
    <row r="12610" spans="1:11" ht="42" customHeight="1">
      <c r="A12610" t="s">
        <v>24544</v>
      </c>
      <c r="B12610" t="s">
        <v>24544</v>
      </c>
      <c r="C12610" t="s">
        <v>42</v>
      </c>
      <c r="D12610" t="s">
        <v>17</v>
      </c>
      <c r="E12610" s="6">
        <v>-28395</v>
      </c>
      <c r="F12610" t="s">
        <v>237</v>
      </c>
      <c r="G12610" t="s">
        <v>31</v>
      </c>
      <c r="H12610" t="s">
        <v>20</v>
      </c>
      <c r="I12610" t="s">
        <v>24547</v>
      </c>
      <c r="J12610" t="str">
        <f>HYPERLINK("https://www.boe.es/gazeta/dias/1822/04/03/pdfs/GMD-1822-95.pdf#page=3","Abrir facsímil")</f>
        <v>Abrir facsímil</v>
      </c>
      <c r="K12610" t="s">
        <v>22</v>
      </c>
    </row>
    <row r="12611" spans="1:11" ht="42" customHeight="1">
      <c r="A12611" t="s">
        <v>24544</v>
      </c>
      <c r="B12611" t="s">
        <v>24544</v>
      </c>
      <c r="C12611" t="s">
        <v>42</v>
      </c>
      <c r="D12611" t="s">
        <v>17</v>
      </c>
      <c r="E12611" s="6">
        <v>-28363</v>
      </c>
      <c r="F12611" t="s">
        <v>72</v>
      </c>
      <c r="G12611" t="s">
        <v>44</v>
      </c>
      <c r="H12611" t="s">
        <v>20</v>
      </c>
      <c r="I12611" t="s">
        <v>24548</v>
      </c>
      <c r="J12611" t="str">
        <f>HYPERLINK("https://www.boe.es/gazeta/dias/1822/05/05/pdfs/GMD-1822-127.pdf#page=1","Abrir facsímil")</f>
        <v>Abrir facsímil</v>
      </c>
      <c r="K12611" t="s">
        <v>22</v>
      </c>
    </row>
    <row r="12612" spans="1:11" ht="42" customHeight="1">
      <c r="A12612" t="s">
        <v>24544</v>
      </c>
      <c r="B12612" t="s">
        <v>24544</v>
      </c>
      <c r="C12612" t="s">
        <v>50</v>
      </c>
      <c r="D12612" t="s">
        <v>51</v>
      </c>
      <c r="E12612" s="6">
        <v>-28352</v>
      </c>
      <c r="F12612" t="s">
        <v>1575</v>
      </c>
      <c r="G12612" t="s">
        <v>35</v>
      </c>
      <c r="H12612" t="s">
        <v>20</v>
      </c>
      <c r="I12612" t="s">
        <v>24549</v>
      </c>
      <c r="J12612" t="str">
        <f>HYPERLINK("https://www.boe.es/gazeta/dias/1822/05/16/pdfs/GMD-1822-138.pdf#page=2","Abrir facsímil")</f>
        <v>Abrir facsímil</v>
      </c>
      <c r="K12612" t="s">
        <v>22</v>
      </c>
    </row>
    <row r="12613" spans="1:11" ht="42" customHeight="1">
      <c r="A12613" t="s">
        <v>24544</v>
      </c>
      <c r="B12613" t="s">
        <v>24544</v>
      </c>
      <c r="C12613" t="s">
        <v>71</v>
      </c>
      <c r="D12613" t="s">
        <v>17</v>
      </c>
      <c r="E12613" s="6">
        <v>-28350</v>
      </c>
      <c r="F12613" t="s">
        <v>352</v>
      </c>
      <c r="G12613" t="s">
        <v>19</v>
      </c>
      <c r="H12613" t="s">
        <v>20</v>
      </c>
      <c r="I12613" t="s">
        <v>24550</v>
      </c>
      <c r="J12613" t="str">
        <f>HYPERLINK("https://www.boe.es/gazeta/dias/1822/05/18/pdfs/GMD-1822-140.pdf#page=5","Abrir facsímil")</f>
        <v>Abrir facsímil</v>
      </c>
      <c r="K12613" t="s">
        <v>22</v>
      </c>
    </row>
    <row r="12614" spans="1:11" ht="42" customHeight="1">
      <c r="A12614" t="s">
        <v>24544</v>
      </c>
      <c r="B12614" t="s">
        <v>24544</v>
      </c>
      <c r="C12614" t="s">
        <v>28</v>
      </c>
      <c r="D12614" t="s">
        <v>29</v>
      </c>
      <c r="E12614" s="6">
        <v>-28184</v>
      </c>
      <c r="F12614" t="s">
        <v>1423</v>
      </c>
      <c r="G12614" t="s">
        <v>57</v>
      </c>
      <c r="H12614" t="s">
        <v>20</v>
      </c>
      <c r="I12614" t="s">
        <v>24551</v>
      </c>
      <c r="J12614" t="str">
        <f>HYPERLINK("https://www.boe.es/gazeta/dias/1822/10/31/pdfs/GMD-1822-318.pdf#page=4","Abrir facsímil")</f>
        <v>Abrir facsímil</v>
      </c>
      <c r="K12614" t="s">
        <v>22</v>
      </c>
    </row>
    <row r="12615" spans="1:11" ht="42" customHeight="1">
      <c r="A12615" t="s">
        <v>24544</v>
      </c>
      <c r="B12615" t="s">
        <v>24544</v>
      </c>
      <c r="C12615" t="s">
        <v>50</v>
      </c>
      <c r="D12615" t="s">
        <v>51</v>
      </c>
      <c r="E12615" s="6">
        <v>-28124</v>
      </c>
      <c r="F12615" t="s">
        <v>301</v>
      </c>
      <c r="G12615" t="s">
        <v>63</v>
      </c>
      <c r="H12615" t="s">
        <v>20</v>
      </c>
      <c r="I12615" t="s">
        <v>24552</v>
      </c>
      <c r="J12615" t="str">
        <f>HYPERLINK("https://www.boe.es/gazeta/dias/1822/12/30/pdfs/GMD-1822-380.pdf#page=6","Abrir facsímil")</f>
        <v>Abrir facsímil</v>
      </c>
      <c r="K12615" t="s">
        <v>22</v>
      </c>
    </row>
    <row r="12616" spans="1:11" ht="42" customHeight="1">
      <c r="A12616" t="s">
        <v>24553</v>
      </c>
      <c r="B12616" t="s">
        <v>24554</v>
      </c>
      <c r="C12616" t="s">
        <v>28</v>
      </c>
      <c r="D12616" t="s">
        <v>29</v>
      </c>
      <c r="E12616" s="6">
        <v>-28431</v>
      </c>
      <c r="F12616" t="s">
        <v>1258</v>
      </c>
      <c r="G12616" t="s">
        <v>57</v>
      </c>
      <c r="H12616" t="s">
        <v>20</v>
      </c>
      <c r="I12616" t="s">
        <v>24555</v>
      </c>
      <c r="J12616" t="str">
        <f>HYPERLINK("https://www.boe.es/gazeta/dias/1822/02/26/pdfs/GMD-1822-58.pdf#page=4","Abrir facsímil")</f>
        <v>Abrir facsímil</v>
      </c>
      <c r="K12616" t="s">
        <v>22</v>
      </c>
    </row>
    <row r="12617" spans="1:11" ht="42" customHeight="1">
      <c r="A12617" t="s">
        <v>24556</v>
      </c>
      <c r="B12617" t="s">
        <v>24557</v>
      </c>
      <c r="C12617" t="s">
        <v>28</v>
      </c>
      <c r="D12617" t="s">
        <v>29</v>
      </c>
      <c r="E12617" s="6">
        <v>-28354</v>
      </c>
      <c r="F12617" t="s">
        <v>226</v>
      </c>
      <c r="G12617" t="s">
        <v>35</v>
      </c>
      <c r="H12617" t="s">
        <v>20</v>
      </c>
      <c r="I12617" t="s">
        <v>24558</v>
      </c>
      <c r="J12617" t="str">
        <f>HYPERLINK("https://www.boe.es/gazeta/dias/1822/05/14/pdfs/GMD-1822-136.pdf#page=2","Abrir facsímil")</f>
        <v>Abrir facsímil</v>
      </c>
      <c r="K12617" t="s">
        <v>22</v>
      </c>
    </row>
    <row r="12618" spans="1:11" ht="42" customHeight="1">
      <c r="A12618" t="s">
        <v>24559</v>
      </c>
      <c r="B12618" t="s">
        <v>24559</v>
      </c>
      <c r="C12618" t="s">
        <v>28</v>
      </c>
      <c r="D12618" t="s">
        <v>29</v>
      </c>
      <c r="E12618" s="6">
        <v>-28396</v>
      </c>
      <c r="F12618" t="s">
        <v>1138</v>
      </c>
      <c r="G12618" t="s">
        <v>31</v>
      </c>
      <c r="H12618" t="s">
        <v>20</v>
      </c>
      <c r="I12618" t="s">
        <v>24560</v>
      </c>
      <c r="J12618" t="str">
        <f>HYPERLINK("https://www.boe.es/gazeta/dias/1822/04/02/pdfs/GMD-1822-94.pdf#page=3","Abrir facsímil")</f>
        <v>Abrir facsímil</v>
      </c>
      <c r="K12618" t="s">
        <v>22</v>
      </c>
    </row>
    <row r="12619" spans="1:11" ht="42" customHeight="1">
      <c r="A12619" t="s">
        <v>24561</v>
      </c>
      <c r="B12619" t="s">
        <v>24562</v>
      </c>
      <c r="C12619" t="s">
        <v>28</v>
      </c>
      <c r="D12619" t="s">
        <v>29</v>
      </c>
      <c r="E12619" s="6">
        <v>-28406</v>
      </c>
      <c r="F12619" t="s">
        <v>462</v>
      </c>
      <c r="G12619" t="s">
        <v>31</v>
      </c>
      <c r="H12619" t="s">
        <v>45</v>
      </c>
      <c r="I12619" t="s">
        <v>24563</v>
      </c>
      <c r="J12619" t="str">
        <f>HYPERLINK("https://www.boe.es/gazeta/dias/1822/03/23/pdfs/GMD-1822-84.pdf#page=3","Abrir facsímil")</f>
        <v>Abrir facsímil</v>
      </c>
      <c r="K12619" t="s">
        <v>47</v>
      </c>
    </row>
    <row r="12620" spans="1:11" ht="42" customHeight="1">
      <c r="A12620" t="s">
        <v>24564</v>
      </c>
      <c r="B12620" t="s">
        <v>24565</v>
      </c>
      <c r="C12620" t="s">
        <v>50</v>
      </c>
      <c r="D12620" t="s">
        <v>51</v>
      </c>
      <c r="E12620" s="6">
        <v>-28264</v>
      </c>
      <c r="F12620" t="s">
        <v>1329</v>
      </c>
      <c r="G12620" t="s">
        <v>57</v>
      </c>
      <c r="H12620" t="s">
        <v>20</v>
      </c>
      <c r="I12620" t="s">
        <v>24566</v>
      </c>
      <c r="J12620" t="str">
        <f>HYPERLINK("https://www.boe.es/gazeta/dias/1822/08/12/pdfs/GMD-1822-236.pdf#page=4","Abrir facsímil")</f>
        <v>Abrir facsímil</v>
      </c>
      <c r="K12620" t="s">
        <v>22</v>
      </c>
    </row>
    <row r="12621" spans="1:11" ht="42" customHeight="1">
      <c r="A12621" t="s">
        <v>24567</v>
      </c>
      <c r="B12621" t="s">
        <v>24568</v>
      </c>
      <c r="C12621" t="s">
        <v>42</v>
      </c>
      <c r="D12621" t="s">
        <v>17</v>
      </c>
      <c r="E12621" s="6">
        <v>-28166</v>
      </c>
      <c r="F12621" t="s">
        <v>942</v>
      </c>
      <c r="G12621" t="s">
        <v>19</v>
      </c>
      <c r="H12621" t="s">
        <v>20</v>
      </c>
      <c r="I12621" t="s">
        <v>24569</v>
      </c>
      <c r="J12621" t="str">
        <f>HYPERLINK("https://www.boe.es/gazeta/dias/1822/11/18/pdfs/GMD-1822-338.pdf#page=5","Abrir facsímil")</f>
        <v>Abrir facsímil</v>
      </c>
      <c r="K12621" t="s">
        <v>22</v>
      </c>
    </row>
    <row r="12622" spans="1:11" ht="42" customHeight="1">
      <c r="A12622" t="s">
        <v>24570</v>
      </c>
      <c r="B12622" t="s">
        <v>24571</v>
      </c>
      <c r="C12622" t="s">
        <v>50</v>
      </c>
      <c r="D12622" t="s">
        <v>51</v>
      </c>
      <c r="E12622" s="6">
        <v>-28267</v>
      </c>
      <c r="F12622" t="s">
        <v>1270</v>
      </c>
      <c r="G12622" t="s">
        <v>31</v>
      </c>
      <c r="H12622" t="s">
        <v>20</v>
      </c>
      <c r="I12622" t="s">
        <v>24572</v>
      </c>
      <c r="J12622" t="str">
        <f>HYPERLINK("https://www.boe.es/gazeta/dias/1822/08/09/pdfs/GMD-1822-233.pdf#page=3","Abrir facsímil")</f>
        <v>Abrir facsímil</v>
      </c>
      <c r="K12622" t="s">
        <v>22</v>
      </c>
    </row>
    <row r="12623" spans="1:11" ht="42" customHeight="1">
      <c r="A12623" t="s">
        <v>24573</v>
      </c>
      <c r="B12623" t="s">
        <v>24574</v>
      </c>
      <c r="C12623" t="s">
        <v>71</v>
      </c>
      <c r="D12623" t="s">
        <v>17</v>
      </c>
      <c r="E12623" s="6">
        <v>-28395</v>
      </c>
      <c r="F12623" t="s">
        <v>237</v>
      </c>
      <c r="G12623" t="s">
        <v>31</v>
      </c>
      <c r="H12623" t="s">
        <v>20</v>
      </c>
      <c r="I12623" t="s">
        <v>24575</v>
      </c>
      <c r="J12623" t="str">
        <f>HYPERLINK("https://www.boe.es/gazeta/dias/1822/04/03/pdfs/GMD-1822-95.pdf#page=3","Abrir facsímil")</f>
        <v>Abrir facsímil</v>
      </c>
      <c r="K12623" t="s">
        <v>22</v>
      </c>
    </row>
    <row r="12624" spans="1:11" ht="42" customHeight="1">
      <c r="A12624" t="s">
        <v>24576</v>
      </c>
      <c r="B12624" t="s">
        <v>24577</v>
      </c>
      <c r="C12624" t="s">
        <v>50</v>
      </c>
      <c r="D12624" t="s">
        <v>51</v>
      </c>
      <c r="E12624" s="6">
        <v>-28241</v>
      </c>
      <c r="F12624" t="s">
        <v>3068</v>
      </c>
      <c r="G12624" t="s">
        <v>35</v>
      </c>
      <c r="H12624" t="s">
        <v>20</v>
      </c>
      <c r="I12624" t="s">
        <v>24578</v>
      </c>
      <c r="J12624" t="str">
        <f>HYPERLINK("https://www.boe.es/gazeta/dias/1822/09/04/pdfs/GMD-1822-259.pdf#page=2","Abrir facsímil")</f>
        <v>Abrir facsímil</v>
      </c>
      <c r="K12624" t="s">
        <v>22</v>
      </c>
    </row>
    <row r="12625" spans="1:11" ht="42" customHeight="1">
      <c r="A12625" t="s">
        <v>24579</v>
      </c>
      <c r="B12625" t="s">
        <v>24580</v>
      </c>
      <c r="C12625" t="s">
        <v>50</v>
      </c>
      <c r="D12625" t="s">
        <v>51</v>
      </c>
      <c r="E12625" s="6">
        <v>-28230</v>
      </c>
      <c r="F12625" t="s">
        <v>1735</v>
      </c>
      <c r="G12625" t="s">
        <v>57</v>
      </c>
      <c r="H12625" t="s">
        <v>20</v>
      </c>
      <c r="I12625" t="s">
        <v>24581</v>
      </c>
      <c r="J12625" t="str">
        <f>HYPERLINK("https://www.boe.es/gazeta/dias/1822/09/15/pdfs/GMD-1822-271.pdf#page=4","Abrir facsímil")</f>
        <v>Abrir facsímil</v>
      </c>
      <c r="K12625" t="s">
        <v>22</v>
      </c>
    </row>
    <row r="12626" spans="1:11" ht="42" customHeight="1">
      <c r="A12626" t="s">
        <v>24582</v>
      </c>
      <c r="B12626" t="s">
        <v>24583</v>
      </c>
      <c r="C12626" t="s">
        <v>50</v>
      </c>
      <c r="D12626" t="s">
        <v>51</v>
      </c>
      <c r="E12626" s="6">
        <v>-28291</v>
      </c>
      <c r="F12626" t="s">
        <v>363</v>
      </c>
      <c r="G12626" t="s">
        <v>31</v>
      </c>
      <c r="H12626" t="s">
        <v>20</v>
      </c>
      <c r="I12626" t="s">
        <v>24584</v>
      </c>
      <c r="J12626" t="str">
        <f>HYPERLINK("https://www.boe.es/gazeta/dias/1822/07/16/pdfs/GMD-1822-206.pdf#page=3","Abrir facsímil")</f>
        <v>Abrir facsímil</v>
      </c>
      <c r="K12626" t="s">
        <v>22</v>
      </c>
    </row>
    <row r="12627" spans="1:11" ht="42" customHeight="1">
      <c r="A12627" t="s">
        <v>24585</v>
      </c>
      <c r="B12627" t="s">
        <v>24586</v>
      </c>
      <c r="C12627" t="s">
        <v>42</v>
      </c>
      <c r="D12627" t="s">
        <v>17</v>
      </c>
      <c r="E12627" s="6">
        <v>-28378</v>
      </c>
      <c r="F12627" t="s">
        <v>496</v>
      </c>
      <c r="G12627" t="s">
        <v>57</v>
      </c>
      <c r="H12627" t="s">
        <v>20</v>
      </c>
      <c r="I12627" t="s">
        <v>24587</v>
      </c>
      <c r="J12627" t="str">
        <f>HYPERLINK("https://www.boe.es/gazeta/dias/1822/04/20/pdfs/GMD-1822-112.pdf#page=4","Abrir facsímil")</f>
        <v>Abrir facsímil</v>
      </c>
      <c r="K12627" t="s">
        <v>22</v>
      </c>
    </row>
    <row r="12628" spans="1:11" ht="42" customHeight="1">
      <c r="A12628" t="s">
        <v>24585</v>
      </c>
      <c r="B12628" t="s">
        <v>24586</v>
      </c>
      <c r="C12628" t="s">
        <v>61</v>
      </c>
      <c r="D12628" t="s">
        <v>17</v>
      </c>
      <c r="E12628" s="6">
        <v>-28357</v>
      </c>
      <c r="F12628" t="s">
        <v>690</v>
      </c>
      <c r="G12628" t="s">
        <v>63</v>
      </c>
      <c r="H12628" t="s">
        <v>20</v>
      </c>
      <c r="I12628" t="s">
        <v>24588</v>
      </c>
      <c r="J12628" t="str">
        <f>HYPERLINK("https://www.boe.es/gazeta/dias/1822/05/11/pdfs/GMD-1822-133.pdf#page=6","Abrir facsímil")</f>
        <v>Abrir facsímil</v>
      </c>
      <c r="K12628" t="s">
        <v>22</v>
      </c>
    </row>
    <row r="12629" spans="1:11" ht="42" customHeight="1">
      <c r="A12629" t="s">
        <v>24585</v>
      </c>
      <c r="B12629" t="s">
        <v>24586</v>
      </c>
      <c r="C12629" t="s">
        <v>42</v>
      </c>
      <c r="D12629" t="s">
        <v>17</v>
      </c>
      <c r="E12629" s="6">
        <v>-28313</v>
      </c>
      <c r="F12629" t="s">
        <v>315</v>
      </c>
      <c r="G12629" t="s">
        <v>157</v>
      </c>
      <c r="H12629" t="s">
        <v>20</v>
      </c>
      <c r="I12629" t="s">
        <v>24589</v>
      </c>
      <c r="J12629" t="str">
        <f>HYPERLINK("https://www.boe.es/gazeta/dias/1822/06/24/pdfs/GMD-1822-182.pdf#page=8","Abrir facsímil")</f>
        <v>Abrir facsímil</v>
      </c>
      <c r="K12629" t="s">
        <v>22</v>
      </c>
    </row>
    <row r="12630" spans="1:11" ht="42" customHeight="1">
      <c r="A12630" t="s">
        <v>24590</v>
      </c>
      <c r="B12630" t="s">
        <v>24591</v>
      </c>
      <c r="C12630" t="s">
        <v>50</v>
      </c>
      <c r="D12630" t="s">
        <v>51</v>
      </c>
      <c r="E12630" s="6">
        <v>-28264</v>
      </c>
      <c r="F12630" t="s">
        <v>1329</v>
      </c>
      <c r="G12630" t="s">
        <v>57</v>
      </c>
      <c r="H12630" t="s">
        <v>20</v>
      </c>
      <c r="I12630" t="s">
        <v>24592</v>
      </c>
      <c r="J12630" t="str">
        <f>HYPERLINK("https://www.boe.es/gazeta/dias/1822/08/12/pdfs/GMD-1822-236.pdf#page=4","Abrir facsímil")</f>
        <v>Abrir facsímil</v>
      </c>
      <c r="K12630" t="s">
        <v>22</v>
      </c>
    </row>
    <row r="12631" spans="1:11" ht="42" customHeight="1">
      <c r="A12631" t="s">
        <v>24593</v>
      </c>
      <c r="B12631" t="s">
        <v>24594</v>
      </c>
      <c r="C12631" t="s">
        <v>50</v>
      </c>
      <c r="D12631" t="s">
        <v>51</v>
      </c>
      <c r="E12631" s="6">
        <v>-28280</v>
      </c>
      <c r="F12631" t="s">
        <v>56</v>
      </c>
      <c r="G12631" t="s">
        <v>57</v>
      </c>
      <c r="H12631" t="s">
        <v>20</v>
      </c>
      <c r="I12631" t="s">
        <v>24595</v>
      </c>
      <c r="J12631" t="str">
        <f>HYPERLINK("https://www.boe.es/gazeta/dias/1822/07/27/pdfs/GMD-1822-220.pdf#page=4","Abrir facsímil")</f>
        <v>Abrir facsímil</v>
      </c>
      <c r="K12631" t="s">
        <v>22</v>
      </c>
    </row>
    <row r="12632" spans="1:11" ht="42" customHeight="1">
      <c r="A12632" t="s">
        <v>24596</v>
      </c>
      <c r="B12632" t="s">
        <v>24597</v>
      </c>
      <c r="C12632" t="s">
        <v>28</v>
      </c>
      <c r="D12632" t="s">
        <v>29</v>
      </c>
      <c r="E12632" s="6">
        <v>-28433</v>
      </c>
      <c r="F12632" t="s">
        <v>3663</v>
      </c>
      <c r="G12632" t="s">
        <v>57</v>
      </c>
      <c r="H12632" t="s">
        <v>20</v>
      </c>
      <c r="I12632" t="s">
        <v>24598</v>
      </c>
      <c r="J12632" t="str">
        <f>HYPERLINK("https://www.boe.es/gazeta/dias/1822/02/24/pdfs/GMD-1822-56.pdf#page=4","Abrir facsímil")</f>
        <v>Abrir facsímil</v>
      </c>
      <c r="K12632" t="s">
        <v>22</v>
      </c>
    </row>
    <row r="12633" spans="1:11" ht="42" customHeight="1">
      <c r="A12633" t="s">
        <v>24599</v>
      </c>
      <c r="B12633" t="s">
        <v>24600</v>
      </c>
      <c r="C12633" t="s">
        <v>16</v>
      </c>
      <c r="D12633" t="s">
        <v>17</v>
      </c>
      <c r="E12633" s="6">
        <v>-28383</v>
      </c>
      <c r="F12633" t="s">
        <v>488</v>
      </c>
      <c r="G12633" t="s">
        <v>63</v>
      </c>
      <c r="H12633" t="s">
        <v>20</v>
      </c>
      <c r="I12633" t="s">
        <v>24601</v>
      </c>
      <c r="J12633" t="str">
        <f>HYPERLINK("https://www.boe.es/gazeta/dias/1822/04/15/pdfs/GMD-1822-107.pdf#page=6","Abrir facsímil")</f>
        <v>Abrir facsímil</v>
      </c>
      <c r="K12633" t="s">
        <v>22</v>
      </c>
    </row>
    <row r="12634" spans="1:11" ht="42" customHeight="1">
      <c r="A12634" t="s">
        <v>24602</v>
      </c>
      <c r="B12634" t="s">
        <v>24603</v>
      </c>
      <c r="C12634" t="s">
        <v>42</v>
      </c>
      <c r="D12634" t="s">
        <v>17</v>
      </c>
      <c r="E12634" s="6">
        <v>-28172</v>
      </c>
      <c r="F12634" t="s">
        <v>674</v>
      </c>
      <c r="G12634" t="s">
        <v>57</v>
      </c>
      <c r="H12634" t="s">
        <v>20</v>
      </c>
      <c r="I12634" t="s">
        <v>24604</v>
      </c>
      <c r="J12634" t="str">
        <f>HYPERLINK("https://www.boe.es/gazeta/dias/1822/11/12/pdfs/GMD-1822-332.pdf#page=4","Abrir facsímil")</f>
        <v>Abrir facsímil</v>
      </c>
      <c r="K12634" t="s">
        <v>22</v>
      </c>
    </row>
    <row r="12635" spans="1:11" ht="42" customHeight="1">
      <c r="A12635" t="s">
        <v>24605</v>
      </c>
      <c r="B12635" t="s">
        <v>24606</v>
      </c>
      <c r="C12635" t="s">
        <v>50</v>
      </c>
      <c r="D12635" t="s">
        <v>51</v>
      </c>
      <c r="E12635" s="6">
        <v>-28264</v>
      </c>
      <c r="F12635" t="s">
        <v>1329</v>
      </c>
      <c r="G12635" t="s">
        <v>57</v>
      </c>
      <c r="H12635" t="s">
        <v>20</v>
      </c>
      <c r="I12635" t="s">
        <v>24607</v>
      </c>
      <c r="J12635" t="str">
        <f>HYPERLINK("https://www.boe.es/gazeta/dias/1822/08/12/pdfs/GMD-1822-236.pdf#page=4","Abrir facsímil")</f>
        <v>Abrir facsímil</v>
      </c>
      <c r="K12635" t="s">
        <v>22</v>
      </c>
    </row>
    <row r="12636" spans="1:11" ht="42" customHeight="1">
      <c r="A12636" t="s">
        <v>24608</v>
      </c>
      <c r="B12636" t="s">
        <v>24609</v>
      </c>
      <c r="C12636" t="s">
        <v>71</v>
      </c>
      <c r="D12636" t="s">
        <v>17</v>
      </c>
      <c r="E12636" s="6">
        <v>-28314</v>
      </c>
      <c r="F12636" t="s">
        <v>309</v>
      </c>
      <c r="G12636" t="s">
        <v>63</v>
      </c>
      <c r="H12636" t="s">
        <v>20</v>
      </c>
      <c r="I12636" t="s">
        <v>24610</v>
      </c>
      <c r="J12636" t="str">
        <f>HYPERLINK("https://www.boe.es/gazeta/dias/1822/06/23/pdfs/GMD-1822-181.pdf#page=6","Abrir facsímil")</f>
        <v>Abrir facsímil</v>
      </c>
      <c r="K12636" t="s">
        <v>22</v>
      </c>
    </row>
    <row r="12637" spans="1:11" ht="42" customHeight="1">
      <c r="A12637" t="s">
        <v>24611</v>
      </c>
      <c r="B12637" t="s">
        <v>24612</v>
      </c>
      <c r="C12637" t="s">
        <v>50</v>
      </c>
      <c r="D12637" t="s">
        <v>51</v>
      </c>
      <c r="E12637" s="6">
        <v>-28235</v>
      </c>
      <c r="F12637" t="s">
        <v>1470</v>
      </c>
      <c r="G12637" t="s">
        <v>35</v>
      </c>
      <c r="H12637" t="s">
        <v>20</v>
      </c>
      <c r="I12637" t="s">
        <v>24613</v>
      </c>
      <c r="J12637" t="str">
        <f>HYPERLINK("https://www.boe.es/gazeta/dias/1822/09/10/pdfs/GMD-1822-266.pdf#page=2","Abrir facsímil")</f>
        <v>Abrir facsímil</v>
      </c>
      <c r="K12637" t="s">
        <v>22</v>
      </c>
    </row>
    <row r="12638" spans="1:11" ht="42" customHeight="1">
      <c r="A12638" t="s">
        <v>24614</v>
      </c>
      <c r="B12638" t="s">
        <v>24615</v>
      </c>
      <c r="C12638" t="s">
        <v>50</v>
      </c>
      <c r="D12638" t="s">
        <v>51</v>
      </c>
      <c r="E12638" s="6">
        <v>-28352</v>
      </c>
      <c r="F12638" t="s">
        <v>1575</v>
      </c>
      <c r="G12638" t="s">
        <v>63</v>
      </c>
      <c r="H12638" t="s">
        <v>20</v>
      </c>
      <c r="I12638" t="s">
        <v>24616</v>
      </c>
      <c r="J12638" t="str">
        <f>HYPERLINK("https://www.boe.es/gazeta/dias/1822/05/16/pdfs/GMD-1822-138.pdf#page=6","Abrir facsímil")</f>
        <v>Abrir facsímil</v>
      </c>
      <c r="K12638" t="s">
        <v>22</v>
      </c>
    </row>
    <row r="12639" spans="1:11" ht="42" customHeight="1">
      <c r="A12639" t="s">
        <v>24617</v>
      </c>
      <c r="B12639" t="s">
        <v>24618</v>
      </c>
      <c r="C12639" t="s">
        <v>24</v>
      </c>
      <c r="D12639" t="s">
        <v>17</v>
      </c>
      <c r="E12639" s="6">
        <v>-28352</v>
      </c>
      <c r="F12639" t="s">
        <v>1575</v>
      </c>
      <c r="G12639" t="s">
        <v>63</v>
      </c>
      <c r="H12639" t="s">
        <v>20</v>
      </c>
      <c r="I12639" t="s">
        <v>24619</v>
      </c>
      <c r="J12639" t="str">
        <f>HYPERLINK("https://www.boe.es/gazeta/dias/1822/05/16/pdfs/GMD-1822-138.pdf#page=6","Abrir facsímil")</f>
        <v>Abrir facsímil</v>
      </c>
      <c r="K12639" t="s">
        <v>22</v>
      </c>
    </row>
    <row r="12640" spans="1:11" ht="42" customHeight="1">
      <c r="A12640" t="s">
        <v>24620</v>
      </c>
      <c r="B12640" t="s">
        <v>24621</v>
      </c>
      <c r="C12640" t="s">
        <v>50</v>
      </c>
      <c r="D12640" t="s">
        <v>51</v>
      </c>
      <c r="E12640" s="6">
        <v>-28412</v>
      </c>
      <c r="F12640" t="s">
        <v>825</v>
      </c>
      <c r="G12640" t="s">
        <v>35</v>
      </c>
      <c r="H12640" t="s">
        <v>20</v>
      </c>
      <c r="I12640" t="s">
        <v>24622</v>
      </c>
      <c r="J12640" t="str">
        <f>HYPERLINK("https://www.boe.es/gazeta/dias/1822/03/17/pdfs/GMD-1822-78.pdf#page=2","Abrir facsímil")</f>
        <v>Abrir facsímil</v>
      </c>
      <c r="K12640" t="s">
        <v>22</v>
      </c>
    </row>
    <row r="12641" spans="1:11" ht="42" customHeight="1">
      <c r="A12641" t="s">
        <v>24623</v>
      </c>
      <c r="B12641" t="s">
        <v>24624</v>
      </c>
      <c r="C12641" t="s">
        <v>42</v>
      </c>
      <c r="D12641" t="s">
        <v>17</v>
      </c>
      <c r="E12641" s="6">
        <v>-28287</v>
      </c>
      <c r="F12641" t="s">
        <v>1295</v>
      </c>
      <c r="G12641" t="s">
        <v>63</v>
      </c>
      <c r="H12641" t="s">
        <v>20</v>
      </c>
      <c r="I12641" t="s">
        <v>24625</v>
      </c>
      <c r="J12641" t="str">
        <f>HYPERLINK("https://www.boe.es/gazeta/dias/1822/07/20/pdfs/GMD-1822-212.pdf#page=6","Abrir facsímil")</f>
        <v>Abrir facsímil</v>
      </c>
      <c r="K12641" t="s">
        <v>22</v>
      </c>
    </row>
    <row r="12642" spans="1:11" ht="42" customHeight="1">
      <c r="A12642" t="s">
        <v>24626</v>
      </c>
      <c r="B12642" t="s">
        <v>24626</v>
      </c>
      <c r="C12642" t="s">
        <v>50</v>
      </c>
      <c r="D12642" t="s">
        <v>51</v>
      </c>
      <c r="E12642" s="6">
        <v>-28194</v>
      </c>
      <c r="F12642" t="s">
        <v>18</v>
      </c>
      <c r="G12642" t="s">
        <v>63</v>
      </c>
      <c r="H12642" t="s">
        <v>20</v>
      </c>
      <c r="I12642" t="s">
        <v>24627</v>
      </c>
      <c r="J12642" t="str">
        <f>HYPERLINK("https://www.boe.es/gazeta/dias/1822/10/21/pdfs/GMD-1822-308.pdf#page=6","Abrir facsímil")</f>
        <v>Abrir facsímil</v>
      </c>
      <c r="K12642" t="s">
        <v>22</v>
      </c>
    </row>
    <row r="12643" spans="1:11" ht="42" customHeight="1">
      <c r="A12643" t="s">
        <v>24628</v>
      </c>
      <c r="B12643" t="s">
        <v>24628</v>
      </c>
      <c r="C12643" t="s">
        <v>28</v>
      </c>
      <c r="D12643" t="s">
        <v>29</v>
      </c>
      <c r="E12643" s="6">
        <v>-28403</v>
      </c>
      <c r="F12643" t="s">
        <v>471</v>
      </c>
      <c r="G12643" t="s">
        <v>31</v>
      </c>
      <c r="H12643" t="s">
        <v>20</v>
      </c>
      <c r="I12643" t="s">
        <v>24629</v>
      </c>
      <c r="J12643" t="str">
        <f>HYPERLINK("https://www.boe.es/gazeta/dias/1822/03/26/pdfs/GMD-1822-87.pdf#page=3","Abrir facsímil")</f>
        <v>Abrir facsímil</v>
      </c>
      <c r="K12643" t="s">
        <v>22</v>
      </c>
    </row>
    <row r="12644" spans="1:11" ht="42" customHeight="1">
      <c r="A12644" t="s">
        <v>24630</v>
      </c>
      <c r="B12644" t="s">
        <v>24630</v>
      </c>
      <c r="C12644" t="s">
        <v>28</v>
      </c>
      <c r="D12644" t="s">
        <v>29</v>
      </c>
      <c r="E12644" s="6">
        <v>-28431</v>
      </c>
      <c r="F12644" t="s">
        <v>1258</v>
      </c>
      <c r="G12644" t="s">
        <v>31</v>
      </c>
      <c r="H12644" t="s">
        <v>20</v>
      </c>
      <c r="I12644" t="s">
        <v>24631</v>
      </c>
      <c r="J12644" t="str">
        <f>HYPERLINK("https://www.boe.es/gazeta/dias/1822/02/26/pdfs/GMD-1822-58.pdf#page=3","Abrir facsímil")</f>
        <v>Abrir facsímil</v>
      </c>
      <c r="K12644" t="s">
        <v>22</v>
      </c>
    </row>
    <row r="12645" spans="1:11" ht="42" customHeight="1">
      <c r="A12645" t="s">
        <v>24630</v>
      </c>
      <c r="B12645" t="s">
        <v>24630</v>
      </c>
      <c r="C12645" t="s">
        <v>28</v>
      </c>
      <c r="D12645" t="s">
        <v>29</v>
      </c>
      <c r="E12645" s="6">
        <v>-28423</v>
      </c>
      <c r="F12645" t="s">
        <v>441</v>
      </c>
      <c r="G12645" t="s">
        <v>35</v>
      </c>
      <c r="H12645" t="s">
        <v>20</v>
      </c>
      <c r="I12645" t="s">
        <v>24632</v>
      </c>
      <c r="J12645" t="str">
        <f>HYPERLINK("https://www.boe.es/gazeta/dias/1822/03/06/pdfs/GMD-1822-67.pdf#page=2","Abrir facsímil")</f>
        <v>Abrir facsímil</v>
      </c>
      <c r="K12645" t="s">
        <v>22</v>
      </c>
    </row>
    <row r="12646" spans="1:11" ht="42" customHeight="1">
      <c r="A12646" t="s">
        <v>24633</v>
      </c>
      <c r="B12646" t="s">
        <v>24633</v>
      </c>
      <c r="C12646" t="s">
        <v>28</v>
      </c>
      <c r="D12646" t="s">
        <v>29</v>
      </c>
      <c r="E12646" s="6">
        <v>-28421</v>
      </c>
      <c r="F12646" t="s">
        <v>446</v>
      </c>
      <c r="G12646" t="s">
        <v>19</v>
      </c>
      <c r="H12646" t="s">
        <v>20</v>
      </c>
      <c r="I12646" t="s">
        <v>24634</v>
      </c>
      <c r="J12646" t="str">
        <f>HYPERLINK("https://www.boe.es/gazeta/dias/1822/03/08/pdfs/GMD-1822-69.pdf#page=5","Abrir facsímil")</f>
        <v>Abrir facsímil</v>
      </c>
      <c r="K12646" t="s">
        <v>22</v>
      </c>
    </row>
    <row r="12647" spans="1:11" ht="42" customHeight="1">
      <c r="A12647" t="s">
        <v>24633</v>
      </c>
      <c r="B12647" t="s">
        <v>24633</v>
      </c>
      <c r="C12647" t="s">
        <v>16</v>
      </c>
      <c r="D12647" t="s">
        <v>17</v>
      </c>
      <c r="E12647" s="6">
        <v>-28421</v>
      </c>
      <c r="F12647" t="s">
        <v>446</v>
      </c>
      <c r="G12647" t="s">
        <v>63</v>
      </c>
      <c r="H12647" t="s">
        <v>20</v>
      </c>
      <c r="I12647" t="s">
        <v>24635</v>
      </c>
      <c r="J12647" t="str">
        <f>HYPERLINK("https://www.boe.es/gazeta/dias/1822/03/08/pdfs/GMD-1822-69.pdf#page=6","Abrir facsímil")</f>
        <v>Abrir facsímil</v>
      </c>
      <c r="K12647" t="s">
        <v>22</v>
      </c>
    </row>
    <row r="12648" spans="1:11" ht="42" customHeight="1">
      <c r="A12648" t="s">
        <v>24630</v>
      </c>
      <c r="B12648" t="s">
        <v>24630</v>
      </c>
      <c r="C12648" t="s">
        <v>28</v>
      </c>
      <c r="D12648" t="s">
        <v>29</v>
      </c>
      <c r="E12648" s="6">
        <v>-28420</v>
      </c>
      <c r="F12648" t="s">
        <v>449</v>
      </c>
      <c r="G12648" t="s">
        <v>31</v>
      </c>
      <c r="H12648" t="s">
        <v>20</v>
      </c>
      <c r="I12648" t="s">
        <v>24636</v>
      </c>
      <c r="J12648" t="str">
        <f>HYPERLINK("https://www.boe.es/gazeta/dias/1822/03/09/pdfs/GMD-1822-70.pdf#page=3","Abrir facsímil")</f>
        <v>Abrir facsímil</v>
      </c>
      <c r="K12648" t="s">
        <v>22</v>
      </c>
    </row>
    <row r="12649" spans="1:11" ht="42" customHeight="1">
      <c r="A12649" t="s">
        <v>24630</v>
      </c>
      <c r="B12649" t="s">
        <v>24630</v>
      </c>
      <c r="C12649" t="s">
        <v>28</v>
      </c>
      <c r="D12649" t="s">
        <v>29</v>
      </c>
      <c r="E12649" s="6">
        <v>-28419</v>
      </c>
      <c r="F12649" t="s">
        <v>1392</v>
      </c>
      <c r="G12649" t="s">
        <v>57</v>
      </c>
      <c r="H12649" t="s">
        <v>20</v>
      </c>
      <c r="I12649" t="s">
        <v>24637</v>
      </c>
      <c r="J12649" t="str">
        <f>HYPERLINK("https://www.boe.es/gazeta/dias/1822/03/10/pdfs/GMD-1822-71.pdf#page=4","Abrir facsímil")</f>
        <v>Abrir facsímil</v>
      </c>
      <c r="K12649" t="s">
        <v>22</v>
      </c>
    </row>
    <row r="12650" spans="1:11" ht="42" customHeight="1">
      <c r="A12650" t="s">
        <v>24630</v>
      </c>
      <c r="B12650" t="s">
        <v>24630</v>
      </c>
      <c r="C12650" t="s">
        <v>71</v>
      </c>
      <c r="D12650" t="s">
        <v>17</v>
      </c>
      <c r="E12650" s="6">
        <v>-28419</v>
      </c>
      <c r="F12650" t="s">
        <v>1392</v>
      </c>
      <c r="G12650" t="s">
        <v>19</v>
      </c>
      <c r="H12650" t="s">
        <v>20</v>
      </c>
      <c r="I12650" t="s">
        <v>24638</v>
      </c>
      <c r="J12650" t="str">
        <f>HYPERLINK("https://www.boe.es/gazeta/dias/1822/03/10/pdfs/GMD-1822-71.pdf#page=5","Abrir facsímil")</f>
        <v>Abrir facsímil</v>
      </c>
      <c r="K12650" t="s">
        <v>22</v>
      </c>
    </row>
    <row r="12651" spans="1:11" ht="42" customHeight="1">
      <c r="A12651" t="s">
        <v>24633</v>
      </c>
      <c r="B12651" t="s">
        <v>24633</v>
      </c>
      <c r="C12651" t="s">
        <v>28</v>
      </c>
      <c r="D12651" t="s">
        <v>29</v>
      </c>
      <c r="E12651" s="6">
        <v>-28418</v>
      </c>
      <c r="F12651" t="s">
        <v>205</v>
      </c>
      <c r="G12651" t="s">
        <v>63</v>
      </c>
      <c r="H12651" t="s">
        <v>20</v>
      </c>
      <c r="I12651" t="s">
        <v>24639</v>
      </c>
      <c r="J12651" t="str">
        <f>HYPERLINK("https://www.boe.es/gazeta/dias/1822/03/11/pdfs/GMD-1822-72.pdf#page=6","Abrir facsímil")</f>
        <v>Abrir facsímil</v>
      </c>
      <c r="K12651" t="s">
        <v>22</v>
      </c>
    </row>
    <row r="12652" spans="1:11" ht="42" customHeight="1">
      <c r="A12652" t="s">
        <v>24633</v>
      </c>
      <c r="B12652" t="s">
        <v>24633</v>
      </c>
      <c r="C12652" t="s">
        <v>42</v>
      </c>
      <c r="D12652" t="s">
        <v>17</v>
      </c>
      <c r="E12652" s="6">
        <v>-28417</v>
      </c>
      <c r="F12652" t="s">
        <v>1394</v>
      </c>
      <c r="G12652" t="s">
        <v>31</v>
      </c>
      <c r="H12652" t="s">
        <v>20</v>
      </c>
      <c r="I12652" t="s">
        <v>24640</v>
      </c>
      <c r="J12652" t="str">
        <f>HYPERLINK("https://www.boe.es/gazeta/dias/1822/03/12/pdfs/GMD-1822-73.pdf#page=3","Abrir facsímil")</f>
        <v>Abrir facsímil</v>
      </c>
      <c r="K12652" t="s">
        <v>22</v>
      </c>
    </row>
    <row r="12653" spans="1:11" ht="42" customHeight="1">
      <c r="A12653" t="s">
        <v>24630</v>
      </c>
      <c r="B12653" t="s">
        <v>24630</v>
      </c>
      <c r="C12653" t="s">
        <v>28</v>
      </c>
      <c r="D12653" t="s">
        <v>29</v>
      </c>
      <c r="E12653" s="6">
        <v>-28417</v>
      </c>
      <c r="F12653" t="s">
        <v>1394</v>
      </c>
      <c r="G12653" t="s">
        <v>57</v>
      </c>
      <c r="H12653" t="s">
        <v>20</v>
      </c>
      <c r="I12653" t="s">
        <v>24641</v>
      </c>
      <c r="J12653" t="str">
        <f>HYPERLINK("https://www.boe.es/gazeta/dias/1822/03/12/pdfs/GMD-1822-73.pdf#page=4","Abrir facsímil")</f>
        <v>Abrir facsímil</v>
      </c>
      <c r="K12653" t="s">
        <v>22</v>
      </c>
    </row>
    <row r="12654" spans="1:11" ht="42" customHeight="1">
      <c r="A12654" t="s">
        <v>24630</v>
      </c>
      <c r="B12654" t="s">
        <v>24630</v>
      </c>
      <c r="C12654" t="s">
        <v>28</v>
      </c>
      <c r="D12654" t="s">
        <v>29</v>
      </c>
      <c r="E12654" s="6">
        <v>-28416</v>
      </c>
      <c r="F12654" t="s">
        <v>97</v>
      </c>
      <c r="G12654" t="s">
        <v>19</v>
      </c>
      <c r="H12654" t="s">
        <v>20</v>
      </c>
      <c r="I12654" t="s">
        <v>24642</v>
      </c>
      <c r="J12654" t="str">
        <f>HYPERLINK("https://www.boe.es/gazeta/dias/1822/03/13/pdfs/GMD-1822-74.pdf#page=5","Abrir facsímil")</f>
        <v>Abrir facsímil</v>
      </c>
      <c r="K12654" t="s">
        <v>22</v>
      </c>
    </row>
    <row r="12655" spans="1:11" ht="42" customHeight="1">
      <c r="A12655" t="s">
        <v>24633</v>
      </c>
      <c r="B12655" t="s">
        <v>24633</v>
      </c>
      <c r="C12655" t="s">
        <v>28</v>
      </c>
      <c r="D12655" t="s">
        <v>29</v>
      </c>
      <c r="E12655" s="6">
        <v>-28404</v>
      </c>
      <c r="F12655" t="s">
        <v>421</v>
      </c>
      <c r="G12655" t="s">
        <v>35</v>
      </c>
      <c r="H12655" t="s">
        <v>20</v>
      </c>
      <c r="I12655" t="s">
        <v>24643</v>
      </c>
      <c r="J12655" t="str">
        <f>HYPERLINK("https://www.boe.es/gazeta/dias/1822/03/25/pdfs/GMD-1822-86.pdf#page=2","Abrir facsímil")</f>
        <v>Abrir facsímil</v>
      </c>
      <c r="K12655" t="s">
        <v>22</v>
      </c>
    </row>
    <row r="12656" spans="1:11" ht="42" customHeight="1">
      <c r="A12656" t="s">
        <v>24633</v>
      </c>
      <c r="B12656" t="s">
        <v>24633</v>
      </c>
      <c r="C12656" t="s">
        <v>71</v>
      </c>
      <c r="D12656" t="s">
        <v>17</v>
      </c>
      <c r="E12656" s="6">
        <v>-28403</v>
      </c>
      <c r="F12656" t="s">
        <v>471</v>
      </c>
      <c r="G12656" t="s">
        <v>35</v>
      </c>
      <c r="H12656" t="s">
        <v>20</v>
      </c>
      <c r="I12656" t="s">
        <v>24644</v>
      </c>
      <c r="J12656" t="str">
        <f>HYPERLINK("https://www.boe.es/gazeta/dias/1822/03/26/pdfs/GMD-1822-87.pdf#page=2","Abrir facsímil")</f>
        <v>Abrir facsímil</v>
      </c>
      <c r="K12656" t="s">
        <v>22</v>
      </c>
    </row>
    <row r="12657" spans="1:11" ht="42" customHeight="1">
      <c r="A12657" t="s">
        <v>24633</v>
      </c>
      <c r="B12657" t="s">
        <v>24633</v>
      </c>
      <c r="C12657" t="s">
        <v>28</v>
      </c>
      <c r="D12657" t="s">
        <v>29</v>
      </c>
      <c r="E12657" s="6">
        <v>-28402</v>
      </c>
      <c r="F12657" t="s">
        <v>473</v>
      </c>
      <c r="G12657" t="s">
        <v>57</v>
      </c>
      <c r="H12657" t="s">
        <v>20</v>
      </c>
      <c r="I12657" t="s">
        <v>24645</v>
      </c>
      <c r="J12657" t="str">
        <f>HYPERLINK("https://www.boe.es/gazeta/dias/1822/03/27/pdfs/GMD-1822-88.pdf#page=4","Abrir facsímil")</f>
        <v>Abrir facsímil</v>
      </c>
      <c r="K12657" t="s">
        <v>22</v>
      </c>
    </row>
    <row r="12658" spans="1:11" ht="42" customHeight="1">
      <c r="A12658" t="s">
        <v>24630</v>
      </c>
      <c r="B12658" t="s">
        <v>24630</v>
      </c>
      <c r="C12658" t="s">
        <v>28</v>
      </c>
      <c r="D12658" t="s">
        <v>29</v>
      </c>
      <c r="E12658" s="6">
        <v>-28397</v>
      </c>
      <c r="F12658" t="s">
        <v>1401</v>
      </c>
      <c r="G12658" t="s">
        <v>57</v>
      </c>
      <c r="H12658" t="s">
        <v>20</v>
      </c>
      <c r="I12658" t="s">
        <v>24646</v>
      </c>
      <c r="J12658" t="str">
        <f>HYPERLINK("https://www.boe.es/gazeta/dias/1822/04/01/pdfs/GMD-1822-93.pdf#page=4","Abrir facsímil")</f>
        <v>Abrir facsímil</v>
      </c>
      <c r="K12658" t="s">
        <v>22</v>
      </c>
    </row>
    <row r="12659" spans="1:11" ht="42" customHeight="1">
      <c r="A12659" t="s">
        <v>24633</v>
      </c>
      <c r="B12659" t="s">
        <v>24633</v>
      </c>
      <c r="C12659" t="s">
        <v>16</v>
      </c>
      <c r="D12659" t="s">
        <v>17</v>
      </c>
      <c r="E12659" s="6">
        <v>-28394</v>
      </c>
      <c r="F12659" t="s">
        <v>268</v>
      </c>
      <c r="G12659" t="s">
        <v>35</v>
      </c>
      <c r="H12659" t="s">
        <v>20</v>
      </c>
      <c r="I12659" t="s">
        <v>24647</v>
      </c>
      <c r="J12659" t="str">
        <f>HYPERLINK("https://www.boe.es/gazeta/dias/1822/04/04/pdfs/GMD-1822-96.pdf#page=2","Abrir facsímil")</f>
        <v>Abrir facsímil</v>
      </c>
      <c r="K12659" t="s">
        <v>22</v>
      </c>
    </row>
    <row r="12660" spans="1:11" ht="42" customHeight="1">
      <c r="A12660" t="s">
        <v>24630</v>
      </c>
      <c r="B12660" t="s">
        <v>24630</v>
      </c>
      <c r="C12660" t="s">
        <v>28</v>
      </c>
      <c r="D12660" t="s">
        <v>29</v>
      </c>
      <c r="E12660" s="6">
        <v>-28394</v>
      </c>
      <c r="F12660" t="s">
        <v>268</v>
      </c>
      <c r="G12660" t="s">
        <v>31</v>
      </c>
      <c r="H12660" t="s">
        <v>20</v>
      </c>
      <c r="I12660" t="s">
        <v>24648</v>
      </c>
      <c r="J12660" t="str">
        <f>HYPERLINK("https://www.boe.es/gazeta/dias/1822/04/04/pdfs/GMD-1822-96.pdf#page=3","Abrir facsímil")</f>
        <v>Abrir facsímil</v>
      </c>
      <c r="K12660" t="s">
        <v>22</v>
      </c>
    </row>
    <row r="12661" spans="1:11" ht="42" customHeight="1">
      <c r="A12661" t="s">
        <v>24633</v>
      </c>
      <c r="B12661" t="s">
        <v>24633</v>
      </c>
      <c r="C12661" t="s">
        <v>24</v>
      </c>
      <c r="D12661" t="s">
        <v>17</v>
      </c>
      <c r="E12661" s="6">
        <v>-28391</v>
      </c>
      <c r="F12661" t="s">
        <v>378</v>
      </c>
      <c r="G12661" t="s">
        <v>35</v>
      </c>
      <c r="H12661" t="s">
        <v>20</v>
      </c>
      <c r="I12661" t="s">
        <v>24649</v>
      </c>
      <c r="J12661" t="str">
        <f>HYPERLINK("https://www.boe.es/gazeta/dias/1822/04/07/pdfs/GMD-1822-99.pdf#page=2","Abrir facsímil")</f>
        <v>Abrir facsímil</v>
      </c>
      <c r="K12661" t="s">
        <v>22</v>
      </c>
    </row>
    <row r="12662" spans="1:11" ht="42" customHeight="1">
      <c r="A12662" t="s">
        <v>24630</v>
      </c>
      <c r="B12662" t="s">
        <v>24630</v>
      </c>
      <c r="C12662" t="s">
        <v>61</v>
      </c>
      <c r="D12662" t="s">
        <v>17</v>
      </c>
      <c r="E12662" s="6">
        <v>-28386</v>
      </c>
      <c r="F12662" t="s">
        <v>2993</v>
      </c>
      <c r="G12662" t="s">
        <v>44</v>
      </c>
      <c r="H12662" t="s">
        <v>20</v>
      </c>
      <c r="I12662" t="s">
        <v>24650</v>
      </c>
      <c r="J12662" t="str">
        <f>HYPERLINK("https://www.boe.es/gazeta/dias/1822/04/12/pdfs/GMD-1822-104.pdf#page=1","Abrir facsímil")</f>
        <v>Abrir facsímil</v>
      </c>
      <c r="K12662" t="s">
        <v>22</v>
      </c>
    </row>
    <row r="12663" spans="1:11" ht="42" customHeight="1">
      <c r="A12663" t="s">
        <v>24630</v>
      </c>
      <c r="B12663" t="s">
        <v>24630</v>
      </c>
      <c r="C12663" t="s">
        <v>61</v>
      </c>
      <c r="D12663" t="s">
        <v>17</v>
      </c>
      <c r="E12663" s="6">
        <v>-28386</v>
      </c>
      <c r="F12663" t="s">
        <v>2993</v>
      </c>
      <c r="G12663" t="s">
        <v>31</v>
      </c>
      <c r="H12663" t="s">
        <v>20</v>
      </c>
      <c r="I12663" t="s">
        <v>24651</v>
      </c>
      <c r="J12663" t="str">
        <f>HYPERLINK("https://www.boe.es/gazeta/dias/1822/04/12/pdfs/GMD-1822-104.pdf#page=3","Abrir facsímil")</f>
        <v>Abrir facsímil</v>
      </c>
      <c r="K12663" t="s">
        <v>22</v>
      </c>
    </row>
    <row r="12664" spans="1:11" ht="42" customHeight="1">
      <c r="A12664" t="s">
        <v>24630</v>
      </c>
      <c r="B12664" t="s">
        <v>24630</v>
      </c>
      <c r="C12664" t="s">
        <v>61</v>
      </c>
      <c r="D12664" t="s">
        <v>17</v>
      </c>
      <c r="E12664" s="6">
        <v>-28384</v>
      </c>
      <c r="F12664" t="s">
        <v>258</v>
      </c>
      <c r="G12664" t="s">
        <v>31</v>
      </c>
      <c r="H12664" t="s">
        <v>20</v>
      </c>
      <c r="I12664" t="s">
        <v>24652</v>
      </c>
      <c r="J12664" t="str">
        <f>HYPERLINK("https://www.boe.es/gazeta/dias/1822/04/14/pdfs/GMD-1822-106.pdf#page=3","Abrir facsímil")</f>
        <v>Abrir facsímil</v>
      </c>
      <c r="K12664" t="s">
        <v>22</v>
      </c>
    </row>
    <row r="12665" spans="1:11" ht="42" customHeight="1">
      <c r="A12665" t="s">
        <v>24633</v>
      </c>
      <c r="B12665" t="s">
        <v>24633</v>
      </c>
      <c r="C12665" t="s">
        <v>24</v>
      </c>
      <c r="D12665" t="s">
        <v>17</v>
      </c>
      <c r="E12665" s="6">
        <v>-28384</v>
      </c>
      <c r="F12665" t="s">
        <v>258</v>
      </c>
      <c r="G12665" t="s">
        <v>19</v>
      </c>
      <c r="H12665" t="s">
        <v>20</v>
      </c>
      <c r="I12665" t="s">
        <v>24653</v>
      </c>
      <c r="J12665" t="str">
        <f>HYPERLINK("https://www.boe.es/gazeta/dias/1822/04/14/pdfs/GMD-1822-106.pdf#page=5","Abrir facsímil")</f>
        <v>Abrir facsímil</v>
      </c>
      <c r="K12665" t="s">
        <v>22</v>
      </c>
    </row>
    <row r="12666" spans="1:11" ht="42" customHeight="1">
      <c r="A12666" t="s">
        <v>24630</v>
      </c>
      <c r="B12666" t="s">
        <v>24630</v>
      </c>
      <c r="C12666" t="s">
        <v>28</v>
      </c>
      <c r="D12666" t="s">
        <v>29</v>
      </c>
      <c r="E12666" s="6">
        <v>-28383</v>
      </c>
      <c r="F12666" t="s">
        <v>488</v>
      </c>
      <c r="G12666" t="s">
        <v>63</v>
      </c>
      <c r="H12666" t="s">
        <v>20</v>
      </c>
      <c r="I12666" t="s">
        <v>24654</v>
      </c>
      <c r="J12666" t="str">
        <f>HYPERLINK("https://www.boe.es/gazeta/dias/1822/04/15/pdfs/GMD-1822-107.pdf#page=6","Abrir facsímil")</f>
        <v>Abrir facsímil</v>
      </c>
      <c r="K12666" t="s">
        <v>22</v>
      </c>
    </row>
    <row r="12667" spans="1:11" ht="42" customHeight="1">
      <c r="A12667" t="s">
        <v>24633</v>
      </c>
      <c r="B12667" t="s">
        <v>24633</v>
      </c>
      <c r="C12667" t="s">
        <v>50</v>
      </c>
      <c r="D12667" t="s">
        <v>51</v>
      </c>
      <c r="E12667" s="6">
        <v>-28378</v>
      </c>
      <c r="F12667" t="s">
        <v>496</v>
      </c>
      <c r="G12667" t="s">
        <v>35</v>
      </c>
      <c r="H12667" t="s">
        <v>20</v>
      </c>
      <c r="I12667" t="s">
        <v>24655</v>
      </c>
      <c r="J12667" t="str">
        <f>HYPERLINK("https://www.boe.es/gazeta/dias/1822/04/20/pdfs/GMD-1822-112.pdf#page=2","Abrir facsímil")</f>
        <v>Abrir facsímil</v>
      </c>
      <c r="K12667" t="s">
        <v>22</v>
      </c>
    </row>
    <row r="12668" spans="1:11" ht="42" customHeight="1">
      <c r="A12668" t="s">
        <v>24630</v>
      </c>
      <c r="B12668" t="s">
        <v>24630</v>
      </c>
      <c r="C12668" t="s">
        <v>28</v>
      </c>
      <c r="D12668" t="s">
        <v>29</v>
      </c>
      <c r="E12668" s="6">
        <v>-28378</v>
      </c>
      <c r="F12668" t="s">
        <v>496</v>
      </c>
      <c r="G12668" t="s">
        <v>31</v>
      </c>
      <c r="H12668" t="s">
        <v>20</v>
      </c>
      <c r="I12668" t="s">
        <v>24656</v>
      </c>
      <c r="J12668" t="str">
        <f>HYPERLINK("https://www.boe.es/gazeta/dias/1822/04/20/pdfs/GMD-1822-112.pdf#page=3","Abrir facsímil")</f>
        <v>Abrir facsímil</v>
      </c>
      <c r="K12668" t="s">
        <v>22</v>
      </c>
    </row>
    <row r="12669" spans="1:11" ht="42" customHeight="1">
      <c r="A12669" t="s">
        <v>24630</v>
      </c>
      <c r="B12669" t="s">
        <v>24630</v>
      </c>
      <c r="C12669" t="s">
        <v>28</v>
      </c>
      <c r="D12669" t="s">
        <v>29</v>
      </c>
      <c r="E12669" s="6">
        <v>-28370</v>
      </c>
      <c r="F12669" t="s">
        <v>207</v>
      </c>
      <c r="G12669" t="s">
        <v>31</v>
      </c>
      <c r="H12669" t="s">
        <v>20</v>
      </c>
      <c r="I12669" t="s">
        <v>24657</v>
      </c>
      <c r="J12669" t="str">
        <f>HYPERLINK("https://www.boe.es/gazeta/dias/1822/04/28/pdfs/GMD-1822-120.pdf#page=3","Abrir facsímil")</f>
        <v>Abrir facsímil</v>
      </c>
      <c r="K12669" t="s">
        <v>22</v>
      </c>
    </row>
    <row r="12670" spans="1:11" ht="42" customHeight="1">
      <c r="A12670" t="s">
        <v>24630</v>
      </c>
      <c r="B12670" t="s">
        <v>24630</v>
      </c>
      <c r="C12670" t="s">
        <v>28</v>
      </c>
      <c r="D12670" t="s">
        <v>29</v>
      </c>
      <c r="E12670" s="6">
        <v>-28367</v>
      </c>
      <c r="F12670" t="s">
        <v>280</v>
      </c>
      <c r="G12670" t="s">
        <v>35</v>
      </c>
      <c r="H12670" t="s">
        <v>20</v>
      </c>
      <c r="I12670" t="s">
        <v>24658</v>
      </c>
      <c r="J12670" t="str">
        <f>HYPERLINK("https://www.boe.es/gazeta/dias/1822/05/01/pdfs/GMD-1822-123.pdf#page=2","Abrir facsímil")</f>
        <v>Abrir facsímil</v>
      </c>
      <c r="K12670" t="s">
        <v>22</v>
      </c>
    </row>
    <row r="12671" spans="1:11" ht="42" customHeight="1">
      <c r="A12671" t="s">
        <v>24630</v>
      </c>
      <c r="B12671" t="s">
        <v>24630</v>
      </c>
      <c r="C12671" t="s">
        <v>16</v>
      </c>
      <c r="D12671" t="s">
        <v>17</v>
      </c>
      <c r="E12671" s="6">
        <v>-28365</v>
      </c>
      <c r="F12671" t="s">
        <v>506</v>
      </c>
      <c r="G12671" t="s">
        <v>57</v>
      </c>
      <c r="H12671" t="s">
        <v>20</v>
      </c>
      <c r="I12671" t="s">
        <v>24659</v>
      </c>
      <c r="J12671" t="str">
        <f>HYPERLINK("https://www.boe.es/gazeta/dias/1822/05/03/pdfs/GMD-1822-125.pdf#page=4","Abrir facsímil")</f>
        <v>Abrir facsímil</v>
      </c>
      <c r="K12671" t="s">
        <v>22</v>
      </c>
    </row>
    <row r="12672" spans="1:11" ht="42" customHeight="1">
      <c r="A12672" t="s">
        <v>24630</v>
      </c>
      <c r="B12672" t="s">
        <v>24630</v>
      </c>
      <c r="C12672" t="s">
        <v>28</v>
      </c>
      <c r="D12672" t="s">
        <v>29</v>
      </c>
      <c r="E12672" s="6">
        <v>-28363</v>
      </c>
      <c r="F12672" t="s">
        <v>72</v>
      </c>
      <c r="G12672" t="s">
        <v>19</v>
      </c>
      <c r="H12672" t="s">
        <v>20</v>
      </c>
      <c r="I12672" t="s">
        <v>24660</v>
      </c>
      <c r="J12672" t="str">
        <f>HYPERLINK("https://www.boe.es/gazeta/dias/1822/05/05/pdfs/GMD-1822-127.pdf#page=5","Abrir facsímil")</f>
        <v>Abrir facsímil</v>
      </c>
      <c r="K12672" t="s">
        <v>22</v>
      </c>
    </row>
    <row r="12673" spans="1:11" ht="42" customHeight="1">
      <c r="A12673" t="s">
        <v>24630</v>
      </c>
      <c r="B12673" t="s">
        <v>24630</v>
      </c>
      <c r="C12673" t="s">
        <v>16</v>
      </c>
      <c r="D12673" t="s">
        <v>17</v>
      </c>
      <c r="E12673" s="6">
        <v>-28357</v>
      </c>
      <c r="F12673" t="s">
        <v>690</v>
      </c>
      <c r="G12673" t="s">
        <v>19</v>
      </c>
      <c r="H12673" t="s">
        <v>20</v>
      </c>
      <c r="I12673" t="s">
        <v>24661</v>
      </c>
      <c r="J12673" t="str">
        <f>HYPERLINK("https://www.boe.es/gazeta/dias/1822/05/11/pdfs/GMD-1822-133.pdf#page=5","Abrir facsímil")</f>
        <v>Abrir facsímil</v>
      </c>
      <c r="K12673" t="s">
        <v>22</v>
      </c>
    </row>
    <row r="12674" spans="1:11" ht="42" customHeight="1">
      <c r="A12674" t="s">
        <v>24630</v>
      </c>
      <c r="B12674" t="s">
        <v>24630</v>
      </c>
      <c r="C12674" t="s">
        <v>50</v>
      </c>
      <c r="D12674" t="s">
        <v>51</v>
      </c>
      <c r="E12674" s="6">
        <v>-28354</v>
      </c>
      <c r="F12674" t="s">
        <v>226</v>
      </c>
      <c r="G12674" t="s">
        <v>57</v>
      </c>
      <c r="H12674" t="s">
        <v>20</v>
      </c>
      <c r="I12674" t="s">
        <v>24662</v>
      </c>
      <c r="J12674" t="str">
        <f>HYPERLINK("https://www.boe.es/gazeta/dias/1822/05/14/pdfs/GMD-1822-136.pdf#page=4","Abrir facsímil")</f>
        <v>Abrir facsímil</v>
      </c>
      <c r="K12674" t="s">
        <v>22</v>
      </c>
    </row>
    <row r="12675" spans="1:11" ht="42" customHeight="1">
      <c r="A12675" t="s">
        <v>24630</v>
      </c>
      <c r="B12675" t="s">
        <v>24630</v>
      </c>
      <c r="C12675" t="s">
        <v>61</v>
      </c>
      <c r="D12675" t="s">
        <v>17</v>
      </c>
      <c r="E12675" s="6">
        <v>-28353</v>
      </c>
      <c r="F12675" t="s">
        <v>843</v>
      </c>
      <c r="G12675" t="s">
        <v>57</v>
      </c>
      <c r="H12675" t="s">
        <v>20</v>
      </c>
      <c r="I12675" t="s">
        <v>24663</v>
      </c>
      <c r="J12675" t="str">
        <f>HYPERLINK("https://www.boe.es/gazeta/dias/1822/05/15/pdfs/GMD-1822-137.pdf#page=4","Abrir facsímil")</f>
        <v>Abrir facsímil</v>
      </c>
      <c r="K12675" t="s">
        <v>22</v>
      </c>
    </row>
    <row r="12676" spans="1:11" ht="42" customHeight="1">
      <c r="A12676" t="s">
        <v>24630</v>
      </c>
      <c r="B12676" t="s">
        <v>24630</v>
      </c>
      <c r="C12676" t="s">
        <v>50</v>
      </c>
      <c r="D12676" t="s">
        <v>51</v>
      </c>
      <c r="E12676" s="6">
        <v>-28352</v>
      </c>
      <c r="F12676" t="s">
        <v>1575</v>
      </c>
      <c r="G12676" t="s">
        <v>57</v>
      </c>
      <c r="H12676" t="s">
        <v>20</v>
      </c>
      <c r="I12676" t="s">
        <v>24664</v>
      </c>
      <c r="J12676" t="str">
        <f>HYPERLINK("https://www.boe.es/gazeta/dias/1822/05/16/pdfs/GMD-1822-138.pdf#page=4","Abrir facsímil")</f>
        <v>Abrir facsímil</v>
      </c>
      <c r="K12676" t="s">
        <v>22</v>
      </c>
    </row>
    <row r="12677" spans="1:11" ht="42" customHeight="1">
      <c r="A12677" t="s">
        <v>24630</v>
      </c>
      <c r="B12677" t="s">
        <v>24630</v>
      </c>
      <c r="C12677" t="s">
        <v>61</v>
      </c>
      <c r="D12677" t="s">
        <v>17</v>
      </c>
      <c r="E12677" s="6">
        <v>-28352</v>
      </c>
      <c r="F12677" t="s">
        <v>1575</v>
      </c>
      <c r="G12677" t="s">
        <v>19</v>
      </c>
      <c r="H12677" t="s">
        <v>20</v>
      </c>
      <c r="I12677" t="s">
        <v>24665</v>
      </c>
      <c r="J12677" t="str">
        <f>HYPERLINK("https://www.boe.es/gazeta/dias/1822/05/16/pdfs/GMD-1822-138.pdf#page=5","Abrir facsímil")</f>
        <v>Abrir facsímil</v>
      </c>
      <c r="K12677" t="s">
        <v>22</v>
      </c>
    </row>
    <row r="12678" spans="1:11" ht="42" customHeight="1">
      <c r="A12678" t="s">
        <v>24633</v>
      </c>
      <c r="B12678" t="s">
        <v>24633</v>
      </c>
      <c r="C12678" t="s">
        <v>42</v>
      </c>
      <c r="D12678" t="s">
        <v>17</v>
      </c>
      <c r="E12678" s="6">
        <v>-28351</v>
      </c>
      <c r="F12678" t="s">
        <v>282</v>
      </c>
      <c r="G12678" t="s">
        <v>44</v>
      </c>
      <c r="H12678" t="s">
        <v>20</v>
      </c>
      <c r="I12678" t="s">
        <v>24666</v>
      </c>
      <c r="J12678" t="str">
        <f>HYPERLINK("https://www.boe.es/gazeta/dias/1822/05/17/pdfs/GMD-1822-139.pdf#page=1","Abrir facsímil")</f>
        <v>Abrir facsímil</v>
      </c>
      <c r="K12678" t="s">
        <v>22</v>
      </c>
    </row>
    <row r="12679" spans="1:11" ht="42" customHeight="1">
      <c r="A12679" t="s">
        <v>24630</v>
      </c>
      <c r="B12679" t="s">
        <v>24630</v>
      </c>
      <c r="C12679" t="s">
        <v>71</v>
      </c>
      <c r="D12679" t="s">
        <v>17</v>
      </c>
      <c r="E12679" s="6">
        <v>-28350</v>
      </c>
      <c r="F12679" t="s">
        <v>352</v>
      </c>
      <c r="G12679" t="s">
        <v>57</v>
      </c>
      <c r="H12679" t="s">
        <v>20</v>
      </c>
      <c r="I12679" t="s">
        <v>24667</v>
      </c>
      <c r="J12679" t="str">
        <f>HYPERLINK("https://www.boe.es/gazeta/dias/1822/05/18/pdfs/GMD-1822-140.pdf#page=4","Abrir facsímil")</f>
        <v>Abrir facsímil</v>
      </c>
      <c r="K12679" t="s">
        <v>22</v>
      </c>
    </row>
    <row r="12680" spans="1:11" ht="42" customHeight="1">
      <c r="A12680" t="s">
        <v>24630</v>
      </c>
      <c r="B12680" t="s">
        <v>24630</v>
      </c>
      <c r="C12680" t="s">
        <v>16</v>
      </c>
      <c r="D12680" t="s">
        <v>17</v>
      </c>
      <c r="E12680" s="6">
        <v>-28350</v>
      </c>
      <c r="F12680" t="s">
        <v>352</v>
      </c>
      <c r="G12680" t="s">
        <v>63</v>
      </c>
      <c r="H12680" t="s">
        <v>20</v>
      </c>
      <c r="I12680" t="s">
        <v>24668</v>
      </c>
      <c r="J12680" t="str">
        <f>HYPERLINK("https://www.boe.es/gazeta/dias/1822/05/18/pdfs/GMD-1822-140.pdf#page=6","Abrir facsímil")</f>
        <v>Abrir facsímil</v>
      </c>
      <c r="K12680" t="s">
        <v>22</v>
      </c>
    </row>
    <row r="12681" spans="1:11" ht="42" customHeight="1">
      <c r="A12681" t="s">
        <v>24630</v>
      </c>
      <c r="B12681" t="s">
        <v>24630</v>
      </c>
      <c r="C12681" t="s">
        <v>28</v>
      </c>
      <c r="D12681" t="s">
        <v>29</v>
      </c>
      <c r="E12681" s="6">
        <v>-28349</v>
      </c>
      <c r="F12681" t="s">
        <v>518</v>
      </c>
      <c r="G12681" t="s">
        <v>31</v>
      </c>
      <c r="H12681" t="s">
        <v>20</v>
      </c>
      <c r="I12681" t="s">
        <v>24669</v>
      </c>
      <c r="J12681" t="str">
        <f>HYPERLINK("https://www.boe.es/gazeta/dias/1822/05/19/pdfs/GMD-1822-141.pdf#page=3","Abrir facsímil")</f>
        <v>Abrir facsímil</v>
      </c>
      <c r="K12681" t="s">
        <v>22</v>
      </c>
    </row>
    <row r="12682" spans="1:11" ht="42" customHeight="1">
      <c r="A12682" t="s">
        <v>24630</v>
      </c>
      <c r="B12682" t="s">
        <v>24630</v>
      </c>
      <c r="C12682" t="s">
        <v>50</v>
      </c>
      <c r="D12682" t="s">
        <v>51</v>
      </c>
      <c r="E12682" s="6">
        <v>-28349</v>
      </c>
      <c r="F12682" t="s">
        <v>518</v>
      </c>
      <c r="G12682" t="s">
        <v>57</v>
      </c>
      <c r="H12682" t="s">
        <v>20</v>
      </c>
      <c r="I12682" t="s">
        <v>24670</v>
      </c>
      <c r="J12682" t="str">
        <f>HYPERLINK("https://www.boe.es/gazeta/dias/1822/05/19/pdfs/GMD-1822-141.pdf#page=4","Abrir facsímil")</f>
        <v>Abrir facsímil</v>
      </c>
      <c r="K12682" t="s">
        <v>22</v>
      </c>
    </row>
    <row r="12683" spans="1:11" ht="42" customHeight="1">
      <c r="A12683" t="s">
        <v>24630</v>
      </c>
      <c r="B12683" t="s">
        <v>24630</v>
      </c>
      <c r="C12683" t="s">
        <v>71</v>
      </c>
      <c r="D12683" t="s">
        <v>17</v>
      </c>
      <c r="E12683" s="6">
        <v>-28348</v>
      </c>
      <c r="F12683" t="s">
        <v>2903</v>
      </c>
      <c r="G12683" t="s">
        <v>31</v>
      </c>
      <c r="H12683" t="s">
        <v>20</v>
      </c>
      <c r="I12683" t="s">
        <v>24671</v>
      </c>
      <c r="J12683" t="str">
        <f>HYPERLINK("https://www.boe.es/gazeta/dias/1822/05/20/pdfs/GMD-1822-143.pdf#page=3","Abrir facsímil")</f>
        <v>Abrir facsímil</v>
      </c>
      <c r="K12683" t="s">
        <v>22</v>
      </c>
    </row>
    <row r="12684" spans="1:11" ht="42" customHeight="1">
      <c r="A12684" t="s">
        <v>24630</v>
      </c>
      <c r="B12684" t="s">
        <v>24630</v>
      </c>
      <c r="C12684" t="s">
        <v>71</v>
      </c>
      <c r="D12684" t="s">
        <v>17</v>
      </c>
      <c r="E12684" s="6">
        <v>-28346</v>
      </c>
      <c r="F12684" t="s">
        <v>191</v>
      </c>
      <c r="G12684" t="s">
        <v>35</v>
      </c>
      <c r="H12684" t="s">
        <v>20</v>
      </c>
      <c r="I12684" t="s">
        <v>24672</v>
      </c>
      <c r="J12684" t="str">
        <f>HYPERLINK("https://www.boe.es/gazeta/dias/1822/05/22/pdfs/GMD-1822-145.pdf#page=2","Abrir facsímil")</f>
        <v>Abrir facsímil</v>
      </c>
      <c r="K12684" t="s">
        <v>22</v>
      </c>
    </row>
    <row r="12685" spans="1:11" ht="42" customHeight="1">
      <c r="A12685" t="s">
        <v>24630</v>
      </c>
      <c r="B12685" t="s">
        <v>24630</v>
      </c>
      <c r="C12685" t="s">
        <v>28</v>
      </c>
      <c r="D12685" t="s">
        <v>29</v>
      </c>
      <c r="E12685" s="6">
        <v>-28344</v>
      </c>
      <c r="F12685" t="s">
        <v>524</v>
      </c>
      <c r="G12685" t="s">
        <v>57</v>
      </c>
      <c r="H12685" t="s">
        <v>20</v>
      </c>
      <c r="I12685" t="s">
        <v>24673</v>
      </c>
      <c r="J12685" t="str">
        <f>HYPERLINK("https://www.boe.es/gazeta/dias/1822/05/24/pdfs/GMD-1822-148.pdf#page=4","Abrir facsímil")</f>
        <v>Abrir facsímil</v>
      </c>
      <c r="K12685" t="s">
        <v>22</v>
      </c>
    </row>
    <row r="12686" spans="1:11" ht="42" customHeight="1">
      <c r="A12686" t="s">
        <v>24630</v>
      </c>
      <c r="B12686" t="s">
        <v>24630</v>
      </c>
      <c r="C12686" t="s">
        <v>42</v>
      </c>
      <c r="D12686" t="s">
        <v>17</v>
      </c>
      <c r="E12686" s="6">
        <v>-28344</v>
      </c>
      <c r="F12686" t="s">
        <v>524</v>
      </c>
      <c r="G12686" t="s">
        <v>63</v>
      </c>
      <c r="H12686" t="s">
        <v>20</v>
      </c>
      <c r="I12686" t="s">
        <v>24674</v>
      </c>
      <c r="J12686" t="str">
        <f>HYPERLINK("https://www.boe.es/gazeta/dias/1822/05/24/pdfs/GMD-1822-148.pdf#page=6","Abrir facsímil")</f>
        <v>Abrir facsímil</v>
      </c>
      <c r="K12686" t="s">
        <v>22</v>
      </c>
    </row>
    <row r="12687" spans="1:11" ht="42" customHeight="1">
      <c r="A12687" t="s">
        <v>24630</v>
      </c>
      <c r="B12687" t="s">
        <v>24630</v>
      </c>
      <c r="C12687" t="s">
        <v>71</v>
      </c>
      <c r="D12687" t="s">
        <v>17</v>
      </c>
      <c r="E12687" s="6">
        <v>-28343</v>
      </c>
      <c r="F12687" t="s">
        <v>1019</v>
      </c>
      <c r="G12687" t="s">
        <v>44</v>
      </c>
      <c r="H12687" t="s">
        <v>20</v>
      </c>
      <c r="I12687" t="s">
        <v>24675</v>
      </c>
      <c r="J12687" t="str">
        <f>HYPERLINK("https://www.boe.es/gazeta/dias/1822/05/25/pdfs/GMD-1822-150.pdf#page=1","Abrir facsímil")</f>
        <v>Abrir facsímil</v>
      </c>
      <c r="K12687" t="s">
        <v>22</v>
      </c>
    </row>
    <row r="12688" spans="1:11" ht="42" customHeight="1">
      <c r="A12688" t="s">
        <v>24630</v>
      </c>
      <c r="B12688" t="s">
        <v>24630</v>
      </c>
      <c r="C12688" t="s">
        <v>42</v>
      </c>
      <c r="D12688" t="s">
        <v>17</v>
      </c>
      <c r="E12688" s="6">
        <v>-28342</v>
      </c>
      <c r="F12688" t="s">
        <v>2281</v>
      </c>
      <c r="G12688" t="s">
        <v>19</v>
      </c>
      <c r="H12688" t="s">
        <v>20</v>
      </c>
      <c r="I12688" t="s">
        <v>24676</v>
      </c>
      <c r="J12688" t="str">
        <f>HYPERLINK("https://www.boe.es/gazeta/dias/1822/05/26/pdfs/GMD-1822-151.pdf#page=5","Abrir facsímil")</f>
        <v>Abrir facsímil</v>
      </c>
      <c r="K12688" t="s">
        <v>22</v>
      </c>
    </row>
    <row r="12689" spans="1:11" ht="42" customHeight="1">
      <c r="A12689" t="s">
        <v>24630</v>
      </c>
      <c r="B12689" t="s">
        <v>24630</v>
      </c>
      <c r="C12689" t="s">
        <v>42</v>
      </c>
      <c r="D12689" t="s">
        <v>17</v>
      </c>
      <c r="E12689" s="6">
        <v>-28336</v>
      </c>
      <c r="F12689" t="s">
        <v>156</v>
      </c>
      <c r="G12689" t="s">
        <v>35</v>
      </c>
      <c r="H12689" t="s">
        <v>20</v>
      </c>
      <c r="I12689" t="s">
        <v>24677</v>
      </c>
      <c r="J12689" t="str">
        <f>HYPERLINK("https://www.boe.es/gazeta/dias/1822/06/01/pdfs/GMD-1822-157.pdf#page=2","Abrir facsímil")</f>
        <v>Abrir facsímil</v>
      </c>
      <c r="K12689" t="s">
        <v>22</v>
      </c>
    </row>
    <row r="12690" spans="1:11" ht="42" customHeight="1">
      <c r="A12690" t="s">
        <v>24630</v>
      </c>
      <c r="B12690" t="s">
        <v>24630</v>
      </c>
      <c r="C12690" t="s">
        <v>28</v>
      </c>
      <c r="D12690" t="s">
        <v>29</v>
      </c>
      <c r="E12690" s="6">
        <v>-28333</v>
      </c>
      <c r="F12690" t="s">
        <v>1928</v>
      </c>
      <c r="G12690" t="s">
        <v>57</v>
      </c>
      <c r="H12690" t="s">
        <v>20</v>
      </c>
      <c r="I12690" t="s">
        <v>24678</v>
      </c>
      <c r="J12690" t="str">
        <f>HYPERLINK("https://www.boe.es/gazeta/dias/1822/06/04/pdfs/GMD-1822-161.pdf#page=4","Abrir facsímil")</f>
        <v>Abrir facsímil</v>
      </c>
      <c r="K12690" t="s">
        <v>22</v>
      </c>
    </row>
    <row r="12691" spans="1:11" ht="42" customHeight="1">
      <c r="A12691" t="s">
        <v>24630</v>
      </c>
      <c r="B12691" t="s">
        <v>24630</v>
      </c>
      <c r="C12691" t="s">
        <v>28</v>
      </c>
      <c r="D12691" t="s">
        <v>29</v>
      </c>
      <c r="E12691" s="6">
        <v>-28333</v>
      </c>
      <c r="F12691" t="s">
        <v>1928</v>
      </c>
      <c r="G12691" t="s">
        <v>19</v>
      </c>
      <c r="H12691" t="s">
        <v>20</v>
      </c>
      <c r="I12691" t="s">
        <v>24679</v>
      </c>
      <c r="J12691" t="str">
        <f>HYPERLINK("https://www.boe.es/gazeta/dias/1822/06/04/pdfs/GMD-1822-161.pdf#page=5","Abrir facsímil")</f>
        <v>Abrir facsímil</v>
      </c>
      <c r="K12691" t="s">
        <v>22</v>
      </c>
    </row>
    <row r="12692" spans="1:11" ht="42" customHeight="1">
      <c r="A12692" t="s">
        <v>24633</v>
      </c>
      <c r="B12692" t="s">
        <v>24633</v>
      </c>
      <c r="C12692" t="s">
        <v>28</v>
      </c>
      <c r="D12692" t="s">
        <v>29</v>
      </c>
      <c r="E12692" s="6">
        <v>-28328</v>
      </c>
      <c r="F12692" t="s">
        <v>540</v>
      </c>
      <c r="G12692" t="s">
        <v>19</v>
      </c>
      <c r="H12692" t="s">
        <v>20</v>
      </c>
      <c r="I12692" t="s">
        <v>24680</v>
      </c>
      <c r="J12692" t="str">
        <f>HYPERLINK("https://www.boe.es/gazeta/dias/1822/06/09/pdfs/GMD-1822-166.pdf#page=5","Abrir facsímil")</f>
        <v>Abrir facsímil</v>
      </c>
      <c r="K12692" t="s">
        <v>22</v>
      </c>
    </row>
    <row r="12693" spans="1:11" ht="42" customHeight="1">
      <c r="A12693" t="s">
        <v>24633</v>
      </c>
      <c r="B12693" t="s">
        <v>24633</v>
      </c>
      <c r="C12693" t="s">
        <v>28</v>
      </c>
      <c r="D12693" t="s">
        <v>29</v>
      </c>
      <c r="E12693" s="6">
        <v>-28328</v>
      </c>
      <c r="F12693" t="s">
        <v>540</v>
      </c>
      <c r="G12693" t="s">
        <v>63</v>
      </c>
      <c r="H12693" t="s">
        <v>20</v>
      </c>
      <c r="I12693" t="s">
        <v>24681</v>
      </c>
      <c r="J12693" t="str">
        <f>HYPERLINK("https://www.boe.es/gazeta/dias/1822/06/09/pdfs/GMD-1822-166.pdf#page=6","Abrir facsímil")</f>
        <v>Abrir facsímil</v>
      </c>
      <c r="K12693" t="s">
        <v>22</v>
      </c>
    </row>
    <row r="12694" spans="1:11" ht="42" customHeight="1">
      <c r="A12694" t="s">
        <v>24630</v>
      </c>
      <c r="B12694" t="s">
        <v>24630</v>
      </c>
      <c r="C12694" t="s">
        <v>28</v>
      </c>
      <c r="D12694" t="s">
        <v>29</v>
      </c>
      <c r="E12694" s="6">
        <v>-28324</v>
      </c>
      <c r="F12694" t="s">
        <v>305</v>
      </c>
      <c r="G12694" t="s">
        <v>57</v>
      </c>
      <c r="H12694" t="s">
        <v>20</v>
      </c>
      <c r="I12694" t="s">
        <v>24682</v>
      </c>
      <c r="J12694" t="str">
        <f>HYPERLINK("https://www.boe.es/gazeta/dias/1822/06/13/pdfs/GMD-1822-170.pdf#page=4","Abrir facsímil")</f>
        <v>Abrir facsímil</v>
      </c>
      <c r="K12694" t="s">
        <v>22</v>
      </c>
    </row>
    <row r="12695" spans="1:11" ht="42" customHeight="1">
      <c r="A12695" t="s">
        <v>24633</v>
      </c>
      <c r="B12695" t="s">
        <v>24633</v>
      </c>
      <c r="C12695" t="s">
        <v>50</v>
      </c>
      <c r="D12695" t="s">
        <v>51</v>
      </c>
      <c r="E12695" s="6">
        <v>-28322</v>
      </c>
      <c r="F12695" t="s">
        <v>2205</v>
      </c>
      <c r="G12695" t="s">
        <v>57</v>
      </c>
      <c r="H12695" t="s">
        <v>20</v>
      </c>
      <c r="I12695" t="s">
        <v>24683</v>
      </c>
      <c r="J12695" t="str">
        <f>HYPERLINK("https://www.boe.es/gazeta/dias/1822/06/15/pdfs/GMD-1822-172.pdf#page=4","Abrir facsímil")</f>
        <v>Abrir facsímil</v>
      </c>
      <c r="K12695" t="s">
        <v>22</v>
      </c>
    </row>
    <row r="12696" spans="1:11" ht="42" customHeight="1">
      <c r="A12696" t="s">
        <v>24633</v>
      </c>
      <c r="B12696" t="s">
        <v>24633</v>
      </c>
      <c r="C12696" t="s">
        <v>50</v>
      </c>
      <c r="D12696" t="s">
        <v>51</v>
      </c>
      <c r="E12696" s="6">
        <v>-28319</v>
      </c>
      <c r="F12696" t="s">
        <v>271</v>
      </c>
      <c r="G12696" t="s">
        <v>31</v>
      </c>
      <c r="H12696" t="s">
        <v>20</v>
      </c>
      <c r="I12696" t="s">
        <v>24684</v>
      </c>
      <c r="J12696" t="str">
        <f>HYPERLINK("https://www.boe.es/gazeta/dias/1822/06/18/pdfs/GMD-1822-175.pdf#page=3","Abrir facsímil")</f>
        <v>Abrir facsímil</v>
      </c>
      <c r="K12696" t="s">
        <v>22</v>
      </c>
    </row>
    <row r="12697" spans="1:11" ht="42" customHeight="1">
      <c r="A12697" t="s">
        <v>24630</v>
      </c>
      <c r="B12697" t="s">
        <v>24630</v>
      </c>
      <c r="C12697" t="s">
        <v>42</v>
      </c>
      <c r="D12697" t="s">
        <v>17</v>
      </c>
      <c r="E12697" s="6">
        <v>-28314</v>
      </c>
      <c r="F12697" t="s">
        <v>309</v>
      </c>
      <c r="G12697" t="s">
        <v>35</v>
      </c>
      <c r="H12697" t="s">
        <v>20</v>
      </c>
      <c r="I12697" t="s">
        <v>24685</v>
      </c>
      <c r="J12697" t="str">
        <f>HYPERLINK("https://www.boe.es/gazeta/dias/1822/06/23/pdfs/GMD-1822-181.pdf#page=2","Abrir facsímil")</f>
        <v>Abrir facsímil</v>
      </c>
      <c r="K12697" t="s">
        <v>22</v>
      </c>
    </row>
    <row r="12698" spans="1:11" ht="42" customHeight="1">
      <c r="A12698" t="s">
        <v>24630</v>
      </c>
      <c r="B12698" t="s">
        <v>24630</v>
      </c>
      <c r="C12698" t="s">
        <v>42</v>
      </c>
      <c r="D12698" t="s">
        <v>17</v>
      </c>
      <c r="E12698" s="6">
        <v>-28205</v>
      </c>
      <c r="F12698" t="s">
        <v>806</v>
      </c>
      <c r="G12698" t="s">
        <v>44</v>
      </c>
      <c r="H12698" t="s">
        <v>20</v>
      </c>
      <c r="I12698" t="s">
        <v>24686</v>
      </c>
      <c r="J12698" t="str">
        <f>HYPERLINK("https://www.boe.es/gazeta/dias/1822/10/10/pdfs/GMD-1822-297.pdf#page=1","Abrir facsímil")</f>
        <v>Abrir facsímil</v>
      </c>
      <c r="K12698" t="s">
        <v>22</v>
      </c>
    </row>
    <row r="12699" spans="1:11" ht="42" customHeight="1">
      <c r="A12699" t="s">
        <v>24630</v>
      </c>
      <c r="B12699" t="s">
        <v>24630</v>
      </c>
      <c r="C12699" t="s">
        <v>28</v>
      </c>
      <c r="D12699" t="s">
        <v>29</v>
      </c>
      <c r="E12699" s="6">
        <v>-28203</v>
      </c>
      <c r="F12699" t="s">
        <v>564</v>
      </c>
      <c r="G12699" t="s">
        <v>31</v>
      </c>
      <c r="H12699" t="s">
        <v>20</v>
      </c>
      <c r="I12699" t="s">
        <v>24687</v>
      </c>
      <c r="J12699" t="str">
        <f>HYPERLINK("https://www.boe.es/gazeta/dias/1822/10/12/pdfs/GMD-1822-299.pdf#page=3","Abrir facsímil")</f>
        <v>Abrir facsímil</v>
      </c>
      <c r="K12699" t="s">
        <v>22</v>
      </c>
    </row>
    <row r="12700" spans="1:11" ht="42" customHeight="1">
      <c r="A12700" t="s">
        <v>24630</v>
      </c>
      <c r="B12700" t="s">
        <v>24630</v>
      </c>
      <c r="C12700" t="s">
        <v>42</v>
      </c>
      <c r="D12700" t="s">
        <v>17</v>
      </c>
      <c r="E12700" s="6">
        <v>-28200</v>
      </c>
      <c r="F12700" t="s">
        <v>1037</v>
      </c>
      <c r="G12700" t="s">
        <v>19</v>
      </c>
      <c r="H12700" t="s">
        <v>20</v>
      </c>
      <c r="I12700" t="s">
        <v>24688</v>
      </c>
      <c r="J12700" t="str">
        <f>HYPERLINK("https://www.boe.es/gazeta/dias/1822/10/15/pdfs/GMD-1822-302.pdf#page=5","Abrir facsímil")</f>
        <v>Abrir facsímil</v>
      </c>
      <c r="K12700" t="s">
        <v>22</v>
      </c>
    </row>
    <row r="12701" spans="1:11" ht="42" customHeight="1">
      <c r="A12701" t="s">
        <v>24630</v>
      </c>
      <c r="B12701" t="s">
        <v>24630</v>
      </c>
      <c r="C12701" t="s">
        <v>28</v>
      </c>
      <c r="D12701" t="s">
        <v>29</v>
      </c>
      <c r="E12701" s="6">
        <v>-28198</v>
      </c>
      <c r="F12701" t="s">
        <v>981</v>
      </c>
      <c r="G12701" t="s">
        <v>31</v>
      </c>
      <c r="H12701" t="s">
        <v>20</v>
      </c>
      <c r="I12701" t="s">
        <v>24689</v>
      </c>
      <c r="J12701" t="str">
        <f>HYPERLINK("https://www.boe.es/gazeta/dias/1822/10/17/pdfs/GMD-1822-304.pdf#page=3","Abrir facsímil")</f>
        <v>Abrir facsímil</v>
      </c>
      <c r="K12701" t="s">
        <v>22</v>
      </c>
    </row>
    <row r="12702" spans="1:11" ht="42" customHeight="1">
      <c r="A12702" t="s">
        <v>24630</v>
      </c>
      <c r="B12702" t="s">
        <v>24630</v>
      </c>
      <c r="C12702" t="s">
        <v>50</v>
      </c>
      <c r="D12702" t="s">
        <v>51</v>
      </c>
      <c r="E12702" s="6">
        <v>-28188</v>
      </c>
      <c r="F12702" t="s">
        <v>578</v>
      </c>
      <c r="G12702" t="s">
        <v>31</v>
      </c>
      <c r="H12702" t="s">
        <v>20</v>
      </c>
      <c r="I12702" t="s">
        <v>24690</v>
      </c>
      <c r="J12702" t="str">
        <f>HYPERLINK("https://www.boe.es/gazeta/dias/1822/10/27/pdfs/GMD-1822-314.pdf#page=3","Abrir facsímil")</f>
        <v>Abrir facsímil</v>
      </c>
      <c r="K12702" t="s">
        <v>22</v>
      </c>
    </row>
    <row r="12703" spans="1:11" ht="42" customHeight="1">
      <c r="A12703" t="s">
        <v>24633</v>
      </c>
      <c r="B12703" t="s">
        <v>24633</v>
      </c>
      <c r="C12703" t="s">
        <v>28</v>
      </c>
      <c r="D12703" t="s">
        <v>29</v>
      </c>
      <c r="E12703" s="6">
        <v>-28174</v>
      </c>
      <c r="F12703" t="s">
        <v>881</v>
      </c>
      <c r="G12703" t="s">
        <v>57</v>
      </c>
      <c r="H12703" t="s">
        <v>20</v>
      </c>
      <c r="I12703" t="s">
        <v>24691</v>
      </c>
      <c r="J12703" t="str">
        <f>HYPERLINK("https://www.boe.es/gazeta/dias/1822/11/10/pdfs/GMD-1822-330.pdf#page=4","Abrir facsímil")</f>
        <v>Abrir facsímil</v>
      </c>
      <c r="K12703" t="s">
        <v>22</v>
      </c>
    </row>
    <row r="12704" spans="1:11" ht="42" customHeight="1">
      <c r="A12704" t="s">
        <v>24630</v>
      </c>
      <c r="B12704" t="s">
        <v>24630</v>
      </c>
      <c r="C12704" t="s">
        <v>50</v>
      </c>
      <c r="D12704" t="s">
        <v>51</v>
      </c>
      <c r="E12704" s="6">
        <v>-28174</v>
      </c>
      <c r="F12704" t="s">
        <v>881</v>
      </c>
      <c r="G12704" t="s">
        <v>19</v>
      </c>
      <c r="H12704" t="s">
        <v>20</v>
      </c>
      <c r="I12704" t="s">
        <v>24692</v>
      </c>
      <c r="J12704" t="str">
        <f>HYPERLINK("https://www.boe.es/gazeta/dias/1822/11/10/pdfs/GMD-1822-330.pdf#page=5","Abrir facsímil")</f>
        <v>Abrir facsímil</v>
      </c>
      <c r="K12704" t="s">
        <v>22</v>
      </c>
    </row>
    <row r="12705" spans="1:11" ht="42" customHeight="1">
      <c r="A12705" t="s">
        <v>24630</v>
      </c>
      <c r="B12705" t="s">
        <v>24630</v>
      </c>
      <c r="C12705" t="s">
        <v>42</v>
      </c>
      <c r="D12705" t="s">
        <v>17</v>
      </c>
      <c r="E12705" s="6">
        <v>-28168</v>
      </c>
      <c r="F12705" t="s">
        <v>3672</v>
      </c>
      <c r="G12705" t="s">
        <v>35</v>
      </c>
      <c r="H12705" t="s">
        <v>20</v>
      </c>
      <c r="I12705" t="s">
        <v>24693</v>
      </c>
      <c r="J12705" t="str">
        <f>HYPERLINK("https://www.boe.es/gazeta/dias/1822/11/16/pdfs/GMD-1822-336.pdf#page=2","Abrir facsímil")</f>
        <v>Abrir facsímil</v>
      </c>
      <c r="K12705" t="s">
        <v>22</v>
      </c>
    </row>
    <row r="12706" spans="1:11" ht="42" customHeight="1">
      <c r="A12706" t="s">
        <v>24633</v>
      </c>
      <c r="B12706" t="s">
        <v>24633</v>
      </c>
      <c r="C12706" t="s">
        <v>42</v>
      </c>
      <c r="D12706" t="s">
        <v>17</v>
      </c>
      <c r="E12706" s="6">
        <v>-28167</v>
      </c>
      <c r="F12706" t="s">
        <v>904</v>
      </c>
      <c r="G12706" t="s">
        <v>31</v>
      </c>
      <c r="H12706" t="s">
        <v>20</v>
      </c>
      <c r="I12706" t="s">
        <v>24694</v>
      </c>
      <c r="J12706" t="str">
        <f>HYPERLINK("https://www.boe.es/gazeta/dias/1822/11/17/pdfs/GMD-1822-337.pdf#page=3","Abrir facsímil")</f>
        <v>Abrir facsímil</v>
      </c>
      <c r="K12706" t="s">
        <v>22</v>
      </c>
    </row>
    <row r="12707" spans="1:11" ht="42" customHeight="1">
      <c r="A12707" t="s">
        <v>24633</v>
      </c>
      <c r="B12707" t="s">
        <v>24633</v>
      </c>
      <c r="C12707" t="s">
        <v>42</v>
      </c>
      <c r="D12707" t="s">
        <v>17</v>
      </c>
      <c r="E12707" s="6">
        <v>-28167</v>
      </c>
      <c r="F12707" t="s">
        <v>904</v>
      </c>
      <c r="G12707" t="s">
        <v>57</v>
      </c>
      <c r="H12707" t="s">
        <v>20</v>
      </c>
      <c r="I12707" t="s">
        <v>24695</v>
      </c>
      <c r="J12707" t="str">
        <f>HYPERLINK("https://www.boe.es/gazeta/dias/1822/11/17/pdfs/GMD-1822-337.pdf#page=4","Abrir facsímil")</f>
        <v>Abrir facsímil</v>
      </c>
      <c r="K12707" t="s">
        <v>22</v>
      </c>
    </row>
    <row r="12708" spans="1:11" ht="42" customHeight="1">
      <c r="A12708" t="s">
        <v>24633</v>
      </c>
      <c r="B12708" t="s">
        <v>24633</v>
      </c>
      <c r="C12708" t="s">
        <v>42</v>
      </c>
      <c r="D12708" t="s">
        <v>17</v>
      </c>
      <c r="E12708" s="6">
        <v>-28165</v>
      </c>
      <c r="F12708" t="s">
        <v>846</v>
      </c>
      <c r="G12708" t="s">
        <v>35</v>
      </c>
      <c r="H12708" t="s">
        <v>20</v>
      </c>
      <c r="I12708" t="s">
        <v>24696</v>
      </c>
      <c r="J12708" t="str">
        <f>HYPERLINK("https://www.boe.es/gazeta/dias/1822/11/19/pdfs/GMD-1822-339.pdf#page=2","Abrir facsímil")</f>
        <v>Abrir facsímil</v>
      </c>
      <c r="K12708" t="s">
        <v>22</v>
      </c>
    </row>
    <row r="12709" spans="1:11" ht="42" customHeight="1">
      <c r="A12709" t="s">
        <v>24630</v>
      </c>
      <c r="B12709" t="s">
        <v>24630</v>
      </c>
      <c r="C12709" t="s">
        <v>71</v>
      </c>
      <c r="D12709" t="s">
        <v>17</v>
      </c>
      <c r="E12709" s="6">
        <v>-28156</v>
      </c>
      <c r="F12709" t="s">
        <v>1568</v>
      </c>
      <c r="G12709" t="s">
        <v>57</v>
      </c>
      <c r="H12709" t="s">
        <v>20</v>
      </c>
      <c r="I12709" t="s">
        <v>24697</v>
      </c>
      <c r="J12709" t="str">
        <f>HYPERLINK("https://www.boe.es/gazeta/dias/1822/11/28/pdfs/GMD-1822-348.pdf#page=4","Abrir facsímil")</f>
        <v>Abrir facsímil</v>
      </c>
      <c r="K12709" t="s">
        <v>22</v>
      </c>
    </row>
    <row r="12710" spans="1:11" ht="42" customHeight="1">
      <c r="A12710" t="s">
        <v>24630</v>
      </c>
      <c r="B12710" t="s">
        <v>24630</v>
      </c>
      <c r="C12710" t="s">
        <v>50</v>
      </c>
      <c r="D12710" t="s">
        <v>51</v>
      </c>
      <c r="E12710" s="6">
        <v>-28154</v>
      </c>
      <c r="F12710" t="s">
        <v>2321</v>
      </c>
      <c r="G12710" t="s">
        <v>31</v>
      </c>
      <c r="H12710" t="s">
        <v>20</v>
      </c>
      <c r="I12710" t="s">
        <v>24698</v>
      </c>
      <c r="J12710" t="str">
        <f>HYPERLINK("https://www.boe.es/gazeta/dias/1822/11/30/pdfs/GMD-1822-350.pdf#page=3","Abrir facsímil")</f>
        <v>Abrir facsímil</v>
      </c>
      <c r="K12710" t="s">
        <v>22</v>
      </c>
    </row>
    <row r="12711" spans="1:11" ht="42" customHeight="1">
      <c r="A12711" t="s">
        <v>24633</v>
      </c>
      <c r="B12711" t="s">
        <v>24633</v>
      </c>
      <c r="C12711" t="s">
        <v>42</v>
      </c>
      <c r="D12711" t="s">
        <v>17</v>
      </c>
      <c r="E12711" s="6">
        <v>-28141</v>
      </c>
      <c r="F12711" t="s">
        <v>265</v>
      </c>
      <c r="G12711" t="s">
        <v>35</v>
      </c>
      <c r="H12711" t="s">
        <v>20</v>
      </c>
      <c r="I12711" t="s">
        <v>24699</v>
      </c>
      <c r="J12711" t="str">
        <f>HYPERLINK("https://www.boe.es/gazeta/dias/1822/12/13/pdfs/GMD-1822-363.pdf#page=2","Abrir facsímil")</f>
        <v>Abrir facsímil</v>
      </c>
      <c r="K12711" t="s">
        <v>22</v>
      </c>
    </row>
    <row r="12712" spans="1:11" ht="42" customHeight="1">
      <c r="A12712" t="s">
        <v>24700</v>
      </c>
      <c r="B12712" t="s">
        <v>24701</v>
      </c>
      <c r="C12712" t="s">
        <v>71</v>
      </c>
      <c r="D12712" t="s">
        <v>17</v>
      </c>
      <c r="E12712" s="6">
        <v>-28336</v>
      </c>
      <c r="F12712" t="s">
        <v>156</v>
      </c>
      <c r="G12712" t="s">
        <v>44</v>
      </c>
      <c r="H12712" t="s">
        <v>20</v>
      </c>
      <c r="I12712" t="s">
        <v>24702</v>
      </c>
      <c r="J12712" t="str">
        <f>HYPERLINK("https://www.boe.es/gazeta/dias/1822/06/01/pdfs/GMD-1822-157.pdf#page=1","Abrir facsímil")</f>
        <v>Abrir facsímil</v>
      </c>
      <c r="K12712" t="s">
        <v>22</v>
      </c>
    </row>
    <row r="12713" spans="1:11" ht="42" customHeight="1">
      <c r="A12713" t="s">
        <v>24703</v>
      </c>
      <c r="B12713" t="s">
        <v>24704</v>
      </c>
      <c r="C12713" t="s">
        <v>50</v>
      </c>
      <c r="D12713" t="s">
        <v>51</v>
      </c>
      <c r="E12713" s="6">
        <v>-28405</v>
      </c>
      <c r="F12713" t="s">
        <v>466</v>
      </c>
      <c r="G12713" t="s">
        <v>35</v>
      </c>
      <c r="H12713" t="s">
        <v>20</v>
      </c>
      <c r="I12713" t="s">
        <v>24705</v>
      </c>
      <c r="J12713" t="str">
        <f>HYPERLINK("https://www.boe.es/gazeta/dias/1822/03/24/pdfs/GMD-1822-85.pdf#page=2","Abrir facsímil")</f>
        <v>Abrir facsímil</v>
      </c>
      <c r="K12713" t="s">
        <v>22</v>
      </c>
    </row>
    <row r="12714" spans="1:11" ht="42" customHeight="1">
      <c r="A12714" t="s">
        <v>24706</v>
      </c>
      <c r="B12714" t="s">
        <v>24707</v>
      </c>
      <c r="C12714" t="s">
        <v>50</v>
      </c>
      <c r="D12714" t="s">
        <v>51</v>
      </c>
      <c r="E12714" s="6">
        <v>-28415</v>
      </c>
      <c r="F12714" t="s">
        <v>77</v>
      </c>
      <c r="G12714" t="s">
        <v>63</v>
      </c>
      <c r="H12714" t="s">
        <v>20</v>
      </c>
      <c r="I12714" t="s">
        <v>24708</v>
      </c>
      <c r="J12714" t="str">
        <f>HYPERLINK("https://www.boe.es/gazeta/dias/1822/03/14/pdfs/GMD-1822-75.pdf#page=6","Abrir facsímil")</f>
        <v>Abrir facsímil</v>
      </c>
      <c r="K12714" t="s">
        <v>22</v>
      </c>
    </row>
    <row r="12715" spans="1:11" ht="42" customHeight="1">
      <c r="A12715" t="s">
        <v>24709</v>
      </c>
      <c r="B12715" t="s">
        <v>24710</v>
      </c>
      <c r="C12715" t="s">
        <v>28</v>
      </c>
      <c r="D12715" t="s">
        <v>29</v>
      </c>
      <c r="E12715" s="6">
        <v>-28396</v>
      </c>
      <c r="F12715" t="s">
        <v>1138</v>
      </c>
      <c r="G12715" t="s">
        <v>63</v>
      </c>
      <c r="H12715" t="s">
        <v>20</v>
      </c>
      <c r="I12715" t="s">
        <v>24711</v>
      </c>
      <c r="J12715" t="str">
        <f>HYPERLINK("https://www.boe.es/gazeta/dias/1822/04/02/pdfs/GMD-1822-94.pdf#page=6","Abrir facsímil")</f>
        <v>Abrir facsímil</v>
      </c>
      <c r="K12715" t="s">
        <v>22</v>
      </c>
    </row>
    <row r="12716" spans="1:11" ht="42" customHeight="1">
      <c r="A12716" t="s">
        <v>24712</v>
      </c>
      <c r="B12716" t="s">
        <v>24713</v>
      </c>
      <c r="C12716" t="s">
        <v>50</v>
      </c>
      <c r="D12716" t="s">
        <v>51</v>
      </c>
      <c r="E12716" s="6">
        <v>-28414</v>
      </c>
      <c r="F12716" t="s">
        <v>187</v>
      </c>
      <c r="G12716" t="s">
        <v>31</v>
      </c>
      <c r="H12716" t="s">
        <v>20</v>
      </c>
      <c r="I12716" t="s">
        <v>24714</v>
      </c>
      <c r="J12716" t="str">
        <f>HYPERLINK("https://www.boe.es/gazeta/dias/1822/03/15/pdfs/GMD-1822-76.pdf#page=3","Abrir facsímil")</f>
        <v>Abrir facsímil</v>
      </c>
      <c r="K12716" t="s">
        <v>22</v>
      </c>
    </row>
    <row r="12717" spans="1:11" ht="42" customHeight="1">
      <c r="A12717" t="s">
        <v>24715</v>
      </c>
      <c r="B12717" t="s">
        <v>24716</v>
      </c>
      <c r="C12717" t="s">
        <v>28</v>
      </c>
      <c r="D12717" t="s">
        <v>29</v>
      </c>
      <c r="E12717" s="6">
        <v>-28322</v>
      </c>
      <c r="F12717" t="s">
        <v>2205</v>
      </c>
      <c r="G12717" t="s">
        <v>57</v>
      </c>
      <c r="H12717" t="s">
        <v>20</v>
      </c>
      <c r="I12717" t="s">
        <v>24717</v>
      </c>
      <c r="J12717" t="str">
        <f>HYPERLINK("https://www.boe.es/gazeta/dias/1822/06/15/pdfs/GMD-1822-172.pdf#page=4","Abrir facsímil")</f>
        <v>Abrir facsímil</v>
      </c>
      <c r="K12717" t="s">
        <v>22</v>
      </c>
    </row>
    <row r="12718" spans="1:11" ht="42" customHeight="1">
      <c r="A12718" t="s">
        <v>24718</v>
      </c>
      <c r="B12718" t="s">
        <v>24719</v>
      </c>
      <c r="C12718" t="s">
        <v>50</v>
      </c>
      <c r="D12718" t="s">
        <v>51</v>
      </c>
      <c r="E12718" s="6">
        <v>-28264</v>
      </c>
      <c r="F12718" t="s">
        <v>1329</v>
      </c>
      <c r="G12718" t="s">
        <v>57</v>
      </c>
      <c r="H12718" t="s">
        <v>20</v>
      </c>
      <c r="I12718" t="s">
        <v>24720</v>
      </c>
      <c r="J12718" t="str">
        <f>HYPERLINK("https://www.boe.es/gazeta/dias/1822/08/12/pdfs/GMD-1822-236.pdf#page=4","Abrir facsímil")</f>
        <v>Abrir facsímil</v>
      </c>
      <c r="K12718" t="s">
        <v>22</v>
      </c>
    </row>
    <row r="12719" spans="1:11" ht="42" customHeight="1">
      <c r="A12719" t="s">
        <v>24721</v>
      </c>
      <c r="B12719" t="s">
        <v>24721</v>
      </c>
      <c r="C12719" t="s">
        <v>71</v>
      </c>
      <c r="D12719" t="s">
        <v>17</v>
      </c>
      <c r="E12719" s="6">
        <v>-28484</v>
      </c>
      <c r="F12719" t="s">
        <v>743</v>
      </c>
      <c r="G12719" t="s">
        <v>63</v>
      </c>
      <c r="H12719" t="s">
        <v>20</v>
      </c>
      <c r="I12719" t="s">
        <v>24722</v>
      </c>
      <c r="J12719" t="str">
        <f>HYPERLINK("https://www.boe.es/gazeta/dias/1822/01/04/pdfs/GMD-1822-4.pdf#page=6","Abrir facsímil")</f>
        <v>Abrir facsímil</v>
      </c>
      <c r="K12719" t="s">
        <v>22</v>
      </c>
    </row>
    <row r="12720" spans="1:11" ht="42" customHeight="1">
      <c r="A12720" t="s">
        <v>24721</v>
      </c>
      <c r="B12720" t="s">
        <v>24721</v>
      </c>
      <c r="C12720" t="s">
        <v>71</v>
      </c>
      <c r="D12720" t="s">
        <v>17</v>
      </c>
      <c r="E12720" s="6">
        <v>-28482</v>
      </c>
      <c r="F12720" t="s">
        <v>850</v>
      </c>
      <c r="G12720" t="s">
        <v>35</v>
      </c>
      <c r="H12720" t="s">
        <v>20</v>
      </c>
      <c r="I12720" t="s">
        <v>24723</v>
      </c>
      <c r="J12720" t="str">
        <f>HYPERLINK("https://www.boe.es/gazeta/dias/1822/01/06/pdfs/GMD-1822-6.pdf#page=2","Abrir facsímil")</f>
        <v>Abrir facsímil</v>
      </c>
      <c r="K12720" t="s">
        <v>22</v>
      </c>
    </row>
    <row r="12721" spans="1:11" ht="42" customHeight="1">
      <c r="A12721" t="s">
        <v>24721</v>
      </c>
      <c r="B12721" t="s">
        <v>24721</v>
      </c>
      <c r="C12721" t="s">
        <v>50</v>
      </c>
      <c r="D12721" t="s">
        <v>51</v>
      </c>
      <c r="E12721" s="6">
        <v>-28478</v>
      </c>
      <c r="F12721" t="s">
        <v>1093</v>
      </c>
      <c r="G12721" t="s">
        <v>44</v>
      </c>
      <c r="H12721" t="s">
        <v>20</v>
      </c>
      <c r="I12721" t="s">
        <v>24724</v>
      </c>
      <c r="J12721" t="str">
        <f>HYPERLINK("https://www.boe.es/gazeta/dias/1822/01/10/pdfs/GMD-1822-10.pdf#page=1","Abrir facsímil")</f>
        <v>Abrir facsímil</v>
      </c>
      <c r="K12721" t="s">
        <v>22</v>
      </c>
    </row>
    <row r="12722" spans="1:11" ht="42" customHeight="1">
      <c r="A12722" t="s">
        <v>24721</v>
      </c>
      <c r="B12722" t="s">
        <v>24721</v>
      </c>
      <c r="C12722" t="s">
        <v>42</v>
      </c>
      <c r="D12722" t="s">
        <v>17</v>
      </c>
      <c r="E12722" s="6">
        <v>-28473</v>
      </c>
      <c r="F12722" t="s">
        <v>2337</v>
      </c>
      <c r="G12722" t="s">
        <v>31</v>
      </c>
      <c r="H12722" t="s">
        <v>20</v>
      </c>
      <c r="I12722" t="s">
        <v>24725</v>
      </c>
      <c r="J12722" t="str">
        <f>HYPERLINK("https://www.boe.es/gazeta/dias/1822/01/15/pdfs/GMD-1822-15.pdf#page=3","Abrir facsímil")</f>
        <v>Abrir facsímil</v>
      </c>
      <c r="K12722" t="s">
        <v>22</v>
      </c>
    </row>
    <row r="12723" spans="1:11" ht="42" customHeight="1">
      <c r="A12723" t="s">
        <v>24721</v>
      </c>
      <c r="B12723" t="s">
        <v>24721</v>
      </c>
      <c r="C12723" t="s">
        <v>71</v>
      </c>
      <c r="D12723" t="s">
        <v>17</v>
      </c>
      <c r="E12723" s="6">
        <v>-28456</v>
      </c>
      <c r="F12723" t="s">
        <v>1104</v>
      </c>
      <c r="G12723" t="s">
        <v>1105</v>
      </c>
      <c r="H12723" t="s">
        <v>20</v>
      </c>
      <c r="I12723" t="s">
        <v>24726</v>
      </c>
      <c r="J12723" t="str">
        <f>HYPERLINK("https://www.boe.es/gazeta/dias/1822/02/01/pdfs/GMD-1822-32.pdf#page=4","Abrir facsímil")</f>
        <v>Abrir facsímil</v>
      </c>
      <c r="K12723" t="s">
        <v>22</v>
      </c>
    </row>
    <row r="12724" spans="1:11" ht="42" customHeight="1">
      <c r="A12724" t="s">
        <v>24721</v>
      </c>
      <c r="B12724" t="s">
        <v>24721</v>
      </c>
      <c r="C12724" t="s">
        <v>16</v>
      </c>
      <c r="D12724" t="s">
        <v>17</v>
      </c>
      <c r="E12724" s="6">
        <v>-28456</v>
      </c>
      <c r="F12724" t="s">
        <v>1104</v>
      </c>
      <c r="G12724" t="s">
        <v>31</v>
      </c>
      <c r="H12724" t="s">
        <v>20</v>
      </c>
      <c r="I12724" t="s">
        <v>24727</v>
      </c>
      <c r="J12724" t="str">
        <f>HYPERLINK("https://www.boe.es/gazeta/dias/1822/02/01/pdfs/GMD-1822-32.pdf#page=3","Abrir facsímil")</f>
        <v>Abrir facsímil</v>
      </c>
      <c r="K12724" t="s">
        <v>22</v>
      </c>
    </row>
    <row r="12725" spans="1:11" ht="42" customHeight="1">
      <c r="A12725" t="s">
        <v>24721</v>
      </c>
      <c r="B12725" t="s">
        <v>24721</v>
      </c>
      <c r="C12725" t="s">
        <v>24</v>
      </c>
      <c r="D12725" t="s">
        <v>17</v>
      </c>
      <c r="E12725" s="6">
        <v>-28456</v>
      </c>
      <c r="F12725" t="s">
        <v>1104</v>
      </c>
      <c r="G12725" t="s">
        <v>19</v>
      </c>
      <c r="H12725" t="s">
        <v>20</v>
      </c>
      <c r="I12725" t="s">
        <v>24728</v>
      </c>
      <c r="J12725" t="str">
        <f>HYPERLINK("https://www.boe.es/gazeta/dias/1822/02/01/pdfs/GMD-1822-32.pdf#page=5","Abrir facsímil")</f>
        <v>Abrir facsímil</v>
      </c>
      <c r="K12725" t="s">
        <v>22</v>
      </c>
    </row>
    <row r="12726" spans="1:11" ht="42" customHeight="1">
      <c r="A12726" t="s">
        <v>24721</v>
      </c>
      <c r="B12726" t="s">
        <v>24721</v>
      </c>
      <c r="C12726" t="s">
        <v>28</v>
      </c>
      <c r="D12726" t="s">
        <v>29</v>
      </c>
      <c r="E12726" s="6">
        <v>-28396</v>
      </c>
      <c r="F12726" t="s">
        <v>1138</v>
      </c>
      <c r="G12726" t="s">
        <v>31</v>
      </c>
      <c r="H12726" t="s">
        <v>20</v>
      </c>
      <c r="I12726" t="s">
        <v>24729</v>
      </c>
      <c r="J12726" t="str">
        <f>HYPERLINK("https://www.boe.es/gazeta/dias/1822/04/02/pdfs/GMD-1822-94.pdf#page=3","Abrir facsímil")</f>
        <v>Abrir facsímil</v>
      </c>
      <c r="K12726" t="s">
        <v>22</v>
      </c>
    </row>
    <row r="12727" spans="1:11" ht="42" customHeight="1">
      <c r="A12727" t="s">
        <v>24721</v>
      </c>
      <c r="B12727" t="s">
        <v>24721</v>
      </c>
      <c r="C12727" t="s">
        <v>50</v>
      </c>
      <c r="D12727" t="s">
        <v>51</v>
      </c>
      <c r="E12727" s="6">
        <v>-28262</v>
      </c>
      <c r="F12727" t="s">
        <v>1771</v>
      </c>
      <c r="G12727" t="s">
        <v>35</v>
      </c>
      <c r="H12727" t="s">
        <v>20</v>
      </c>
      <c r="I12727" t="s">
        <v>24730</v>
      </c>
      <c r="J12727" t="str">
        <f>HYPERLINK("https://www.boe.es/gazeta/dias/1822/08/14/pdfs/GMD-1822-238.pdf#page=2","Abrir facsímil")</f>
        <v>Abrir facsímil</v>
      </c>
      <c r="K12727" t="s">
        <v>22</v>
      </c>
    </row>
    <row r="12728" spans="1:11" ht="42" customHeight="1">
      <c r="A12728" t="s">
        <v>24731</v>
      </c>
      <c r="B12728" t="s">
        <v>24732</v>
      </c>
      <c r="C12728" t="s">
        <v>42</v>
      </c>
      <c r="D12728" t="s">
        <v>17</v>
      </c>
      <c r="E12728" s="6">
        <v>-28132</v>
      </c>
      <c r="F12728" t="s">
        <v>820</v>
      </c>
      <c r="G12728" t="s">
        <v>821</v>
      </c>
      <c r="H12728" t="s">
        <v>20</v>
      </c>
      <c r="I12728" t="s">
        <v>24733</v>
      </c>
      <c r="J12728" t="str">
        <f>HYPERLINK("https://www.boe.es/gazeta/dias/1822/12/22/pdfs/GMD-1822-372.pdf#page=4","Abrir facsímil")</f>
        <v>Abrir facsímil</v>
      </c>
      <c r="K12728" t="s">
        <v>22</v>
      </c>
    </row>
    <row r="12729" spans="1:11" ht="42" customHeight="1">
      <c r="A12729" t="s">
        <v>24734</v>
      </c>
      <c r="B12729" t="s">
        <v>24735</v>
      </c>
      <c r="C12729" t="s">
        <v>42</v>
      </c>
      <c r="D12729" t="s">
        <v>17</v>
      </c>
      <c r="E12729" s="6">
        <v>-28461</v>
      </c>
      <c r="F12729" t="s">
        <v>1801</v>
      </c>
      <c r="G12729" t="s">
        <v>57</v>
      </c>
      <c r="H12729" t="s">
        <v>20</v>
      </c>
      <c r="I12729" t="s">
        <v>24736</v>
      </c>
      <c r="J12729" t="str">
        <f>HYPERLINK("https://www.boe.es/gazeta/dias/1822/01/27/pdfs/GMD-1822-27.pdf#page=4","Abrir facsímil")</f>
        <v>Abrir facsímil</v>
      </c>
      <c r="K12729" t="s">
        <v>22</v>
      </c>
    </row>
    <row r="12730" spans="1:11" ht="42" customHeight="1">
      <c r="A12730" t="s">
        <v>24737</v>
      </c>
      <c r="B12730" t="s">
        <v>24738</v>
      </c>
      <c r="C12730" t="s">
        <v>50</v>
      </c>
      <c r="D12730" t="s">
        <v>51</v>
      </c>
      <c r="E12730" s="6">
        <v>-28464</v>
      </c>
      <c r="F12730" t="s">
        <v>1447</v>
      </c>
      <c r="G12730" t="s">
        <v>35</v>
      </c>
      <c r="H12730" t="s">
        <v>20</v>
      </c>
      <c r="I12730" t="s">
        <v>24739</v>
      </c>
      <c r="J12730" t="str">
        <f>HYPERLINK("https://www.boe.es/gazeta/dias/1822/01/24/pdfs/GMD-1822-24.pdf#page=2","Abrir facsímil")</f>
        <v>Abrir facsímil</v>
      </c>
      <c r="K12730" t="s">
        <v>22</v>
      </c>
    </row>
    <row r="12731" spans="1:11" ht="42" customHeight="1">
      <c r="A12731" t="s">
        <v>24740</v>
      </c>
      <c r="B12731" t="s">
        <v>24741</v>
      </c>
      <c r="C12731" t="s">
        <v>50</v>
      </c>
      <c r="D12731" t="s">
        <v>723</v>
      </c>
      <c r="E12731" s="6">
        <v>-28181</v>
      </c>
      <c r="F12731" t="s">
        <v>724</v>
      </c>
      <c r="G12731" t="s">
        <v>35</v>
      </c>
      <c r="H12731" t="s">
        <v>20</v>
      </c>
      <c r="I12731" t="s">
        <v>24742</v>
      </c>
      <c r="J12731" t="str">
        <f>HYPERLINK("https://www.boe.es/gazeta/dias/1822/11/03/pdfs/GMD-1822-322E.pdf#page=2","Abrir facsímil")</f>
        <v>Abrir facsímil</v>
      </c>
      <c r="K12731" t="s">
        <v>22</v>
      </c>
    </row>
    <row r="12732" spans="1:11" ht="42" customHeight="1">
      <c r="A12732" t="s">
        <v>24743</v>
      </c>
      <c r="B12732" t="s">
        <v>24744</v>
      </c>
      <c r="C12732" t="s">
        <v>50</v>
      </c>
      <c r="D12732" t="s">
        <v>51</v>
      </c>
      <c r="E12732" s="6">
        <v>-28315</v>
      </c>
      <c r="F12732" t="s">
        <v>1220</v>
      </c>
      <c r="G12732" t="s">
        <v>63</v>
      </c>
      <c r="H12732" t="s">
        <v>20</v>
      </c>
      <c r="I12732" t="s">
        <v>24745</v>
      </c>
      <c r="J12732" t="str">
        <f>HYPERLINK("https://www.boe.es/gazeta/dias/1822/06/22/pdfs/GMD-1822-180.pdf#page=6","Abrir facsímil")</f>
        <v>Abrir facsímil</v>
      </c>
      <c r="K12732" t="s">
        <v>22</v>
      </c>
    </row>
    <row r="12733" spans="1:11" ht="42" customHeight="1">
      <c r="A12733" t="s">
        <v>24746</v>
      </c>
      <c r="B12733" t="s">
        <v>24747</v>
      </c>
      <c r="C12733" t="s">
        <v>50</v>
      </c>
      <c r="D12733" t="s">
        <v>51</v>
      </c>
      <c r="E12733" s="6">
        <v>-28486</v>
      </c>
      <c r="F12733" t="s">
        <v>1046</v>
      </c>
      <c r="G12733" t="s">
        <v>1085</v>
      </c>
      <c r="H12733" t="s">
        <v>20</v>
      </c>
      <c r="I12733" t="s">
        <v>24748</v>
      </c>
      <c r="J12733" t="str">
        <f>HYPERLINK("https://www.boe.es/gazeta/dias/1822/01/02/pdfs/GMD-1822-2.pdf#page=3","Abrir facsímil")</f>
        <v>Abrir facsímil</v>
      </c>
      <c r="K12733" t="s">
        <v>22</v>
      </c>
    </row>
    <row r="12734" spans="1:11" ht="42" customHeight="1">
      <c r="A12734" t="s">
        <v>24746</v>
      </c>
      <c r="B12734" t="s">
        <v>24747</v>
      </c>
      <c r="C12734" t="s">
        <v>50</v>
      </c>
      <c r="D12734" t="s">
        <v>51</v>
      </c>
      <c r="E12734" s="6">
        <v>-28486</v>
      </c>
      <c r="F12734" t="s">
        <v>1046</v>
      </c>
      <c r="G12734" t="s">
        <v>35</v>
      </c>
      <c r="H12734" t="s">
        <v>20</v>
      </c>
      <c r="I12734" t="s">
        <v>24749</v>
      </c>
      <c r="J12734" t="str">
        <f>HYPERLINK("https://www.boe.es/gazeta/dias/1822/01/02/pdfs/GMD-1822-2.pdf#page=2","Abrir facsímil")</f>
        <v>Abrir facsímil</v>
      </c>
      <c r="K12734" t="s">
        <v>22</v>
      </c>
    </row>
    <row r="12735" spans="1:11" ht="42" customHeight="1">
      <c r="A12735" t="s">
        <v>24746</v>
      </c>
      <c r="B12735" t="s">
        <v>24747</v>
      </c>
      <c r="C12735" t="s">
        <v>42</v>
      </c>
      <c r="D12735" t="s">
        <v>17</v>
      </c>
      <c r="E12735" s="6">
        <v>-28484</v>
      </c>
      <c r="F12735" t="s">
        <v>743</v>
      </c>
      <c r="G12735" t="s">
        <v>19</v>
      </c>
      <c r="H12735" t="s">
        <v>20</v>
      </c>
      <c r="I12735" t="s">
        <v>24750</v>
      </c>
      <c r="J12735" t="str">
        <f>HYPERLINK("https://www.boe.es/gazeta/dias/1822/01/04/pdfs/GMD-1822-4.pdf#page=5","Abrir facsímil")</f>
        <v>Abrir facsímil</v>
      </c>
      <c r="K12735" t="s">
        <v>22</v>
      </c>
    </row>
    <row r="12736" spans="1:11" ht="42" customHeight="1">
      <c r="A12736" t="s">
        <v>24746</v>
      </c>
      <c r="B12736" t="s">
        <v>24747</v>
      </c>
      <c r="C12736" t="s">
        <v>50</v>
      </c>
      <c r="D12736" t="s">
        <v>51</v>
      </c>
      <c r="E12736" s="6">
        <v>-28483</v>
      </c>
      <c r="F12736" t="s">
        <v>254</v>
      </c>
      <c r="G12736" t="s">
        <v>35</v>
      </c>
      <c r="H12736" t="s">
        <v>20</v>
      </c>
      <c r="I12736" t="s">
        <v>24751</v>
      </c>
      <c r="J12736" t="str">
        <f>HYPERLINK("https://www.boe.es/gazeta/dias/1822/01/05/pdfs/GMD-1822-5.pdf#page=2","Abrir facsímil")</f>
        <v>Abrir facsímil</v>
      </c>
      <c r="K12736" t="s">
        <v>22</v>
      </c>
    </row>
    <row r="12737" spans="1:11" ht="42" customHeight="1">
      <c r="A12737" t="s">
        <v>24746</v>
      </c>
      <c r="B12737" t="s">
        <v>24747</v>
      </c>
      <c r="C12737" t="s">
        <v>71</v>
      </c>
      <c r="D12737" t="s">
        <v>17</v>
      </c>
      <c r="E12737" s="6">
        <v>-28483</v>
      </c>
      <c r="F12737" t="s">
        <v>254</v>
      </c>
      <c r="G12737" t="s">
        <v>31</v>
      </c>
      <c r="H12737" t="s">
        <v>20</v>
      </c>
      <c r="I12737" t="s">
        <v>24752</v>
      </c>
      <c r="J12737" t="str">
        <f>HYPERLINK("https://www.boe.es/gazeta/dias/1822/01/05/pdfs/GMD-1822-5.pdf#page=3","Abrir facsímil")</f>
        <v>Abrir facsímil</v>
      </c>
      <c r="K12737" t="s">
        <v>22</v>
      </c>
    </row>
    <row r="12738" spans="1:11" ht="42" customHeight="1">
      <c r="A12738" t="s">
        <v>24746</v>
      </c>
      <c r="B12738" t="s">
        <v>24747</v>
      </c>
      <c r="C12738" t="s">
        <v>28</v>
      </c>
      <c r="D12738" t="s">
        <v>29</v>
      </c>
      <c r="E12738" s="6">
        <v>-28482</v>
      </c>
      <c r="F12738" t="s">
        <v>850</v>
      </c>
      <c r="G12738" t="s">
        <v>31</v>
      </c>
      <c r="H12738" t="s">
        <v>20</v>
      </c>
      <c r="I12738" t="s">
        <v>24753</v>
      </c>
      <c r="J12738" t="str">
        <f>HYPERLINK("https://www.boe.es/gazeta/dias/1822/01/06/pdfs/GMD-1822-6.pdf#page=3","Abrir facsímil")</f>
        <v>Abrir facsímil</v>
      </c>
      <c r="K12738" t="s">
        <v>22</v>
      </c>
    </row>
    <row r="12739" spans="1:11" ht="42" customHeight="1">
      <c r="A12739" t="s">
        <v>24746</v>
      </c>
      <c r="B12739" t="s">
        <v>24747</v>
      </c>
      <c r="C12739" t="s">
        <v>28</v>
      </c>
      <c r="D12739" t="s">
        <v>29</v>
      </c>
      <c r="E12739" s="6">
        <v>-28481</v>
      </c>
      <c r="F12739" t="s">
        <v>1089</v>
      </c>
      <c r="G12739" t="s">
        <v>31</v>
      </c>
      <c r="H12739" t="s">
        <v>20</v>
      </c>
      <c r="I12739" t="s">
        <v>24754</v>
      </c>
      <c r="J12739" t="str">
        <f>HYPERLINK("https://www.boe.es/gazeta/dias/1822/01/07/pdfs/GMD-1822-7.pdf#page=3","Abrir facsímil")</f>
        <v>Abrir facsímil</v>
      </c>
      <c r="K12739" t="s">
        <v>22</v>
      </c>
    </row>
    <row r="12740" spans="1:11" ht="42" customHeight="1">
      <c r="A12740" t="s">
        <v>24746</v>
      </c>
      <c r="B12740" t="s">
        <v>24747</v>
      </c>
      <c r="C12740" t="s">
        <v>42</v>
      </c>
      <c r="D12740" t="s">
        <v>17</v>
      </c>
      <c r="E12740" s="6">
        <v>-28479</v>
      </c>
      <c r="F12740" t="s">
        <v>1091</v>
      </c>
      <c r="G12740" t="s">
        <v>57</v>
      </c>
      <c r="H12740" t="s">
        <v>20</v>
      </c>
      <c r="I12740" t="s">
        <v>24755</v>
      </c>
      <c r="J12740" t="str">
        <f>HYPERLINK("https://www.boe.es/gazeta/dias/1822/01/09/pdfs/GMD-1822-9.pdf#page=4","Abrir facsímil")</f>
        <v>Abrir facsímil</v>
      </c>
      <c r="K12740" t="s">
        <v>22</v>
      </c>
    </row>
    <row r="12741" spans="1:11" ht="42" customHeight="1">
      <c r="A12741" t="s">
        <v>24746</v>
      </c>
      <c r="B12741" t="s">
        <v>24747</v>
      </c>
      <c r="C12741" t="s">
        <v>16</v>
      </c>
      <c r="D12741" t="s">
        <v>17</v>
      </c>
      <c r="E12741" s="6">
        <v>-28478</v>
      </c>
      <c r="F12741" t="s">
        <v>1093</v>
      </c>
      <c r="G12741" t="s">
        <v>44</v>
      </c>
      <c r="H12741" t="s">
        <v>20</v>
      </c>
      <c r="I12741" t="s">
        <v>24756</v>
      </c>
      <c r="J12741" t="str">
        <f>HYPERLINK("https://www.boe.es/gazeta/dias/1822/01/10/pdfs/GMD-1822-10.pdf#page=1","Abrir facsímil")</f>
        <v>Abrir facsímil</v>
      </c>
      <c r="K12741" t="s">
        <v>22</v>
      </c>
    </row>
    <row r="12742" spans="1:11" ht="42" customHeight="1">
      <c r="A12742" t="s">
        <v>24746</v>
      </c>
      <c r="B12742" t="s">
        <v>24747</v>
      </c>
      <c r="C12742" t="s">
        <v>50</v>
      </c>
      <c r="D12742" t="s">
        <v>51</v>
      </c>
      <c r="E12742" s="6">
        <v>-28476</v>
      </c>
      <c r="F12742" t="s">
        <v>160</v>
      </c>
      <c r="G12742" t="s">
        <v>31</v>
      </c>
      <c r="H12742" t="s">
        <v>20</v>
      </c>
      <c r="I12742" t="s">
        <v>24757</v>
      </c>
      <c r="J12742" t="str">
        <f>HYPERLINK("https://www.boe.es/gazeta/dias/1822/01/12/pdfs/GMD-1822-12.pdf#page=3","Abrir facsímil")</f>
        <v>Abrir facsímil</v>
      </c>
      <c r="K12742" t="s">
        <v>22</v>
      </c>
    </row>
    <row r="12743" spans="1:11" ht="42" customHeight="1">
      <c r="A12743" t="s">
        <v>24746</v>
      </c>
      <c r="B12743" t="s">
        <v>24747</v>
      </c>
      <c r="C12743" t="s">
        <v>24</v>
      </c>
      <c r="D12743" t="s">
        <v>17</v>
      </c>
      <c r="E12743" s="6">
        <v>-28475</v>
      </c>
      <c r="F12743" t="s">
        <v>1205</v>
      </c>
      <c r="G12743" t="s">
        <v>31</v>
      </c>
      <c r="H12743" t="s">
        <v>20</v>
      </c>
      <c r="I12743" t="s">
        <v>24758</v>
      </c>
      <c r="J12743" t="str">
        <f>HYPERLINK("https://www.boe.es/gazeta/dias/1822/01/13/pdfs/GMD-1822-13.pdf#page=3","Abrir facsímil")</f>
        <v>Abrir facsímil</v>
      </c>
      <c r="K12743" t="s">
        <v>22</v>
      </c>
    </row>
    <row r="12744" spans="1:11" ht="42" customHeight="1">
      <c r="A12744" t="s">
        <v>24746</v>
      </c>
      <c r="B12744" t="s">
        <v>24747</v>
      </c>
      <c r="C12744" t="s">
        <v>16</v>
      </c>
      <c r="D12744" t="s">
        <v>17</v>
      </c>
      <c r="E12744" s="6">
        <v>-28473</v>
      </c>
      <c r="F12744" t="s">
        <v>2337</v>
      </c>
      <c r="G12744" t="s">
        <v>31</v>
      </c>
      <c r="H12744" t="s">
        <v>20</v>
      </c>
      <c r="I12744" t="s">
        <v>24759</v>
      </c>
      <c r="J12744" t="str">
        <f>HYPERLINK("https://www.boe.es/gazeta/dias/1822/01/15/pdfs/GMD-1822-15.pdf#page=3","Abrir facsímil")</f>
        <v>Abrir facsímil</v>
      </c>
      <c r="K12744" t="s">
        <v>22</v>
      </c>
    </row>
    <row r="12745" spans="1:11" ht="42" customHeight="1">
      <c r="A12745" t="s">
        <v>24746</v>
      </c>
      <c r="B12745" t="s">
        <v>24747</v>
      </c>
      <c r="C12745" t="s">
        <v>50</v>
      </c>
      <c r="D12745" t="s">
        <v>51</v>
      </c>
      <c r="E12745" s="6">
        <v>-28472</v>
      </c>
      <c r="F12745" t="s">
        <v>5485</v>
      </c>
      <c r="G12745" t="s">
        <v>35</v>
      </c>
      <c r="H12745" t="s">
        <v>20</v>
      </c>
      <c r="I12745" t="s">
        <v>24760</v>
      </c>
      <c r="J12745" t="str">
        <f>HYPERLINK("https://www.boe.es/gazeta/dias/1822/01/16/pdfs/GMD-1822-16.pdf#page=2","Abrir facsímil")</f>
        <v>Abrir facsímil</v>
      </c>
      <c r="K12745" t="s">
        <v>22</v>
      </c>
    </row>
    <row r="12746" spans="1:11" ht="42" customHeight="1">
      <c r="A12746" t="s">
        <v>24746</v>
      </c>
      <c r="B12746" t="s">
        <v>24747</v>
      </c>
      <c r="C12746" t="s">
        <v>24</v>
      </c>
      <c r="D12746" t="s">
        <v>17</v>
      </c>
      <c r="E12746" s="6">
        <v>-28464</v>
      </c>
      <c r="F12746" t="s">
        <v>1447</v>
      </c>
      <c r="G12746" t="s">
        <v>35</v>
      </c>
      <c r="H12746" t="s">
        <v>20</v>
      </c>
      <c r="I12746" t="s">
        <v>24761</v>
      </c>
      <c r="J12746" t="str">
        <f>HYPERLINK("https://www.boe.es/gazeta/dias/1822/01/24/pdfs/GMD-1822-24.pdf#page=2","Abrir facsímil")</f>
        <v>Abrir facsímil</v>
      </c>
      <c r="K12746" t="s">
        <v>22</v>
      </c>
    </row>
    <row r="12747" spans="1:11" ht="42" customHeight="1">
      <c r="A12747" t="s">
        <v>24746</v>
      </c>
      <c r="B12747" t="s">
        <v>24747</v>
      </c>
      <c r="C12747" t="s">
        <v>71</v>
      </c>
      <c r="D12747" t="s">
        <v>17</v>
      </c>
      <c r="E12747" s="6">
        <v>-28464</v>
      </c>
      <c r="F12747" t="s">
        <v>1447</v>
      </c>
      <c r="G12747" t="s">
        <v>31</v>
      </c>
      <c r="H12747" t="s">
        <v>20</v>
      </c>
      <c r="I12747" t="s">
        <v>24762</v>
      </c>
      <c r="J12747" t="str">
        <f>HYPERLINK("https://www.boe.es/gazeta/dias/1822/01/24/pdfs/GMD-1822-24.pdf#page=3","Abrir facsímil")</f>
        <v>Abrir facsímil</v>
      </c>
      <c r="K12747" t="s">
        <v>22</v>
      </c>
    </row>
    <row r="12748" spans="1:11" ht="42" customHeight="1">
      <c r="A12748" t="s">
        <v>24746</v>
      </c>
      <c r="B12748" t="s">
        <v>24747</v>
      </c>
      <c r="C12748" t="s">
        <v>24</v>
      </c>
      <c r="D12748" t="s">
        <v>17</v>
      </c>
      <c r="E12748" s="6">
        <v>-28463</v>
      </c>
      <c r="F12748" t="s">
        <v>25</v>
      </c>
      <c r="G12748" t="s">
        <v>63</v>
      </c>
      <c r="H12748" t="s">
        <v>20</v>
      </c>
      <c r="I12748" t="s">
        <v>24763</v>
      </c>
      <c r="J12748" t="str">
        <f>HYPERLINK("https://www.boe.es/gazeta/dias/1822/01/25/pdfs/GMD-1822-25.pdf#page=6","Abrir facsímil")</f>
        <v>Abrir facsímil</v>
      </c>
      <c r="K12748" t="s">
        <v>22</v>
      </c>
    </row>
    <row r="12749" spans="1:11" ht="42" customHeight="1">
      <c r="A12749" t="s">
        <v>24746</v>
      </c>
      <c r="B12749" t="s">
        <v>24747</v>
      </c>
      <c r="C12749" t="s">
        <v>50</v>
      </c>
      <c r="D12749" t="s">
        <v>51</v>
      </c>
      <c r="E12749" s="6">
        <v>-28461</v>
      </c>
      <c r="F12749" t="s">
        <v>1801</v>
      </c>
      <c r="G12749" t="s">
        <v>57</v>
      </c>
      <c r="H12749" t="s">
        <v>20</v>
      </c>
      <c r="I12749" t="s">
        <v>24764</v>
      </c>
      <c r="J12749" t="str">
        <f>HYPERLINK("https://www.boe.es/gazeta/dias/1822/01/27/pdfs/GMD-1822-27.pdf#page=4","Abrir facsímil")</f>
        <v>Abrir facsímil</v>
      </c>
      <c r="K12749" t="s">
        <v>22</v>
      </c>
    </row>
    <row r="12750" spans="1:11" ht="42" customHeight="1">
      <c r="A12750" t="s">
        <v>24746</v>
      </c>
      <c r="B12750" t="s">
        <v>24747</v>
      </c>
      <c r="C12750" t="s">
        <v>28</v>
      </c>
      <c r="D12750" t="s">
        <v>29</v>
      </c>
      <c r="E12750" s="6">
        <v>-28450</v>
      </c>
      <c r="F12750" t="s">
        <v>1450</v>
      </c>
      <c r="G12750" t="s">
        <v>31</v>
      </c>
      <c r="H12750" t="s">
        <v>20</v>
      </c>
      <c r="I12750" t="s">
        <v>24765</v>
      </c>
      <c r="J12750" t="str">
        <f>HYPERLINK("https://www.boe.es/gazeta/dias/1822/02/07/pdfs/GMD-1822-38.pdf#page=3","Abrir facsímil")</f>
        <v>Abrir facsímil</v>
      </c>
      <c r="K12750" t="s">
        <v>22</v>
      </c>
    </row>
    <row r="12751" spans="1:11" ht="42" customHeight="1">
      <c r="A12751" t="s">
        <v>24746</v>
      </c>
      <c r="B12751" t="s">
        <v>24747</v>
      </c>
      <c r="C12751" t="s">
        <v>24</v>
      </c>
      <c r="D12751" t="s">
        <v>17</v>
      </c>
      <c r="E12751" s="6">
        <v>-28449</v>
      </c>
      <c r="F12751" t="s">
        <v>1342</v>
      </c>
      <c r="G12751" t="s">
        <v>35</v>
      </c>
      <c r="H12751" t="s">
        <v>20</v>
      </c>
      <c r="I12751" t="s">
        <v>24766</v>
      </c>
      <c r="J12751" t="str">
        <f>HYPERLINK("https://www.boe.es/gazeta/dias/1822/02/08/pdfs/GMD-1822-39.pdf#page=2","Abrir facsímil")</f>
        <v>Abrir facsímil</v>
      </c>
      <c r="K12751" t="s">
        <v>22</v>
      </c>
    </row>
    <row r="12752" spans="1:11" ht="42" customHeight="1">
      <c r="A12752" t="s">
        <v>24746</v>
      </c>
      <c r="B12752" t="s">
        <v>24747</v>
      </c>
      <c r="C12752" t="s">
        <v>16</v>
      </c>
      <c r="D12752" t="s">
        <v>17</v>
      </c>
      <c r="E12752" s="6">
        <v>-28448</v>
      </c>
      <c r="F12752" t="s">
        <v>1670</v>
      </c>
      <c r="G12752" t="s">
        <v>31</v>
      </c>
      <c r="H12752" t="s">
        <v>20</v>
      </c>
      <c r="I12752" t="s">
        <v>24767</v>
      </c>
      <c r="J12752" t="str">
        <f>HYPERLINK("https://www.boe.es/gazeta/dias/1822/02/09/pdfs/GMD-1822-40.pdf#page=3","Abrir facsímil")</f>
        <v>Abrir facsímil</v>
      </c>
      <c r="K12752" t="s">
        <v>22</v>
      </c>
    </row>
    <row r="12753" spans="1:11" ht="42" customHeight="1">
      <c r="A12753" t="s">
        <v>24746</v>
      </c>
      <c r="B12753" t="s">
        <v>24747</v>
      </c>
      <c r="C12753" t="s">
        <v>28</v>
      </c>
      <c r="D12753" t="s">
        <v>29</v>
      </c>
      <c r="E12753" s="6">
        <v>-28446</v>
      </c>
      <c r="F12753" t="s">
        <v>773</v>
      </c>
      <c r="G12753" t="s">
        <v>19</v>
      </c>
      <c r="H12753" t="s">
        <v>20</v>
      </c>
      <c r="I12753" t="s">
        <v>24768</v>
      </c>
      <c r="J12753" t="str">
        <f>HYPERLINK("https://www.boe.es/gazeta/dias/1822/02/11/pdfs/GMD-1822-42.pdf#page=5","Abrir facsímil")</f>
        <v>Abrir facsímil</v>
      </c>
      <c r="K12753" t="s">
        <v>22</v>
      </c>
    </row>
    <row r="12754" spans="1:11" ht="42" customHeight="1">
      <c r="A12754" t="s">
        <v>24746</v>
      </c>
      <c r="B12754" t="s">
        <v>24747</v>
      </c>
      <c r="C12754" t="s">
        <v>71</v>
      </c>
      <c r="D12754" t="s">
        <v>17</v>
      </c>
      <c r="E12754" s="6">
        <v>-28445</v>
      </c>
      <c r="F12754" t="s">
        <v>1622</v>
      </c>
      <c r="G12754" t="s">
        <v>35</v>
      </c>
      <c r="H12754" t="s">
        <v>20</v>
      </c>
      <c r="I12754" t="s">
        <v>24769</v>
      </c>
      <c r="J12754" t="str">
        <f>HYPERLINK("https://www.boe.es/gazeta/dias/1822/02/12/pdfs/GMD-1822-43.pdf#page=2","Abrir facsímil")</f>
        <v>Abrir facsímil</v>
      </c>
      <c r="K12754" t="s">
        <v>22</v>
      </c>
    </row>
    <row r="12755" spans="1:11" ht="42" customHeight="1">
      <c r="A12755" t="s">
        <v>24746</v>
      </c>
      <c r="B12755" t="s">
        <v>24747</v>
      </c>
      <c r="C12755" t="s">
        <v>42</v>
      </c>
      <c r="D12755" t="s">
        <v>17</v>
      </c>
      <c r="E12755" s="6">
        <v>-28445</v>
      </c>
      <c r="F12755" t="s">
        <v>1622</v>
      </c>
      <c r="G12755" t="s">
        <v>57</v>
      </c>
      <c r="H12755" t="s">
        <v>20</v>
      </c>
      <c r="I12755" t="s">
        <v>24770</v>
      </c>
      <c r="J12755" t="str">
        <f>HYPERLINK("https://www.boe.es/gazeta/dias/1822/02/12/pdfs/GMD-1822-43.pdf#page=4","Abrir facsímil")</f>
        <v>Abrir facsímil</v>
      </c>
      <c r="K12755" t="s">
        <v>22</v>
      </c>
    </row>
    <row r="12756" spans="1:11" ht="42" customHeight="1">
      <c r="A12756" t="s">
        <v>24746</v>
      </c>
      <c r="B12756" t="s">
        <v>24747</v>
      </c>
      <c r="C12756" t="s">
        <v>50</v>
      </c>
      <c r="D12756" t="s">
        <v>51</v>
      </c>
      <c r="E12756" s="6">
        <v>-28444</v>
      </c>
      <c r="F12756" t="s">
        <v>681</v>
      </c>
      <c r="G12756" t="s">
        <v>35</v>
      </c>
      <c r="H12756" t="s">
        <v>20</v>
      </c>
      <c r="I12756" t="s">
        <v>24771</v>
      </c>
      <c r="J12756" t="str">
        <f>HYPERLINK("https://www.boe.es/gazeta/dias/1822/02/13/pdfs/GMD-1822-44.pdf#page=2","Abrir facsímil")</f>
        <v>Abrir facsímil</v>
      </c>
      <c r="K12756" t="s">
        <v>22</v>
      </c>
    </row>
    <row r="12757" spans="1:11" ht="42" customHeight="1">
      <c r="A12757" t="s">
        <v>24746</v>
      </c>
      <c r="B12757" t="s">
        <v>24747</v>
      </c>
      <c r="C12757" t="s">
        <v>50</v>
      </c>
      <c r="D12757" t="s">
        <v>51</v>
      </c>
      <c r="E12757" s="6">
        <v>-28402</v>
      </c>
      <c r="F12757" t="s">
        <v>473</v>
      </c>
      <c r="G12757" t="s">
        <v>57</v>
      </c>
      <c r="H12757" t="s">
        <v>20</v>
      </c>
      <c r="I12757" t="s">
        <v>24772</v>
      </c>
      <c r="J12757" t="str">
        <f>HYPERLINK("https://www.boe.es/gazeta/dias/1822/03/27/pdfs/GMD-1822-88.pdf#page=4","Abrir facsímil")</f>
        <v>Abrir facsímil</v>
      </c>
      <c r="K12757" t="s">
        <v>22</v>
      </c>
    </row>
    <row r="12758" spans="1:11" ht="42" customHeight="1">
      <c r="A12758" t="s">
        <v>24746</v>
      </c>
      <c r="B12758" t="s">
        <v>24747</v>
      </c>
      <c r="C12758" t="s">
        <v>50</v>
      </c>
      <c r="D12758" t="s">
        <v>51</v>
      </c>
      <c r="E12758" s="6">
        <v>-28396</v>
      </c>
      <c r="F12758" t="s">
        <v>1138</v>
      </c>
      <c r="G12758" t="s">
        <v>57</v>
      </c>
      <c r="H12758" t="s">
        <v>20</v>
      </c>
      <c r="I12758" t="s">
        <v>24773</v>
      </c>
      <c r="J12758" t="str">
        <f>HYPERLINK("https://www.boe.es/gazeta/dias/1822/04/02/pdfs/GMD-1822-94.pdf#page=4","Abrir facsímil")</f>
        <v>Abrir facsímil</v>
      </c>
      <c r="K12758" t="s">
        <v>22</v>
      </c>
    </row>
    <row r="12759" spans="1:11" ht="42" customHeight="1">
      <c r="A12759" t="s">
        <v>24746</v>
      </c>
      <c r="B12759" t="s">
        <v>24747</v>
      </c>
      <c r="C12759" t="s">
        <v>28</v>
      </c>
      <c r="D12759" t="s">
        <v>29</v>
      </c>
      <c r="E12759" s="6">
        <v>-28396</v>
      </c>
      <c r="F12759" t="s">
        <v>1138</v>
      </c>
      <c r="G12759" t="s">
        <v>19</v>
      </c>
      <c r="H12759" t="s">
        <v>20</v>
      </c>
      <c r="I12759" t="s">
        <v>24774</v>
      </c>
      <c r="J12759" t="str">
        <f>HYPERLINK("https://www.boe.es/gazeta/dias/1822/04/02/pdfs/GMD-1822-94.pdf#page=5","Abrir facsímil")</f>
        <v>Abrir facsímil</v>
      </c>
      <c r="K12759" t="s">
        <v>22</v>
      </c>
    </row>
    <row r="12760" spans="1:11" ht="42" customHeight="1">
      <c r="A12760" t="s">
        <v>24775</v>
      </c>
      <c r="B12760" t="s">
        <v>24776</v>
      </c>
      <c r="C12760" t="s">
        <v>50</v>
      </c>
      <c r="D12760" t="s">
        <v>51</v>
      </c>
      <c r="E12760" s="6">
        <v>-28276</v>
      </c>
      <c r="F12760" t="s">
        <v>4746</v>
      </c>
      <c r="G12760" t="s">
        <v>35</v>
      </c>
      <c r="H12760" t="s">
        <v>20</v>
      </c>
      <c r="I12760" t="s">
        <v>24777</v>
      </c>
      <c r="J12760" t="str">
        <f>HYPERLINK("https://www.boe.es/gazeta/dias/1822/07/31/pdfs/GMD-1822-224.pdf#page=2","Abrir facsímil")</f>
        <v>Abrir facsímil</v>
      </c>
      <c r="K12760" t="s">
        <v>22</v>
      </c>
    </row>
    <row r="12761" spans="1:11" ht="42" customHeight="1">
      <c r="A12761" t="s">
        <v>24775</v>
      </c>
      <c r="B12761" t="s">
        <v>24776</v>
      </c>
      <c r="C12761" t="s">
        <v>50</v>
      </c>
      <c r="D12761" t="s">
        <v>51</v>
      </c>
      <c r="E12761" s="6">
        <v>-28264</v>
      </c>
      <c r="F12761" t="s">
        <v>1329</v>
      </c>
      <c r="G12761" t="s">
        <v>31</v>
      </c>
      <c r="H12761" t="s">
        <v>20</v>
      </c>
      <c r="I12761" t="s">
        <v>24778</v>
      </c>
      <c r="J12761" t="str">
        <f>HYPERLINK("https://www.boe.es/gazeta/dias/1822/08/12/pdfs/GMD-1822-236.pdf#page=3","Abrir facsímil")</f>
        <v>Abrir facsímil</v>
      </c>
      <c r="K12761" t="s">
        <v>22</v>
      </c>
    </row>
    <row r="12762" spans="1:11" ht="42" customHeight="1">
      <c r="A12762" t="s">
        <v>24779</v>
      </c>
      <c r="B12762" t="s">
        <v>24780</v>
      </c>
      <c r="C12762" t="s">
        <v>50</v>
      </c>
      <c r="D12762" t="s">
        <v>51</v>
      </c>
      <c r="E12762" s="6">
        <v>-28274</v>
      </c>
      <c r="F12762" t="s">
        <v>3371</v>
      </c>
      <c r="G12762" t="s">
        <v>57</v>
      </c>
      <c r="H12762" t="s">
        <v>20</v>
      </c>
      <c r="I12762" t="s">
        <v>24781</v>
      </c>
      <c r="J12762" t="str">
        <f>HYPERLINK("https://www.boe.es/gazeta/dias/1822/08/02/pdfs/GMD-1822-226.pdf#page=4","Abrir facsímil")</f>
        <v>Abrir facsímil</v>
      </c>
      <c r="K12762" t="s">
        <v>22</v>
      </c>
    </row>
    <row r="12763" spans="1:11" ht="42" customHeight="1">
      <c r="A12763" t="s">
        <v>24782</v>
      </c>
      <c r="B12763" t="s">
        <v>24782</v>
      </c>
      <c r="C12763" t="s">
        <v>42</v>
      </c>
      <c r="D12763" t="s">
        <v>17</v>
      </c>
      <c r="E12763" s="6">
        <v>-28350</v>
      </c>
      <c r="F12763" t="s">
        <v>352</v>
      </c>
      <c r="G12763" t="s">
        <v>57</v>
      </c>
      <c r="H12763" t="s">
        <v>20</v>
      </c>
      <c r="I12763" t="s">
        <v>24783</v>
      </c>
      <c r="J12763" t="str">
        <f>HYPERLINK("https://www.boe.es/gazeta/dias/1822/05/18/pdfs/GMD-1822-140.pdf#page=4","Abrir facsímil")</f>
        <v>Abrir facsímil</v>
      </c>
      <c r="K12763" t="s">
        <v>22</v>
      </c>
    </row>
    <row r="12764" spans="1:11" ht="42" customHeight="1">
      <c r="A12764" t="s">
        <v>24784</v>
      </c>
      <c r="B12764" t="s">
        <v>24784</v>
      </c>
      <c r="C12764" t="s">
        <v>42</v>
      </c>
      <c r="D12764" t="s">
        <v>17</v>
      </c>
      <c r="E12764" s="6">
        <v>-28358</v>
      </c>
      <c r="F12764" t="s">
        <v>211</v>
      </c>
      <c r="G12764" t="s">
        <v>57</v>
      </c>
      <c r="H12764" t="s">
        <v>20</v>
      </c>
      <c r="I12764" t="s">
        <v>24785</v>
      </c>
      <c r="J12764" t="str">
        <f>HYPERLINK("https://www.boe.es/gazeta/dias/1822/05/10/pdfs/GMD-1822-132.pdf#page=4","Abrir facsímil")</f>
        <v>Abrir facsímil</v>
      </c>
      <c r="K12764" t="s">
        <v>22</v>
      </c>
    </row>
    <row r="12765" spans="1:11" ht="42" customHeight="1">
      <c r="A12765" t="s">
        <v>24786</v>
      </c>
      <c r="B12765" t="s">
        <v>24786</v>
      </c>
      <c r="C12765" t="s">
        <v>16</v>
      </c>
      <c r="D12765" t="s">
        <v>17</v>
      </c>
      <c r="E12765" s="6">
        <v>-28397</v>
      </c>
      <c r="F12765" t="s">
        <v>1401</v>
      </c>
      <c r="G12765" t="s">
        <v>57</v>
      </c>
      <c r="H12765" t="s">
        <v>20</v>
      </c>
      <c r="I12765" t="s">
        <v>24787</v>
      </c>
      <c r="J12765" t="str">
        <f>HYPERLINK("https://www.boe.es/gazeta/dias/1822/04/01/pdfs/GMD-1822-93.pdf#page=4","Abrir facsímil")</f>
        <v>Abrir facsímil</v>
      </c>
      <c r="K12765" t="s">
        <v>22</v>
      </c>
    </row>
    <row r="12766" spans="1:11" ht="42" customHeight="1">
      <c r="A12766" t="s">
        <v>24788</v>
      </c>
      <c r="B12766" t="s">
        <v>24788</v>
      </c>
      <c r="C12766" t="s">
        <v>50</v>
      </c>
      <c r="D12766" t="s">
        <v>51</v>
      </c>
      <c r="E12766" s="6">
        <v>-28419</v>
      </c>
      <c r="F12766" t="s">
        <v>1392</v>
      </c>
      <c r="G12766" t="s">
        <v>57</v>
      </c>
      <c r="H12766" t="s">
        <v>20</v>
      </c>
      <c r="I12766" t="s">
        <v>24789</v>
      </c>
      <c r="J12766" t="str">
        <f>HYPERLINK("https://www.boe.es/gazeta/dias/1822/03/10/pdfs/GMD-1822-71.pdf#page=4","Abrir facsímil")</f>
        <v>Abrir facsímil</v>
      </c>
      <c r="K12766" t="s">
        <v>22</v>
      </c>
    </row>
    <row r="12767" spans="1:11" ht="42" customHeight="1">
      <c r="A12767" t="s">
        <v>24790</v>
      </c>
      <c r="B12767" t="s">
        <v>24790</v>
      </c>
      <c r="C12767" t="s">
        <v>42</v>
      </c>
      <c r="D12767" t="s">
        <v>17</v>
      </c>
      <c r="E12767" s="6">
        <v>-28314</v>
      </c>
      <c r="F12767" t="s">
        <v>309</v>
      </c>
      <c r="G12767" t="s">
        <v>35</v>
      </c>
      <c r="H12767" t="s">
        <v>20</v>
      </c>
      <c r="I12767" t="s">
        <v>24791</v>
      </c>
      <c r="J12767" t="str">
        <f>HYPERLINK("https://www.boe.es/gazeta/dias/1822/06/23/pdfs/GMD-1822-181.pdf#page=2","Abrir facsímil")</f>
        <v>Abrir facsímil</v>
      </c>
      <c r="K12767" t="s">
        <v>22</v>
      </c>
    </row>
    <row r="12768" spans="1:11" ht="42" customHeight="1">
      <c r="A12768" t="s">
        <v>24792</v>
      </c>
      <c r="B12768" t="s">
        <v>24792</v>
      </c>
      <c r="C12768" t="s">
        <v>42</v>
      </c>
      <c r="D12768" t="s">
        <v>17</v>
      </c>
      <c r="E12768" s="6">
        <v>-28423</v>
      </c>
      <c r="F12768" t="s">
        <v>441</v>
      </c>
      <c r="G12768" t="s">
        <v>35</v>
      </c>
      <c r="H12768" t="s">
        <v>20</v>
      </c>
      <c r="I12768" t="s">
        <v>24793</v>
      </c>
      <c r="J12768" t="str">
        <f>HYPERLINK("https://www.boe.es/gazeta/dias/1822/03/06/pdfs/GMD-1822-67.pdf#page=2","Abrir facsímil")</f>
        <v>Abrir facsímil</v>
      </c>
      <c r="K12768" t="s">
        <v>22</v>
      </c>
    </row>
    <row r="12769" spans="1:11" ht="42" customHeight="1">
      <c r="A12769" t="s">
        <v>24792</v>
      </c>
      <c r="B12769" t="s">
        <v>24792</v>
      </c>
      <c r="C12769" t="s">
        <v>71</v>
      </c>
      <c r="D12769" t="s">
        <v>17</v>
      </c>
      <c r="E12769" s="6">
        <v>-28418</v>
      </c>
      <c r="F12769" t="s">
        <v>205</v>
      </c>
      <c r="G12769" t="s">
        <v>35</v>
      </c>
      <c r="H12769" t="s">
        <v>20</v>
      </c>
      <c r="I12769" t="s">
        <v>24794</v>
      </c>
      <c r="J12769" t="str">
        <f>HYPERLINK("https://www.boe.es/gazeta/dias/1822/03/11/pdfs/GMD-1822-72.pdf#page=2","Abrir facsímil")</f>
        <v>Abrir facsímil</v>
      </c>
      <c r="K12769" t="s">
        <v>22</v>
      </c>
    </row>
    <row r="12770" spans="1:11" ht="42" customHeight="1">
      <c r="A12770" t="s">
        <v>24792</v>
      </c>
      <c r="B12770" t="s">
        <v>24792</v>
      </c>
      <c r="C12770" t="s">
        <v>71</v>
      </c>
      <c r="D12770" t="s">
        <v>17</v>
      </c>
      <c r="E12770" s="6">
        <v>-28418</v>
      </c>
      <c r="F12770" t="s">
        <v>205</v>
      </c>
      <c r="G12770" t="s">
        <v>63</v>
      </c>
      <c r="H12770" t="s">
        <v>20</v>
      </c>
      <c r="I12770" t="s">
        <v>24795</v>
      </c>
      <c r="J12770" t="str">
        <f>HYPERLINK("https://www.boe.es/gazeta/dias/1822/03/11/pdfs/GMD-1822-72.pdf#page=6","Abrir facsímil")</f>
        <v>Abrir facsímil</v>
      </c>
      <c r="K12770" t="s">
        <v>22</v>
      </c>
    </row>
    <row r="12771" spans="1:11" ht="42" customHeight="1">
      <c r="A12771" t="s">
        <v>24792</v>
      </c>
      <c r="B12771" t="s">
        <v>24792</v>
      </c>
      <c r="C12771" t="s">
        <v>50</v>
      </c>
      <c r="D12771" t="s">
        <v>51</v>
      </c>
      <c r="E12771" s="6">
        <v>-28412</v>
      </c>
      <c r="F12771" t="s">
        <v>825</v>
      </c>
      <c r="G12771" t="s">
        <v>57</v>
      </c>
      <c r="H12771" t="s">
        <v>20</v>
      </c>
      <c r="I12771" t="s">
        <v>24796</v>
      </c>
      <c r="J12771" t="str">
        <f>HYPERLINK("https://www.boe.es/gazeta/dias/1822/03/17/pdfs/GMD-1822-78.pdf#page=4","Abrir facsímil")</f>
        <v>Abrir facsímil</v>
      </c>
      <c r="K12771" t="s">
        <v>22</v>
      </c>
    </row>
    <row r="12772" spans="1:11" ht="42" customHeight="1">
      <c r="A12772" t="s">
        <v>24792</v>
      </c>
      <c r="B12772" t="s">
        <v>24792</v>
      </c>
      <c r="C12772" t="s">
        <v>50</v>
      </c>
      <c r="D12772" t="s">
        <v>51</v>
      </c>
      <c r="E12772" s="6">
        <v>-28396</v>
      </c>
      <c r="F12772" t="s">
        <v>1138</v>
      </c>
      <c r="G12772" t="s">
        <v>167</v>
      </c>
      <c r="H12772" t="s">
        <v>20</v>
      </c>
      <c r="I12772" t="s">
        <v>24797</v>
      </c>
      <c r="J12772" t="str">
        <f>HYPERLINK("https://www.boe.es/gazeta/dias/1822/04/02/pdfs/GMD-1822-94.pdf#page=7","Abrir facsímil")</f>
        <v>Abrir facsímil</v>
      </c>
      <c r="K12772" t="s">
        <v>22</v>
      </c>
    </row>
    <row r="12773" spans="1:11" ht="42" customHeight="1">
      <c r="A12773" t="s">
        <v>24792</v>
      </c>
      <c r="B12773" t="s">
        <v>24792</v>
      </c>
      <c r="C12773" t="s">
        <v>28</v>
      </c>
      <c r="D12773" t="s">
        <v>29</v>
      </c>
      <c r="E12773" s="6">
        <v>-28372</v>
      </c>
      <c r="F12773" t="s">
        <v>503</v>
      </c>
      <c r="G12773" t="s">
        <v>19</v>
      </c>
      <c r="H12773" t="s">
        <v>20</v>
      </c>
      <c r="I12773" t="s">
        <v>24798</v>
      </c>
      <c r="J12773" t="str">
        <f>HYPERLINK("https://www.boe.es/gazeta/dias/1822/04/26/pdfs/GMD-1822-118.pdf#page=5","Abrir facsímil")</f>
        <v>Abrir facsímil</v>
      </c>
      <c r="K12773" t="s">
        <v>22</v>
      </c>
    </row>
    <row r="12774" spans="1:11" ht="42" customHeight="1">
      <c r="A12774" t="s">
        <v>24792</v>
      </c>
      <c r="B12774" t="s">
        <v>24792</v>
      </c>
      <c r="C12774" t="s">
        <v>50</v>
      </c>
      <c r="D12774" t="s">
        <v>51</v>
      </c>
      <c r="E12774" s="6">
        <v>-28368</v>
      </c>
      <c r="F12774" t="s">
        <v>126</v>
      </c>
      <c r="G12774" t="s">
        <v>44</v>
      </c>
      <c r="H12774" t="s">
        <v>20</v>
      </c>
      <c r="I12774" t="s">
        <v>24799</v>
      </c>
      <c r="J12774" t="str">
        <f>HYPERLINK("https://www.boe.es/gazeta/dias/1822/04/30/pdfs/GMD-1822-122.pdf#page=1","Abrir facsímil")</f>
        <v>Abrir facsímil</v>
      </c>
      <c r="K12774" t="s">
        <v>22</v>
      </c>
    </row>
    <row r="12775" spans="1:11" ht="42" customHeight="1">
      <c r="A12775" t="s">
        <v>24792</v>
      </c>
      <c r="B12775" t="s">
        <v>24792</v>
      </c>
      <c r="C12775" t="s">
        <v>28</v>
      </c>
      <c r="D12775" t="s">
        <v>29</v>
      </c>
      <c r="E12775" s="6">
        <v>-28363</v>
      </c>
      <c r="F12775" t="s">
        <v>72</v>
      </c>
      <c r="G12775" t="s">
        <v>63</v>
      </c>
      <c r="H12775" t="s">
        <v>20</v>
      </c>
      <c r="I12775" t="s">
        <v>24800</v>
      </c>
      <c r="J12775" t="str">
        <f>HYPERLINK("https://www.boe.es/gazeta/dias/1822/05/05/pdfs/GMD-1822-127.pdf#page=6","Abrir facsímil")</f>
        <v>Abrir facsímil</v>
      </c>
      <c r="K12775" t="s">
        <v>22</v>
      </c>
    </row>
    <row r="12776" spans="1:11" ht="42" customHeight="1">
      <c r="A12776" t="s">
        <v>24792</v>
      </c>
      <c r="B12776" t="s">
        <v>24792</v>
      </c>
      <c r="C12776" t="s">
        <v>50</v>
      </c>
      <c r="D12776" t="s">
        <v>51</v>
      </c>
      <c r="E12776" s="6">
        <v>-28358</v>
      </c>
      <c r="F12776" t="s">
        <v>211</v>
      </c>
      <c r="G12776" t="s">
        <v>57</v>
      </c>
      <c r="H12776" t="s">
        <v>20</v>
      </c>
      <c r="I12776" t="s">
        <v>24801</v>
      </c>
      <c r="J12776" t="str">
        <f>HYPERLINK("https://www.boe.es/gazeta/dias/1822/05/10/pdfs/GMD-1822-132.pdf#page=4","Abrir facsímil")</f>
        <v>Abrir facsímil</v>
      </c>
      <c r="K12776" t="s">
        <v>22</v>
      </c>
    </row>
    <row r="12777" spans="1:11" ht="42" customHeight="1">
      <c r="A12777" t="s">
        <v>24792</v>
      </c>
      <c r="B12777" t="s">
        <v>24792</v>
      </c>
      <c r="C12777" t="s">
        <v>24</v>
      </c>
      <c r="D12777" t="s">
        <v>17</v>
      </c>
      <c r="E12777" s="6">
        <v>-28310</v>
      </c>
      <c r="F12777" t="s">
        <v>241</v>
      </c>
      <c r="G12777" t="s">
        <v>44</v>
      </c>
      <c r="H12777" t="s">
        <v>20</v>
      </c>
      <c r="I12777" t="s">
        <v>24802</v>
      </c>
      <c r="J12777" t="str">
        <f>HYPERLINK("https://www.boe.es/gazeta/dias/1822/06/27/pdfs/GMD-1822-185.pdf#page=1","Abrir facsímil")</f>
        <v>Abrir facsímil</v>
      </c>
      <c r="K12777" t="s">
        <v>22</v>
      </c>
    </row>
    <row r="12778" spans="1:11" ht="42" customHeight="1">
      <c r="A12778" t="s">
        <v>24792</v>
      </c>
      <c r="B12778" t="s">
        <v>24792</v>
      </c>
      <c r="C12778" t="s">
        <v>71</v>
      </c>
      <c r="D12778" t="s">
        <v>17</v>
      </c>
      <c r="E12778" s="6">
        <v>-28213</v>
      </c>
      <c r="F12778" t="s">
        <v>558</v>
      </c>
      <c r="G12778" t="s">
        <v>31</v>
      </c>
      <c r="H12778" t="s">
        <v>20</v>
      </c>
      <c r="I12778" t="s">
        <v>24803</v>
      </c>
      <c r="J12778" t="str">
        <f>HYPERLINK("https://www.boe.es/gazeta/dias/1822/10/02/pdfs/GMD-1822-288.pdf#page=3","Abrir facsímil")</f>
        <v>Abrir facsímil</v>
      </c>
      <c r="K12778" t="s">
        <v>22</v>
      </c>
    </row>
    <row r="12779" spans="1:11" ht="42" customHeight="1">
      <c r="A12779" t="s">
        <v>24792</v>
      </c>
      <c r="B12779" t="s">
        <v>24792</v>
      </c>
      <c r="C12779" t="s">
        <v>42</v>
      </c>
      <c r="D12779" t="s">
        <v>17</v>
      </c>
      <c r="E12779" s="6">
        <v>-28170</v>
      </c>
      <c r="F12779" t="s">
        <v>1457</v>
      </c>
      <c r="G12779" t="s">
        <v>35</v>
      </c>
      <c r="H12779" t="s">
        <v>20</v>
      </c>
      <c r="I12779" t="s">
        <v>24804</v>
      </c>
      <c r="J12779" t="str">
        <f>HYPERLINK("https://www.boe.es/gazeta/dias/1822/11/14/pdfs/GMD-1822-334.pdf#page=2","Abrir facsímil")</f>
        <v>Abrir facsímil</v>
      </c>
      <c r="K12779" t="s">
        <v>22</v>
      </c>
    </row>
    <row r="12780" spans="1:11" ht="42" customHeight="1">
      <c r="A12780" t="s">
        <v>24792</v>
      </c>
      <c r="B12780" t="s">
        <v>24792</v>
      </c>
      <c r="C12780" t="s">
        <v>50</v>
      </c>
      <c r="D12780" t="s">
        <v>51</v>
      </c>
      <c r="E12780" s="6">
        <v>-28147</v>
      </c>
      <c r="F12780" t="s">
        <v>1611</v>
      </c>
      <c r="G12780" t="s">
        <v>35</v>
      </c>
      <c r="H12780" t="s">
        <v>20</v>
      </c>
      <c r="I12780" t="s">
        <v>24805</v>
      </c>
      <c r="J12780" t="str">
        <f>HYPERLINK("https://www.boe.es/gazeta/dias/1822/12/07/pdfs/GMD-1822-357.pdf#page=2","Abrir facsímil")</f>
        <v>Abrir facsímil</v>
      </c>
      <c r="K12780" t="s">
        <v>22</v>
      </c>
    </row>
    <row r="12781" spans="1:11" ht="42" customHeight="1">
      <c r="A12781" t="s">
        <v>24792</v>
      </c>
      <c r="B12781" t="s">
        <v>24792</v>
      </c>
      <c r="C12781" t="s">
        <v>28</v>
      </c>
      <c r="D12781" t="s">
        <v>29</v>
      </c>
      <c r="E12781" s="6">
        <v>-28133</v>
      </c>
      <c r="F12781" t="s">
        <v>595</v>
      </c>
      <c r="G12781" t="s">
        <v>596</v>
      </c>
      <c r="H12781" t="s">
        <v>20</v>
      </c>
      <c r="I12781" t="s">
        <v>24806</v>
      </c>
      <c r="J12781" t="str">
        <f>HYPERLINK("https://www.boe.es/gazeta/dias/1822/12/21/pdfs/GMD-1822-371.pdf#page=2","Abrir facsímil")</f>
        <v>Abrir facsímil</v>
      </c>
      <c r="K12781" t="s">
        <v>22</v>
      </c>
    </row>
    <row r="12782" spans="1:11" ht="42" customHeight="1">
      <c r="A12782" t="s">
        <v>24792</v>
      </c>
      <c r="B12782" t="s">
        <v>24792</v>
      </c>
      <c r="C12782" t="s">
        <v>71</v>
      </c>
      <c r="D12782" t="s">
        <v>17</v>
      </c>
      <c r="E12782" s="6">
        <v>-28129</v>
      </c>
      <c r="F12782" t="s">
        <v>599</v>
      </c>
      <c r="G12782" t="s">
        <v>35</v>
      </c>
      <c r="H12782" t="s">
        <v>20</v>
      </c>
      <c r="I12782" t="s">
        <v>24807</v>
      </c>
      <c r="J12782" t="str">
        <f>HYPERLINK("https://www.boe.es/gazeta/dias/1822/12/25/pdfs/GMD-1822-375.pdf#page=2","Abrir facsímil")</f>
        <v>Abrir facsímil</v>
      </c>
      <c r="K12782" t="s">
        <v>22</v>
      </c>
    </row>
    <row r="12783" spans="1:11" ht="42" customHeight="1">
      <c r="A12783" t="s">
        <v>24808</v>
      </c>
      <c r="B12783" t="s">
        <v>24809</v>
      </c>
      <c r="C12783" t="s">
        <v>28</v>
      </c>
      <c r="D12783" t="s">
        <v>29</v>
      </c>
      <c r="E12783" s="6">
        <v>-28415</v>
      </c>
      <c r="F12783" t="s">
        <v>77</v>
      </c>
      <c r="G12783" t="s">
        <v>19</v>
      </c>
      <c r="H12783" t="s">
        <v>20</v>
      </c>
      <c r="I12783" t="s">
        <v>24810</v>
      </c>
      <c r="J12783" t="str">
        <f>HYPERLINK("https://www.boe.es/gazeta/dias/1822/03/14/pdfs/GMD-1822-75.pdf#page=5","Abrir facsímil")</f>
        <v>Abrir facsímil</v>
      </c>
      <c r="K12783" t="s">
        <v>22</v>
      </c>
    </row>
    <row r="12784" spans="1:11" ht="42" customHeight="1">
      <c r="A12784" t="s">
        <v>24811</v>
      </c>
      <c r="B12784" t="s">
        <v>24811</v>
      </c>
      <c r="C12784" t="s">
        <v>50</v>
      </c>
      <c r="D12784" t="s">
        <v>51</v>
      </c>
      <c r="E12784" s="6">
        <v>-28397</v>
      </c>
      <c r="F12784" t="s">
        <v>1401</v>
      </c>
      <c r="G12784" t="s">
        <v>63</v>
      </c>
      <c r="H12784" t="s">
        <v>20</v>
      </c>
      <c r="I12784" t="s">
        <v>24812</v>
      </c>
      <c r="J12784" t="str">
        <f>HYPERLINK("https://www.boe.es/gazeta/dias/1822/04/01/pdfs/GMD-1822-93.pdf#page=6","Abrir facsímil")</f>
        <v>Abrir facsímil</v>
      </c>
      <c r="K12784" t="s">
        <v>22</v>
      </c>
    </row>
    <row r="12785" spans="1:11" ht="42" customHeight="1">
      <c r="A12785" t="s">
        <v>24813</v>
      </c>
      <c r="B12785" t="s">
        <v>24813</v>
      </c>
      <c r="C12785" t="s">
        <v>28</v>
      </c>
      <c r="D12785" t="s">
        <v>29</v>
      </c>
      <c r="E12785" s="6">
        <v>-28436</v>
      </c>
      <c r="F12785" t="s">
        <v>431</v>
      </c>
      <c r="G12785" t="s">
        <v>57</v>
      </c>
      <c r="H12785" t="s">
        <v>20</v>
      </c>
      <c r="I12785" t="s">
        <v>24814</v>
      </c>
      <c r="J12785" t="str">
        <f>HYPERLINK("https://www.boe.es/gazeta/dias/1822/02/21/pdfs/GMD-1822-53.pdf#page=4","Abrir facsímil")</f>
        <v>Abrir facsímil</v>
      </c>
      <c r="K12785" t="s">
        <v>22</v>
      </c>
    </row>
    <row r="12786" spans="1:11" ht="42" customHeight="1">
      <c r="A12786" t="s">
        <v>24813</v>
      </c>
      <c r="B12786" t="s">
        <v>24813</v>
      </c>
      <c r="C12786" t="s">
        <v>28</v>
      </c>
      <c r="D12786" t="s">
        <v>29</v>
      </c>
      <c r="E12786" s="6">
        <v>-28431</v>
      </c>
      <c r="F12786" t="s">
        <v>1258</v>
      </c>
      <c r="G12786" t="s">
        <v>31</v>
      </c>
      <c r="H12786" t="s">
        <v>20</v>
      </c>
      <c r="I12786" t="s">
        <v>24815</v>
      </c>
      <c r="J12786" t="str">
        <f>HYPERLINK("https://www.boe.es/gazeta/dias/1822/02/26/pdfs/GMD-1822-58.pdf#page=3","Abrir facsímil")</f>
        <v>Abrir facsímil</v>
      </c>
      <c r="K12786" t="s">
        <v>22</v>
      </c>
    </row>
    <row r="12787" spans="1:11" ht="42" customHeight="1">
      <c r="A12787" t="s">
        <v>24813</v>
      </c>
      <c r="B12787" t="s">
        <v>24813</v>
      </c>
      <c r="C12787" t="s">
        <v>16</v>
      </c>
      <c r="D12787" t="s">
        <v>17</v>
      </c>
      <c r="E12787" s="6">
        <v>-28423</v>
      </c>
      <c r="F12787" t="s">
        <v>441</v>
      </c>
      <c r="G12787" t="s">
        <v>19</v>
      </c>
      <c r="H12787" t="s">
        <v>20</v>
      </c>
      <c r="I12787" t="s">
        <v>24816</v>
      </c>
      <c r="J12787" t="str">
        <f>HYPERLINK("https://www.boe.es/gazeta/dias/1822/03/06/pdfs/GMD-1822-67.pdf#page=5","Abrir facsímil")</f>
        <v>Abrir facsímil</v>
      </c>
      <c r="K12787" t="s">
        <v>22</v>
      </c>
    </row>
    <row r="12788" spans="1:11" ht="42" customHeight="1">
      <c r="A12788" t="s">
        <v>24813</v>
      </c>
      <c r="B12788" t="s">
        <v>24813</v>
      </c>
      <c r="C12788" t="s">
        <v>28</v>
      </c>
      <c r="D12788" t="s">
        <v>29</v>
      </c>
      <c r="E12788" s="6">
        <v>-28403</v>
      </c>
      <c r="F12788" t="s">
        <v>471</v>
      </c>
      <c r="G12788" t="s">
        <v>19</v>
      </c>
      <c r="H12788" t="s">
        <v>20</v>
      </c>
      <c r="I12788" t="s">
        <v>24817</v>
      </c>
      <c r="J12788" t="str">
        <f>HYPERLINK("https://www.boe.es/gazeta/dias/1822/03/26/pdfs/GMD-1822-87.pdf#page=5","Abrir facsímil")</f>
        <v>Abrir facsímil</v>
      </c>
      <c r="K12788" t="s">
        <v>22</v>
      </c>
    </row>
    <row r="12789" spans="1:11" ht="42" customHeight="1">
      <c r="A12789" t="s">
        <v>24813</v>
      </c>
      <c r="B12789" t="s">
        <v>24813</v>
      </c>
      <c r="C12789" t="s">
        <v>71</v>
      </c>
      <c r="D12789" t="s">
        <v>17</v>
      </c>
      <c r="E12789" s="6">
        <v>-28399</v>
      </c>
      <c r="F12789" t="s">
        <v>476</v>
      </c>
      <c r="G12789" t="s">
        <v>35</v>
      </c>
      <c r="H12789" t="s">
        <v>20</v>
      </c>
      <c r="I12789" t="s">
        <v>24818</v>
      </c>
      <c r="J12789" t="str">
        <f>HYPERLINK("https://www.boe.es/gazeta/dias/1822/03/30/pdfs/GMD-1822-91.pdf#page=2","Abrir facsímil")</f>
        <v>Abrir facsímil</v>
      </c>
      <c r="K12789" t="s">
        <v>22</v>
      </c>
    </row>
    <row r="12790" spans="1:11" ht="42" customHeight="1">
      <c r="A12790" t="s">
        <v>24813</v>
      </c>
      <c r="B12790" t="s">
        <v>24813</v>
      </c>
      <c r="C12790" t="s">
        <v>42</v>
      </c>
      <c r="D12790" t="s">
        <v>17</v>
      </c>
      <c r="E12790" s="6">
        <v>-28384</v>
      </c>
      <c r="F12790" t="s">
        <v>258</v>
      </c>
      <c r="G12790" t="s">
        <v>57</v>
      </c>
      <c r="H12790" t="s">
        <v>20</v>
      </c>
      <c r="I12790" t="s">
        <v>24819</v>
      </c>
      <c r="J12790" t="str">
        <f>HYPERLINK("https://www.boe.es/gazeta/dias/1822/04/14/pdfs/GMD-1822-106.pdf#page=4","Abrir facsímil")</f>
        <v>Abrir facsímil</v>
      </c>
      <c r="K12790" t="s">
        <v>22</v>
      </c>
    </row>
    <row r="12791" spans="1:11" ht="42" customHeight="1">
      <c r="A12791" t="s">
        <v>24813</v>
      </c>
      <c r="B12791" t="s">
        <v>24813</v>
      </c>
      <c r="C12791" t="s">
        <v>42</v>
      </c>
      <c r="D12791" t="s">
        <v>17</v>
      </c>
      <c r="E12791" s="6">
        <v>-28382</v>
      </c>
      <c r="F12791" t="s">
        <v>973</v>
      </c>
      <c r="G12791" t="s">
        <v>57</v>
      </c>
      <c r="H12791" t="s">
        <v>20</v>
      </c>
      <c r="I12791" t="s">
        <v>24820</v>
      </c>
      <c r="J12791" t="str">
        <f>HYPERLINK("https://www.boe.es/gazeta/dias/1822/04/16/pdfs/GMD-1822-108.pdf#page=4","Abrir facsímil")</f>
        <v>Abrir facsímil</v>
      </c>
      <c r="K12791" t="s">
        <v>22</v>
      </c>
    </row>
    <row r="12792" spans="1:11" ht="42" customHeight="1">
      <c r="A12792" t="s">
        <v>24813</v>
      </c>
      <c r="B12792" t="s">
        <v>24813</v>
      </c>
      <c r="C12792" t="s">
        <v>28</v>
      </c>
      <c r="D12792" t="s">
        <v>29</v>
      </c>
      <c r="E12792" s="6">
        <v>-28359</v>
      </c>
      <c r="F12792" t="s">
        <v>209</v>
      </c>
      <c r="G12792" t="s">
        <v>19</v>
      </c>
      <c r="H12792" t="s">
        <v>20</v>
      </c>
      <c r="I12792" t="s">
        <v>24821</v>
      </c>
      <c r="J12792" t="str">
        <f>HYPERLINK("https://www.boe.es/gazeta/dias/1822/05/09/pdfs/GMD-1822-131.pdf#page=5","Abrir facsímil")</f>
        <v>Abrir facsímil</v>
      </c>
      <c r="K12792" t="s">
        <v>22</v>
      </c>
    </row>
    <row r="12793" spans="1:11" ht="42" customHeight="1">
      <c r="A12793" t="s">
        <v>24813</v>
      </c>
      <c r="B12793" t="s">
        <v>24813</v>
      </c>
      <c r="C12793" t="s">
        <v>16</v>
      </c>
      <c r="D12793" t="s">
        <v>17</v>
      </c>
      <c r="E12793" s="6">
        <v>-28354</v>
      </c>
      <c r="F12793" t="s">
        <v>226</v>
      </c>
      <c r="G12793" t="s">
        <v>57</v>
      </c>
      <c r="H12793" t="s">
        <v>20</v>
      </c>
      <c r="I12793" t="s">
        <v>24822</v>
      </c>
      <c r="J12793" t="str">
        <f>HYPERLINK("https://www.boe.es/gazeta/dias/1822/05/14/pdfs/GMD-1822-136.pdf#page=4","Abrir facsímil")</f>
        <v>Abrir facsímil</v>
      </c>
      <c r="K12793" t="s">
        <v>22</v>
      </c>
    </row>
    <row r="12794" spans="1:11" ht="42" customHeight="1">
      <c r="A12794" t="s">
        <v>24813</v>
      </c>
      <c r="B12794" t="s">
        <v>24813</v>
      </c>
      <c r="C12794" t="s">
        <v>16</v>
      </c>
      <c r="D12794" t="s">
        <v>17</v>
      </c>
      <c r="E12794" s="6">
        <v>-28351</v>
      </c>
      <c r="F12794" t="s">
        <v>282</v>
      </c>
      <c r="G12794" t="s">
        <v>44</v>
      </c>
      <c r="H12794" t="s">
        <v>20</v>
      </c>
      <c r="I12794" t="s">
        <v>24823</v>
      </c>
      <c r="J12794" t="str">
        <f>HYPERLINK("https://www.boe.es/gazeta/dias/1822/05/17/pdfs/GMD-1822-139.pdf#page=1","Abrir facsímil")</f>
        <v>Abrir facsímil</v>
      </c>
      <c r="K12794" t="s">
        <v>22</v>
      </c>
    </row>
    <row r="12795" spans="1:11" ht="42" customHeight="1">
      <c r="A12795" t="s">
        <v>24813</v>
      </c>
      <c r="B12795" t="s">
        <v>24813</v>
      </c>
      <c r="C12795" t="s">
        <v>42</v>
      </c>
      <c r="D12795" t="s">
        <v>17</v>
      </c>
      <c r="E12795" s="6">
        <v>-28350</v>
      </c>
      <c r="F12795" t="s">
        <v>352</v>
      </c>
      <c r="G12795" t="s">
        <v>57</v>
      </c>
      <c r="H12795" t="s">
        <v>20</v>
      </c>
      <c r="I12795" t="s">
        <v>24824</v>
      </c>
      <c r="J12795" t="str">
        <f>HYPERLINK("https://www.boe.es/gazeta/dias/1822/05/18/pdfs/GMD-1822-140.pdf#page=4","Abrir facsímil")</f>
        <v>Abrir facsímil</v>
      </c>
      <c r="K12795" t="s">
        <v>22</v>
      </c>
    </row>
    <row r="12796" spans="1:11" ht="42" customHeight="1">
      <c r="A12796" t="s">
        <v>24813</v>
      </c>
      <c r="B12796" t="s">
        <v>24813</v>
      </c>
      <c r="C12796" t="s">
        <v>28</v>
      </c>
      <c r="D12796" t="s">
        <v>29</v>
      </c>
      <c r="E12796" s="6">
        <v>-28350</v>
      </c>
      <c r="F12796" t="s">
        <v>352</v>
      </c>
      <c r="G12796" t="s">
        <v>19</v>
      </c>
      <c r="H12796" t="s">
        <v>20</v>
      </c>
      <c r="I12796" t="s">
        <v>24825</v>
      </c>
      <c r="J12796" t="str">
        <f>HYPERLINK("https://www.boe.es/gazeta/dias/1822/05/18/pdfs/GMD-1822-140.pdf#page=5","Abrir facsímil")</f>
        <v>Abrir facsímil</v>
      </c>
      <c r="K12796" t="s">
        <v>22</v>
      </c>
    </row>
    <row r="12797" spans="1:11" ht="42" customHeight="1">
      <c r="A12797" t="s">
        <v>24813</v>
      </c>
      <c r="B12797" t="s">
        <v>24813</v>
      </c>
      <c r="C12797" t="s">
        <v>28</v>
      </c>
      <c r="D12797" t="s">
        <v>29</v>
      </c>
      <c r="E12797" s="6">
        <v>-28349</v>
      </c>
      <c r="F12797" t="s">
        <v>518</v>
      </c>
      <c r="G12797" t="s">
        <v>35</v>
      </c>
      <c r="H12797" t="s">
        <v>20</v>
      </c>
      <c r="I12797" t="s">
        <v>24826</v>
      </c>
      <c r="J12797" t="str">
        <f>HYPERLINK("https://www.boe.es/gazeta/dias/1822/05/19/pdfs/GMD-1822-141.pdf#page=2","Abrir facsímil")</f>
        <v>Abrir facsímil</v>
      </c>
      <c r="K12797" t="s">
        <v>22</v>
      </c>
    </row>
    <row r="12798" spans="1:11" ht="42" customHeight="1">
      <c r="A12798" t="s">
        <v>24813</v>
      </c>
      <c r="B12798" t="s">
        <v>24813</v>
      </c>
      <c r="C12798" t="s">
        <v>71</v>
      </c>
      <c r="D12798" t="s">
        <v>17</v>
      </c>
      <c r="E12798" s="6">
        <v>-28346</v>
      </c>
      <c r="F12798" t="s">
        <v>191</v>
      </c>
      <c r="G12798" t="s">
        <v>31</v>
      </c>
      <c r="H12798" t="s">
        <v>20</v>
      </c>
      <c r="I12798" t="s">
        <v>24827</v>
      </c>
      <c r="J12798" t="str">
        <f>HYPERLINK("https://www.boe.es/gazeta/dias/1822/05/22/pdfs/GMD-1822-145.pdf#page=3","Abrir facsímil")</f>
        <v>Abrir facsímil</v>
      </c>
      <c r="K12798" t="s">
        <v>22</v>
      </c>
    </row>
    <row r="12799" spans="1:11" ht="42" customHeight="1">
      <c r="A12799" t="s">
        <v>24813</v>
      </c>
      <c r="B12799" t="s">
        <v>24813</v>
      </c>
      <c r="C12799" t="s">
        <v>28</v>
      </c>
      <c r="D12799" t="s">
        <v>29</v>
      </c>
      <c r="E12799" s="6">
        <v>-28344</v>
      </c>
      <c r="F12799" t="s">
        <v>524</v>
      </c>
      <c r="G12799" t="s">
        <v>57</v>
      </c>
      <c r="H12799" t="s">
        <v>20</v>
      </c>
      <c r="I12799" t="s">
        <v>24828</v>
      </c>
      <c r="J12799" t="str">
        <f>HYPERLINK("https://www.boe.es/gazeta/dias/1822/05/24/pdfs/GMD-1822-148.pdf#page=4","Abrir facsímil")</f>
        <v>Abrir facsímil</v>
      </c>
      <c r="K12799" t="s">
        <v>22</v>
      </c>
    </row>
    <row r="12800" spans="1:11" ht="42" customHeight="1">
      <c r="A12800" t="s">
        <v>24813</v>
      </c>
      <c r="B12800" t="s">
        <v>24813</v>
      </c>
      <c r="C12800" t="s">
        <v>28</v>
      </c>
      <c r="D12800" t="s">
        <v>29</v>
      </c>
      <c r="E12800" s="6">
        <v>-28343</v>
      </c>
      <c r="F12800" t="s">
        <v>1019</v>
      </c>
      <c r="G12800" t="s">
        <v>35</v>
      </c>
      <c r="H12800" t="s">
        <v>20</v>
      </c>
      <c r="I12800" t="s">
        <v>24829</v>
      </c>
      <c r="J12800" t="str">
        <f>HYPERLINK("https://www.boe.es/gazeta/dias/1822/05/25/pdfs/GMD-1822-150.pdf#page=2","Abrir facsímil")</f>
        <v>Abrir facsímil</v>
      </c>
      <c r="K12800" t="s">
        <v>22</v>
      </c>
    </row>
    <row r="12801" spans="1:11" ht="42" customHeight="1">
      <c r="A12801" t="s">
        <v>24813</v>
      </c>
      <c r="B12801" t="s">
        <v>24813</v>
      </c>
      <c r="C12801" t="s">
        <v>28</v>
      </c>
      <c r="D12801" t="s">
        <v>29</v>
      </c>
      <c r="E12801" s="6">
        <v>-28337</v>
      </c>
      <c r="F12801" t="s">
        <v>1836</v>
      </c>
      <c r="G12801" t="s">
        <v>35</v>
      </c>
      <c r="H12801" t="s">
        <v>20</v>
      </c>
      <c r="I12801" t="s">
        <v>24830</v>
      </c>
      <c r="J12801" t="str">
        <f>HYPERLINK("https://www.boe.es/gazeta/dias/1822/05/31/pdfs/GMD-1822-156.pdf#page=2","Abrir facsímil")</f>
        <v>Abrir facsímil</v>
      </c>
      <c r="K12801" t="s">
        <v>22</v>
      </c>
    </row>
    <row r="12802" spans="1:11" ht="42" customHeight="1">
      <c r="A12802" t="s">
        <v>24813</v>
      </c>
      <c r="B12802" t="s">
        <v>24813</v>
      </c>
      <c r="C12802" t="s">
        <v>50</v>
      </c>
      <c r="D12802" t="s">
        <v>51</v>
      </c>
      <c r="E12802" s="6">
        <v>-28334</v>
      </c>
      <c r="F12802" t="s">
        <v>532</v>
      </c>
      <c r="G12802" t="s">
        <v>35</v>
      </c>
      <c r="H12802" t="s">
        <v>20</v>
      </c>
      <c r="I12802" t="s">
        <v>24831</v>
      </c>
      <c r="J12802" t="str">
        <f>HYPERLINK("https://www.boe.es/gazeta/dias/1822/06/03/pdfs/GMD-1822-159.pdf#page=2","Abrir facsímil")</f>
        <v>Abrir facsímil</v>
      </c>
      <c r="K12802" t="s">
        <v>22</v>
      </c>
    </row>
    <row r="12803" spans="1:11" ht="42" customHeight="1">
      <c r="A12803" t="s">
        <v>24813</v>
      </c>
      <c r="B12803" t="s">
        <v>24813</v>
      </c>
      <c r="C12803" t="s">
        <v>28</v>
      </c>
      <c r="D12803" t="s">
        <v>29</v>
      </c>
      <c r="E12803" s="6">
        <v>-28331</v>
      </c>
      <c r="F12803" t="s">
        <v>537</v>
      </c>
      <c r="G12803" t="s">
        <v>31</v>
      </c>
      <c r="H12803" t="s">
        <v>20</v>
      </c>
      <c r="I12803" t="s">
        <v>24832</v>
      </c>
      <c r="J12803" t="str">
        <f>HYPERLINK("https://www.boe.es/gazeta/dias/1822/06/06/pdfs/GMD-1822-163.pdf#page=3","Abrir facsímil")</f>
        <v>Abrir facsímil</v>
      </c>
      <c r="K12803" t="s">
        <v>22</v>
      </c>
    </row>
    <row r="12804" spans="1:11" ht="42" customHeight="1">
      <c r="A12804" t="s">
        <v>24813</v>
      </c>
      <c r="B12804" t="s">
        <v>24813</v>
      </c>
      <c r="C12804" t="s">
        <v>24</v>
      </c>
      <c r="D12804" t="s">
        <v>17</v>
      </c>
      <c r="E12804" s="6">
        <v>-28319</v>
      </c>
      <c r="F12804" t="s">
        <v>271</v>
      </c>
      <c r="G12804" t="s">
        <v>31</v>
      </c>
      <c r="H12804" t="s">
        <v>20</v>
      </c>
      <c r="I12804" t="s">
        <v>24833</v>
      </c>
      <c r="J12804" t="str">
        <f>HYPERLINK("https://www.boe.es/gazeta/dias/1822/06/18/pdfs/GMD-1822-175.pdf#page=3","Abrir facsímil")</f>
        <v>Abrir facsímil</v>
      </c>
      <c r="K12804" t="s">
        <v>22</v>
      </c>
    </row>
    <row r="12805" spans="1:11" ht="42" customHeight="1">
      <c r="A12805" t="s">
        <v>24813</v>
      </c>
      <c r="B12805" t="s">
        <v>24813</v>
      </c>
      <c r="C12805" t="s">
        <v>42</v>
      </c>
      <c r="D12805" t="s">
        <v>17</v>
      </c>
      <c r="E12805" s="6">
        <v>-28203</v>
      </c>
      <c r="F12805" t="s">
        <v>564</v>
      </c>
      <c r="G12805" t="s">
        <v>31</v>
      </c>
      <c r="H12805" t="s">
        <v>20</v>
      </c>
      <c r="I12805" t="s">
        <v>24834</v>
      </c>
      <c r="J12805" t="str">
        <f>HYPERLINK("https://www.boe.es/gazeta/dias/1822/10/12/pdfs/GMD-1822-299.pdf#page=3","Abrir facsímil")</f>
        <v>Abrir facsímil</v>
      </c>
      <c r="K12805" t="s">
        <v>22</v>
      </c>
    </row>
    <row r="12806" spans="1:11" ht="42" customHeight="1">
      <c r="A12806" t="s">
        <v>24813</v>
      </c>
      <c r="B12806" t="s">
        <v>24813</v>
      </c>
      <c r="C12806" t="s">
        <v>50</v>
      </c>
      <c r="D12806" t="s">
        <v>51</v>
      </c>
      <c r="E12806" s="6">
        <v>-28201</v>
      </c>
      <c r="F12806" t="s">
        <v>163</v>
      </c>
      <c r="G12806" t="s">
        <v>57</v>
      </c>
      <c r="H12806" t="s">
        <v>20</v>
      </c>
      <c r="I12806" t="s">
        <v>24835</v>
      </c>
      <c r="J12806" t="str">
        <f>HYPERLINK("https://www.boe.es/gazeta/dias/1822/10/14/pdfs/GMD-1822-301.pdf#page=4","Abrir facsímil")</f>
        <v>Abrir facsímil</v>
      </c>
      <c r="K12806" t="s">
        <v>22</v>
      </c>
    </row>
    <row r="12807" spans="1:11" ht="42" customHeight="1">
      <c r="A12807" t="s">
        <v>24813</v>
      </c>
      <c r="B12807" t="s">
        <v>24813</v>
      </c>
      <c r="C12807" t="s">
        <v>71</v>
      </c>
      <c r="D12807" t="s">
        <v>17</v>
      </c>
      <c r="E12807" s="6">
        <v>-28199</v>
      </c>
      <c r="F12807" t="s">
        <v>656</v>
      </c>
      <c r="G12807" t="s">
        <v>35</v>
      </c>
      <c r="H12807" t="s">
        <v>20</v>
      </c>
      <c r="I12807" t="s">
        <v>24836</v>
      </c>
      <c r="J12807" t="str">
        <f>HYPERLINK("https://www.boe.es/gazeta/dias/1822/10/16/pdfs/GMD-1822-303.pdf#page=2","Abrir facsímil")</f>
        <v>Abrir facsímil</v>
      </c>
      <c r="K12807" t="s">
        <v>22</v>
      </c>
    </row>
    <row r="12808" spans="1:11" ht="42" customHeight="1">
      <c r="A12808" t="s">
        <v>24813</v>
      </c>
      <c r="B12808" t="s">
        <v>24813</v>
      </c>
      <c r="C12808" t="s">
        <v>28</v>
      </c>
      <c r="D12808" t="s">
        <v>29</v>
      </c>
      <c r="E12808" s="6">
        <v>-28198</v>
      </c>
      <c r="F12808" t="s">
        <v>981</v>
      </c>
      <c r="G12808" t="s">
        <v>31</v>
      </c>
      <c r="H12808" t="s">
        <v>20</v>
      </c>
      <c r="I12808" t="s">
        <v>24837</v>
      </c>
      <c r="J12808" t="str">
        <f>HYPERLINK("https://www.boe.es/gazeta/dias/1822/10/17/pdfs/GMD-1822-304.pdf#page=3","Abrir facsímil")</f>
        <v>Abrir facsímil</v>
      </c>
      <c r="K12808" t="s">
        <v>22</v>
      </c>
    </row>
    <row r="12809" spans="1:11" ht="42" customHeight="1">
      <c r="A12809" t="s">
        <v>24813</v>
      </c>
      <c r="B12809" t="s">
        <v>24813</v>
      </c>
      <c r="C12809" t="s">
        <v>42</v>
      </c>
      <c r="D12809" t="s">
        <v>17</v>
      </c>
      <c r="E12809" s="6">
        <v>-28186</v>
      </c>
      <c r="F12809" t="s">
        <v>581</v>
      </c>
      <c r="G12809" t="s">
        <v>35</v>
      </c>
      <c r="H12809" t="s">
        <v>20</v>
      </c>
      <c r="I12809" t="s">
        <v>24838</v>
      </c>
      <c r="J12809" t="str">
        <f>HYPERLINK("https://www.boe.es/gazeta/dias/1822/10/29/pdfs/GMD-1822-316.pdf#page=2","Abrir facsímil")</f>
        <v>Abrir facsímil</v>
      </c>
      <c r="K12809" t="s">
        <v>22</v>
      </c>
    </row>
    <row r="12810" spans="1:11" ht="42" customHeight="1">
      <c r="A12810" t="s">
        <v>24813</v>
      </c>
      <c r="B12810" t="s">
        <v>24813</v>
      </c>
      <c r="C12810" t="s">
        <v>42</v>
      </c>
      <c r="D12810" t="s">
        <v>17</v>
      </c>
      <c r="E12810" s="6">
        <v>-28168</v>
      </c>
      <c r="F12810" t="s">
        <v>3672</v>
      </c>
      <c r="G12810" t="s">
        <v>44</v>
      </c>
      <c r="H12810" t="s">
        <v>20</v>
      </c>
      <c r="I12810" t="s">
        <v>24839</v>
      </c>
      <c r="J12810" t="str">
        <f>HYPERLINK("https://www.boe.es/gazeta/dias/1822/11/16/pdfs/GMD-1822-336.pdf#page=1","Abrir facsímil")</f>
        <v>Abrir facsímil</v>
      </c>
      <c r="K12810" t="s">
        <v>22</v>
      </c>
    </row>
    <row r="12811" spans="1:11" ht="42" customHeight="1">
      <c r="A12811" t="s">
        <v>24813</v>
      </c>
      <c r="B12811" t="s">
        <v>24813</v>
      </c>
      <c r="C12811" t="s">
        <v>71</v>
      </c>
      <c r="D12811" t="s">
        <v>17</v>
      </c>
      <c r="E12811" s="6">
        <v>-28155</v>
      </c>
      <c r="F12811" t="s">
        <v>833</v>
      </c>
      <c r="G12811" t="s">
        <v>35</v>
      </c>
      <c r="H12811" t="s">
        <v>20</v>
      </c>
      <c r="I12811" t="s">
        <v>24840</v>
      </c>
      <c r="J12811" t="str">
        <f>HYPERLINK("https://www.boe.es/gazeta/dias/1822/11/29/pdfs/GMD-1822-349.pdf#page=2","Abrir facsímil")</f>
        <v>Abrir facsímil</v>
      </c>
      <c r="K12811" t="s">
        <v>22</v>
      </c>
    </row>
    <row r="12812" spans="1:11" ht="42" customHeight="1">
      <c r="A12812" t="s">
        <v>24841</v>
      </c>
      <c r="B12812" t="s">
        <v>24842</v>
      </c>
      <c r="C12812" t="s">
        <v>28</v>
      </c>
      <c r="D12812" t="s">
        <v>29</v>
      </c>
      <c r="E12812" s="6">
        <v>-28436</v>
      </c>
      <c r="F12812" t="s">
        <v>431</v>
      </c>
      <c r="G12812" t="s">
        <v>57</v>
      </c>
      <c r="H12812" t="s">
        <v>20</v>
      </c>
      <c r="I12812" t="s">
        <v>24843</v>
      </c>
      <c r="J12812" t="str">
        <f>HYPERLINK("https://www.boe.es/gazeta/dias/1822/02/21/pdfs/GMD-1822-53.pdf#page=4","Abrir facsímil")</f>
        <v>Abrir facsímil</v>
      </c>
      <c r="K12812" t="s">
        <v>22</v>
      </c>
    </row>
    <row r="12813" spans="1:11" ht="42" customHeight="1">
      <c r="A12813" t="s">
        <v>24844</v>
      </c>
      <c r="B12813" t="s">
        <v>24844</v>
      </c>
      <c r="C12813" t="s">
        <v>28</v>
      </c>
      <c r="D12813" t="s">
        <v>29</v>
      </c>
      <c r="E12813" s="6">
        <v>-28441</v>
      </c>
      <c r="F12813" t="s">
        <v>429</v>
      </c>
      <c r="G12813" t="s">
        <v>31</v>
      </c>
      <c r="H12813" t="s">
        <v>20</v>
      </c>
      <c r="I12813" t="s">
        <v>24845</v>
      </c>
      <c r="J12813" t="str">
        <f>HYPERLINK("https://www.boe.es/gazeta/dias/1822/02/16/pdfs/GMD-1822-48.pdf#page=3","Abrir facsímil")</f>
        <v>Abrir facsímil</v>
      </c>
      <c r="K12813" t="s">
        <v>22</v>
      </c>
    </row>
    <row r="12814" spans="1:11" ht="42" customHeight="1">
      <c r="A12814" t="s">
        <v>24846</v>
      </c>
      <c r="B12814" t="s">
        <v>24846</v>
      </c>
      <c r="C12814" t="s">
        <v>50</v>
      </c>
      <c r="D12814" t="s">
        <v>51</v>
      </c>
      <c r="E12814" s="6">
        <v>-28385</v>
      </c>
      <c r="F12814" t="s">
        <v>484</v>
      </c>
      <c r="G12814" t="s">
        <v>35</v>
      </c>
      <c r="H12814" t="s">
        <v>20</v>
      </c>
      <c r="I12814" t="s">
        <v>24847</v>
      </c>
      <c r="J12814" t="str">
        <f>HYPERLINK("https://www.boe.es/gazeta/dias/1822/04/13/pdfs/GMD-1822-105.pdf#page=2","Abrir facsímil")</f>
        <v>Abrir facsímil</v>
      </c>
      <c r="K12814" t="s">
        <v>22</v>
      </c>
    </row>
    <row r="12815" spans="1:11" ht="42" customHeight="1">
      <c r="A12815" t="s">
        <v>24846</v>
      </c>
      <c r="B12815" t="s">
        <v>24846</v>
      </c>
      <c r="C12815" t="s">
        <v>71</v>
      </c>
      <c r="D12815" t="s">
        <v>17</v>
      </c>
      <c r="E12815" s="6">
        <v>-28365</v>
      </c>
      <c r="F12815" t="s">
        <v>506</v>
      </c>
      <c r="G12815" t="s">
        <v>35</v>
      </c>
      <c r="H12815" t="s">
        <v>20</v>
      </c>
      <c r="I12815" t="s">
        <v>24848</v>
      </c>
      <c r="J12815" t="str">
        <f>HYPERLINK("https://www.boe.es/gazeta/dias/1822/05/03/pdfs/GMD-1822-125.pdf#page=2","Abrir facsímil")</f>
        <v>Abrir facsímil</v>
      </c>
      <c r="K12815" t="s">
        <v>22</v>
      </c>
    </row>
    <row r="12816" spans="1:11" ht="42" customHeight="1">
      <c r="A12816" t="s">
        <v>24846</v>
      </c>
      <c r="B12816" t="s">
        <v>24846</v>
      </c>
      <c r="C12816" t="s">
        <v>28</v>
      </c>
      <c r="D12816" t="s">
        <v>29</v>
      </c>
      <c r="E12816" s="6">
        <v>-28355</v>
      </c>
      <c r="F12816" t="s">
        <v>692</v>
      </c>
      <c r="G12816" t="s">
        <v>19</v>
      </c>
      <c r="H12816" t="s">
        <v>20</v>
      </c>
      <c r="I12816" t="s">
        <v>24849</v>
      </c>
      <c r="J12816" t="str">
        <f>HYPERLINK("https://www.boe.es/gazeta/dias/1822/05/13/pdfs/GMD-1822-135.pdf#page=5","Abrir facsímil")</f>
        <v>Abrir facsímil</v>
      </c>
      <c r="K12816" t="s">
        <v>22</v>
      </c>
    </row>
    <row r="12817" spans="1:11" ht="42" customHeight="1">
      <c r="A12817" t="s">
        <v>24846</v>
      </c>
      <c r="B12817" t="s">
        <v>24846</v>
      </c>
      <c r="C12817" t="s">
        <v>50</v>
      </c>
      <c r="D12817" t="s">
        <v>51</v>
      </c>
      <c r="E12817" s="6">
        <v>-28196</v>
      </c>
      <c r="F12817" t="s">
        <v>570</v>
      </c>
      <c r="G12817" t="s">
        <v>31</v>
      </c>
      <c r="H12817" t="s">
        <v>20</v>
      </c>
      <c r="I12817" t="s">
        <v>24850</v>
      </c>
      <c r="J12817" t="str">
        <f>HYPERLINK("https://www.boe.es/gazeta/dias/1822/10/19/pdfs/GMD-1822-306.pdf#page=3","Abrir facsímil")</f>
        <v>Abrir facsímil</v>
      </c>
      <c r="K12817" t="s">
        <v>22</v>
      </c>
    </row>
    <row r="12818" spans="1:11" ht="42" customHeight="1">
      <c r="A12818" t="s">
        <v>24846</v>
      </c>
      <c r="B12818" t="s">
        <v>24846</v>
      </c>
      <c r="C12818" t="s">
        <v>50</v>
      </c>
      <c r="D12818" t="s">
        <v>51</v>
      </c>
      <c r="E12818" s="6">
        <v>-28182</v>
      </c>
      <c r="F12818" t="s">
        <v>585</v>
      </c>
      <c r="G12818" t="s">
        <v>44</v>
      </c>
      <c r="H12818" t="s">
        <v>20</v>
      </c>
      <c r="I12818" t="s">
        <v>24851</v>
      </c>
      <c r="J12818" t="str">
        <f>HYPERLINK("https://www.boe.es/gazeta/dias/1822/11/02/pdfs/GMD-1822-320.pdf#page=1","Abrir facsímil")</f>
        <v>Abrir facsímil</v>
      </c>
      <c r="K12818" t="s">
        <v>22</v>
      </c>
    </row>
    <row r="12819" spans="1:11" ht="42" customHeight="1">
      <c r="A12819" t="s">
        <v>24846</v>
      </c>
      <c r="B12819" t="s">
        <v>24846</v>
      </c>
      <c r="C12819" t="s">
        <v>28</v>
      </c>
      <c r="D12819" t="s">
        <v>29</v>
      </c>
      <c r="E12819" s="6">
        <v>-28175</v>
      </c>
      <c r="F12819" t="s">
        <v>341</v>
      </c>
      <c r="G12819" t="s">
        <v>57</v>
      </c>
      <c r="H12819" t="s">
        <v>20</v>
      </c>
      <c r="I12819" t="s">
        <v>24852</v>
      </c>
      <c r="J12819" t="str">
        <f>HYPERLINK("https://www.boe.es/gazeta/dias/1822/11/09/pdfs/GMD-1822-329.pdf#page=4","Abrir facsímil")</f>
        <v>Abrir facsímil</v>
      </c>
      <c r="K12819" t="s">
        <v>22</v>
      </c>
    </row>
    <row r="12820" spans="1:11" ht="42" customHeight="1">
      <c r="A12820" t="s">
        <v>24853</v>
      </c>
      <c r="B12820" t="s">
        <v>24854</v>
      </c>
      <c r="C12820" t="s">
        <v>28</v>
      </c>
      <c r="D12820" t="s">
        <v>29</v>
      </c>
      <c r="E12820" s="6">
        <v>-28394</v>
      </c>
      <c r="F12820" t="s">
        <v>268</v>
      </c>
      <c r="G12820" t="s">
        <v>57</v>
      </c>
      <c r="H12820" t="s">
        <v>20</v>
      </c>
      <c r="I12820" t="s">
        <v>24855</v>
      </c>
      <c r="J12820" t="str">
        <f>HYPERLINK("https://www.boe.es/gazeta/dias/1822/04/04/pdfs/GMD-1822-96.pdf#page=4","Abrir facsímil")</f>
        <v>Abrir facsímil</v>
      </c>
      <c r="K12820" t="s">
        <v>22</v>
      </c>
    </row>
    <row r="12821" spans="1:11" ht="42" customHeight="1">
      <c r="A12821" t="s">
        <v>24856</v>
      </c>
      <c r="B12821" t="s">
        <v>24856</v>
      </c>
      <c r="C12821" t="s">
        <v>42</v>
      </c>
      <c r="D12821" t="s">
        <v>17</v>
      </c>
      <c r="E12821" s="6">
        <v>-28346</v>
      </c>
      <c r="F12821" t="s">
        <v>191</v>
      </c>
      <c r="G12821" t="s">
        <v>2823</v>
      </c>
      <c r="H12821" t="s">
        <v>20</v>
      </c>
      <c r="I12821" t="s">
        <v>24857</v>
      </c>
      <c r="J12821" t="str">
        <f>HYPERLINK("https://www.boe.es/gazeta/dias/1822/05/22/pdfs/GMD-1822-145.pdf#page=4","Abrir facsímil")</f>
        <v>Abrir facsímil</v>
      </c>
      <c r="K12821" t="s">
        <v>22</v>
      </c>
    </row>
    <row r="12822" spans="1:11" ht="42" customHeight="1">
      <c r="A12822" t="s">
        <v>24858</v>
      </c>
      <c r="B12822" t="s">
        <v>24858</v>
      </c>
      <c r="C12822" t="s">
        <v>50</v>
      </c>
      <c r="D12822" t="s">
        <v>51</v>
      </c>
      <c r="E12822" s="6">
        <v>-28211</v>
      </c>
      <c r="F12822" t="s">
        <v>273</v>
      </c>
      <c r="G12822" t="s">
        <v>57</v>
      </c>
      <c r="H12822" t="s">
        <v>20</v>
      </c>
      <c r="I12822" t="s">
        <v>24859</v>
      </c>
      <c r="J12822" t="str">
        <f>HYPERLINK("https://www.boe.es/gazeta/dias/1822/10/04/pdfs/GMD-1822-290.pdf#page=4","Abrir facsímil")</f>
        <v>Abrir facsímil</v>
      </c>
      <c r="K12822" t="s">
        <v>22</v>
      </c>
    </row>
    <row r="12823" spans="1:11" ht="42" customHeight="1">
      <c r="A12823" t="s">
        <v>24860</v>
      </c>
      <c r="B12823" t="s">
        <v>24860</v>
      </c>
      <c r="C12823" t="s">
        <v>42</v>
      </c>
      <c r="D12823" t="s">
        <v>17</v>
      </c>
      <c r="E12823" s="6">
        <v>-28323</v>
      </c>
      <c r="F12823" t="s">
        <v>116</v>
      </c>
      <c r="G12823" t="s">
        <v>57</v>
      </c>
      <c r="H12823" t="s">
        <v>20</v>
      </c>
      <c r="I12823" t="s">
        <v>24861</v>
      </c>
      <c r="J12823" t="str">
        <f>HYPERLINK("https://www.boe.es/gazeta/dias/1822/06/14/pdfs/GMD-1822-171.pdf#page=4","Abrir facsímil")</f>
        <v>Abrir facsímil</v>
      </c>
      <c r="K12823" t="s">
        <v>22</v>
      </c>
    </row>
    <row r="12824" spans="1:11" ht="42" customHeight="1">
      <c r="A12824" t="s">
        <v>24862</v>
      </c>
      <c r="B12824" t="s">
        <v>24863</v>
      </c>
      <c r="C12824" t="s">
        <v>50</v>
      </c>
      <c r="D12824" t="s">
        <v>51</v>
      </c>
      <c r="E12824" s="6">
        <v>-28214</v>
      </c>
      <c r="F12824" t="s">
        <v>814</v>
      </c>
      <c r="G12824" t="s">
        <v>57</v>
      </c>
      <c r="H12824" t="s">
        <v>20</v>
      </c>
      <c r="I12824" t="s">
        <v>24864</v>
      </c>
      <c r="J12824" t="str">
        <f>HYPERLINK("https://www.boe.es/gazeta/dias/1822/10/01/pdfs/GMD-1822-287.pdf#page=4","Abrir facsímil")</f>
        <v>Abrir facsímil</v>
      </c>
      <c r="K12824" t="s">
        <v>22</v>
      </c>
    </row>
    <row r="12825" spans="1:11" ht="42" customHeight="1">
      <c r="A12825" t="s">
        <v>24865</v>
      </c>
      <c r="B12825" t="s">
        <v>24866</v>
      </c>
      <c r="C12825" t="s">
        <v>28</v>
      </c>
      <c r="D12825" t="s">
        <v>29</v>
      </c>
      <c r="E12825" s="6">
        <v>-28264</v>
      </c>
      <c r="F12825" t="s">
        <v>1329</v>
      </c>
      <c r="G12825" t="s">
        <v>35</v>
      </c>
      <c r="H12825" t="s">
        <v>20</v>
      </c>
      <c r="I12825" t="s">
        <v>24867</v>
      </c>
      <c r="J12825" t="str">
        <f>HYPERLINK("https://www.boe.es/gazeta/dias/1822/08/12/pdfs/GMD-1822-236.pdf#page=2","Abrir facsímil")</f>
        <v>Abrir facsímil</v>
      </c>
      <c r="K12825" t="s">
        <v>22</v>
      </c>
    </row>
    <row r="12826" spans="1:11" ht="42" customHeight="1">
      <c r="A12826" t="s">
        <v>24868</v>
      </c>
      <c r="B12826" t="s">
        <v>24869</v>
      </c>
      <c r="C12826" t="s">
        <v>50</v>
      </c>
      <c r="D12826" t="s">
        <v>51</v>
      </c>
      <c r="E12826" s="6">
        <v>-28229</v>
      </c>
      <c r="F12826" t="s">
        <v>2310</v>
      </c>
      <c r="G12826" t="s">
        <v>35</v>
      </c>
      <c r="H12826" t="s">
        <v>20</v>
      </c>
      <c r="I12826" t="s">
        <v>24870</v>
      </c>
      <c r="J12826" t="str">
        <f>HYPERLINK("https://www.boe.es/gazeta/dias/1822/09/16/pdfs/GMD-1822-272.pdf#page=2","Abrir facsímil")</f>
        <v>Abrir facsímil</v>
      </c>
      <c r="K12826" t="s">
        <v>22</v>
      </c>
    </row>
    <row r="12827" spans="1:11" ht="42" customHeight="1">
      <c r="A12827" t="s">
        <v>24871</v>
      </c>
      <c r="B12827" t="s">
        <v>24872</v>
      </c>
      <c r="C12827" t="s">
        <v>71</v>
      </c>
      <c r="D12827" t="s">
        <v>17</v>
      </c>
      <c r="E12827" s="6">
        <v>-28327</v>
      </c>
      <c r="F12827" t="s">
        <v>38</v>
      </c>
      <c r="G12827" t="s">
        <v>31</v>
      </c>
      <c r="H12827" t="s">
        <v>20</v>
      </c>
      <c r="I12827" t="s">
        <v>24873</v>
      </c>
      <c r="J12827" t="str">
        <f>HYPERLINK("https://www.boe.es/gazeta/dias/1822/06/10/pdfs/GMD-1822-167.pdf#page=3","Abrir facsímil")</f>
        <v>Abrir facsímil</v>
      </c>
      <c r="K12827" t="s">
        <v>22</v>
      </c>
    </row>
    <row r="12828" spans="1:11" ht="42" customHeight="1">
      <c r="A12828" t="s">
        <v>24874</v>
      </c>
      <c r="B12828" t="s">
        <v>24874</v>
      </c>
      <c r="C12828" t="s">
        <v>71</v>
      </c>
      <c r="D12828" t="s">
        <v>17</v>
      </c>
      <c r="E12828" s="6">
        <v>-28464</v>
      </c>
      <c r="F12828" t="s">
        <v>1447</v>
      </c>
      <c r="G12828" t="s">
        <v>31</v>
      </c>
      <c r="H12828" t="s">
        <v>20</v>
      </c>
      <c r="I12828" t="s">
        <v>24875</v>
      </c>
      <c r="J12828" t="str">
        <f>HYPERLINK("https://www.boe.es/gazeta/dias/1822/01/24/pdfs/GMD-1822-24.pdf#page=3","Abrir facsímil")</f>
        <v>Abrir facsímil</v>
      </c>
      <c r="K12828" t="s">
        <v>22</v>
      </c>
    </row>
    <row r="12829" spans="1:11" ht="42" customHeight="1">
      <c r="A12829" t="s">
        <v>24874</v>
      </c>
      <c r="B12829" t="s">
        <v>24874</v>
      </c>
      <c r="C12829" t="s">
        <v>42</v>
      </c>
      <c r="D12829" t="s">
        <v>17</v>
      </c>
      <c r="E12829" s="6">
        <v>-28451</v>
      </c>
      <c r="F12829" t="s">
        <v>1674</v>
      </c>
      <c r="G12829" t="s">
        <v>57</v>
      </c>
      <c r="H12829" t="s">
        <v>20</v>
      </c>
      <c r="I12829" t="s">
        <v>24876</v>
      </c>
      <c r="J12829" t="str">
        <f>HYPERLINK("https://www.boe.es/gazeta/dias/1822/02/06/pdfs/GMD-1822-37.pdf#page=4","Abrir facsímil")</f>
        <v>Abrir facsímil</v>
      </c>
      <c r="K12829" t="s">
        <v>22</v>
      </c>
    </row>
    <row r="12830" spans="1:11" ht="42" customHeight="1">
      <c r="A12830" t="s">
        <v>24874</v>
      </c>
      <c r="B12830" t="s">
        <v>24874</v>
      </c>
      <c r="C12830" t="s">
        <v>50</v>
      </c>
      <c r="D12830" t="s">
        <v>51</v>
      </c>
      <c r="E12830" s="6">
        <v>-28447</v>
      </c>
      <c r="F12830" t="s">
        <v>997</v>
      </c>
      <c r="G12830" t="s">
        <v>35</v>
      </c>
      <c r="H12830" t="s">
        <v>20</v>
      </c>
      <c r="I12830" t="s">
        <v>24877</v>
      </c>
      <c r="J12830" t="str">
        <f>HYPERLINK("https://www.boe.es/gazeta/dias/1822/02/10/pdfs/GMD-1822-41.pdf#page=2","Abrir facsímil")</f>
        <v>Abrir facsímil</v>
      </c>
      <c r="K12830" t="s">
        <v>22</v>
      </c>
    </row>
    <row r="12831" spans="1:11" ht="42" customHeight="1">
      <c r="A12831" t="s">
        <v>24874</v>
      </c>
      <c r="B12831" t="s">
        <v>24874</v>
      </c>
      <c r="C12831" t="s">
        <v>50</v>
      </c>
      <c r="D12831" t="s">
        <v>51</v>
      </c>
      <c r="E12831" s="6">
        <v>-28399</v>
      </c>
      <c r="F12831" t="s">
        <v>476</v>
      </c>
      <c r="G12831" t="s">
        <v>35</v>
      </c>
      <c r="H12831" t="s">
        <v>20</v>
      </c>
      <c r="I12831" t="s">
        <v>24878</v>
      </c>
      <c r="J12831" t="str">
        <f>HYPERLINK("https://www.boe.es/gazeta/dias/1822/03/30/pdfs/GMD-1822-91.pdf#page=2","Abrir facsímil")</f>
        <v>Abrir facsímil</v>
      </c>
      <c r="K12831" t="s">
        <v>22</v>
      </c>
    </row>
    <row r="12832" spans="1:11" ht="42" customHeight="1">
      <c r="A12832" t="s">
        <v>24879</v>
      </c>
      <c r="B12832" t="s">
        <v>24879</v>
      </c>
      <c r="C12832" t="s">
        <v>42</v>
      </c>
      <c r="D12832" t="s">
        <v>17</v>
      </c>
      <c r="E12832" s="6">
        <v>-28364</v>
      </c>
      <c r="F12832" t="s">
        <v>509</v>
      </c>
      <c r="G12832" t="s">
        <v>57</v>
      </c>
      <c r="H12832" t="s">
        <v>20</v>
      </c>
      <c r="I12832" t="s">
        <v>24880</v>
      </c>
      <c r="J12832" t="str">
        <f>HYPERLINK("https://www.boe.es/gazeta/dias/1822/05/04/pdfs/GMD-1822-126.pdf#page=4","Abrir facsímil")</f>
        <v>Abrir facsímil</v>
      </c>
      <c r="K12832" t="s">
        <v>22</v>
      </c>
    </row>
    <row r="12833" spans="1:11" ht="42" customHeight="1">
      <c r="A12833" t="s">
        <v>24874</v>
      </c>
      <c r="B12833" t="s">
        <v>24874</v>
      </c>
      <c r="C12833" t="s">
        <v>50</v>
      </c>
      <c r="D12833" t="s">
        <v>51</v>
      </c>
      <c r="E12833" s="6">
        <v>-28345</v>
      </c>
      <c r="F12833" t="s">
        <v>294</v>
      </c>
      <c r="G12833" t="s">
        <v>63</v>
      </c>
      <c r="H12833" t="s">
        <v>20</v>
      </c>
      <c r="I12833" t="s">
        <v>24881</v>
      </c>
      <c r="J12833" t="str">
        <f>HYPERLINK("https://www.boe.es/gazeta/dias/1822/05/23/pdfs/GMD-1822-147.pdf#page=6","Abrir facsímil")</f>
        <v>Abrir facsímil</v>
      </c>
      <c r="K12833" t="s">
        <v>22</v>
      </c>
    </row>
    <row r="12834" spans="1:11" ht="42" customHeight="1">
      <c r="A12834" t="s">
        <v>24879</v>
      </c>
      <c r="B12834" t="s">
        <v>24879</v>
      </c>
      <c r="C12834" t="s">
        <v>28</v>
      </c>
      <c r="D12834" t="s">
        <v>29</v>
      </c>
      <c r="E12834" s="6">
        <v>-28344</v>
      </c>
      <c r="F12834" t="s">
        <v>524</v>
      </c>
      <c r="G12834" t="s">
        <v>57</v>
      </c>
      <c r="H12834" t="s">
        <v>20</v>
      </c>
      <c r="I12834" t="s">
        <v>24882</v>
      </c>
      <c r="J12834" t="str">
        <f>HYPERLINK("https://www.boe.es/gazeta/dias/1822/05/24/pdfs/GMD-1822-148.pdf#page=4","Abrir facsímil")</f>
        <v>Abrir facsímil</v>
      </c>
      <c r="K12834" t="s">
        <v>22</v>
      </c>
    </row>
    <row r="12835" spans="1:11" ht="42" customHeight="1">
      <c r="A12835" t="s">
        <v>24879</v>
      </c>
      <c r="B12835" t="s">
        <v>24879</v>
      </c>
      <c r="C12835" t="s">
        <v>50</v>
      </c>
      <c r="D12835" t="s">
        <v>51</v>
      </c>
      <c r="E12835" s="6">
        <v>-28311</v>
      </c>
      <c r="F12835" t="s">
        <v>736</v>
      </c>
      <c r="G12835" t="s">
        <v>63</v>
      </c>
      <c r="H12835" t="s">
        <v>20</v>
      </c>
      <c r="I12835" t="s">
        <v>24883</v>
      </c>
      <c r="J12835" t="str">
        <f>HYPERLINK("https://www.boe.es/gazeta/dias/1822/06/26/pdfs/GMD-1822-184.pdf#page=6","Abrir facsímil")</f>
        <v>Abrir facsímil</v>
      </c>
      <c r="K12835" t="s">
        <v>22</v>
      </c>
    </row>
    <row r="12836" spans="1:11" ht="42" customHeight="1">
      <c r="A12836" t="s">
        <v>24879</v>
      </c>
      <c r="B12836" t="s">
        <v>24879</v>
      </c>
      <c r="C12836" t="s">
        <v>50</v>
      </c>
      <c r="D12836" t="s">
        <v>51</v>
      </c>
      <c r="E12836" s="6">
        <v>-28305</v>
      </c>
      <c r="F12836" t="s">
        <v>1337</v>
      </c>
      <c r="G12836" t="s">
        <v>31</v>
      </c>
      <c r="H12836" t="s">
        <v>20</v>
      </c>
      <c r="I12836" t="s">
        <v>24884</v>
      </c>
      <c r="J12836" t="str">
        <f>HYPERLINK("https://www.boe.es/gazeta/dias/1822/07/02/pdfs/GMD-1822-191.pdf#page=3","Abrir facsímil")</f>
        <v>Abrir facsímil</v>
      </c>
      <c r="K12836" t="s">
        <v>22</v>
      </c>
    </row>
    <row r="12837" spans="1:11" ht="42" customHeight="1">
      <c r="A12837" t="s">
        <v>24879</v>
      </c>
      <c r="B12837" t="s">
        <v>24879</v>
      </c>
      <c r="C12837" t="s">
        <v>50</v>
      </c>
      <c r="D12837" t="s">
        <v>51</v>
      </c>
      <c r="E12837" s="6">
        <v>-28150</v>
      </c>
      <c r="F12837" t="s">
        <v>62</v>
      </c>
      <c r="G12837" t="s">
        <v>57</v>
      </c>
      <c r="H12837" t="s">
        <v>20</v>
      </c>
      <c r="I12837" t="s">
        <v>24885</v>
      </c>
      <c r="J12837" t="str">
        <f>HYPERLINK("https://www.boe.es/gazeta/dias/1822/12/04/pdfs/GMD-1822-354.pdf#page=4","Abrir facsímil")</f>
        <v>Abrir facsímil</v>
      </c>
      <c r="K12837" t="s">
        <v>22</v>
      </c>
    </row>
    <row r="12838" spans="1:11" ht="42" customHeight="1">
      <c r="A12838" t="s">
        <v>24886</v>
      </c>
      <c r="B12838" t="s">
        <v>24886</v>
      </c>
      <c r="C12838" t="s">
        <v>50</v>
      </c>
      <c r="D12838" t="s">
        <v>51</v>
      </c>
      <c r="E12838" s="6">
        <v>-28446</v>
      </c>
      <c r="F12838" t="s">
        <v>773</v>
      </c>
      <c r="G12838" t="s">
        <v>19</v>
      </c>
      <c r="H12838" t="s">
        <v>20</v>
      </c>
      <c r="I12838" t="s">
        <v>24887</v>
      </c>
      <c r="J12838" t="str">
        <f>HYPERLINK("https://www.boe.es/gazeta/dias/1822/02/11/pdfs/GMD-1822-42.pdf#page=5","Abrir facsímil")</f>
        <v>Abrir facsímil</v>
      </c>
      <c r="K12838" t="s">
        <v>22</v>
      </c>
    </row>
    <row r="12839" spans="1:11" ht="42" customHeight="1">
      <c r="A12839" t="s">
        <v>24888</v>
      </c>
      <c r="B12839" t="s">
        <v>24889</v>
      </c>
      <c r="C12839" t="s">
        <v>16</v>
      </c>
      <c r="D12839" t="s">
        <v>17</v>
      </c>
      <c r="E12839" s="6">
        <v>-28152</v>
      </c>
      <c r="F12839" t="s">
        <v>122</v>
      </c>
      <c r="G12839" t="s">
        <v>8236</v>
      </c>
      <c r="H12839" t="s">
        <v>20</v>
      </c>
      <c r="I12839" t="s">
        <v>24890</v>
      </c>
      <c r="J12839" t="str">
        <f>HYPERLINK("https://www.boe.es/gazeta/dias/1822/12/02/pdfs/GMD-1822-352.pdf#page=6","Abrir facsímil")</f>
        <v>Abrir facsímil</v>
      </c>
      <c r="K12839" t="s">
        <v>22</v>
      </c>
    </row>
    <row r="12840" spans="1:11" ht="42" customHeight="1">
      <c r="A12840" t="s">
        <v>24891</v>
      </c>
      <c r="B12840" t="s">
        <v>24892</v>
      </c>
      <c r="C12840" t="s">
        <v>28</v>
      </c>
      <c r="D12840" t="s">
        <v>29</v>
      </c>
      <c r="E12840" s="6">
        <v>-28165</v>
      </c>
      <c r="F12840" t="s">
        <v>846</v>
      </c>
      <c r="G12840" t="s">
        <v>57</v>
      </c>
      <c r="H12840" t="s">
        <v>20</v>
      </c>
      <c r="I12840" t="s">
        <v>24893</v>
      </c>
      <c r="J12840" t="str">
        <f>HYPERLINK("https://www.boe.es/gazeta/dias/1822/11/19/pdfs/GMD-1822-339.pdf#page=4","Abrir facsímil")</f>
        <v>Abrir facsímil</v>
      </c>
      <c r="K12840" t="s">
        <v>22</v>
      </c>
    </row>
    <row r="12841" spans="1:11" ht="42" customHeight="1">
      <c r="A12841" t="s">
        <v>24894</v>
      </c>
      <c r="B12841" t="s">
        <v>24895</v>
      </c>
      <c r="C12841" t="s">
        <v>16</v>
      </c>
      <c r="D12841" t="s">
        <v>17</v>
      </c>
      <c r="E12841" s="6">
        <v>-28390</v>
      </c>
      <c r="F12841" t="s">
        <v>665</v>
      </c>
      <c r="G12841" t="s">
        <v>57</v>
      </c>
      <c r="H12841" t="s">
        <v>20</v>
      </c>
      <c r="I12841" t="s">
        <v>24896</v>
      </c>
      <c r="J12841" t="str">
        <f>HYPERLINK("https://www.boe.es/gazeta/dias/1822/04/08/pdfs/GMD-1822-100.pdf#page=4","Abrir facsímil")</f>
        <v>Abrir facsímil</v>
      </c>
      <c r="K12841" t="s">
        <v>22</v>
      </c>
    </row>
    <row r="12842" spans="1:11" ht="42" customHeight="1">
      <c r="A12842" t="s">
        <v>24897</v>
      </c>
      <c r="B12842" t="s">
        <v>24898</v>
      </c>
      <c r="C12842" t="s">
        <v>16</v>
      </c>
      <c r="D12842" t="s">
        <v>17</v>
      </c>
      <c r="E12842" s="6">
        <v>-28382</v>
      </c>
      <c r="F12842" t="s">
        <v>973</v>
      </c>
      <c r="G12842" t="s">
        <v>31</v>
      </c>
      <c r="H12842" t="s">
        <v>20</v>
      </c>
      <c r="I12842" t="s">
        <v>24899</v>
      </c>
      <c r="J12842" t="str">
        <f>HYPERLINK("https://www.boe.es/gazeta/dias/1822/04/16/pdfs/GMD-1822-108.pdf#page=3","Abrir facsímil")</f>
        <v>Abrir facsímil</v>
      </c>
      <c r="K12842" t="s">
        <v>22</v>
      </c>
    </row>
    <row r="12843" spans="1:11" ht="42" customHeight="1">
      <c r="A12843" t="s">
        <v>24900</v>
      </c>
      <c r="B12843" t="s">
        <v>24901</v>
      </c>
      <c r="C12843" t="s">
        <v>50</v>
      </c>
      <c r="D12843" t="s">
        <v>51</v>
      </c>
      <c r="E12843" s="6">
        <v>-28415</v>
      </c>
      <c r="F12843" t="s">
        <v>77</v>
      </c>
      <c r="G12843" t="s">
        <v>19</v>
      </c>
      <c r="H12843" t="s">
        <v>20</v>
      </c>
      <c r="I12843" t="s">
        <v>24902</v>
      </c>
      <c r="J12843" t="str">
        <f>HYPERLINK("https://www.boe.es/gazeta/dias/1822/03/14/pdfs/GMD-1822-75.pdf#page=5","Abrir facsímil")</f>
        <v>Abrir facsímil</v>
      </c>
      <c r="K12843" t="s">
        <v>22</v>
      </c>
    </row>
    <row r="12844" spans="1:11" ht="42" customHeight="1">
      <c r="A12844" t="s">
        <v>24903</v>
      </c>
      <c r="B12844" t="s">
        <v>24904</v>
      </c>
      <c r="C12844" t="s">
        <v>50</v>
      </c>
      <c r="D12844" t="s">
        <v>51</v>
      </c>
      <c r="E12844" s="6">
        <v>-28377</v>
      </c>
      <c r="F12844" t="s">
        <v>498</v>
      </c>
      <c r="G12844" t="s">
        <v>44</v>
      </c>
      <c r="H12844" t="s">
        <v>20</v>
      </c>
      <c r="I12844" t="s">
        <v>24905</v>
      </c>
      <c r="J12844" t="str">
        <f>HYPERLINK("https://www.boe.es/gazeta/dias/1822/04/21/pdfs/GMD-1822-113.pdf#page=1","Abrir facsímil")</f>
        <v>Abrir facsímil</v>
      </c>
      <c r="K12844" t="s">
        <v>22</v>
      </c>
    </row>
    <row r="12845" spans="1:11" ht="42" customHeight="1">
      <c r="A12845" t="s">
        <v>24906</v>
      </c>
      <c r="B12845" t="s">
        <v>24907</v>
      </c>
      <c r="C12845" t="s">
        <v>50</v>
      </c>
      <c r="D12845" t="s">
        <v>51</v>
      </c>
      <c r="E12845" s="6">
        <v>-28421</v>
      </c>
      <c r="F12845" t="s">
        <v>446</v>
      </c>
      <c r="G12845" t="s">
        <v>63</v>
      </c>
      <c r="H12845" t="s">
        <v>20</v>
      </c>
      <c r="I12845" t="s">
        <v>24908</v>
      </c>
      <c r="J12845" t="str">
        <f>HYPERLINK("https://www.boe.es/gazeta/dias/1822/03/08/pdfs/GMD-1822-69.pdf#page=6","Abrir facsímil")</f>
        <v>Abrir facsímil</v>
      </c>
      <c r="K12845" t="s">
        <v>22</v>
      </c>
    </row>
    <row r="12846" spans="1:11" ht="42" customHeight="1">
      <c r="A12846" t="s">
        <v>24909</v>
      </c>
      <c r="B12846" t="s">
        <v>24909</v>
      </c>
      <c r="C12846" t="s">
        <v>50</v>
      </c>
      <c r="D12846" t="s">
        <v>51</v>
      </c>
      <c r="E12846" s="6">
        <v>-28193</v>
      </c>
      <c r="F12846" t="s">
        <v>574</v>
      </c>
      <c r="G12846" t="s">
        <v>44</v>
      </c>
      <c r="H12846" t="s">
        <v>20</v>
      </c>
      <c r="I12846" t="s">
        <v>24910</v>
      </c>
      <c r="J12846" t="str">
        <f>HYPERLINK("https://www.boe.es/gazeta/dias/1822/10/22/pdfs/GMD-1822-309.pdf#page=1","Abrir facsímil")</f>
        <v>Abrir facsímil</v>
      </c>
      <c r="K12846" t="s">
        <v>22</v>
      </c>
    </row>
    <row r="12847" spans="1:11" ht="42" customHeight="1">
      <c r="A12847" t="s">
        <v>24911</v>
      </c>
      <c r="B12847" t="s">
        <v>24912</v>
      </c>
      <c r="C12847" t="s">
        <v>50</v>
      </c>
      <c r="D12847" t="s">
        <v>51</v>
      </c>
      <c r="E12847" s="6">
        <v>-28395</v>
      </c>
      <c r="F12847" t="s">
        <v>237</v>
      </c>
      <c r="G12847" t="s">
        <v>31</v>
      </c>
      <c r="H12847" t="s">
        <v>20</v>
      </c>
      <c r="I12847" t="s">
        <v>24913</v>
      </c>
      <c r="J12847" t="str">
        <f>HYPERLINK("https://www.boe.es/gazeta/dias/1822/04/03/pdfs/GMD-1822-95.pdf#page=3","Abrir facsímil")</f>
        <v>Abrir facsímil</v>
      </c>
      <c r="K12847" t="s">
        <v>22</v>
      </c>
    </row>
    <row r="12848" spans="1:11" ht="42" customHeight="1">
      <c r="A12848" t="s">
        <v>24914</v>
      </c>
      <c r="B12848" t="s">
        <v>24915</v>
      </c>
      <c r="C12848" t="s">
        <v>16</v>
      </c>
      <c r="D12848" t="s">
        <v>17</v>
      </c>
      <c r="E12848" s="6">
        <v>-28451</v>
      </c>
      <c r="F12848" t="s">
        <v>1674</v>
      </c>
      <c r="G12848" t="s">
        <v>63</v>
      </c>
      <c r="H12848" t="s">
        <v>20</v>
      </c>
      <c r="I12848" t="s">
        <v>24916</v>
      </c>
      <c r="J12848" t="str">
        <f>HYPERLINK("https://www.boe.es/gazeta/dias/1822/02/06/pdfs/GMD-1822-37.pdf#page=6","Abrir facsímil")</f>
        <v>Abrir facsímil</v>
      </c>
      <c r="K12848" t="s">
        <v>22</v>
      </c>
    </row>
    <row r="12849" spans="1:11" ht="42" customHeight="1">
      <c r="A12849" t="s">
        <v>24917</v>
      </c>
      <c r="B12849" t="s">
        <v>24917</v>
      </c>
      <c r="C12849" t="s">
        <v>42</v>
      </c>
      <c r="D12849" t="s">
        <v>17</v>
      </c>
      <c r="E12849" s="6">
        <v>-28360</v>
      </c>
      <c r="F12849" t="s">
        <v>514</v>
      </c>
      <c r="G12849" t="s">
        <v>31</v>
      </c>
      <c r="H12849" t="s">
        <v>20</v>
      </c>
      <c r="I12849" t="s">
        <v>24918</v>
      </c>
      <c r="J12849" t="str">
        <f>HYPERLINK("https://www.boe.es/gazeta/dias/1822/05/08/pdfs/GMD-1822-130.pdf#page=3","Abrir facsímil")</f>
        <v>Abrir facsímil</v>
      </c>
      <c r="K12849" t="s">
        <v>22</v>
      </c>
    </row>
    <row r="12850" spans="1:11" ht="42" customHeight="1">
      <c r="A12850" t="s">
        <v>24917</v>
      </c>
      <c r="B12850" t="s">
        <v>24917</v>
      </c>
      <c r="C12850" t="s">
        <v>42</v>
      </c>
      <c r="D12850" t="s">
        <v>17</v>
      </c>
      <c r="E12850" s="6">
        <v>-28310</v>
      </c>
      <c r="F12850" t="s">
        <v>241</v>
      </c>
      <c r="G12850" t="s">
        <v>44</v>
      </c>
      <c r="H12850" t="s">
        <v>20</v>
      </c>
      <c r="I12850" t="s">
        <v>24919</v>
      </c>
      <c r="J12850" t="str">
        <f>HYPERLINK("https://www.boe.es/gazeta/dias/1822/06/27/pdfs/GMD-1822-185.pdf#page=1","Abrir facsímil")</f>
        <v>Abrir facsímil</v>
      </c>
      <c r="K12850" t="s">
        <v>22</v>
      </c>
    </row>
    <row r="12851" spans="1:11" ht="42" customHeight="1">
      <c r="A12851" t="s">
        <v>24917</v>
      </c>
      <c r="B12851" t="s">
        <v>24917</v>
      </c>
      <c r="C12851" t="s">
        <v>16</v>
      </c>
      <c r="D12851" t="s">
        <v>17</v>
      </c>
      <c r="E12851" s="6">
        <v>-28175</v>
      </c>
      <c r="F12851" t="s">
        <v>341</v>
      </c>
      <c r="G12851" t="s">
        <v>31</v>
      </c>
      <c r="H12851" t="s">
        <v>20</v>
      </c>
      <c r="I12851" t="s">
        <v>24920</v>
      </c>
      <c r="J12851" t="str">
        <f>HYPERLINK("https://www.boe.es/gazeta/dias/1822/11/09/pdfs/GMD-1822-329.pdf#page=3","Abrir facsímil")</f>
        <v>Abrir facsímil</v>
      </c>
      <c r="K12851" t="s">
        <v>22</v>
      </c>
    </row>
    <row r="12852" spans="1:11" ht="42" customHeight="1">
      <c r="A12852" t="s">
        <v>24917</v>
      </c>
      <c r="B12852" t="s">
        <v>24917</v>
      </c>
      <c r="C12852" t="s">
        <v>42</v>
      </c>
      <c r="D12852" t="s">
        <v>17</v>
      </c>
      <c r="E12852" s="6">
        <v>-28159</v>
      </c>
      <c r="F12852" t="s">
        <v>67</v>
      </c>
      <c r="G12852" t="s">
        <v>35</v>
      </c>
      <c r="H12852" t="s">
        <v>20</v>
      </c>
      <c r="I12852" t="s">
        <v>24921</v>
      </c>
      <c r="J12852" t="str">
        <f>HYPERLINK("https://www.boe.es/gazeta/dias/1822/11/25/pdfs/GMD-1822-345.pdf#page=2","Abrir facsímil")</f>
        <v>Abrir facsímil</v>
      </c>
      <c r="K12852" t="s">
        <v>22</v>
      </c>
    </row>
    <row r="12853" spans="1:11" ht="42" customHeight="1">
      <c r="A12853" t="s">
        <v>24922</v>
      </c>
      <c r="B12853" t="s">
        <v>24922</v>
      </c>
      <c r="C12853" t="s">
        <v>71</v>
      </c>
      <c r="D12853" t="s">
        <v>17</v>
      </c>
      <c r="E12853" s="6">
        <v>-28334</v>
      </c>
      <c r="F12853" t="s">
        <v>532</v>
      </c>
      <c r="G12853" t="s">
        <v>19</v>
      </c>
      <c r="H12853" t="s">
        <v>20</v>
      </c>
      <c r="I12853" t="s">
        <v>24923</v>
      </c>
      <c r="J12853" t="str">
        <f>HYPERLINK("https://www.boe.es/gazeta/dias/1822/06/03/pdfs/GMD-1822-159.pdf#page=5","Abrir facsímil")</f>
        <v>Abrir facsímil</v>
      </c>
      <c r="K12853" t="s">
        <v>22</v>
      </c>
    </row>
    <row r="12854" spans="1:11" ht="42" customHeight="1">
      <c r="A12854" t="s">
        <v>24924</v>
      </c>
      <c r="B12854" t="s">
        <v>24925</v>
      </c>
      <c r="C12854" t="s">
        <v>24</v>
      </c>
      <c r="D12854" t="s">
        <v>17</v>
      </c>
      <c r="E12854" s="6">
        <v>-28450</v>
      </c>
      <c r="F12854" t="s">
        <v>1450</v>
      </c>
      <c r="G12854" t="s">
        <v>2247</v>
      </c>
      <c r="H12854" t="s">
        <v>20</v>
      </c>
      <c r="I12854" t="s">
        <v>24926</v>
      </c>
      <c r="J12854" t="str">
        <f>HYPERLINK("https://www.boe.es/gazeta/dias/1822/02/07/pdfs/GMD-1822-38.pdf#page=6","Abrir facsímil")</f>
        <v>Abrir facsímil</v>
      </c>
      <c r="K12854" t="s">
        <v>22</v>
      </c>
    </row>
    <row r="12855" spans="1:11" ht="42" customHeight="1">
      <c r="A12855" t="s">
        <v>24927</v>
      </c>
      <c r="B12855" t="s">
        <v>24928</v>
      </c>
      <c r="C12855" t="s">
        <v>50</v>
      </c>
      <c r="D12855" t="s">
        <v>51</v>
      </c>
      <c r="E12855" s="6">
        <v>-28396</v>
      </c>
      <c r="F12855" t="s">
        <v>1138</v>
      </c>
      <c r="G12855" t="s">
        <v>35</v>
      </c>
      <c r="H12855" t="s">
        <v>20</v>
      </c>
      <c r="I12855" t="s">
        <v>24929</v>
      </c>
      <c r="J12855" t="str">
        <f>HYPERLINK("https://www.boe.es/gazeta/dias/1822/04/02/pdfs/GMD-1822-94.pdf#page=2","Abrir facsímil")</f>
        <v>Abrir facsímil</v>
      </c>
      <c r="K12855" t="s">
        <v>22</v>
      </c>
    </row>
    <row r="12856" spans="1:11" ht="42" customHeight="1">
      <c r="A12856" t="s">
        <v>24930</v>
      </c>
      <c r="B12856" t="s">
        <v>24931</v>
      </c>
      <c r="C12856" t="s">
        <v>50</v>
      </c>
      <c r="D12856" t="s">
        <v>51</v>
      </c>
      <c r="E12856" s="6">
        <v>-28358</v>
      </c>
      <c r="F12856" t="s">
        <v>211</v>
      </c>
      <c r="G12856" t="s">
        <v>157</v>
      </c>
      <c r="H12856" t="s">
        <v>20</v>
      </c>
      <c r="I12856" t="s">
        <v>24932</v>
      </c>
      <c r="J12856" t="str">
        <f>HYPERLINK("https://www.boe.es/gazeta/dias/1822/05/10/pdfs/GMD-1822-132.pdf#page=8","Abrir facsímil")</f>
        <v>Abrir facsímil</v>
      </c>
      <c r="K12856" t="s">
        <v>22</v>
      </c>
    </row>
    <row r="12857" spans="1:11" ht="42" customHeight="1">
      <c r="A12857" t="s">
        <v>24933</v>
      </c>
      <c r="B12857" t="s">
        <v>24934</v>
      </c>
      <c r="C12857" t="s">
        <v>28</v>
      </c>
      <c r="D12857" t="s">
        <v>29</v>
      </c>
      <c r="E12857" s="6">
        <v>-28358</v>
      </c>
      <c r="F12857" t="s">
        <v>211</v>
      </c>
      <c r="G12857" t="s">
        <v>157</v>
      </c>
      <c r="H12857" t="s">
        <v>20</v>
      </c>
      <c r="I12857" t="s">
        <v>24935</v>
      </c>
      <c r="J12857" t="str">
        <f>HYPERLINK("https://www.boe.es/gazeta/dias/1822/05/10/pdfs/GMD-1822-132.pdf#page=8","Abrir facsímil")</f>
        <v>Abrir facsímil</v>
      </c>
      <c r="K12857" t="s">
        <v>22</v>
      </c>
    </row>
    <row r="12858" spans="1:11" ht="42" customHeight="1">
      <c r="A12858" t="s">
        <v>24936</v>
      </c>
      <c r="B12858" t="s">
        <v>24937</v>
      </c>
      <c r="C12858" t="s">
        <v>50</v>
      </c>
      <c r="D12858" t="s">
        <v>51</v>
      </c>
      <c r="E12858" s="6">
        <v>-28319</v>
      </c>
      <c r="F12858" t="s">
        <v>271</v>
      </c>
      <c r="G12858" t="s">
        <v>63</v>
      </c>
      <c r="H12858" t="s">
        <v>20</v>
      </c>
      <c r="I12858" t="s">
        <v>24938</v>
      </c>
      <c r="J12858" t="str">
        <f>HYPERLINK("https://www.boe.es/gazeta/dias/1822/06/18/pdfs/GMD-1822-175.pdf#page=6","Abrir facsímil")</f>
        <v>Abrir facsímil</v>
      </c>
      <c r="K12858" t="s">
        <v>22</v>
      </c>
    </row>
    <row r="12859" spans="1:11" ht="42" customHeight="1">
      <c r="A12859" t="s">
        <v>24936</v>
      </c>
      <c r="B12859" t="s">
        <v>24937</v>
      </c>
      <c r="C12859" t="s">
        <v>50</v>
      </c>
      <c r="D12859" t="s">
        <v>51</v>
      </c>
      <c r="E12859" s="6">
        <v>-28233</v>
      </c>
      <c r="F12859" t="s">
        <v>810</v>
      </c>
      <c r="G12859" t="s">
        <v>57</v>
      </c>
      <c r="H12859" t="s">
        <v>20</v>
      </c>
      <c r="I12859" t="s">
        <v>24939</v>
      </c>
      <c r="J12859" t="str">
        <f>HYPERLINK("https://www.boe.es/gazeta/dias/1822/09/12/pdfs/GMD-1822-268.pdf#page=4","Abrir facsímil")</f>
        <v>Abrir facsímil</v>
      </c>
      <c r="K12859" t="s">
        <v>22</v>
      </c>
    </row>
    <row r="12860" spans="1:11" ht="42" customHeight="1">
      <c r="A12860" t="s">
        <v>24940</v>
      </c>
      <c r="B12860" t="s">
        <v>24941</v>
      </c>
      <c r="C12860" t="s">
        <v>42</v>
      </c>
      <c r="D12860" t="s">
        <v>17</v>
      </c>
      <c r="E12860" s="6">
        <v>-28448</v>
      </c>
      <c r="F12860" t="s">
        <v>1670</v>
      </c>
      <c r="G12860" t="s">
        <v>57</v>
      </c>
      <c r="H12860" t="s">
        <v>20</v>
      </c>
      <c r="I12860" t="s">
        <v>24942</v>
      </c>
      <c r="J12860" t="str">
        <f>HYPERLINK("https://www.boe.es/gazeta/dias/1822/02/09/pdfs/GMD-1822-40.pdf#page=4","Abrir facsímil")</f>
        <v>Abrir facsímil</v>
      </c>
      <c r="K12860" t="s">
        <v>22</v>
      </c>
    </row>
    <row r="12861" spans="1:11" ht="42" customHeight="1">
      <c r="A12861" t="s">
        <v>24940</v>
      </c>
      <c r="B12861" t="s">
        <v>24941</v>
      </c>
      <c r="C12861" t="s">
        <v>50</v>
      </c>
      <c r="D12861" t="s">
        <v>51</v>
      </c>
      <c r="E12861" s="6">
        <v>-28147</v>
      </c>
      <c r="F12861" t="s">
        <v>1611</v>
      </c>
      <c r="G12861" t="s">
        <v>63</v>
      </c>
      <c r="H12861" t="s">
        <v>20</v>
      </c>
      <c r="I12861" t="s">
        <v>24943</v>
      </c>
      <c r="J12861" t="str">
        <f>HYPERLINK("https://www.boe.es/gazeta/dias/1822/12/07/pdfs/GMD-1822-357.pdf#page=6","Abrir facsímil")</f>
        <v>Abrir facsímil</v>
      </c>
      <c r="K12861" t="s">
        <v>22</v>
      </c>
    </row>
    <row r="12862" spans="1:11" ht="42" customHeight="1">
      <c r="A12862" t="s">
        <v>24944</v>
      </c>
      <c r="B12862" t="s">
        <v>24944</v>
      </c>
      <c r="C12862" t="s">
        <v>28</v>
      </c>
      <c r="D12862" t="s">
        <v>29</v>
      </c>
      <c r="E12862" s="6">
        <v>-28403</v>
      </c>
      <c r="F12862" t="s">
        <v>471</v>
      </c>
      <c r="G12862" t="s">
        <v>19</v>
      </c>
      <c r="H12862" t="s">
        <v>20</v>
      </c>
      <c r="I12862" t="s">
        <v>24945</v>
      </c>
      <c r="J12862" t="str">
        <f>HYPERLINK("https://www.boe.es/gazeta/dias/1822/03/26/pdfs/GMD-1822-87.pdf#page=5","Abrir facsímil")</f>
        <v>Abrir facsímil</v>
      </c>
      <c r="K12862" t="s">
        <v>22</v>
      </c>
    </row>
    <row r="12863" spans="1:11" ht="42" customHeight="1">
      <c r="A12863" t="s">
        <v>24944</v>
      </c>
      <c r="B12863" t="s">
        <v>24944</v>
      </c>
      <c r="C12863" t="s">
        <v>42</v>
      </c>
      <c r="D12863" t="s">
        <v>17</v>
      </c>
      <c r="E12863" s="6">
        <v>-28159</v>
      </c>
      <c r="F12863" t="s">
        <v>67</v>
      </c>
      <c r="G12863" t="s">
        <v>35</v>
      </c>
      <c r="H12863" t="s">
        <v>20</v>
      </c>
      <c r="I12863" t="s">
        <v>24946</v>
      </c>
      <c r="J12863" t="str">
        <f>HYPERLINK("https://www.boe.es/gazeta/dias/1822/11/25/pdfs/GMD-1822-345.pdf#page=2","Abrir facsímil")</f>
        <v>Abrir facsímil</v>
      </c>
      <c r="K12863" t="s">
        <v>22</v>
      </c>
    </row>
    <row r="12864" spans="1:11" ht="42" customHeight="1">
      <c r="A12864" t="s">
        <v>24947</v>
      </c>
      <c r="B12864" t="s">
        <v>24947</v>
      </c>
      <c r="C12864" t="s">
        <v>42</v>
      </c>
      <c r="D12864" t="s">
        <v>17</v>
      </c>
      <c r="E12864" s="6">
        <v>-28372</v>
      </c>
      <c r="F12864" t="s">
        <v>503</v>
      </c>
      <c r="G12864" t="s">
        <v>19</v>
      </c>
      <c r="H12864" t="s">
        <v>20</v>
      </c>
      <c r="I12864" t="s">
        <v>24948</v>
      </c>
      <c r="J12864" t="str">
        <f>HYPERLINK("https://www.boe.es/gazeta/dias/1822/04/26/pdfs/GMD-1822-118.pdf#page=5","Abrir facsímil")</f>
        <v>Abrir facsímil</v>
      </c>
      <c r="K12864" t="s">
        <v>22</v>
      </c>
    </row>
    <row r="12865" spans="1:11" ht="42" customHeight="1">
      <c r="A12865" t="s">
        <v>24949</v>
      </c>
      <c r="B12865" t="s">
        <v>24949</v>
      </c>
      <c r="C12865" t="s">
        <v>42</v>
      </c>
      <c r="D12865" t="s">
        <v>17</v>
      </c>
      <c r="E12865" s="6">
        <v>-28463</v>
      </c>
      <c r="F12865" t="s">
        <v>25</v>
      </c>
      <c r="G12865" t="s">
        <v>19</v>
      </c>
      <c r="H12865" t="s">
        <v>20</v>
      </c>
      <c r="I12865" t="s">
        <v>24950</v>
      </c>
      <c r="J12865" t="str">
        <f>HYPERLINK("https://www.boe.es/gazeta/dias/1822/01/25/pdfs/GMD-1822-25.pdf#page=5","Abrir facsímil")</f>
        <v>Abrir facsímil</v>
      </c>
      <c r="K12865" t="s">
        <v>22</v>
      </c>
    </row>
    <row r="12866" spans="1:11" ht="42" customHeight="1">
      <c r="A12866" t="s">
        <v>24949</v>
      </c>
      <c r="B12866" t="s">
        <v>24949</v>
      </c>
      <c r="C12866" t="s">
        <v>50</v>
      </c>
      <c r="D12866" t="s">
        <v>51</v>
      </c>
      <c r="E12866" s="6">
        <v>-28454</v>
      </c>
      <c r="F12866" t="s">
        <v>2033</v>
      </c>
      <c r="G12866" t="s">
        <v>31</v>
      </c>
      <c r="H12866" t="s">
        <v>20</v>
      </c>
      <c r="I12866" t="s">
        <v>24951</v>
      </c>
      <c r="J12866" t="str">
        <f>HYPERLINK("https://www.boe.es/gazeta/dias/1822/02/03/pdfs/GMD-1822-34.pdf#page=3","Abrir facsímil")</f>
        <v>Abrir facsímil</v>
      </c>
      <c r="K12866" t="s">
        <v>22</v>
      </c>
    </row>
    <row r="12867" spans="1:11" ht="42" customHeight="1">
      <c r="A12867" t="s">
        <v>24949</v>
      </c>
      <c r="B12867" t="s">
        <v>24949</v>
      </c>
      <c r="C12867" t="s">
        <v>28</v>
      </c>
      <c r="D12867" t="s">
        <v>29</v>
      </c>
      <c r="E12867" s="6">
        <v>-28431</v>
      </c>
      <c r="F12867" t="s">
        <v>1258</v>
      </c>
      <c r="G12867" t="s">
        <v>31</v>
      </c>
      <c r="H12867" t="s">
        <v>20</v>
      </c>
      <c r="I12867" t="s">
        <v>24952</v>
      </c>
      <c r="J12867" t="str">
        <f>HYPERLINK("https://www.boe.es/gazeta/dias/1822/02/26/pdfs/GMD-1822-58.pdf#page=3","Abrir facsímil")</f>
        <v>Abrir facsímil</v>
      </c>
      <c r="K12867" t="s">
        <v>22</v>
      </c>
    </row>
    <row r="12868" spans="1:11" ht="42" customHeight="1">
      <c r="A12868" t="s">
        <v>24949</v>
      </c>
      <c r="B12868" t="s">
        <v>24949</v>
      </c>
      <c r="C12868" t="s">
        <v>50</v>
      </c>
      <c r="D12868" t="s">
        <v>51</v>
      </c>
      <c r="E12868" s="6">
        <v>-28424</v>
      </c>
      <c r="F12868" t="s">
        <v>439</v>
      </c>
      <c r="G12868" t="s">
        <v>31</v>
      </c>
      <c r="H12868" t="s">
        <v>20</v>
      </c>
      <c r="I12868" t="s">
        <v>24953</v>
      </c>
      <c r="J12868" t="str">
        <f>HYPERLINK("https://www.boe.es/gazeta/dias/1822/03/05/pdfs/GMD-1822-66.pdf#page=3","Abrir facsímil")</f>
        <v>Abrir facsímil</v>
      </c>
      <c r="K12868" t="s">
        <v>22</v>
      </c>
    </row>
    <row r="12869" spans="1:11" ht="42" customHeight="1">
      <c r="A12869" t="s">
        <v>24949</v>
      </c>
      <c r="B12869" t="s">
        <v>24949</v>
      </c>
      <c r="C12869" t="s">
        <v>71</v>
      </c>
      <c r="D12869" t="s">
        <v>17</v>
      </c>
      <c r="E12869" s="6">
        <v>-28419</v>
      </c>
      <c r="F12869" t="s">
        <v>1392</v>
      </c>
      <c r="G12869" t="s">
        <v>57</v>
      </c>
      <c r="H12869" t="s">
        <v>20</v>
      </c>
      <c r="I12869" t="s">
        <v>24954</v>
      </c>
      <c r="J12869" t="str">
        <f>HYPERLINK("https://www.boe.es/gazeta/dias/1822/03/10/pdfs/GMD-1822-71.pdf#page=4","Abrir facsímil")</f>
        <v>Abrir facsímil</v>
      </c>
      <c r="K12869" t="s">
        <v>22</v>
      </c>
    </row>
    <row r="12870" spans="1:11" ht="42" customHeight="1">
      <c r="A12870" t="s">
        <v>24949</v>
      </c>
      <c r="B12870" t="s">
        <v>24949</v>
      </c>
      <c r="C12870" t="s">
        <v>28</v>
      </c>
      <c r="D12870" t="s">
        <v>29</v>
      </c>
      <c r="E12870" s="6">
        <v>-28417</v>
      </c>
      <c r="F12870" t="s">
        <v>1394</v>
      </c>
      <c r="G12870" t="s">
        <v>35</v>
      </c>
      <c r="H12870" t="s">
        <v>20</v>
      </c>
      <c r="I12870" t="s">
        <v>24955</v>
      </c>
      <c r="J12870" t="str">
        <f>HYPERLINK("https://www.boe.es/gazeta/dias/1822/03/12/pdfs/GMD-1822-73.pdf#page=2","Abrir facsímil")</f>
        <v>Abrir facsímil</v>
      </c>
      <c r="K12870" t="s">
        <v>22</v>
      </c>
    </row>
    <row r="12871" spans="1:11" ht="42" customHeight="1">
      <c r="A12871" t="s">
        <v>24949</v>
      </c>
      <c r="B12871" t="s">
        <v>24949</v>
      </c>
      <c r="C12871" t="s">
        <v>42</v>
      </c>
      <c r="D12871" t="s">
        <v>17</v>
      </c>
      <c r="E12871" s="6">
        <v>-28417</v>
      </c>
      <c r="F12871" t="s">
        <v>1394</v>
      </c>
      <c r="G12871" t="s">
        <v>57</v>
      </c>
      <c r="H12871" t="s">
        <v>20</v>
      </c>
      <c r="I12871" t="s">
        <v>24956</v>
      </c>
      <c r="J12871" t="str">
        <f>HYPERLINK("https://www.boe.es/gazeta/dias/1822/03/12/pdfs/GMD-1822-73.pdf#page=4","Abrir facsímil")</f>
        <v>Abrir facsímil</v>
      </c>
      <c r="K12871" t="s">
        <v>22</v>
      </c>
    </row>
    <row r="12872" spans="1:11" ht="42" customHeight="1">
      <c r="A12872" t="s">
        <v>24949</v>
      </c>
      <c r="B12872" t="s">
        <v>24949</v>
      </c>
      <c r="C12872" t="s">
        <v>28</v>
      </c>
      <c r="D12872" t="s">
        <v>29</v>
      </c>
      <c r="E12872" s="6">
        <v>-28414</v>
      </c>
      <c r="F12872" t="s">
        <v>187</v>
      </c>
      <c r="G12872" t="s">
        <v>57</v>
      </c>
      <c r="H12872" t="s">
        <v>20</v>
      </c>
      <c r="I12872" t="s">
        <v>24957</v>
      </c>
      <c r="J12872" t="str">
        <f>HYPERLINK("https://www.boe.es/gazeta/dias/1822/03/15/pdfs/GMD-1822-76.pdf#page=4","Abrir facsímil")</f>
        <v>Abrir facsímil</v>
      </c>
      <c r="K12872" t="s">
        <v>22</v>
      </c>
    </row>
    <row r="12873" spans="1:11" ht="42" customHeight="1">
      <c r="A12873" t="s">
        <v>24949</v>
      </c>
      <c r="B12873" t="s">
        <v>24949</v>
      </c>
      <c r="C12873" t="s">
        <v>42</v>
      </c>
      <c r="D12873" t="s">
        <v>17</v>
      </c>
      <c r="E12873" s="6">
        <v>-28407</v>
      </c>
      <c r="F12873" t="s">
        <v>460</v>
      </c>
      <c r="G12873" t="s">
        <v>57</v>
      </c>
      <c r="H12873" t="s">
        <v>20</v>
      </c>
      <c r="I12873" t="s">
        <v>24958</v>
      </c>
      <c r="J12873" t="str">
        <f>HYPERLINK("https://www.boe.es/gazeta/dias/1822/03/22/pdfs/GMD-1822-83.pdf#page=4","Abrir facsímil")</f>
        <v>Abrir facsímil</v>
      </c>
      <c r="K12873" t="s">
        <v>22</v>
      </c>
    </row>
    <row r="12874" spans="1:11" ht="42" customHeight="1">
      <c r="A12874" t="s">
        <v>24949</v>
      </c>
      <c r="B12874" t="s">
        <v>24949</v>
      </c>
      <c r="C12874" t="s">
        <v>28</v>
      </c>
      <c r="D12874" t="s">
        <v>29</v>
      </c>
      <c r="E12874" s="6">
        <v>-28404</v>
      </c>
      <c r="F12874" t="s">
        <v>421</v>
      </c>
      <c r="G12874" t="s">
        <v>31</v>
      </c>
      <c r="H12874" t="s">
        <v>20</v>
      </c>
      <c r="I12874" t="s">
        <v>24959</v>
      </c>
      <c r="J12874" t="str">
        <f>HYPERLINK("https://www.boe.es/gazeta/dias/1822/03/25/pdfs/GMD-1822-86.pdf#page=3","Abrir facsímil")</f>
        <v>Abrir facsímil</v>
      </c>
      <c r="K12874" t="s">
        <v>22</v>
      </c>
    </row>
    <row r="12875" spans="1:11" ht="42" customHeight="1">
      <c r="A12875" t="s">
        <v>24949</v>
      </c>
      <c r="B12875" t="s">
        <v>24949</v>
      </c>
      <c r="C12875" t="s">
        <v>50</v>
      </c>
      <c r="D12875" t="s">
        <v>51</v>
      </c>
      <c r="E12875" s="6">
        <v>-28400</v>
      </c>
      <c r="F12875" t="s">
        <v>1937</v>
      </c>
      <c r="G12875" t="s">
        <v>2260</v>
      </c>
      <c r="H12875" t="s">
        <v>20</v>
      </c>
      <c r="I12875" t="s">
        <v>24960</v>
      </c>
      <c r="J12875" t="str">
        <f>HYPERLINK("https://www.boe.es/gazeta/dias/1822/03/29/pdfs/GMD-1822-90.pdf#page=4","Abrir facsímil")</f>
        <v>Abrir facsímil</v>
      </c>
      <c r="K12875" t="s">
        <v>22</v>
      </c>
    </row>
    <row r="12876" spans="1:11" ht="42" customHeight="1">
      <c r="A12876" t="s">
        <v>24949</v>
      </c>
      <c r="B12876" t="s">
        <v>24949</v>
      </c>
      <c r="C12876" t="s">
        <v>42</v>
      </c>
      <c r="D12876" t="s">
        <v>17</v>
      </c>
      <c r="E12876" s="6">
        <v>-28395</v>
      </c>
      <c r="F12876" t="s">
        <v>237</v>
      </c>
      <c r="G12876" t="s">
        <v>57</v>
      </c>
      <c r="H12876" t="s">
        <v>20</v>
      </c>
      <c r="I12876" t="s">
        <v>24961</v>
      </c>
      <c r="J12876" t="str">
        <f>HYPERLINK("https://www.boe.es/gazeta/dias/1822/04/03/pdfs/GMD-1822-95.pdf#page=4","Abrir facsímil")</f>
        <v>Abrir facsímil</v>
      </c>
      <c r="K12876" t="s">
        <v>22</v>
      </c>
    </row>
    <row r="12877" spans="1:11" ht="42" customHeight="1">
      <c r="A12877" t="s">
        <v>24949</v>
      </c>
      <c r="B12877" t="s">
        <v>24949</v>
      </c>
      <c r="C12877" t="s">
        <v>42</v>
      </c>
      <c r="D12877" t="s">
        <v>17</v>
      </c>
      <c r="E12877" s="6">
        <v>-28386</v>
      </c>
      <c r="F12877" t="s">
        <v>2993</v>
      </c>
      <c r="G12877" t="s">
        <v>35</v>
      </c>
      <c r="H12877" t="s">
        <v>20</v>
      </c>
      <c r="I12877" t="s">
        <v>24962</v>
      </c>
      <c r="J12877" t="str">
        <f>HYPERLINK("https://www.boe.es/gazeta/dias/1822/04/12/pdfs/GMD-1822-104.pdf#page=2","Abrir facsímil")</f>
        <v>Abrir facsímil</v>
      </c>
      <c r="K12877" t="s">
        <v>22</v>
      </c>
    </row>
    <row r="12878" spans="1:11" ht="42" customHeight="1">
      <c r="A12878" t="s">
        <v>24949</v>
      </c>
      <c r="B12878" t="s">
        <v>24949</v>
      </c>
      <c r="C12878" t="s">
        <v>28</v>
      </c>
      <c r="D12878" t="s">
        <v>29</v>
      </c>
      <c r="E12878" s="6">
        <v>-28383</v>
      </c>
      <c r="F12878" t="s">
        <v>488</v>
      </c>
      <c r="G12878" t="s">
        <v>31</v>
      </c>
      <c r="H12878" t="s">
        <v>20</v>
      </c>
      <c r="I12878" t="s">
        <v>24963</v>
      </c>
      <c r="J12878" t="str">
        <f>HYPERLINK("https://www.boe.es/gazeta/dias/1822/04/15/pdfs/GMD-1822-107.pdf#page=3","Abrir facsímil")</f>
        <v>Abrir facsímil</v>
      </c>
      <c r="K12878" t="s">
        <v>22</v>
      </c>
    </row>
    <row r="12879" spans="1:11" ht="42" customHeight="1">
      <c r="A12879" t="s">
        <v>24949</v>
      </c>
      <c r="B12879" t="s">
        <v>24949</v>
      </c>
      <c r="C12879" t="s">
        <v>42</v>
      </c>
      <c r="D12879" t="s">
        <v>17</v>
      </c>
      <c r="E12879" s="6">
        <v>-28383</v>
      </c>
      <c r="F12879" t="s">
        <v>488</v>
      </c>
      <c r="G12879" t="s">
        <v>57</v>
      </c>
      <c r="H12879" t="s">
        <v>20</v>
      </c>
      <c r="I12879" t="s">
        <v>24964</v>
      </c>
      <c r="J12879" t="str">
        <f>HYPERLINK("https://www.boe.es/gazeta/dias/1822/04/15/pdfs/GMD-1822-107.pdf#page=4","Abrir facsímil")</f>
        <v>Abrir facsímil</v>
      </c>
      <c r="K12879" t="s">
        <v>22</v>
      </c>
    </row>
    <row r="12880" spans="1:11" ht="42" customHeight="1">
      <c r="A12880" t="s">
        <v>24949</v>
      </c>
      <c r="B12880" t="s">
        <v>24949</v>
      </c>
      <c r="C12880" t="s">
        <v>42</v>
      </c>
      <c r="D12880" t="s">
        <v>17</v>
      </c>
      <c r="E12880" s="6">
        <v>-28381</v>
      </c>
      <c r="F12880" t="s">
        <v>358</v>
      </c>
      <c r="G12880" t="s">
        <v>2269</v>
      </c>
      <c r="H12880" t="s">
        <v>20</v>
      </c>
      <c r="I12880" t="s">
        <v>24965</v>
      </c>
      <c r="J12880" t="str">
        <f>HYPERLINK("https://www.boe.es/gazeta/dias/1822/04/17/pdfs/GMD-1822-109.pdf#page=3","Abrir facsímil")</f>
        <v>Abrir facsímil</v>
      </c>
      <c r="K12880" t="s">
        <v>22</v>
      </c>
    </row>
    <row r="12881" spans="1:11" ht="42" customHeight="1">
      <c r="A12881" t="s">
        <v>24949</v>
      </c>
      <c r="B12881" t="s">
        <v>24949</v>
      </c>
      <c r="C12881" t="s">
        <v>71</v>
      </c>
      <c r="D12881" t="s">
        <v>17</v>
      </c>
      <c r="E12881" s="6">
        <v>-28378</v>
      </c>
      <c r="F12881" t="s">
        <v>496</v>
      </c>
      <c r="G12881" t="s">
        <v>35</v>
      </c>
      <c r="H12881" t="s">
        <v>20</v>
      </c>
      <c r="I12881" t="s">
        <v>24966</v>
      </c>
      <c r="J12881" t="str">
        <f>HYPERLINK("https://www.boe.es/gazeta/dias/1822/04/20/pdfs/GMD-1822-112.pdf#page=2","Abrir facsímil")</f>
        <v>Abrir facsímil</v>
      </c>
      <c r="K12881" t="s">
        <v>22</v>
      </c>
    </row>
    <row r="12882" spans="1:11" ht="42" customHeight="1">
      <c r="A12882" t="s">
        <v>24949</v>
      </c>
      <c r="B12882" t="s">
        <v>24949</v>
      </c>
      <c r="C12882" t="s">
        <v>28</v>
      </c>
      <c r="D12882" t="s">
        <v>29</v>
      </c>
      <c r="E12882" s="6">
        <v>-28376</v>
      </c>
      <c r="F12882" t="s">
        <v>500</v>
      </c>
      <c r="G12882" t="s">
        <v>501</v>
      </c>
      <c r="H12882" t="s">
        <v>20</v>
      </c>
      <c r="I12882" t="s">
        <v>24967</v>
      </c>
      <c r="J12882" t="str">
        <f>HYPERLINK("https://www.boe.es/gazeta/dias/1822/04/22/pdfs/GMD-1822-114.pdf#page=3","Abrir facsímil")</f>
        <v>Abrir facsímil</v>
      </c>
      <c r="K12882" t="s">
        <v>22</v>
      </c>
    </row>
    <row r="12883" spans="1:11" ht="42" customHeight="1">
      <c r="A12883" t="s">
        <v>24949</v>
      </c>
      <c r="B12883" t="s">
        <v>24949</v>
      </c>
      <c r="C12883" t="s">
        <v>71</v>
      </c>
      <c r="D12883" t="s">
        <v>17</v>
      </c>
      <c r="E12883" s="6">
        <v>-28372</v>
      </c>
      <c r="F12883" t="s">
        <v>503</v>
      </c>
      <c r="G12883" t="s">
        <v>19</v>
      </c>
      <c r="H12883" t="s">
        <v>20</v>
      </c>
      <c r="I12883" t="s">
        <v>24968</v>
      </c>
      <c r="J12883" t="str">
        <f>HYPERLINK("https://www.boe.es/gazeta/dias/1822/04/26/pdfs/GMD-1822-118.pdf#page=5","Abrir facsímil")</f>
        <v>Abrir facsímil</v>
      </c>
      <c r="K12883" t="s">
        <v>22</v>
      </c>
    </row>
    <row r="12884" spans="1:11" ht="42" customHeight="1">
      <c r="A12884" t="s">
        <v>24949</v>
      </c>
      <c r="B12884" t="s">
        <v>24949</v>
      </c>
      <c r="C12884" t="s">
        <v>50</v>
      </c>
      <c r="D12884" t="s">
        <v>51</v>
      </c>
      <c r="E12884" s="6">
        <v>-28366</v>
      </c>
      <c r="F12884" t="s">
        <v>120</v>
      </c>
      <c r="G12884" t="s">
        <v>35</v>
      </c>
      <c r="H12884" t="s">
        <v>20</v>
      </c>
      <c r="I12884" t="s">
        <v>24969</v>
      </c>
      <c r="J12884" t="str">
        <f>HYPERLINK("https://www.boe.es/gazeta/dias/1822/05/02/pdfs/GMD-1822-124.pdf#page=2","Abrir facsímil")</f>
        <v>Abrir facsímil</v>
      </c>
      <c r="K12884" t="s">
        <v>22</v>
      </c>
    </row>
    <row r="12885" spans="1:11" ht="42" customHeight="1">
      <c r="A12885" t="s">
        <v>24949</v>
      </c>
      <c r="B12885" t="s">
        <v>24949</v>
      </c>
      <c r="C12885" t="s">
        <v>28</v>
      </c>
      <c r="D12885" t="s">
        <v>29</v>
      </c>
      <c r="E12885" s="6">
        <v>-28366</v>
      </c>
      <c r="F12885" t="s">
        <v>120</v>
      </c>
      <c r="G12885" t="s">
        <v>31</v>
      </c>
      <c r="H12885" t="s">
        <v>20</v>
      </c>
      <c r="I12885" t="s">
        <v>24970</v>
      </c>
      <c r="J12885" t="str">
        <f>HYPERLINK("https://www.boe.es/gazeta/dias/1822/05/02/pdfs/GMD-1822-124.pdf#page=3","Abrir facsímil")</f>
        <v>Abrir facsímil</v>
      </c>
      <c r="K12885" t="s">
        <v>22</v>
      </c>
    </row>
    <row r="12886" spans="1:11" ht="42" customHeight="1">
      <c r="A12886" t="s">
        <v>24949</v>
      </c>
      <c r="B12886" t="s">
        <v>24949</v>
      </c>
      <c r="C12886" t="s">
        <v>50</v>
      </c>
      <c r="D12886" t="s">
        <v>51</v>
      </c>
      <c r="E12886" s="6">
        <v>-28364</v>
      </c>
      <c r="F12886" t="s">
        <v>509</v>
      </c>
      <c r="G12886" t="s">
        <v>57</v>
      </c>
      <c r="H12886" t="s">
        <v>20</v>
      </c>
      <c r="I12886" t="s">
        <v>24971</v>
      </c>
      <c r="J12886" t="str">
        <f>HYPERLINK("https://www.boe.es/gazeta/dias/1822/05/04/pdfs/GMD-1822-126.pdf#page=4","Abrir facsímil")</f>
        <v>Abrir facsímil</v>
      </c>
      <c r="K12886" t="s">
        <v>22</v>
      </c>
    </row>
    <row r="12887" spans="1:11" ht="42" customHeight="1">
      <c r="A12887" t="s">
        <v>24949</v>
      </c>
      <c r="B12887" t="s">
        <v>24949</v>
      </c>
      <c r="C12887" t="s">
        <v>71</v>
      </c>
      <c r="D12887" t="s">
        <v>17</v>
      </c>
      <c r="E12887" s="6">
        <v>-28363</v>
      </c>
      <c r="F12887" t="s">
        <v>72</v>
      </c>
      <c r="G12887" t="s">
        <v>63</v>
      </c>
      <c r="H12887" t="s">
        <v>20</v>
      </c>
      <c r="I12887" t="s">
        <v>24972</v>
      </c>
      <c r="J12887" t="str">
        <f>HYPERLINK("https://www.boe.es/gazeta/dias/1822/05/05/pdfs/GMD-1822-127.pdf#page=6","Abrir facsímil")</f>
        <v>Abrir facsímil</v>
      </c>
      <c r="K12887" t="s">
        <v>22</v>
      </c>
    </row>
    <row r="12888" spans="1:11" ht="42" customHeight="1">
      <c r="A12888" t="s">
        <v>24949</v>
      </c>
      <c r="B12888" t="s">
        <v>24949</v>
      </c>
      <c r="C12888" t="s">
        <v>28</v>
      </c>
      <c r="D12888" t="s">
        <v>29</v>
      </c>
      <c r="E12888" s="6">
        <v>-28361</v>
      </c>
      <c r="F12888" t="s">
        <v>374</v>
      </c>
      <c r="G12888" t="s">
        <v>19</v>
      </c>
      <c r="H12888" t="s">
        <v>20</v>
      </c>
      <c r="I12888" t="s">
        <v>24973</v>
      </c>
      <c r="J12888" t="str">
        <f>HYPERLINK("https://www.boe.es/gazeta/dias/1822/05/07/pdfs/GMD-1822-129.pdf#page=5","Abrir facsímil")</f>
        <v>Abrir facsímil</v>
      </c>
      <c r="K12888" t="s">
        <v>22</v>
      </c>
    </row>
    <row r="12889" spans="1:11" ht="42" customHeight="1">
      <c r="A12889" t="s">
        <v>24949</v>
      </c>
      <c r="B12889" t="s">
        <v>24949</v>
      </c>
      <c r="C12889" t="s">
        <v>16</v>
      </c>
      <c r="D12889" t="s">
        <v>17</v>
      </c>
      <c r="E12889" s="6">
        <v>-28357</v>
      </c>
      <c r="F12889" t="s">
        <v>690</v>
      </c>
      <c r="G12889" t="s">
        <v>35</v>
      </c>
      <c r="H12889" t="s">
        <v>20</v>
      </c>
      <c r="I12889" t="s">
        <v>24974</v>
      </c>
      <c r="J12889" t="str">
        <f>HYPERLINK("https://www.boe.es/gazeta/dias/1822/05/11/pdfs/GMD-1822-133.pdf#page=2","Abrir facsímil")</f>
        <v>Abrir facsímil</v>
      </c>
      <c r="K12889" t="s">
        <v>22</v>
      </c>
    </row>
    <row r="12890" spans="1:11" ht="42" customHeight="1">
      <c r="A12890" t="s">
        <v>24949</v>
      </c>
      <c r="B12890" t="s">
        <v>24949</v>
      </c>
      <c r="C12890" t="s">
        <v>24</v>
      </c>
      <c r="D12890" t="s">
        <v>17</v>
      </c>
      <c r="E12890" s="6">
        <v>-28356</v>
      </c>
      <c r="F12890" t="s">
        <v>4170</v>
      </c>
      <c r="G12890" t="s">
        <v>44</v>
      </c>
      <c r="H12890" t="s">
        <v>20</v>
      </c>
      <c r="I12890" t="s">
        <v>24975</v>
      </c>
      <c r="J12890" t="str">
        <f>HYPERLINK("https://www.boe.es/gazeta/dias/1822/05/12/pdfs/GMD-1822-134.pdf#page=1","Abrir facsímil")</f>
        <v>Abrir facsímil</v>
      </c>
      <c r="K12890" t="s">
        <v>22</v>
      </c>
    </row>
    <row r="12891" spans="1:11" ht="42" customHeight="1">
      <c r="A12891" t="s">
        <v>24949</v>
      </c>
      <c r="B12891" t="s">
        <v>24949</v>
      </c>
      <c r="C12891" t="s">
        <v>71</v>
      </c>
      <c r="D12891" t="s">
        <v>17</v>
      </c>
      <c r="E12891" s="6">
        <v>-28347</v>
      </c>
      <c r="F12891" t="s">
        <v>520</v>
      </c>
      <c r="G12891" t="s">
        <v>35</v>
      </c>
      <c r="H12891" t="s">
        <v>20</v>
      </c>
      <c r="I12891" t="s">
        <v>24976</v>
      </c>
      <c r="J12891" t="str">
        <f>HYPERLINK("https://www.boe.es/gazeta/dias/1822/05/21/pdfs/GMD-1822-144.pdf#page=2","Abrir facsímil")</f>
        <v>Abrir facsímil</v>
      </c>
      <c r="K12891" t="s">
        <v>22</v>
      </c>
    </row>
    <row r="12892" spans="1:11" ht="42" customHeight="1">
      <c r="A12892" t="s">
        <v>24949</v>
      </c>
      <c r="B12892" t="s">
        <v>24949</v>
      </c>
      <c r="C12892" t="s">
        <v>28</v>
      </c>
      <c r="D12892" t="s">
        <v>29</v>
      </c>
      <c r="E12892" s="6">
        <v>-28344</v>
      </c>
      <c r="F12892" t="s">
        <v>524</v>
      </c>
      <c r="G12892" t="s">
        <v>57</v>
      </c>
      <c r="H12892" t="s">
        <v>20</v>
      </c>
      <c r="I12892" t="s">
        <v>24977</v>
      </c>
      <c r="J12892" t="str">
        <f>HYPERLINK("https://www.boe.es/gazeta/dias/1822/05/24/pdfs/GMD-1822-148.pdf#page=4","Abrir facsímil")</f>
        <v>Abrir facsímil</v>
      </c>
      <c r="K12892" t="s">
        <v>22</v>
      </c>
    </row>
    <row r="12893" spans="1:11" ht="42" customHeight="1">
      <c r="A12893" t="s">
        <v>24949</v>
      </c>
      <c r="B12893" t="s">
        <v>24949</v>
      </c>
      <c r="C12893" t="s">
        <v>71</v>
      </c>
      <c r="D12893" t="s">
        <v>17</v>
      </c>
      <c r="E12893" s="6">
        <v>-28339</v>
      </c>
      <c r="F12893" t="s">
        <v>197</v>
      </c>
      <c r="G12893" t="s">
        <v>35</v>
      </c>
      <c r="H12893" t="s">
        <v>20</v>
      </c>
      <c r="I12893" t="s">
        <v>24978</v>
      </c>
      <c r="J12893" t="str">
        <f>HYPERLINK("https://www.boe.es/gazeta/dias/1822/05/29/pdfs/GMD-1822-154.pdf#page=2","Abrir facsímil")</f>
        <v>Abrir facsímil</v>
      </c>
      <c r="K12893" t="s">
        <v>22</v>
      </c>
    </row>
    <row r="12894" spans="1:11" ht="42" customHeight="1">
      <c r="A12894" t="s">
        <v>24949</v>
      </c>
      <c r="B12894" t="s">
        <v>24949</v>
      </c>
      <c r="C12894" t="s">
        <v>50</v>
      </c>
      <c r="D12894" t="s">
        <v>51</v>
      </c>
      <c r="E12894" s="6">
        <v>-28337</v>
      </c>
      <c r="F12894" t="s">
        <v>1836</v>
      </c>
      <c r="G12894" t="s">
        <v>57</v>
      </c>
      <c r="H12894" t="s">
        <v>20</v>
      </c>
      <c r="I12894" t="s">
        <v>24979</v>
      </c>
      <c r="J12894" t="str">
        <f>HYPERLINK("https://www.boe.es/gazeta/dias/1822/05/31/pdfs/GMD-1822-156.pdf#page=4","Abrir facsímil")</f>
        <v>Abrir facsímil</v>
      </c>
      <c r="K12894" t="s">
        <v>22</v>
      </c>
    </row>
    <row r="12895" spans="1:11" ht="42" customHeight="1">
      <c r="A12895" t="s">
        <v>24949</v>
      </c>
      <c r="B12895" t="s">
        <v>24949</v>
      </c>
      <c r="C12895" t="s">
        <v>28</v>
      </c>
      <c r="D12895" t="s">
        <v>29</v>
      </c>
      <c r="E12895" s="6">
        <v>-28331</v>
      </c>
      <c r="F12895" t="s">
        <v>537</v>
      </c>
      <c r="G12895" t="s">
        <v>31</v>
      </c>
      <c r="H12895" t="s">
        <v>20</v>
      </c>
      <c r="I12895" t="s">
        <v>24980</v>
      </c>
      <c r="J12895" t="str">
        <f>HYPERLINK("https://www.boe.es/gazeta/dias/1822/06/06/pdfs/GMD-1822-163.pdf#page=3","Abrir facsímil")</f>
        <v>Abrir facsímil</v>
      </c>
      <c r="K12895" t="s">
        <v>22</v>
      </c>
    </row>
    <row r="12896" spans="1:11" ht="42" customHeight="1">
      <c r="A12896" t="s">
        <v>24949</v>
      </c>
      <c r="B12896" t="s">
        <v>24949</v>
      </c>
      <c r="C12896" t="s">
        <v>50</v>
      </c>
      <c r="D12896" t="s">
        <v>51</v>
      </c>
      <c r="E12896" s="6">
        <v>-28330</v>
      </c>
      <c r="F12896" t="s">
        <v>896</v>
      </c>
      <c r="G12896" t="s">
        <v>35</v>
      </c>
      <c r="H12896" t="s">
        <v>20</v>
      </c>
      <c r="I12896" t="s">
        <v>24981</v>
      </c>
      <c r="J12896" t="str">
        <f>HYPERLINK("https://www.boe.es/gazeta/dias/1822/06/07/pdfs/GMD-1822-164.pdf#page=2","Abrir facsímil")</f>
        <v>Abrir facsímil</v>
      </c>
      <c r="K12896" t="s">
        <v>22</v>
      </c>
    </row>
    <row r="12897" spans="1:11" ht="42" customHeight="1">
      <c r="A12897" t="s">
        <v>24949</v>
      </c>
      <c r="B12897" t="s">
        <v>24949</v>
      </c>
      <c r="C12897" t="s">
        <v>28</v>
      </c>
      <c r="D12897" t="s">
        <v>29</v>
      </c>
      <c r="E12897" s="6">
        <v>-28320</v>
      </c>
      <c r="F12897" t="s">
        <v>700</v>
      </c>
      <c r="G12897" t="s">
        <v>44</v>
      </c>
      <c r="H12897" t="s">
        <v>20</v>
      </c>
      <c r="I12897" t="s">
        <v>24982</v>
      </c>
      <c r="J12897" t="str">
        <f>HYPERLINK("https://www.boe.es/gazeta/dias/1822/06/17/pdfs/GMD-1822-174.pdf#page=1","Abrir facsímil")</f>
        <v>Abrir facsímil</v>
      </c>
      <c r="K12897" t="s">
        <v>22</v>
      </c>
    </row>
    <row r="12898" spans="1:11" ht="42" customHeight="1">
      <c r="A12898" t="s">
        <v>24949</v>
      </c>
      <c r="B12898" t="s">
        <v>24949</v>
      </c>
      <c r="C12898" t="s">
        <v>71</v>
      </c>
      <c r="D12898" t="s">
        <v>17</v>
      </c>
      <c r="E12898" s="6">
        <v>-28319</v>
      </c>
      <c r="F12898" t="s">
        <v>271</v>
      </c>
      <c r="G12898" t="s">
        <v>31</v>
      </c>
      <c r="H12898" t="s">
        <v>20</v>
      </c>
      <c r="I12898" t="s">
        <v>24983</v>
      </c>
      <c r="J12898" t="str">
        <f>HYPERLINK("https://www.boe.es/gazeta/dias/1822/06/18/pdfs/GMD-1822-175.pdf#page=3","Abrir facsímil")</f>
        <v>Abrir facsímil</v>
      </c>
      <c r="K12898" t="s">
        <v>22</v>
      </c>
    </row>
    <row r="12899" spans="1:11" ht="42" customHeight="1">
      <c r="A12899" t="s">
        <v>24949</v>
      </c>
      <c r="B12899" t="s">
        <v>24949</v>
      </c>
      <c r="C12899" t="s">
        <v>16</v>
      </c>
      <c r="D12899" t="s">
        <v>17</v>
      </c>
      <c r="E12899" s="6">
        <v>-28314</v>
      </c>
      <c r="F12899" t="s">
        <v>309</v>
      </c>
      <c r="G12899" t="s">
        <v>57</v>
      </c>
      <c r="H12899" t="s">
        <v>20</v>
      </c>
      <c r="I12899" t="s">
        <v>24984</v>
      </c>
      <c r="J12899" t="str">
        <f>HYPERLINK("https://www.boe.es/gazeta/dias/1822/06/23/pdfs/GMD-1822-181.pdf#page=4","Abrir facsímil")</f>
        <v>Abrir facsímil</v>
      </c>
      <c r="K12899" t="s">
        <v>22</v>
      </c>
    </row>
    <row r="12900" spans="1:11" ht="42" customHeight="1">
      <c r="A12900" t="s">
        <v>24949</v>
      </c>
      <c r="B12900" t="s">
        <v>24949</v>
      </c>
      <c r="C12900" t="s">
        <v>28</v>
      </c>
      <c r="D12900" t="s">
        <v>29</v>
      </c>
      <c r="E12900" s="6">
        <v>-28313</v>
      </c>
      <c r="F12900" t="s">
        <v>315</v>
      </c>
      <c r="G12900" t="s">
        <v>57</v>
      </c>
      <c r="H12900" t="s">
        <v>20</v>
      </c>
      <c r="I12900" t="s">
        <v>24985</v>
      </c>
      <c r="J12900" t="str">
        <f>HYPERLINK("https://www.boe.es/gazeta/dias/1822/06/24/pdfs/GMD-1822-182.pdf#page=4","Abrir facsímil")</f>
        <v>Abrir facsímil</v>
      </c>
      <c r="K12900" t="s">
        <v>22</v>
      </c>
    </row>
    <row r="12901" spans="1:11" ht="42" customHeight="1">
      <c r="A12901" t="s">
        <v>24949</v>
      </c>
      <c r="B12901" t="s">
        <v>24949</v>
      </c>
      <c r="C12901" t="s">
        <v>71</v>
      </c>
      <c r="D12901" t="s">
        <v>17</v>
      </c>
      <c r="E12901" s="6">
        <v>-28312</v>
      </c>
      <c r="F12901" t="s">
        <v>92</v>
      </c>
      <c r="G12901" t="s">
        <v>35</v>
      </c>
      <c r="H12901" t="s">
        <v>20</v>
      </c>
      <c r="I12901" t="s">
        <v>24986</v>
      </c>
      <c r="J12901" t="str">
        <f>HYPERLINK("https://www.boe.es/gazeta/dias/1822/06/25/pdfs/GMD-1822-183.pdf#page=2","Abrir facsímil")</f>
        <v>Abrir facsímil</v>
      </c>
      <c r="K12901" t="s">
        <v>22</v>
      </c>
    </row>
    <row r="12902" spans="1:11" ht="42" customHeight="1">
      <c r="A12902" t="s">
        <v>24949</v>
      </c>
      <c r="B12902" t="s">
        <v>24949</v>
      </c>
      <c r="C12902" t="s">
        <v>28</v>
      </c>
      <c r="D12902" t="s">
        <v>29</v>
      </c>
      <c r="E12902" s="6">
        <v>-28311</v>
      </c>
      <c r="F12902" t="s">
        <v>736</v>
      </c>
      <c r="G12902" t="s">
        <v>31</v>
      </c>
      <c r="H12902" t="s">
        <v>20</v>
      </c>
      <c r="I12902" t="s">
        <v>24987</v>
      </c>
      <c r="J12902" t="str">
        <f>HYPERLINK("https://www.boe.es/gazeta/dias/1822/06/26/pdfs/GMD-1822-184.pdf#page=3","Abrir facsímil")</f>
        <v>Abrir facsímil</v>
      </c>
      <c r="K12902" t="s">
        <v>22</v>
      </c>
    </row>
    <row r="12903" spans="1:11" ht="42" customHeight="1">
      <c r="A12903" t="s">
        <v>24949</v>
      </c>
      <c r="B12903" t="s">
        <v>24949</v>
      </c>
      <c r="C12903" t="s">
        <v>71</v>
      </c>
      <c r="D12903" t="s">
        <v>17</v>
      </c>
      <c r="E12903" s="6">
        <v>-28310</v>
      </c>
      <c r="F12903" t="s">
        <v>241</v>
      </c>
      <c r="G12903" t="s">
        <v>35</v>
      </c>
      <c r="H12903" t="s">
        <v>20</v>
      </c>
      <c r="I12903" t="s">
        <v>24988</v>
      </c>
      <c r="J12903" t="str">
        <f>HYPERLINK("https://www.boe.es/gazeta/dias/1822/06/27/pdfs/GMD-1822-185.pdf#page=2","Abrir facsímil")</f>
        <v>Abrir facsímil</v>
      </c>
      <c r="K12903" t="s">
        <v>22</v>
      </c>
    </row>
    <row r="12904" spans="1:11" ht="42" customHeight="1">
      <c r="A12904" t="s">
        <v>24949</v>
      </c>
      <c r="B12904" t="s">
        <v>24949</v>
      </c>
      <c r="C12904" t="s">
        <v>42</v>
      </c>
      <c r="D12904" t="s">
        <v>17</v>
      </c>
      <c r="E12904" s="6">
        <v>-28310</v>
      </c>
      <c r="F12904" t="s">
        <v>241</v>
      </c>
      <c r="G12904" t="s">
        <v>57</v>
      </c>
      <c r="H12904" t="s">
        <v>20</v>
      </c>
      <c r="I12904" t="s">
        <v>24989</v>
      </c>
      <c r="J12904" t="str">
        <f>HYPERLINK("https://www.boe.es/gazeta/dias/1822/06/27/pdfs/GMD-1822-185.pdf#page=4","Abrir facsímil")</f>
        <v>Abrir facsímil</v>
      </c>
      <c r="K12904" t="s">
        <v>22</v>
      </c>
    </row>
    <row r="12905" spans="1:11" ht="42" customHeight="1">
      <c r="A12905" t="s">
        <v>24949</v>
      </c>
      <c r="B12905" t="s">
        <v>24949</v>
      </c>
      <c r="C12905" t="s">
        <v>71</v>
      </c>
      <c r="D12905" t="s">
        <v>17</v>
      </c>
      <c r="E12905" s="6">
        <v>-28309</v>
      </c>
      <c r="F12905" t="s">
        <v>553</v>
      </c>
      <c r="G12905" t="s">
        <v>2934</v>
      </c>
      <c r="H12905" t="s">
        <v>20</v>
      </c>
      <c r="I12905" t="s">
        <v>24990</v>
      </c>
      <c r="J12905" t="str">
        <f>HYPERLINK("https://www.boe.es/gazeta/dias/1822/06/28/pdfs/GMD-1822-186.pdf#page=2","Abrir facsímil")</f>
        <v>Abrir facsímil</v>
      </c>
      <c r="K12905" t="s">
        <v>22</v>
      </c>
    </row>
    <row r="12906" spans="1:11" ht="42" customHeight="1">
      <c r="A12906" t="s">
        <v>24949</v>
      </c>
      <c r="B12906" t="s">
        <v>24949</v>
      </c>
      <c r="C12906" t="s">
        <v>71</v>
      </c>
      <c r="D12906" t="s">
        <v>17</v>
      </c>
      <c r="E12906" s="6">
        <v>-28309</v>
      </c>
      <c r="F12906" t="s">
        <v>553</v>
      </c>
      <c r="G12906" t="s">
        <v>671</v>
      </c>
      <c r="H12906" t="s">
        <v>20</v>
      </c>
      <c r="I12906" t="s">
        <v>24991</v>
      </c>
      <c r="J12906" t="str">
        <f>HYPERLINK("https://www.boe.es/gazeta/dias/1822/06/28/pdfs/GMD-1822-186.pdf#page=3","Abrir facsímil")</f>
        <v>Abrir facsímil</v>
      </c>
      <c r="K12906" t="s">
        <v>22</v>
      </c>
    </row>
    <row r="12907" spans="1:11" ht="42" customHeight="1">
      <c r="A12907" t="s">
        <v>24949</v>
      </c>
      <c r="B12907" t="s">
        <v>24949</v>
      </c>
      <c r="C12907" t="s">
        <v>16</v>
      </c>
      <c r="D12907" t="s">
        <v>17</v>
      </c>
      <c r="E12907" s="6">
        <v>-28309</v>
      </c>
      <c r="F12907" t="s">
        <v>553</v>
      </c>
      <c r="G12907" t="s">
        <v>57</v>
      </c>
      <c r="H12907" t="s">
        <v>20</v>
      </c>
      <c r="I12907" t="s">
        <v>24992</v>
      </c>
      <c r="J12907" t="str">
        <f>HYPERLINK("https://www.boe.es/gazeta/dias/1822/06/28/pdfs/GMD-1822-186.pdf#page=4","Abrir facsímil")</f>
        <v>Abrir facsímil</v>
      </c>
      <c r="K12907" t="s">
        <v>22</v>
      </c>
    </row>
    <row r="12908" spans="1:11" ht="42" customHeight="1">
      <c r="A12908" t="s">
        <v>24949</v>
      </c>
      <c r="B12908" t="s">
        <v>24949</v>
      </c>
      <c r="C12908" t="s">
        <v>61</v>
      </c>
      <c r="D12908" t="s">
        <v>17</v>
      </c>
      <c r="E12908" s="6">
        <v>-28307</v>
      </c>
      <c r="F12908" t="s">
        <v>555</v>
      </c>
      <c r="G12908" t="s">
        <v>35</v>
      </c>
      <c r="H12908" t="s">
        <v>20</v>
      </c>
      <c r="I12908" t="s">
        <v>24993</v>
      </c>
      <c r="J12908" t="str">
        <f>HYPERLINK("https://www.boe.es/gazeta/dias/1822/06/30/pdfs/GMD-1822-188.pdf#page=2","Abrir facsímil")</f>
        <v>Abrir facsímil</v>
      </c>
      <c r="K12908" t="s">
        <v>22</v>
      </c>
    </row>
    <row r="12909" spans="1:11" ht="42" customHeight="1">
      <c r="A12909" t="s">
        <v>24949</v>
      </c>
      <c r="B12909" t="s">
        <v>24949</v>
      </c>
      <c r="C12909" t="s">
        <v>50</v>
      </c>
      <c r="D12909" t="s">
        <v>51</v>
      </c>
      <c r="E12909" s="6">
        <v>-28218</v>
      </c>
      <c r="F12909" t="s">
        <v>405</v>
      </c>
      <c r="G12909" t="s">
        <v>35</v>
      </c>
      <c r="H12909" t="s">
        <v>20</v>
      </c>
      <c r="I12909" t="s">
        <v>24994</v>
      </c>
      <c r="J12909" t="str">
        <f>HYPERLINK("https://www.boe.es/gazeta/dias/1822/09/27/pdfs/GMD-1822-283.pdf#page=2","Abrir facsímil")</f>
        <v>Abrir facsímil</v>
      </c>
      <c r="K12909" t="s">
        <v>22</v>
      </c>
    </row>
    <row r="12910" spans="1:11" ht="42" customHeight="1">
      <c r="A12910" t="s">
        <v>24949</v>
      </c>
      <c r="B12910" t="s">
        <v>24949</v>
      </c>
      <c r="C12910" t="s">
        <v>50</v>
      </c>
      <c r="D12910" t="s">
        <v>51</v>
      </c>
      <c r="E12910" s="6">
        <v>-28201</v>
      </c>
      <c r="F12910" t="s">
        <v>163</v>
      </c>
      <c r="G12910" t="s">
        <v>57</v>
      </c>
      <c r="H12910" t="s">
        <v>20</v>
      </c>
      <c r="I12910" t="s">
        <v>24995</v>
      </c>
      <c r="J12910" t="str">
        <f>HYPERLINK("https://www.boe.es/gazeta/dias/1822/10/14/pdfs/GMD-1822-301.pdf#page=4","Abrir facsímil")</f>
        <v>Abrir facsímil</v>
      </c>
      <c r="K12910" t="s">
        <v>22</v>
      </c>
    </row>
    <row r="12911" spans="1:11" ht="42" customHeight="1">
      <c r="A12911" t="s">
        <v>24949</v>
      </c>
      <c r="B12911" t="s">
        <v>24949</v>
      </c>
      <c r="C12911" t="s">
        <v>28</v>
      </c>
      <c r="D12911" t="s">
        <v>29</v>
      </c>
      <c r="E12911" s="6">
        <v>-28198</v>
      </c>
      <c r="F12911" t="s">
        <v>981</v>
      </c>
      <c r="G12911" t="s">
        <v>31</v>
      </c>
      <c r="H12911" t="s">
        <v>20</v>
      </c>
      <c r="I12911" t="s">
        <v>24996</v>
      </c>
      <c r="J12911" t="str">
        <f>HYPERLINK("https://www.boe.es/gazeta/dias/1822/10/17/pdfs/GMD-1822-304.pdf#page=3","Abrir facsímil")</f>
        <v>Abrir facsímil</v>
      </c>
      <c r="K12911" t="s">
        <v>22</v>
      </c>
    </row>
    <row r="12912" spans="1:11" ht="42" customHeight="1">
      <c r="A12912" t="s">
        <v>24949</v>
      </c>
      <c r="B12912" t="s">
        <v>24949</v>
      </c>
      <c r="C12912" t="s">
        <v>50</v>
      </c>
      <c r="D12912" t="s">
        <v>51</v>
      </c>
      <c r="E12912" s="6">
        <v>-28187</v>
      </c>
      <c r="F12912" t="s">
        <v>929</v>
      </c>
      <c r="G12912" t="s">
        <v>35</v>
      </c>
      <c r="H12912" t="s">
        <v>20</v>
      </c>
      <c r="I12912" t="s">
        <v>24997</v>
      </c>
      <c r="J12912" t="str">
        <f>HYPERLINK("https://www.boe.es/gazeta/dias/1822/10/28/pdfs/GMD-1822-315.pdf#page=2","Abrir facsímil")</f>
        <v>Abrir facsímil</v>
      </c>
      <c r="K12912" t="s">
        <v>22</v>
      </c>
    </row>
    <row r="12913" spans="1:11" ht="42" customHeight="1">
      <c r="A12913" t="s">
        <v>24949</v>
      </c>
      <c r="B12913" t="s">
        <v>24949</v>
      </c>
      <c r="C12913" t="s">
        <v>61</v>
      </c>
      <c r="D12913" t="s">
        <v>17</v>
      </c>
      <c r="E12913" s="6">
        <v>-28187</v>
      </c>
      <c r="F12913" t="s">
        <v>929</v>
      </c>
      <c r="G12913" t="s">
        <v>31</v>
      </c>
      <c r="H12913" t="s">
        <v>20</v>
      </c>
      <c r="I12913" t="s">
        <v>24998</v>
      </c>
      <c r="J12913" t="str">
        <f>HYPERLINK("https://www.boe.es/gazeta/dias/1822/10/28/pdfs/GMD-1822-315.pdf#page=3","Abrir facsímil")</f>
        <v>Abrir facsímil</v>
      </c>
      <c r="K12913" t="s">
        <v>22</v>
      </c>
    </row>
    <row r="12914" spans="1:11" ht="42" customHeight="1">
      <c r="A12914" t="s">
        <v>24949</v>
      </c>
      <c r="B12914" t="s">
        <v>24949</v>
      </c>
      <c r="C12914" t="s">
        <v>50</v>
      </c>
      <c r="D12914" t="s">
        <v>51</v>
      </c>
      <c r="E12914" s="6">
        <v>-28187</v>
      </c>
      <c r="F12914" t="s">
        <v>929</v>
      </c>
      <c r="G12914" t="s">
        <v>57</v>
      </c>
      <c r="H12914" t="s">
        <v>20</v>
      </c>
      <c r="I12914" t="s">
        <v>24999</v>
      </c>
      <c r="J12914" t="str">
        <f>HYPERLINK("https://www.boe.es/gazeta/dias/1822/10/28/pdfs/GMD-1822-315.pdf#page=4","Abrir facsímil")</f>
        <v>Abrir facsímil</v>
      </c>
      <c r="K12914" t="s">
        <v>22</v>
      </c>
    </row>
    <row r="12915" spans="1:11" ht="42" customHeight="1">
      <c r="A12915" t="s">
        <v>24949</v>
      </c>
      <c r="B12915" t="s">
        <v>24949</v>
      </c>
      <c r="C12915" t="s">
        <v>42</v>
      </c>
      <c r="D12915" t="s">
        <v>17</v>
      </c>
      <c r="E12915" s="6">
        <v>-28187</v>
      </c>
      <c r="F12915" t="s">
        <v>929</v>
      </c>
      <c r="G12915" t="s">
        <v>19</v>
      </c>
      <c r="H12915" t="s">
        <v>20</v>
      </c>
      <c r="I12915" t="s">
        <v>25000</v>
      </c>
      <c r="J12915" t="str">
        <f>HYPERLINK("https://www.boe.es/gazeta/dias/1822/10/28/pdfs/GMD-1822-315.pdf#page=5","Abrir facsímil")</f>
        <v>Abrir facsímil</v>
      </c>
      <c r="K12915" t="s">
        <v>22</v>
      </c>
    </row>
    <row r="12916" spans="1:11" ht="42" customHeight="1">
      <c r="A12916" t="s">
        <v>24949</v>
      </c>
      <c r="B12916" t="s">
        <v>24949</v>
      </c>
      <c r="C12916" t="s">
        <v>71</v>
      </c>
      <c r="D12916" t="s">
        <v>17</v>
      </c>
      <c r="E12916" s="6">
        <v>-28177</v>
      </c>
      <c r="F12916" t="s">
        <v>587</v>
      </c>
      <c r="G12916" t="s">
        <v>31</v>
      </c>
      <c r="H12916" t="s">
        <v>20</v>
      </c>
      <c r="I12916" t="s">
        <v>25001</v>
      </c>
      <c r="J12916" t="str">
        <f>HYPERLINK("https://www.boe.es/gazeta/dias/1822/11/07/pdfs/GMD-1822-327.pdf#page=3","Abrir facsímil")</f>
        <v>Abrir facsímil</v>
      </c>
      <c r="K12916" t="s">
        <v>22</v>
      </c>
    </row>
    <row r="12917" spans="1:11" ht="42" customHeight="1">
      <c r="A12917" t="s">
        <v>24949</v>
      </c>
      <c r="B12917" t="s">
        <v>24949</v>
      </c>
      <c r="C12917" t="s">
        <v>42</v>
      </c>
      <c r="D12917" t="s">
        <v>17</v>
      </c>
      <c r="E12917" s="6">
        <v>-28176</v>
      </c>
      <c r="F12917" t="s">
        <v>780</v>
      </c>
      <c r="G12917" t="s">
        <v>31</v>
      </c>
      <c r="H12917" t="s">
        <v>20</v>
      </c>
      <c r="I12917" t="s">
        <v>25002</v>
      </c>
      <c r="J12917" t="str">
        <f>HYPERLINK("https://www.boe.es/gazeta/dias/1822/11/08/pdfs/GMD-1822-328.pdf#page=3","Abrir facsímil")</f>
        <v>Abrir facsímil</v>
      </c>
      <c r="K12917" t="s">
        <v>22</v>
      </c>
    </row>
    <row r="12918" spans="1:11" ht="42" customHeight="1">
      <c r="A12918" t="s">
        <v>24949</v>
      </c>
      <c r="B12918" t="s">
        <v>24949</v>
      </c>
      <c r="C12918" t="s">
        <v>71</v>
      </c>
      <c r="D12918" t="s">
        <v>17</v>
      </c>
      <c r="E12918" s="6">
        <v>-28176</v>
      </c>
      <c r="F12918" t="s">
        <v>780</v>
      </c>
      <c r="G12918" t="s">
        <v>19</v>
      </c>
      <c r="H12918" t="s">
        <v>20</v>
      </c>
      <c r="I12918" t="s">
        <v>25003</v>
      </c>
      <c r="J12918" t="str">
        <f>HYPERLINK("https://www.boe.es/gazeta/dias/1822/11/08/pdfs/GMD-1822-328.pdf#page=5","Abrir facsímil")</f>
        <v>Abrir facsímil</v>
      </c>
      <c r="K12918" t="s">
        <v>22</v>
      </c>
    </row>
    <row r="12919" spans="1:11" ht="42" customHeight="1">
      <c r="A12919" t="s">
        <v>24949</v>
      </c>
      <c r="B12919" t="s">
        <v>24949</v>
      </c>
      <c r="C12919" t="s">
        <v>71</v>
      </c>
      <c r="D12919" t="s">
        <v>17</v>
      </c>
      <c r="E12919" s="6">
        <v>-28175</v>
      </c>
      <c r="F12919" t="s">
        <v>341</v>
      </c>
      <c r="G12919" t="s">
        <v>31</v>
      </c>
      <c r="H12919" t="s">
        <v>20</v>
      </c>
      <c r="I12919" t="s">
        <v>25004</v>
      </c>
      <c r="J12919" t="str">
        <f>HYPERLINK("https://www.boe.es/gazeta/dias/1822/11/09/pdfs/GMD-1822-329.pdf#page=3","Abrir facsímil")</f>
        <v>Abrir facsímil</v>
      </c>
      <c r="K12919" t="s">
        <v>22</v>
      </c>
    </row>
    <row r="12920" spans="1:11" ht="42" customHeight="1">
      <c r="A12920" t="s">
        <v>24949</v>
      </c>
      <c r="B12920" t="s">
        <v>24949</v>
      </c>
      <c r="C12920" t="s">
        <v>42</v>
      </c>
      <c r="D12920" t="s">
        <v>17</v>
      </c>
      <c r="E12920" s="6">
        <v>-28169</v>
      </c>
      <c r="F12920" t="s">
        <v>2571</v>
      </c>
      <c r="G12920" t="s">
        <v>31</v>
      </c>
      <c r="H12920" t="s">
        <v>20</v>
      </c>
      <c r="I12920" t="s">
        <v>25005</v>
      </c>
      <c r="J12920" t="str">
        <f>HYPERLINK("https://www.boe.es/gazeta/dias/1822/11/15/pdfs/GMD-1822-335.pdf#page=3","Abrir facsímil")</f>
        <v>Abrir facsímil</v>
      </c>
      <c r="K12920" t="s">
        <v>22</v>
      </c>
    </row>
    <row r="12921" spans="1:11" ht="42" customHeight="1">
      <c r="A12921" t="s">
        <v>24949</v>
      </c>
      <c r="B12921" t="s">
        <v>24949</v>
      </c>
      <c r="C12921" t="s">
        <v>28</v>
      </c>
      <c r="D12921" t="s">
        <v>29</v>
      </c>
      <c r="E12921" s="6">
        <v>-28166</v>
      </c>
      <c r="F12921" t="s">
        <v>942</v>
      </c>
      <c r="G12921" t="s">
        <v>31</v>
      </c>
      <c r="H12921" t="s">
        <v>20</v>
      </c>
      <c r="I12921" t="s">
        <v>25006</v>
      </c>
      <c r="J12921" t="str">
        <f>HYPERLINK("https://www.boe.es/gazeta/dias/1822/11/18/pdfs/GMD-1822-338.pdf#page=3","Abrir facsímil")</f>
        <v>Abrir facsímil</v>
      </c>
      <c r="K12921" t="s">
        <v>22</v>
      </c>
    </row>
    <row r="12922" spans="1:11" ht="42" customHeight="1">
      <c r="A12922" t="s">
        <v>24949</v>
      </c>
      <c r="B12922" t="s">
        <v>24949</v>
      </c>
      <c r="C12922" t="s">
        <v>28</v>
      </c>
      <c r="D12922" t="s">
        <v>29</v>
      </c>
      <c r="E12922" s="6">
        <v>-28159</v>
      </c>
      <c r="F12922" t="s">
        <v>67</v>
      </c>
      <c r="G12922" t="s">
        <v>35</v>
      </c>
      <c r="H12922" t="s">
        <v>20</v>
      </c>
      <c r="I12922" t="s">
        <v>25007</v>
      </c>
      <c r="J12922" t="str">
        <f>HYPERLINK("https://www.boe.es/gazeta/dias/1822/11/25/pdfs/GMD-1822-345.pdf#page=2","Abrir facsímil")</f>
        <v>Abrir facsímil</v>
      </c>
      <c r="K12922" t="s">
        <v>22</v>
      </c>
    </row>
    <row r="12923" spans="1:11" ht="42" customHeight="1">
      <c r="A12923" t="s">
        <v>24949</v>
      </c>
      <c r="B12923" t="s">
        <v>24949</v>
      </c>
      <c r="C12923" t="s">
        <v>28</v>
      </c>
      <c r="D12923" t="s">
        <v>29</v>
      </c>
      <c r="E12923" s="6">
        <v>-28152</v>
      </c>
      <c r="F12923" t="s">
        <v>122</v>
      </c>
      <c r="G12923" t="s">
        <v>35</v>
      </c>
      <c r="H12923" t="s">
        <v>20</v>
      </c>
      <c r="I12923" t="s">
        <v>25008</v>
      </c>
      <c r="J12923" t="str">
        <f>HYPERLINK("https://www.boe.es/gazeta/dias/1822/12/02/pdfs/GMD-1822-352.pdf#page=2","Abrir facsímil")</f>
        <v>Abrir facsímil</v>
      </c>
      <c r="K12923" t="s">
        <v>22</v>
      </c>
    </row>
    <row r="12924" spans="1:11" ht="42" customHeight="1">
      <c r="A12924" t="s">
        <v>24949</v>
      </c>
      <c r="B12924" t="s">
        <v>24949</v>
      </c>
      <c r="C12924" t="s">
        <v>28</v>
      </c>
      <c r="D12924" t="s">
        <v>29</v>
      </c>
      <c r="E12924" s="6">
        <v>-28152</v>
      </c>
      <c r="F12924" t="s">
        <v>122</v>
      </c>
      <c r="G12924" t="s">
        <v>31</v>
      </c>
      <c r="H12924" t="s">
        <v>20</v>
      </c>
      <c r="I12924" t="s">
        <v>25009</v>
      </c>
      <c r="J12924" t="str">
        <f>HYPERLINK("https://www.boe.es/gazeta/dias/1822/12/02/pdfs/GMD-1822-352.pdf#page=3","Abrir facsímil")</f>
        <v>Abrir facsímil</v>
      </c>
      <c r="K12924" t="s">
        <v>22</v>
      </c>
    </row>
    <row r="12925" spans="1:11" ht="42" customHeight="1">
      <c r="A12925" t="s">
        <v>24949</v>
      </c>
      <c r="B12925" t="s">
        <v>24949</v>
      </c>
      <c r="C12925" t="s">
        <v>42</v>
      </c>
      <c r="D12925" t="s">
        <v>17</v>
      </c>
      <c r="E12925" s="6">
        <v>-28150</v>
      </c>
      <c r="F12925" t="s">
        <v>62</v>
      </c>
      <c r="G12925" t="s">
        <v>57</v>
      </c>
      <c r="H12925" t="s">
        <v>20</v>
      </c>
      <c r="I12925" t="s">
        <v>25010</v>
      </c>
      <c r="J12925" t="str">
        <f>HYPERLINK("https://www.boe.es/gazeta/dias/1822/12/04/pdfs/GMD-1822-354.pdf#page=4","Abrir facsímil")</f>
        <v>Abrir facsímil</v>
      </c>
      <c r="K12925" t="s">
        <v>22</v>
      </c>
    </row>
    <row r="12926" spans="1:11" ht="42" customHeight="1">
      <c r="A12926" t="s">
        <v>24949</v>
      </c>
      <c r="B12926" t="s">
        <v>24949</v>
      </c>
      <c r="C12926" t="s">
        <v>71</v>
      </c>
      <c r="D12926" t="s">
        <v>17</v>
      </c>
      <c r="E12926" s="6">
        <v>-28143</v>
      </c>
      <c r="F12926" t="s">
        <v>2967</v>
      </c>
      <c r="G12926" t="s">
        <v>6049</v>
      </c>
      <c r="H12926" t="s">
        <v>20</v>
      </c>
      <c r="I12926" t="s">
        <v>25011</v>
      </c>
      <c r="J12926" t="str">
        <f>HYPERLINK("https://www.boe.es/gazeta/dias/1822/12/11/pdfs/GMD-1822-361.pdf#page=3","Abrir facsímil")</f>
        <v>Abrir facsímil</v>
      </c>
      <c r="K12926" t="s">
        <v>22</v>
      </c>
    </row>
    <row r="12927" spans="1:11" ht="42" customHeight="1">
      <c r="A12927" t="s">
        <v>25012</v>
      </c>
      <c r="B12927" t="s">
        <v>25013</v>
      </c>
      <c r="C12927" t="s">
        <v>28</v>
      </c>
      <c r="D12927" t="s">
        <v>29</v>
      </c>
      <c r="E12927" s="6">
        <v>-28338</v>
      </c>
      <c r="F12927" t="s">
        <v>527</v>
      </c>
      <c r="G12927" t="s">
        <v>35</v>
      </c>
      <c r="H12927" t="s">
        <v>20</v>
      </c>
      <c r="I12927" t="s">
        <v>25014</v>
      </c>
      <c r="J12927" t="str">
        <f>HYPERLINK("https://www.boe.es/gazeta/dias/1822/05/30/pdfs/GMD-1822-155.pdf#page=2","Abrir facsímil")</f>
        <v>Abrir facsímil</v>
      </c>
      <c r="K12927" t="s">
        <v>22</v>
      </c>
    </row>
    <row r="12928" spans="1:11" ht="42" customHeight="1">
      <c r="A12928" t="s">
        <v>25012</v>
      </c>
      <c r="B12928" t="s">
        <v>25013</v>
      </c>
      <c r="C12928" t="s">
        <v>50</v>
      </c>
      <c r="D12928" t="s">
        <v>51</v>
      </c>
      <c r="E12928" s="6">
        <v>-28230</v>
      </c>
      <c r="F12928" t="s">
        <v>1735</v>
      </c>
      <c r="G12928" t="s">
        <v>57</v>
      </c>
      <c r="H12928" t="s">
        <v>20</v>
      </c>
      <c r="I12928" t="s">
        <v>25015</v>
      </c>
      <c r="J12928" t="str">
        <f>HYPERLINK("https://www.boe.es/gazeta/dias/1822/09/15/pdfs/GMD-1822-271.pdf#page=4","Abrir facsímil")</f>
        <v>Abrir facsímil</v>
      </c>
      <c r="K12928" t="s">
        <v>22</v>
      </c>
    </row>
    <row r="12929" spans="1:11" ht="42" customHeight="1">
      <c r="A12929" t="s">
        <v>25012</v>
      </c>
      <c r="B12929" t="s">
        <v>25013</v>
      </c>
      <c r="C12929" t="s">
        <v>42</v>
      </c>
      <c r="D12929" t="s">
        <v>17</v>
      </c>
      <c r="E12929" s="6">
        <v>-28166</v>
      </c>
      <c r="F12929" t="s">
        <v>942</v>
      </c>
      <c r="G12929" t="s">
        <v>1277</v>
      </c>
      <c r="H12929" t="s">
        <v>20</v>
      </c>
      <c r="I12929" t="s">
        <v>25016</v>
      </c>
      <c r="J12929" t="str">
        <f>HYPERLINK("https://www.boe.es/gazeta/dias/1822/11/18/pdfs/GMD-1822-338.pdf#page=6","Abrir facsímil")</f>
        <v>Abrir facsímil</v>
      </c>
      <c r="K12929" t="s">
        <v>22</v>
      </c>
    </row>
    <row r="12930" spans="1:11" ht="42" customHeight="1">
      <c r="A12930" t="s">
        <v>25012</v>
      </c>
      <c r="B12930" t="s">
        <v>25013</v>
      </c>
      <c r="C12930" t="s">
        <v>42</v>
      </c>
      <c r="D12930" t="s">
        <v>17</v>
      </c>
      <c r="E12930" s="6">
        <v>-28165</v>
      </c>
      <c r="F12930" t="s">
        <v>846</v>
      </c>
      <c r="G12930" t="s">
        <v>57</v>
      </c>
      <c r="H12930" t="s">
        <v>20</v>
      </c>
      <c r="I12930" t="s">
        <v>25017</v>
      </c>
      <c r="J12930" t="str">
        <f>HYPERLINK("https://www.boe.es/gazeta/dias/1822/11/19/pdfs/GMD-1822-339.pdf#page=4","Abrir facsímil")</f>
        <v>Abrir facsímil</v>
      </c>
      <c r="K12930" t="s">
        <v>22</v>
      </c>
    </row>
    <row r="12931" spans="1:11" ht="42" customHeight="1">
      <c r="A12931" t="s">
        <v>25018</v>
      </c>
      <c r="B12931" t="s">
        <v>25019</v>
      </c>
      <c r="C12931" t="s">
        <v>42</v>
      </c>
      <c r="D12931" t="s">
        <v>17</v>
      </c>
      <c r="E12931" s="6">
        <v>-28176</v>
      </c>
      <c r="F12931" t="s">
        <v>780</v>
      </c>
      <c r="G12931" t="s">
        <v>63</v>
      </c>
      <c r="H12931" t="s">
        <v>20</v>
      </c>
      <c r="I12931" t="s">
        <v>25020</v>
      </c>
      <c r="J12931" t="str">
        <f>HYPERLINK("https://www.boe.es/gazeta/dias/1822/11/08/pdfs/GMD-1822-328.pdf#page=6","Abrir facsímil")</f>
        <v>Abrir facsímil</v>
      </c>
      <c r="K12931" t="s">
        <v>22</v>
      </c>
    </row>
    <row r="12932" spans="1:11" ht="42" customHeight="1">
      <c r="A12932" t="s">
        <v>25021</v>
      </c>
      <c r="B12932" t="s">
        <v>25022</v>
      </c>
      <c r="C12932" t="s">
        <v>42</v>
      </c>
      <c r="D12932" t="s">
        <v>17</v>
      </c>
      <c r="E12932" s="6">
        <v>-28225</v>
      </c>
      <c r="F12932" t="s">
        <v>177</v>
      </c>
      <c r="G12932" t="s">
        <v>178</v>
      </c>
      <c r="H12932" t="s">
        <v>20</v>
      </c>
      <c r="I12932" t="s">
        <v>25023</v>
      </c>
      <c r="J12932" t="str">
        <f>HYPERLINK("https://www.boe.es/gazeta/dias/1822/09/20/pdfs/GMD-1822-276.pdf#page=3","Abrir facsímil")</f>
        <v>Abrir facsímil</v>
      </c>
      <c r="K12932" t="s">
        <v>22</v>
      </c>
    </row>
    <row r="12933" spans="1:11" ht="42" customHeight="1">
      <c r="A12933" t="s">
        <v>25024</v>
      </c>
      <c r="B12933" t="s">
        <v>25025</v>
      </c>
      <c r="C12933" t="s">
        <v>61</v>
      </c>
      <c r="D12933" t="s">
        <v>17</v>
      </c>
      <c r="E12933" s="6">
        <v>-28237</v>
      </c>
      <c r="F12933" t="s">
        <v>878</v>
      </c>
      <c r="G12933" t="s">
        <v>57</v>
      </c>
      <c r="H12933" t="s">
        <v>20</v>
      </c>
      <c r="I12933" t="s">
        <v>25026</v>
      </c>
      <c r="J12933" t="str">
        <f>HYPERLINK("https://www.boe.es/gazeta/dias/1822/09/08/pdfs/GMD-1822-264.pdf#page=4","Abrir facsímil")</f>
        <v>Abrir facsímil</v>
      </c>
      <c r="K12933" t="s">
        <v>22</v>
      </c>
    </row>
    <row r="12934" spans="1:11" ht="42" customHeight="1">
      <c r="A12934" t="s">
        <v>25027</v>
      </c>
      <c r="B12934" t="s">
        <v>25028</v>
      </c>
      <c r="C12934" t="s">
        <v>50</v>
      </c>
      <c r="D12934" t="s">
        <v>51</v>
      </c>
      <c r="E12934" s="6">
        <v>-28162</v>
      </c>
      <c r="F12934" t="s">
        <v>3949</v>
      </c>
      <c r="G12934" t="s">
        <v>19</v>
      </c>
      <c r="H12934" t="s">
        <v>45</v>
      </c>
      <c r="I12934" t="s">
        <v>25029</v>
      </c>
      <c r="J12934" t="str">
        <f>HYPERLINK("https://www.boe.es/gazeta/dias/1822/11/22/pdfs/GMD-1822-342.pdf#page=5","Abrir facsímil")</f>
        <v>Abrir facsímil</v>
      </c>
      <c r="K12934" t="s">
        <v>47</v>
      </c>
    </row>
    <row r="12935" spans="1:11" ht="42" customHeight="1">
      <c r="A12935" t="s">
        <v>25030</v>
      </c>
      <c r="B12935" t="s">
        <v>25031</v>
      </c>
      <c r="C12935" t="s">
        <v>28</v>
      </c>
      <c r="D12935" t="s">
        <v>29</v>
      </c>
      <c r="E12935" s="6">
        <v>-28366</v>
      </c>
      <c r="F12935" t="s">
        <v>120</v>
      </c>
      <c r="G12935" t="s">
        <v>19</v>
      </c>
      <c r="H12935" t="s">
        <v>45</v>
      </c>
      <c r="I12935" t="s">
        <v>25032</v>
      </c>
      <c r="J12935" t="str">
        <f>HYPERLINK("https://www.boe.es/gazeta/dias/1822/05/02/pdfs/GMD-1822-124.pdf#page=5","Abrir facsímil")</f>
        <v>Abrir facsímil</v>
      </c>
      <c r="K12935" t="s">
        <v>47</v>
      </c>
    </row>
    <row r="12936" spans="1:11" ht="42" customHeight="1">
      <c r="A12936" t="s">
        <v>25033</v>
      </c>
      <c r="B12936" t="s">
        <v>25034</v>
      </c>
      <c r="C12936" t="s">
        <v>28</v>
      </c>
      <c r="D12936" t="s">
        <v>29</v>
      </c>
      <c r="E12936" s="6">
        <v>-28469</v>
      </c>
      <c r="F12936" t="s">
        <v>1164</v>
      </c>
      <c r="G12936" t="s">
        <v>57</v>
      </c>
      <c r="H12936" t="s">
        <v>20</v>
      </c>
      <c r="I12936" t="s">
        <v>25035</v>
      </c>
      <c r="J12936" t="str">
        <f>HYPERLINK("https://www.boe.es/gazeta/dias/1822/01/19/pdfs/GMD-1822-19.pdf#page=4","Abrir facsímil")</f>
        <v>Abrir facsímil</v>
      </c>
      <c r="K12936" t="s">
        <v>22</v>
      </c>
    </row>
    <row r="12937" spans="1:11" ht="42" customHeight="1">
      <c r="A12937" t="s">
        <v>25033</v>
      </c>
      <c r="B12937" t="s">
        <v>25034</v>
      </c>
      <c r="C12937" t="s">
        <v>50</v>
      </c>
      <c r="D12937" t="s">
        <v>51</v>
      </c>
      <c r="E12937" s="6">
        <v>-28396</v>
      </c>
      <c r="F12937" t="s">
        <v>1138</v>
      </c>
      <c r="G12937" t="s">
        <v>63</v>
      </c>
      <c r="H12937" t="s">
        <v>20</v>
      </c>
      <c r="I12937" t="s">
        <v>25036</v>
      </c>
      <c r="J12937" t="str">
        <f>HYPERLINK("https://www.boe.es/gazeta/dias/1822/04/02/pdfs/GMD-1822-94.pdf#page=6","Abrir facsímil")</f>
        <v>Abrir facsímil</v>
      </c>
      <c r="K12937" t="s">
        <v>22</v>
      </c>
    </row>
    <row r="12938" spans="1:11" ht="42" customHeight="1">
      <c r="A12938" t="s">
        <v>25037</v>
      </c>
      <c r="B12938" t="s">
        <v>25038</v>
      </c>
      <c r="C12938" t="s">
        <v>50</v>
      </c>
      <c r="D12938" t="s">
        <v>51</v>
      </c>
      <c r="E12938" s="6">
        <v>-28410</v>
      </c>
      <c r="F12938" t="s">
        <v>966</v>
      </c>
      <c r="G12938" t="s">
        <v>35</v>
      </c>
      <c r="H12938" t="s">
        <v>20</v>
      </c>
      <c r="I12938" t="s">
        <v>25039</v>
      </c>
      <c r="J12938" t="str">
        <f>HYPERLINK("https://www.boe.es/gazeta/dias/1822/03/19/pdfs/GMD-1822-80.pdf#page=2","Abrir facsímil")</f>
        <v>Abrir facsímil</v>
      </c>
      <c r="K12938" t="s">
        <v>22</v>
      </c>
    </row>
    <row r="12939" spans="1:11" ht="42" customHeight="1">
      <c r="A12939" t="s">
        <v>25037</v>
      </c>
      <c r="B12939" t="s">
        <v>25038</v>
      </c>
      <c r="C12939" t="s">
        <v>50</v>
      </c>
      <c r="D12939" t="s">
        <v>51</v>
      </c>
      <c r="E12939" s="6">
        <v>-28402</v>
      </c>
      <c r="F12939" t="s">
        <v>473</v>
      </c>
      <c r="G12939" t="s">
        <v>35</v>
      </c>
      <c r="H12939" t="s">
        <v>20</v>
      </c>
      <c r="I12939" t="s">
        <v>25040</v>
      </c>
      <c r="J12939" t="str">
        <f>HYPERLINK("https://www.boe.es/gazeta/dias/1822/03/27/pdfs/GMD-1822-88.pdf#page=2","Abrir facsímil")</f>
        <v>Abrir facsímil</v>
      </c>
      <c r="K12939" t="s">
        <v>22</v>
      </c>
    </row>
    <row r="12940" spans="1:11" ht="42" customHeight="1">
      <c r="A12940" t="s">
        <v>25041</v>
      </c>
      <c r="B12940" t="s">
        <v>25042</v>
      </c>
      <c r="C12940" t="s">
        <v>42</v>
      </c>
      <c r="D12940" t="s">
        <v>17</v>
      </c>
      <c r="E12940" s="6">
        <v>-28405</v>
      </c>
      <c r="F12940" t="s">
        <v>466</v>
      </c>
      <c r="G12940" t="s">
        <v>35</v>
      </c>
      <c r="H12940" t="s">
        <v>20</v>
      </c>
      <c r="I12940" t="s">
        <v>25043</v>
      </c>
      <c r="J12940" t="str">
        <f>HYPERLINK("https://www.boe.es/gazeta/dias/1822/03/24/pdfs/GMD-1822-85.pdf#page=2","Abrir facsímil")</f>
        <v>Abrir facsímil</v>
      </c>
      <c r="K12940" t="s">
        <v>22</v>
      </c>
    </row>
    <row r="12941" spans="1:11" ht="42" customHeight="1">
      <c r="A12941" t="s">
        <v>25044</v>
      </c>
      <c r="B12941" t="s">
        <v>25045</v>
      </c>
      <c r="C12941" t="s">
        <v>28</v>
      </c>
      <c r="D12941" t="s">
        <v>29</v>
      </c>
      <c r="E12941" s="6">
        <v>-28296</v>
      </c>
      <c r="F12941" t="s">
        <v>4121</v>
      </c>
      <c r="G12941" t="s">
        <v>57</v>
      </c>
      <c r="H12941" t="s">
        <v>20</v>
      </c>
      <c r="I12941" t="s">
        <v>25046</v>
      </c>
      <c r="J12941" t="str">
        <f>HYPERLINK("https://www.boe.es/gazeta/dias/1822/07/11/pdfs/GMD-1822-201.pdf#page=4","Abrir facsímil")</f>
        <v>Abrir facsímil</v>
      </c>
      <c r="K12941" t="s">
        <v>22</v>
      </c>
    </row>
    <row r="12942" spans="1:11" ht="42" customHeight="1">
      <c r="A12942" t="s">
        <v>25047</v>
      </c>
      <c r="B12942" t="s">
        <v>25048</v>
      </c>
      <c r="C12942" t="s">
        <v>28</v>
      </c>
      <c r="D12942" t="s">
        <v>29</v>
      </c>
      <c r="E12942" s="6">
        <v>-28415</v>
      </c>
      <c r="F12942" t="s">
        <v>77</v>
      </c>
      <c r="G12942" t="s">
        <v>35</v>
      </c>
      <c r="H12942" t="s">
        <v>20</v>
      </c>
      <c r="I12942" t="s">
        <v>25049</v>
      </c>
      <c r="J12942" t="str">
        <f>HYPERLINK("https://www.boe.es/gazeta/dias/1822/03/14/pdfs/GMD-1822-75.pdf#page=2","Abrir facsímil")</f>
        <v>Abrir facsímil</v>
      </c>
      <c r="K12942" t="s">
        <v>22</v>
      </c>
    </row>
    <row r="12943" spans="1:11" ht="42" customHeight="1">
      <c r="A12943" t="s">
        <v>25050</v>
      </c>
      <c r="B12943" t="s">
        <v>25051</v>
      </c>
      <c r="C12943" t="s">
        <v>50</v>
      </c>
      <c r="D12943" t="s">
        <v>51</v>
      </c>
      <c r="E12943" s="6">
        <v>-28255</v>
      </c>
      <c r="F12943" t="s">
        <v>4826</v>
      </c>
      <c r="G12943" t="s">
        <v>35</v>
      </c>
      <c r="H12943" t="s">
        <v>20</v>
      </c>
      <c r="I12943" t="s">
        <v>25052</v>
      </c>
      <c r="J12943" t="str">
        <f>HYPERLINK("https://www.boe.es/gazeta/dias/1822/08/21/pdfs/GMD-1822-245.pdf#page=2","Abrir facsímil")</f>
        <v>Abrir facsímil</v>
      </c>
      <c r="K12943" t="s">
        <v>22</v>
      </c>
    </row>
    <row r="12944" spans="1:11" ht="42" customHeight="1">
      <c r="A12944" t="s">
        <v>25053</v>
      </c>
      <c r="B12944" t="s">
        <v>25054</v>
      </c>
      <c r="C12944" t="s">
        <v>71</v>
      </c>
      <c r="D12944" t="s">
        <v>17</v>
      </c>
      <c r="E12944" s="6">
        <v>-28241</v>
      </c>
      <c r="F12944" t="s">
        <v>3068</v>
      </c>
      <c r="G12944" t="s">
        <v>57</v>
      </c>
      <c r="H12944" t="s">
        <v>20</v>
      </c>
      <c r="I12944" t="s">
        <v>25055</v>
      </c>
      <c r="J12944" t="str">
        <f>HYPERLINK("https://www.boe.es/gazeta/dias/1822/09/04/pdfs/GMD-1822-259.pdf#page=4","Abrir facsímil")</f>
        <v>Abrir facsímil</v>
      </c>
      <c r="K12944" t="s">
        <v>22</v>
      </c>
    </row>
    <row r="12945" spans="1:11" ht="42" customHeight="1">
      <c r="A12945" t="s">
        <v>25056</v>
      </c>
      <c r="B12945" t="s">
        <v>25057</v>
      </c>
      <c r="C12945" t="s">
        <v>42</v>
      </c>
      <c r="D12945" t="s">
        <v>17</v>
      </c>
      <c r="E12945" s="6">
        <v>-28436</v>
      </c>
      <c r="F12945" t="s">
        <v>431</v>
      </c>
      <c r="G12945" t="s">
        <v>1428</v>
      </c>
      <c r="H12945" t="s">
        <v>20</v>
      </c>
      <c r="I12945" t="s">
        <v>25058</v>
      </c>
      <c r="J12945" t="str">
        <f>HYPERLINK("https://www.boe.es/gazeta/dias/1822/02/21/pdfs/GMD-1822-53.pdf#page=3","Abrir facsímil")</f>
        <v>Abrir facsímil</v>
      </c>
      <c r="K12945" t="s">
        <v>22</v>
      </c>
    </row>
    <row r="12946" spans="1:11" ht="42" customHeight="1">
      <c r="A12946" t="s">
        <v>25056</v>
      </c>
      <c r="B12946" t="s">
        <v>25057</v>
      </c>
      <c r="C12946" t="s">
        <v>28</v>
      </c>
      <c r="D12946" t="s">
        <v>29</v>
      </c>
      <c r="E12946" s="6">
        <v>-28397</v>
      </c>
      <c r="F12946" t="s">
        <v>1401</v>
      </c>
      <c r="G12946" t="s">
        <v>57</v>
      </c>
      <c r="H12946" t="s">
        <v>20</v>
      </c>
      <c r="I12946" t="s">
        <v>25059</v>
      </c>
      <c r="J12946" t="str">
        <f>HYPERLINK("https://www.boe.es/gazeta/dias/1822/04/01/pdfs/GMD-1822-93.pdf#page=4","Abrir facsímil")</f>
        <v>Abrir facsímil</v>
      </c>
      <c r="K12946" t="s">
        <v>22</v>
      </c>
    </row>
    <row r="12947" spans="1:11" ht="42" customHeight="1">
      <c r="A12947" t="s">
        <v>25056</v>
      </c>
      <c r="B12947" t="s">
        <v>25057</v>
      </c>
      <c r="C12947" t="s">
        <v>42</v>
      </c>
      <c r="D12947" t="s">
        <v>17</v>
      </c>
      <c r="E12947" s="6">
        <v>-28364</v>
      </c>
      <c r="F12947" t="s">
        <v>509</v>
      </c>
      <c r="G12947" t="s">
        <v>63</v>
      </c>
      <c r="H12947" t="s">
        <v>20</v>
      </c>
      <c r="I12947" t="s">
        <v>25060</v>
      </c>
      <c r="J12947" t="str">
        <f>HYPERLINK("https://www.boe.es/gazeta/dias/1822/05/04/pdfs/GMD-1822-126.pdf#page=6","Abrir facsímil")</f>
        <v>Abrir facsímil</v>
      </c>
      <c r="K12947" t="s">
        <v>22</v>
      </c>
    </row>
    <row r="12948" spans="1:11" ht="42" customHeight="1">
      <c r="A12948" t="s">
        <v>25061</v>
      </c>
      <c r="B12948" t="s">
        <v>25062</v>
      </c>
      <c r="C12948" t="s">
        <v>50</v>
      </c>
      <c r="D12948" t="s">
        <v>51</v>
      </c>
      <c r="E12948" s="6">
        <v>-28415</v>
      </c>
      <c r="F12948" t="s">
        <v>77</v>
      </c>
      <c r="G12948" t="s">
        <v>63</v>
      </c>
      <c r="H12948" t="s">
        <v>20</v>
      </c>
      <c r="I12948" t="s">
        <v>25063</v>
      </c>
      <c r="J12948" t="str">
        <f>HYPERLINK("https://www.boe.es/gazeta/dias/1822/03/14/pdfs/GMD-1822-75.pdf#page=6","Abrir facsímil")</f>
        <v>Abrir facsímil</v>
      </c>
      <c r="K12948" t="s">
        <v>22</v>
      </c>
    </row>
    <row r="12949" spans="1:11" ht="42" customHeight="1">
      <c r="A12949" t="s">
        <v>25064</v>
      </c>
      <c r="B12949" t="s">
        <v>25065</v>
      </c>
      <c r="C12949" t="s">
        <v>16</v>
      </c>
      <c r="D12949" t="s">
        <v>17</v>
      </c>
      <c r="E12949" s="6">
        <v>-28390</v>
      </c>
      <c r="F12949" t="s">
        <v>665</v>
      </c>
      <c r="G12949" t="s">
        <v>57</v>
      </c>
      <c r="H12949" t="s">
        <v>20</v>
      </c>
      <c r="I12949" t="s">
        <v>25066</v>
      </c>
      <c r="J12949" t="str">
        <f>HYPERLINK("https://www.boe.es/gazeta/dias/1822/04/08/pdfs/GMD-1822-100.pdf#page=4","Abrir facsímil")</f>
        <v>Abrir facsímil</v>
      </c>
      <c r="K12949" t="s">
        <v>22</v>
      </c>
    </row>
    <row r="12950" spans="1:11" ht="42" customHeight="1">
      <c r="A12950" t="s">
        <v>25067</v>
      </c>
      <c r="B12950" t="s">
        <v>25068</v>
      </c>
      <c r="C12950" t="s">
        <v>50</v>
      </c>
      <c r="D12950" t="s">
        <v>51</v>
      </c>
      <c r="E12950" s="6">
        <v>-28221</v>
      </c>
      <c r="F12950" t="s">
        <v>2591</v>
      </c>
      <c r="G12950" t="s">
        <v>57</v>
      </c>
      <c r="H12950" t="s">
        <v>20</v>
      </c>
      <c r="I12950" t="s">
        <v>25069</v>
      </c>
      <c r="J12950" t="str">
        <f>HYPERLINK("https://www.boe.es/gazeta/dias/1822/09/24/pdfs/GMD-1822-280.pdf#page=4","Abrir facsímil")</f>
        <v>Abrir facsímil</v>
      </c>
      <c r="K12950" t="s">
        <v>22</v>
      </c>
    </row>
    <row r="12951" spans="1:11" ht="42" customHeight="1">
      <c r="A12951" t="s">
        <v>25070</v>
      </c>
      <c r="B12951" t="s">
        <v>25071</v>
      </c>
      <c r="C12951" t="s">
        <v>50</v>
      </c>
      <c r="D12951" t="s">
        <v>51</v>
      </c>
      <c r="E12951" s="6">
        <v>-28421</v>
      </c>
      <c r="F12951" t="s">
        <v>446</v>
      </c>
      <c r="G12951" t="s">
        <v>63</v>
      </c>
      <c r="H12951" t="s">
        <v>20</v>
      </c>
      <c r="I12951" t="s">
        <v>25072</v>
      </c>
      <c r="J12951" t="str">
        <f>HYPERLINK("https://www.boe.es/gazeta/dias/1822/03/08/pdfs/GMD-1822-69.pdf#page=6","Abrir facsímil")</f>
        <v>Abrir facsímil</v>
      </c>
      <c r="K12951" t="s">
        <v>22</v>
      </c>
    </row>
    <row r="12952" spans="1:11" ht="42" customHeight="1">
      <c r="A12952" t="s">
        <v>25070</v>
      </c>
      <c r="B12952" t="s">
        <v>25071</v>
      </c>
      <c r="C12952" t="s">
        <v>71</v>
      </c>
      <c r="D12952" t="s">
        <v>17</v>
      </c>
      <c r="E12952" s="6">
        <v>-28394</v>
      </c>
      <c r="F12952" t="s">
        <v>268</v>
      </c>
      <c r="G12952" t="s">
        <v>57</v>
      </c>
      <c r="H12952" t="s">
        <v>20</v>
      </c>
      <c r="I12952" t="s">
        <v>25073</v>
      </c>
      <c r="J12952" t="str">
        <f>HYPERLINK("https://www.boe.es/gazeta/dias/1822/04/04/pdfs/GMD-1822-96.pdf#page=4","Abrir facsímil")</f>
        <v>Abrir facsímil</v>
      </c>
      <c r="K12952" t="s">
        <v>22</v>
      </c>
    </row>
    <row r="12953" spans="1:11" ht="42" customHeight="1">
      <c r="A12953" t="s">
        <v>25074</v>
      </c>
      <c r="B12953" t="s">
        <v>25075</v>
      </c>
      <c r="C12953" t="s">
        <v>42</v>
      </c>
      <c r="D12953" t="s">
        <v>17</v>
      </c>
      <c r="E12953" s="6">
        <v>-28361</v>
      </c>
      <c r="F12953" t="s">
        <v>374</v>
      </c>
      <c r="G12953" t="s">
        <v>35</v>
      </c>
      <c r="H12953" t="s">
        <v>20</v>
      </c>
      <c r="I12953" t="s">
        <v>25076</v>
      </c>
      <c r="J12953" t="str">
        <f>HYPERLINK("https://www.boe.es/gazeta/dias/1822/05/07/pdfs/GMD-1822-129.pdf#page=2","Abrir facsímil")</f>
        <v>Abrir facsímil</v>
      </c>
      <c r="K12953" t="s">
        <v>22</v>
      </c>
    </row>
    <row r="12954" spans="1:11" ht="42" customHeight="1">
      <c r="A12954" t="s">
        <v>25077</v>
      </c>
      <c r="B12954" t="s">
        <v>25077</v>
      </c>
      <c r="C12954" t="s">
        <v>42</v>
      </c>
      <c r="D12954" t="s">
        <v>17</v>
      </c>
      <c r="E12954" s="6">
        <v>-28386</v>
      </c>
      <c r="F12954" t="s">
        <v>2993</v>
      </c>
      <c r="G12954" t="s">
        <v>31</v>
      </c>
      <c r="H12954" t="s">
        <v>20</v>
      </c>
      <c r="I12954" t="s">
        <v>25078</v>
      </c>
      <c r="J12954" t="str">
        <f>HYPERLINK("https://www.boe.es/gazeta/dias/1822/04/12/pdfs/GMD-1822-104.pdf#page=3","Abrir facsímil")</f>
        <v>Abrir facsímil</v>
      </c>
      <c r="K12954" t="s">
        <v>22</v>
      </c>
    </row>
    <row r="12955" spans="1:11" ht="42" customHeight="1">
      <c r="A12955" t="s">
        <v>25079</v>
      </c>
      <c r="B12955" t="s">
        <v>25079</v>
      </c>
      <c r="C12955" t="s">
        <v>50</v>
      </c>
      <c r="D12955" t="s">
        <v>51</v>
      </c>
      <c r="E12955" s="6">
        <v>-28486</v>
      </c>
      <c r="F12955" t="s">
        <v>1046</v>
      </c>
      <c r="G12955" t="s">
        <v>35</v>
      </c>
      <c r="H12955" t="s">
        <v>20</v>
      </c>
      <c r="I12955" t="s">
        <v>25080</v>
      </c>
      <c r="J12955" t="str">
        <f>HYPERLINK("https://www.boe.es/gazeta/dias/1822/01/02/pdfs/GMD-1822-2.pdf#page=2","Abrir facsímil")</f>
        <v>Abrir facsímil</v>
      </c>
      <c r="K12955" t="s">
        <v>22</v>
      </c>
    </row>
    <row r="12956" spans="1:11" ht="42" customHeight="1">
      <c r="A12956" t="s">
        <v>25079</v>
      </c>
      <c r="B12956" t="s">
        <v>25079</v>
      </c>
      <c r="C12956" t="s">
        <v>28</v>
      </c>
      <c r="D12956" t="s">
        <v>29</v>
      </c>
      <c r="E12956" s="6">
        <v>-28485</v>
      </c>
      <c r="F12956" t="s">
        <v>1117</v>
      </c>
      <c r="G12956" t="s">
        <v>57</v>
      </c>
      <c r="H12956" t="s">
        <v>20</v>
      </c>
      <c r="I12956" t="s">
        <v>25081</v>
      </c>
      <c r="J12956" t="str">
        <f>HYPERLINK("https://www.boe.es/gazeta/dias/1822/01/03/pdfs/GMD-1822-3.pdf#page=4","Abrir facsímil")</f>
        <v>Abrir facsímil</v>
      </c>
      <c r="K12956" t="s">
        <v>22</v>
      </c>
    </row>
    <row r="12957" spans="1:11" ht="42" customHeight="1">
      <c r="A12957" t="s">
        <v>25079</v>
      </c>
      <c r="B12957" t="s">
        <v>25079</v>
      </c>
      <c r="C12957" t="s">
        <v>71</v>
      </c>
      <c r="D12957" t="s">
        <v>17</v>
      </c>
      <c r="E12957" s="6">
        <v>-28483</v>
      </c>
      <c r="F12957" t="s">
        <v>254</v>
      </c>
      <c r="G12957" t="s">
        <v>31</v>
      </c>
      <c r="H12957" t="s">
        <v>20</v>
      </c>
      <c r="I12957" t="s">
        <v>25082</v>
      </c>
      <c r="J12957" t="str">
        <f>HYPERLINK("https://www.boe.es/gazeta/dias/1822/01/05/pdfs/GMD-1822-5.pdf#page=3","Abrir facsímil")</f>
        <v>Abrir facsímil</v>
      </c>
      <c r="K12957" t="s">
        <v>22</v>
      </c>
    </row>
    <row r="12958" spans="1:11" ht="42" customHeight="1">
      <c r="A12958" t="s">
        <v>25079</v>
      </c>
      <c r="B12958" t="s">
        <v>25079</v>
      </c>
      <c r="C12958" t="s">
        <v>71</v>
      </c>
      <c r="D12958" t="s">
        <v>17</v>
      </c>
      <c r="E12958" s="6">
        <v>-28479</v>
      </c>
      <c r="F12958" t="s">
        <v>1091</v>
      </c>
      <c r="G12958" t="s">
        <v>35</v>
      </c>
      <c r="H12958" t="s">
        <v>20</v>
      </c>
      <c r="I12958" t="s">
        <v>25083</v>
      </c>
      <c r="J12958" t="str">
        <f>HYPERLINK("https://www.boe.es/gazeta/dias/1822/01/09/pdfs/GMD-1822-9.pdf#page=2","Abrir facsímil")</f>
        <v>Abrir facsímil</v>
      </c>
      <c r="K12958" t="s">
        <v>22</v>
      </c>
    </row>
    <row r="12959" spans="1:11" ht="42" customHeight="1">
      <c r="A12959" t="s">
        <v>25079</v>
      </c>
      <c r="B12959" t="s">
        <v>25079</v>
      </c>
      <c r="C12959" t="s">
        <v>42</v>
      </c>
      <c r="D12959" t="s">
        <v>17</v>
      </c>
      <c r="E12959" s="6">
        <v>-28479</v>
      </c>
      <c r="F12959" t="s">
        <v>1091</v>
      </c>
      <c r="G12959" t="s">
        <v>57</v>
      </c>
      <c r="H12959" t="s">
        <v>20</v>
      </c>
      <c r="I12959" t="s">
        <v>25084</v>
      </c>
      <c r="J12959" t="str">
        <f>HYPERLINK("https://www.boe.es/gazeta/dias/1822/01/09/pdfs/GMD-1822-9.pdf#page=4","Abrir facsímil")</f>
        <v>Abrir facsímil</v>
      </c>
      <c r="K12959" t="s">
        <v>22</v>
      </c>
    </row>
    <row r="12960" spans="1:11" ht="42" customHeight="1">
      <c r="A12960" t="s">
        <v>25079</v>
      </c>
      <c r="B12960" t="s">
        <v>25079</v>
      </c>
      <c r="C12960" t="s">
        <v>28</v>
      </c>
      <c r="D12960" t="s">
        <v>29</v>
      </c>
      <c r="E12960" s="6">
        <v>-28477</v>
      </c>
      <c r="F12960" t="s">
        <v>1668</v>
      </c>
      <c r="G12960" t="s">
        <v>31</v>
      </c>
      <c r="H12960" t="s">
        <v>20</v>
      </c>
      <c r="I12960" t="s">
        <v>25085</v>
      </c>
      <c r="J12960" t="str">
        <f>HYPERLINK("https://www.boe.es/gazeta/dias/1822/01/11/pdfs/GMD-1822-11.pdf#page=3","Abrir facsímil")</f>
        <v>Abrir facsímil</v>
      </c>
      <c r="K12960" t="s">
        <v>22</v>
      </c>
    </row>
    <row r="12961" spans="1:11" ht="42" customHeight="1">
      <c r="A12961" t="s">
        <v>25079</v>
      </c>
      <c r="B12961" t="s">
        <v>25079</v>
      </c>
      <c r="C12961" t="s">
        <v>42</v>
      </c>
      <c r="D12961" t="s">
        <v>17</v>
      </c>
      <c r="E12961" s="6">
        <v>-28476</v>
      </c>
      <c r="F12961" t="s">
        <v>160</v>
      </c>
      <c r="G12961" t="s">
        <v>31</v>
      </c>
      <c r="H12961" t="s">
        <v>20</v>
      </c>
      <c r="I12961" t="s">
        <v>25086</v>
      </c>
      <c r="J12961" t="str">
        <f>HYPERLINK("https://www.boe.es/gazeta/dias/1822/01/12/pdfs/GMD-1822-12.pdf#page=3","Abrir facsímil")</f>
        <v>Abrir facsímil</v>
      </c>
      <c r="K12961" t="s">
        <v>22</v>
      </c>
    </row>
    <row r="12962" spans="1:11" ht="42" customHeight="1">
      <c r="A12962" t="s">
        <v>25079</v>
      </c>
      <c r="B12962" t="s">
        <v>25079</v>
      </c>
      <c r="C12962" t="s">
        <v>42</v>
      </c>
      <c r="D12962" t="s">
        <v>17</v>
      </c>
      <c r="E12962" s="6">
        <v>-28475</v>
      </c>
      <c r="F12962" t="s">
        <v>1205</v>
      </c>
      <c r="G12962" t="s">
        <v>907</v>
      </c>
      <c r="H12962" t="s">
        <v>20</v>
      </c>
      <c r="I12962" t="s">
        <v>25087</v>
      </c>
      <c r="J12962" t="str">
        <f>HYPERLINK("https://www.boe.es/gazeta/dias/1822/01/13/pdfs/GMD-1822-13.pdf#page=5","Abrir facsímil")</f>
        <v>Abrir facsímil</v>
      </c>
      <c r="K12962" t="s">
        <v>22</v>
      </c>
    </row>
    <row r="12963" spans="1:11" ht="42" customHeight="1">
      <c r="A12963" t="s">
        <v>25079</v>
      </c>
      <c r="B12963" t="s">
        <v>25079</v>
      </c>
      <c r="C12963" t="s">
        <v>24</v>
      </c>
      <c r="D12963" t="s">
        <v>17</v>
      </c>
      <c r="E12963" s="6">
        <v>-28475</v>
      </c>
      <c r="F12963" t="s">
        <v>1205</v>
      </c>
      <c r="G12963" t="s">
        <v>31</v>
      </c>
      <c r="H12963" t="s">
        <v>20</v>
      </c>
      <c r="I12963" t="s">
        <v>25088</v>
      </c>
      <c r="J12963" t="str">
        <f>HYPERLINK("https://www.boe.es/gazeta/dias/1822/01/13/pdfs/GMD-1822-13.pdf#page=3","Abrir facsímil")</f>
        <v>Abrir facsímil</v>
      </c>
      <c r="K12963" t="s">
        <v>22</v>
      </c>
    </row>
    <row r="12964" spans="1:11" ht="42" customHeight="1">
      <c r="A12964" t="s">
        <v>25079</v>
      </c>
      <c r="B12964" t="s">
        <v>25079</v>
      </c>
      <c r="C12964" t="s">
        <v>50</v>
      </c>
      <c r="D12964" t="s">
        <v>51</v>
      </c>
      <c r="E12964" s="6">
        <v>-28472</v>
      </c>
      <c r="F12964" t="s">
        <v>5485</v>
      </c>
      <c r="G12964" t="s">
        <v>35</v>
      </c>
      <c r="H12964" t="s">
        <v>20</v>
      </c>
      <c r="I12964" t="s">
        <v>25089</v>
      </c>
      <c r="J12964" t="str">
        <f>HYPERLINK("https://www.boe.es/gazeta/dias/1822/01/16/pdfs/GMD-1822-16.pdf#page=2","Abrir facsímil")</f>
        <v>Abrir facsímil</v>
      </c>
      <c r="K12964" t="s">
        <v>22</v>
      </c>
    </row>
    <row r="12965" spans="1:11" ht="42" customHeight="1">
      <c r="A12965" t="s">
        <v>25079</v>
      </c>
      <c r="B12965" t="s">
        <v>25079</v>
      </c>
      <c r="C12965" t="s">
        <v>42</v>
      </c>
      <c r="D12965" t="s">
        <v>17</v>
      </c>
      <c r="E12965" s="6">
        <v>-28469</v>
      </c>
      <c r="F12965" t="s">
        <v>1164</v>
      </c>
      <c r="G12965" t="s">
        <v>31</v>
      </c>
      <c r="H12965" t="s">
        <v>20</v>
      </c>
      <c r="I12965" t="s">
        <v>25090</v>
      </c>
      <c r="J12965" t="str">
        <f>HYPERLINK("https://www.boe.es/gazeta/dias/1822/01/19/pdfs/GMD-1822-19.pdf#page=3","Abrir facsímil")</f>
        <v>Abrir facsímil</v>
      </c>
      <c r="K12965" t="s">
        <v>22</v>
      </c>
    </row>
    <row r="12966" spans="1:11" ht="42" customHeight="1">
      <c r="A12966" t="s">
        <v>25079</v>
      </c>
      <c r="B12966" t="s">
        <v>25079</v>
      </c>
      <c r="C12966" t="s">
        <v>50</v>
      </c>
      <c r="D12966" t="s">
        <v>51</v>
      </c>
      <c r="E12966" s="6">
        <v>-28468</v>
      </c>
      <c r="F12966" t="s">
        <v>1012</v>
      </c>
      <c r="G12966" t="s">
        <v>63</v>
      </c>
      <c r="H12966" t="s">
        <v>20</v>
      </c>
      <c r="I12966" t="s">
        <v>25091</v>
      </c>
      <c r="J12966" t="str">
        <f>HYPERLINK("https://www.boe.es/gazeta/dias/1822/01/20/pdfs/GMD-1822-20.pdf#page=6","Abrir facsímil")</f>
        <v>Abrir facsímil</v>
      </c>
      <c r="K12966" t="s">
        <v>22</v>
      </c>
    </row>
    <row r="12967" spans="1:11" ht="42" customHeight="1">
      <c r="A12967" t="s">
        <v>25079</v>
      </c>
      <c r="B12967" t="s">
        <v>25079</v>
      </c>
      <c r="C12967" t="s">
        <v>28</v>
      </c>
      <c r="D12967" t="s">
        <v>29</v>
      </c>
      <c r="E12967" s="6">
        <v>-28465</v>
      </c>
      <c r="F12967" t="s">
        <v>1114</v>
      </c>
      <c r="G12967" t="s">
        <v>63</v>
      </c>
      <c r="H12967" t="s">
        <v>20</v>
      </c>
      <c r="I12967" t="s">
        <v>25092</v>
      </c>
      <c r="J12967" t="str">
        <f>HYPERLINK("https://www.boe.es/gazeta/dias/1822/01/23/pdfs/GMD-1822-23.pdf#page=6","Abrir facsímil")</f>
        <v>Abrir facsímil</v>
      </c>
      <c r="K12967" t="s">
        <v>22</v>
      </c>
    </row>
    <row r="12968" spans="1:11" ht="42" customHeight="1">
      <c r="A12968" t="s">
        <v>25079</v>
      </c>
      <c r="B12968" t="s">
        <v>25079</v>
      </c>
      <c r="C12968" t="s">
        <v>42</v>
      </c>
      <c r="D12968" t="s">
        <v>17</v>
      </c>
      <c r="E12968" s="6">
        <v>-28464</v>
      </c>
      <c r="F12968" t="s">
        <v>1447</v>
      </c>
      <c r="G12968" t="s">
        <v>35</v>
      </c>
      <c r="H12968" t="s">
        <v>20</v>
      </c>
      <c r="I12968" t="s">
        <v>25093</v>
      </c>
      <c r="J12968" t="str">
        <f>HYPERLINK("https://www.boe.es/gazeta/dias/1822/01/24/pdfs/GMD-1822-24.pdf#page=2","Abrir facsímil")</f>
        <v>Abrir facsímil</v>
      </c>
      <c r="K12968" t="s">
        <v>22</v>
      </c>
    </row>
    <row r="12969" spans="1:11" ht="42" customHeight="1">
      <c r="A12969" t="s">
        <v>25079</v>
      </c>
      <c r="B12969" t="s">
        <v>25079</v>
      </c>
      <c r="C12969" t="s">
        <v>71</v>
      </c>
      <c r="D12969" t="s">
        <v>17</v>
      </c>
      <c r="E12969" s="6">
        <v>-28464</v>
      </c>
      <c r="F12969" t="s">
        <v>1447</v>
      </c>
      <c r="G12969" t="s">
        <v>31</v>
      </c>
      <c r="H12969" t="s">
        <v>20</v>
      </c>
      <c r="I12969" t="s">
        <v>25094</v>
      </c>
      <c r="J12969" t="str">
        <f>HYPERLINK("https://www.boe.es/gazeta/dias/1822/01/24/pdfs/GMD-1822-24.pdf#page=3","Abrir facsímil")</f>
        <v>Abrir facsímil</v>
      </c>
      <c r="K12969" t="s">
        <v>22</v>
      </c>
    </row>
    <row r="12970" spans="1:11" ht="42" customHeight="1">
      <c r="A12970" t="s">
        <v>25079</v>
      </c>
      <c r="B12970" t="s">
        <v>25079</v>
      </c>
      <c r="C12970" t="s">
        <v>16</v>
      </c>
      <c r="D12970" t="s">
        <v>17</v>
      </c>
      <c r="E12970" s="6">
        <v>-28463</v>
      </c>
      <c r="F12970" t="s">
        <v>25</v>
      </c>
      <c r="G12970" t="s">
        <v>63</v>
      </c>
      <c r="H12970" t="s">
        <v>20</v>
      </c>
      <c r="I12970" t="s">
        <v>25095</v>
      </c>
      <c r="J12970" t="str">
        <f>HYPERLINK("https://www.boe.es/gazeta/dias/1822/01/25/pdfs/GMD-1822-25.pdf#page=6","Abrir facsímil")</f>
        <v>Abrir facsímil</v>
      </c>
      <c r="K12970" t="s">
        <v>22</v>
      </c>
    </row>
    <row r="12971" spans="1:11" ht="42" customHeight="1">
      <c r="A12971" t="s">
        <v>25079</v>
      </c>
      <c r="B12971" t="s">
        <v>25079</v>
      </c>
      <c r="C12971" t="s">
        <v>71</v>
      </c>
      <c r="D12971" t="s">
        <v>17</v>
      </c>
      <c r="E12971" s="6">
        <v>-28462</v>
      </c>
      <c r="F12971" t="s">
        <v>1099</v>
      </c>
      <c r="G12971" t="s">
        <v>31</v>
      </c>
      <c r="H12971" t="s">
        <v>20</v>
      </c>
      <c r="I12971" t="s">
        <v>25096</v>
      </c>
      <c r="J12971" t="str">
        <f>HYPERLINK("https://www.boe.es/gazeta/dias/1822/01/26/pdfs/GMD-1822-26.pdf#page=3","Abrir facsímil")</f>
        <v>Abrir facsímil</v>
      </c>
      <c r="K12971" t="s">
        <v>22</v>
      </c>
    </row>
    <row r="12972" spans="1:11" ht="42" customHeight="1">
      <c r="A12972" t="s">
        <v>25079</v>
      </c>
      <c r="B12972" t="s">
        <v>25079</v>
      </c>
      <c r="C12972" t="s">
        <v>71</v>
      </c>
      <c r="D12972" t="s">
        <v>17</v>
      </c>
      <c r="E12972" s="6">
        <v>-28462</v>
      </c>
      <c r="F12972" t="s">
        <v>1099</v>
      </c>
      <c r="G12972" t="s">
        <v>57</v>
      </c>
      <c r="H12972" t="s">
        <v>20</v>
      </c>
      <c r="I12972" t="s">
        <v>25097</v>
      </c>
      <c r="J12972" t="str">
        <f>HYPERLINK("https://www.boe.es/gazeta/dias/1822/01/26/pdfs/GMD-1822-26.pdf#page=4","Abrir facsímil")</f>
        <v>Abrir facsímil</v>
      </c>
      <c r="K12972" t="s">
        <v>22</v>
      </c>
    </row>
    <row r="12973" spans="1:11" ht="42" customHeight="1">
      <c r="A12973" t="s">
        <v>25079</v>
      </c>
      <c r="B12973" t="s">
        <v>25079</v>
      </c>
      <c r="C12973" t="s">
        <v>42</v>
      </c>
      <c r="D12973" t="s">
        <v>17</v>
      </c>
      <c r="E12973" s="6">
        <v>-28461</v>
      </c>
      <c r="F12973" t="s">
        <v>1801</v>
      </c>
      <c r="G12973" t="s">
        <v>5459</v>
      </c>
      <c r="H12973" t="s">
        <v>20</v>
      </c>
      <c r="I12973" t="s">
        <v>25098</v>
      </c>
      <c r="J12973" t="str">
        <f>HYPERLINK("https://www.boe.es/gazeta/dias/1822/01/27/pdfs/GMD-1822-27.pdf#page=3","Abrir facsímil")</f>
        <v>Abrir facsímil</v>
      </c>
      <c r="K12973" t="s">
        <v>22</v>
      </c>
    </row>
    <row r="12974" spans="1:11" ht="42" customHeight="1">
      <c r="A12974" t="s">
        <v>25079</v>
      </c>
      <c r="B12974" t="s">
        <v>25079</v>
      </c>
      <c r="C12974" t="s">
        <v>28</v>
      </c>
      <c r="D12974" t="s">
        <v>29</v>
      </c>
      <c r="E12974" s="6">
        <v>-28460</v>
      </c>
      <c r="F12974" t="s">
        <v>112</v>
      </c>
      <c r="G12974" t="s">
        <v>63</v>
      </c>
      <c r="H12974" t="s">
        <v>20</v>
      </c>
      <c r="I12974" t="s">
        <v>25099</v>
      </c>
      <c r="J12974" t="str">
        <f>HYPERLINK("https://www.boe.es/gazeta/dias/1822/01/28/pdfs/GMD-1822-28.pdf#page=6","Abrir facsímil")</f>
        <v>Abrir facsímil</v>
      </c>
      <c r="K12974" t="s">
        <v>22</v>
      </c>
    </row>
    <row r="12975" spans="1:11" ht="42" customHeight="1">
      <c r="A12975" t="s">
        <v>25079</v>
      </c>
      <c r="B12975" t="s">
        <v>25079</v>
      </c>
      <c r="C12975" t="s">
        <v>16</v>
      </c>
      <c r="D12975" t="s">
        <v>17</v>
      </c>
      <c r="E12975" s="6">
        <v>-28458</v>
      </c>
      <c r="F12975" t="s">
        <v>1151</v>
      </c>
      <c r="G12975" t="s">
        <v>44</v>
      </c>
      <c r="H12975" t="s">
        <v>20</v>
      </c>
      <c r="I12975" t="s">
        <v>25100</v>
      </c>
      <c r="J12975" t="str">
        <f>HYPERLINK("https://www.boe.es/gazeta/dias/1822/01/30/pdfs/GMD-1822-30.pdf#page=1","Abrir facsímil")</f>
        <v>Abrir facsímil</v>
      </c>
      <c r="K12975" t="s">
        <v>22</v>
      </c>
    </row>
    <row r="12976" spans="1:11" ht="42" customHeight="1">
      <c r="A12976" t="s">
        <v>25079</v>
      </c>
      <c r="B12976" t="s">
        <v>25079</v>
      </c>
      <c r="C12976" t="s">
        <v>50</v>
      </c>
      <c r="D12976" t="s">
        <v>51</v>
      </c>
      <c r="E12976" s="6">
        <v>-28456</v>
      </c>
      <c r="F12976" t="s">
        <v>1104</v>
      </c>
      <c r="G12976" t="s">
        <v>31</v>
      </c>
      <c r="H12976" t="s">
        <v>20</v>
      </c>
      <c r="I12976" t="s">
        <v>25101</v>
      </c>
      <c r="J12976" t="str">
        <f>HYPERLINK("https://www.boe.es/gazeta/dias/1822/02/01/pdfs/GMD-1822-32.pdf#page=3","Abrir facsímil")</f>
        <v>Abrir facsímil</v>
      </c>
      <c r="K12976" t="s">
        <v>22</v>
      </c>
    </row>
    <row r="12977" spans="1:11" ht="42" customHeight="1">
      <c r="A12977" t="s">
        <v>25079</v>
      </c>
      <c r="B12977" t="s">
        <v>25079</v>
      </c>
      <c r="C12977" t="s">
        <v>50</v>
      </c>
      <c r="D12977" t="s">
        <v>51</v>
      </c>
      <c r="E12977" s="6">
        <v>-28455</v>
      </c>
      <c r="F12977" t="s">
        <v>1107</v>
      </c>
      <c r="G12977" t="s">
        <v>35</v>
      </c>
      <c r="H12977" t="s">
        <v>20</v>
      </c>
      <c r="I12977" t="s">
        <v>25102</v>
      </c>
      <c r="J12977" t="str">
        <f>HYPERLINK("https://www.boe.es/gazeta/dias/1822/02/02/pdfs/GMD-1822-33.pdf#page=2","Abrir facsímil")</f>
        <v>Abrir facsímil</v>
      </c>
      <c r="K12977" t="s">
        <v>22</v>
      </c>
    </row>
    <row r="12978" spans="1:11" ht="42" customHeight="1">
      <c r="A12978" t="s">
        <v>25079</v>
      </c>
      <c r="B12978" t="s">
        <v>25079</v>
      </c>
      <c r="C12978" t="s">
        <v>28</v>
      </c>
      <c r="D12978" t="s">
        <v>29</v>
      </c>
      <c r="E12978" s="6">
        <v>-28452</v>
      </c>
      <c r="F12978" t="s">
        <v>7772</v>
      </c>
      <c r="G12978" t="s">
        <v>57</v>
      </c>
      <c r="H12978" t="s">
        <v>20</v>
      </c>
      <c r="I12978" t="s">
        <v>25103</v>
      </c>
      <c r="J12978" t="str">
        <f>HYPERLINK("https://www.boe.es/gazeta/dias/1822/02/05/pdfs/GMD-1822-36.pdf#page=4","Abrir facsímil")</f>
        <v>Abrir facsímil</v>
      </c>
      <c r="K12978" t="s">
        <v>22</v>
      </c>
    </row>
    <row r="12979" spans="1:11" ht="42" customHeight="1">
      <c r="A12979" t="s">
        <v>25079</v>
      </c>
      <c r="B12979" t="s">
        <v>25079</v>
      </c>
      <c r="C12979" t="s">
        <v>24</v>
      </c>
      <c r="D12979" t="s">
        <v>17</v>
      </c>
      <c r="E12979" s="6">
        <v>-28451</v>
      </c>
      <c r="F12979" t="s">
        <v>1674</v>
      </c>
      <c r="G12979" t="s">
        <v>31</v>
      </c>
      <c r="H12979" t="s">
        <v>20</v>
      </c>
      <c r="I12979" t="s">
        <v>25104</v>
      </c>
      <c r="J12979" t="str">
        <f>HYPERLINK("https://www.boe.es/gazeta/dias/1822/02/06/pdfs/GMD-1822-37.pdf#page=3","Abrir facsímil")</f>
        <v>Abrir facsímil</v>
      </c>
      <c r="K12979" t="s">
        <v>22</v>
      </c>
    </row>
    <row r="12980" spans="1:11" ht="42" customHeight="1">
      <c r="A12980" t="s">
        <v>25079</v>
      </c>
      <c r="B12980" t="s">
        <v>25079</v>
      </c>
      <c r="C12980" t="s">
        <v>16</v>
      </c>
      <c r="D12980" t="s">
        <v>17</v>
      </c>
      <c r="E12980" s="6">
        <v>-28451</v>
      </c>
      <c r="F12980" t="s">
        <v>1674</v>
      </c>
      <c r="G12980" t="s">
        <v>57</v>
      </c>
      <c r="H12980" t="s">
        <v>20</v>
      </c>
      <c r="I12980" t="s">
        <v>25105</v>
      </c>
      <c r="J12980" t="str">
        <f>HYPERLINK("https://www.boe.es/gazeta/dias/1822/02/06/pdfs/GMD-1822-37.pdf#page=4","Abrir facsímil")</f>
        <v>Abrir facsímil</v>
      </c>
      <c r="K12980" t="s">
        <v>22</v>
      </c>
    </row>
    <row r="12981" spans="1:11" ht="42" customHeight="1">
      <c r="A12981" t="s">
        <v>25079</v>
      </c>
      <c r="B12981" t="s">
        <v>25079</v>
      </c>
      <c r="C12981" t="s">
        <v>50</v>
      </c>
      <c r="D12981" t="s">
        <v>51</v>
      </c>
      <c r="E12981" s="6">
        <v>-28450</v>
      </c>
      <c r="F12981" t="s">
        <v>1450</v>
      </c>
      <c r="G12981" t="s">
        <v>44</v>
      </c>
      <c r="H12981" t="s">
        <v>20</v>
      </c>
      <c r="I12981" t="s">
        <v>25106</v>
      </c>
      <c r="J12981" t="str">
        <f>HYPERLINK("https://www.boe.es/gazeta/dias/1822/02/07/pdfs/GMD-1822-38.pdf#page=1","Abrir facsímil")</f>
        <v>Abrir facsímil</v>
      </c>
      <c r="K12981" t="s">
        <v>22</v>
      </c>
    </row>
    <row r="12982" spans="1:11" ht="42" customHeight="1">
      <c r="A12982" t="s">
        <v>25079</v>
      </c>
      <c r="B12982" t="s">
        <v>25079</v>
      </c>
      <c r="C12982" t="s">
        <v>42</v>
      </c>
      <c r="D12982" t="s">
        <v>17</v>
      </c>
      <c r="E12982" s="6">
        <v>-28450</v>
      </c>
      <c r="F12982" t="s">
        <v>1450</v>
      </c>
      <c r="G12982" t="s">
        <v>31</v>
      </c>
      <c r="H12982" t="s">
        <v>20</v>
      </c>
      <c r="I12982" t="s">
        <v>25107</v>
      </c>
      <c r="J12982" t="str">
        <f>HYPERLINK("https://www.boe.es/gazeta/dias/1822/02/07/pdfs/GMD-1822-38.pdf#page=3","Abrir facsímil")</f>
        <v>Abrir facsímil</v>
      </c>
      <c r="K12982" t="s">
        <v>22</v>
      </c>
    </row>
    <row r="12983" spans="1:11" ht="42" customHeight="1">
      <c r="A12983" t="s">
        <v>25079</v>
      </c>
      <c r="B12983" t="s">
        <v>25079</v>
      </c>
      <c r="C12983" t="s">
        <v>50</v>
      </c>
      <c r="D12983" t="s">
        <v>51</v>
      </c>
      <c r="E12983" s="6">
        <v>-28449</v>
      </c>
      <c r="F12983" t="s">
        <v>1342</v>
      </c>
      <c r="G12983" t="s">
        <v>31</v>
      </c>
      <c r="H12983" t="s">
        <v>20</v>
      </c>
      <c r="I12983" t="s">
        <v>25108</v>
      </c>
      <c r="J12983" t="str">
        <f>HYPERLINK("https://www.boe.es/gazeta/dias/1822/02/08/pdfs/GMD-1822-39.pdf#page=3","Abrir facsímil")</f>
        <v>Abrir facsímil</v>
      </c>
      <c r="K12983" t="s">
        <v>22</v>
      </c>
    </row>
    <row r="12984" spans="1:11" ht="42" customHeight="1">
      <c r="A12984" t="s">
        <v>25079</v>
      </c>
      <c r="B12984" t="s">
        <v>25079</v>
      </c>
      <c r="C12984" t="s">
        <v>362</v>
      </c>
      <c r="D12984" t="s">
        <v>17</v>
      </c>
      <c r="E12984" s="6">
        <v>-28449</v>
      </c>
      <c r="F12984" t="s">
        <v>1342</v>
      </c>
      <c r="G12984" t="s">
        <v>57</v>
      </c>
      <c r="H12984" t="s">
        <v>20</v>
      </c>
      <c r="I12984" t="s">
        <v>25109</v>
      </c>
      <c r="J12984" t="str">
        <f>HYPERLINK("https://www.boe.es/gazeta/dias/1822/02/08/pdfs/GMD-1822-39.pdf#page=4","Abrir facsímil")</f>
        <v>Abrir facsímil</v>
      </c>
      <c r="K12984" t="s">
        <v>22</v>
      </c>
    </row>
    <row r="12985" spans="1:11" ht="42" customHeight="1">
      <c r="A12985" t="s">
        <v>25079</v>
      </c>
      <c r="B12985" t="s">
        <v>25079</v>
      </c>
      <c r="C12985" t="s">
        <v>61</v>
      </c>
      <c r="D12985" t="s">
        <v>17</v>
      </c>
      <c r="E12985" s="6">
        <v>-28448</v>
      </c>
      <c r="F12985" t="s">
        <v>1670</v>
      </c>
      <c r="G12985" t="s">
        <v>35</v>
      </c>
      <c r="H12985" t="s">
        <v>20</v>
      </c>
      <c r="I12985" t="s">
        <v>25110</v>
      </c>
      <c r="J12985" t="str">
        <f>HYPERLINK("https://www.boe.es/gazeta/dias/1822/02/09/pdfs/GMD-1822-40.pdf#page=2","Abrir facsímil")</f>
        <v>Abrir facsímil</v>
      </c>
      <c r="K12985" t="s">
        <v>22</v>
      </c>
    </row>
    <row r="12986" spans="1:11" ht="42" customHeight="1">
      <c r="A12986" t="s">
        <v>25079</v>
      </c>
      <c r="B12986" t="s">
        <v>25079</v>
      </c>
      <c r="C12986" t="s">
        <v>71</v>
      </c>
      <c r="D12986" t="s">
        <v>17</v>
      </c>
      <c r="E12986" s="6">
        <v>-28448</v>
      </c>
      <c r="F12986" t="s">
        <v>1670</v>
      </c>
      <c r="G12986" t="s">
        <v>31</v>
      </c>
      <c r="H12986" t="s">
        <v>20</v>
      </c>
      <c r="I12986" t="s">
        <v>25111</v>
      </c>
      <c r="J12986" t="str">
        <f>HYPERLINK("https://www.boe.es/gazeta/dias/1822/02/09/pdfs/GMD-1822-40.pdf#page=3","Abrir facsímil")</f>
        <v>Abrir facsímil</v>
      </c>
      <c r="K12986" t="s">
        <v>22</v>
      </c>
    </row>
    <row r="12987" spans="1:11" ht="42" customHeight="1">
      <c r="A12987" t="s">
        <v>25079</v>
      </c>
      <c r="B12987" t="s">
        <v>25079</v>
      </c>
      <c r="C12987" t="s">
        <v>71</v>
      </c>
      <c r="D12987" t="s">
        <v>17</v>
      </c>
      <c r="E12987" s="6">
        <v>-28446</v>
      </c>
      <c r="F12987" t="s">
        <v>773</v>
      </c>
      <c r="G12987" t="s">
        <v>19</v>
      </c>
      <c r="H12987" t="s">
        <v>20</v>
      </c>
      <c r="I12987" t="s">
        <v>25112</v>
      </c>
      <c r="J12987" t="str">
        <f>HYPERLINK("https://www.boe.es/gazeta/dias/1822/02/11/pdfs/GMD-1822-42.pdf#page=5","Abrir facsímil")</f>
        <v>Abrir facsímil</v>
      </c>
      <c r="K12987" t="s">
        <v>22</v>
      </c>
    </row>
    <row r="12988" spans="1:11" ht="42" customHeight="1">
      <c r="A12988" t="s">
        <v>25079</v>
      </c>
      <c r="B12988" t="s">
        <v>25079</v>
      </c>
      <c r="C12988" t="s">
        <v>71</v>
      </c>
      <c r="D12988" t="s">
        <v>17</v>
      </c>
      <c r="E12988" s="6">
        <v>-28445</v>
      </c>
      <c r="F12988" t="s">
        <v>1622</v>
      </c>
      <c r="G12988" t="s">
        <v>57</v>
      </c>
      <c r="H12988" t="s">
        <v>20</v>
      </c>
      <c r="I12988" t="s">
        <v>25113</v>
      </c>
      <c r="J12988" t="str">
        <f>HYPERLINK("https://www.boe.es/gazeta/dias/1822/02/12/pdfs/GMD-1822-43.pdf#page=4","Abrir facsímil")</f>
        <v>Abrir facsímil</v>
      </c>
      <c r="K12988" t="s">
        <v>22</v>
      </c>
    </row>
    <row r="12989" spans="1:11" ht="42" customHeight="1">
      <c r="A12989" t="s">
        <v>25079</v>
      </c>
      <c r="B12989" t="s">
        <v>25079</v>
      </c>
      <c r="C12989" t="s">
        <v>71</v>
      </c>
      <c r="D12989" t="s">
        <v>17</v>
      </c>
      <c r="E12989" s="6">
        <v>-28444</v>
      </c>
      <c r="F12989" t="s">
        <v>681</v>
      </c>
      <c r="G12989" t="s">
        <v>35</v>
      </c>
      <c r="H12989" t="s">
        <v>20</v>
      </c>
      <c r="I12989" t="s">
        <v>25114</v>
      </c>
      <c r="J12989" t="str">
        <f>HYPERLINK("https://www.boe.es/gazeta/dias/1822/02/13/pdfs/GMD-1822-44.pdf#page=2","Abrir facsímil")</f>
        <v>Abrir facsímil</v>
      </c>
      <c r="K12989" t="s">
        <v>22</v>
      </c>
    </row>
    <row r="12990" spans="1:11" ht="42" customHeight="1">
      <c r="A12990" t="s">
        <v>25079</v>
      </c>
      <c r="B12990" t="s">
        <v>25079</v>
      </c>
      <c r="C12990" t="s">
        <v>42</v>
      </c>
      <c r="D12990" t="s">
        <v>17</v>
      </c>
      <c r="E12990" s="6">
        <v>-28443</v>
      </c>
      <c r="F12990" t="s">
        <v>668</v>
      </c>
      <c r="G12990" t="s">
        <v>35</v>
      </c>
      <c r="H12990" t="s">
        <v>20</v>
      </c>
      <c r="I12990" t="s">
        <v>25115</v>
      </c>
      <c r="J12990" t="str">
        <f>HYPERLINK("https://www.boe.es/gazeta/dias/1822/02/14/pdfs/GMD-1822-45.pdf#page=2","Abrir facsímil")</f>
        <v>Abrir facsímil</v>
      </c>
      <c r="K12990" t="s">
        <v>22</v>
      </c>
    </row>
    <row r="12991" spans="1:11" ht="42" customHeight="1">
      <c r="A12991" t="s">
        <v>25079</v>
      </c>
      <c r="B12991" t="s">
        <v>25079</v>
      </c>
      <c r="C12991" t="s">
        <v>28</v>
      </c>
      <c r="D12991" t="s">
        <v>29</v>
      </c>
      <c r="E12991" s="6">
        <v>-28185</v>
      </c>
      <c r="F12991" t="s">
        <v>933</v>
      </c>
      <c r="G12991" t="s">
        <v>35</v>
      </c>
      <c r="H12991" t="s">
        <v>20</v>
      </c>
      <c r="I12991" t="s">
        <v>25116</v>
      </c>
      <c r="J12991" t="str">
        <f>HYPERLINK("https://www.boe.es/gazeta/dias/1822/10/30/pdfs/GMD-1822-317.pdf#page=2","Abrir facsímil")</f>
        <v>Abrir facsímil</v>
      </c>
      <c r="K12991" t="s">
        <v>22</v>
      </c>
    </row>
    <row r="12992" spans="1:11" ht="42" customHeight="1">
      <c r="A12992" t="s">
        <v>25117</v>
      </c>
      <c r="B12992" t="s">
        <v>25118</v>
      </c>
      <c r="C12992" t="s">
        <v>61</v>
      </c>
      <c r="D12992" t="s">
        <v>17</v>
      </c>
      <c r="E12992" s="6">
        <v>-28188</v>
      </c>
      <c r="F12992" t="s">
        <v>578</v>
      </c>
      <c r="G12992" t="s">
        <v>157</v>
      </c>
      <c r="H12992" t="s">
        <v>20</v>
      </c>
      <c r="I12992" t="s">
        <v>25119</v>
      </c>
      <c r="J12992" t="str">
        <f>HYPERLINK("https://www.boe.es/gazeta/dias/1822/10/27/pdfs/GMD-1822-314.pdf#page=8","Abrir facsímil")</f>
        <v>Abrir facsímil</v>
      </c>
      <c r="K12992" t="s">
        <v>22</v>
      </c>
    </row>
    <row r="12993" spans="1:11" ht="42" customHeight="1">
      <c r="A12993" t="s">
        <v>25120</v>
      </c>
      <c r="B12993" t="s">
        <v>25121</v>
      </c>
      <c r="C12993" t="s">
        <v>50</v>
      </c>
      <c r="D12993" t="s">
        <v>51</v>
      </c>
      <c r="E12993" s="6">
        <v>-28415</v>
      </c>
      <c r="F12993" t="s">
        <v>77</v>
      </c>
      <c r="G12993" t="s">
        <v>19</v>
      </c>
      <c r="H12993" t="s">
        <v>20</v>
      </c>
      <c r="I12993" t="s">
        <v>25122</v>
      </c>
      <c r="J12993" t="str">
        <f>HYPERLINK("https://www.boe.es/gazeta/dias/1822/03/14/pdfs/GMD-1822-75.pdf#page=5","Abrir facsímil")</f>
        <v>Abrir facsímil</v>
      </c>
      <c r="K12993" t="s">
        <v>22</v>
      </c>
    </row>
    <row r="12994" spans="1:11" ht="42" customHeight="1">
      <c r="A12994" t="s">
        <v>25120</v>
      </c>
      <c r="B12994" t="s">
        <v>25121</v>
      </c>
      <c r="C12994" t="s">
        <v>16</v>
      </c>
      <c r="D12994" t="s">
        <v>17</v>
      </c>
      <c r="E12994" s="6">
        <v>-28167</v>
      </c>
      <c r="F12994" t="s">
        <v>904</v>
      </c>
      <c r="G12994" t="s">
        <v>57</v>
      </c>
      <c r="H12994" t="s">
        <v>20</v>
      </c>
      <c r="I12994" t="s">
        <v>25123</v>
      </c>
      <c r="J12994" t="str">
        <f>HYPERLINK("https://www.boe.es/gazeta/dias/1822/11/17/pdfs/GMD-1822-337.pdf#page=4","Abrir facsímil")</f>
        <v>Abrir facsímil</v>
      </c>
      <c r="K12994" t="s">
        <v>22</v>
      </c>
    </row>
    <row r="12995" spans="1:11" ht="42" customHeight="1">
      <c r="A12995" t="s">
        <v>25124</v>
      </c>
      <c r="B12995" t="s">
        <v>25125</v>
      </c>
      <c r="C12995" t="s">
        <v>24</v>
      </c>
      <c r="D12995" t="s">
        <v>17</v>
      </c>
      <c r="E12995" s="6">
        <v>-28311</v>
      </c>
      <c r="F12995" t="s">
        <v>736</v>
      </c>
      <c r="G12995" t="s">
        <v>157</v>
      </c>
      <c r="H12995" t="s">
        <v>20</v>
      </c>
      <c r="I12995" t="s">
        <v>25126</v>
      </c>
      <c r="J12995" t="str">
        <f>HYPERLINK("https://www.boe.es/gazeta/dias/1822/06/26/pdfs/GMD-1822-184.pdf#page=8","Abrir facsímil")</f>
        <v>Abrir facsímil</v>
      </c>
      <c r="K12995" t="s">
        <v>22</v>
      </c>
    </row>
    <row r="12996" spans="1:11" ht="42" customHeight="1">
      <c r="A12996" t="s">
        <v>25124</v>
      </c>
      <c r="B12996" t="s">
        <v>25125</v>
      </c>
      <c r="C12996" t="s">
        <v>71</v>
      </c>
      <c r="D12996" t="s">
        <v>17</v>
      </c>
      <c r="E12996" s="6">
        <v>-28214</v>
      </c>
      <c r="F12996" t="s">
        <v>814</v>
      </c>
      <c r="G12996" t="s">
        <v>57</v>
      </c>
      <c r="H12996" t="s">
        <v>20</v>
      </c>
      <c r="I12996" t="s">
        <v>25127</v>
      </c>
      <c r="J12996" t="str">
        <f>HYPERLINK("https://www.boe.es/gazeta/dias/1822/10/01/pdfs/GMD-1822-287.pdf#page=4","Abrir facsímil")</f>
        <v>Abrir facsímil</v>
      </c>
      <c r="K12996" t="s">
        <v>22</v>
      </c>
    </row>
    <row r="12997" spans="1:11" ht="42" customHeight="1">
      <c r="A12997" t="s">
        <v>25128</v>
      </c>
      <c r="B12997" t="s">
        <v>25129</v>
      </c>
      <c r="C12997" t="s">
        <v>71</v>
      </c>
      <c r="D12997" t="s">
        <v>17</v>
      </c>
      <c r="E12997" s="6">
        <v>-28149</v>
      </c>
      <c r="F12997" t="s">
        <v>1322</v>
      </c>
      <c r="G12997" t="s">
        <v>57</v>
      </c>
      <c r="H12997" t="s">
        <v>20</v>
      </c>
      <c r="I12997" t="s">
        <v>25130</v>
      </c>
      <c r="J12997" t="str">
        <f>HYPERLINK("https://www.boe.es/gazeta/dias/1822/12/05/pdfs/GMD-1822-355.pdf#page=4","Abrir facsímil")</f>
        <v>Abrir facsímil</v>
      </c>
      <c r="K12997" t="s">
        <v>22</v>
      </c>
    </row>
    <row r="12998" spans="1:11" ht="42" customHeight="1">
      <c r="A12998" t="s">
        <v>25131</v>
      </c>
      <c r="B12998" t="s">
        <v>25132</v>
      </c>
      <c r="C12998" t="s">
        <v>50</v>
      </c>
      <c r="D12998" t="s">
        <v>51</v>
      </c>
      <c r="E12998" s="6">
        <v>-28264</v>
      </c>
      <c r="F12998" t="s">
        <v>1329</v>
      </c>
      <c r="G12998" t="s">
        <v>57</v>
      </c>
      <c r="H12998" t="s">
        <v>20</v>
      </c>
      <c r="I12998" t="s">
        <v>25133</v>
      </c>
      <c r="J12998" t="str">
        <f>HYPERLINK("https://www.boe.es/gazeta/dias/1822/08/12/pdfs/GMD-1822-236.pdf#page=4","Abrir facsímil")</f>
        <v>Abrir facsímil</v>
      </c>
      <c r="K12998" t="s">
        <v>22</v>
      </c>
    </row>
    <row r="12999" spans="1:11" ht="42" customHeight="1">
      <c r="A12999" t="s">
        <v>25134</v>
      </c>
      <c r="B12999" t="s">
        <v>25135</v>
      </c>
      <c r="C12999" t="s">
        <v>16</v>
      </c>
      <c r="D12999" t="s">
        <v>17</v>
      </c>
      <c r="E12999" s="6">
        <v>-28464</v>
      </c>
      <c r="F12999" t="s">
        <v>1447</v>
      </c>
      <c r="G12999" t="s">
        <v>57</v>
      </c>
      <c r="H12999" t="s">
        <v>20</v>
      </c>
      <c r="I12999" t="s">
        <v>25136</v>
      </c>
      <c r="J12999" t="str">
        <f>HYPERLINK("https://www.boe.es/gazeta/dias/1822/01/24/pdfs/GMD-1822-24.pdf#page=4","Abrir facsímil")</f>
        <v>Abrir facsímil</v>
      </c>
      <c r="K12999" t="s">
        <v>22</v>
      </c>
    </row>
    <row r="13000" spans="1:11" ht="42" customHeight="1">
      <c r="A13000" t="s">
        <v>25137</v>
      </c>
      <c r="B13000" t="s">
        <v>25138</v>
      </c>
      <c r="C13000" t="s">
        <v>28</v>
      </c>
      <c r="D13000" t="s">
        <v>29</v>
      </c>
      <c r="E13000" s="6">
        <v>-28436</v>
      </c>
      <c r="F13000" t="s">
        <v>431</v>
      </c>
      <c r="G13000" t="s">
        <v>1428</v>
      </c>
      <c r="H13000" t="s">
        <v>20</v>
      </c>
      <c r="I13000" t="s">
        <v>25139</v>
      </c>
      <c r="J13000" t="str">
        <f>HYPERLINK("https://www.boe.es/gazeta/dias/1822/02/21/pdfs/GMD-1822-53.pdf#page=3","Abrir facsímil")</f>
        <v>Abrir facsímil</v>
      </c>
      <c r="K13000" t="s">
        <v>22</v>
      </c>
    </row>
    <row r="13001" spans="1:11" ht="42" customHeight="1">
      <c r="A13001" t="s">
        <v>25140</v>
      </c>
      <c r="B13001" t="s">
        <v>25141</v>
      </c>
      <c r="C13001" t="s">
        <v>16</v>
      </c>
      <c r="D13001" t="s">
        <v>17</v>
      </c>
      <c r="E13001" s="6">
        <v>-28384</v>
      </c>
      <c r="F13001" t="s">
        <v>258</v>
      </c>
      <c r="G13001" t="s">
        <v>63</v>
      </c>
      <c r="H13001" t="s">
        <v>20</v>
      </c>
      <c r="I13001" t="s">
        <v>25142</v>
      </c>
      <c r="J13001" t="str">
        <f>HYPERLINK("https://www.boe.es/gazeta/dias/1822/04/14/pdfs/GMD-1822-106.pdf#page=6","Abrir facsímil")</f>
        <v>Abrir facsímil</v>
      </c>
      <c r="K13001" t="s">
        <v>22</v>
      </c>
    </row>
    <row r="13002" spans="1:11" ht="42" customHeight="1">
      <c r="A13002" t="s">
        <v>25143</v>
      </c>
      <c r="B13002" t="s">
        <v>25144</v>
      </c>
      <c r="C13002" t="s">
        <v>28</v>
      </c>
      <c r="D13002" t="s">
        <v>29</v>
      </c>
      <c r="E13002" s="6">
        <v>-28309</v>
      </c>
      <c r="F13002" t="s">
        <v>553</v>
      </c>
      <c r="G13002" t="s">
        <v>157</v>
      </c>
      <c r="H13002" t="s">
        <v>20</v>
      </c>
      <c r="I13002" t="s">
        <v>25145</v>
      </c>
      <c r="J13002" t="str">
        <f>HYPERLINK("https://www.boe.es/gazeta/dias/1822/06/28/pdfs/GMD-1822-186.pdf#page=8","Abrir facsímil")</f>
        <v>Abrir facsímil</v>
      </c>
      <c r="K13002" t="s">
        <v>22</v>
      </c>
    </row>
    <row r="13003" spans="1:11" ht="42" customHeight="1">
      <c r="A13003" t="s">
        <v>25146</v>
      </c>
      <c r="B13003" t="s">
        <v>25147</v>
      </c>
      <c r="C13003" t="s">
        <v>50</v>
      </c>
      <c r="D13003" t="s">
        <v>51</v>
      </c>
      <c r="E13003" s="6">
        <v>-28397</v>
      </c>
      <c r="F13003" t="s">
        <v>1401</v>
      </c>
      <c r="G13003" t="s">
        <v>57</v>
      </c>
      <c r="H13003" t="s">
        <v>20</v>
      </c>
      <c r="I13003" t="s">
        <v>25148</v>
      </c>
      <c r="J13003" t="str">
        <f>HYPERLINK("https://www.boe.es/gazeta/dias/1822/04/01/pdfs/GMD-1822-93.pdf#page=4","Abrir facsímil")</f>
        <v>Abrir facsímil</v>
      </c>
      <c r="K13003" t="s">
        <v>22</v>
      </c>
    </row>
    <row r="13004" spans="1:11" ht="42" customHeight="1">
      <c r="A13004" t="s">
        <v>25149</v>
      </c>
      <c r="B13004" t="s">
        <v>25150</v>
      </c>
      <c r="C13004" t="s">
        <v>50</v>
      </c>
      <c r="D13004" t="s">
        <v>51</v>
      </c>
      <c r="E13004" s="6">
        <v>-28395</v>
      </c>
      <c r="F13004" t="s">
        <v>237</v>
      </c>
      <c r="G13004" t="s">
        <v>57</v>
      </c>
      <c r="H13004" t="s">
        <v>20</v>
      </c>
      <c r="I13004" t="s">
        <v>25151</v>
      </c>
      <c r="J13004" t="str">
        <f>HYPERLINK("https://www.boe.es/gazeta/dias/1822/04/03/pdfs/GMD-1822-95.pdf#page=4","Abrir facsímil")</f>
        <v>Abrir facsímil</v>
      </c>
      <c r="K13004" t="s">
        <v>22</v>
      </c>
    </row>
    <row r="13005" spans="1:11" ht="42" customHeight="1">
      <c r="A13005" t="s">
        <v>25152</v>
      </c>
      <c r="B13005" t="s">
        <v>25153</v>
      </c>
      <c r="C13005" t="s">
        <v>42</v>
      </c>
      <c r="D13005" t="s">
        <v>17</v>
      </c>
      <c r="E13005" s="6">
        <v>-28159</v>
      </c>
      <c r="F13005" t="s">
        <v>67</v>
      </c>
      <c r="G13005" t="s">
        <v>31</v>
      </c>
      <c r="H13005" t="s">
        <v>20</v>
      </c>
      <c r="I13005" t="s">
        <v>25154</v>
      </c>
      <c r="J13005" t="str">
        <f>HYPERLINK("https://www.boe.es/gazeta/dias/1822/11/25/pdfs/GMD-1822-345.pdf#page=3","Abrir facsímil")</f>
        <v>Abrir facsímil</v>
      </c>
      <c r="K13005" t="s">
        <v>22</v>
      </c>
    </row>
    <row r="13006" spans="1:11" ht="42" customHeight="1">
      <c r="A13006" t="s">
        <v>25155</v>
      </c>
      <c r="B13006" t="s">
        <v>25155</v>
      </c>
      <c r="C13006" t="s">
        <v>50</v>
      </c>
      <c r="D13006" t="s">
        <v>51</v>
      </c>
      <c r="E13006" s="6">
        <v>-28229</v>
      </c>
      <c r="F13006" t="s">
        <v>2310</v>
      </c>
      <c r="G13006" t="s">
        <v>35</v>
      </c>
      <c r="H13006" t="s">
        <v>20</v>
      </c>
      <c r="I13006" t="s">
        <v>25156</v>
      </c>
      <c r="J13006" t="str">
        <f>HYPERLINK("https://www.boe.es/gazeta/dias/1822/09/16/pdfs/GMD-1822-272.pdf#page=2","Abrir facsímil")</f>
        <v>Abrir facsímil</v>
      </c>
      <c r="K13006" t="s">
        <v>22</v>
      </c>
    </row>
    <row r="13007" spans="1:11" ht="42" customHeight="1">
      <c r="A13007" t="s">
        <v>25157</v>
      </c>
      <c r="B13007" t="s">
        <v>25158</v>
      </c>
      <c r="C13007" t="s">
        <v>28</v>
      </c>
      <c r="D13007" t="s">
        <v>29</v>
      </c>
      <c r="E13007" s="6">
        <v>-28200</v>
      </c>
      <c r="F13007" t="s">
        <v>1037</v>
      </c>
      <c r="G13007" t="s">
        <v>63</v>
      </c>
      <c r="H13007" t="s">
        <v>20</v>
      </c>
      <c r="I13007" t="s">
        <v>25159</v>
      </c>
      <c r="J13007" t="str">
        <f>HYPERLINK("https://www.boe.es/gazeta/dias/1822/10/15/pdfs/GMD-1822-302.pdf#page=6","Abrir facsímil")</f>
        <v>Abrir facsímil</v>
      </c>
      <c r="K13007" t="s">
        <v>22</v>
      </c>
    </row>
    <row r="13008" spans="1:11" ht="42" customHeight="1">
      <c r="A13008" t="s">
        <v>25160</v>
      </c>
      <c r="B13008" t="s">
        <v>25161</v>
      </c>
      <c r="C13008" t="s">
        <v>28</v>
      </c>
      <c r="D13008" t="s">
        <v>29</v>
      </c>
      <c r="E13008" s="6">
        <v>-28191</v>
      </c>
      <c r="F13008" t="s">
        <v>710</v>
      </c>
      <c r="G13008" t="s">
        <v>5038</v>
      </c>
      <c r="H13008" t="s">
        <v>20</v>
      </c>
      <c r="I13008" t="s">
        <v>25162</v>
      </c>
      <c r="J13008" t="str">
        <f>HYPERLINK("https://www.boe.es/gazeta/dias/1822/10/24/pdfs/GMD-1822-311.pdf#page=8","Abrir facsímil")</f>
        <v>Abrir facsímil</v>
      </c>
      <c r="K13008" t="s">
        <v>22</v>
      </c>
    </row>
    <row r="13009" spans="1:11" ht="42" customHeight="1">
      <c r="A13009" t="s">
        <v>25163</v>
      </c>
      <c r="B13009" t="s">
        <v>25163</v>
      </c>
      <c r="C13009" t="s">
        <v>50</v>
      </c>
      <c r="D13009" t="s">
        <v>51</v>
      </c>
      <c r="E13009" s="6">
        <v>-28281</v>
      </c>
      <c r="F13009" t="s">
        <v>3310</v>
      </c>
      <c r="G13009" t="s">
        <v>31</v>
      </c>
      <c r="H13009" t="s">
        <v>20</v>
      </c>
      <c r="I13009" t="s">
        <v>25164</v>
      </c>
      <c r="J13009" t="str">
        <f>HYPERLINK("https://www.boe.es/gazeta/dias/1822/07/26/pdfs/GMD-1822-219.pdf#page=3","Abrir facsímil")</f>
        <v>Abrir facsímil</v>
      </c>
      <c r="K13009" t="s">
        <v>22</v>
      </c>
    </row>
    <row r="13010" spans="1:11" ht="42" customHeight="1">
      <c r="A13010" t="s">
        <v>25165</v>
      </c>
      <c r="B13010" t="s">
        <v>25166</v>
      </c>
      <c r="C13010" t="s">
        <v>24</v>
      </c>
      <c r="D13010" t="s">
        <v>17</v>
      </c>
      <c r="E13010" s="6">
        <v>-28254</v>
      </c>
      <c r="F13010" t="s">
        <v>3557</v>
      </c>
      <c r="G13010" t="s">
        <v>57</v>
      </c>
      <c r="H13010" t="s">
        <v>20</v>
      </c>
      <c r="I13010" t="s">
        <v>25167</v>
      </c>
      <c r="J13010" t="str">
        <f>HYPERLINK("https://www.boe.es/gazeta/dias/1822/08/22/pdfs/GMD-1822-246.pdf#page=4","Abrir facsímil")</f>
        <v>Abrir facsímil</v>
      </c>
      <c r="K13010" t="s">
        <v>22</v>
      </c>
    </row>
    <row r="13011" spans="1:11" ht="42" customHeight="1">
      <c r="A13011" t="s">
        <v>25168</v>
      </c>
      <c r="B13011" t="s">
        <v>25168</v>
      </c>
      <c r="C13011" t="s">
        <v>42</v>
      </c>
      <c r="D13011" t="s">
        <v>17</v>
      </c>
      <c r="E13011" s="6">
        <v>-28181</v>
      </c>
      <c r="F13011" t="s">
        <v>739</v>
      </c>
      <c r="G13011" t="s">
        <v>35</v>
      </c>
      <c r="H13011" t="s">
        <v>20</v>
      </c>
      <c r="I13011" t="s">
        <v>25169</v>
      </c>
      <c r="J13011" t="str">
        <f>HYPERLINK("https://www.boe.es/gazeta/dias/1822/11/03/pdfs/GMD-1822-321.pdf#page=2","Abrir facsímil")</f>
        <v>Abrir facsímil</v>
      </c>
      <c r="K13011" t="s">
        <v>22</v>
      </c>
    </row>
    <row r="13012" spans="1:11" ht="42" customHeight="1">
      <c r="A13012" t="s">
        <v>25170</v>
      </c>
      <c r="B13012" t="s">
        <v>25170</v>
      </c>
      <c r="C13012" t="s">
        <v>362</v>
      </c>
      <c r="D13012" t="s">
        <v>17</v>
      </c>
      <c r="E13012" s="6">
        <v>-28422</v>
      </c>
      <c r="F13012" t="s">
        <v>416</v>
      </c>
      <c r="G13012" t="s">
        <v>35</v>
      </c>
      <c r="H13012" t="s">
        <v>20</v>
      </c>
      <c r="I13012" t="s">
        <v>25171</v>
      </c>
      <c r="J13012" t="str">
        <f>HYPERLINK("https://www.boe.es/gazeta/dias/1822/03/07/pdfs/GMD-1822-68.pdf#page=2","Abrir facsímil")</f>
        <v>Abrir facsímil</v>
      </c>
      <c r="K13012" t="s">
        <v>22</v>
      </c>
    </row>
    <row r="13013" spans="1:11" ht="42" customHeight="1">
      <c r="A13013" t="s">
        <v>25170</v>
      </c>
      <c r="B13013" t="s">
        <v>25170</v>
      </c>
      <c r="C13013" t="s">
        <v>28</v>
      </c>
      <c r="D13013" t="s">
        <v>29</v>
      </c>
      <c r="E13013" s="6">
        <v>-28421</v>
      </c>
      <c r="F13013" t="s">
        <v>446</v>
      </c>
      <c r="G13013" t="s">
        <v>19</v>
      </c>
      <c r="H13013" t="s">
        <v>20</v>
      </c>
      <c r="I13013" t="s">
        <v>25172</v>
      </c>
      <c r="J13013" t="str">
        <f>HYPERLINK("https://www.boe.es/gazeta/dias/1822/03/08/pdfs/GMD-1822-69.pdf#page=5","Abrir facsímil")</f>
        <v>Abrir facsímil</v>
      </c>
      <c r="K13013" t="s">
        <v>22</v>
      </c>
    </row>
    <row r="13014" spans="1:11" ht="42" customHeight="1">
      <c r="A13014" t="s">
        <v>25170</v>
      </c>
      <c r="B13014" t="s">
        <v>25170</v>
      </c>
      <c r="C13014" t="s">
        <v>50</v>
      </c>
      <c r="D13014" t="s">
        <v>51</v>
      </c>
      <c r="E13014" s="6">
        <v>-28379</v>
      </c>
      <c r="F13014" t="s">
        <v>494</v>
      </c>
      <c r="G13014" t="s">
        <v>35</v>
      </c>
      <c r="H13014" t="s">
        <v>20</v>
      </c>
      <c r="I13014" t="s">
        <v>25173</v>
      </c>
      <c r="J13014" t="str">
        <f>HYPERLINK("https://www.boe.es/gazeta/dias/1822/04/19/pdfs/GMD-1822-111.pdf#page=2","Abrir facsímil")</f>
        <v>Abrir facsímil</v>
      </c>
      <c r="K13014" t="s">
        <v>22</v>
      </c>
    </row>
    <row r="13015" spans="1:11" ht="42" customHeight="1">
      <c r="A13015" t="s">
        <v>25170</v>
      </c>
      <c r="B13015" t="s">
        <v>25170</v>
      </c>
      <c r="C13015" t="s">
        <v>71</v>
      </c>
      <c r="D13015" t="s">
        <v>17</v>
      </c>
      <c r="E13015" s="6">
        <v>-28379</v>
      </c>
      <c r="F13015" t="s">
        <v>494</v>
      </c>
      <c r="G13015" t="s">
        <v>31</v>
      </c>
      <c r="H13015" t="s">
        <v>20</v>
      </c>
      <c r="I13015" t="s">
        <v>25174</v>
      </c>
      <c r="J13015" t="str">
        <f>HYPERLINK("https://www.boe.es/gazeta/dias/1822/04/19/pdfs/GMD-1822-111.pdf#page=3","Abrir facsímil")</f>
        <v>Abrir facsímil</v>
      </c>
      <c r="K13015" t="s">
        <v>22</v>
      </c>
    </row>
    <row r="13016" spans="1:11" ht="42" customHeight="1">
      <c r="A13016" t="s">
        <v>25170</v>
      </c>
      <c r="B13016" t="s">
        <v>25170</v>
      </c>
      <c r="C13016" t="s">
        <v>16</v>
      </c>
      <c r="D13016" t="s">
        <v>17</v>
      </c>
      <c r="E13016" s="6">
        <v>-28367</v>
      </c>
      <c r="F13016" t="s">
        <v>280</v>
      </c>
      <c r="G13016" t="s">
        <v>57</v>
      </c>
      <c r="H13016" t="s">
        <v>20</v>
      </c>
      <c r="I13016" t="s">
        <v>25175</v>
      </c>
      <c r="J13016" t="str">
        <f>HYPERLINK("https://www.boe.es/gazeta/dias/1822/05/01/pdfs/GMD-1822-123.pdf#page=4","Abrir facsímil")</f>
        <v>Abrir facsímil</v>
      </c>
      <c r="K13016" t="s">
        <v>22</v>
      </c>
    </row>
    <row r="13017" spans="1:11" ht="42" customHeight="1">
      <c r="A13017" t="s">
        <v>25176</v>
      </c>
      <c r="B13017" t="s">
        <v>25176</v>
      </c>
      <c r="C13017" t="s">
        <v>42</v>
      </c>
      <c r="D13017" t="s">
        <v>17</v>
      </c>
      <c r="E13017" s="6">
        <v>-28357</v>
      </c>
      <c r="F13017" t="s">
        <v>690</v>
      </c>
      <c r="G13017" t="s">
        <v>35</v>
      </c>
      <c r="H13017" t="s">
        <v>20</v>
      </c>
      <c r="I13017" t="s">
        <v>25177</v>
      </c>
      <c r="J13017" t="str">
        <f>HYPERLINK("https://www.boe.es/gazeta/dias/1822/05/11/pdfs/GMD-1822-133.pdf#page=2","Abrir facsímil")</f>
        <v>Abrir facsímil</v>
      </c>
      <c r="K13017" t="s">
        <v>22</v>
      </c>
    </row>
    <row r="13018" spans="1:11" ht="42" customHeight="1">
      <c r="A13018" t="s">
        <v>25170</v>
      </c>
      <c r="B13018" t="s">
        <v>25170</v>
      </c>
      <c r="C13018" t="s">
        <v>42</v>
      </c>
      <c r="D13018" t="s">
        <v>17</v>
      </c>
      <c r="E13018" s="6">
        <v>-28324</v>
      </c>
      <c r="F13018" t="s">
        <v>305</v>
      </c>
      <c r="G13018" t="s">
        <v>19</v>
      </c>
      <c r="H13018" t="s">
        <v>20</v>
      </c>
      <c r="I13018" t="s">
        <v>25178</v>
      </c>
      <c r="J13018" t="str">
        <f>HYPERLINK("https://www.boe.es/gazeta/dias/1822/06/13/pdfs/GMD-1822-170.pdf#page=5","Abrir facsímil")</f>
        <v>Abrir facsímil</v>
      </c>
      <c r="K13018" t="s">
        <v>22</v>
      </c>
    </row>
    <row r="13019" spans="1:11" ht="42" customHeight="1">
      <c r="A13019" t="s">
        <v>25170</v>
      </c>
      <c r="B13019" t="s">
        <v>25170</v>
      </c>
      <c r="C13019" t="s">
        <v>71</v>
      </c>
      <c r="D13019" t="s">
        <v>17</v>
      </c>
      <c r="E13019" s="6">
        <v>-28310</v>
      </c>
      <c r="F13019" t="s">
        <v>241</v>
      </c>
      <c r="G13019" t="s">
        <v>35</v>
      </c>
      <c r="H13019" t="s">
        <v>20</v>
      </c>
      <c r="I13019" t="s">
        <v>25179</v>
      </c>
      <c r="J13019" t="str">
        <f>HYPERLINK("https://www.boe.es/gazeta/dias/1822/06/27/pdfs/GMD-1822-185.pdf#page=2","Abrir facsímil")</f>
        <v>Abrir facsímil</v>
      </c>
      <c r="K13019" t="s">
        <v>22</v>
      </c>
    </row>
    <row r="13020" spans="1:11" ht="42" customHeight="1">
      <c r="A13020" t="s">
        <v>25176</v>
      </c>
      <c r="B13020" t="s">
        <v>25176</v>
      </c>
      <c r="C13020" t="s">
        <v>50</v>
      </c>
      <c r="D13020" t="s">
        <v>51</v>
      </c>
      <c r="E13020" s="6">
        <v>-28190</v>
      </c>
      <c r="F13020" t="s">
        <v>576</v>
      </c>
      <c r="G13020" t="s">
        <v>44</v>
      </c>
      <c r="H13020" t="s">
        <v>20</v>
      </c>
      <c r="I13020" t="s">
        <v>25180</v>
      </c>
      <c r="J13020" t="str">
        <f>HYPERLINK("https://www.boe.es/gazeta/dias/1822/10/25/pdfs/GMD-1822-312.pdf#page=1","Abrir facsímil")</f>
        <v>Abrir facsímil</v>
      </c>
      <c r="K13020" t="s">
        <v>22</v>
      </c>
    </row>
    <row r="13021" spans="1:11" ht="42" customHeight="1">
      <c r="A13021" t="s">
        <v>25170</v>
      </c>
      <c r="B13021" t="s">
        <v>25170</v>
      </c>
      <c r="C13021" t="s">
        <v>71</v>
      </c>
      <c r="D13021" t="s">
        <v>17</v>
      </c>
      <c r="E13021" s="6">
        <v>-28189</v>
      </c>
      <c r="F13021" t="s">
        <v>645</v>
      </c>
      <c r="G13021" t="s">
        <v>19</v>
      </c>
      <c r="H13021" t="s">
        <v>20</v>
      </c>
      <c r="I13021" t="s">
        <v>25181</v>
      </c>
      <c r="J13021" t="str">
        <f>HYPERLINK("https://www.boe.es/gazeta/dias/1822/10/26/pdfs/GMD-1822-313.pdf#page=5","Abrir facsímil")</f>
        <v>Abrir facsímil</v>
      </c>
      <c r="K13021" t="s">
        <v>22</v>
      </c>
    </row>
    <row r="13022" spans="1:11" ht="42" customHeight="1">
      <c r="A13022" t="s">
        <v>25176</v>
      </c>
      <c r="B13022" t="s">
        <v>25176</v>
      </c>
      <c r="C13022" t="s">
        <v>42</v>
      </c>
      <c r="D13022" t="s">
        <v>17</v>
      </c>
      <c r="E13022" s="6">
        <v>-28188</v>
      </c>
      <c r="F13022" t="s">
        <v>578</v>
      </c>
      <c r="G13022" t="s">
        <v>44</v>
      </c>
      <c r="H13022" t="s">
        <v>20</v>
      </c>
      <c r="I13022" t="s">
        <v>25182</v>
      </c>
      <c r="J13022" t="str">
        <f>HYPERLINK("https://www.boe.es/gazeta/dias/1822/10/27/pdfs/GMD-1822-314.pdf#page=1","Abrir facsímil")</f>
        <v>Abrir facsímil</v>
      </c>
      <c r="K13022" t="s">
        <v>22</v>
      </c>
    </row>
    <row r="13023" spans="1:11" ht="42" customHeight="1">
      <c r="A13023" t="s">
        <v>25170</v>
      </c>
      <c r="B13023" t="s">
        <v>25170</v>
      </c>
      <c r="C13023" t="s">
        <v>24</v>
      </c>
      <c r="D13023" t="s">
        <v>17</v>
      </c>
      <c r="E13023" s="6">
        <v>-28177</v>
      </c>
      <c r="F13023" t="s">
        <v>587</v>
      </c>
      <c r="G13023" t="s">
        <v>19</v>
      </c>
      <c r="H13023" t="s">
        <v>20</v>
      </c>
      <c r="I13023" t="s">
        <v>25183</v>
      </c>
      <c r="J13023" t="str">
        <f>HYPERLINK("https://www.boe.es/gazeta/dias/1822/11/07/pdfs/GMD-1822-327.pdf#page=5","Abrir facsímil")</f>
        <v>Abrir facsímil</v>
      </c>
      <c r="K13023" t="s">
        <v>22</v>
      </c>
    </row>
    <row r="13024" spans="1:11" ht="42" customHeight="1">
      <c r="A13024" t="s">
        <v>25176</v>
      </c>
      <c r="B13024" t="s">
        <v>25176</v>
      </c>
      <c r="C13024" t="s">
        <v>50</v>
      </c>
      <c r="D13024" t="s">
        <v>51</v>
      </c>
      <c r="E13024" s="6">
        <v>-28146</v>
      </c>
      <c r="F13024" t="s">
        <v>180</v>
      </c>
      <c r="G13024" t="s">
        <v>44</v>
      </c>
      <c r="H13024" t="s">
        <v>20</v>
      </c>
      <c r="I13024" t="s">
        <v>25184</v>
      </c>
      <c r="J13024" t="str">
        <f>HYPERLINK("https://www.boe.es/gazeta/dias/1822/12/08/pdfs/GMD-1822-358.pdf#page=1","Abrir facsímil")</f>
        <v>Abrir facsímil</v>
      </c>
      <c r="K13024" t="s">
        <v>22</v>
      </c>
    </row>
    <row r="13025" spans="1:11" ht="42" customHeight="1">
      <c r="A13025" t="s">
        <v>25170</v>
      </c>
      <c r="B13025" t="s">
        <v>25170</v>
      </c>
      <c r="C13025" t="s">
        <v>42</v>
      </c>
      <c r="D13025" t="s">
        <v>17</v>
      </c>
      <c r="E13025" s="6">
        <v>-28125</v>
      </c>
      <c r="F13025" t="s">
        <v>322</v>
      </c>
      <c r="G13025" t="s">
        <v>31</v>
      </c>
      <c r="H13025" t="s">
        <v>20</v>
      </c>
      <c r="I13025" t="s">
        <v>25185</v>
      </c>
      <c r="J13025" t="str">
        <f>HYPERLINK("https://www.boe.es/gazeta/dias/1822/12/29/pdfs/GMD-1822-379.pdf#page=3","Abrir facsímil")</f>
        <v>Abrir facsímil</v>
      </c>
      <c r="K13025" t="s">
        <v>22</v>
      </c>
    </row>
    <row r="13026" spans="1:11" ht="42" customHeight="1">
      <c r="A13026" t="s">
        <v>25186</v>
      </c>
      <c r="B13026" t="s">
        <v>25187</v>
      </c>
      <c r="C13026" t="s">
        <v>42</v>
      </c>
      <c r="D13026" t="s">
        <v>17</v>
      </c>
      <c r="E13026" s="6">
        <v>-28434</v>
      </c>
      <c r="F13026" t="s">
        <v>433</v>
      </c>
      <c r="G13026" t="s">
        <v>35</v>
      </c>
      <c r="H13026" t="s">
        <v>20</v>
      </c>
      <c r="I13026" t="s">
        <v>25188</v>
      </c>
      <c r="J13026" t="str">
        <f>HYPERLINK("https://www.boe.es/gazeta/dias/1822/02/23/pdfs/GMD-1822-55.pdf#page=2","Abrir facsímil")</f>
        <v>Abrir facsímil</v>
      </c>
      <c r="K13026" t="s">
        <v>22</v>
      </c>
    </row>
    <row r="13027" spans="1:11" ht="42" customHeight="1">
      <c r="A13027" t="s">
        <v>25189</v>
      </c>
      <c r="B13027" t="s">
        <v>25190</v>
      </c>
      <c r="C13027" t="s">
        <v>28</v>
      </c>
      <c r="D13027" t="s">
        <v>29</v>
      </c>
      <c r="E13027" s="6">
        <v>-28415</v>
      </c>
      <c r="F13027" t="s">
        <v>77</v>
      </c>
      <c r="G13027" t="s">
        <v>19</v>
      </c>
      <c r="H13027" t="s">
        <v>20</v>
      </c>
      <c r="I13027" t="s">
        <v>25191</v>
      </c>
      <c r="J13027" t="str">
        <f>HYPERLINK("https://www.boe.es/gazeta/dias/1822/03/14/pdfs/GMD-1822-75.pdf#page=5","Abrir facsímil")</f>
        <v>Abrir facsímil</v>
      </c>
      <c r="K13027" t="s">
        <v>22</v>
      </c>
    </row>
    <row r="13028" spans="1:11" ht="42" customHeight="1">
      <c r="A13028" t="s">
        <v>25192</v>
      </c>
      <c r="B13028" t="s">
        <v>25192</v>
      </c>
      <c r="C13028" t="s">
        <v>42</v>
      </c>
      <c r="D13028" t="s">
        <v>17</v>
      </c>
      <c r="E13028" s="6">
        <v>-28190</v>
      </c>
      <c r="F13028" t="s">
        <v>576</v>
      </c>
      <c r="G13028" t="s">
        <v>44</v>
      </c>
      <c r="H13028" t="s">
        <v>20</v>
      </c>
      <c r="I13028" t="s">
        <v>25193</v>
      </c>
      <c r="J13028" t="str">
        <f>HYPERLINK("https://www.boe.es/gazeta/dias/1822/10/25/pdfs/GMD-1822-312.pdf#page=1","Abrir facsímil")</f>
        <v>Abrir facsímil</v>
      </c>
      <c r="K13028" t="s">
        <v>22</v>
      </c>
    </row>
    <row r="13029" spans="1:11" ht="42" customHeight="1">
      <c r="A13029" t="s">
        <v>25194</v>
      </c>
      <c r="B13029" t="s">
        <v>25195</v>
      </c>
      <c r="C13029" t="s">
        <v>42</v>
      </c>
      <c r="D13029" t="s">
        <v>17</v>
      </c>
      <c r="E13029" s="6">
        <v>-28160</v>
      </c>
      <c r="F13029" t="s">
        <v>148</v>
      </c>
      <c r="G13029" t="s">
        <v>19</v>
      </c>
      <c r="H13029" t="s">
        <v>20</v>
      </c>
      <c r="I13029" t="s">
        <v>25196</v>
      </c>
      <c r="J13029" t="str">
        <f>HYPERLINK("https://www.boe.es/gazeta/dias/1822/11/24/pdfs/GMD-1822-344.pdf#page=5","Abrir facsímil")</f>
        <v>Abrir facsímil</v>
      </c>
      <c r="K13029" t="s">
        <v>22</v>
      </c>
    </row>
    <row r="13030" spans="1:11" ht="42" customHeight="1">
      <c r="A13030" t="s">
        <v>25197</v>
      </c>
      <c r="B13030" t="s">
        <v>25198</v>
      </c>
      <c r="C13030" t="s">
        <v>28</v>
      </c>
      <c r="D13030" t="s">
        <v>29</v>
      </c>
      <c r="E13030" s="6">
        <v>-28413</v>
      </c>
      <c r="F13030" t="s">
        <v>458</v>
      </c>
      <c r="G13030" t="s">
        <v>57</v>
      </c>
      <c r="H13030" t="s">
        <v>20</v>
      </c>
      <c r="I13030" t="s">
        <v>25199</v>
      </c>
      <c r="J13030" t="str">
        <f>HYPERLINK("https://www.boe.es/gazeta/dias/1822/03/16/pdfs/GMD-1822-77.pdf#page=4","Abrir facsímil")</f>
        <v>Abrir facsímil</v>
      </c>
      <c r="K13030" t="s">
        <v>22</v>
      </c>
    </row>
    <row r="13031" spans="1:11" ht="42" customHeight="1">
      <c r="A13031" t="s">
        <v>25200</v>
      </c>
      <c r="B13031" t="s">
        <v>25200</v>
      </c>
      <c r="C13031" t="s">
        <v>28</v>
      </c>
      <c r="D13031" t="s">
        <v>29</v>
      </c>
      <c r="E13031" s="6">
        <v>-28427</v>
      </c>
      <c r="F13031" t="s">
        <v>755</v>
      </c>
      <c r="G13031" t="s">
        <v>31</v>
      </c>
      <c r="H13031" t="s">
        <v>20</v>
      </c>
      <c r="I13031" t="s">
        <v>25201</v>
      </c>
      <c r="J13031" t="str">
        <f>HYPERLINK("https://www.boe.es/gazeta/dias/1822/03/02/pdfs/GMD-1822-63.pdf#page=3","Abrir facsímil")</f>
        <v>Abrir facsímil</v>
      </c>
      <c r="K13031" t="s">
        <v>22</v>
      </c>
    </row>
    <row r="13032" spans="1:11" ht="42" customHeight="1">
      <c r="A13032" t="s">
        <v>25200</v>
      </c>
      <c r="B13032" t="s">
        <v>25200</v>
      </c>
      <c r="C13032" t="s">
        <v>28</v>
      </c>
      <c r="D13032" t="s">
        <v>29</v>
      </c>
      <c r="E13032" s="6">
        <v>-28390</v>
      </c>
      <c r="F13032" t="s">
        <v>665</v>
      </c>
      <c r="G13032" t="s">
        <v>35</v>
      </c>
      <c r="H13032" t="s">
        <v>20</v>
      </c>
      <c r="I13032" t="s">
        <v>25202</v>
      </c>
      <c r="J13032" t="str">
        <f>HYPERLINK("https://www.boe.es/gazeta/dias/1822/04/08/pdfs/GMD-1822-100.pdf#page=2","Abrir facsímil")</f>
        <v>Abrir facsímil</v>
      </c>
      <c r="K13032" t="s">
        <v>22</v>
      </c>
    </row>
    <row r="13033" spans="1:11" ht="42" customHeight="1">
      <c r="A13033" t="s">
        <v>25200</v>
      </c>
      <c r="B13033" t="s">
        <v>25200</v>
      </c>
      <c r="C13033" t="s">
        <v>50</v>
      </c>
      <c r="D13033" t="s">
        <v>51</v>
      </c>
      <c r="E13033" s="6">
        <v>-28345</v>
      </c>
      <c r="F13033" t="s">
        <v>294</v>
      </c>
      <c r="G13033" t="s">
        <v>63</v>
      </c>
      <c r="H13033" t="s">
        <v>20</v>
      </c>
      <c r="I13033" t="s">
        <v>25203</v>
      </c>
      <c r="J13033" t="str">
        <f>HYPERLINK("https://www.boe.es/gazeta/dias/1822/05/23/pdfs/GMD-1822-147.pdf#page=6","Abrir facsímil")</f>
        <v>Abrir facsímil</v>
      </c>
      <c r="K13033" t="s">
        <v>22</v>
      </c>
    </row>
    <row r="13034" spans="1:11" ht="42" customHeight="1">
      <c r="A13034" t="s">
        <v>25204</v>
      </c>
      <c r="B13034" t="s">
        <v>25205</v>
      </c>
      <c r="C13034" t="s">
        <v>71</v>
      </c>
      <c r="D13034" t="s">
        <v>17</v>
      </c>
      <c r="E13034" s="6">
        <v>-28309</v>
      </c>
      <c r="F13034" t="s">
        <v>553</v>
      </c>
      <c r="G13034" t="s">
        <v>57</v>
      </c>
      <c r="H13034" t="s">
        <v>20</v>
      </c>
      <c r="I13034" t="s">
        <v>25206</v>
      </c>
      <c r="J13034" t="str">
        <f>HYPERLINK("https://www.boe.es/gazeta/dias/1822/06/28/pdfs/GMD-1822-186.pdf#page=4","Abrir facsímil")</f>
        <v>Abrir facsímil</v>
      </c>
      <c r="K13034" t="s">
        <v>22</v>
      </c>
    </row>
    <row r="13035" spans="1:11" ht="42" customHeight="1">
      <c r="A13035" t="s">
        <v>25207</v>
      </c>
      <c r="B13035" t="s">
        <v>25208</v>
      </c>
      <c r="C13035" t="s">
        <v>71</v>
      </c>
      <c r="D13035" t="s">
        <v>17</v>
      </c>
      <c r="E13035" s="6">
        <v>-28358</v>
      </c>
      <c r="F13035" t="s">
        <v>211</v>
      </c>
      <c r="G13035" t="s">
        <v>35</v>
      </c>
      <c r="H13035" t="s">
        <v>20</v>
      </c>
      <c r="I13035" t="s">
        <v>25209</v>
      </c>
      <c r="J13035" t="str">
        <f>HYPERLINK("https://www.boe.es/gazeta/dias/1822/05/10/pdfs/GMD-1822-132.pdf#page=2","Abrir facsímil")</f>
        <v>Abrir facsímil</v>
      </c>
      <c r="K13035" t="s">
        <v>22</v>
      </c>
    </row>
    <row r="13036" spans="1:11" ht="42" customHeight="1">
      <c r="A13036" t="s">
        <v>25210</v>
      </c>
      <c r="B13036" t="s">
        <v>25211</v>
      </c>
      <c r="C13036" t="s">
        <v>28</v>
      </c>
      <c r="D13036" t="s">
        <v>29</v>
      </c>
      <c r="E13036" s="6">
        <v>-28139</v>
      </c>
      <c r="F13036" t="s">
        <v>143</v>
      </c>
      <c r="G13036" t="s">
        <v>144</v>
      </c>
      <c r="H13036" t="s">
        <v>20</v>
      </c>
      <c r="I13036" t="s">
        <v>25212</v>
      </c>
      <c r="J13036" t="str">
        <f>HYPERLINK("https://www.boe.es/gazeta/dias/1822/12/15/pdfs/GMD-1822-365.pdf#page=4","Abrir facsímil")</f>
        <v>Abrir facsímil</v>
      </c>
      <c r="K13036" t="s">
        <v>22</v>
      </c>
    </row>
    <row r="13037" spans="1:11" ht="42" customHeight="1">
      <c r="A13037" t="s">
        <v>25213</v>
      </c>
      <c r="B13037" t="s">
        <v>25214</v>
      </c>
      <c r="C13037" t="s">
        <v>362</v>
      </c>
      <c r="D13037" t="s">
        <v>17</v>
      </c>
      <c r="E13037" s="6">
        <v>-28197</v>
      </c>
      <c r="F13037" t="s">
        <v>568</v>
      </c>
      <c r="G13037" t="s">
        <v>63</v>
      </c>
      <c r="H13037" t="s">
        <v>20</v>
      </c>
      <c r="I13037" t="s">
        <v>25215</v>
      </c>
      <c r="J13037" t="str">
        <f>HYPERLINK("https://www.boe.es/gazeta/dias/1822/10/18/pdfs/GMD-1822-305.pdf#page=6","Abrir facsímil")</f>
        <v>Abrir facsímil</v>
      </c>
      <c r="K13037" t="s">
        <v>22</v>
      </c>
    </row>
    <row r="13038" spans="1:11" ht="42" customHeight="1">
      <c r="A13038" t="s">
        <v>25216</v>
      </c>
      <c r="B13038" t="s">
        <v>25217</v>
      </c>
      <c r="C13038" t="s">
        <v>50</v>
      </c>
      <c r="D13038" t="s">
        <v>51</v>
      </c>
      <c r="E13038" s="6">
        <v>-28409</v>
      </c>
      <c r="F13038" t="s">
        <v>394</v>
      </c>
      <c r="G13038" t="s">
        <v>57</v>
      </c>
      <c r="H13038" t="s">
        <v>20</v>
      </c>
      <c r="I13038" t="s">
        <v>25218</v>
      </c>
      <c r="J13038" t="str">
        <f>HYPERLINK("https://www.boe.es/gazeta/dias/1822/03/20/pdfs/GMD-1822-81.pdf#page=4","Abrir facsímil")</f>
        <v>Abrir facsímil</v>
      </c>
      <c r="K13038" t="s">
        <v>22</v>
      </c>
    </row>
    <row r="13039" spans="1:11" ht="42" customHeight="1">
      <c r="A13039" t="s">
        <v>25219</v>
      </c>
      <c r="B13039" t="s">
        <v>25220</v>
      </c>
      <c r="C13039" t="s">
        <v>50</v>
      </c>
      <c r="D13039" t="s">
        <v>51</v>
      </c>
      <c r="E13039" s="6">
        <v>-28303</v>
      </c>
      <c r="F13039" t="s">
        <v>201</v>
      </c>
      <c r="G13039" t="s">
        <v>57</v>
      </c>
      <c r="H13039" t="s">
        <v>20</v>
      </c>
      <c r="I13039" t="s">
        <v>25221</v>
      </c>
      <c r="J13039" t="str">
        <f>HYPERLINK("https://www.boe.es/gazeta/dias/1822/07/04/pdfs/GMD-1822-193.pdf#page=4","Abrir facsímil")</f>
        <v>Abrir facsímil</v>
      </c>
      <c r="K13039" t="s">
        <v>22</v>
      </c>
    </row>
    <row r="13040" spans="1:11" ht="42" customHeight="1">
      <c r="A13040" t="s">
        <v>25222</v>
      </c>
      <c r="B13040" t="s">
        <v>25223</v>
      </c>
      <c r="C13040" t="s">
        <v>42</v>
      </c>
      <c r="D13040" t="s">
        <v>17</v>
      </c>
      <c r="E13040" s="6">
        <v>-28323</v>
      </c>
      <c r="F13040" t="s">
        <v>116</v>
      </c>
      <c r="G13040" t="s">
        <v>31</v>
      </c>
      <c r="H13040" t="s">
        <v>20</v>
      </c>
      <c r="I13040" t="s">
        <v>25224</v>
      </c>
      <c r="J13040" t="str">
        <f>HYPERLINK("https://www.boe.es/gazeta/dias/1822/06/14/pdfs/GMD-1822-171.pdf#page=3","Abrir facsímil")</f>
        <v>Abrir facsímil</v>
      </c>
      <c r="K13040" t="s">
        <v>22</v>
      </c>
    </row>
    <row r="13041" spans="1:11" ht="42" customHeight="1">
      <c r="A13041" t="s">
        <v>25225</v>
      </c>
      <c r="B13041" t="s">
        <v>25226</v>
      </c>
      <c r="C13041" t="s">
        <v>50</v>
      </c>
      <c r="D13041" t="s">
        <v>51</v>
      </c>
      <c r="E13041" s="6">
        <v>-28374</v>
      </c>
      <c r="F13041" t="s">
        <v>171</v>
      </c>
      <c r="G13041" t="s">
        <v>57</v>
      </c>
      <c r="H13041" t="s">
        <v>20</v>
      </c>
      <c r="I13041" t="s">
        <v>25227</v>
      </c>
      <c r="J13041" t="str">
        <f>HYPERLINK("https://www.boe.es/gazeta/dias/1822/04/24/pdfs/GMD-1822-116.pdf#page=4","Abrir facsímil")</f>
        <v>Abrir facsímil</v>
      </c>
      <c r="K13041" t="s">
        <v>22</v>
      </c>
    </row>
    <row r="13042" spans="1:11" ht="42" customHeight="1">
      <c r="A13042" t="s">
        <v>25228</v>
      </c>
      <c r="B13042" t="s">
        <v>25229</v>
      </c>
      <c r="C13042" t="s">
        <v>71</v>
      </c>
      <c r="D13042" t="s">
        <v>17</v>
      </c>
      <c r="E13042" s="6">
        <v>-28375</v>
      </c>
      <c r="F13042" t="s">
        <v>2035</v>
      </c>
      <c r="G13042" t="s">
        <v>31</v>
      </c>
      <c r="H13042" t="s">
        <v>20</v>
      </c>
      <c r="I13042" t="s">
        <v>25230</v>
      </c>
      <c r="J13042" t="str">
        <f>HYPERLINK("https://www.boe.es/gazeta/dias/1822/04/23/pdfs/GMD-1822-115.pdf#page=3","Abrir facsímil")</f>
        <v>Abrir facsímil</v>
      </c>
      <c r="K13042" t="s">
        <v>22</v>
      </c>
    </row>
    <row r="13043" spans="1:11" ht="42" customHeight="1">
      <c r="A13043" t="s">
        <v>25231</v>
      </c>
      <c r="B13043" t="s">
        <v>25232</v>
      </c>
      <c r="C13043" t="s">
        <v>16</v>
      </c>
      <c r="D13043" t="s">
        <v>17</v>
      </c>
      <c r="E13043" s="6">
        <v>-28390</v>
      </c>
      <c r="F13043" t="s">
        <v>665</v>
      </c>
      <c r="G13043" t="s">
        <v>57</v>
      </c>
      <c r="H13043" t="s">
        <v>20</v>
      </c>
      <c r="I13043" t="s">
        <v>25233</v>
      </c>
      <c r="J13043" t="str">
        <f>HYPERLINK("https://www.boe.es/gazeta/dias/1822/04/08/pdfs/GMD-1822-100.pdf#page=4","Abrir facsímil")</f>
        <v>Abrir facsímil</v>
      </c>
      <c r="K13043" t="s">
        <v>22</v>
      </c>
    </row>
    <row r="13044" spans="1:11" ht="42" customHeight="1">
      <c r="A13044" t="s">
        <v>25234</v>
      </c>
      <c r="B13044" t="s">
        <v>25235</v>
      </c>
      <c r="C13044" t="s">
        <v>28</v>
      </c>
      <c r="D13044" t="s">
        <v>29</v>
      </c>
      <c r="E13044" s="6">
        <v>-28433</v>
      </c>
      <c r="F13044" t="s">
        <v>3663</v>
      </c>
      <c r="G13044" t="s">
        <v>57</v>
      </c>
      <c r="H13044" t="s">
        <v>20</v>
      </c>
      <c r="I13044" t="s">
        <v>25236</v>
      </c>
      <c r="J13044" t="str">
        <f>HYPERLINK("https://www.boe.es/gazeta/dias/1822/02/24/pdfs/GMD-1822-56.pdf#page=4","Abrir facsímil")</f>
        <v>Abrir facsímil</v>
      </c>
      <c r="K13044" t="s">
        <v>22</v>
      </c>
    </row>
    <row r="13045" spans="1:11" ht="42" customHeight="1">
      <c r="A13045" t="s">
        <v>25237</v>
      </c>
      <c r="B13045" t="s">
        <v>25238</v>
      </c>
      <c r="C13045" t="s">
        <v>42</v>
      </c>
      <c r="D13045" t="s">
        <v>17</v>
      </c>
      <c r="E13045" s="6">
        <v>-28251</v>
      </c>
      <c r="F13045" t="s">
        <v>1485</v>
      </c>
      <c r="G13045" t="s">
        <v>31</v>
      </c>
      <c r="H13045" t="s">
        <v>20</v>
      </c>
      <c r="I13045" t="s">
        <v>25239</v>
      </c>
      <c r="J13045" t="str">
        <f>HYPERLINK("https://www.boe.es/gazeta/dias/1822/08/25/pdfs/GMD-1822-249.pdf#page=3","Abrir facsímil")</f>
        <v>Abrir facsímil</v>
      </c>
      <c r="K13045" t="s">
        <v>22</v>
      </c>
    </row>
    <row r="13046" spans="1:11" ht="42" customHeight="1">
      <c r="A13046" t="s">
        <v>25240</v>
      </c>
      <c r="B13046" t="s">
        <v>25241</v>
      </c>
      <c r="C13046" t="s">
        <v>50</v>
      </c>
      <c r="D13046" t="s">
        <v>51</v>
      </c>
      <c r="E13046" s="6">
        <v>-28185</v>
      </c>
      <c r="F13046" t="s">
        <v>933</v>
      </c>
      <c r="G13046" t="s">
        <v>57</v>
      </c>
      <c r="H13046" t="s">
        <v>20</v>
      </c>
      <c r="I13046" t="s">
        <v>25242</v>
      </c>
      <c r="J13046" t="str">
        <f>HYPERLINK("https://www.boe.es/gazeta/dias/1822/10/30/pdfs/GMD-1822-317.pdf#page=4","Abrir facsímil")</f>
        <v>Abrir facsímil</v>
      </c>
      <c r="K13046" t="s">
        <v>22</v>
      </c>
    </row>
    <row r="13047" spans="1:11" ht="42" customHeight="1">
      <c r="A13047" t="s">
        <v>25243</v>
      </c>
      <c r="B13047" t="s">
        <v>25244</v>
      </c>
      <c r="C13047" t="s">
        <v>28</v>
      </c>
      <c r="D13047" t="s">
        <v>29</v>
      </c>
      <c r="E13047" s="6">
        <v>-28326</v>
      </c>
      <c r="F13047" t="s">
        <v>543</v>
      </c>
      <c r="G13047" t="s">
        <v>63</v>
      </c>
      <c r="H13047" t="s">
        <v>20</v>
      </c>
      <c r="I13047" t="s">
        <v>25245</v>
      </c>
      <c r="J13047" t="str">
        <f>HYPERLINK("https://www.boe.es/gazeta/dias/1822/06/11/pdfs/GMD-1822-168.pdf#page=6","Abrir facsímil")</f>
        <v>Abrir facsímil</v>
      </c>
      <c r="K13047" t="s">
        <v>22</v>
      </c>
    </row>
    <row r="13048" spans="1:11" ht="42" customHeight="1">
      <c r="A13048" t="s">
        <v>25246</v>
      </c>
      <c r="B13048" t="s">
        <v>25247</v>
      </c>
      <c r="C13048" t="s">
        <v>50</v>
      </c>
      <c r="D13048" t="s">
        <v>51</v>
      </c>
      <c r="E13048" s="6">
        <v>-28208</v>
      </c>
      <c r="F13048" t="s">
        <v>230</v>
      </c>
      <c r="G13048" t="s">
        <v>57</v>
      </c>
      <c r="H13048" t="s">
        <v>20</v>
      </c>
      <c r="I13048" t="s">
        <v>25248</v>
      </c>
      <c r="J13048" t="str">
        <f>HYPERLINK("https://www.boe.es/gazeta/dias/1822/10/07/pdfs/GMD-1822-293.pdf#page=4","Abrir facsímil")</f>
        <v>Abrir facsímil</v>
      </c>
      <c r="K13048" t="s">
        <v>22</v>
      </c>
    </row>
    <row r="13049" spans="1:11" ht="42" customHeight="1">
      <c r="A13049" t="s">
        <v>25249</v>
      </c>
      <c r="B13049" t="s">
        <v>25250</v>
      </c>
      <c r="C13049" t="s">
        <v>16</v>
      </c>
      <c r="D13049" t="s">
        <v>17</v>
      </c>
      <c r="E13049" s="6">
        <v>-28380</v>
      </c>
      <c r="F13049" t="s">
        <v>492</v>
      </c>
      <c r="G13049" t="s">
        <v>63</v>
      </c>
      <c r="H13049" t="s">
        <v>20</v>
      </c>
      <c r="I13049" t="s">
        <v>25251</v>
      </c>
      <c r="J13049" t="str">
        <f>HYPERLINK("https://www.boe.es/gazeta/dias/1822/04/18/pdfs/GMD-1822-110.pdf#page=6","Abrir facsímil")</f>
        <v>Abrir facsímil</v>
      </c>
      <c r="K13049" t="s">
        <v>22</v>
      </c>
    </row>
    <row r="13050" spans="1:11" ht="42" customHeight="1">
      <c r="A13050" t="s">
        <v>25249</v>
      </c>
      <c r="B13050" t="s">
        <v>25250</v>
      </c>
      <c r="C13050" t="s">
        <v>61</v>
      </c>
      <c r="D13050" t="s">
        <v>17</v>
      </c>
      <c r="E13050" s="6">
        <v>-28311</v>
      </c>
      <c r="F13050" t="s">
        <v>736</v>
      </c>
      <c r="G13050" t="s">
        <v>157</v>
      </c>
      <c r="H13050" t="s">
        <v>20</v>
      </c>
      <c r="I13050" t="s">
        <v>25252</v>
      </c>
      <c r="J13050" t="str">
        <f>HYPERLINK("https://www.boe.es/gazeta/dias/1822/06/26/pdfs/GMD-1822-184.pdf#page=8","Abrir facsímil")</f>
        <v>Abrir facsímil</v>
      </c>
      <c r="K13050" t="s">
        <v>22</v>
      </c>
    </row>
    <row r="13051" spans="1:11" ht="42" customHeight="1">
      <c r="A13051" t="s">
        <v>25253</v>
      </c>
      <c r="B13051" t="s">
        <v>25254</v>
      </c>
      <c r="C13051" t="s">
        <v>24</v>
      </c>
      <c r="D13051" t="s">
        <v>17</v>
      </c>
      <c r="E13051" s="6">
        <v>-28277</v>
      </c>
      <c r="F13051" t="s">
        <v>296</v>
      </c>
      <c r="G13051" t="s">
        <v>63</v>
      </c>
      <c r="H13051" t="s">
        <v>20</v>
      </c>
      <c r="I13051" t="s">
        <v>25255</v>
      </c>
      <c r="J13051" t="str">
        <f>HYPERLINK("https://www.boe.es/gazeta/dias/1822/07/30/pdfs/GMD-1822-223.pdf#page=6","Abrir facsímil")</f>
        <v>Abrir facsímil</v>
      </c>
      <c r="K13051" t="s">
        <v>22</v>
      </c>
    </row>
    <row r="13052" spans="1:11" ht="42" customHeight="1">
      <c r="A13052" t="s">
        <v>25256</v>
      </c>
      <c r="B13052" t="s">
        <v>25257</v>
      </c>
      <c r="C13052" t="s">
        <v>42</v>
      </c>
      <c r="D13052" t="s">
        <v>17</v>
      </c>
      <c r="E13052" s="6">
        <v>-28226</v>
      </c>
      <c r="F13052" t="s">
        <v>812</v>
      </c>
      <c r="G13052" t="s">
        <v>57</v>
      </c>
      <c r="H13052" t="s">
        <v>20</v>
      </c>
      <c r="I13052" t="s">
        <v>25258</v>
      </c>
      <c r="J13052" t="str">
        <f>HYPERLINK("https://www.boe.es/gazeta/dias/1822/09/19/pdfs/GMD-1822-275.pdf#page=4","Abrir facsímil")</f>
        <v>Abrir facsímil</v>
      </c>
      <c r="K13052" t="s">
        <v>22</v>
      </c>
    </row>
    <row r="13053" spans="1:11" ht="42" customHeight="1">
      <c r="A13053" t="s">
        <v>25259</v>
      </c>
      <c r="B13053" t="s">
        <v>25260</v>
      </c>
      <c r="C13053" t="s">
        <v>71</v>
      </c>
      <c r="D13053" t="s">
        <v>17</v>
      </c>
      <c r="E13053" s="6">
        <v>-28208</v>
      </c>
      <c r="F13053" t="s">
        <v>230</v>
      </c>
      <c r="G13053" t="s">
        <v>57</v>
      </c>
      <c r="H13053" t="s">
        <v>20</v>
      </c>
      <c r="I13053" t="s">
        <v>25261</v>
      </c>
      <c r="J13053" t="str">
        <f>HYPERLINK("https://www.boe.es/gazeta/dias/1822/10/07/pdfs/GMD-1822-293.pdf#page=4","Abrir facsímil")</f>
        <v>Abrir facsímil</v>
      </c>
      <c r="K13053" t="s">
        <v>22</v>
      </c>
    </row>
    <row r="13054" spans="1:11" ht="42" customHeight="1">
      <c r="A13054" t="s">
        <v>25262</v>
      </c>
      <c r="B13054" t="s">
        <v>25263</v>
      </c>
      <c r="C13054" t="s">
        <v>50</v>
      </c>
      <c r="D13054" t="s">
        <v>51</v>
      </c>
      <c r="E13054" s="6">
        <v>-28222</v>
      </c>
      <c r="F13054" t="s">
        <v>2027</v>
      </c>
      <c r="G13054" t="s">
        <v>57</v>
      </c>
      <c r="H13054" t="s">
        <v>20</v>
      </c>
      <c r="I13054" t="s">
        <v>25264</v>
      </c>
      <c r="J13054" t="str">
        <f>HYPERLINK("https://www.boe.es/gazeta/dias/1822/09/23/pdfs/GMD-1822-279.pdf#page=4","Abrir facsímil")</f>
        <v>Abrir facsímil</v>
      </c>
      <c r="K13054" t="s">
        <v>22</v>
      </c>
    </row>
    <row r="13055" spans="1:11" ht="42" customHeight="1">
      <c r="A13055" t="s">
        <v>25265</v>
      </c>
      <c r="B13055" t="s">
        <v>25266</v>
      </c>
      <c r="C13055" t="s">
        <v>42</v>
      </c>
      <c r="D13055" t="s">
        <v>17</v>
      </c>
      <c r="E13055" s="6">
        <v>-28234</v>
      </c>
      <c r="F13055" t="s">
        <v>1331</v>
      </c>
      <c r="G13055" t="s">
        <v>31</v>
      </c>
      <c r="H13055" t="s">
        <v>20</v>
      </c>
      <c r="I13055" t="s">
        <v>25267</v>
      </c>
      <c r="J13055" t="str">
        <f>HYPERLINK("https://www.boe.es/gazeta/dias/1822/09/11/pdfs/GMD-1822-267.pdf#page=3","Abrir facsímil")</f>
        <v>Abrir facsímil</v>
      </c>
      <c r="K13055" t="s">
        <v>22</v>
      </c>
    </row>
    <row r="13056" spans="1:11" ht="42" customHeight="1">
      <c r="A13056" t="s">
        <v>25268</v>
      </c>
      <c r="B13056" t="s">
        <v>25269</v>
      </c>
      <c r="C13056" t="s">
        <v>50</v>
      </c>
      <c r="D13056" t="s">
        <v>51</v>
      </c>
      <c r="E13056" s="6">
        <v>-28150</v>
      </c>
      <c r="F13056" t="s">
        <v>62</v>
      </c>
      <c r="G13056" t="s">
        <v>44</v>
      </c>
      <c r="H13056" t="s">
        <v>20</v>
      </c>
      <c r="I13056" t="s">
        <v>25270</v>
      </c>
      <c r="J13056" t="str">
        <f>HYPERLINK("https://www.boe.es/gazeta/dias/1822/12/04/pdfs/GMD-1822-354.pdf#page=1","Abrir facsímil")</f>
        <v>Abrir facsímil</v>
      </c>
      <c r="K13056" t="s">
        <v>22</v>
      </c>
    </row>
    <row r="13057" spans="1:11" ht="42" customHeight="1">
      <c r="A13057" t="s">
        <v>25271</v>
      </c>
      <c r="B13057" t="s">
        <v>25272</v>
      </c>
      <c r="C13057" t="s">
        <v>50</v>
      </c>
      <c r="D13057" t="s">
        <v>51</v>
      </c>
      <c r="E13057" s="6">
        <v>-28146</v>
      </c>
      <c r="F13057" t="s">
        <v>180</v>
      </c>
      <c r="G13057" t="s">
        <v>57</v>
      </c>
      <c r="H13057" t="s">
        <v>20</v>
      </c>
      <c r="I13057" t="s">
        <v>25273</v>
      </c>
      <c r="J13057" t="str">
        <f>HYPERLINK("https://www.boe.es/gazeta/dias/1822/12/08/pdfs/GMD-1822-358.pdf#page=4","Abrir facsímil")</f>
        <v>Abrir facsímil</v>
      </c>
      <c r="K13057" t="s">
        <v>22</v>
      </c>
    </row>
    <row r="13058" spans="1:11" ht="42" customHeight="1">
      <c r="A13058" t="s">
        <v>25274</v>
      </c>
      <c r="B13058" t="s">
        <v>25275</v>
      </c>
      <c r="C13058" t="s">
        <v>42</v>
      </c>
      <c r="D13058" t="s">
        <v>17</v>
      </c>
      <c r="E13058" s="6">
        <v>-28251</v>
      </c>
      <c r="F13058" t="s">
        <v>1485</v>
      </c>
      <c r="G13058" t="s">
        <v>35</v>
      </c>
      <c r="H13058" t="s">
        <v>20</v>
      </c>
      <c r="I13058" t="s">
        <v>25276</v>
      </c>
      <c r="J13058" t="str">
        <f>HYPERLINK("https://www.boe.es/gazeta/dias/1822/08/25/pdfs/GMD-1822-249.pdf#page=2","Abrir facsímil")</f>
        <v>Abrir facsímil</v>
      </c>
      <c r="K13058" t="s">
        <v>22</v>
      </c>
    </row>
    <row r="13059" spans="1:11" ht="42" customHeight="1">
      <c r="A13059" t="s">
        <v>25277</v>
      </c>
      <c r="B13059" t="s">
        <v>25277</v>
      </c>
      <c r="C13059" t="s">
        <v>42</v>
      </c>
      <c r="D13059" t="s">
        <v>17</v>
      </c>
      <c r="E13059" s="6">
        <v>-28369</v>
      </c>
      <c r="F13059" t="s">
        <v>1590</v>
      </c>
      <c r="G13059" t="s">
        <v>19</v>
      </c>
      <c r="H13059" t="s">
        <v>20</v>
      </c>
      <c r="I13059" t="s">
        <v>25278</v>
      </c>
      <c r="J13059" t="str">
        <f>HYPERLINK("https://www.boe.es/gazeta/dias/1822/04/29/pdfs/GMD-1822-121.pdf#page=5","Abrir facsímil")</f>
        <v>Abrir facsímil</v>
      </c>
      <c r="K13059" t="s">
        <v>22</v>
      </c>
    </row>
    <row r="13060" spans="1:11" ht="42" customHeight="1">
      <c r="A13060" t="s">
        <v>25279</v>
      </c>
      <c r="B13060" t="s">
        <v>25279</v>
      </c>
      <c r="C13060" t="s">
        <v>16</v>
      </c>
      <c r="D13060" t="s">
        <v>17</v>
      </c>
      <c r="E13060" s="6">
        <v>-28434</v>
      </c>
      <c r="F13060" t="s">
        <v>433</v>
      </c>
      <c r="G13060" t="s">
        <v>35</v>
      </c>
      <c r="H13060" t="s">
        <v>20</v>
      </c>
      <c r="I13060" t="s">
        <v>25280</v>
      </c>
      <c r="J13060" t="str">
        <f>HYPERLINK("https://www.boe.es/gazeta/dias/1822/02/23/pdfs/GMD-1822-55.pdf#page=2","Abrir facsímil")</f>
        <v>Abrir facsímil</v>
      </c>
      <c r="K13060" t="s">
        <v>22</v>
      </c>
    </row>
    <row r="13061" spans="1:11" ht="42" customHeight="1">
      <c r="A13061" t="s">
        <v>25281</v>
      </c>
      <c r="B13061" t="s">
        <v>25282</v>
      </c>
      <c r="C13061" t="s">
        <v>50</v>
      </c>
      <c r="D13061" t="s">
        <v>51</v>
      </c>
      <c r="E13061" s="6">
        <v>-28208</v>
      </c>
      <c r="F13061" t="s">
        <v>230</v>
      </c>
      <c r="G13061" t="s">
        <v>57</v>
      </c>
      <c r="H13061" t="s">
        <v>20</v>
      </c>
      <c r="I13061" t="s">
        <v>25283</v>
      </c>
      <c r="J13061" t="str">
        <f>HYPERLINK("https://www.boe.es/gazeta/dias/1822/10/07/pdfs/GMD-1822-293.pdf#page=4","Abrir facsímil")</f>
        <v>Abrir facsímil</v>
      </c>
      <c r="K13061" t="s">
        <v>22</v>
      </c>
    </row>
    <row r="13062" spans="1:11" ht="42" customHeight="1">
      <c r="A13062" t="s">
        <v>25284</v>
      </c>
      <c r="B13062" t="s">
        <v>25284</v>
      </c>
      <c r="C13062" t="s">
        <v>50</v>
      </c>
      <c r="D13062" t="s">
        <v>51</v>
      </c>
      <c r="E13062" s="6">
        <v>-28211</v>
      </c>
      <c r="F13062" t="s">
        <v>273</v>
      </c>
      <c r="G13062" t="s">
        <v>57</v>
      </c>
      <c r="H13062" t="s">
        <v>20</v>
      </c>
      <c r="I13062" t="s">
        <v>25285</v>
      </c>
      <c r="J13062" t="str">
        <f>HYPERLINK("https://www.boe.es/gazeta/dias/1822/10/04/pdfs/GMD-1822-290.pdf#page=4","Abrir facsímil")</f>
        <v>Abrir facsímil</v>
      </c>
      <c r="K13062" t="s">
        <v>22</v>
      </c>
    </row>
    <row r="13063" spans="1:11" ht="42" customHeight="1">
      <c r="A13063" t="s">
        <v>25286</v>
      </c>
      <c r="B13063" t="s">
        <v>25286</v>
      </c>
      <c r="C13063" t="s">
        <v>50</v>
      </c>
      <c r="D13063" t="s">
        <v>51</v>
      </c>
      <c r="E13063" s="6">
        <v>-28201</v>
      </c>
      <c r="F13063" t="s">
        <v>163</v>
      </c>
      <c r="G13063" t="s">
        <v>63</v>
      </c>
      <c r="H13063" t="s">
        <v>20</v>
      </c>
      <c r="I13063" t="s">
        <v>25287</v>
      </c>
      <c r="J13063" t="str">
        <f>HYPERLINK("https://www.boe.es/gazeta/dias/1822/10/14/pdfs/GMD-1822-301.pdf#page=6","Abrir facsímil")</f>
        <v>Abrir facsímil</v>
      </c>
      <c r="K13063" t="s">
        <v>22</v>
      </c>
    </row>
    <row r="13064" spans="1:11" ht="42" customHeight="1">
      <c r="A13064" t="s">
        <v>25288</v>
      </c>
      <c r="B13064" t="s">
        <v>25289</v>
      </c>
      <c r="C13064" t="s">
        <v>28</v>
      </c>
      <c r="D13064" t="s">
        <v>29</v>
      </c>
      <c r="E13064" s="6">
        <v>-28200</v>
      </c>
      <c r="F13064" t="s">
        <v>1037</v>
      </c>
      <c r="G13064" t="s">
        <v>63</v>
      </c>
      <c r="H13064" t="s">
        <v>20</v>
      </c>
      <c r="I13064" t="s">
        <v>25290</v>
      </c>
      <c r="J13064" t="str">
        <f>HYPERLINK("https://www.boe.es/gazeta/dias/1822/10/15/pdfs/GMD-1822-302.pdf#page=6","Abrir facsímil")</f>
        <v>Abrir facsímil</v>
      </c>
      <c r="K13064" t="s">
        <v>22</v>
      </c>
    </row>
    <row r="13065" spans="1:11" ht="42" customHeight="1">
      <c r="A13065" t="s">
        <v>25288</v>
      </c>
      <c r="B13065" t="s">
        <v>25289</v>
      </c>
      <c r="C13065" t="s">
        <v>16</v>
      </c>
      <c r="D13065" t="s">
        <v>17</v>
      </c>
      <c r="E13065" s="6">
        <v>-28198</v>
      </c>
      <c r="F13065" t="s">
        <v>981</v>
      </c>
      <c r="G13065" t="s">
        <v>63</v>
      </c>
      <c r="H13065" t="s">
        <v>20</v>
      </c>
      <c r="I13065" t="s">
        <v>25291</v>
      </c>
      <c r="J13065" t="str">
        <f>HYPERLINK("https://www.boe.es/gazeta/dias/1822/10/17/pdfs/GMD-1822-304.pdf#page=6","Abrir facsímil")</f>
        <v>Abrir facsímil</v>
      </c>
      <c r="K13065" t="s">
        <v>22</v>
      </c>
    </row>
    <row r="13066" spans="1:11" ht="42" customHeight="1">
      <c r="A13066" t="s">
        <v>25292</v>
      </c>
      <c r="B13066" t="s">
        <v>25292</v>
      </c>
      <c r="C13066" t="s">
        <v>50</v>
      </c>
      <c r="D13066" t="s">
        <v>51</v>
      </c>
      <c r="E13066" s="6">
        <v>-28414</v>
      </c>
      <c r="F13066" t="s">
        <v>187</v>
      </c>
      <c r="G13066" t="s">
        <v>63</v>
      </c>
      <c r="H13066" t="s">
        <v>20</v>
      </c>
      <c r="I13066" t="s">
        <v>25293</v>
      </c>
      <c r="J13066" t="str">
        <f>HYPERLINK("https://www.boe.es/gazeta/dias/1822/03/15/pdfs/GMD-1822-76.pdf#page=6","Abrir facsímil")</f>
        <v>Abrir facsímil</v>
      </c>
      <c r="K13066" t="s">
        <v>22</v>
      </c>
    </row>
    <row r="13067" spans="1:11" ht="42" customHeight="1">
      <c r="A13067" t="s">
        <v>25292</v>
      </c>
      <c r="B13067" t="s">
        <v>25292</v>
      </c>
      <c r="C13067" t="s">
        <v>24</v>
      </c>
      <c r="D13067" t="s">
        <v>17</v>
      </c>
      <c r="E13067" s="6">
        <v>-28413</v>
      </c>
      <c r="F13067" t="s">
        <v>458</v>
      </c>
      <c r="G13067" t="s">
        <v>31</v>
      </c>
      <c r="H13067" t="s">
        <v>20</v>
      </c>
      <c r="I13067" t="s">
        <v>25294</v>
      </c>
      <c r="J13067" t="str">
        <f>HYPERLINK("https://www.boe.es/gazeta/dias/1822/03/16/pdfs/GMD-1822-77.pdf#page=3","Abrir facsímil")</f>
        <v>Abrir facsímil</v>
      </c>
      <c r="K13067" t="s">
        <v>22</v>
      </c>
    </row>
    <row r="13068" spans="1:11" ht="42" customHeight="1">
      <c r="A13068" t="s">
        <v>25292</v>
      </c>
      <c r="B13068" t="s">
        <v>25292</v>
      </c>
      <c r="C13068" t="s">
        <v>50</v>
      </c>
      <c r="D13068" t="s">
        <v>51</v>
      </c>
      <c r="E13068" s="6">
        <v>-28402</v>
      </c>
      <c r="F13068" t="s">
        <v>473</v>
      </c>
      <c r="G13068" t="s">
        <v>31</v>
      </c>
      <c r="H13068" t="s">
        <v>20</v>
      </c>
      <c r="I13068" t="s">
        <v>25295</v>
      </c>
      <c r="J13068" t="str">
        <f>HYPERLINK("https://www.boe.es/gazeta/dias/1822/03/27/pdfs/GMD-1822-88.pdf#page=3","Abrir facsímil")</f>
        <v>Abrir facsímil</v>
      </c>
      <c r="K13068" t="s">
        <v>22</v>
      </c>
    </row>
    <row r="13069" spans="1:11" ht="42" customHeight="1">
      <c r="A13069" t="s">
        <v>25292</v>
      </c>
      <c r="B13069" t="s">
        <v>25292</v>
      </c>
      <c r="C13069" t="s">
        <v>42</v>
      </c>
      <c r="D13069" t="s">
        <v>17</v>
      </c>
      <c r="E13069" s="6">
        <v>-28369</v>
      </c>
      <c r="F13069" t="s">
        <v>1590</v>
      </c>
      <c r="G13069" t="s">
        <v>19</v>
      </c>
      <c r="H13069" t="s">
        <v>20</v>
      </c>
      <c r="I13069" t="s">
        <v>25296</v>
      </c>
      <c r="J13069" t="str">
        <f>HYPERLINK("https://www.boe.es/gazeta/dias/1822/04/29/pdfs/GMD-1822-121.pdf#page=5","Abrir facsímil")</f>
        <v>Abrir facsímil</v>
      </c>
      <c r="K13069" t="s">
        <v>22</v>
      </c>
    </row>
    <row r="13070" spans="1:11" ht="42" customHeight="1">
      <c r="A13070" t="s">
        <v>25297</v>
      </c>
      <c r="B13070" t="s">
        <v>25298</v>
      </c>
      <c r="C13070" t="s">
        <v>28</v>
      </c>
      <c r="D13070" t="s">
        <v>29</v>
      </c>
      <c r="E13070" s="6">
        <v>-28432</v>
      </c>
      <c r="F13070" t="s">
        <v>195</v>
      </c>
      <c r="G13070" t="s">
        <v>57</v>
      </c>
      <c r="H13070" t="s">
        <v>20</v>
      </c>
      <c r="I13070" t="s">
        <v>25299</v>
      </c>
      <c r="J13070" t="str">
        <f>HYPERLINK("https://www.boe.es/gazeta/dias/1822/02/25/pdfs/GMD-1822-57.pdf#page=4","Abrir facsímil")</f>
        <v>Abrir facsímil</v>
      </c>
      <c r="K13070" t="s">
        <v>22</v>
      </c>
    </row>
    <row r="13071" spans="1:11" ht="42" customHeight="1">
      <c r="A13071" t="s">
        <v>25300</v>
      </c>
      <c r="B13071" t="s">
        <v>25300</v>
      </c>
      <c r="C13071" t="s">
        <v>50</v>
      </c>
      <c r="D13071" t="s">
        <v>51</v>
      </c>
      <c r="E13071" s="6">
        <v>-28295</v>
      </c>
      <c r="F13071" t="s">
        <v>81</v>
      </c>
      <c r="G13071" t="s">
        <v>35</v>
      </c>
      <c r="H13071" t="s">
        <v>20</v>
      </c>
      <c r="I13071" t="s">
        <v>25301</v>
      </c>
      <c r="J13071" t="str">
        <f>HYPERLINK("https://www.boe.es/gazeta/dias/1822/07/12/pdfs/GMD-1822-202.pdf#page=2","Abrir facsímil")</f>
        <v>Abrir facsímil</v>
      </c>
      <c r="K13071" t="s">
        <v>22</v>
      </c>
    </row>
    <row r="13072" spans="1:11" ht="42" customHeight="1">
      <c r="A13072" t="s">
        <v>25302</v>
      </c>
      <c r="B13072" t="s">
        <v>25302</v>
      </c>
      <c r="C13072" t="s">
        <v>50</v>
      </c>
      <c r="D13072" t="s">
        <v>51</v>
      </c>
      <c r="E13072" s="6">
        <v>-28342</v>
      </c>
      <c r="F13072" t="s">
        <v>2281</v>
      </c>
      <c r="G13072" t="s">
        <v>35</v>
      </c>
      <c r="H13072" t="s">
        <v>20</v>
      </c>
      <c r="I13072" t="s">
        <v>25303</v>
      </c>
      <c r="J13072" t="str">
        <f>HYPERLINK("https://www.boe.es/gazeta/dias/1822/05/26/pdfs/GMD-1822-151.pdf#page=2","Abrir facsímil")</f>
        <v>Abrir facsímil</v>
      </c>
      <c r="K13072" t="s">
        <v>22</v>
      </c>
    </row>
    <row r="13073" spans="1:11" ht="42" customHeight="1">
      <c r="A13073" t="s">
        <v>25304</v>
      </c>
      <c r="B13073" t="s">
        <v>25304</v>
      </c>
      <c r="C13073" t="s">
        <v>28</v>
      </c>
      <c r="D13073" t="s">
        <v>29</v>
      </c>
      <c r="E13073" s="6">
        <v>-28401</v>
      </c>
      <c r="F13073" t="s">
        <v>108</v>
      </c>
      <c r="G13073" t="s">
        <v>44</v>
      </c>
      <c r="H13073" t="s">
        <v>20</v>
      </c>
      <c r="I13073" t="s">
        <v>25305</v>
      </c>
      <c r="J13073" t="str">
        <f>HYPERLINK("https://www.boe.es/gazeta/dias/1822/03/28/pdfs/GMD-1822-89.pdf#page=1","Abrir facsímil")</f>
        <v>Abrir facsímil</v>
      </c>
      <c r="K13073" t="s">
        <v>22</v>
      </c>
    </row>
    <row r="13074" spans="1:11" ht="42" customHeight="1">
      <c r="A13074" t="s">
        <v>25304</v>
      </c>
      <c r="B13074" t="s">
        <v>25304</v>
      </c>
      <c r="C13074" t="s">
        <v>42</v>
      </c>
      <c r="D13074" t="s">
        <v>17</v>
      </c>
      <c r="E13074" s="6">
        <v>-28273</v>
      </c>
      <c r="F13074" t="s">
        <v>1063</v>
      </c>
      <c r="G13074" t="s">
        <v>35</v>
      </c>
      <c r="H13074" t="s">
        <v>20</v>
      </c>
      <c r="I13074" t="s">
        <v>25306</v>
      </c>
      <c r="J13074" t="str">
        <f>HYPERLINK("https://www.boe.es/gazeta/dias/1822/08/03/pdfs/GMD-1822-227.pdf#page=2","Abrir facsímil")</f>
        <v>Abrir facsímil</v>
      </c>
      <c r="K13074" t="s">
        <v>22</v>
      </c>
    </row>
    <row r="13075" spans="1:11" ht="42" customHeight="1">
      <c r="A13075" t="s">
        <v>25307</v>
      </c>
      <c r="B13075" t="s">
        <v>25308</v>
      </c>
      <c r="C13075" t="s">
        <v>50</v>
      </c>
      <c r="D13075" t="s">
        <v>51</v>
      </c>
      <c r="E13075" s="6">
        <v>-28455</v>
      </c>
      <c r="F13075" t="s">
        <v>1107</v>
      </c>
      <c r="G13075" t="s">
        <v>63</v>
      </c>
      <c r="H13075" t="s">
        <v>20</v>
      </c>
      <c r="I13075" t="s">
        <v>25309</v>
      </c>
      <c r="J13075" t="str">
        <f>HYPERLINK("https://www.boe.es/gazeta/dias/1822/02/02/pdfs/GMD-1822-33.pdf#page=6","Abrir facsímil")</f>
        <v>Abrir facsímil</v>
      </c>
      <c r="K13075" t="s">
        <v>22</v>
      </c>
    </row>
    <row r="13076" spans="1:11" ht="42" customHeight="1">
      <c r="A13076" t="s">
        <v>25310</v>
      </c>
      <c r="B13076" t="s">
        <v>25311</v>
      </c>
      <c r="C13076" t="s">
        <v>28</v>
      </c>
      <c r="D13076" t="s">
        <v>29</v>
      </c>
      <c r="E13076" s="6">
        <v>-28315</v>
      </c>
      <c r="F13076" t="s">
        <v>1220</v>
      </c>
      <c r="G13076" t="s">
        <v>63</v>
      </c>
      <c r="H13076" t="s">
        <v>20</v>
      </c>
      <c r="I13076" t="s">
        <v>25312</v>
      </c>
      <c r="J13076" t="str">
        <f>HYPERLINK("https://www.boe.es/gazeta/dias/1822/06/22/pdfs/GMD-1822-180.pdf#page=6","Abrir facsímil")</f>
        <v>Abrir facsímil</v>
      </c>
      <c r="K13076" t="s">
        <v>22</v>
      </c>
    </row>
    <row r="13077" spans="1:11" ht="42" customHeight="1">
      <c r="A13077" t="s">
        <v>25313</v>
      </c>
      <c r="B13077" t="s">
        <v>25314</v>
      </c>
      <c r="C13077" t="s">
        <v>24</v>
      </c>
      <c r="D13077" t="s">
        <v>17</v>
      </c>
      <c r="E13077" s="6">
        <v>-28150</v>
      </c>
      <c r="F13077" t="s">
        <v>62</v>
      </c>
      <c r="G13077" t="s">
        <v>63</v>
      </c>
      <c r="H13077" t="s">
        <v>20</v>
      </c>
      <c r="I13077" t="s">
        <v>25315</v>
      </c>
      <c r="J13077" t="str">
        <f>HYPERLINK("https://www.boe.es/gazeta/dias/1822/12/04/pdfs/GMD-1822-354.pdf#page=6","Abrir facsímil")</f>
        <v>Abrir facsímil</v>
      </c>
      <c r="K13077" t="s">
        <v>22</v>
      </c>
    </row>
    <row r="13078" spans="1:11" ht="42" customHeight="1">
      <c r="A13078" t="s">
        <v>25316</v>
      </c>
      <c r="B13078" t="s">
        <v>25317</v>
      </c>
      <c r="C13078" t="s">
        <v>16</v>
      </c>
      <c r="D13078" t="s">
        <v>17</v>
      </c>
      <c r="E13078" s="6">
        <v>-28361</v>
      </c>
      <c r="F13078" t="s">
        <v>374</v>
      </c>
      <c r="G13078" t="s">
        <v>63</v>
      </c>
      <c r="H13078" t="s">
        <v>20</v>
      </c>
      <c r="I13078" t="s">
        <v>25318</v>
      </c>
      <c r="J13078" t="str">
        <f>HYPERLINK("https://www.boe.es/gazeta/dias/1822/05/07/pdfs/GMD-1822-129.pdf#page=6","Abrir facsímil")</f>
        <v>Abrir facsímil</v>
      </c>
      <c r="K13078" t="s">
        <v>22</v>
      </c>
    </row>
    <row r="13079" spans="1:11" ht="42" customHeight="1">
      <c r="A13079" t="s">
        <v>25319</v>
      </c>
      <c r="B13079" t="s">
        <v>25320</v>
      </c>
      <c r="C13079" t="s">
        <v>50</v>
      </c>
      <c r="D13079" t="s">
        <v>51</v>
      </c>
      <c r="E13079" s="6">
        <v>-28228</v>
      </c>
      <c r="F13079" t="s">
        <v>718</v>
      </c>
      <c r="G13079" t="s">
        <v>719</v>
      </c>
      <c r="H13079" t="s">
        <v>20</v>
      </c>
      <c r="I13079" t="s">
        <v>25321</v>
      </c>
      <c r="J13079" t="str">
        <f>HYPERLINK("https://www.boe.es/gazeta/dias/1822/09/17/pdfs/GMD-1822-273.pdf#page=3","Abrir facsímil")</f>
        <v>Abrir facsímil</v>
      </c>
      <c r="K13079" t="s">
        <v>22</v>
      </c>
    </row>
    <row r="13080" spans="1:11" ht="42" customHeight="1">
      <c r="A13080" t="s">
        <v>25322</v>
      </c>
      <c r="B13080" t="s">
        <v>25323</v>
      </c>
      <c r="C13080" t="s">
        <v>42</v>
      </c>
      <c r="D13080" t="s">
        <v>17</v>
      </c>
      <c r="E13080" s="6">
        <v>-28323</v>
      </c>
      <c r="F13080" t="s">
        <v>116</v>
      </c>
      <c r="G13080" t="s">
        <v>35</v>
      </c>
      <c r="H13080" t="s">
        <v>20</v>
      </c>
      <c r="I13080" t="s">
        <v>25324</v>
      </c>
      <c r="J13080" t="str">
        <f>HYPERLINK("https://www.boe.es/gazeta/dias/1822/06/14/pdfs/GMD-1822-171.pdf#page=2","Abrir facsímil")</f>
        <v>Abrir facsímil</v>
      </c>
      <c r="K13080" t="s">
        <v>22</v>
      </c>
    </row>
    <row r="13081" spans="1:11" ht="42" customHeight="1">
      <c r="A13081" t="s">
        <v>25325</v>
      </c>
      <c r="B13081" t="s">
        <v>25325</v>
      </c>
      <c r="C13081" t="s">
        <v>42</v>
      </c>
      <c r="D13081" t="s">
        <v>17</v>
      </c>
      <c r="E13081" s="6">
        <v>-28468</v>
      </c>
      <c r="F13081" t="s">
        <v>1012</v>
      </c>
      <c r="G13081" t="s">
        <v>19</v>
      </c>
      <c r="H13081" t="s">
        <v>20</v>
      </c>
      <c r="I13081" t="s">
        <v>25326</v>
      </c>
      <c r="J13081" t="str">
        <f>HYPERLINK("https://www.boe.es/gazeta/dias/1822/01/20/pdfs/GMD-1822-20.pdf#page=5","Abrir facsímil")</f>
        <v>Abrir facsímil</v>
      </c>
      <c r="K13081" t="s">
        <v>22</v>
      </c>
    </row>
    <row r="13082" spans="1:11" ht="42" customHeight="1">
      <c r="A13082" t="s">
        <v>25327</v>
      </c>
      <c r="B13082" t="s">
        <v>25327</v>
      </c>
      <c r="C13082" t="s">
        <v>28</v>
      </c>
      <c r="D13082" t="s">
        <v>29</v>
      </c>
      <c r="E13082" s="6">
        <v>-28369</v>
      </c>
      <c r="F13082" t="s">
        <v>1590</v>
      </c>
      <c r="G13082" t="s">
        <v>19</v>
      </c>
      <c r="H13082" t="s">
        <v>20</v>
      </c>
      <c r="I13082" t="s">
        <v>25328</v>
      </c>
      <c r="J13082" t="str">
        <f>HYPERLINK("https://www.boe.es/gazeta/dias/1822/04/29/pdfs/GMD-1822-121.pdf#page=5","Abrir facsímil")</f>
        <v>Abrir facsímil</v>
      </c>
      <c r="K13082" t="s">
        <v>22</v>
      </c>
    </row>
    <row r="13083" spans="1:11" ht="42" customHeight="1">
      <c r="A13083" t="s">
        <v>25329</v>
      </c>
      <c r="B13083" t="s">
        <v>25330</v>
      </c>
      <c r="C13083" t="s">
        <v>42</v>
      </c>
      <c r="D13083" t="s">
        <v>17</v>
      </c>
      <c r="E13083" s="6">
        <v>-28436</v>
      </c>
      <c r="F13083" t="s">
        <v>431</v>
      </c>
      <c r="G13083" t="s">
        <v>1428</v>
      </c>
      <c r="H13083" t="s">
        <v>20</v>
      </c>
      <c r="I13083" t="s">
        <v>25331</v>
      </c>
      <c r="J13083" t="str">
        <f>HYPERLINK("https://www.boe.es/gazeta/dias/1822/02/21/pdfs/GMD-1822-53.pdf#page=3","Abrir facsímil")</f>
        <v>Abrir facsímil</v>
      </c>
      <c r="K13083" t="s">
        <v>22</v>
      </c>
    </row>
    <row r="13084" spans="1:11" ht="42" customHeight="1">
      <c r="A13084" t="s">
        <v>25332</v>
      </c>
      <c r="B13084" t="s">
        <v>25332</v>
      </c>
      <c r="C13084" t="s">
        <v>42</v>
      </c>
      <c r="D13084" t="s">
        <v>17</v>
      </c>
      <c r="E13084" s="6">
        <v>-28214</v>
      </c>
      <c r="F13084" t="s">
        <v>814</v>
      </c>
      <c r="G13084" t="s">
        <v>57</v>
      </c>
      <c r="H13084" t="s">
        <v>20</v>
      </c>
      <c r="I13084" t="s">
        <v>25333</v>
      </c>
      <c r="J13084" t="str">
        <f>HYPERLINK("https://www.boe.es/gazeta/dias/1822/10/01/pdfs/GMD-1822-287.pdf#page=4","Abrir facsímil")</f>
        <v>Abrir facsímil</v>
      </c>
      <c r="K13084" t="s">
        <v>22</v>
      </c>
    </row>
    <row r="13085" spans="1:11" ht="42" customHeight="1">
      <c r="A13085" t="s">
        <v>25334</v>
      </c>
      <c r="B13085" t="s">
        <v>25334</v>
      </c>
      <c r="C13085" t="s">
        <v>71</v>
      </c>
      <c r="D13085" t="s">
        <v>17</v>
      </c>
      <c r="E13085" s="6">
        <v>-28483</v>
      </c>
      <c r="F13085" t="s">
        <v>254</v>
      </c>
      <c r="G13085" t="s">
        <v>57</v>
      </c>
      <c r="H13085" t="s">
        <v>20</v>
      </c>
      <c r="I13085" t="s">
        <v>25335</v>
      </c>
      <c r="J13085" t="str">
        <f>HYPERLINK("https://www.boe.es/gazeta/dias/1822/01/05/pdfs/GMD-1822-5.pdf#page=4","Abrir facsímil")</f>
        <v>Abrir facsímil</v>
      </c>
      <c r="K13085" t="s">
        <v>22</v>
      </c>
    </row>
    <row r="13086" spans="1:11" ht="42" customHeight="1">
      <c r="A13086" t="s">
        <v>25336</v>
      </c>
      <c r="B13086" t="s">
        <v>25337</v>
      </c>
      <c r="C13086" t="s">
        <v>50</v>
      </c>
      <c r="D13086" t="s">
        <v>51</v>
      </c>
      <c r="E13086" s="6">
        <v>-28365</v>
      </c>
      <c r="F13086" t="s">
        <v>506</v>
      </c>
      <c r="G13086" t="s">
        <v>2093</v>
      </c>
      <c r="H13086" t="s">
        <v>20</v>
      </c>
      <c r="I13086" t="s">
        <v>25338</v>
      </c>
      <c r="J13086" t="str">
        <f>HYPERLINK("https://www.boe.es/gazeta/dias/1822/05/03/pdfs/GMD-1822-125.pdf#page=6","Abrir facsímil")</f>
        <v>Abrir facsímil</v>
      </c>
      <c r="K13086" t="s">
        <v>22</v>
      </c>
    </row>
    <row r="13087" spans="1:11" ht="42" customHeight="1">
      <c r="A13087" t="s">
        <v>25339</v>
      </c>
      <c r="B13087" t="s">
        <v>25340</v>
      </c>
      <c r="C13087" t="s">
        <v>16</v>
      </c>
      <c r="D13087" t="s">
        <v>17</v>
      </c>
      <c r="E13087" s="6">
        <v>-28280</v>
      </c>
      <c r="F13087" t="s">
        <v>56</v>
      </c>
      <c r="G13087" t="s">
        <v>57</v>
      </c>
      <c r="H13087" t="s">
        <v>20</v>
      </c>
      <c r="I13087" t="s">
        <v>25341</v>
      </c>
      <c r="J13087" t="str">
        <f>HYPERLINK("https://www.boe.es/gazeta/dias/1822/07/27/pdfs/GMD-1822-220.pdf#page=4","Abrir facsímil")</f>
        <v>Abrir facsímil</v>
      </c>
      <c r="K13087" t="s">
        <v>22</v>
      </c>
    </row>
    <row r="13088" spans="1:11" ht="42" customHeight="1">
      <c r="A13088" t="s">
        <v>25342</v>
      </c>
      <c r="B13088" t="s">
        <v>25343</v>
      </c>
      <c r="C13088" t="s">
        <v>50</v>
      </c>
      <c r="D13088" t="s">
        <v>51</v>
      </c>
      <c r="E13088" s="6">
        <v>-28417</v>
      </c>
      <c r="F13088" t="s">
        <v>1394</v>
      </c>
      <c r="G13088" t="s">
        <v>31</v>
      </c>
      <c r="H13088" t="s">
        <v>20</v>
      </c>
      <c r="I13088" t="s">
        <v>25344</v>
      </c>
      <c r="J13088" t="str">
        <f>HYPERLINK("https://www.boe.es/gazeta/dias/1822/03/12/pdfs/GMD-1822-73.pdf#page=3","Abrir facsímil")</f>
        <v>Abrir facsímil</v>
      </c>
      <c r="K13088" t="s">
        <v>22</v>
      </c>
    </row>
    <row r="13089" spans="1:11" ht="42" customHeight="1">
      <c r="A13089" t="s">
        <v>25345</v>
      </c>
      <c r="B13089" t="s">
        <v>25346</v>
      </c>
      <c r="C13089" t="s">
        <v>28</v>
      </c>
      <c r="D13089" t="s">
        <v>29</v>
      </c>
      <c r="E13089" s="6">
        <v>-28137</v>
      </c>
      <c r="F13089" t="s">
        <v>312</v>
      </c>
      <c r="G13089" t="s">
        <v>63</v>
      </c>
      <c r="H13089" t="s">
        <v>20</v>
      </c>
      <c r="I13089" t="s">
        <v>25347</v>
      </c>
      <c r="J13089" t="str">
        <f>HYPERLINK("https://www.boe.es/gazeta/dias/1822/12/17/pdfs/GMD-1822-367.pdf#page=6","Abrir facsímil")</f>
        <v>Abrir facsímil</v>
      </c>
      <c r="K13089" t="s">
        <v>22</v>
      </c>
    </row>
    <row r="13090" spans="1:11" ht="42" customHeight="1">
      <c r="A13090" t="s">
        <v>25348</v>
      </c>
      <c r="B13090" t="s">
        <v>25348</v>
      </c>
      <c r="C13090" t="s">
        <v>50</v>
      </c>
      <c r="D13090" t="s">
        <v>51</v>
      </c>
      <c r="E13090" s="6">
        <v>-28309</v>
      </c>
      <c r="F13090" t="s">
        <v>553</v>
      </c>
      <c r="G13090" t="s">
        <v>44</v>
      </c>
      <c r="H13090" t="s">
        <v>20</v>
      </c>
      <c r="I13090" t="s">
        <v>25349</v>
      </c>
      <c r="J13090" t="str">
        <f>HYPERLINK("https://www.boe.es/gazeta/dias/1822/06/28/pdfs/GMD-1822-186.pdf#page=1","Abrir facsímil")</f>
        <v>Abrir facsímil</v>
      </c>
      <c r="K13090" t="s">
        <v>22</v>
      </c>
    </row>
    <row r="13091" spans="1:11" ht="42" customHeight="1">
      <c r="A13091" t="s">
        <v>25350</v>
      </c>
      <c r="B13091" t="s">
        <v>25351</v>
      </c>
      <c r="C13091" t="s">
        <v>50</v>
      </c>
      <c r="D13091" t="s">
        <v>51</v>
      </c>
      <c r="E13091" s="6">
        <v>-28264</v>
      </c>
      <c r="F13091" t="s">
        <v>1329</v>
      </c>
      <c r="G13091" t="s">
        <v>57</v>
      </c>
      <c r="H13091" t="s">
        <v>20</v>
      </c>
      <c r="I13091" t="s">
        <v>25352</v>
      </c>
      <c r="J13091" t="str">
        <f>HYPERLINK("https://www.boe.es/gazeta/dias/1822/08/12/pdfs/GMD-1822-236.pdf#page=4","Abrir facsímil")</f>
        <v>Abrir facsímil</v>
      </c>
      <c r="K13091" t="s">
        <v>22</v>
      </c>
    </row>
    <row r="13092" spans="1:11" ht="42" customHeight="1">
      <c r="A13092" t="s">
        <v>25353</v>
      </c>
      <c r="B13092" t="s">
        <v>25354</v>
      </c>
      <c r="C13092" t="s">
        <v>50</v>
      </c>
      <c r="D13092" t="s">
        <v>51</v>
      </c>
      <c r="E13092" s="6">
        <v>-28190</v>
      </c>
      <c r="F13092" t="s">
        <v>576</v>
      </c>
      <c r="G13092" t="s">
        <v>63</v>
      </c>
      <c r="H13092" t="s">
        <v>20</v>
      </c>
      <c r="I13092" t="s">
        <v>25355</v>
      </c>
      <c r="J13092" t="str">
        <f>HYPERLINK("https://www.boe.es/gazeta/dias/1822/10/25/pdfs/GMD-1822-312.pdf#page=6","Abrir facsímil")</f>
        <v>Abrir facsímil</v>
      </c>
      <c r="K13092" t="s">
        <v>22</v>
      </c>
    </row>
    <row r="13093" spans="1:11" ht="42" customHeight="1">
      <c r="A13093" t="s">
        <v>25356</v>
      </c>
      <c r="B13093" t="s">
        <v>25357</v>
      </c>
      <c r="C13093" t="s">
        <v>28</v>
      </c>
      <c r="D13093" t="s">
        <v>29</v>
      </c>
      <c r="E13093" s="6">
        <v>-28329</v>
      </c>
      <c r="F13093" t="s">
        <v>354</v>
      </c>
      <c r="G13093" t="s">
        <v>44</v>
      </c>
      <c r="H13093" t="s">
        <v>20</v>
      </c>
      <c r="I13093" t="s">
        <v>25358</v>
      </c>
      <c r="J13093" t="str">
        <f>HYPERLINK("https://www.boe.es/gazeta/dias/1822/06/08/pdfs/GMD-1822-165.pdf#page=1","Abrir facsímil")</f>
        <v>Abrir facsímil</v>
      </c>
      <c r="K13093" t="s">
        <v>22</v>
      </c>
    </row>
    <row r="13094" spans="1:11" ht="42" customHeight="1">
      <c r="A13094" t="s">
        <v>25359</v>
      </c>
      <c r="B13094" t="s">
        <v>25359</v>
      </c>
      <c r="C13094" t="s">
        <v>28</v>
      </c>
      <c r="D13094" t="s">
        <v>29</v>
      </c>
      <c r="E13094" s="6">
        <v>-28309</v>
      </c>
      <c r="F13094" t="s">
        <v>553</v>
      </c>
      <c r="G13094" t="s">
        <v>57</v>
      </c>
      <c r="H13094" t="s">
        <v>20</v>
      </c>
      <c r="I13094" t="s">
        <v>25360</v>
      </c>
      <c r="J13094" t="str">
        <f>HYPERLINK("https://www.boe.es/gazeta/dias/1822/06/28/pdfs/GMD-1822-186.pdf#page=4","Abrir facsímil")</f>
        <v>Abrir facsímil</v>
      </c>
      <c r="K13094" t="s">
        <v>22</v>
      </c>
    </row>
    <row r="13095" spans="1:11" ht="42" customHeight="1">
      <c r="A13095" t="s">
        <v>25361</v>
      </c>
      <c r="B13095" t="s">
        <v>25361</v>
      </c>
      <c r="C13095" t="s">
        <v>50</v>
      </c>
      <c r="D13095" t="s">
        <v>51</v>
      </c>
      <c r="E13095" s="6">
        <v>-28385</v>
      </c>
      <c r="F13095" t="s">
        <v>484</v>
      </c>
      <c r="G13095" t="s">
        <v>35</v>
      </c>
      <c r="H13095" t="s">
        <v>20</v>
      </c>
      <c r="I13095" t="s">
        <v>25362</v>
      </c>
      <c r="J13095" t="str">
        <f>HYPERLINK("https://www.boe.es/gazeta/dias/1822/04/13/pdfs/GMD-1822-105.pdf#page=2","Abrir facsímil")</f>
        <v>Abrir facsímil</v>
      </c>
      <c r="K13095" t="s">
        <v>22</v>
      </c>
    </row>
    <row r="13096" spans="1:11" ht="42" customHeight="1">
      <c r="A13096" t="s">
        <v>25363</v>
      </c>
      <c r="B13096" t="s">
        <v>25363</v>
      </c>
      <c r="C13096" t="s">
        <v>28</v>
      </c>
      <c r="D13096" t="s">
        <v>29</v>
      </c>
      <c r="E13096" s="6">
        <v>-28387</v>
      </c>
      <c r="F13096" t="s">
        <v>2874</v>
      </c>
      <c r="G13096" t="s">
        <v>57</v>
      </c>
      <c r="H13096" t="s">
        <v>20</v>
      </c>
      <c r="I13096" t="s">
        <v>25364</v>
      </c>
      <c r="J13096" t="str">
        <f>HYPERLINK("https://www.boe.es/gazeta/dias/1822/04/11/pdfs/GMD-1822-103.pdf#page=4","Abrir facsímil")</f>
        <v>Abrir facsímil</v>
      </c>
      <c r="K13096" t="s">
        <v>22</v>
      </c>
    </row>
    <row r="13097" spans="1:11" ht="42" customHeight="1">
      <c r="A13097" t="s">
        <v>25363</v>
      </c>
      <c r="B13097" t="s">
        <v>25363</v>
      </c>
      <c r="C13097" t="s">
        <v>28</v>
      </c>
      <c r="D13097" t="s">
        <v>29</v>
      </c>
      <c r="E13097" s="6">
        <v>-28366</v>
      </c>
      <c r="F13097" t="s">
        <v>120</v>
      </c>
      <c r="G13097" t="s">
        <v>35</v>
      </c>
      <c r="H13097" t="s">
        <v>20</v>
      </c>
      <c r="I13097" t="s">
        <v>25365</v>
      </c>
      <c r="J13097" t="str">
        <f>HYPERLINK("https://www.boe.es/gazeta/dias/1822/05/02/pdfs/GMD-1822-124.pdf#page=2","Abrir facsímil")</f>
        <v>Abrir facsímil</v>
      </c>
      <c r="K13097" t="s">
        <v>22</v>
      </c>
    </row>
    <row r="13098" spans="1:11" ht="42" customHeight="1">
      <c r="A13098" t="s">
        <v>25363</v>
      </c>
      <c r="B13098" t="s">
        <v>25363</v>
      </c>
      <c r="C13098" t="s">
        <v>42</v>
      </c>
      <c r="D13098" t="s">
        <v>17</v>
      </c>
      <c r="E13098" s="6">
        <v>-28363</v>
      </c>
      <c r="F13098" t="s">
        <v>72</v>
      </c>
      <c r="G13098" t="s">
        <v>35</v>
      </c>
      <c r="H13098" t="s">
        <v>20</v>
      </c>
      <c r="I13098" t="s">
        <v>25366</v>
      </c>
      <c r="J13098" t="str">
        <f>HYPERLINK("https://www.boe.es/gazeta/dias/1822/05/05/pdfs/GMD-1822-127.pdf#page=2","Abrir facsímil")</f>
        <v>Abrir facsímil</v>
      </c>
      <c r="K13098" t="s">
        <v>22</v>
      </c>
    </row>
    <row r="13099" spans="1:11" ht="42" customHeight="1">
      <c r="A13099" t="s">
        <v>25363</v>
      </c>
      <c r="B13099" t="s">
        <v>25363</v>
      </c>
      <c r="C13099" t="s">
        <v>42</v>
      </c>
      <c r="D13099" t="s">
        <v>17</v>
      </c>
      <c r="E13099" s="6">
        <v>-28337</v>
      </c>
      <c r="F13099" t="s">
        <v>1836</v>
      </c>
      <c r="G13099" t="s">
        <v>44</v>
      </c>
      <c r="H13099" t="s">
        <v>20</v>
      </c>
      <c r="I13099" t="s">
        <v>25367</v>
      </c>
      <c r="J13099" t="str">
        <f>HYPERLINK("https://www.boe.es/gazeta/dias/1822/05/31/pdfs/GMD-1822-156.pdf#page=1","Abrir facsímil")</f>
        <v>Abrir facsímil</v>
      </c>
      <c r="K13099" t="s">
        <v>22</v>
      </c>
    </row>
    <row r="13100" spans="1:11" ht="42" customHeight="1">
      <c r="A13100" t="s">
        <v>25363</v>
      </c>
      <c r="B13100" t="s">
        <v>25363</v>
      </c>
      <c r="C13100" t="s">
        <v>50</v>
      </c>
      <c r="D13100" t="s">
        <v>51</v>
      </c>
      <c r="E13100" s="6">
        <v>-28163</v>
      </c>
      <c r="F13100" t="s">
        <v>891</v>
      </c>
      <c r="G13100" t="s">
        <v>57</v>
      </c>
      <c r="H13100" t="s">
        <v>20</v>
      </c>
      <c r="I13100" t="s">
        <v>25368</v>
      </c>
      <c r="J13100" t="str">
        <f>HYPERLINK("https://www.boe.es/gazeta/dias/1822/11/21/pdfs/GMD-1822-341.pdf#page=4","Abrir facsímil")</f>
        <v>Abrir facsímil</v>
      </c>
      <c r="K13100" t="s">
        <v>22</v>
      </c>
    </row>
    <row r="13101" spans="1:11" ht="42" customHeight="1">
      <c r="A13101" t="s">
        <v>25369</v>
      </c>
      <c r="B13101" t="s">
        <v>25370</v>
      </c>
      <c r="C13101" t="s">
        <v>42</v>
      </c>
      <c r="D13101" t="s">
        <v>17</v>
      </c>
      <c r="E13101" s="6">
        <v>-28352</v>
      </c>
      <c r="F13101" t="s">
        <v>1575</v>
      </c>
      <c r="G13101" t="s">
        <v>63</v>
      </c>
      <c r="H13101" t="s">
        <v>20</v>
      </c>
      <c r="I13101" t="s">
        <v>25371</v>
      </c>
      <c r="J13101" t="str">
        <f>HYPERLINK("https://www.boe.es/gazeta/dias/1822/05/16/pdfs/GMD-1822-138.pdf#page=6","Abrir facsímil")</f>
        <v>Abrir facsímil</v>
      </c>
      <c r="K13101" t="s">
        <v>22</v>
      </c>
    </row>
    <row r="13102" spans="1:11" ht="42" customHeight="1">
      <c r="A13102" t="s">
        <v>25372</v>
      </c>
      <c r="B13102" t="s">
        <v>25372</v>
      </c>
      <c r="C13102" t="s">
        <v>50</v>
      </c>
      <c r="D13102" t="s">
        <v>51</v>
      </c>
      <c r="E13102" s="6">
        <v>-28287</v>
      </c>
      <c r="F13102" t="s">
        <v>1295</v>
      </c>
      <c r="G13102" t="s">
        <v>44</v>
      </c>
      <c r="H13102" t="s">
        <v>20</v>
      </c>
      <c r="I13102" t="s">
        <v>25373</v>
      </c>
      <c r="J13102" t="str">
        <f>HYPERLINK("https://www.boe.es/gazeta/dias/1822/07/20/pdfs/GMD-1822-212.pdf#page=1","Abrir facsímil")</f>
        <v>Abrir facsímil</v>
      </c>
      <c r="K13102" t="s">
        <v>22</v>
      </c>
    </row>
    <row r="13103" spans="1:11" ht="42" customHeight="1">
      <c r="A13103" t="s">
        <v>25374</v>
      </c>
      <c r="B13103" t="s">
        <v>25375</v>
      </c>
      <c r="C13103" t="s">
        <v>50</v>
      </c>
      <c r="D13103" t="s">
        <v>51</v>
      </c>
      <c r="E13103" s="6">
        <v>-28223</v>
      </c>
      <c r="F13103" t="s">
        <v>2374</v>
      </c>
      <c r="G13103" t="s">
        <v>31</v>
      </c>
      <c r="H13103" t="s">
        <v>20</v>
      </c>
      <c r="I13103" t="s">
        <v>25376</v>
      </c>
      <c r="J13103" t="str">
        <f>HYPERLINK("https://www.boe.es/gazeta/dias/1822/09/22/pdfs/GMD-1822-278.pdf#page=3","Abrir facsímil")</f>
        <v>Abrir facsímil</v>
      </c>
      <c r="K13103" t="s">
        <v>22</v>
      </c>
    </row>
    <row r="13104" spans="1:11" ht="42" customHeight="1">
      <c r="A13104" t="s">
        <v>25377</v>
      </c>
      <c r="B13104" t="s">
        <v>25378</v>
      </c>
      <c r="C13104" t="s">
        <v>71</v>
      </c>
      <c r="D13104" t="s">
        <v>17</v>
      </c>
      <c r="E13104" s="6">
        <v>-28154</v>
      </c>
      <c r="F13104" t="s">
        <v>2321</v>
      </c>
      <c r="G13104" t="s">
        <v>31</v>
      </c>
      <c r="H13104" t="s">
        <v>20</v>
      </c>
      <c r="I13104" t="s">
        <v>25379</v>
      </c>
      <c r="J13104" t="str">
        <f>HYPERLINK("https://www.boe.es/gazeta/dias/1822/11/30/pdfs/GMD-1822-350.pdf#page=3","Abrir facsímil")</f>
        <v>Abrir facsímil</v>
      </c>
      <c r="K13104" t="s">
        <v>22</v>
      </c>
    </row>
    <row r="13105" spans="1:11" ht="42" customHeight="1">
      <c r="A13105" t="s">
        <v>25380</v>
      </c>
      <c r="B13105" t="s">
        <v>25380</v>
      </c>
      <c r="C13105" t="s">
        <v>28</v>
      </c>
      <c r="D13105" t="s">
        <v>29</v>
      </c>
      <c r="E13105" s="6">
        <v>-28423</v>
      </c>
      <c r="F13105" t="s">
        <v>441</v>
      </c>
      <c r="G13105" t="s">
        <v>44</v>
      </c>
      <c r="H13105" t="s">
        <v>20</v>
      </c>
      <c r="I13105" t="s">
        <v>25381</v>
      </c>
      <c r="J13105" t="str">
        <f>HYPERLINK("https://www.boe.es/gazeta/dias/1822/03/06/pdfs/GMD-1822-67.pdf#page=1","Abrir facsímil")</f>
        <v>Abrir facsímil</v>
      </c>
      <c r="K13105" t="s">
        <v>22</v>
      </c>
    </row>
    <row r="13106" spans="1:11" ht="42" customHeight="1">
      <c r="A13106" t="s">
        <v>25382</v>
      </c>
      <c r="B13106" t="s">
        <v>25383</v>
      </c>
      <c r="C13106" t="s">
        <v>50</v>
      </c>
      <c r="D13106" t="s">
        <v>51</v>
      </c>
      <c r="E13106" s="6">
        <v>-28168</v>
      </c>
      <c r="F13106" t="s">
        <v>3672</v>
      </c>
      <c r="G13106" t="s">
        <v>57</v>
      </c>
      <c r="H13106" t="s">
        <v>20</v>
      </c>
      <c r="I13106" t="s">
        <v>25384</v>
      </c>
      <c r="J13106" t="str">
        <f>HYPERLINK("https://www.boe.es/gazeta/dias/1822/11/16/pdfs/GMD-1822-336.pdf#page=4","Abrir facsímil")</f>
        <v>Abrir facsímil</v>
      </c>
      <c r="K13106" t="s">
        <v>22</v>
      </c>
    </row>
    <row r="13107" spans="1:11" ht="42" customHeight="1">
      <c r="A13107" t="s">
        <v>25385</v>
      </c>
      <c r="B13107" t="s">
        <v>25386</v>
      </c>
      <c r="C13107" t="s">
        <v>16</v>
      </c>
      <c r="D13107" t="s">
        <v>17</v>
      </c>
      <c r="E13107" s="6">
        <v>-28318</v>
      </c>
      <c r="F13107" t="s">
        <v>397</v>
      </c>
      <c r="G13107" t="s">
        <v>157</v>
      </c>
      <c r="H13107" t="s">
        <v>20</v>
      </c>
      <c r="I13107" t="s">
        <v>25387</v>
      </c>
      <c r="J13107" t="str">
        <f>HYPERLINK("https://www.boe.es/gazeta/dias/1822/06/19/pdfs/GMD-1822-176.pdf#page=8","Abrir facsímil")</f>
        <v>Abrir facsímil</v>
      </c>
      <c r="K13107" t="s">
        <v>22</v>
      </c>
    </row>
    <row r="13108" spans="1:11" ht="42" customHeight="1">
      <c r="A13108" t="s">
        <v>25388</v>
      </c>
      <c r="B13108" t="s">
        <v>25389</v>
      </c>
      <c r="C13108" t="s">
        <v>24</v>
      </c>
      <c r="D13108" t="s">
        <v>17</v>
      </c>
      <c r="E13108" s="6">
        <v>-28330</v>
      </c>
      <c r="F13108" t="s">
        <v>896</v>
      </c>
      <c r="G13108" t="s">
        <v>57</v>
      </c>
      <c r="H13108" t="s">
        <v>20</v>
      </c>
      <c r="I13108" t="s">
        <v>25390</v>
      </c>
      <c r="J13108" t="str">
        <f>HYPERLINK("https://www.boe.es/gazeta/dias/1822/06/07/pdfs/GMD-1822-164.pdf#page=4","Abrir facsímil")</f>
        <v>Abrir facsímil</v>
      </c>
      <c r="K13108" t="s">
        <v>22</v>
      </c>
    </row>
    <row r="13109" spans="1:11" ht="42" customHeight="1">
      <c r="A13109" t="s">
        <v>25391</v>
      </c>
      <c r="B13109" t="s">
        <v>25392</v>
      </c>
      <c r="C13109" t="s">
        <v>42</v>
      </c>
      <c r="D13109" t="s">
        <v>17</v>
      </c>
      <c r="E13109" s="6">
        <v>-28248</v>
      </c>
      <c r="F13109" t="s">
        <v>4807</v>
      </c>
      <c r="G13109" t="s">
        <v>44</v>
      </c>
      <c r="H13109" t="s">
        <v>20</v>
      </c>
      <c r="I13109" t="s">
        <v>25393</v>
      </c>
      <c r="J13109" t="str">
        <f>HYPERLINK("https://www.boe.es/gazeta/dias/1822/08/28/pdfs/GMD-1822-252.pdf#page=1","Abrir facsímil")</f>
        <v>Abrir facsímil</v>
      </c>
      <c r="K13109" t="s">
        <v>22</v>
      </c>
    </row>
    <row r="13110" spans="1:11" ht="42" customHeight="1">
      <c r="A13110" t="s">
        <v>25394</v>
      </c>
      <c r="B13110" t="s">
        <v>25395</v>
      </c>
      <c r="C13110" t="s">
        <v>71</v>
      </c>
      <c r="D13110" t="s">
        <v>17</v>
      </c>
      <c r="E13110" s="6">
        <v>-28132</v>
      </c>
      <c r="F13110" t="s">
        <v>820</v>
      </c>
      <c r="G13110" t="s">
        <v>821</v>
      </c>
      <c r="H13110" t="s">
        <v>20</v>
      </c>
      <c r="I13110" t="s">
        <v>25396</v>
      </c>
      <c r="J13110" t="str">
        <f>HYPERLINK("https://www.boe.es/gazeta/dias/1822/12/22/pdfs/GMD-1822-372.pdf#page=4","Abrir facsímil")</f>
        <v>Abrir facsímil</v>
      </c>
      <c r="K13110" t="s">
        <v>22</v>
      </c>
    </row>
    <row r="13111" spans="1:11" ht="42" customHeight="1">
      <c r="A13111" t="s">
        <v>25397</v>
      </c>
      <c r="B13111" t="s">
        <v>25398</v>
      </c>
      <c r="C13111" t="s">
        <v>50</v>
      </c>
      <c r="D13111" t="s">
        <v>51</v>
      </c>
      <c r="E13111" s="6">
        <v>-28423</v>
      </c>
      <c r="F13111" t="s">
        <v>441</v>
      </c>
      <c r="G13111" t="s">
        <v>31</v>
      </c>
      <c r="H13111" t="s">
        <v>20</v>
      </c>
      <c r="I13111" t="s">
        <v>25399</v>
      </c>
      <c r="J13111" t="str">
        <f>HYPERLINK("https://www.boe.es/gazeta/dias/1822/03/06/pdfs/GMD-1822-67.pdf#page=3","Abrir facsímil")</f>
        <v>Abrir facsímil</v>
      </c>
      <c r="K13111" t="s">
        <v>22</v>
      </c>
    </row>
    <row r="13112" spans="1:11" ht="42" customHeight="1">
      <c r="A13112" t="s">
        <v>25400</v>
      </c>
      <c r="B13112" t="s">
        <v>25401</v>
      </c>
      <c r="C13112" t="s">
        <v>24</v>
      </c>
      <c r="D13112" t="s">
        <v>17</v>
      </c>
      <c r="E13112" s="6">
        <v>-28395</v>
      </c>
      <c r="F13112" t="s">
        <v>237</v>
      </c>
      <c r="G13112" t="s">
        <v>57</v>
      </c>
      <c r="H13112" t="s">
        <v>20</v>
      </c>
      <c r="I13112" t="s">
        <v>25402</v>
      </c>
      <c r="J13112" t="str">
        <f>HYPERLINK("https://www.boe.es/gazeta/dias/1822/04/03/pdfs/GMD-1822-95.pdf#page=4","Abrir facsímil")</f>
        <v>Abrir facsímil</v>
      </c>
      <c r="K13112" t="s">
        <v>22</v>
      </c>
    </row>
    <row r="13113" spans="1:11" ht="42" customHeight="1">
      <c r="A13113" t="s">
        <v>25403</v>
      </c>
      <c r="B13113" t="s">
        <v>25404</v>
      </c>
      <c r="C13113" t="s">
        <v>50</v>
      </c>
      <c r="D13113" t="s">
        <v>51</v>
      </c>
      <c r="E13113" s="6">
        <v>-28249</v>
      </c>
      <c r="F13113" t="s">
        <v>3986</v>
      </c>
      <c r="G13113" t="s">
        <v>35</v>
      </c>
      <c r="H13113" t="s">
        <v>45</v>
      </c>
      <c r="I13113" t="s">
        <v>25405</v>
      </c>
      <c r="J13113" t="str">
        <f>HYPERLINK("https://www.boe.es/gazeta/dias/1822/08/27/pdfs/GMD-1822-251.pdf#page=2","Abrir facsímil")</f>
        <v>Abrir facsímil</v>
      </c>
      <c r="K13113" t="s">
        <v>47</v>
      </c>
    </row>
    <row r="13114" spans="1:11" ht="42" customHeight="1">
      <c r="A13114" t="s">
        <v>25406</v>
      </c>
      <c r="B13114" t="s">
        <v>25407</v>
      </c>
      <c r="C13114" t="s">
        <v>16</v>
      </c>
      <c r="D13114" t="s">
        <v>17</v>
      </c>
      <c r="E13114" s="6">
        <v>-28390</v>
      </c>
      <c r="F13114" t="s">
        <v>665</v>
      </c>
      <c r="G13114" t="s">
        <v>57</v>
      </c>
      <c r="H13114" t="s">
        <v>20</v>
      </c>
      <c r="I13114" t="s">
        <v>25408</v>
      </c>
      <c r="J13114" t="str">
        <f>HYPERLINK("https://www.boe.es/gazeta/dias/1822/04/08/pdfs/GMD-1822-100.pdf#page=4","Abrir facsímil")</f>
        <v>Abrir facsímil</v>
      </c>
      <c r="K13114" t="s">
        <v>22</v>
      </c>
    </row>
    <row r="13115" spans="1:11" ht="42" customHeight="1">
      <c r="A13115" t="s">
        <v>25409</v>
      </c>
      <c r="B13115" t="s">
        <v>25410</v>
      </c>
      <c r="C13115" t="s">
        <v>42</v>
      </c>
      <c r="D13115" t="s">
        <v>17</v>
      </c>
      <c r="E13115" s="6">
        <v>-28226</v>
      </c>
      <c r="F13115" t="s">
        <v>812</v>
      </c>
      <c r="G13115" t="s">
        <v>57</v>
      </c>
      <c r="H13115" t="s">
        <v>45</v>
      </c>
      <c r="I13115" t="s">
        <v>25411</v>
      </c>
      <c r="J13115" t="str">
        <f>HYPERLINK("https://www.boe.es/gazeta/dias/1822/09/19/pdfs/GMD-1822-275.pdf#page=4","Abrir facsímil")</f>
        <v>Abrir facsímil</v>
      </c>
      <c r="K13115" t="s">
        <v>47</v>
      </c>
    </row>
    <row r="13116" spans="1:11" ht="42" customHeight="1">
      <c r="A13116" t="s">
        <v>25412</v>
      </c>
      <c r="B13116" t="s">
        <v>25413</v>
      </c>
      <c r="C13116" t="s">
        <v>24</v>
      </c>
      <c r="D13116" t="s">
        <v>17</v>
      </c>
      <c r="E13116" s="6">
        <v>-28323</v>
      </c>
      <c r="F13116" t="s">
        <v>116</v>
      </c>
      <c r="G13116" t="s">
        <v>63</v>
      </c>
      <c r="H13116" t="s">
        <v>20</v>
      </c>
      <c r="I13116" t="s">
        <v>25414</v>
      </c>
      <c r="J13116" t="str">
        <f>HYPERLINK("https://www.boe.es/gazeta/dias/1822/06/14/pdfs/GMD-1822-171.pdf#page=6","Abrir facsímil")</f>
        <v>Abrir facsímil</v>
      </c>
      <c r="K13116" t="s">
        <v>22</v>
      </c>
    </row>
    <row r="13117" spans="1:11" ht="42" customHeight="1">
      <c r="A13117" t="s">
        <v>25415</v>
      </c>
      <c r="B13117" t="s">
        <v>25416</v>
      </c>
      <c r="C13117" t="s">
        <v>42</v>
      </c>
      <c r="D13117" t="s">
        <v>17</v>
      </c>
      <c r="E13117" s="6">
        <v>-28271</v>
      </c>
      <c r="F13117" t="s">
        <v>4942</v>
      </c>
      <c r="G13117" t="s">
        <v>57</v>
      </c>
      <c r="H13117" t="s">
        <v>20</v>
      </c>
      <c r="I13117" t="s">
        <v>25417</v>
      </c>
      <c r="J13117" t="str">
        <f>HYPERLINK("https://www.boe.es/gazeta/dias/1822/08/05/pdfs/GMD-1822-229.pdf#page=4","Abrir facsímil")</f>
        <v>Abrir facsímil</v>
      </c>
      <c r="K13117" t="s">
        <v>22</v>
      </c>
    </row>
    <row r="13118" spans="1:11" ht="42" customHeight="1">
      <c r="A13118" t="s">
        <v>25418</v>
      </c>
      <c r="B13118" t="s">
        <v>25419</v>
      </c>
      <c r="C13118" t="s">
        <v>28</v>
      </c>
      <c r="D13118" t="s">
        <v>29</v>
      </c>
      <c r="E13118" s="6">
        <v>-28416</v>
      </c>
      <c r="F13118" t="s">
        <v>97</v>
      </c>
      <c r="G13118" t="s">
        <v>63</v>
      </c>
      <c r="H13118" t="s">
        <v>20</v>
      </c>
      <c r="I13118" t="s">
        <v>25420</v>
      </c>
      <c r="J13118" t="str">
        <f>HYPERLINK("https://www.boe.es/gazeta/dias/1822/03/13/pdfs/GMD-1822-74.pdf#page=6","Abrir facsímil")</f>
        <v>Abrir facsímil</v>
      </c>
      <c r="K13118" t="s">
        <v>22</v>
      </c>
    </row>
    <row r="13119" spans="1:11" ht="42" customHeight="1">
      <c r="A13119" t="s">
        <v>25421</v>
      </c>
      <c r="B13119" t="s">
        <v>25422</v>
      </c>
      <c r="C13119" t="s">
        <v>42</v>
      </c>
      <c r="D13119" t="s">
        <v>17</v>
      </c>
      <c r="E13119" s="6">
        <v>-28357</v>
      </c>
      <c r="F13119" t="s">
        <v>690</v>
      </c>
      <c r="G13119" t="s">
        <v>35</v>
      </c>
      <c r="H13119" t="s">
        <v>20</v>
      </c>
      <c r="I13119" t="s">
        <v>25423</v>
      </c>
      <c r="J13119" t="str">
        <f>HYPERLINK("https://www.boe.es/gazeta/dias/1822/05/11/pdfs/GMD-1822-133.pdf#page=2","Abrir facsímil")</f>
        <v>Abrir facsímil</v>
      </c>
      <c r="K13119" t="s">
        <v>22</v>
      </c>
    </row>
    <row r="13120" spans="1:11" ht="42" customHeight="1">
      <c r="A13120" t="s">
        <v>25424</v>
      </c>
      <c r="B13120" t="s">
        <v>25425</v>
      </c>
      <c r="C13120" t="s">
        <v>50</v>
      </c>
      <c r="D13120" t="s">
        <v>51</v>
      </c>
      <c r="E13120" s="6">
        <v>-28194</v>
      </c>
      <c r="F13120" t="s">
        <v>18</v>
      </c>
      <c r="G13120" t="s">
        <v>63</v>
      </c>
      <c r="H13120" t="s">
        <v>20</v>
      </c>
      <c r="I13120" t="s">
        <v>25426</v>
      </c>
      <c r="J13120" t="str">
        <f>HYPERLINK("https://www.boe.es/gazeta/dias/1822/10/21/pdfs/GMD-1822-308.pdf#page=6","Abrir facsímil")</f>
        <v>Abrir facsímil</v>
      </c>
      <c r="K13120" t="s">
        <v>22</v>
      </c>
    </row>
    <row r="13121" spans="1:11" ht="42" customHeight="1">
      <c r="A13121" t="s">
        <v>25427</v>
      </c>
      <c r="B13121" t="s">
        <v>25428</v>
      </c>
      <c r="C13121" t="s">
        <v>50</v>
      </c>
      <c r="D13121" t="s">
        <v>51</v>
      </c>
      <c r="E13121" s="6">
        <v>-28464</v>
      </c>
      <c r="F13121" t="s">
        <v>1447</v>
      </c>
      <c r="G13121" t="s">
        <v>35</v>
      </c>
      <c r="H13121" t="s">
        <v>20</v>
      </c>
      <c r="I13121" t="s">
        <v>25429</v>
      </c>
      <c r="J13121" t="str">
        <f>HYPERLINK("https://www.boe.es/gazeta/dias/1822/01/24/pdfs/GMD-1822-24.pdf#page=2","Abrir facsímil")</f>
        <v>Abrir facsímil</v>
      </c>
      <c r="K13121" t="s">
        <v>22</v>
      </c>
    </row>
    <row r="13122" spans="1:11" ht="42" customHeight="1">
      <c r="A13122" t="s">
        <v>25430</v>
      </c>
      <c r="B13122" t="s">
        <v>25431</v>
      </c>
      <c r="C13122" t="s">
        <v>16</v>
      </c>
      <c r="D13122" t="s">
        <v>17</v>
      </c>
      <c r="E13122" s="6">
        <v>-28364</v>
      </c>
      <c r="F13122" t="s">
        <v>509</v>
      </c>
      <c r="G13122" t="s">
        <v>57</v>
      </c>
      <c r="H13122" t="s">
        <v>20</v>
      </c>
      <c r="I13122" t="s">
        <v>25432</v>
      </c>
      <c r="J13122" t="str">
        <f>HYPERLINK("https://www.boe.es/gazeta/dias/1822/05/04/pdfs/GMD-1822-126.pdf#page=4","Abrir facsímil")</f>
        <v>Abrir facsímil</v>
      </c>
      <c r="K13122" t="s">
        <v>22</v>
      </c>
    </row>
    <row r="13123" spans="1:11" ht="42" customHeight="1">
      <c r="A13123" t="s">
        <v>25433</v>
      </c>
      <c r="B13123" t="s">
        <v>25434</v>
      </c>
      <c r="C13123" t="s">
        <v>71</v>
      </c>
      <c r="D13123" t="s">
        <v>17</v>
      </c>
      <c r="E13123" s="6">
        <v>-28211</v>
      </c>
      <c r="F13123" t="s">
        <v>273</v>
      </c>
      <c r="G13123" t="s">
        <v>44</v>
      </c>
      <c r="H13123" t="s">
        <v>20</v>
      </c>
      <c r="I13123" t="s">
        <v>25435</v>
      </c>
      <c r="J13123" t="str">
        <f>HYPERLINK("https://www.boe.es/gazeta/dias/1822/10/04/pdfs/GMD-1822-290.pdf#page=1","Abrir facsímil")</f>
        <v>Abrir facsímil</v>
      </c>
      <c r="K13123" t="s">
        <v>22</v>
      </c>
    </row>
    <row r="13124" spans="1:11" ht="42" customHeight="1">
      <c r="A13124" t="s">
        <v>25436</v>
      </c>
      <c r="B13124" t="s">
        <v>25436</v>
      </c>
      <c r="C13124" t="s">
        <v>50</v>
      </c>
      <c r="D13124" t="s">
        <v>51</v>
      </c>
      <c r="E13124" s="6">
        <v>-28400</v>
      </c>
      <c r="F13124" t="s">
        <v>1937</v>
      </c>
      <c r="G13124" t="s">
        <v>2260</v>
      </c>
      <c r="H13124" t="s">
        <v>20</v>
      </c>
      <c r="I13124" t="s">
        <v>25437</v>
      </c>
      <c r="J13124" t="str">
        <f>HYPERLINK("https://www.boe.es/gazeta/dias/1822/03/29/pdfs/GMD-1822-90.pdf#page=4","Abrir facsímil")</f>
        <v>Abrir facsímil</v>
      </c>
      <c r="K13124" t="s">
        <v>22</v>
      </c>
    </row>
    <row r="13125" spans="1:11" ht="42" customHeight="1">
      <c r="A13125" t="s">
        <v>25438</v>
      </c>
      <c r="B13125" t="s">
        <v>25438</v>
      </c>
      <c r="C13125" t="s">
        <v>42</v>
      </c>
      <c r="D13125" t="s">
        <v>17</v>
      </c>
      <c r="E13125" s="6">
        <v>-28366</v>
      </c>
      <c r="F13125" t="s">
        <v>120</v>
      </c>
      <c r="G13125" t="s">
        <v>63</v>
      </c>
      <c r="H13125" t="s">
        <v>20</v>
      </c>
      <c r="I13125" t="s">
        <v>25439</v>
      </c>
      <c r="J13125" t="str">
        <f>HYPERLINK("https://www.boe.es/gazeta/dias/1822/05/02/pdfs/GMD-1822-124.pdf#page=6","Abrir facsímil")</f>
        <v>Abrir facsímil</v>
      </c>
      <c r="K13125" t="s">
        <v>22</v>
      </c>
    </row>
    <row r="13126" spans="1:11" ht="42" customHeight="1">
      <c r="A13126" t="s">
        <v>25440</v>
      </c>
      <c r="B13126" t="s">
        <v>25440</v>
      </c>
      <c r="C13126" t="s">
        <v>42</v>
      </c>
      <c r="D13126" t="s">
        <v>17</v>
      </c>
      <c r="E13126" s="6">
        <v>-28475</v>
      </c>
      <c r="F13126" t="s">
        <v>1205</v>
      </c>
      <c r="G13126" t="s">
        <v>31</v>
      </c>
      <c r="H13126" t="s">
        <v>20</v>
      </c>
      <c r="I13126" t="s">
        <v>25441</v>
      </c>
      <c r="J13126" t="str">
        <f>HYPERLINK("https://www.boe.es/gazeta/dias/1822/01/13/pdfs/GMD-1822-13.pdf#page=3","Abrir facsímil")</f>
        <v>Abrir facsímil</v>
      </c>
      <c r="K13126" t="s">
        <v>22</v>
      </c>
    </row>
    <row r="13127" spans="1:11" ht="42" customHeight="1">
      <c r="A13127" t="s">
        <v>25440</v>
      </c>
      <c r="B13127" t="s">
        <v>25440</v>
      </c>
      <c r="C13127" t="s">
        <v>50</v>
      </c>
      <c r="D13127" t="s">
        <v>51</v>
      </c>
      <c r="E13127" s="6">
        <v>-28447</v>
      </c>
      <c r="F13127" t="s">
        <v>997</v>
      </c>
      <c r="G13127" t="s">
        <v>44</v>
      </c>
      <c r="H13127" t="s">
        <v>20</v>
      </c>
      <c r="I13127" t="s">
        <v>25442</v>
      </c>
      <c r="J13127" t="str">
        <f>HYPERLINK("https://www.boe.es/gazeta/dias/1822/02/10/pdfs/GMD-1822-41.pdf#page=1","Abrir facsímil")</f>
        <v>Abrir facsímil</v>
      </c>
      <c r="K13127" t="s">
        <v>22</v>
      </c>
    </row>
    <row r="13128" spans="1:11" ht="42" customHeight="1">
      <c r="A13128" t="s">
        <v>25440</v>
      </c>
      <c r="B13128" t="s">
        <v>25440</v>
      </c>
      <c r="C13128" t="s">
        <v>50</v>
      </c>
      <c r="D13128" t="s">
        <v>51</v>
      </c>
      <c r="E13128" s="6">
        <v>-28427</v>
      </c>
      <c r="F13128" t="s">
        <v>755</v>
      </c>
      <c r="G13128" t="s">
        <v>35</v>
      </c>
      <c r="H13128" t="s">
        <v>20</v>
      </c>
      <c r="I13128" t="s">
        <v>25443</v>
      </c>
      <c r="J13128" t="str">
        <f>HYPERLINK("https://www.boe.es/gazeta/dias/1822/03/02/pdfs/GMD-1822-63.pdf#page=2","Abrir facsímil")</f>
        <v>Abrir facsímil</v>
      </c>
      <c r="K13128" t="s">
        <v>22</v>
      </c>
    </row>
    <row r="13129" spans="1:11" ht="42" customHeight="1">
      <c r="A13129" t="s">
        <v>25440</v>
      </c>
      <c r="B13129" t="s">
        <v>25440</v>
      </c>
      <c r="C13129" t="s">
        <v>42</v>
      </c>
      <c r="D13129" t="s">
        <v>17</v>
      </c>
      <c r="E13129" s="6">
        <v>-28329</v>
      </c>
      <c r="F13129" t="s">
        <v>354</v>
      </c>
      <c r="G13129" t="s">
        <v>44</v>
      </c>
      <c r="H13129" t="s">
        <v>20</v>
      </c>
      <c r="I13129" t="s">
        <v>25444</v>
      </c>
      <c r="J13129" t="str">
        <f>HYPERLINK("https://www.boe.es/gazeta/dias/1822/06/08/pdfs/GMD-1822-165.pdf#page=1","Abrir facsímil")</f>
        <v>Abrir facsímil</v>
      </c>
      <c r="K13129" t="s">
        <v>22</v>
      </c>
    </row>
    <row r="13130" spans="1:11" ht="42" customHeight="1">
      <c r="A13130" t="s">
        <v>25440</v>
      </c>
      <c r="B13130" t="s">
        <v>25440</v>
      </c>
      <c r="C13130" t="s">
        <v>50</v>
      </c>
      <c r="D13130" t="s">
        <v>51</v>
      </c>
      <c r="E13130" s="6">
        <v>-28325</v>
      </c>
      <c r="F13130" t="s">
        <v>104</v>
      </c>
      <c r="G13130" t="s">
        <v>44</v>
      </c>
      <c r="H13130" t="s">
        <v>20</v>
      </c>
      <c r="I13130" t="s">
        <v>25445</v>
      </c>
      <c r="J13130" t="str">
        <f>HYPERLINK("https://www.boe.es/gazeta/dias/1822/06/12/pdfs/GMD-1822-169.pdf#page=1","Abrir facsímil")</f>
        <v>Abrir facsímil</v>
      </c>
      <c r="K13130" t="s">
        <v>22</v>
      </c>
    </row>
    <row r="13131" spans="1:11" ht="42" customHeight="1">
      <c r="A13131" t="s">
        <v>25440</v>
      </c>
      <c r="B13131" t="s">
        <v>25440</v>
      </c>
      <c r="C13131" t="s">
        <v>42</v>
      </c>
      <c r="D13131" t="s">
        <v>17</v>
      </c>
      <c r="E13131" s="6">
        <v>-28258</v>
      </c>
      <c r="F13131" t="s">
        <v>88</v>
      </c>
      <c r="G13131" t="s">
        <v>31</v>
      </c>
      <c r="H13131" t="s">
        <v>20</v>
      </c>
      <c r="I13131" t="s">
        <v>25446</v>
      </c>
      <c r="J13131" t="str">
        <f>HYPERLINK("https://www.boe.es/gazeta/dias/1822/08/18/pdfs/GMD-1822-242.pdf#page=3","Abrir facsímil")</f>
        <v>Abrir facsímil</v>
      </c>
      <c r="K13131" t="s">
        <v>22</v>
      </c>
    </row>
    <row r="13132" spans="1:11" ht="42" customHeight="1">
      <c r="A13132" t="s">
        <v>25447</v>
      </c>
      <c r="B13132" t="s">
        <v>25448</v>
      </c>
      <c r="C13132" t="s">
        <v>50</v>
      </c>
      <c r="D13132" t="s">
        <v>51</v>
      </c>
      <c r="E13132" s="6">
        <v>-28475</v>
      </c>
      <c r="F13132" t="s">
        <v>1205</v>
      </c>
      <c r="G13132" t="s">
        <v>63</v>
      </c>
      <c r="H13132" t="s">
        <v>20</v>
      </c>
      <c r="I13132" t="s">
        <v>25449</v>
      </c>
      <c r="J13132" t="str">
        <f>HYPERLINK("https://www.boe.es/gazeta/dias/1822/01/13/pdfs/GMD-1822-13.pdf#page=6","Abrir facsímil")</f>
        <v>Abrir facsímil</v>
      </c>
      <c r="K13132" t="s">
        <v>22</v>
      </c>
    </row>
    <row r="13133" spans="1:11" ht="42" customHeight="1">
      <c r="A13133" t="s">
        <v>25450</v>
      </c>
      <c r="B13133" t="s">
        <v>25450</v>
      </c>
      <c r="C13133" t="s">
        <v>28</v>
      </c>
      <c r="D13133" t="s">
        <v>29</v>
      </c>
      <c r="E13133" s="6">
        <v>-28134</v>
      </c>
      <c r="F13133" t="s">
        <v>620</v>
      </c>
      <c r="G13133" t="s">
        <v>35</v>
      </c>
      <c r="H13133" t="s">
        <v>20</v>
      </c>
      <c r="I13133" t="s">
        <v>25451</v>
      </c>
      <c r="J13133" t="str">
        <f>HYPERLINK("https://www.boe.es/gazeta/dias/1822/12/20/pdfs/GMD-1822-370.pdf#page=2","Abrir facsímil")</f>
        <v>Abrir facsímil</v>
      </c>
      <c r="K13133" t="s">
        <v>22</v>
      </c>
    </row>
    <row r="13134" spans="1:11" ht="42" customHeight="1">
      <c r="A13134" t="s">
        <v>25452</v>
      </c>
      <c r="B13134" t="s">
        <v>25453</v>
      </c>
      <c r="C13134" t="s">
        <v>28</v>
      </c>
      <c r="D13134" t="s">
        <v>29</v>
      </c>
      <c r="E13134" s="6">
        <v>-28473</v>
      </c>
      <c r="F13134" t="s">
        <v>2337</v>
      </c>
      <c r="G13134" t="s">
        <v>157</v>
      </c>
      <c r="H13134" t="s">
        <v>20</v>
      </c>
      <c r="I13134" t="s">
        <v>25454</v>
      </c>
      <c r="J13134" t="str">
        <f>HYPERLINK("https://www.boe.es/gazeta/dias/1822/01/15/pdfs/GMD-1822-15.pdf#page=8","Abrir facsímil")</f>
        <v>Abrir facsímil</v>
      </c>
      <c r="K13134" t="s">
        <v>22</v>
      </c>
    </row>
    <row r="13135" spans="1:11" ht="42" customHeight="1">
      <c r="A13135" t="s">
        <v>25452</v>
      </c>
      <c r="B13135" t="s">
        <v>25453</v>
      </c>
      <c r="C13135" t="s">
        <v>28</v>
      </c>
      <c r="D13135" t="s">
        <v>29</v>
      </c>
      <c r="E13135" s="6">
        <v>-28439</v>
      </c>
      <c r="F13135" t="s">
        <v>2752</v>
      </c>
      <c r="G13135" t="s">
        <v>57</v>
      </c>
      <c r="H13135" t="s">
        <v>20</v>
      </c>
      <c r="I13135" t="s">
        <v>25455</v>
      </c>
      <c r="J13135" t="str">
        <f>HYPERLINK("https://www.boe.es/gazeta/dias/1822/02/18/pdfs/GMD-1822-50.pdf#page=4","Abrir facsímil")</f>
        <v>Abrir facsímil</v>
      </c>
      <c r="K13135" t="s">
        <v>22</v>
      </c>
    </row>
    <row r="13136" spans="1:11" ht="42" customHeight="1">
      <c r="A13136" t="s">
        <v>25456</v>
      </c>
      <c r="B13136" t="s">
        <v>25456</v>
      </c>
      <c r="C13136" t="s">
        <v>42</v>
      </c>
      <c r="D13136" t="s">
        <v>17</v>
      </c>
      <c r="E13136" s="6">
        <v>-28426</v>
      </c>
      <c r="F13136" t="s">
        <v>1178</v>
      </c>
      <c r="G13136" t="s">
        <v>57</v>
      </c>
      <c r="H13136" t="s">
        <v>20</v>
      </c>
      <c r="I13136" t="s">
        <v>25457</v>
      </c>
      <c r="J13136" t="str">
        <f>HYPERLINK("https://www.boe.es/gazeta/dias/1822/03/03/pdfs/GMD-1822-64.pdf#page=4","Abrir facsímil")</f>
        <v>Abrir facsímil</v>
      </c>
      <c r="K13136" t="s">
        <v>22</v>
      </c>
    </row>
    <row r="13137" spans="1:11" ht="42" customHeight="1">
      <c r="A13137" t="s">
        <v>25458</v>
      </c>
      <c r="B13137" t="s">
        <v>25458</v>
      </c>
      <c r="C13137" t="s">
        <v>42</v>
      </c>
      <c r="D13137" t="s">
        <v>17</v>
      </c>
      <c r="E13137" s="6">
        <v>-28337</v>
      </c>
      <c r="F13137" t="s">
        <v>1836</v>
      </c>
      <c r="G13137" t="s">
        <v>35</v>
      </c>
      <c r="H13137" t="s">
        <v>20</v>
      </c>
      <c r="I13137" t="s">
        <v>25459</v>
      </c>
      <c r="J13137" t="str">
        <f>HYPERLINK("https://www.boe.es/gazeta/dias/1822/05/31/pdfs/GMD-1822-156.pdf#page=2","Abrir facsímil")</f>
        <v>Abrir facsímil</v>
      </c>
      <c r="K13137" t="s">
        <v>22</v>
      </c>
    </row>
    <row r="13138" spans="1:11" ht="42" customHeight="1">
      <c r="A13138" t="s">
        <v>25460</v>
      </c>
      <c r="B13138" t="s">
        <v>25460</v>
      </c>
      <c r="C13138" t="s">
        <v>50</v>
      </c>
      <c r="D13138" t="s">
        <v>51</v>
      </c>
      <c r="E13138" s="6">
        <v>-28396</v>
      </c>
      <c r="F13138" t="s">
        <v>1138</v>
      </c>
      <c r="G13138" t="s">
        <v>167</v>
      </c>
      <c r="H13138" t="s">
        <v>20</v>
      </c>
      <c r="I13138" t="s">
        <v>25461</v>
      </c>
      <c r="J13138" t="str">
        <f>HYPERLINK("https://www.boe.es/gazeta/dias/1822/04/02/pdfs/GMD-1822-94.pdf#page=7","Abrir facsímil")</f>
        <v>Abrir facsímil</v>
      </c>
      <c r="K13138" t="s">
        <v>22</v>
      </c>
    </row>
    <row r="13139" spans="1:11" ht="42" customHeight="1">
      <c r="A13139" t="s">
        <v>25462</v>
      </c>
      <c r="B13139" t="s">
        <v>25462</v>
      </c>
      <c r="C13139" t="s">
        <v>42</v>
      </c>
      <c r="D13139" t="s">
        <v>17</v>
      </c>
      <c r="E13139" s="6">
        <v>-28434</v>
      </c>
      <c r="F13139" t="s">
        <v>433</v>
      </c>
      <c r="G13139" t="s">
        <v>35</v>
      </c>
      <c r="H13139" t="s">
        <v>20</v>
      </c>
      <c r="I13139" t="s">
        <v>25463</v>
      </c>
      <c r="J13139" t="str">
        <f>HYPERLINK("https://www.boe.es/gazeta/dias/1822/02/23/pdfs/GMD-1822-55.pdf#page=2","Abrir facsímil")</f>
        <v>Abrir facsímil</v>
      </c>
      <c r="K13139" t="s">
        <v>22</v>
      </c>
    </row>
    <row r="13140" spans="1:11" ht="42" customHeight="1">
      <c r="A13140" t="s">
        <v>25462</v>
      </c>
      <c r="B13140" t="s">
        <v>25462</v>
      </c>
      <c r="C13140" t="s">
        <v>42</v>
      </c>
      <c r="D13140" t="s">
        <v>17</v>
      </c>
      <c r="E13140" s="6">
        <v>-28199</v>
      </c>
      <c r="F13140" t="s">
        <v>656</v>
      </c>
      <c r="G13140" t="s">
        <v>57</v>
      </c>
      <c r="H13140" t="s">
        <v>20</v>
      </c>
      <c r="I13140" t="s">
        <v>25464</v>
      </c>
      <c r="J13140" t="str">
        <f>HYPERLINK("https://www.boe.es/gazeta/dias/1822/10/16/pdfs/GMD-1822-303.pdf#page=4","Abrir facsímil")</f>
        <v>Abrir facsímil</v>
      </c>
      <c r="K13140" t="s">
        <v>22</v>
      </c>
    </row>
    <row r="13141" spans="1:11" ht="42" customHeight="1">
      <c r="A13141" t="s">
        <v>25462</v>
      </c>
      <c r="B13141" t="s">
        <v>25462</v>
      </c>
      <c r="C13141" t="s">
        <v>50</v>
      </c>
      <c r="D13141" t="s">
        <v>51</v>
      </c>
      <c r="E13141" s="6">
        <v>-28193</v>
      </c>
      <c r="F13141" t="s">
        <v>574</v>
      </c>
      <c r="G13141" t="s">
        <v>19</v>
      </c>
      <c r="H13141" t="s">
        <v>20</v>
      </c>
      <c r="I13141" t="s">
        <v>25465</v>
      </c>
      <c r="J13141" t="str">
        <f>HYPERLINK("https://www.boe.es/gazeta/dias/1822/10/22/pdfs/GMD-1822-309.pdf#page=5","Abrir facsímil")</f>
        <v>Abrir facsímil</v>
      </c>
      <c r="K13141" t="s">
        <v>22</v>
      </c>
    </row>
    <row r="13142" spans="1:11" ht="42" customHeight="1">
      <c r="A13142" t="s">
        <v>25462</v>
      </c>
      <c r="B13142" t="s">
        <v>25462</v>
      </c>
      <c r="C13142" t="s">
        <v>28</v>
      </c>
      <c r="D13142" t="s">
        <v>29</v>
      </c>
      <c r="E13142" s="6">
        <v>-28192</v>
      </c>
      <c r="F13142" t="s">
        <v>43</v>
      </c>
      <c r="G13142" t="s">
        <v>63</v>
      </c>
      <c r="H13142" t="s">
        <v>20</v>
      </c>
      <c r="I13142" t="s">
        <v>25466</v>
      </c>
      <c r="J13142" t="str">
        <f>HYPERLINK("https://www.boe.es/gazeta/dias/1822/10/23/pdfs/GMD-1822-310.pdf#page=6","Abrir facsímil")</f>
        <v>Abrir facsímil</v>
      </c>
      <c r="K13142" t="s">
        <v>22</v>
      </c>
    </row>
    <row r="13143" spans="1:11" ht="42" customHeight="1">
      <c r="A13143" t="s">
        <v>25462</v>
      </c>
      <c r="B13143" t="s">
        <v>25462</v>
      </c>
      <c r="C13143" t="s">
        <v>28</v>
      </c>
      <c r="D13143" t="s">
        <v>29</v>
      </c>
      <c r="E13143" s="6">
        <v>-28176</v>
      </c>
      <c r="F13143" t="s">
        <v>780</v>
      </c>
      <c r="G13143" t="s">
        <v>44</v>
      </c>
      <c r="H13143" t="s">
        <v>20</v>
      </c>
      <c r="I13143" t="s">
        <v>25467</v>
      </c>
      <c r="J13143" t="str">
        <f>HYPERLINK("https://www.boe.es/gazeta/dias/1822/11/08/pdfs/GMD-1822-328.pdf#page=1","Abrir facsímil")</f>
        <v>Abrir facsímil</v>
      </c>
      <c r="K13143" t="s">
        <v>22</v>
      </c>
    </row>
    <row r="13144" spans="1:11" ht="42" customHeight="1">
      <c r="A13144" t="s">
        <v>25468</v>
      </c>
      <c r="B13144" t="s">
        <v>25469</v>
      </c>
      <c r="C13144" t="s">
        <v>42</v>
      </c>
      <c r="D13144" t="s">
        <v>17</v>
      </c>
      <c r="E13144" s="6">
        <v>-28434</v>
      </c>
      <c r="F13144" t="s">
        <v>433</v>
      </c>
      <c r="G13144" t="s">
        <v>35</v>
      </c>
      <c r="H13144" t="s">
        <v>20</v>
      </c>
      <c r="I13144" t="s">
        <v>25470</v>
      </c>
      <c r="J13144" t="str">
        <f>HYPERLINK("https://www.boe.es/gazeta/dias/1822/02/23/pdfs/GMD-1822-55.pdf#page=2","Abrir facsímil")</f>
        <v>Abrir facsímil</v>
      </c>
      <c r="K13144" t="s">
        <v>22</v>
      </c>
    </row>
    <row r="13145" spans="1:11" ht="42" customHeight="1">
      <c r="A13145" t="s">
        <v>25468</v>
      </c>
      <c r="B13145" t="s">
        <v>25469</v>
      </c>
      <c r="C13145" t="s">
        <v>50</v>
      </c>
      <c r="D13145" t="s">
        <v>51</v>
      </c>
      <c r="E13145" s="6">
        <v>-28381</v>
      </c>
      <c r="F13145" t="s">
        <v>358</v>
      </c>
      <c r="G13145" t="s">
        <v>35</v>
      </c>
      <c r="H13145" t="s">
        <v>20</v>
      </c>
      <c r="I13145" t="s">
        <v>25471</v>
      </c>
      <c r="J13145" t="str">
        <f>HYPERLINK("https://www.boe.es/gazeta/dias/1822/04/17/pdfs/GMD-1822-109.pdf#page=2","Abrir facsímil")</f>
        <v>Abrir facsímil</v>
      </c>
      <c r="K13145" t="s">
        <v>22</v>
      </c>
    </row>
    <row r="13146" spans="1:11" ht="42" customHeight="1">
      <c r="A13146" t="s">
        <v>25472</v>
      </c>
      <c r="B13146" t="s">
        <v>25473</v>
      </c>
      <c r="C13146" t="s">
        <v>50</v>
      </c>
      <c r="D13146" t="s">
        <v>51</v>
      </c>
      <c r="E13146" s="6">
        <v>-28292</v>
      </c>
      <c r="F13146" t="s">
        <v>222</v>
      </c>
      <c r="G13146" t="s">
        <v>31</v>
      </c>
      <c r="H13146" t="s">
        <v>20</v>
      </c>
      <c r="I13146" t="s">
        <v>25474</v>
      </c>
      <c r="J13146" t="str">
        <f>HYPERLINK("https://www.boe.es/gazeta/dias/1822/07/15/pdfs/GMD-1822-205.pdf#page=3","Abrir facsímil")</f>
        <v>Abrir facsímil</v>
      </c>
      <c r="K13146" t="s">
        <v>22</v>
      </c>
    </row>
    <row r="13147" spans="1:11" ht="42" customHeight="1">
      <c r="A13147" t="s">
        <v>25475</v>
      </c>
      <c r="B13147" t="s">
        <v>25475</v>
      </c>
      <c r="C13147" t="s">
        <v>42</v>
      </c>
      <c r="D13147" t="s">
        <v>17</v>
      </c>
      <c r="E13147" s="6">
        <v>-28320</v>
      </c>
      <c r="F13147" t="s">
        <v>700</v>
      </c>
      <c r="G13147" t="s">
        <v>19</v>
      </c>
      <c r="H13147" t="s">
        <v>20</v>
      </c>
      <c r="I13147" t="s">
        <v>25476</v>
      </c>
      <c r="J13147" t="str">
        <f>HYPERLINK("https://www.boe.es/gazeta/dias/1822/06/17/pdfs/GMD-1822-174.pdf#page=5","Abrir facsímil")</f>
        <v>Abrir facsímil</v>
      </c>
      <c r="K13147" t="s">
        <v>22</v>
      </c>
    </row>
    <row r="13148" spans="1:11" ht="42" customHeight="1">
      <c r="A13148" t="s">
        <v>25477</v>
      </c>
      <c r="B13148" t="s">
        <v>25478</v>
      </c>
      <c r="C13148" t="s">
        <v>50</v>
      </c>
      <c r="D13148" t="s">
        <v>51</v>
      </c>
      <c r="E13148" s="6">
        <v>-28231</v>
      </c>
      <c r="F13148" t="s">
        <v>2049</v>
      </c>
      <c r="G13148" t="s">
        <v>44</v>
      </c>
      <c r="H13148" t="s">
        <v>20</v>
      </c>
      <c r="I13148" t="s">
        <v>25479</v>
      </c>
      <c r="J13148" t="str">
        <f>HYPERLINK("https://www.boe.es/gazeta/dias/1822/09/14/pdfs/GMD-1822-270.pdf#page=1","Abrir facsímil")</f>
        <v>Abrir facsímil</v>
      </c>
      <c r="K13148" t="s">
        <v>22</v>
      </c>
    </row>
    <row r="13149" spans="1:11" ht="42" customHeight="1">
      <c r="A13149" t="s">
        <v>25480</v>
      </c>
      <c r="B13149" t="s">
        <v>25481</v>
      </c>
      <c r="C13149" t="s">
        <v>24</v>
      </c>
      <c r="D13149" t="s">
        <v>17</v>
      </c>
      <c r="E13149" s="6">
        <v>-28345</v>
      </c>
      <c r="F13149" t="s">
        <v>294</v>
      </c>
      <c r="G13149" t="s">
        <v>63</v>
      </c>
      <c r="H13149" t="s">
        <v>20</v>
      </c>
      <c r="I13149" t="s">
        <v>25482</v>
      </c>
      <c r="J13149" t="str">
        <f>HYPERLINK("https://www.boe.es/gazeta/dias/1822/05/23/pdfs/GMD-1822-147.pdf#page=6","Abrir facsímil")</f>
        <v>Abrir facsímil</v>
      </c>
      <c r="K13149" t="s">
        <v>22</v>
      </c>
    </row>
    <row r="13150" spans="1:11" ht="42" customHeight="1">
      <c r="A13150" t="s">
        <v>25483</v>
      </c>
      <c r="B13150" t="s">
        <v>25483</v>
      </c>
      <c r="C13150" t="s">
        <v>28</v>
      </c>
      <c r="D13150" t="s">
        <v>29</v>
      </c>
      <c r="E13150" s="6">
        <v>-28280</v>
      </c>
      <c r="F13150" t="s">
        <v>56</v>
      </c>
      <c r="G13150" t="s">
        <v>57</v>
      </c>
      <c r="H13150" t="s">
        <v>20</v>
      </c>
      <c r="I13150" t="s">
        <v>25484</v>
      </c>
      <c r="J13150" t="str">
        <f>HYPERLINK("https://www.boe.es/gazeta/dias/1822/07/27/pdfs/GMD-1822-220.pdf#page=4","Abrir facsímil")</f>
        <v>Abrir facsímil</v>
      </c>
      <c r="K13150" t="s">
        <v>22</v>
      </c>
    </row>
    <row r="13151" spans="1:11" ht="42" customHeight="1">
      <c r="A13151" t="s">
        <v>25485</v>
      </c>
      <c r="B13151" t="s">
        <v>25486</v>
      </c>
      <c r="C13151" t="s">
        <v>50</v>
      </c>
      <c r="D13151" t="s">
        <v>51</v>
      </c>
      <c r="E13151" s="6">
        <v>-28284</v>
      </c>
      <c r="F13151" t="s">
        <v>6484</v>
      </c>
      <c r="G13151" t="s">
        <v>57</v>
      </c>
      <c r="H13151" t="s">
        <v>20</v>
      </c>
      <c r="I13151" t="s">
        <v>25487</v>
      </c>
      <c r="J13151" t="str">
        <f>HYPERLINK("https://www.boe.es/gazeta/dias/1822/07/23/pdfs/GMD-1822-216.pdf#page=4","Abrir facsímil")</f>
        <v>Abrir facsímil</v>
      </c>
      <c r="K13151" t="s">
        <v>22</v>
      </c>
    </row>
    <row r="13152" spans="1:11" ht="42" customHeight="1">
      <c r="A13152" t="s">
        <v>25488</v>
      </c>
      <c r="B13152" t="s">
        <v>25488</v>
      </c>
      <c r="C13152" t="s">
        <v>50</v>
      </c>
      <c r="D13152" t="s">
        <v>51</v>
      </c>
      <c r="E13152" s="6">
        <v>-28167</v>
      </c>
      <c r="F13152" t="s">
        <v>904</v>
      </c>
      <c r="G13152" t="s">
        <v>57</v>
      </c>
      <c r="H13152" t="s">
        <v>20</v>
      </c>
      <c r="I13152" t="s">
        <v>25489</v>
      </c>
      <c r="J13152" t="str">
        <f>HYPERLINK("https://www.boe.es/gazeta/dias/1822/11/17/pdfs/GMD-1822-337.pdf#page=4","Abrir facsímil")</f>
        <v>Abrir facsímil</v>
      </c>
      <c r="K13152" t="s">
        <v>22</v>
      </c>
    </row>
    <row r="13153" spans="1:11" ht="42" customHeight="1">
      <c r="A13153" t="s">
        <v>25490</v>
      </c>
      <c r="B13153" t="s">
        <v>25490</v>
      </c>
      <c r="C13153" t="s">
        <v>28</v>
      </c>
      <c r="D13153" t="s">
        <v>29</v>
      </c>
      <c r="E13153" s="6">
        <v>-28218</v>
      </c>
      <c r="F13153" t="s">
        <v>405</v>
      </c>
      <c r="G13153" t="s">
        <v>35</v>
      </c>
      <c r="H13153" t="s">
        <v>20</v>
      </c>
      <c r="I13153" t="s">
        <v>25491</v>
      </c>
      <c r="J13153" t="str">
        <f>HYPERLINK("https://www.boe.es/gazeta/dias/1822/09/27/pdfs/GMD-1822-283.pdf#page=2","Abrir facsímil")</f>
        <v>Abrir facsímil</v>
      </c>
      <c r="K13153" t="s">
        <v>22</v>
      </c>
    </row>
    <row r="13154" spans="1:11" ht="42" customHeight="1">
      <c r="A13154" t="s">
        <v>25492</v>
      </c>
      <c r="B13154" t="s">
        <v>25493</v>
      </c>
      <c r="C13154" t="s">
        <v>50</v>
      </c>
      <c r="D13154" t="s">
        <v>51</v>
      </c>
      <c r="E13154" s="6">
        <v>-28323</v>
      </c>
      <c r="F13154" t="s">
        <v>116</v>
      </c>
      <c r="G13154" t="s">
        <v>44</v>
      </c>
      <c r="H13154" t="s">
        <v>20</v>
      </c>
      <c r="I13154" t="s">
        <v>25494</v>
      </c>
      <c r="J13154" t="str">
        <f>HYPERLINK("https://www.boe.es/gazeta/dias/1822/06/14/pdfs/GMD-1822-171.pdf#page=1","Abrir facsímil")</f>
        <v>Abrir facsímil</v>
      </c>
      <c r="K13154" t="s">
        <v>22</v>
      </c>
    </row>
    <row r="13155" spans="1:11" ht="42" customHeight="1">
      <c r="A13155" t="s">
        <v>25495</v>
      </c>
      <c r="B13155" t="s">
        <v>25496</v>
      </c>
      <c r="C13155" t="s">
        <v>50</v>
      </c>
      <c r="D13155" t="s">
        <v>51</v>
      </c>
      <c r="E13155" s="6">
        <v>-28211</v>
      </c>
      <c r="F13155" t="s">
        <v>273</v>
      </c>
      <c r="G13155" t="s">
        <v>35</v>
      </c>
      <c r="H13155" t="s">
        <v>20</v>
      </c>
      <c r="I13155" t="s">
        <v>25497</v>
      </c>
      <c r="J13155" t="str">
        <f>HYPERLINK("https://www.boe.es/gazeta/dias/1822/10/04/pdfs/GMD-1822-290.pdf#page=2","Abrir facsímil")</f>
        <v>Abrir facsímil</v>
      </c>
      <c r="K13155" t="s">
        <v>22</v>
      </c>
    </row>
    <row r="13156" spans="1:11" ht="42" customHeight="1">
      <c r="A13156" t="s">
        <v>25498</v>
      </c>
      <c r="B13156" t="s">
        <v>25498</v>
      </c>
      <c r="C13156" t="s">
        <v>50</v>
      </c>
      <c r="D13156" t="s">
        <v>51</v>
      </c>
      <c r="E13156" s="6">
        <v>-28425</v>
      </c>
      <c r="F13156" t="s">
        <v>419</v>
      </c>
      <c r="G13156" t="s">
        <v>31</v>
      </c>
      <c r="H13156" t="s">
        <v>20</v>
      </c>
      <c r="I13156" t="s">
        <v>25499</v>
      </c>
      <c r="J13156" t="str">
        <f>HYPERLINK("https://www.boe.es/gazeta/dias/1822/03/04/pdfs/GMD-1822-65.pdf#page=3","Abrir facsímil")</f>
        <v>Abrir facsímil</v>
      </c>
      <c r="K13156" t="s">
        <v>22</v>
      </c>
    </row>
    <row r="13157" spans="1:11" ht="42" customHeight="1">
      <c r="A13157" t="s">
        <v>25500</v>
      </c>
      <c r="B13157" t="s">
        <v>25501</v>
      </c>
      <c r="C13157" t="s">
        <v>71</v>
      </c>
      <c r="D13157" t="s">
        <v>17</v>
      </c>
      <c r="E13157" s="6">
        <v>-28379</v>
      </c>
      <c r="F13157" t="s">
        <v>494</v>
      </c>
      <c r="G13157" t="s">
        <v>63</v>
      </c>
      <c r="H13157" t="s">
        <v>20</v>
      </c>
      <c r="I13157" t="s">
        <v>25502</v>
      </c>
      <c r="J13157" t="str">
        <f>HYPERLINK("https://www.boe.es/gazeta/dias/1822/04/19/pdfs/GMD-1822-111.pdf#page=6","Abrir facsímil")</f>
        <v>Abrir facsímil</v>
      </c>
      <c r="K13157" t="s">
        <v>22</v>
      </c>
    </row>
    <row r="13158" spans="1:11" ht="42" customHeight="1">
      <c r="A13158" t="s">
        <v>25503</v>
      </c>
      <c r="B13158" t="s">
        <v>25503</v>
      </c>
      <c r="C13158" t="s">
        <v>50</v>
      </c>
      <c r="D13158" t="s">
        <v>51</v>
      </c>
      <c r="E13158" s="6">
        <v>-28226</v>
      </c>
      <c r="F13158" t="s">
        <v>812</v>
      </c>
      <c r="G13158" t="s">
        <v>44</v>
      </c>
      <c r="H13158" t="s">
        <v>20</v>
      </c>
      <c r="I13158" t="s">
        <v>25504</v>
      </c>
      <c r="J13158" t="str">
        <f>HYPERLINK("https://www.boe.es/gazeta/dias/1822/09/19/pdfs/GMD-1822-275.pdf#page=1","Abrir facsímil")</f>
        <v>Abrir facsímil</v>
      </c>
      <c r="K13158" t="s">
        <v>22</v>
      </c>
    </row>
    <row r="13159" spans="1:11" ht="42" customHeight="1">
      <c r="A13159" t="s">
        <v>25505</v>
      </c>
      <c r="B13159" t="s">
        <v>25506</v>
      </c>
      <c r="C13159" t="s">
        <v>50</v>
      </c>
      <c r="D13159" t="s">
        <v>51</v>
      </c>
      <c r="E13159" s="6">
        <v>-28315</v>
      </c>
      <c r="F13159" t="s">
        <v>1220</v>
      </c>
      <c r="G13159" t="s">
        <v>57</v>
      </c>
      <c r="H13159" t="s">
        <v>20</v>
      </c>
      <c r="I13159" t="s">
        <v>25507</v>
      </c>
      <c r="J13159" t="str">
        <f>HYPERLINK("https://www.boe.es/gazeta/dias/1822/06/22/pdfs/GMD-1822-180.pdf#page=4","Abrir facsímil")</f>
        <v>Abrir facsímil</v>
      </c>
      <c r="K13159" t="s">
        <v>22</v>
      </c>
    </row>
    <row r="13160" spans="1:11" ht="42" customHeight="1">
      <c r="A13160" t="s">
        <v>25508</v>
      </c>
      <c r="B13160" t="s">
        <v>25509</v>
      </c>
      <c r="C13160" t="s">
        <v>28</v>
      </c>
      <c r="D13160" t="s">
        <v>29</v>
      </c>
      <c r="E13160" s="6">
        <v>-28345</v>
      </c>
      <c r="F13160" t="s">
        <v>294</v>
      </c>
      <c r="G13160" t="s">
        <v>63</v>
      </c>
      <c r="H13160" t="s">
        <v>20</v>
      </c>
      <c r="I13160" t="s">
        <v>25510</v>
      </c>
      <c r="J13160" t="str">
        <f>HYPERLINK("https://www.boe.es/gazeta/dias/1822/05/23/pdfs/GMD-1822-147.pdf#page=6","Abrir facsímil")</f>
        <v>Abrir facsímil</v>
      </c>
      <c r="K13160" t="s">
        <v>22</v>
      </c>
    </row>
    <row r="13161" spans="1:11" ht="42" customHeight="1">
      <c r="A13161" t="s">
        <v>25508</v>
      </c>
      <c r="B13161" t="s">
        <v>25509</v>
      </c>
      <c r="C13161" t="s">
        <v>28</v>
      </c>
      <c r="D13161" t="s">
        <v>29</v>
      </c>
      <c r="E13161" s="6">
        <v>-28221</v>
      </c>
      <c r="F13161" t="s">
        <v>2591</v>
      </c>
      <c r="G13161" t="s">
        <v>57</v>
      </c>
      <c r="H13161" t="s">
        <v>20</v>
      </c>
      <c r="I13161" t="s">
        <v>25511</v>
      </c>
      <c r="J13161" t="str">
        <f>HYPERLINK("https://www.boe.es/gazeta/dias/1822/09/24/pdfs/GMD-1822-280.pdf#page=4","Abrir facsímil")</f>
        <v>Abrir facsímil</v>
      </c>
      <c r="K13161" t="s">
        <v>22</v>
      </c>
    </row>
    <row r="13162" spans="1:11" ht="42" customHeight="1">
      <c r="A13162" t="s">
        <v>25512</v>
      </c>
      <c r="B13162" t="s">
        <v>25513</v>
      </c>
      <c r="C13162" t="s">
        <v>50</v>
      </c>
      <c r="D13162" t="s">
        <v>51</v>
      </c>
      <c r="E13162" s="6">
        <v>-28415</v>
      </c>
      <c r="F13162" t="s">
        <v>77</v>
      </c>
      <c r="G13162" t="s">
        <v>63</v>
      </c>
      <c r="H13162" t="s">
        <v>20</v>
      </c>
      <c r="I13162" t="s">
        <v>25514</v>
      </c>
      <c r="J13162" t="str">
        <f>HYPERLINK("https://www.boe.es/gazeta/dias/1822/03/14/pdfs/GMD-1822-75.pdf#page=6","Abrir facsímil")</f>
        <v>Abrir facsímil</v>
      </c>
      <c r="K13162" t="s">
        <v>22</v>
      </c>
    </row>
    <row r="13163" spans="1:11" ht="42" customHeight="1">
      <c r="A13163" t="s">
        <v>25515</v>
      </c>
      <c r="B13163" t="s">
        <v>25515</v>
      </c>
      <c r="C13163" t="s">
        <v>28</v>
      </c>
      <c r="D13163" t="s">
        <v>29</v>
      </c>
      <c r="E13163" s="6">
        <v>-28425</v>
      </c>
      <c r="F13163" t="s">
        <v>419</v>
      </c>
      <c r="G13163" t="s">
        <v>35</v>
      </c>
      <c r="H13163" t="s">
        <v>20</v>
      </c>
      <c r="I13163" t="s">
        <v>25516</v>
      </c>
      <c r="J13163" t="str">
        <f>HYPERLINK("https://www.boe.es/gazeta/dias/1822/03/04/pdfs/GMD-1822-65.pdf#page=2","Abrir facsímil")</f>
        <v>Abrir facsímil</v>
      </c>
      <c r="K13163" t="s">
        <v>22</v>
      </c>
    </row>
    <row r="13164" spans="1:11" ht="42" customHeight="1">
      <c r="A13164" t="s">
        <v>25517</v>
      </c>
      <c r="B13164" t="s">
        <v>25518</v>
      </c>
      <c r="C13164" t="s">
        <v>28</v>
      </c>
      <c r="D13164" t="s">
        <v>29</v>
      </c>
      <c r="E13164" s="6">
        <v>-28369</v>
      </c>
      <c r="F13164" t="s">
        <v>1590</v>
      </c>
      <c r="G13164" t="s">
        <v>63</v>
      </c>
      <c r="H13164" t="s">
        <v>20</v>
      </c>
      <c r="I13164" t="s">
        <v>25519</v>
      </c>
      <c r="J13164" t="str">
        <f>HYPERLINK("https://www.boe.es/gazeta/dias/1822/04/29/pdfs/GMD-1822-121.pdf#page=6","Abrir facsímil")</f>
        <v>Abrir facsímil</v>
      </c>
      <c r="K13164" t="s">
        <v>22</v>
      </c>
    </row>
    <row r="13165" spans="1:11" ht="42" customHeight="1">
      <c r="A13165" t="s">
        <v>25517</v>
      </c>
      <c r="B13165" t="s">
        <v>25518</v>
      </c>
      <c r="C13165" t="s">
        <v>50</v>
      </c>
      <c r="D13165" t="s">
        <v>51</v>
      </c>
      <c r="E13165" s="6">
        <v>-28129</v>
      </c>
      <c r="F13165" t="s">
        <v>599</v>
      </c>
      <c r="G13165" t="s">
        <v>57</v>
      </c>
      <c r="H13165" t="s">
        <v>20</v>
      </c>
      <c r="I13165" t="s">
        <v>25520</v>
      </c>
      <c r="J13165" t="str">
        <f>HYPERLINK("https://www.boe.es/gazeta/dias/1822/12/25/pdfs/GMD-1822-375.pdf#page=4","Abrir facsímil")</f>
        <v>Abrir facsímil</v>
      </c>
      <c r="K13165" t="s">
        <v>22</v>
      </c>
    </row>
    <row r="13166" spans="1:11" ht="42" customHeight="1">
      <c r="A13166" t="s">
        <v>25521</v>
      </c>
      <c r="B13166" t="s">
        <v>25522</v>
      </c>
      <c r="C13166" t="s">
        <v>42</v>
      </c>
      <c r="D13166" t="s">
        <v>17</v>
      </c>
      <c r="E13166" s="6">
        <v>-28152</v>
      </c>
      <c r="F13166" t="s">
        <v>122</v>
      </c>
      <c r="G13166" t="s">
        <v>8236</v>
      </c>
      <c r="H13166" t="s">
        <v>20</v>
      </c>
      <c r="I13166" t="s">
        <v>25523</v>
      </c>
      <c r="J13166" t="str">
        <f>HYPERLINK("https://www.boe.es/gazeta/dias/1822/12/02/pdfs/GMD-1822-352.pdf#page=6","Abrir facsímil")</f>
        <v>Abrir facsímil</v>
      </c>
      <c r="K13166" t="s">
        <v>22</v>
      </c>
    </row>
    <row r="13167" spans="1:11" ht="42" customHeight="1">
      <c r="A13167" t="s">
        <v>25524</v>
      </c>
      <c r="B13167" t="s">
        <v>25524</v>
      </c>
      <c r="C13167" t="s">
        <v>50</v>
      </c>
      <c r="D13167" t="s">
        <v>51</v>
      </c>
      <c r="E13167" s="6">
        <v>-28141</v>
      </c>
      <c r="F13167" t="s">
        <v>265</v>
      </c>
      <c r="G13167" t="s">
        <v>31</v>
      </c>
      <c r="H13167" t="s">
        <v>20</v>
      </c>
      <c r="I13167" t="s">
        <v>25525</v>
      </c>
      <c r="J13167" t="str">
        <f>HYPERLINK("https://www.boe.es/gazeta/dias/1822/12/13/pdfs/GMD-1822-363.pdf#page=3","Abrir facsímil")</f>
        <v>Abrir facsímil</v>
      </c>
      <c r="K13167" t="s">
        <v>22</v>
      </c>
    </row>
    <row r="13168" spans="1:11" ht="42" customHeight="1">
      <c r="A13168" t="s">
        <v>25526</v>
      </c>
      <c r="B13168" t="s">
        <v>25527</v>
      </c>
      <c r="C13168" t="s">
        <v>50</v>
      </c>
      <c r="D13168" t="s">
        <v>51</v>
      </c>
      <c r="E13168" s="6">
        <v>-28139</v>
      </c>
      <c r="F13168" t="s">
        <v>143</v>
      </c>
      <c r="G13168" t="s">
        <v>144</v>
      </c>
      <c r="H13168" t="s">
        <v>20</v>
      </c>
      <c r="I13168" t="s">
        <v>25528</v>
      </c>
      <c r="J13168" t="str">
        <f>HYPERLINK("https://www.boe.es/gazeta/dias/1822/12/15/pdfs/GMD-1822-365.pdf#page=4","Abrir facsímil")</f>
        <v>Abrir facsímil</v>
      </c>
      <c r="K13168" t="s">
        <v>22</v>
      </c>
    </row>
    <row r="13169" spans="1:11" ht="42" customHeight="1">
      <c r="A13169" t="s">
        <v>25529</v>
      </c>
      <c r="B13169" t="s">
        <v>25529</v>
      </c>
      <c r="C13169" t="s">
        <v>28</v>
      </c>
      <c r="D13169" t="s">
        <v>29</v>
      </c>
      <c r="E13169" s="6">
        <v>-28365</v>
      </c>
      <c r="F13169" t="s">
        <v>506</v>
      </c>
      <c r="G13169" t="s">
        <v>19</v>
      </c>
      <c r="H13169" t="s">
        <v>20</v>
      </c>
      <c r="I13169" t="s">
        <v>25530</v>
      </c>
      <c r="J13169" t="str">
        <f>HYPERLINK("https://www.boe.es/gazeta/dias/1822/05/03/pdfs/GMD-1822-125.pdf#page=5","Abrir facsímil")</f>
        <v>Abrir facsímil</v>
      </c>
      <c r="K13169" t="s">
        <v>22</v>
      </c>
    </row>
    <row r="13170" spans="1:11" ht="42" customHeight="1">
      <c r="A13170" t="s">
        <v>25531</v>
      </c>
      <c r="B13170" t="s">
        <v>25532</v>
      </c>
      <c r="C13170" t="s">
        <v>362</v>
      </c>
      <c r="D13170" t="s">
        <v>17</v>
      </c>
      <c r="E13170" s="6">
        <v>-28413</v>
      </c>
      <c r="F13170" t="s">
        <v>458</v>
      </c>
      <c r="G13170" t="s">
        <v>63</v>
      </c>
      <c r="H13170" t="s">
        <v>20</v>
      </c>
      <c r="I13170" t="s">
        <v>25533</v>
      </c>
      <c r="J13170" t="str">
        <f>HYPERLINK("https://www.boe.es/gazeta/dias/1822/03/16/pdfs/GMD-1822-77.pdf#page=6","Abrir facsímil")</f>
        <v>Abrir facsímil</v>
      </c>
      <c r="K13170" t="s">
        <v>22</v>
      </c>
    </row>
    <row r="13171" spans="1:11" ht="42" customHeight="1">
      <c r="A13171" t="s">
        <v>25534</v>
      </c>
      <c r="B13171" t="s">
        <v>25534</v>
      </c>
      <c r="C13171" t="s">
        <v>16</v>
      </c>
      <c r="D13171" t="s">
        <v>17</v>
      </c>
      <c r="E13171" s="6">
        <v>-28190</v>
      </c>
      <c r="F13171" t="s">
        <v>576</v>
      </c>
      <c r="G13171" t="s">
        <v>44</v>
      </c>
      <c r="H13171" t="s">
        <v>20</v>
      </c>
      <c r="I13171" t="s">
        <v>25535</v>
      </c>
      <c r="J13171" t="str">
        <f>HYPERLINK("https://www.boe.es/gazeta/dias/1822/10/25/pdfs/GMD-1822-312.pdf#page=1","Abrir facsímil")</f>
        <v>Abrir facsímil</v>
      </c>
      <c r="K13171" t="s">
        <v>22</v>
      </c>
    </row>
    <row r="13172" spans="1:11" ht="42" customHeight="1">
      <c r="A13172" t="s">
        <v>25536</v>
      </c>
      <c r="B13172" t="s">
        <v>25537</v>
      </c>
      <c r="C13172" t="s">
        <v>50</v>
      </c>
      <c r="D13172" t="s">
        <v>51</v>
      </c>
      <c r="E13172" s="6">
        <v>-28162</v>
      </c>
      <c r="F13172" t="s">
        <v>3949</v>
      </c>
      <c r="G13172" t="s">
        <v>19</v>
      </c>
      <c r="H13172" t="s">
        <v>20</v>
      </c>
      <c r="I13172" t="s">
        <v>25538</v>
      </c>
      <c r="J13172" t="str">
        <f>HYPERLINK("https://www.boe.es/gazeta/dias/1822/11/22/pdfs/GMD-1822-342.pdf#page=5","Abrir facsímil")</f>
        <v>Abrir facsímil</v>
      </c>
      <c r="K13172" t="s">
        <v>22</v>
      </c>
    </row>
    <row r="13173" spans="1:11" ht="42" customHeight="1">
      <c r="A13173" t="s">
        <v>25539</v>
      </c>
      <c r="B13173" t="s">
        <v>25539</v>
      </c>
      <c r="C13173" t="s">
        <v>50</v>
      </c>
      <c r="D13173" t="s">
        <v>51</v>
      </c>
      <c r="E13173" s="6">
        <v>-28136</v>
      </c>
      <c r="F13173" t="s">
        <v>948</v>
      </c>
      <c r="G13173" t="s">
        <v>57</v>
      </c>
      <c r="H13173" t="s">
        <v>20</v>
      </c>
      <c r="I13173" t="s">
        <v>25540</v>
      </c>
      <c r="J13173" t="str">
        <f>HYPERLINK("https://www.boe.es/gazeta/dias/1822/12/18/pdfs/GMD-1822-368.pdf#page=4","Abrir facsímil")</f>
        <v>Abrir facsímil</v>
      </c>
      <c r="K13173" t="s">
        <v>22</v>
      </c>
    </row>
    <row r="13174" spans="1:11" ht="42" customHeight="1">
      <c r="A13174" t="s">
        <v>25541</v>
      </c>
      <c r="B13174" t="s">
        <v>25541</v>
      </c>
      <c r="C13174" t="s">
        <v>50</v>
      </c>
      <c r="D13174" t="s">
        <v>51</v>
      </c>
      <c r="E13174" s="6">
        <v>-28419</v>
      </c>
      <c r="F13174" t="s">
        <v>1392</v>
      </c>
      <c r="G13174" t="s">
        <v>57</v>
      </c>
      <c r="H13174" t="s">
        <v>20</v>
      </c>
      <c r="I13174" t="s">
        <v>25542</v>
      </c>
      <c r="J13174" t="str">
        <f>HYPERLINK("https://www.boe.es/gazeta/dias/1822/03/10/pdfs/GMD-1822-71.pdf#page=4","Abrir facsímil")</f>
        <v>Abrir facsímil</v>
      </c>
      <c r="K13174" t="s">
        <v>22</v>
      </c>
    </row>
    <row r="13175" spans="1:11" ht="42" customHeight="1">
      <c r="A13175" t="s">
        <v>25543</v>
      </c>
      <c r="B13175" t="s">
        <v>25543</v>
      </c>
      <c r="C13175" t="s">
        <v>42</v>
      </c>
      <c r="D13175" t="s">
        <v>17</v>
      </c>
      <c r="E13175" s="6">
        <v>-28387</v>
      </c>
      <c r="F13175" t="s">
        <v>2874</v>
      </c>
      <c r="G13175" t="s">
        <v>57</v>
      </c>
      <c r="H13175" t="s">
        <v>20</v>
      </c>
      <c r="I13175" t="s">
        <v>25544</v>
      </c>
      <c r="J13175" t="str">
        <f>HYPERLINK("https://www.boe.es/gazeta/dias/1822/04/11/pdfs/GMD-1822-103.pdf#page=4","Abrir facsímil")</f>
        <v>Abrir facsímil</v>
      </c>
      <c r="K13175" t="s">
        <v>22</v>
      </c>
    </row>
    <row r="13176" spans="1:11" ht="42" customHeight="1">
      <c r="A13176" t="s">
        <v>25545</v>
      </c>
      <c r="B13176" t="s">
        <v>25545</v>
      </c>
      <c r="C13176" t="s">
        <v>16</v>
      </c>
      <c r="D13176" t="s">
        <v>17</v>
      </c>
      <c r="E13176" s="6">
        <v>-28436</v>
      </c>
      <c r="F13176" t="s">
        <v>431</v>
      </c>
      <c r="G13176" t="s">
        <v>57</v>
      </c>
      <c r="H13176" t="s">
        <v>20</v>
      </c>
      <c r="I13176" t="s">
        <v>25546</v>
      </c>
      <c r="J13176" t="str">
        <f>HYPERLINK("https://www.boe.es/gazeta/dias/1822/02/21/pdfs/GMD-1822-53.pdf#page=4","Abrir facsímil")</f>
        <v>Abrir facsímil</v>
      </c>
      <c r="K13176" t="s">
        <v>22</v>
      </c>
    </row>
    <row r="13177" spans="1:11" ht="42" customHeight="1">
      <c r="A13177" t="s">
        <v>25545</v>
      </c>
      <c r="B13177" t="s">
        <v>25545</v>
      </c>
      <c r="C13177" t="s">
        <v>42</v>
      </c>
      <c r="D13177" t="s">
        <v>17</v>
      </c>
      <c r="E13177" s="6">
        <v>-28136</v>
      </c>
      <c r="F13177" t="s">
        <v>948</v>
      </c>
      <c r="G13177" t="s">
        <v>19</v>
      </c>
      <c r="H13177" t="s">
        <v>20</v>
      </c>
      <c r="I13177" t="s">
        <v>25547</v>
      </c>
      <c r="J13177" t="str">
        <f>HYPERLINK("https://www.boe.es/gazeta/dias/1822/12/18/pdfs/GMD-1822-368.pdf#page=5","Abrir facsímil")</f>
        <v>Abrir facsímil</v>
      </c>
      <c r="K13177" t="s">
        <v>22</v>
      </c>
    </row>
    <row r="13178" spans="1:11" ht="42" customHeight="1">
      <c r="A13178" t="s">
        <v>25548</v>
      </c>
      <c r="B13178" t="s">
        <v>25548</v>
      </c>
      <c r="C13178" t="s">
        <v>28</v>
      </c>
      <c r="D13178" t="s">
        <v>29</v>
      </c>
      <c r="E13178" s="6">
        <v>-28441</v>
      </c>
      <c r="F13178" t="s">
        <v>429</v>
      </c>
      <c r="G13178" t="s">
        <v>31</v>
      </c>
      <c r="H13178" t="s">
        <v>20</v>
      </c>
      <c r="I13178" t="s">
        <v>25549</v>
      </c>
      <c r="J13178" t="str">
        <f>HYPERLINK("https://www.boe.es/gazeta/dias/1822/02/16/pdfs/GMD-1822-48.pdf#page=3","Abrir facsímil")</f>
        <v>Abrir facsímil</v>
      </c>
      <c r="K13178" t="s">
        <v>22</v>
      </c>
    </row>
    <row r="13179" spans="1:11" ht="42" customHeight="1">
      <c r="A13179" t="s">
        <v>25548</v>
      </c>
      <c r="B13179" t="s">
        <v>25548</v>
      </c>
      <c r="C13179" t="s">
        <v>42</v>
      </c>
      <c r="D13179" t="s">
        <v>17</v>
      </c>
      <c r="E13179" s="6">
        <v>-28434</v>
      </c>
      <c r="F13179" t="s">
        <v>433</v>
      </c>
      <c r="G13179" t="s">
        <v>35</v>
      </c>
      <c r="H13179" t="s">
        <v>20</v>
      </c>
      <c r="I13179" t="s">
        <v>25550</v>
      </c>
      <c r="J13179" t="str">
        <f>HYPERLINK("https://www.boe.es/gazeta/dias/1822/02/23/pdfs/GMD-1822-55.pdf#page=2","Abrir facsímil")</f>
        <v>Abrir facsímil</v>
      </c>
      <c r="K13179" t="s">
        <v>22</v>
      </c>
    </row>
    <row r="13180" spans="1:11" ht="42" customHeight="1">
      <c r="A13180" t="s">
        <v>25548</v>
      </c>
      <c r="B13180" t="s">
        <v>25548</v>
      </c>
      <c r="C13180" t="s">
        <v>42</v>
      </c>
      <c r="D13180" t="s">
        <v>17</v>
      </c>
      <c r="E13180" s="6">
        <v>-28422</v>
      </c>
      <c r="F13180" t="s">
        <v>416</v>
      </c>
      <c r="G13180" t="s">
        <v>57</v>
      </c>
      <c r="H13180" t="s">
        <v>20</v>
      </c>
      <c r="I13180" t="s">
        <v>25551</v>
      </c>
      <c r="J13180" t="str">
        <f>HYPERLINK("https://www.boe.es/gazeta/dias/1822/03/07/pdfs/GMD-1822-68.pdf#page=4","Abrir facsímil")</f>
        <v>Abrir facsímil</v>
      </c>
      <c r="K13180" t="s">
        <v>22</v>
      </c>
    </row>
    <row r="13181" spans="1:11" ht="42" customHeight="1">
      <c r="A13181" t="s">
        <v>25548</v>
      </c>
      <c r="B13181" t="s">
        <v>25548</v>
      </c>
      <c r="C13181" t="s">
        <v>28</v>
      </c>
      <c r="D13181" t="s">
        <v>29</v>
      </c>
      <c r="E13181" s="6">
        <v>-28421</v>
      </c>
      <c r="F13181" t="s">
        <v>446</v>
      </c>
      <c r="G13181" t="s">
        <v>31</v>
      </c>
      <c r="H13181" t="s">
        <v>20</v>
      </c>
      <c r="I13181" t="s">
        <v>25552</v>
      </c>
      <c r="J13181" t="str">
        <f>HYPERLINK("https://www.boe.es/gazeta/dias/1822/03/08/pdfs/GMD-1822-69.pdf#page=3","Abrir facsímil")</f>
        <v>Abrir facsímil</v>
      </c>
      <c r="K13181" t="s">
        <v>22</v>
      </c>
    </row>
    <row r="13182" spans="1:11" ht="42" customHeight="1">
      <c r="A13182" t="s">
        <v>25548</v>
      </c>
      <c r="B13182" t="s">
        <v>25548</v>
      </c>
      <c r="C13182" t="s">
        <v>28</v>
      </c>
      <c r="D13182" t="s">
        <v>29</v>
      </c>
      <c r="E13182" s="6">
        <v>-28418</v>
      </c>
      <c r="F13182" t="s">
        <v>205</v>
      </c>
      <c r="G13182" t="s">
        <v>19</v>
      </c>
      <c r="H13182" t="s">
        <v>20</v>
      </c>
      <c r="I13182" t="s">
        <v>25553</v>
      </c>
      <c r="J13182" t="str">
        <f>HYPERLINK("https://www.boe.es/gazeta/dias/1822/03/11/pdfs/GMD-1822-72.pdf#page=5","Abrir facsímil")</f>
        <v>Abrir facsímil</v>
      </c>
      <c r="K13182" t="s">
        <v>22</v>
      </c>
    </row>
    <row r="13183" spans="1:11" ht="42" customHeight="1">
      <c r="A13183" t="s">
        <v>25548</v>
      </c>
      <c r="B13183" t="s">
        <v>25548</v>
      </c>
      <c r="C13183" t="s">
        <v>28</v>
      </c>
      <c r="D13183" t="s">
        <v>29</v>
      </c>
      <c r="E13183" s="6">
        <v>-28417</v>
      </c>
      <c r="F13183" t="s">
        <v>1394</v>
      </c>
      <c r="G13183" t="s">
        <v>35</v>
      </c>
      <c r="H13183" t="s">
        <v>20</v>
      </c>
      <c r="I13183" t="s">
        <v>25554</v>
      </c>
      <c r="J13183" t="str">
        <f>HYPERLINK("https://www.boe.es/gazeta/dias/1822/03/12/pdfs/GMD-1822-73.pdf#page=2","Abrir facsímil")</f>
        <v>Abrir facsímil</v>
      </c>
      <c r="K13183" t="s">
        <v>22</v>
      </c>
    </row>
    <row r="13184" spans="1:11" ht="42" customHeight="1">
      <c r="A13184" t="s">
        <v>25548</v>
      </c>
      <c r="B13184" t="s">
        <v>25548</v>
      </c>
      <c r="C13184" t="s">
        <v>42</v>
      </c>
      <c r="D13184" t="s">
        <v>17</v>
      </c>
      <c r="E13184" s="6">
        <v>-28417</v>
      </c>
      <c r="F13184" t="s">
        <v>1394</v>
      </c>
      <c r="G13184" t="s">
        <v>57</v>
      </c>
      <c r="H13184" t="s">
        <v>20</v>
      </c>
      <c r="I13184" t="s">
        <v>25555</v>
      </c>
      <c r="J13184" t="str">
        <f>HYPERLINK("https://www.boe.es/gazeta/dias/1822/03/12/pdfs/GMD-1822-73.pdf#page=4","Abrir facsímil")</f>
        <v>Abrir facsímil</v>
      </c>
      <c r="K13184" t="s">
        <v>22</v>
      </c>
    </row>
    <row r="13185" spans="1:11" ht="42" customHeight="1">
      <c r="A13185" t="s">
        <v>25548</v>
      </c>
      <c r="B13185" t="s">
        <v>25548</v>
      </c>
      <c r="C13185" t="s">
        <v>42</v>
      </c>
      <c r="D13185" t="s">
        <v>17</v>
      </c>
      <c r="E13185" s="6">
        <v>-28413</v>
      </c>
      <c r="F13185" t="s">
        <v>458</v>
      </c>
      <c r="G13185" t="s">
        <v>31</v>
      </c>
      <c r="H13185" t="s">
        <v>20</v>
      </c>
      <c r="I13185" t="s">
        <v>25556</v>
      </c>
      <c r="J13185" t="str">
        <f>HYPERLINK("https://www.boe.es/gazeta/dias/1822/03/16/pdfs/GMD-1822-77.pdf#page=3","Abrir facsímil")</f>
        <v>Abrir facsímil</v>
      </c>
      <c r="K13185" t="s">
        <v>22</v>
      </c>
    </row>
    <row r="13186" spans="1:11" ht="42" customHeight="1">
      <c r="A13186" t="s">
        <v>25548</v>
      </c>
      <c r="B13186" t="s">
        <v>25548</v>
      </c>
      <c r="C13186" t="s">
        <v>71</v>
      </c>
      <c r="D13186" t="s">
        <v>17</v>
      </c>
      <c r="E13186" s="6">
        <v>-28409</v>
      </c>
      <c r="F13186" t="s">
        <v>394</v>
      </c>
      <c r="G13186" t="s">
        <v>31</v>
      </c>
      <c r="H13186" t="s">
        <v>20</v>
      </c>
      <c r="I13186" t="s">
        <v>25557</v>
      </c>
      <c r="J13186" t="str">
        <f>HYPERLINK("https://www.boe.es/gazeta/dias/1822/03/20/pdfs/GMD-1822-81.pdf#page=3","Abrir facsímil")</f>
        <v>Abrir facsímil</v>
      </c>
      <c r="K13186" t="s">
        <v>22</v>
      </c>
    </row>
    <row r="13187" spans="1:11" ht="42" customHeight="1">
      <c r="A13187" t="s">
        <v>25548</v>
      </c>
      <c r="B13187" t="s">
        <v>25548</v>
      </c>
      <c r="C13187" t="s">
        <v>50</v>
      </c>
      <c r="D13187" t="s">
        <v>51</v>
      </c>
      <c r="E13187" s="6">
        <v>-28404</v>
      </c>
      <c r="F13187" t="s">
        <v>421</v>
      </c>
      <c r="G13187" t="s">
        <v>31</v>
      </c>
      <c r="H13187" t="s">
        <v>20</v>
      </c>
      <c r="I13187" t="s">
        <v>25558</v>
      </c>
      <c r="J13187" t="str">
        <f>HYPERLINK("https://www.boe.es/gazeta/dias/1822/03/25/pdfs/GMD-1822-86.pdf#page=3","Abrir facsímil")</f>
        <v>Abrir facsímil</v>
      </c>
      <c r="K13187" t="s">
        <v>22</v>
      </c>
    </row>
    <row r="13188" spans="1:11" ht="42" customHeight="1">
      <c r="A13188" t="s">
        <v>25548</v>
      </c>
      <c r="B13188" t="s">
        <v>25548</v>
      </c>
      <c r="C13188" t="s">
        <v>24</v>
      </c>
      <c r="D13188" t="s">
        <v>17</v>
      </c>
      <c r="E13188" s="6">
        <v>-28390</v>
      </c>
      <c r="F13188" t="s">
        <v>665</v>
      </c>
      <c r="G13188" t="s">
        <v>31</v>
      </c>
      <c r="H13188" t="s">
        <v>20</v>
      </c>
      <c r="I13188" t="s">
        <v>25559</v>
      </c>
      <c r="J13188" t="str">
        <f>HYPERLINK("https://www.boe.es/gazeta/dias/1822/04/08/pdfs/GMD-1822-100.pdf#page=3","Abrir facsímil")</f>
        <v>Abrir facsímil</v>
      </c>
      <c r="K13188" t="s">
        <v>22</v>
      </c>
    </row>
    <row r="13189" spans="1:11" ht="42" customHeight="1">
      <c r="A13189" t="s">
        <v>25548</v>
      </c>
      <c r="B13189" t="s">
        <v>25548</v>
      </c>
      <c r="C13189" t="s">
        <v>28</v>
      </c>
      <c r="D13189" t="s">
        <v>29</v>
      </c>
      <c r="E13189" s="6">
        <v>-28387</v>
      </c>
      <c r="F13189" t="s">
        <v>2874</v>
      </c>
      <c r="G13189" t="s">
        <v>57</v>
      </c>
      <c r="H13189" t="s">
        <v>20</v>
      </c>
      <c r="I13189" t="s">
        <v>25560</v>
      </c>
      <c r="J13189" t="str">
        <f>HYPERLINK("https://www.boe.es/gazeta/dias/1822/04/11/pdfs/GMD-1822-103.pdf#page=4","Abrir facsímil")</f>
        <v>Abrir facsímil</v>
      </c>
      <c r="K13189" t="s">
        <v>22</v>
      </c>
    </row>
    <row r="13190" spans="1:11" ht="42" customHeight="1">
      <c r="A13190" t="s">
        <v>25548</v>
      </c>
      <c r="B13190" t="s">
        <v>25548</v>
      </c>
      <c r="C13190" t="s">
        <v>42</v>
      </c>
      <c r="D13190" t="s">
        <v>17</v>
      </c>
      <c r="E13190" s="6">
        <v>-28385</v>
      </c>
      <c r="F13190" t="s">
        <v>484</v>
      </c>
      <c r="G13190" t="s">
        <v>57</v>
      </c>
      <c r="H13190" t="s">
        <v>20</v>
      </c>
      <c r="I13190" t="s">
        <v>25561</v>
      </c>
      <c r="J13190" t="str">
        <f>HYPERLINK("https://www.boe.es/gazeta/dias/1822/04/13/pdfs/GMD-1822-105.pdf#page=4","Abrir facsímil")</f>
        <v>Abrir facsímil</v>
      </c>
      <c r="K13190" t="s">
        <v>22</v>
      </c>
    </row>
    <row r="13191" spans="1:11" ht="42" customHeight="1">
      <c r="A13191" t="s">
        <v>25548</v>
      </c>
      <c r="B13191" t="s">
        <v>25548</v>
      </c>
      <c r="C13191" t="s">
        <v>50</v>
      </c>
      <c r="D13191" t="s">
        <v>51</v>
      </c>
      <c r="E13191" s="6">
        <v>-28384</v>
      </c>
      <c r="F13191" t="s">
        <v>258</v>
      </c>
      <c r="G13191" t="s">
        <v>31</v>
      </c>
      <c r="H13191" t="s">
        <v>20</v>
      </c>
      <c r="I13191" t="s">
        <v>25562</v>
      </c>
      <c r="J13191" t="str">
        <f>HYPERLINK("https://www.boe.es/gazeta/dias/1822/04/14/pdfs/GMD-1822-106.pdf#page=3","Abrir facsímil")</f>
        <v>Abrir facsímil</v>
      </c>
      <c r="K13191" t="s">
        <v>22</v>
      </c>
    </row>
    <row r="13192" spans="1:11" ht="42" customHeight="1">
      <c r="A13192" t="s">
        <v>25548</v>
      </c>
      <c r="B13192" t="s">
        <v>25548</v>
      </c>
      <c r="C13192" t="s">
        <v>71</v>
      </c>
      <c r="D13192" t="s">
        <v>17</v>
      </c>
      <c r="E13192" s="6">
        <v>-28384</v>
      </c>
      <c r="F13192" t="s">
        <v>258</v>
      </c>
      <c r="G13192" t="s">
        <v>57</v>
      </c>
      <c r="H13192" t="s">
        <v>20</v>
      </c>
      <c r="I13192" t="s">
        <v>25563</v>
      </c>
      <c r="J13192" t="str">
        <f>HYPERLINK("https://www.boe.es/gazeta/dias/1822/04/14/pdfs/GMD-1822-106.pdf#page=4","Abrir facsímil")</f>
        <v>Abrir facsímil</v>
      </c>
      <c r="K13192" t="s">
        <v>22</v>
      </c>
    </row>
    <row r="13193" spans="1:11" ht="42" customHeight="1">
      <c r="A13193" t="s">
        <v>25548</v>
      </c>
      <c r="B13193" t="s">
        <v>25548</v>
      </c>
      <c r="C13193" t="s">
        <v>71</v>
      </c>
      <c r="D13193" t="s">
        <v>17</v>
      </c>
      <c r="E13193" s="6">
        <v>-28371</v>
      </c>
      <c r="F13193" t="s">
        <v>401</v>
      </c>
      <c r="G13193" t="s">
        <v>31</v>
      </c>
      <c r="H13193" t="s">
        <v>20</v>
      </c>
      <c r="I13193" t="s">
        <v>25564</v>
      </c>
      <c r="J13193" t="str">
        <f>HYPERLINK("https://www.boe.es/gazeta/dias/1822/04/27/pdfs/GMD-1822-119.pdf#page=3","Abrir facsímil")</f>
        <v>Abrir facsímil</v>
      </c>
      <c r="K13193" t="s">
        <v>22</v>
      </c>
    </row>
    <row r="13194" spans="1:11" ht="42" customHeight="1">
      <c r="A13194" t="s">
        <v>25548</v>
      </c>
      <c r="B13194" t="s">
        <v>25548</v>
      </c>
      <c r="C13194" t="s">
        <v>42</v>
      </c>
      <c r="D13194" t="s">
        <v>17</v>
      </c>
      <c r="E13194" s="6">
        <v>-28357</v>
      </c>
      <c r="F13194" t="s">
        <v>690</v>
      </c>
      <c r="G13194" t="s">
        <v>35</v>
      </c>
      <c r="H13194" t="s">
        <v>20</v>
      </c>
      <c r="I13194" t="s">
        <v>25565</v>
      </c>
      <c r="J13194" t="str">
        <f>HYPERLINK("https://www.boe.es/gazeta/dias/1822/05/11/pdfs/GMD-1822-133.pdf#page=2","Abrir facsímil")</f>
        <v>Abrir facsímil</v>
      </c>
      <c r="K13194" t="s">
        <v>22</v>
      </c>
    </row>
    <row r="13195" spans="1:11" ht="42" customHeight="1">
      <c r="A13195" t="s">
        <v>25548</v>
      </c>
      <c r="B13195" t="s">
        <v>25548</v>
      </c>
      <c r="C13195" t="s">
        <v>50</v>
      </c>
      <c r="D13195" t="s">
        <v>51</v>
      </c>
      <c r="E13195" s="6">
        <v>-28355</v>
      </c>
      <c r="F13195" t="s">
        <v>692</v>
      </c>
      <c r="G13195" t="s">
        <v>44</v>
      </c>
      <c r="H13195" t="s">
        <v>20</v>
      </c>
      <c r="I13195" t="s">
        <v>25566</v>
      </c>
      <c r="J13195" t="str">
        <f>HYPERLINK("https://www.boe.es/gazeta/dias/1822/05/13/pdfs/GMD-1822-135.pdf#page=1","Abrir facsímil")</f>
        <v>Abrir facsímil</v>
      </c>
      <c r="K13195" t="s">
        <v>22</v>
      </c>
    </row>
    <row r="13196" spans="1:11" ht="42" customHeight="1">
      <c r="A13196" t="s">
        <v>25548</v>
      </c>
      <c r="B13196" t="s">
        <v>25548</v>
      </c>
      <c r="C13196" t="s">
        <v>42</v>
      </c>
      <c r="D13196" t="s">
        <v>17</v>
      </c>
      <c r="E13196" s="6">
        <v>-28344</v>
      </c>
      <c r="F13196" t="s">
        <v>524</v>
      </c>
      <c r="G13196" t="s">
        <v>1040</v>
      </c>
      <c r="H13196" t="s">
        <v>20</v>
      </c>
      <c r="I13196" t="s">
        <v>25567</v>
      </c>
      <c r="J13196" t="str">
        <f>HYPERLINK("https://www.boe.es/gazeta/dias/1822/05/24/pdfs/GMD-1822-148.pdf#page=2","Abrir facsímil")</f>
        <v>Abrir facsímil</v>
      </c>
      <c r="K13196" t="s">
        <v>22</v>
      </c>
    </row>
    <row r="13197" spans="1:11" ht="42" customHeight="1">
      <c r="A13197" t="s">
        <v>25548</v>
      </c>
      <c r="B13197" t="s">
        <v>25548</v>
      </c>
      <c r="C13197" t="s">
        <v>50</v>
      </c>
      <c r="D13197" t="s">
        <v>51</v>
      </c>
      <c r="E13197" s="6">
        <v>-28344</v>
      </c>
      <c r="F13197" t="s">
        <v>524</v>
      </c>
      <c r="G13197" t="s">
        <v>44</v>
      </c>
      <c r="H13197" t="s">
        <v>20</v>
      </c>
      <c r="I13197" t="s">
        <v>25568</v>
      </c>
      <c r="J13197" t="str">
        <f>HYPERLINK("https://www.boe.es/gazeta/dias/1822/05/24/pdfs/GMD-1822-148.pdf#page=1","Abrir facsímil")</f>
        <v>Abrir facsímil</v>
      </c>
      <c r="K13197" t="s">
        <v>22</v>
      </c>
    </row>
    <row r="13198" spans="1:11" ht="42" customHeight="1">
      <c r="A13198" t="s">
        <v>25548</v>
      </c>
      <c r="B13198" t="s">
        <v>25548</v>
      </c>
      <c r="C13198" t="s">
        <v>42</v>
      </c>
      <c r="D13198" t="s">
        <v>17</v>
      </c>
      <c r="E13198" s="6">
        <v>-28340</v>
      </c>
      <c r="F13198" t="s">
        <v>139</v>
      </c>
      <c r="G13198" t="s">
        <v>57</v>
      </c>
      <c r="H13198" t="s">
        <v>20</v>
      </c>
      <c r="I13198" t="s">
        <v>25569</v>
      </c>
      <c r="J13198" t="str">
        <f>HYPERLINK("https://www.boe.es/gazeta/dias/1822/05/28/pdfs/GMD-1822-153.pdf#page=4","Abrir facsímil")</f>
        <v>Abrir facsímil</v>
      </c>
      <c r="K13198" t="s">
        <v>22</v>
      </c>
    </row>
    <row r="13199" spans="1:11" ht="42" customHeight="1">
      <c r="A13199" t="s">
        <v>25548</v>
      </c>
      <c r="B13199" t="s">
        <v>25548</v>
      </c>
      <c r="C13199" t="s">
        <v>16</v>
      </c>
      <c r="D13199" t="s">
        <v>17</v>
      </c>
      <c r="E13199" s="6">
        <v>-28326</v>
      </c>
      <c r="F13199" t="s">
        <v>543</v>
      </c>
      <c r="G13199" t="s">
        <v>31</v>
      </c>
      <c r="H13199" t="s">
        <v>20</v>
      </c>
      <c r="I13199" t="s">
        <v>25570</v>
      </c>
      <c r="J13199" t="str">
        <f>HYPERLINK("https://www.boe.es/gazeta/dias/1822/06/11/pdfs/GMD-1822-168.pdf#page=3","Abrir facsímil")</f>
        <v>Abrir facsímil</v>
      </c>
      <c r="K13199" t="s">
        <v>22</v>
      </c>
    </row>
    <row r="13200" spans="1:11" ht="42" customHeight="1">
      <c r="A13200" t="s">
        <v>25548</v>
      </c>
      <c r="B13200" t="s">
        <v>25548</v>
      </c>
      <c r="C13200" t="s">
        <v>50</v>
      </c>
      <c r="D13200" t="s">
        <v>51</v>
      </c>
      <c r="E13200" s="6">
        <v>-28317</v>
      </c>
      <c r="F13200" t="s">
        <v>546</v>
      </c>
      <c r="G13200" t="s">
        <v>63</v>
      </c>
      <c r="H13200" t="s">
        <v>20</v>
      </c>
      <c r="I13200" t="s">
        <v>25571</v>
      </c>
      <c r="J13200" t="str">
        <f>HYPERLINK("https://www.boe.es/gazeta/dias/1822/06/20/pdfs/GMD-1822-177.pdf#page=6","Abrir facsímil")</f>
        <v>Abrir facsímil</v>
      </c>
      <c r="K13200" t="s">
        <v>22</v>
      </c>
    </row>
    <row r="13201" spans="1:11" ht="42" customHeight="1">
      <c r="A13201" t="s">
        <v>25548</v>
      </c>
      <c r="B13201" t="s">
        <v>25548</v>
      </c>
      <c r="C13201" t="s">
        <v>42</v>
      </c>
      <c r="D13201" t="s">
        <v>17</v>
      </c>
      <c r="E13201" s="6">
        <v>-28317</v>
      </c>
      <c r="F13201" t="s">
        <v>546</v>
      </c>
      <c r="G13201" t="s">
        <v>167</v>
      </c>
      <c r="H13201" t="s">
        <v>20</v>
      </c>
      <c r="I13201" t="s">
        <v>25572</v>
      </c>
      <c r="J13201" t="str">
        <f>HYPERLINK("https://www.boe.es/gazeta/dias/1822/06/20/pdfs/GMD-1822-177.pdf#page=7","Abrir facsímil")</f>
        <v>Abrir facsímil</v>
      </c>
      <c r="K13201" t="s">
        <v>22</v>
      </c>
    </row>
    <row r="13202" spans="1:11" ht="42" customHeight="1">
      <c r="A13202" t="s">
        <v>25548</v>
      </c>
      <c r="B13202" t="s">
        <v>25548</v>
      </c>
      <c r="C13202" t="s">
        <v>28</v>
      </c>
      <c r="D13202" t="s">
        <v>29</v>
      </c>
      <c r="E13202" s="6">
        <v>-28316</v>
      </c>
      <c r="F13202" t="s">
        <v>1144</v>
      </c>
      <c r="G13202" t="s">
        <v>35</v>
      </c>
      <c r="H13202" t="s">
        <v>20</v>
      </c>
      <c r="I13202" t="s">
        <v>25573</v>
      </c>
      <c r="J13202" t="str">
        <f>HYPERLINK("https://www.boe.es/gazeta/dias/1822/06/21/pdfs/GMD-1822-179.pdf#page=2","Abrir facsímil")</f>
        <v>Abrir facsímil</v>
      </c>
      <c r="K13202" t="s">
        <v>22</v>
      </c>
    </row>
    <row r="13203" spans="1:11" ht="42" customHeight="1">
      <c r="A13203" t="s">
        <v>25548</v>
      </c>
      <c r="B13203" t="s">
        <v>25548</v>
      </c>
      <c r="C13203" t="s">
        <v>42</v>
      </c>
      <c r="D13203" t="s">
        <v>17</v>
      </c>
      <c r="E13203" s="6">
        <v>-28316</v>
      </c>
      <c r="F13203" t="s">
        <v>1144</v>
      </c>
      <c r="G13203" t="s">
        <v>31</v>
      </c>
      <c r="H13203" t="s">
        <v>20</v>
      </c>
      <c r="I13203" t="s">
        <v>25574</v>
      </c>
      <c r="J13203" t="str">
        <f>HYPERLINK("https://www.boe.es/gazeta/dias/1822/06/21/pdfs/GMD-1822-179.pdf#page=3","Abrir facsímil")</f>
        <v>Abrir facsímil</v>
      </c>
      <c r="K13203" t="s">
        <v>22</v>
      </c>
    </row>
    <row r="13204" spans="1:11" ht="42" customHeight="1">
      <c r="A13204" t="s">
        <v>25548</v>
      </c>
      <c r="B13204" t="s">
        <v>25548</v>
      </c>
      <c r="C13204" t="s">
        <v>50</v>
      </c>
      <c r="D13204" t="s">
        <v>51</v>
      </c>
      <c r="E13204" s="6">
        <v>-28315</v>
      </c>
      <c r="F13204" t="s">
        <v>1220</v>
      </c>
      <c r="G13204" t="s">
        <v>63</v>
      </c>
      <c r="H13204" t="s">
        <v>20</v>
      </c>
      <c r="I13204" t="s">
        <v>25575</v>
      </c>
      <c r="J13204" t="str">
        <f>HYPERLINK("https://www.boe.es/gazeta/dias/1822/06/22/pdfs/GMD-1822-180.pdf#page=6","Abrir facsímil")</f>
        <v>Abrir facsímil</v>
      </c>
      <c r="K13204" t="s">
        <v>22</v>
      </c>
    </row>
    <row r="13205" spans="1:11" ht="42" customHeight="1">
      <c r="A13205" t="s">
        <v>25548</v>
      </c>
      <c r="B13205" t="s">
        <v>25548</v>
      </c>
      <c r="C13205" t="s">
        <v>28</v>
      </c>
      <c r="D13205" t="s">
        <v>29</v>
      </c>
      <c r="E13205" s="6">
        <v>-28313</v>
      </c>
      <c r="F13205" t="s">
        <v>315</v>
      </c>
      <c r="G13205" t="s">
        <v>57</v>
      </c>
      <c r="H13205" t="s">
        <v>20</v>
      </c>
      <c r="I13205" t="s">
        <v>25576</v>
      </c>
      <c r="J13205" t="str">
        <f>HYPERLINK("https://www.boe.es/gazeta/dias/1822/06/24/pdfs/GMD-1822-182.pdf#page=4","Abrir facsímil")</f>
        <v>Abrir facsímil</v>
      </c>
      <c r="K13205" t="s">
        <v>22</v>
      </c>
    </row>
    <row r="13206" spans="1:11" ht="42" customHeight="1">
      <c r="A13206" t="s">
        <v>25548</v>
      </c>
      <c r="B13206" t="s">
        <v>25548</v>
      </c>
      <c r="C13206" t="s">
        <v>71</v>
      </c>
      <c r="D13206" t="s">
        <v>17</v>
      </c>
      <c r="E13206" s="6">
        <v>-28310</v>
      </c>
      <c r="F13206" t="s">
        <v>241</v>
      </c>
      <c r="G13206" t="s">
        <v>35</v>
      </c>
      <c r="H13206" t="s">
        <v>20</v>
      </c>
      <c r="I13206" t="s">
        <v>25577</v>
      </c>
      <c r="J13206" t="str">
        <f>HYPERLINK("https://www.boe.es/gazeta/dias/1822/06/27/pdfs/GMD-1822-185.pdf#page=2","Abrir facsímil")</f>
        <v>Abrir facsímil</v>
      </c>
      <c r="K13206" t="s">
        <v>22</v>
      </c>
    </row>
    <row r="13207" spans="1:11" ht="42" customHeight="1">
      <c r="A13207" t="s">
        <v>25548</v>
      </c>
      <c r="B13207" t="s">
        <v>25548</v>
      </c>
      <c r="C13207" t="s">
        <v>16</v>
      </c>
      <c r="D13207" t="s">
        <v>17</v>
      </c>
      <c r="E13207" s="6">
        <v>-28307</v>
      </c>
      <c r="F13207" t="s">
        <v>555</v>
      </c>
      <c r="G13207" t="s">
        <v>63</v>
      </c>
      <c r="H13207" t="s">
        <v>20</v>
      </c>
      <c r="I13207" t="s">
        <v>25578</v>
      </c>
      <c r="J13207" t="str">
        <f>HYPERLINK("https://www.boe.es/gazeta/dias/1822/06/30/pdfs/GMD-1822-188.pdf#page=6","Abrir facsímil")</f>
        <v>Abrir facsímil</v>
      </c>
      <c r="K13207" t="s">
        <v>22</v>
      </c>
    </row>
    <row r="13208" spans="1:11" ht="42" customHeight="1">
      <c r="A13208" t="s">
        <v>25548</v>
      </c>
      <c r="B13208" t="s">
        <v>25548</v>
      </c>
      <c r="C13208" t="s">
        <v>50</v>
      </c>
      <c r="D13208" t="s">
        <v>51</v>
      </c>
      <c r="E13208" s="6">
        <v>-28290</v>
      </c>
      <c r="F13208" t="s">
        <v>706</v>
      </c>
      <c r="G13208" t="s">
        <v>35</v>
      </c>
      <c r="H13208" t="s">
        <v>20</v>
      </c>
      <c r="I13208" t="s">
        <v>25579</v>
      </c>
      <c r="J13208" t="str">
        <f>HYPERLINK("https://www.boe.es/gazeta/dias/1822/07/17/pdfs/GMD-1822-207.pdf#page=2","Abrir facsímil")</f>
        <v>Abrir facsímil</v>
      </c>
      <c r="K13208" t="s">
        <v>22</v>
      </c>
    </row>
    <row r="13209" spans="1:11" ht="42" customHeight="1">
      <c r="A13209" t="s">
        <v>25548</v>
      </c>
      <c r="B13209" t="s">
        <v>25548</v>
      </c>
      <c r="C13209" t="s">
        <v>28</v>
      </c>
      <c r="D13209" t="s">
        <v>29</v>
      </c>
      <c r="E13209" s="6">
        <v>-28211</v>
      </c>
      <c r="F13209" t="s">
        <v>273</v>
      </c>
      <c r="G13209" t="s">
        <v>57</v>
      </c>
      <c r="H13209" t="s">
        <v>20</v>
      </c>
      <c r="I13209" t="s">
        <v>25580</v>
      </c>
      <c r="J13209" t="str">
        <f>HYPERLINK("https://www.boe.es/gazeta/dias/1822/10/04/pdfs/GMD-1822-290.pdf#page=4","Abrir facsímil")</f>
        <v>Abrir facsímil</v>
      </c>
      <c r="K13209" t="s">
        <v>22</v>
      </c>
    </row>
    <row r="13210" spans="1:11" ht="42" customHeight="1">
      <c r="A13210" t="s">
        <v>25548</v>
      </c>
      <c r="B13210" t="s">
        <v>25548</v>
      </c>
      <c r="C13210" t="s">
        <v>42</v>
      </c>
      <c r="D13210" t="s">
        <v>17</v>
      </c>
      <c r="E13210" s="6">
        <v>-28205</v>
      </c>
      <c r="F13210" t="s">
        <v>806</v>
      </c>
      <c r="G13210" t="s">
        <v>44</v>
      </c>
      <c r="H13210" t="s">
        <v>20</v>
      </c>
      <c r="I13210" t="s">
        <v>25581</v>
      </c>
      <c r="J13210" t="str">
        <f>HYPERLINK("https://www.boe.es/gazeta/dias/1822/10/10/pdfs/GMD-1822-297.pdf#page=1","Abrir facsímil")</f>
        <v>Abrir facsímil</v>
      </c>
      <c r="K13210" t="s">
        <v>22</v>
      </c>
    </row>
    <row r="13211" spans="1:11" ht="42" customHeight="1">
      <c r="A13211" t="s">
        <v>25548</v>
      </c>
      <c r="B13211" t="s">
        <v>25548</v>
      </c>
      <c r="C13211" t="s">
        <v>50</v>
      </c>
      <c r="D13211" t="s">
        <v>51</v>
      </c>
      <c r="E13211" s="6">
        <v>-28204</v>
      </c>
      <c r="F13211" t="s">
        <v>3190</v>
      </c>
      <c r="G13211" t="s">
        <v>167</v>
      </c>
      <c r="H13211" t="s">
        <v>20</v>
      </c>
      <c r="I13211" t="s">
        <v>25582</v>
      </c>
      <c r="J13211" t="str">
        <f>HYPERLINK("https://www.boe.es/gazeta/dias/1822/10/11/pdfs/GMD-1822-298.pdf#page=7","Abrir facsímil")</f>
        <v>Abrir facsímil</v>
      </c>
      <c r="K13211" t="s">
        <v>22</v>
      </c>
    </row>
    <row r="13212" spans="1:11" ht="42" customHeight="1">
      <c r="A13212" t="s">
        <v>25548</v>
      </c>
      <c r="B13212" t="s">
        <v>25548</v>
      </c>
      <c r="C13212" t="s">
        <v>42</v>
      </c>
      <c r="D13212" t="s">
        <v>17</v>
      </c>
      <c r="E13212" s="6">
        <v>-28203</v>
      </c>
      <c r="F13212" t="s">
        <v>564</v>
      </c>
      <c r="G13212" t="s">
        <v>44</v>
      </c>
      <c r="H13212" t="s">
        <v>20</v>
      </c>
      <c r="I13212" t="s">
        <v>25583</v>
      </c>
      <c r="J13212" t="str">
        <f>HYPERLINK("https://www.boe.es/gazeta/dias/1822/10/12/pdfs/GMD-1822-299.pdf#page=1","Abrir facsímil")</f>
        <v>Abrir facsímil</v>
      </c>
      <c r="K13212" t="s">
        <v>22</v>
      </c>
    </row>
    <row r="13213" spans="1:11" ht="42" customHeight="1">
      <c r="A13213" t="s">
        <v>25548</v>
      </c>
      <c r="B13213" t="s">
        <v>25548</v>
      </c>
      <c r="C13213" t="s">
        <v>42</v>
      </c>
      <c r="D13213" t="s">
        <v>17</v>
      </c>
      <c r="E13213" s="6">
        <v>-28199</v>
      </c>
      <c r="F13213" t="s">
        <v>656</v>
      </c>
      <c r="G13213" t="s">
        <v>35</v>
      </c>
      <c r="H13213" t="s">
        <v>20</v>
      </c>
      <c r="I13213" t="s">
        <v>25584</v>
      </c>
      <c r="J13213" t="str">
        <f>HYPERLINK("https://www.boe.es/gazeta/dias/1822/10/16/pdfs/GMD-1822-303.pdf#page=2","Abrir facsímil")</f>
        <v>Abrir facsímil</v>
      </c>
      <c r="K13213" t="s">
        <v>22</v>
      </c>
    </row>
    <row r="13214" spans="1:11" ht="42" customHeight="1">
      <c r="A13214" t="s">
        <v>25548</v>
      </c>
      <c r="B13214" t="s">
        <v>25548</v>
      </c>
      <c r="C13214" t="s">
        <v>50</v>
      </c>
      <c r="D13214" t="s">
        <v>51</v>
      </c>
      <c r="E13214" s="6">
        <v>-28188</v>
      </c>
      <c r="F13214" t="s">
        <v>578</v>
      </c>
      <c r="G13214" t="s">
        <v>44</v>
      </c>
      <c r="H13214" t="s">
        <v>20</v>
      </c>
      <c r="I13214" t="s">
        <v>25585</v>
      </c>
      <c r="J13214" t="str">
        <f>HYPERLINK("https://www.boe.es/gazeta/dias/1822/10/27/pdfs/GMD-1822-314.pdf#page=1","Abrir facsímil")</f>
        <v>Abrir facsímil</v>
      </c>
      <c r="K13214" t="s">
        <v>22</v>
      </c>
    </row>
    <row r="13215" spans="1:11" ht="42" customHeight="1">
      <c r="A13215" t="s">
        <v>25548</v>
      </c>
      <c r="B13215" t="s">
        <v>25548</v>
      </c>
      <c r="C13215" t="s">
        <v>28</v>
      </c>
      <c r="D13215" t="s">
        <v>29</v>
      </c>
      <c r="E13215" s="6">
        <v>-28188</v>
      </c>
      <c r="F13215" t="s">
        <v>578</v>
      </c>
      <c r="G13215" t="s">
        <v>35</v>
      </c>
      <c r="H13215" t="s">
        <v>20</v>
      </c>
      <c r="I13215" t="s">
        <v>25586</v>
      </c>
      <c r="J13215" t="str">
        <f>HYPERLINK("https://www.boe.es/gazeta/dias/1822/10/27/pdfs/GMD-1822-314.pdf#page=2","Abrir facsímil")</f>
        <v>Abrir facsímil</v>
      </c>
      <c r="K13215" t="s">
        <v>22</v>
      </c>
    </row>
    <row r="13216" spans="1:11" ht="42" customHeight="1">
      <c r="A13216" t="s">
        <v>25548</v>
      </c>
      <c r="B13216" t="s">
        <v>25548</v>
      </c>
      <c r="C13216" t="s">
        <v>42</v>
      </c>
      <c r="D13216" t="s">
        <v>17</v>
      </c>
      <c r="E13216" s="6">
        <v>-28188</v>
      </c>
      <c r="F13216" t="s">
        <v>578</v>
      </c>
      <c r="G13216" t="s">
        <v>31</v>
      </c>
      <c r="H13216" t="s">
        <v>20</v>
      </c>
      <c r="I13216" t="s">
        <v>25587</v>
      </c>
      <c r="J13216" t="str">
        <f>HYPERLINK("https://www.boe.es/gazeta/dias/1822/10/27/pdfs/GMD-1822-314.pdf#page=3","Abrir facsímil")</f>
        <v>Abrir facsímil</v>
      </c>
      <c r="K13216" t="s">
        <v>22</v>
      </c>
    </row>
    <row r="13217" spans="1:11" ht="42" customHeight="1">
      <c r="A13217" t="s">
        <v>25548</v>
      </c>
      <c r="B13217" t="s">
        <v>25548</v>
      </c>
      <c r="C13217" t="s">
        <v>50</v>
      </c>
      <c r="D13217" t="s">
        <v>51</v>
      </c>
      <c r="E13217" s="6">
        <v>-28186</v>
      </c>
      <c r="F13217" t="s">
        <v>581</v>
      </c>
      <c r="G13217" t="s">
        <v>35</v>
      </c>
      <c r="H13217" t="s">
        <v>20</v>
      </c>
      <c r="I13217" t="s">
        <v>25588</v>
      </c>
      <c r="J13217" t="str">
        <f>HYPERLINK("https://www.boe.es/gazeta/dias/1822/10/29/pdfs/GMD-1822-316.pdf#page=2","Abrir facsímil")</f>
        <v>Abrir facsímil</v>
      </c>
      <c r="K13217" t="s">
        <v>22</v>
      </c>
    </row>
    <row r="13218" spans="1:11" ht="42" customHeight="1">
      <c r="A13218" t="s">
        <v>25548</v>
      </c>
      <c r="B13218" t="s">
        <v>25548</v>
      </c>
      <c r="C13218" t="s">
        <v>50</v>
      </c>
      <c r="D13218" t="s">
        <v>51</v>
      </c>
      <c r="E13218" s="6">
        <v>-28169</v>
      </c>
      <c r="F13218" t="s">
        <v>2571</v>
      </c>
      <c r="G13218" t="s">
        <v>35</v>
      </c>
      <c r="H13218" t="s">
        <v>20</v>
      </c>
      <c r="I13218" t="s">
        <v>25589</v>
      </c>
      <c r="J13218" t="str">
        <f>HYPERLINK("https://www.boe.es/gazeta/dias/1822/11/15/pdfs/GMD-1822-335.pdf#page=2","Abrir facsímil")</f>
        <v>Abrir facsímil</v>
      </c>
      <c r="K13218" t="s">
        <v>22</v>
      </c>
    </row>
    <row r="13219" spans="1:11" ht="42" customHeight="1">
      <c r="A13219" t="s">
        <v>25548</v>
      </c>
      <c r="B13219" t="s">
        <v>25548</v>
      </c>
      <c r="C13219" t="s">
        <v>71</v>
      </c>
      <c r="D13219" t="s">
        <v>17</v>
      </c>
      <c r="E13219" s="6">
        <v>-28163</v>
      </c>
      <c r="F13219" t="s">
        <v>891</v>
      </c>
      <c r="G13219" t="s">
        <v>31</v>
      </c>
      <c r="H13219" t="s">
        <v>20</v>
      </c>
      <c r="I13219" t="s">
        <v>25590</v>
      </c>
      <c r="J13219" t="str">
        <f>HYPERLINK("https://www.boe.es/gazeta/dias/1822/11/21/pdfs/GMD-1822-341.pdf#page=3","Abrir facsímil")</f>
        <v>Abrir facsímil</v>
      </c>
      <c r="K13219" t="s">
        <v>22</v>
      </c>
    </row>
    <row r="13220" spans="1:11" ht="42" customHeight="1">
      <c r="A13220" t="s">
        <v>25548</v>
      </c>
      <c r="B13220" t="s">
        <v>25548</v>
      </c>
      <c r="C13220" t="s">
        <v>50</v>
      </c>
      <c r="D13220" t="s">
        <v>51</v>
      </c>
      <c r="E13220" s="6">
        <v>-28162</v>
      </c>
      <c r="F13220" t="s">
        <v>3949</v>
      </c>
      <c r="G13220" t="s">
        <v>31</v>
      </c>
      <c r="H13220" t="s">
        <v>20</v>
      </c>
      <c r="I13220" t="s">
        <v>25591</v>
      </c>
      <c r="J13220" t="str">
        <f>HYPERLINK("https://www.boe.es/gazeta/dias/1822/11/22/pdfs/GMD-1822-342.pdf#page=3","Abrir facsímil")</f>
        <v>Abrir facsímil</v>
      </c>
      <c r="K13220" t="s">
        <v>22</v>
      </c>
    </row>
    <row r="13221" spans="1:11" ht="42" customHeight="1">
      <c r="A13221" t="s">
        <v>25548</v>
      </c>
      <c r="B13221" t="s">
        <v>25548</v>
      </c>
      <c r="C13221" t="s">
        <v>42</v>
      </c>
      <c r="D13221" t="s">
        <v>17</v>
      </c>
      <c r="E13221" s="6">
        <v>-28150</v>
      </c>
      <c r="F13221" t="s">
        <v>62</v>
      </c>
      <c r="G13221" t="s">
        <v>19</v>
      </c>
      <c r="H13221" t="s">
        <v>20</v>
      </c>
      <c r="I13221" t="s">
        <v>25592</v>
      </c>
      <c r="J13221" t="str">
        <f>HYPERLINK("https://www.boe.es/gazeta/dias/1822/12/04/pdfs/GMD-1822-354.pdf#page=5","Abrir facsímil")</f>
        <v>Abrir facsímil</v>
      </c>
      <c r="K13221" t="s">
        <v>22</v>
      </c>
    </row>
    <row r="13222" spans="1:11" ht="42" customHeight="1">
      <c r="A13222" t="s">
        <v>25548</v>
      </c>
      <c r="B13222" t="s">
        <v>25548</v>
      </c>
      <c r="C13222" t="s">
        <v>28</v>
      </c>
      <c r="D13222" t="s">
        <v>29</v>
      </c>
      <c r="E13222" s="6">
        <v>-28149</v>
      </c>
      <c r="F13222" t="s">
        <v>1322</v>
      </c>
      <c r="G13222" t="s">
        <v>44</v>
      </c>
      <c r="H13222" t="s">
        <v>20</v>
      </c>
      <c r="I13222" t="s">
        <v>25593</v>
      </c>
      <c r="J13222" t="str">
        <f>HYPERLINK("https://www.boe.es/gazeta/dias/1822/12/05/pdfs/GMD-1822-355.pdf#page=1","Abrir facsímil")</f>
        <v>Abrir facsímil</v>
      </c>
      <c r="K13222" t="s">
        <v>22</v>
      </c>
    </row>
    <row r="13223" spans="1:11" ht="42" customHeight="1">
      <c r="A13223" t="s">
        <v>25548</v>
      </c>
      <c r="B13223" t="s">
        <v>25548</v>
      </c>
      <c r="C13223" t="s">
        <v>50</v>
      </c>
      <c r="D13223" t="s">
        <v>51</v>
      </c>
      <c r="E13223" s="6">
        <v>-28140</v>
      </c>
      <c r="F13223" t="s">
        <v>84</v>
      </c>
      <c r="G13223" t="s">
        <v>35</v>
      </c>
      <c r="H13223" t="s">
        <v>20</v>
      </c>
      <c r="I13223" t="s">
        <v>25594</v>
      </c>
      <c r="J13223" t="str">
        <f>HYPERLINK("https://www.boe.es/gazeta/dias/1822/12/14/pdfs/GMD-1822-364.pdf#page=2","Abrir facsímil")</f>
        <v>Abrir facsímil</v>
      </c>
      <c r="K13223" t="s">
        <v>22</v>
      </c>
    </row>
    <row r="13224" spans="1:11" ht="42" customHeight="1">
      <c r="A13224" t="s">
        <v>25548</v>
      </c>
      <c r="B13224" t="s">
        <v>25548</v>
      </c>
      <c r="C13224" t="s">
        <v>50</v>
      </c>
      <c r="D13224" t="s">
        <v>51</v>
      </c>
      <c r="E13224" s="6">
        <v>-28137</v>
      </c>
      <c r="F13224" t="s">
        <v>312</v>
      </c>
      <c r="G13224" t="s">
        <v>35</v>
      </c>
      <c r="H13224" t="s">
        <v>20</v>
      </c>
      <c r="I13224" t="s">
        <v>25595</v>
      </c>
      <c r="J13224" t="str">
        <f>HYPERLINK("https://www.boe.es/gazeta/dias/1822/12/17/pdfs/GMD-1822-367.pdf#page=2","Abrir facsímil")</f>
        <v>Abrir facsímil</v>
      </c>
      <c r="K13224" t="s">
        <v>22</v>
      </c>
    </row>
    <row r="13225" spans="1:11" ht="42" customHeight="1">
      <c r="A13225" t="s">
        <v>25548</v>
      </c>
      <c r="B13225" t="s">
        <v>25548</v>
      </c>
      <c r="C13225" t="s">
        <v>42</v>
      </c>
      <c r="D13225" t="s">
        <v>17</v>
      </c>
      <c r="E13225" s="6">
        <v>-28126</v>
      </c>
      <c r="F13225" t="s">
        <v>952</v>
      </c>
      <c r="G13225" t="s">
        <v>31</v>
      </c>
      <c r="H13225" t="s">
        <v>20</v>
      </c>
      <c r="I13225" t="s">
        <v>25596</v>
      </c>
      <c r="J13225" t="str">
        <f>HYPERLINK("https://www.boe.es/gazeta/dias/1822/12/28/pdfs/GMD-1822-378.pdf#page=3","Abrir facsímil")</f>
        <v>Abrir facsímil</v>
      </c>
      <c r="K13225" t="s">
        <v>22</v>
      </c>
    </row>
    <row r="13226" spans="1:11" ht="42" customHeight="1">
      <c r="A13226" t="s">
        <v>25548</v>
      </c>
      <c r="B13226" t="s">
        <v>25548</v>
      </c>
      <c r="C13226" t="s">
        <v>42</v>
      </c>
      <c r="D13226" t="s">
        <v>17</v>
      </c>
      <c r="E13226" s="6">
        <v>-28125</v>
      </c>
      <c r="F13226" t="s">
        <v>322</v>
      </c>
      <c r="G13226" t="s">
        <v>57</v>
      </c>
      <c r="H13226" t="s">
        <v>20</v>
      </c>
      <c r="I13226" t="s">
        <v>25597</v>
      </c>
      <c r="J13226" t="str">
        <f>HYPERLINK("https://www.boe.es/gazeta/dias/1822/12/29/pdfs/GMD-1822-379.pdf#page=4","Abrir facsímil")</f>
        <v>Abrir facsímil</v>
      </c>
      <c r="K13226" t="s">
        <v>22</v>
      </c>
    </row>
    <row r="13227" spans="1:11" ht="42" customHeight="1">
      <c r="A13227" t="s">
        <v>25598</v>
      </c>
      <c r="B13227" t="s">
        <v>25599</v>
      </c>
      <c r="C13227" t="s">
        <v>50</v>
      </c>
      <c r="D13227" t="s">
        <v>51</v>
      </c>
      <c r="E13227" s="6">
        <v>-28290</v>
      </c>
      <c r="F13227" t="s">
        <v>706</v>
      </c>
      <c r="G13227" t="s">
        <v>35</v>
      </c>
      <c r="H13227" t="s">
        <v>20</v>
      </c>
      <c r="I13227" t="s">
        <v>25600</v>
      </c>
      <c r="J13227" t="str">
        <f>HYPERLINK("https://www.boe.es/gazeta/dias/1822/07/17/pdfs/GMD-1822-207.pdf#page=2","Abrir facsímil")</f>
        <v>Abrir facsímil</v>
      </c>
      <c r="K13227" t="s">
        <v>22</v>
      </c>
    </row>
    <row r="13228" spans="1:11" ht="42" customHeight="1">
      <c r="A13228" t="s">
        <v>25601</v>
      </c>
      <c r="B13228" t="s">
        <v>25602</v>
      </c>
      <c r="C13228" t="s">
        <v>50</v>
      </c>
      <c r="D13228" t="s">
        <v>51</v>
      </c>
      <c r="E13228" s="6">
        <v>-28292</v>
      </c>
      <c r="F13228" t="s">
        <v>222</v>
      </c>
      <c r="G13228" t="s">
        <v>31</v>
      </c>
      <c r="H13228" t="s">
        <v>45</v>
      </c>
      <c r="I13228" t="s">
        <v>25603</v>
      </c>
      <c r="J13228" t="str">
        <f>HYPERLINK("https://www.boe.es/gazeta/dias/1822/07/15/pdfs/GMD-1822-205.pdf#page=3","Abrir facsímil")</f>
        <v>Abrir facsímil</v>
      </c>
      <c r="K13228" t="s">
        <v>47</v>
      </c>
    </row>
    <row r="13229" spans="1:11" ht="42" customHeight="1">
      <c r="A13229" t="s">
        <v>25604</v>
      </c>
      <c r="B13229" t="s">
        <v>25604</v>
      </c>
      <c r="C13229" t="s">
        <v>71</v>
      </c>
      <c r="D13229" t="s">
        <v>17</v>
      </c>
      <c r="E13229" s="6">
        <v>-28138</v>
      </c>
      <c r="F13229" t="s">
        <v>3542</v>
      </c>
      <c r="G13229" t="s">
        <v>31</v>
      </c>
      <c r="H13229" t="s">
        <v>20</v>
      </c>
      <c r="I13229" t="s">
        <v>25605</v>
      </c>
      <c r="J13229" t="str">
        <f>HYPERLINK("https://www.boe.es/gazeta/dias/1822/12/16/pdfs/GMD-1822-366.pdf#page=3","Abrir facsímil")</f>
        <v>Abrir facsímil</v>
      </c>
      <c r="K13229" t="s">
        <v>22</v>
      </c>
    </row>
    <row r="13230" spans="1:11" ht="42" customHeight="1">
      <c r="A13230" t="s">
        <v>25606</v>
      </c>
      <c r="B13230" t="s">
        <v>25606</v>
      </c>
      <c r="C13230" t="s">
        <v>362</v>
      </c>
      <c r="D13230" t="s">
        <v>17</v>
      </c>
      <c r="E13230" s="6">
        <v>-28152</v>
      </c>
      <c r="F13230" t="s">
        <v>122</v>
      </c>
      <c r="G13230" t="s">
        <v>31</v>
      </c>
      <c r="H13230" t="s">
        <v>20</v>
      </c>
      <c r="I13230" t="s">
        <v>25607</v>
      </c>
      <c r="J13230" t="str">
        <f>HYPERLINK("https://www.boe.es/gazeta/dias/1822/12/02/pdfs/GMD-1822-352.pdf#page=3","Abrir facsímil")</f>
        <v>Abrir facsímil</v>
      </c>
      <c r="K13230" t="s">
        <v>22</v>
      </c>
    </row>
    <row r="13231" spans="1:11" ht="42" customHeight="1">
      <c r="A13231" t="s">
        <v>25608</v>
      </c>
      <c r="B13231" t="s">
        <v>25608</v>
      </c>
      <c r="C13231" t="s">
        <v>16</v>
      </c>
      <c r="D13231" t="s">
        <v>17</v>
      </c>
      <c r="E13231" s="6">
        <v>-28327</v>
      </c>
      <c r="F13231" t="s">
        <v>38</v>
      </c>
      <c r="G13231" t="s">
        <v>57</v>
      </c>
      <c r="H13231" t="s">
        <v>20</v>
      </c>
      <c r="I13231" t="s">
        <v>25609</v>
      </c>
      <c r="J13231" t="str">
        <f>HYPERLINK("https://www.boe.es/gazeta/dias/1822/06/10/pdfs/GMD-1822-167.pdf#page=4","Abrir facsímil")</f>
        <v>Abrir facsímil</v>
      </c>
      <c r="K13231" t="s">
        <v>22</v>
      </c>
    </row>
    <row r="13232" spans="1:11" ht="42" customHeight="1">
      <c r="A13232" t="s">
        <v>25610</v>
      </c>
      <c r="B13232" t="s">
        <v>25611</v>
      </c>
      <c r="C13232" t="s">
        <v>50</v>
      </c>
      <c r="D13232" t="s">
        <v>51</v>
      </c>
      <c r="E13232" s="6">
        <v>-28286</v>
      </c>
      <c r="F13232" t="s">
        <v>1853</v>
      </c>
      <c r="G13232" t="s">
        <v>35</v>
      </c>
      <c r="H13232" t="s">
        <v>20</v>
      </c>
      <c r="I13232" t="s">
        <v>25612</v>
      </c>
      <c r="J13232" t="str">
        <f>HYPERLINK("https://www.boe.es/gazeta/dias/1822/07/21/pdfs/GMD-1822-213.pdf#page=2","Abrir facsímil")</f>
        <v>Abrir facsímil</v>
      </c>
      <c r="K13232" t="s">
        <v>22</v>
      </c>
    </row>
    <row r="13233" spans="1:11" ht="42" customHeight="1">
      <c r="A13233" t="s">
        <v>25613</v>
      </c>
      <c r="B13233" t="s">
        <v>25613</v>
      </c>
      <c r="C13233" t="s">
        <v>61</v>
      </c>
      <c r="D13233" t="s">
        <v>17</v>
      </c>
      <c r="E13233" s="6">
        <v>-28364</v>
      </c>
      <c r="F13233" t="s">
        <v>509</v>
      </c>
      <c r="G13233" t="s">
        <v>35</v>
      </c>
      <c r="H13233" t="s">
        <v>20</v>
      </c>
      <c r="I13233" t="s">
        <v>25614</v>
      </c>
      <c r="J13233" t="str">
        <f>HYPERLINK("https://www.boe.es/gazeta/dias/1822/05/04/pdfs/GMD-1822-126.pdf#page=2","Abrir facsímil")</f>
        <v>Abrir facsímil</v>
      </c>
      <c r="K13233" t="s">
        <v>22</v>
      </c>
    </row>
    <row r="13234" spans="1:11" ht="42" customHeight="1">
      <c r="A13234" t="s">
        <v>25613</v>
      </c>
      <c r="B13234" t="s">
        <v>25613</v>
      </c>
      <c r="C13234" t="s">
        <v>24</v>
      </c>
      <c r="D13234" t="s">
        <v>17</v>
      </c>
      <c r="E13234" s="6">
        <v>-28352</v>
      </c>
      <c r="F13234" t="s">
        <v>1575</v>
      </c>
      <c r="G13234" t="s">
        <v>31</v>
      </c>
      <c r="H13234" t="s">
        <v>20</v>
      </c>
      <c r="I13234" t="s">
        <v>25615</v>
      </c>
      <c r="J13234" t="str">
        <f>HYPERLINK("https://www.boe.es/gazeta/dias/1822/05/16/pdfs/GMD-1822-138.pdf#page=3","Abrir facsímil")</f>
        <v>Abrir facsímil</v>
      </c>
      <c r="K13234" t="s">
        <v>22</v>
      </c>
    </row>
    <row r="13235" spans="1:11" ht="42" customHeight="1">
      <c r="A13235" t="s">
        <v>25616</v>
      </c>
      <c r="B13235" t="s">
        <v>25616</v>
      </c>
      <c r="C13235" t="s">
        <v>42</v>
      </c>
      <c r="D13235" t="s">
        <v>17</v>
      </c>
      <c r="E13235" s="6">
        <v>-28407</v>
      </c>
      <c r="F13235" t="s">
        <v>460</v>
      </c>
      <c r="G13235" t="s">
        <v>19</v>
      </c>
      <c r="H13235" t="s">
        <v>20</v>
      </c>
      <c r="I13235" t="s">
        <v>25617</v>
      </c>
      <c r="J13235" t="str">
        <f>HYPERLINK("https://www.boe.es/gazeta/dias/1822/03/22/pdfs/GMD-1822-83.pdf#page=5","Abrir facsímil")</f>
        <v>Abrir facsímil</v>
      </c>
      <c r="K13235" t="s">
        <v>22</v>
      </c>
    </row>
    <row r="13236" spans="1:11" ht="42" customHeight="1">
      <c r="A13236" t="s">
        <v>25616</v>
      </c>
      <c r="B13236" t="s">
        <v>25616</v>
      </c>
      <c r="C13236" t="s">
        <v>61</v>
      </c>
      <c r="D13236" t="s">
        <v>17</v>
      </c>
      <c r="E13236" s="6">
        <v>-28187</v>
      </c>
      <c r="F13236" t="s">
        <v>929</v>
      </c>
      <c r="G13236" t="s">
        <v>31</v>
      </c>
      <c r="H13236" t="s">
        <v>20</v>
      </c>
      <c r="I13236" t="s">
        <v>25618</v>
      </c>
      <c r="J13236" t="str">
        <f>HYPERLINK("https://www.boe.es/gazeta/dias/1822/10/28/pdfs/GMD-1822-315.pdf#page=3","Abrir facsímil")</f>
        <v>Abrir facsímil</v>
      </c>
      <c r="K13236" t="s">
        <v>22</v>
      </c>
    </row>
    <row r="13237" spans="1:11" ht="42" customHeight="1">
      <c r="A13237" t="s">
        <v>25616</v>
      </c>
      <c r="B13237" t="s">
        <v>25616</v>
      </c>
      <c r="C13237" t="s">
        <v>16</v>
      </c>
      <c r="D13237" t="s">
        <v>17</v>
      </c>
      <c r="E13237" s="6">
        <v>-28137</v>
      </c>
      <c r="F13237" t="s">
        <v>312</v>
      </c>
      <c r="G13237" t="s">
        <v>35</v>
      </c>
      <c r="H13237" t="s">
        <v>20</v>
      </c>
      <c r="I13237" t="s">
        <v>25619</v>
      </c>
      <c r="J13237" t="str">
        <f>HYPERLINK("https://www.boe.es/gazeta/dias/1822/12/17/pdfs/GMD-1822-367.pdf#page=2","Abrir facsímil")</f>
        <v>Abrir facsímil</v>
      </c>
      <c r="K13237" t="s">
        <v>22</v>
      </c>
    </row>
    <row r="13238" spans="1:11" ht="42" customHeight="1">
      <c r="A13238" t="s">
        <v>25620</v>
      </c>
      <c r="B13238" t="s">
        <v>25620</v>
      </c>
      <c r="C13238" t="s">
        <v>28</v>
      </c>
      <c r="D13238" t="s">
        <v>29</v>
      </c>
      <c r="E13238" s="6">
        <v>-28314</v>
      </c>
      <c r="F13238" t="s">
        <v>309</v>
      </c>
      <c r="G13238" t="s">
        <v>31</v>
      </c>
      <c r="H13238" t="s">
        <v>20</v>
      </c>
      <c r="I13238" t="s">
        <v>25621</v>
      </c>
      <c r="J13238" t="str">
        <f>HYPERLINK("https://www.boe.es/gazeta/dias/1822/06/23/pdfs/GMD-1822-181.pdf#page=3","Abrir facsímil")</f>
        <v>Abrir facsímil</v>
      </c>
      <c r="K13238" t="s">
        <v>22</v>
      </c>
    </row>
    <row r="13239" spans="1:11" ht="42" customHeight="1">
      <c r="A13239" t="s">
        <v>25622</v>
      </c>
      <c r="B13239" t="s">
        <v>25622</v>
      </c>
      <c r="C13239" t="s">
        <v>71</v>
      </c>
      <c r="D13239" t="s">
        <v>17</v>
      </c>
      <c r="E13239" s="6">
        <v>-28336</v>
      </c>
      <c r="F13239" t="s">
        <v>156</v>
      </c>
      <c r="G13239" t="s">
        <v>35</v>
      </c>
      <c r="H13239" t="s">
        <v>20</v>
      </c>
      <c r="I13239" t="s">
        <v>25623</v>
      </c>
      <c r="J13239" t="str">
        <f>HYPERLINK("https://www.boe.es/gazeta/dias/1822/06/01/pdfs/GMD-1822-157.pdf#page=2","Abrir facsímil")</f>
        <v>Abrir facsímil</v>
      </c>
      <c r="K13239" t="s">
        <v>22</v>
      </c>
    </row>
    <row r="13240" spans="1:11" ht="42" customHeight="1">
      <c r="A13240" t="s">
        <v>25622</v>
      </c>
      <c r="B13240" t="s">
        <v>25622</v>
      </c>
      <c r="C13240" t="s">
        <v>71</v>
      </c>
      <c r="D13240" t="s">
        <v>17</v>
      </c>
      <c r="E13240" s="6">
        <v>-28334</v>
      </c>
      <c r="F13240" t="s">
        <v>532</v>
      </c>
      <c r="G13240" t="s">
        <v>19</v>
      </c>
      <c r="H13240" t="s">
        <v>20</v>
      </c>
      <c r="I13240" t="s">
        <v>25624</v>
      </c>
      <c r="J13240" t="str">
        <f>HYPERLINK("https://www.boe.es/gazeta/dias/1822/06/03/pdfs/GMD-1822-159.pdf#page=5","Abrir facsímil")</f>
        <v>Abrir facsímil</v>
      </c>
      <c r="K13240" t="s">
        <v>22</v>
      </c>
    </row>
    <row r="13241" spans="1:11" ht="42" customHeight="1">
      <c r="A13241" t="s">
        <v>25625</v>
      </c>
      <c r="B13241" t="s">
        <v>25625</v>
      </c>
      <c r="C13241" t="s">
        <v>71</v>
      </c>
      <c r="D13241" t="s">
        <v>17</v>
      </c>
      <c r="E13241" s="6">
        <v>-28314</v>
      </c>
      <c r="F13241" t="s">
        <v>309</v>
      </c>
      <c r="G13241" t="s">
        <v>19</v>
      </c>
      <c r="H13241" t="s">
        <v>20</v>
      </c>
      <c r="I13241" t="s">
        <v>25626</v>
      </c>
      <c r="J13241" t="str">
        <f>HYPERLINK("https://www.boe.es/gazeta/dias/1822/06/23/pdfs/GMD-1822-181.pdf#page=5","Abrir facsímil")</f>
        <v>Abrir facsímil</v>
      </c>
      <c r="K13241" t="s">
        <v>22</v>
      </c>
    </row>
    <row r="13242" spans="1:11" ht="42" customHeight="1">
      <c r="A13242" t="s">
        <v>25627</v>
      </c>
      <c r="B13242" t="s">
        <v>25627</v>
      </c>
      <c r="C13242" t="s">
        <v>61</v>
      </c>
      <c r="D13242" t="s">
        <v>17</v>
      </c>
      <c r="E13242" s="6">
        <v>-28360</v>
      </c>
      <c r="F13242" t="s">
        <v>514</v>
      </c>
      <c r="G13242" t="s">
        <v>31</v>
      </c>
      <c r="H13242" t="s">
        <v>20</v>
      </c>
      <c r="I13242" t="s">
        <v>25628</v>
      </c>
      <c r="J13242" t="str">
        <f>HYPERLINK("https://www.boe.es/gazeta/dias/1822/05/08/pdfs/GMD-1822-130.pdf#page=3","Abrir facsímil")</f>
        <v>Abrir facsímil</v>
      </c>
      <c r="K13242" t="s">
        <v>22</v>
      </c>
    </row>
    <row r="13243" spans="1:11" ht="42" customHeight="1">
      <c r="A13243" t="s">
        <v>25627</v>
      </c>
      <c r="B13243" t="s">
        <v>25627</v>
      </c>
      <c r="C13243" t="s">
        <v>24</v>
      </c>
      <c r="D13243" t="s">
        <v>17</v>
      </c>
      <c r="E13243" s="6">
        <v>-28356</v>
      </c>
      <c r="F13243" t="s">
        <v>4170</v>
      </c>
      <c r="G13243" t="s">
        <v>35</v>
      </c>
      <c r="H13243" t="s">
        <v>20</v>
      </c>
      <c r="I13243" t="s">
        <v>25629</v>
      </c>
      <c r="J13243" t="str">
        <f>HYPERLINK("https://www.boe.es/gazeta/dias/1822/05/12/pdfs/GMD-1822-134.pdf#page=2","Abrir facsímil")</f>
        <v>Abrir facsímil</v>
      </c>
      <c r="K13243" t="s">
        <v>22</v>
      </c>
    </row>
    <row r="13244" spans="1:11" ht="42" customHeight="1">
      <c r="A13244" t="s">
        <v>25627</v>
      </c>
      <c r="B13244" t="s">
        <v>25627</v>
      </c>
      <c r="C13244" t="s">
        <v>28</v>
      </c>
      <c r="D13244" t="s">
        <v>29</v>
      </c>
      <c r="E13244" s="6">
        <v>-28348</v>
      </c>
      <c r="F13244" t="s">
        <v>2903</v>
      </c>
      <c r="G13244" t="s">
        <v>31</v>
      </c>
      <c r="H13244" t="s">
        <v>20</v>
      </c>
      <c r="I13244" t="s">
        <v>25630</v>
      </c>
      <c r="J13244" t="str">
        <f>HYPERLINK("https://www.boe.es/gazeta/dias/1822/05/20/pdfs/GMD-1822-143.pdf#page=3","Abrir facsímil")</f>
        <v>Abrir facsímil</v>
      </c>
      <c r="K13244" t="s">
        <v>22</v>
      </c>
    </row>
    <row r="13245" spans="1:11" ht="42" customHeight="1">
      <c r="A13245" t="s">
        <v>25627</v>
      </c>
      <c r="B13245" t="s">
        <v>25627</v>
      </c>
      <c r="C13245" t="s">
        <v>24</v>
      </c>
      <c r="D13245" t="s">
        <v>17</v>
      </c>
      <c r="E13245" s="6">
        <v>-28344</v>
      </c>
      <c r="F13245" t="s">
        <v>524</v>
      </c>
      <c r="G13245" t="s">
        <v>19</v>
      </c>
      <c r="H13245" t="s">
        <v>20</v>
      </c>
      <c r="I13245" t="s">
        <v>25631</v>
      </c>
      <c r="J13245" t="str">
        <f>HYPERLINK("https://www.boe.es/gazeta/dias/1822/05/24/pdfs/GMD-1822-148.pdf#page=5","Abrir facsímil")</f>
        <v>Abrir facsímil</v>
      </c>
      <c r="K13245" t="s">
        <v>22</v>
      </c>
    </row>
    <row r="13246" spans="1:11" ht="42" customHeight="1">
      <c r="A13246" t="s">
        <v>25632</v>
      </c>
      <c r="B13246" t="s">
        <v>25632</v>
      </c>
      <c r="C13246" t="s">
        <v>50</v>
      </c>
      <c r="D13246" t="s">
        <v>51</v>
      </c>
      <c r="E13246" s="6">
        <v>-28340</v>
      </c>
      <c r="F13246" t="s">
        <v>139</v>
      </c>
      <c r="G13246" t="s">
        <v>31</v>
      </c>
      <c r="H13246" t="s">
        <v>20</v>
      </c>
      <c r="I13246" t="s">
        <v>25633</v>
      </c>
      <c r="J13246" t="str">
        <f>HYPERLINK("https://www.boe.es/gazeta/dias/1822/05/28/pdfs/GMD-1822-153.pdf#page=3","Abrir facsímil")</f>
        <v>Abrir facsímil</v>
      </c>
      <c r="K13246" t="s">
        <v>22</v>
      </c>
    </row>
    <row r="13247" spans="1:11" ht="42" customHeight="1">
      <c r="A13247" t="s">
        <v>25627</v>
      </c>
      <c r="B13247" t="s">
        <v>25627</v>
      </c>
      <c r="C13247" t="s">
        <v>71</v>
      </c>
      <c r="D13247" t="s">
        <v>17</v>
      </c>
      <c r="E13247" s="6">
        <v>-28336</v>
      </c>
      <c r="F13247" t="s">
        <v>156</v>
      </c>
      <c r="G13247" t="s">
        <v>35</v>
      </c>
      <c r="H13247" t="s">
        <v>20</v>
      </c>
      <c r="I13247" t="s">
        <v>25634</v>
      </c>
      <c r="J13247" t="str">
        <f>HYPERLINK("https://www.boe.es/gazeta/dias/1822/06/01/pdfs/GMD-1822-157.pdf#page=2","Abrir facsímil")</f>
        <v>Abrir facsímil</v>
      </c>
      <c r="K13247" t="s">
        <v>22</v>
      </c>
    </row>
    <row r="13248" spans="1:11" ht="42" customHeight="1">
      <c r="A13248" t="s">
        <v>25627</v>
      </c>
      <c r="B13248" t="s">
        <v>25627</v>
      </c>
      <c r="C13248" t="s">
        <v>71</v>
      </c>
      <c r="D13248" t="s">
        <v>17</v>
      </c>
      <c r="E13248" s="6">
        <v>-28328</v>
      </c>
      <c r="F13248" t="s">
        <v>540</v>
      </c>
      <c r="G13248" t="s">
        <v>541</v>
      </c>
      <c r="H13248" t="s">
        <v>20</v>
      </c>
      <c r="I13248" t="s">
        <v>25635</v>
      </c>
      <c r="J13248" t="str">
        <f>HYPERLINK("https://www.boe.es/gazeta/dias/1822/06/09/pdfs/GMD-1822-166.pdf#page=4","Abrir facsímil")</f>
        <v>Abrir facsímil</v>
      </c>
      <c r="K13248" t="s">
        <v>22</v>
      </c>
    </row>
    <row r="13249" spans="1:11" ht="42" customHeight="1">
      <c r="A13249" t="s">
        <v>25627</v>
      </c>
      <c r="B13249" t="s">
        <v>25627</v>
      </c>
      <c r="C13249" t="s">
        <v>50</v>
      </c>
      <c r="D13249" t="s">
        <v>51</v>
      </c>
      <c r="E13249" s="6">
        <v>-28213</v>
      </c>
      <c r="F13249" t="s">
        <v>558</v>
      </c>
      <c r="G13249" t="s">
        <v>31</v>
      </c>
      <c r="H13249" t="s">
        <v>20</v>
      </c>
      <c r="I13249" t="s">
        <v>25636</v>
      </c>
      <c r="J13249" t="str">
        <f>HYPERLINK("https://www.boe.es/gazeta/dias/1822/10/02/pdfs/GMD-1822-288.pdf#page=3","Abrir facsímil")</f>
        <v>Abrir facsímil</v>
      </c>
      <c r="K13249" t="s">
        <v>22</v>
      </c>
    </row>
    <row r="13250" spans="1:11" ht="42" customHeight="1">
      <c r="A13250" t="s">
        <v>25627</v>
      </c>
      <c r="B13250" t="s">
        <v>25627</v>
      </c>
      <c r="C13250" t="s">
        <v>50</v>
      </c>
      <c r="D13250" t="s">
        <v>51</v>
      </c>
      <c r="E13250" s="6">
        <v>-28201</v>
      </c>
      <c r="F13250" t="s">
        <v>163</v>
      </c>
      <c r="G13250" t="s">
        <v>31</v>
      </c>
      <c r="H13250" t="s">
        <v>20</v>
      </c>
      <c r="I13250" t="s">
        <v>25637</v>
      </c>
      <c r="J13250" t="str">
        <f>HYPERLINK("https://www.boe.es/gazeta/dias/1822/10/14/pdfs/GMD-1822-301.pdf#page=3","Abrir facsímil")</f>
        <v>Abrir facsímil</v>
      </c>
      <c r="K13250" t="s">
        <v>22</v>
      </c>
    </row>
    <row r="13251" spans="1:11" ht="42" customHeight="1">
      <c r="A13251" t="s">
        <v>25627</v>
      </c>
      <c r="B13251" t="s">
        <v>25627</v>
      </c>
      <c r="C13251" t="s">
        <v>71</v>
      </c>
      <c r="D13251" t="s">
        <v>17</v>
      </c>
      <c r="E13251" s="6">
        <v>-28187</v>
      </c>
      <c r="F13251" t="s">
        <v>929</v>
      </c>
      <c r="G13251" t="s">
        <v>57</v>
      </c>
      <c r="H13251" t="s">
        <v>20</v>
      </c>
      <c r="I13251" t="s">
        <v>25638</v>
      </c>
      <c r="J13251" t="str">
        <f>HYPERLINK("https://www.boe.es/gazeta/dias/1822/10/28/pdfs/GMD-1822-315.pdf#page=4","Abrir facsímil")</f>
        <v>Abrir facsímil</v>
      </c>
      <c r="K13251" t="s">
        <v>22</v>
      </c>
    </row>
    <row r="13252" spans="1:11" ht="42" customHeight="1">
      <c r="A13252" t="s">
        <v>25627</v>
      </c>
      <c r="B13252" t="s">
        <v>25627</v>
      </c>
      <c r="C13252" t="s">
        <v>42</v>
      </c>
      <c r="D13252" t="s">
        <v>17</v>
      </c>
      <c r="E13252" s="6">
        <v>-28187</v>
      </c>
      <c r="F13252" t="s">
        <v>929</v>
      </c>
      <c r="G13252" t="s">
        <v>19</v>
      </c>
      <c r="H13252" t="s">
        <v>20</v>
      </c>
      <c r="I13252" t="s">
        <v>25639</v>
      </c>
      <c r="J13252" t="str">
        <f>HYPERLINK("https://www.boe.es/gazeta/dias/1822/10/28/pdfs/GMD-1822-315.pdf#page=5","Abrir facsímil")</f>
        <v>Abrir facsímil</v>
      </c>
      <c r="K13252" t="s">
        <v>22</v>
      </c>
    </row>
    <row r="13253" spans="1:11" ht="42" customHeight="1">
      <c r="A13253" t="s">
        <v>25627</v>
      </c>
      <c r="B13253" t="s">
        <v>25627</v>
      </c>
      <c r="C13253" t="s">
        <v>50</v>
      </c>
      <c r="D13253" t="s">
        <v>51</v>
      </c>
      <c r="E13253" s="6">
        <v>-28185</v>
      </c>
      <c r="F13253" t="s">
        <v>933</v>
      </c>
      <c r="G13253" t="s">
        <v>35</v>
      </c>
      <c r="H13253" t="s">
        <v>20</v>
      </c>
      <c r="I13253" t="s">
        <v>25640</v>
      </c>
      <c r="J13253" t="str">
        <f>HYPERLINK("https://www.boe.es/gazeta/dias/1822/10/30/pdfs/GMD-1822-317.pdf#page=2","Abrir facsímil")</f>
        <v>Abrir facsímil</v>
      </c>
      <c r="K13253" t="s">
        <v>22</v>
      </c>
    </row>
    <row r="13254" spans="1:11" ht="42" customHeight="1">
      <c r="A13254" t="s">
        <v>25627</v>
      </c>
      <c r="B13254" t="s">
        <v>25627</v>
      </c>
      <c r="C13254" t="s">
        <v>28</v>
      </c>
      <c r="D13254" t="s">
        <v>29</v>
      </c>
      <c r="E13254" s="6">
        <v>-28179</v>
      </c>
      <c r="F13254" t="s">
        <v>935</v>
      </c>
      <c r="G13254" t="s">
        <v>35</v>
      </c>
      <c r="H13254" t="s">
        <v>20</v>
      </c>
      <c r="I13254" t="s">
        <v>25641</v>
      </c>
      <c r="J13254" t="str">
        <f>HYPERLINK("https://www.boe.es/gazeta/dias/1822/11/05/pdfs/GMD-1822-325.pdf#page=2","Abrir facsímil")</f>
        <v>Abrir facsímil</v>
      </c>
      <c r="K13254" t="s">
        <v>22</v>
      </c>
    </row>
    <row r="13255" spans="1:11" ht="42" customHeight="1">
      <c r="A13255" t="s">
        <v>25627</v>
      </c>
      <c r="B13255" t="s">
        <v>25627</v>
      </c>
      <c r="C13255" t="s">
        <v>71</v>
      </c>
      <c r="D13255" t="s">
        <v>17</v>
      </c>
      <c r="E13255" s="6">
        <v>-28177</v>
      </c>
      <c r="F13255" t="s">
        <v>587</v>
      </c>
      <c r="G13255" t="s">
        <v>35</v>
      </c>
      <c r="H13255" t="s">
        <v>20</v>
      </c>
      <c r="I13255" t="s">
        <v>25642</v>
      </c>
      <c r="J13255" t="str">
        <f>HYPERLINK("https://www.boe.es/gazeta/dias/1822/11/07/pdfs/GMD-1822-327.pdf#page=2","Abrir facsímil")</f>
        <v>Abrir facsímil</v>
      </c>
      <c r="K13255" t="s">
        <v>22</v>
      </c>
    </row>
    <row r="13256" spans="1:11" ht="42" customHeight="1">
      <c r="A13256" t="s">
        <v>25627</v>
      </c>
      <c r="B13256" t="s">
        <v>25627</v>
      </c>
      <c r="C13256" t="s">
        <v>71</v>
      </c>
      <c r="D13256" t="s">
        <v>17</v>
      </c>
      <c r="E13256" s="6">
        <v>-28176</v>
      </c>
      <c r="F13256" t="s">
        <v>780</v>
      </c>
      <c r="G13256" t="s">
        <v>5014</v>
      </c>
      <c r="H13256" t="s">
        <v>20</v>
      </c>
      <c r="I13256" t="s">
        <v>25643</v>
      </c>
      <c r="J13256" t="str">
        <f>HYPERLINK("https://www.boe.es/gazeta/dias/1822/11/08/pdfs/GMD-1822-328.pdf#page=4","Abrir facsímil")</f>
        <v>Abrir facsímil</v>
      </c>
      <c r="K13256" t="s">
        <v>22</v>
      </c>
    </row>
    <row r="13257" spans="1:11" ht="42" customHeight="1">
      <c r="A13257" t="s">
        <v>25627</v>
      </c>
      <c r="B13257" t="s">
        <v>25627</v>
      </c>
      <c r="C13257" t="s">
        <v>71</v>
      </c>
      <c r="D13257" t="s">
        <v>17</v>
      </c>
      <c r="E13257" s="6">
        <v>-28175</v>
      </c>
      <c r="F13257" t="s">
        <v>341</v>
      </c>
      <c r="G13257" t="s">
        <v>57</v>
      </c>
      <c r="H13257" t="s">
        <v>20</v>
      </c>
      <c r="I13257" t="s">
        <v>25644</v>
      </c>
      <c r="J13257" t="str">
        <f>HYPERLINK("https://www.boe.es/gazeta/dias/1822/11/09/pdfs/GMD-1822-329.pdf#page=4","Abrir facsímil")</f>
        <v>Abrir facsímil</v>
      </c>
      <c r="K13257" t="s">
        <v>22</v>
      </c>
    </row>
    <row r="13258" spans="1:11" ht="42" customHeight="1">
      <c r="A13258" t="s">
        <v>25627</v>
      </c>
      <c r="B13258" t="s">
        <v>25627</v>
      </c>
      <c r="C13258" t="s">
        <v>50</v>
      </c>
      <c r="D13258" t="s">
        <v>51</v>
      </c>
      <c r="E13258" s="6">
        <v>-28175</v>
      </c>
      <c r="F13258" t="s">
        <v>341</v>
      </c>
      <c r="G13258" t="s">
        <v>63</v>
      </c>
      <c r="H13258" t="s">
        <v>20</v>
      </c>
      <c r="I13258" t="s">
        <v>25645</v>
      </c>
      <c r="J13258" t="str">
        <f>HYPERLINK("https://www.boe.es/gazeta/dias/1822/11/09/pdfs/GMD-1822-329.pdf#page=6","Abrir facsímil")</f>
        <v>Abrir facsímil</v>
      </c>
      <c r="K13258" t="s">
        <v>22</v>
      </c>
    </row>
    <row r="13259" spans="1:11" ht="42" customHeight="1">
      <c r="A13259" t="s">
        <v>25627</v>
      </c>
      <c r="B13259" t="s">
        <v>25627</v>
      </c>
      <c r="C13259" t="s">
        <v>50</v>
      </c>
      <c r="D13259" t="s">
        <v>51</v>
      </c>
      <c r="E13259" s="6">
        <v>-28171</v>
      </c>
      <c r="F13259" t="s">
        <v>1075</v>
      </c>
      <c r="G13259" t="s">
        <v>31</v>
      </c>
      <c r="H13259" t="s">
        <v>20</v>
      </c>
      <c r="I13259" t="s">
        <v>25646</v>
      </c>
      <c r="J13259" t="str">
        <f>HYPERLINK("https://www.boe.es/gazeta/dias/1822/11/13/pdfs/GMD-1822-333.pdf#page=3","Abrir facsímil")</f>
        <v>Abrir facsímil</v>
      </c>
      <c r="K13259" t="s">
        <v>22</v>
      </c>
    </row>
    <row r="13260" spans="1:11" ht="42" customHeight="1">
      <c r="A13260" t="s">
        <v>25627</v>
      </c>
      <c r="B13260" t="s">
        <v>25627</v>
      </c>
      <c r="C13260" t="s">
        <v>71</v>
      </c>
      <c r="D13260" t="s">
        <v>17</v>
      </c>
      <c r="E13260" s="6">
        <v>-28152</v>
      </c>
      <c r="F13260" t="s">
        <v>122</v>
      </c>
      <c r="G13260" t="s">
        <v>35</v>
      </c>
      <c r="H13260" t="s">
        <v>20</v>
      </c>
      <c r="I13260" t="s">
        <v>25647</v>
      </c>
      <c r="J13260" t="str">
        <f>HYPERLINK("https://www.boe.es/gazeta/dias/1822/12/02/pdfs/GMD-1822-352.pdf#page=2","Abrir facsímil")</f>
        <v>Abrir facsímil</v>
      </c>
      <c r="K13260" t="s">
        <v>22</v>
      </c>
    </row>
    <row r="13261" spans="1:11" ht="42" customHeight="1">
      <c r="A13261" t="s">
        <v>25627</v>
      </c>
      <c r="B13261" t="s">
        <v>25627</v>
      </c>
      <c r="C13261" t="s">
        <v>42</v>
      </c>
      <c r="D13261" t="s">
        <v>17</v>
      </c>
      <c r="E13261" s="6">
        <v>-28131</v>
      </c>
      <c r="F13261" t="s">
        <v>893</v>
      </c>
      <c r="G13261" t="s">
        <v>35</v>
      </c>
      <c r="H13261" t="s">
        <v>20</v>
      </c>
      <c r="I13261" t="s">
        <v>25648</v>
      </c>
      <c r="J13261" t="str">
        <f>HYPERLINK("https://www.boe.es/gazeta/dias/1822/12/23/pdfs/GMD-1822-373.pdf#page=2","Abrir facsímil")</f>
        <v>Abrir facsímil</v>
      </c>
      <c r="K13261" t="s">
        <v>22</v>
      </c>
    </row>
    <row r="13262" spans="1:11" ht="42" customHeight="1">
      <c r="A13262" t="s">
        <v>25649</v>
      </c>
      <c r="B13262" t="s">
        <v>25650</v>
      </c>
      <c r="C13262" t="s">
        <v>42</v>
      </c>
      <c r="D13262" t="s">
        <v>17</v>
      </c>
      <c r="E13262" s="6">
        <v>-28434</v>
      </c>
      <c r="F13262" t="s">
        <v>433</v>
      </c>
      <c r="G13262" t="s">
        <v>35</v>
      </c>
      <c r="H13262" t="s">
        <v>20</v>
      </c>
      <c r="I13262" t="s">
        <v>25651</v>
      </c>
      <c r="J13262" t="str">
        <f>HYPERLINK("https://www.boe.es/gazeta/dias/1822/02/23/pdfs/GMD-1822-55.pdf#page=2","Abrir facsímil")</f>
        <v>Abrir facsímil</v>
      </c>
      <c r="K13262" t="s">
        <v>22</v>
      </c>
    </row>
    <row r="13263" spans="1:11" ht="42" customHeight="1">
      <c r="A13263" t="s">
        <v>25652</v>
      </c>
      <c r="B13263" t="s">
        <v>25652</v>
      </c>
      <c r="C13263" t="s">
        <v>28</v>
      </c>
      <c r="D13263" t="s">
        <v>29</v>
      </c>
      <c r="E13263" s="6">
        <v>-28344</v>
      </c>
      <c r="F13263" t="s">
        <v>524</v>
      </c>
      <c r="G13263" t="s">
        <v>19</v>
      </c>
      <c r="H13263" t="s">
        <v>20</v>
      </c>
      <c r="I13263" t="s">
        <v>25653</v>
      </c>
      <c r="J13263" t="str">
        <f>HYPERLINK("https://www.boe.es/gazeta/dias/1822/05/24/pdfs/GMD-1822-148.pdf#page=5","Abrir facsímil")</f>
        <v>Abrir facsímil</v>
      </c>
      <c r="K13263" t="s">
        <v>22</v>
      </c>
    </row>
    <row r="13264" spans="1:11" ht="42" customHeight="1">
      <c r="A13264" t="s">
        <v>25654</v>
      </c>
      <c r="B13264" t="s">
        <v>25654</v>
      </c>
      <c r="C13264" t="s">
        <v>42</v>
      </c>
      <c r="D13264" t="s">
        <v>17</v>
      </c>
      <c r="E13264" s="6">
        <v>-28159</v>
      </c>
      <c r="F13264" t="s">
        <v>67</v>
      </c>
      <c r="G13264" t="s">
        <v>31</v>
      </c>
      <c r="H13264" t="s">
        <v>20</v>
      </c>
      <c r="I13264" t="s">
        <v>25655</v>
      </c>
      <c r="J13264" t="str">
        <f>HYPERLINK("https://www.boe.es/gazeta/dias/1822/11/25/pdfs/GMD-1822-345.pdf#page=3","Abrir facsímil")</f>
        <v>Abrir facsímil</v>
      </c>
      <c r="K13264" t="s">
        <v>22</v>
      </c>
    </row>
    <row r="13265" spans="1:11" ht="42" customHeight="1">
      <c r="A13265" t="s">
        <v>25656</v>
      </c>
      <c r="B13265" t="s">
        <v>25656</v>
      </c>
      <c r="C13265" t="s">
        <v>71</v>
      </c>
      <c r="D13265" t="s">
        <v>17</v>
      </c>
      <c r="E13265" s="6">
        <v>-28422</v>
      </c>
      <c r="F13265" t="s">
        <v>416</v>
      </c>
      <c r="G13265" t="s">
        <v>35</v>
      </c>
      <c r="H13265" t="s">
        <v>20</v>
      </c>
      <c r="I13265" t="s">
        <v>25657</v>
      </c>
      <c r="J13265" t="str">
        <f>HYPERLINK("https://www.boe.es/gazeta/dias/1822/03/07/pdfs/GMD-1822-68.pdf#page=2","Abrir facsímil")</f>
        <v>Abrir facsímil</v>
      </c>
      <c r="K13265" t="s">
        <v>22</v>
      </c>
    </row>
    <row r="13266" spans="1:11" ht="42" customHeight="1">
      <c r="A13266" t="s">
        <v>25658</v>
      </c>
      <c r="B13266" t="s">
        <v>25658</v>
      </c>
      <c r="C13266" t="s">
        <v>28</v>
      </c>
      <c r="D13266" t="s">
        <v>29</v>
      </c>
      <c r="E13266" s="6">
        <v>-28321</v>
      </c>
      <c r="F13266" t="s">
        <v>1142</v>
      </c>
      <c r="G13266" t="s">
        <v>63</v>
      </c>
      <c r="H13266" t="s">
        <v>20</v>
      </c>
      <c r="I13266" t="s">
        <v>25659</v>
      </c>
      <c r="J13266" t="str">
        <f>HYPERLINK("https://www.boe.es/gazeta/dias/1822/06/16/pdfs/GMD-1822-173.pdf#page=6","Abrir facsímil")</f>
        <v>Abrir facsímil</v>
      </c>
      <c r="K13266" t="s">
        <v>22</v>
      </c>
    </row>
    <row r="13267" spans="1:11" ht="42" customHeight="1">
      <c r="A13267" t="s">
        <v>25660</v>
      </c>
      <c r="B13267" t="s">
        <v>25660</v>
      </c>
      <c r="C13267" t="s">
        <v>42</v>
      </c>
      <c r="D13267" t="s">
        <v>17</v>
      </c>
      <c r="E13267" s="6">
        <v>-28359</v>
      </c>
      <c r="F13267" t="s">
        <v>209</v>
      </c>
      <c r="G13267" t="s">
        <v>35</v>
      </c>
      <c r="H13267" t="s">
        <v>20</v>
      </c>
      <c r="I13267" t="s">
        <v>25661</v>
      </c>
      <c r="J13267" t="str">
        <f>HYPERLINK("https://www.boe.es/gazeta/dias/1822/05/09/pdfs/GMD-1822-131.pdf#page=2","Abrir facsímil")</f>
        <v>Abrir facsímil</v>
      </c>
      <c r="K13267" t="s">
        <v>22</v>
      </c>
    </row>
    <row r="13268" spans="1:11" ht="42" customHeight="1">
      <c r="A13268" t="s">
        <v>25662</v>
      </c>
      <c r="B13268" t="s">
        <v>25663</v>
      </c>
      <c r="C13268" t="s">
        <v>50</v>
      </c>
      <c r="D13268" t="s">
        <v>51</v>
      </c>
      <c r="E13268" s="6">
        <v>-28265</v>
      </c>
      <c r="F13268" t="s">
        <v>1263</v>
      </c>
      <c r="G13268" t="s">
        <v>35</v>
      </c>
      <c r="H13268" t="s">
        <v>20</v>
      </c>
      <c r="I13268" t="s">
        <v>25664</v>
      </c>
      <c r="J13268" t="str">
        <f>HYPERLINK("https://www.boe.es/gazeta/dias/1822/08/11/pdfs/GMD-1822-235.pdf#page=2","Abrir facsímil")</f>
        <v>Abrir facsímil</v>
      </c>
      <c r="K13268" t="s">
        <v>22</v>
      </c>
    </row>
    <row r="13269" spans="1:11" ht="42" customHeight="1">
      <c r="A13269" t="s">
        <v>25665</v>
      </c>
      <c r="B13269" t="s">
        <v>25666</v>
      </c>
      <c r="C13269" t="s">
        <v>42</v>
      </c>
      <c r="D13269" t="s">
        <v>17</v>
      </c>
      <c r="E13269" s="6">
        <v>-28190</v>
      </c>
      <c r="F13269" t="s">
        <v>576</v>
      </c>
      <c r="G13269" t="s">
        <v>63</v>
      </c>
      <c r="H13269" t="s">
        <v>20</v>
      </c>
      <c r="I13269" t="s">
        <v>25667</v>
      </c>
      <c r="J13269" t="str">
        <f>HYPERLINK("https://www.boe.es/gazeta/dias/1822/10/25/pdfs/GMD-1822-312.pdf#page=6","Abrir facsímil")</f>
        <v>Abrir facsímil</v>
      </c>
      <c r="K13269" t="s">
        <v>22</v>
      </c>
    </row>
    <row r="13270" spans="1:11" ht="42" customHeight="1">
      <c r="A13270" t="s">
        <v>25668</v>
      </c>
      <c r="B13270" t="s">
        <v>25668</v>
      </c>
      <c r="C13270" t="s">
        <v>28</v>
      </c>
      <c r="D13270" t="s">
        <v>29</v>
      </c>
      <c r="E13270" s="6">
        <v>-28426</v>
      </c>
      <c r="F13270" t="s">
        <v>1178</v>
      </c>
      <c r="G13270" t="s">
        <v>57</v>
      </c>
      <c r="H13270" t="s">
        <v>20</v>
      </c>
      <c r="I13270" t="s">
        <v>25669</v>
      </c>
      <c r="J13270" t="str">
        <f>HYPERLINK("https://www.boe.es/gazeta/dias/1822/03/03/pdfs/GMD-1822-64.pdf#page=4","Abrir facsímil")</f>
        <v>Abrir facsímil</v>
      </c>
      <c r="K13270" t="s">
        <v>22</v>
      </c>
    </row>
    <row r="13271" spans="1:11" ht="42" customHeight="1">
      <c r="A13271" t="s">
        <v>25668</v>
      </c>
      <c r="B13271" t="s">
        <v>25668</v>
      </c>
      <c r="C13271" t="s">
        <v>50</v>
      </c>
      <c r="D13271" t="s">
        <v>51</v>
      </c>
      <c r="E13271" s="6">
        <v>-28396</v>
      </c>
      <c r="F13271" t="s">
        <v>1138</v>
      </c>
      <c r="G13271" t="s">
        <v>63</v>
      </c>
      <c r="H13271" t="s">
        <v>20</v>
      </c>
      <c r="I13271" t="s">
        <v>25670</v>
      </c>
      <c r="J13271" t="str">
        <f>HYPERLINK("https://www.boe.es/gazeta/dias/1822/04/02/pdfs/GMD-1822-94.pdf#page=6","Abrir facsímil")</f>
        <v>Abrir facsímil</v>
      </c>
      <c r="K13271" t="s">
        <v>22</v>
      </c>
    </row>
    <row r="13272" spans="1:11" ht="42" customHeight="1">
      <c r="A13272" t="s">
        <v>25668</v>
      </c>
      <c r="B13272" t="s">
        <v>25668</v>
      </c>
      <c r="C13272" t="s">
        <v>24</v>
      </c>
      <c r="D13272" t="s">
        <v>17</v>
      </c>
      <c r="E13272" s="6">
        <v>-28314</v>
      </c>
      <c r="F13272" t="s">
        <v>309</v>
      </c>
      <c r="G13272" t="s">
        <v>35</v>
      </c>
      <c r="H13272" t="s">
        <v>20</v>
      </c>
      <c r="I13272" t="s">
        <v>25671</v>
      </c>
      <c r="J13272" t="str">
        <f>HYPERLINK("https://www.boe.es/gazeta/dias/1822/06/23/pdfs/GMD-1822-181.pdf#page=2","Abrir facsímil")</f>
        <v>Abrir facsímil</v>
      </c>
      <c r="K13272" t="s">
        <v>22</v>
      </c>
    </row>
    <row r="13273" spans="1:11" ht="42" customHeight="1">
      <c r="A13273" t="s">
        <v>25668</v>
      </c>
      <c r="B13273" t="s">
        <v>25668</v>
      </c>
      <c r="C13273" t="s">
        <v>50</v>
      </c>
      <c r="D13273" t="s">
        <v>51</v>
      </c>
      <c r="E13273" s="6">
        <v>-28211</v>
      </c>
      <c r="F13273" t="s">
        <v>273</v>
      </c>
      <c r="G13273" t="s">
        <v>57</v>
      </c>
      <c r="H13273" t="s">
        <v>20</v>
      </c>
      <c r="I13273" t="s">
        <v>25672</v>
      </c>
      <c r="J13273" t="str">
        <f>HYPERLINK("https://www.boe.es/gazeta/dias/1822/10/04/pdfs/GMD-1822-290.pdf#page=4","Abrir facsímil")</f>
        <v>Abrir facsímil</v>
      </c>
      <c r="K13273" t="s">
        <v>22</v>
      </c>
    </row>
    <row r="13274" spans="1:11" ht="42" customHeight="1">
      <c r="A13274" t="s">
        <v>25673</v>
      </c>
      <c r="B13274" t="s">
        <v>25674</v>
      </c>
      <c r="C13274" t="s">
        <v>50</v>
      </c>
      <c r="D13274" t="s">
        <v>51</v>
      </c>
      <c r="E13274" s="6">
        <v>-28400</v>
      </c>
      <c r="F13274" t="s">
        <v>1937</v>
      </c>
      <c r="G13274" t="s">
        <v>2260</v>
      </c>
      <c r="H13274" t="s">
        <v>20</v>
      </c>
      <c r="I13274" t="s">
        <v>25675</v>
      </c>
      <c r="J13274" t="str">
        <f>HYPERLINK("https://www.boe.es/gazeta/dias/1822/03/29/pdfs/GMD-1822-90.pdf#page=4","Abrir facsímil")</f>
        <v>Abrir facsímil</v>
      </c>
      <c r="K13274" t="s">
        <v>22</v>
      </c>
    </row>
    <row r="13275" spans="1:11" ht="42" customHeight="1">
      <c r="A13275" t="s">
        <v>25673</v>
      </c>
      <c r="B13275" t="s">
        <v>25674</v>
      </c>
      <c r="C13275" t="s">
        <v>50</v>
      </c>
      <c r="D13275" t="s">
        <v>51</v>
      </c>
      <c r="E13275" s="6">
        <v>-28397</v>
      </c>
      <c r="F13275" t="s">
        <v>1401</v>
      </c>
      <c r="G13275" t="s">
        <v>57</v>
      </c>
      <c r="H13275" t="s">
        <v>20</v>
      </c>
      <c r="I13275" t="s">
        <v>25676</v>
      </c>
      <c r="J13275" t="str">
        <f>HYPERLINK("https://www.boe.es/gazeta/dias/1822/04/01/pdfs/GMD-1822-93.pdf#page=4","Abrir facsímil")</f>
        <v>Abrir facsímil</v>
      </c>
      <c r="K13275" t="s">
        <v>22</v>
      </c>
    </row>
    <row r="13276" spans="1:11" ht="42" customHeight="1">
      <c r="A13276" t="s">
        <v>25673</v>
      </c>
      <c r="B13276" t="s">
        <v>25674</v>
      </c>
      <c r="C13276" t="s">
        <v>50</v>
      </c>
      <c r="D13276" t="s">
        <v>51</v>
      </c>
      <c r="E13276" s="6">
        <v>-28396</v>
      </c>
      <c r="F13276" t="s">
        <v>1138</v>
      </c>
      <c r="G13276" t="s">
        <v>35</v>
      </c>
      <c r="H13276" t="s">
        <v>20</v>
      </c>
      <c r="I13276" t="s">
        <v>25677</v>
      </c>
      <c r="J13276" t="str">
        <f>HYPERLINK("https://www.boe.es/gazeta/dias/1822/04/02/pdfs/GMD-1822-94.pdf#page=2","Abrir facsímil")</f>
        <v>Abrir facsímil</v>
      </c>
      <c r="K13276" t="s">
        <v>22</v>
      </c>
    </row>
    <row r="13277" spans="1:11" ht="42" customHeight="1">
      <c r="A13277" t="s">
        <v>25678</v>
      </c>
      <c r="B13277" t="s">
        <v>25679</v>
      </c>
      <c r="C13277" t="s">
        <v>50</v>
      </c>
      <c r="D13277" t="s">
        <v>51</v>
      </c>
      <c r="E13277" s="6">
        <v>-28238</v>
      </c>
      <c r="F13277" t="s">
        <v>2077</v>
      </c>
      <c r="G13277" t="s">
        <v>35</v>
      </c>
      <c r="H13277" t="s">
        <v>20</v>
      </c>
      <c r="I13277" t="s">
        <v>25680</v>
      </c>
      <c r="J13277" t="str">
        <f>HYPERLINK("https://www.boe.es/gazeta/dias/1822/09/07/pdfs/GMD-1822-262.pdf#page=2","Abrir facsímil")</f>
        <v>Abrir facsímil</v>
      </c>
      <c r="K13277" t="s">
        <v>22</v>
      </c>
    </row>
    <row r="13278" spans="1:11" ht="42" customHeight="1">
      <c r="A13278" t="s">
        <v>25681</v>
      </c>
      <c r="B13278" t="s">
        <v>25682</v>
      </c>
      <c r="C13278" t="s">
        <v>71</v>
      </c>
      <c r="D13278" t="s">
        <v>17</v>
      </c>
      <c r="E13278" s="6">
        <v>-28355</v>
      </c>
      <c r="F13278" t="s">
        <v>692</v>
      </c>
      <c r="G13278" t="s">
        <v>57</v>
      </c>
      <c r="H13278" t="s">
        <v>20</v>
      </c>
      <c r="I13278" t="s">
        <v>25683</v>
      </c>
      <c r="J13278" t="str">
        <f>HYPERLINK("https://www.boe.es/gazeta/dias/1822/05/13/pdfs/GMD-1822-135.pdf#page=4","Abrir facsímil")</f>
        <v>Abrir facsímil</v>
      </c>
      <c r="K13278" t="s">
        <v>22</v>
      </c>
    </row>
    <row r="13279" spans="1:11" ht="42" customHeight="1">
      <c r="A13279" t="s">
        <v>25684</v>
      </c>
      <c r="B13279" t="s">
        <v>25685</v>
      </c>
      <c r="C13279" t="s">
        <v>16</v>
      </c>
      <c r="D13279" t="s">
        <v>17</v>
      </c>
      <c r="E13279" s="6">
        <v>-28200</v>
      </c>
      <c r="F13279" t="s">
        <v>1037</v>
      </c>
      <c r="G13279" t="s">
        <v>63</v>
      </c>
      <c r="H13279" t="s">
        <v>20</v>
      </c>
      <c r="I13279" t="s">
        <v>25686</v>
      </c>
      <c r="J13279" t="str">
        <f>HYPERLINK("https://www.boe.es/gazeta/dias/1822/10/15/pdfs/GMD-1822-302.pdf#page=6","Abrir facsímil")</f>
        <v>Abrir facsímil</v>
      </c>
      <c r="K13279" t="s">
        <v>22</v>
      </c>
    </row>
    <row r="13280" spans="1:11" ht="42" customHeight="1">
      <c r="A13280" t="s">
        <v>25687</v>
      </c>
      <c r="B13280" t="s">
        <v>25688</v>
      </c>
      <c r="C13280" t="s">
        <v>28</v>
      </c>
      <c r="D13280" t="s">
        <v>29</v>
      </c>
      <c r="E13280" s="6">
        <v>-28436</v>
      </c>
      <c r="F13280" t="s">
        <v>431</v>
      </c>
      <c r="G13280" t="s">
        <v>57</v>
      </c>
      <c r="H13280" t="s">
        <v>20</v>
      </c>
      <c r="I13280" t="s">
        <v>25689</v>
      </c>
      <c r="J13280" t="str">
        <f>HYPERLINK("https://www.boe.es/gazeta/dias/1822/02/21/pdfs/GMD-1822-53.pdf#page=4","Abrir facsímil")</f>
        <v>Abrir facsímil</v>
      </c>
      <c r="K13280" t="s">
        <v>22</v>
      </c>
    </row>
    <row r="13281" spans="1:11" ht="42" customHeight="1">
      <c r="A13281" t="s">
        <v>25687</v>
      </c>
      <c r="B13281" t="s">
        <v>25688</v>
      </c>
      <c r="C13281" t="s">
        <v>28</v>
      </c>
      <c r="D13281" t="s">
        <v>29</v>
      </c>
      <c r="E13281" s="6">
        <v>-28404</v>
      </c>
      <c r="F13281" t="s">
        <v>421</v>
      </c>
      <c r="G13281" t="s">
        <v>35</v>
      </c>
      <c r="H13281" t="s">
        <v>20</v>
      </c>
      <c r="I13281" t="s">
        <v>25690</v>
      </c>
      <c r="J13281" t="str">
        <f>HYPERLINK("https://www.boe.es/gazeta/dias/1822/03/25/pdfs/GMD-1822-86.pdf#page=2","Abrir facsímil")</f>
        <v>Abrir facsímil</v>
      </c>
      <c r="K13281" t="s">
        <v>22</v>
      </c>
    </row>
    <row r="13282" spans="1:11" ht="42" customHeight="1">
      <c r="A13282" t="s">
        <v>25687</v>
      </c>
      <c r="B13282" t="s">
        <v>25688</v>
      </c>
      <c r="C13282" t="s">
        <v>42</v>
      </c>
      <c r="D13282" t="s">
        <v>17</v>
      </c>
      <c r="E13282" s="6">
        <v>-28210</v>
      </c>
      <c r="F13282" t="s">
        <v>218</v>
      </c>
      <c r="G13282" t="s">
        <v>19</v>
      </c>
      <c r="H13282" t="s">
        <v>20</v>
      </c>
      <c r="I13282" t="s">
        <v>25691</v>
      </c>
      <c r="J13282" t="str">
        <f>HYPERLINK("https://www.boe.es/gazeta/dias/1822/10/05/pdfs/GMD-1822-291.pdf#page=5","Abrir facsímil")</f>
        <v>Abrir facsímil</v>
      </c>
      <c r="K13282" t="s">
        <v>22</v>
      </c>
    </row>
    <row r="13283" spans="1:11" ht="42" customHeight="1">
      <c r="A13283" t="s">
        <v>25692</v>
      </c>
      <c r="B13283" t="s">
        <v>25693</v>
      </c>
      <c r="C13283" t="s">
        <v>28</v>
      </c>
      <c r="D13283" t="s">
        <v>29</v>
      </c>
      <c r="E13283" s="6">
        <v>-28258</v>
      </c>
      <c r="F13283" t="s">
        <v>88</v>
      </c>
      <c r="G13283" t="s">
        <v>31</v>
      </c>
      <c r="H13283" t="s">
        <v>20</v>
      </c>
      <c r="I13283" t="s">
        <v>25694</v>
      </c>
      <c r="J13283" t="str">
        <f>HYPERLINK("https://www.boe.es/gazeta/dias/1822/08/18/pdfs/GMD-1822-242.pdf#page=3","Abrir facsímil")</f>
        <v>Abrir facsímil</v>
      </c>
      <c r="K13283" t="s">
        <v>22</v>
      </c>
    </row>
    <row r="13284" spans="1:11" ht="42" customHeight="1">
      <c r="A13284" t="s">
        <v>25695</v>
      </c>
      <c r="B13284" t="s">
        <v>25696</v>
      </c>
      <c r="C13284" t="s">
        <v>28</v>
      </c>
      <c r="D13284" t="s">
        <v>29</v>
      </c>
      <c r="E13284" s="6">
        <v>-28344</v>
      </c>
      <c r="F13284" t="s">
        <v>524</v>
      </c>
      <c r="G13284" t="s">
        <v>31</v>
      </c>
      <c r="H13284" t="s">
        <v>20</v>
      </c>
      <c r="I13284" t="s">
        <v>25697</v>
      </c>
      <c r="J13284" t="str">
        <f>HYPERLINK("https://www.boe.es/gazeta/dias/1822/05/24/pdfs/GMD-1822-148.pdf#page=3","Abrir facsímil")</f>
        <v>Abrir facsímil</v>
      </c>
      <c r="K13284" t="s">
        <v>22</v>
      </c>
    </row>
    <row r="13285" spans="1:11" ht="42" customHeight="1">
      <c r="A13285" t="s">
        <v>25698</v>
      </c>
      <c r="B13285" t="s">
        <v>25698</v>
      </c>
      <c r="C13285" t="s">
        <v>50</v>
      </c>
      <c r="D13285" t="s">
        <v>51</v>
      </c>
      <c r="E13285" s="6">
        <v>-28264</v>
      </c>
      <c r="F13285" t="s">
        <v>1329</v>
      </c>
      <c r="G13285" t="s">
        <v>35</v>
      </c>
      <c r="H13285" t="s">
        <v>20</v>
      </c>
      <c r="I13285" t="s">
        <v>25699</v>
      </c>
      <c r="J13285" t="str">
        <f>HYPERLINK("https://www.boe.es/gazeta/dias/1822/08/12/pdfs/GMD-1822-236.pdf#page=2","Abrir facsímil")</f>
        <v>Abrir facsímil</v>
      </c>
      <c r="K13285" t="s">
        <v>22</v>
      </c>
    </row>
    <row r="13286" spans="1:11" ht="42" customHeight="1">
      <c r="A13286" t="s">
        <v>25700</v>
      </c>
      <c r="B13286" t="s">
        <v>25701</v>
      </c>
      <c r="C13286" t="s">
        <v>50</v>
      </c>
      <c r="D13286" t="s">
        <v>51</v>
      </c>
      <c r="E13286" s="6">
        <v>-28324</v>
      </c>
      <c r="F13286" t="s">
        <v>305</v>
      </c>
      <c r="G13286" t="s">
        <v>19</v>
      </c>
      <c r="H13286" t="s">
        <v>20</v>
      </c>
      <c r="I13286" t="s">
        <v>25702</v>
      </c>
      <c r="J13286" t="str">
        <f>HYPERLINK("https://www.boe.es/gazeta/dias/1822/06/13/pdfs/GMD-1822-170.pdf#page=5","Abrir facsímil")</f>
        <v>Abrir facsímil</v>
      </c>
      <c r="K13286" t="s">
        <v>22</v>
      </c>
    </row>
    <row r="13287" spans="1:11" ht="42" customHeight="1">
      <c r="A13287" t="s">
        <v>25700</v>
      </c>
      <c r="B13287" t="s">
        <v>25701</v>
      </c>
      <c r="C13287" t="s">
        <v>50</v>
      </c>
      <c r="D13287" t="s">
        <v>51</v>
      </c>
      <c r="E13287" s="6">
        <v>-28272</v>
      </c>
      <c r="F13287" t="s">
        <v>52</v>
      </c>
      <c r="G13287" t="s">
        <v>35</v>
      </c>
      <c r="H13287" t="s">
        <v>20</v>
      </c>
      <c r="I13287" t="s">
        <v>25703</v>
      </c>
      <c r="J13287" t="str">
        <f>HYPERLINK("https://www.boe.es/gazeta/dias/1822/08/04/pdfs/GMD-1822-228.pdf#page=2","Abrir facsímil")</f>
        <v>Abrir facsímil</v>
      </c>
      <c r="K13287" t="s">
        <v>22</v>
      </c>
    </row>
    <row r="13288" spans="1:11" ht="42" customHeight="1">
      <c r="A13288" t="s">
        <v>25704</v>
      </c>
      <c r="B13288" t="s">
        <v>25704</v>
      </c>
      <c r="C13288" t="s">
        <v>50</v>
      </c>
      <c r="D13288" t="s">
        <v>51</v>
      </c>
      <c r="E13288" s="6">
        <v>-28399</v>
      </c>
      <c r="F13288" t="s">
        <v>476</v>
      </c>
      <c r="G13288" t="s">
        <v>44</v>
      </c>
      <c r="H13288" t="s">
        <v>20</v>
      </c>
      <c r="I13288" t="s">
        <v>25705</v>
      </c>
      <c r="J13288" t="str">
        <f>HYPERLINK("https://www.boe.es/gazeta/dias/1822/03/30/pdfs/GMD-1822-91.pdf#page=1","Abrir facsímil")</f>
        <v>Abrir facsímil</v>
      </c>
      <c r="K13288" t="s">
        <v>22</v>
      </c>
    </row>
    <row r="13289" spans="1:11" ht="42" customHeight="1">
      <c r="A13289" t="s">
        <v>25704</v>
      </c>
      <c r="B13289" t="s">
        <v>25704</v>
      </c>
      <c r="C13289" t="s">
        <v>50</v>
      </c>
      <c r="D13289" t="s">
        <v>51</v>
      </c>
      <c r="E13289" s="6">
        <v>-28201</v>
      </c>
      <c r="F13289" t="s">
        <v>163</v>
      </c>
      <c r="G13289" t="s">
        <v>44</v>
      </c>
      <c r="H13289" t="s">
        <v>20</v>
      </c>
      <c r="I13289" t="s">
        <v>25706</v>
      </c>
      <c r="J13289" t="str">
        <f>HYPERLINK("https://www.boe.es/gazeta/dias/1822/10/14/pdfs/GMD-1822-301.pdf#page=1","Abrir facsímil")</f>
        <v>Abrir facsímil</v>
      </c>
      <c r="K13289" t="s">
        <v>22</v>
      </c>
    </row>
    <row r="13290" spans="1:11" ht="42" customHeight="1">
      <c r="A13290" t="s">
        <v>25707</v>
      </c>
      <c r="B13290" t="s">
        <v>25708</v>
      </c>
      <c r="C13290" t="s">
        <v>50</v>
      </c>
      <c r="D13290" t="s">
        <v>51</v>
      </c>
      <c r="E13290" s="6">
        <v>-28190</v>
      </c>
      <c r="F13290" t="s">
        <v>576</v>
      </c>
      <c r="G13290" t="s">
        <v>63</v>
      </c>
      <c r="H13290" t="s">
        <v>20</v>
      </c>
      <c r="I13290" t="s">
        <v>25709</v>
      </c>
      <c r="J13290" t="str">
        <f>HYPERLINK("https://www.boe.es/gazeta/dias/1822/10/25/pdfs/GMD-1822-312.pdf#page=6","Abrir facsímil")</f>
        <v>Abrir facsímil</v>
      </c>
      <c r="K13290" t="s">
        <v>22</v>
      </c>
    </row>
    <row r="13291" spans="1:11" ht="42" customHeight="1">
      <c r="A13291" t="s">
        <v>25710</v>
      </c>
      <c r="B13291" t="s">
        <v>25711</v>
      </c>
      <c r="C13291" t="s">
        <v>42</v>
      </c>
      <c r="D13291" t="s">
        <v>17</v>
      </c>
      <c r="E13291" s="6">
        <v>-28384</v>
      </c>
      <c r="F13291" t="s">
        <v>258</v>
      </c>
      <c r="G13291" t="s">
        <v>63</v>
      </c>
      <c r="H13291" t="s">
        <v>45</v>
      </c>
      <c r="I13291" t="s">
        <v>25712</v>
      </c>
      <c r="J13291" t="str">
        <f>HYPERLINK("https://www.boe.es/gazeta/dias/1822/04/14/pdfs/GMD-1822-106.pdf#page=6","Abrir facsímil")</f>
        <v>Abrir facsímil</v>
      </c>
      <c r="K13291" t="s">
        <v>47</v>
      </c>
    </row>
    <row r="13292" spans="1:11" ht="42" customHeight="1">
      <c r="A13292" t="s">
        <v>25713</v>
      </c>
      <c r="B13292" t="s">
        <v>25714</v>
      </c>
      <c r="C13292" t="s">
        <v>50</v>
      </c>
      <c r="D13292" t="s">
        <v>51</v>
      </c>
      <c r="E13292" s="6">
        <v>-28234</v>
      </c>
      <c r="F13292" t="s">
        <v>1331</v>
      </c>
      <c r="G13292" t="s">
        <v>31</v>
      </c>
      <c r="H13292" t="s">
        <v>20</v>
      </c>
      <c r="I13292" t="s">
        <v>25715</v>
      </c>
      <c r="J13292" t="str">
        <f>HYPERLINK("https://www.boe.es/gazeta/dias/1822/09/11/pdfs/GMD-1822-267.pdf#page=3","Abrir facsímil")</f>
        <v>Abrir facsímil</v>
      </c>
      <c r="K13292" t="s">
        <v>22</v>
      </c>
    </row>
    <row r="13293" spans="1:11" ht="42" customHeight="1">
      <c r="A13293" t="s">
        <v>25716</v>
      </c>
      <c r="B13293" t="s">
        <v>25716</v>
      </c>
      <c r="C13293" t="s">
        <v>42</v>
      </c>
      <c r="D13293" t="s">
        <v>17</v>
      </c>
      <c r="E13293" s="6">
        <v>-28386</v>
      </c>
      <c r="F13293" t="s">
        <v>2993</v>
      </c>
      <c r="G13293" t="s">
        <v>31</v>
      </c>
      <c r="H13293" t="s">
        <v>20</v>
      </c>
      <c r="I13293" t="s">
        <v>25717</v>
      </c>
      <c r="J13293" t="str">
        <f>HYPERLINK("https://www.boe.es/gazeta/dias/1822/04/12/pdfs/GMD-1822-104.pdf#page=3","Abrir facsímil")</f>
        <v>Abrir facsímil</v>
      </c>
      <c r="K13293" t="s">
        <v>22</v>
      </c>
    </row>
    <row r="13294" spans="1:11" ht="42" customHeight="1">
      <c r="A13294" t="s">
        <v>25718</v>
      </c>
      <c r="B13294" t="s">
        <v>25719</v>
      </c>
      <c r="C13294" t="s">
        <v>362</v>
      </c>
      <c r="D13294" t="s">
        <v>17</v>
      </c>
      <c r="E13294" s="6">
        <v>-28205</v>
      </c>
      <c r="F13294" t="s">
        <v>806</v>
      </c>
      <c r="G13294" t="s">
        <v>63</v>
      </c>
      <c r="H13294" t="s">
        <v>20</v>
      </c>
      <c r="I13294" t="s">
        <v>25720</v>
      </c>
      <c r="J13294" t="str">
        <f>HYPERLINK("https://www.boe.es/gazeta/dias/1822/10/10/pdfs/GMD-1822-297.pdf#page=6","Abrir facsímil")</f>
        <v>Abrir facsímil</v>
      </c>
      <c r="K13294" t="s">
        <v>22</v>
      </c>
    </row>
    <row r="13295" spans="1:11" ht="42" customHeight="1">
      <c r="A13295" t="s">
        <v>25721</v>
      </c>
      <c r="B13295" t="s">
        <v>25722</v>
      </c>
      <c r="C13295" t="s">
        <v>50</v>
      </c>
      <c r="D13295" t="s">
        <v>51</v>
      </c>
      <c r="E13295" s="6">
        <v>-28194</v>
      </c>
      <c r="F13295" t="s">
        <v>18</v>
      </c>
      <c r="G13295" t="s">
        <v>63</v>
      </c>
      <c r="H13295" t="s">
        <v>20</v>
      </c>
      <c r="I13295" t="s">
        <v>25723</v>
      </c>
      <c r="J13295" t="str">
        <f>HYPERLINK("https://www.boe.es/gazeta/dias/1822/10/21/pdfs/GMD-1822-308.pdf#page=6","Abrir facsímil")</f>
        <v>Abrir facsímil</v>
      </c>
      <c r="K13295" t="s">
        <v>22</v>
      </c>
    </row>
    <row r="13296" spans="1:11" ht="42" customHeight="1">
      <c r="A13296" t="s">
        <v>25724</v>
      </c>
      <c r="B13296" t="s">
        <v>25724</v>
      </c>
      <c r="C13296" t="s">
        <v>71</v>
      </c>
      <c r="D13296" t="s">
        <v>17</v>
      </c>
      <c r="E13296" s="6">
        <v>-28337</v>
      </c>
      <c r="F13296" t="s">
        <v>1836</v>
      </c>
      <c r="G13296" t="s">
        <v>19</v>
      </c>
      <c r="H13296" t="s">
        <v>20</v>
      </c>
      <c r="I13296" t="s">
        <v>25725</v>
      </c>
      <c r="J13296" t="str">
        <f>HYPERLINK("https://www.boe.es/gazeta/dias/1822/05/31/pdfs/GMD-1822-156.pdf#page=5","Abrir facsímil")</f>
        <v>Abrir facsímil</v>
      </c>
      <c r="K13296" t="s">
        <v>22</v>
      </c>
    </row>
    <row r="13297" spans="1:11" ht="42" customHeight="1">
      <c r="A13297" t="s">
        <v>25726</v>
      </c>
      <c r="B13297" t="s">
        <v>25727</v>
      </c>
      <c r="C13297" t="s">
        <v>50</v>
      </c>
      <c r="D13297" t="s">
        <v>51</v>
      </c>
      <c r="E13297" s="6">
        <v>-28189</v>
      </c>
      <c r="F13297" t="s">
        <v>645</v>
      </c>
      <c r="G13297" t="s">
        <v>44</v>
      </c>
      <c r="H13297" t="s">
        <v>20</v>
      </c>
      <c r="I13297" t="s">
        <v>25728</v>
      </c>
      <c r="J13297" t="str">
        <f>HYPERLINK("https://www.boe.es/gazeta/dias/1822/10/26/pdfs/GMD-1822-313.pdf#page=1","Abrir facsímil")</f>
        <v>Abrir facsímil</v>
      </c>
      <c r="K13297" t="s">
        <v>22</v>
      </c>
    </row>
    <row r="13298" spans="1:11" ht="42" customHeight="1">
      <c r="A13298" t="s">
        <v>25729</v>
      </c>
      <c r="B13298" t="s">
        <v>25730</v>
      </c>
      <c r="C13298" t="s">
        <v>16</v>
      </c>
      <c r="D13298" t="s">
        <v>17</v>
      </c>
      <c r="E13298" s="6">
        <v>-28199</v>
      </c>
      <c r="F13298" t="s">
        <v>656</v>
      </c>
      <c r="G13298" t="s">
        <v>35</v>
      </c>
      <c r="H13298" t="s">
        <v>20</v>
      </c>
      <c r="I13298" t="s">
        <v>25731</v>
      </c>
      <c r="J13298" t="str">
        <f>HYPERLINK("https://www.boe.es/gazeta/dias/1822/10/16/pdfs/GMD-1822-303.pdf#page=2","Abrir facsímil")</f>
        <v>Abrir facsímil</v>
      </c>
      <c r="K13298" t="s">
        <v>22</v>
      </c>
    </row>
    <row r="13299" spans="1:11" ht="42" customHeight="1">
      <c r="A13299" t="s">
        <v>25732</v>
      </c>
      <c r="B13299" t="s">
        <v>25733</v>
      </c>
      <c r="C13299" t="s">
        <v>50</v>
      </c>
      <c r="D13299" t="s">
        <v>51</v>
      </c>
      <c r="E13299" s="6">
        <v>-28479</v>
      </c>
      <c r="F13299" t="s">
        <v>1091</v>
      </c>
      <c r="G13299" t="s">
        <v>44</v>
      </c>
      <c r="H13299" t="s">
        <v>20</v>
      </c>
      <c r="I13299" t="s">
        <v>25734</v>
      </c>
      <c r="J13299" t="str">
        <f>HYPERLINK("https://www.boe.es/gazeta/dias/1822/01/09/pdfs/GMD-1822-9.pdf#page=1","Abrir facsímil")</f>
        <v>Abrir facsímil</v>
      </c>
      <c r="K13299" t="s">
        <v>22</v>
      </c>
    </row>
    <row r="13300" spans="1:11" ht="42" customHeight="1">
      <c r="A13300" t="s">
        <v>25735</v>
      </c>
      <c r="B13300" t="s">
        <v>25735</v>
      </c>
      <c r="C13300" t="s">
        <v>28</v>
      </c>
      <c r="D13300" t="s">
        <v>29</v>
      </c>
      <c r="E13300" s="6">
        <v>-28397</v>
      </c>
      <c r="F13300" t="s">
        <v>1401</v>
      </c>
      <c r="G13300" t="s">
        <v>63</v>
      </c>
      <c r="H13300" t="s">
        <v>20</v>
      </c>
      <c r="I13300" t="s">
        <v>25736</v>
      </c>
      <c r="J13300" t="str">
        <f>HYPERLINK("https://www.boe.es/gazeta/dias/1822/04/01/pdfs/GMD-1822-93.pdf#page=6","Abrir facsímil")</f>
        <v>Abrir facsímil</v>
      </c>
      <c r="K13300" t="s">
        <v>22</v>
      </c>
    </row>
    <row r="13301" spans="1:11" ht="42" customHeight="1">
      <c r="A13301" t="s">
        <v>25737</v>
      </c>
      <c r="B13301" t="s">
        <v>25738</v>
      </c>
      <c r="C13301" t="s">
        <v>16</v>
      </c>
      <c r="D13301" t="s">
        <v>17</v>
      </c>
      <c r="E13301" s="6">
        <v>-28158</v>
      </c>
      <c r="F13301" t="s">
        <v>590</v>
      </c>
      <c r="G13301" t="s">
        <v>63</v>
      </c>
      <c r="H13301" t="s">
        <v>20</v>
      </c>
      <c r="I13301" t="s">
        <v>25739</v>
      </c>
      <c r="J13301" t="str">
        <f>HYPERLINK("https://www.boe.es/gazeta/dias/1822/11/26/pdfs/GMD-1822-346.pdf#page=6","Abrir facsímil")</f>
        <v>Abrir facsímil</v>
      </c>
      <c r="K13301" t="s">
        <v>22</v>
      </c>
    </row>
    <row r="13302" spans="1:11" ht="42" customHeight="1">
      <c r="A13302" t="s">
        <v>25740</v>
      </c>
      <c r="B13302" t="s">
        <v>25740</v>
      </c>
      <c r="C13302" t="s">
        <v>50</v>
      </c>
      <c r="D13302" t="s">
        <v>51</v>
      </c>
      <c r="E13302" s="6">
        <v>-28198</v>
      </c>
      <c r="F13302" t="s">
        <v>981</v>
      </c>
      <c r="G13302" t="s">
        <v>57</v>
      </c>
      <c r="H13302" t="s">
        <v>20</v>
      </c>
      <c r="I13302" t="s">
        <v>25741</v>
      </c>
      <c r="J13302" t="str">
        <f>HYPERLINK("https://www.boe.es/gazeta/dias/1822/10/17/pdfs/GMD-1822-304.pdf#page=4","Abrir facsímil")</f>
        <v>Abrir facsímil</v>
      </c>
      <c r="K13302" t="s">
        <v>22</v>
      </c>
    </row>
    <row r="13303" spans="1:11" ht="42" customHeight="1">
      <c r="A13303" t="s">
        <v>25742</v>
      </c>
      <c r="B13303" t="s">
        <v>25742</v>
      </c>
      <c r="C13303" t="s">
        <v>50</v>
      </c>
      <c r="D13303" t="s">
        <v>51</v>
      </c>
      <c r="E13303" s="6">
        <v>-28456</v>
      </c>
      <c r="F13303" t="s">
        <v>1104</v>
      </c>
      <c r="G13303" t="s">
        <v>35</v>
      </c>
      <c r="H13303" t="s">
        <v>20</v>
      </c>
      <c r="I13303" t="s">
        <v>25743</v>
      </c>
      <c r="J13303" t="str">
        <f>HYPERLINK("https://www.boe.es/gazeta/dias/1822/02/01/pdfs/GMD-1822-32.pdf#page=2","Abrir facsímil")</f>
        <v>Abrir facsímil</v>
      </c>
      <c r="K13303" t="s">
        <v>22</v>
      </c>
    </row>
    <row r="13304" spans="1:11" ht="42" customHeight="1">
      <c r="A13304" t="s">
        <v>25744</v>
      </c>
      <c r="B13304" t="s">
        <v>25744</v>
      </c>
      <c r="C13304" t="s">
        <v>42</v>
      </c>
      <c r="D13304" t="s">
        <v>17</v>
      </c>
      <c r="E13304" s="6">
        <v>-28454</v>
      </c>
      <c r="F13304" t="s">
        <v>2033</v>
      </c>
      <c r="G13304" t="s">
        <v>44</v>
      </c>
      <c r="H13304" t="s">
        <v>20</v>
      </c>
      <c r="I13304" t="s">
        <v>25745</v>
      </c>
      <c r="J13304" t="str">
        <f>HYPERLINK("https://www.boe.es/gazeta/dias/1822/02/03/pdfs/GMD-1822-34.pdf#page=1","Abrir facsímil")</f>
        <v>Abrir facsímil</v>
      </c>
      <c r="K13304" t="s">
        <v>22</v>
      </c>
    </row>
    <row r="13305" spans="1:11" ht="42" customHeight="1">
      <c r="A13305" t="s">
        <v>25746</v>
      </c>
      <c r="B13305" t="s">
        <v>25746</v>
      </c>
      <c r="C13305" t="s">
        <v>42</v>
      </c>
      <c r="D13305" t="s">
        <v>17</v>
      </c>
      <c r="E13305" s="6">
        <v>-28451</v>
      </c>
      <c r="F13305" t="s">
        <v>1674</v>
      </c>
      <c r="G13305" t="s">
        <v>35</v>
      </c>
      <c r="H13305" t="s">
        <v>20</v>
      </c>
      <c r="I13305" t="s">
        <v>25747</v>
      </c>
      <c r="J13305" t="str">
        <f>HYPERLINK("https://www.boe.es/gazeta/dias/1822/02/06/pdfs/GMD-1822-37.pdf#page=2","Abrir facsímil")</f>
        <v>Abrir facsímil</v>
      </c>
      <c r="K13305" t="s">
        <v>22</v>
      </c>
    </row>
    <row r="13306" spans="1:11" ht="42" customHeight="1">
      <c r="A13306" t="s">
        <v>25746</v>
      </c>
      <c r="B13306" t="s">
        <v>25746</v>
      </c>
      <c r="C13306" t="s">
        <v>50</v>
      </c>
      <c r="D13306" t="s">
        <v>51</v>
      </c>
      <c r="E13306" s="6">
        <v>-28435</v>
      </c>
      <c r="F13306" t="s">
        <v>1710</v>
      </c>
      <c r="G13306" t="s">
        <v>44</v>
      </c>
      <c r="H13306" t="s">
        <v>20</v>
      </c>
      <c r="I13306" t="s">
        <v>25748</v>
      </c>
      <c r="J13306" t="str">
        <f>HYPERLINK("https://www.boe.es/gazeta/dias/1822/02/22/pdfs/GMD-1822-54.pdf#page=1","Abrir facsímil")</f>
        <v>Abrir facsímil</v>
      </c>
      <c r="K13306" t="s">
        <v>22</v>
      </c>
    </row>
    <row r="13307" spans="1:11" ht="42" customHeight="1">
      <c r="A13307" t="s">
        <v>25749</v>
      </c>
      <c r="B13307" t="s">
        <v>25750</v>
      </c>
      <c r="C13307" t="s">
        <v>50</v>
      </c>
      <c r="D13307" t="s">
        <v>51</v>
      </c>
      <c r="E13307" s="6">
        <v>-28300</v>
      </c>
      <c r="F13307" t="s">
        <v>6533</v>
      </c>
      <c r="G13307" t="s">
        <v>31</v>
      </c>
      <c r="H13307" t="s">
        <v>20</v>
      </c>
      <c r="I13307" t="s">
        <v>25751</v>
      </c>
      <c r="J13307" t="str">
        <f>HYPERLINK("https://www.boe.es/gazeta/dias/1822/07/07/pdfs/GMD-1822-196.pdf#page=3","Abrir facsímil")</f>
        <v>Abrir facsímil</v>
      </c>
      <c r="K13307" t="s">
        <v>22</v>
      </c>
    </row>
    <row r="13308" spans="1:11" ht="42" customHeight="1">
      <c r="A13308" t="s">
        <v>25752</v>
      </c>
      <c r="B13308" t="s">
        <v>25753</v>
      </c>
      <c r="C13308" t="s">
        <v>71</v>
      </c>
      <c r="D13308" t="s">
        <v>17</v>
      </c>
      <c r="E13308" s="6">
        <v>-28378</v>
      </c>
      <c r="F13308" t="s">
        <v>496</v>
      </c>
      <c r="G13308" t="s">
        <v>35</v>
      </c>
      <c r="H13308" t="s">
        <v>20</v>
      </c>
      <c r="I13308" t="s">
        <v>25754</v>
      </c>
      <c r="J13308" t="str">
        <f>HYPERLINK("https://www.boe.es/gazeta/dias/1822/04/20/pdfs/GMD-1822-112.pdf#page=2","Abrir facsímil")</f>
        <v>Abrir facsímil</v>
      </c>
      <c r="K13308" t="s">
        <v>22</v>
      </c>
    </row>
    <row r="13309" spans="1:11" ht="42" customHeight="1">
      <c r="A13309" t="s">
        <v>25755</v>
      </c>
      <c r="B13309" t="s">
        <v>25755</v>
      </c>
      <c r="C13309" t="s">
        <v>71</v>
      </c>
      <c r="D13309" t="s">
        <v>17</v>
      </c>
      <c r="E13309" s="6">
        <v>-28431</v>
      </c>
      <c r="F13309" t="s">
        <v>1258</v>
      </c>
      <c r="G13309" t="s">
        <v>31</v>
      </c>
      <c r="H13309" t="s">
        <v>20</v>
      </c>
      <c r="I13309" t="s">
        <v>25756</v>
      </c>
      <c r="J13309" t="str">
        <f>HYPERLINK("https://www.boe.es/gazeta/dias/1822/02/26/pdfs/GMD-1822-58.pdf#page=3","Abrir facsímil")</f>
        <v>Abrir facsímil</v>
      </c>
      <c r="K13309" t="s">
        <v>22</v>
      </c>
    </row>
    <row r="13310" spans="1:11" ht="42" customHeight="1">
      <c r="A13310" t="s">
        <v>25755</v>
      </c>
      <c r="B13310" t="s">
        <v>25755</v>
      </c>
      <c r="C13310" t="s">
        <v>71</v>
      </c>
      <c r="D13310" t="s">
        <v>17</v>
      </c>
      <c r="E13310" s="6">
        <v>-28385</v>
      </c>
      <c r="F13310" t="s">
        <v>484</v>
      </c>
      <c r="G13310" t="s">
        <v>19</v>
      </c>
      <c r="H13310" t="s">
        <v>20</v>
      </c>
      <c r="I13310" t="s">
        <v>25757</v>
      </c>
      <c r="J13310" t="str">
        <f>HYPERLINK("https://www.boe.es/gazeta/dias/1822/04/13/pdfs/GMD-1822-105.pdf#page=5","Abrir facsímil")</f>
        <v>Abrir facsímil</v>
      </c>
      <c r="K13310" t="s">
        <v>22</v>
      </c>
    </row>
    <row r="13311" spans="1:11" ht="42" customHeight="1">
      <c r="A13311" t="s">
        <v>25755</v>
      </c>
      <c r="B13311" t="s">
        <v>25755</v>
      </c>
      <c r="C13311" t="s">
        <v>24</v>
      </c>
      <c r="D13311" t="s">
        <v>17</v>
      </c>
      <c r="E13311" s="6">
        <v>-28359</v>
      </c>
      <c r="F13311" t="s">
        <v>209</v>
      </c>
      <c r="G13311" t="s">
        <v>31</v>
      </c>
      <c r="H13311" t="s">
        <v>20</v>
      </c>
      <c r="I13311" t="s">
        <v>25758</v>
      </c>
      <c r="J13311" t="str">
        <f>HYPERLINK("https://www.boe.es/gazeta/dias/1822/05/09/pdfs/GMD-1822-131.pdf#page=3","Abrir facsímil")</f>
        <v>Abrir facsímil</v>
      </c>
      <c r="K13311" t="s">
        <v>22</v>
      </c>
    </row>
    <row r="13312" spans="1:11" ht="42" customHeight="1">
      <c r="A13312" t="s">
        <v>25755</v>
      </c>
      <c r="B13312" t="s">
        <v>25755</v>
      </c>
      <c r="C13312" t="s">
        <v>50</v>
      </c>
      <c r="D13312" t="s">
        <v>51</v>
      </c>
      <c r="E13312" s="6">
        <v>-28237</v>
      </c>
      <c r="F13312" t="s">
        <v>878</v>
      </c>
      <c r="G13312" t="s">
        <v>31</v>
      </c>
      <c r="H13312" t="s">
        <v>20</v>
      </c>
      <c r="I13312" t="s">
        <v>25759</v>
      </c>
      <c r="J13312" t="str">
        <f>HYPERLINK("https://www.boe.es/gazeta/dias/1822/09/08/pdfs/GMD-1822-264.pdf#page=3","Abrir facsímil")</f>
        <v>Abrir facsímil</v>
      </c>
      <c r="K13312" t="s">
        <v>22</v>
      </c>
    </row>
    <row r="13313" spans="1:11" ht="42" customHeight="1">
      <c r="A13313" t="s">
        <v>25760</v>
      </c>
      <c r="B13313" t="s">
        <v>25761</v>
      </c>
      <c r="C13313" t="s">
        <v>50</v>
      </c>
      <c r="D13313" t="s">
        <v>51</v>
      </c>
      <c r="E13313" s="6">
        <v>-28358</v>
      </c>
      <c r="F13313" t="s">
        <v>211</v>
      </c>
      <c r="G13313" t="s">
        <v>57</v>
      </c>
      <c r="H13313" t="s">
        <v>20</v>
      </c>
      <c r="I13313" t="s">
        <v>25762</v>
      </c>
      <c r="J13313" t="str">
        <f>HYPERLINK("https://www.boe.es/gazeta/dias/1822/05/10/pdfs/GMD-1822-132.pdf#page=4","Abrir facsímil")</f>
        <v>Abrir facsímil</v>
      </c>
      <c r="K13313" t="s">
        <v>22</v>
      </c>
    </row>
    <row r="13314" spans="1:11" ht="42" customHeight="1">
      <c r="A13314" t="s">
        <v>25763</v>
      </c>
      <c r="B13314" t="s">
        <v>25764</v>
      </c>
      <c r="C13314" t="s">
        <v>28</v>
      </c>
      <c r="D13314" t="s">
        <v>29</v>
      </c>
      <c r="E13314" s="6">
        <v>-28294</v>
      </c>
      <c r="F13314" t="s">
        <v>2298</v>
      </c>
      <c r="G13314" t="s">
        <v>57</v>
      </c>
      <c r="H13314" t="s">
        <v>20</v>
      </c>
      <c r="I13314" t="s">
        <v>25765</v>
      </c>
      <c r="J13314" t="str">
        <f>HYPERLINK("https://www.boe.es/gazeta/dias/1822/07/13/pdfs/GMD-1822-203.pdf#page=4","Abrir facsímil")</f>
        <v>Abrir facsímil</v>
      </c>
      <c r="K13314" t="s">
        <v>22</v>
      </c>
    </row>
    <row r="13315" spans="1:11" ht="42" customHeight="1">
      <c r="A13315" t="s">
        <v>25766</v>
      </c>
      <c r="B13315" t="s">
        <v>25767</v>
      </c>
      <c r="C13315" t="s">
        <v>28</v>
      </c>
      <c r="D13315" t="s">
        <v>29</v>
      </c>
      <c r="E13315" s="6">
        <v>-28284</v>
      </c>
      <c r="F13315" t="s">
        <v>6484</v>
      </c>
      <c r="G13315" t="s">
        <v>57</v>
      </c>
      <c r="H13315" t="s">
        <v>20</v>
      </c>
      <c r="I13315" t="s">
        <v>25768</v>
      </c>
      <c r="J13315" t="str">
        <f>HYPERLINK("https://www.boe.es/gazeta/dias/1822/07/23/pdfs/GMD-1822-216.pdf#page=4","Abrir facsímil")</f>
        <v>Abrir facsímil</v>
      </c>
      <c r="K13315" t="s">
        <v>22</v>
      </c>
    </row>
    <row r="13316" spans="1:11" ht="42" customHeight="1">
      <c r="A13316" t="s">
        <v>25769</v>
      </c>
      <c r="B13316" t="s">
        <v>25770</v>
      </c>
      <c r="C13316" t="s">
        <v>28</v>
      </c>
      <c r="D13316" t="s">
        <v>29</v>
      </c>
      <c r="E13316" s="6">
        <v>-28340</v>
      </c>
      <c r="F13316" t="s">
        <v>139</v>
      </c>
      <c r="G13316" t="s">
        <v>63</v>
      </c>
      <c r="H13316" t="s">
        <v>20</v>
      </c>
      <c r="I13316" t="s">
        <v>25771</v>
      </c>
      <c r="J13316" t="str">
        <f>HYPERLINK("https://www.boe.es/gazeta/dias/1822/05/28/pdfs/GMD-1822-153.pdf#page=6","Abrir facsímil")</f>
        <v>Abrir facsímil</v>
      </c>
      <c r="K13316" t="s">
        <v>22</v>
      </c>
    </row>
    <row r="13317" spans="1:11" ht="42" customHeight="1">
      <c r="A13317" t="s">
        <v>25769</v>
      </c>
      <c r="B13317" t="s">
        <v>25770</v>
      </c>
      <c r="C13317" t="s">
        <v>28</v>
      </c>
      <c r="D13317" t="s">
        <v>29</v>
      </c>
      <c r="E13317" s="6">
        <v>-28315</v>
      </c>
      <c r="F13317" t="s">
        <v>1220</v>
      </c>
      <c r="G13317" t="s">
        <v>63</v>
      </c>
      <c r="H13317" t="s">
        <v>20</v>
      </c>
      <c r="I13317" t="s">
        <v>25772</v>
      </c>
      <c r="J13317" t="str">
        <f>HYPERLINK("https://www.boe.es/gazeta/dias/1822/06/22/pdfs/GMD-1822-180.pdf#page=6","Abrir facsímil")</f>
        <v>Abrir facsímil</v>
      </c>
      <c r="K13317" t="s">
        <v>22</v>
      </c>
    </row>
    <row r="13318" spans="1:11" ht="42" customHeight="1">
      <c r="A13318" t="s">
        <v>25769</v>
      </c>
      <c r="B13318" t="s">
        <v>25770</v>
      </c>
      <c r="C13318" t="s">
        <v>50</v>
      </c>
      <c r="D13318" t="s">
        <v>51</v>
      </c>
      <c r="E13318" s="6">
        <v>-28293</v>
      </c>
      <c r="F13318" t="s">
        <v>152</v>
      </c>
      <c r="G13318" t="s">
        <v>57</v>
      </c>
      <c r="H13318" t="s">
        <v>20</v>
      </c>
      <c r="I13318" t="s">
        <v>25773</v>
      </c>
      <c r="J13318" t="str">
        <f>HYPERLINK("https://www.boe.es/gazeta/dias/1822/07/14/pdfs/GMD-1822-204.pdf#page=4","Abrir facsímil")</f>
        <v>Abrir facsímil</v>
      </c>
      <c r="K13318" t="s">
        <v>22</v>
      </c>
    </row>
    <row r="13319" spans="1:11" ht="42" customHeight="1">
      <c r="A13319" t="s">
        <v>25769</v>
      </c>
      <c r="B13319" t="s">
        <v>25770</v>
      </c>
      <c r="C13319" t="s">
        <v>50</v>
      </c>
      <c r="D13319" t="s">
        <v>51</v>
      </c>
      <c r="E13319" s="6">
        <v>-28281</v>
      </c>
      <c r="F13319" t="s">
        <v>3310</v>
      </c>
      <c r="G13319" t="s">
        <v>57</v>
      </c>
      <c r="H13319" t="s">
        <v>20</v>
      </c>
      <c r="I13319" t="s">
        <v>25774</v>
      </c>
      <c r="J13319" t="str">
        <f>HYPERLINK("https://www.boe.es/gazeta/dias/1822/07/26/pdfs/GMD-1822-219.pdf#page=4","Abrir facsímil")</f>
        <v>Abrir facsímil</v>
      </c>
      <c r="K13319" t="s">
        <v>22</v>
      </c>
    </row>
    <row r="13320" spans="1:11" ht="42" customHeight="1">
      <c r="A13320" t="s">
        <v>25775</v>
      </c>
      <c r="B13320" t="s">
        <v>25776</v>
      </c>
      <c r="C13320" t="s">
        <v>50</v>
      </c>
      <c r="D13320" t="s">
        <v>51</v>
      </c>
      <c r="E13320" s="6">
        <v>-28445</v>
      </c>
      <c r="F13320" t="s">
        <v>1622</v>
      </c>
      <c r="G13320" t="s">
        <v>57</v>
      </c>
      <c r="H13320" t="s">
        <v>20</v>
      </c>
      <c r="I13320" t="s">
        <v>25777</v>
      </c>
      <c r="J13320" t="str">
        <f>HYPERLINK("https://www.boe.es/gazeta/dias/1822/02/12/pdfs/GMD-1822-43.pdf#page=4","Abrir facsímil")</f>
        <v>Abrir facsímil</v>
      </c>
      <c r="K13320" t="s">
        <v>22</v>
      </c>
    </row>
    <row r="13321" spans="1:11" ht="42" customHeight="1">
      <c r="A13321" t="s">
        <v>25778</v>
      </c>
      <c r="B13321" t="s">
        <v>25779</v>
      </c>
      <c r="C13321" t="s">
        <v>42</v>
      </c>
      <c r="D13321" t="s">
        <v>17</v>
      </c>
      <c r="E13321" s="6">
        <v>-28237</v>
      </c>
      <c r="F13321" t="s">
        <v>878</v>
      </c>
      <c r="G13321" t="s">
        <v>31</v>
      </c>
      <c r="H13321" t="s">
        <v>20</v>
      </c>
      <c r="I13321" t="s">
        <v>25780</v>
      </c>
      <c r="J13321" t="str">
        <f>HYPERLINK("https://www.boe.es/gazeta/dias/1822/09/08/pdfs/GMD-1822-264.pdf#page=3","Abrir facsímil")</f>
        <v>Abrir facsímil</v>
      </c>
      <c r="K13321" t="s">
        <v>22</v>
      </c>
    </row>
    <row r="13322" spans="1:11" ht="42" customHeight="1">
      <c r="A13322" t="s">
        <v>25778</v>
      </c>
      <c r="B13322" t="s">
        <v>25779</v>
      </c>
      <c r="C13322" t="s">
        <v>50</v>
      </c>
      <c r="D13322" t="s">
        <v>51</v>
      </c>
      <c r="E13322" s="6">
        <v>-28234</v>
      </c>
      <c r="F13322" t="s">
        <v>1331</v>
      </c>
      <c r="G13322" t="s">
        <v>35</v>
      </c>
      <c r="H13322" t="s">
        <v>20</v>
      </c>
      <c r="I13322" t="s">
        <v>25781</v>
      </c>
      <c r="J13322" t="str">
        <f>HYPERLINK("https://www.boe.es/gazeta/dias/1822/09/11/pdfs/GMD-1822-267.pdf#page=2","Abrir facsímil")</f>
        <v>Abrir facsímil</v>
      </c>
      <c r="K13322" t="s">
        <v>22</v>
      </c>
    </row>
    <row r="13323" spans="1:11" ht="42" customHeight="1">
      <c r="A13323" t="s">
        <v>25782</v>
      </c>
      <c r="B13323" t="s">
        <v>25783</v>
      </c>
      <c r="C13323" t="s">
        <v>50</v>
      </c>
      <c r="D13323" t="s">
        <v>51</v>
      </c>
      <c r="E13323" s="6">
        <v>-28381</v>
      </c>
      <c r="F13323" t="s">
        <v>358</v>
      </c>
      <c r="G13323" t="s">
        <v>35</v>
      </c>
      <c r="H13323" t="s">
        <v>20</v>
      </c>
      <c r="I13323" t="s">
        <v>25784</v>
      </c>
      <c r="J13323" t="str">
        <f>HYPERLINK("https://www.boe.es/gazeta/dias/1822/04/17/pdfs/GMD-1822-109.pdf#page=2","Abrir facsímil")</f>
        <v>Abrir facsímil</v>
      </c>
      <c r="K13323" t="s">
        <v>22</v>
      </c>
    </row>
    <row r="13324" spans="1:11" ht="42" customHeight="1">
      <c r="A13324" t="s">
        <v>25785</v>
      </c>
      <c r="B13324" t="s">
        <v>25786</v>
      </c>
      <c r="C13324" t="s">
        <v>28</v>
      </c>
      <c r="D13324" t="s">
        <v>29</v>
      </c>
      <c r="E13324" s="6">
        <v>-28369</v>
      </c>
      <c r="F13324" t="s">
        <v>1590</v>
      </c>
      <c r="G13324" t="s">
        <v>35</v>
      </c>
      <c r="H13324" t="s">
        <v>20</v>
      </c>
      <c r="I13324" t="s">
        <v>25787</v>
      </c>
      <c r="J13324" t="str">
        <f>HYPERLINK("https://www.boe.es/gazeta/dias/1822/04/29/pdfs/GMD-1822-121.pdf#page=2","Abrir facsímil")</f>
        <v>Abrir facsímil</v>
      </c>
      <c r="K13324" t="s">
        <v>22</v>
      </c>
    </row>
    <row r="13325" spans="1:11" ht="42" customHeight="1">
      <c r="A13325" t="s">
        <v>25788</v>
      </c>
      <c r="B13325" t="s">
        <v>25789</v>
      </c>
      <c r="C13325" t="s">
        <v>50</v>
      </c>
      <c r="D13325" t="s">
        <v>51</v>
      </c>
      <c r="E13325" s="6">
        <v>-28417</v>
      </c>
      <c r="F13325" t="s">
        <v>1394</v>
      </c>
      <c r="G13325" t="s">
        <v>31</v>
      </c>
      <c r="H13325" t="s">
        <v>20</v>
      </c>
      <c r="I13325" t="s">
        <v>25790</v>
      </c>
      <c r="J13325" t="str">
        <f>HYPERLINK("https://www.boe.es/gazeta/dias/1822/03/12/pdfs/GMD-1822-73.pdf#page=3","Abrir facsímil")</f>
        <v>Abrir facsímil</v>
      </c>
      <c r="K13325" t="s">
        <v>22</v>
      </c>
    </row>
    <row r="13326" spans="1:11" ht="42" customHeight="1">
      <c r="A13326" t="s">
        <v>25791</v>
      </c>
      <c r="B13326" t="s">
        <v>25792</v>
      </c>
      <c r="C13326" t="s">
        <v>50</v>
      </c>
      <c r="D13326" t="s">
        <v>51</v>
      </c>
      <c r="E13326" s="6">
        <v>-28290</v>
      </c>
      <c r="F13326" t="s">
        <v>706</v>
      </c>
      <c r="G13326" t="s">
        <v>35</v>
      </c>
      <c r="H13326" t="s">
        <v>45</v>
      </c>
      <c r="I13326" t="s">
        <v>25793</v>
      </c>
      <c r="J13326" t="str">
        <f>HYPERLINK("https://www.boe.es/gazeta/dias/1822/07/17/pdfs/GMD-1822-207.pdf#page=2","Abrir facsímil")</f>
        <v>Abrir facsímil</v>
      </c>
      <c r="K13326" t="s">
        <v>47</v>
      </c>
    </row>
    <row r="13327" spans="1:11" ht="42" customHeight="1">
      <c r="A13327" t="s">
        <v>25794</v>
      </c>
      <c r="B13327" t="s">
        <v>25795</v>
      </c>
      <c r="C13327" t="s">
        <v>50</v>
      </c>
      <c r="D13327" t="s">
        <v>51</v>
      </c>
      <c r="E13327" s="6">
        <v>-28164</v>
      </c>
      <c r="F13327" t="s">
        <v>2172</v>
      </c>
      <c r="G13327" t="s">
        <v>63</v>
      </c>
      <c r="H13327" t="s">
        <v>20</v>
      </c>
      <c r="I13327" t="s">
        <v>25796</v>
      </c>
      <c r="J13327" t="str">
        <f>HYPERLINK("https://www.boe.es/gazeta/dias/1822/11/20/pdfs/GMD-1822-340.pdf#page=6","Abrir facsímil")</f>
        <v>Abrir facsímil</v>
      </c>
      <c r="K13327" t="s">
        <v>22</v>
      </c>
    </row>
    <row r="13328" spans="1:11" ht="42" customHeight="1">
      <c r="A13328" t="s">
        <v>25797</v>
      </c>
      <c r="B13328" t="s">
        <v>25798</v>
      </c>
      <c r="C13328" t="s">
        <v>28</v>
      </c>
      <c r="D13328" t="s">
        <v>29</v>
      </c>
      <c r="E13328" s="6">
        <v>-28169</v>
      </c>
      <c r="F13328" t="s">
        <v>2571</v>
      </c>
      <c r="G13328" t="s">
        <v>63</v>
      </c>
      <c r="H13328" t="s">
        <v>20</v>
      </c>
      <c r="I13328" t="s">
        <v>25799</v>
      </c>
      <c r="J13328" t="str">
        <f>HYPERLINK("https://www.boe.es/gazeta/dias/1822/11/15/pdfs/GMD-1822-335.pdf#page=6","Abrir facsímil")</f>
        <v>Abrir facsímil</v>
      </c>
      <c r="K13328" t="s">
        <v>22</v>
      </c>
    </row>
    <row r="13329" spans="1:11" ht="42" customHeight="1">
      <c r="A13329" t="s">
        <v>25800</v>
      </c>
      <c r="B13329" t="s">
        <v>25800</v>
      </c>
      <c r="C13329" t="s">
        <v>42</v>
      </c>
      <c r="D13329" t="s">
        <v>17</v>
      </c>
      <c r="E13329" s="6">
        <v>-28167</v>
      </c>
      <c r="F13329" t="s">
        <v>904</v>
      </c>
      <c r="G13329" t="s">
        <v>31</v>
      </c>
      <c r="H13329" t="s">
        <v>20</v>
      </c>
      <c r="I13329" t="s">
        <v>25801</v>
      </c>
      <c r="J13329" t="str">
        <f>HYPERLINK("https://www.boe.es/gazeta/dias/1822/11/17/pdfs/GMD-1822-337.pdf#page=3","Abrir facsímil")</f>
        <v>Abrir facsímil</v>
      </c>
      <c r="K13329" t="s">
        <v>22</v>
      </c>
    </row>
    <row r="13330" spans="1:11" ht="42" customHeight="1">
      <c r="A13330" t="s">
        <v>25802</v>
      </c>
      <c r="B13330" t="s">
        <v>25803</v>
      </c>
      <c r="C13330" t="s">
        <v>50</v>
      </c>
      <c r="D13330" t="s">
        <v>51</v>
      </c>
      <c r="E13330" s="6">
        <v>-28465</v>
      </c>
      <c r="F13330" t="s">
        <v>1114</v>
      </c>
      <c r="G13330" t="s">
        <v>57</v>
      </c>
      <c r="H13330" t="s">
        <v>20</v>
      </c>
      <c r="I13330" t="s">
        <v>25804</v>
      </c>
      <c r="J13330" t="str">
        <f>HYPERLINK("https://www.boe.es/gazeta/dias/1822/01/23/pdfs/GMD-1822-23.pdf#page=4","Abrir facsímil")</f>
        <v>Abrir facsímil</v>
      </c>
      <c r="K13330" t="s">
        <v>22</v>
      </c>
    </row>
    <row r="13331" spans="1:11" ht="42" customHeight="1">
      <c r="A13331" t="s">
        <v>25805</v>
      </c>
      <c r="B13331" t="s">
        <v>25805</v>
      </c>
      <c r="C13331" t="s">
        <v>24</v>
      </c>
      <c r="D13331" t="s">
        <v>17</v>
      </c>
      <c r="E13331" s="6">
        <v>-28486</v>
      </c>
      <c r="F13331" t="s">
        <v>1046</v>
      </c>
      <c r="G13331" t="s">
        <v>57</v>
      </c>
      <c r="H13331" t="s">
        <v>20</v>
      </c>
      <c r="I13331" t="s">
        <v>25806</v>
      </c>
      <c r="J13331" t="str">
        <f>HYPERLINK("https://www.boe.es/gazeta/dias/1822/01/02/pdfs/GMD-1822-2.pdf#page=4","Abrir facsímil")</f>
        <v>Abrir facsímil</v>
      </c>
      <c r="K13331" t="s">
        <v>22</v>
      </c>
    </row>
    <row r="13332" spans="1:11" ht="42" customHeight="1">
      <c r="A13332" t="s">
        <v>25807</v>
      </c>
      <c r="B13332" t="s">
        <v>25808</v>
      </c>
      <c r="C13332" t="s">
        <v>50</v>
      </c>
      <c r="D13332" t="s">
        <v>51</v>
      </c>
      <c r="E13332" s="6">
        <v>-28486</v>
      </c>
      <c r="F13332" t="s">
        <v>1046</v>
      </c>
      <c r="G13332" t="s">
        <v>57</v>
      </c>
      <c r="H13332" t="s">
        <v>20</v>
      </c>
      <c r="I13332" t="s">
        <v>25809</v>
      </c>
      <c r="J13332" t="str">
        <f>HYPERLINK("https://www.boe.es/gazeta/dias/1822/01/02/pdfs/GMD-1822-2.pdf#page=4","Abrir facsímil")</f>
        <v>Abrir facsímil</v>
      </c>
      <c r="K13332" t="s">
        <v>22</v>
      </c>
    </row>
    <row r="13333" spans="1:11" ht="42" customHeight="1">
      <c r="A13333" t="s">
        <v>25810</v>
      </c>
      <c r="B13333" t="s">
        <v>25811</v>
      </c>
      <c r="C13333" t="s">
        <v>50</v>
      </c>
      <c r="D13333" t="s">
        <v>51</v>
      </c>
      <c r="E13333" s="6">
        <v>-28400</v>
      </c>
      <c r="F13333" t="s">
        <v>1937</v>
      </c>
      <c r="G13333" t="s">
        <v>35</v>
      </c>
      <c r="H13333" t="s">
        <v>20</v>
      </c>
      <c r="I13333" t="s">
        <v>25812</v>
      </c>
      <c r="J13333" t="str">
        <f>HYPERLINK("https://www.boe.es/gazeta/dias/1822/03/29/pdfs/GMD-1822-90.pdf#page=2","Abrir facsímil")</f>
        <v>Abrir facsímil</v>
      </c>
      <c r="K13333" t="s">
        <v>22</v>
      </c>
    </row>
    <row r="13334" spans="1:11" ht="42" customHeight="1">
      <c r="A13334" t="s">
        <v>25813</v>
      </c>
      <c r="B13334" t="s">
        <v>25813</v>
      </c>
      <c r="C13334" t="s">
        <v>42</v>
      </c>
      <c r="D13334" t="s">
        <v>17</v>
      </c>
      <c r="E13334" s="6">
        <v>-28426</v>
      </c>
      <c r="F13334" t="s">
        <v>1178</v>
      </c>
      <c r="G13334" t="s">
        <v>57</v>
      </c>
      <c r="H13334" t="s">
        <v>20</v>
      </c>
      <c r="I13334" t="s">
        <v>25814</v>
      </c>
      <c r="J13334" t="str">
        <f>HYPERLINK("https://www.boe.es/gazeta/dias/1822/03/03/pdfs/GMD-1822-64.pdf#page=4","Abrir facsímil")</f>
        <v>Abrir facsímil</v>
      </c>
      <c r="K13334" t="s">
        <v>22</v>
      </c>
    </row>
    <row r="13335" spans="1:11" ht="42" customHeight="1">
      <c r="A13335" t="s">
        <v>25815</v>
      </c>
      <c r="B13335" t="s">
        <v>25816</v>
      </c>
      <c r="C13335" t="s">
        <v>28</v>
      </c>
      <c r="D13335" t="s">
        <v>29</v>
      </c>
      <c r="E13335" s="6">
        <v>-28309</v>
      </c>
      <c r="F13335" t="s">
        <v>553</v>
      </c>
      <c r="G13335" t="s">
        <v>44</v>
      </c>
      <c r="H13335" t="s">
        <v>20</v>
      </c>
      <c r="I13335" t="s">
        <v>25817</v>
      </c>
      <c r="J13335" t="str">
        <f>HYPERLINK("https://www.boe.es/gazeta/dias/1822/06/28/pdfs/GMD-1822-186.pdf#page=1","Abrir facsímil")</f>
        <v>Abrir facsímil</v>
      </c>
      <c r="K13335" t="s">
        <v>22</v>
      </c>
    </row>
    <row r="13336" spans="1:11" ht="42" customHeight="1">
      <c r="A13336" t="s">
        <v>25818</v>
      </c>
      <c r="B13336" t="s">
        <v>25819</v>
      </c>
      <c r="C13336" t="s">
        <v>71</v>
      </c>
      <c r="D13336" t="s">
        <v>17</v>
      </c>
      <c r="E13336" s="6">
        <v>-28373</v>
      </c>
      <c r="F13336" t="s">
        <v>614</v>
      </c>
      <c r="G13336" t="s">
        <v>57</v>
      </c>
      <c r="H13336" t="s">
        <v>20</v>
      </c>
      <c r="I13336" t="s">
        <v>25820</v>
      </c>
      <c r="J13336" t="str">
        <f>HYPERLINK("https://www.boe.es/gazeta/dias/1822/04/25/pdfs/GMD-1822-117.pdf#page=4","Abrir facsímil")</f>
        <v>Abrir facsímil</v>
      </c>
      <c r="K13336" t="s">
        <v>22</v>
      </c>
    </row>
    <row r="13337" spans="1:11" ht="42" customHeight="1">
      <c r="A13337" t="s">
        <v>25821</v>
      </c>
      <c r="B13337" t="s">
        <v>25822</v>
      </c>
      <c r="C13337" t="s">
        <v>42</v>
      </c>
      <c r="D13337" t="s">
        <v>17</v>
      </c>
      <c r="E13337" s="6">
        <v>-28243</v>
      </c>
      <c r="F13337" t="s">
        <v>1829</v>
      </c>
      <c r="G13337" t="s">
        <v>57</v>
      </c>
      <c r="H13337" t="s">
        <v>20</v>
      </c>
      <c r="I13337" t="s">
        <v>25823</v>
      </c>
      <c r="J13337" t="str">
        <f>HYPERLINK("https://www.boe.es/gazeta/dias/1822/09/02/pdfs/GMD-1822-257.pdf#page=4","Abrir facsímil")</f>
        <v>Abrir facsímil</v>
      </c>
      <c r="K13337" t="s">
        <v>22</v>
      </c>
    </row>
    <row r="13338" spans="1:11" ht="42" customHeight="1">
      <c r="A13338" t="s">
        <v>25824</v>
      </c>
      <c r="B13338" t="s">
        <v>25825</v>
      </c>
      <c r="C13338" t="s">
        <v>42</v>
      </c>
      <c r="D13338" t="s">
        <v>17</v>
      </c>
      <c r="E13338" s="6">
        <v>-28208</v>
      </c>
      <c r="F13338" t="s">
        <v>230</v>
      </c>
      <c r="G13338" t="s">
        <v>57</v>
      </c>
      <c r="H13338" t="s">
        <v>20</v>
      </c>
      <c r="I13338" t="s">
        <v>25826</v>
      </c>
      <c r="J13338" t="str">
        <f>HYPERLINK("https://www.boe.es/gazeta/dias/1822/10/07/pdfs/GMD-1822-293.pdf#page=4","Abrir facsímil")</f>
        <v>Abrir facsímil</v>
      </c>
      <c r="K13338" t="s">
        <v>22</v>
      </c>
    </row>
    <row r="13339" spans="1:11" ht="42" customHeight="1">
      <c r="A13339" t="s">
        <v>25827</v>
      </c>
      <c r="B13339" t="s">
        <v>25828</v>
      </c>
      <c r="C13339" t="s">
        <v>50</v>
      </c>
      <c r="D13339" t="s">
        <v>51</v>
      </c>
      <c r="E13339" s="6">
        <v>-28410</v>
      </c>
      <c r="F13339" t="s">
        <v>966</v>
      </c>
      <c r="G13339" t="s">
        <v>35</v>
      </c>
      <c r="H13339" t="s">
        <v>20</v>
      </c>
      <c r="I13339" t="s">
        <v>25829</v>
      </c>
      <c r="J13339" t="str">
        <f>HYPERLINK("https://www.boe.es/gazeta/dias/1822/03/19/pdfs/GMD-1822-80.pdf#page=2","Abrir facsímil")</f>
        <v>Abrir facsímil</v>
      </c>
      <c r="K13339" t="s">
        <v>22</v>
      </c>
    </row>
    <row r="13340" spans="1:11" ht="42" customHeight="1">
      <c r="A13340" t="s">
        <v>25830</v>
      </c>
      <c r="B13340" t="s">
        <v>25831</v>
      </c>
      <c r="C13340" t="s">
        <v>61</v>
      </c>
      <c r="D13340" t="s">
        <v>17</v>
      </c>
      <c r="E13340" s="6">
        <v>-28438</v>
      </c>
      <c r="F13340" t="s">
        <v>963</v>
      </c>
      <c r="G13340" t="s">
        <v>57</v>
      </c>
      <c r="H13340" t="s">
        <v>20</v>
      </c>
      <c r="I13340" t="s">
        <v>25832</v>
      </c>
      <c r="J13340" t="str">
        <f>HYPERLINK("https://www.boe.es/gazeta/dias/1822/02/19/pdfs/GMD-1822-51.pdf#page=4","Abrir facsímil")</f>
        <v>Abrir facsímil</v>
      </c>
      <c r="K13340" t="s">
        <v>22</v>
      </c>
    </row>
    <row r="13341" spans="1:11" ht="42" customHeight="1">
      <c r="A13341" t="s">
        <v>25830</v>
      </c>
      <c r="B13341" t="s">
        <v>25831</v>
      </c>
      <c r="C13341" t="s">
        <v>24</v>
      </c>
      <c r="D13341" t="s">
        <v>17</v>
      </c>
      <c r="E13341" s="6">
        <v>-28150</v>
      </c>
      <c r="F13341" t="s">
        <v>62</v>
      </c>
      <c r="G13341" t="s">
        <v>63</v>
      </c>
      <c r="H13341" t="s">
        <v>20</v>
      </c>
      <c r="I13341" t="s">
        <v>25833</v>
      </c>
      <c r="J13341" t="str">
        <f>HYPERLINK("https://www.boe.es/gazeta/dias/1822/12/04/pdfs/GMD-1822-354.pdf#page=6","Abrir facsímil")</f>
        <v>Abrir facsímil</v>
      </c>
      <c r="K13341" t="s">
        <v>22</v>
      </c>
    </row>
    <row r="13342" spans="1:11" ht="42" customHeight="1">
      <c r="A13342" t="s">
        <v>25834</v>
      </c>
      <c r="B13342" t="s">
        <v>25835</v>
      </c>
      <c r="C13342" t="s">
        <v>42</v>
      </c>
      <c r="D13342" t="s">
        <v>17</v>
      </c>
      <c r="E13342" s="6">
        <v>-28145</v>
      </c>
      <c r="F13342" t="s">
        <v>1350</v>
      </c>
      <c r="G13342" t="s">
        <v>63</v>
      </c>
      <c r="H13342" t="s">
        <v>20</v>
      </c>
      <c r="I13342" t="s">
        <v>25836</v>
      </c>
      <c r="J13342" t="str">
        <f>HYPERLINK("https://www.boe.es/gazeta/dias/1822/12/09/pdfs/GMD-1822-359.pdf#page=6","Abrir facsímil")</f>
        <v>Abrir facsímil</v>
      </c>
      <c r="K13342" t="s">
        <v>22</v>
      </c>
    </row>
    <row r="13343" spans="1:11" ht="42" customHeight="1">
      <c r="A13343" t="s">
        <v>25837</v>
      </c>
      <c r="B13343" t="s">
        <v>25837</v>
      </c>
      <c r="C13343" t="s">
        <v>50</v>
      </c>
      <c r="D13343" t="s">
        <v>51</v>
      </c>
      <c r="E13343" s="6">
        <v>-28368</v>
      </c>
      <c r="F13343" t="s">
        <v>126</v>
      </c>
      <c r="G13343" t="s">
        <v>44</v>
      </c>
      <c r="H13343" t="s">
        <v>20</v>
      </c>
      <c r="I13343" t="s">
        <v>25838</v>
      </c>
      <c r="J13343" t="str">
        <f>HYPERLINK("https://www.boe.es/gazeta/dias/1822/04/30/pdfs/GMD-1822-122.pdf#page=1","Abrir facsímil")</f>
        <v>Abrir facsímil</v>
      </c>
      <c r="K13343" t="s">
        <v>22</v>
      </c>
    </row>
    <row r="13344" spans="1:11" ht="42" customHeight="1">
      <c r="A13344" t="s">
        <v>25839</v>
      </c>
      <c r="B13344" t="s">
        <v>25840</v>
      </c>
      <c r="C13344" t="s">
        <v>42</v>
      </c>
      <c r="D13344" t="s">
        <v>17</v>
      </c>
      <c r="E13344" s="6">
        <v>-28171</v>
      </c>
      <c r="F13344" t="s">
        <v>1075</v>
      </c>
      <c r="G13344" t="s">
        <v>57</v>
      </c>
      <c r="H13344" t="s">
        <v>20</v>
      </c>
      <c r="I13344" t="s">
        <v>25841</v>
      </c>
      <c r="J13344" t="str">
        <f>HYPERLINK("https://www.boe.es/gazeta/dias/1822/11/13/pdfs/GMD-1822-333.pdf#page=4","Abrir facsímil")</f>
        <v>Abrir facsímil</v>
      </c>
      <c r="K13344" t="s">
        <v>22</v>
      </c>
    </row>
    <row r="13345" spans="1:11" ht="42" customHeight="1">
      <c r="A13345" t="s">
        <v>25842</v>
      </c>
      <c r="B13345" t="s">
        <v>25843</v>
      </c>
      <c r="C13345" t="s">
        <v>71</v>
      </c>
      <c r="D13345" t="s">
        <v>17</v>
      </c>
      <c r="E13345" s="6">
        <v>-28241</v>
      </c>
      <c r="F13345" t="s">
        <v>3068</v>
      </c>
      <c r="G13345" t="s">
        <v>57</v>
      </c>
      <c r="H13345" t="s">
        <v>20</v>
      </c>
      <c r="I13345" t="s">
        <v>25844</v>
      </c>
      <c r="J13345" t="str">
        <f>HYPERLINK("https://www.boe.es/gazeta/dias/1822/09/04/pdfs/GMD-1822-259.pdf#page=4","Abrir facsímil")</f>
        <v>Abrir facsímil</v>
      </c>
      <c r="K13345" t="s">
        <v>22</v>
      </c>
    </row>
    <row r="13346" spans="1:11" ht="42" customHeight="1">
      <c r="A13346" t="s">
        <v>25845</v>
      </c>
      <c r="B13346" t="s">
        <v>25845</v>
      </c>
      <c r="C13346" t="s">
        <v>16</v>
      </c>
      <c r="D13346" t="s">
        <v>17</v>
      </c>
      <c r="E13346" s="6">
        <v>-28321</v>
      </c>
      <c r="F13346" t="s">
        <v>1142</v>
      </c>
      <c r="G13346" t="s">
        <v>63</v>
      </c>
      <c r="H13346" t="s">
        <v>20</v>
      </c>
      <c r="I13346" t="s">
        <v>25846</v>
      </c>
      <c r="J13346" t="str">
        <f>HYPERLINK("https://www.boe.es/gazeta/dias/1822/06/16/pdfs/GMD-1822-173.pdf#page=6","Abrir facsímil")</f>
        <v>Abrir facsímil</v>
      </c>
      <c r="K13346" t="s">
        <v>22</v>
      </c>
    </row>
    <row r="13347" spans="1:11" ht="42" customHeight="1">
      <c r="A13347" t="s">
        <v>25845</v>
      </c>
      <c r="B13347" t="s">
        <v>25845</v>
      </c>
      <c r="C13347" t="s">
        <v>50</v>
      </c>
      <c r="D13347" t="s">
        <v>51</v>
      </c>
      <c r="E13347" s="6">
        <v>-28241</v>
      </c>
      <c r="F13347" t="s">
        <v>3068</v>
      </c>
      <c r="G13347" t="s">
        <v>57</v>
      </c>
      <c r="H13347" t="s">
        <v>20</v>
      </c>
      <c r="I13347" t="s">
        <v>25847</v>
      </c>
      <c r="J13347" t="str">
        <f>HYPERLINK("https://www.boe.es/gazeta/dias/1822/09/04/pdfs/GMD-1822-259.pdf#page=4","Abrir facsímil")</f>
        <v>Abrir facsímil</v>
      </c>
      <c r="K13347" t="s">
        <v>22</v>
      </c>
    </row>
    <row r="13348" spans="1:11" ht="42" customHeight="1">
      <c r="A13348" t="s">
        <v>25848</v>
      </c>
      <c r="B13348" t="s">
        <v>25849</v>
      </c>
      <c r="C13348" t="s">
        <v>16</v>
      </c>
      <c r="D13348" t="s">
        <v>17</v>
      </c>
      <c r="E13348" s="6">
        <v>-28191</v>
      </c>
      <c r="F13348" t="s">
        <v>710</v>
      </c>
      <c r="G13348" t="s">
        <v>5038</v>
      </c>
      <c r="H13348" t="s">
        <v>20</v>
      </c>
      <c r="I13348" t="s">
        <v>25850</v>
      </c>
      <c r="J13348" t="str">
        <f>HYPERLINK("https://www.boe.es/gazeta/dias/1822/10/24/pdfs/GMD-1822-311.pdf#page=8","Abrir facsímil")</f>
        <v>Abrir facsímil</v>
      </c>
      <c r="K13348" t="s">
        <v>22</v>
      </c>
    </row>
    <row r="13349" spans="1:11" ht="42" customHeight="1">
      <c r="A13349" t="s">
        <v>25851</v>
      </c>
      <c r="B13349" t="s">
        <v>25852</v>
      </c>
      <c r="C13349" t="s">
        <v>50</v>
      </c>
      <c r="D13349" t="s">
        <v>51</v>
      </c>
      <c r="E13349" s="6">
        <v>-28379</v>
      </c>
      <c r="F13349" t="s">
        <v>494</v>
      </c>
      <c r="G13349" t="s">
        <v>35</v>
      </c>
      <c r="H13349" t="s">
        <v>20</v>
      </c>
      <c r="I13349" t="s">
        <v>25853</v>
      </c>
      <c r="J13349" t="str">
        <f>HYPERLINK("https://www.boe.es/gazeta/dias/1822/04/19/pdfs/GMD-1822-111.pdf#page=2","Abrir facsímil")</f>
        <v>Abrir facsímil</v>
      </c>
      <c r="K13349" t="s">
        <v>22</v>
      </c>
    </row>
    <row r="13350" spans="1:11" ht="42" customHeight="1">
      <c r="A13350" t="s">
        <v>25854</v>
      </c>
      <c r="B13350" t="s">
        <v>25855</v>
      </c>
      <c r="C13350" t="s">
        <v>28</v>
      </c>
      <c r="D13350" t="s">
        <v>29</v>
      </c>
      <c r="E13350" s="6">
        <v>-28165</v>
      </c>
      <c r="F13350" t="s">
        <v>846</v>
      </c>
      <c r="G13350" t="s">
        <v>57</v>
      </c>
      <c r="H13350" t="s">
        <v>20</v>
      </c>
      <c r="I13350" t="s">
        <v>25856</v>
      </c>
      <c r="J13350" t="str">
        <f>HYPERLINK("https://www.boe.es/gazeta/dias/1822/11/19/pdfs/GMD-1822-339.pdf#page=4","Abrir facsímil")</f>
        <v>Abrir facsímil</v>
      </c>
      <c r="K13350" t="s">
        <v>22</v>
      </c>
    </row>
    <row r="13351" spans="1:11" ht="42" customHeight="1">
      <c r="A13351" t="s">
        <v>25857</v>
      </c>
      <c r="B13351" t="s">
        <v>25858</v>
      </c>
      <c r="C13351" t="s">
        <v>71</v>
      </c>
      <c r="D13351" t="s">
        <v>17</v>
      </c>
      <c r="E13351" s="6">
        <v>-28342</v>
      </c>
      <c r="F13351" t="s">
        <v>2281</v>
      </c>
      <c r="G13351" t="s">
        <v>63</v>
      </c>
      <c r="H13351" t="s">
        <v>20</v>
      </c>
      <c r="I13351" t="s">
        <v>25859</v>
      </c>
      <c r="J13351" t="str">
        <f>HYPERLINK("https://www.boe.es/gazeta/dias/1822/05/26/pdfs/GMD-1822-151.pdf#page=6","Abrir facsímil")</f>
        <v>Abrir facsímil</v>
      </c>
      <c r="K13351" t="s">
        <v>22</v>
      </c>
    </row>
    <row r="13352" spans="1:11" ht="42" customHeight="1">
      <c r="A13352" t="s">
        <v>25860</v>
      </c>
      <c r="B13352" t="s">
        <v>25860</v>
      </c>
      <c r="C13352" t="s">
        <v>42</v>
      </c>
      <c r="D13352" t="s">
        <v>17</v>
      </c>
      <c r="E13352" s="6">
        <v>-28434</v>
      </c>
      <c r="F13352" t="s">
        <v>433</v>
      </c>
      <c r="G13352" t="s">
        <v>57</v>
      </c>
      <c r="H13352" t="s">
        <v>20</v>
      </c>
      <c r="I13352" t="s">
        <v>25861</v>
      </c>
      <c r="J13352" t="str">
        <f>HYPERLINK("https://www.boe.es/gazeta/dias/1822/02/23/pdfs/GMD-1822-55.pdf#page=4","Abrir facsímil")</f>
        <v>Abrir facsímil</v>
      </c>
      <c r="K13352" t="s">
        <v>22</v>
      </c>
    </row>
    <row r="13353" spans="1:11" ht="42" customHeight="1">
      <c r="A13353" t="s">
        <v>25862</v>
      </c>
      <c r="B13353" t="s">
        <v>25862</v>
      </c>
      <c r="C13353" t="s">
        <v>16</v>
      </c>
      <c r="D13353" t="s">
        <v>17</v>
      </c>
      <c r="E13353" s="6">
        <v>-28378</v>
      </c>
      <c r="F13353" t="s">
        <v>496</v>
      </c>
      <c r="G13353" t="s">
        <v>31</v>
      </c>
      <c r="H13353" t="s">
        <v>20</v>
      </c>
      <c r="I13353" t="s">
        <v>25863</v>
      </c>
      <c r="J13353" t="str">
        <f>HYPERLINK("https://www.boe.es/gazeta/dias/1822/04/20/pdfs/GMD-1822-112.pdf#page=3","Abrir facsímil")</f>
        <v>Abrir facsímil</v>
      </c>
      <c r="K13353" t="s">
        <v>22</v>
      </c>
    </row>
    <row r="13354" spans="1:11" ht="42" customHeight="1">
      <c r="A13354" t="s">
        <v>25864</v>
      </c>
      <c r="B13354" t="s">
        <v>25864</v>
      </c>
      <c r="C13354" t="s">
        <v>71</v>
      </c>
      <c r="D13354" t="s">
        <v>17</v>
      </c>
      <c r="E13354" s="6">
        <v>-28454</v>
      </c>
      <c r="F13354" t="s">
        <v>2033</v>
      </c>
      <c r="G13354" t="s">
        <v>44</v>
      </c>
      <c r="H13354" t="s">
        <v>20</v>
      </c>
      <c r="I13354" t="s">
        <v>25865</v>
      </c>
      <c r="J13354" t="str">
        <f>HYPERLINK("https://www.boe.es/gazeta/dias/1822/02/03/pdfs/GMD-1822-34.pdf#page=1","Abrir facsímil")</f>
        <v>Abrir facsímil</v>
      </c>
      <c r="K13354" t="s">
        <v>22</v>
      </c>
    </row>
    <row r="13355" spans="1:11" ht="42" customHeight="1">
      <c r="A13355" t="s">
        <v>25866</v>
      </c>
      <c r="B13355" t="s">
        <v>25867</v>
      </c>
      <c r="C13355" t="s">
        <v>71</v>
      </c>
      <c r="D13355" t="s">
        <v>17</v>
      </c>
      <c r="E13355" s="6">
        <v>-28241</v>
      </c>
      <c r="F13355" t="s">
        <v>3068</v>
      </c>
      <c r="G13355" t="s">
        <v>57</v>
      </c>
      <c r="H13355" t="s">
        <v>20</v>
      </c>
      <c r="I13355" t="s">
        <v>25868</v>
      </c>
      <c r="J13355" t="str">
        <f>HYPERLINK("https://www.boe.es/gazeta/dias/1822/09/04/pdfs/GMD-1822-259.pdf#page=4","Abrir facsímil")</f>
        <v>Abrir facsímil</v>
      </c>
      <c r="K13355" t="s">
        <v>22</v>
      </c>
    </row>
    <row r="13356" spans="1:11" ht="42" customHeight="1">
      <c r="A13356" t="s">
        <v>25869</v>
      </c>
      <c r="B13356" t="s">
        <v>25870</v>
      </c>
      <c r="C13356" t="s">
        <v>16</v>
      </c>
      <c r="D13356" t="s">
        <v>17</v>
      </c>
      <c r="E13356" s="6">
        <v>-28467</v>
      </c>
      <c r="F13356" t="s">
        <v>1096</v>
      </c>
      <c r="G13356" t="s">
        <v>57</v>
      </c>
      <c r="H13356" t="s">
        <v>20</v>
      </c>
      <c r="I13356" t="s">
        <v>25871</v>
      </c>
      <c r="J13356" t="str">
        <f>HYPERLINK("https://www.boe.es/gazeta/dias/1822/01/21/pdfs/GMD-1822-21.pdf#page=4","Abrir facsímil")</f>
        <v>Abrir facsímil</v>
      </c>
      <c r="K13356" t="s">
        <v>22</v>
      </c>
    </row>
    <row r="13357" spans="1:11" ht="42" customHeight="1">
      <c r="A13357" t="s">
        <v>25872</v>
      </c>
      <c r="B13357" t="s">
        <v>25873</v>
      </c>
      <c r="C13357" t="s">
        <v>28</v>
      </c>
      <c r="D13357" t="s">
        <v>29</v>
      </c>
      <c r="E13357" s="6">
        <v>-28420</v>
      </c>
      <c r="F13357" t="s">
        <v>449</v>
      </c>
      <c r="G13357" t="s">
        <v>31</v>
      </c>
      <c r="H13357" t="s">
        <v>20</v>
      </c>
      <c r="I13357" t="s">
        <v>25874</v>
      </c>
      <c r="J13357" t="str">
        <f>HYPERLINK("https://www.boe.es/gazeta/dias/1822/03/09/pdfs/GMD-1822-70.pdf#page=3","Abrir facsímil")</f>
        <v>Abrir facsímil</v>
      </c>
      <c r="K13357" t="s">
        <v>22</v>
      </c>
    </row>
    <row r="13358" spans="1:11" ht="42" customHeight="1">
      <c r="A13358" t="s">
        <v>25875</v>
      </c>
      <c r="B13358" t="s">
        <v>25876</v>
      </c>
      <c r="C13358" t="s">
        <v>50</v>
      </c>
      <c r="D13358" t="s">
        <v>51</v>
      </c>
      <c r="E13358" s="6">
        <v>-28478</v>
      </c>
      <c r="F13358" t="s">
        <v>1093</v>
      </c>
      <c r="G13358" t="s">
        <v>57</v>
      </c>
      <c r="H13358" t="s">
        <v>20</v>
      </c>
      <c r="I13358" t="s">
        <v>25877</v>
      </c>
      <c r="J13358" t="str">
        <f>HYPERLINK("https://www.boe.es/gazeta/dias/1822/01/10/pdfs/GMD-1822-10.pdf#page=4","Abrir facsímil")</f>
        <v>Abrir facsímil</v>
      </c>
      <c r="K13358" t="s">
        <v>22</v>
      </c>
    </row>
    <row r="13359" spans="1:11" ht="42" customHeight="1">
      <c r="A13359" t="s">
        <v>25878</v>
      </c>
      <c r="B13359" t="s">
        <v>25879</v>
      </c>
      <c r="C13359" t="s">
        <v>50</v>
      </c>
      <c r="D13359" t="s">
        <v>51</v>
      </c>
      <c r="E13359" s="6">
        <v>-28123</v>
      </c>
      <c r="F13359" t="s">
        <v>603</v>
      </c>
      <c r="G13359" t="s">
        <v>2642</v>
      </c>
      <c r="H13359" t="s">
        <v>20</v>
      </c>
      <c r="I13359" t="s">
        <v>25880</v>
      </c>
      <c r="J13359" t="str">
        <f>HYPERLINK("https://www.boe.es/gazeta/dias/1822/12/31/pdfs/GMD-1822-381.pdf#page=6","Abrir facsímil")</f>
        <v>Abrir facsímil</v>
      </c>
      <c r="K13359" t="s">
        <v>22</v>
      </c>
    </row>
    <row r="13360" spans="1:11" ht="42" customHeight="1">
      <c r="A13360" t="s">
        <v>25881</v>
      </c>
      <c r="B13360" t="s">
        <v>25882</v>
      </c>
      <c r="C13360" t="s">
        <v>24</v>
      </c>
      <c r="D13360" t="s">
        <v>17</v>
      </c>
      <c r="E13360" s="6">
        <v>-28165</v>
      </c>
      <c r="F13360" t="s">
        <v>846</v>
      </c>
      <c r="G13360" t="s">
        <v>57</v>
      </c>
      <c r="H13360" t="s">
        <v>20</v>
      </c>
      <c r="I13360" t="s">
        <v>25883</v>
      </c>
      <c r="J13360" t="str">
        <f>HYPERLINK("https://www.boe.es/gazeta/dias/1822/11/19/pdfs/GMD-1822-339.pdf#page=4","Abrir facsímil")</f>
        <v>Abrir facsímil</v>
      </c>
      <c r="K13360" t="s">
        <v>22</v>
      </c>
    </row>
    <row r="13361" spans="1:11" ht="42" customHeight="1">
      <c r="A13361" t="s">
        <v>25884</v>
      </c>
      <c r="B13361" t="s">
        <v>25885</v>
      </c>
      <c r="C13361" t="s">
        <v>71</v>
      </c>
      <c r="D13361" t="s">
        <v>17</v>
      </c>
      <c r="E13361" s="6">
        <v>-28176</v>
      </c>
      <c r="F13361" t="s">
        <v>780</v>
      </c>
      <c r="G13361" t="s">
        <v>63</v>
      </c>
      <c r="H13361" t="s">
        <v>20</v>
      </c>
      <c r="I13361" t="s">
        <v>25886</v>
      </c>
      <c r="J13361" t="str">
        <f>HYPERLINK("https://www.boe.es/gazeta/dias/1822/11/08/pdfs/GMD-1822-328.pdf#page=6","Abrir facsímil")</f>
        <v>Abrir facsímil</v>
      </c>
      <c r="K13361" t="s">
        <v>22</v>
      </c>
    </row>
    <row r="13362" spans="1:11" ht="42" customHeight="1">
      <c r="A13362" t="s">
        <v>25887</v>
      </c>
      <c r="B13362" t="s">
        <v>25887</v>
      </c>
      <c r="C13362" t="s">
        <v>42</v>
      </c>
      <c r="D13362" t="s">
        <v>17</v>
      </c>
      <c r="E13362" s="6">
        <v>-28420</v>
      </c>
      <c r="F13362" t="s">
        <v>449</v>
      </c>
      <c r="G13362" t="s">
        <v>31</v>
      </c>
      <c r="H13362" t="s">
        <v>20</v>
      </c>
      <c r="I13362" t="s">
        <v>25888</v>
      </c>
      <c r="J13362" t="str">
        <f>HYPERLINK("https://www.boe.es/gazeta/dias/1822/03/09/pdfs/GMD-1822-70.pdf#page=3","Abrir facsímil")</f>
        <v>Abrir facsímil</v>
      </c>
      <c r="K13362" t="s">
        <v>22</v>
      </c>
    </row>
    <row r="13363" spans="1:11" ht="42" customHeight="1">
      <c r="A13363" t="s">
        <v>25889</v>
      </c>
      <c r="B13363" t="s">
        <v>25890</v>
      </c>
      <c r="C13363" t="s">
        <v>50</v>
      </c>
      <c r="D13363" t="s">
        <v>51</v>
      </c>
      <c r="E13363" s="6">
        <v>-28274</v>
      </c>
      <c r="F13363" t="s">
        <v>3371</v>
      </c>
      <c r="G13363" t="s">
        <v>57</v>
      </c>
      <c r="H13363" t="s">
        <v>20</v>
      </c>
      <c r="I13363" t="s">
        <v>25891</v>
      </c>
      <c r="J13363" t="str">
        <f>HYPERLINK("https://www.boe.es/gazeta/dias/1822/08/02/pdfs/GMD-1822-226.pdf#page=4","Abrir facsímil")</f>
        <v>Abrir facsímil</v>
      </c>
      <c r="K13363" t="s">
        <v>22</v>
      </c>
    </row>
    <row r="13364" spans="1:11" ht="42" customHeight="1">
      <c r="A13364" t="s">
        <v>25892</v>
      </c>
      <c r="B13364" t="s">
        <v>25892</v>
      </c>
      <c r="C13364" t="s">
        <v>16</v>
      </c>
      <c r="D13364" t="s">
        <v>17</v>
      </c>
      <c r="E13364" s="6">
        <v>-28288</v>
      </c>
      <c r="F13364" t="s">
        <v>970</v>
      </c>
      <c r="G13364" t="s">
        <v>57</v>
      </c>
      <c r="H13364" t="s">
        <v>20</v>
      </c>
      <c r="I13364" t="s">
        <v>25893</v>
      </c>
      <c r="J13364" t="str">
        <f>HYPERLINK("https://www.boe.es/gazeta/dias/1822/07/19/pdfs/GMD-1822-211.pdf#page=4","Abrir facsímil")</f>
        <v>Abrir facsímil</v>
      </c>
      <c r="K13364" t="s">
        <v>22</v>
      </c>
    </row>
    <row r="13365" spans="1:11" ht="42" customHeight="1">
      <c r="A13365" t="s">
        <v>25894</v>
      </c>
      <c r="B13365" t="s">
        <v>25894</v>
      </c>
      <c r="C13365" t="s">
        <v>28</v>
      </c>
      <c r="D13365" t="s">
        <v>29</v>
      </c>
      <c r="E13365" s="6">
        <v>-28336</v>
      </c>
      <c r="F13365" t="s">
        <v>156</v>
      </c>
      <c r="G13365" t="s">
        <v>35</v>
      </c>
      <c r="H13365" t="s">
        <v>20</v>
      </c>
      <c r="I13365" t="s">
        <v>25895</v>
      </c>
      <c r="J13365" t="str">
        <f>HYPERLINK("https://www.boe.es/gazeta/dias/1822/06/01/pdfs/GMD-1822-157.pdf#page=2","Abrir facsímil")</f>
        <v>Abrir facsímil</v>
      </c>
      <c r="K13365" t="s">
        <v>22</v>
      </c>
    </row>
    <row r="13366" spans="1:11" ht="42" customHeight="1">
      <c r="A13366" t="s">
        <v>25896</v>
      </c>
      <c r="B13366" t="s">
        <v>25896</v>
      </c>
      <c r="C13366" t="s">
        <v>50</v>
      </c>
      <c r="D13366" t="s">
        <v>51</v>
      </c>
      <c r="E13366" s="6">
        <v>-28331</v>
      </c>
      <c r="F13366" t="s">
        <v>537</v>
      </c>
      <c r="G13366" t="s">
        <v>35</v>
      </c>
      <c r="H13366" t="s">
        <v>20</v>
      </c>
      <c r="I13366" t="s">
        <v>25897</v>
      </c>
      <c r="J13366" t="str">
        <f>HYPERLINK("https://www.boe.es/gazeta/dias/1822/06/06/pdfs/GMD-1822-163.pdf#page=2","Abrir facsímil")</f>
        <v>Abrir facsímil</v>
      </c>
      <c r="K13366" t="s">
        <v>22</v>
      </c>
    </row>
    <row r="13367" spans="1:11" ht="42" customHeight="1">
      <c r="A13367" t="s">
        <v>25896</v>
      </c>
      <c r="B13367" t="s">
        <v>25896</v>
      </c>
      <c r="C13367" t="s">
        <v>42</v>
      </c>
      <c r="D13367" t="s">
        <v>17</v>
      </c>
      <c r="E13367" s="6">
        <v>-28185</v>
      </c>
      <c r="F13367" t="s">
        <v>933</v>
      </c>
      <c r="G13367" t="s">
        <v>31</v>
      </c>
      <c r="H13367" t="s">
        <v>20</v>
      </c>
      <c r="I13367" t="s">
        <v>25898</v>
      </c>
      <c r="J13367" t="str">
        <f>HYPERLINK("https://www.boe.es/gazeta/dias/1822/10/30/pdfs/GMD-1822-317.pdf#page=3","Abrir facsímil")</f>
        <v>Abrir facsímil</v>
      </c>
      <c r="K13367" t="s">
        <v>22</v>
      </c>
    </row>
    <row r="13368" spans="1:11" ht="42" customHeight="1">
      <c r="A13368" t="s">
        <v>25899</v>
      </c>
      <c r="B13368" t="s">
        <v>25900</v>
      </c>
      <c r="C13368" t="s">
        <v>71</v>
      </c>
      <c r="D13368" t="s">
        <v>17</v>
      </c>
      <c r="E13368" s="6">
        <v>-28405</v>
      </c>
      <c r="F13368" t="s">
        <v>466</v>
      </c>
      <c r="G13368" t="s">
        <v>35</v>
      </c>
      <c r="H13368" t="s">
        <v>20</v>
      </c>
      <c r="I13368" t="s">
        <v>25901</v>
      </c>
      <c r="J13368" t="str">
        <f>HYPERLINK("https://www.boe.es/gazeta/dias/1822/03/24/pdfs/GMD-1822-85.pdf#page=2","Abrir facsímil")</f>
        <v>Abrir facsímil</v>
      </c>
      <c r="K13368" t="s">
        <v>22</v>
      </c>
    </row>
    <row r="13369" spans="1:11" ht="42" customHeight="1">
      <c r="A13369" t="s">
        <v>25902</v>
      </c>
      <c r="B13369" t="s">
        <v>25903</v>
      </c>
      <c r="C13369" t="s">
        <v>28</v>
      </c>
      <c r="D13369" t="s">
        <v>29</v>
      </c>
      <c r="E13369" s="6">
        <v>-28432</v>
      </c>
      <c r="F13369" t="s">
        <v>195</v>
      </c>
      <c r="G13369" t="s">
        <v>57</v>
      </c>
      <c r="H13369" t="s">
        <v>20</v>
      </c>
      <c r="I13369" t="s">
        <v>25904</v>
      </c>
      <c r="J13369" t="str">
        <f>HYPERLINK("https://www.boe.es/gazeta/dias/1822/02/25/pdfs/GMD-1822-57.pdf#page=4","Abrir facsímil")</f>
        <v>Abrir facsímil</v>
      </c>
      <c r="K13369" t="s">
        <v>22</v>
      </c>
    </row>
    <row r="13370" spans="1:11" ht="42" customHeight="1">
      <c r="A13370" t="s">
        <v>25905</v>
      </c>
      <c r="B13370" t="s">
        <v>25906</v>
      </c>
      <c r="C13370" t="s">
        <v>24</v>
      </c>
      <c r="D13370" t="s">
        <v>17</v>
      </c>
      <c r="E13370" s="6">
        <v>-28450</v>
      </c>
      <c r="F13370" t="s">
        <v>1450</v>
      </c>
      <c r="G13370" t="s">
        <v>2247</v>
      </c>
      <c r="H13370" t="s">
        <v>20</v>
      </c>
      <c r="I13370" t="s">
        <v>25907</v>
      </c>
      <c r="J13370" t="str">
        <f>HYPERLINK("https://www.boe.es/gazeta/dias/1822/02/07/pdfs/GMD-1822-38.pdf#page=6","Abrir facsímil")</f>
        <v>Abrir facsímil</v>
      </c>
      <c r="K13370" t="s">
        <v>22</v>
      </c>
    </row>
    <row r="13371" spans="1:11" ht="42" customHeight="1">
      <c r="A13371" t="s">
        <v>25908</v>
      </c>
      <c r="B13371" t="s">
        <v>25909</v>
      </c>
      <c r="C13371" t="s">
        <v>28</v>
      </c>
      <c r="D13371" t="s">
        <v>29</v>
      </c>
      <c r="E13371" s="6">
        <v>-28453</v>
      </c>
      <c r="F13371" t="s">
        <v>2039</v>
      </c>
      <c r="G13371" t="s">
        <v>57</v>
      </c>
      <c r="H13371" t="s">
        <v>20</v>
      </c>
      <c r="I13371" t="s">
        <v>25910</v>
      </c>
      <c r="J13371" t="str">
        <f>HYPERLINK("https://www.boe.es/gazeta/dias/1822/02/04/pdfs/GMD-1822-35.pdf#page=4","Abrir facsímil")</f>
        <v>Abrir facsímil</v>
      </c>
      <c r="K13371" t="s">
        <v>22</v>
      </c>
    </row>
    <row r="13372" spans="1:11" ht="42" customHeight="1">
      <c r="A13372" t="s">
        <v>25911</v>
      </c>
      <c r="B13372" t="s">
        <v>25911</v>
      </c>
      <c r="C13372" t="s">
        <v>28</v>
      </c>
      <c r="D13372" t="s">
        <v>29</v>
      </c>
      <c r="E13372" s="6">
        <v>-28375</v>
      </c>
      <c r="F13372" t="s">
        <v>2035</v>
      </c>
      <c r="G13372" t="s">
        <v>35</v>
      </c>
      <c r="H13372" t="s">
        <v>20</v>
      </c>
      <c r="I13372" t="s">
        <v>25912</v>
      </c>
      <c r="J13372" t="str">
        <f>HYPERLINK("https://www.boe.es/gazeta/dias/1822/04/23/pdfs/GMD-1822-115.pdf#page=2","Abrir facsímil")</f>
        <v>Abrir facsímil</v>
      </c>
      <c r="K13372" t="s">
        <v>22</v>
      </c>
    </row>
    <row r="13373" spans="1:11" ht="42" customHeight="1">
      <c r="A13373" t="s">
        <v>25913</v>
      </c>
      <c r="B13373" t="s">
        <v>25913</v>
      </c>
      <c r="C13373" t="s">
        <v>42</v>
      </c>
      <c r="D13373" t="s">
        <v>17</v>
      </c>
      <c r="E13373" s="6">
        <v>-28336</v>
      </c>
      <c r="F13373" t="s">
        <v>156</v>
      </c>
      <c r="G13373" t="s">
        <v>35</v>
      </c>
      <c r="H13373" t="s">
        <v>20</v>
      </c>
      <c r="I13373" t="s">
        <v>25914</v>
      </c>
      <c r="J13373" t="str">
        <f>HYPERLINK("https://www.boe.es/gazeta/dias/1822/06/01/pdfs/GMD-1822-157.pdf#page=2","Abrir facsímil")</f>
        <v>Abrir facsímil</v>
      </c>
      <c r="K13373" t="s">
        <v>22</v>
      </c>
    </row>
    <row r="13374" spans="1:11" ht="42" customHeight="1">
      <c r="A13374" t="s">
        <v>25915</v>
      </c>
      <c r="B13374" t="s">
        <v>25915</v>
      </c>
      <c r="C13374" t="s">
        <v>28</v>
      </c>
      <c r="D13374" t="s">
        <v>29</v>
      </c>
      <c r="E13374" s="6">
        <v>-28369</v>
      </c>
      <c r="F13374" t="s">
        <v>1590</v>
      </c>
      <c r="G13374" t="s">
        <v>57</v>
      </c>
      <c r="H13374" t="s">
        <v>20</v>
      </c>
      <c r="I13374" t="s">
        <v>25916</v>
      </c>
      <c r="J13374" t="str">
        <f>HYPERLINK("https://www.boe.es/gazeta/dias/1822/04/29/pdfs/GMD-1822-121.pdf#page=4","Abrir facsímil")</f>
        <v>Abrir facsímil</v>
      </c>
      <c r="K13374" t="s">
        <v>22</v>
      </c>
    </row>
    <row r="13375" spans="1:11" ht="42" customHeight="1">
      <c r="A13375" t="s">
        <v>25915</v>
      </c>
      <c r="B13375" t="s">
        <v>25915</v>
      </c>
      <c r="C13375" t="s">
        <v>42</v>
      </c>
      <c r="D13375" t="s">
        <v>17</v>
      </c>
      <c r="E13375" s="6">
        <v>-28360</v>
      </c>
      <c r="F13375" t="s">
        <v>514</v>
      </c>
      <c r="G13375" t="s">
        <v>31</v>
      </c>
      <c r="H13375" t="s">
        <v>20</v>
      </c>
      <c r="I13375" t="s">
        <v>25917</v>
      </c>
      <c r="J13375" t="str">
        <f>HYPERLINK("https://www.boe.es/gazeta/dias/1822/05/08/pdfs/GMD-1822-130.pdf#page=3","Abrir facsímil")</f>
        <v>Abrir facsímil</v>
      </c>
      <c r="K13375" t="s">
        <v>22</v>
      </c>
    </row>
    <row r="13376" spans="1:11" ht="42" customHeight="1">
      <c r="A13376" t="s">
        <v>25915</v>
      </c>
      <c r="B13376" t="s">
        <v>25915</v>
      </c>
      <c r="C13376" t="s">
        <v>28</v>
      </c>
      <c r="D13376" t="s">
        <v>29</v>
      </c>
      <c r="E13376" s="6">
        <v>-28359</v>
      </c>
      <c r="F13376" t="s">
        <v>209</v>
      </c>
      <c r="G13376" t="s">
        <v>31</v>
      </c>
      <c r="H13376" t="s">
        <v>20</v>
      </c>
      <c r="I13376" t="s">
        <v>25918</v>
      </c>
      <c r="J13376" t="str">
        <f>HYPERLINK("https://www.boe.es/gazeta/dias/1822/05/09/pdfs/GMD-1822-131.pdf#page=3","Abrir facsímil")</f>
        <v>Abrir facsímil</v>
      </c>
      <c r="K13376" t="s">
        <v>22</v>
      </c>
    </row>
    <row r="13377" spans="1:11" ht="42" customHeight="1">
      <c r="A13377" t="s">
        <v>25915</v>
      </c>
      <c r="B13377" t="s">
        <v>25915</v>
      </c>
      <c r="C13377" t="s">
        <v>28</v>
      </c>
      <c r="D13377" t="s">
        <v>29</v>
      </c>
      <c r="E13377" s="6">
        <v>-28346</v>
      </c>
      <c r="F13377" t="s">
        <v>191</v>
      </c>
      <c r="G13377" t="s">
        <v>31</v>
      </c>
      <c r="H13377" t="s">
        <v>20</v>
      </c>
      <c r="I13377" t="s">
        <v>25919</v>
      </c>
      <c r="J13377" t="str">
        <f>HYPERLINK("https://www.boe.es/gazeta/dias/1822/05/22/pdfs/GMD-1822-145.pdf#page=3","Abrir facsímil")</f>
        <v>Abrir facsímil</v>
      </c>
      <c r="K13377" t="s">
        <v>22</v>
      </c>
    </row>
    <row r="13378" spans="1:11" ht="42" customHeight="1">
      <c r="A13378" t="s">
        <v>25915</v>
      </c>
      <c r="B13378" t="s">
        <v>25915</v>
      </c>
      <c r="C13378" t="s">
        <v>16</v>
      </c>
      <c r="D13378" t="s">
        <v>17</v>
      </c>
      <c r="E13378" s="6">
        <v>-28319</v>
      </c>
      <c r="F13378" t="s">
        <v>271</v>
      </c>
      <c r="G13378" t="s">
        <v>35</v>
      </c>
      <c r="H13378" t="s">
        <v>20</v>
      </c>
      <c r="I13378" t="s">
        <v>25920</v>
      </c>
      <c r="J13378" t="str">
        <f>HYPERLINK("https://www.boe.es/gazeta/dias/1822/06/18/pdfs/GMD-1822-175.pdf#page=2","Abrir facsímil")</f>
        <v>Abrir facsímil</v>
      </c>
      <c r="K13378" t="s">
        <v>22</v>
      </c>
    </row>
    <row r="13379" spans="1:11" ht="42" customHeight="1">
      <c r="A13379" t="s">
        <v>25921</v>
      </c>
      <c r="B13379" t="s">
        <v>25922</v>
      </c>
      <c r="C13379" t="s">
        <v>50</v>
      </c>
      <c r="D13379" t="s">
        <v>51</v>
      </c>
      <c r="E13379" s="6">
        <v>-28191</v>
      </c>
      <c r="F13379" t="s">
        <v>710</v>
      </c>
      <c r="G13379" t="s">
        <v>5038</v>
      </c>
      <c r="H13379" t="s">
        <v>20</v>
      </c>
      <c r="I13379" t="s">
        <v>25923</v>
      </c>
      <c r="J13379" t="str">
        <f>HYPERLINK("https://www.boe.es/gazeta/dias/1822/10/24/pdfs/GMD-1822-311.pdf#page=8","Abrir facsímil")</f>
        <v>Abrir facsímil</v>
      </c>
      <c r="K13379" t="s">
        <v>22</v>
      </c>
    </row>
    <row r="13380" spans="1:11" ht="42" customHeight="1">
      <c r="A13380" t="s">
        <v>25924</v>
      </c>
      <c r="B13380" t="s">
        <v>25925</v>
      </c>
      <c r="C13380" t="s">
        <v>61</v>
      </c>
      <c r="D13380" t="s">
        <v>17</v>
      </c>
      <c r="E13380" s="6">
        <v>-28379</v>
      </c>
      <c r="F13380" t="s">
        <v>494</v>
      </c>
      <c r="G13380" t="s">
        <v>35</v>
      </c>
      <c r="H13380" t="s">
        <v>20</v>
      </c>
      <c r="I13380" t="s">
        <v>25926</v>
      </c>
      <c r="J13380" t="str">
        <f>HYPERLINK("https://www.boe.es/gazeta/dias/1822/04/19/pdfs/GMD-1822-111.pdf#page=2","Abrir facsímil")</f>
        <v>Abrir facsímil</v>
      </c>
      <c r="K13380" t="s">
        <v>22</v>
      </c>
    </row>
    <row r="13381" spans="1:11" ht="42" customHeight="1">
      <c r="A13381" t="s">
        <v>25927</v>
      </c>
      <c r="B13381" t="s">
        <v>25928</v>
      </c>
      <c r="C13381" t="s">
        <v>42</v>
      </c>
      <c r="D13381" t="s">
        <v>17</v>
      </c>
      <c r="E13381" s="6">
        <v>-28152</v>
      </c>
      <c r="F13381" t="s">
        <v>122</v>
      </c>
      <c r="G13381" t="s">
        <v>19</v>
      </c>
      <c r="H13381" t="s">
        <v>20</v>
      </c>
      <c r="I13381" t="s">
        <v>25929</v>
      </c>
      <c r="J13381" t="str">
        <f>HYPERLINK("https://www.boe.es/gazeta/dias/1822/12/02/pdfs/GMD-1822-352.pdf#page=5","Abrir facsímil")</f>
        <v>Abrir facsímil</v>
      </c>
      <c r="K13381" t="s">
        <v>22</v>
      </c>
    </row>
    <row r="13382" spans="1:11" ht="42" customHeight="1">
      <c r="A13382" t="s">
        <v>25930</v>
      </c>
      <c r="B13382" t="s">
        <v>25931</v>
      </c>
      <c r="C13382" t="s">
        <v>71</v>
      </c>
      <c r="D13382" t="s">
        <v>17</v>
      </c>
      <c r="E13382" s="6">
        <v>-28461</v>
      </c>
      <c r="F13382" t="s">
        <v>1801</v>
      </c>
      <c r="G13382" t="s">
        <v>57</v>
      </c>
      <c r="H13382" t="s">
        <v>20</v>
      </c>
      <c r="I13382" t="s">
        <v>25932</v>
      </c>
      <c r="J13382" t="str">
        <f>HYPERLINK("https://www.boe.es/gazeta/dias/1822/01/27/pdfs/GMD-1822-27.pdf#page=4","Abrir facsímil")</f>
        <v>Abrir facsímil</v>
      </c>
      <c r="K13382" t="s">
        <v>22</v>
      </c>
    </row>
    <row r="13383" spans="1:11" ht="42" customHeight="1">
      <c r="A13383" t="s">
        <v>25933</v>
      </c>
      <c r="B13383" t="s">
        <v>25933</v>
      </c>
      <c r="C13383" t="s">
        <v>50</v>
      </c>
      <c r="D13383" t="s">
        <v>51</v>
      </c>
      <c r="E13383" s="6">
        <v>-28487</v>
      </c>
      <c r="F13383" t="s">
        <v>426</v>
      </c>
      <c r="G13383" t="s">
        <v>63</v>
      </c>
      <c r="H13383" t="s">
        <v>20</v>
      </c>
      <c r="I13383" t="s">
        <v>25934</v>
      </c>
      <c r="J13383" t="str">
        <f>HYPERLINK("https://www.boe.es/gazeta/dias/1822/01/01/pdfs/GMD-1822-1.pdf#page=6","Abrir facsímil")</f>
        <v>Abrir facsímil</v>
      </c>
      <c r="K13383" t="s">
        <v>22</v>
      </c>
    </row>
    <row r="13384" spans="1:11" ht="42" customHeight="1">
      <c r="A13384" t="s">
        <v>25935</v>
      </c>
      <c r="B13384" t="s">
        <v>25936</v>
      </c>
      <c r="C13384" t="s">
        <v>50</v>
      </c>
      <c r="D13384" t="s">
        <v>51</v>
      </c>
      <c r="E13384" s="6">
        <v>-28383</v>
      </c>
      <c r="F13384" t="s">
        <v>488</v>
      </c>
      <c r="G13384" t="s">
        <v>35</v>
      </c>
      <c r="H13384" t="s">
        <v>20</v>
      </c>
      <c r="I13384" t="s">
        <v>25937</v>
      </c>
      <c r="J13384" t="str">
        <f>HYPERLINK("https://www.boe.es/gazeta/dias/1822/04/15/pdfs/GMD-1822-107.pdf#page=2","Abrir facsímil")</f>
        <v>Abrir facsímil</v>
      </c>
      <c r="K13384" t="s">
        <v>22</v>
      </c>
    </row>
    <row r="13385" spans="1:11" ht="42" customHeight="1">
      <c r="A13385" t="s">
        <v>25938</v>
      </c>
      <c r="B13385" t="s">
        <v>25939</v>
      </c>
      <c r="C13385" t="s">
        <v>28</v>
      </c>
      <c r="D13385" t="s">
        <v>29</v>
      </c>
      <c r="E13385" s="6">
        <v>-28311</v>
      </c>
      <c r="F13385" t="s">
        <v>736</v>
      </c>
      <c r="G13385" t="s">
        <v>157</v>
      </c>
      <c r="H13385" t="s">
        <v>20</v>
      </c>
      <c r="I13385" t="s">
        <v>25940</v>
      </c>
      <c r="J13385" t="str">
        <f>HYPERLINK("https://www.boe.es/gazeta/dias/1822/06/26/pdfs/GMD-1822-184.pdf#page=8","Abrir facsímil")</f>
        <v>Abrir facsímil</v>
      </c>
      <c r="K13385" t="s">
        <v>22</v>
      </c>
    </row>
    <row r="13386" spans="1:11" ht="42" customHeight="1">
      <c r="A13386" t="s">
        <v>25941</v>
      </c>
      <c r="B13386" t="s">
        <v>25942</v>
      </c>
      <c r="C13386" t="s">
        <v>42</v>
      </c>
      <c r="D13386" t="s">
        <v>17</v>
      </c>
      <c r="E13386" s="6">
        <v>-28251</v>
      </c>
      <c r="F13386" t="s">
        <v>1485</v>
      </c>
      <c r="G13386" t="s">
        <v>35</v>
      </c>
      <c r="H13386" t="s">
        <v>20</v>
      </c>
      <c r="I13386" t="s">
        <v>25943</v>
      </c>
      <c r="J13386" t="str">
        <f>HYPERLINK("https://www.boe.es/gazeta/dias/1822/08/25/pdfs/GMD-1822-249.pdf#page=2","Abrir facsímil")</f>
        <v>Abrir facsímil</v>
      </c>
      <c r="K13386" t="s">
        <v>22</v>
      </c>
    </row>
    <row r="13387" spans="1:11" ht="42" customHeight="1">
      <c r="A13387" t="s">
        <v>25944</v>
      </c>
      <c r="B13387" t="s">
        <v>25945</v>
      </c>
      <c r="C13387" t="s">
        <v>28</v>
      </c>
      <c r="D13387" t="s">
        <v>29</v>
      </c>
      <c r="E13387" s="6">
        <v>-28481</v>
      </c>
      <c r="F13387" t="s">
        <v>1089</v>
      </c>
      <c r="G13387" t="s">
        <v>57</v>
      </c>
      <c r="H13387" t="s">
        <v>45</v>
      </c>
      <c r="I13387" t="s">
        <v>25946</v>
      </c>
      <c r="J13387" t="str">
        <f>HYPERLINK("https://www.boe.es/gazeta/dias/1822/01/07/pdfs/GMD-1822-7.pdf#page=4","Abrir facsímil")</f>
        <v>Abrir facsímil</v>
      </c>
      <c r="K13387" t="s">
        <v>47</v>
      </c>
    </row>
    <row r="13388" spans="1:11" ht="42" customHeight="1">
      <c r="A13388" t="s">
        <v>25947</v>
      </c>
      <c r="B13388" t="s">
        <v>25948</v>
      </c>
      <c r="C13388" t="s">
        <v>28</v>
      </c>
      <c r="D13388" t="s">
        <v>29</v>
      </c>
      <c r="E13388" s="6">
        <v>-28432</v>
      </c>
      <c r="F13388" t="s">
        <v>195</v>
      </c>
      <c r="G13388" t="s">
        <v>57</v>
      </c>
      <c r="H13388" t="s">
        <v>20</v>
      </c>
      <c r="I13388" t="s">
        <v>25949</v>
      </c>
      <c r="J13388" t="str">
        <f>HYPERLINK("https://www.boe.es/gazeta/dias/1822/02/25/pdfs/GMD-1822-57.pdf#page=4","Abrir facsímil")</f>
        <v>Abrir facsímil</v>
      </c>
      <c r="K13388" t="s">
        <v>22</v>
      </c>
    </row>
    <row r="13389" spans="1:11" ht="42" customHeight="1">
      <c r="A13389" t="s">
        <v>25950</v>
      </c>
      <c r="B13389" t="s">
        <v>25951</v>
      </c>
      <c r="C13389" t="s">
        <v>71</v>
      </c>
      <c r="D13389" t="s">
        <v>17</v>
      </c>
      <c r="E13389" s="6">
        <v>-28342</v>
      </c>
      <c r="F13389" t="s">
        <v>2281</v>
      </c>
      <c r="G13389" t="s">
        <v>31</v>
      </c>
      <c r="H13389" t="s">
        <v>20</v>
      </c>
      <c r="I13389" t="s">
        <v>25952</v>
      </c>
      <c r="J13389" t="str">
        <f>HYPERLINK("https://www.boe.es/gazeta/dias/1822/05/26/pdfs/GMD-1822-151.pdf#page=3","Abrir facsímil")</f>
        <v>Abrir facsímil</v>
      </c>
      <c r="K13389" t="s">
        <v>22</v>
      </c>
    </row>
    <row r="13390" spans="1:11" ht="42" customHeight="1">
      <c r="A13390" t="s">
        <v>25953</v>
      </c>
      <c r="B13390" t="s">
        <v>25954</v>
      </c>
      <c r="C13390" t="s">
        <v>28</v>
      </c>
      <c r="D13390" t="s">
        <v>29</v>
      </c>
      <c r="E13390" s="6">
        <v>-28417</v>
      </c>
      <c r="F13390" t="s">
        <v>1394</v>
      </c>
      <c r="G13390" t="s">
        <v>31</v>
      </c>
      <c r="H13390" t="s">
        <v>20</v>
      </c>
      <c r="I13390" t="s">
        <v>25955</v>
      </c>
      <c r="J13390" t="str">
        <f>HYPERLINK("https://www.boe.es/gazeta/dias/1822/03/12/pdfs/GMD-1822-73.pdf#page=3","Abrir facsímil")</f>
        <v>Abrir facsímil</v>
      </c>
      <c r="K13390" t="s">
        <v>22</v>
      </c>
    </row>
    <row r="13391" spans="1:11" ht="42" customHeight="1">
      <c r="A13391" t="s">
        <v>25953</v>
      </c>
      <c r="B13391" t="s">
        <v>25954</v>
      </c>
      <c r="C13391" t="s">
        <v>28</v>
      </c>
      <c r="D13391" t="s">
        <v>29</v>
      </c>
      <c r="E13391" s="6">
        <v>-28395</v>
      </c>
      <c r="F13391" t="s">
        <v>237</v>
      </c>
      <c r="G13391" t="s">
        <v>31</v>
      </c>
      <c r="H13391" t="s">
        <v>20</v>
      </c>
      <c r="I13391" t="s">
        <v>25956</v>
      </c>
      <c r="J13391" t="str">
        <f>HYPERLINK("https://www.boe.es/gazeta/dias/1822/04/03/pdfs/GMD-1822-95.pdf#page=3","Abrir facsímil")</f>
        <v>Abrir facsímil</v>
      </c>
      <c r="K13391" t="s">
        <v>22</v>
      </c>
    </row>
    <row r="13392" spans="1:11" ht="42" customHeight="1">
      <c r="A13392" t="s">
        <v>25957</v>
      </c>
      <c r="B13392" t="s">
        <v>25958</v>
      </c>
      <c r="C13392" t="s">
        <v>50</v>
      </c>
      <c r="D13392" t="s">
        <v>51</v>
      </c>
      <c r="E13392" s="6">
        <v>-28240</v>
      </c>
      <c r="F13392" t="s">
        <v>678</v>
      </c>
      <c r="G13392" t="s">
        <v>57</v>
      </c>
      <c r="H13392" t="s">
        <v>20</v>
      </c>
      <c r="I13392" t="s">
        <v>25959</v>
      </c>
      <c r="J13392" t="str">
        <f>HYPERLINK("https://www.boe.es/gazeta/dias/1822/09/05/pdfs/GMD-1822-260.pdf#page=4","Abrir facsímil")</f>
        <v>Abrir facsímil</v>
      </c>
      <c r="K13392" t="s">
        <v>22</v>
      </c>
    </row>
    <row r="13393" spans="1:11" ht="42" customHeight="1">
      <c r="A13393" t="s">
        <v>25957</v>
      </c>
      <c r="B13393" t="s">
        <v>25958</v>
      </c>
      <c r="C13393" t="s">
        <v>42</v>
      </c>
      <c r="D13393" t="s">
        <v>17</v>
      </c>
      <c r="E13393" s="6">
        <v>-28149</v>
      </c>
      <c r="F13393" t="s">
        <v>1322</v>
      </c>
      <c r="G13393" t="s">
        <v>57</v>
      </c>
      <c r="H13393" t="s">
        <v>20</v>
      </c>
      <c r="I13393" t="s">
        <v>25960</v>
      </c>
      <c r="J13393" t="str">
        <f>HYPERLINK("https://www.boe.es/gazeta/dias/1822/12/05/pdfs/GMD-1822-355.pdf#page=4","Abrir facsímil")</f>
        <v>Abrir facsímil</v>
      </c>
      <c r="K13393" t="s">
        <v>22</v>
      </c>
    </row>
    <row r="13394" spans="1:11" ht="42" customHeight="1">
      <c r="A13394" t="s">
        <v>25961</v>
      </c>
      <c r="B13394" t="s">
        <v>25962</v>
      </c>
      <c r="C13394" t="s">
        <v>61</v>
      </c>
      <c r="D13394" t="s">
        <v>17</v>
      </c>
      <c r="E13394" s="6">
        <v>-28208</v>
      </c>
      <c r="F13394" t="s">
        <v>230</v>
      </c>
      <c r="G13394" t="s">
        <v>57</v>
      </c>
      <c r="H13394" t="s">
        <v>20</v>
      </c>
      <c r="I13394" t="s">
        <v>25963</v>
      </c>
      <c r="J13394" t="str">
        <f>HYPERLINK("https://www.boe.es/gazeta/dias/1822/10/07/pdfs/GMD-1822-293.pdf#page=4","Abrir facsímil")</f>
        <v>Abrir facsímil</v>
      </c>
      <c r="K13394" t="s">
        <v>22</v>
      </c>
    </row>
    <row r="13395" spans="1:11" ht="42" customHeight="1">
      <c r="A13395" t="s">
        <v>25964</v>
      </c>
      <c r="B13395" t="s">
        <v>25964</v>
      </c>
      <c r="C13395" t="s">
        <v>28</v>
      </c>
      <c r="D13395" t="s">
        <v>29</v>
      </c>
      <c r="E13395" s="6">
        <v>-28445</v>
      </c>
      <c r="F13395" t="s">
        <v>1622</v>
      </c>
      <c r="G13395" t="s">
        <v>44</v>
      </c>
      <c r="H13395" t="s">
        <v>20</v>
      </c>
      <c r="I13395" t="s">
        <v>25965</v>
      </c>
      <c r="J13395" t="str">
        <f>HYPERLINK("https://www.boe.es/gazeta/dias/1822/02/12/pdfs/GMD-1822-43.pdf#page=1","Abrir facsímil")</f>
        <v>Abrir facsímil</v>
      </c>
      <c r="K13395" t="s">
        <v>22</v>
      </c>
    </row>
    <row r="13396" spans="1:11" ht="42" customHeight="1">
      <c r="A13396" t="s">
        <v>25966</v>
      </c>
      <c r="B13396" t="s">
        <v>25967</v>
      </c>
      <c r="C13396" t="s">
        <v>50</v>
      </c>
      <c r="D13396" t="s">
        <v>51</v>
      </c>
      <c r="E13396" s="6">
        <v>-28229</v>
      </c>
      <c r="F13396" t="s">
        <v>2310</v>
      </c>
      <c r="G13396" t="s">
        <v>35</v>
      </c>
      <c r="H13396" t="s">
        <v>20</v>
      </c>
      <c r="I13396" t="s">
        <v>25968</v>
      </c>
      <c r="J13396" t="str">
        <f>HYPERLINK("https://www.boe.es/gazeta/dias/1822/09/16/pdfs/GMD-1822-272.pdf#page=2","Abrir facsímil")</f>
        <v>Abrir facsímil</v>
      </c>
      <c r="K13396" t="s">
        <v>22</v>
      </c>
    </row>
    <row r="13397" spans="1:11" ht="42" customHeight="1">
      <c r="A13397" t="s">
        <v>25969</v>
      </c>
      <c r="B13397" t="s">
        <v>25969</v>
      </c>
      <c r="C13397" t="s">
        <v>42</v>
      </c>
      <c r="D13397" t="s">
        <v>17</v>
      </c>
      <c r="E13397" s="6">
        <v>-28444</v>
      </c>
      <c r="F13397" t="s">
        <v>681</v>
      </c>
      <c r="G13397" t="s">
        <v>31</v>
      </c>
      <c r="H13397" t="s">
        <v>20</v>
      </c>
      <c r="I13397" t="s">
        <v>25970</v>
      </c>
      <c r="J13397" t="str">
        <f>HYPERLINK("https://www.boe.es/gazeta/dias/1822/02/13/pdfs/GMD-1822-44.pdf#page=3","Abrir facsímil")</f>
        <v>Abrir facsímil</v>
      </c>
      <c r="K13397" t="s">
        <v>22</v>
      </c>
    </row>
    <row r="13398" spans="1:11" ht="42" customHeight="1">
      <c r="A13398" t="s">
        <v>25971</v>
      </c>
      <c r="B13398" t="s">
        <v>25971</v>
      </c>
      <c r="C13398" t="s">
        <v>42</v>
      </c>
      <c r="D13398" t="s">
        <v>17</v>
      </c>
      <c r="E13398" s="6">
        <v>-28463</v>
      </c>
      <c r="F13398" t="s">
        <v>25</v>
      </c>
      <c r="G13398" t="s">
        <v>63</v>
      </c>
      <c r="H13398" t="s">
        <v>20</v>
      </c>
      <c r="I13398" t="s">
        <v>25972</v>
      </c>
      <c r="J13398" t="str">
        <f>HYPERLINK("https://www.boe.es/gazeta/dias/1822/01/25/pdfs/GMD-1822-25.pdf#page=6","Abrir facsímil")</f>
        <v>Abrir facsímil</v>
      </c>
      <c r="K13398" t="s">
        <v>22</v>
      </c>
    </row>
    <row r="13399" spans="1:11" ht="42" customHeight="1">
      <c r="A13399" t="s">
        <v>25971</v>
      </c>
      <c r="B13399" t="s">
        <v>25971</v>
      </c>
      <c r="C13399" t="s">
        <v>50</v>
      </c>
      <c r="D13399" t="s">
        <v>51</v>
      </c>
      <c r="E13399" s="6">
        <v>-28203</v>
      </c>
      <c r="F13399" t="s">
        <v>564</v>
      </c>
      <c r="G13399" t="s">
        <v>57</v>
      </c>
      <c r="H13399" t="s">
        <v>20</v>
      </c>
      <c r="I13399" t="s">
        <v>25973</v>
      </c>
      <c r="J13399" t="str">
        <f>HYPERLINK("https://www.boe.es/gazeta/dias/1822/10/12/pdfs/GMD-1822-299.pdf#page=4","Abrir facsímil")</f>
        <v>Abrir facsímil</v>
      </c>
      <c r="K13399" t="s">
        <v>22</v>
      </c>
    </row>
    <row r="13400" spans="1:11" ht="42" customHeight="1">
      <c r="A13400" t="s">
        <v>25974</v>
      </c>
      <c r="B13400" t="s">
        <v>25975</v>
      </c>
      <c r="C13400" t="s">
        <v>42</v>
      </c>
      <c r="D13400" t="s">
        <v>17</v>
      </c>
      <c r="E13400" s="6">
        <v>-28152</v>
      </c>
      <c r="F13400" t="s">
        <v>122</v>
      </c>
      <c r="G13400" t="s">
        <v>8236</v>
      </c>
      <c r="H13400" t="s">
        <v>20</v>
      </c>
      <c r="I13400" t="s">
        <v>25976</v>
      </c>
      <c r="J13400" t="str">
        <f>HYPERLINK("https://www.boe.es/gazeta/dias/1822/12/02/pdfs/GMD-1822-352.pdf#page=6","Abrir facsímil")</f>
        <v>Abrir facsímil</v>
      </c>
      <c r="K13400" t="s">
        <v>22</v>
      </c>
    </row>
    <row r="13401" spans="1:11" ht="42" customHeight="1">
      <c r="A13401" t="s">
        <v>25977</v>
      </c>
      <c r="B13401" t="s">
        <v>25978</v>
      </c>
      <c r="C13401" t="s">
        <v>16</v>
      </c>
      <c r="D13401" t="s">
        <v>17</v>
      </c>
      <c r="E13401" s="6">
        <v>-28192</v>
      </c>
      <c r="F13401" t="s">
        <v>43</v>
      </c>
      <c r="G13401" t="s">
        <v>157</v>
      </c>
      <c r="H13401" t="s">
        <v>20</v>
      </c>
      <c r="I13401" t="s">
        <v>25979</v>
      </c>
      <c r="J13401" t="str">
        <f>HYPERLINK("https://www.boe.es/gazeta/dias/1822/10/23/pdfs/GMD-1822-310.pdf#page=8","Abrir facsímil")</f>
        <v>Abrir facsímil</v>
      </c>
      <c r="K13401" t="s">
        <v>22</v>
      </c>
    </row>
    <row r="13402" spans="1:11" ht="42" customHeight="1">
      <c r="A13402" t="s">
        <v>25980</v>
      </c>
      <c r="B13402" t="s">
        <v>25981</v>
      </c>
      <c r="C13402" t="s">
        <v>71</v>
      </c>
      <c r="D13402" t="s">
        <v>17</v>
      </c>
      <c r="E13402" s="6">
        <v>-28268</v>
      </c>
      <c r="F13402" t="s">
        <v>7231</v>
      </c>
      <c r="G13402" t="s">
        <v>57</v>
      </c>
      <c r="H13402" t="s">
        <v>20</v>
      </c>
      <c r="I13402" t="s">
        <v>25982</v>
      </c>
      <c r="J13402" t="str">
        <f>HYPERLINK("https://www.boe.es/gazeta/dias/1822/08/08/pdfs/GMD-1822-232.pdf#page=4","Abrir facsímil")</f>
        <v>Abrir facsímil</v>
      </c>
      <c r="K13402" t="s">
        <v>22</v>
      </c>
    </row>
    <row r="13403" spans="1:11" ht="42" customHeight="1">
      <c r="A13403" t="s">
        <v>25980</v>
      </c>
      <c r="B13403" t="s">
        <v>25981</v>
      </c>
      <c r="C13403" t="s">
        <v>50</v>
      </c>
      <c r="D13403" t="s">
        <v>51</v>
      </c>
      <c r="E13403" s="6">
        <v>-28172</v>
      </c>
      <c r="F13403" t="s">
        <v>674</v>
      </c>
      <c r="G13403" t="s">
        <v>57</v>
      </c>
      <c r="H13403" t="s">
        <v>20</v>
      </c>
      <c r="I13403" t="s">
        <v>25983</v>
      </c>
      <c r="J13403" t="str">
        <f>HYPERLINK("https://www.boe.es/gazeta/dias/1822/11/12/pdfs/GMD-1822-332.pdf#page=4","Abrir facsímil")</f>
        <v>Abrir facsímil</v>
      </c>
      <c r="K13403" t="s">
        <v>22</v>
      </c>
    </row>
    <row r="13404" spans="1:11" ht="42" customHeight="1">
      <c r="A13404" t="s">
        <v>25980</v>
      </c>
      <c r="B13404" t="s">
        <v>25981</v>
      </c>
      <c r="C13404" t="s">
        <v>24</v>
      </c>
      <c r="D13404" t="s">
        <v>17</v>
      </c>
      <c r="E13404" s="6">
        <v>-28150</v>
      </c>
      <c r="F13404" t="s">
        <v>62</v>
      </c>
      <c r="G13404" t="s">
        <v>63</v>
      </c>
      <c r="H13404" t="s">
        <v>20</v>
      </c>
      <c r="I13404" t="s">
        <v>25984</v>
      </c>
      <c r="J13404" t="str">
        <f>HYPERLINK("https://www.boe.es/gazeta/dias/1822/12/04/pdfs/GMD-1822-354.pdf#page=6","Abrir facsímil")</f>
        <v>Abrir facsímil</v>
      </c>
      <c r="K13404" t="s">
        <v>22</v>
      </c>
    </row>
    <row r="13405" spans="1:11" ht="42" customHeight="1">
      <c r="A13405" t="s">
        <v>25985</v>
      </c>
      <c r="B13405" t="s">
        <v>25986</v>
      </c>
      <c r="C13405" t="s">
        <v>28</v>
      </c>
      <c r="D13405" t="s">
        <v>29</v>
      </c>
      <c r="E13405" s="6">
        <v>-28467</v>
      </c>
      <c r="F13405" t="s">
        <v>1096</v>
      </c>
      <c r="G13405" t="s">
        <v>57</v>
      </c>
      <c r="H13405" t="s">
        <v>20</v>
      </c>
      <c r="I13405" t="s">
        <v>25987</v>
      </c>
      <c r="J13405" t="str">
        <f>HYPERLINK("https://www.boe.es/gazeta/dias/1822/01/21/pdfs/GMD-1822-21.pdf#page=4","Abrir facsímil")</f>
        <v>Abrir facsímil</v>
      </c>
      <c r="K13405" t="s">
        <v>22</v>
      </c>
    </row>
    <row r="13406" spans="1:11" ht="42" customHeight="1">
      <c r="A13406" t="s">
        <v>25988</v>
      </c>
      <c r="B13406" t="s">
        <v>25989</v>
      </c>
      <c r="C13406" t="s">
        <v>16</v>
      </c>
      <c r="D13406" t="s">
        <v>17</v>
      </c>
      <c r="E13406" s="6">
        <v>-28282</v>
      </c>
      <c r="F13406" t="s">
        <v>6600</v>
      </c>
      <c r="G13406" t="s">
        <v>6601</v>
      </c>
      <c r="H13406" t="s">
        <v>20</v>
      </c>
      <c r="I13406" t="s">
        <v>25990</v>
      </c>
      <c r="J13406" t="str">
        <f>HYPERLINK("https://www.boe.es/gazeta/dias/1822/07/25/pdfs/GMD-1822-218.pdf#page=4","Abrir facsímil")</f>
        <v>Abrir facsímil</v>
      </c>
      <c r="K13406" t="s">
        <v>22</v>
      </c>
    </row>
    <row r="13407" spans="1:11" ht="42" customHeight="1">
      <c r="A13407" t="s">
        <v>25991</v>
      </c>
      <c r="B13407" t="s">
        <v>25992</v>
      </c>
      <c r="C13407" t="s">
        <v>50</v>
      </c>
      <c r="D13407" t="s">
        <v>51</v>
      </c>
      <c r="E13407" s="6">
        <v>-28228</v>
      </c>
      <c r="F13407" t="s">
        <v>718</v>
      </c>
      <c r="G13407" t="s">
        <v>719</v>
      </c>
      <c r="H13407" t="s">
        <v>45</v>
      </c>
      <c r="I13407" t="s">
        <v>25993</v>
      </c>
      <c r="J13407" t="str">
        <f>HYPERLINK("https://www.boe.es/gazeta/dias/1822/09/17/pdfs/GMD-1822-273.pdf#page=3","Abrir facsímil")</f>
        <v>Abrir facsímil</v>
      </c>
      <c r="K13407" t="s">
        <v>47</v>
      </c>
    </row>
    <row r="13408" spans="1:11" ht="42" customHeight="1">
      <c r="A13408" t="s">
        <v>25994</v>
      </c>
      <c r="B13408" t="s">
        <v>25995</v>
      </c>
      <c r="C13408" t="s">
        <v>61</v>
      </c>
      <c r="D13408" t="s">
        <v>17</v>
      </c>
      <c r="E13408" s="6">
        <v>-28148</v>
      </c>
      <c r="F13408" t="s">
        <v>1909</v>
      </c>
      <c r="G13408" t="s">
        <v>63</v>
      </c>
      <c r="H13408" t="s">
        <v>20</v>
      </c>
      <c r="I13408" t="s">
        <v>25996</v>
      </c>
      <c r="J13408" t="str">
        <f>HYPERLINK("https://www.boe.es/gazeta/dias/1822/12/06/pdfs/GMD-1822-356.pdf#page=6","Abrir facsímil")</f>
        <v>Abrir facsímil</v>
      </c>
      <c r="K13408" t="s">
        <v>22</v>
      </c>
    </row>
    <row r="13409" spans="1:11" ht="42" customHeight="1">
      <c r="A13409" t="s">
        <v>25997</v>
      </c>
      <c r="B13409" t="s">
        <v>25998</v>
      </c>
      <c r="C13409" t="s">
        <v>50</v>
      </c>
      <c r="D13409" t="s">
        <v>51</v>
      </c>
      <c r="E13409" s="6">
        <v>-28189</v>
      </c>
      <c r="F13409" t="s">
        <v>645</v>
      </c>
      <c r="G13409" t="s">
        <v>63</v>
      </c>
      <c r="H13409" t="s">
        <v>20</v>
      </c>
      <c r="I13409" t="s">
        <v>25999</v>
      </c>
      <c r="J13409" t="str">
        <f>HYPERLINK("https://www.boe.es/gazeta/dias/1822/10/26/pdfs/GMD-1822-313.pdf#page=6","Abrir facsímil")</f>
        <v>Abrir facsímil</v>
      </c>
      <c r="K13409" t="s">
        <v>22</v>
      </c>
    </row>
    <row r="13410" spans="1:11" ht="42" customHeight="1">
      <c r="A13410" t="s">
        <v>26000</v>
      </c>
      <c r="B13410" t="s">
        <v>26001</v>
      </c>
      <c r="C13410" t="s">
        <v>50</v>
      </c>
      <c r="D13410" t="s">
        <v>51</v>
      </c>
      <c r="E13410" s="6">
        <v>-28199</v>
      </c>
      <c r="F13410" t="s">
        <v>656</v>
      </c>
      <c r="G13410" t="s">
        <v>63</v>
      </c>
      <c r="H13410" t="s">
        <v>20</v>
      </c>
      <c r="I13410" t="s">
        <v>26002</v>
      </c>
      <c r="J13410" t="str">
        <f>HYPERLINK("https://www.boe.es/gazeta/dias/1822/10/16/pdfs/GMD-1822-303.pdf#page=6","Abrir facsímil")</f>
        <v>Abrir facsímil</v>
      </c>
      <c r="K13410" t="s">
        <v>22</v>
      </c>
    </row>
    <row r="13411" spans="1:11" ht="42" customHeight="1">
      <c r="A13411" t="s">
        <v>26003</v>
      </c>
      <c r="B13411" t="s">
        <v>26004</v>
      </c>
      <c r="C13411" t="s">
        <v>50</v>
      </c>
      <c r="D13411" t="s">
        <v>51</v>
      </c>
      <c r="E13411" s="6">
        <v>-28208</v>
      </c>
      <c r="F13411" t="s">
        <v>230</v>
      </c>
      <c r="G13411" t="s">
        <v>31</v>
      </c>
      <c r="H13411" t="s">
        <v>20</v>
      </c>
      <c r="I13411" t="s">
        <v>26005</v>
      </c>
      <c r="J13411" t="str">
        <f>HYPERLINK("https://www.boe.es/gazeta/dias/1822/10/07/pdfs/GMD-1822-293.pdf#page=3","Abrir facsímil")</f>
        <v>Abrir facsímil</v>
      </c>
      <c r="K13411" t="s">
        <v>22</v>
      </c>
    </row>
    <row r="13412" spans="1:11" ht="42" customHeight="1">
      <c r="A13412" t="s">
        <v>26006</v>
      </c>
      <c r="B13412" t="s">
        <v>26006</v>
      </c>
      <c r="C13412" t="s">
        <v>42</v>
      </c>
      <c r="D13412" t="s">
        <v>17</v>
      </c>
      <c r="E13412" s="6">
        <v>-28376</v>
      </c>
      <c r="F13412" t="s">
        <v>500</v>
      </c>
      <c r="G13412" t="s">
        <v>57</v>
      </c>
      <c r="H13412" t="s">
        <v>20</v>
      </c>
      <c r="I13412" t="s">
        <v>26007</v>
      </c>
      <c r="J13412" t="str">
        <f>HYPERLINK("https://www.boe.es/gazeta/dias/1822/04/22/pdfs/GMD-1822-114.pdf#page=4","Abrir facsímil")</f>
        <v>Abrir facsímil</v>
      </c>
      <c r="K13412" t="s">
        <v>22</v>
      </c>
    </row>
    <row r="13413" spans="1:11" ht="42" customHeight="1">
      <c r="A13413" t="s">
        <v>26006</v>
      </c>
      <c r="B13413" t="s">
        <v>26006</v>
      </c>
      <c r="C13413" t="s">
        <v>42</v>
      </c>
      <c r="D13413" t="s">
        <v>17</v>
      </c>
      <c r="E13413" s="6">
        <v>-28185</v>
      </c>
      <c r="F13413" t="s">
        <v>933</v>
      </c>
      <c r="G13413" t="s">
        <v>31</v>
      </c>
      <c r="H13413" t="s">
        <v>20</v>
      </c>
      <c r="I13413" t="s">
        <v>26008</v>
      </c>
      <c r="J13413" t="str">
        <f>HYPERLINK("https://www.boe.es/gazeta/dias/1822/10/30/pdfs/GMD-1822-317.pdf#page=3","Abrir facsímil")</f>
        <v>Abrir facsímil</v>
      </c>
      <c r="K13413" t="s">
        <v>22</v>
      </c>
    </row>
    <row r="13414" spans="1:11" ht="42" customHeight="1">
      <c r="A13414" t="s">
        <v>26009</v>
      </c>
      <c r="B13414" t="s">
        <v>26009</v>
      </c>
      <c r="C13414" t="s">
        <v>16</v>
      </c>
      <c r="D13414" t="s">
        <v>17</v>
      </c>
      <c r="E13414" s="6">
        <v>-28414</v>
      </c>
      <c r="F13414" t="s">
        <v>187</v>
      </c>
      <c r="G13414" t="s">
        <v>63</v>
      </c>
      <c r="H13414" t="s">
        <v>20</v>
      </c>
      <c r="I13414" t="s">
        <v>26010</v>
      </c>
      <c r="J13414" t="str">
        <f>HYPERLINK("https://www.boe.es/gazeta/dias/1822/03/15/pdfs/GMD-1822-76.pdf#page=6","Abrir facsímil")</f>
        <v>Abrir facsímil</v>
      </c>
      <c r="K13414" t="s">
        <v>22</v>
      </c>
    </row>
    <row r="13415" spans="1:11" ht="42" customHeight="1">
      <c r="A13415" t="s">
        <v>26011</v>
      </c>
      <c r="B13415" t="s">
        <v>26012</v>
      </c>
      <c r="C13415" t="s">
        <v>50</v>
      </c>
      <c r="D13415" t="s">
        <v>51</v>
      </c>
      <c r="E13415" s="6">
        <v>-28398</v>
      </c>
      <c r="F13415" t="s">
        <v>1961</v>
      </c>
      <c r="G13415" t="s">
        <v>31</v>
      </c>
      <c r="H13415" t="s">
        <v>20</v>
      </c>
      <c r="I13415" t="s">
        <v>26013</v>
      </c>
      <c r="J13415" t="str">
        <f>HYPERLINK("https://www.boe.es/gazeta/dias/1822/03/31/pdfs/GMD-1822-92.pdf#page=3","Abrir facsímil")</f>
        <v>Abrir facsímil</v>
      </c>
      <c r="K13415" t="s">
        <v>22</v>
      </c>
    </row>
    <row r="13416" spans="1:11" ht="42" customHeight="1">
      <c r="A13416" t="s">
        <v>26014</v>
      </c>
      <c r="B13416" t="s">
        <v>26014</v>
      </c>
      <c r="C13416" t="s">
        <v>42</v>
      </c>
      <c r="D13416" t="s">
        <v>17</v>
      </c>
      <c r="E13416" s="6">
        <v>-28422</v>
      </c>
      <c r="F13416" t="s">
        <v>416</v>
      </c>
      <c r="G13416" t="s">
        <v>31</v>
      </c>
      <c r="H13416" t="s">
        <v>20</v>
      </c>
      <c r="I13416" t="s">
        <v>26015</v>
      </c>
      <c r="J13416" t="str">
        <f>HYPERLINK("https://www.boe.es/gazeta/dias/1822/03/07/pdfs/GMD-1822-68.pdf#page=3","Abrir facsímil")</f>
        <v>Abrir facsímil</v>
      </c>
      <c r="K13416" t="s">
        <v>22</v>
      </c>
    </row>
    <row r="13417" spans="1:11" ht="42" customHeight="1">
      <c r="A13417" t="s">
        <v>26016</v>
      </c>
      <c r="B13417" t="s">
        <v>26016</v>
      </c>
      <c r="C13417" t="s">
        <v>71</v>
      </c>
      <c r="D13417" t="s">
        <v>17</v>
      </c>
      <c r="E13417" s="6">
        <v>-28355</v>
      </c>
      <c r="F13417" t="s">
        <v>692</v>
      </c>
      <c r="G13417" t="s">
        <v>57</v>
      </c>
      <c r="H13417" t="s">
        <v>20</v>
      </c>
      <c r="I13417" t="s">
        <v>26017</v>
      </c>
      <c r="J13417" t="str">
        <f>HYPERLINK("https://www.boe.es/gazeta/dias/1822/05/13/pdfs/GMD-1822-135.pdf#page=4","Abrir facsímil")</f>
        <v>Abrir facsímil</v>
      </c>
      <c r="K13417" t="s">
        <v>22</v>
      </c>
    </row>
    <row r="13418" spans="1:11" ht="42" customHeight="1">
      <c r="A13418" t="s">
        <v>26018</v>
      </c>
      <c r="B13418" t="s">
        <v>26018</v>
      </c>
      <c r="C13418" t="s">
        <v>42</v>
      </c>
      <c r="D13418" t="s">
        <v>17</v>
      </c>
      <c r="E13418" s="6">
        <v>-28434</v>
      </c>
      <c r="F13418" t="s">
        <v>433</v>
      </c>
      <c r="G13418" t="s">
        <v>35</v>
      </c>
      <c r="H13418" t="s">
        <v>20</v>
      </c>
      <c r="I13418" t="s">
        <v>26019</v>
      </c>
      <c r="J13418" t="str">
        <f>HYPERLINK("https://www.boe.es/gazeta/dias/1822/02/23/pdfs/GMD-1822-55.pdf#page=2","Abrir facsímil")</f>
        <v>Abrir facsímil</v>
      </c>
      <c r="K13418" t="s">
        <v>22</v>
      </c>
    </row>
    <row r="13419" spans="1:11" ht="42" customHeight="1">
      <c r="A13419" t="s">
        <v>26018</v>
      </c>
      <c r="B13419" t="s">
        <v>26018</v>
      </c>
      <c r="C13419" t="s">
        <v>50</v>
      </c>
      <c r="D13419" t="s">
        <v>51</v>
      </c>
      <c r="E13419" s="6">
        <v>-28421</v>
      </c>
      <c r="F13419" t="s">
        <v>446</v>
      </c>
      <c r="G13419" t="s">
        <v>63</v>
      </c>
      <c r="H13419" t="s">
        <v>20</v>
      </c>
      <c r="I13419" t="s">
        <v>26020</v>
      </c>
      <c r="J13419" t="str">
        <f>HYPERLINK("https://www.boe.es/gazeta/dias/1822/03/08/pdfs/GMD-1822-69.pdf#page=6","Abrir facsímil")</f>
        <v>Abrir facsímil</v>
      </c>
      <c r="K13419" t="s">
        <v>22</v>
      </c>
    </row>
    <row r="13420" spans="1:11" ht="42" customHeight="1">
      <c r="A13420" t="s">
        <v>26018</v>
      </c>
      <c r="B13420" t="s">
        <v>26018</v>
      </c>
      <c r="C13420" t="s">
        <v>42</v>
      </c>
      <c r="D13420" t="s">
        <v>17</v>
      </c>
      <c r="E13420" s="6">
        <v>-28390</v>
      </c>
      <c r="F13420" t="s">
        <v>665</v>
      </c>
      <c r="G13420" t="s">
        <v>31</v>
      </c>
      <c r="H13420" t="s">
        <v>20</v>
      </c>
      <c r="I13420" t="s">
        <v>26021</v>
      </c>
      <c r="J13420" t="str">
        <f>HYPERLINK("https://www.boe.es/gazeta/dias/1822/04/08/pdfs/GMD-1822-100.pdf#page=3","Abrir facsímil")</f>
        <v>Abrir facsímil</v>
      </c>
      <c r="K13420" t="s">
        <v>22</v>
      </c>
    </row>
    <row r="13421" spans="1:11" ht="42" customHeight="1">
      <c r="A13421" t="s">
        <v>26018</v>
      </c>
      <c r="B13421" t="s">
        <v>26018</v>
      </c>
      <c r="C13421" t="s">
        <v>71</v>
      </c>
      <c r="D13421" t="s">
        <v>17</v>
      </c>
      <c r="E13421" s="6">
        <v>-28381</v>
      </c>
      <c r="F13421" t="s">
        <v>358</v>
      </c>
      <c r="G13421" t="s">
        <v>57</v>
      </c>
      <c r="H13421" t="s">
        <v>20</v>
      </c>
      <c r="I13421" t="s">
        <v>26022</v>
      </c>
      <c r="J13421" t="str">
        <f>HYPERLINK("https://www.boe.es/gazeta/dias/1822/04/17/pdfs/GMD-1822-109.pdf#page=4","Abrir facsímil")</f>
        <v>Abrir facsímil</v>
      </c>
      <c r="K13421" t="s">
        <v>22</v>
      </c>
    </row>
    <row r="13422" spans="1:11" ht="42" customHeight="1">
      <c r="A13422" t="s">
        <v>26018</v>
      </c>
      <c r="B13422" t="s">
        <v>26018</v>
      </c>
      <c r="C13422" t="s">
        <v>16</v>
      </c>
      <c r="D13422" t="s">
        <v>17</v>
      </c>
      <c r="E13422" s="6">
        <v>-28354</v>
      </c>
      <c r="F13422" t="s">
        <v>226</v>
      </c>
      <c r="G13422" t="s">
        <v>35</v>
      </c>
      <c r="H13422" t="s">
        <v>20</v>
      </c>
      <c r="I13422" t="s">
        <v>26023</v>
      </c>
      <c r="J13422" t="str">
        <f>HYPERLINK("https://www.boe.es/gazeta/dias/1822/05/14/pdfs/GMD-1822-136.pdf#page=2","Abrir facsímil")</f>
        <v>Abrir facsímil</v>
      </c>
      <c r="K13422" t="s">
        <v>22</v>
      </c>
    </row>
    <row r="13423" spans="1:11" ht="42" customHeight="1">
      <c r="A13423" t="s">
        <v>26018</v>
      </c>
      <c r="B13423" t="s">
        <v>26018</v>
      </c>
      <c r="C13423" t="s">
        <v>42</v>
      </c>
      <c r="D13423" t="s">
        <v>17</v>
      </c>
      <c r="E13423" s="6">
        <v>-28347</v>
      </c>
      <c r="F13423" t="s">
        <v>520</v>
      </c>
      <c r="G13423" t="s">
        <v>44</v>
      </c>
      <c r="H13423" t="s">
        <v>20</v>
      </c>
      <c r="I13423" t="s">
        <v>26024</v>
      </c>
      <c r="J13423" t="str">
        <f>HYPERLINK("https://www.boe.es/gazeta/dias/1822/05/21/pdfs/GMD-1822-144.pdf#page=1","Abrir facsímil")</f>
        <v>Abrir facsímil</v>
      </c>
      <c r="K13423" t="s">
        <v>22</v>
      </c>
    </row>
    <row r="13424" spans="1:11" ht="42" customHeight="1">
      <c r="A13424" t="s">
        <v>26018</v>
      </c>
      <c r="B13424" t="s">
        <v>26018</v>
      </c>
      <c r="C13424" t="s">
        <v>24</v>
      </c>
      <c r="D13424" t="s">
        <v>17</v>
      </c>
      <c r="E13424" s="6">
        <v>-28317</v>
      </c>
      <c r="F13424" t="s">
        <v>546</v>
      </c>
      <c r="G13424" t="s">
        <v>57</v>
      </c>
      <c r="H13424" t="s">
        <v>20</v>
      </c>
      <c r="I13424" t="s">
        <v>26025</v>
      </c>
      <c r="J13424" t="str">
        <f>HYPERLINK("https://www.boe.es/gazeta/dias/1822/06/20/pdfs/GMD-1822-177.pdf#page=4","Abrir facsímil")</f>
        <v>Abrir facsímil</v>
      </c>
      <c r="K13424" t="s">
        <v>22</v>
      </c>
    </row>
    <row r="13425" spans="1:11" ht="42" customHeight="1">
      <c r="A13425" t="s">
        <v>26018</v>
      </c>
      <c r="B13425" t="s">
        <v>26018</v>
      </c>
      <c r="C13425" t="s">
        <v>42</v>
      </c>
      <c r="D13425" t="s">
        <v>17</v>
      </c>
      <c r="E13425" s="6">
        <v>-28313</v>
      </c>
      <c r="F13425" t="s">
        <v>315</v>
      </c>
      <c r="G13425" t="s">
        <v>549</v>
      </c>
      <c r="H13425" t="s">
        <v>20</v>
      </c>
      <c r="I13425" t="s">
        <v>26026</v>
      </c>
      <c r="J13425" t="str">
        <f>HYPERLINK("https://www.boe.es/gazeta/dias/1822/06/24/pdfs/GMD-1822-182.pdf#page=6","Abrir facsímil")</f>
        <v>Abrir facsímil</v>
      </c>
      <c r="K13425" t="s">
        <v>22</v>
      </c>
    </row>
    <row r="13426" spans="1:11" ht="42" customHeight="1">
      <c r="A13426" t="s">
        <v>26018</v>
      </c>
      <c r="B13426" t="s">
        <v>26018</v>
      </c>
      <c r="C13426" t="s">
        <v>50</v>
      </c>
      <c r="D13426" t="s">
        <v>51</v>
      </c>
      <c r="E13426" s="6">
        <v>-28203</v>
      </c>
      <c r="F13426" t="s">
        <v>564</v>
      </c>
      <c r="G13426" t="s">
        <v>31</v>
      </c>
      <c r="H13426" t="s">
        <v>20</v>
      </c>
      <c r="I13426" t="s">
        <v>26027</v>
      </c>
      <c r="J13426" t="str">
        <f>HYPERLINK("https://www.boe.es/gazeta/dias/1822/10/12/pdfs/GMD-1822-299.pdf#page=3","Abrir facsímil")</f>
        <v>Abrir facsímil</v>
      </c>
      <c r="K13426" t="s">
        <v>22</v>
      </c>
    </row>
    <row r="13427" spans="1:11" ht="42" customHeight="1">
      <c r="A13427" t="s">
        <v>26018</v>
      </c>
      <c r="B13427" t="s">
        <v>26018</v>
      </c>
      <c r="C13427" t="s">
        <v>71</v>
      </c>
      <c r="D13427" t="s">
        <v>17</v>
      </c>
      <c r="E13427" s="6">
        <v>-28177</v>
      </c>
      <c r="F13427" t="s">
        <v>587</v>
      </c>
      <c r="G13427" t="s">
        <v>31</v>
      </c>
      <c r="H13427" t="s">
        <v>20</v>
      </c>
      <c r="I13427" t="s">
        <v>26028</v>
      </c>
      <c r="J13427" t="str">
        <f>HYPERLINK("https://www.boe.es/gazeta/dias/1822/11/07/pdfs/GMD-1822-327.pdf#page=3","Abrir facsímil")</f>
        <v>Abrir facsímil</v>
      </c>
      <c r="K13427" t="s">
        <v>22</v>
      </c>
    </row>
    <row r="13428" spans="1:11" ht="42" customHeight="1">
      <c r="A13428" t="s">
        <v>26018</v>
      </c>
      <c r="B13428" t="s">
        <v>26018</v>
      </c>
      <c r="C13428" t="s">
        <v>71</v>
      </c>
      <c r="D13428" t="s">
        <v>17</v>
      </c>
      <c r="E13428" s="6">
        <v>-28137</v>
      </c>
      <c r="F13428" t="s">
        <v>312</v>
      </c>
      <c r="G13428" t="s">
        <v>35</v>
      </c>
      <c r="H13428" t="s">
        <v>20</v>
      </c>
      <c r="I13428" t="s">
        <v>26029</v>
      </c>
      <c r="J13428" t="str">
        <f>HYPERLINK("https://www.boe.es/gazeta/dias/1822/12/17/pdfs/GMD-1822-367.pdf#page=2","Abrir facsímil")</f>
        <v>Abrir facsímil</v>
      </c>
      <c r="K13428" t="s">
        <v>22</v>
      </c>
    </row>
    <row r="13429" spans="1:11" ht="42" customHeight="1">
      <c r="A13429" t="s">
        <v>26018</v>
      </c>
      <c r="B13429" t="s">
        <v>26018</v>
      </c>
      <c r="C13429" t="s">
        <v>28</v>
      </c>
      <c r="D13429" t="s">
        <v>29</v>
      </c>
      <c r="E13429" s="6">
        <v>-28130</v>
      </c>
      <c r="F13429" t="s">
        <v>34</v>
      </c>
      <c r="G13429" t="s">
        <v>31</v>
      </c>
      <c r="H13429" t="s">
        <v>20</v>
      </c>
      <c r="I13429" t="s">
        <v>26030</v>
      </c>
      <c r="J13429" t="str">
        <f>HYPERLINK("https://www.boe.es/gazeta/dias/1822/12/24/pdfs/GMD-1822-374.pdf#page=3","Abrir facsímil")</f>
        <v>Abrir facsímil</v>
      </c>
      <c r="K13429" t="s">
        <v>22</v>
      </c>
    </row>
    <row r="13430" spans="1:11" ht="42" customHeight="1">
      <c r="A13430" t="s">
        <v>26018</v>
      </c>
      <c r="B13430" t="s">
        <v>26018</v>
      </c>
      <c r="C13430" t="s">
        <v>71</v>
      </c>
      <c r="D13430" t="s">
        <v>17</v>
      </c>
      <c r="E13430" s="6">
        <v>-28129</v>
      </c>
      <c r="F13430" t="s">
        <v>599</v>
      </c>
      <c r="G13430" t="s">
        <v>35</v>
      </c>
      <c r="H13430" t="s">
        <v>20</v>
      </c>
      <c r="I13430" t="s">
        <v>26031</v>
      </c>
      <c r="J13430" t="str">
        <f>HYPERLINK("https://www.boe.es/gazeta/dias/1822/12/25/pdfs/GMD-1822-375.pdf#page=2","Abrir facsímil")</f>
        <v>Abrir facsímil</v>
      </c>
      <c r="K13430" t="s">
        <v>22</v>
      </c>
    </row>
    <row r="13431" spans="1:11" ht="42" customHeight="1">
      <c r="A13431" t="s">
        <v>26032</v>
      </c>
      <c r="B13431" t="s">
        <v>26033</v>
      </c>
      <c r="C13431" t="s">
        <v>42</v>
      </c>
      <c r="D13431" t="s">
        <v>17</v>
      </c>
      <c r="E13431" s="6">
        <v>-28258</v>
      </c>
      <c r="F13431" t="s">
        <v>88</v>
      </c>
      <c r="G13431" t="s">
        <v>31</v>
      </c>
      <c r="H13431" t="s">
        <v>20</v>
      </c>
      <c r="I13431" t="s">
        <v>26034</v>
      </c>
      <c r="J13431" t="str">
        <f>HYPERLINK("https://www.boe.es/gazeta/dias/1822/08/18/pdfs/GMD-1822-242.pdf#page=3","Abrir facsímil")</f>
        <v>Abrir facsímil</v>
      </c>
      <c r="K13431" t="s">
        <v>22</v>
      </c>
    </row>
    <row r="13432" spans="1:11" ht="42" customHeight="1">
      <c r="A13432" t="s">
        <v>26035</v>
      </c>
      <c r="B13432" t="s">
        <v>26035</v>
      </c>
      <c r="C13432" t="s">
        <v>28</v>
      </c>
      <c r="D13432" t="s">
        <v>29</v>
      </c>
      <c r="E13432" s="6">
        <v>-28273</v>
      </c>
      <c r="F13432" t="s">
        <v>1063</v>
      </c>
      <c r="G13432" t="s">
        <v>57</v>
      </c>
      <c r="H13432" t="s">
        <v>20</v>
      </c>
      <c r="I13432" t="s">
        <v>26036</v>
      </c>
      <c r="J13432" t="str">
        <f>HYPERLINK("https://www.boe.es/gazeta/dias/1822/08/03/pdfs/GMD-1822-227.pdf#page=4","Abrir facsímil")</f>
        <v>Abrir facsímil</v>
      </c>
      <c r="K13432" t="s">
        <v>22</v>
      </c>
    </row>
    <row r="13433" spans="1:11" ht="42" customHeight="1">
      <c r="A13433" t="s">
        <v>26037</v>
      </c>
      <c r="B13433" t="s">
        <v>26038</v>
      </c>
      <c r="C13433" t="s">
        <v>50</v>
      </c>
      <c r="D13433" t="s">
        <v>51</v>
      </c>
      <c r="E13433" s="6">
        <v>-28395</v>
      </c>
      <c r="F13433" t="s">
        <v>237</v>
      </c>
      <c r="G13433" t="s">
        <v>57</v>
      </c>
      <c r="H13433" t="s">
        <v>20</v>
      </c>
      <c r="I13433" t="s">
        <v>26039</v>
      </c>
      <c r="J13433" t="str">
        <f>HYPERLINK("https://www.boe.es/gazeta/dias/1822/04/03/pdfs/GMD-1822-95.pdf#page=4","Abrir facsímil")</f>
        <v>Abrir facsímil</v>
      </c>
      <c r="K13433" t="s">
        <v>22</v>
      </c>
    </row>
    <row r="13434" spans="1:11" ht="42" customHeight="1">
      <c r="A13434" t="s">
        <v>26040</v>
      </c>
      <c r="B13434" t="s">
        <v>26040</v>
      </c>
      <c r="C13434" t="s">
        <v>71</v>
      </c>
      <c r="D13434" t="s">
        <v>17</v>
      </c>
      <c r="E13434" s="6">
        <v>-28338</v>
      </c>
      <c r="F13434" t="s">
        <v>527</v>
      </c>
      <c r="G13434" t="s">
        <v>31</v>
      </c>
      <c r="H13434" t="s">
        <v>20</v>
      </c>
      <c r="I13434" t="s">
        <v>26041</v>
      </c>
      <c r="J13434" t="str">
        <f>HYPERLINK("https://www.boe.es/gazeta/dias/1822/05/30/pdfs/GMD-1822-155.pdf#page=3","Abrir facsímil")</f>
        <v>Abrir facsímil</v>
      </c>
      <c r="K13434" t="s">
        <v>22</v>
      </c>
    </row>
    <row r="13435" spans="1:11" ht="42" customHeight="1">
      <c r="A13435" t="s">
        <v>26042</v>
      </c>
      <c r="B13435" t="s">
        <v>26043</v>
      </c>
      <c r="C13435" t="s">
        <v>42</v>
      </c>
      <c r="D13435" t="s">
        <v>17</v>
      </c>
      <c r="E13435" s="6">
        <v>-28224</v>
      </c>
      <c r="F13435" t="s">
        <v>1902</v>
      </c>
      <c r="G13435" t="s">
        <v>44</v>
      </c>
      <c r="H13435" t="s">
        <v>20</v>
      </c>
      <c r="I13435" t="s">
        <v>26044</v>
      </c>
      <c r="J13435" t="str">
        <f>HYPERLINK("https://www.boe.es/gazeta/dias/1822/09/21/pdfs/GMD-1822-277.pdf#page=1","Abrir facsímil")</f>
        <v>Abrir facsímil</v>
      </c>
      <c r="K13435" t="s">
        <v>22</v>
      </c>
    </row>
    <row r="13436" spans="1:11" ht="42" customHeight="1">
      <c r="A13436" t="s">
        <v>26045</v>
      </c>
      <c r="B13436" t="s">
        <v>26046</v>
      </c>
      <c r="C13436" t="s">
        <v>61</v>
      </c>
      <c r="D13436" t="s">
        <v>17</v>
      </c>
      <c r="E13436" s="6">
        <v>-28448</v>
      </c>
      <c r="F13436" t="s">
        <v>1670</v>
      </c>
      <c r="G13436" t="s">
        <v>57</v>
      </c>
      <c r="H13436" t="s">
        <v>20</v>
      </c>
      <c r="I13436" t="s">
        <v>26047</v>
      </c>
      <c r="J13436" t="str">
        <f>HYPERLINK("https://www.boe.es/gazeta/dias/1822/02/09/pdfs/GMD-1822-40.pdf#page=4","Abrir facsímil")</f>
        <v>Abrir facsímil</v>
      </c>
      <c r="K13436" t="s">
        <v>22</v>
      </c>
    </row>
    <row r="13437" spans="1:11" ht="42" customHeight="1">
      <c r="A13437" t="s">
        <v>26048</v>
      </c>
      <c r="B13437" t="s">
        <v>26049</v>
      </c>
      <c r="C13437" t="s">
        <v>16</v>
      </c>
      <c r="D13437" t="s">
        <v>17</v>
      </c>
      <c r="E13437" s="6">
        <v>-28435</v>
      </c>
      <c r="F13437" t="s">
        <v>1710</v>
      </c>
      <c r="G13437" t="s">
        <v>31</v>
      </c>
      <c r="H13437" t="s">
        <v>20</v>
      </c>
      <c r="I13437" t="s">
        <v>26050</v>
      </c>
      <c r="J13437" t="str">
        <f>HYPERLINK("https://www.boe.es/gazeta/dias/1822/02/22/pdfs/GMD-1822-54.pdf#page=3","Abrir facsímil")</f>
        <v>Abrir facsímil</v>
      </c>
      <c r="K13437" t="s">
        <v>22</v>
      </c>
    </row>
    <row r="13438" spans="1:11" ht="42" customHeight="1">
      <c r="A13438" t="s">
        <v>26051</v>
      </c>
      <c r="B13438" t="s">
        <v>26052</v>
      </c>
      <c r="C13438" t="s">
        <v>28</v>
      </c>
      <c r="D13438" t="s">
        <v>29</v>
      </c>
      <c r="E13438" s="6">
        <v>-28464</v>
      </c>
      <c r="F13438" t="s">
        <v>1447</v>
      </c>
      <c r="G13438" t="s">
        <v>57</v>
      </c>
      <c r="H13438" t="s">
        <v>20</v>
      </c>
      <c r="I13438" t="s">
        <v>26053</v>
      </c>
      <c r="J13438" t="str">
        <f>HYPERLINK("https://www.boe.es/gazeta/dias/1822/01/24/pdfs/GMD-1822-24.pdf#page=4","Abrir facsímil")</f>
        <v>Abrir facsímil</v>
      </c>
      <c r="K13438" t="s">
        <v>22</v>
      </c>
    </row>
    <row r="13439" spans="1:11" ht="42" customHeight="1">
      <c r="A13439" t="s">
        <v>26051</v>
      </c>
      <c r="B13439" t="s">
        <v>26052</v>
      </c>
      <c r="C13439" t="s">
        <v>50</v>
      </c>
      <c r="D13439" t="s">
        <v>51</v>
      </c>
      <c r="E13439" s="6">
        <v>-28455</v>
      </c>
      <c r="F13439" t="s">
        <v>1107</v>
      </c>
      <c r="G13439" t="s">
        <v>63</v>
      </c>
      <c r="H13439" t="s">
        <v>20</v>
      </c>
      <c r="I13439" t="s">
        <v>26054</v>
      </c>
      <c r="J13439" t="str">
        <f>HYPERLINK("https://www.boe.es/gazeta/dias/1822/02/02/pdfs/GMD-1822-33.pdf#page=6","Abrir facsímil")</f>
        <v>Abrir facsímil</v>
      </c>
      <c r="K13439" t="s">
        <v>22</v>
      </c>
    </row>
    <row r="13440" spans="1:11" ht="42" customHeight="1">
      <c r="A13440" t="s">
        <v>26051</v>
      </c>
      <c r="B13440" t="s">
        <v>26052</v>
      </c>
      <c r="C13440" t="s">
        <v>50</v>
      </c>
      <c r="D13440" t="s">
        <v>51</v>
      </c>
      <c r="E13440" s="6">
        <v>-28446</v>
      </c>
      <c r="F13440" t="s">
        <v>773</v>
      </c>
      <c r="G13440" t="s">
        <v>63</v>
      </c>
      <c r="H13440" t="s">
        <v>20</v>
      </c>
      <c r="I13440" t="s">
        <v>26055</v>
      </c>
      <c r="J13440" t="str">
        <f>HYPERLINK("https://www.boe.es/gazeta/dias/1822/02/11/pdfs/GMD-1822-42.pdf#page=6","Abrir facsímil")</f>
        <v>Abrir facsímil</v>
      </c>
      <c r="K13440" t="s">
        <v>22</v>
      </c>
    </row>
    <row r="13441" spans="1:11" ht="42" customHeight="1">
      <c r="A13441" t="s">
        <v>26051</v>
      </c>
      <c r="B13441" t="s">
        <v>26052</v>
      </c>
      <c r="C13441" t="s">
        <v>71</v>
      </c>
      <c r="D13441" t="s">
        <v>17</v>
      </c>
      <c r="E13441" s="6">
        <v>-28439</v>
      </c>
      <c r="F13441" t="s">
        <v>2752</v>
      </c>
      <c r="G13441" t="s">
        <v>31</v>
      </c>
      <c r="H13441" t="s">
        <v>20</v>
      </c>
      <c r="I13441" t="s">
        <v>26056</v>
      </c>
      <c r="J13441" t="str">
        <f>HYPERLINK("https://www.boe.es/gazeta/dias/1822/02/18/pdfs/GMD-1822-50.pdf#page=3","Abrir facsímil")</f>
        <v>Abrir facsímil</v>
      </c>
      <c r="K13441" t="s">
        <v>22</v>
      </c>
    </row>
    <row r="13442" spans="1:11" ht="42" customHeight="1">
      <c r="A13442" t="s">
        <v>26057</v>
      </c>
      <c r="B13442" t="s">
        <v>26058</v>
      </c>
      <c r="C13442" t="s">
        <v>50</v>
      </c>
      <c r="D13442" t="s">
        <v>51</v>
      </c>
      <c r="E13442" s="6">
        <v>-28475</v>
      </c>
      <c r="F13442" t="s">
        <v>1205</v>
      </c>
      <c r="G13442" t="s">
        <v>1685</v>
      </c>
      <c r="H13442" t="s">
        <v>20</v>
      </c>
      <c r="I13442" t="s">
        <v>26059</v>
      </c>
      <c r="J13442" t="str">
        <f>HYPERLINK("https://www.boe.es/gazeta/dias/1822/01/13/pdfs/GMD-1822-13.pdf#page=4","Abrir facsímil")</f>
        <v>Abrir facsímil</v>
      </c>
      <c r="K13442" t="s">
        <v>22</v>
      </c>
    </row>
    <row r="13443" spans="1:11" ht="42" customHeight="1">
      <c r="A13443" t="s">
        <v>26057</v>
      </c>
      <c r="B13443" t="s">
        <v>26058</v>
      </c>
      <c r="C13443" t="s">
        <v>28</v>
      </c>
      <c r="D13443" t="s">
        <v>29</v>
      </c>
      <c r="E13443" s="6">
        <v>-28462</v>
      </c>
      <c r="F13443" t="s">
        <v>1099</v>
      </c>
      <c r="G13443" t="s">
        <v>57</v>
      </c>
      <c r="H13443" t="s">
        <v>20</v>
      </c>
      <c r="I13443" t="s">
        <v>26060</v>
      </c>
      <c r="J13443" t="str">
        <f>HYPERLINK("https://www.boe.es/gazeta/dias/1822/01/26/pdfs/GMD-1822-26.pdf#page=4","Abrir facsímil")</f>
        <v>Abrir facsímil</v>
      </c>
      <c r="K13443" t="s">
        <v>22</v>
      </c>
    </row>
    <row r="13444" spans="1:11" ht="42" customHeight="1">
      <c r="A13444" t="s">
        <v>26057</v>
      </c>
      <c r="B13444" t="s">
        <v>26058</v>
      </c>
      <c r="C13444" t="s">
        <v>50</v>
      </c>
      <c r="D13444" t="s">
        <v>51</v>
      </c>
      <c r="E13444" s="6">
        <v>-28461</v>
      </c>
      <c r="F13444" t="s">
        <v>1801</v>
      </c>
      <c r="G13444" t="s">
        <v>57</v>
      </c>
      <c r="H13444" t="s">
        <v>20</v>
      </c>
      <c r="I13444" t="s">
        <v>26061</v>
      </c>
      <c r="J13444" t="str">
        <f>HYPERLINK("https://www.boe.es/gazeta/dias/1822/01/27/pdfs/GMD-1822-27.pdf#page=4","Abrir facsímil")</f>
        <v>Abrir facsímil</v>
      </c>
      <c r="K13444" t="s">
        <v>22</v>
      </c>
    </row>
    <row r="13445" spans="1:11" ht="42" customHeight="1">
      <c r="A13445" t="s">
        <v>26057</v>
      </c>
      <c r="B13445" t="s">
        <v>26058</v>
      </c>
      <c r="C13445" t="s">
        <v>28</v>
      </c>
      <c r="D13445" t="s">
        <v>29</v>
      </c>
      <c r="E13445" s="6">
        <v>-28454</v>
      </c>
      <c r="F13445" t="s">
        <v>2033</v>
      </c>
      <c r="G13445" t="s">
        <v>157</v>
      </c>
      <c r="H13445" t="s">
        <v>20</v>
      </c>
      <c r="I13445" t="s">
        <v>26062</v>
      </c>
      <c r="J13445" t="str">
        <f>HYPERLINK("https://www.boe.es/gazeta/dias/1822/02/03/pdfs/GMD-1822-34.pdf#page=8","Abrir facsímil")</f>
        <v>Abrir facsímil</v>
      </c>
      <c r="K13445" t="s">
        <v>22</v>
      </c>
    </row>
    <row r="13446" spans="1:11" ht="42" customHeight="1">
      <c r="A13446" t="s">
        <v>26057</v>
      </c>
      <c r="B13446" t="s">
        <v>26058</v>
      </c>
      <c r="C13446" t="s">
        <v>50</v>
      </c>
      <c r="D13446" t="s">
        <v>51</v>
      </c>
      <c r="E13446" s="6">
        <v>-28427</v>
      </c>
      <c r="F13446" t="s">
        <v>755</v>
      </c>
      <c r="G13446" t="s">
        <v>31</v>
      </c>
      <c r="H13446" t="s">
        <v>20</v>
      </c>
      <c r="I13446" t="s">
        <v>26063</v>
      </c>
      <c r="J13446" t="str">
        <f>HYPERLINK("https://www.boe.es/gazeta/dias/1822/03/02/pdfs/GMD-1822-63.pdf#page=3","Abrir facsímil")</f>
        <v>Abrir facsímil</v>
      </c>
      <c r="K13446" t="s">
        <v>22</v>
      </c>
    </row>
    <row r="13447" spans="1:11" ht="42" customHeight="1">
      <c r="A13447" t="s">
        <v>26064</v>
      </c>
      <c r="B13447" t="s">
        <v>26065</v>
      </c>
      <c r="C13447" t="s">
        <v>28</v>
      </c>
      <c r="D13447" t="s">
        <v>29</v>
      </c>
      <c r="E13447" s="6">
        <v>-28451</v>
      </c>
      <c r="F13447" t="s">
        <v>1674</v>
      </c>
      <c r="G13447" t="s">
        <v>63</v>
      </c>
      <c r="H13447" t="s">
        <v>20</v>
      </c>
      <c r="I13447" t="s">
        <v>26066</v>
      </c>
      <c r="J13447" t="str">
        <f>HYPERLINK("https://www.boe.es/gazeta/dias/1822/02/06/pdfs/GMD-1822-37.pdf#page=6","Abrir facsímil")</f>
        <v>Abrir facsímil</v>
      </c>
      <c r="K13447" t="s">
        <v>22</v>
      </c>
    </row>
    <row r="13448" spans="1:11" ht="42" customHeight="1">
      <c r="A13448" t="s">
        <v>26067</v>
      </c>
      <c r="B13448" t="s">
        <v>26068</v>
      </c>
      <c r="C13448" t="s">
        <v>42</v>
      </c>
      <c r="D13448" t="s">
        <v>17</v>
      </c>
      <c r="E13448" s="6">
        <v>-28315</v>
      </c>
      <c r="F13448" t="s">
        <v>1220</v>
      </c>
      <c r="G13448" t="s">
        <v>57</v>
      </c>
      <c r="H13448" t="s">
        <v>20</v>
      </c>
      <c r="I13448" t="s">
        <v>26069</v>
      </c>
      <c r="J13448" t="str">
        <f>HYPERLINK("https://www.boe.es/gazeta/dias/1822/06/22/pdfs/GMD-1822-180.pdf#page=4","Abrir facsímil")</f>
        <v>Abrir facsímil</v>
      </c>
      <c r="K13448" t="s">
        <v>22</v>
      </c>
    </row>
    <row r="13449" spans="1:11" ht="42" customHeight="1">
      <c r="A13449" t="s">
        <v>26070</v>
      </c>
      <c r="B13449" t="s">
        <v>26070</v>
      </c>
      <c r="C13449" t="s">
        <v>28</v>
      </c>
      <c r="D13449" t="s">
        <v>29</v>
      </c>
      <c r="E13449" s="6">
        <v>-28423</v>
      </c>
      <c r="F13449" t="s">
        <v>441</v>
      </c>
      <c r="G13449" t="s">
        <v>35</v>
      </c>
      <c r="H13449" t="s">
        <v>20</v>
      </c>
      <c r="I13449" t="s">
        <v>26071</v>
      </c>
      <c r="J13449" t="str">
        <f>HYPERLINK("https://www.boe.es/gazeta/dias/1822/03/06/pdfs/GMD-1822-67.pdf#page=2","Abrir facsímil")</f>
        <v>Abrir facsímil</v>
      </c>
      <c r="K13449" t="s">
        <v>22</v>
      </c>
    </row>
    <row r="13450" spans="1:11" ht="42" customHeight="1">
      <c r="A13450" t="s">
        <v>26070</v>
      </c>
      <c r="B13450" t="s">
        <v>26070</v>
      </c>
      <c r="C13450" t="s">
        <v>42</v>
      </c>
      <c r="D13450" t="s">
        <v>17</v>
      </c>
      <c r="E13450" s="6">
        <v>-28421</v>
      </c>
      <c r="F13450" t="s">
        <v>446</v>
      </c>
      <c r="G13450" t="s">
        <v>31</v>
      </c>
      <c r="H13450" t="s">
        <v>20</v>
      </c>
      <c r="I13450" t="s">
        <v>26072</v>
      </c>
      <c r="J13450" t="str">
        <f>HYPERLINK("https://www.boe.es/gazeta/dias/1822/03/08/pdfs/GMD-1822-69.pdf#page=3","Abrir facsímil")</f>
        <v>Abrir facsímil</v>
      </c>
      <c r="K13450" t="s">
        <v>22</v>
      </c>
    </row>
    <row r="13451" spans="1:11" ht="42" customHeight="1">
      <c r="A13451" t="s">
        <v>26070</v>
      </c>
      <c r="B13451" t="s">
        <v>26070</v>
      </c>
      <c r="C13451" t="s">
        <v>50</v>
      </c>
      <c r="D13451" t="s">
        <v>51</v>
      </c>
      <c r="E13451" s="6">
        <v>-28402</v>
      </c>
      <c r="F13451" t="s">
        <v>473</v>
      </c>
      <c r="G13451" t="s">
        <v>35</v>
      </c>
      <c r="H13451" t="s">
        <v>20</v>
      </c>
      <c r="I13451" t="s">
        <v>26073</v>
      </c>
      <c r="J13451" t="str">
        <f>HYPERLINK("https://www.boe.es/gazeta/dias/1822/03/27/pdfs/GMD-1822-88.pdf#page=2","Abrir facsímil")</f>
        <v>Abrir facsímil</v>
      </c>
      <c r="K13451" t="s">
        <v>22</v>
      </c>
    </row>
    <row r="13452" spans="1:11" ht="42" customHeight="1">
      <c r="A13452" t="s">
        <v>26070</v>
      </c>
      <c r="B13452" t="s">
        <v>26070</v>
      </c>
      <c r="C13452" t="s">
        <v>28</v>
      </c>
      <c r="D13452" t="s">
        <v>29</v>
      </c>
      <c r="E13452" s="6">
        <v>-28402</v>
      </c>
      <c r="F13452" t="s">
        <v>473</v>
      </c>
      <c r="G13452" t="s">
        <v>57</v>
      </c>
      <c r="H13452" t="s">
        <v>20</v>
      </c>
      <c r="I13452" t="s">
        <v>26074</v>
      </c>
      <c r="J13452" t="str">
        <f>HYPERLINK("https://www.boe.es/gazeta/dias/1822/03/27/pdfs/GMD-1822-88.pdf#page=4","Abrir facsímil")</f>
        <v>Abrir facsímil</v>
      </c>
      <c r="K13452" t="s">
        <v>22</v>
      </c>
    </row>
    <row r="13453" spans="1:11" ht="42" customHeight="1">
      <c r="A13453" t="s">
        <v>26070</v>
      </c>
      <c r="B13453" t="s">
        <v>26070</v>
      </c>
      <c r="C13453" t="s">
        <v>16</v>
      </c>
      <c r="D13453" t="s">
        <v>17</v>
      </c>
      <c r="E13453" s="6">
        <v>-28397</v>
      </c>
      <c r="F13453" t="s">
        <v>1401</v>
      </c>
      <c r="G13453" t="s">
        <v>26075</v>
      </c>
      <c r="H13453" t="s">
        <v>20</v>
      </c>
      <c r="I13453" t="s">
        <v>26076</v>
      </c>
      <c r="J13453" t="str">
        <f>HYPERLINK("https://www.boe.es/gazeta/dias/1822/04/01/pdfs/GMD-1822-93.pdf#page=5","Abrir facsímil")</f>
        <v>Abrir facsímil</v>
      </c>
      <c r="K13453" t="s">
        <v>22</v>
      </c>
    </row>
    <row r="13454" spans="1:11" ht="42" customHeight="1">
      <c r="A13454" t="s">
        <v>26070</v>
      </c>
      <c r="B13454" t="s">
        <v>26070</v>
      </c>
      <c r="C13454" t="s">
        <v>24</v>
      </c>
      <c r="D13454" t="s">
        <v>17</v>
      </c>
      <c r="E13454" s="6">
        <v>-28396</v>
      </c>
      <c r="F13454" t="s">
        <v>1138</v>
      </c>
      <c r="G13454" t="s">
        <v>63</v>
      </c>
      <c r="H13454" t="s">
        <v>20</v>
      </c>
      <c r="I13454" t="s">
        <v>26077</v>
      </c>
      <c r="J13454" t="str">
        <f>HYPERLINK("https://www.boe.es/gazeta/dias/1822/04/02/pdfs/GMD-1822-94.pdf#page=6","Abrir facsímil")</f>
        <v>Abrir facsímil</v>
      </c>
      <c r="K13454" t="s">
        <v>22</v>
      </c>
    </row>
    <row r="13455" spans="1:11" ht="42" customHeight="1">
      <c r="A13455" t="s">
        <v>26070</v>
      </c>
      <c r="B13455" t="s">
        <v>26070</v>
      </c>
      <c r="C13455" t="s">
        <v>50</v>
      </c>
      <c r="D13455" t="s">
        <v>51</v>
      </c>
      <c r="E13455" s="6">
        <v>-28391</v>
      </c>
      <c r="F13455" t="s">
        <v>378</v>
      </c>
      <c r="G13455" t="s">
        <v>19</v>
      </c>
      <c r="H13455" t="s">
        <v>20</v>
      </c>
      <c r="I13455" t="s">
        <v>26078</v>
      </c>
      <c r="J13455" t="str">
        <f>HYPERLINK("https://www.boe.es/gazeta/dias/1822/04/07/pdfs/GMD-1822-99.pdf#page=5","Abrir facsímil")</f>
        <v>Abrir facsímil</v>
      </c>
      <c r="K13455" t="s">
        <v>22</v>
      </c>
    </row>
    <row r="13456" spans="1:11" ht="42" customHeight="1">
      <c r="A13456" t="s">
        <v>26070</v>
      </c>
      <c r="B13456" t="s">
        <v>26070</v>
      </c>
      <c r="C13456" t="s">
        <v>50</v>
      </c>
      <c r="D13456" t="s">
        <v>51</v>
      </c>
      <c r="E13456" s="6">
        <v>-28389</v>
      </c>
      <c r="F13456" t="s">
        <v>481</v>
      </c>
      <c r="G13456" t="s">
        <v>35</v>
      </c>
      <c r="H13456" t="s">
        <v>20</v>
      </c>
      <c r="I13456" t="s">
        <v>26079</v>
      </c>
      <c r="J13456" t="str">
        <f>HYPERLINK("https://www.boe.es/gazeta/dias/1822/04/09/pdfs/GMD-1822-101.pdf#page=2","Abrir facsímil")</f>
        <v>Abrir facsímil</v>
      </c>
      <c r="K13456" t="s">
        <v>22</v>
      </c>
    </row>
    <row r="13457" spans="1:11" ht="42" customHeight="1">
      <c r="A13457" t="s">
        <v>26070</v>
      </c>
      <c r="B13457" t="s">
        <v>26070</v>
      </c>
      <c r="C13457" t="s">
        <v>42</v>
      </c>
      <c r="D13457" t="s">
        <v>17</v>
      </c>
      <c r="E13457" s="6">
        <v>-28380</v>
      </c>
      <c r="F13457" t="s">
        <v>492</v>
      </c>
      <c r="G13457" t="s">
        <v>19</v>
      </c>
      <c r="H13457" t="s">
        <v>20</v>
      </c>
      <c r="I13457" t="s">
        <v>26080</v>
      </c>
      <c r="J13457" t="str">
        <f>HYPERLINK("https://www.boe.es/gazeta/dias/1822/04/18/pdfs/GMD-1822-110.pdf#page=5","Abrir facsímil")</f>
        <v>Abrir facsímil</v>
      </c>
      <c r="K13457" t="s">
        <v>22</v>
      </c>
    </row>
    <row r="13458" spans="1:11" ht="42" customHeight="1">
      <c r="A13458" t="s">
        <v>26070</v>
      </c>
      <c r="B13458" t="s">
        <v>26070</v>
      </c>
      <c r="C13458" t="s">
        <v>42</v>
      </c>
      <c r="D13458" t="s">
        <v>17</v>
      </c>
      <c r="E13458" s="6">
        <v>-28377</v>
      </c>
      <c r="F13458" t="s">
        <v>498</v>
      </c>
      <c r="G13458" t="s">
        <v>35</v>
      </c>
      <c r="H13458" t="s">
        <v>20</v>
      </c>
      <c r="I13458" t="s">
        <v>26081</v>
      </c>
      <c r="J13458" t="str">
        <f>HYPERLINK("https://www.boe.es/gazeta/dias/1822/04/21/pdfs/GMD-1822-113.pdf#page=2","Abrir facsímil")</f>
        <v>Abrir facsímil</v>
      </c>
      <c r="K13458" t="s">
        <v>22</v>
      </c>
    </row>
    <row r="13459" spans="1:11" ht="42" customHeight="1">
      <c r="A13459" t="s">
        <v>26070</v>
      </c>
      <c r="B13459" t="s">
        <v>26070</v>
      </c>
      <c r="C13459" t="s">
        <v>16</v>
      </c>
      <c r="D13459" t="s">
        <v>17</v>
      </c>
      <c r="E13459" s="6">
        <v>-28377</v>
      </c>
      <c r="F13459" t="s">
        <v>498</v>
      </c>
      <c r="G13459" t="s">
        <v>57</v>
      </c>
      <c r="H13459" t="s">
        <v>20</v>
      </c>
      <c r="I13459" t="s">
        <v>26082</v>
      </c>
      <c r="J13459" t="str">
        <f>HYPERLINK("https://www.boe.es/gazeta/dias/1822/04/21/pdfs/GMD-1822-113.pdf#page=4","Abrir facsímil")</f>
        <v>Abrir facsímil</v>
      </c>
      <c r="K13459" t="s">
        <v>22</v>
      </c>
    </row>
    <row r="13460" spans="1:11" ht="42" customHeight="1">
      <c r="A13460" t="s">
        <v>26070</v>
      </c>
      <c r="B13460" t="s">
        <v>26070</v>
      </c>
      <c r="C13460" t="s">
        <v>28</v>
      </c>
      <c r="D13460" t="s">
        <v>29</v>
      </c>
      <c r="E13460" s="6">
        <v>-28373</v>
      </c>
      <c r="F13460" t="s">
        <v>614</v>
      </c>
      <c r="G13460" t="s">
        <v>31</v>
      </c>
      <c r="H13460" t="s">
        <v>20</v>
      </c>
      <c r="I13460" t="s">
        <v>26083</v>
      </c>
      <c r="J13460" t="str">
        <f>HYPERLINK("https://www.boe.es/gazeta/dias/1822/04/25/pdfs/GMD-1822-117.pdf#page=3","Abrir facsímil")</f>
        <v>Abrir facsímil</v>
      </c>
      <c r="K13460" t="s">
        <v>22</v>
      </c>
    </row>
    <row r="13461" spans="1:11" ht="42" customHeight="1">
      <c r="A13461" t="s">
        <v>26070</v>
      </c>
      <c r="B13461" t="s">
        <v>26070</v>
      </c>
      <c r="C13461" t="s">
        <v>16</v>
      </c>
      <c r="D13461" t="s">
        <v>17</v>
      </c>
      <c r="E13461" s="6">
        <v>-28372</v>
      </c>
      <c r="F13461" t="s">
        <v>503</v>
      </c>
      <c r="G13461" t="s">
        <v>57</v>
      </c>
      <c r="H13461" t="s">
        <v>20</v>
      </c>
      <c r="I13461" t="s">
        <v>26084</v>
      </c>
      <c r="J13461" t="str">
        <f>HYPERLINK("https://www.boe.es/gazeta/dias/1822/04/26/pdfs/GMD-1822-118.pdf#page=4","Abrir facsímil")</f>
        <v>Abrir facsímil</v>
      </c>
      <c r="K13461" t="s">
        <v>22</v>
      </c>
    </row>
    <row r="13462" spans="1:11" ht="42" customHeight="1">
      <c r="A13462" t="s">
        <v>26070</v>
      </c>
      <c r="B13462" t="s">
        <v>26070</v>
      </c>
      <c r="C13462" t="s">
        <v>71</v>
      </c>
      <c r="D13462" t="s">
        <v>17</v>
      </c>
      <c r="E13462" s="6">
        <v>-28372</v>
      </c>
      <c r="F13462" t="s">
        <v>503</v>
      </c>
      <c r="G13462" t="s">
        <v>19</v>
      </c>
      <c r="H13462" t="s">
        <v>20</v>
      </c>
      <c r="I13462" t="s">
        <v>26085</v>
      </c>
      <c r="J13462" t="str">
        <f>HYPERLINK("https://www.boe.es/gazeta/dias/1822/04/26/pdfs/GMD-1822-118.pdf#page=5","Abrir facsímil")</f>
        <v>Abrir facsímil</v>
      </c>
      <c r="K13462" t="s">
        <v>22</v>
      </c>
    </row>
    <row r="13463" spans="1:11" ht="42" customHeight="1">
      <c r="A13463" t="s">
        <v>26070</v>
      </c>
      <c r="B13463" t="s">
        <v>26070</v>
      </c>
      <c r="C13463" t="s">
        <v>28</v>
      </c>
      <c r="D13463" t="s">
        <v>29</v>
      </c>
      <c r="E13463" s="6">
        <v>-28370</v>
      </c>
      <c r="F13463" t="s">
        <v>207</v>
      </c>
      <c r="G13463" t="s">
        <v>35</v>
      </c>
      <c r="H13463" t="s">
        <v>20</v>
      </c>
      <c r="I13463" t="s">
        <v>26086</v>
      </c>
      <c r="J13463" t="str">
        <f>HYPERLINK("https://www.boe.es/gazeta/dias/1822/04/28/pdfs/GMD-1822-120.pdf#page=2","Abrir facsímil")</f>
        <v>Abrir facsímil</v>
      </c>
      <c r="K13463" t="s">
        <v>22</v>
      </c>
    </row>
    <row r="13464" spans="1:11" ht="42" customHeight="1">
      <c r="A13464" t="s">
        <v>26070</v>
      </c>
      <c r="B13464" t="s">
        <v>26070</v>
      </c>
      <c r="C13464" t="s">
        <v>42</v>
      </c>
      <c r="D13464" t="s">
        <v>17</v>
      </c>
      <c r="E13464" s="6">
        <v>-28366</v>
      </c>
      <c r="F13464" t="s">
        <v>120</v>
      </c>
      <c r="G13464" t="s">
        <v>35</v>
      </c>
      <c r="H13464" t="s">
        <v>20</v>
      </c>
      <c r="I13464" t="s">
        <v>26087</v>
      </c>
      <c r="J13464" t="str">
        <f>HYPERLINK("https://www.boe.es/gazeta/dias/1822/05/02/pdfs/GMD-1822-124.pdf#page=2","Abrir facsímil")</f>
        <v>Abrir facsímil</v>
      </c>
      <c r="K13464" t="s">
        <v>22</v>
      </c>
    </row>
    <row r="13465" spans="1:11" ht="42" customHeight="1">
      <c r="A13465" t="s">
        <v>26070</v>
      </c>
      <c r="B13465" t="s">
        <v>26070</v>
      </c>
      <c r="C13465" t="s">
        <v>42</v>
      </c>
      <c r="D13465" t="s">
        <v>17</v>
      </c>
      <c r="E13465" s="6">
        <v>-28366</v>
      </c>
      <c r="F13465" t="s">
        <v>120</v>
      </c>
      <c r="G13465" t="s">
        <v>57</v>
      </c>
      <c r="H13465" t="s">
        <v>20</v>
      </c>
      <c r="I13465" t="s">
        <v>26088</v>
      </c>
      <c r="J13465" t="str">
        <f>HYPERLINK("https://www.boe.es/gazeta/dias/1822/05/02/pdfs/GMD-1822-124.pdf#page=4","Abrir facsímil")</f>
        <v>Abrir facsímil</v>
      </c>
      <c r="K13465" t="s">
        <v>22</v>
      </c>
    </row>
    <row r="13466" spans="1:11" ht="42" customHeight="1">
      <c r="A13466" t="s">
        <v>26070</v>
      </c>
      <c r="B13466" t="s">
        <v>26070</v>
      </c>
      <c r="C13466" t="s">
        <v>71</v>
      </c>
      <c r="D13466" t="s">
        <v>17</v>
      </c>
      <c r="E13466" s="6">
        <v>-28365</v>
      </c>
      <c r="F13466" t="s">
        <v>506</v>
      </c>
      <c r="G13466" t="s">
        <v>57</v>
      </c>
      <c r="H13466" t="s">
        <v>20</v>
      </c>
      <c r="I13466" t="s">
        <v>26089</v>
      </c>
      <c r="J13466" t="str">
        <f>HYPERLINK("https://www.boe.es/gazeta/dias/1822/05/03/pdfs/GMD-1822-125.pdf#page=4","Abrir facsímil")</f>
        <v>Abrir facsímil</v>
      </c>
      <c r="K13466" t="s">
        <v>22</v>
      </c>
    </row>
    <row r="13467" spans="1:11" ht="42" customHeight="1">
      <c r="A13467" t="s">
        <v>26070</v>
      </c>
      <c r="B13467" t="s">
        <v>26070</v>
      </c>
      <c r="C13467" t="s">
        <v>42</v>
      </c>
      <c r="D13467" t="s">
        <v>17</v>
      </c>
      <c r="E13467" s="6">
        <v>-28365</v>
      </c>
      <c r="F13467" t="s">
        <v>506</v>
      </c>
      <c r="G13467" t="s">
        <v>19</v>
      </c>
      <c r="H13467" t="s">
        <v>20</v>
      </c>
      <c r="I13467" t="s">
        <v>26090</v>
      </c>
      <c r="J13467" t="str">
        <f>HYPERLINK("https://www.boe.es/gazeta/dias/1822/05/03/pdfs/GMD-1822-125.pdf#page=5","Abrir facsímil")</f>
        <v>Abrir facsímil</v>
      </c>
      <c r="K13467" t="s">
        <v>22</v>
      </c>
    </row>
    <row r="13468" spans="1:11" ht="42" customHeight="1">
      <c r="A13468" t="s">
        <v>26070</v>
      </c>
      <c r="B13468" t="s">
        <v>26070</v>
      </c>
      <c r="C13468" t="s">
        <v>28</v>
      </c>
      <c r="D13468" t="s">
        <v>29</v>
      </c>
      <c r="E13468" s="6">
        <v>-28364</v>
      </c>
      <c r="F13468" t="s">
        <v>509</v>
      </c>
      <c r="G13468" t="s">
        <v>57</v>
      </c>
      <c r="H13468" t="s">
        <v>20</v>
      </c>
      <c r="I13468" t="s">
        <v>26091</v>
      </c>
      <c r="J13468" t="str">
        <f>HYPERLINK("https://www.boe.es/gazeta/dias/1822/05/04/pdfs/GMD-1822-126.pdf#page=4","Abrir facsímil")</f>
        <v>Abrir facsímil</v>
      </c>
      <c r="K13468" t="s">
        <v>22</v>
      </c>
    </row>
    <row r="13469" spans="1:11" ht="42" customHeight="1">
      <c r="A13469" t="s">
        <v>26070</v>
      </c>
      <c r="B13469" t="s">
        <v>26070</v>
      </c>
      <c r="C13469" t="s">
        <v>28</v>
      </c>
      <c r="D13469" t="s">
        <v>29</v>
      </c>
      <c r="E13469" s="6">
        <v>-28364</v>
      </c>
      <c r="F13469" t="s">
        <v>509</v>
      </c>
      <c r="G13469" t="s">
        <v>19</v>
      </c>
      <c r="H13469" t="s">
        <v>20</v>
      </c>
      <c r="I13469" t="s">
        <v>26092</v>
      </c>
      <c r="J13469" t="str">
        <f>HYPERLINK("https://www.boe.es/gazeta/dias/1822/05/04/pdfs/GMD-1822-126.pdf#page=5","Abrir facsímil")</f>
        <v>Abrir facsímil</v>
      </c>
      <c r="K13469" t="s">
        <v>22</v>
      </c>
    </row>
    <row r="13470" spans="1:11" ht="42" customHeight="1">
      <c r="A13470" t="s">
        <v>26070</v>
      </c>
      <c r="B13470" t="s">
        <v>26070</v>
      </c>
      <c r="C13470" t="s">
        <v>71</v>
      </c>
      <c r="D13470" t="s">
        <v>17</v>
      </c>
      <c r="E13470" s="6">
        <v>-28361</v>
      </c>
      <c r="F13470" t="s">
        <v>374</v>
      </c>
      <c r="G13470" t="s">
        <v>31</v>
      </c>
      <c r="H13470" t="s">
        <v>20</v>
      </c>
      <c r="I13470" t="s">
        <v>26093</v>
      </c>
      <c r="J13470" t="str">
        <f>HYPERLINK("https://www.boe.es/gazeta/dias/1822/05/07/pdfs/GMD-1822-129.pdf#page=3","Abrir facsímil")</f>
        <v>Abrir facsímil</v>
      </c>
      <c r="K13470" t="s">
        <v>22</v>
      </c>
    </row>
    <row r="13471" spans="1:11" ht="42" customHeight="1">
      <c r="A13471" t="s">
        <v>26070</v>
      </c>
      <c r="B13471" t="s">
        <v>26070</v>
      </c>
      <c r="C13471" t="s">
        <v>42</v>
      </c>
      <c r="D13471" t="s">
        <v>17</v>
      </c>
      <c r="E13471" s="6">
        <v>-28358</v>
      </c>
      <c r="F13471" t="s">
        <v>211</v>
      </c>
      <c r="G13471" t="s">
        <v>31</v>
      </c>
      <c r="H13471" t="s">
        <v>20</v>
      </c>
      <c r="I13471" t="s">
        <v>26094</v>
      </c>
      <c r="J13471" t="str">
        <f>HYPERLINK("https://www.boe.es/gazeta/dias/1822/05/10/pdfs/GMD-1822-132.pdf#page=3","Abrir facsímil")</f>
        <v>Abrir facsímil</v>
      </c>
      <c r="K13471" t="s">
        <v>22</v>
      </c>
    </row>
    <row r="13472" spans="1:11" ht="42" customHeight="1">
      <c r="A13472" t="s">
        <v>26070</v>
      </c>
      <c r="B13472" t="s">
        <v>26070</v>
      </c>
      <c r="C13472" t="s">
        <v>28</v>
      </c>
      <c r="D13472" t="s">
        <v>29</v>
      </c>
      <c r="E13472" s="6">
        <v>-28353</v>
      </c>
      <c r="F13472" t="s">
        <v>843</v>
      </c>
      <c r="G13472" t="s">
        <v>19</v>
      </c>
      <c r="H13472" t="s">
        <v>20</v>
      </c>
      <c r="I13472" t="s">
        <v>26095</v>
      </c>
      <c r="J13472" t="str">
        <f>HYPERLINK("https://www.boe.es/gazeta/dias/1822/05/15/pdfs/GMD-1822-137.pdf#page=5","Abrir facsímil")</f>
        <v>Abrir facsímil</v>
      </c>
      <c r="K13472" t="s">
        <v>22</v>
      </c>
    </row>
    <row r="13473" spans="1:11" ht="42" customHeight="1">
      <c r="A13473" t="s">
        <v>26070</v>
      </c>
      <c r="B13473" t="s">
        <v>26070</v>
      </c>
      <c r="C13473" t="s">
        <v>71</v>
      </c>
      <c r="D13473" t="s">
        <v>17</v>
      </c>
      <c r="E13473" s="6">
        <v>-28352</v>
      </c>
      <c r="F13473" t="s">
        <v>1575</v>
      </c>
      <c r="G13473" t="s">
        <v>57</v>
      </c>
      <c r="H13473" t="s">
        <v>20</v>
      </c>
      <c r="I13473" t="s">
        <v>26096</v>
      </c>
      <c r="J13473" t="str">
        <f>HYPERLINK("https://www.boe.es/gazeta/dias/1822/05/16/pdfs/GMD-1822-138.pdf#page=4","Abrir facsímil")</f>
        <v>Abrir facsímil</v>
      </c>
      <c r="K13473" t="s">
        <v>22</v>
      </c>
    </row>
    <row r="13474" spans="1:11" ht="42" customHeight="1">
      <c r="A13474" t="s">
        <v>26070</v>
      </c>
      <c r="B13474" t="s">
        <v>26070</v>
      </c>
      <c r="C13474" t="s">
        <v>42</v>
      </c>
      <c r="D13474" t="s">
        <v>17</v>
      </c>
      <c r="E13474" s="6">
        <v>-28352</v>
      </c>
      <c r="F13474" t="s">
        <v>1575</v>
      </c>
      <c r="G13474" t="s">
        <v>19</v>
      </c>
      <c r="H13474" t="s">
        <v>20</v>
      </c>
      <c r="I13474" t="s">
        <v>26097</v>
      </c>
      <c r="J13474" t="str">
        <f>HYPERLINK("https://www.boe.es/gazeta/dias/1822/05/16/pdfs/GMD-1822-138.pdf#page=5","Abrir facsímil")</f>
        <v>Abrir facsímil</v>
      </c>
      <c r="K13474" t="s">
        <v>22</v>
      </c>
    </row>
    <row r="13475" spans="1:11" ht="42" customHeight="1">
      <c r="A13475" t="s">
        <v>26070</v>
      </c>
      <c r="B13475" t="s">
        <v>26070</v>
      </c>
      <c r="C13475" t="s">
        <v>71</v>
      </c>
      <c r="D13475" t="s">
        <v>17</v>
      </c>
      <c r="E13475" s="6">
        <v>-28350</v>
      </c>
      <c r="F13475" t="s">
        <v>352</v>
      </c>
      <c r="G13475" t="s">
        <v>63</v>
      </c>
      <c r="H13475" t="s">
        <v>20</v>
      </c>
      <c r="I13475" t="s">
        <v>26098</v>
      </c>
      <c r="J13475" t="str">
        <f>HYPERLINK("https://www.boe.es/gazeta/dias/1822/05/18/pdfs/GMD-1822-140.pdf#page=6","Abrir facsímil")</f>
        <v>Abrir facsímil</v>
      </c>
      <c r="K13475" t="s">
        <v>22</v>
      </c>
    </row>
    <row r="13476" spans="1:11" ht="42" customHeight="1">
      <c r="A13476" t="s">
        <v>26070</v>
      </c>
      <c r="B13476" t="s">
        <v>26070</v>
      </c>
      <c r="C13476" t="s">
        <v>71</v>
      </c>
      <c r="D13476" t="s">
        <v>17</v>
      </c>
      <c r="E13476" s="6">
        <v>-28349</v>
      </c>
      <c r="F13476" t="s">
        <v>518</v>
      </c>
      <c r="G13476" t="s">
        <v>31</v>
      </c>
      <c r="H13476" t="s">
        <v>20</v>
      </c>
      <c r="I13476" t="s">
        <v>26099</v>
      </c>
      <c r="J13476" t="str">
        <f>HYPERLINK("https://www.boe.es/gazeta/dias/1822/05/19/pdfs/GMD-1822-141.pdf#page=3","Abrir facsímil")</f>
        <v>Abrir facsímil</v>
      </c>
      <c r="K13476" t="s">
        <v>22</v>
      </c>
    </row>
    <row r="13477" spans="1:11" ht="42" customHeight="1">
      <c r="A13477" t="s">
        <v>26070</v>
      </c>
      <c r="B13477" t="s">
        <v>26070</v>
      </c>
      <c r="C13477" t="s">
        <v>71</v>
      </c>
      <c r="D13477" t="s">
        <v>17</v>
      </c>
      <c r="E13477" s="6">
        <v>-28347</v>
      </c>
      <c r="F13477" t="s">
        <v>520</v>
      </c>
      <c r="G13477" t="s">
        <v>35</v>
      </c>
      <c r="H13477" t="s">
        <v>20</v>
      </c>
      <c r="I13477" t="s">
        <v>26100</v>
      </c>
      <c r="J13477" t="str">
        <f>HYPERLINK("https://www.boe.es/gazeta/dias/1822/05/21/pdfs/GMD-1822-144.pdf#page=2","Abrir facsímil")</f>
        <v>Abrir facsímil</v>
      </c>
      <c r="K13477" t="s">
        <v>22</v>
      </c>
    </row>
    <row r="13478" spans="1:11" ht="42" customHeight="1">
      <c r="A13478" t="s">
        <v>26070</v>
      </c>
      <c r="B13478" t="s">
        <v>26070</v>
      </c>
      <c r="C13478" t="s">
        <v>24</v>
      </c>
      <c r="D13478" t="s">
        <v>17</v>
      </c>
      <c r="E13478" s="6">
        <v>-28346</v>
      </c>
      <c r="F13478" t="s">
        <v>191</v>
      </c>
      <c r="G13478" t="s">
        <v>35</v>
      </c>
      <c r="H13478" t="s">
        <v>20</v>
      </c>
      <c r="I13478" t="s">
        <v>26101</v>
      </c>
      <c r="J13478" t="str">
        <f>HYPERLINK("https://www.boe.es/gazeta/dias/1822/05/22/pdfs/GMD-1822-145.pdf#page=2","Abrir facsímil")</f>
        <v>Abrir facsímil</v>
      </c>
      <c r="K13478" t="s">
        <v>22</v>
      </c>
    </row>
    <row r="13479" spans="1:11" ht="42" customHeight="1">
      <c r="A13479" t="s">
        <v>26070</v>
      </c>
      <c r="B13479" t="s">
        <v>26070</v>
      </c>
      <c r="C13479" t="s">
        <v>28</v>
      </c>
      <c r="D13479" t="s">
        <v>29</v>
      </c>
      <c r="E13479" s="6">
        <v>-28345</v>
      </c>
      <c r="F13479" t="s">
        <v>294</v>
      </c>
      <c r="G13479" t="s">
        <v>35</v>
      </c>
      <c r="H13479" t="s">
        <v>20</v>
      </c>
      <c r="I13479" t="s">
        <v>26102</v>
      </c>
      <c r="J13479" t="str">
        <f>HYPERLINK("https://www.boe.es/gazeta/dias/1822/05/23/pdfs/GMD-1822-147.pdf#page=2","Abrir facsímil")</f>
        <v>Abrir facsímil</v>
      </c>
      <c r="K13479" t="s">
        <v>22</v>
      </c>
    </row>
    <row r="13480" spans="1:11" ht="42" customHeight="1">
      <c r="A13480" t="s">
        <v>26070</v>
      </c>
      <c r="B13480" t="s">
        <v>26070</v>
      </c>
      <c r="C13480" t="s">
        <v>71</v>
      </c>
      <c r="D13480" t="s">
        <v>17</v>
      </c>
      <c r="E13480" s="6">
        <v>-28338</v>
      </c>
      <c r="F13480" t="s">
        <v>527</v>
      </c>
      <c r="G13480" t="s">
        <v>31</v>
      </c>
      <c r="H13480" t="s">
        <v>20</v>
      </c>
      <c r="I13480" t="s">
        <v>26103</v>
      </c>
      <c r="J13480" t="str">
        <f>HYPERLINK("https://www.boe.es/gazeta/dias/1822/05/30/pdfs/GMD-1822-155.pdf#page=3","Abrir facsímil")</f>
        <v>Abrir facsímil</v>
      </c>
      <c r="K13480" t="s">
        <v>22</v>
      </c>
    </row>
    <row r="13481" spans="1:11" ht="42" customHeight="1">
      <c r="A13481" t="s">
        <v>26070</v>
      </c>
      <c r="B13481" t="s">
        <v>26070</v>
      </c>
      <c r="C13481" t="s">
        <v>71</v>
      </c>
      <c r="D13481" t="s">
        <v>17</v>
      </c>
      <c r="E13481" s="6">
        <v>-28334</v>
      </c>
      <c r="F13481" t="s">
        <v>532</v>
      </c>
      <c r="G13481" t="s">
        <v>19</v>
      </c>
      <c r="H13481" t="s">
        <v>20</v>
      </c>
      <c r="I13481" t="s">
        <v>26104</v>
      </c>
      <c r="J13481" t="str">
        <f>HYPERLINK("https://www.boe.es/gazeta/dias/1822/06/03/pdfs/GMD-1822-159.pdf#page=5","Abrir facsímil")</f>
        <v>Abrir facsímil</v>
      </c>
      <c r="K13481" t="s">
        <v>22</v>
      </c>
    </row>
    <row r="13482" spans="1:11" ht="42" customHeight="1">
      <c r="A13482" t="s">
        <v>26070</v>
      </c>
      <c r="B13482" t="s">
        <v>26070</v>
      </c>
      <c r="C13482" t="s">
        <v>28</v>
      </c>
      <c r="D13482" t="s">
        <v>29</v>
      </c>
      <c r="E13482" s="6">
        <v>-28332</v>
      </c>
      <c r="F13482" t="s">
        <v>535</v>
      </c>
      <c r="G13482" t="s">
        <v>35</v>
      </c>
      <c r="H13482" t="s">
        <v>20</v>
      </c>
      <c r="I13482" t="s">
        <v>26105</v>
      </c>
      <c r="J13482" t="str">
        <f>HYPERLINK("https://www.boe.es/gazeta/dias/1822/06/05/pdfs/GMD-1822-162.pdf#page=2","Abrir facsímil")</f>
        <v>Abrir facsímil</v>
      </c>
      <c r="K13482" t="s">
        <v>22</v>
      </c>
    </row>
    <row r="13483" spans="1:11" ht="42" customHeight="1">
      <c r="A13483" t="s">
        <v>26070</v>
      </c>
      <c r="B13483" t="s">
        <v>26070</v>
      </c>
      <c r="C13483" t="s">
        <v>71</v>
      </c>
      <c r="D13483" t="s">
        <v>17</v>
      </c>
      <c r="E13483" s="6">
        <v>-28332</v>
      </c>
      <c r="F13483" t="s">
        <v>535</v>
      </c>
      <c r="G13483" t="s">
        <v>31</v>
      </c>
      <c r="H13483" t="s">
        <v>20</v>
      </c>
      <c r="I13483" t="s">
        <v>26106</v>
      </c>
      <c r="J13483" t="str">
        <f>HYPERLINK("https://www.boe.es/gazeta/dias/1822/06/05/pdfs/GMD-1822-162.pdf#page=3","Abrir facsímil")</f>
        <v>Abrir facsímil</v>
      </c>
      <c r="K13483" t="s">
        <v>22</v>
      </c>
    </row>
    <row r="13484" spans="1:11" ht="42" customHeight="1">
      <c r="A13484" t="s">
        <v>26070</v>
      </c>
      <c r="B13484" t="s">
        <v>26070</v>
      </c>
      <c r="C13484" t="s">
        <v>28</v>
      </c>
      <c r="D13484" t="s">
        <v>29</v>
      </c>
      <c r="E13484" s="6">
        <v>-28329</v>
      </c>
      <c r="F13484" t="s">
        <v>354</v>
      </c>
      <c r="G13484" t="s">
        <v>35</v>
      </c>
      <c r="H13484" t="s">
        <v>20</v>
      </c>
      <c r="I13484" t="s">
        <v>26107</v>
      </c>
      <c r="J13484" t="str">
        <f>HYPERLINK("https://www.boe.es/gazeta/dias/1822/06/08/pdfs/GMD-1822-165.pdf#page=2","Abrir facsímil")</f>
        <v>Abrir facsímil</v>
      </c>
      <c r="K13484" t="s">
        <v>22</v>
      </c>
    </row>
    <row r="13485" spans="1:11" ht="42" customHeight="1">
      <c r="A13485" t="s">
        <v>26070</v>
      </c>
      <c r="B13485" t="s">
        <v>26070</v>
      </c>
      <c r="C13485" t="s">
        <v>71</v>
      </c>
      <c r="D13485" t="s">
        <v>17</v>
      </c>
      <c r="E13485" s="6">
        <v>-28326</v>
      </c>
      <c r="F13485" t="s">
        <v>543</v>
      </c>
      <c r="G13485" t="s">
        <v>31</v>
      </c>
      <c r="H13485" t="s">
        <v>20</v>
      </c>
      <c r="I13485" t="s">
        <v>26108</v>
      </c>
      <c r="J13485" t="str">
        <f>HYPERLINK("https://www.boe.es/gazeta/dias/1822/06/11/pdfs/GMD-1822-168.pdf#page=3","Abrir facsímil")</f>
        <v>Abrir facsímil</v>
      </c>
      <c r="K13485" t="s">
        <v>22</v>
      </c>
    </row>
    <row r="13486" spans="1:11" ht="42" customHeight="1">
      <c r="A13486" t="s">
        <v>26070</v>
      </c>
      <c r="B13486" t="s">
        <v>26070</v>
      </c>
      <c r="C13486" t="s">
        <v>42</v>
      </c>
      <c r="D13486" t="s">
        <v>17</v>
      </c>
      <c r="E13486" s="6">
        <v>-28320</v>
      </c>
      <c r="F13486" t="s">
        <v>700</v>
      </c>
      <c r="G13486" t="s">
        <v>35</v>
      </c>
      <c r="H13486" t="s">
        <v>20</v>
      </c>
      <c r="I13486" t="s">
        <v>26109</v>
      </c>
      <c r="J13486" t="str">
        <f>HYPERLINK("https://www.boe.es/gazeta/dias/1822/06/17/pdfs/GMD-1822-174.pdf#page=2","Abrir facsímil")</f>
        <v>Abrir facsímil</v>
      </c>
      <c r="K13486" t="s">
        <v>22</v>
      </c>
    </row>
    <row r="13487" spans="1:11" ht="42" customHeight="1">
      <c r="A13487" t="s">
        <v>26070</v>
      </c>
      <c r="B13487" t="s">
        <v>26070</v>
      </c>
      <c r="C13487" t="s">
        <v>71</v>
      </c>
      <c r="D13487" t="s">
        <v>17</v>
      </c>
      <c r="E13487" s="6">
        <v>-28317</v>
      </c>
      <c r="F13487" t="s">
        <v>546</v>
      </c>
      <c r="G13487" t="s">
        <v>57</v>
      </c>
      <c r="H13487" t="s">
        <v>20</v>
      </c>
      <c r="I13487" t="s">
        <v>26110</v>
      </c>
      <c r="J13487" t="str">
        <f>HYPERLINK("https://www.boe.es/gazeta/dias/1822/06/20/pdfs/GMD-1822-177.pdf#page=4","Abrir facsímil")</f>
        <v>Abrir facsímil</v>
      </c>
      <c r="K13487" t="s">
        <v>22</v>
      </c>
    </row>
    <row r="13488" spans="1:11" ht="42" customHeight="1">
      <c r="A13488" t="s">
        <v>26070</v>
      </c>
      <c r="B13488" t="s">
        <v>26070</v>
      </c>
      <c r="C13488" t="s">
        <v>42</v>
      </c>
      <c r="D13488" t="s">
        <v>17</v>
      </c>
      <c r="E13488" s="6">
        <v>-28314</v>
      </c>
      <c r="F13488" t="s">
        <v>309</v>
      </c>
      <c r="G13488" t="s">
        <v>35</v>
      </c>
      <c r="H13488" t="s">
        <v>20</v>
      </c>
      <c r="I13488" t="s">
        <v>26111</v>
      </c>
      <c r="J13488" t="str">
        <f>HYPERLINK("https://www.boe.es/gazeta/dias/1822/06/23/pdfs/GMD-1822-181.pdf#page=2","Abrir facsímil")</f>
        <v>Abrir facsímil</v>
      </c>
      <c r="K13488" t="s">
        <v>22</v>
      </c>
    </row>
    <row r="13489" spans="1:11" ht="42" customHeight="1">
      <c r="A13489" t="s">
        <v>26070</v>
      </c>
      <c r="B13489" t="s">
        <v>26070</v>
      </c>
      <c r="C13489" t="s">
        <v>28</v>
      </c>
      <c r="D13489" t="s">
        <v>29</v>
      </c>
      <c r="E13489" s="6">
        <v>-28206</v>
      </c>
      <c r="F13489" t="s">
        <v>562</v>
      </c>
      <c r="G13489" t="s">
        <v>35</v>
      </c>
      <c r="H13489" t="s">
        <v>20</v>
      </c>
      <c r="I13489" t="s">
        <v>26112</v>
      </c>
      <c r="J13489" t="str">
        <f>HYPERLINK("https://www.boe.es/gazeta/dias/1822/10/09/pdfs/GMD-1822-296.pdf#page=2","Abrir facsímil")</f>
        <v>Abrir facsímil</v>
      </c>
      <c r="K13489" t="s">
        <v>22</v>
      </c>
    </row>
    <row r="13490" spans="1:11" ht="42" customHeight="1">
      <c r="A13490" t="s">
        <v>26070</v>
      </c>
      <c r="B13490" t="s">
        <v>26070</v>
      </c>
      <c r="C13490" t="s">
        <v>42</v>
      </c>
      <c r="D13490" t="s">
        <v>17</v>
      </c>
      <c r="E13490" s="6">
        <v>-28201</v>
      </c>
      <c r="F13490" t="s">
        <v>163</v>
      </c>
      <c r="G13490" t="s">
        <v>31</v>
      </c>
      <c r="H13490" t="s">
        <v>20</v>
      </c>
      <c r="I13490" t="s">
        <v>26113</v>
      </c>
      <c r="J13490" t="str">
        <f>HYPERLINK("https://www.boe.es/gazeta/dias/1822/10/14/pdfs/GMD-1822-301.pdf#page=3","Abrir facsímil")</f>
        <v>Abrir facsímil</v>
      </c>
      <c r="K13490" t="s">
        <v>22</v>
      </c>
    </row>
    <row r="13491" spans="1:11" ht="42" customHeight="1">
      <c r="A13491" t="s">
        <v>26070</v>
      </c>
      <c r="B13491" t="s">
        <v>26070</v>
      </c>
      <c r="C13491" t="s">
        <v>42</v>
      </c>
      <c r="D13491" t="s">
        <v>17</v>
      </c>
      <c r="E13491" s="6">
        <v>-28193</v>
      </c>
      <c r="F13491" t="s">
        <v>574</v>
      </c>
      <c r="G13491" t="s">
        <v>31</v>
      </c>
      <c r="H13491" t="s">
        <v>20</v>
      </c>
      <c r="I13491" t="s">
        <v>26114</v>
      </c>
      <c r="J13491" t="str">
        <f>HYPERLINK("https://www.boe.es/gazeta/dias/1822/10/22/pdfs/GMD-1822-309.pdf#page=3","Abrir facsímil")</f>
        <v>Abrir facsímil</v>
      </c>
      <c r="K13491" t="s">
        <v>22</v>
      </c>
    </row>
    <row r="13492" spans="1:11" ht="42" customHeight="1">
      <c r="A13492" t="s">
        <v>26070</v>
      </c>
      <c r="B13492" t="s">
        <v>26070</v>
      </c>
      <c r="C13492" t="s">
        <v>50</v>
      </c>
      <c r="D13492" t="s">
        <v>51</v>
      </c>
      <c r="E13492" s="6">
        <v>-28182</v>
      </c>
      <c r="F13492" t="s">
        <v>585</v>
      </c>
      <c r="G13492" t="s">
        <v>44</v>
      </c>
      <c r="H13492" t="s">
        <v>20</v>
      </c>
      <c r="I13492" t="s">
        <v>26115</v>
      </c>
      <c r="J13492" t="str">
        <f>HYPERLINK("https://www.boe.es/gazeta/dias/1822/11/02/pdfs/GMD-1822-320.pdf#page=1","Abrir facsímil")</f>
        <v>Abrir facsímil</v>
      </c>
      <c r="K13492" t="s">
        <v>22</v>
      </c>
    </row>
    <row r="13493" spans="1:11" ht="42" customHeight="1">
      <c r="A13493" t="s">
        <v>26116</v>
      </c>
      <c r="B13493" t="s">
        <v>26117</v>
      </c>
      <c r="C13493" t="s">
        <v>1141</v>
      </c>
      <c r="D13493" t="s">
        <v>29</v>
      </c>
      <c r="E13493" s="6">
        <v>-28436</v>
      </c>
      <c r="F13493" t="s">
        <v>431</v>
      </c>
      <c r="G13493" t="s">
        <v>1428</v>
      </c>
      <c r="H13493" t="s">
        <v>20</v>
      </c>
      <c r="I13493" t="s">
        <v>26118</v>
      </c>
      <c r="J13493" t="str">
        <f>HYPERLINK("https://www.boe.es/gazeta/dias/1822/02/21/pdfs/GMD-1822-53.pdf#page=3","Abrir facsímil")</f>
        <v>Abrir facsímil</v>
      </c>
      <c r="K13493" t="s">
        <v>22</v>
      </c>
    </row>
    <row r="13494" spans="1:11" ht="42" customHeight="1">
      <c r="A13494" t="s">
        <v>26119</v>
      </c>
      <c r="B13494" t="s">
        <v>26120</v>
      </c>
      <c r="C13494" t="s">
        <v>50</v>
      </c>
      <c r="D13494" t="s">
        <v>51</v>
      </c>
      <c r="E13494" s="6">
        <v>-28349</v>
      </c>
      <c r="F13494" t="s">
        <v>518</v>
      </c>
      <c r="G13494" t="s">
        <v>57</v>
      </c>
      <c r="H13494" t="s">
        <v>20</v>
      </c>
      <c r="I13494" t="s">
        <v>26121</v>
      </c>
      <c r="J13494" t="str">
        <f>HYPERLINK("https://www.boe.es/gazeta/dias/1822/05/19/pdfs/GMD-1822-141.pdf#page=4","Abrir facsímil")</f>
        <v>Abrir facsímil</v>
      </c>
      <c r="K13494" t="s">
        <v>22</v>
      </c>
    </row>
    <row r="13495" spans="1:11" ht="42" customHeight="1">
      <c r="A13495" t="s">
        <v>26122</v>
      </c>
      <c r="B13495" t="s">
        <v>26123</v>
      </c>
      <c r="C13495" t="s">
        <v>28</v>
      </c>
      <c r="D13495" t="s">
        <v>29</v>
      </c>
      <c r="E13495" s="6">
        <v>-28436</v>
      </c>
      <c r="F13495" t="s">
        <v>431</v>
      </c>
      <c r="G13495" t="s">
        <v>1428</v>
      </c>
      <c r="H13495" t="s">
        <v>20</v>
      </c>
      <c r="I13495" t="s">
        <v>26124</v>
      </c>
      <c r="J13495" t="str">
        <f>HYPERLINK("https://www.boe.es/gazeta/dias/1822/02/21/pdfs/GMD-1822-53.pdf#page=3","Abrir facsímil")</f>
        <v>Abrir facsímil</v>
      </c>
      <c r="K13495" t="s">
        <v>22</v>
      </c>
    </row>
    <row r="13496" spans="1:11" ht="42" customHeight="1">
      <c r="A13496" t="s">
        <v>26125</v>
      </c>
      <c r="B13496" t="s">
        <v>26125</v>
      </c>
      <c r="C13496" t="s">
        <v>61</v>
      </c>
      <c r="D13496" t="s">
        <v>17</v>
      </c>
      <c r="E13496" s="6">
        <v>-28364</v>
      </c>
      <c r="F13496" t="s">
        <v>509</v>
      </c>
      <c r="G13496" t="s">
        <v>19</v>
      </c>
      <c r="H13496" t="s">
        <v>20</v>
      </c>
      <c r="I13496" t="s">
        <v>26126</v>
      </c>
      <c r="J13496" t="str">
        <f>HYPERLINK("https://www.boe.es/gazeta/dias/1822/05/04/pdfs/GMD-1822-126.pdf#page=5","Abrir facsímil")</f>
        <v>Abrir facsímil</v>
      </c>
      <c r="K13496" t="s">
        <v>22</v>
      </c>
    </row>
    <row r="13497" spans="1:11" ht="42" customHeight="1">
      <c r="A13497" t="s">
        <v>26127</v>
      </c>
      <c r="B13497" t="s">
        <v>26128</v>
      </c>
      <c r="C13497" t="s">
        <v>28</v>
      </c>
      <c r="D13497" t="s">
        <v>29</v>
      </c>
      <c r="E13497" s="6">
        <v>-28175</v>
      </c>
      <c r="F13497" t="s">
        <v>341</v>
      </c>
      <c r="G13497" t="s">
        <v>63</v>
      </c>
      <c r="H13497" t="s">
        <v>20</v>
      </c>
      <c r="I13497" t="s">
        <v>26129</v>
      </c>
      <c r="J13497" t="str">
        <f>HYPERLINK("https://www.boe.es/gazeta/dias/1822/11/09/pdfs/GMD-1822-329.pdf#page=6","Abrir facsímil")</f>
        <v>Abrir facsímil</v>
      </c>
      <c r="K13497" t="s">
        <v>22</v>
      </c>
    </row>
    <row r="13498" spans="1:11" ht="42" customHeight="1">
      <c r="A13498" t="s">
        <v>26130</v>
      </c>
      <c r="B13498" t="s">
        <v>26131</v>
      </c>
      <c r="C13498" t="s">
        <v>28</v>
      </c>
      <c r="D13498" t="s">
        <v>29</v>
      </c>
      <c r="E13498" s="6">
        <v>-28359</v>
      </c>
      <c r="F13498" t="s">
        <v>209</v>
      </c>
      <c r="G13498" t="s">
        <v>35</v>
      </c>
      <c r="H13498" t="s">
        <v>20</v>
      </c>
      <c r="I13498" t="s">
        <v>26132</v>
      </c>
      <c r="J13498" t="str">
        <f>HYPERLINK("https://www.boe.es/gazeta/dias/1822/05/09/pdfs/GMD-1822-131.pdf#page=2","Abrir facsímil")</f>
        <v>Abrir facsímil</v>
      </c>
      <c r="K13498" t="s">
        <v>22</v>
      </c>
    </row>
    <row r="13499" spans="1:11" ht="42" customHeight="1">
      <c r="A13499" t="s">
        <v>26133</v>
      </c>
      <c r="B13499" t="s">
        <v>26133</v>
      </c>
      <c r="C13499" t="s">
        <v>50</v>
      </c>
      <c r="D13499" t="s">
        <v>51</v>
      </c>
      <c r="E13499" s="6">
        <v>-28220</v>
      </c>
      <c r="F13499" t="s">
        <v>1914</v>
      </c>
      <c r="G13499" t="s">
        <v>44</v>
      </c>
      <c r="H13499" t="s">
        <v>20</v>
      </c>
      <c r="I13499" t="s">
        <v>26134</v>
      </c>
      <c r="J13499" t="str">
        <f>HYPERLINK("https://www.boe.es/gazeta/dias/1822/09/25/pdfs/GMD-1822-281.pdf#page=1","Abrir facsímil")</f>
        <v>Abrir facsímil</v>
      </c>
      <c r="K13499" t="s">
        <v>22</v>
      </c>
    </row>
    <row r="13500" spans="1:11" ht="42" customHeight="1">
      <c r="A13500" t="s">
        <v>26135</v>
      </c>
      <c r="B13500" t="s">
        <v>26136</v>
      </c>
      <c r="C13500" t="s">
        <v>50</v>
      </c>
      <c r="D13500" t="s">
        <v>51</v>
      </c>
      <c r="E13500" s="6">
        <v>-28224</v>
      </c>
      <c r="F13500" t="s">
        <v>1902</v>
      </c>
      <c r="G13500" t="s">
        <v>35</v>
      </c>
      <c r="H13500" t="s">
        <v>20</v>
      </c>
      <c r="I13500" t="s">
        <v>26137</v>
      </c>
      <c r="J13500" t="str">
        <f>HYPERLINK("https://www.boe.es/gazeta/dias/1822/09/21/pdfs/GMD-1822-277.pdf#page=2","Abrir facsímil")</f>
        <v>Abrir facsímil</v>
      </c>
      <c r="K13500" t="s">
        <v>22</v>
      </c>
    </row>
    <row r="13501" spans="1:11" ht="42" customHeight="1">
      <c r="A13501" t="s">
        <v>26138</v>
      </c>
      <c r="B13501" t="s">
        <v>26138</v>
      </c>
      <c r="C13501" t="s">
        <v>24</v>
      </c>
      <c r="D13501" t="s">
        <v>17</v>
      </c>
      <c r="E13501" s="6">
        <v>-28376</v>
      </c>
      <c r="F13501" t="s">
        <v>500</v>
      </c>
      <c r="G13501" t="s">
        <v>501</v>
      </c>
      <c r="H13501" t="s">
        <v>20</v>
      </c>
      <c r="I13501" t="s">
        <v>26139</v>
      </c>
      <c r="J13501" t="str">
        <f>HYPERLINK("https://www.boe.es/gazeta/dias/1822/04/22/pdfs/GMD-1822-114.pdf#page=3","Abrir facsímil")</f>
        <v>Abrir facsímil</v>
      </c>
      <c r="K13501" t="s">
        <v>22</v>
      </c>
    </row>
    <row r="13502" spans="1:11" ht="42" customHeight="1">
      <c r="A13502" t="s">
        <v>26138</v>
      </c>
      <c r="B13502" t="s">
        <v>26138</v>
      </c>
      <c r="C13502" t="s">
        <v>50</v>
      </c>
      <c r="D13502" t="s">
        <v>51</v>
      </c>
      <c r="E13502" s="6">
        <v>-28367</v>
      </c>
      <c r="F13502" t="s">
        <v>280</v>
      </c>
      <c r="G13502" t="s">
        <v>31</v>
      </c>
      <c r="H13502" t="s">
        <v>20</v>
      </c>
      <c r="I13502" t="s">
        <v>26140</v>
      </c>
      <c r="J13502" t="str">
        <f>HYPERLINK("https://www.boe.es/gazeta/dias/1822/05/01/pdfs/GMD-1822-123.pdf#page=3","Abrir facsímil")</f>
        <v>Abrir facsímil</v>
      </c>
      <c r="K13502" t="s">
        <v>22</v>
      </c>
    </row>
    <row r="13503" spans="1:11" ht="42" customHeight="1">
      <c r="A13503" t="s">
        <v>26138</v>
      </c>
      <c r="B13503" t="s">
        <v>26138</v>
      </c>
      <c r="C13503" t="s">
        <v>71</v>
      </c>
      <c r="D13503" t="s">
        <v>17</v>
      </c>
      <c r="E13503" s="6">
        <v>-28338</v>
      </c>
      <c r="F13503" t="s">
        <v>527</v>
      </c>
      <c r="G13503" t="s">
        <v>57</v>
      </c>
      <c r="H13503" t="s">
        <v>20</v>
      </c>
      <c r="I13503" t="s">
        <v>26141</v>
      </c>
      <c r="J13503" t="str">
        <f>HYPERLINK("https://www.boe.es/gazeta/dias/1822/05/30/pdfs/GMD-1822-155.pdf#page=4","Abrir facsímil")</f>
        <v>Abrir facsímil</v>
      </c>
      <c r="K13503" t="s">
        <v>22</v>
      </c>
    </row>
    <row r="13504" spans="1:11" ht="42" customHeight="1">
      <c r="A13504" t="s">
        <v>26138</v>
      </c>
      <c r="B13504" t="s">
        <v>26138</v>
      </c>
      <c r="C13504" t="s">
        <v>16</v>
      </c>
      <c r="D13504" t="s">
        <v>17</v>
      </c>
      <c r="E13504" s="6">
        <v>-28328</v>
      </c>
      <c r="F13504" t="s">
        <v>540</v>
      </c>
      <c r="G13504" t="s">
        <v>31</v>
      </c>
      <c r="H13504" t="s">
        <v>20</v>
      </c>
      <c r="I13504" t="s">
        <v>26142</v>
      </c>
      <c r="J13504" t="str">
        <f>HYPERLINK("https://www.boe.es/gazeta/dias/1822/06/09/pdfs/GMD-1822-166.pdf#page=3","Abrir facsímil")</f>
        <v>Abrir facsímil</v>
      </c>
      <c r="K13504" t="s">
        <v>22</v>
      </c>
    </row>
    <row r="13505" spans="1:11" ht="42" customHeight="1">
      <c r="A13505" t="s">
        <v>26138</v>
      </c>
      <c r="B13505" t="s">
        <v>26138</v>
      </c>
      <c r="C13505" t="s">
        <v>42</v>
      </c>
      <c r="D13505" t="s">
        <v>17</v>
      </c>
      <c r="E13505" s="6">
        <v>-28321</v>
      </c>
      <c r="F13505" t="s">
        <v>1142</v>
      </c>
      <c r="G13505" t="s">
        <v>57</v>
      </c>
      <c r="H13505" t="s">
        <v>20</v>
      </c>
      <c r="I13505" t="s">
        <v>26143</v>
      </c>
      <c r="J13505" t="str">
        <f>HYPERLINK("https://www.boe.es/gazeta/dias/1822/06/16/pdfs/GMD-1822-173.pdf#page=4","Abrir facsímil")</f>
        <v>Abrir facsímil</v>
      </c>
      <c r="K13505" t="s">
        <v>22</v>
      </c>
    </row>
    <row r="13506" spans="1:11" ht="42" customHeight="1">
      <c r="A13506" t="s">
        <v>26138</v>
      </c>
      <c r="B13506" t="s">
        <v>26138</v>
      </c>
      <c r="C13506" t="s">
        <v>71</v>
      </c>
      <c r="D13506" t="s">
        <v>17</v>
      </c>
      <c r="E13506" s="6">
        <v>-28307</v>
      </c>
      <c r="F13506" t="s">
        <v>555</v>
      </c>
      <c r="G13506" t="s">
        <v>35</v>
      </c>
      <c r="H13506" t="s">
        <v>20</v>
      </c>
      <c r="I13506" t="s">
        <v>26144</v>
      </c>
      <c r="J13506" t="str">
        <f>HYPERLINK("https://www.boe.es/gazeta/dias/1822/06/30/pdfs/GMD-1822-188.pdf#page=2","Abrir facsímil")</f>
        <v>Abrir facsímil</v>
      </c>
      <c r="K13506" t="s">
        <v>22</v>
      </c>
    </row>
    <row r="13507" spans="1:11" ht="42" customHeight="1">
      <c r="A13507" t="s">
        <v>26145</v>
      </c>
      <c r="B13507" t="s">
        <v>26145</v>
      </c>
      <c r="C13507" t="s">
        <v>28</v>
      </c>
      <c r="D13507" t="s">
        <v>29</v>
      </c>
      <c r="E13507" s="6">
        <v>-28375</v>
      </c>
      <c r="F13507" t="s">
        <v>2035</v>
      </c>
      <c r="G13507" t="s">
        <v>35</v>
      </c>
      <c r="H13507" t="s">
        <v>20</v>
      </c>
      <c r="I13507" t="s">
        <v>26146</v>
      </c>
      <c r="J13507" t="str">
        <f>HYPERLINK("https://www.boe.es/gazeta/dias/1822/04/23/pdfs/GMD-1822-115.pdf#page=2","Abrir facsímil")</f>
        <v>Abrir facsímil</v>
      </c>
      <c r="K13507" t="s">
        <v>22</v>
      </c>
    </row>
    <row r="13508" spans="1:11" ht="42" customHeight="1">
      <c r="A13508" t="s">
        <v>26147</v>
      </c>
      <c r="B13508" t="s">
        <v>26147</v>
      </c>
      <c r="C13508" t="s">
        <v>50</v>
      </c>
      <c r="D13508" t="s">
        <v>51</v>
      </c>
      <c r="E13508" s="6">
        <v>-28381</v>
      </c>
      <c r="F13508" t="s">
        <v>358</v>
      </c>
      <c r="G13508" t="s">
        <v>19</v>
      </c>
      <c r="H13508" t="s">
        <v>20</v>
      </c>
      <c r="I13508" t="s">
        <v>26148</v>
      </c>
      <c r="J13508" t="str">
        <f>HYPERLINK("https://www.boe.es/gazeta/dias/1822/04/17/pdfs/GMD-1822-109.pdf#page=5","Abrir facsímil")</f>
        <v>Abrir facsímil</v>
      </c>
      <c r="K13508" t="s">
        <v>22</v>
      </c>
    </row>
    <row r="13509" spans="1:11" ht="42" customHeight="1">
      <c r="A13509" t="s">
        <v>26149</v>
      </c>
      <c r="B13509" t="s">
        <v>26150</v>
      </c>
      <c r="C13509" t="s">
        <v>71</v>
      </c>
      <c r="D13509" t="s">
        <v>17</v>
      </c>
      <c r="E13509" s="6">
        <v>-28241</v>
      </c>
      <c r="F13509" t="s">
        <v>3068</v>
      </c>
      <c r="G13509" t="s">
        <v>57</v>
      </c>
      <c r="H13509" t="s">
        <v>20</v>
      </c>
      <c r="I13509" t="s">
        <v>26151</v>
      </c>
      <c r="J13509" t="str">
        <f>HYPERLINK("https://www.boe.es/gazeta/dias/1822/09/04/pdfs/GMD-1822-259.pdf#page=4","Abrir facsímil")</f>
        <v>Abrir facsímil</v>
      </c>
      <c r="K13509" t="s">
        <v>22</v>
      </c>
    </row>
    <row r="13510" spans="1:11" ht="42" customHeight="1">
      <c r="A13510" t="s">
        <v>26152</v>
      </c>
      <c r="B13510" t="s">
        <v>26153</v>
      </c>
      <c r="C13510" t="s">
        <v>16</v>
      </c>
      <c r="D13510" t="s">
        <v>17</v>
      </c>
      <c r="E13510" s="6">
        <v>-28394</v>
      </c>
      <c r="F13510" t="s">
        <v>268</v>
      </c>
      <c r="G13510" t="s">
        <v>44</v>
      </c>
      <c r="H13510" t="s">
        <v>20</v>
      </c>
      <c r="I13510" t="s">
        <v>26154</v>
      </c>
      <c r="J13510" t="str">
        <f>HYPERLINK("https://www.boe.es/gazeta/dias/1822/04/04/pdfs/GMD-1822-96.pdf#page=1","Abrir facsímil")</f>
        <v>Abrir facsímil</v>
      </c>
      <c r="K13510" t="s">
        <v>22</v>
      </c>
    </row>
    <row r="13511" spans="1:11" ht="42" customHeight="1">
      <c r="A13511" t="s">
        <v>26155</v>
      </c>
      <c r="B13511" t="s">
        <v>26156</v>
      </c>
      <c r="C13511" t="s">
        <v>50</v>
      </c>
      <c r="D13511" t="s">
        <v>51</v>
      </c>
      <c r="E13511" s="6">
        <v>-28381</v>
      </c>
      <c r="F13511" t="s">
        <v>358</v>
      </c>
      <c r="G13511" t="s">
        <v>19</v>
      </c>
      <c r="H13511" t="s">
        <v>20</v>
      </c>
      <c r="I13511" t="s">
        <v>26157</v>
      </c>
      <c r="J13511" t="str">
        <f>HYPERLINK("https://www.boe.es/gazeta/dias/1822/04/17/pdfs/GMD-1822-109.pdf#page=5","Abrir facsímil")</f>
        <v>Abrir facsímil</v>
      </c>
      <c r="K13511" t="s">
        <v>22</v>
      </c>
    </row>
    <row r="13512" spans="1:11" ht="42" customHeight="1">
      <c r="A13512" t="s">
        <v>26155</v>
      </c>
      <c r="B13512" t="s">
        <v>26156</v>
      </c>
      <c r="C13512" t="s">
        <v>50</v>
      </c>
      <c r="D13512" t="s">
        <v>51</v>
      </c>
      <c r="E13512" s="6">
        <v>-28367</v>
      </c>
      <c r="F13512" t="s">
        <v>280</v>
      </c>
      <c r="G13512" t="s">
        <v>63</v>
      </c>
      <c r="H13512" t="s">
        <v>20</v>
      </c>
      <c r="I13512" t="s">
        <v>26158</v>
      </c>
      <c r="J13512" t="str">
        <f>HYPERLINK("https://www.boe.es/gazeta/dias/1822/05/01/pdfs/GMD-1822-123.pdf#page=6","Abrir facsímil")</f>
        <v>Abrir facsímil</v>
      </c>
      <c r="K13512" t="s">
        <v>22</v>
      </c>
    </row>
    <row r="13513" spans="1:11" ht="42" customHeight="1">
      <c r="A13513" t="s">
        <v>26159</v>
      </c>
      <c r="B13513" t="s">
        <v>26159</v>
      </c>
      <c r="C13513" t="s">
        <v>28</v>
      </c>
      <c r="D13513" t="s">
        <v>29</v>
      </c>
      <c r="E13513" s="6">
        <v>-28199</v>
      </c>
      <c r="F13513" t="s">
        <v>656</v>
      </c>
      <c r="G13513" t="s">
        <v>57</v>
      </c>
      <c r="H13513" t="s">
        <v>20</v>
      </c>
      <c r="I13513" t="s">
        <v>26160</v>
      </c>
      <c r="J13513" t="str">
        <f>HYPERLINK("https://www.boe.es/gazeta/dias/1822/10/16/pdfs/GMD-1822-303.pdf#page=4","Abrir facsímil")</f>
        <v>Abrir facsímil</v>
      </c>
      <c r="K13513" t="s">
        <v>22</v>
      </c>
    </row>
    <row r="13514" spans="1:11" ht="42" customHeight="1">
      <c r="A13514" t="s">
        <v>26161</v>
      </c>
      <c r="B13514" t="s">
        <v>26162</v>
      </c>
      <c r="C13514" t="s">
        <v>61</v>
      </c>
      <c r="D13514" t="s">
        <v>17</v>
      </c>
      <c r="E13514" s="6">
        <v>-28412</v>
      </c>
      <c r="F13514" t="s">
        <v>825</v>
      </c>
      <c r="G13514" t="s">
        <v>57</v>
      </c>
      <c r="H13514" t="s">
        <v>20</v>
      </c>
      <c r="I13514" t="s">
        <v>26163</v>
      </c>
      <c r="J13514" t="str">
        <f>HYPERLINK("https://www.boe.es/gazeta/dias/1822/03/17/pdfs/GMD-1822-78.pdf#page=4","Abrir facsímil")</f>
        <v>Abrir facsímil</v>
      </c>
      <c r="K13514" t="s">
        <v>22</v>
      </c>
    </row>
    <row r="13515" spans="1:11" ht="42" customHeight="1">
      <c r="A13515" t="s">
        <v>26164</v>
      </c>
      <c r="B13515" t="s">
        <v>26165</v>
      </c>
      <c r="C13515" t="s">
        <v>50</v>
      </c>
      <c r="D13515" t="s">
        <v>51</v>
      </c>
      <c r="E13515" s="6">
        <v>-28462</v>
      </c>
      <c r="F13515" t="s">
        <v>1099</v>
      </c>
      <c r="G13515" t="s">
        <v>57</v>
      </c>
      <c r="H13515" t="s">
        <v>20</v>
      </c>
      <c r="I13515" t="s">
        <v>26166</v>
      </c>
      <c r="J13515" t="str">
        <f>HYPERLINK("https://www.boe.es/gazeta/dias/1822/01/26/pdfs/GMD-1822-26.pdf#page=4","Abrir facsímil")</f>
        <v>Abrir facsímil</v>
      </c>
      <c r="K13515" t="s">
        <v>22</v>
      </c>
    </row>
    <row r="13516" spans="1:11" ht="42" customHeight="1">
      <c r="A13516" t="s">
        <v>26164</v>
      </c>
      <c r="B13516" t="s">
        <v>26165</v>
      </c>
      <c r="C13516" t="s">
        <v>71</v>
      </c>
      <c r="D13516" t="s">
        <v>17</v>
      </c>
      <c r="E13516" s="6">
        <v>-28449</v>
      </c>
      <c r="F13516" t="s">
        <v>1342</v>
      </c>
      <c r="G13516" t="s">
        <v>57</v>
      </c>
      <c r="H13516" t="s">
        <v>20</v>
      </c>
      <c r="I13516" t="s">
        <v>26167</v>
      </c>
      <c r="J13516" t="str">
        <f>HYPERLINK("https://www.boe.es/gazeta/dias/1822/02/08/pdfs/GMD-1822-39.pdf#page=4","Abrir facsímil")</f>
        <v>Abrir facsímil</v>
      </c>
      <c r="K13516" t="s">
        <v>22</v>
      </c>
    </row>
    <row r="13517" spans="1:11" ht="42" customHeight="1">
      <c r="A13517" t="s">
        <v>26168</v>
      </c>
      <c r="B13517" t="s">
        <v>26169</v>
      </c>
      <c r="C13517" t="s">
        <v>50</v>
      </c>
      <c r="D13517" t="s">
        <v>51</v>
      </c>
      <c r="E13517" s="6">
        <v>-28263</v>
      </c>
      <c r="F13517" t="s">
        <v>7233</v>
      </c>
      <c r="G13517" t="s">
        <v>35</v>
      </c>
      <c r="H13517" t="s">
        <v>20</v>
      </c>
      <c r="I13517" t="s">
        <v>26170</v>
      </c>
      <c r="J13517" t="str">
        <f>HYPERLINK("https://www.boe.es/gazeta/dias/1822/08/13/pdfs/GMD-1822-237.pdf#page=2","Abrir facsímil")</f>
        <v>Abrir facsímil</v>
      </c>
      <c r="K13517" t="s">
        <v>22</v>
      </c>
    </row>
    <row r="13518" spans="1:11" ht="42" customHeight="1">
      <c r="A13518" t="s">
        <v>26171</v>
      </c>
      <c r="B13518" t="s">
        <v>26172</v>
      </c>
      <c r="C13518" t="s">
        <v>42</v>
      </c>
      <c r="D13518" t="s">
        <v>17</v>
      </c>
      <c r="E13518" s="6">
        <v>-28395</v>
      </c>
      <c r="F13518" t="s">
        <v>237</v>
      </c>
      <c r="G13518" t="s">
        <v>57</v>
      </c>
      <c r="H13518" t="s">
        <v>20</v>
      </c>
      <c r="I13518" t="s">
        <v>26173</v>
      </c>
      <c r="J13518" t="str">
        <f>HYPERLINK("https://www.boe.es/gazeta/dias/1822/04/03/pdfs/GMD-1822-95.pdf#page=4","Abrir facsímil")</f>
        <v>Abrir facsímil</v>
      </c>
      <c r="K13518" t="s">
        <v>22</v>
      </c>
    </row>
    <row r="13519" spans="1:11" ht="42" customHeight="1">
      <c r="A13519" t="s">
        <v>26174</v>
      </c>
      <c r="B13519" t="s">
        <v>26174</v>
      </c>
      <c r="C13519" t="s">
        <v>42</v>
      </c>
      <c r="D13519" t="s">
        <v>17</v>
      </c>
      <c r="E13519" s="6">
        <v>-28376</v>
      </c>
      <c r="F13519" t="s">
        <v>500</v>
      </c>
      <c r="G13519" t="s">
        <v>35</v>
      </c>
      <c r="H13519" t="s">
        <v>20</v>
      </c>
      <c r="I13519" t="s">
        <v>26175</v>
      </c>
      <c r="J13519" t="str">
        <f>HYPERLINK("https://www.boe.es/gazeta/dias/1822/04/22/pdfs/GMD-1822-114.pdf#page=2","Abrir facsímil")</f>
        <v>Abrir facsímil</v>
      </c>
      <c r="K13519" t="s">
        <v>22</v>
      </c>
    </row>
    <row r="13520" spans="1:11" ht="42" customHeight="1">
      <c r="A13520" t="s">
        <v>26174</v>
      </c>
      <c r="B13520" t="s">
        <v>26174</v>
      </c>
      <c r="C13520" t="s">
        <v>50</v>
      </c>
      <c r="D13520" t="s">
        <v>51</v>
      </c>
      <c r="E13520" s="6">
        <v>-28344</v>
      </c>
      <c r="F13520" t="s">
        <v>524</v>
      </c>
      <c r="G13520" t="s">
        <v>1040</v>
      </c>
      <c r="H13520" t="s">
        <v>20</v>
      </c>
      <c r="I13520" t="s">
        <v>26176</v>
      </c>
      <c r="J13520" t="str">
        <f>HYPERLINK("https://www.boe.es/gazeta/dias/1822/05/24/pdfs/GMD-1822-148.pdf#page=2","Abrir facsímil")</f>
        <v>Abrir facsímil</v>
      </c>
      <c r="K13520" t="s">
        <v>22</v>
      </c>
    </row>
    <row r="13521" spans="1:11" ht="42" customHeight="1">
      <c r="A13521" t="s">
        <v>26174</v>
      </c>
      <c r="B13521" t="s">
        <v>26174</v>
      </c>
      <c r="C13521" t="s">
        <v>71</v>
      </c>
      <c r="D13521" t="s">
        <v>17</v>
      </c>
      <c r="E13521" s="6">
        <v>-28188</v>
      </c>
      <c r="F13521" t="s">
        <v>578</v>
      </c>
      <c r="G13521" t="s">
        <v>63</v>
      </c>
      <c r="H13521" t="s">
        <v>20</v>
      </c>
      <c r="I13521" t="s">
        <v>26177</v>
      </c>
      <c r="J13521" t="str">
        <f>HYPERLINK("https://www.boe.es/gazeta/dias/1822/10/27/pdfs/GMD-1822-314.pdf#page=6","Abrir facsímil")</f>
        <v>Abrir facsímil</v>
      </c>
      <c r="K13521" t="s">
        <v>22</v>
      </c>
    </row>
    <row r="13522" spans="1:11" ht="42" customHeight="1">
      <c r="A13522" t="s">
        <v>26174</v>
      </c>
      <c r="B13522" t="s">
        <v>26174</v>
      </c>
      <c r="C13522" t="s">
        <v>50</v>
      </c>
      <c r="D13522" t="s">
        <v>51</v>
      </c>
      <c r="E13522" s="6">
        <v>-28185</v>
      </c>
      <c r="F13522" t="s">
        <v>933</v>
      </c>
      <c r="G13522" t="s">
        <v>31</v>
      </c>
      <c r="H13522" t="s">
        <v>20</v>
      </c>
      <c r="I13522" t="s">
        <v>26178</v>
      </c>
      <c r="J13522" t="str">
        <f>HYPERLINK("https://www.boe.es/gazeta/dias/1822/10/30/pdfs/GMD-1822-317.pdf#page=3","Abrir facsímil")</f>
        <v>Abrir facsímil</v>
      </c>
      <c r="K13522" t="s">
        <v>22</v>
      </c>
    </row>
    <row r="13523" spans="1:11" ht="42" customHeight="1">
      <c r="A13523" t="s">
        <v>26179</v>
      </c>
      <c r="B13523" t="s">
        <v>26180</v>
      </c>
      <c r="C13523" t="s">
        <v>50</v>
      </c>
      <c r="D13523" t="s">
        <v>51</v>
      </c>
      <c r="E13523" s="6">
        <v>-28328</v>
      </c>
      <c r="F13523" t="s">
        <v>540</v>
      </c>
      <c r="G13523" t="s">
        <v>63</v>
      </c>
      <c r="H13523" t="s">
        <v>20</v>
      </c>
      <c r="I13523" t="s">
        <v>26181</v>
      </c>
      <c r="J13523" t="str">
        <f>HYPERLINK("https://www.boe.es/gazeta/dias/1822/06/09/pdfs/GMD-1822-166.pdf#page=6","Abrir facsímil")</f>
        <v>Abrir facsímil</v>
      </c>
      <c r="K13523" t="s">
        <v>22</v>
      </c>
    </row>
    <row r="13524" spans="1:11" ht="42" customHeight="1">
      <c r="A13524" t="s">
        <v>26182</v>
      </c>
      <c r="B13524" t="s">
        <v>26183</v>
      </c>
      <c r="C13524" t="s">
        <v>42</v>
      </c>
      <c r="D13524" t="s">
        <v>17</v>
      </c>
      <c r="E13524" s="6">
        <v>-28251</v>
      </c>
      <c r="F13524" t="s">
        <v>1485</v>
      </c>
      <c r="G13524" t="s">
        <v>31</v>
      </c>
      <c r="H13524" t="s">
        <v>20</v>
      </c>
      <c r="I13524" t="s">
        <v>26184</v>
      </c>
      <c r="J13524" t="str">
        <f>HYPERLINK("https://www.boe.es/gazeta/dias/1822/08/25/pdfs/GMD-1822-249.pdf#page=3","Abrir facsímil")</f>
        <v>Abrir facsímil</v>
      </c>
      <c r="K13524" t="s">
        <v>22</v>
      </c>
    </row>
    <row r="13525" spans="1:11" ht="42" customHeight="1">
      <c r="A13525" t="s">
        <v>26185</v>
      </c>
      <c r="B13525" t="s">
        <v>26186</v>
      </c>
      <c r="C13525" t="s">
        <v>42</v>
      </c>
      <c r="D13525" t="s">
        <v>17</v>
      </c>
      <c r="E13525" s="6">
        <v>-28161</v>
      </c>
      <c r="F13525" t="s">
        <v>166</v>
      </c>
      <c r="G13525" t="s">
        <v>157</v>
      </c>
      <c r="H13525" t="s">
        <v>20</v>
      </c>
      <c r="I13525" t="s">
        <v>26187</v>
      </c>
      <c r="J13525" t="str">
        <f>HYPERLINK("https://www.boe.es/gazeta/dias/1822/11/23/pdfs/GMD-1822-343.pdf#page=8","Abrir facsímil")</f>
        <v>Abrir facsímil</v>
      </c>
      <c r="K13525" t="s">
        <v>22</v>
      </c>
    </row>
    <row r="13526" spans="1:11" ht="42" customHeight="1">
      <c r="A13526" t="s">
        <v>26188</v>
      </c>
      <c r="B13526" t="s">
        <v>26189</v>
      </c>
      <c r="C13526" t="s">
        <v>28</v>
      </c>
      <c r="D13526" t="s">
        <v>29</v>
      </c>
      <c r="E13526" s="6">
        <v>-28319</v>
      </c>
      <c r="F13526" t="s">
        <v>271</v>
      </c>
      <c r="G13526" t="s">
        <v>57</v>
      </c>
      <c r="H13526" t="s">
        <v>20</v>
      </c>
      <c r="I13526" t="s">
        <v>26190</v>
      </c>
      <c r="J13526" t="str">
        <f>HYPERLINK("https://www.boe.es/gazeta/dias/1822/06/18/pdfs/GMD-1822-175.pdf#page=4","Abrir facsímil")</f>
        <v>Abrir facsímil</v>
      </c>
      <c r="K13526" t="s">
        <v>22</v>
      </c>
    </row>
    <row r="13527" spans="1:11" ht="42" customHeight="1">
      <c r="A13527" t="s">
        <v>26191</v>
      </c>
      <c r="B13527" t="s">
        <v>26192</v>
      </c>
      <c r="C13527" t="s">
        <v>42</v>
      </c>
      <c r="D13527" t="s">
        <v>17</v>
      </c>
      <c r="E13527" s="6">
        <v>-28200</v>
      </c>
      <c r="F13527" t="s">
        <v>1037</v>
      </c>
      <c r="G13527" t="s">
        <v>63</v>
      </c>
      <c r="H13527" t="s">
        <v>20</v>
      </c>
      <c r="I13527" t="s">
        <v>26193</v>
      </c>
      <c r="J13527" t="str">
        <f>HYPERLINK("https://www.boe.es/gazeta/dias/1822/10/15/pdfs/GMD-1822-302.pdf#page=6","Abrir facsímil")</f>
        <v>Abrir facsímil</v>
      </c>
      <c r="K13527" t="s">
        <v>22</v>
      </c>
    </row>
    <row r="13528" spans="1:11" ht="42" customHeight="1">
      <c r="A13528" t="s">
        <v>26194</v>
      </c>
      <c r="B13528" t="s">
        <v>26195</v>
      </c>
      <c r="C13528" t="s">
        <v>28</v>
      </c>
      <c r="D13528" t="s">
        <v>29</v>
      </c>
      <c r="E13528" s="6">
        <v>-28429</v>
      </c>
      <c r="F13528" t="s">
        <v>2397</v>
      </c>
      <c r="G13528" t="s">
        <v>57</v>
      </c>
      <c r="H13528" t="s">
        <v>20</v>
      </c>
      <c r="I13528" t="s">
        <v>26196</v>
      </c>
      <c r="J13528" t="str">
        <f>HYPERLINK("https://www.boe.es/gazeta/dias/1822/02/28/pdfs/GMD-1822-60.pdf#page=4","Abrir facsímil")</f>
        <v>Abrir facsímil</v>
      </c>
      <c r="K13528" t="s">
        <v>22</v>
      </c>
    </row>
    <row r="13529" spans="1:11" ht="42" customHeight="1">
      <c r="A13529" t="s">
        <v>26197</v>
      </c>
      <c r="B13529" t="s">
        <v>26198</v>
      </c>
      <c r="C13529" t="s">
        <v>50</v>
      </c>
      <c r="D13529" t="s">
        <v>51</v>
      </c>
      <c r="E13529" s="6">
        <v>-28444</v>
      </c>
      <c r="F13529" t="s">
        <v>681</v>
      </c>
      <c r="G13529" t="s">
        <v>35</v>
      </c>
      <c r="H13529" t="s">
        <v>20</v>
      </c>
      <c r="I13529" t="s">
        <v>26199</v>
      </c>
      <c r="J13529" t="str">
        <f>HYPERLINK("https://www.boe.es/gazeta/dias/1822/02/13/pdfs/GMD-1822-44.pdf#page=2","Abrir facsímil")</f>
        <v>Abrir facsímil</v>
      </c>
      <c r="K13529" t="s">
        <v>22</v>
      </c>
    </row>
    <row r="13530" spans="1:11" ht="42" customHeight="1">
      <c r="A13530" t="s">
        <v>26200</v>
      </c>
      <c r="B13530" t="s">
        <v>26201</v>
      </c>
      <c r="C13530" t="s">
        <v>50</v>
      </c>
      <c r="D13530" t="s">
        <v>51</v>
      </c>
      <c r="E13530" s="6">
        <v>-28438</v>
      </c>
      <c r="F13530" t="s">
        <v>963</v>
      </c>
      <c r="G13530" t="s">
        <v>35</v>
      </c>
      <c r="H13530" t="s">
        <v>20</v>
      </c>
      <c r="I13530" t="s">
        <v>26202</v>
      </c>
      <c r="J13530" t="str">
        <f>HYPERLINK("https://www.boe.es/gazeta/dias/1822/02/19/pdfs/GMD-1822-51.pdf#page=2","Abrir facsímil")</f>
        <v>Abrir facsímil</v>
      </c>
      <c r="K13530" t="s">
        <v>22</v>
      </c>
    </row>
    <row r="13531" spans="1:11" ht="42" customHeight="1">
      <c r="A13531" t="s">
        <v>26203</v>
      </c>
      <c r="B13531" t="s">
        <v>26204</v>
      </c>
      <c r="C13531" t="s">
        <v>61</v>
      </c>
      <c r="D13531" t="s">
        <v>17</v>
      </c>
      <c r="E13531" s="6">
        <v>-28132</v>
      </c>
      <c r="F13531" t="s">
        <v>820</v>
      </c>
      <c r="G13531" t="s">
        <v>821</v>
      </c>
      <c r="H13531" t="s">
        <v>20</v>
      </c>
      <c r="I13531" t="s">
        <v>26205</v>
      </c>
      <c r="J13531" t="str">
        <f>HYPERLINK("https://www.boe.es/gazeta/dias/1822/12/22/pdfs/GMD-1822-372.pdf#page=4","Abrir facsímil")</f>
        <v>Abrir facsímil</v>
      </c>
      <c r="K13531" t="s">
        <v>22</v>
      </c>
    </row>
    <row r="13532" spans="1:11" ht="42" customHeight="1">
      <c r="A13532" t="s">
        <v>26206</v>
      </c>
      <c r="B13532" t="s">
        <v>26206</v>
      </c>
      <c r="C13532" t="s">
        <v>28</v>
      </c>
      <c r="D13532" t="s">
        <v>29</v>
      </c>
      <c r="E13532" s="6">
        <v>-28432</v>
      </c>
      <c r="F13532" t="s">
        <v>195</v>
      </c>
      <c r="G13532" t="s">
        <v>31</v>
      </c>
      <c r="H13532" t="s">
        <v>20</v>
      </c>
      <c r="I13532" t="s">
        <v>26207</v>
      </c>
      <c r="J13532" t="str">
        <f>HYPERLINK("https://www.boe.es/gazeta/dias/1822/02/25/pdfs/GMD-1822-57.pdf#page=3","Abrir facsímil")</f>
        <v>Abrir facsímil</v>
      </c>
      <c r="K13532" t="s">
        <v>22</v>
      </c>
    </row>
    <row r="13533" spans="1:11" ht="42" customHeight="1">
      <c r="A13533" t="s">
        <v>26206</v>
      </c>
      <c r="B13533" t="s">
        <v>26206</v>
      </c>
      <c r="C13533" t="s">
        <v>61</v>
      </c>
      <c r="D13533" t="s">
        <v>17</v>
      </c>
      <c r="E13533" s="6">
        <v>-28406</v>
      </c>
      <c r="F13533" t="s">
        <v>462</v>
      </c>
      <c r="G13533" t="s">
        <v>57</v>
      </c>
      <c r="H13533" t="s">
        <v>20</v>
      </c>
      <c r="I13533" t="s">
        <v>26208</v>
      </c>
      <c r="J13533" t="str">
        <f>HYPERLINK("https://www.boe.es/gazeta/dias/1822/03/23/pdfs/GMD-1822-84.pdf#page=4","Abrir facsímil")</f>
        <v>Abrir facsímil</v>
      </c>
      <c r="K13533" t="s">
        <v>22</v>
      </c>
    </row>
    <row r="13534" spans="1:11" ht="42" customHeight="1">
      <c r="A13534" t="s">
        <v>26206</v>
      </c>
      <c r="B13534" t="s">
        <v>26206</v>
      </c>
      <c r="C13534" t="s">
        <v>71</v>
      </c>
      <c r="D13534" t="s">
        <v>17</v>
      </c>
      <c r="E13534" s="6">
        <v>-28387</v>
      </c>
      <c r="F13534" t="s">
        <v>2874</v>
      </c>
      <c r="G13534" t="s">
        <v>19</v>
      </c>
      <c r="H13534" t="s">
        <v>20</v>
      </c>
      <c r="I13534" t="s">
        <v>26209</v>
      </c>
      <c r="J13534" t="str">
        <f>HYPERLINK("https://www.boe.es/gazeta/dias/1822/04/11/pdfs/GMD-1822-103.pdf#page=5","Abrir facsímil")</f>
        <v>Abrir facsímil</v>
      </c>
      <c r="K13534" t="s">
        <v>22</v>
      </c>
    </row>
    <row r="13535" spans="1:11" ht="42" customHeight="1">
      <c r="A13535" t="s">
        <v>26206</v>
      </c>
      <c r="B13535" t="s">
        <v>26206</v>
      </c>
      <c r="C13535" t="s">
        <v>61</v>
      </c>
      <c r="D13535" t="s">
        <v>17</v>
      </c>
      <c r="E13535" s="6">
        <v>-28387</v>
      </c>
      <c r="F13535" t="s">
        <v>2874</v>
      </c>
      <c r="G13535" t="s">
        <v>63</v>
      </c>
      <c r="H13535" t="s">
        <v>20</v>
      </c>
      <c r="I13535" t="s">
        <v>26210</v>
      </c>
      <c r="J13535" t="str">
        <f>HYPERLINK("https://www.boe.es/gazeta/dias/1822/04/11/pdfs/GMD-1822-103.pdf#page=6","Abrir facsímil")</f>
        <v>Abrir facsímil</v>
      </c>
      <c r="K13535" t="s">
        <v>22</v>
      </c>
    </row>
    <row r="13536" spans="1:11" ht="42" customHeight="1">
      <c r="A13536" t="s">
        <v>26206</v>
      </c>
      <c r="B13536" t="s">
        <v>26206</v>
      </c>
      <c r="C13536" t="s">
        <v>50</v>
      </c>
      <c r="D13536" t="s">
        <v>51</v>
      </c>
      <c r="E13536" s="6">
        <v>-28380</v>
      </c>
      <c r="F13536" t="s">
        <v>492</v>
      </c>
      <c r="G13536" t="s">
        <v>35</v>
      </c>
      <c r="H13536" t="s">
        <v>20</v>
      </c>
      <c r="I13536" t="s">
        <v>26211</v>
      </c>
      <c r="J13536" t="str">
        <f>HYPERLINK("https://www.boe.es/gazeta/dias/1822/04/18/pdfs/GMD-1822-110.pdf#page=2","Abrir facsímil")</f>
        <v>Abrir facsímil</v>
      </c>
      <c r="K13536" t="s">
        <v>22</v>
      </c>
    </row>
    <row r="13537" spans="1:11" ht="42" customHeight="1">
      <c r="A13537" t="s">
        <v>26206</v>
      </c>
      <c r="B13537" t="s">
        <v>26206</v>
      </c>
      <c r="C13537" t="s">
        <v>16</v>
      </c>
      <c r="D13537" t="s">
        <v>17</v>
      </c>
      <c r="E13537" s="6">
        <v>-28377</v>
      </c>
      <c r="F13537" t="s">
        <v>498</v>
      </c>
      <c r="G13537" t="s">
        <v>44</v>
      </c>
      <c r="H13537" t="s">
        <v>20</v>
      </c>
      <c r="I13537" t="s">
        <v>26212</v>
      </c>
      <c r="J13537" t="str">
        <f>HYPERLINK("https://www.boe.es/gazeta/dias/1822/04/21/pdfs/GMD-1822-113.pdf#page=1","Abrir facsímil")</f>
        <v>Abrir facsímil</v>
      </c>
      <c r="K13537" t="s">
        <v>22</v>
      </c>
    </row>
    <row r="13538" spans="1:11" ht="42" customHeight="1">
      <c r="A13538" t="s">
        <v>26206</v>
      </c>
      <c r="B13538" t="s">
        <v>26206</v>
      </c>
      <c r="C13538" t="s">
        <v>42</v>
      </c>
      <c r="D13538" t="s">
        <v>17</v>
      </c>
      <c r="E13538" s="6">
        <v>-28374</v>
      </c>
      <c r="F13538" t="s">
        <v>171</v>
      </c>
      <c r="G13538" t="s">
        <v>35</v>
      </c>
      <c r="H13538" t="s">
        <v>20</v>
      </c>
      <c r="I13538" t="s">
        <v>26213</v>
      </c>
      <c r="J13538" t="str">
        <f>HYPERLINK("https://www.boe.es/gazeta/dias/1822/04/24/pdfs/GMD-1822-116.pdf#page=2","Abrir facsímil")</f>
        <v>Abrir facsímil</v>
      </c>
      <c r="K13538" t="s">
        <v>22</v>
      </c>
    </row>
    <row r="13539" spans="1:11" ht="42" customHeight="1">
      <c r="A13539" t="s">
        <v>26206</v>
      </c>
      <c r="B13539" t="s">
        <v>26206</v>
      </c>
      <c r="C13539" t="s">
        <v>362</v>
      </c>
      <c r="D13539" t="s">
        <v>17</v>
      </c>
      <c r="E13539" s="6">
        <v>-28373</v>
      </c>
      <c r="F13539" t="s">
        <v>614</v>
      </c>
      <c r="G13539" t="s">
        <v>35</v>
      </c>
      <c r="H13539" t="s">
        <v>20</v>
      </c>
      <c r="I13539" t="s">
        <v>26214</v>
      </c>
      <c r="J13539" t="str">
        <f>HYPERLINK("https://www.boe.es/gazeta/dias/1822/04/25/pdfs/GMD-1822-117.pdf#page=2","Abrir facsímil")</f>
        <v>Abrir facsímil</v>
      </c>
      <c r="K13539" t="s">
        <v>22</v>
      </c>
    </row>
    <row r="13540" spans="1:11" ht="42" customHeight="1">
      <c r="A13540" t="s">
        <v>26206</v>
      </c>
      <c r="B13540" t="s">
        <v>26206</v>
      </c>
      <c r="C13540" t="s">
        <v>50</v>
      </c>
      <c r="D13540" t="s">
        <v>51</v>
      </c>
      <c r="E13540" s="6">
        <v>-28362</v>
      </c>
      <c r="F13540" t="s">
        <v>511</v>
      </c>
      <c r="G13540" t="s">
        <v>57</v>
      </c>
      <c r="H13540" t="s">
        <v>20</v>
      </c>
      <c r="I13540" t="s">
        <v>26215</v>
      </c>
      <c r="J13540" t="str">
        <f>HYPERLINK("https://www.boe.es/gazeta/dias/1822/05/06/pdfs/GMD-1822-128.pdf#page=4","Abrir facsímil")</f>
        <v>Abrir facsímil</v>
      </c>
      <c r="K13540" t="s">
        <v>22</v>
      </c>
    </row>
    <row r="13541" spans="1:11" ht="42" customHeight="1">
      <c r="A13541" t="s">
        <v>26206</v>
      </c>
      <c r="B13541" t="s">
        <v>26206</v>
      </c>
      <c r="C13541" t="s">
        <v>28</v>
      </c>
      <c r="D13541" t="s">
        <v>29</v>
      </c>
      <c r="E13541" s="6">
        <v>-28359</v>
      </c>
      <c r="F13541" t="s">
        <v>209</v>
      </c>
      <c r="G13541" t="s">
        <v>31</v>
      </c>
      <c r="H13541" t="s">
        <v>20</v>
      </c>
      <c r="I13541" t="s">
        <v>26216</v>
      </c>
      <c r="J13541" t="str">
        <f>HYPERLINK("https://www.boe.es/gazeta/dias/1822/05/09/pdfs/GMD-1822-131.pdf#page=3","Abrir facsímil")</f>
        <v>Abrir facsímil</v>
      </c>
      <c r="K13541" t="s">
        <v>22</v>
      </c>
    </row>
    <row r="13542" spans="1:11" ht="42" customHeight="1">
      <c r="A13542" t="s">
        <v>26206</v>
      </c>
      <c r="B13542" t="s">
        <v>26206</v>
      </c>
      <c r="C13542" t="s">
        <v>50</v>
      </c>
      <c r="D13542" t="s">
        <v>51</v>
      </c>
      <c r="E13542" s="6">
        <v>-28357</v>
      </c>
      <c r="F13542" t="s">
        <v>690</v>
      </c>
      <c r="G13542" t="s">
        <v>35</v>
      </c>
      <c r="H13542" t="s">
        <v>20</v>
      </c>
      <c r="I13542" t="s">
        <v>26217</v>
      </c>
      <c r="J13542" t="str">
        <f>HYPERLINK("https://www.boe.es/gazeta/dias/1822/05/11/pdfs/GMD-1822-133.pdf#page=2","Abrir facsímil")</f>
        <v>Abrir facsímil</v>
      </c>
      <c r="K13542" t="s">
        <v>22</v>
      </c>
    </row>
    <row r="13543" spans="1:11" ht="42" customHeight="1">
      <c r="A13543" t="s">
        <v>26206</v>
      </c>
      <c r="B13543" t="s">
        <v>26206</v>
      </c>
      <c r="C13543" t="s">
        <v>28</v>
      </c>
      <c r="D13543" t="s">
        <v>29</v>
      </c>
      <c r="E13543" s="6">
        <v>-28351</v>
      </c>
      <c r="F13543" t="s">
        <v>282</v>
      </c>
      <c r="G13543" t="s">
        <v>35</v>
      </c>
      <c r="H13543" t="s">
        <v>20</v>
      </c>
      <c r="I13543" t="s">
        <v>26218</v>
      </c>
      <c r="J13543" t="str">
        <f>HYPERLINK("https://www.boe.es/gazeta/dias/1822/05/17/pdfs/GMD-1822-139.pdf#page=2","Abrir facsímil")</f>
        <v>Abrir facsímil</v>
      </c>
      <c r="K13543" t="s">
        <v>22</v>
      </c>
    </row>
    <row r="13544" spans="1:11" ht="42" customHeight="1">
      <c r="A13544" t="s">
        <v>26206</v>
      </c>
      <c r="B13544" t="s">
        <v>26206</v>
      </c>
      <c r="C13544" t="s">
        <v>71</v>
      </c>
      <c r="D13544" t="s">
        <v>17</v>
      </c>
      <c r="E13544" s="6">
        <v>-28344</v>
      </c>
      <c r="F13544" t="s">
        <v>524</v>
      </c>
      <c r="G13544" t="s">
        <v>1040</v>
      </c>
      <c r="H13544" t="s">
        <v>20</v>
      </c>
      <c r="I13544" t="s">
        <v>26219</v>
      </c>
      <c r="J13544" t="str">
        <f>HYPERLINK("https://www.boe.es/gazeta/dias/1822/05/24/pdfs/GMD-1822-148.pdf#page=2","Abrir facsímil")</f>
        <v>Abrir facsímil</v>
      </c>
      <c r="K13544" t="s">
        <v>22</v>
      </c>
    </row>
    <row r="13545" spans="1:11" ht="42" customHeight="1">
      <c r="A13545" t="s">
        <v>26206</v>
      </c>
      <c r="B13545" t="s">
        <v>26206</v>
      </c>
      <c r="C13545" t="s">
        <v>71</v>
      </c>
      <c r="D13545" t="s">
        <v>17</v>
      </c>
      <c r="E13545" s="6">
        <v>-28310</v>
      </c>
      <c r="F13545" t="s">
        <v>241</v>
      </c>
      <c r="G13545" t="s">
        <v>35</v>
      </c>
      <c r="H13545" t="s">
        <v>20</v>
      </c>
      <c r="I13545" t="s">
        <v>26220</v>
      </c>
      <c r="J13545" t="str">
        <f>HYPERLINK("https://www.boe.es/gazeta/dias/1822/06/27/pdfs/GMD-1822-185.pdf#page=2","Abrir facsímil")</f>
        <v>Abrir facsímil</v>
      </c>
      <c r="K13545" t="s">
        <v>22</v>
      </c>
    </row>
    <row r="13546" spans="1:11" ht="42" customHeight="1">
      <c r="A13546" t="s">
        <v>26206</v>
      </c>
      <c r="B13546" t="s">
        <v>26206</v>
      </c>
      <c r="C13546" t="s">
        <v>50</v>
      </c>
      <c r="D13546" t="s">
        <v>51</v>
      </c>
      <c r="E13546" s="6">
        <v>-28211</v>
      </c>
      <c r="F13546" t="s">
        <v>273</v>
      </c>
      <c r="G13546" t="s">
        <v>57</v>
      </c>
      <c r="H13546" t="s">
        <v>20</v>
      </c>
      <c r="I13546" t="s">
        <v>26221</v>
      </c>
      <c r="J13546" t="str">
        <f>HYPERLINK("https://www.boe.es/gazeta/dias/1822/10/04/pdfs/GMD-1822-290.pdf#page=4","Abrir facsímil")</f>
        <v>Abrir facsímil</v>
      </c>
      <c r="K13546" t="s">
        <v>22</v>
      </c>
    </row>
    <row r="13547" spans="1:11" ht="42" customHeight="1">
      <c r="A13547" t="s">
        <v>26206</v>
      </c>
      <c r="B13547" t="s">
        <v>26206</v>
      </c>
      <c r="C13547" t="s">
        <v>42</v>
      </c>
      <c r="D13547" t="s">
        <v>17</v>
      </c>
      <c r="E13547" s="6">
        <v>-28200</v>
      </c>
      <c r="F13547" t="s">
        <v>1037</v>
      </c>
      <c r="G13547" t="s">
        <v>35</v>
      </c>
      <c r="H13547" t="s">
        <v>20</v>
      </c>
      <c r="I13547" t="s">
        <v>26222</v>
      </c>
      <c r="J13547" t="str">
        <f>HYPERLINK("https://www.boe.es/gazeta/dias/1822/10/15/pdfs/GMD-1822-302.pdf#page=2","Abrir facsímil")</f>
        <v>Abrir facsímil</v>
      </c>
      <c r="K13547" t="s">
        <v>22</v>
      </c>
    </row>
    <row r="13548" spans="1:11" ht="42" customHeight="1">
      <c r="A13548" t="s">
        <v>26206</v>
      </c>
      <c r="B13548" t="s">
        <v>26206</v>
      </c>
      <c r="C13548" t="s">
        <v>50</v>
      </c>
      <c r="D13548" t="s">
        <v>51</v>
      </c>
      <c r="E13548" s="6">
        <v>-28200</v>
      </c>
      <c r="F13548" t="s">
        <v>1037</v>
      </c>
      <c r="G13548" t="s">
        <v>57</v>
      </c>
      <c r="H13548" t="s">
        <v>20</v>
      </c>
      <c r="I13548" t="s">
        <v>26223</v>
      </c>
      <c r="J13548" t="str">
        <f>HYPERLINK("https://www.boe.es/gazeta/dias/1822/10/15/pdfs/GMD-1822-302.pdf#page=4","Abrir facsímil")</f>
        <v>Abrir facsímil</v>
      </c>
      <c r="K13548" t="s">
        <v>22</v>
      </c>
    </row>
    <row r="13549" spans="1:11" ht="42" customHeight="1">
      <c r="A13549" t="s">
        <v>26206</v>
      </c>
      <c r="B13549" t="s">
        <v>26206</v>
      </c>
      <c r="C13549" t="s">
        <v>28</v>
      </c>
      <c r="D13549" t="s">
        <v>29</v>
      </c>
      <c r="E13549" s="6">
        <v>-28199</v>
      </c>
      <c r="F13549" t="s">
        <v>656</v>
      </c>
      <c r="G13549" t="s">
        <v>35</v>
      </c>
      <c r="H13549" t="s">
        <v>20</v>
      </c>
      <c r="I13549" t="s">
        <v>26224</v>
      </c>
      <c r="J13549" t="str">
        <f>HYPERLINK("https://www.boe.es/gazeta/dias/1822/10/16/pdfs/GMD-1822-303.pdf#page=2","Abrir facsímil")</f>
        <v>Abrir facsímil</v>
      </c>
      <c r="K13549" t="s">
        <v>22</v>
      </c>
    </row>
    <row r="13550" spans="1:11" ht="42" customHeight="1">
      <c r="A13550" t="s">
        <v>26206</v>
      </c>
      <c r="B13550" t="s">
        <v>26206</v>
      </c>
      <c r="C13550" t="s">
        <v>71</v>
      </c>
      <c r="D13550" t="s">
        <v>17</v>
      </c>
      <c r="E13550" s="6">
        <v>-28193</v>
      </c>
      <c r="F13550" t="s">
        <v>574</v>
      </c>
      <c r="G13550" t="s">
        <v>19</v>
      </c>
      <c r="H13550" t="s">
        <v>20</v>
      </c>
      <c r="I13550" t="s">
        <v>26225</v>
      </c>
      <c r="J13550" t="str">
        <f>HYPERLINK("https://www.boe.es/gazeta/dias/1822/10/22/pdfs/GMD-1822-309.pdf#page=5","Abrir facsímil")</f>
        <v>Abrir facsímil</v>
      </c>
      <c r="K13550" t="s">
        <v>22</v>
      </c>
    </row>
    <row r="13551" spans="1:11" ht="42" customHeight="1">
      <c r="A13551" t="s">
        <v>26206</v>
      </c>
      <c r="B13551" t="s">
        <v>26206</v>
      </c>
      <c r="C13551" t="s">
        <v>42</v>
      </c>
      <c r="D13551" t="s">
        <v>17</v>
      </c>
      <c r="E13551" s="6">
        <v>-28191</v>
      </c>
      <c r="F13551" t="s">
        <v>710</v>
      </c>
      <c r="G13551" t="s">
        <v>44</v>
      </c>
      <c r="H13551" t="s">
        <v>20</v>
      </c>
      <c r="I13551" t="s">
        <v>26226</v>
      </c>
      <c r="J13551" t="str">
        <f>HYPERLINK("https://www.boe.es/gazeta/dias/1822/10/24/pdfs/GMD-1822-311.pdf#page=1","Abrir facsímil")</f>
        <v>Abrir facsímil</v>
      </c>
      <c r="K13551" t="s">
        <v>22</v>
      </c>
    </row>
    <row r="13552" spans="1:11" ht="42" customHeight="1">
      <c r="A13552" t="s">
        <v>26206</v>
      </c>
      <c r="B13552" t="s">
        <v>26206</v>
      </c>
      <c r="C13552" t="s">
        <v>16</v>
      </c>
      <c r="D13552" t="s">
        <v>17</v>
      </c>
      <c r="E13552" s="6">
        <v>-28188</v>
      </c>
      <c r="F13552" t="s">
        <v>578</v>
      </c>
      <c r="G13552" t="s">
        <v>19</v>
      </c>
      <c r="H13552" t="s">
        <v>20</v>
      </c>
      <c r="I13552" t="s">
        <v>26227</v>
      </c>
      <c r="J13552" t="str">
        <f>HYPERLINK("https://www.boe.es/gazeta/dias/1822/10/27/pdfs/GMD-1822-314.pdf#page=5","Abrir facsímil")</f>
        <v>Abrir facsímil</v>
      </c>
      <c r="K13552" t="s">
        <v>22</v>
      </c>
    </row>
    <row r="13553" spans="1:11" ht="42" customHeight="1">
      <c r="A13553" t="s">
        <v>26206</v>
      </c>
      <c r="B13553" t="s">
        <v>26206</v>
      </c>
      <c r="C13553" t="s">
        <v>42</v>
      </c>
      <c r="D13553" t="s">
        <v>17</v>
      </c>
      <c r="E13553" s="6">
        <v>-28186</v>
      </c>
      <c r="F13553" t="s">
        <v>581</v>
      </c>
      <c r="G13553" t="s">
        <v>31</v>
      </c>
      <c r="H13553" t="s">
        <v>20</v>
      </c>
      <c r="I13553" t="s">
        <v>26228</v>
      </c>
      <c r="J13553" t="str">
        <f>HYPERLINK("https://www.boe.es/gazeta/dias/1822/10/29/pdfs/GMD-1822-316.pdf#page=3","Abrir facsímil")</f>
        <v>Abrir facsímil</v>
      </c>
      <c r="K13553" t="s">
        <v>22</v>
      </c>
    </row>
    <row r="13554" spans="1:11" ht="42" customHeight="1">
      <c r="A13554" t="s">
        <v>26206</v>
      </c>
      <c r="B13554" t="s">
        <v>26206</v>
      </c>
      <c r="C13554" t="s">
        <v>42</v>
      </c>
      <c r="D13554" t="s">
        <v>17</v>
      </c>
      <c r="E13554" s="6">
        <v>-28185</v>
      </c>
      <c r="F13554" t="s">
        <v>933</v>
      </c>
      <c r="G13554" t="s">
        <v>35</v>
      </c>
      <c r="H13554" t="s">
        <v>20</v>
      </c>
      <c r="I13554" t="s">
        <v>26229</v>
      </c>
      <c r="J13554" t="str">
        <f>HYPERLINK("https://www.boe.es/gazeta/dias/1822/10/30/pdfs/GMD-1822-317.pdf#page=2","Abrir facsímil")</f>
        <v>Abrir facsímil</v>
      </c>
      <c r="K13554" t="s">
        <v>22</v>
      </c>
    </row>
    <row r="13555" spans="1:11" ht="42" customHeight="1">
      <c r="A13555" t="s">
        <v>26206</v>
      </c>
      <c r="B13555" t="s">
        <v>26206</v>
      </c>
      <c r="C13555" t="s">
        <v>50</v>
      </c>
      <c r="D13555" t="s">
        <v>51</v>
      </c>
      <c r="E13555" s="6">
        <v>-28185</v>
      </c>
      <c r="F13555" t="s">
        <v>933</v>
      </c>
      <c r="G13555" t="s">
        <v>31</v>
      </c>
      <c r="H13555" t="s">
        <v>20</v>
      </c>
      <c r="I13555" t="s">
        <v>26230</v>
      </c>
      <c r="J13555" t="str">
        <f>HYPERLINK("https://www.boe.es/gazeta/dias/1822/10/30/pdfs/GMD-1822-317.pdf#page=3","Abrir facsímil")</f>
        <v>Abrir facsímil</v>
      </c>
      <c r="K13555" t="s">
        <v>22</v>
      </c>
    </row>
    <row r="13556" spans="1:11" ht="42" customHeight="1">
      <c r="A13556" t="s">
        <v>26206</v>
      </c>
      <c r="B13556" t="s">
        <v>26206</v>
      </c>
      <c r="C13556" t="s">
        <v>50</v>
      </c>
      <c r="D13556" t="s">
        <v>51</v>
      </c>
      <c r="E13556" s="6">
        <v>-28172</v>
      </c>
      <c r="F13556" t="s">
        <v>674</v>
      </c>
      <c r="G13556" t="s">
        <v>35</v>
      </c>
      <c r="H13556" t="s">
        <v>20</v>
      </c>
      <c r="I13556" t="s">
        <v>26231</v>
      </c>
      <c r="J13556" t="str">
        <f>HYPERLINK("https://www.boe.es/gazeta/dias/1822/11/12/pdfs/GMD-1822-332.pdf#page=2","Abrir facsímil")</f>
        <v>Abrir facsímil</v>
      </c>
      <c r="K13556" t="s">
        <v>22</v>
      </c>
    </row>
    <row r="13557" spans="1:11" ht="42" customHeight="1">
      <c r="A13557" t="s">
        <v>26206</v>
      </c>
      <c r="B13557" t="s">
        <v>26206</v>
      </c>
      <c r="C13557" t="s">
        <v>362</v>
      </c>
      <c r="D13557" t="s">
        <v>17</v>
      </c>
      <c r="E13557" s="6">
        <v>-28152</v>
      </c>
      <c r="F13557" t="s">
        <v>122</v>
      </c>
      <c r="G13557" t="s">
        <v>35</v>
      </c>
      <c r="H13557" t="s">
        <v>20</v>
      </c>
      <c r="I13557" t="s">
        <v>26232</v>
      </c>
      <c r="J13557" t="str">
        <f>HYPERLINK("https://www.boe.es/gazeta/dias/1822/12/02/pdfs/GMD-1822-352.pdf#page=2","Abrir facsímil")</f>
        <v>Abrir facsímil</v>
      </c>
      <c r="K13557" t="s">
        <v>22</v>
      </c>
    </row>
    <row r="13558" spans="1:11" ht="42" customHeight="1">
      <c r="A13558" t="s">
        <v>26233</v>
      </c>
      <c r="B13558" t="s">
        <v>26234</v>
      </c>
      <c r="C13558" t="s">
        <v>42</v>
      </c>
      <c r="D13558" t="s">
        <v>17</v>
      </c>
      <c r="E13558" s="6">
        <v>-28436</v>
      </c>
      <c r="F13558" t="s">
        <v>431</v>
      </c>
      <c r="G13558" t="s">
        <v>1428</v>
      </c>
      <c r="H13558" t="s">
        <v>20</v>
      </c>
      <c r="I13558" t="s">
        <v>26235</v>
      </c>
      <c r="J13558" t="str">
        <f>HYPERLINK("https://www.boe.es/gazeta/dias/1822/02/21/pdfs/GMD-1822-53.pdf#page=3","Abrir facsímil")</f>
        <v>Abrir facsímil</v>
      </c>
      <c r="K13558" t="s">
        <v>22</v>
      </c>
    </row>
    <row r="13559" spans="1:11" ht="42" customHeight="1">
      <c r="A13559" t="s">
        <v>26236</v>
      </c>
      <c r="B13559" t="s">
        <v>26236</v>
      </c>
      <c r="C13559" t="s">
        <v>50</v>
      </c>
      <c r="D13559" t="s">
        <v>51</v>
      </c>
      <c r="E13559" s="6">
        <v>-28185</v>
      </c>
      <c r="F13559" t="s">
        <v>933</v>
      </c>
      <c r="G13559" t="s">
        <v>35</v>
      </c>
      <c r="H13559" t="s">
        <v>20</v>
      </c>
      <c r="I13559" t="s">
        <v>26237</v>
      </c>
      <c r="J13559" t="str">
        <f>HYPERLINK("https://www.boe.es/gazeta/dias/1822/10/30/pdfs/GMD-1822-317.pdf#page=2","Abrir facsímil")</f>
        <v>Abrir facsímil</v>
      </c>
      <c r="K13559" t="s">
        <v>22</v>
      </c>
    </row>
    <row r="13560" spans="1:11" ht="42" customHeight="1">
      <c r="A13560" t="s">
        <v>26238</v>
      </c>
      <c r="B13560" t="s">
        <v>26238</v>
      </c>
      <c r="C13560" t="s">
        <v>50</v>
      </c>
      <c r="D13560" t="s">
        <v>51</v>
      </c>
      <c r="E13560" s="6">
        <v>-28267</v>
      </c>
      <c r="F13560" t="s">
        <v>1270</v>
      </c>
      <c r="G13560" t="s">
        <v>31</v>
      </c>
      <c r="H13560" t="s">
        <v>20</v>
      </c>
      <c r="I13560" t="s">
        <v>26239</v>
      </c>
      <c r="J13560" t="str">
        <f>HYPERLINK("https://www.boe.es/gazeta/dias/1822/08/09/pdfs/GMD-1822-233.pdf#page=3","Abrir facsímil")</f>
        <v>Abrir facsímil</v>
      </c>
      <c r="K13560" t="s">
        <v>22</v>
      </c>
    </row>
    <row r="13561" spans="1:11" ht="42" customHeight="1">
      <c r="A13561" t="s">
        <v>26238</v>
      </c>
      <c r="B13561" t="s">
        <v>26238</v>
      </c>
      <c r="C13561" t="s">
        <v>50</v>
      </c>
      <c r="D13561" t="s">
        <v>51</v>
      </c>
      <c r="E13561" s="6">
        <v>-28208</v>
      </c>
      <c r="F13561" t="s">
        <v>230</v>
      </c>
      <c r="G13561" t="s">
        <v>35</v>
      </c>
      <c r="H13561" t="s">
        <v>20</v>
      </c>
      <c r="I13561" t="s">
        <v>26240</v>
      </c>
      <c r="J13561" t="str">
        <f>HYPERLINK("https://www.boe.es/gazeta/dias/1822/10/07/pdfs/GMD-1822-293.pdf#page=2","Abrir facsímil")</f>
        <v>Abrir facsímil</v>
      </c>
      <c r="K13561" t="s">
        <v>22</v>
      </c>
    </row>
    <row r="13562" spans="1:11" ht="42" customHeight="1">
      <c r="A13562" t="s">
        <v>26241</v>
      </c>
      <c r="B13562" t="s">
        <v>26241</v>
      </c>
      <c r="C13562" t="s">
        <v>50</v>
      </c>
      <c r="D13562" t="s">
        <v>51</v>
      </c>
      <c r="E13562" s="6">
        <v>-28333</v>
      </c>
      <c r="F13562" t="s">
        <v>1928</v>
      </c>
      <c r="G13562" t="s">
        <v>63</v>
      </c>
      <c r="H13562" t="s">
        <v>20</v>
      </c>
      <c r="I13562" t="s">
        <v>26242</v>
      </c>
      <c r="J13562" t="str">
        <f>HYPERLINK("https://www.boe.es/gazeta/dias/1822/06/04/pdfs/GMD-1822-161.pdf#page=6","Abrir facsímil")</f>
        <v>Abrir facsímil</v>
      </c>
      <c r="K13562" t="s">
        <v>22</v>
      </c>
    </row>
    <row r="13563" spans="1:11" ht="42" customHeight="1">
      <c r="A13563" t="s">
        <v>26241</v>
      </c>
      <c r="B13563" t="s">
        <v>26241</v>
      </c>
      <c r="C13563" t="s">
        <v>50</v>
      </c>
      <c r="D13563" t="s">
        <v>51</v>
      </c>
      <c r="E13563" s="6">
        <v>-28312</v>
      </c>
      <c r="F13563" t="s">
        <v>92</v>
      </c>
      <c r="G13563" t="s">
        <v>93</v>
      </c>
      <c r="H13563" t="s">
        <v>20</v>
      </c>
      <c r="I13563" t="s">
        <v>26243</v>
      </c>
      <c r="J13563" t="str">
        <f>HYPERLINK("https://www.boe.es/gazeta/dias/1822/06/25/pdfs/GMD-1822-183.pdf#page=4","Abrir facsímil")</f>
        <v>Abrir facsímil</v>
      </c>
      <c r="K13563" t="s">
        <v>22</v>
      </c>
    </row>
    <row r="13564" spans="1:11" ht="42" customHeight="1">
      <c r="A13564" t="s">
        <v>26244</v>
      </c>
      <c r="B13564" t="s">
        <v>26244</v>
      </c>
      <c r="C13564" t="s">
        <v>50</v>
      </c>
      <c r="D13564" t="s">
        <v>51</v>
      </c>
      <c r="E13564" s="6">
        <v>-28447</v>
      </c>
      <c r="F13564" t="s">
        <v>997</v>
      </c>
      <c r="G13564" t="s">
        <v>44</v>
      </c>
      <c r="H13564" t="s">
        <v>20</v>
      </c>
      <c r="I13564" t="s">
        <v>26245</v>
      </c>
      <c r="J13564" t="str">
        <f>HYPERLINK("https://www.boe.es/gazeta/dias/1822/02/10/pdfs/GMD-1822-41.pdf#page=1","Abrir facsímil")</f>
        <v>Abrir facsímil</v>
      </c>
      <c r="K13564" t="s">
        <v>22</v>
      </c>
    </row>
    <row r="13565" spans="1:11" ht="42" customHeight="1">
      <c r="A13565" t="s">
        <v>26246</v>
      </c>
      <c r="B13565" t="s">
        <v>26247</v>
      </c>
      <c r="C13565" t="s">
        <v>50</v>
      </c>
      <c r="D13565" t="s">
        <v>51</v>
      </c>
      <c r="E13565" s="6">
        <v>-28449</v>
      </c>
      <c r="F13565" t="s">
        <v>1342</v>
      </c>
      <c r="G13565" t="s">
        <v>44</v>
      </c>
      <c r="H13565" t="s">
        <v>20</v>
      </c>
      <c r="I13565" t="s">
        <v>26248</v>
      </c>
      <c r="J13565" t="str">
        <f>HYPERLINK("https://www.boe.es/gazeta/dias/1822/02/08/pdfs/GMD-1822-39.pdf#page=1","Abrir facsímil")</f>
        <v>Abrir facsímil</v>
      </c>
      <c r="K13565" t="s">
        <v>22</v>
      </c>
    </row>
    <row r="13566" spans="1:11" ht="42" customHeight="1">
      <c r="A13566" t="s">
        <v>26249</v>
      </c>
      <c r="B13566" t="s">
        <v>26249</v>
      </c>
      <c r="C13566" t="s">
        <v>61</v>
      </c>
      <c r="D13566" t="s">
        <v>17</v>
      </c>
      <c r="E13566" s="6">
        <v>-28176</v>
      </c>
      <c r="F13566" t="s">
        <v>780</v>
      </c>
      <c r="G13566" t="s">
        <v>19</v>
      </c>
      <c r="H13566" t="s">
        <v>20</v>
      </c>
      <c r="I13566" t="s">
        <v>26250</v>
      </c>
      <c r="J13566" t="str">
        <f>HYPERLINK("https://www.boe.es/gazeta/dias/1822/11/08/pdfs/GMD-1822-328.pdf#page=5","Abrir facsímil")</f>
        <v>Abrir facsímil</v>
      </c>
      <c r="K13566" t="s">
        <v>22</v>
      </c>
    </row>
    <row r="13567" spans="1:11" ht="42" customHeight="1">
      <c r="A13567" t="s">
        <v>26249</v>
      </c>
      <c r="B13567" t="s">
        <v>26249</v>
      </c>
      <c r="C13567" t="s">
        <v>28</v>
      </c>
      <c r="D13567" t="s">
        <v>29</v>
      </c>
      <c r="E13567" s="6">
        <v>-28153</v>
      </c>
      <c r="F13567" t="s">
        <v>946</v>
      </c>
      <c r="G13567" t="s">
        <v>19</v>
      </c>
      <c r="H13567" t="s">
        <v>20</v>
      </c>
      <c r="I13567" t="s">
        <v>26251</v>
      </c>
      <c r="J13567" t="str">
        <f>HYPERLINK("https://www.boe.es/gazeta/dias/1822/12/01/pdfs/GMD-1822-351.pdf#page=5","Abrir facsímil")</f>
        <v>Abrir facsímil</v>
      </c>
      <c r="K13567" t="s">
        <v>22</v>
      </c>
    </row>
    <row r="13568" spans="1:11" ht="42" customHeight="1">
      <c r="A13568" t="s">
        <v>26252</v>
      </c>
      <c r="B13568" t="s">
        <v>26253</v>
      </c>
      <c r="C13568" t="s">
        <v>50</v>
      </c>
      <c r="D13568" t="s">
        <v>51</v>
      </c>
      <c r="E13568" s="6">
        <v>-28301</v>
      </c>
      <c r="F13568" t="s">
        <v>2348</v>
      </c>
      <c r="G13568" t="s">
        <v>57</v>
      </c>
      <c r="H13568" t="s">
        <v>20</v>
      </c>
      <c r="I13568" t="s">
        <v>26254</v>
      </c>
      <c r="J13568" t="str">
        <f>HYPERLINK("https://www.boe.es/gazeta/dias/1822/07/06/pdfs/GMD-1822-195.pdf#page=4","Abrir facsímil")</f>
        <v>Abrir facsímil</v>
      </c>
      <c r="K13568" t="s">
        <v>22</v>
      </c>
    </row>
    <row r="13569" spans="1:11" ht="42" customHeight="1">
      <c r="A13569" t="s">
        <v>26255</v>
      </c>
      <c r="B13569" t="s">
        <v>26255</v>
      </c>
      <c r="C13569" t="s">
        <v>28</v>
      </c>
      <c r="D13569" t="s">
        <v>29</v>
      </c>
      <c r="E13569" s="6">
        <v>-28408</v>
      </c>
      <c r="F13569" t="s">
        <v>2561</v>
      </c>
      <c r="G13569" t="s">
        <v>63</v>
      </c>
      <c r="H13569" t="s">
        <v>20</v>
      </c>
      <c r="I13569" t="s">
        <v>26256</v>
      </c>
      <c r="J13569" t="str">
        <f>HYPERLINK("https://www.boe.es/gazeta/dias/1822/03/21/pdfs/GMD-1822-82.pdf#page=6","Abrir facsímil")</f>
        <v>Abrir facsímil</v>
      </c>
      <c r="K13569" t="s">
        <v>22</v>
      </c>
    </row>
    <row r="13570" spans="1:11" ht="42" customHeight="1">
      <c r="A13570" t="s">
        <v>26255</v>
      </c>
      <c r="B13570" t="s">
        <v>26255</v>
      </c>
      <c r="C13570" t="s">
        <v>28</v>
      </c>
      <c r="D13570" t="s">
        <v>29</v>
      </c>
      <c r="E13570" s="6">
        <v>-28366</v>
      </c>
      <c r="F13570" t="s">
        <v>120</v>
      </c>
      <c r="G13570" t="s">
        <v>57</v>
      </c>
      <c r="H13570" t="s">
        <v>20</v>
      </c>
      <c r="I13570" t="s">
        <v>26257</v>
      </c>
      <c r="J13570" t="str">
        <f>HYPERLINK("https://www.boe.es/gazeta/dias/1822/05/02/pdfs/GMD-1822-124.pdf#page=4","Abrir facsímil")</f>
        <v>Abrir facsímil</v>
      </c>
      <c r="K13570" t="s">
        <v>22</v>
      </c>
    </row>
    <row r="13571" spans="1:11" ht="42" customHeight="1">
      <c r="A13571" t="s">
        <v>26255</v>
      </c>
      <c r="B13571" t="s">
        <v>26255</v>
      </c>
      <c r="C13571" t="s">
        <v>28</v>
      </c>
      <c r="D13571" t="s">
        <v>29</v>
      </c>
      <c r="E13571" s="6">
        <v>-28363</v>
      </c>
      <c r="F13571" t="s">
        <v>72</v>
      </c>
      <c r="G13571" t="s">
        <v>57</v>
      </c>
      <c r="H13571" t="s">
        <v>20</v>
      </c>
      <c r="I13571" t="s">
        <v>26258</v>
      </c>
      <c r="J13571" t="str">
        <f>HYPERLINK("https://www.boe.es/gazeta/dias/1822/05/05/pdfs/GMD-1822-127.pdf#page=4","Abrir facsímil")</f>
        <v>Abrir facsímil</v>
      </c>
      <c r="K13571" t="s">
        <v>22</v>
      </c>
    </row>
    <row r="13572" spans="1:11" ht="42" customHeight="1">
      <c r="A13572" t="s">
        <v>26259</v>
      </c>
      <c r="B13572" t="s">
        <v>26260</v>
      </c>
      <c r="C13572" t="s">
        <v>50</v>
      </c>
      <c r="D13572" t="s">
        <v>51</v>
      </c>
      <c r="E13572" s="6">
        <v>-28395</v>
      </c>
      <c r="F13572" t="s">
        <v>237</v>
      </c>
      <c r="G13572" t="s">
        <v>31</v>
      </c>
      <c r="H13572" t="s">
        <v>20</v>
      </c>
      <c r="I13572" t="s">
        <v>26261</v>
      </c>
      <c r="J13572" t="str">
        <f>HYPERLINK("https://www.boe.es/gazeta/dias/1822/04/03/pdfs/GMD-1822-95.pdf#page=3","Abrir facsímil")</f>
        <v>Abrir facsímil</v>
      </c>
      <c r="K13572" t="s">
        <v>22</v>
      </c>
    </row>
    <row r="13573" spans="1:11" ht="42" customHeight="1">
      <c r="A13573" t="s">
        <v>26262</v>
      </c>
      <c r="B13573" t="s">
        <v>26263</v>
      </c>
      <c r="C13573" t="s">
        <v>16</v>
      </c>
      <c r="D13573" t="s">
        <v>17</v>
      </c>
      <c r="E13573" s="6">
        <v>-28363</v>
      </c>
      <c r="F13573" t="s">
        <v>72</v>
      </c>
      <c r="G13573" t="s">
        <v>57</v>
      </c>
      <c r="H13573" t="s">
        <v>45</v>
      </c>
      <c r="I13573" t="s">
        <v>26264</v>
      </c>
      <c r="J13573" t="str">
        <f>HYPERLINK("https://www.boe.es/gazeta/dias/1822/05/05/pdfs/GMD-1822-127.pdf#page=4","Abrir facsímil")</f>
        <v>Abrir facsímil</v>
      </c>
      <c r="K13573" t="s">
        <v>47</v>
      </c>
    </row>
    <row r="13574" spans="1:11" ht="42" customHeight="1">
      <c r="A13574" t="s">
        <v>26265</v>
      </c>
      <c r="B13574" t="s">
        <v>26266</v>
      </c>
      <c r="C13574" t="s">
        <v>42</v>
      </c>
      <c r="D13574" t="s">
        <v>17</v>
      </c>
      <c r="E13574" s="6">
        <v>-28309</v>
      </c>
      <c r="F13574" t="s">
        <v>553</v>
      </c>
      <c r="G13574" t="s">
        <v>57</v>
      </c>
      <c r="H13574" t="s">
        <v>20</v>
      </c>
      <c r="I13574" t="s">
        <v>26267</v>
      </c>
      <c r="J13574" t="str">
        <f>HYPERLINK("https://www.boe.es/gazeta/dias/1822/06/28/pdfs/GMD-1822-186.pdf#page=4","Abrir facsímil")</f>
        <v>Abrir facsímil</v>
      </c>
      <c r="K13574" t="s">
        <v>22</v>
      </c>
    </row>
    <row r="13575" spans="1:11" ht="42" customHeight="1">
      <c r="A13575" t="s">
        <v>26268</v>
      </c>
      <c r="B13575" t="s">
        <v>26269</v>
      </c>
      <c r="C13575" t="s">
        <v>71</v>
      </c>
      <c r="D13575" t="s">
        <v>17</v>
      </c>
      <c r="E13575" s="6">
        <v>-28150</v>
      </c>
      <c r="F13575" t="s">
        <v>62</v>
      </c>
      <c r="G13575" t="s">
        <v>31</v>
      </c>
      <c r="H13575" t="s">
        <v>20</v>
      </c>
      <c r="I13575" t="s">
        <v>26270</v>
      </c>
      <c r="J13575" t="str">
        <f>HYPERLINK("https://www.boe.es/gazeta/dias/1822/12/04/pdfs/GMD-1822-354.pdf#page=3","Abrir facsímil")</f>
        <v>Abrir facsímil</v>
      </c>
      <c r="K13575" t="s">
        <v>22</v>
      </c>
    </row>
    <row r="13576" spans="1:11" ht="42" customHeight="1">
      <c r="A13576" t="s">
        <v>26271</v>
      </c>
      <c r="B13576" t="s">
        <v>26272</v>
      </c>
      <c r="C13576" t="s">
        <v>28</v>
      </c>
      <c r="D13576" t="s">
        <v>29</v>
      </c>
      <c r="E13576" s="6">
        <v>-28483</v>
      </c>
      <c r="F13576" t="s">
        <v>254</v>
      </c>
      <c r="G13576" t="s">
        <v>57</v>
      </c>
      <c r="H13576" t="s">
        <v>20</v>
      </c>
      <c r="I13576" t="s">
        <v>26273</v>
      </c>
      <c r="J13576" t="str">
        <f>HYPERLINK("https://www.boe.es/gazeta/dias/1822/01/05/pdfs/GMD-1822-5.pdf#page=4","Abrir facsímil")</f>
        <v>Abrir facsímil</v>
      </c>
      <c r="K13576" t="s">
        <v>22</v>
      </c>
    </row>
    <row r="13577" spans="1:11" ht="42" customHeight="1">
      <c r="A13577" t="s">
        <v>26271</v>
      </c>
      <c r="B13577" t="s">
        <v>26272</v>
      </c>
      <c r="C13577" t="s">
        <v>42</v>
      </c>
      <c r="D13577" t="s">
        <v>17</v>
      </c>
      <c r="E13577" s="6">
        <v>-28477</v>
      </c>
      <c r="F13577" t="s">
        <v>1668</v>
      </c>
      <c r="G13577" t="s">
        <v>19</v>
      </c>
      <c r="H13577" t="s">
        <v>20</v>
      </c>
      <c r="I13577" t="s">
        <v>26274</v>
      </c>
      <c r="J13577" t="str">
        <f>HYPERLINK("https://www.boe.es/gazeta/dias/1822/01/11/pdfs/GMD-1822-11.pdf#page=5","Abrir facsímil")</f>
        <v>Abrir facsímil</v>
      </c>
      <c r="K13577" t="s">
        <v>22</v>
      </c>
    </row>
    <row r="13578" spans="1:11" ht="42" customHeight="1">
      <c r="A13578" t="s">
        <v>26271</v>
      </c>
      <c r="B13578" t="s">
        <v>26272</v>
      </c>
      <c r="C13578" t="s">
        <v>50</v>
      </c>
      <c r="D13578" t="s">
        <v>51</v>
      </c>
      <c r="E13578" s="6">
        <v>-28451</v>
      </c>
      <c r="F13578" t="s">
        <v>1674</v>
      </c>
      <c r="G13578" t="s">
        <v>35</v>
      </c>
      <c r="H13578" t="s">
        <v>20</v>
      </c>
      <c r="I13578" t="s">
        <v>26275</v>
      </c>
      <c r="J13578" t="str">
        <f>HYPERLINK("https://www.boe.es/gazeta/dias/1822/02/06/pdfs/GMD-1822-37.pdf#page=2","Abrir facsímil")</f>
        <v>Abrir facsímil</v>
      </c>
      <c r="K13578" t="s">
        <v>22</v>
      </c>
    </row>
    <row r="13579" spans="1:11" ht="42" customHeight="1">
      <c r="A13579" t="s">
        <v>26271</v>
      </c>
      <c r="B13579" t="s">
        <v>26272</v>
      </c>
      <c r="C13579" t="s">
        <v>28</v>
      </c>
      <c r="D13579" t="s">
        <v>29</v>
      </c>
      <c r="E13579" s="6">
        <v>-28418</v>
      </c>
      <c r="F13579" t="s">
        <v>205</v>
      </c>
      <c r="G13579" t="s">
        <v>57</v>
      </c>
      <c r="H13579" t="s">
        <v>20</v>
      </c>
      <c r="I13579" t="s">
        <v>26276</v>
      </c>
      <c r="J13579" t="str">
        <f>HYPERLINK("https://www.boe.es/gazeta/dias/1822/03/11/pdfs/GMD-1822-72.pdf#page=4","Abrir facsímil")</f>
        <v>Abrir facsímil</v>
      </c>
      <c r="K13579" t="s">
        <v>22</v>
      </c>
    </row>
    <row r="13580" spans="1:11" ht="42" customHeight="1">
      <c r="A13580" t="s">
        <v>26271</v>
      </c>
      <c r="B13580" t="s">
        <v>26272</v>
      </c>
      <c r="C13580" t="s">
        <v>28</v>
      </c>
      <c r="D13580" t="s">
        <v>29</v>
      </c>
      <c r="E13580" s="6">
        <v>-28418</v>
      </c>
      <c r="F13580" t="s">
        <v>205</v>
      </c>
      <c r="G13580" t="s">
        <v>63</v>
      </c>
      <c r="H13580" t="s">
        <v>20</v>
      </c>
      <c r="I13580" t="s">
        <v>26277</v>
      </c>
      <c r="J13580" t="str">
        <f>HYPERLINK("https://www.boe.es/gazeta/dias/1822/03/11/pdfs/GMD-1822-72.pdf#page=6","Abrir facsímil")</f>
        <v>Abrir facsímil</v>
      </c>
      <c r="K13580" t="s">
        <v>22</v>
      </c>
    </row>
    <row r="13581" spans="1:11" ht="42" customHeight="1">
      <c r="A13581" t="s">
        <v>26271</v>
      </c>
      <c r="B13581" t="s">
        <v>26272</v>
      </c>
      <c r="C13581" t="s">
        <v>50</v>
      </c>
      <c r="D13581" t="s">
        <v>51</v>
      </c>
      <c r="E13581" s="6">
        <v>-28411</v>
      </c>
      <c r="F13581" t="s">
        <v>1509</v>
      </c>
      <c r="G13581" t="s">
        <v>44</v>
      </c>
      <c r="H13581" t="s">
        <v>20</v>
      </c>
      <c r="I13581" t="s">
        <v>26278</v>
      </c>
      <c r="J13581" t="str">
        <f>HYPERLINK("https://www.boe.es/gazeta/dias/1822/03/18/pdfs/GMD-1822-79.pdf#page=1","Abrir facsímil")</f>
        <v>Abrir facsímil</v>
      </c>
      <c r="K13581" t="s">
        <v>22</v>
      </c>
    </row>
    <row r="13582" spans="1:11" ht="42" customHeight="1">
      <c r="A13582" t="s">
        <v>26271</v>
      </c>
      <c r="B13582" t="s">
        <v>26272</v>
      </c>
      <c r="C13582" t="s">
        <v>71</v>
      </c>
      <c r="D13582" t="s">
        <v>17</v>
      </c>
      <c r="E13582" s="6">
        <v>-28394</v>
      </c>
      <c r="F13582" t="s">
        <v>268</v>
      </c>
      <c r="G13582" t="s">
        <v>57</v>
      </c>
      <c r="H13582" t="s">
        <v>20</v>
      </c>
      <c r="I13582" t="s">
        <v>26279</v>
      </c>
      <c r="J13582" t="str">
        <f>HYPERLINK("https://www.boe.es/gazeta/dias/1822/04/04/pdfs/GMD-1822-96.pdf#page=4","Abrir facsímil")</f>
        <v>Abrir facsímil</v>
      </c>
      <c r="K13582" t="s">
        <v>22</v>
      </c>
    </row>
    <row r="13583" spans="1:11" ht="42" customHeight="1">
      <c r="A13583" t="s">
        <v>26271</v>
      </c>
      <c r="B13583" t="s">
        <v>26272</v>
      </c>
      <c r="C13583" t="s">
        <v>50</v>
      </c>
      <c r="D13583" t="s">
        <v>51</v>
      </c>
      <c r="E13583" s="6">
        <v>-28391</v>
      </c>
      <c r="F13583" t="s">
        <v>378</v>
      </c>
      <c r="G13583" t="s">
        <v>19</v>
      </c>
      <c r="H13583" t="s">
        <v>20</v>
      </c>
      <c r="I13583" t="s">
        <v>26280</v>
      </c>
      <c r="J13583" t="str">
        <f>HYPERLINK("https://www.boe.es/gazeta/dias/1822/04/07/pdfs/GMD-1822-99.pdf#page=5","Abrir facsímil")</f>
        <v>Abrir facsímil</v>
      </c>
      <c r="K13583" t="s">
        <v>22</v>
      </c>
    </row>
    <row r="13584" spans="1:11" ht="42" customHeight="1">
      <c r="A13584" t="s">
        <v>26271</v>
      </c>
      <c r="B13584" t="s">
        <v>26272</v>
      </c>
      <c r="C13584" t="s">
        <v>28</v>
      </c>
      <c r="D13584" t="s">
        <v>29</v>
      </c>
      <c r="E13584" s="6">
        <v>-28379</v>
      </c>
      <c r="F13584" t="s">
        <v>494</v>
      </c>
      <c r="G13584" t="s">
        <v>63</v>
      </c>
      <c r="H13584" t="s">
        <v>20</v>
      </c>
      <c r="I13584" t="s">
        <v>26281</v>
      </c>
      <c r="J13584" t="str">
        <f>HYPERLINK("https://www.boe.es/gazeta/dias/1822/04/19/pdfs/GMD-1822-111.pdf#page=6","Abrir facsímil")</f>
        <v>Abrir facsímil</v>
      </c>
      <c r="K13584" t="s">
        <v>22</v>
      </c>
    </row>
    <row r="13585" spans="1:11" ht="42" customHeight="1">
      <c r="A13585" t="s">
        <v>26271</v>
      </c>
      <c r="B13585" t="s">
        <v>26272</v>
      </c>
      <c r="C13585" t="s">
        <v>1141</v>
      </c>
      <c r="D13585" t="s">
        <v>29</v>
      </c>
      <c r="E13585" s="6">
        <v>-28350</v>
      </c>
      <c r="F13585" t="s">
        <v>352</v>
      </c>
      <c r="G13585" t="s">
        <v>35</v>
      </c>
      <c r="H13585" t="s">
        <v>20</v>
      </c>
      <c r="I13585" t="s">
        <v>26282</v>
      </c>
      <c r="J13585" t="str">
        <f>HYPERLINK("https://www.boe.es/gazeta/dias/1822/05/18/pdfs/GMD-1822-140.pdf#page=2","Abrir facsímil")</f>
        <v>Abrir facsímil</v>
      </c>
      <c r="K13585" t="s">
        <v>22</v>
      </c>
    </row>
    <row r="13586" spans="1:11" ht="42" customHeight="1">
      <c r="A13586" t="s">
        <v>26271</v>
      </c>
      <c r="B13586" t="s">
        <v>26272</v>
      </c>
      <c r="C13586" t="s">
        <v>50</v>
      </c>
      <c r="D13586" t="s">
        <v>51</v>
      </c>
      <c r="E13586" s="6">
        <v>-28217</v>
      </c>
      <c r="F13586" t="s">
        <v>1892</v>
      </c>
      <c r="G13586" t="s">
        <v>1952</v>
      </c>
      <c r="H13586" t="s">
        <v>20</v>
      </c>
      <c r="I13586" t="s">
        <v>26283</v>
      </c>
      <c r="J13586" t="str">
        <f>HYPERLINK("https://www.boe.es/gazeta/dias/1822/09/28/pdfs/GMD-1822-284.pdf#page=2","Abrir facsímil")</f>
        <v>Abrir facsímil</v>
      </c>
      <c r="K13586" t="s">
        <v>22</v>
      </c>
    </row>
    <row r="13587" spans="1:11" ht="42" customHeight="1">
      <c r="A13587" t="s">
        <v>26271</v>
      </c>
      <c r="B13587" t="s">
        <v>26272</v>
      </c>
      <c r="C13587" t="s">
        <v>50</v>
      </c>
      <c r="D13587" t="s">
        <v>51</v>
      </c>
      <c r="E13587" s="6">
        <v>-28203</v>
      </c>
      <c r="F13587" t="s">
        <v>564</v>
      </c>
      <c r="G13587" t="s">
        <v>4185</v>
      </c>
      <c r="H13587" t="s">
        <v>20</v>
      </c>
      <c r="I13587" t="s">
        <v>26284</v>
      </c>
      <c r="J13587" t="str">
        <f>HYPERLINK("https://www.boe.es/gazeta/dias/1822/10/12/pdfs/GMD-1822-299.pdf#page=2","Abrir facsímil")</f>
        <v>Abrir facsímil</v>
      </c>
      <c r="K13587" t="s">
        <v>22</v>
      </c>
    </row>
    <row r="13588" spans="1:11" ht="42" customHeight="1">
      <c r="A13588" t="s">
        <v>26271</v>
      </c>
      <c r="B13588" t="s">
        <v>26272</v>
      </c>
      <c r="C13588" t="s">
        <v>28</v>
      </c>
      <c r="D13588" t="s">
        <v>29</v>
      </c>
      <c r="E13588" s="6">
        <v>-28199</v>
      </c>
      <c r="F13588" t="s">
        <v>656</v>
      </c>
      <c r="G13588" t="s">
        <v>35</v>
      </c>
      <c r="H13588" t="s">
        <v>20</v>
      </c>
      <c r="I13588" t="s">
        <v>26285</v>
      </c>
      <c r="J13588" t="str">
        <f>HYPERLINK("https://www.boe.es/gazeta/dias/1822/10/16/pdfs/GMD-1822-303.pdf#page=2","Abrir facsímil")</f>
        <v>Abrir facsímil</v>
      </c>
      <c r="K13588" t="s">
        <v>22</v>
      </c>
    </row>
    <row r="13589" spans="1:11" ht="42" customHeight="1">
      <c r="A13589" t="s">
        <v>26271</v>
      </c>
      <c r="B13589" t="s">
        <v>26272</v>
      </c>
      <c r="C13589" t="s">
        <v>50</v>
      </c>
      <c r="D13589" t="s">
        <v>51</v>
      </c>
      <c r="E13589" s="6">
        <v>-28199</v>
      </c>
      <c r="F13589" t="s">
        <v>656</v>
      </c>
      <c r="G13589" t="s">
        <v>31</v>
      </c>
      <c r="H13589" t="s">
        <v>20</v>
      </c>
      <c r="I13589" t="s">
        <v>26286</v>
      </c>
      <c r="J13589" t="str">
        <f>HYPERLINK("https://www.boe.es/gazeta/dias/1822/10/16/pdfs/GMD-1822-303.pdf#page=3","Abrir facsímil")</f>
        <v>Abrir facsímil</v>
      </c>
      <c r="K13589" t="s">
        <v>22</v>
      </c>
    </row>
    <row r="13590" spans="1:11" ht="42" customHeight="1">
      <c r="A13590" t="s">
        <v>26271</v>
      </c>
      <c r="B13590" t="s">
        <v>26272</v>
      </c>
      <c r="C13590" t="s">
        <v>50</v>
      </c>
      <c r="D13590" t="s">
        <v>51</v>
      </c>
      <c r="E13590" s="6">
        <v>-28184</v>
      </c>
      <c r="F13590" t="s">
        <v>1423</v>
      </c>
      <c r="G13590" t="s">
        <v>57</v>
      </c>
      <c r="H13590" t="s">
        <v>20</v>
      </c>
      <c r="I13590" t="s">
        <v>26287</v>
      </c>
      <c r="J13590" t="str">
        <f>HYPERLINK("https://www.boe.es/gazeta/dias/1822/10/31/pdfs/GMD-1822-318.pdf#page=4","Abrir facsímil")</f>
        <v>Abrir facsímil</v>
      </c>
      <c r="K13590" t="s">
        <v>22</v>
      </c>
    </row>
    <row r="13591" spans="1:11" ht="42" customHeight="1">
      <c r="A13591" t="s">
        <v>26271</v>
      </c>
      <c r="B13591" t="s">
        <v>26272</v>
      </c>
      <c r="C13591" t="s">
        <v>50</v>
      </c>
      <c r="D13591" t="s">
        <v>51</v>
      </c>
      <c r="E13591" s="6">
        <v>-28179</v>
      </c>
      <c r="F13591" t="s">
        <v>935</v>
      </c>
      <c r="G13591" t="s">
        <v>57</v>
      </c>
      <c r="H13591" t="s">
        <v>20</v>
      </c>
      <c r="I13591" t="s">
        <v>26288</v>
      </c>
      <c r="J13591" t="str">
        <f>HYPERLINK("https://www.boe.es/gazeta/dias/1822/11/05/pdfs/GMD-1822-325.pdf#page=4","Abrir facsímil")</f>
        <v>Abrir facsímil</v>
      </c>
      <c r="K13591" t="s">
        <v>22</v>
      </c>
    </row>
    <row r="13592" spans="1:11" ht="42" customHeight="1">
      <c r="A13592" t="s">
        <v>26271</v>
      </c>
      <c r="B13592" t="s">
        <v>26272</v>
      </c>
      <c r="C13592" t="s">
        <v>50</v>
      </c>
      <c r="D13592" t="s">
        <v>51</v>
      </c>
      <c r="E13592" s="6">
        <v>-28177</v>
      </c>
      <c r="F13592" t="s">
        <v>587</v>
      </c>
      <c r="G13592" t="s">
        <v>44</v>
      </c>
      <c r="H13592" t="s">
        <v>20</v>
      </c>
      <c r="I13592" t="s">
        <v>26289</v>
      </c>
      <c r="J13592" t="str">
        <f>HYPERLINK("https://www.boe.es/gazeta/dias/1822/11/07/pdfs/GMD-1822-327.pdf#page=1","Abrir facsímil")</f>
        <v>Abrir facsímil</v>
      </c>
      <c r="K13592" t="s">
        <v>22</v>
      </c>
    </row>
    <row r="13593" spans="1:11" ht="42" customHeight="1">
      <c r="A13593" t="s">
        <v>26271</v>
      </c>
      <c r="B13593" t="s">
        <v>26272</v>
      </c>
      <c r="C13593" t="s">
        <v>50</v>
      </c>
      <c r="D13593" t="s">
        <v>51</v>
      </c>
      <c r="E13593" s="6">
        <v>-28162</v>
      </c>
      <c r="F13593" t="s">
        <v>3949</v>
      </c>
      <c r="G13593" t="s">
        <v>31</v>
      </c>
      <c r="H13593" t="s">
        <v>20</v>
      </c>
      <c r="I13593" t="s">
        <v>26290</v>
      </c>
      <c r="J13593" t="str">
        <f>HYPERLINK("https://www.boe.es/gazeta/dias/1822/11/22/pdfs/GMD-1822-342.pdf#page=3","Abrir facsímil")</f>
        <v>Abrir facsímil</v>
      </c>
      <c r="K13593" t="s">
        <v>22</v>
      </c>
    </row>
    <row r="13594" spans="1:11" ht="42" customHeight="1">
      <c r="A13594" t="s">
        <v>26291</v>
      </c>
      <c r="B13594" t="s">
        <v>26292</v>
      </c>
      <c r="C13594" t="s">
        <v>71</v>
      </c>
      <c r="D13594" t="s">
        <v>17</v>
      </c>
      <c r="E13594" s="6">
        <v>-28376</v>
      </c>
      <c r="F13594" t="s">
        <v>500</v>
      </c>
      <c r="G13594" t="s">
        <v>501</v>
      </c>
      <c r="H13594" t="s">
        <v>20</v>
      </c>
      <c r="I13594" t="s">
        <v>26293</v>
      </c>
      <c r="J13594" t="str">
        <f>HYPERLINK("https://www.boe.es/gazeta/dias/1822/04/22/pdfs/GMD-1822-114.pdf#page=3","Abrir facsímil")</f>
        <v>Abrir facsímil</v>
      </c>
      <c r="K13594" t="s">
        <v>22</v>
      </c>
    </row>
    <row r="13595" spans="1:11" ht="42" customHeight="1">
      <c r="A13595" t="s">
        <v>26294</v>
      </c>
      <c r="B13595" t="s">
        <v>26295</v>
      </c>
      <c r="C13595" t="s">
        <v>50</v>
      </c>
      <c r="D13595" t="s">
        <v>51</v>
      </c>
      <c r="E13595" s="6">
        <v>-28424</v>
      </c>
      <c r="F13595" t="s">
        <v>439</v>
      </c>
      <c r="G13595" t="s">
        <v>31</v>
      </c>
      <c r="H13595" t="s">
        <v>45</v>
      </c>
      <c r="I13595" t="s">
        <v>26296</v>
      </c>
      <c r="J13595" t="str">
        <f>HYPERLINK("https://www.boe.es/gazeta/dias/1822/03/05/pdfs/GMD-1822-66.pdf#page=3","Abrir facsímil")</f>
        <v>Abrir facsímil</v>
      </c>
      <c r="K13595" t="s">
        <v>47</v>
      </c>
    </row>
    <row r="13596" spans="1:11" ht="42" customHeight="1">
      <c r="A13596" t="s">
        <v>26297</v>
      </c>
      <c r="B13596" t="s">
        <v>26298</v>
      </c>
      <c r="C13596" t="s">
        <v>50</v>
      </c>
      <c r="D13596" t="s">
        <v>51</v>
      </c>
      <c r="E13596" s="6">
        <v>-28349</v>
      </c>
      <c r="F13596" t="s">
        <v>518</v>
      </c>
      <c r="G13596" t="s">
        <v>57</v>
      </c>
      <c r="H13596" t="s">
        <v>20</v>
      </c>
      <c r="I13596" t="s">
        <v>26299</v>
      </c>
      <c r="J13596" t="str">
        <f>HYPERLINK("https://www.boe.es/gazeta/dias/1822/05/19/pdfs/GMD-1822-141.pdf#page=4","Abrir facsímil")</f>
        <v>Abrir facsímil</v>
      </c>
      <c r="K13596" t="s">
        <v>22</v>
      </c>
    </row>
    <row r="13597" spans="1:11" ht="42" customHeight="1">
      <c r="A13597" t="s">
        <v>26300</v>
      </c>
      <c r="B13597" t="s">
        <v>26301</v>
      </c>
      <c r="C13597" t="s">
        <v>362</v>
      </c>
      <c r="D13597" t="s">
        <v>17</v>
      </c>
      <c r="E13597" s="6">
        <v>-28414</v>
      </c>
      <c r="F13597" t="s">
        <v>187</v>
      </c>
      <c r="G13597" t="s">
        <v>57</v>
      </c>
      <c r="H13597" t="s">
        <v>20</v>
      </c>
      <c r="I13597" t="s">
        <v>26302</v>
      </c>
      <c r="J13597" t="str">
        <f>HYPERLINK("https://www.boe.es/gazeta/dias/1822/03/15/pdfs/GMD-1822-76.pdf#page=4","Abrir facsímil")</f>
        <v>Abrir facsímil</v>
      </c>
      <c r="K13597" t="s">
        <v>22</v>
      </c>
    </row>
    <row r="13598" spans="1:11" ht="42" customHeight="1">
      <c r="A13598" t="s">
        <v>26303</v>
      </c>
      <c r="B13598" t="s">
        <v>26303</v>
      </c>
      <c r="C13598" t="s">
        <v>28</v>
      </c>
      <c r="D13598" t="s">
        <v>29</v>
      </c>
      <c r="E13598" s="6">
        <v>-28418</v>
      </c>
      <c r="F13598" t="s">
        <v>205</v>
      </c>
      <c r="G13598" t="s">
        <v>63</v>
      </c>
      <c r="H13598" t="s">
        <v>20</v>
      </c>
      <c r="I13598" t="s">
        <v>26304</v>
      </c>
      <c r="J13598" t="str">
        <f>HYPERLINK("https://www.boe.es/gazeta/dias/1822/03/11/pdfs/GMD-1822-72.pdf#page=6","Abrir facsímil")</f>
        <v>Abrir facsímil</v>
      </c>
      <c r="K13598" t="s">
        <v>22</v>
      </c>
    </row>
    <row r="13599" spans="1:11" ht="42" customHeight="1">
      <c r="A13599" t="s">
        <v>26305</v>
      </c>
      <c r="B13599" t="s">
        <v>26306</v>
      </c>
      <c r="C13599" t="s">
        <v>16</v>
      </c>
      <c r="D13599" t="s">
        <v>17</v>
      </c>
      <c r="E13599" s="6">
        <v>-28360</v>
      </c>
      <c r="F13599" t="s">
        <v>514</v>
      </c>
      <c r="G13599" t="s">
        <v>57</v>
      </c>
      <c r="H13599" t="s">
        <v>20</v>
      </c>
      <c r="I13599" t="s">
        <v>26307</v>
      </c>
      <c r="J13599" t="str">
        <f>HYPERLINK("https://www.boe.es/gazeta/dias/1822/05/08/pdfs/GMD-1822-130.pdf#page=4","Abrir facsímil")</f>
        <v>Abrir facsímil</v>
      </c>
      <c r="K13599" t="s">
        <v>22</v>
      </c>
    </row>
    <row r="13600" spans="1:11" ht="42" customHeight="1">
      <c r="A13600" t="s">
        <v>26308</v>
      </c>
      <c r="B13600" t="s">
        <v>26309</v>
      </c>
      <c r="C13600" t="s">
        <v>28</v>
      </c>
      <c r="D13600" t="s">
        <v>29</v>
      </c>
      <c r="E13600" s="6">
        <v>-28396</v>
      </c>
      <c r="F13600" t="s">
        <v>1138</v>
      </c>
      <c r="G13600" t="s">
        <v>157</v>
      </c>
      <c r="H13600" t="s">
        <v>20</v>
      </c>
      <c r="I13600" t="s">
        <v>26310</v>
      </c>
      <c r="J13600" t="str">
        <f>HYPERLINK("https://www.boe.es/gazeta/dias/1822/04/02/pdfs/GMD-1822-94.pdf#page=8","Abrir facsímil")</f>
        <v>Abrir facsímil</v>
      </c>
      <c r="K13600" t="s">
        <v>22</v>
      </c>
    </row>
    <row r="13601" spans="1:11" ht="42" customHeight="1">
      <c r="A13601" t="s">
        <v>26308</v>
      </c>
      <c r="B13601" t="s">
        <v>26309</v>
      </c>
      <c r="C13601" t="s">
        <v>28</v>
      </c>
      <c r="D13601" t="s">
        <v>29</v>
      </c>
      <c r="E13601" s="6">
        <v>-28282</v>
      </c>
      <c r="F13601" t="s">
        <v>6600</v>
      </c>
      <c r="G13601" t="s">
        <v>6601</v>
      </c>
      <c r="H13601" t="s">
        <v>20</v>
      </c>
      <c r="I13601" t="s">
        <v>26311</v>
      </c>
      <c r="J13601" t="str">
        <f>HYPERLINK("https://www.boe.es/gazeta/dias/1822/07/25/pdfs/GMD-1822-218.pdf#page=4","Abrir facsímil")</f>
        <v>Abrir facsímil</v>
      </c>
      <c r="K13601" t="s">
        <v>22</v>
      </c>
    </row>
    <row r="13602" spans="1:11" ht="42" customHeight="1">
      <c r="A13602" t="s">
        <v>26312</v>
      </c>
      <c r="B13602" t="s">
        <v>26313</v>
      </c>
      <c r="C13602" t="s">
        <v>71</v>
      </c>
      <c r="D13602" t="s">
        <v>17</v>
      </c>
      <c r="E13602" s="6">
        <v>-28450</v>
      </c>
      <c r="F13602" t="s">
        <v>1450</v>
      </c>
      <c r="G13602" t="s">
        <v>31</v>
      </c>
      <c r="H13602" t="s">
        <v>20</v>
      </c>
      <c r="I13602" t="s">
        <v>26314</v>
      </c>
      <c r="J13602" t="str">
        <f>HYPERLINK("https://www.boe.es/gazeta/dias/1822/02/07/pdfs/GMD-1822-38.pdf#page=3","Abrir facsímil")</f>
        <v>Abrir facsímil</v>
      </c>
      <c r="K13602" t="s">
        <v>22</v>
      </c>
    </row>
    <row r="13603" spans="1:11" ht="42" customHeight="1">
      <c r="A13603" t="s">
        <v>26315</v>
      </c>
      <c r="B13603" t="s">
        <v>26316</v>
      </c>
      <c r="C13603" t="s">
        <v>24</v>
      </c>
      <c r="D13603" t="s">
        <v>17</v>
      </c>
      <c r="E13603" s="6">
        <v>-28312</v>
      </c>
      <c r="F13603" t="s">
        <v>92</v>
      </c>
      <c r="G13603" t="s">
        <v>35</v>
      </c>
      <c r="H13603" t="s">
        <v>20</v>
      </c>
      <c r="I13603" t="s">
        <v>26317</v>
      </c>
      <c r="J13603" t="str">
        <f>HYPERLINK("https://www.boe.es/gazeta/dias/1822/06/25/pdfs/GMD-1822-183.pdf#page=2","Abrir facsímil")</f>
        <v>Abrir facsímil</v>
      </c>
      <c r="K13603" t="s">
        <v>22</v>
      </c>
    </row>
    <row r="13604" spans="1:11" ht="42" customHeight="1">
      <c r="A13604" t="s">
        <v>26318</v>
      </c>
      <c r="B13604" t="s">
        <v>26318</v>
      </c>
      <c r="C13604" t="s">
        <v>71</v>
      </c>
      <c r="D13604" t="s">
        <v>17</v>
      </c>
      <c r="E13604" s="6">
        <v>-28152</v>
      </c>
      <c r="F13604" t="s">
        <v>122</v>
      </c>
      <c r="G13604" t="s">
        <v>19</v>
      </c>
      <c r="H13604" t="s">
        <v>20</v>
      </c>
      <c r="I13604" t="s">
        <v>26319</v>
      </c>
      <c r="J13604" t="str">
        <f>HYPERLINK("https://www.boe.es/gazeta/dias/1822/12/02/pdfs/GMD-1822-352.pdf#page=5","Abrir facsímil")</f>
        <v>Abrir facsímil</v>
      </c>
      <c r="K13604" t="s">
        <v>22</v>
      </c>
    </row>
    <row r="13605" spans="1:11" ht="42" customHeight="1">
      <c r="A13605" t="s">
        <v>26320</v>
      </c>
      <c r="B13605" t="s">
        <v>26320</v>
      </c>
      <c r="C13605" t="s">
        <v>50</v>
      </c>
      <c r="D13605" t="s">
        <v>51</v>
      </c>
      <c r="E13605" s="6">
        <v>-28316</v>
      </c>
      <c r="F13605" t="s">
        <v>1144</v>
      </c>
      <c r="G13605" t="s">
        <v>35</v>
      </c>
      <c r="H13605" t="s">
        <v>20</v>
      </c>
      <c r="I13605" t="s">
        <v>26321</v>
      </c>
      <c r="J13605" t="str">
        <f>HYPERLINK("https://www.boe.es/gazeta/dias/1822/06/21/pdfs/GMD-1822-179.pdf#page=2","Abrir facsímil")</f>
        <v>Abrir facsímil</v>
      </c>
      <c r="K13605" t="s">
        <v>22</v>
      </c>
    </row>
    <row r="13606" spans="1:11" ht="42" customHeight="1">
      <c r="A13606" t="s">
        <v>26320</v>
      </c>
      <c r="B13606" t="s">
        <v>26320</v>
      </c>
      <c r="C13606" t="s">
        <v>42</v>
      </c>
      <c r="D13606" t="s">
        <v>17</v>
      </c>
      <c r="E13606" s="6">
        <v>-28203</v>
      </c>
      <c r="F13606" t="s">
        <v>564</v>
      </c>
      <c r="G13606" t="s">
        <v>44</v>
      </c>
      <c r="H13606" t="s">
        <v>20</v>
      </c>
      <c r="I13606" t="s">
        <v>26322</v>
      </c>
      <c r="J13606" t="str">
        <f>HYPERLINK("https://www.boe.es/gazeta/dias/1822/10/12/pdfs/GMD-1822-299.pdf#page=1","Abrir facsímil")</f>
        <v>Abrir facsímil</v>
      </c>
      <c r="K13606" t="s">
        <v>22</v>
      </c>
    </row>
    <row r="13607" spans="1:11" ht="42" customHeight="1">
      <c r="A13607" t="s">
        <v>26323</v>
      </c>
      <c r="B13607" t="s">
        <v>26323</v>
      </c>
      <c r="C13607" t="s">
        <v>42</v>
      </c>
      <c r="D13607" t="s">
        <v>17</v>
      </c>
      <c r="E13607" s="6">
        <v>-28337</v>
      </c>
      <c r="F13607" t="s">
        <v>1836</v>
      </c>
      <c r="G13607" t="s">
        <v>4337</v>
      </c>
      <c r="H13607" t="s">
        <v>20</v>
      </c>
      <c r="I13607" t="s">
        <v>26324</v>
      </c>
      <c r="J13607" t="str">
        <f>HYPERLINK("https://www.boe.es/gazeta/dias/1822/05/31/pdfs/GMD-1822-156.pdf#page=6","Abrir facsímil")</f>
        <v>Abrir facsímil</v>
      </c>
      <c r="K13607" t="s">
        <v>22</v>
      </c>
    </row>
    <row r="13608" spans="1:11" ht="42" customHeight="1">
      <c r="A13608" t="s">
        <v>26325</v>
      </c>
      <c r="B13608" t="s">
        <v>26326</v>
      </c>
      <c r="C13608" t="s">
        <v>28</v>
      </c>
      <c r="D13608" t="s">
        <v>29</v>
      </c>
      <c r="E13608" s="6">
        <v>-28354</v>
      </c>
      <c r="F13608" t="s">
        <v>226</v>
      </c>
      <c r="G13608" t="s">
        <v>35</v>
      </c>
      <c r="H13608" t="s">
        <v>20</v>
      </c>
      <c r="I13608" t="s">
        <v>26327</v>
      </c>
      <c r="J13608" t="str">
        <f>HYPERLINK("https://www.boe.es/gazeta/dias/1822/05/14/pdfs/GMD-1822-136.pdf#page=2","Abrir facsímil")</f>
        <v>Abrir facsímil</v>
      </c>
      <c r="K13608" t="s">
        <v>22</v>
      </c>
    </row>
    <row r="13609" spans="1:11" ht="42" customHeight="1">
      <c r="A13609" t="s">
        <v>26328</v>
      </c>
      <c r="B13609" t="s">
        <v>26328</v>
      </c>
      <c r="C13609" t="s">
        <v>50</v>
      </c>
      <c r="D13609" t="s">
        <v>51</v>
      </c>
      <c r="E13609" s="6">
        <v>-28149</v>
      </c>
      <c r="F13609" t="s">
        <v>1322</v>
      </c>
      <c r="G13609" t="s">
        <v>44</v>
      </c>
      <c r="H13609" t="s">
        <v>20</v>
      </c>
      <c r="I13609" t="s">
        <v>26329</v>
      </c>
      <c r="J13609" t="str">
        <f>HYPERLINK("https://www.boe.es/gazeta/dias/1822/12/05/pdfs/GMD-1822-355.pdf#page=1","Abrir facsímil")</f>
        <v>Abrir facsímil</v>
      </c>
      <c r="K13609" t="s">
        <v>22</v>
      </c>
    </row>
    <row r="13610" spans="1:11" ht="42" customHeight="1">
      <c r="A13610" t="s">
        <v>26330</v>
      </c>
      <c r="B13610" t="s">
        <v>26330</v>
      </c>
      <c r="C13610" t="s">
        <v>16</v>
      </c>
      <c r="D13610" t="s">
        <v>17</v>
      </c>
      <c r="E13610" s="6">
        <v>-28190</v>
      </c>
      <c r="F13610" t="s">
        <v>576</v>
      </c>
      <c r="G13610" t="s">
        <v>44</v>
      </c>
      <c r="H13610" t="s">
        <v>20</v>
      </c>
      <c r="I13610" t="s">
        <v>26331</v>
      </c>
      <c r="J13610" t="str">
        <f>HYPERLINK("https://www.boe.es/gazeta/dias/1822/10/25/pdfs/GMD-1822-312.pdf#page=1","Abrir facsímil")</f>
        <v>Abrir facsímil</v>
      </c>
      <c r="K13610" t="s">
        <v>22</v>
      </c>
    </row>
    <row r="13611" spans="1:11" ht="42" customHeight="1">
      <c r="A13611" t="s">
        <v>26332</v>
      </c>
      <c r="B13611" t="s">
        <v>26333</v>
      </c>
      <c r="C13611" t="s">
        <v>28</v>
      </c>
      <c r="D13611" t="s">
        <v>29</v>
      </c>
      <c r="E13611" s="6">
        <v>-28346</v>
      </c>
      <c r="F13611" t="s">
        <v>191</v>
      </c>
      <c r="G13611" t="s">
        <v>31</v>
      </c>
      <c r="H13611" t="s">
        <v>20</v>
      </c>
      <c r="I13611" t="s">
        <v>26334</v>
      </c>
      <c r="J13611" t="str">
        <f>HYPERLINK("https://www.boe.es/gazeta/dias/1822/05/22/pdfs/GMD-1822-145.pdf#page=3","Abrir facsímil")</f>
        <v>Abrir facsímil</v>
      </c>
      <c r="K13611" t="s">
        <v>22</v>
      </c>
    </row>
    <row r="13612" spans="1:11" ht="42" customHeight="1">
      <c r="A13612" t="s">
        <v>26335</v>
      </c>
      <c r="B13612" t="s">
        <v>26335</v>
      </c>
      <c r="C13612" t="s">
        <v>50</v>
      </c>
      <c r="D13612" t="s">
        <v>51</v>
      </c>
      <c r="E13612" s="6">
        <v>-28124</v>
      </c>
      <c r="F13612" t="s">
        <v>301</v>
      </c>
      <c r="G13612" t="s">
        <v>35</v>
      </c>
      <c r="H13612" t="s">
        <v>20</v>
      </c>
      <c r="I13612" t="s">
        <v>26336</v>
      </c>
      <c r="J13612" t="str">
        <f>HYPERLINK("https://www.boe.es/gazeta/dias/1822/12/30/pdfs/GMD-1822-380.pdf#page=2","Abrir facsímil")</f>
        <v>Abrir facsímil</v>
      </c>
      <c r="K13612" t="s">
        <v>22</v>
      </c>
    </row>
    <row r="13613" spans="1:11" ht="42" customHeight="1">
      <c r="A13613" t="s">
        <v>26337</v>
      </c>
      <c r="B13613" t="s">
        <v>26338</v>
      </c>
      <c r="C13613" t="s">
        <v>50</v>
      </c>
      <c r="D13613" t="s">
        <v>51</v>
      </c>
      <c r="E13613" s="6">
        <v>-28288</v>
      </c>
      <c r="F13613" t="s">
        <v>970</v>
      </c>
      <c r="G13613" t="s">
        <v>35</v>
      </c>
      <c r="H13613" t="s">
        <v>20</v>
      </c>
      <c r="I13613" t="s">
        <v>26339</v>
      </c>
      <c r="J13613" t="str">
        <f>HYPERLINK("https://www.boe.es/gazeta/dias/1822/07/19/pdfs/GMD-1822-211.pdf#page=2","Abrir facsímil")</f>
        <v>Abrir facsímil</v>
      </c>
      <c r="K13613" t="s">
        <v>22</v>
      </c>
    </row>
    <row r="13614" spans="1:11" ht="42" customHeight="1">
      <c r="A13614" t="s">
        <v>26340</v>
      </c>
      <c r="B13614" t="s">
        <v>26340</v>
      </c>
      <c r="C13614" t="s">
        <v>42</v>
      </c>
      <c r="D13614" t="s">
        <v>17</v>
      </c>
      <c r="E13614" s="6">
        <v>-28243</v>
      </c>
      <c r="F13614" t="s">
        <v>1829</v>
      </c>
      <c r="G13614" t="s">
        <v>35</v>
      </c>
      <c r="H13614" t="s">
        <v>20</v>
      </c>
      <c r="I13614" t="s">
        <v>26341</v>
      </c>
      <c r="J13614" t="str">
        <f>HYPERLINK("https://www.boe.es/gazeta/dias/1822/09/02/pdfs/GMD-1822-257.pdf#page=2","Abrir facsímil")</f>
        <v>Abrir facsímil</v>
      </c>
      <c r="K13614" t="s">
        <v>22</v>
      </c>
    </row>
    <row r="13615" spans="1:11" ht="42" customHeight="1">
      <c r="A13615" t="s">
        <v>26342</v>
      </c>
      <c r="B13615" t="s">
        <v>26343</v>
      </c>
      <c r="C13615" t="s">
        <v>50</v>
      </c>
      <c r="D13615" t="s">
        <v>51</v>
      </c>
      <c r="E13615" s="6">
        <v>-28408</v>
      </c>
      <c r="F13615" t="s">
        <v>2561</v>
      </c>
      <c r="G13615" t="s">
        <v>63</v>
      </c>
      <c r="H13615" t="s">
        <v>20</v>
      </c>
      <c r="I13615" t="s">
        <v>26344</v>
      </c>
      <c r="J13615" t="str">
        <f>HYPERLINK("https://www.boe.es/gazeta/dias/1822/03/21/pdfs/GMD-1822-82.pdf#page=6","Abrir facsímil")</f>
        <v>Abrir facsímil</v>
      </c>
      <c r="K13615" t="s">
        <v>22</v>
      </c>
    </row>
    <row r="13616" spans="1:11" ht="42" customHeight="1">
      <c r="A13616" t="s">
        <v>26345</v>
      </c>
      <c r="B13616" t="s">
        <v>26345</v>
      </c>
      <c r="C13616" t="s">
        <v>50</v>
      </c>
      <c r="D13616" t="s">
        <v>51</v>
      </c>
      <c r="E13616" s="6">
        <v>-28228</v>
      </c>
      <c r="F13616" t="s">
        <v>718</v>
      </c>
      <c r="G13616" t="s">
        <v>44</v>
      </c>
      <c r="H13616" t="s">
        <v>20</v>
      </c>
      <c r="I13616" t="s">
        <v>26346</v>
      </c>
      <c r="J13616" t="str">
        <f>HYPERLINK("https://www.boe.es/gazeta/dias/1822/09/17/pdfs/GMD-1822-273.pdf#page=1","Abrir facsímil")</f>
        <v>Abrir facsímil</v>
      </c>
      <c r="K13616" t="s">
        <v>22</v>
      </c>
    </row>
    <row r="13617" spans="1:11" ht="42" customHeight="1">
      <c r="A13617" t="s">
        <v>26347</v>
      </c>
      <c r="B13617" t="s">
        <v>26347</v>
      </c>
      <c r="C13617" t="s">
        <v>50</v>
      </c>
      <c r="D13617" t="s">
        <v>51</v>
      </c>
      <c r="E13617" s="6">
        <v>-28267</v>
      </c>
      <c r="F13617" t="s">
        <v>1270</v>
      </c>
      <c r="G13617" t="s">
        <v>31</v>
      </c>
      <c r="H13617" t="s">
        <v>20</v>
      </c>
      <c r="I13617" t="s">
        <v>26348</v>
      </c>
      <c r="J13617" t="str">
        <f>HYPERLINK("https://www.boe.es/gazeta/dias/1822/08/09/pdfs/GMD-1822-233.pdf#page=3","Abrir facsímil")</f>
        <v>Abrir facsímil</v>
      </c>
      <c r="K13617" t="s">
        <v>22</v>
      </c>
    </row>
    <row r="13618" spans="1:11" ht="42" customHeight="1">
      <c r="A13618" t="s">
        <v>26349</v>
      </c>
      <c r="B13618" t="s">
        <v>26349</v>
      </c>
      <c r="C13618" t="s">
        <v>24</v>
      </c>
      <c r="D13618" t="s">
        <v>17</v>
      </c>
      <c r="E13618" s="6">
        <v>-28393</v>
      </c>
      <c r="F13618" t="s">
        <v>326</v>
      </c>
      <c r="G13618" t="s">
        <v>35</v>
      </c>
      <c r="H13618" t="s">
        <v>20</v>
      </c>
      <c r="I13618" t="s">
        <v>26350</v>
      </c>
      <c r="J13618" t="str">
        <f>HYPERLINK("https://www.boe.es/gazeta/dias/1822/04/05/pdfs/GMD-1822-97.pdf#page=2","Abrir facsímil")</f>
        <v>Abrir facsímil</v>
      </c>
      <c r="K13618" t="s">
        <v>22</v>
      </c>
    </row>
    <row r="13619" spans="1:11" ht="42" customHeight="1">
      <c r="A13619" t="s">
        <v>26351</v>
      </c>
      <c r="B13619" t="s">
        <v>26352</v>
      </c>
      <c r="C13619" t="s">
        <v>16</v>
      </c>
      <c r="D13619" t="s">
        <v>17</v>
      </c>
      <c r="E13619" s="6">
        <v>-28393</v>
      </c>
      <c r="F13619" t="s">
        <v>326</v>
      </c>
      <c r="G13619" t="s">
        <v>57</v>
      </c>
      <c r="H13619" t="s">
        <v>20</v>
      </c>
      <c r="I13619" t="s">
        <v>26353</v>
      </c>
      <c r="J13619" t="str">
        <f>HYPERLINK("https://www.boe.es/gazeta/dias/1822/04/05/pdfs/GMD-1822-97.pdf#page=4","Abrir facsímil")</f>
        <v>Abrir facsímil</v>
      </c>
      <c r="K13619" t="s">
        <v>22</v>
      </c>
    </row>
    <row r="13620" spans="1:11" ht="42" customHeight="1">
      <c r="A13620" t="s">
        <v>26354</v>
      </c>
      <c r="B13620" t="s">
        <v>26355</v>
      </c>
      <c r="C13620" t="s">
        <v>50</v>
      </c>
      <c r="D13620" t="s">
        <v>51</v>
      </c>
      <c r="E13620" s="6">
        <v>-28125</v>
      </c>
      <c r="F13620" t="s">
        <v>322</v>
      </c>
      <c r="G13620" t="s">
        <v>19</v>
      </c>
      <c r="H13620" t="s">
        <v>20</v>
      </c>
      <c r="I13620" t="s">
        <v>26356</v>
      </c>
      <c r="J13620" t="str">
        <f>HYPERLINK("https://www.boe.es/gazeta/dias/1822/12/29/pdfs/GMD-1822-379.pdf#page=5","Abrir facsímil")</f>
        <v>Abrir facsímil</v>
      </c>
      <c r="K13620" t="s">
        <v>22</v>
      </c>
    </row>
    <row r="13621" spans="1:11" ht="42" customHeight="1">
      <c r="A13621" t="s">
        <v>26357</v>
      </c>
      <c r="B13621" t="s">
        <v>26357</v>
      </c>
      <c r="C13621" t="s">
        <v>28</v>
      </c>
      <c r="D13621" t="s">
        <v>29</v>
      </c>
      <c r="E13621" s="6">
        <v>-28317</v>
      </c>
      <c r="F13621" t="s">
        <v>546</v>
      </c>
      <c r="G13621" t="s">
        <v>44</v>
      </c>
      <c r="H13621" t="s">
        <v>20</v>
      </c>
      <c r="I13621" t="s">
        <v>26358</v>
      </c>
      <c r="J13621" t="str">
        <f>HYPERLINK("https://www.boe.es/gazeta/dias/1822/06/20/pdfs/GMD-1822-177.pdf#page=1","Abrir facsímil")</f>
        <v>Abrir facsímil</v>
      </c>
      <c r="K13621" t="s">
        <v>22</v>
      </c>
    </row>
    <row r="13622" spans="1:11" ht="42" customHeight="1">
      <c r="A13622" t="s">
        <v>26357</v>
      </c>
      <c r="B13622" t="s">
        <v>26357</v>
      </c>
      <c r="C13622" t="s">
        <v>50</v>
      </c>
      <c r="D13622" t="s">
        <v>51</v>
      </c>
      <c r="E13622" s="6">
        <v>-28286</v>
      </c>
      <c r="F13622" t="s">
        <v>1853</v>
      </c>
      <c r="G13622" t="s">
        <v>35</v>
      </c>
      <c r="H13622" t="s">
        <v>20</v>
      </c>
      <c r="I13622" t="s">
        <v>26359</v>
      </c>
      <c r="J13622" t="str">
        <f>HYPERLINK("https://www.boe.es/gazeta/dias/1822/07/21/pdfs/GMD-1822-213.pdf#page=2","Abrir facsímil")</f>
        <v>Abrir facsímil</v>
      </c>
      <c r="K13622" t="s">
        <v>22</v>
      </c>
    </row>
    <row r="13623" spans="1:11" ht="42" customHeight="1">
      <c r="A13623" t="s">
        <v>26357</v>
      </c>
      <c r="B13623" t="s">
        <v>26357</v>
      </c>
      <c r="C13623" t="s">
        <v>16</v>
      </c>
      <c r="D13623" t="s">
        <v>17</v>
      </c>
      <c r="E13623" s="6">
        <v>-28224</v>
      </c>
      <c r="F13623" t="s">
        <v>1902</v>
      </c>
      <c r="G13623" t="s">
        <v>57</v>
      </c>
      <c r="H13623" t="s">
        <v>20</v>
      </c>
      <c r="I13623" t="s">
        <v>26360</v>
      </c>
      <c r="J13623" t="str">
        <f>HYPERLINK("https://www.boe.es/gazeta/dias/1822/09/21/pdfs/GMD-1822-277.pdf#page=4","Abrir facsímil")</f>
        <v>Abrir facsímil</v>
      </c>
      <c r="K13623" t="s">
        <v>22</v>
      </c>
    </row>
    <row r="13624" spans="1:11" ht="42" customHeight="1">
      <c r="A13624" t="s">
        <v>26361</v>
      </c>
      <c r="B13624" t="s">
        <v>26361</v>
      </c>
      <c r="C13624" t="s">
        <v>50</v>
      </c>
      <c r="D13624" t="s">
        <v>51</v>
      </c>
      <c r="E13624" s="6">
        <v>-28480</v>
      </c>
      <c r="F13624" t="s">
        <v>995</v>
      </c>
      <c r="G13624" t="s">
        <v>44</v>
      </c>
      <c r="H13624" t="s">
        <v>20</v>
      </c>
      <c r="I13624" t="s">
        <v>26362</v>
      </c>
      <c r="J13624" t="str">
        <f>HYPERLINK("https://www.boe.es/gazeta/dias/1822/01/08/pdfs/GMD-1822-8.pdf#page=1","Abrir facsímil")</f>
        <v>Abrir facsímil</v>
      </c>
      <c r="K13624" t="s">
        <v>22</v>
      </c>
    </row>
    <row r="13625" spans="1:11" ht="42" customHeight="1">
      <c r="A13625" t="s">
        <v>26361</v>
      </c>
      <c r="B13625" t="s">
        <v>26361</v>
      </c>
      <c r="C13625" t="s">
        <v>16</v>
      </c>
      <c r="D13625" t="s">
        <v>17</v>
      </c>
      <c r="E13625" s="6">
        <v>-28462</v>
      </c>
      <c r="F13625" t="s">
        <v>1099</v>
      </c>
      <c r="G13625" t="s">
        <v>44</v>
      </c>
      <c r="H13625" t="s">
        <v>20</v>
      </c>
      <c r="I13625" t="s">
        <v>26363</v>
      </c>
      <c r="J13625" t="str">
        <f>HYPERLINK("https://www.boe.es/gazeta/dias/1822/01/26/pdfs/GMD-1822-26.pdf#page=1","Abrir facsímil")</f>
        <v>Abrir facsímil</v>
      </c>
      <c r="K13625" t="s">
        <v>22</v>
      </c>
    </row>
    <row r="13626" spans="1:11" ht="42" customHeight="1">
      <c r="A13626" t="s">
        <v>26361</v>
      </c>
      <c r="B13626" t="s">
        <v>26361</v>
      </c>
      <c r="C13626" t="s">
        <v>28</v>
      </c>
      <c r="D13626" t="s">
        <v>29</v>
      </c>
      <c r="E13626" s="6">
        <v>-28431</v>
      </c>
      <c r="F13626" t="s">
        <v>1258</v>
      </c>
      <c r="G13626" t="s">
        <v>31</v>
      </c>
      <c r="H13626" t="s">
        <v>20</v>
      </c>
      <c r="I13626" t="s">
        <v>26364</v>
      </c>
      <c r="J13626" t="str">
        <f>HYPERLINK("https://www.boe.es/gazeta/dias/1822/02/26/pdfs/GMD-1822-58.pdf#page=3","Abrir facsímil")</f>
        <v>Abrir facsímil</v>
      </c>
      <c r="K13626" t="s">
        <v>22</v>
      </c>
    </row>
    <row r="13627" spans="1:11" ht="42" customHeight="1">
      <c r="A13627" t="s">
        <v>26361</v>
      </c>
      <c r="B13627" t="s">
        <v>26361</v>
      </c>
      <c r="C13627" t="s">
        <v>28</v>
      </c>
      <c r="D13627" t="s">
        <v>29</v>
      </c>
      <c r="E13627" s="6">
        <v>-28384</v>
      </c>
      <c r="F13627" t="s">
        <v>258</v>
      </c>
      <c r="G13627" t="s">
        <v>44</v>
      </c>
      <c r="H13627" t="s">
        <v>20</v>
      </c>
      <c r="I13627" t="s">
        <v>26365</v>
      </c>
      <c r="J13627" t="str">
        <f>HYPERLINK("https://www.boe.es/gazeta/dias/1822/04/14/pdfs/GMD-1822-106.pdf#page=1","Abrir facsímil")</f>
        <v>Abrir facsímil</v>
      </c>
      <c r="K13627" t="s">
        <v>22</v>
      </c>
    </row>
    <row r="13628" spans="1:11" ht="42" customHeight="1">
      <c r="A13628" t="s">
        <v>26361</v>
      </c>
      <c r="B13628" t="s">
        <v>26361</v>
      </c>
      <c r="C13628" t="s">
        <v>24</v>
      </c>
      <c r="D13628" t="s">
        <v>17</v>
      </c>
      <c r="E13628" s="6">
        <v>-28331</v>
      </c>
      <c r="F13628" t="s">
        <v>537</v>
      </c>
      <c r="G13628" t="s">
        <v>44</v>
      </c>
      <c r="H13628" t="s">
        <v>20</v>
      </c>
      <c r="I13628" t="s">
        <v>26366</v>
      </c>
      <c r="J13628" t="str">
        <f>HYPERLINK("https://www.boe.es/gazeta/dias/1822/06/06/pdfs/GMD-1822-163.pdf#page=1","Abrir facsímil")</f>
        <v>Abrir facsímil</v>
      </c>
      <c r="K13628" t="s">
        <v>22</v>
      </c>
    </row>
    <row r="13629" spans="1:11" ht="42" customHeight="1">
      <c r="A13629" t="s">
        <v>26361</v>
      </c>
      <c r="B13629" t="s">
        <v>26361</v>
      </c>
      <c r="C13629" t="s">
        <v>28</v>
      </c>
      <c r="D13629" t="s">
        <v>29</v>
      </c>
      <c r="E13629" s="6">
        <v>-28317</v>
      </c>
      <c r="F13629" t="s">
        <v>546</v>
      </c>
      <c r="G13629" t="s">
        <v>44</v>
      </c>
      <c r="H13629" t="s">
        <v>20</v>
      </c>
      <c r="I13629" t="s">
        <v>26367</v>
      </c>
      <c r="J13629" t="str">
        <f>HYPERLINK("https://www.boe.es/gazeta/dias/1822/06/20/pdfs/GMD-1822-177.pdf#page=1","Abrir facsímil")</f>
        <v>Abrir facsímil</v>
      </c>
      <c r="K13629" t="s">
        <v>22</v>
      </c>
    </row>
    <row r="13630" spans="1:11" ht="42" customHeight="1">
      <c r="A13630" t="s">
        <v>26361</v>
      </c>
      <c r="B13630" t="s">
        <v>26361</v>
      </c>
      <c r="C13630" t="s">
        <v>24</v>
      </c>
      <c r="D13630" t="s">
        <v>17</v>
      </c>
      <c r="E13630" s="6">
        <v>-28244</v>
      </c>
      <c r="F13630" t="s">
        <v>6163</v>
      </c>
      <c r="G13630" t="s">
        <v>44</v>
      </c>
      <c r="H13630" t="s">
        <v>20</v>
      </c>
      <c r="I13630" t="s">
        <v>26368</v>
      </c>
      <c r="J13630" t="str">
        <f>HYPERLINK("https://www.boe.es/gazeta/dias/1822/09/01/pdfs/GMD-1822-256.pdf#page=1","Abrir facsímil")</f>
        <v>Abrir facsímil</v>
      </c>
      <c r="K13630" t="s">
        <v>22</v>
      </c>
    </row>
    <row r="13631" spans="1:11" ht="42" customHeight="1">
      <c r="A13631" t="s">
        <v>26361</v>
      </c>
      <c r="B13631" t="s">
        <v>26361</v>
      </c>
      <c r="C13631" t="s">
        <v>28</v>
      </c>
      <c r="D13631" t="s">
        <v>29</v>
      </c>
      <c r="E13631" s="6">
        <v>-28228</v>
      </c>
      <c r="F13631" t="s">
        <v>718</v>
      </c>
      <c r="G13631" t="s">
        <v>44</v>
      </c>
      <c r="H13631" t="s">
        <v>20</v>
      </c>
      <c r="I13631" t="s">
        <v>26369</v>
      </c>
      <c r="J13631" t="str">
        <f>HYPERLINK("https://www.boe.es/gazeta/dias/1822/09/17/pdfs/GMD-1822-273.pdf#page=1","Abrir facsímil")</f>
        <v>Abrir facsímil</v>
      </c>
      <c r="K13631" t="s">
        <v>22</v>
      </c>
    </row>
    <row r="13632" spans="1:11" ht="42" customHeight="1">
      <c r="A13632" t="s">
        <v>26361</v>
      </c>
      <c r="B13632" t="s">
        <v>26361</v>
      </c>
      <c r="C13632" t="s">
        <v>50</v>
      </c>
      <c r="D13632" t="s">
        <v>51</v>
      </c>
      <c r="E13632" s="6">
        <v>-28226</v>
      </c>
      <c r="F13632" t="s">
        <v>812</v>
      </c>
      <c r="G13632" t="s">
        <v>44</v>
      </c>
      <c r="H13632" t="s">
        <v>20</v>
      </c>
      <c r="I13632" t="s">
        <v>26370</v>
      </c>
      <c r="J13632" t="str">
        <f>HYPERLINK("https://www.boe.es/gazeta/dias/1822/09/19/pdfs/GMD-1822-275.pdf#page=1","Abrir facsímil")</f>
        <v>Abrir facsímil</v>
      </c>
      <c r="K13632" t="s">
        <v>22</v>
      </c>
    </row>
    <row r="13633" spans="1:11" ht="42" customHeight="1">
      <c r="A13633" t="s">
        <v>26361</v>
      </c>
      <c r="B13633" t="s">
        <v>26361</v>
      </c>
      <c r="C13633" t="s">
        <v>71</v>
      </c>
      <c r="D13633" t="s">
        <v>17</v>
      </c>
      <c r="E13633" s="6">
        <v>-28191</v>
      </c>
      <c r="F13633" t="s">
        <v>710</v>
      </c>
      <c r="G13633" t="s">
        <v>167</v>
      </c>
      <c r="H13633" t="s">
        <v>20</v>
      </c>
      <c r="I13633" t="s">
        <v>26371</v>
      </c>
      <c r="J13633" t="str">
        <f>HYPERLINK("https://www.boe.es/gazeta/dias/1822/10/24/pdfs/GMD-1822-311.pdf#page=7","Abrir facsímil")</f>
        <v>Abrir facsímil</v>
      </c>
      <c r="K13633" t="s">
        <v>22</v>
      </c>
    </row>
    <row r="13634" spans="1:11" ht="42" customHeight="1">
      <c r="A13634" t="s">
        <v>26361</v>
      </c>
      <c r="B13634" t="s">
        <v>26361</v>
      </c>
      <c r="C13634" t="s">
        <v>50</v>
      </c>
      <c r="D13634" t="s">
        <v>51</v>
      </c>
      <c r="E13634" s="6">
        <v>-28172</v>
      </c>
      <c r="F13634" t="s">
        <v>674</v>
      </c>
      <c r="G13634" t="s">
        <v>57</v>
      </c>
      <c r="H13634" t="s">
        <v>20</v>
      </c>
      <c r="I13634" t="s">
        <v>26372</v>
      </c>
      <c r="J13634" t="str">
        <f>HYPERLINK("https://www.boe.es/gazeta/dias/1822/11/12/pdfs/GMD-1822-332.pdf#page=4","Abrir facsímil")</f>
        <v>Abrir facsímil</v>
      </c>
      <c r="K13634" t="s">
        <v>22</v>
      </c>
    </row>
    <row r="13635" spans="1:11" ht="42" customHeight="1">
      <c r="A13635" t="s">
        <v>26361</v>
      </c>
      <c r="B13635" t="s">
        <v>26361</v>
      </c>
      <c r="C13635" t="s">
        <v>28</v>
      </c>
      <c r="D13635" t="s">
        <v>29</v>
      </c>
      <c r="E13635" s="6">
        <v>-28151</v>
      </c>
      <c r="F13635" t="s">
        <v>985</v>
      </c>
      <c r="G13635" t="s">
        <v>31</v>
      </c>
      <c r="H13635" t="s">
        <v>20</v>
      </c>
      <c r="I13635" t="s">
        <v>26373</v>
      </c>
      <c r="J13635" t="str">
        <f>HYPERLINK("https://www.boe.es/gazeta/dias/1822/12/03/pdfs/GMD-1822-353.pdf#page=3","Abrir facsímil")</f>
        <v>Abrir facsímil</v>
      </c>
      <c r="K13635" t="s">
        <v>22</v>
      </c>
    </row>
    <row r="13636" spans="1:11" ht="42" customHeight="1">
      <c r="A13636" t="s">
        <v>26374</v>
      </c>
      <c r="B13636" t="s">
        <v>26374</v>
      </c>
      <c r="C13636" t="s">
        <v>42</v>
      </c>
      <c r="D13636" t="s">
        <v>17</v>
      </c>
      <c r="E13636" s="6">
        <v>-28482</v>
      </c>
      <c r="F13636" t="s">
        <v>850</v>
      </c>
      <c r="G13636" t="s">
        <v>44</v>
      </c>
      <c r="H13636" t="s">
        <v>20</v>
      </c>
      <c r="I13636" t="s">
        <v>26375</v>
      </c>
      <c r="J13636" t="str">
        <f>HYPERLINK("https://www.boe.es/gazeta/dias/1822/01/06/pdfs/GMD-1822-6.pdf#page=1","Abrir facsímil")</f>
        <v>Abrir facsímil</v>
      </c>
      <c r="K13636" t="s">
        <v>22</v>
      </c>
    </row>
    <row r="13637" spans="1:11" ht="42" customHeight="1">
      <c r="A13637" t="s">
        <v>26376</v>
      </c>
      <c r="B13637" t="s">
        <v>26376</v>
      </c>
      <c r="C13637" t="s">
        <v>50</v>
      </c>
      <c r="D13637" t="s">
        <v>51</v>
      </c>
      <c r="E13637" s="6">
        <v>-28215</v>
      </c>
      <c r="F13637" t="s">
        <v>17483</v>
      </c>
      <c r="G13637" t="s">
        <v>35</v>
      </c>
      <c r="H13637" t="s">
        <v>20</v>
      </c>
      <c r="I13637" t="s">
        <v>26377</v>
      </c>
      <c r="J13637" t="str">
        <f>HYPERLINK("https://www.boe.es/gazeta/dias/1822/09/30/pdfs/GMD-1822-286.pdf#page=2","Abrir facsímil")</f>
        <v>Abrir facsímil</v>
      </c>
      <c r="K13637" t="s">
        <v>22</v>
      </c>
    </row>
    <row r="13638" spans="1:11" ht="42" customHeight="1">
      <c r="A13638" t="s">
        <v>26378</v>
      </c>
      <c r="B13638" t="s">
        <v>26378</v>
      </c>
      <c r="C13638" t="s">
        <v>28</v>
      </c>
      <c r="D13638" t="s">
        <v>29</v>
      </c>
      <c r="E13638" s="6">
        <v>-28360</v>
      </c>
      <c r="F13638" t="s">
        <v>514</v>
      </c>
      <c r="G13638" t="s">
        <v>44</v>
      </c>
      <c r="H13638" t="s">
        <v>20</v>
      </c>
      <c r="I13638" t="s">
        <v>26379</v>
      </c>
      <c r="J13638" t="str">
        <f>HYPERLINK("https://www.boe.es/gazeta/dias/1822/05/08/pdfs/GMD-1822-130.pdf#page=1","Abrir facsímil")</f>
        <v>Abrir facsímil</v>
      </c>
      <c r="K13638" t="s">
        <v>22</v>
      </c>
    </row>
    <row r="13639" spans="1:11" ht="42" customHeight="1">
      <c r="A13639" t="s">
        <v>26380</v>
      </c>
      <c r="B13639" t="s">
        <v>26380</v>
      </c>
      <c r="C13639" t="s">
        <v>61</v>
      </c>
      <c r="D13639" t="s">
        <v>17</v>
      </c>
      <c r="E13639" s="6">
        <v>-28480</v>
      </c>
      <c r="F13639" t="s">
        <v>995</v>
      </c>
      <c r="G13639" t="s">
        <v>44</v>
      </c>
      <c r="H13639" t="s">
        <v>20</v>
      </c>
      <c r="I13639" t="s">
        <v>26381</v>
      </c>
      <c r="J13639" t="str">
        <f>HYPERLINK("https://www.boe.es/gazeta/dias/1822/01/08/pdfs/GMD-1822-8.pdf#page=1","Abrir facsímil")</f>
        <v>Abrir facsímil</v>
      </c>
      <c r="K13639" t="s">
        <v>22</v>
      </c>
    </row>
    <row r="13640" spans="1:11" ht="42" customHeight="1">
      <c r="A13640" t="s">
        <v>26382</v>
      </c>
      <c r="B13640" t="s">
        <v>26382</v>
      </c>
      <c r="C13640" t="s">
        <v>16</v>
      </c>
      <c r="D13640" t="s">
        <v>17</v>
      </c>
      <c r="E13640" s="6">
        <v>-28167</v>
      </c>
      <c r="F13640" t="s">
        <v>904</v>
      </c>
      <c r="G13640" t="s">
        <v>44</v>
      </c>
      <c r="H13640" t="s">
        <v>20</v>
      </c>
      <c r="I13640" t="s">
        <v>26383</v>
      </c>
      <c r="J13640" t="str">
        <f>HYPERLINK("https://www.boe.es/gazeta/dias/1822/11/17/pdfs/GMD-1822-337.pdf#page=1","Abrir facsímil")</f>
        <v>Abrir facsímil</v>
      </c>
      <c r="K13640" t="s">
        <v>22</v>
      </c>
    </row>
    <row r="13641" spans="1:11" ht="42" customHeight="1">
      <c r="A13641" t="s">
        <v>26384</v>
      </c>
      <c r="B13641" t="s">
        <v>26385</v>
      </c>
      <c r="C13641" t="s">
        <v>50</v>
      </c>
      <c r="D13641" t="s">
        <v>51</v>
      </c>
      <c r="E13641" s="6">
        <v>-28190</v>
      </c>
      <c r="F13641" t="s">
        <v>576</v>
      </c>
      <c r="G13641" t="s">
        <v>63</v>
      </c>
      <c r="H13641" t="s">
        <v>20</v>
      </c>
      <c r="I13641" t="s">
        <v>26386</v>
      </c>
      <c r="J13641" t="str">
        <f>HYPERLINK("https://www.boe.es/gazeta/dias/1822/10/25/pdfs/GMD-1822-312.pdf#page=6","Abrir facsímil")</f>
        <v>Abrir facsímil</v>
      </c>
      <c r="K13641" t="s">
        <v>22</v>
      </c>
    </row>
    <row r="13642" spans="1:11" ht="42" customHeight="1">
      <c r="A13642" t="s">
        <v>26387</v>
      </c>
      <c r="B13642" t="s">
        <v>26387</v>
      </c>
      <c r="C13642" t="s">
        <v>42</v>
      </c>
      <c r="D13642" t="s">
        <v>17</v>
      </c>
      <c r="E13642" s="6">
        <v>-28431</v>
      </c>
      <c r="F13642" t="s">
        <v>1258</v>
      </c>
      <c r="G13642" t="s">
        <v>35</v>
      </c>
      <c r="H13642" t="s">
        <v>20</v>
      </c>
      <c r="I13642" t="s">
        <v>26388</v>
      </c>
      <c r="J13642" t="str">
        <f>HYPERLINK("https://www.boe.es/gazeta/dias/1822/02/26/pdfs/GMD-1822-58.pdf#page=2","Abrir facsímil")</f>
        <v>Abrir facsímil</v>
      </c>
      <c r="K13642" t="s">
        <v>22</v>
      </c>
    </row>
    <row r="13643" spans="1:11" ht="42" customHeight="1">
      <c r="A13643" t="s">
        <v>26389</v>
      </c>
      <c r="B13643" t="s">
        <v>26389</v>
      </c>
      <c r="C13643" t="s">
        <v>50</v>
      </c>
      <c r="D13643" t="s">
        <v>51</v>
      </c>
      <c r="E13643" s="6">
        <v>-28275</v>
      </c>
      <c r="F13643" t="s">
        <v>1297</v>
      </c>
      <c r="G13643" t="s">
        <v>35</v>
      </c>
      <c r="H13643" t="s">
        <v>20</v>
      </c>
      <c r="I13643" t="s">
        <v>26390</v>
      </c>
      <c r="J13643" t="str">
        <f>HYPERLINK("https://www.boe.es/gazeta/dias/1822/08/01/pdfs/GMD-1822-225.pdf#page=2","Abrir facsímil")</f>
        <v>Abrir facsímil</v>
      </c>
      <c r="K13643" t="s">
        <v>22</v>
      </c>
    </row>
    <row r="13644" spans="1:11" ht="42" customHeight="1">
      <c r="A13644" t="s">
        <v>26391</v>
      </c>
      <c r="B13644" t="s">
        <v>26391</v>
      </c>
      <c r="C13644" t="s">
        <v>42</v>
      </c>
      <c r="D13644" t="s">
        <v>17</v>
      </c>
      <c r="E13644" s="6">
        <v>-28173</v>
      </c>
      <c r="F13644" t="s">
        <v>2959</v>
      </c>
      <c r="G13644" t="s">
        <v>57</v>
      </c>
      <c r="H13644" t="s">
        <v>20</v>
      </c>
      <c r="I13644" t="s">
        <v>26392</v>
      </c>
      <c r="J13644" t="str">
        <f>HYPERLINK("https://www.boe.es/gazeta/dias/1822/11/11/pdfs/GMD-1822-331.pdf#page=4","Abrir facsímil")</f>
        <v>Abrir facsímil</v>
      </c>
      <c r="K13644" t="s">
        <v>22</v>
      </c>
    </row>
    <row r="13645" spans="1:11" ht="42" customHeight="1">
      <c r="A13645" t="s">
        <v>26393</v>
      </c>
      <c r="B13645" t="s">
        <v>26393</v>
      </c>
      <c r="C13645" t="s">
        <v>50</v>
      </c>
      <c r="D13645" t="s">
        <v>51</v>
      </c>
      <c r="E13645" s="6">
        <v>-28375</v>
      </c>
      <c r="F13645" t="s">
        <v>2035</v>
      </c>
      <c r="G13645" t="s">
        <v>44</v>
      </c>
      <c r="H13645" t="s">
        <v>20</v>
      </c>
      <c r="I13645" t="s">
        <v>26394</v>
      </c>
      <c r="J13645" t="str">
        <f>HYPERLINK("https://www.boe.es/gazeta/dias/1822/04/23/pdfs/GMD-1822-115.pdf#page=1","Abrir facsímil")</f>
        <v>Abrir facsímil</v>
      </c>
      <c r="K13645" t="s">
        <v>22</v>
      </c>
    </row>
    <row r="13646" spans="1:11" ht="42" customHeight="1">
      <c r="A13646" t="s">
        <v>26395</v>
      </c>
      <c r="B13646" t="s">
        <v>26396</v>
      </c>
      <c r="C13646" t="s">
        <v>42</v>
      </c>
      <c r="D13646" t="s">
        <v>17</v>
      </c>
      <c r="E13646" s="6">
        <v>-28157</v>
      </c>
      <c r="F13646" t="s">
        <v>1492</v>
      </c>
      <c r="G13646" t="s">
        <v>35</v>
      </c>
      <c r="H13646" t="s">
        <v>20</v>
      </c>
      <c r="I13646" t="s">
        <v>26397</v>
      </c>
      <c r="J13646" t="str">
        <f>HYPERLINK("https://www.boe.es/gazeta/dias/1822/11/27/pdfs/GMD-1822-347.pdf#page=2","Abrir facsímil")</f>
        <v>Abrir facsímil</v>
      </c>
      <c r="K13646" t="s">
        <v>22</v>
      </c>
    </row>
    <row r="13647" spans="1:11" ht="42" customHeight="1">
      <c r="A13647" t="s">
        <v>26398</v>
      </c>
      <c r="B13647" t="s">
        <v>26399</v>
      </c>
      <c r="C13647" t="s">
        <v>28</v>
      </c>
      <c r="D13647" t="s">
        <v>29</v>
      </c>
      <c r="E13647" s="6">
        <v>-28370</v>
      </c>
      <c r="F13647" t="s">
        <v>207</v>
      </c>
      <c r="G13647" t="s">
        <v>63</v>
      </c>
      <c r="H13647" t="s">
        <v>20</v>
      </c>
      <c r="I13647" t="s">
        <v>26400</v>
      </c>
      <c r="J13647" t="str">
        <f>HYPERLINK("https://www.boe.es/gazeta/dias/1822/04/28/pdfs/GMD-1822-120.pdf#page=6","Abrir facsímil")</f>
        <v>Abrir facsímil</v>
      </c>
      <c r="K13647" t="s">
        <v>22</v>
      </c>
    </row>
    <row r="13648" spans="1:11" ht="42" customHeight="1">
      <c r="A13648" t="s">
        <v>26401</v>
      </c>
      <c r="B13648" t="s">
        <v>26401</v>
      </c>
      <c r="C13648" t="s">
        <v>42</v>
      </c>
      <c r="D13648" t="s">
        <v>17</v>
      </c>
      <c r="E13648" s="6">
        <v>-28398</v>
      </c>
      <c r="F13648" t="s">
        <v>1961</v>
      </c>
      <c r="G13648" t="s">
        <v>31</v>
      </c>
      <c r="H13648" t="s">
        <v>20</v>
      </c>
      <c r="I13648" t="s">
        <v>26402</v>
      </c>
      <c r="J13648" t="str">
        <f>HYPERLINK("https://www.boe.es/gazeta/dias/1822/03/31/pdfs/GMD-1822-92.pdf#page=3","Abrir facsímil")</f>
        <v>Abrir facsímil</v>
      </c>
      <c r="K13648" t="s">
        <v>22</v>
      </c>
    </row>
    <row r="13649" spans="1:11" ht="42" customHeight="1">
      <c r="A13649" t="s">
        <v>26403</v>
      </c>
      <c r="B13649" t="s">
        <v>26404</v>
      </c>
      <c r="C13649" t="s">
        <v>50</v>
      </c>
      <c r="D13649" t="s">
        <v>51</v>
      </c>
      <c r="E13649" s="6">
        <v>-28473</v>
      </c>
      <c r="F13649" t="s">
        <v>2337</v>
      </c>
      <c r="G13649" t="s">
        <v>157</v>
      </c>
      <c r="H13649" t="s">
        <v>20</v>
      </c>
      <c r="I13649" t="s">
        <v>26405</v>
      </c>
      <c r="J13649" t="str">
        <f>HYPERLINK("https://www.boe.es/gazeta/dias/1822/01/15/pdfs/GMD-1822-15.pdf#page=8","Abrir facsímil")</f>
        <v>Abrir facsímil</v>
      </c>
      <c r="K13649" t="s">
        <v>22</v>
      </c>
    </row>
    <row r="13650" spans="1:11" ht="42" customHeight="1">
      <c r="A13650" t="s">
        <v>26406</v>
      </c>
      <c r="B13650" t="s">
        <v>26407</v>
      </c>
      <c r="C13650" t="s">
        <v>42</v>
      </c>
      <c r="D13650" t="s">
        <v>17</v>
      </c>
      <c r="E13650" s="6">
        <v>-28282</v>
      </c>
      <c r="F13650" t="s">
        <v>6600</v>
      </c>
      <c r="G13650" t="s">
        <v>6601</v>
      </c>
      <c r="H13650" t="s">
        <v>20</v>
      </c>
      <c r="I13650" t="s">
        <v>26408</v>
      </c>
      <c r="J13650" t="str">
        <f>HYPERLINK("https://www.boe.es/gazeta/dias/1822/07/25/pdfs/GMD-1822-218.pdf#page=4","Abrir facsímil")</f>
        <v>Abrir facsímil</v>
      </c>
      <c r="K13650" t="s">
        <v>22</v>
      </c>
    </row>
    <row r="13651" spans="1:11" ht="42" customHeight="1">
      <c r="A13651" t="s">
        <v>26409</v>
      </c>
      <c r="B13651" t="s">
        <v>26410</v>
      </c>
      <c r="C13651" t="s">
        <v>28</v>
      </c>
      <c r="D13651" t="s">
        <v>29</v>
      </c>
      <c r="E13651" s="6">
        <v>-28213</v>
      </c>
      <c r="F13651" t="s">
        <v>558</v>
      </c>
      <c r="G13651" t="s">
        <v>31</v>
      </c>
      <c r="H13651" t="s">
        <v>20</v>
      </c>
      <c r="I13651" t="s">
        <v>26411</v>
      </c>
      <c r="J13651" t="str">
        <f>HYPERLINK("https://www.boe.es/gazeta/dias/1822/10/02/pdfs/GMD-1822-288.pdf#page=3","Abrir facsímil")</f>
        <v>Abrir facsímil</v>
      </c>
      <c r="K13651" t="s">
        <v>22</v>
      </c>
    </row>
    <row r="13652" spans="1:11" ht="42" customHeight="1">
      <c r="A13652" t="s">
        <v>26412</v>
      </c>
      <c r="B13652" t="s">
        <v>26413</v>
      </c>
      <c r="C13652" t="s">
        <v>50</v>
      </c>
      <c r="D13652" t="s">
        <v>51</v>
      </c>
      <c r="E13652" s="6">
        <v>-28150</v>
      </c>
      <c r="F13652" t="s">
        <v>62</v>
      </c>
      <c r="G13652" t="s">
        <v>63</v>
      </c>
      <c r="H13652" t="s">
        <v>20</v>
      </c>
      <c r="I13652" t="s">
        <v>26414</v>
      </c>
      <c r="J13652" t="str">
        <f>HYPERLINK("https://www.boe.es/gazeta/dias/1822/12/04/pdfs/GMD-1822-354.pdf#page=6","Abrir facsímil")</f>
        <v>Abrir facsímil</v>
      </c>
      <c r="K13652" t="s">
        <v>22</v>
      </c>
    </row>
    <row r="13653" spans="1:11" ht="42" customHeight="1">
      <c r="A13653" t="s">
        <v>26415</v>
      </c>
      <c r="B13653" t="s">
        <v>26416</v>
      </c>
      <c r="C13653" t="s">
        <v>71</v>
      </c>
      <c r="D13653" t="s">
        <v>17</v>
      </c>
      <c r="E13653" s="6">
        <v>-28376</v>
      </c>
      <c r="F13653" t="s">
        <v>500</v>
      </c>
      <c r="G13653" t="s">
        <v>501</v>
      </c>
      <c r="H13653" t="s">
        <v>20</v>
      </c>
      <c r="I13653" t="s">
        <v>26417</v>
      </c>
      <c r="J13653" t="str">
        <f>HYPERLINK("https://www.boe.es/gazeta/dias/1822/04/22/pdfs/GMD-1822-114.pdf#page=3","Abrir facsímil")</f>
        <v>Abrir facsímil</v>
      </c>
      <c r="K13653" t="s">
        <v>22</v>
      </c>
    </row>
    <row r="13654" spans="1:11" ht="42" customHeight="1">
      <c r="A13654" t="s">
        <v>26418</v>
      </c>
      <c r="B13654" t="s">
        <v>26419</v>
      </c>
      <c r="C13654" t="s">
        <v>42</v>
      </c>
      <c r="D13654" t="s">
        <v>17</v>
      </c>
      <c r="E13654" s="6">
        <v>-28178</v>
      </c>
      <c r="F13654" t="s">
        <v>318</v>
      </c>
      <c r="G13654" t="s">
        <v>31</v>
      </c>
      <c r="H13654" t="s">
        <v>20</v>
      </c>
      <c r="I13654" t="s">
        <v>26420</v>
      </c>
      <c r="J13654" t="str">
        <f>HYPERLINK("https://www.boe.es/gazeta/dias/1822/11/06/pdfs/GMD-1822-326.pdf#page=3","Abrir facsímil")</f>
        <v>Abrir facsímil</v>
      </c>
      <c r="K13654" t="s">
        <v>22</v>
      </c>
    </row>
    <row r="13655" spans="1:11" ht="42" customHeight="1">
      <c r="A13655" t="s">
        <v>26421</v>
      </c>
      <c r="B13655" t="s">
        <v>26422</v>
      </c>
      <c r="C13655" t="s">
        <v>42</v>
      </c>
      <c r="D13655" t="s">
        <v>17</v>
      </c>
      <c r="E13655" s="6">
        <v>-28242</v>
      </c>
      <c r="F13655" t="s">
        <v>831</v>
      </c>
      <c r="G13655" t="s">
        <v>35</v>
      </c>
      <c r="H13655" t="s">
        <v>20</v>
      </c>
      <c r="I13655" t="s">
        <v>26423</v>
      </c>
      <c r="J13655" t="str">
        <f>HYPERLINK("https://www.boe.es/gazeta/dias/1822/09/03/pdfs/GMD-1822-258.pdf#page=2","Abrir facsímil")</f>
        <v>Abrir facsímil</v>
      </c>
      <c r="K13655" t="s">
        <v>22</v>
      </c>
    </row>
    <row r="13656" spans="1:11" ht="42" customHeight="1">
      <c r="A13656" t="s">
        <v>26424</v>
      </c>
      <c r="B13656" t="s">
        <v>26425</v>
      </c>
      <c r="C13656" t="s">
        <v>71</v>
      </c>
      <c r="D13656" t="s">
        <v>17</v>
      </c>
      <c r="E13656" s="6">
        <v>-28415</v>
      </c>
      <c r="F13656" t="s">
        <v>77</v>
      </c>
      <c r="G13656" t="s">
        <v>19</v>
      </c>
      <c r="H13656" t="s">
        <v>20</v>
      </c>
      <c r="I13656" t="s">
        <v>26426</v>
      </c>
      <c r="J13656" t="str">
        <f>HYPERLINK("https://www.boe.es/gazeta/dias/1822/03/14/pdfs/GMD-1822-75.pdf#page=5","Abrir facsímil")</f>
        <v>Abrir facsímil</v>
      </c>
      <c r="K13656" t="s">
        <v>22</v>
      </c>
    </row>
    <row r="13657" spans="1:11" ht="42" customHeight="1">
      <c r="A13657" t="s">
        <v>26427</v>
      </c>
      <c r="B13657" t="s">
        <v>26428</v>
      </c>
      <c r="C13657" t="s">
        <v>362</v>
      </c>
      <c r="D13657" t="s">
        <v>17</v>
      </c>
      <c r="E13657" s="6">
        <v>-28208</v>
      </c>
      <c r="F13657" t="s">
        <v>230</v>
      </c>
      <c r="G13657" t="s">
        <v>57</v>
      </c>
      <c r="H13657" t="s">
        <v>20</v>
      </c>
      <c r="I13657" t="s">
        <v>26429</v>
      </c>
      <c r="J13657" t="str">
        <f>HYPERLINK("https://www.boe.es/gazeta/dias/1822/10/07/pdfs/GMD-1822-293.pdf#page=4","Abrir facsímil")</f>
        <v>Abrir facsímil</v>
      </c>
      <c r="K13657" t="s">
        <v>22</v>
      </c>
    </row>
    <row r="13658" spans="1:11" ht="42" customHeight="1">
      <c r="A13658" t="s">
        <v>26430</v>
      </c>
      <c r="B13658" t="s">
        <v>26430</v>
      </c>
      <c r="C13658" t="s">
        <v>50</v>
      </c>
      <c r="D13658" t="s">
        <v>51</v>
      </c>
      <c r="E13658" s="6">
        <v>-28408</v>
      </c>
      <c r="F13658" t="s">
        <v>2561</v>
      </c>
      <c r="G13658" t="s">
        <v>63</v>
      </c>
      <c r="H13658" t="s">
        <v>20</v>
      </c>
      <c r="I13658" t="s">
        <v>26431</v>
      </c>
      <c r="J13658" t="str">
        <f>HYPERLINK("https://www.boe.es/gazeta/dias/1822/03/21/pdfs/GMD-1822-82.pdf#page=6","Abrir facsímil")</f>
        <v>Abrir facsímil</v>
      </c>
      <c r="K13658" t="s">
        <v>22</v>
      </c>
    </row>
    <row r="13659" spans="1:11" ht="42" customHeight="1">
      <c r="A13659" t="s">
        <v>26430</v>
      </c>
      <c r="B13659" t="s">
        <v>26430</v>
      </c>
      <c r="C13659" t="s">
        <v>50</v>
      </c>
      <c r="D13659" t="s">
        <v>51</v>
      </c>
      <c r="E13659" s="6">
        <v>-28312</v>
      </c>
      <c r="F13659" t="s">
        <v>92</v>
      </c>
      <c r="G13659" t="s">
        <v>93</v>
      </c>
      <c r="H13659" t="s">
        <v>20</v>
      </c>
      <c r="I13659" t="s">
        <v>26432</v>
      </c>
      <c r="J13659" t="str">
        <f>HYPERLINK("https://www.boe.es/gazeta/dias/1822/06/25/pdfs/GMD-1822-183.pdf#page=4","Abrir facsímil")</f>
        <v>Abrir facsímil</v>
      </c>
      <c r="K13659" t="s">
        <v>22</v>
      </c>
    </row>
    <row r="13660" spans="1:11" ht="42" customHeight="1">
      <c r="A13660" t="s">
        <v>26433</v>
      </c>
      <c r="B13660" t="s">
        <v>26433</v>
      </c>
      <c r="C13660" t="s">
        <v>28</v>
      </c>
      <c r="D13660" t="s">
        <v>29</v>
      </c>
      <c r="E13660" s="6">
        <v>-28260</v>
      </c>
      <c r="F13660" t="s">
        <v>135</v>
      </c>
      <c r="G13660" t="s">
        <v>63</v>
      </c>
      <c r="H13660" t="s">
        <v>20</v>
      </c>
      <c r="I13660" t="s">
        <v>26434</v>
      </c>
      <c r="J13660" t="str">
        <f>HYPERLINK("https://www.boe.es/gazeta/dias/1822/08/16/pdfs/GMD-1822-240.pdf#page=6","Abrir facsímil")</f>
        <v>Abrir facsímil</v>
      </c>
      <c r="K13660" t="s">
        <v>22</v>
      </c>
    </row>
    <row r="13661" spans="1:11" ht="42" customHeight="1">
      <c r="A13661" t="s">
        <v>26435</v>
      </c>
      <c r="B13661" t="s">
        <v>26435</v>
      </c>
      <c r="C13661" t="s">
        <v>42</v>
      </c>
      <c r="D13661" t="s">
        <v>17</v>
      </c>
      <c r="E13661" s="6">
        <v>-28362</v>
      </c>
      <c r="F13661" t="s">
        <v>511</v>
      </c>
      <c r="G13661" t="s">
        <v>35</v>
      </c>
      <c r="H13661" t="s">
        <v>20</v>
      </c>
      <c r="I13661" t="s">
        <v>26436</v>
      </c>
      <c r="J13661" t="str">
        <f>HYPERLINK("https://www.boe.es/gazeta/dias/1822/05/06/pdfs/GMD-1822-128.pdf#page=2","Abrir facsímil")</f>
        <v>Abrir facsímil</v>
      </c>
      <c r="K13661" t="s">
        <v>22</v>
      </c>
    </row>
    <row r="13662" spans="1:11" ht="42" customHeight="1">
      <c r="A13662" t="s">
        <v>26435</v>
      </c>
      <c r="B13662" t="s">
        <v>26435</v>
      </c>
      <c r="C13662" t="s">
        <v>61</v>
      </c>
      <c r="D13662" t="s">
        <v>17</v>
      </c>
      <c r="E13662" s="6">
        <v>-28334</v>
      </c>
      <c r="F13662" t="s">
        <v>532</v>
      </c>
      <c r="G13662" t="s">
        <v>63</v>
      </c>
      <c r="H13662" t="s">
        <v>20</v>
      </c>
      <c r="I13662" t="s">
        <v>26437</v>
      </c>
      <c r="J13662" t="str">
        <f>HYPERLINK("https://www.boe.es/gazeta/dias/1822/06/03/pdfs/GMD-1822-159.pdf#page=6","Abrir facsímil")</f>
        <v>Abrir facsímil</v>
      </c>
      <c r="K13662" t="s">
        <v>22</v>
      </c>
    </row>
    <row r="13663" spans="1:11" ht="42" customHeight="1">
      <c r="A13663" t="s">
        <v>26438</v>
      </c>
      <c r="B13663" t="s">
        <v>26438</v>
      </c>
      <c r="C13663" t="s">
        <v>24</v>
      </c>
      <c r="D13663" t="s">
        <v>17</v>
      </c>
      <c r="E13663" s="6">
        <v>-28317</v>
      </c>
      <c r="F13663" t="s">
        <v>546</v>
      </c>
      <c r="G13663" t="s">
        <v>63</v>
      </c>
      <c r="H13663" t="s">
        <v>20</v>
      </c>
      <c r="I13663" t="s">
        <v>26439</v>
      </c>
      <c r="J13663" t="str">
        <f>HYPERLINK("https://www.boe.es/gazeta/dias/1822/06/20/pdfs/GMD-1822-177.pdf#page=6","Abrir facsímil")</f>
        <v>Abrir facsímil</v>
      </c>
      <c r="K13663" t="s">
        <v>22</v>
      </c>
    </row>
    <row r="13664" spans="1:11" ht="42" customHeight="1">
      <c r="A13664" t="s">
        <v>26440</v>
      </c>
      <c r="B13664" t="s">
        <v>26440</v>
      </c>
      <c r="C13664" t="s">
        <v>28</v>
      </c>
      <c r="D13664" t="s">
        <v>29</v>
      </c>
      <c r="E13664" s="6">
        <v>-28426</v>
      </c>
      <c r="F13664" t="s">
        <v>1178</v>
      </c>
      <c r="G13664" t="s">
        <v>31</v>
      </c>
      <c r="H13664" t="s">
        <v>20</v>
      </c>
      <c r="I13664" t="s">
        <v>26441</v>
      </c>
      <c r="J13664" t="str">
        <f>HYPERLINK("https://www.boe.es/gazeta/dias/1822/03/03/pdfs/GMD-1822-64.pdf#page=3","Abrir facsímil")</f>
        <v>Abrir facsímil</v>
      </c>
      <c r="K13664" t="s">
        <v>22</v>
      </c>
    </row>
    <row r="13665" spans="1:11" ht="42" customHeight="1">
      <c r="A13665" t="s">
        <v>26442</v>
      </c>
      <c r="B13665" t="s">
        <v>26442</v>
      </c>
      <c r="C13665" t="s">
        <v>61</v>
      </c>
      <c r="D13665" t="s">
        <v>17</v>
      </c>
      <c r="E13665" s="6">
        <v>-28177</v>
      </c>
      <c r="F13665" t="s">
        <v>587</v>
      </c>
      <c r="G13665" t="s">
        <v>35</v>
      </c>
      <c r="H13665" t="s">
        <v>20</v>
      </c>
      <c r="I13665" t="s">
        <v>26443</v>
      </c>
      <c r="J13665" t="str">
        <f>HYPERLINK("https://www.boe.es/gazeta/dias/1822/11/07/pdfs/GMD-1822-327.pdf#page=2","Abrir facsímil")</f>
        <v>Abrir facsímil</v>
      </c>
      <c r="K13665" t="s">
        <v>22</v>
      </c>
    </row>
    <row r="13666" spans="1:11" ht="42" customHeight="1">
      <c r="A13666" t="s">
        <v>26444</v>
      </c>
      <c r="B13666" t="s">
        <v>26444</v>
      </c>
      <c r="C13666" t="s">
        <v>71</v>
      </c>
      <c r="D13666" t="s">
        <v>17</v>
      </c>
      <c r="E13666" s="6">
        <v>-28332</v>
      </c>
      <c r="F13666" t="s">
        <v>535</v>
      </c>
      <c r="G13666" t="s">
        <v>63</v>
      </c>
      <c r="H13666" t="s">
        <v>20</v>
      </c>
      <c r="I13666" t="s">
        <v>26445</v>
      </c>
      <c r="J13666" t="str">
        <f>HYPERLINK("https://www.boe.es/gazeta/dias/1822/06/05/pdfs/GMD-1822-162.pdf#page=6","Abrir facsímil")</f>
        <v>Abrir facsímil</v>
      </c>
      <c r="K13666" t="s">
        <v>22</v>
      </c>
    </row>
    <row r="13667" spans="1:11" ht="42" customHeight="1">
      <c r="A13667" t="s">
        <v>26444</v>
      </c>
      <c r="B13667" t="s">
        <v>26444</v>
      </c>
      <c r="C13667" t="s">
        <v>71</v>
      </c>
      <c r="D13667" t="s">
        <v>17</v>
      </c>
      <c r="E13667" s="6">
        <v>-28144</v>
      </c>
      <c r="F13667" t="s">
        <v>288</v>
      </c>
      <c r="G13667" t="s">
        <v>57</v>
      </c>
      <c r="H13667" t="s">
        <v>20</v>
      </c>
      <c r="I13667" t="s">
        <v>26446</v>
      </c>
      <c r="J13667" t="str">
        <f>HYPERLINK("https://www.boe.es/gazeta/dias/1822/12/10/pdfs/GMD-1822-360.pdf#page=4","Abrir facsímil")</f>
        <v>Abrir facsímil</v>
      </c>
      <c r="K13667" t="s">
        <v>22</v>
      </c>
    </row>
    <row r="13668" spans="1:11" ht="42" customHeight="1">
      <c r="A13668" t="s">
        <v>26447</v>
      </c>
      <c r="B13668" t="s">
        <v>26448</v>
      </c>
      <c r="C13668" t="s">
        <v>42</v>
      </c>
      <c r="D13668" t="s">
        <v>17</v>
      </c>
      <c r="E13668" s="6">
        <v>-28375</v>
      </c>
      <c r="F13668" t="s">
        <v>2035</v>
      </c>
      <c r="G13668" t="s">
        <v>35</v>
      </c>
      <c r="H13668" t="s">
        <v>20</v>
      </c>
      <c r="I13668" t="s">
        <v>26449</v>
      </c>
      <c r="J13668" t="str">
        <f>HYPERLINK("https://www.boe.es/gazeta/dias/1822/04/23/pdfs/GMD-1822-115.pdf#page=2","Abrir facsímil")</f>
        <v>Abrir facsímil</v>
      </c>
      <c r="K13668" t="s">
        <v>22</v>
      </c>
    </row>
    <row r="13669" spans="1:11" ht="42" customHeight="1">
      <c r="A13669" t="s">
        <v>26450</v>
      </c>
      <c r="B13669" t="s">
        <v>26450</v>
      </c>
      <c r="C13669" t="s">
        <v>71</v>
      </c>
      <c r="D13669" t="s">
        <v>17</v>
      </c>
      <c r="E13669" s="6">
        <v>-28434</v>
      </c>
      <c r="F13669" t="s">
        <v>433</v>
      </c>
      <c r="G13669" t="s">
        <v>57</v>
      </c>
      <c r="H13669" t="s">
        <v>20</v>
      </c>
      <c r="I13669" t="s">
        <v>26451</v>
      </c>
      <c r="J13669" t="str">
        <f>HYPERLINK("https://www.boe.es/gazeta/dias/1822/02/23/pdfs/GMD-1822-55.pdf#page=4","Abrir facsímil")</f>
        <v>Abrir facsímil</v>
      </c>
      <c r="K13669" t="s">
        <v>22</v>
      </c>
    </row>
    <row r="13670" spans="1:11" ht="42" customHeight="1">
      <c r="A13670" t="s">
        <v>26450</v>
      </c>
      <c r="B13670" t="s">
        <v>26450</v>
      </c>
      <c r="C13670" t="s">
        <v>28</v>
      </c>
      <c r="D13670" t="s">
        <v>29</v>
      </c>
      <c r="E13670" s="6">
        <v>-28423</v>
      </c>
      <c r="F13670" t="s">
        <v>441</v>
      </c>
      <c r="G13670" t="s">
        <v>31</v>
      </c>
      <c r="H13670" t="s">
        <v>20</v>
      </c>
      <c r="I13670" t="s">
        <v>26452</v>
      </c>
      <c r="J13670" t="str">
        <f>HYPERLINK("https://www.boe.es/gazeta/dias/1822/03/06/pdfs/GMD-1822-67.pdf#page=3","Abrir facsímil")</f>
        <v>Abrir facsímil</v>
      </c>
      <c r="K13670" t="s">
        <v>22</v>
      </c>
    </row>
    <row r="13671" spans="1:11" ht="42" customHeight="1">
      <c r="A13671" t="s">
        <v>26450</v>
      </c>
      <c r="B13671" t="s">
        <v>26450</v>
      </c>
      <c r="C13671" t="s">
        <v>28</v>
      </c>
      <c r="D13671" t="s">
        <v>29</v>
      </c>
      <c r="E13671" s="6">
        <v>-28423</v>
      </c>
      <c r="F13671" t="s">
        <v>441</v>
      </c>
      <c r="G13671" t="s">
        <v>57</v>
      </c>
      <c r="H13671" t="s">
        <v>20</v>
      </c>
      <c r="I13671" t="s">
        <v>26453</v>
      </c>
      <c r="J13671" t="str">
        <f>HYPERLINK("https://www.boe.es/gazeta/dias/1822/03/06/pdfs/GMD-1822-67.pdf#page=4","Abrir facsímil")</f>
        <v>Abrir facsímil</v>
      </c>
      <c r="K13671" t="s">
        <v>22</v>
      </c>
    </row>
    <row r="13672" spans="1:11" ht="42" customHeight="1">
      <c r="A13672" t="s">
        <v>26450</v>
      </c>
      <c r="B13672" t="s">
        <v>26450</v>
      </c>
      <c r="C13672" t="s">
        <v>28</v>
      </c>
      <c r="D13672" t="s">
        <v>29</v>
      </c>
      <c r="E13672" s="6">
        <v>-28419</v>
      </c>
      <c r="F13672" t="s">
        <v>1392</v>
      </c>
      <c r="G13672" t="s">
        <v>19</v>
      </c>
      <c r="H13672" t="s">
        <v>20</v>
      </c>
      <c r="I13672" t="s">
        <v>26454</v>
      </c>
      <c r="J13672" t="str">
        <f>HYPERLINK("https://www.boe.es/gazeta/dias/1822/03/10/pdfs/GMD-1822-71.pdf#page=5","Abrir facsímil")</f>
        <v>Abrir facsímil</v>
      </c>
      <c r="K13672" t="s">
        <v>22</v>
      </c>
    </row>
    <row r="13673" spans="1:11" ht="42" customHeight="1">
      <c r="A13673" t="s">
        <v>26450</v>
      </c>
      <c r="B13673" t="s">
        <v>26450</v>
      </c>
      <c r="C13673" t="s">
        <v>50</v>
      </c>
      <c r="D13673" t="s">
        <v>51</v>
      </c>
      <c r="E13673" s="6">
        <v>-28419</v>
      </c>
      <c r="F13673" t="s">
        <v>1392</v>
      </c>
      <c r="G13673" t="s">
        <v>63</v>
      </c>
      <c r="H13673" t="s">
        <v>20</v>
      </c>
      <c r="I13673" t="s">
        <v>26455</v>
      </c>
      <c r="J13673" t="str">
        <f>HYPERLINK("https://www.boe.es/gazeta/dias/1822/03/10/pdfs/GMD-1822-71.pdf#page=6","Abrir facsímil")</f>
        <v>Abrir facsímil</v>
      </c>
      <c r="K13673" t="s">
        <v>22</v>
      </c>
    </row>
    <row r="13674" spans="1:11" ht="42" customHeight="1">
      <c r="A13674" t="s">
        <v>26450</v>
      </c>
      <c r="B13674" t="s">
        <v>26450</v>
      </c>
      <c r="C13674" t="s">
        <v>16</v>
      </c>
      <c r="D13674" t="s">
        <v>17</v>
      </c>
      <c r="E13674" s="6">
        <v>-28414</v>
      </c>
      <c r="F13674" t="s">
        <v>187</v>
      </c>
      <c r="G13674" t="s">
        <v>57</v>
      </c>
      <c r="H13674" t="s">
        <v>20</v>
      </c>
      <c r="I13674" t="s">
        <v>26456</v>
      </c>
      <c r="J13674" t="str">
        <f>HYPERLINK("https://www.boe.es/gazeta/dias/1822/03/15/pdfs/GMD-1822-76.pdf#page=4","Abrir facsímil")</f>
        <v>Abrir facsímil</v>
      </c>
      <c r="K13674" t="s">
        <v>22</v>
      </c>
    </row>
    <row r="13675" spans="1:11" ht="42" customHeight="1">
      <c r="A13675" t="s">
        <v>26450</v>
      </c>
      <c r="B13675" t="s">
        <v>26450</v>
      </c>
      <c r="C13675" t="s">
        <v>16</v>
      </c>
      <c r="D13675" t="s">
        <v>17</v>
      </c>
      <c r="E13675" s="6">
        <v>-28414</v>
      </c>
      <c r="F13675" t="s">
        <v>187</v>
      </c>
      <c r="G13675" t="s">
        <v>63</v>
      </c>
      <c r="H13675" t="s">
        <v>20</v>
      </c>
      <c r="I13675" t="s">
        <v>26457</v>
      </c>
      <c r="J13675" t="str">
        <f>HYPERLINK("https://www.boe.es/gazeta/dias/1822/03/15/pdfs/GMD-1822-76.pdf#page=6","Abrir facsímil")</f>
        <v>Abrir facsímil</v>
      </c>
      <c r="K13675" t="s">
        <v>22</v>
      </c>
    </row>
    <row r="13676" spans="1:11" ht="42" customHeight="1">
      <c r="A13676" t="s">
        <v>26450</v>
      </c>
      <c r="B13676" t="s">
        <v>26450</v>
      </c>
      <c r="C13676" t="s">
        <v>28</v>
      </c>
      <c r="D13676" t="s">
        <v>29</v>
      </c>
      <c r="E13676" s="6">
        <v>-28406</v>
      </c>
      <c r="F13676" t="s">
        <v>462</v>
      </c>
      <c r="G13676" t="s">
        <v>57</v>
      </c>
      <c r="H13676" t="s">
        <v>20</v>
      </c>
      <c r="I13676" t="s">
        <v>26458</v>
      </c>
      <c r="J13676" t="str">
        <f>HYPERLINK("https://www.boe.es/gazeta/dias/1822/03/23/pdfs/GMD-1822-84.pdf#page=4","Abrir facsímil")</f>
        <v>Abrir facsímil</v>
      </c>
      <c r="K13676" t="s">
        <v>22</v>
      </c>
    </row>
    <row r="13677" spans="1:11" ht="42" customHeight="1">
      <c r="A13677" t="s">
        <v>26450</v>
      </c>
      <c r="B13677" t="s">
        <v>26450</v>
      </c>
      <c r="C13677" t="s">
        <v>71</v>
      </c>
      <c r="D13677" t="s">
        <v>17</v>
      </c>
      <c r="E13677" s="6">
        <v>-28386</v>
      </c>
      <c r="F13677" t="s">
        <v>2993</v>
      </c>
      <c r="G13677" t="s">
        <v>31</v>
      </c>
      <c r="H13677" t="s">
        <v>20</v>
      </c>
      <c r="I13677" t="s">
        <v>26459</v>
      </c>
      <c r="J13677" t="str">
        <f>HYPERLINK("https://www.boe.es/gazeta/dias/1822/04/12/pdfs/GMD-1822-104.pdf#page=3","Abrir facsímil")</f>
        <v>Abrir facsímil</v>
      </c>
      <c r="K13677" t="s">
        <v>22</v>
      </c>
    </row>
    <row r="13678" spans="1:11" ht="42" customHeight="1">
      <c r="A13678" t="s">
        <v>26450</v>
      </c>
      <c r="B13678" t="s">
        <v>26450</v>
      </c>
      <c r="C13678" t="s">
        <v>42</v>
      </c>
      <c r="D13678" t="s">
        <v>17</v>
      </c>
      <c r="E13678" s="6">
        <v>-28373</v>
      </c>
      <c r="F13678" t="s">
        <v>614</v>
      </c>
      <c r="G13678" t="s">
        <v>31</v>
      </c>
      <c r="H13678" t="s">
        <v>20</v>
      </c>
      <c r="I13678" t="s">
        <v>26460</v>
      </c>
      <c r="J13678" t="str">
        <f>HYPERLINK("https://www.boe.es/gazeta/dias/1822/04/25/pdfs/GMD-1822-117.pdf#page=3","Abrir facsímil")</f>
        <v>Abrir facsímil</v>
      </c>
      <c r="K13678" t="s">
        <v>22</v>
      </c>
    </row>
    <row r="13679" spans="1:11" ht="42" customHeight="1">
      <c r="A13679" t="s">
        <v>26450</v>
      </c>
      <c r="B13679" t="s">
        <v>26450</v>
      </c>
      <c r="C13679" t="s">
        <v>50</v>
      </c>
      <c r="D13679" t="s">
        <v>51</v>
      </c>
      <c r="E13679" s="6">
        <v>-28372</v>
      </c>
      <c r="F13679" t="s">
        <v>503</v>
      </c>
      <c r="G13679" t="s">
        <v>31</v>
      </c>
      <c r="H13679" t="s">
        <v>20</v>
      </c>
      <c r="I13679" t="s">
        <v>26461</v>
      </c>
      <c r="J13679" t="str">
        <f>HYPERLINK("https://www.boe.es/gazeta/dias/1822/04/26/pdfs/GMD-1822-118.pdf#page=3","Abrir facsímil")</f>
        <v>Abrir facsímil</v>
      </c>
      <c r="K13679" t="s">
        <v>22</v>
      </c>
    </row>
    <row r="13680" spans="1:11" ht="42" customHeight="1">
      <c r="A13680" t="s">
        <v>26450</v>
      </c>
      <c r="B13680" t="s">
        <v>26450</v>
      </c>
      <c r="C13680" t="s">
        <v>42</v>
      </c>
      <c r="D13680" t="s">
        <v>17</v>
      </c>
      <c r="E13680" s="6">
        <v>-28369</v>
      </c>
      <c r="F13680" t="s">
        <v>1590</v>
      </c>
      <c r="G13680" t="s">
        <v>19</v>
      </c>
      <c r="H13680" t="s">
        <v>20</v>
      </c>
      <c r="I13680" t="s">
        <v>26462</v>
      </c>
      <c r="J13680" t="str">
        <f>HYPERLINK("https://www.boe.es/gazeta/dias/1822/04/29/pdfs/GMD-1822-121.pdf#page=5","Abrir facsímil")</f>
        <v>Abrir facsímil</v>
      </c>
      <c r="K13680" t="s">
        <v>22</v>
      </c>
    </row>
    <row r="13681" spans="1:11" ht="42" customHeight="1">
      <c r="A13681" t="s">
        <v>26450</v>
      </c>
      <c r="B13681" t="s">
        <v>26450</v>
      </c>
      <c r="C13681" t="s">
        <v>28</v>
      </c>
      <c r="D13681" t="s">
        <v>29</v>
      </c>
      <c r="E13681" s="6">
        <v>-28368</v>
      </c>
      <c r="F13681" t="s">
        <v>126</v>
      </c>
      <c r="G13681" t="s">
        <v>31</v>
      </c>
      <c r="H13681" t="s">
        <v>20</v>
      </c>
      <c r="I13681" t="s">
        <v>26463</v>
      </c>
      <c r="J13681" t="str">
        <f>HYPERLINK("https://www.boe.es/gazeta/dias/1822/04/30/pdfs/GMD-1822-122.pdf#page=3","Abrir facsímil")</f>
        <v>Abrir facsímil</v>
      </c>
      <c r="K13681" t="s">
        <v>22</v>
      </c>
    </row>
    <row r="13682" spans="1:11" ht="42" customHeight="1">
      <c r="A13682" t="s">
        <v>26450</v>
      </c>
      <c r="B13682" t="s">
        <v>26450</v>
      </c>
      <c r="C13682" t="s">
        <v>71</v>
      </c>
      <c r="D13682" t="s">
        <v>17</v>
      </c>
      <c r="E13682" s="6">
        <v>-28364</v>
      </c>
      <c r="F13682" t="s">
        <v>509</v>
      </c>
      <c r="G13682" t="s">
        <v>31</v>
      </c>
      <c r="H13682" t="s">
        <v>20</v>
      </c>
      <c r="I13682" t="s">
        <v>26464</v>
      </c>
      <c r="J13682" t="str">
        <f>HYPERLINK("https://www.boe.es/gazeta/dias/1822/05/04/pdfs/GMD-1822-126.pdf#page=3","Abrir facsímil")</f>
        <v>Abrir facsímil</v>
      </c>
      <c r="K13682" t="s">
        <v>22</v>
      </c>
    </row>
    <row r="13683" spans="1:11" ht="42" customHeight="1">
      <c r="A13683" t="s">
        <v>26450</v>
      </c>
      <c r="B13683" t="s">
        <v>26450</v>
      </c>
      <c r="C13683" t="s">
        <v>42</v>
      </c>
      <c r="D13683" t="s">
        <v>17</v>
      </c>
      <c r="E13683" s="6">
        <v>-28350</v>
      </c>
      <c r="F13683" t="s">
        <v>352</v>
      </c>
      <c r="G13683" t="s">
        <v>57</v>
      </c>
      <c r="H13683" t="s">
        <v>20</v>
      </c>
      <c r="I13683" t="s">
        <v>26465</v>
      </c>
      <c r="J13683" t="str">
        <f>HYPERLINK("https://www.boe.es/gazeta/dias/1822/05/18/pdfs/GMD-1822-140.pdf#page=4","Abrir facsímil")</f>
        <v>Abrir facsímil</v>
      </c>
      <c r="K13683" t="s">
        <v>22</v>
      </c>
    </row>
    <row r="13684" spans="1:11" ht="42" customHeight="1">
      <c r="A13684" t="s">
        <v>26450</v>
      </c>
      <c r="B13684" t="s">
        <v>26450</v>
      </c>
      <c r="C13684" t="s">
        <v>71</v>
      </c>
      <c r="D13684" t="s">
        <v>17</v>
      </c>
      <c r="E13684" s="6">
        <v>-28350</v>
      </c>
      <c r="F13684" t="s">
        <v>352</v>
      </c>
      <c r="G13684" t="s">
        <v>19</v>
      </c>
      <c r="H13684" t="s">
        <v>20</v>
      </c>
      <c r="I13684" t="s">
        <v>26466</v>
      </c>
      <c r="J13684" t="str">
        <f>HYPERLINK("https://www.boe.es/gazeta/dias/1822/05/18/pdfs/GMD-1822-140.pdf#page=5","Abrir facsímil")</f>
        <v>Abrir facsímil</v>
      </c>
      <c r="K13684" t="s">
        <v>22</v>
      </c>
    </row>
    <row r="13685" spans="1:11" ht="42" customHeight="1">
      <c r="A13685" t="s">
        <v>26450</v>
      </c>
      <c r="B13685" t="s">
        <v>26450</v>
      </c>
      <c r="C13685" t="s">
        <v>28</v>
      </c>
      <c r="D13685" t="s">
        <v>29</v>
      </c>
      <c r="E13685" s="6">
        <v>-28349</v>
      </c>
      <c r="F13685" t="s">
        <v>518</v>
      </c>
      <c r="G13685" t="s">
        <v>35</v>
      </c>
      <c r="H13685" t="s">
        <v>20</v>
      </c>
      <c r="I13685" t="s">
        <v>26467</v>
      </c>
      <c r="J13685" t="str">
        <f>HYPERLINK("https://www.boe.es/gazeta/dias/1822/05/19/pdfs/GMD-1822-141.pdf#page=2","Abrir facsímil")</f>
        <v>Abrir facsímil</v>
      </c>
      <c r="K13685" t="s">
        <v>22</v>
      </c>
    </row>
    <row r="13686" spans="1:11" ht="42" customHeight="1">
      <c r="A13686" t="s">
        <v>26450</v>
      </c>
      <c r="B13686" t="s">
        <v>26450</v>
      </c>
      <c r="C13686" t="s">
        <v>42</v>
      </c>
      <c r="D13686" t="s">
        <v>17</v>
      </c>
      <c r="E13686" s="6">
        <v>-28344</v>
      </c>
      <c r="F13686" t="s">
        <v>524</v>
      </c>
      <c r="G13686" t="s">
        <v>31</v>
      </c>
      <c r="H13686" t="s">
        <v>20</v>
      </c>
      <c r="I13686" t="s">
        <v>26468</v>
      </c>
      <c r="J13686" t="str">
        <f>HYPERLINK("https://www.boe.es/gazeta/dias/1822/05/24/pdfs/GMD-1822-148.pdf#page=3","Abrir facsímil")</f>
        <v>Abrir facsímil</v>
      </c>
      <c r="K13686" t="s">
        <v>22</v>
      </c>
    </row>
    <row r="13687" spans="1:11" ht="42" customHeight="1">
      <c r="A13687" t="s">
        <v>26450</v>
      </c>
      <c r="B13687" t="s">
        <v>26450</v>
      </c>
      <c r="C13687" t="s">
        <v>71</v>
      </c>
      <c r="D13687" t="s">
        <v>17</v>
      </c>
      <c r="E13687" s="6">
        <v>-28338</v>
      </c>
      <c r="F13687" t="s">
        <v>527</v>
      </c>
      <c r="G13687" t="s">
        <v>31</v>
      </c>
      <c r="H13687" t="s">
        <v>20</v>
      </c>
      <c r="I13687" t="s">
        <v>26469</v>
      </c>
      <c r="J13687" t="str">
        <f>HYPERLINK("https://www.boe.es/gazeta/dias/1822/05/30/pdfs/GMD-1822-155.pdf#page=3","Abrir facsímil")</f>
        <v>Abrir facsímil</v>
      </c>
      <c r="K13687" t="s">
        <v>22</v>
      </c>
    </row>
    <row r="13688" spans="1:11" ht="42" customHeight="1">
      <c r="A13688" t="s">
        <v>26450</v>
      </c>
      <c r="B13688" t="s">
        <v>26450</v>
      </c>
      <c r="C13688" t="s">
        <v>61</v>
      </c>
      <c r="D13688" t="s">
        <v>17</v>
      </c>
      <c r="E13688" s="6">
        <v>-28336</v>
      </c>
      <c r="F13688" t="s">
        <v>156</v>
      </c>
      <c r="G13688" t="s">
        <v>19</v>
      </c>
      <c r="H13688" t="s">
        <v>20</v>
      </c>
      <c r="I13688" t="s">
        <v>26470</v>
      </c>
      <c r="J13688" t="str">
        <f>HYPERLINK("https://www.boe.es/gazeta/dias/1822/06/01/pdfs/GMD-1822-157.pdf#page=5","Abrir facsímil")</f>
        <v>Abrir facsímil</v>
      </c>
      <c r="K13688" t="s">
        <v>22</v>
      </c>
    </row>
    <row r="13689" spans="1:11" ht="42" customHeight="1">
      <c r="A13689" t="s">
        <v>26450</v>
      </c>
      <c r="B13689" t="s">
        <v>26450</v>
      </c>
      <c r="C13689" t="s">
        <v>71</v>
      </c>
      <c r="D13689" t="s">
        <v>17</v>
      </c>
      <c r="E13689" s="6">
        <v>-28332</v>
      </c>
      <c r="F13689" t="s">
        <v>535</v>
      </c>
      <c r="G13689" t="s">
        <v>19</v>
      </c>
      <c r="H13689" t="s">
        <v>20</v>
      </c>
      <c r="I13689" t="s">
        <v>26471</v>
      </c>
      <c r="J13689" t="str">
        <f>HYPERLINK("https://www.boe.es/gazeta/dias/1822/06/05/pdfs/GMD-1822-162.pdf#page=5","Abrir facsímil")</f>
        <v>Abrir facsímil</v>
      </c>
      <c r="K13689" t="s">
        <v>22</v>
      </c>
    </row>
    <row r="13690" spans="1:11" ht="42" customHeight="1">
      <c r="A13690" t="s">
        <v>26450</v>
      </c>
      <c r="B13690" t="s">
        <v>26450</v>
      </c>
      <c r="C13690" t="s">
        <v>42</v>
      </c>
      <c r="D13690" t="s">
        <v>17</v>
      </c>
      <c r="E13690" s="6">
        <v>-28328</v>
      </c>
      <c r="F13690" t="s">
        <v>540</v>
      </c>
      <c r="G13690" t="s">
        <v>31</v>
      </c>
      <c r="H13690" t="s">
        <v>20</v>
      </c>
      <c r="I13690" t="s">
        <v>26472</v>
      </c>
      <c r="J13690" t="str">
        <f>HYPERLINK("https://www.boe.es/gazeta/dias/1822/06/09/pdfs/GMD-1822-166.pdf#page=3","Abrir facsímil")</f>
        <v>Abrir facsímil</v>
      </c>
      <c r="K13690" t="s">
        <v>22</v>
      </c>
    </row>
    <row r="13691" spans="1:11" ht="42" customHeight="1">
      <c r="A13691" t="s">
        <v>26450</v>
      </c>
      <c r="B13691" t="s">
        <v>26450</v>
      </c>
      <c r="C13691" t="s">
        <v>24</v>
      </c>
      <c r="D13691" t="s">
        <v>17</v>
      </c>
      <c r="E13691" s="6">
        <v>-28328</v>
      </c>
      <c r="F13691" t="s">
        <v>540</v>
      </c>
      <c r="G13691" t="s">
        <v>19</v>
      </c>
      <c r="H13691" t="s">
        <v>20</v>
      </c>
      <c r="I13691" t="s">
        <v>26473</v>
      </c>
      <c r="J13691" t="str">
        <f>HYPERLINK("https://www.boe.es/gazeta/dias/1822/06/09/pdfs/GMD-1822-166.pdf#page=5","Abrir facsímil")</f>
        <v>Abrir facsímil</v>
      </c>
      <c r="K13691" t="s">
        <v>22</v>
      </c>
    </row>
    <row r="13692" spans="1:11" ht="42" customHeight="1">
      <c r="A13692" t="s">
        <v>26450</v>
      </c>
      <c r="B13692" t="s">
        <v>26450</v>
      </c>
      <c r="C13692" t="s">
        <v>42</v>
      </c>
      <c r="D13692" t="s">
        <v>17</v>
      </c>
      <c r="E13692" s="6">
        <v>-28326</v>
      </c>
      <c r="F13692" t="s">
        <v>543</v>
      </c>
      <c r="G13692" t="s">
        <v>31</v>
      </c>
      <c r="H13692" t="s">
        <v>20</v>
      </c>
      <c r="I13692" t="s">
        <v>26474</v>
      </c>
      <c r="J13692" t="str">
        <f>HYPERLINK("https://www.boe.es/gazeta/dias/1822/06/11/pdfs/GMD-1822-168.pdf#page=3","Abrir facsímil")</f>
        <v>Abrir facsímil</v>
      </c>
      <c r="K13692" t="s">
        <v>22</v>
      </c>
    </row>
    <row r="13693" spans="1:11" ht="42" customHeight="1">
      <c r="A13693" t="s">
        <v>26450</v>
      </c>
      <c r="B13693" t="s">
        <v>26450</v>
      </c>
      <c r="C13693" t="s">
        <v>28</v>
      </c>
      <c r="D13693" t="s">
        <v>29</v>
      </c>
      <c r="E13693" s="6">
        <v>-28326</v>
      </c>
      <c r="F13693" t="s">
        <v>543</v>
      </c>
      <c r="G13693" t="s">
        <v>19</v>
      </c>
      <c r="H13693" t="s">
        <v>20</v>
      </c>
      <c r="I13693" t="s">
        <v>26475</v>
      </c>
      <c r="J13693" t="str">
        <f>HYPERLINK("https://www.boe.es/gazeta/dias/1822/06/11/pdfs/GMD-1822-168.pdf#page=5","Abrir facsímil")</f>
        <v>Abrir facsímil</v>
      </c>
      <c r="K13693" t="s">
        <v>22</v>
      </c>
    </row>
    <row r="13694" spans="1:11" ht="42" customHeight="1">
      <c r="A13694" t="s">
        <v>26450</v>
      </c>
      <c r="B13694" t="s">
        <v>26450</v>
      </c>
      <c r="C13694" t="s">
        <v>28</v>
      </c>
      <c r="D13694" t="s">
        <v>29</v>
      </c>
      <c r="E13694" s="6">
        <v>-28325</v>
      </c>
      <c r="F13694" t="s">
        <v>104</v>
      </c>
      <c r="G13694" t="s">
        <v>35</v>
      </c>
      <c r="H13694" t="s">
        <v>20</v>
      </c>
      <c r="I13694" t="s">
        <v>26476</v>
      </c>
      <c r="J13694" t="str">
        <f>HYPERLINK("https://www.boe.es/gazeta/dias/1822/06/12/pdfs/GMD-1822-169.pdf#page=2","Abrir facsímil")</f>
        <v>Abrir facsímil</v>
      </c>
      <c r="K13694" t="s">
        <v>22</v>
      </c>
    </row>
    <row r="13695" spans="1:11" ht="42" customHeight="1">
      <c r="A13695" t="s">
        <v>26450</v>
      </c>
      <c r="B13695" t="s">
        <v>26450</v>
      </c>
      <c r="C13695" t="s">
        <v>42</v>
      </c>
      <c r="D13695" t="s">
        <v>17</v>
      </c>
      <c r="E13695" s="6">
        <v>-28321</v>
      </c>
      <c r="F13695" t="s">
        <v>1142</v>
      </c>
      <c r="G13695" t="s">
        <v>31</v>
      </c>
      <c r="H13695" t="s">
        <v>20</v>
      </c>
      <c r="I13695" t="s">
        <v>26477</v>
      </c>
      <c r="J13695" t="str">
        <f>HYPERLINK("https://www.boe.es/gazeta/dias/1822/06/16/pdfs/GMD-1822-173.pdf#page=3","Abrir facsímil")</f>
        <v>Abrir facsímil</v>
      </c>
      <c r="K13695" t="s">
        <v>22</v>
      </c>
    </row>
    <row r="13696" spans="1:11" ht="42" customHeight="1">
      <c r="A13696" t="s">
        <v>26450</v>
      </c>
      <c r="B13696" t="s">
        <v>26450</v>
      </c>
      <c r="C13696" t="s">
        <v>28</v>
      </c>
      <c r="D13696" t="s">
        <v>29</v>
      </c>
      <c r="E13696" s="6">
        <v>-28321</v>
      </c>
      <c r="F13696" t="s">
        <v>1142</v>
      </c>
      <c r="G13696" t="s">
        <v>19</v>
      </c>
      <c r="H13696" t="s">
        <v>20</v>
      </c>
      <c r="I13696" t="s">
        <v>26478</v>
      </c>
      <c r="J13696" t="str">
        <f>HYPERLINK("https://www.boe.es/gazeta/dias/1822/06/16/pdfs/GMD-1822-173.pdf#page=5","Abrir facsímil")</f>
        <v>Abrir facsímil</v>
      </c>
      <c r="K13696" t="s">
        <v>22</v>
      </c>
    </row>
    <row r="13697" spans="1:11" ht="42" customHeight="1">
      <c r="A13697" t="s">
        <v>26450</v>
      </c>
      <c r="B13697" t="s">
        <v>26450</v>
      </c>
      <c r="C13697" t="s">
        <v>61</v>
      </c>
      <c r="D13697" t="s">
        <v>17</v>
      </c>
      <c r="E13697" s="6">
        <v>-28318</v>
      </c>
      <c r="F13697" t="s">
        <v>397</v>
      </c>
      <c r="G13697" t="s">
        <v>63</v>
      </c>
      <c r="H13697" t="s">
        <v>20</v>
      </c>
      <c r="I13697" t="s">
        <v>26479</v>
      </c>
      <c r="J13697" t="str">
        <f>HYPERLINK("https://www.boe.es/gazeta/dias/1822/06/19/pdfs/GMD-1822-176.pdf#page=6","Abrir facsímil")</f>
        <v>Abrir facsímil</v>
      </c>
      <c r="K13697" t="s">
        <v>22</v>
      </c>
    </row>
    <row r="13698" spans="1:11" ht="42" customHeight="1">
      <c r="A13698" t="s">
        <v>26450</v>
      </c>
      <c r="B13698" t="s">
        <v>26450</v>
      </c>
      <c r="C13698" t="s">
        <v>42</v>
      </c>
      <c r="D13698" t="s">
        <v>17</v>
      </c>
      <c r="E13698" s="6">
        <v>-28317</v>
      </c>
      <c r="F13698" t="s">
        <v>546</v>
      </c>
      <c r="G13698" t="s">
        <v>167</v>
      </c>
      <c r="H13698" t="s">
        <v>20</v>
      </c>
      <c r="I13698" t="s">
        <v>26480</v>
      </c>
      <c r="J13698" t="str">
        <f>HYPERLINK("https://www.boe.es/gazeta/dias/1822/06/20/pdfs/GMD-1822-177.pdf#page=7","Abrir facsímil")</f>
        <v>Abrir facsímil</v>
      </c>
      <c r="K13698" t="s">
        <v>22</v>
      </c>
    </row>
    <row r="13699" spans="1:11" ht="42" customHeight="1">
      <c r="A13699" t="s">
        <v>26450</v>
      </c>
      <c r="B13699" t="s">
        <v>26450</v>
      </c>
      <c r="C13699" t="s">
        <v>28</v>
      </c>
      <c r="D13699" t="s">
        <v>29</v>
      </c>
      <c r="E13699" s="6">
        <v>-28316</v>
      </c>
      <c r="F13699" t="s">
        <v>1144</v>
      </c>
      <c r="G13699" t="s">
        <v>63</v>
      </c>
      <c r="H13699" t="s">
        <v>20</v>
      </c>
      <c r="I13699" t="s">
        <v>26481</v>
      </c>
      <c r="J13699" t="str">
        <f>HYPERLINK("https://www.boe.es/gazeta/dias/1822/06/21/pdfs/GMD-1822-179.pdf#page=6","Abrir facsímil")</f>
        <v>Abrir facsímil</v>
      </c>
      <c r="K13699" t="s">
        <v>22</v>
      </c>
    </row>
    <row r="13700" spans="1:11" ht="42" customHeight="1">
      <c r="A13700" t="s">
        <v>26450</v>
      </c>
      <c r="B13700" t="s">
        <v>26450</v>
      </c>
      <c r="C13700" t="s">
        <v>16</v>
      </c>
      <c r="D13700" t="s">
        <v>17</v>
      </c>
      <c r="E13700" s="6">
        <v>-28315</v>
      </c>
      <c r="F13700" t="s">
        <v>1220</v>
      </c>
      <c r="G13700" t="s">
        <v>57</v>
      </c>
      <c r="H13700" t="s">
        <v>20</v>
      </c>
      <c r="I13700" t="s">
        <v>26482</v>
      </c>
      <c r="J13700" t="str">
        <f>HYPERLINK("https://www.boe.es/gazeta/dias/1822/06/22/pdfs/GMD-1822-180.pdf#page=4","Abrir facsímil")</f>
        <v>Abrir facsímil</v>
      </c>
      <c r="K13700" t="s">
        <v>22</v>
      </c>
    </row>
    <row r="13701" spans="1:11" ht="42" customHeight="1">
      <c r="A13701" t="s">
        <v>26450</v>
      </c>
      <c r="B13701" t="s">
        <v>26450</v>
      </c>
      <c r="C13701" t="s">
        <v>61</v>
      </c>
      <c r="D13701" t="s">
        <v>17</v>
      </c>
      <c r="E13701" s="6">
        <v>-28314</v>
      </c>
      <c r="F13701" t="s">
        <v>309</v>
      </c>
      <c r="G13701" t="s">
        <v>57</v>
      </c>
      <c r="H13701" t="s">
        <v>20</v>
      </c>
      <c r="I13701" t="s">
        <v>26483</v>
      </c>
      <c r="J13701" t="str">
        <f>HYPERLINK("https://www.boe.es/gazeta/dias/1822/06/23/pdfs/GMD-1822-181.pdf#page=4","Abrir facsímil")</f>
        <v>Abrir facsímil</v>
      </c>
      <c r="K13701" t="s">
        <v>22</v>
      </c>
    </row>
    <row r="13702" spans="1:11" ht="42" customHeight="1">
      <c r="A13702" t="s">
        <v>26450</v>
      </c>
      <c r="B13702" t="s">
        <v>26450</v>
      </c>
      <c r="C13702" t="s">
        <v>61</v>
      </c>
      <c r="D13702" t="s">
        <v>17</v>
      </c>
      <c r="E13702" s="6">
        <v>-28312</v>
      </c>
      <c r="F13702" t="s">
        <v>92</v>
      </c>
      <c r="G13702" t="s">
        <v>31</v>
      </c>
      <c r="H13702" t="s">
        <v>20</v>
      </c>
      <c r="I13702" t="s">
        <v>26484</v>
      </c>
      <c r="J13702" t="str">
        <f>HYPERLINK("https://www.boe.es/gazeta/dias/1822/06/25/pdfs/GMD-1822-183.pdf#page=3","Abrir facsímil")</f>
        <v>Abrir facsímil</v>
      </c>
      <c r="K13702" t="s">
        <v>22</v>
      </c>
    </row>
    <row r="13703" spans="1:11" ht="42" customHeight="1">
      <c r="A13703" t="s">
        <v>26450</v>
      </c>
      <c r="B13703" t="s">
        <v>26450</v>
      </c>
      <c r="C13703" t="s">
        <v>28</v>
      </c>
      <c r="D13703" t="s">
        <v>29</v>
      </c>
      <c r="E13703" s="6">
        <v>-28311</v>
      </c>
      <c r="F13703" t="s">
        <v>736</v>
      </c>
      <c r="G13703" t="s">
        <v>35</v>
      </c>
      <c r="H13703" t="s">
        <v>20</v>
      </c>
      <c r="I13703" t="s">
        <v>26485</v>
      </c>
      <c r="J13703" t="str">
        <f>HYPERLINK("https://www.boe.es/gazeta/dias/1822/06/26/pdfs/GMD-1822-184.pdf#page=2","Abrir facsímil")</f>
        <v>Abrir facsímil</v>
      </c>
      <c r="K13703" t="s">
        <v>22</v>
      </c>
    </row>
    <row r="13704" spans="1:11" ht="42" customHeight="1">
      <c r="A13704" t="s">
        <v>26450</v>
      </c>
      <c r="B13704" t="s">
        <v>26450</v>
      </c>
      <c r="C13704" t="s">
        <v>71</v>
      </c>
      <c r="D13704" t="s">
        <v>17</v>
      </c>
      <c r="E13704" s="6">
        <v>-28311</v>
      </c>
      <c r="F13704" t="s">
        <v>736</v>
      </c>
      <c r="G13704" t="s">
        <v>63</v>
      </c>
      <c r="H13704" t="s">
        <v>20</v>
      </c>
      <c r="I13704" t="s">
        <v>26486</v>
      </c>
      <c r="J13704" t="str">
        <f>HYPERLINK("https://www.boe.es/gazeta/dias/1822/06/26/pdfs/GMD-1822-184.pdf#page=6","Abrir facsímil")</f>
        <v>Abrir facsímil</v>
      </c>
      <c r="K13704" t="s">
        <v>22</v>
      </c>
    </row>
    <row r="13705" spans="1:11" ht="42" customHeight="1">
      <c r="A13705" t="s">
        <v>26450</v>
      </c>
      <c r="B13705" t="s">
        <v>26450</v>
      </c>
      <c r="C13705" t="s">
        <v>42</v>
      </c>
      <c r="D13705" t="s">
        <v>17</v>
      </c>
      <c r="E13705" s="6">
        <v>-28310</v>
      </c>
      <c r="F13705" t="s">
        <v>241</v>
      </c>
      <c r="G13705" t="s">
        <v>19</v>
      </c>
      <c r="H13705" t="s">
        <v>20</v>
      </c>
      <c r="I13705" t="s">
        <v>26487</v>
      </c>
      <c r="J13705" t="str">
        <f>HYPERLINK("https://www.boe.es/gazeta/dias/1822/06/27/pdfs/GMD-1822-185.pdf#page=5","Abrir facsímil")</f>
        <v>Abrir facsímil</v>
      </c>
      <c r="K13705" t="s">
        <v>22</v>
      </c>
    </row>
    <row r="13706" spans="1:11" ht="42" customHeight="1">
      <c r="A13706" t="s">
        <v>26450</v>
      </c>
      <c r="B13706" t="s">
        <v>26450</v>
      </c>
      <c r="C13706" t="s">
        <v>42</v>
      </c>
      <c r="D13706" t="s">
        <v>17</v>
      </c>
      <c r="E13706" s="6">
        <v>-28308</v>
      </c>
      <c r="F13706" t="s">
        <v>1050</v>
      </c>
      <c r="G13706" t="s">
        <v>35</v>
      </c>
      <c r="H13706" t="s">
        <v>20</v>
      </c>
      <c r="I13706" t="s">
        <v>26488</v>
      </c>
      <c r="J13706" t="str">
        <f>HYPERLINK("https://www.boe.es/gazeta/dias/1822/06/29/pdfs/GMD-1822-187.pdf#page=2","Abrir facsímil")</f>
        <v>Abrir facsímil</v>
      </c>
      <c r="K13706" t="s">
        <v>22</v>
      </c>
    </row>
    <row r="13707" spans="1:11" ht="42" customHeight="1">
      <c r="A13707" t="s">
        <v>26450</v>
      </c>
      <c r="B13707" t="s">
        <v>26450</v>
      </c>
      <c r="C13707" t="s">
        <v>71</v>
      </c>
      <c r="D13707" t="s">
        <v>17</v>
      </c>
      <c r="E13707" s="6">
        <v>-28308</v>
      </c>
      <c r="F13707" t="s">
        <v>1050</v>
      </c>
      <c r="G13707" t="s">
        <v>19</v>
      </c>
      <c r="H13707" t="s">
        <v>20</v>
      </c>
      <c r="I13707" t="s">
        <v>26489</v>
      </c>
      <c r="J13707" t="str">
        <f>HYPERLINK("https://www.boe.es/gazeta/dias/1822/06/29/pdfs/GMD-1822-187.pdf#page=5","Abrir facsímil")</f>
        <v>Abrir facsímil</v>
      </c>
      <c r="K13707" t="s">
        <v>22</v>
      </c>
    </row>
    <row r="13708" spans="1:11" ht="42" customHeight="1">
      <c r="A13708" t="s">
        <v>26450</v>
      </c>
      <c r="B13708" t="s">
        <v>26450</v>
      </c>
      <c r="C13708" t="s">
        <v>16</v>
      </c>
      <c r="D13708" t="s">
        <v>17</v>
      </c>
      <c r="E13708" s="6">
        <v>-28306</v>
      </c>
      <c r="F13708" t="s">
        <v>348</v>
      </c>
      <c r="G13708" t="s">
        <v>31</v>
      </c>
      <c r="H13708" t="s">
        <v>20</v>
      </c>
      <c r="I13708" t="s">
        <v>26490</v>
      </c>
      <c r="J13708" t="str">
        <f>HYPERLINK("https://www.boe.es/gazeta/dias/1822/07/01/pdfs/GMD-1822-190.pdf#page=3","Abrir facsímil")</f>
        <v>Abrir facsímil</v>
      </c>
      <c r="K13708" t="s">
        <v>22</v>
      </c>
    </row>
    <row r="13709" spans="1:11" ht="42" customHeight="1">
      <c r="A13709" t="s">
        <v>26450</v>
      </c>
      <c r="B13709" t="s">
        <v>26450</v>
      </c>
      <c r="C13709" t="s">
        <v>50</v>
      </c>
      <c r="D13709" t="s">
        <v>51</v>
      </c>
      <c r="E13709" s="6">
        <v>-28202</v>
      </c>
      <c r="F13709" t="s">
        <v>922</v>
      </c>
      <c r="G13709" t="s">
        <v>19</v>
      </c>
      <c r="H13709" t="s">
        <v>20</v>
      </c>
      <c r="I13709" t="s">
        <v>26491</v>
      </c>
      <c r="J13709" t="str">
        <f>HYPERLINK("https://www.boe.es/gazeta/dias/1822/10/13/pdfs/GMD-1822-300.pdf#page=5","Abrir facsímil")</f>
        <v>Abrir facsímil</v>
      </c>
      <c r="K13709" t="s">
        <v>22</v>
      </c>
    </row>
    <row r="13710" spans="1:11" ht="42" customHeight="1">
      <c r="A13710" t="s">
        <v>26450</v>
      </c>
      <c r="B13710" t="s">
        <v>26450</v>
      </c>
      <c r="C13710" t="s">
        <v>16</v>
      </c>
      <c r="D13710" t="s">
        <v>17</v>
      </c>
      <c r="E13710" s="6">
        <v>-28189</v>
      </c>
      <c r="F13710" t="s">
        <v>645</v>
      </c>
      <c r="G13710" t="s">
        <v>31</v>
      </c>
      <c r="H13710" t="s">
        <v>20</v>
      </c>
      <c r="I13710" t="s">
        <v>26492</v>
      </c>
      <c r="J13710" t="str">
        <f>HYPERLINK("https://www.boe.es/gazeta/dias/1822/10/26/pdfs/GMD-1822-313.pdf#page=3","Abrir facsímil")</f>
        <v>Abrir facsímil</v>
      </c>
      <c r="K13710" t="s">
        <v>22</v>
      </c>
    </row>
    <row r="13711" spans="1:11" ht="42" customHeight="1">
      <c r="A13711" t="s">
        <v>26450</v>
      </c>
      <c r="B13711" t="s">
        <v>26450</v>
      </c>
      <c r="C13711" t="s">
        <v>28</v>
      </c>
      <c r="D13711" t="s">
        <v>29</v>
      </c>
      <c r="E13711" s="6">
        <v>-28187</v>
      </c>
      <c r="F13711" t="s">
        <v>929</v>
      </c>
      <c r="G13711" t="s">
        <v>57</v>
      </c>
      <c r="H13711" t="s">
        <v>20</v>
      </c>
      <c r="I13711" t="s">
        <v>26493</v>
      </c>
      <c r="J13711" t="str">
        <f>HYPERLINK("https://www.boe.es/gazeta/dias/1822/10/28/pdfs/GMD-1822-315.pdf#page=4","Abrir facsímil")</f>
        <v>Abrir facsímil</v>
      </c>
      <c r="K13711" t="s">
        <v>22</v>
      </c>
    </row>
    <row r="13712" spans="1:11" ht="42" customHeight="1">
      <c r="A13712" t="s">
        <v>26450</v>
      </c>
      <c r="B13712" t="s">
        <v>26450</v>
      </c>
      <c r="C13712" t="s">
        <v>71</v>
      </c>
      <c r="D13712" t="s">
        <v>17</v>
      </c>
      <c r="E13712" s="6">
        <v>-28176</v>
      </c>
      <c r="F13712" t="s">
        <v>780</v>
      </c>
      <c r="G13712" t="s">
        <v>5014</v>
      </c>
      <c r="H13712" t="s">
        <v>20</v>
      </c>
      <c r="I13712" t="s">
        <v>26494</v>
      </c>
      <c r="J13712" t="str">
        <f>HYPERLINK("https://www.boe.es/gazeta/dias/1822/11/08/pdfs/GMD-1822-328.pdf#page=4","Abrir facsímil")</f>
        <v>Abrir facsímil</v>
      </c>
      <c r="K13712" t="s">
        <v>22</v>
      </c>
    </row>
    <row r="13713" spans="1:11" ht="42" customHeight="1">
      <c r="A13713" t="s">
        <v>26450</v>
      </c>
      <c r="B13713" t="s">
        <v>26450</v>
      </c>
      <c r="C13713" t="s">
        <v>42</v>
      </c>
      <c r="D13713" t="s">
        <v>17</v>
      </c>
      <c r="E13713" s="6">
        <v>-28173</v>
      </c>
      <c r="F13713" t="s">
        <v>2959</v>
      </c>
      <c r="G13713" t="s">
        <v>57</v>
      </c>
      <c r="H13713" t="s">
        <v>20</v>
      </c>
      <c r="I13713" t="s">
        <v>26495</v>
      </c>
      <c r="J13713" t="str">
        <f>HYPERLINK("https://www.boe.es/gazeta/dias/1822/11/11/pdfs/GMD-1822-331.pdf#page=4","Abrir facsímil")</f>
        <v>Abrir facsímil</v>
      </c>
      <c r="K13713" t="s">
        <v>22</v>
      </c>
    </row>
    <row r="13714" spans="1:11" ht="42" customHeight="1">
      <c r="A13714" t="s">
        <v>26496</v>
      </c>
      <c r="B13714" t="s">
        <v>26496</v>
      </c>
      <c r="C13714" t="s">
        <v>28</v>
      </c>
      <c r="D13714" t="s">
        <v>29</v>
      </c>
      <c r="E13714" s="6">
        <v>-28152</v>
      </c>
      <c r="F13714" t="s">
        <v>122</v>
      </c>
      <c r="G13714" t="s">
        <v>35</v>
      </c>
      <c r="H13714" t="s">
        <v>20</v>
      </c>
      <c r="I13714" t="s">
        <v>26497</v>
      </c>
      <c r="J13714" t="str">
        <f>HYPERLINK("https://www.boe.es/gazeta/dias/1822/12/02/pdfs/GMD-1822-352.pdf#page=2","Abrir facsímil")</f>
        <v>Abrir facsímil</v>
      </c>
      <c r="K13714" t="s">
        <v>22</v>
      </c>
    </row>
    <row r="13715" spans="1:11" ht="42" customHeight="1">
      <c r="A13715" t="s">
        <v>26450</v>
      </c>
      <c r="B13715" t="s">
        <v>26450</v>
      </c>
      <c r="C13715" t="s">
        <v>28</v>
      </c>
      <c r="D13715" t="s">
        <v>29</v>
      </c>
      <c r="E13715" s="6">
        <v>-28144</v>
      </c>
      <c r="F13715" t="s">
        <v>288</v>
      </c>
      <c r="G13715" t="s">
        <v>57</v>
      </c>
      <c r="H13715" t="s">
        <v>20</v>
      </c>
      <c r="I13715" t="s">
        <v>26498</v>
      </c>
      <c r="J13715" t="str">
        <f>HYPERLINK("https://www.boe.es/gazeta/dias/1822/12/10/pdfs/GMD-1822-360.pdf#page=4","Abrir facsímil")</f>
        <v>Abrir facsímil</v>
      </c>
      <c r="K13715" t="s">
        <v>22</v>
      </c>
    </row>
    <row r="13716" spans="1:11" ht="42" customHeight="1">
      <c r="A13716" t="s">
        <v>26499</v>
      </c>
      <c r="B13716" t="s">
        <v>26499</v>
      </c>
      <c r="C13716" t="s">
        <v>71</v>
      </c>
      <c r="D13716" t="s">
        <v>17</v>
      </c>
      <c r="E13716" s="6">
        <v>-28179</v>
      </c>
      <c r="F13716" t="s">
        <v>935</v>
      </c>
      <c r="G13716" t="s">
        <v>31</v>
      </c>
      <c r="H13716" t="s">
        <v>20</v>
      </c>
      <c r="I13716" t="s">
        <v>26500</v>
      </c>
      <c r="J13716" t="str">
        <f>HYPERLINK("https://www.boe.es/gazeta/dias/1822/11/05/pdfs/GMD-1822-325.pdf#page=3","Abrir facsímil")</f>
        <v>Abrir facsímil</v>
      </c>
      <c r="K13716" t="s">
        <v>22</v>
      </c>
    </row>
    <row r="13717" spans="1:11" ht="42" customHeight="1">
      <c r="A13717" t="s">
        <v>26501</v>
      </c>
      <c r="B13717" t="s">
        <v>26501</v>
      </c>
      <c r="C13717" t="s">
        <v>50</v>
      </c>
      <c r="D13717" t="s">
        <v>51</v>
      </c>
      <c r="E13717" s="6">
        <v>-28366</v>
      </c>
      <c r="F13717" t="s">
        <v>120</v>
      </c>
      <c r="G13717" t="s">
        <v>31</v>
      </c>
      <c r="H13717" t="s">
        <v>20</v>
      </c>
      <c r="I13717" t="s">
        <v>26502</v>
      </c>
      <c r="J13717" t="str">
        <f>HYPERLINK("https://www.boe.es/gazeta/dias/1822/05/02/pdfs/GMD-1822-124.pdf#page=3","Abrir facsímil")</f>
        <v>Abrir facsímil</v>
      </c>
      <c r="K13717" t="s">
        <v>22</v>
      </c>
    </row>
    <row r="13718" spans="1:11" ht="42" customHeight="1">
      <c r="A13718" t="s">
        <v>26501</v>
      </c>
      <c r="B13718" t="s">
        <v>26501</v>
      </c>
      <c r="C13718" t="s">
        <v>50</v>
      </c>
      <c r="D13718" t="s">
        <v>51</v>
      </c>
      <c r="E13718" s="6">
        <v>-28350</v>
      </c>
      <c r="F13718" t="s">
        <v>352</v>
      </c>
      <c r="G13718" t="s">
        <v>57</v>
      </c>
      <c r="H13718" t="s">
        <v>20</v>
      </c>
      <c r="I13718" t="s">
        <v>26503</v>
      </c>
      <c r="J13718" t="str">
        <f>HYPERLINK("https://www.boe.es/gazeta/dias/1822/05/18/pdfs/GMD-1822-140.pdf#page=4","Abrir facsímil")</f>
        <v>Abrir facsímil</v>
      </c>
      <c r="K13718" t="s">
        <v>22</v>
      </c>
    </row>
    <row r="13719" spans="1:11" ht="42" customHeight="1">
      <c r="A13719" t="s">
        <v>26501</v>
      </c>
      <c r="B13719" t="s">
        <v>26501</v>
      </c>
      <c r="C13719" t="s">
        <v>42</v>
      </c>
      <c r="D13719" t="s">
        <v>17</v>
      </c>
      <c r="E13719" s="6">
        <v>-28309</v>
      </c>
      <c r="F13719" t="s">
        <v>553</v>
      </c>
      <c r="G13719" t="s">
        <v>671</v>
      </c>
      <c r="H13719" t="s">
        <v>20</v>
      </c>
      <c r="I13719" t="s">
        <v>26504</v>
      </c>
      <c r="J13719" t="str">
        <f>HYPERLINK("https://www.boe.es/gazeta/dias/1822/06/28/pdfs/GMD-1822-186.pdf#page=3","Abrir facsímil")</f>
        <v>Abrir facsímil</v>
      </c>
      <c r="K13719" t="s">
        <v>22</v>
      </c>
    </row>
    <row r="13720" spans="1:11" ht="42" customHeight="1">
      <c r="A13720" t="s">
        <v>26501</v>
      </c>
      <c r="B13720" t="s">
        <v>26501</v>
      </c>
      <c r="C13720" t="s">
        <v>50</v>
      </c>
      <c r="D13720" t="s">
        <v>51</v>
      </c>
      <c r="E13720" s="6">
        <v>-28307</v>
      </c>
      <c r="F13720" t="s">
        <v>555</v>
      </c>
      <c r="G13720" t="s">
        <v>871</v>
      </c>
      <c r="H13720" t="s">
        <v>20</v>
      </c>
      <c r="I13720" t="s">
        <v>26505</v>
      </c>
      <c r="J13720" t="str">
        <f>HYPERLINK("https://www.boe.es/gazeta/dias/1822/06/30/pdfs/GMD-1822-188.pdf#page=4","Abrir facsímil")</f>
        <v>Abrir facsímil</v>
      </c>
      <c r="K13720" t="s">
        <v>22</v>
      </c>
    </row>
    <row r="13721" spans="1:11" ht="42" customHeight="1">
      <c r="A13721" t="s">
        <v>26506</v>
      </c>
      <c r="B13721" t="s">
        <v>26507</v>
      </c>
      <c r="C13721" t="s">
        <v>50</v>
      </c>
      <c r="D13721" t="s">
        <v>51</v>
      </c>
      <c r="E13721" s="6">
        <v>-28289</v>
      </c>
      <c r="F13721" t="s">
        <v>390</v>
      </c>
      <c r="G13721" t="s">
        <v>35</v>
      </c>
      <c r="H13721" t="s">
        <v>45</v>
      </c>
      <c r="I13721" t="s">
        <v>26508</v>
      </c>
      <c r="J13721" t="str">
        <f>HYPERLINK("https://www.boe.es/gazeta/dias/1822/07/18/pdfs/GMD-1822-209.pdf#page=2","Abrir facsímil")</f>
        <v>Abrir facsímil</v>
      </c>
      <c r="K13721" t="s">
        <v>47</v>
      </c>
    </row>
    <row r="13722" spans="1:11" ht="42" customHeight="1">
      <c r="A13722" t="s">
        <v>26509</v>
      </c>
      <c r="B13722" t="s">
        <v>26509</v>
      </c>
      <c r="C13722" t="s">
        <v>42</v>
      </c>
      <c r="D13722" t="s">
        <v>17</v>
      </c>
      <c r="E13722" s="6">
        <v>-28258</v>
      </c>
      <c r="F13722" t="s">
        <v>88</v>
      </c>
      <c r="G13722" t="s">
        <v>31</v>
      </c>
      <c r="H13722" t="s">
        <v>20</v>
      </c>
      <c r="I13722" t="s">
        <v>26510</v>
      </c>
      <c r="J13722" t="str">
        <f>HYPERLINK("https://www.boe.es/gazeta/dias/1822/08/18/pdfs/GMD-1822-242.pdf#page=3","Abrir facsímil")</f>
        <v>Abrir facsímil</v>
      </c>
      <c r="K13722" t="s">
        <v>22</v>
      </c>
    </row>
    <row r="13723" spans="1:11" ht="42" customHeight="1">
      <c r="A13723" t="s">
        <v>26511</v>
      </c>
      <c r="B13723" t="s">
        <v>26511</v>
      </c>
      <c r="C13723" t="s">
        <v>50</v>
      </c>
      <c r="D13723" t="s">
        <v>51</v>
      </c>
      <c r="E13723" s="6">
        <v>-28150</v>
      </c>
      <c r="F13723" t="s">
        <v>62</v>
      </c>
      <c r="G13723" t="s">
        <v>57</v>
      </c>
      <c r="H13723" t="s">
        <v>20</v>
      </c>
      <c r="I13723" t="s">
        <v>26512</v>
      </c>
      <c r="J13723" t="str">
        <f>HYPERLINK("https://www.boe.es/gazeta/dias/1822/12/04/pdfs/GMD-1822-354.pdf#page=4","Abrir facsímil")</f>
        <v>Abrir facsímil</v>
      </c>
      <c r="K13723" t="s">
        <v>22</v>
      </c>
    </row>
    <row r="13724" spans="1:11" ht="42" customHeight="1">
      <c r="A13724" t="s">
        <v>26513</v>
      </c>
      <c r="B13724" t="s">
        <v>26513</v>
      </c>
      <c r="C13724" t="s">
        <v>42</v>
      </c>
      <c r="D13724" t="s">
        <v>17</v>
      </c>
      <c r="E13724" s="6">
        <v>-28165</v>
      </c>
      <c r="F13724" t="s">
        <v>846</v>
      </c>
      <c r="G13724" t="s">
        <v>847</v>
      </c>
      <c r="H13724" t="s">
        <v>20</v>
      </c>
      <c r="I13724" t="s">
        <v>26514</v>
      </c>
      <c r="J13724" t="str">
        <f>HYPERLINK("https://www.boe.es/gazeta/dias/1822/11/19/pdfs/GMD-1822-339.pdf#page=3","Abrir facsímil")</f>
        <v>Abrir facsímil</v>
      </c>
      <c r="K13724" t="s">
        <v>22</v>
      </c>
    </row>
    <row r="13725" spans="1:11" ht="42" customHeight="1">
      <c r="A13725" t="s">
        <v>26515</v>
      </c>
      <c r="B13725" t="s">
        <v>26515</v>
      </c>
      <c r="C13725" t="s">
        <v>71</v>
      </c>
      <c r="D13725" t="s">
        <v>17</v>
      </c>
      <c r="E13725" s="6">
        <v>-28127</v>
      </c>
      <c r="F13725" t="s">
        <v>409</v>
      </c>
      <c r="G13725" t="s">
        <v>57</v>
      </c>
      <c r="H13725" t="s">
        <v>20</v>
      </c>
      <c r="I13725" t="s">
        <v>26516</v>
      </c>
      <c r="J13725" t="str">
        <f>HYPERLINK("https://www.boe.es/gazeta/dias/1822/12/27/pdfs/GMD-1822-377.pdf#page=4","Abrir facsímil")</f>
        <v>Abrir facsímil</v>
      </c>
      <c r="K13725" t="s">
        <v>22</v>
      </c>
    </row>
    <row r="13726" spans="1:11" ht="42" customHeight="1">
      <c r="A13726" t="s">
        <v>26517</v>
      </c>
      <c r="B13726" t="s">
        <v>26517</v>
      </c>
      <c r="C13726" t="s">
        <v>16</v>
      </c>
      <c r="D13726" t="s">
        <v>17</v>
      </c>
      <c r="E13726" s="6">
        <v>-28473</v>
      </c>
      <c r="F13726" t="s">
        <v>2337</v>
      </c>
      <c r="G13726" t="s">
        <v>44</v>
      </c>
      <c r="H13726" t="s">
        <v>20</v>
      </c>
      <c r="I13726" t="s">
        <v>26518</v>
      </c>
      <c r="J13726" t="str">
        <f>HYPERLINK("https://www.boe.es/gazeta/dias/1822/01/15/pdfs/GMD-1822-15.pdf#page=1","Abrir facsímil")</f>
        <v>Abrir facsímil</v>
      </c>
      <c r="K13726" t="s">
        <v>22</v>
      </c>
    </row>
    <row r="13727" spans="1:11" ht="42" customHeight="1">
      <c r="A13727" t="s">
        <v>26517</v>
      </c>
      <c r="B13727" t="s">
        <v>26517</v>
      </c>
      <c r="C13727" t="s">
        <v>71</v>
      </c>
      <c r="D13727" t="s">
        <v>17</v>
      </c>
      <c r="E13727" s="6">
        <v>-28459</v>
      </c>
      <c r="F13727" t="s">
        <v>1102</v>
      </c>
      <c r="G13727" t="s">
        <v>44</v>
      </c>
      <c r="H13727" t="s">
        <v>20</v>
      </c>
      <c r="I13727" t="s">
        <v>26519</v>
      </c>
      <c r="J13727" t="str">
        <f>HYPERLINK("https://www.boe.es/gazeta/dias/1822/01/29/pdfs/GMD-1822-29.pdf#page=1","Abrir facsímil")</f>
        <v>Abrir facsímil</v>
      </c>
      <c r="K13727" t="s">
        <v>22</v>
      </c>
    </row>
    <row r="13728" spans="1:11" ht="42" customHeight="1">
      <c r="A13728" t="s">
        <v>26517</v>
      </c>
      <c r="B13728" t="s">
        <v>26517</v>
      </c>
      <c r="C13728" t="s">
        <v>28</v>
      </c>
      <c r="D13728" t="s">
        <v>29</v>
      </c>
      <c r="E13728" s="6">
        <v>-28430</v>
      </c>
      <c r="F13728" t="s">
        <v>3437</v>
      </c>
      <c r="G13728" t="s">
        <v>44</v>
      </c>
      <c r="H13728" t="s">
        <v>20</v>
      </c>
      <c r="I13728" t="s">
        <v>26520</v>
      </c>
      <c r="J13728" t="str">
        <f>HYPERLINK("https://www.boe.es/gazeta/dias/1822/02/27/pdfs/GMD-1822-59.pdf#page=1","Abrir facsímil")</f>
        <v>Abrir facsímil</v>
      </c>
      <c r="K13728" t="s">
        <v>22</v>
      </c>
    </row>
    <row r="13729" spans="1:11" ht="42" customHeight="1">
      <c r="A13729" t="s">
        <v>26517</v>
      </c>
      <c r="B13729" t="s">
        <v>26517</v>
      </c>
      <c r="C13729" t="s">
        <v>42</v>
      </c>
      <c r="D13729" t="s">
        <v>17</v>
      </c>
      <c r="E13729" s="6">
        <v>-28423</v>
      </c>
      <c r="F13729" t="s">
        <v>441</v>
      </c>
      <c r="G13729" t="s">
        <v>35</v>
      </c>
      <c r="H13729" t="s">
        <v>20</v>
      </c>
      <c r="I13729" t="s">
        <v>26521</v>
      </c>
      <c r="J13729" t="str">
        <f>HYPERLINK("https://www.boe.es/gazeta/dias/1822/03/06/pdfs/GMD-1822-67.pdf#page=2","Abrir facsímil")</f>
        <v>Abrir facsímil</v>
      </c>
      <c r="K13729" t="s">
        <v>22</v>
      </c>
    </row>
    <row r="13730" spans="1:11" ht="42" customHeight="1">
      <c r="A13730" t="s">
        <v>26517</v>
      </c>
      <c r="B13730" t="s">
        <v>26517</v>
      </c>
      <c r="C13730" t="s">
        <v>28</v>
      </c>
      <c r="D13730" t="s">
        <v>29</v>
      </c>
      <c r="E13730" s="6">
        <v>-28421</v>
      </c>
      <c r="F13730" t="s">
        <v>446</v>
      </c>
      <c r="G13730" t="s">
        <v>44</v>
      </c>
      <c r="H13730" t="s">
        <v>20</v>
      </c>
      <c r="I13730" t="s">
        <v>26522</v>
      </c>
      <c r="J13730" t="str">
        <f>HYPERLINK("https://www.boe.es/gazeta/dias/1822/03/08/pdfs/GMD-1822-69.pdf#page=1","Abrir facsímil")</f>
        <v>Abrir facsímil</v>
      </c>
      <c r="K13730" t="s">
        <v>22</v>
      </c>
    </row>
    <row r="13731" spans="1:11" ht="42" customHeight="1">
      <c r="A13731" t="s">
        <v>26523</v>
      </c>
      <c r="B13731" t="s">
        <v>26523</v>
      </c>
      <c r="C13731" t="s">
        <v>50</v>
      </c>
      <c r="D13731" t="s">
        <v>51</v>
      </c>
      <c r="E13731" s="6">
        <v>-28309</v>
      </c>
      <c r="F13731" t="s">
        <v>553</v>
      </c>
      <c r="G13731" t="s">
        <v>642</v>
      </c>
      <c r="H13731" t="s">
        <v>20</v>
      </c>
      <c r="I13731" t="s">
        <v>26524</v>
      </c>
      <c r="J13731" t="str">
        <f>HYPERLINK("https://www.boe.es/gazeta/dias/1822/06/28/pdfs/GMD-1822-186.pdf#page=7","Abrir facsímil")</f>
        <v>Abrir facsímil</v>
      </c>
      <c r="K13731" t="s">
        <v>22</v>
      </c>
    </row>
    <row r="13732" spans="1:11" ht="42" customHeight="1">
      <c r="A13732" t="s">
        <v>26525</v>
      </c>
      <c r="B13732" t="s">
        <v>26525</v>
      </c>
      <c r="C13732" t="s">
        <v>42</v>
      </c>
      <c r="D13732" t="s">
        <v>17</v>
      </c>
      <c r="E13732" s="6">
        <v>-28479</v>
      </c>
      <c r="F13732" t="s">
        <v>1091</v>
      </c>
      <c r="G13732" t="s">
        <v>19</v>
      </c>
      <c r="H13732" t="s">
        <v>20</v>
      </c>
      <c r="I13732" t="s">
        <v>26526</v>
      </c>
      <c r="J13732" t="str">
        <f>HYPERLINK("https://www.boe.es/gazeta/dias/1822/01/09/pdfs/GMD-1822-9.pdf#page=5","Abrir facsímil")</f>
        <v>Abrir facsímil</v>
      </c>
      <c r="K13732" t="s">
        <v>22</v>
      </c>
    </row>
    <row r="13733" spans="1:11" ht="42" customHeight="1">
      <c r="A13733" t="s">
        <v>26527</v>
      </c>
      <c r="B13733" t="s">
        <v>26528</v>
      </c>
      <c r="C13733" t="s">
        <v>61</v>
      </c>
      <c r="D13733" t="s">
        <v>17</v>
      </c>
      <c r="E13733" s="6">
        <v>-28145</v>
      </c>
      <c r="F13733" t="s">
        <v>1350</v>
      </c>
      <c r="G13733" t="s">
        <v>63</v>
      </c>
      <c r="H13733" t="s">
        <v>45</v>
      </c>
      <c r="I13733" t="s">
        <v>26529</v>
      </c>
      <c r="J13733" t="str">
        <f>HYPERLINK("https://www.boe.es/gazeta/dias/1822/12/09/pdfs/GMD-1822-359.pdf#page=6","Abrir facsímil")</f>
        <v>Abrir facsímil</v>
      </c>
      <c r="K13733" t="s">
        <v>47</v>
      </c>
    </row>
    <row r="13734" spans="1:11" ht="42" customHeight="1">
      <c r="A13734" t="s">
        <v>26530</v>
      </c>
      <c r="B13734" t="s">
        <v>26531</v>
      </c>
      <c r="C13734" t="s">
        <v>42</v>
      </c>
      <c r="D13734" t="s">
        <v>17</v>
      </c>
      <c r="E13734" s="6">
        <v>-28269</v>
      </c>
      <c r="F13734" t="s">
        <v>5517</v>
      </c>
      <c r="G13734" t="s">
        <v>35</v>
      </c>
      <c r="H13734" t="s">
        <v>45</v>
      </c>
      <c r="I13734" t="s">
        <v>26532</v>
      </c>
      <c r="J13734" t="str">
        <f>HYPERLINK("https://www.boe.es/gazeta/dias/1822/08/07/pdfs/GMD-1822-231.pdf#page=2","Abrir facsímil")</f>
        <v>Abrir facsímil</v>
      </c>
      <c r="K13734" t="s">
        <v>47</v>
      </c>
    </row>
    <row r="13735" spans="1:11" ht="42" customHeight="1">
      <c r="A13735" t="s">
        <v>26533</v>
      </c>
      <c r="B13735" t="s">
        <v>26534</v>
      </c>
      <c r="C13735" t="s">
        <v>42</v>
      </c>
      <c r="D13735" t="s">
        <v>17</v>
      </c>
      <c r="E13735" s="6">
        <v>-28200</v>
      </c>
      <c r="F13735" t="s">
        <v>1037</v>
      </c>
      <c r="G13735" t="s">
        <v>63</v>
      </c>
      <c r="H13735" t="s">
        <v>45</v>
      </c>
      <c r="I13735" t="s">
        <v>26535</v>
      </c>
      <c r="J13735" t="str">
        <f>HYPERLINK("https://www.boe.es/gazeta/dias/1822/10/15/pdfs/GMD-1822-302.pdf#page=6","Abrir facsímil")</f>
        <v>Abrir facsímil</v>
      </c>
      <c r="K13735" t="s">
        <v>47</v>
      </c>
    </row>
    <row r="13736" spans="1:11" ht="42" customHeight="1">
      <c r="A13736" t="s">
        <v>26536</v>
      </c>
      <c r="B13736" t="s">
        <v>26537</v>
      </c>
      <c r="C13736" t="s">
        <v>50</v>
      </c>
      <c r="D13736" t="s">
        <v>51</v>
      </c>
      <c r="E13736" s="6">
        <v>-28293</v>
      </c>
      <c r="F13736" t="s">
        <v>152</v>
      </c>
      <c r="G13736" t="s">
        <v>35</v>
      </c>
      <c r="H13736" t="s">
        <v>45</v>
      </c>
      <c r="I13736" t="s">
        <v>26538</v>
      </c>
      <c r="J13736" t="str">
        <f>HYPERLINK("https://www.boe.es/gazeta/dias/1822/07/14/pdfs/GMD-1822-204.pdf#page=2","Abrir facsímil")</f>
        <v>Abrir facsímil</v>
      </c>
      <c r="K13736" t="s">
        <v>47</v>
      </c>
    </row>
    <row r="13737" spans="1:11" ht="42" customHeight="1">
      <c r="A13737" t="s">
        <v>26539</v>
      </c>
      <c r="B13737" t="s">
        <v>26539</v>
      </c>
      <c r="C13737" t="s">
        <v>50</v>
      </c>
      <c r="D13737" t="s">
        <v>51</v>
      </c>
      <c r="E13737" s="6">
        <v>-28221</v>
      </c>
      <c r="F13737" t="s">
        <v>2591</v>
      </c>
      <c r="G13737" t="s">
        <v>57</v>
      </c>
      <c r="H13737" t="s">
        <v>20</v>
      </c>
      <c r="I13737" t="s">
        <v>26540</v>
      </c>
      <c r="J13737" t="str">
        <f>HYPERLINK("https://www.boe.es/gazeta/dias/1822/09/24/pdfs/GMD-1822-280.pdf#page=4","Abrir facsímil")</f>
        <v>Abrir facsímil</v>
      </c>
      <c r="K13737" t="s">
        <v>22</v>
      </c>
    </row>
    <row r="13738" spans="1:11" ht="42" customHeight="1">
      <c r="A13738" t="s">
        <v>26541</v>
      </c>
      <c r="B13738" t="s">
        <v>26542</v>
      </c>
      <c r="C13738" t="s">
        <v>24</v>
      </c>
      <c r="D13738" t="s">
        <v>17</v>
      </c>
      <c r="E13738" s="6">
        <v>-28402</v>
      </c>
      <c r="F13738" t="s">
        <v>473</v>
      </c>
      <c r="G13738" t="s">
        <v>19</v>
      </c>
      <c r="H13738" t="s">
        <v>20</v>
      </c>
      <c r="I13738" t="s">
        <v>26543</v>
      </c>
      <c r="J13738" t="str">
        <f>HYPERLINK("https://www.boe.es/gazeta/dias/1822/03/27/pdfs/GMD-1822-88.pdf#page=5","Abrir facsímil")</f>
        <v>Abrir facsímil</v>
      </c>
      <c r="K13738" t="s">
        <v>22</v>
      </c>
    </row>
    <row r="13739" spans="1:11" ht="42" customHeight="1">
      <c r="A13739" t="s">
        <v>26544</v>
      </c>
      <c r="B13739" t="s">
        <v>26544</v>
      </c>
      <c r="C13739" t="s">
        <v>28</v>
      </c>
      <c r="D13739" t="s">
        <v>29</v>
      </c>
      <c r="E13739" s="6">
        <v>-28431</v>
      </c>
      <c r="F13739" t="s">
        <v>1258</v>
      </c>
      <c r="G13739" t="s">
        <v>31</v>
      </c>
      <c r="H13739" t="s">
        <v>20</v>
      </c>
      <c r="I13739" t="s">
        <v>26545</v>
      </c>
      <c r="J13739" t="str">
        <f>HYPERLINK("https://www.boe.es/gazeta/dias/1822/02/26/pdfs/GMD-1822-58.pdf#page=3","Abrir facsímil")</f>
        <v>Abrir facsímil</v>
      </c>
      <c r="K13739" t="s">
        <v>22</v>
      </c>
    </row>
    <row r="13740" spans="1:11" ht="42" customHeight="1">
      <c r="A13740" t="s">
        <v>26544</v>
      </c>
      <c r="B13740" t="s">
        <v>26544</v>
      </c>
      <c r="C13740" t="s">
        <v>50</v>
      </c>
      <c r="D13740" t="s">
        <v>51</v>
      </c>
      <c r="E13740" s="6">
        <v>-28380</v>
      </c>
      <c r="F13740" t="s">
        <v>492</v>
      </c>
      <c r="G13740" t="s">
        <v>44</v>
      </c>
      <c r="H13740" t="s">
        <v>20</v>
      </c>
      <c r="I13740" t="s">
        <v>26546</v>
      </c>
      <c r="J13740" t="str">
        <f>HYPERLINK("https://www.boe.es/gazeta/dias/1822/04/18/pdfs/GMD-1822-110.pdf#page=1","Abrir facsímil")</f>
        <v>Abrir facsímil</v>
      </c>
      <c r="K13740" t="s">
        <v>22</v>
      </c>
    </row>
    <row r="13741" spans="1:11" ht="42" customHeight="1">
      <c r="A13741" t="s">
        <v>26547</v>
      </c>
      <c r="B13741" t="s">
        <v>26548</v>
      </c>
      <c r="C13741" t="s">
        <v>50</v>
      </c>
      <c r="D13741" t="s">
        <v>51</v>
      </c>
      <c r="E13741" s="6">
        <v>-28217</v>
      </c>
      <c r="F13741" t="s">
        <v>1892</v>
      </c>
      <c r="G13741" t="s">
        <v>31</v>
      </c>
      <c r="H13741" t="s">
        <v>20</v>
      </c>
      <c r="I13741" t="s">
        <v>26549</v>
      </c>
      <c r="J13741" t="str">
        <f>HYPERLINK("https://www.boe.es/gazeta/dias/1822/09/28/pdfs/GMD-1822-284.pdf#page=3","Abrir facsímil")</f>
        <v>Abrir facsímil</v>
      </c>
      <c r="K13741" t="s">
        <v>22</v>
      </c>
    </row>
    <row r="13742" spans="1:11" ht="42" customHeight="1">
      <c r="A13742" t="s">
        <v>26550</v>
      </c>
      <c r="B13742" t="s">
        <v>26551</v>
      </c>
      <c r="C13742" t="s">
        <v>50</v>
      </c>
      <c r="D13742" t="s">
        <v>51</v>
      </c>
      <c r="E13742" s="6">
        <v>-28230</v>
      </c>
      <c r="F13742" t="s">
        <v>1735</v>
      </c>
      <c r="G13742" t="s">
        <v>31</v>
      </c>
      <c r="H13742" t="s">
        <v>20</v>
      </c>
      <c r="I13742" t="s">
        <v>26552</v>
      </c>
      <c r="J13742" t="str">
        <f>HYPERLINK("https://www.boe.es/gazeta/dias/1822/09/15/pdfs/GMD-1822-271.pdf#page=3","Abrir facsímil")</f>
        <v>Abrir facsímil</v>
      </c>
      <c r="K13742" t="s">
        <v>22</v>
      </c>
    </row>
    <row r="13743" spans="1:11" ht="42" customHeight="1">
      <c r="A13743" t="s">
        <v>26553</v>
      </c>
      <c r="B13743" t="s">
        <v>26554</v>
      </c>
      <c r="C13743" t="s">
        <v>42</v>
      </c>
      <c r="D13743" t="s">
        <v>17</v>
      </c>
      <c r="E13743" s="6">
        <v>-28258</v>
      </c>
      <c r="F13743" t="s">
        <v>88</v>
      </c>
      <c r="G13743" t="s">
        <v>31</v>
      </c>
      <c r="H13743" t="s">
        <v>20</v>
      </c>
      <c r="I13743" t="s">
        <v>26555</v>
      </c>
      <c r="J13743" t="str">
        <f>HYPERLINK("https://www.boe.es/gazeta/dias/1822/08/18/pdfs/GMD-1822-242.pdf#page=3","Abrir facsímil")</f>
        <v>Abrir facsímil</v>
      </c>
      <c r="K13743" t="s">
        <v>22</v>
      </c>
    </row>
    <row r="13744" spans="1:11" ht="42" customHeight="1">
      <c r="A13744" t="s">
        <v>26556</v>
      </c>
      <c r="B13744" t="s">
        <v>26556</v>
      </c>
      <c r="C13744" t="s">
        <v>50</v>
      </c>
      <c r="D13744" t="s">
        <v>51</v>
      </c>
      <c r="E13744" s="6">
        <v>-28487</v>
      </c>
      <c r="F13744" t="s">
        <v>426</v>
      </c>
      <c r="G13744" t="s">
        <v>35</v>
      </c>
      <c r="H13744" t="s">
        <v>20</v>
      </c>
      <c r="I13744" t="s">
        <v>26557</v>
      </c>
      <c r="J13744" t="str">
        <f>HYPERLINK("https://www.boe.es/gazeta/dias/1822/01/01/pdfs/GMD-1822-1.pdf#page=2","Abrir facsímil")</f>
        <v>Abrir facsímil</v>
      </c>
      <c r="K13744" t="s">
        <v>22</v>
      </c>
    </row>
    <row r="13745" spans="1:11" ht="42" customHeight="1">
      <c r="A13745" t="s">
        <v>26558</v>
      </c>
      <c r="B13745" t="s">
        <v>26559</v>
      </c>
      <c r="C13745" t="s">
        <v>50</v>
      </c>
      <c r="D13745" t="s">
        <v>51</v>
      </c>
      <c r="E13745" s="6">
        <v>-28309</v>
      </c>
      <c r="F13745" t="s">
        <v>553</v>
      </c>
      <c r="G13745" t="s">
        <v>44</v>
      </c>
      <c r="H13745" t="s">
        <v>20</v>
      </c>
      <c r="I13745" t="s">
        <v>26560</v>
      </c>
      <c r="J13745" t="str">
        <f>HYPERLINK("https://www.boe.es/gazeta/dias/1822/06/28/pdfs/GMD-1822-186.pdf#page=1","Abrir facsímil")</f>
        <v>Abrir facsímil</v>
      </c>
      <c r="K13745" t="s">
        <v>22</v>
      </c>
    </row>
    <row r="13746" spans="1:11" ht="42" customHeight="1">
      <c r="A13746" t="s">
        <v>26561</v>
      </c>
      <c r="B13746" t="s">
        <v>26561</v>
      </c>
      <c r="C13746" t="s">
        <v>28</v>
      </c>
      <c r="D13746" t="s">
        <v>29</v>
      </c>
      <c r="E13746" s="6">
        <v>-28421</v>
      </c>
      <c r="F13746" t="s">
        <v>446</v>
      </c>
      <c r="G13746" t="s">
        <v>31</v>
      </c>
      <c r="H13746" t="s">
        <v>20</v>
      </c>
      <c r="I13746" t="s">
        <v>26562</v>
      </c>
      <c r="J13746" t="str">
        <f>HYPERLINK("https://www.boe.es/gazeta/dias/1822/03/08/pdfs/GMD-1822-69.pdf#page=3","Abrir facsímil")</f>
        <v>Abrir facsímil</v>
      </c>
      <c r="K13746" t="s">
        <v>22</v>
      </c>
    </row>
    <row r="13747" spans="1:11" ht="42" customHeight="1">
      <c r="A13747" t="s">
        <v>26563</v>
      </c>
      <c r="B13747" t="s">
        <v>26563</v>
      </c>
      <c r="C13747" t="s">
        <v>28</v>
      </c>
      <c r="D13747" t="s">
        <v>29</v>
      </c>
      <c r="E13747" s="6">
        <v>-28395</v>
      </c>
      <c r="F13747" t="s">
        <v>237</v>
      </c>
      <c r="G13747" t="s">
        <v>57</v>
      </c>
      <c r="H13747" t="s">
        <v>20</v>
      </c>
      <c r="I13747" t="s">
        <v>26564</v>
      </c>
      <c r="J13747" t="str">
        <f>HYPERLINK("https://www.boe.es/gazeta/dias/1822/04/03/pdfs/GMD-1822-95.pdf#page=4","Abrir facsímil")</f>
        <v>Abrir facsímil</v>
      </c>
      <c r="K13747" t="s">
        <v>22</v>
      </c>
    </row>
    <row r="13748" spans="1:11" ht="42" customHeight="1">
      <c r="A13748" t="s">
        <v>26563</v>
      </c>
      <c r="B13748" t="s">
        <v>26563</v>
      </c>
      <c r="C13748" t="s">
        <v>50</v>
      </c>
      <c r="D13748" t="s">
        <v>51</v>
      </c>
      <c r="E13748" s="6">
        <v>-28359</v>
      </c>
      <c r="F13748" t="s">
        <v>209</v>
      </c>
      <c r="G13748" t="s">
        <v>57</v>
      </c>
      <c r="H13748" t="s">
        <v>20</v>
      </c>
      <c r="I13748" t="s">
        <v>26565</v>
      </c>
      <c r="J13748" t="str">
        <f>HYPERLINK("https://www.boe.es/gazeta/dias/1822/05/09/pdfs/GMD-1822-131.pdf#page=4","Abrir facsímil")</f>
        <v>Abrir facsímil</v>
      </c>
      <c r="K13748" t="s">
        <v>22</v>
      </c>
    </row>
    <row r="13749" spans="1:11" ht="42" customHeight="1">
      <c r="A13749" t="s">
        <v>26566</v>
      </c>
      <c r="B13749" t="s">
        <v>26567</v>
      </c>
      <c r="C13749" t="s">
        <v>50</v>
      </c>
      <c r="D13749" t="s">
        <v>51</v>
      </c>
      <c r="E13749" s="6">
        <v>-28252</v>
      </c>
      <c r="F13749" t="s">
        <v>4333</v>
      </c>
      <c r="G13749" t="s">
        <v>35</v>
      </c>
      <c r="H13749" t="s">
        <v>45</v>
      </c>
      <c r="I13749" t="s">
        <v>26568</v>
      </c>
      <c r="J13749" t="str">
        <f>HYPERLINK("https://www.boe.es/gazeta/dias/1822/08/24/pdfs/GMD-1822-248.pdf#page=2","Abrir facsímil")</f>
        <v>Abrir facsímil</v>
      </c>
      <c r="K13749" t="s">
        <v>47</v>
      </c>
    </row>
    <row r="13750" spans="1:11" ht="42" customHeight="1">
      <c r="A13750" t="s">
        <v>26569</v>
      </c>
      <c r="B13750" t="s">
        <v>26570</v>
      </c>
      <c r="C13750" t="s">
        <v>50</v>
      </c>
      <c r="D13750" t="s">
        <v>51</v>
      </c>
      <c r="E13750" s="6">
        <v>-28303</v>
      </c>
      <c r="F13750" t="s">
        <v>201</v>
      </c>
      <c r="G13750" t="s">
        <v>57</v>
      </c>
      <c r="H13750" t="s">
        <v>20</v>
      </c>
      <c r="I13750" t="s">
        <v>26571</v>
      </c>
      <c r="J13750" t="str">
        <f>HYPERLINK("https://www.boe.es/gazeta/dias/1822/07/04/pdfs/GMD-1822-193.pdf#page=4","Abrir facsímil")</f>
        <v>Abrir facsímil</v>
      </c>
      <c r="K13750" t="s">
        <v>22</v>
      </c>
    </row>
    <row r="13751" spans="1:11" ht="42" customHeight="1">
      <c r="A13751" t="s">
        <v>26572</v>
      </c>
      <c r="B13751" t="s">
        <v>26573</v>
      </c>
      <c r="C13751" t="s">
        <v>71</v>
      </c>
      <c r="D13751" t="s">
        <v>17</v>
      </c>
      <c r="E13751" s="6">
        <v>-28427</v>
      </c>
      <c r="F13751" t="s">
        <v>755</v>
      </c>
      <c r="G13751" t="s">
        <v>57</v>
      </c>
      <c r="H13751" t="s">
        <v>20</v>
      </c>
      <c r="I13751" t="s">
        <v>26574</v>
      </c>
      <c r="J13751" t="str">
        <f>HYPERLINK("https://www.boe.es/gazeta/dias/1822/03/02/pdfs/GMD-1822-63.pdf#page=4","Abrir facsímil")</f>
        <v>Abrir facsímil</v>
      </c>
      <c r="K13751" t="s">
        <v>22</v>
      </c>
    </row>
    <row r="13752" spans="1:11" ht="42" customHeight="1">
      <c r="A13752" t="s">
        <v>26575</v>
      </c>
      <c r="B13752" t="s">
        <v>26575</v>
      </c>
      <c r="C13752" t="s">
        <v>28</v>
      </c>
      <c r="D13752" t="s">
        <v>29</v>
      </c>
      <c r="E13752" s="6">
        <v>-28410</v>
      </c>
      <c r="F13752" t="s">
        <v>966</v>
      </c>
      <c r="G13752" t="s">
        <v>31</v>
      </c>
      <c r="H13752" t="s">
        <v>20</v>
      </c>
      <c r="I13752" t="s">
        <v>26576</v>
      </c>
      <c r="J13752" t="str">
        <f>HYPERLINK("https://www.boe.es/gazeta/dias/1822/03/19/pdfs/GMD-1822-80.pdf#page=3","Abrir facsímil")</f>
        <v>Abrir facsímil</v>
      </c>
      <c r="K13752" t="s">
        <v>22</v>
      </c>
    </row>
    <row r="13753" spans="1:11" ht="42" customHeight="1">
      <c r="A13753" t="s">
        <v>26577</v>
      </c>
      <c r="B13753" t="s">
        <v>26577</v>
      </c>
      <c r="C13753" t="s">
        <v>16</v>
      </c>
      <c r="D13753" t="s">
        <v>17</v>
      </c>
      <c r="E13753" s="6">
        <v>-28404</v>
      </c>
      <c r="F13753" t="s">
        <v>421</v>
      </c>
      <c r="G13753" t="s">
        <v>44</v>
      </c>
      <c r="H13753" t="s">
        <v>20</v>
      </c>
      <c r="I13753" t="s">
        <v>26578</v>
      </c>
      <c r="J13753" t="str">
        <f>HYPERLINK("https://www.boe.es/gazeta/dias/1822/03/25/pdfs/GMD-1822-86.pdf#page=1","Abrir facsímil")</f>
        <v>Abrir facsímil</v>
      </c>
      <c r="K13753" t="s">
        <v>22</v>
      </c>
    </row>
    <row r="13754" spans="1:11" ht="42" customHeight="1">
      <c r="A13754" t="s">
        <v>26579</v>
      </c>
      <c r="B13754" t="s">
        <v>26580</v>
      </c>
      <c r="C13754" t="s">
        <v>50</v>
      </c>
      <c r="D13754" t="s">
        <v>51</v>
      </c>
      <c r="E13754" s="6">
        <v>-28240</v>
      </c>
      <c r="F13754" t="s">
        <v>678</v>
      </c>
      <c r="G13754" t="s">
        <v>31</v>
      </c>
      <c r="H13754" t="s">
        <v>20</v>
      </c>
      <c r="I13754" t="s">
        <v>26581</v>
      </c>
      <c r="J13754" t="str">
        <f>HYPERLINK("https://www.boe.es/gazeta/dias/1822/09/05/pdfs/GMD-1822-260.pdf#page=3","Abrir facsímil")</f>
        <v>Abrir facsímil</v>
      </c>
      <c r="K13754" t="s">
        <v>22</v>
      </c>
    </row>
    <row r="13755" spans="1:11" ht="42" customHeight="1">
      <c r="A13755" t="s">
        <v>26582</v>
      </c>
      <c r="B13755" t="s">
        <v>26582</v>
      </c>
      <c r="C13755" t="s">
        <v>50</v>
      </c>
      <c r="D13755" t="s">
        <v>51</v>
      </c>
      <c r="E13755" s="6">
        <v>-28263</v>
      </c>
      <c r="F13755" t="s">
        <v>7233</v>
      </c>
      <c r="G13755" t="s">
        <v>35</v>
      </c>
      <c r="H13755" t="s">
        <v>20</v>
      </c>
      <c r="I13755" t="s">
        <v>26583</v>
      </c>
      <c r="J13755" t="str">
        <f>HYPERLINK("https://www.boe.es/gazeta/dias/1822/08/13/pdfs/GMD-1822-237.pdf#page=2","Abrir facsímil")</f>
        <v>Abrir facsímil</v>
      </c>
      <c r="K13755" t="s">
        <v>22</v>
      </c>
    </row>
    <row r="13756" spans="1:11" ht="42" customHeight="1">
      <c r="A13756" t="s">
        <v>26582</v>
      </c>
      <c r="B13756" t="s">
        <v>26582</v>
      </c>
      <c r="C13756" t="s">
        <v>50</v>
      </c>
      <c r="D13756" t="s">
        <v>51</v>
      </c>
      <c r="E13756" s="6">
        <v>-28150</v>
      </c>
      <c r="F13756" t="s">
        <v>62</v>
      </c>
      <c r="G13756" t="s">
        <v>19</v>
      </c>
      <c r="H13756" t="s">
        <v>20</v>
      </c>
      <c r="I13756" t="s">
        <v>26584</v>
      </c>
      <c r="J13756" t="str">
        <f>HYPERLINK("https://www.boe.es/gazeta/dias/1822/12/04/pdfs/GMD-1822-354.pdf#page=5","Abrir facsímil")</f>
        <v>Abrir facsímil</v>
      </c>
      <c r="K13756" t="s">
        <v>22</v>
      </c>
    </row>
    <row r="13757" spans="1:11" ht="42" customHeight="1">
      <c r="A13757" t="s">
        <v>26585</v>
      </c>
      <c r="B13757" t="s">
        <v>26585</v>
      </c>
      <c r="C13757" t="s">
        <v>50</v>
      </c>
      <c r="D13757" t="s">
        <v>51</v>
      </c>
      <c r="E13757" s="6">
        <v>-28217</v>
      </c>
      <c r="F13757" t="s">
        <v>1892</v>
      </c>
      <c r="G13757" t="s">
        <v>31</v>
      </c>
      <c r="H13757" t="s">
        <v>20</v>
      </c>
      <c r="I13757" t="s">
        <v>26586</v>
      </c>
      <c r="J13757" t="str">
        <f>HYPERLINK("https://www.boe.es/gazeta/dias/1822/09/28/pdfs/GMD-1822-284.pdf#page=3","Abrir facsímil")</f>
        <v>Abrir facsímil</v>
      </c>
      <c r="K13757" t="s">
        <v>22</v>
      </c>
    </row>
    <row r="13758" spans="1:11" ht="42" customHeight="1">
      <c r="A13758" t="s">
        <v>26587</v>
      </c>
      <c r="B13758" t="s">
        <v>26587</v>
      </c>
      <c r="C13758" t="s">
        <v>50</v>
      </c>
      <c r="D13758" t="s">
        <v>51</v>
      </c>
      <c r="E13758" s="6">
        <v>-28274</v>
      </c>
      <c r="F13758" t="s">
        <v>3371</v>
      </c>
      <c r="G13758" t="s">
        <v>57</v>
      </c>
      <c r="H13758" t="s">
        <v>20</v>
      </c>
      <c r="I13758" t="s">
        <v>26588</v>
      </c>
      <c r="J13758" t="str">
        <f>HYPERLINK("https://www.boe.es/gazeta/dias/1822/08/02/pdfs/GMD-1822-226.pdf#page=4","Abrir facsímil")</f>
        <v>Abrir facsímil</v>
      </c>
      <c r="K13758" t="s">
        <v>22</v>
      </c>
    </row>
    <row r="13759" spans="1:11" ht="42" customHeight="1">
      <c r="A13759" t="s">
        <v>26589</v>
      </c>
      <c r="B13759" t="s">
        <v>26589</v>
      </c>
      <c r="C13759" t="s">
        <v>50</v>
      </c>
      <c r="D13759" t="s">
        <v>51</v>
      </c>
      <c r="E13759" s="6">
        <v>-28217</v>
      </c>
      <c r="F13759" t="s">
        <v>1892</v>
      </c>
      <c r="G13759" t="s">
        <v>31</v>
      </c>
      <c r="H13759" t="s">
        <v>20</v>
      </c>
      <c r="I13759" t="s">
        <v>26590</v>
      </c>
      <c r="J13759" t="str">
        <f>HYPERLINK("https://www.boe.es/gazeta/dias/1822/09/28/pdfs/GMD-1822-284.pdf#page=3","Abrir facsímil")</f>
        <v>Abrir facsímil</v>
      </c>
      <c r="K13759" t="s">
        <v>22</v>
      </c>
    </row>
    <row r="13760" spans="1:11" ht="42" customHeight="1">
      <c r="A13760" t="s">
        <v>26591</v>
      </c>
      <c r="B13760" t="s">
        <v>26592</v>
      </c>
      <c r="C13760" t="s">
        <v>50</v>
      </c>
      <c r="D13760" t="s">
        <v>51</v>
      </c>
      <c r="E13760" s="6">
        <v>-28246</v>
      </c>
      <c r="F13760" t="s">
        <v>3246</v>
      </c>
      <c r="G13760" t="s">
        <v>1085</v>
      </c>
      <c r="H13760" t="s">
        <v>20</v>
      </c>
      <c r="I13760" t="s">
        <v>26593</v>
      </c>
      <c r="J13760" t="str">
        <f>HYPERLINK("https://www.boe.es/gazeta/dias/1822/08/30/pdfs/GMD-1822-254.pdf#page=5","Abrir facsímil")</f>
        <v>Abrir facsímil</v>
      </c>
      <c r="K13760" t="s">
        <v>22</v>
      </c>
    </row>
    <row r="13761" spans="1:11" ht="42" customHeight="1">
      <c r="A13761" t="s">
        <v>26591</v>
      </c>
      <c r="B13761" t="s">
        <v>26592</v>
      </c>
      <c r="C13761" t="s">
        <v>50</v>
      </c>
      <c r="D13761" t="s">
        <v>51</v>
      </c>
      <c r="E13761" s="6">
        <v>-28206</v>
      </c>
      <c r="F13761" t="s">
        <v>562</v>
      </c>
      <c r="G13761" t="s">
        <v>35</v>
      </c>
      <c r="H13761" t="s">
        <v>20</v>
      </c>
      <c r="I13761" t="s">
        <v>26594</v>
      </c>
      <c r="J13761" t="str">
        <f>HYPERLINK("https://www.boe.es/gazeta/dias/1822/10/09/pdfs/GMD-1822-296.pdf#page=2","Abrir facsímil")</f>
        <v>Abrir facsímil</v>
      </c>
      <c r="K13761" t="s">
        <v>22</v>
      </c>
    </row>
    <row r="13762" spans="1:11" ht="42" customHeight="1">
      <c r="A13762" t="s">
        <v>26595</v>
      </c>
      <c r="B13762" t="s">
        <v>26595</v>
      </c>
      <c r="C13762" t="s">
        <v>28</v>
      </c>
      <c r="D13762" t="s">
        <v>29</v>
      </c>
      <c r="E13762" s="6">
        <v>-28470</v>
      </c>
      <c r="F13762" t="s">
        <v>1444</v>
      </c>
      <c r="G13762" t="s">
        <v>35</v>
      </c>
      <c r="H13762" t="s">
        <v>20</v>
      </c>
      <c r="I13762" t="s">
        <v>26596</v>
      </c>
      <c r="J13762" t="str">
        <f>HYPERLINK("https://www.boe.es/gazeta/dias/1822/01/18/pdfs/GMD-1822-18.pdf#page=2","Abrir facsímil")</f>
        <v>Abrir facsímil</v>
      </c>
      <c r="K13762" t="s">
        <v>22</v>
      </c>
    </row>
    <row r="13763" spans="1:11" ht="42" customHeight="1">
      <c r="A13763" t="s">
        <v>26597</v>
      </c>
      <c r="B13763" t="s">
        <v>26598</v>
      </c>
      <c r="C13763" t="s">
        <v>16</v>
      </c>
      <c r="D13763" t="s">
        <v>17</v>
      </c>
      <c r="E13763" s="6">
        <v>-28400</v>
      </c>
      <c r="F13763" t="s">
        <v>1937</v>
      </c>
      <c r="G13763" t="s">
        <v>31</v>
      </c>
      <c r="H13763" t="s">
        <v>20</v>
      </c>
      <c r="I13763" t="s">
        <v>26599</v>
      </c>
      <c r="J13763" t="str">
        <f>HYPERLINK("https://www.boe.es/gazeta/dias/1822/03/29/pdfs/GMD-1822-90.pdf#page=3","Abrir facsímil")</f>
        <v>Abrir facsímil</v>
      </c>
      <c r="K13763" t="s">
        <v>22</v>
      </c>
    </row>
    <row r="13764" spans="1:11" ht="42" customHeight="1">
      <c r="A13764" t="s">
        <v>26600</v>
      </c>
      <c r="B13764" t="s">
        <v>26600</v>
      </c>
      <c r="C13764" t="s">
        <v>50</v>
      </c>
      <c r="D13764" t="s">
        <v>51</v>
      </c>
      <c r="E13764" s="6">
        <v>-28268</v>
      </c>
      <c r="F13764" t="s">
        <v>7231</v>
      </c>
      <c r="G13764" t="s">
        <v>35</v>
      </c>
      <c r="H13764" t="s">
        <v>20</v>
      </c>
      <c r="I13764" t="s">
        <v>26601</v>
      </c>
      <c r="J13764" t="str">
        <f>HYPERLINK("https://www.boe.es/gazeta/dias/1822/08/08/pdfs/GMD-1822-232.pdf#page=2","Abrir facsímil")</f>
        <v>Abrir facsímil</v>
      </c>
      <c r="K13764" t="s">
        <v>22</v>
      </c>
    </row>
    <row r="13765" spans="1:11" ht="42" customHeight="1">
      <c r="A13765" t="s">
        <v>26602</v>
      </c>
      <c r="B13765" t="s">
        <v>26602</v>
      </c>
      <c r="C13765" t="s">
        <v>50</v>
      </c>
      <c r="D13765" t="s">
        <v>51</v>
      </c>
      <c r="E13765" s="6">
        <v>-28346</v>
      </c>
      <c r="F13765" t="s">
        <v>191</v>
      </c>
      <c r="G13765" t="s">
        <v>31</v>
      </c>
      <c r="H13765" t="s">
        <v>20</v>
      </c>
      <c r="I13765" t="s">
        <v>26603</v>
      </c>
      <c r="J13765" t="str">
        <f>HYPERLINK("https://www.boe.es/gazeta/dias/1822/05/22/pdfs/GMD-1822-145.pdf#page=3","Abrir facsímil")</f>
        <v>Abrir facsímil</v>
      </c>
      <c r="K13765" t="s">
        <v>22</v>
      </c>
    </row>
    <row r="13766" spans="1:11" ht="42" customHeight="1">
      <c r="A13766" t="s">
        <v>26602</v>
      </c>
      <c r="B13766" t="s">
        <v>26602</v>
      </c>
      <c r="C13766" t="s">
        <v>50</v>
      </c>
      <c r="D13766" t="s">
        <v>51</v>
      </c>
      <c r="E13766" s="6">
        <v>-28240</v>
      </c>
      <c r="F13766" t="s">
        <v>678</v>
      </c>
      <c r="G13766" t="s">
        <v>57</v>
      </c>
      <c r="H13766" t="s">
        <v>20</v>
      </c>
      <c r="I13766" t="s">
        <v>26604</v>
      </c>
      <c r="J13766" t="str">
        <f>HYPERLINK("https://www.boe.es/gazeta/dias/1822/09/05/pdfs/GMD-1822-260.pdf#page=4","Abrir facsímil")</f>
        <v>Abrir facsímil</v>
      </c>
      <c r="K13766" t="s">
        <v>22</v>
      </c>
    </row>
    <row r="13767" spans="1:11" ht="42" customHeight="1">
      <c r="A13767" t="s">
        <v>26605</v>
      </c>
      <c r="B13767" t="s">
        <v>26606</v>
      </c>
      <c r="C13767" t="s">
        <v>28</v>
      </c>
      <c r="D13767" t="s">
        <v>29</v>
      </c>
      <c r="E13767" s="6">
        <v>-28445</v>
      </c>
      <c r="F13767" t="s">
        <v>1622</v>
      </c>
      <c r="G13767" t="s">
        <v>57</v>
      </c>
      <c r="H13767" t="s">
        <v>20</v>
      </c>
      <c r="I13767" t="s">
        <v>26607</v>
      </c>
      <c r="J13767" t="str">
        <f>HYPERLINK("https://www.boe.es/gazeta/dias/1822/02/12/pdfs/GMD-1822-43.pdf#page=4","Abrir facsímil")</f>
        <v>Abrir facsímil</v>
      </c>
      <c r="K13767" t="s">
        <v>22</v>
      </c>
    </row>
    <row r="13768" spans="1:11" ht="42" customHeight="1">
      <c r="A13768" t="s">
        <v>26608</v>
      </c>
      <c r="B13768" t="s">
        <v>26609</v>
      </c>
      <c r="C13768" t="s">
        <v>42</v>
      </c>
      <c r="D13768" t="s">
        <v>17</v>
      </c>
      <c r="E13768" s="6">
        <v>-28410</v>
      </c>
      <c r="F13768" t="s">
        <v>966</v>
      </c>
      <c r="G13768" t="s">
        <v>35</v>
      </c>
      <c r="H13768" t="s">
        <v>20</v>
      </c>
      <c r="I13768" t="s">
        <v>26610</v>
      </c>
      <c r="J13768" t="str">
        <f>HYPERLINK("https://www.boe.es/gazeta/dias/1822/03/19/pdfs/GMD-1822-80.pdf#page=2","Abrir facsímil")</f>
        <v>Abrir facsímil</v>
      </c>
      <c r="K13768" t="s">
        <v>22</v>
      </c>
    </row>
    <row r="13769" spans="1:11" ht="42" customHeight="1">
      <c r="A13769" t="s">
        <v>26611</v>
      </c>
      <c r="B13769" t="s">
        <v>26612</v>
      </c>
      <c r="C13769" t="s">
        <v>28</v>
      </c>
      <c r="D13769" t="s">
        <v>29</v>
      </c>
      <c r="E13769" s="6">
        <v>-28410</v>
      </c>
      <c r="F13769" t="s">
        <v>966</v>
      </c>
      <c r="G13769" t="s">
        <v>57</v>
      </c>
      <c r="H13769" t="s">
        <v>45</v>
      </c>
      <c r="I13769" t="s">
        <v>26613</v>
      </c>
      <c r="J13769" t="str">
        <f>HYPERLINK("https://www.boe.es/gazeta/dias/1822/03/19/pdfs/GMD-1822-80.pdf#page=4","Abrir facsímil")</f>
        <v>Abrir facsímil</v>
      </c>
      <c r="K13769" t="s">
        <v>47</v>
      </c>
    </row>
    <row r="13770" spans="1:11" ht="42" customHeight="1">
      <c r="A13770" t="s">
        <v>26614</v>
      </c>
      <c r="B13770" t="s">
        <v>26614</v>
      </c>
      <c r="C13770" t="s">
        <v>50</v>
      </c>
      <c r="D13770" t="s">
        <v>51</v>
      </c>
      <c r="E13770" s="6">
        <v>-28450</v>
      </c>
      <c r="F13770" t="s">
        <v>1450</v>
      </c>
      <c r="G13770" t="s">
        <v>31</v>
      </c>
      <c r="H13770" t="s">
        <v>20</v>
      </c>
      <c r="I13770" t="s">
        <v>26615</v>
      </c>
      <c r="J13770" t="str">
        <f>HYPERLINK("https://www.boe.es/gazeta/dias/1822/02/07/pdfs/GMD-1822-38.pdf#page=3","Abrir facsímil")</f>
        <v>Abrir facsímil</v>
      </c>
      <c r="K13770" t="s">
        <v>22</v>
      </c>
    </row>
    <row r="13771" spans="1:11" ht="42" customHeight="1">
      <c r="A13771" t="s">
        <v>26616</v>
      </c>
      <c r="B13771" t="s">
        <v>26617</v>
      </c>
      <c r="C13771" t="s">
        <v>50</v>
      </c>
      <c r="D13771" t="s">
        <v>51</v>
      </c>
      <c r="E13771" s="6">
        <v>-28486</v>
      </c>
      <c r="F13771" t="s">
        <v>1046</v>
      </c>
      <c r="G13771" t="s">
        <v>57</v>
      </c>
      <c r="H13771" t="s">
        <v>20</v>
      </c>
      <c r="I13771" t="s">
        <v>26618</v>
      </c>
      <c r="J13771" t="str">
        <f>HYPERLINK("https://www.boe.es/gazeta/dias/1822/01/02/pdfs/GMD-1822-2.pdf#page=4","Abrir facsímil")</f>
        <v>Abrir facsímil</v>
      </c>
      <c r="K13771" t="s">
        <v>22</v>
      </c>
    </row>
    <row r="13772" spans="1:11" ht="42" customHeight="1">
      <c r="A13772" t="s">
        <v>26616</v>
      </c>
      <c r="B13772" t="s">
        <v>26617</v>
      </c>
      <c r="C13772" t="s">
        <v>28</v>
      </c>
      <c r="D13772" t="s">
        <v>29</v>
      </c>
      <c r="E13772" s="6">
        <v>-28481</v>
      </c>
      <c r="F13772" t="s">
        <v>1089</v>
      </c>
      <c r="G13772" t="s">
        <v>57</v>
      </c>
      <c r="H13772" t="s">
        <v>20</v>
      </c>
      <c r="I13772" t="s">
        <v>26619</v>
      </c>
      <c r="J13772" t="str">
        <f>HYPERLINK("https://www.boe.es/gazeta/dias/1822/01/07/pdfs/GMD-1822-7.pdf#page=4","Abrir facsímil")</f>
        <v>Abrir facsímil</v>
      </c>
      <c r="K13772" t="s">
        <v>22</v>
      </c>
    </row>
    <row r="13773" spans="1:11" ht="42" customHeight="1">
      <c r="A13773" t="s">
        <v>26620</v>
      </c>
      <c r="B13773" t="s">
        <v>26621</v>
      </c>
      <c r="C13773" t="s">
        <v>28</v>
      </c>
      <c r="D13773" t="s">
        <v>29</v>
      </c>
      <c r="E13773" s="6">
        <v>-28180</v>
      </c>
      <c r="F13773" t="s">
        <v>839</v>
      </c>
      <c r="G13773" t="s">
        <v>57</v>
      </c>
      <c r="H13773" t="s">
        <v>20</v>
      </c>
      <c r="I13773" t="s">
        <v>26622</v>
      </c>
      <c r="J13773" t="str">
        <f>HYPERLINK("https://www.boe.es/gazeta/dias/1822/11/04/pdfs/GMD-1822-323.pdf#page=4","Abrir facsímil")</f>
        <v>Abrir facsímil</v>
      </c>
      <c r="K13773" t="s">
        <v>22</v>
      </c>
    </row>
    <row r="13774" spans="1:11" ht="42" customHeight="1">
      <c r="A13774" t="s">
        <v>26623</v>
      </c>
      <c r="B13774" t="s">
        <v>26624</v>
      </c>
      <c r="C13774" t="s">
        <v>42</v>
      </c>
      <c r="D13774" t="s">
        <v>17</v>
      </c>
      <c r="E13774" s="6">
        <v>-28326</v>
      </c>
      <c r="F13774" t="s">
        <v>543</v>
      </c>
      <c r="G13774" t="s">
        <v>44</v>
      </c>
      <c r="H13774" t="s">
        <v>20</v>
      </c>
      <c r="I13774" t="s">
        <v>26625</v>
      </c>
      <c r="J13774" t="str">
        <f>HYPERLINK("https://www.boe.es/gazeta/dias/1822/06/11/pdfs/GMD-1822-168.pdf#page=1","Abrir facsímil")</f>
        <v>Abrir facsímil</v>
      </c>
      <c r="K13774" t="s">
        <v>22</v>
      </c>
    </row>
    <row r="13775" spans="1:11" ht="42" customHeight="1">
      <c r="A13775" t="s">
        <v>26623</v>
      </c>
      <c r="B13775" t="s">
        <v>26624</v>
      </c>
      <c r="C13775" t="s">
        <v>28</v>
      </c>
      <c r="D13775" t="s">
        <v>29</v>
      </c>
      <c r="E13775" s="6">
        <v>-28322</v>
      </c>
      <c r="F13775" t="s">
        <v>2205</v>
      </c>
      <c r="G13775" t="s">
        <v>3031</v>
      </c>
      <c r="H13775" t="s">
        <v>20</v>
      </c>
      <c r="I13775" t="s">
        <v>26626</v>
      </c>
      <c r="J13775" t="str">
        <f>HYPERLINK("https://www.boe.es/gazeta/dias/1822/06/15/pdfs/GMD-1822-172.pdf#page=2","Abrir facsímil")</f>
        <v>Abrir facsímil</v>
      </c>
      <c r="K13775" t="s">
        <v>22</v>
      </c>
    </row>
    <row r="13776" spans="1:11" ht="42" customHeight="1">
      <c r="A13776" t="s">
        <v>26627</v>
      </c>
      <c r="B13776" t="s">
        <v>26627</v>
      </c>
      <c r="C13776" t="s">
        <v>71</v>
      </c>
      <c r="D13776" t="s">
        <v>17</v>
      </c>
      <c r="E13776" s="6">
        <v>-28466</v>
      </c>
      <c r="F13776" t="s">
        <v>4119</v>
      </c>
      <c r="G13776" t="s">
        <v>63</v>
      </c>
      <c r="H13776" t="s">
        <v>20</v>
      </c>
      <c r="I13776" t="s">
        <v>26628</v>
      </c>
      <c r="J13776" t="str">
        <f>HYPERLINK("https://www.boe.es/gazeta/dias/1822/01/22/pdfs/GMD-1822-22.pdf#page=6","Abrir facsímil")</f>
        <v>Abrir facsímil</v>
      </c>
      <c r="K13776" t="s">
        <v>22</v>
      </c>
    </row>
    <row r="13777" spans="1:11" ht="42" customHeight="1">
      <c r="A13777" t="s">
        <v>26629</v>
      </c>
      <c r="B13777" t="s">
        <v>26630</v>
      </c>
      <c r="C13777" t="s">
        <v>50</v>
      </c>
      <c r="D13777" t="s">
        <v>51</v>
      </c>
      <c r="E13777" s="6">
        <v>-28230</v>
      </c>
      <c r="F13777" t="s">
        <v>1735</v>
      </c>
      <c r="G13777" t="s">
        <v>57</v>
      </c>
      <c r="H13777" t="s">
        <v>45</v>
      </c>
      <c r="I13777" t="s">
        <v>26631</v>
      </c>
      <c r="J13777" t="str">
        <f>HYPERLINK("https://www.boe.es/gazeta/dias/1822/09/15/pdfs/GMD-1822-271.pdf#page=4","Abrir facsímil")</f>
        <v>Abrir facsímil</v>
      </c>
      <c r="K13777" t="s">
        <v>47</v>
      </c>
    </row>
    <row r="13778" spans="1:11" ht="42" customHeight="1">
      <c r="A13778" t="s">
        <v>26629</v>
      </c>
      <c r="B13778" t="s">
        <v>26630</v>
      </c>
      <c r="C13778" t="s">
        <v>50</v>
      </c>
      <c r="D13778" t="s">
        <v>51</v>
      </c>
      <c r="E13778" s="6">
        <v>-28189</v>
      </c>
      <c r="F13778" t="s">
        <v>645</v>
      </c>
      <c r="G13778" t="s">
        <v>63</v>
      </c>
      <c r="H13778" t="s">
        <v>45</v>
      </c>
      <c r="I13778" t="s">
        <v>26632</v>
      </c>
      <c r="J13778" t="str">
        <f>HYPERLINK("https://www.boe.es/gazeta/dias/1822/10/26/pdfs/GMD-1822-313.pdf#page=6","Abrir facsímil")</f>
        <v>Abrir facsímil</v>
      </c>
      <c r="K13778" t="s">
        <v>47</v>
      </c>
    </row>
    <row r="13779" spans="1:11" ht="42" customHeight="1">
      <c r="A13779" t="s">
        <v>26633</v>
      </c>
      <c r="B13779" t="s">
        <v>26634</v>
      </c>
      <c r="C13779" t="s">
        <v>50</v>
      </c>
      <c r="D13779" t="s">
        <v>51</v>
      </c>
      <c r="E13779" s="6">
        <v>-28422</v>
      </c>
      <c r="F13779" t="s">
        <v>416</v>
      </c>
      <c r="G13779" t="s">
        <v>57</v>
      </c>
      <c r="H13779" t="s">
        <v>20</v>
      </c>
      <c r="I13779" t="s">
        <v>26635</v>
      </c>
      <c r="J13779" t="str">
        <f>HYPERLINK("https://www.boe.es/gazeta/dias/1822/03/07/pdfs/GMD-1822-68.pdf#page=4","Abrir facsímil")</f>
        <v>Abrir facsímil</v>
      </c>
      <c r="K13779" t="s">
        <v>22</v>
      </c>
    </row>
    <row r="13780" spans="1:11" ht="42" customHeight="1">
      <c r="A13780" t="s">
        <v>26636</v>
      </c>
      <c r="B13780" t="s">
        <v>26637</v>
      </c>
      <c r="C13780" t="s">
        <v>28</v>
      </c>
      <c r="D13780" t="s">
        <v>29</v>
      </c>
      <c r="E13780" s="6">
        <v>-28389</v>
      </c>
      <c r="F13780" t="s">
        <v>481</v>
      </c>
      <c r="G13780" t="s">
        <v>35</v>
      </c>
      <c r="H13780" t="s">
        <v>20</v>
      </c>
      <c r="I13780" t="s">
        <v>26638</v>
      </c>
      <c r="J13780" t="str">
        <f>HYPERLINK("https://www.boe.es/gazeta/dias/1822/04/09/pdfs/GMD-1822-101.pdf#page=2","Abrir facsímil")</f>
        <v>Abrir facsímil</v>
      </c>
      <c r="K13780" t="s">
        <v>22</v>
      </c>
    </row>
    <row r="13781" spans="1:11" ht="42" customHeight="1">
      <c r="A13781" t="s">
        <v>26639</v>
      </c>
      <c r="B13781" t="s">
        <v>26640</v>
      </c>
      <c r="C13781" t="s">
        <v>28</v>
      </c>
      <c r="D13781" t="s">
        <v>29</v>
      </c>
      <c r="E13781" s="6">
        <v>-28266</v>
      </c>
      <c r="F13781" t="s">
        <v>1169</v>
      </c>
      <c r="G13781" t="s">
        <v>57</v>
      </c>
      <c r="H13781" t="s">
        <v>20</v>
      </c>
      <c r="I13781" t="s">
        <v>26641</v>
      </c>
      <c r="J13781" t="str">
        <f>HYPERLINK("https://www.boe.es/gazeta/dias/1822/08/10/pdfs/GMD-1822-234.pdf#page=4","Abrir facsímil")</f>
        <v>Abrir facsímil</v>
      </c>
      <c r="K13781" t="s">
        <v>22</v>
      </c>
    </row>
    <row r="13782" spans="1:11" ht="42" customHeight="1">
      <c r="A13782" t="s">
        <v>26642</v>
      </c>
      <c r="B13782" t="s">
        <v>26643</v>
      </c>
      <c r="C13782" t="s">
        <v>42</v>
      </c>
      <c r="D13782" t="s">
        <v>17</v>
      </c>
      <c r="E13782" s="6">
        <v>-28264</v>
      </c>
      <c r="F13782" t="s">
        <v>1329</v>
      </c>
      <c r="G13782" t="s">
        <v>31</v>
      </c>
      <c r="H13782" t="s">
        <v>20</v>
      </c>
      <c r="I13782" t="s">
        <v>26644</v>
      </c>
      <c r="J13782" t="str">
        <f>HYPERLINK("https://www.boe.es/gazeta/dias/1822/08/12/pdfs/GMD-1822-236.pdf#page=3","Abrir facsímil")</f>
        <v>Abrir facsímil</v>
      </c>
      <c r="K13782" t="s">
        <v>22</v>
      </c>
    </row>
    <row r="13783" spans="1:11" ht="42" customHeight="1">
      <c r="A13783" t="s">
        <v>26645</v>
      </c>
      <c r="B13783" t="s">
        <v>26646</v>
      </c>
      <c r="C13783" t="s">
        <v>42</v>
      </c>
      <c r="D13783" t="s">
        <v>17</v>
      </c>
      <c r="E13783" s="6">
        <v>-28145</v>
      </c>
      <c r="F13783" t="s">
        <v>1350</v>
      </c>
      <c r="G13783" t="s">
        <v>63</v>
      </c>
      <c r="H13783" t="s">
        <v>20</v>
      </c>
      <c r="I13783" t="s">
        <v>26647</v>
      </c>
      <c r="J13783" t="str">
        <f>HYPERLINK("https://www.boe.es/gazeta/dias/1822/12/09/pdfs/GMD-1822-359.pdf#page=6","Abrir facsímil")</f>
        <v>Abrir facsímil</v>
      </c>
      <c r="K13783" t="s">
        <v>22</v>
      </c>
    </row>
    <row r="13784" spans="1:11" ht="42" customHeight="1">
      <c r="A13784" t="s">
        <v>26648</v>
      </c>
      <c r="B13784" t="s">
        <v>26649</v>
      </c>
      <c r="C13784" t="s">
        <v>42</v>
      </c>
      <c r="D13784" t="s">
        <v>17</v>
      </c>
      <c r="E13784" s="6">
        <v>-28158</v>
      </c>
      <c r="F13784" t="s">
        <v>590</v>
      </c>
      <c r="G13784" t="s">
        <v>63</v>
      </c>
      <c r="H13784" t="s">
        <v>20</v>
      </c>
      <c r="I13784" t="s">
        <v>26650</v>
      </c>
      <c r="J13784" t="str">
        <f>HYPERLINK("https://www.boe.es/gazeta/dias/1822/11/26/pdfs/GMD-1822-346.pdf#page=6","Abrir facsímil")</f>
        <v>Abrir facsímil</v>
      </c>
      <c r="K13784" t="s">
        <v>22</v>
      </c>
    </row>
    <row r="13785" spans="1:11" ht="42" customHeight="1">
      <c r="A13785" t="s">
        <v>26651</v>
      </c>
      <c r="B13785" t="s">
        <v>26652</v>
      </c>
      <c r="C13785" t="s">
        <v>50</v>
      </c>
      <c r="D13785" t="s">
        <v>51</v>
      </c>
      <c r="E13785" s="6">
        <v>-28349</v>
      </c>
      <c r="F13785" t="s">
        <v>518</v>
      </c>
      <c r="G13785" t="s">
        <v>57</v>
      </c>
      <c r="H13785" t="s">
        <v>20</v>
      </c>
      <c r="I13785" t="s">
        <v>26653</v>
      </c>
      <c r="J13785" t="str">
        <f>HYPERLINK("https://www.boe.es/gazeta/dias/1822/05/19/pdfs/GMD-1822-141.pdf#page=4","Abrir facsímil")</f>
        <v>Abrir facsímil</v>
      </c>
      <c r="K13785" t="s">
        <v>22</v>
      </c>
    </row>
    <row r="13786" spans="1:11" ht="42" customHeight="1">
      <c r="A13786" t="s">
        <v>26654</v>
      </c>
      <c r="B13786" t="s">
        <v>26654</v>
      </c>
      <c r="C13786" t="s">
        <v>71</v>
      </c>
      <c r="D13786" t="s">
        <v>17</v>
      </c>
      <c r="E13786" s="6">
        <v>-28421</v>
      </c>
      <c r="F13786" t="s">
        <v>446</v>
      </c>
      <c r="G13786" t="s">
        <v>63</v>
      </c>
      <c r="H13786" t="s">
        <v>20</v>
      </c>
      <c r="I13786" t="s">
        <v>26655</v>
      </c>
      <c r="J13786" t="str">
        <f>HYPERLINK("https://www.boe.es/gazeta/dias/1822/03/08/pdfs/GMD-1822-69.pdf#page=6","Abrir facsímil")</f>
        <v>Abrir facsímil</v>
      </c>
      <c r="K13786" t="s">
        <v>22</v>
      </c>
    </row>
    <row r="13787" spans="1:11" ht="42" customHeight="1">
      <c r="A13787" t="s">
        <v>26656</v>
      </c>
      <c r="B13787" t="s">
        <v>26656</v>
      </c>
      <c r="C13787" t="s">
        <v>50</v>
      </c>
      <c r="D13787" t="s">
        <v>51</v>
      </c>
      <c r="E13787" s="6">
        <v>-28306</v>
      </c>
      <c r="F13787" t="s">
        <v>348</v>
      </c>
      <c r="G13787" t="s">
        <v>44</v>
      </c>
      <c r="H13787" t="s">
        <v>20</v>
      </c>
      <c r="I13787" t="s">
        <v>26657</v>
      </c>
      <c r="J13787" t="str">
        <f>HYPERLINK("https://www.boe.es/gazeta/dias/1822/07/01/pdfs/GMD-1822-190.pdf#page=1","Abrir facsímil")</f>
        <v>Abrir facsímil</v>
      </c>
      <c r="K13787" t="s">
        <v>22</v>
      </c>
    </row>
    <row r="13788" spans="1:11" ht="42" customHeight="1">
      <c r="A13788" t="s">
        <v>26658</v>
      </c>
      <c r="B13788" t="s">
        <v>26658</v>
      </c>
      <c r="C13788" t="s">
        <v>50</v>
      </c>
      <c r="D13788" t="s">
        <v>51</v>
      </c>
      <c r="E13788" s="6">
        <v>-28333</v>
      </c>
      <c r="F13788" t="s">
        <v>1928</v>
      </c>
      <c r="G13788" t="s">
        <v>63</v>
      </c>
      <c r="H13788" t="s">
        <v>20</v>
      </c>
      <c r="I13788" t="s">
        <v>26659</v>
      </c>
      <c r="J13788" t="str">
        <f>HYPERLINK("https://www.boe.es/gazeta/dias/1822/06/04/pdfs/GMD-1822-161.pdf#page=6","Abrir facsímil")</f>
        <v>Abrir facsímil</v>
      </c>
      <c r="K13788" t="s">
        <v>22</v>
      </c>
    </row>
    <row r="13789" spans="1:11" ht="42" customHeight="1">
      <c r="A13789" t="s">
        <v>26660</v>
      </c>
      <c r="B13789" t="s">
        <v>26660</v>
      </c>
      <c r="C13789" t="s">
        <v>50</v>
      </c>
      <c r="D13789" t="s">
        <v>51</v>
      </c>
      <c r="E13789" s="6">
        <v>-28387</v>
      </c>
      <c r="F13789" t="s">
        <v>2874</v>
      </c>
      <c r="G13789" t="s">
        <v>26661</v>
      </c>
      <c r="H13789" t="s">
        <v>20</v>
      </c>
      <c r="I13789" t="s">
        <v>26662</v>
      </c>
      <c r="J13789" t="str">
        <f>HYPERLINK("https://www.boe.es/gazeta/dias/1822/04/11/pdfs/GMD-1822-103.pdf#page=2","Abrir facsímil")</f>
        <v>Abrir facsímil</v>
      </c>
      <c r="K13789" t="s">
        <v>22</v>
      </c>
    </row>
    <row r="13790" spans="1:11" ht="42" customHeight="1">
      <c r="A13790" t="s">
        <v>26660</v>
      </c>
      <c r="B13790" t="s">
        <v>26660</v>
      </c>
      <c r="C13790" t="s">
        <v>50</v>
      </c>
      <c r="D13790" t="s">
        <v>51</v>
      </c>
      <c r="E13790" s="6">
        <v>-28305</v>
      </c>
      <c r="F13790" t="s">
        <v>1337</v>
      </c>
      <c r="G13790" t="s">
        <v>31</v>
      </c>
      <c r="H13790" t="s">
        <v>20</v>
      </c>
      <c r="I13790" t="s">
        <v>26663</v>
      </c>
      <c r="J13790" t="str">
        <f>HYPERLINK("https://www.boe.es/gazeta/dias/1822/07/02/pdfs/GMD-1822-191.pdf#page=3","Abrir facsímil")</f>
        <v>Abrir facsímil</v>
      </c>
      <c r="K13790" t="s">
        <v>22</v>
      </c>
    </row>
    <row r="13791" spans="1:11" ht="42" customHeight="1">
      <c r="A13791" t="s">
        <v>26664</v>
      </c>
      <c r="B13791" t="s">
        <v>26664</v>
      </c>
      <c r="C13791" t="s">
        <v>42</v>
      </c>
      <c r="D13791" t="s">
        <v>17</v>
      </c>
      <c r="E13791" s="6">
        <v>-28389</v>
      </c>
      <c r="F13791" t="s">
        <v>481</v>
      </c>
      <c r="G13791" t="s">
        <v>44</v>
      </c>
      <c r="H13791" t="s">
        <v>20</v>
      </c>
      <c r="I13791" t="s">
        <v>26665</v>
      </c>
      <c r="J13791" t="str">
        <f>HYPERLINK("https://www.boe.es/gazeta/dias/1822/04/09/pdfs/GMD-1822-101.pdf#page=1","Abrir facsímil")</f>
        <v>Abrir facsímil</v>
      </c>
      <c r="K13791" t="s">
        <v>22</v>
      </c>
    </row>
    <row r="13792" spans="1:11" ht="42" customHeight="1">
      <c r="A13792" t="s">
        <v>26666</v>
      </c>
      <c r="B13792" t="s">
        <v>26667</v>
      </c>
      <c r="C13792" t="s">
        <v>61</v>
      </c>
      <c r="D13792" t="s">
        <v>17</v>
      </c>
      <c r="E13792" s="6">
        <v>-28478</v>
      </c>
      <c r="F13792" t="s">
        <v>1093</v>
      </c>
      <c r="G13792" t="s">
        <v>44</v>
      </c>
      <c r="H13792" t="s">
        <v>20</v>
      </c>
      <c r="I13792" t="s">
        <v>26668</v>
      </c>
      <c r="J13792" t="str">
        <f>HYPERLINK("https://www.boe.es/gazeta/dias/1822/01/10/pdfs/GMD-1822-10.pdf#page=1","Abrir facsímil")</f>
        <v>Abrir facsímil</v>
      </c>
      <c r="K13792" t="s">
        <v>22</v>
      </c>
    </row>
    <row r="13793" spans="1:11" ht="42" customHeight="1">
      <c r="A13793" t="s">
        <v>26666</v>
      </c>
      <c r="B13793" t="s">
        <v>26667</v>
      </c>
      <c r="C13793" t="s">
        <v>71</v>
      </c>
      <c r="D13793" t="s">
        <v>17</v>
      </c>
      <c r="E13793" s="6">
        <v>-28469</v>
      </c>
      <c r="F13793" t="s">
        <v>1164</v>
      </c>
      <c r="G13793" t="s">
        <v>31</v>
      </c>
      <c r="H13793" t="s">
        <v>20</v>
      </c>
      <c r="I13793" t="s">
        <v>26669</v>
      </c>
      <c r="J13793" t="str">
        <f>HYPERLINK("https://www.boe.es/gazeta/dias/1822/01/19/pdfs/GMD-1822-19.pdf#page=3","Abrir facsímil")</f>
        <v>Abrir facsímil</v>
      </c>
      <c r="K13793" t="s">
        <v>22</v>
      </c>
    </row>
    <row r="13794" spans="1:11" ht="42" customHeight="1">
      <c r="A13794" t="s">
        <v>26666</v>
      </c>
      <c r="B13794" t="s">
        <v>26667</v>
      </c>
      <c r="C13794" t="s">
        <v>28</v>
      </c>
      <c r="D13794" t="s">
        <v>29</v>
      </c>
      <c r="E13794" s="6">
        <v>-28462</v>
      </c>
      <c r="F13794" t="s">
        <v>1099</v>
      </c>
      <c r="G13794" t="s">
        <v>31</v>
      </c>
      <c r="H13794" t="s">
        <v>20</v>
      </c>
      <c r="I13794" t="s">
        <v>26670</v>
      </c>
      <c r="J13794" t="str">
        <f>HYPERLINK("https://www.boe.es/gazeta/dias/1822/01/26/pdfs/GMD-1822-26.pdf#page=3","Abrir facsímil")</f>
        <v>Abrir facsímil</v>
      </c>
      <c r="K13794" t="s">
        <v>22</v>
      </c>
    </row>
    <row r="13795" spans="1:11" ht="42" customHeight="1">
      <c r="A13795" t="s">
        <v>26671</v>
      </c>
      <c r="B13795" t="s">
        <v>26672</v>
      </c>
      <c r="C13795" t="s">
        <v>42</v>
      </c>
      <c r="D13795" t="s">
        <v>17</v>
      </c>
      <c r="E13795" s="6">
        <v>-28398</v>
      </c>
      <c r="F13795" t="s">
        <v>1961</v>
      </c>
      <c r="G13795" t="s">
        <v>44</v>
      </c>
      <c r="H13795" t="s">
        <v>20</v>
      </c>
      <c r="I13795" t="s">
        <v>26673</v>
      </c>
      <c r="J13795" t="str">
        <f>HYPERLINK("https://www.boe.es/gazeta/dias/1822/03/31/pdfs/GMD-1822-92.pdf#page=1","Abrir facsímil")</f>
        <v>Abrir facsímil</v>
      </c>
      <c r="K13795" t="s">
        <v>22</v>
      </c>
    </row>
    <row r="13796" spans="1:11" ht="42" customHeight="1">
      <c r="A13796" t="s">
        <v>26674</v>
      </c>
      <c r="B13796" t="s">
        <v>26675</v>
      </c>
      <c r="C13796" t="s">
        <v>42</v>
      </c>
      <c r="D13796" t="s">
        <v>17</v>
      </c>
      <c r="E13796" s="6">
        <v>-28142</v>
      </c>
      <c r="F13796" t="s">
        <v>290</v>
      </c>
      <c r="G13796" t="s">
        <v>57</v>
      </c>
      <c r="H13796" t="s">
        <v>20</v>
      </c>
      <c r="I13796" t="s">
        <v>26676</v>
      </c>
      <c r="J13796" t="str">
        <f>HYPERLINK("https://www.boe.es/gazeta/dias/1822/12/12/pdfs/GMD-1822-362.pdf#page=4","Abrir facsímil")</f>
        <v>Abrir facsímil</v>
      </c>
      <c r="K13796" t="s">
        <v>22</v>
      </c>
    </row>
    <row r="13797" spans="1:11" ht="42" customHeight="1">
      <c r="A13797" t="s">
        <v>26677</v>
      </c>
      <c r="B13797" t="s">
        <v>26678</v>
      </c>
      <c r="C13797" t="s">
        <v>50</v>
      </c>
      <c r="D13797" t="s">
        <v>51</v>
      </c>
      <c r="E13797" s="6">
        <v>-28230</v>
      </c>
      <c r="F13797" t="s">
        <v>1735</v>
      </c>
      <c r="G13797" t="s">
        <v>31</v>
      </c>
      <c r="H13797" t="s">
        <v>20</v>
      </c>
      <c r="I13797" t="s">
        <v>26679</v>
      </c>
      <c r="J13797" t="str">
        <f>HYPERLINK("https://www.boe.es/gazeta/dias/1822/09/15/pdfs/GMD-1822-271.pdf#page=3","Abrir facsímil")</f>
        <v>Abrir facsímil</v>
      </c>
      <c r="K13797" t="s">
        <v>22</v>
      </c>
    </row>
    <row r="13798" spans="1:11" ht="42" customHeight="1">
      <c r="A13798" t="s">
        <v>26680</v>
      </c>
      <c r="B13798" t="s">
        <v>26680</v>
      </c>
      <c r="C13798" t="s">
        <v>50</v>
      </c>
      <c r="D13798" t="s">
        <v>51</v>
      </c>
      <c r="E13798" s="6">
        <v>-28308</v>
      </c>
      <c r="F13798" t="s">
        <v>1050</v>
      </c>
      <c r="G13798" t="s">
        <v>44</v>
      </c>
      <c r="H13798" t="s">
        <v>20</v>
      </c>
      <c r="I13798" t="s">
        <v>26681</v>
      </c>
      <c r="J13798" t="str">
        <f>HYPERLINK("https://www.boe.es/gazeta/dias/1822/06/29/pdfs/GMD-1822-187.pdf#page=1","Abrir facsímil")</f>
        <v>Abrir facsímil</v>
      </c>
      <c r="K13798" t="s">
        <v>22</v>
      </c>
    </row>
    <row r="13799" spans="1:11" ht="42" customHeight="1">
      <c r="A13799" t="s">
        <v>26682</v>
      </c>
      <c r="B13799" t="s">
        <v>26682</v>
      </c>
      <c r="C13799" t="s">
        <v>71</v>
      </c>
      <c r="D13799" t="s">
        <v>17</v>
      </c>
      <c r="E13799" s="6">
        <v>-28313</v>
      </c>
      <c r="F13799" t="s">
        <v>315</v>
      </c>
      <c r="G13799" t="s">
        <v>44</v>
      </c>
      <c r="H13799" t="s">
        <v>20</v>
      </c>
      <c r="I13799" t="s">
        <v>26683</v>
      </c>
      <c r="J13799" t="str">
        <f>HYPERLINK("https://www.boe.es/gazeta/dias/1822/06/24/pdfs/GMD-1822-182.pdf#page=1","Abrir facsímil")</f>
        <v>Abrir facsímil</v>
      </c>
      <c r="K13799" t="s">
        <v>22</v>
      </c>
    </row>
    <row r="13800" spans="1:11" ht="42" customHeight="1">
      <c r="A13800" t="s">
        <v>26684</v>
      </c>
      <c r="B13800" t="s">
        <v>26685</v>
      </c>
      <c r="C13800" t="s">
        <v>61</v>
      </c>
      <c r="D13800" t="s">
        <v>17</v>
      </c>
      <c r="E13800" s="6">
        <v>-28421</v>
      </c>
      <c r="F13800" t="s">
        <v>446</v>
      </c>
      <c r="G13800" t="s">
        <v>44</v>
      </c>
      <c r="H13800" t="s">
        <v>20</v>
      </c>
      <c r="I13800" t="s">
        <v>26686</v>
      </c>
      <c r="J13800" t="str">
        <f>HYPERLINK("https://www.boe.es/gazeta/dias/1822/03/08/pdfs/GMD-1822-69.pdf#page=1","Abrir facsímil")</f>
        <v>Abrir facsímil</v>
      </c>
      <c r="K13800" t="s">
        <v>22</v>
      </c>
    </row>
    <row r="13801" spans="1:11" ht="42" customHeight="1">
      <c r="A13801" t="s">
        <v>26687</v>
      </c>
      <c r="B13801" t="s">
        <v>26687</v>
      </c>
      <c r="C13801" t="s">
        <v>50</v>
      </c>
      <c r="D13801" t="s">
        <v>51</v>
      </c>
      <c r="E13801" s="6">
        <v>-28298</v>
      </c>
      <c r="F13801" t="s">
        <v>6405</v>
      </c>
      <c r="G13801" t="s">
        <v>35</v>
      </c>
      <c r="H13801" t="s">
        <v>20</v>
      </c>
      <c r="I13801" t="s">
        <v>26688</v>
      </c>
      <c r="J13801" t="str">
        <f>HYPERLINK("https://www.boe.es/gazeta/dias/1822/07/09/pdfs/GMD-1822-199.pdf#page=2","Abrir facsímil")</f>
        <v>Abrir facsímil</v>
      </c>
      <c r="K13801" t="s">
        <v>22</v>
      </c>
    </row>
    <row r="13802" spans="1:11" ht="42" customHeight="1">
      <c r="A13802" t="s">
        <v>26689</v>
      </c>
      <c r="B13802" t="s">
        <v>26689</v>
      </c>
      <c r="C13802" t="s">
        <v>50</v>
      </c>
      <c r="D13802" t="s">
        <v>51</v>
      </c>
      <c r="E13802" s="6">
        <v>-28299</v>
      </c>
      <c r="F13802" t="s">
        <v>423</v>
      </c>
      <c r="G13802" t="s">
        <v>35</v>
      </c>
      <c r="H13802" t="s">
        <v>20</v>
      </c>
      <c r="I13802" t="s">
        <v>26690</v>
      </c>
      <c r="J13802" t="str">
        <f>HYPERLINK("https://www.boe.es/gazeta/dias/1822/07/08/pdfs/GMD-1822-197.pdf#page=2","Abrir facsímil")</f>
        <v>Abrir facsímil</v>
      </c>
      <c r="K13802" t="s">
        <v>22</v>
      </c>
    </row>
    <row r="13803" spans="1:11" ht="42" customHeight="1">
      <c r="A13803" t="s">
        <v>26691</v>
      </c>
      <c r="B13803" t="s">
        <v>26692</v>
      </c>
      <c r="C13803" t="s">
        <v>50</v>
      </c>
      <c r="D13803" t="s">
        <v>51</v>
      </c>
      <c r="E13803" s="6">
        <v>-28208</v>
      </c>
      <c r="F13803" t="s">
        <v>230</v>
      </c>
      <c r="G13803" t="s">
        <v>35</v>
      </c>
      <c r="H13803" t="s">
        <v>20</v>
      </c>
      <c r="I13803" t="s">
        <v>26693</v>
      </c>
      <c r="J13803" t="str">
        <f>HYPERLINK("https://www.boe.es/gazeta/dias/1822/10/07/pdfs/GMD-1822-293.pdf#page=2","Abrir facsímil")</f>
        <v>Abrir facsímil</v>
      </c>
      <c r="K13803" t="s">
        <v>22</v>
      </c>
    </row>
    <row r="13804" spans="1:11" ht="42" customHeight="1">
      <c r="A13804" t="s">
        <v>26694</v>
      </c>
      <c r="B13804" t="s">
        <v>26695</v>
      </c>
      <c r="C13804" t="s">
        <v>42</v>
      </c>
      <c r="D13804" t="s">
        <v>17</v>
      </c>
      <c r="E13804" s="6">
        <v>-28188</v>
      </c>
      <c r="F13804" t="s">
        <v>578</v>
      </c>
      <c r="G13804" t="s">
        <v>31</v>
      </c>
      <c r="H13804" t="s">
        <v>20</v>
      </c>
      <c r="I13804" t="s">
        <v>26696</v>
      </c>
      <c r="J13804" t="str">
        <f>HYPERLINK("https://www.boe.es/gazeta/dias/1822/10/27/pdfs/GMD-1822-314.pdf#page=3","Abrir facsímil")</f>
        <v>Abrir facsímil</v>
      </c>
      <c r="K13804" t="s">
        <v>22</v>
      </c>
    </row>
    <row r="13805" spans="1:11" ht="42" customHeight="1">
      <c r="A13805" t="s">
        <v>26697</v>
      </c>
      <c r="B13805" t="s">
        <v>26698</v>
      </c>
      <c r="C13805" t="s">
        <v>42</v>
      </c>
      <c r="D13805" t="s">
        <v>17</v>
      </c>
      <c r="E13805" s="6">
        <v>-28133</v>
      </c>
      <c r="F13805" t="s">
        <v>595</v>
      </c>
      <c r="G13805" t="s">
        <v>57</v>
      </c>
      <c r="H13805" t="s">
        <v>20</v>
      </c>
      <c r="I13805" t="s">
        <v>26699</v>
      </c>
      <c r="J13805" t="str">
        <f>HYPERLINK("https://www.boe.es/gazeta/dias/1822/12/21/pdfs/GMD-1822-371.pdf#page=4","Abrir facsímil")</f>
        <v>Abrir facsímil</v>
      </c>
      <c r="K13805" t="s">
        <v>22</v>
      </c>
    </row>
    <row r="13806" spans="1:11" ht="42" customHeight="1">
      <c r="A13806" t="s">
        <v>26700</v>
      </c>
      <c r="B13806" t="s">
        <v>26701</v>
      </c>
      <c r="C13806" t="s">
        <v>50</v>
      </c>
      <c r="D13806" t="s">
        <v>51</v>
      </c>
      <c r="E13806" s="6">
        <v>-28210</v>
      </c>
      <c r="F13806" t="s">
        <v>218</v>
      </c>
      <c r="G13806" t="s">
        <v>19</v>
      </c>
      <c r="H13806" t="s">
        <v>45</v>
      </c>
      <c r="I13806" t="s">
        <v>26702</v>
      </c>
      <c r="J13806" t="str">
        <f>HYPERLINK("https://www.boe.es/gazeta/dias/1822/10/05/pdfs/GMD-1822-291.pdf#page=5","Abrir facsímil")</f>
        <v>Abrir facsímil</v>
      </c>
      <c r="K13806" t="s">
        <v>47</v>
      </c>
    </row>
    <row r="13807" spans="1:11" ht="42" customHeight="1">
      <c r="A13807" t="s">
        <v>26703</v>
      </c>
      <c r="B13807" t="s">
        <v>26703</v>
      </c>
      <c r="C13807" t="s">
        <v>50</v>
      </c>
      <c r="D13807" t="s">
        <v>51</v>
      </c>
      <c r="E13807" s="6">
        <v>-28210</v>
      </c>
      <c r="F13807" t="s">
        <v>218</v>
      </c>
      <c r="G13807" t="s">
        <v>31</v>
      </c>
      <c r="H13807" t="s">
        <v>20</v>
      </c>
      <c r="I13807" t="s">
        <v>26704</v>
      </c>
      <c r="J13807" t="str">
        <f>HYPERLINK("https://www.boe.es/gazeta/dias/1822/10/05/pdfs/GMD-1822-291.pdf#page=3","Abrir facsímil")</f>
        <v>Abrir facsímil</v>
      </c>
      <c r="K13807" t="s">
        <v>22</v>
      </c>
    </row>
    <row r="13808" spans="1:11" ht="42" customHeight="1">
      <c r="A13808" t="s">
        <v>26705</v>
      </c>
      <c r="B13808" t="s">
        <v>26705</v>
      </c>
      <c r="C13808" t="s">
        <v>50</v>
      </c>
      <c r="D13808" t="s">
        <v>51</v>
      </c>
      <c r="E13808" s="6">
        <v>-28210</v>
      </c>
      <c r="F13808" t="s">
        <v>218</v>
      </c>
      <c r="G13808" t="s">
        <v>31</v>
      </c>
      <c r="H13808" t="s">
        <v>20</v>
      </c>
      <c r="I13808" t="s">
        <v>26706</v>
      </c>
      <c r="J13808" t="str">
        <f>HYPERLINK("https://www.boe.es/gazeta/dias/1822/10/05/pdfs/GMD-1822-291.pdf#page=3","Abrir facsímil")</f>
        <v>Abrir facsímil</v>
      </c>
      <c r="K13808" t="s">
        <v>22</v>
      </c>
    </row>
    <row r="13809" spans="1:11" ht="42" customHeight="1">
      <c r="A13809" t="s">
        <v>26707</v>
      </c>
      <c r="B13809" t="s">
        <v>26708</v>
      </c>
      <c r="C13809" t="s">
        <v>42</v>
      </c>
      <c r="D13809" t="s">
        <v>17</v>
      </c>
      <c r="E13809" s="6">
        <v>-28180</v>
      </c>
      <c r="F13809" t="s">
        <v>839</v>
      </c>
      <c r="G13809" t="s">
        <v>44</v>
      </c>
      <c r="H13809" t="s">
        <v>20</v>
      </c>
      <c r="I13809" t="s">
        <v>26709</v>
      </c>
      <c r="J13809" t="str">
        <f>HYPERLINK("https://www.boe.es/gazeta/dias/1822/11/04/pdfs/GMD-1822-323.pdf#page=1","Abrir facsímil")</f>
        <v>Abrir facsímil</v>
      </c>
      <c r="K13809" t="s">
        <v>22</v>
      </c>
    </row>
    <row r="13810" spans="1:11" ht="42" customHeight="1">
      <c r="A13810" t="s">
        <v>26710</v>
      </c>
      <c r="B13810" t="s">
        <v>26711</v>
      </c>
      <c r="C13810" t="s">
        <v>16</v>
      </c>
      <c r="D13810" t="s">
        <v>17</v>
      </c>
      <c r="E13810" s="6">
        <v>-28344</v>
      </c>
      <c r="F13810" t="s">
        <v>524</v>
      </c>
      <c r="G13810" t="s">
        <v>57</v>
      </c>
      <c r="H13810" t="s">
        <v>20</v>
      </c>
      <c r="I13810" t="s">
        <v>26712</v>
      </c>
      <c r="J13810" t="str">
        <f>HYPERLINK("https://www.boe.es/gazeta/dias/1822/05/24/pdfs/GMD-1822-148.pdf#page=4","Abrir facsímil")</f>
        <v>Abrir facsímil</v>
      </c>
      <c r="K13810" t="s">
        <v>22</v>
      </c>
    </row>
    <row r="13811" spans="1:11" ht="42" customHeight="1">
      <c r="A13811" t="s">
        <v>26710</v>
      </c>
      <c r="B13811" t="s">
        <v>26711</v>
      </c>
      <c r="C13811" t="s">
        <v>71</v>
      </c>
      <c r="D13811" t="s">
        <v>17</v>
      </c>
      <c r="E13811" s="6">
        <v>-28192</v>
      </c>
      <c r="F13811" t="s">
        <v>43</v>
      </c>
      <c r="G13811" t="s">
        <v>19</v>
      </c>
      <c r="H13811" t="s">
        <v>20</v>
      </c>
      <c r="I13811" t="s">
        <v>26713</v>
      </c>
      <c r="J13811" t="str">
        <f>HYPERLINK("https://www.boe.es/gazeta/dias/1822/10/23/pdfs/GMD-1822-310.pdf#page=5","Abrir facsímil")</f>
        <v>Abrir facsímil</v>
      </c>
      <c r="K13811" t="s">
        <v>22</v>
      </c>
    </row>
    <row r="13812" spans="1:11" ht="42" customHeight="1">
      <c r="A13812" t="s">
        <v>26714</v>
      </c>
      <c r="B13812" t="s">
        <v>26715</v>
      </c>
      <c r="C13812" t="s">
        <v>28</v>
      </c>
      <c r="D13812" t="s">
        <v>29</v>
      </c>
      <c r="E13812" s="6">
        <v>-28345</v>
      </c>
      <c r="F13812" t="s">
        <v>294</v>
      </c>
      <c r="G13812" t="s">
        <v>63</v>
      </c>
      <c r="H13812" t="s">
        <v>45</v>
      </c>
      <c r="I13812" t="s">
        <v>26716</v>
      </c>
      <c r="J13812" t="str">
        <f>HYPERLINK("https://www.boe.es/gazeta/dias/1822/05/23/pdfs/GMD-1822-147.pdf#page=6","Abrir facsímil")</f>
        <v>Abrir facsímil</v>
      </c>
      <c r="K13812" t="s">
        <v>47</v>
      </c>
    </row>
    <row r="13813" spans="1:11" ht="42" customHeight="1">
      <c r="A13813" t="s">
        <v>26714</v>
      </c>
      <c r="B13813" t="s">
        <v>26715</v>
      </c>
      <c r="C13813" t="s">
        <v>42</v>
      </c>
      <c r="D13813" t="s">
        <v>17</v>
      </c>
      <c r="E13813" s="6">
        <v>-28225</v>
      </c>
      <c r="F13813" t="s">
        <v>177</v>
      </c>
      <c r="G13813" t="s">
        <v>178</v>
      </c>
      <c r="H13813" t="s">
        <v>45</v>
      </c>
      <c r="I13813" t="s">
        <v>26717</v>
      </c>
      <c r="J13813" t="str">
        <f>HYPERLINK("https://www.boe.es/gazeta/dias/1822/09/20/pdfs/GMD-1822-276.pdf#page=3","Abrir facsímil")</f>
        <v>Abrir facsímil</v>
      </c>
      <c r="K13813" t="s">
        <v>47</v>
      </c>
    </row>
    <row r="13814" spans="1:11" ht="42" customHeight="1">
      <c r="A13814" t="s">
        <v>26718</v>
      </c>
      <c r="B13814" t="s">
        <v>26719</v>
      </c>
      <c r="C13814" t="s">
        <v>71</v>
      </c>
      <c r="D13814" t="s">
        <v>17</v>
      </c>
      <c r="E13814" s="6">
        <v>-28313</v>
      </c>
      <c r="F13814" t="s">
        <v>315</v>
      </c>
      <c r="G13814" t="s">
        <v>157</v>
      </c>
      <c r="H13814" t="s">
        <v>20</v>
      </c>
      <c r="I13814" t="s">
        <v>26720</v>
      </c>
      <c r="J13814" t="str">
        <f>HYPERLINK("https://www.boe.es/gazeta/dias/1822/06/24/pdfs/GMD-1822-182.pdf#page=8","Abrir facsímil")</f>
        <v>Abrir facsímil</v>
      </c>
      <c r="K13814" t="s">
        <v>22</v>
      </c>
    </row>
    <row r="13815" spans="1:11" ht="42" customHeight="1">
      <c r="A13815" t="s">
        <v>26721</v>
      </c>
      <c r="B13815" t="s">
        <v>26722</v>
      </c>
      <c r="C13815" t="s">
        <v>50</v>
      </c>
      <c r="D13815" t="s">
        <v>51</v>
      </c>
      <c r="E13815" s="6">
        <v>-28148</v>
      </c>
      <c r="F13815" t="s">
        <v>1909</v>
      </c>
      <c r="G13815" t="s">
        <v>63</v>
      </c>
      <c r="H13815" t="s">
        <v>20</v>
      </c>
      <c r="I13815" t="s">
        <v>26723</v>
      </c>
      <c r="J13815" t="str">
        <f>HYPERLINK("https://www.boe.es/gazeta/dias/1822/12/06/pdfs/GMD-1822-356.pdf#page=6","Abrir facsímil")</f>
        <v>Abrir facsímil</v>
      </c>
      <c r="K13815" t="s">
        <v>22</v>
      </c>
    </row>
    <row r="13816" spans="1:11" ht="42" customHeight="1">
      <c r="A13816" t="s">
        <v>26724</v>
      </c>
      <c r="B13816" t="s">
        <v>26724</v>
      </c>
      <c r="C13816" t="s">
        <v>50</v>
      </c>
      <c r="D13816" t="s">
        <v>51</v>
      </c>
      <c r="E13816" s="6">
        <v>-28186</v>
      </c>
      <c r="F13816" t="s">
        <v>581</v>
      </c>
      <c r="G13816" t="s">
        <v>35</v>
      </c>
      <c r="H13816" t="s">
        <v>20</v>
      </c>
      <c r="I13816" t="s">
        <v>26725</v>
      </c>
      <c r="J13816" t="str">
        <f>HYPERLINK("https://www.boe.es/gazeta/dias/1822/10/29/pdfs/GMD-1822-316.pdf#page=2","Abrir facsímil")</f>
        <v>Abrir facsímil</v>
      </c>
      <c r="K13816" t="s">
        <v>22</v>
      </c>
    </row>
    <row r="13817" spans="1:11" ht="42" customHeight="1">
      <c r="A13817" t="s">
        <v>26726</v>
      </c>
      <c r="B13817" t="s">
        <v>26727</v>
      </c>
      <c r="C13817" t="s">
        <v>71</v>
      </c>
      <c r="D13817" t="s">
        <v>17</v>
      </c>
      <c r="E13817" s="6">
        <v>-28414</v>
      </c>
      <c r="F13817" t="s">
        <v>187</v>
      </c>
      <c r="G13817" t="s">
        <v>63</v>
      </c>
      <c r="H13817" t="s">
        <v>20</v>
      </c>
      <c r="I13817" t="s">
        <v>26728</v>
      </c>
      <c r="J13817" t="str">
        <f>HYPERLINK("https://www.boe.es/gazeta/dias/1822/03/15/pdfs/GMD-1822-76.pdf#page=6","Abrir facsímil")</f>
        <v>Abrir facsímil</v>
      </c>
      <c r="K13817" t="s">
        <v>22</v>
      </c>
    </row>
    <row r="13818" spans="1:11" ht="42" customHeight="1">
      <c r="A13818" t="s">
        <v>26729</v>
      </c>
      <c r="B13818" t="s">
        <v>26729</v>
      </c>
      <c r="C13818" t="s">
        <v>28</v>
      </c>
      <c r="D13818" t="s">
        <v>29</v>
      </c>
      <c r="E13818" s="6">
        <v>-28141</v>
      </c>
      <c r="F13818" t="s">
        <v>265</v>
      </c>
      <c r="G13818" t="s">
        <v>31</v>
      </c>
      <c r="H13818" t="s">
        <v>20</v>
      </c>
      <c r="I13818" t="s">
        <v>26730</v>
      </c>
      <c r="J13818" t="str">
        <f>HYPERLINK("https://www.boe.es/gazeta/dias/1822/12/13/pdfs/GMD-1822-363.pdf#page=3","Abrir facsímil")</f>
        <v>Abrir facsímil</v>
      </c>
      <c r="K13818" t="s">
        <v>22</v>
      </c>
    </row>
    <row r="13819" spans="1:11" ht="42" customHeight="1">
      <c r="A13819" t="s">
        <v>26731</v>
      </c>
      <c r="B13819" t="s">
        <v>26731</v>
      </c>
      <c r="C13819" t="s">
        <v>28</v>
      </c>
      <c r="D13819" t="s">
        <v>29</v>
      </c>
      <c r="E13819" s="6">
        <v>-28415</v>
      </c>
      <c r="F13819" t="s">
        <v>77</v>
      </c>
      <c r="G13819" t="s">
        <v>57</v>
      </c>
      <c r="H13819" t="s">
        <v>20</v>
      </c>
      <c r="I13819" t="s">
        <v>26732</v>
      </c>
      <c r="J13819" t="str">
        <f>HYPERLINK("https://www.boe.es/gazeta/dias/1822/03/14/pdfs/GMD-1822-75.pdf#page=4","Abrir facsímil")</f>
        <v>Abrir facsímil</v>
      </c>
      <c r="K13819" t="s">
        <v>22</v>
      </c>
    </row>
    <row r="13820" spans="1:11" ht="42" customHeight="1">
      <c r="A13820" t="s">
        <v>26731</v>
      </c>
      <c r="B13820" t="s">
        <v>26731</v>
      </c>
      <c r="C13820" t="s">
        <v>28</v>
      </c>
      <c r="D13820" t="s">
        <v>29</v>
      </c>
      <c r="E13820" s="6">
        <v>-28387</v>
      </c>
      <c r="F13820" t="s">
        <v>2874</v>
      </c>
      <c r="G13820" t="s">
        <v>31</v>
      </c>
      <c r="H13820" t="s">
        <v>20</v>
      </c>
      <c r="I13820" t="s">
        <v>26733</v>
      </c>
      <c r="J13820" t="str">
        <f>HYPERLINK("https://www.boe.es/gazeta/dias/1822/04/11/pdfs/GMD-1822-103.pdf#page=3","Abrir facsímil")</f>
        <v>Abrir facsímil</v>
      </c>
      <c r="K13820" t="s">
        <v>22</v>
      </c>
    </row>
    <row r="13821" spans="1:11" ht="42" customHeight="1">
      <c r="A13821" t="s">
        <v>26731</v>
      </c>
      <c r="B13821" t="s">
        <v>26731</v>
      </c>
      <c r="C13821" t="s">
        <v>24</v>
      </c>
      <c r="D13821" t="s">
        <v>17</v>
      </c>
      <c r="E13821" s="6">
        <v>-28364</v>
      </c>
      <c r="F13821" t="s">
        <v>509</v>
      </c>
      <c r="G13821" t="s">
        <v>35</v>
      </c>
      <c r="H13821" t="s">
        <v>20</v>
      </c>
      <c r="I13821" t="s">
        <v>26734</v>
      </c>
      <c r="J13821" t="str">
        <f>HYPERLINK("https://www.boe.es/gazeta/dias/1822/05/04/pdfs/GMD-1822-126.pdf#page=2","Abrir facsímil")</f>
        <v>Abrir facsímil</v>
      </c>
      <c r="K13821" t="s">
        <v>22</v>
      </c>
    </row>
    <row r="13822" spans="1:11" ht="42" customHeight="1">
      <c r="A13822" t="s">
        <v>26731</v>
      </c>
      <c r="B13822" t="s">
        <v>26731</v>
      </c>
      <c r="C13822" t="s">
        <v>50</v>
      </c>
      <c r="D13822" t="s">
        <v>51</v>
      </c>
      <c r="E13822" s="6">
        <v>-28318</v>
      </c>
      <c r="F13822" t="s">
        <v>397</v>
      </c>
      <c r="G13822" t="s">
        <v>63</v>
      </c>
      <c r="H13822" t="s">
        <v>20</v>
      </c>
      <c r="I13822" t="s">
        <v>26735</v>
      </c>
      <c r="J13822" t="str">
        <f>HYPERLINK("https://www.boe.es/gazeta/dias/1822/06/19/pdfs/GMD-1822-176.pdf#page=6","Abrir facsímil")</f>
        <v>Abrir facsímil</v>
      </c>
      <c r="K13822" t="s">
        <v>22</v>
      </c>
    </row>
    <row r="13823" spans="1:11" ht="42" customHeight="1">
      <c r="A13823" t="s">
        <v>26731</v>
      </c>
      <c r="B13823" t="s">
        <v>26731</v>
      </c>
      <c r="C13823" t="s">
        <v>71</v>
      </c>
      <c r="D13823" t="s">
        <v>17</v>
      </c>
      <c r="E13823" s="6">
        <v>-28313</v>
      </c>
      <c r="F13823" t="s">
        <v>315</v>
      </c>
      <c r="G13823" t="s">
        <v>19</v>
      </c>
      <c r="H13823" t="s">
        <v>20</v>
      </c>
      <c r="I13823" t="s">
        <v>26736</v>
      </c>
      <c r="J13823" t="str">
        <f>HYPERLINK("https://www.boe.es/gazeta/dias/1822/06/24/pdfs/GMD-1822-182.pdf#page=5","Abrir facsímil")</f>
        <v>Abrir facsímil</v>
      </c>
      <c r="K13823" t="s">
        <v>22</v>
      </c>
    </row>
    <row r="13824" spans="1:11" ht="42" customHeight="1">
      <c r="A13824" t="s">
        <v>26731</v>
      </c>
      <c r="B13824" t="s">
        <v>26731</v>
      </c>
      <c r="C13824" t="s">
        <v>50</v>
      </c>
      <c r="D13824" t="s">
        <v>51</v>
      </c>
      <c r="E13824" s="6">
        <v>-28211</v>
      </c>
      <c r="F13824" t="s">
        <v>273</v>
      </c>
      <c r="G13824" t="s">
        <v>57</v>
      </c>
      <c r="H13824" t="s">
        <v>20</v>
      </c>
      <c r="I13824" t="s">
        <v>26737</v>
      </c>
      <c r="J13824" t="str">
        <f>HYPERLINK("https://www.boe.es/gazeta/dias/1822/10/04/pdfs/GMD-1822-290.pdf#page=4","Abrir facsímil")</f>
        <v>Abrir facsímil</v>
      </c>
      <c r="K13824" t="s">
        <v>22</v>
      </c>
    </row>
    <row r="13825" spans="1:11" ht="42" customHeight="1">
      <c r="A13825" t="s">
        <v>26731</v>
      </c>
      <c r="B13825" t="s">
        <v>26731</v>
      </c>
      <c r="C13825" t="s">
        <v>50</v>
      </c>
      <c r="D13825" t="s">
        <v>51</v>
      </c>
      <c r="E13825" s="6">
        <v>-28187</v>
      </c>
      <c r="F13825" t="s">
        <v>929</v>
      </c>
      <c r="G13825" t="s">
        <v>35</v>
      </c>
      <c r="H13825" t="s">
        <v>20</v>
      </c>
      <c r="I13825" t="s">
        <v>26738</v>
      </c>
      <c r="J13825" t="str">
        <f>HYPERLINK("https://www.boe.es/gazeta/dias/1822/10/28/pdfs/GMD-1822-315.pdf#page=2","Abrir facsímil")</f>
        <v>Abrir facsímil</v>
      </c>
      <c r="K13825" t="s">
        <v>22</v>
      </c>
    </row>
    <row r="13826" spans="1:11" ht="42" customHeight="1">
      <c r="A13826" t="s">
        <v>26731</v>
      </c>
      <c r="B13826" t="s">
        <v>26731</v>
      </c>
      <c r="C13826" t="s">
        <v>71</v>
      </c>
      <c r="D13826" t="s">
        <v>17</v>
      </c>
      <c r="E13826" s="6">
        <v>-28186</v>
      </c>
      <c r="F13826" t="s">
        <v>581</v>
      </c>
      <c r="G13826" t="s">
        <v>35</v>
      </c>
      <c r="H13826" t="s">
        <v>20</v>
      </c>
      <c r="I13826" t="s">
        <v>26739</v>
      </c>
      <c r="J13826" t="str">
        <f>HYPERLINK("https://www.boe.es/gazeta/dias/1822/10/29/pdfs/GMD-1822-316.pdf#page=2","Abrir facsímil")</f>
        <v>Abrir facsímil</v>
      </c>
      <c r="K13826" t="s">
        <v>22</v>
      </c>
    </row>
    <row r="13827" spans="1:11" ht="42" customHeight="1">
      <c r="A13827" t="s">
        <v>26731</v>
      </c>
      <c r="B13827" t="s">
        <v>26731</v>
      </c>
      <c r="C13827" t="s">
        <v>50</v>
      </c>
      <c r="D13827" t="s">
        <v>51</v>
      </c>
      <c r="E13827" s="6">
        <v>-28184</v>
      </c>
      <c r="F13827" t="s">
        <v>1423</v>
      </c>
      <c r="G13827" t="s">
        <v>31</v>
      </c>
      <c r="H13827" t="s">
        <v>20</v>
      </c>
      <c r="I13827" t="s">
        <v>26740</v>
      </c>
      <c r="J13827" t="str">
        <f>HYPERLINK("https://www.boe.es/gazeta/dias/1822/10/31/pdfs/GMD-1822-318.pdf#page=3","Abrir facsímil")</f>
        <v>Abrir facsímil</v>
      </c>
      <c r="K13827" t="s">
        <v>22</v>
      </c>
    </row>
    <row r="13828" spans="1:11" ht="42" customHeight="1">
      <c r="A13828" t="s">
        <v>26731</v>
      </c>
      <c r="B13828" t="s">
        <v>26731</v>
      </c>
      <c r="C13828" t="s">
        <v>16</v>
      </c>
      <c r="D13828" t="s">
        <v>17</v>
      </c>
      <c r="E13828" s="6">
        <v>-28176</v>
      </c>
      <c r="F13828" t="s">
        <v>780</v>
      </c>
      <c r="G13828" t="s">
        <v>44</v>
      </c>
      <c r="H13828" t="s">
        <v>20</v>
      </c>
      <c r="I13828" t="s">
        <v>26741</v>
      </c>
      <c r="J13828" t="str">
        <f>HYPERLINK("https://www.boe.es/gazeta/dias/1822/11/08/pdfs/GMD-1822-328.pdf#page=1","Abrir facsímil")</f>
        <v>Abrir facsímil</v>
      </c>
      <c r="K13828" t="s">
        <v>22</v>
      </c>
    </row>
    <row r="13829" spans="1:11" ht="42" customHeight="1">
      <c r="A13829" t="s">
        <v>26742</v>
      </c>
      <c r="B13829" t="s">
        <v>26743</v>
      </c>
      <c r="C13829" t="s">
        <v>42</v>
      </c>
      <c r="D13829" t="s">
        <v>17</v>
      </c>
      <c r="E13829" s="6">
        <v>-28197</v>
      </c>
      <c r="F13829" t="s">
        <v>568</v>
      </c>
      <c r="G13829" t="s">
        <v>63</v>
      </c>
      <c r="H13829" t="s">
        <v>20</v>
      </c>
      <c r="I13829" t="s">
        <v>26744</v>
      </c>
      <c r="J13829" t="str">
        <f>HYPERLINK("https://www.boe.es/gazeta/dias/1822/10/18/pdfs/GMD-1822-305.pdf#page=6","Abrir facsímil")</f>
        <v>Abrir facsímil</v>
      </c>
      <c r="K13829" t="s">
        <v>22</v>
      </c>
    </row>
    <row r="13830" spans="1:11" ht="42" customHeight="1">
      <c r="A13830" t="s">
        <v>26745</v>
      </c>
      <c r="B13830" t="s">
        <v>26746</v>
      </c>
      <c r="C13830" t="s">
        <v>28</v>
      </c>
      <c r="D13830" t="s">
        <v>29</v>
      </c>
      <c r="E13830" s="6">
        <v>-28426</v>
      </c>
      <c r="F13830" t="s">
        <v>1178</v>
      </c>
      <c r="G13830" t="s">
        <v>35</v>
      </c>
      <c r="H13830" t="s">
        <v>20</v>
      </c>
      <c r="I13830" t="s">
        <v>26747</v>
      </c>
      <c r="J13830" t="str">
        <f>HYPERLINK("https://www.boe.es/gazeta/dias/1822/03/03/pdfs/GMD-1822-64.pdf#page=2","Abrir facsímil")</f>
        <v>Abrir facsímil</v>
      </c>
      <c r="K13830" t="s">
        <v>22</v>
      </c>
    </row>
    <row r="13831" spans="1:11" ht="42" customHeight="1">
      <c r="A13831" t="s">
        <v>26748</v>
      </c>
      <c r="B13831" t="s">
        <v>26749</v>
      </c>
      <c r="C13831" t="s">
        <v>28</v>
      </c>
      <c r="D13831" t="s">
        <v>29</v>
      </c>
      <c r="E13831" s="6">
        <v>-28157</v>
      </c>
      <c r="F13831" t="s">
        <v>1492</v>
      </c>
      <c r="G13831" t="s">
        <v>31</v>
      </c>
      <c r="H13831" t="s">
        <v>20</v>
      </c>
      <c r="I13831" t="s">
        <v>26750</v>
      </c>
      <c r="J13831" t="str">
        <f>HYPERLINK("https://www.boe.es/gazeta/dias/1822/11/27/pdfs/GMD-1822-347.pdf#page=3","Abrir facsímil")</f>
        <v>Abrir facsímil</v>
      </c>
      <c r="K13831" t="s">
        <v>22</v>
      </c>
    </row>
    <row r="13832" spans="1:11" ht="42" customHeight="1">
      <c r="A13832" t="s">
        <v>26751</v>
      </c>
      <c r="B13832" t="s">
        <v>26752</v>
      </c>
      <c r="C13832" t="s">
        <v>71</v>
      </c>
      <c r="D13832" t="s">
        <v>17</v>
      </c>
      <c r="E13832" s="6">
        <v>-28129</v>
      </c>
      <c r="F13832" t="s">
        <v>599</v>
      </c>
      <c r="G13832" t="s">
        <v>35</v>
      </c>
      <c r="H13832" t="s">
        <v>20</v>
      </c>
      <c r="I13832" t="s">
        <v>26753</v>
      </c>
      <c r="J13832" t="str">
        <f>HYPERLINK("https://www.boe.es/gazeta/dias/1822/12/25/pdfs/GMD-1822-375.pdf#page=2","Abrir facsímil")</f>
        <v>Abrir facsímil</v>
      </c>
      <c r="K13832" t="s">
        <v>22</v>
      </c>
    </row>
    <row r="13833" spans="1:11" ht="42" customHeight="1">
      <c r="A13833" t="s">
        <v>26754</v>
      </c>
      <c r="B13833" t="s">
        <v>26755</v>
      </c>
      <c r="C13833" t="s">
        <v>28</v>
      </c>
      <c r="D13833" t="s">
        <v>29</v>
      </c>
      <c r="E13833" s="6">
        <v>-28141</v>
      </c>
      <c r="F13833" t="s">
        <v>265</v>
      </c>
      <c r="G13833" t="s">
        <v>35</v>
      </c>
      <c r="H13833" t="s">
        <v>20</v>
      </c>
      <c r="I13833" t="s">
        <v>26756</v>
      </c>
      <c r="J13833" t="str">
        <f>HYPERLINK("https://www.boe.es/gazeta/dias/1822/12/13/pdfs/GMD-1822-363.pdf#page=2","Abrir facsímil")</f>
        <v>Abrir facsímil</v>
      </c>
      <c r="K13833" t="s">
        <v>22</v>
      </c>
    </row>
    <row r="13834" spans="1:11" ht="42" customHeight="1">
      <c r="A13834" t="s">
        <v>26757</v>
      </c>
      <c r="B13834" t="s">
        <v>26758</v>
      </c>
      <c r="C13834" t="s">
        <v>28</v>
      </c>
      <c r="D13834" t="s">
        <v>29</v>
      </c>
      <c r="E13834" s="6">
        <v>-28431</v>
      </c>
      <c r="F13834" t="s">
        <v>1258</v>
      </c>
      <c r="G13834" t="s">
        <v>31</v>
      </c>
      <c r="H13834" t="s">
        <v>20</v>
      </c>
      <c r="I13834" t="s">
        <v>26759</v>
      </c>
      <c r="J13834" t="str">
        <f>HYPERLINK("https://www.boe.es/gazeta/dias/1822/02/26/pdfs/GMD-1822-58.pdf#page=3","Abrir facsímil")</f>
        <v>Abrir facsímil</v>
      </c>
      <c r="K13834" t="s">
        <v>22</v>
      </c>
    </row>
    <row r="13835" spans="1:11" ht="42" customHeight="1">
      <c r="A13835" t="s">
        <v>26757</v>
      </c>
      <c r="B13835" t="s">
        <v>26758</v>
      </c>
      <c r="C13835" t="s">
        <v>28</v>
      </c>
      <c r="D13835" t="s">
        <v>29</v>
      </c>
      <c r="E13835" s="6">
        <v>-28415</v>
      </c>
      <c r="F13835" t="s">
        <v>77</v>
      </c>
      <c r="G13835" t="s">
        <v>57</v>
      </c>
      <c r="H13835" t="s">
        <v>20</v>
      </c>
      <c r="I13835" t="s">
        <v>26760</v>
      </c>
      <c r="J13835" t="str">
        <f>HYPERLINK("https://www.boe.es/gazeta/dias/1822/03/14/pdfs/GMD-1822-75.pdf#page=4","Abrir facsímil")</f>
        <v>Abrir facsímil</v>
      </c>
      <c r="K13835" t="s">
        <v>22</v>
      </c>
    </row>
    <row r="13836" spans="1:11" ht="42" customHeight="1">
      <c r="A13836" t="s">
        <v>26761</v>
      </c>
      <c r="B13836" t="s">
        <v>26762</v>
      </c>
      <c r="C13836" t="s">
        <v>28</v>
      </c>
      <c r="D13836" t="s">
        <v>29</v>
      </c>
      <c r="E13836" s="6">
        <v>-28406</v>
      </c>
      <c r="F13836" t="s">
        <v>462</v>
      </c>
      <c r="G13836" t="s">
        <v>167</v>
      </c>
      <c r="H13836" t="s">
        <v>20</v>
      </c>
      <c r="I13836" t="s">
        <v>26763</v>
      </c>
      <c r="J13836" t="str">
        <f>HYPERLINK("https://www.boe.es/gazeta/dias/1822/03/23/pdfs/GMD-1822-84.pdf#page=7","Abrir facsímil")</f>
        <v>Abrir facsímil</v>
      </c>
      <c r="K13836" t="s">
        <v>22</v>
      </c>
    </row>
    <row r="13837" spans="1:11" ht="42" customHeight="1">
      <c r="A13837" t="s">
        <v>26757</v>
      </c>
      <c r="B13837" t="s">
        <v>26758</v>
      </c>
      <c r="C13837" t="s">
        <v>71</v>
      </c>
      <c r="D13837" t="s">
        <v>17</v>
      </c>
      <c r="E13837" s="6">
        <v>-28404</v>
      </c>
      <c r="F13837" t="s">
        <v>421</v>
      </c>
      <c r="G13837" t="s">
        <v>35</v>
      </c>
      <c r="H13837" t="s">
        <v>20</v>
      </c>
      <c r="I13837" t="s">
        <v>26764</v>
      </c>
      <c r="J13837" t="str">
        <f>HYPERLINK("https://www.boe.es/gazeta/dias/1822/03/25/pdfs/GMD-1822-86.pdf#page=2","Abrir facsímil")</f>
        <v>Abrir facsímil</v>
      </c>
      <c r="K13837" t="s">
        <v>22</v>
      </c>
    </row>
    <row r="13838" spans="1:11" ht="42" customHeight="1">
      <c r="A13838" t="s">
        <v>26757</v>
      </c>
      <c r="B13838" t="s">
        <v>26758</v>
      </c>
      <c r="C13838" t="s">
        <v>71</v>
      </c>
      <c r="D13838" t="s">
        <v>17</v>
      </c>
      <c r="E13838" s="6">
        <v>-28382</v>
      </c>
      <c r="F13838" t="s">
        <v>973</v>
      </c>
      <c r="G13838" t="s">
        <v>31</v>
      </c>
      <c r="H13838" t="s">
        <v>20</v>
      </c>
      <c r="I13838" t="s">
        <v>26765</v>
      </c>
      <c r="J13838" t="str">
        <f>HYPERLINK("https://www.boe.es/gazeta/dias/1822/04/16/pdfs/GMD-1822-108.pdf#page=3","Abrir facsímil")</f>
        <v>Abrir facsímil</v>
      </c>
      <c r="K13838" t="s">
        <v>22</v>
      </c>
    </row>
    <row r="13839" spans="1:11" ht="42" customHeight="1">
      <c r="A13839" t="s">
        <v>26757</v>
      </c>
      <c r="B13839" t="s">
        <v>26758</v>
      </c>
      <c r="C13839" t="s">
        <v>71</v>
      </c>
      <c r="D13839" t="s">
        <v>17</v>
      </c>
      <c r="E13839" s="6">
        <v>-28382</v>
      </c>
      <c r="F13839" t="s">
        <v>973</v>
      </c>
      <c r="G13839" t="s">
        <v>57</v>
      </c>
      <c r="H13839" t="s">
        <v>20</v>
      </c>
      <c r="I13839" t="s">
        <v>26766</v>
      </c>
      <c r="J13839" t="str">
        <f>HYPERLINK("https://www.boe.es/gazeta/dias/1822/04/16/pdfs/GMD-1822-108.pdf#page=4","Abrir facsímil")</f>
        <v>Abrir facsímil</v>
      </c>
      <c r="K13839" t="s">
        <v>22</v>
      </c>
    </row>
    <row r="13840" spans="1:11" ht="42" customHeight="1">
      <c r="A13840" t="s">
        <v>26757</v>
      </c>
      <c r="B13840" t="s">
        <v>26758</v>
      </c>
      <c r="C13840" t="s">
        <v>61</v>
      </c>
      <c r="D13840" t="s">
        <v>17</v>
      </c>
      <c r="E13840" s="6">
        <v>-28362</v>
      </c>
      <c r="F13840" t="s">
        <v>511</v>
      </c>
      <c r="G13840" t="s">
        <v>57</v>
      </c>
      <c r="H13840" t="s">
        <v>20</v>
      </c>
      <c r="I13840" t="s">
        <v>26767</v>
      </c>
      <c r="J13840" t="str">
        <f>HYPERLINK("https://www.boe.es/gazeta/dias/1822/05/06/pdfs/GMD-1822-128.pdf#page=4","Abrir facsímil")</f>
        <v>Abrir facsímil</v>
      </c>
      <c r="K13840" t="s">
        <v>22</v>
      </c>
    </row>
    <row r="13841" spans="1:11" ht="42" customHeight="1">
      <c r="A13841" t="s">
        <v>26757</v>
      </c>
      <c r="B13841" t="s">
        <v>26758</v>
      </c>
      <c r="C13841" t="s">
        <v>42</v>
      </c>
      <c r="D13841" t="s">
        <v>17</v>
      </c>
      <c r="E13841" s="6">
        <v>-28357</v>
      </c>
      <c r="F13841" t="s">
        <v>690</v>
      </c>
      <c r="G13841" t="s">
        <v>35</v>
      </c>
      <c r="H13841" t="s">
        <v>20</v>
      </c>
      <c r="I13841" t="s">
        <v>26768</v>
      </c>
      <c r="J13841" t="str">
        <f>HYPERLINK("https://www.boe.es/gazeta/dias/1822/05/11/pdfs/GMD-1822-133.pdf#page=2","Abrir facsímil")</f>
        <v>Abrir facsímil</v>
      </c>
      <c r="K13841" t="s">
        <v>22</v>
      </c>
    </row>
    <row r="13842" spans="1:11" ht="42" customHeight="1">
      <c r="A13842" t="s">
        <v>26757</v>
      </c>
      <c r="B13842" t="s">
        <v>26758</v>
      </c>
      <c r="C13842" t="s">
        <v>24</v>
      </c>
      <c r="D13842" t="s">
        <v>17</v>
      </c>
      <c r="E13842" s="6">
        <v>-28328</v>
      </c>
      <c r="F13842" t="s">
        <v>540</v>
      </c>
      <c r="G13842" t="s">
        <v>19</v>
      </c>
      <c r="H13842" t="s">
        <v>20</v>
      </c>
      <c r="I13842" t="s">
        <v>26769</v>
      </c>
      <c r="J13842" t="str">
        <f>HYPERLINK("https://www.boe.es/gazeta/dias/1822/06/09/pdfs/GMD-1822-166.pdf#page=5","Abrir facsímil")</f>
        <v>Abrir facsímil</v>
      </c>
      <c r="K13842" t="s">
        <v>22</v>
      </c>
    </row>
    <row r="13843" spans="1:11" ht="42" customHeight="1">
      <c r="A13843" t="s">
        <v>26757</v>
      </c>
      <c r="B13843" t="s">
        <v>26758</v>
      </c>
      <c r="C13843" t="s">
        <v>50</v>
      </c>
      <c r="D13843" t="s">
        <v>51</v>
      </c>
      <c r="E13843" s="6">
        <v>-28324</v>
      </c>
      <c r="F13843" t="s">
        <v>305</v>
      </c>
      <c r="G13843" t="s">
        <v>19</v>
      </c>
      <c r="H13843" t="s">
        <v>20</v>
      </c>
      <c r="I13843" t="s">
        <v>26770</v>
      </c>
      <c r="J13843" t="str">
        <f>HYPERLINK("https://www.boe.es/gazeta/dias/1822/06/13/pdfs/GMD-1822-170.pdf#page=5","Abrir facsímil")</f>
        <v>Abrir facsímil</v>
      </c>
      <c r="K13843" t="s">
        <v>22</v>
      </c>
    </row>
    <row r="13844" spans="1:11" ht="42" customHeight="1">
      <c r="A13844" t="s">
        <v>26757</v>
      </c>
      <c r="B13844" t="s">
        <v>26758</v>
      </c>
      <c r="C13844" t="s">
        <v>71</v>
      </c>
      <c r="D13844" t="s">
        <v>17</v>
      </c>
      <c r="E13844" s="6">
        <v>-28323</v>
      </c>
      <c r="F13844" t="s">
        <v>116</v>
      </c>
      <c r="G13844" t="s">
        <v>31</v>
      </c>
      <c r="H13844" t="s">
        <v>20</v>
      </c>
      <c r="I13844" t="s">
        <v>26771</v>
      </c>
      <c r="J13844" t="str">
        <f>HYPERLINK("https://www.boe.es/gazeta/dias/1822/06/14/pdfs/GMD-1822-171.pdf#page=3","Abrir facsímil")</f>
        <v>Abrir facsímil</v>
      </c>
      <c r="K13844" t="s">
        <v>22</v>
      </c>
    </row>
    <row r="13845" spans="1:11" ht="42" customHeight="1">
      <c r="A13845" t="s">
        <v>26757</v>
      </c>
      <c r="B13845" t="s">
        <v>26758</v>
      </c>
      <c r="C13845" t="s">
        <v>42</v>
      </c>
      <c r="D13845" t="s">
        <v>17</v>
      </c>
      <c r="E13845" s="6">
        <v>-28320</v>
      </c>
      <c r="F13845" t="s">
        <v>700</v>
      </c>
      <c r="G13845" t="s">
        <v>35</v>
      </c>
      <c r="H13845" t="s">
        <v>20</v>
      </c>
      <c r="I13845" t="s">
        <v>26772</v>
      </c>
      <c r="J13845" t="str">
        <f>HYPERLINK("https://www.boe.es/gazeta/dias/1822/06/17/pdfs/GMD-1822-174.pdf#page=2","Abrir facsímil")</f>
        <v>Abrir facsímil</v>
      </c>
      <c r="K13845" t="s">
        <v>22</v>
      </c>
    </row>
    <row r="13846" spans="1:11" ht="42" customHeight="1">
      <c r="A13846" t="s">
        <v>26757</v>
      </c>
      <c r="B13846" t="s">
        <v>26758</v>
      </c>
      <c r="C13846" t="s">
        <v>42</v>
      </c>
      <c r="D13846" t="s">
        <v>17</v>
      </c>
      <c r="E13846" s="6">
        <v>-28320</v>
      </c>
      <c r="F13846" t="s">
        <v>700</v>
      </c>
      <c r="G13846" t="s">
        <v>57</v>
      </c>
      <c r="H13846" t="s">
        <v>20</v>
      </c>
      <c r="I13846" t="s">
        <v>26773</v>
      </c>
      <c r="J13846" t="str">
        <f>HYPERLINK("https://www.boe.es/gazeta/dias/1822/06/17/pdfs/GMD-1822-174.pdf#page=4","Abrir facsímil")</f>
        <v>Abrir facsímil</v>
      </c>
      <c r="K13846" t="s">
        <v>22</v>
      </c>
    </row>
    <row r="13847" spans="1:11" ht="42" customHeight="1">
      <c r="A13847" t="s">
        <v>26757</v>
      </c>
      <c r="B13847" t="s">
        <v>26758</v>
      </c>
      <c r="C13847" t="s">
        <v>28</v>
      </c>
      <c r="D13847" t="s">
        <v>29</v>
      </c>
      <c r="E13847" s="6">
        <v>-28319</v>
      </c>
      <c r="F13847" t="s">
        <v>271</v>
      </c>
      <c r="G13847" t="s">
        <v>35</v>
      </c>
      <c r="H13847" t="s">
        <v>20</v>
      </c>
      <c r="I13847" t="s">
        <v>26774</v>
      </c>
      <c r="J13847" t="str">
        <f>HYPERLINK("https://www.boe.es/gazeta/dias/1822/06/18/pdfs/GMD-1822-175.pdf#page=2","Abrir facsímil")</f>
        <v>Abrir facsímil</v>
      </c>
      <c r="K13847" t="s">
        <v>22</v>
      </c>
    </row>
    <row r="13848" spans="1:11" ht="42" customHeight="1">
      <c r="A13848" t="s">
        <v>26757</v>
      </c>
      <c r="B13848" t="s">
        <v>26758</v>
      </c>
      <c r="C13848" t="s">
        <v>1141</v>
      </c>
      <c r="D13848" t="s">
        <v>29</v>
      </c>
      <c r="E13848" s="6">
        <v>-28319</v>
      </c>
      <c r="F13848" t="s">
        <v>271</v>
      </c>
      <c r="G13848" t="s">
        <v>31</v>
      </c>
      <c r="H13848" t="s">
        <v>20</v>
      </c>
      <c r="I13848" t="s">
        <v>26775</v>
      </c>
      <c r="J13848" t="str">
        <f>HYPERLINK("https://www.boe.es/gazeta/dias/1822/06/18/pdfs/GMD-1822-175.pdf#page=3","Abrir facsímil")</f>
        <v>Abrir facsímil</v>
      </c>
      <c r="K13848" t="s">
        <v>22</v>
      </c>
    </row>
    <row r="13849" spans="1:11" ht="42" customHeight="1">
      <c r="A13849" t="s">
        <v>26757</v>
      </c>
      <c r="B13849" t="s">
        <v>26758</v>
      </c>
      <c r="C13849" t="s">
        <v>71</v>
      </c>
      <c r="D13849" t="s">
        <v>17</v>
      </c>
      <c r="E13849" s="6">
        <v>-28194</v>
      </c>
      <c r="F13849" t="s">
        <v>18</v>
      </c>
      <c r="G13849" t="s">
        <v>19</v>
      </c>
      <c r="H13849" t="s">
        <v>20</v>
      </c>
      <c r="I13849" t="s">
        <v>26776</v>
      </c>
      <c r="J13849" t="str">
        <f>HYPERLINK("https://www.boe.es/gazeta/dias/1822/10/21/pdfs/GMD-1822-308.pdf#page=5","Abrir facsímil")</f>
        <v>Abrir facsímil</v>
      </c>
      <c r="K13849" t="s">
        <v>22</v>
      </c>
    </row>
    <row r="13850" spans="1:11" ht="42" customHeight="1">
      <c r="A13850" t="s">
        <v>26757</v>
      </c>
      <c r="B13850" t="s">
        <v>26758</v>
      </c>
      <c r="C13850" t="s">
        <v>42</v>
      </c>
      <c r="D13850" t="s">
        <v>17</v>
      </c>
      <c r="E13850" s="6">
        <v>-28192</v>
      </c>
      <c r="F13850" t="s">
        <v>43</v>
      </c>
      <c r="G13850" t="s">
        <v>63</v>
      </c>
      <c r="H13850" t="s">
        <v>20</v>
      </c>
      <c r="I13850" t="s">
        <v>26777</v>
      </c>
      <c r="J13850" t="str">
        <f>HYPERLINK("https://www.boe.es/gazeta/dias/1822/10/23/pdfs/GMD-1822-310.pdf#page=6","Abrir facsímil")</f>
        <v>Abrir facsímil</v>
      </c>
      <c r="K13850" t="s">
        <v>22</v>
      </c>
    </row>
    <row r="13851" spans="1:11" ht="42" customHeight="1">
      <c r="A13851" t="s">
        <v>26757</v>
      </c>
      <c r="B13851" t="s">
        <v>26758</v>
      </c>
      <c r="C13851" t="s">
        <v>50</v>
      </c>
      <c r="D13851" t="s">
        <v>51</v>
      </c>
      <c r="E13851" s="6">
        <v>-28189</v>
      </c>
      <c r="F13851" t="s">
        <v>645</v>
      </c>
      <c r="G13851" t="s">
        <v>31</v>
      </c>
      <c r="H13851" t="s">
        <v>20</v>
      </c>
      <c r="I13851" t="s">
        <v>26778</v>
      </c>
      <c r="J13851" t="str">
        <f>HYPERLINK("https://www.boe.es/gazeta/dias/1822/10/26/pdfs/GMD-1822-313.pdf#page=3","Abrir facsímil")</f>
        <v>Abrir facsímil</v>
      </c>
      <c r="K13851" t="s">
        <v>22</v>
      </c>
    </row>
    <row r="13852" spans="1:11" ht="42" customHeight="1">
      <c r="A13852" t="s">
        <v>26757</v>
      </c>
      <c r="B13852" t="s">
        <v>26758</v>
      </c>
      <c r="C13852" t="s">
        <v>42</v>
      </c>
      <c r="D13852" t="s">
        <v>17</v>
      </c>
      <c r="E13852" s="6">
        <v>-28188</v>
      </c>
      <c r="F13852" t="s">
        <v>578</v>
      </c>
      <c r="G13852" t="s">
        <v>57</v>
      </c>
      <c r="H13852" t="s">
        <v>20</v>
      </c>
      <c r="I13852" t="s">
        <v>26779</v>
      </c>
      <c r="J13852" t="str">
        <f>HYPERLINK("https://www.boe.es/gazeta/dias/1822/10/27/pdfs/GMD-1822-314.pdf#page=4","Abrir facsímil")</f>
        <v>Abrir facsímil</v>
      </c>
      <c r="K13852" t="s">
        <v>22</v>
      </c>
    </row>
    <row r="13853" spans="1:11" ht="42" customHeight="1">
      <c r="A13853" t="s">
        <v>26757</v>
      </c>
      <c r="B13853" t="s">
        <v>26758</v>
      </c>
      <c r="C13853" t="s">
        <v>50</v>
      </c>
      <c r="D13853" t="s">
        <v>51</v>
      </c>
      <c r="E13853" s="6">
        <v>-28187</v>
      </c>
      <c r="F13853" t="s">
        <v>929</v>
      </c>
      <c r="G13853" t="s">
        <v>44</v>
      </c>
      <c r="H13853" t="s">
        <v>20</v>
      </c>
      <c r="I13853" t="s">
        <v>26780</v>
      </c>
      <c r="J13853" t="str">
        <f>HYPERLINK("https://www.boe.es/gazeta/dias/1822/10/28/pdfs/GMD-1822-315.pdf#page=1","Abrir facsímil")</f>
        <v>Abrir facsímil</v>
      </c>
      <c r="K13853" t="s">
        <v>22</v>
      </c>
    </row>
    <row r="13854" spans="1:11" ht="42" customHeight="1">
      <c r="A13854" t="s">
        <v>26757</v>
      </c>
      <c r="B13854" t="s">
        <v>26758</v>
      </c>
      <c r="C13854" t="s">
        <v>42</v>
      </c>
      <c r="D13854" t="s">
        <v>17</v>
      </c>
      <c r="E13854" s="6">
        <v>-28187</v>
      </c>
      <c r="F13854" t="s">
        <v>929</v>
      </c>
      <c r="G13854" t="s">
        <v>35</v>
      </c>
      <c r="H13854" t="s">
        <v>20</v>
      </c>
      <c r="I13854" t="s">
        <v>26781</v>
      </c>
      <c r="J13854" t="str">
        <f>HYPERLINK("https://www.boe.es/gazeta/dias/1822/10/28/pdfs/GMD-1822-315.pdf#page=2","Abrir facsímil")</f>
        <v>Abrir facsímil</v>
      </c>
      <c r="K13854" t="s">
        <v>22</v>
      </c>
    </row>
    <row r="13855" spans="1:11" ht="42" customHeight="1">
      <c r="A13855" t="s">
        <v>26757</v>
      </c>
      <c r="B13855" t="s">
        <v>26758</v>
      </c>
      <c r="C13855" t="s">
        <v>50</v>
      </c>
      <c r="D13855" t="s">
        <v>51</v>
      </c>
      <c r="E13855" s="6">
        <v>-28174</v>
      </c>
      <c r="F13855" t="s">
        <v>881</v>
      </c>
      <c r="G13855" t="s">
        <v>19</v>
      </c>
      <c r="H13855" t="s">
        <v>20</v>
      </c>
      <c r="I13855" t="s">
        <v>26782</v>
      </c>
      <c r="J13855" t="str">
        <f>HYPERLINK("https://www.boe.es/gazeta/dias/1822/11/10/pdfs/GMD-1822-330.pdf#page=5","Abrir facsímil")</f>
        <v>Abrir facsímil</v>
      </c>
      <c r="K13855" t="s">
        <v>22</v>
      </c>
    </row>
    <row r="13856" spans="1:11" ht="42" customHeight="1">
      <c r="A13856" t="s">
        <v>26783</v>
      </c>
      <c r="B13856" t="s">
        <v>26784</v>
      </c>
      <c r="C13856" t="s">
        <v>24</v>
      </c>
      <c r="D13856" t="s">
        <v>17</v>
      </c>
      <c r="E13856" s="6">
        <v>-28350</v>
      </c>
      <c r="F13856" t="s">
        <v>352</v>
      </c>
      <c r="G13856" t="s">
        <v>19</v>
      </c>
      <c r="H13856" t="s">
        <v>20</v>
      </c>
      <c r="I13856" t="s">
        <v>26785</v>
      </c>
      <c r="J13856" t="str">
        <f>HYPERLINK("https://www.boe.es/gazeta/dias/1822/05/18/pdfs/GMD-1822-140.pdf#page=5","Abrir facsímil")</f>
        <v>Abrir facsímil</v>
      </c>
      <c r="K13856" t="s">
        <v>22</v>
      </c>
    </row>
    <row r="13857" spans="1:11" ht="42" customHeight="1">
      <c r="A13857" t="s">
        <v>26786</v>
      </c>
      <c r="B13857" t="s">
        <v>26787</v>
      </c>
      <c r="C13857" t="s">
        <v>24</v>
      </c>
      <c r="D13857" t="s">
        <v>17</v>
      </c>
      <c r="E13857" s="6">
        <v>-28310</v>
      </c>
      <c r="F13857" t="s">
        <v>241</v>
      </c>
      <c r="G13857" t="s">
        <v>44</v>
      </c>
      <c r="H13857" t="s">
        <v>20</v>
      </c>
      <c r="I13857" t="s">
        <v>26788</v>
      </c>
      <c r="J13857" t="str">
        <f>HYPERLINK("https://www.boe.es/gazeta/dias/1822/06/27/pdfs/GMD-1822-185.pdf#page=1","Abrir facsímil")</f>
        <v>Abrir facsímil</v>
      </c>
      <c r="K13857" t="s">
        <v>22</v>
      </c>
    </row>
    <row r="13858" spans="1:11" ht="42" customHeight="1">
      <c r="A13858" t="s">
        <v>26789</v>
      </c>
      <c r="B13858" t="s">
        <v>26790</v>
      </c>
      <c r="C13858" t="s">
        <v>42</v>
      </c>
      <c r="D13858" t="s">
        <v>17</v>
      </c>
      <c r="E13858" s="6">
        <v>-28158</v>
      </c>
      <c r="F13858" t="s">
        <v>590</v>
      </c>
      <c r="G13858" t="s">
        <v>63</v>
      </c>
      <c r="H13858" t="s">
        <v>20</v>
      </c>
      <c r="I13858" t="s">
        <v>26791</v>
      </c>
      <c r="J13858" t="str">
        <f>HYPERLINK("https://www.boe.es/gazeta/dias/1822/11/26/pdfs/GMD-1822-346.pdf#page=6","Abrir facsímil")</f>
        <v>Abrir facsímil</v>
      </c>
      <c r="K13858" t="s">
        <v>22</v>
      </c>
    </row>
    <row r="13859" spans="1:11" ht="42" customHeight="1">
      <c r="A13859" t="s">
        <v>26792</v>
      </c>
      <c r="B13859" t="s">
        <v>26792</v>
      </c>
      <c r="C13859" t="s">
        <v>50</v>
      </c>
      <c r="D13859" t="s">
        <v>51</v>
      </c>
      <c r="E13859" s="6">
        <v>-28184</v>
      </c>
      <c r="F13859" t="s">
        <v>1423</v>
      </c>
      <c r="G13859" t="s">
        <v>35</v>
      </c>
      <c r="H13859" t="s">
        <v>20</v>
      </c>
      <c r="I13859" t="s">
        <v>26793</v>
      </c>
      <c r="J13859" t="str">
        <f>HYPERLINK("https://www.boe.es/gazeta/dias/1822/10/31/pdfs/GMD-1822-318.pdf#page=2","Abrir facsímil")</f>
        <v>Abrir facsímil</v>
      </c>
      <c r="K13859" t="s">
        <v>22</v>
      </c>
    </row>
    <row r="13860" spans="1:11" ht="42" customHeight="1">
      <c r="A13860" t="s">
        <v>26794</v>
      </c>
      <c r="B13860" t="s">
        <v>26795</v>
      </c>
      <c r="C13860" t="s">
        <v>24</v>
      </c>
      <c r="D13860" t="s">
        <v>17</v>
      </c>
      <c r="E13860" s="6">
        <v>-28167</v>
      </c>
      <c r="F13860" t="s">
        <v>904</v>
      </c>
      <c r="G13860" t="s">
        <v>35</v>
      </c>
      <c r="H13860" t="s">
        <v>20</v>
      </c>
      <c r="I13860" t="s">
        <v>26796</v>
      </c>
      <c r="J13860" t="str">
        <f>HYPERLINK("https://www.boe.es/gazeta/dias/1822/11/17/pdfs/GMD-1822-337.pdf#page=2","Abrir facsímil")</f>
        <v>Abrir facsímil</v>
      </c>
      <c r="K13860" t="s">
        <v>22</v>
      </c>
    </row>
    <row r="13861" spans="1:11" ht="42" customHeight="1">
      <c r="A13861" t="s">
        <v>26797</v>
      </c>
      <c r="B13861" t="s">
        <v>26797</v>
      </c>
      <c r="C13861" t="s">
        <v>61</v>
      </c>
      <c r="D13861" t="s">
        <v>17</v>
      </c>
      <c r="E13861" s="6">
        <v>-28372</v>
      </c>
      <c r="F13861" t="s">
        <v>503</v>
      </c>
      <c r="G13861" t="s">
        <v>31</v>
      </c>
      <c r="H13861" t="s">
        <v>20</v>
      </c>
      <c r="I13861" t="s">
        <v>26798</v>
      </c>
      <c r="J13861" t="str">
        <f>HYPERLINK("https://www.boe.es/gazeta/dias/1822/04/26/pdfs/GMD-1822-118.pdf#page=3","Abrir facsímil")</f>
        <v>Abrir facsímil</v>
      </c>
      <c r="K13861" t="s">
        <v>22</v>
      </c>
    </row>
    <row r="13862" spans="1:11" ht="42" customHeight="1">
      <c r="A13862" t="s">
        <v>26799</v>
      </c>
      <c r="B13862" t="s">
        <v>26800</v>
      </c>
      <c r="C13862" t="s">
        <v>16</v>
      </c>
      <c r="D13862" t="s">
        <v>17</v>
      </c>
      <c r="E13862" s="6">
        <v>-28182</v>
      </c>
      <c r="F13862" t="s">
        <v>585</v>
      </c>
      <c r="G13862" t="s">
        <v>63</v>
      </c>
      <c r="H13862" t="s">
        <v>20</v>
      </c>
      <c r="I13862" t="s">
        <v>26801</v>
      </c>
      <c r="J13862" t="str">
        <f>HYPERLINK("https://www.boe.es/gazeta/dias/1822/11/02/pdfs/GMD-1822-320.pdf#page=6","Abrir facsímil")</f>
        <v>Abrir facsímil</v>
      </c>
      <c r="K13862" t="s">
        <v>22</v>
      </c>
    </row>
    <row r="13863" spans="1:11" ht="42" customHeight="1">
      <c r="A13863" t="s">
        <v>26802</v>
      </c>
      <c r="B13863" t="s">
        <v>26803</v>
      </c>
      <c r="C13863" t="s">
        <v>50</v>
      </c>
      <c r="D13863" t="s">
        <v>51</v>
      </c>
      <c r="E13863" s="6">
        <v>-28208</v>
      </c>
      <c r="F13863" t="s">
        <v>230</v>
      </c>
      <c r="G13863" t="s">
        <v>35</v>
      </c>
      <c r="H13863" t="s">
        <v>20</v>
      </c>
      <c r="I13863" t="s">
        <v>26804</v>
      </c>
      <c r="J13863" t="str">
        <f>HYPERLINK("https://www.boe.es/gazeta/dias/1822/10/07/pdfs/GMD-1822-293.pdf#page=2","Abrir facsímil")</f>
        <v>Abrir facsímil</v>
      </c>
      <c r="K13863" t="s">
        <v>22</v>
      </c>
    </row>
    <row r="13864" spans="1:11" ht="42" customHeight="1">
      <c r="A13864" t="s">
        <v>26805</v>
      </c>
      <c r="B13864" t="s">
        <v>26806</v>
      </c>
      <c r="C13864" t="s">
        <v>42</v>
      </c>
      <c r="D13864" t="s">
        <v>17</v>
      </c>
      <c r="E13864" s="6">
        <v>-28477</v>
      </c>
      <c r="F13864" t="s">
        <v>1668</v>
      </c>
      <c r="G13864" t="s">
        <v>19</v>
      </c>
      <c r="H13864" t="s">
        <v>20</v>
      </c>
      <c r="I13864" t="s">
        <v>26807</v>
      </c>
      <c r="J13864" t="str">
        <f>HYPERLINK("https://www.boe.es/gazeta/dias/1822/01/11/pdfs/GMD-1822-11.pdf#page=5","Abrir facsímil")</f>
        <v>Abrir facsímil</v>
      </c>
      <c r="K13864" t="s">
        <v>22</v>
      </c>
    </row>
    <row r="13865" spans="1:11" ht="42" customHeight="1">
      <c r="A13865" t="s">
        <v>26808</v>
      </c>
      <c r="B13865" t="s">
        <v>26808</v>
      </c>
      <c r="C13865" t="s">
        <v>71</v>
      </c>
      <c r="D13865" t="s">
        <v>17</v>
      </c>
      <c r="E13865" s="6">
        <v>-28480</v>
      </c>
      <c r="F13865" t="s">
        <v>995</v>
      </c>
      <c r="G13865" t="s">
        <v>63</v>
      </c>
      <c r="H13865" t="s">
        <v>20</v>
      </c>
      <c r="I13865" t="s">
        <v>26809</v>
      </c>
      <c r="J13865" t="str">
        <f>HYPERLINK("https://www.boe.es/gazeta/dias/1822/01/08/pdfs/GMD-1822-8.pdf#page=6","Abrir facsímil")</f>
        <v>Abrir facsímil</v>
      </c>
      <c r="K13865" t="s">
        <v>22</v>
      </c>
    </row>
    <row r="13866" spans="1:11" ht="42" customHeight="1">
      <c r="A13866" t="s">
        <v>26810</v>
      </c>
      <c r="B13866" t="s">
        <v>26810</v>
      </c>
      <c r="C13866" t="s">
        <v>28</v>
      </c>
      <c r="D13866" t="s">
        <v>29</v>
      </c>
      <c r="E13866" s="6">
        <v>-28329</v>
      </c>
      <c r="F13866" t="s">
        <v>354</v>
      </c>
      <c r="G13866" t="s">
        <v>57</v>
      </c>
      <c r="H13866" t="s">
        <v>20</v>
      </c>
      <c r="I13866" t="s">
        <v>26811</v>
      </c>
      <c r="J13866" t="str">
        <f>HYPERLINK("https://www.boe.es/gazeta/dias/1822/06/08/pdfs/GMD-1822-165.pdf#page=4","Abrir facsímil")</f>
        <v>Abrir facsímil</v>
      </c>
      <c r="K13866" t="s">
        <v>22</v>
      </c>
    </row>
    <row r="13867" spans="1:11" ht="42" customHeight="1">
      <c r="A13867" t="s">
        <v>26812</v>
      </c>
      <c r="B13867" t="s">
        <v>26813</v>
      </c>
      <c r="C13867" t="s">
        <v>50</v>
      </c>
      <c r="D13867" t="s">
        <v>51</v>
      </c>
      <c r="E13867" s="6">
        <v>-28371</v>
      </c>
      <c r="F13867" t="s">
        <v>401</v>
      </c>
      <c r="G13867" t="s">
        <v>19</v>
      </c>
      <c r="H13867" t="s">
        <v>20</v>
      </c>
      <c r="I13867" t="s">
        <v>26814</v>
      </c>
      <c r="J13867" t="str">
        <f>HYPERLINK("https://www.boe.es/gazeta/dias/1822/04/27/pdfs/GMD-1822-119.pdf#page=5","Abrir facsímil")</f>
        <v>Abrir facsímil</v>
      </c>
      <c r="K13867" t="s">
        <v>22</v>
      </c>
    </row>
    <row r="13868" spans="1:11" ht="42" customHeight="1">
      <c r="A13868" t="s">
        <v>26812</v>
      </c>
      <c r="B13868" t="s">
        <v>26813</v>
      </c>
      <c r="C13868" t="s">
        <v>50</v>
      </c>
      <c r="D13868" t="s">
        <v>51</v>
      </c>
      <c r="E13868" s="6">
        <v>-28358</v>
      </c>
      <c r="F13868" t="s">
        <v>211</v>
      </c>
      <c r="G13868" t="s">
        <v>26815</v>
      </c>
      <c r="H13868" t="s">
        <v>20</v>
      </c>
      <c r="I13868" t="s">
        <v>26816</v>
      </c>
      <c r="J13868" t="str">
        <f>HYPERLINK("https://www.boe.es/gazeta/dias/1822/05/10/pdfs/GMD-1822-132.pdf#page=6","Abrir facsímil")</f>
        <v>Abrir facsímil</v>
      </c>
      <c r="K13868" t="s">
        <v>22</v>
      </c>
    </row>
    <row r="13869" spans="1:11" ht="42" customHeight="1">
      <c r="A13869" t="s">
        <v>26817</v>
      </c>
      <c r="B13869" t="s">
        <v>26817</v>
      </c>
      <c r="C13869" t="s">
        <v>50</v>
      </c>
      <c r="D13869" t="s">
        <v>51</v>
      </c>
      <c r="E13869" s="6">
        <v>-28337</v>
      </c>
      <c r="F13869" t="s">
        <v>1836</v>
      </c>
      <c r="G13869" t="s">
        <v>57</v>
      </c>
      <c r="H13869" t="s">
        <v>20</v>
      </c>
      <c r="I13869" t="s">
        <v>26818</v>
      </c>
      <c r="J13869" t="str">
        <f>HYPERLINK("https://www.boe.es/gazeta/dias/1822/05/31/pdfs/GMD-1822-156.pdf#page=4","Abrir facsímil")</f>
        <v>Abrir facsímil</v>
      </c>
      <c r="K13869" t="s">
        <v>22</v>
      </c>
    </row>
    <row r="13870" spans="1:11" ht="42" customHeight="1">
      <c r="A13870" t="s">
        <v>26819</v>
      </c>
      <c r="B13870" t="s">
        <v>26820</v>
      </c>
      <c r="C13870" t="s">
        <v>28</v>
      </c>
      <c r="D13870" t="s">
        <v>29</v>
      </c>
      <c r="E13870" s="6">
        <v>-28154</v>
      </c>
      <c r="F13870" t="s">
        <v>2321</v>
      </c>
      <c r="G13870" t="s">
        <v>44</v>
      </c>
      <c r="H13870" t="s">
        <v>20</v>
      </c>
      <c r="I13870" t="s">
        <v>26821</v>
      </c>
      <c r="J13870" t="str">
        <f>HYPERLINK("https://www.boe.es/gazeta/dias/1822/11/30/pdfs/GMD-1822-350.pdf#page=1","Abrir facsímil")</f>
        <v>Abrir facsímil</v>
      </c>
      <c r="K13870" t="s">
        <v>22</v>
      </c>
    </row>
    <row r="13871" spans="1:11" ht="42" customHeight="1">
      <c r="A13871" t="s">
        <v>26822</v>
      </c>
      <c r="B13871" t="s">
        <v>26822</v>
      </c>
      <c r="C13871" t="s">
        <v>71</v>
      </c>
      <c r="D13871" t="s">
        <v>17</v>
      </c>
      <c r="E13871" s="6">
        <v>-28241</v>
      </c>
      <c r="F13871" t="s">
        <v>3068</v>
      </c>
      <c r="G13871" t="s">
        <v>57</v>
      </c>
      <c r="H13871" t="s">
        <v>20</v>
      </c>
      <c r="I13871" t="s">
        <v>26823</v>
      </c>
      <c r="J13871" t="str">
        <f>HYPERLINK("https://www.boe.es/gazeta/dias/1822/09/04/pdfs/GMD-1822-259.pdf#page=4","Abrir facsímil")</f>
        <v>Abrir facsímil</v>
      </c>
      <c r="K13871" t="s">
        <v>22</v>
      </c>
    </row>
    <row r="13872" spans="1:11" ht="42" customHeight="1">
      <c r="A13872" t="s">
        <v>26824</v>
      </c>
      <c r="B13872" t="s">
        <v>26824</v>
      </c>
      <c r="C13872" t="s">
        <v>28</v>
      </c>
      <c r="D13872" t="s">
        <v>29</v>
      </c>
      <c r="E13872" s="6">
        <v>-28358</v>
      </c>
      <c r="F13872" t="s">
        <v>211</v>
      </c>
      <c r="G13872" t="s">
        <v>57</v>
      </c>
      <c r="H13872" t="s">
        <v>20</v>
      </c>
      <c r="I13872" t="s">
        <v>26825</v>
      </c>
      <c r="J13872" t="str">
        <f>HYPERLINK("https://www.boe.es/gazeta/dias/1822/05/10/pdfs/GMD-1822-132.pdf#page=4","Abrir facsímil")</f>
        <v>Abrir facsímil</v>
      </c>
      <c r="K13872" t="s">
        <v>22</v>
      </c>
    </row>
    <row r="13873" spans="1:11" ht="42" customHeight="1">
      <c r="A13873" t="s">
        <v>26826</v>
      </c>
      <c r="B13873" t="s">
        <v>26827</v>
      </c>
      <c r="C13873" t="s">
        <v>61</v>
      </c>
      <c r="D13873" t="s">
        <v>17</v>
      </c>
      <c r="E13873" s="6">
        <v>-28347</v>
      </c>
      <c r="F13873" t="s">
        <v>520</v>
      </c>
      <c r="G13873" t="s">
        <v>63</v>
      </c>
      <c r="H13873" t="s">
        <v>45</v>
      </c>
      <c r="I13873" t="s">
        <v>26828</v>
      </c>
      <c r="J13873" t="str">
        <f>HYPERLINK("https://www.boe.es/gazeta/dias/1822/05/21/pdfs/GMD-1822-144.pdf#page=6","Abrir facsímil")</f>
        <v>Abrir facsímil</v>
      </c>
      <c r="K13873" t="s">
        <v>47</v>
      </c>
    </row>
    <row r="13874" spans="1:11" ht="42" customHeight="1">
      <c r="A13874" t="s">
        <v>26829</v>
      </c>
      <c r="B13874" t="s">
        <v>26830</v>
      </c>
      <c r="C13874" t="s">
        <v>42</v>
      </c>
      <c r="D13874" t="s">
        <v>17</v>
      </c>
      <c r="E13874" s="6">
        <v>-28213</v>
      </c>
      <c r="F13874" t="s">
        <v>558</v>
      </c>
      <c r="G13874" t="s">
        <v>57</v>
      </c>
      <c r="H13874" t="s">
        <v>20</v>
      </c>
      <c r="I13874" t="s">
        <v>26831</v>
      </c>
      <c r="J13874" t="str">
        <f>HYPERLINK("https://www.boe.es/gazeta/dias/1822/10/02/pdfs/GMD-1822-288.pdf#page=4","Abrir facsímil")</f>
        <v>Abrir facsímil</v>
      </c>
      <c r="K13874" t="s">
        <v>22</v>
      </c>
    </row>
    <row r="13875" spans="1:11" ht="42" customHeight="1">
      <c r="A13875" t="s">
        <v>26832</v>
      </c>
      <c r="B13875" t="s">
        <v>26833</v>
      </c>
      <c r="C13875" t="s">
        <v>61</v>
      </c>
      <c r="D13875" t="s">
        <v>17</v>
      </c>
      <c r="E13875" s="6">
        <v>-28455</v>
      </c>
      <c r="F13875" t="s">
        <v>1107</v>
      </c>
      <c r="G13875" t="s">
        <v>63</v>
      </c>
      <c r="H13875" t="s">
        <v>20</v>
      </c>
      <c r="I13875" t="s">
        <v>26834</v>
      </c>
      <c r="J13875" t="str">
        <f>HYPERLINK("https://www.boe.es/gazeta/dias/1822/02/02/pdfs/GMD-1822-33.pdf#page=6","Abrir facsímil")</f>
        <v>Abrir facsímil</v>
      </c>
      <c r="K13875" t="s">
        <v>22</v>
      </c>
    </row>
    <row r="13876" spans="1:11" ht="42" customHeight="1">
      <c r="A13876" t="s">
        <v>26835</v>
      </c>
      <c r="B13876" t="s">
        <v>26836</v>
      </c>
      <c r="C13876" t="s">
        <v>71</v>
      </c>
      <c r="D13876" t="s">
        <v>17</v>
      </c>
      <c r="E13876" s="6">
        <v>-28123</v>
      </c>
      <c r="F13876" t="s">
        <v>603</v>
      </c>
      <c r="G13876" t="s">
        <v>2642</v>
      </c>
      <c r="H13876" t="s">
        <v>20</v>
      </c>
      <c r="I13876" t="s">
        <v>26837</v>
      </c>
      <c r="J13876" t="str">
        <f>HYPERLINK("https://www.boe.es/gazeta/dias/1822/12/31/pdfs/GMD-1822-381.pdf#page=6","Abrir facsímil")</f>
        <v>Abrir facsímil</v>
      </c>
      <c r="K13876" t="s">
        <v>22</v>
      </c>
    </row>
    <row r="13877" spans="1:11" ht="42" customHeight="1">
      <c r="A13877" t="s">
        <v>26838</v>
      </c>
      <c r="B13877" t="s">
        <v>26839</v>
      </c>
      <c r="C13877" t="s">
        <v>50</v>
      </c>
      <c r="D13877" t="s">
        <v>51</v>
      </c>
      <c r="E13877" s="6">
        <v>-28211</v>
      </c>
      <c r="F13877" t="s">
        <v>273</v>
      </c>
      <c r="G13877" t="s">
        <v>57</v>
      </c>
      <c r="H13877" t="s">
        <v>20</v>
      </c>
      <c r="I13877" t="s">
        <v>26840</v>
      </c>
      <c r="J13877" t="str">
        <f>HYPERLINK("https://www.boe.es/gazeta/dias/1822/10/04/pdfs/GMD-1822-290.pdf#page=4","Abrir facsímil")</f>
        <v>Abrir facsímil</v>
      </c>
      <c r="K13877" t="s">
        <v>22</v>
      </c>
    </row>
    <row r="13878" spans="1:11" ht="42" customHeight="1">
      <c r="A13878" t="s">
        <v>26841</v>
      </c>
      <c r="B13878" t="s">
        <v>26842</v>
      </c>
      <c r="C13878" t="s">
        <v>50</v>
      </c>
      <c r="D13878" t="s">
        <v>51</v>
      </c>
      <c r="E13878" s="6">
        <v>-28123</v>
      </c>
      <c r="F13878" t="s">
        <v>603</v>
      </c>
      <c r="G13878" t="s">
        <v>35</v>
      </c>
      <c r="H13878" t="s">
        <v>20</v>
      </c>
      <c r="I13878" t="s">
        <v>26843</v>
      </c>
      <c r="J13878" t="str">
        <f>HYPERLINK("https://www.boe.es/gazeta/dias/1822/12/31/pdfs/GMD-1822-381.pdf#page=2","Abrir facsímil")</f>
        <v>Abrir facsímil</v>
      </c>
      <c r="K13878" t="s">
        <v>22</v>
      </c>
    </row>
    <row r="13879" spans="1:11" ht="42" customHeight="1">
      <c r="A13879" t="s">
        <v>26844</v>
      </c>
      <c r="B13879" t="s">
        <v>26844</v>
      </c>
      <c r="C13879" t="s">
        <v>50</v>
      </c>
      <c r="D13879" t="s">
        <v>51</v>
      </c>
      <c r="E13879" s="6">
        <v>-28334</v>
      </c>
      <c r="F13879" t="s">
        <v>532</v>
      </c>
      <c r="G13879" t="s">
        <v>44</v>
      </c>
      <c r="H13879" t="s">
        <v>20</v>
      </c>
      <c r="I13879" t="s">
        <v>26845</v>
      </c>
      <c r="J13879" t="str">
        <f>HYPERLINK("https://www.boe.es/gazeta/dias/1822/06/03/pdfs/GMD-1822-159.pdf#page=1","Abrir facsímil")</f>
        <v>Abrir facsímil</v>
      </c>
      <c r="K13879" t="s">
        <v>22</v>
      </c>
    </row>
    <row r="13880" spans="1:11" ht="42" customHeight="1">
      <c r="A13880" t="s">
        <v>26846</v>
      </c>
      <c r="B13880" t="s">
        <v>26847</v>
      </c>
      <c r="C13880" t="s">
        <v>42</v>
      </c>
      <c r="D13880" t="s">
        <v>17</v>
      </c>
      <c r="E13880" s="6">
        <v>-28376</v>
      </c>
      <c r="F13880" t="s">
        <v>500</v>
      </c>
      <c r="G13880" t="s">
        <v>44</v>
      </c>
      <c r="H13880" t="s">
        <v>20</v>
      </c>
      <c r="I13880" t="s">
        <v>26848</v>
      </c>
      <c r="J13880" t="str">
        <f>HYPERLINK("https://www.boe.es/gazeta/dias/1822/04/22/pdfs/GMD-1822-114.pdf#page=1","Abrir facsímil")</f>
        <v>Abrir facsímil</v>
      </c>
      <c r="K13880" t="s">
        <v>22</v>
      </c>
    </row>
    <row r="13881" spans="1:11" ht="42" customHeight="1">
      <c r="A13881" t="s">
        <v>26849</v>
      </c>
      <c r="B13881" t="s">
        <v>26850</v>
      </c>
      <c r="C13881" t="s">
        <v>50</v>
      </c>
      <c r="D13881" t="s">
        <v>51</v>
      </c>
      <c r="E13881" s="6">
        <v>-28367</v>
      </c>
      <c r="F13881" t="s">
        <v>280</v>
      </c>
      <c r="G13881" t="s">
        <v>44</v>
      </c>
      <c r="H13881" t="s">
        <v>20</v>
      </c>
      <c r="I13881" t="s">
        <v>26851</v>
      </c>
      <c r="J13881" t="str">
        <f>HYPERLINK("https://www.boe.es/gazeta/dias/1822/05/01/pdfs/GMD-1822-123.pdf#page=1","Abrir facsímil")</f>
        <v>Abrir facsímil</v>
      </c>
      <c r="K13881" t="s">
        <v>22</v>
      </c>
    </row>
    <row r="13882" spans="1:11" ht="42" customHeight="1">
      <c r="A13882" t="s">
        <v>26852</v>
      </c>
      <c r="B13882" t="s">
        <v>26853</v>
      </c>
      <c r="C13882" t="s">
        <v>42</v>
      </c>
      <c r="D13882" t="s">
        <v>17</v>
      </c>
      <c r="E13882" s="6">
        <v>-28307</v>
      </c>
      <c r="F13882" t="s">
        <v>555</v>
      </c>
      <c r="G13882" t="s">
        <v>871</v>
      </c>
      <c r="H13882" t="s">
        <v>20</v>
      </c>
      <c r="I13882" t="s">
        <v>26854</v>
      </c>
      <c r="J13882" t="str">
        <f>HYPERLINK("https://www.boe.es/gazeta/dias/1822/06/30/pdfs/GMD-1822-188.pdf#page=4","Abrir facsímil")</f>
        <v>Abrir facsímil</v>
      </c>
      <c r="K13882" t="s">
        <v>22</v>
      </c>
    </row>
    <row r="13883" spans="1:11" ht="42" customHeight="1">
      <c r="A13883" t="s">
        <v>26855</v>
      </c>
      <c r="B13883" t="s">
        <v>26856</v>
      </c>
      <c r="C13883" t="s">
        <v>16</v>
      </c>
      <c r="D13883" t="s">
        <v>17</v>
      </c>
      <c r="E13883" s="6">
        <v>-28339</v>
      </c>
      <c r="F13883" t="s">
        <v>197</v>
      </c>
      <c r="G13883" t="s">
        <v>63</v>
      </c>
      <c r="H13883" t="s">
        <v>20</v>
      </c>
      <c r="I13883" t="s">
        <v>26857</v>
      </c>
      <c r="J13883" t="str">
        <f>HYPERLINK("https://www.boe.es/gazeta/dias/1822/05/29/pdfs/GMD-1822-154.pdf#page=6","Abrir facsímil")</f>
        <v>Abrir facsímil</v>
      </c>
      <c r="K13883" t="s">
        <v>22</v>
      </c>
    </row>
    <row r="13884" spans="1:11" ht="42" customHeight="1">
      <c r="A13884" t="s">
        <v>26858</v>
      </c>
      <c r="B13884" t="s">
        <v>26859</v>
      </c>
      <c r="C13884" t="s">
        <v>42</v>
      </c>
      <c r="D13884" t="s">
        <v>17</v>
      </c>
      <c r="E13884" s="6">
        <v>-28475</v>
      </c>
      <c r="F13884" t="s">
        <v>1205</v>
      </c>
      <c r="G13884" t="s">
        <v>63</v>
      </c>
      <c r="H13884" t="s">
        <v>20</v>
      </c>
      <c r="I13884" t="s">
        <v>26860</v>
      </c>
      <c r="J13884" t="str">
        <f>HYPERLINK("https://www.boe.es/gazeta/dias/1822/01/13/pdfs/GMD-1822-13.pdf#page=6","Abrir facsímil")</f>
        <v>Abrir facsímil</v>
      </c>
      <c r="K13884" t="s">
        <v>22</v>
      </c>
    </row>
    <row r="13885" spans="1:11" ht="42" customHeight="1">
      <c r="A13885" t="s">
        <v>26861</v>
      </c>
      <c r="B13885" t="s">
        <v>26862</v>
      </c>
      <c r="C13885" t="s">
        <v>24</v>
      </c>
      <c r="D13885" t="s">
        <v>17</v>
      </c>
      <c r="E13885" s="6">
        <v>-28258</v>
      </c>
      <c r="F13885" t="s">
        <v>88</v>
      </c>
      <c r="G13885" t="s">
        <v>31</v>
      </c>
      <c r="H13885" t="s">
        <v>20</v>
      </c>
      <c r="I13885" t="s">
        <v>26863</v>
      </c>
      <c r="J13885" t="str">
        <f>HYPERLINK("https://www.boe.es/gazeta/dias/1822/08/18/pdfs/GMD-1822-242.pdf#page=3","Abrir facsímil")</f>
        <v>Abrir facsímil</v>
      </c>
      <c r="K13885" t="s">
        <v>22</v>
      </c>
    </row>
    <row r="13886" spans="1:11" ht="42" customHeight="1">
      <c r="A13886" t="s">
        <v>26864</v>
      </c>
      <c r="B13886" t="s">
        <v>26865</v>
      </c>
      <c r="C13886" t="s">
        <v>50</v>
      </c>
      <c r="D13886" t="s">
        <v>51</v>
      </c>
      <c r="E13886" s="6">
        <v>-28315</v>
      </c>
      <c r="F13886" t="s">
        <v>1220</v>
      </c>
      <c r="G13886" t="s">
        <v>63</v>
      </c>
      <c r="H13886" t="s">
        <v>20</v>
      </c>
      <c r="I13886" t="s">
        <v>26866</v>
      </c>
      <c r="J13886" t="str">
        <f>HYPERLINK("https://www.boe.es/gazeta/dias/1822/06/22/pdfs/GMD-1822-180.pdf#page=6","Abrir facsímil")</f>
        <v>Abrir facsímil</v>
      </c>
      <c r="K13886" t="s">
        <v>22</v>
      </c>
    </row>
    <row r="13887" spans="1:11" ht="42" customHeight="1">
      <c r="A13887" t="s">
        <v>26867</v>
      </c>
      <c r="B13887" t="s">
        <v>26868</v>
      </c>
      <c r="C13887" t="s">
        <v>42</v>
      </c>
      <c r="D13887" t="s">
        <v>17</v>
      </c>
      <c r="E13887" s="6">
        <v>-28125</v>
      </c>
      <c r="F13887" t="s">
        <v>322</v>
      </c>
      <c r="G13887" t="s">
        <v>63</v>
      </c>
      <c r="H13887" t="s">
        <v>20</v>
      </c>
      <c r="I13887" t="s">
        <v>26869</v>
      </c>
      <c r="J13887" t="str">
        <f>HYPERLINK("https://www.boe.es/gazeta/dias/1822/12/29/pdfs/GMD-1822-379.pdf#page=6","Abrir facsímil")</f>
        <v>Abrir facsímil</v>
      </c>
      <c r="K13887" t="s">
        <v>22</v>
      </c>
    </row>
    <row r="13888" spans="1:11" ht="42" customHeight="1">
      <c r="A13888" t="s">
        <v>26870</v>
      </c>
      <c r="B13888" t="s">
        <v>26871</v>
      </c>
      <c r="C13888" t="s">
        <v>50</v>
      </c>
      <c r="D13888" t="s">
        <v>51</v>
      </c>
      <c r="E13888" s="6">
        <v>-28153</v>
      </c>
      <c r="F13888" t="s">
        <v>946</v>
      </c>
      <c r="G13888" t="s">
        <v>63</v>
      </c>
      <c r="H13888" t="s">
        <v>20</v>
      </c>
      <c r="I13888" t="s">
        <v>26872</v>
      </c>
      <c r="J13888" t="str">
        <f>HYPERLINK("https://www.boe.es/gazeta/dias/1822/12/01/pdfs/GMD-1822-351.pdf#page=6","Abrir facsímil")</f>
        <v>Abrir facsímil</v>
      </c>
      <c r="K13888" t="s">
        <v>22</v>
      </c>
    </row>
    <row r="13889" spans="1:11" ht="42" customHeight="1">
      <c r="A13889" t="s">
        <v>26873</v>
      </c>
      <c r="B13889" t="s">
        <v>26874</v>
      </c>
      <c r="C13889" t="s">
        <v>42</v>
      </c>
      <c r="D13889" t="s">
        <v>17</v>
      </c>
      <c r="E13889" s="6">
        <v>-28287</v>
      </c>
      <c r="F13889" t="s">
        <v>1295</v>
      </c>
      <c r="G13889" t="s">
        <v>63</v>
      </c>
      <c r="H13889" t="s">
        <v>20</v>
      </c>
      <c r="I13889" t="s">
        <v>26875</v>
      </c>
      <c r="J13889" t="str">
        <f>HYPERLINK("https://www.boe.es/gazeta/dias/1822/07/20/pdfs/GMD-1822-212.pdf#page=6","Abrir facsímil")</f>
        <v>Abrir facsímil</v>
      </c>
      <c r="K13889" t="s">
        <v>22</v>
      </c>
    </row>
    <row r="13890" spans="1:11" ht="42" customHeight="1">
      <c r="A13890" t="s">
        <v>26876</v>
      </c>
      <c r="B13890" t="s">
        <v>26877</v>
      </c>
      <c r="C13890" t="s">
        <v>42</v>
      </c>
      <c r="D13890" t="s">
        <v>17</v>
      </c>
      <c r="E13890" s="6">
        <v>-28270</v>
      </c>
      <c r="F13890" t="s">
        <v>130</v>
      </c>
      <c r="G13890" t="s">
        <v>31</v>
      </c>
      <c r="H13890" t="s">
        <v>20</v>
      </c>
      <c r="I13890" t="s">
        <v>26878</v>
      </c>
      <c r="J13890" t="str">
        <f>HYPERLINK("https://www.boe.es/gazeta/dias/1822/08/06/pdfs/GMD-1822-230.pdf#page=3","Abrir facsímil")</f>
        <v>Abrir facsímil</v>
      </c>
      <c r="K13890" t="s">
        <v>22</v>
      </c>
    </row>
    <row r="13891" spans="1:11" ht="42" customHeight="1">
      <c r="A13891" t="s">
        <v>26879</v>
      </c>
      <c r="B13891" t="s">
        <v>26880</v>
      </c>
      <c r="C13891" t="s">
        <v>362</v>
      </c>
      <c r="D13891" t="s">
        <v>17</v>
      </c>
      <c r="E13891" s="6">
        <v>-28276</v>
      </c>
      <c r="F13891" t="s">
        <v>4746</v>
      </c>
      <c r="G13891" t="s">
        <v>35</v>
      </c>
      <c r="H13891" t="s">
        <v>20</v>
      </c>
      <c r="I13891" t="s">
        <v>26881</v>
      </c>
      <c r="J13891" t="str">
        <f>HYPERLINK("https://www.boe.es/gazeta/dias/1822/07/31/pdfs/GMD-1822-224.pdf#page=2","Abrir facsímil")</f>
        <v>Abrir facsímil</v>
      </c>
      <c r="K13891" t="s">
        <v>22</v>
      </c>
    </row>
    <row r="13892" spans="1:11" ht="42" customHeight="1">
      <c r="A13892" t="s">
        <v>26882</v>
      </c>
      <c r="B13892" t="s">
        <v>26883</v>
      </c>
      <c r="C13892" t="s">
        <v>50</v>
      </c>
      <c r="D13892" t="s">
        <v>51</v>
      </c>
      <c r="E13892" s="6">
        <v>-28207</v>
      </c>
      <c r="F13892" t="s">
        <v>1325</v>
      </c>
      <c r="G13892" t="s">
        <v>35</v>
      </c>
      <c r="H13892" t="s">
        <v>20</v>
      </c>
      <c r="I13892" t="s">
        <v>26884</v>
      </c>
      <c r="J13892" t="str">
        <f>HYPERLINK("https://www.boe.es/gazeta/dias/1822/10/08/pdfs/GMD-1822-295.pdf#page=2","Abrir facsímil")</f>
        <v>Abrir facsímil</v>
      </c>
      <c r="K13892" t="s">
        <v>22</v>
      </c>
    </row>
    <row r="13893" spans="1:11" ht="42" customHeight="1">
      <c r="A13893" t="s">
        <v>26885</v>
      </c>
      <c r="B13893" t="s">
        <v>26885</v>
      </c>
      <c r="C13893" t="s">
        <v>42</v>
      </c>
      <c r="D13893" t="s">
        <v>17</v>
      </c>
      <c r="E13893" s="6">
        <v>-28323</v>
      </c>
      <c r="F13893" t="s">
        <v>116</v>
      </c>
      <c r="G13893" t="s">
        <v>31</v>
      </c>
      <c r="H13893" t="s">
        <v>20</v>
      </c>
      <c r="I13893" t="s">
        <v>26886</v>
      </c>
      <c r="J13893" t="str">
        <f>HYPERLINK("https://www.boe.es/gazeta/dias/1822/06/14/pdfs/GMD-1822-171.pdf#page=3","Abrir facsímil")</f>
        <v>Abrir facsímil</v>
      </c>
      <c r="K13893" t="s">
        <v>22</v>
      </c>
    </row>
    <row r="13894" spans="1:11" ht="42" customHeight="1">
      <c r="A13894" t="s">
        <v>26887</v>
      </c>
      <c r="B13894" t="s">
        <v>26887</v>
      </c>
      <c r="C13894" t="s">
        <v>42</v>
      </c>
      <c r="D13894" t="s">
        <v>17</v>
      </c>
      <c r="E13894" s="6">
        <v>-28337</v>
      </c>
      <c r="F13894" t="s">
        <v>1836</v>
      </c>
      <c r="G13894" t="s">
        <v>31</v>
      </c>
      <c r="H13894" t="s">
        <v>20</v>
      </c>
      <c r="I13894" t="s">
        <v>26888</v>
      </c>
      <c r="J13894" t="str">
        <f>HYPERLINK("https://www.boe.es/gazeta/dias/1822/05/31/pdfs/GMD-1822-156.pdf#page=3","Abrir facsímil")</f>
        <v>Abrir facsímil</v>
      </c>
      <c r="K13894" t="s">
        <v>22</v>
      </c>
    </row>
    <row r="13895" spans="1:11" ht="42" customHeight="1">
      <c r="A13895" t="s">
        <v>26889</v>
      </c>
      <c r="B13895" t="s">
        <v>26889</v>
      </c>
      <c r="C13895" t="s">
        <v>50</v>
      </c>
      <c r="D13895" t="s">
        <v>51</v>
      </c>
      <c r="E13895" s="6">
        <v>-28474</v>
      </c>
      <c r="F13895" t="s">
        <v>30</v>
      </c>
      <c r="G13895" t="s">
        <v>31</v>
      </c>
      <c r="H13895" t="s">
        <v>20</v>
      </c>
      <c r="I13895" t="s">
        <v>26890</v>
      </c>
      <c r="J13895" t="str">
        <f>HYPERLINK("https://www.boe.es/gazeta/dias/1822/01/14/pdfs/GMD-1822-14.pdf#page=3","Abrir facsímil")</f>
        <v>Abrir facsímil</v>
      </c>
      <c r="K13895" t="s">
        <v>22</v>
      </c>
    </row>
    <row r="13896" spans="1:11" ht="42" customHeight="1">
      <c r="A13896" t="s">
        <v>26889</v>
      </c>
      <c r="B13896" t="s">
        <v>26889</v>
      </c>
      <c r="C13896" t="s">
        <v>50</v>
      </c>
      <c r="D13896" t="s">
        <v>51</v>
      </c>
      <c r="E13896" s="6">
        <v>-28284</v>
      </c>
      <c r="F13896" t="s">
        <v>6484</v>
      </c>
      <c r="G13896" t="s">
        <v>35</v>
      </c>
      <c r="H13896" t="s">
        <v>20</v>
      </c>
      <c r="I13896" t="s">
        <v>26891</v>
      </c>
      <c r="J13896" t="str">
        <f>HYPERLINK("https://www.boe.es/gazeta/dias/1822/07/23/pdfs/GMD-1822-216.pdf#page=2","Abrir facsímil")</f>
        <v>Abrir facsímil</v>
      </c>
      <c r="K13896" t="s">
        <v>22</v>
      </c>
    </row>
    <row r="13897" spans="1:11" ht="42" customHeight="1">
      <c r="A13897" t="s">
        <v>26889</v>
      </c>
      <c r="B13897" t="s">
        <v>26889</v>
      </c>
      <c r="C13897" t="s">
        <v>50</v>
      </c>
      <c r="D13897" t="s">
        <v>51</v>
      </c>
      <c r="E13897" s="6">
        <v>-28125</v>
      </c>
      <c r="F13897" t="s">
        <v>322</v>
      </c>
      <c r="G13897" t="s">
        <v>44</v>
      </c>
      <c r="H13897" t="s">
        <v>20</v>
      </c>
      <c r="I13897" t="s">
        <v>26892</v>
      </c>
      <c r="J13897" t="str">
        <f>HYPERLINK("https://www.boe.es/gazeta/dias/1822/12/29/pdfs/GMD-1822-379.pdf#page=1","Abrir facsímil")</f>
        <v>Abrir facsímil</v>
      </c>
      <c r="K13897" t="s">
        <v>22</v>
      </c>
    </row>
    <row r="13898" spans="1:11" ht="42" customHeight="1">
      <c r="A13898" t="s">
        <v>26893</v>
      </c>
      <c r="B13898" t="s">
        <v>26894</v>
      </c>
      <c r="C13898" t="s">
        <v>28</v>
      </c>
      <c r="D13898" t="s">
        <v>29</v>
      </c>
      <c r="E13898" s="6">
        <v>-28162</v>
      </c>
      <c r="F13898" t="s">
        <v>3949</v>
      </c>
      <c r="G13898" t="s">
        <v>19</v>
      </c>
      <c r="H13898" t="s">
        <v>20</v>
      </c>
      <c r="I13898" t="s">
        <v>26895</v>
      </c>
      <c r="J13898" t="str">
        <f>HYPERLINK("https://www.boe.es/gazeta/dias/1822/11/22/pdfs/GMD-1822-342.pdf#page=5","Abrir facsímil")</f>
        <v>Abrir facsímil</v>
      </c>
      <c r="K13898" t="s">
        <v>22</v>
      </c>
    </row>
    <row r="13899" spans="1:11" ht="42" customHeight="1">
      <c r="A13899" t="s">
        <v>26896</v>
      </c>
      <c r="B13899" t="s">
        <v>26897</v>
      </c>
      <c r="C13899" t="s">
        <v>28</v>
      </c>
      <c r="D13899" t="s">
        <v>29</v>
      </c>
      <c r="E13899" s="6">
        <v>-28287</v>
      </c>
      <c r="F13899" t="s">
        <v>1295</v>
      </c>
      <c r="G13899" t="s">
        <v>63</v>
      </c>
      <c r="H13899" t="s">
        <v>20</v>
      </c>
      <c r="I13899" t="s">
        <v>26898</v>
      </c>
      <c r="J13899" t="str">
        <f>HYPERLINK("https://www.boe.es/gazeta/dias/1822/07/20/pdfs/GMD-1822-212.pdf#page=6","Abrir facsímil")</f>
        <v>Abrir facsímil</v>
      </c>
      <c r="K13899" t="s">
        <v>22</v>
      </c>
    </row>
    <row r="13900" spans="1:11" ht="42" customHeight="1">
      <c r="A13900" t="s">
        <v>26899</v>
      </c>
      <c r="B13900" t="s">
        <v>26900</v>
      </c>
      <c r="C13900" t="s">
        <v>42</v>
      </c>
      <c r="D13900" t="s">
        <v>17</v>
      </c>
      <c r="E13900" s="6">
        <v>-28131</v>
      </c>
      <c r="F13900" t="s">
        <v>893</v>
      </c>
      <c r="G13900" t="s">
        <v>57</v>
      </c>
      <c r="H13900" t="s">
        <v>20</v>
      </c>
      <c r="I13900" t="s">
        <v>26901</v>
      </c>
      <c r="J13900" t="str">
        <f>HYPERLINK("https://www.boe.es/gazeta/dias/1822/12/23/pdfs/GMD-1822-373.pdf#page=4","Abrir facsímil")</f>
        <v>Abrir facsímil</v>
      </c>
      <c r="K13900" t="s">
        <v>22</v>
      </c>
    </row>
    <row r="13901" spans="1:11" ht="42" customHeight="1">
      <c r="A13901" t="s">
        <v>26902</v>
      </c>
      <c r="B13901" t="s">
        <v>26902</v>
      </c>
      <c r="C13901" t="s">
        <v>28</v>
      </c>
      <c r="D13901" t="s">
        <v>29</v>
      </c>
      <c r="E13901" s="6">
        <v>-28296</v>
      </c>
      <c r="F13901" t="s">
        <v>4121</v>
      </c>
      <c r="G13901" t="s">
        <v>44</v>
      </c>
      <c r="H13901" t="s">
        <v>20</v>
      </c>
      <c r="I13901" t="s">
        <v>26903</v>
      </c>
      <c r="J13901" t="str">
        <f>HYPERLINK("https://www.boe.es/gazeta/dias/1822/07/11/pdfs/GMD-1822-201.pdf#page=1","Abrir facsímil")</f>
        <v>Abrir facsímil</v>
      </c>
      <c r="K13901" t="s">
        <v>22</v>
      </c>
    </row>
    <row r="13902" spans="1:11" ht="42" customHeight="1">
      <c r="A13902" t="s">
        <v>26904</v>
      </c>
      <c r="B13902" t="s">
        <v>26904</v>
      </c>
      <c r="C13902" t="s">
        <v>28</v>
      </c>
      <c r="D13902" t="s">
        <v>29</v>
      </c>
      <c r="E13902" s="6">
        <v>-28370</v>
      </c>
      <c r="F13902" t="s">
        <v>207</v>
      </c>
      <c r="G13902" t="s">
        <v>63</v>
      </c>
      <c r="H13902" t="s">
        <v>20</v>
      </c>
      <c r="I13902" t="s">
        <v>26905</v>
      </c>
      <c r="J13902" t="str">
        <f>HYPERLINK("https://www.boe.es/gazeta/dias/1822/04/28/pdfs/GMD-1822-120.pdf#page=6","Abrir facsímil")</f>
        <v>Abrir facsímil</v>
      </c>
      <c r="K13902" t="s">
        <v>22</v>
      </c>
    </row>
    <row r="13903" spans="1:11" ht="42" customHeight="1">
      <c r="A13903" t="s">
        <v>26906</v>
      </c>
      <c r="B13903" t="s">
        <v>26906</v>
      </c>
      <c r="C13903" t="s">
        <v>50</v>
      </c>
      <c r="D13903" t="s">
        <v>51</v>
      </c>
      <c r="E13903" s="6">
        <v>-28264</v>
      </c>
      <c r="F13903" t="s">
        <v>1329</v>
      </c>
      <c r="G13903" t="s">
        <v>31</v>
      </c>
      <c r="H13903" t="s">
        <v>20</v>
      </c>
      <c r="I13903" t="s">
        <v>26907</v>
      </c>
      <c r="J13903" t="str">
        <f>HYPERLINK("https://www.boe.es/gazeta/dias/1822/08/12/pdfs/GMD-1822-236.pdf#page=3","Abrir facsímil")</f>
        <v>Abrir facsímil</v>
      </c>
      <c r="K13903" t="s">
        <v>22</v>
      </c>
    </row>
    <row r="13904" spans="1:11" ht="42" customHeight="1">
      <c r="A13904" t="s">
        <v>26908</v>
      </c>
      <c r="B13904" t="s">
        <v>26908</v>
      </c>
      <c r="C13904" t="s">
        <v>50</v>
      </c>
      <c r="D13904" t="s">
        <v>51</v>
      </c>
      <c r="E13904" s="6">
        <v>-28245</v>
      </c>
      <c r="F13904" t="s">
        <v>2307</v>
      </c>
      <c r="G13904" t="s">
        <v>35</v>
      </c>
      <c r="H13904" t="s">
        <v>20</v>
      </c>
      <c r="I13904" t="s">
        <v>26909</v>
      </c>
      <c r="J13904" t="str">
        <f>HYPERLINK("https://www.boe.es/gazeta/dias/1822/08/31/pdfs/GMD-1822-255.pdf#page=2","Abrir facsímil")</f>
        <v>Abrir facsímil</v>
      </c>
      <c r="K13904" t="s">
        <v>22</v>
      </c>
    </row>
    <row r="13905" spans="1:11" ht="42" customHeight="1">
      <c r="A13905" t="s">
        <v>26910</v>
      </c>
      <c r="B13905" t="s">
        <v>26911</v>
      </c>
      <c r="C13905" t="s">
        <v>50</v>
      </c>
      <c r="D13905" t="s">
        <v>51</v>
      </c>
      <c r="E13905" s="6">
        <v>-28368</v>
      </c>
      <c r="F13905" t="s">
        <v>126</v>
      </c>
      <c r="G13905" t="s">
        <v>44</v>
      </c>
      <c r="H13905" t="s">
        <v>20</v>
      </c>
      <c r="I13905" t="s">
        <v>26912</v>
      </c>
      <c r="J13905" t="str">
        <f>HYPERLINK("https://www.boe.es/gazeta/dias/1822/04/30/pdfs/GMD-1822-122.pdf#page=1","Abrir facsímil")</f>
        <v>Abrir facsímil</v>
      </c>
      <c r="K13905" t="s">
        <v>22</v>
      </c>
    </row>
    <row r="13906" spans="1:11" ht="42" customHeight="1">
      <c r="A13906" t="s">
        <v>26913</v>
      </c>
      <c r="B13906" t="s">
        <v>26913</v>
      </c>
      <c r="C13906" t="s">
        <v>24</v>
      </c>
      <c r="D13906" t="s">
        <v>17</v>
      </c>
      <c r="E13906" s="6">
        <v>-28265</v>
      </c>
      <c r="F13906" t="s">
        <v>1263</v>
      </c>
      <c r="G13906" t="s">
        <v>35</v>
      </c>
      <c r="H13906" t="s">
        <v>20</v>
      </c>
      <c r="I13906" t="s">
        <v>26914</v>
      </c>
      <c r="J13906" t="str">
        <f>HYPERLINK("https://www.boe.es/gazeta/dias/1822/08/11/pdfs/GMD-1822-235.pdf#page=2","Abrir facsímil")</f>
        <v>Abrir facsímil</v>
      </c>
      <c r="K13906" t="s">
        <v>22</v>
      </c>
    </row>
    <row r="13907" spans="1:11" ht="42" customHeight="1">
      <c r="A13907" t="s">
        <v>26915</v>
      </c>
      <c r="B13907" t="s">
        <v>26916</v>
      </c>
      <c r="C13907" t="s">
        <v>42</v>
      </c>
      <c r="D13907" t="s">
        <v>17</v>
      </c>
      <c r="E13907" s="6">
        <v>-28241</v>
      </c>
      <c r="F13907" t="s">
        <v>3068</v>
      </c>
      <c r="G13907" t="s">
        <v>57</v>
      </c>
      <c r="H13907" t="s">
        <v>20</v>
      </c>
      <c r="I13907" t="s">
        <v>26917</v>
      </c>
      <c r="J13907" t="str">
        <f>HYPERLINK("https://www.boe.es/gazeta/dias/1822/09/04/pdfs/GMD-1822-259.pdf#page=4","Abrir facsímil")</f>
        <v>Abrir facsímil</v>
      </c>
      <c r="K13907" t="s">
        <v>22</v>
      </c>
    </row>
    <row r="13908" spans="1:11" ht="42" customHeight="1">
      <c r="A13908" t="s">
        <v>26915</v>
      </c>
      <c r="B13908" t="s">
        <v>26916</v>
      </c>
      <c r="C13908" t="s">
        <v>16</v>
      </c>
      <c r="D13908" t="s">
        <v>17</v>
      </c>
      <c r="E13908" s="6">
        <v>-28135</v>
      </c>
      <c r="F13908" t="s">
        <v>1030</v>
      </c>
      <c r="G13908" t="s">
        <v>57</v>
      </c>
      <c r="H13908" t="s">
        <v>20</v>
      </c>
      <c r="I13908" t="s">
        <v>26918</v>
      </c>
      <c r="J13908" t="str">
        <f>HYPERLINK("https://www.boe.es/gazeta/dias/1822/12/19/pdfs/GMD-1822-369.pdf#page=4","Abrir facsímil")</f>
        <v>Abrir facsímil</v>
      </c>
      <c r="K13908" t="s">
        <v>22</v>
      </c>
    </row>
    <row r="13909" spans="1:11" ht="42" customHeight="1">
      <c r="A13909" t="s">
        <v>26919</v>
      </c>
      <c r="B13909" t="s">
        <v>26920</v>
      </c>
      <c r="C13909" t="s">
        <v>42</v>
      </c>
      <c r="D13909" t="s">
        <v>17</v>
      </c>
      <c r="E13909" s="6">
        <v>-28200</v>
      </c>
      <c r="F13909" t="s">
        <v>1037</v>
      </c>
      <c r="G13909" t="s">
        <v>63</v>
      </c>
      <c r="H13909" t="s">
        <v>20</v>
      </c>
      <c r="I13909" t="s">
        <v>26921</v>
      </c>
      <c r="J13909" t="str">
        <f>HYPERLINK("https://www.boe.es/gazeta/dias/1822/10/15/pdfs/GMD-1822-302.pdf#page=6","Abrir facsímil")</f>
        <v>Abrir facsímil</v>
      </c>
      <c r="K13909" t="s">
        <v>22</v>
      </c>
    </row>
    <row r="13910" spans="1:11" ht="42" customHeight="1">
      <c r="A13910" t="s">
        <v>26922</v>
      </c>
      <c r="B13910" t="s">
        <v>26923</v>
      </c>
      <c r="C13910" t="s">
        <v>50</v>
      </c>
      <c r="D13910" t="s">
        <v>51</v>
      </c>
      <c r="E13910" s="6">
        <v>-28238</v>
      </c>
      <c r="F13910" t="s">
        <v>2077</v>
      </c>
      <c r="G13910" t="s">
        <v>44</v>
      </c>
      <c r="H13910" t="s">
        <v>20</v>
      </c>
      <c r="I13910" t="s">
        <v>26924</v>
      </c>
      <c r="J13910" t="str">
        <f>HYPERLINK("https://www.boe.es/gazeta/dias/1822/09/07/pdfs/GMD-1822-262.pdf#page=1","Abrir facsímil")</f>
        <v>Abrir facsímil</v>
      </c>
      <c r="K13910" t="s">
        <v>22</v>
      </c>
    </row>
    <row r="13911" spans="1:11" ht="42" customHeight="1">
      <c r="A13911" t="s">
        <v>26925</v>
      </c>
      <c r="B13911" t="s">
        <v>26926</v>
      </c>
      <c r="C13911" t="s">
        <v>50</v>
      </c>
      <c r="D13911" t="s">
        <v>51</v>
      </c>
      <c r="E13911" s="6">
        <v>-28245</v>
      </c>
      <c r="F13911" t="s">
        <v>2307</v>
      </c>
      <c r="G13911" t="s">
        <v>35</v>
      </c>
      <c r="H13911" t="s">
        <v>20</v>
      </c>
      <c r="I13911" t="s">
        <v>26927</v>
      </c>
      <c r="J13911" t="str">
        <f>HYPERLINK("https://www.boe.es/gazeta/dias/1822/08/31/pdfs/GMD-1822-255.pdf#page=2","Abrir facsímil")</f>
        <v>Abrir facsímil</v>
      </c>
      <c r="K13911" t="s">
        <v>22</v>
      </c>
    </row>
    <row r="13912" spans="1:11" ht="42" customHeight="1">
      <c r="A13912" t="s">
        <v>26928</v>
      </c>
      <c r="B13912" t="s">
        <v>26929</v>
      </c>
      <c r="C13912" t="s">
        <v>50</v>
      </c>
      <c r="D13912" t="s">
        <v>51</v>
      </c>
      <c r="E13912" s="6">
        <v>-28349</v>
      </c>
      <c r="F13912" t="s">
        <v>518</v>
      </c>
      <c r="G13912" t="s">
        <v>57</v>
      </c>
      <c r="H13912" t="s">
        <v>20</v>
      </c>
      <c r="I13912" t="s">
        <v>26930</v>
      </c>
      <c r="J13912" t="str">
        <f>HYPERLINK("https://www.boe.es/gazeta/dias/1822/05/19/pdfs/GMD-1822-141.pdf#page=4","Abrir facsímil")</f>
        <v>Abrir facsímil</v>
      </c>
      <c r="K13912" t="s">
        <v>22</v>
      </c>
    </row>
    <row r="13913" spans="1:11" ht="42" customHeight="1">
      <c r="A13913" t="s">
        <v>26931</v>
      </c>
      <c r="B13913" t="s">
        <v>26931</v>
      </c>
      <c r="C13913" t="s">
        <v>50</v>
      </c>
      <c r="D13913" t="s">
        <v>51</v>
      </c>
      <c r="E13913" s="6">
        <v>-28245</v>
      </c>
      <c r="F13913" t="s">
        <v>2307</v>
      </c>
      <c r="G13913" t="s">
        <v>35</v>
      </c>
      <c r="H13913" t="s">
        <v>20</v>
      </c>
      <c r="I13913" t="s">
        <v>26932</v>
      </c>
      <c r="J13913" t="str">
        <f>HYPERLINK("https://www.boe.es/gazeta/dias/1822/08/31/pdfs/GMD-1822-255.pdf#page=2","Abrir facsímil")</f>
        <v>Abrir facsímil</v>
      </c>
      <c r="K13913" t="s">
        <v>22</v>
      </c>
    </row>
    <row r="13914" spans="1:11" ht="42" customHeight="1">
      <c r="A13914" t="s">
        <v>26931</v>
      </c>
      <c r="B13914" t="s">
        <v>26931</v>
      </c>
      <c r="C13914" t="s">
        <v>50</v>
      </c>
      <c r="D13914" t="s">
        <v>51</v>
      </c>
      <c r="E13914" s="6">
        <v>-28231</v>
      </c>
      <c r="F13914" t="s">
        <v>2049</v>
      </c>
      <c r="G13914" t="s">
        <v>44</v>
      </c>
      <c r="H13914" t="s">
        <v>20</v>
      </c>
      <c r="I13914" t="s">
        <v>26933</v>
      </c>
      <c r="J13914" t="str">
        <f>HYPERLINK("https://www.boe.es/gazeta/dias/1822/09/14/pdfs/GMD-1822-270.pdf#page=1","Abrir facsímil")</f>
        <v>Abrir facsímil</v>
      </c>
      <c r="K13914" t="s">
        <v>22</v>
      </c>
    </row>
    <row r="13915" spans="1:11" ht="42" customHeight="1">
      <c r="A13915" t="s">
        <v>26931</v>
      </c>
      <c r="B13915" t="s">
        <v>26931</v>
      </c>
      <c r="C13915" t="s">
        <v>24</v>
      </c>
      <c r="D13915" t="s">
        <v>17</v>
      </c>
      <c r="E13915" s="6">
        <v>-28212</v>
      </c>
      <c r="F13915" t="s">
        <v>560</v>
      </c>
      <c r="G13915" t="s">
        <v>57</v>
      </c>
      <c r="H13915" t="s">
        <v>20</v>
      </c>
      <c r="I13915" t="s">
        <v>26934</v>
      </c>
      <c r="J13915" t="str">
        <f>HYPERLINK("https://www.boe.es/gazeta/dias/1822/10/03/pdfs/GMD-1822-289.pdf#page=4","Abrir facsímil")</f>
        <v>Abrir facsímil</v>
      </c>
      <c r="K13915" t="s">
        <v>22</v>
      </c>
    </row>
    <row r="13916" spans="1:11" ht="42" customHeight="1">
      <c r="A13916" t="s">
        <v>26935</v>
      </c>
      <c r="B13916" t="s">
        <v>26936</v>
      </c>
      <c r="C13916" t="s">
        <v>50</v>
      </c>
      <c r="D13916" t="s">
        <v>51</v>
      </c>
      <c r="E13916" s="6">
        <v>-28234</v>
      </c>
      <c r="F13916" t="s">
        <v>1331</v>
      </c>
      <c r="G13916" t="s">
        <v>35</v>
      </c>
      <c r="H13916" t="s">
        <v>20</v>
      </c>
      <c r="I13916" t="s">
        <v>26937</v>
      </c>
      <c r="J13916" t="str">
        <f>HYPERLINK("https://www.boe.es/gazeta/dias/1822/09/11/pdfs/GMD-1822-267.pdf#page=2","Abrir facsímil")</f>
        <v>Abrir facsímil</v>
      </c>
      <c r="K13916" t="s">
        <v>22</v>
      </c>
    </row>
    <row r="13917" spans="1:11" ht="42" customHeight="1">
      <c r="A13917" t="s">
        <v>26935</v>
      </c>
      <c r="B13917" t="s">
        <v>26936</v>
      </c>
      <c r="C13917" t="s">
        <v>50</v>
      </c>
      <c r="D13917" t="s">
        <v>51</v>
      </c>
      <c r="E13917" s="6">
        <v>-28192</v>
      </c>
      <c r="F13917" t="s">
        <v>43</v>
      </c>
      <c r="G13917" t="s">
        <v>35</v>
      </c>
      <c r="H13917" t="s">
        <v>20</v>
      </c>
      <c r="I13917" t="s">
        <v>26938</v>
      </c>
      <c r="J13917" t="str">
        <f>HYPERLINK("https://www.boe.es/gazeta/dias/1822/10/23/pdfs/GMD-1822-310.pdf#page=2","Abrir facsímil")</f>
        <v>Abrir facsímil</v>
      </c>
      <c r="K13917" t="s">
        <v>22</v>
      </c>
    </row>
    <row r="13918" spans="1:11" ht="42" customHeight="1">
      <c r="A13918" t="s">
        <v>26939</v>
      </c>
      <c r="B13918" t="s">
        <v>26940</v>
      </c>
      <c r="C13918" t="s">
        <v>50</v>
      </c>
      <c r="D13918" t="s">
        <v>51</v>
      </c>
      <c r="E13918" s="6">
        <v>-28238</v>
      </c>
      <c r="F13918" t="s">
        <v>2077</v>
      </c>
      <c r="G13918" t="s">
        <v>44</v>
      </c>
      <c r="H13918" t="s">
        <v>20</v>
      </c>
      <c r="I13918" t="s">
        <v>26941</v>
      </c>
      <c r="J13918" t="str">
        <f>HYPERLINK("https://www.boe.es/gazeta/dias/1822/09/07/pdfs/GMD-1822-262.pdf#page=1","Abrir facsímil")</f>
        <v>Abrir facsímil</v>
      </c>
      <c r="K13918" t="s">
        <v>22</v>
      </c>
    </row>
    <row r="13919" spans="1:11" ht="42" customHeight="1">
      <c r="A13919" t="s">
        <v>26942</v>
      </c>
      <c r="B13919" t="s">
        <v>26942</v>
      </c>
      <c r="C13919" t="s">
        <v>71</v>
      </c>
      <c r="D13919" t="s">
        <v>17</v>
      </c>
      <c r="E13919" s="6">
        <v>-28428</v>
      </c>
      <c r="F13919" t="s">
        <v>1924</v>
      </c>
      <c r="G13919" t="s">
        <v>44</v>
      </c>
      <c r="H13919" t="s">
        <v>20</v>
      </c>
      <c r="I13919" t="s">
        <v>26943</v>
      </c>
      <c r="J13919" t="str">
        <f>HYPERLINK("https://www.boe.es/gazeta/dias/1822/03/01/pdfs/GMD-1822-61.pdf#page=1","Abrir facsímil")</f>
        <v>Abrir facsímil</v>
      </c>
      <c r="K13919" t="s">
        <v>22</v>
      </c>
    </row>
    <row r="13920" spans="1:11" ht="42" customHeight="1">
      <c r="A13920" t="s">
        <v>26942</v>
      </c>
      <c r="B13920" t="s">
        <v>26942</v>
      </c>
      <c r="C13920" t="s">
        <v>28</v>
      </c>
      <c r="D13920" t="s">
        <v>29</v>
      </c>
      <c r="E13920" s="6">
        <v>-28346</v>
      </c>
      <c r="F13920" t="s">
        <v>191</v>
      </c>
      <c r="G13920" t="s">
        <v>31</v>
      </c>
      <c r="H13920" t="s">
        <v>20</v>
      </c>
      <c r="I13920" t="s">
        <v>26944</v>
      </c>
      <c r="J13920" t="str">
        <f>HYPERLINK("https://www.boe.es/gazeta/dias/1822/05/22/pdfs/GMD-1822-145.pdf#page=3","Abrir facsímil")</f>
        <v>Abrir facsímil</v>
      </c>
      <c r="K13920" t="s">
        <v>22</v>
      </c>
    </row>
    <row r="13921" spans="1:11" ht="42" customHeight="1">
      <c r="A13921" t="s">
        <v>26942</v>
      </c>
      <c r="B13921" t="s">
        <v>26942</v>
      </c>
      <c r="C13921" t="s">
        <v>50</v>
      </c>
      <c r="D13921" t="s">
        <v>51</v>
      </c>
      <c r="E13921" s="6">
        <v>-28249</v>
      </c>
      <c r="F13921" t="s">
        <v>3986</v>
      </c>
      <c r="G13921" t="s">
        <v>35</v>
      </c>
      <c r="H13921" t="s">
        <v>20</v>
      </c>
      <c r="I13921" t="s">
        <v>26945</v>
      </c>
      <c r="J13921" t="str">
        <f>HYPERLINK("https://www.boe.es/gazeta/dias/1822/08/27/pdfs/GMD-1822-251.pdf#page=2","Abrir facsímil")</f>
        <v>Abrir facsímil</v>
      </c>
      <c r="K13921" t="s">
        <v>22</v>
      </c>
    </row>
    <row r="13922" spans="1:11" ht="42" customHeight="1">
      <c r="A13922" t="s">
        <v>26942</v>
      </c>
      <c r="B13922" t="s">
        <v>26942</v>
      </c>
      <c r="C13922" t="s">
        <v>28</v>
      </c>
      <c r="D13922" t="s">
        <v>29</v>
      </c>
      <c r="E13922" s="6">
        <v>-28236</v>
      </c>
      <c r="F13922" t="s">
        <v>714</v>
      </c>
      <c r="G13922" t="s">
        <v>57</v>
      </c>
      <c r="H13922" t="s">
        <v>20</v>
      </c>
      <c r="I13922" t="s">
        <v>26946</v>
      </c>
      <c r="J13922" t="str">
        <f>HYPERLINK("https://www.boe.es/gazeta/dias/1822/09/09/pdfs/GMD-1822-265.pdf#page=4","Abrir facsímil")</f>
        <v>Abrir facsímil</v>
      </c>
      <c r="K13922" t="s">
        <v>22</v>
      </c>
    </row>
    <row r="13923" spans="1:11" ht="42" customHeight="1">
      <c r="A13923" t="s">
        <v>26947</v>
      </c>
      <c r="B13923" t="s">
        <v>26948</v>
      </c>
      <c r="C13923" t="s">
        <v>50</v>
      </c>
      <c r="D13923" t="s">
        <v>51</v>
      </c>
      <c r="E13923" s="6">
        <v>-28391</v>
      </c>
      <c r="F13923" t="s">
        <v>378</v>
      </c>
      <c r="G13923" t="s">
        <v>19</v>
      </c>
      <c r="H13923" t="s">
        <v>20</v>
      </c>
      <c r="I13923" t="s">
        <v>26949</v>
      </c>
      <c r="J13923" t="str">
        <f>HYPERLINK("https://www.boe.es/gazeta/dias/1822/04/07/pdfs/GMD-1822-99.pdf#page=5","Abrir facsímil")</f>
        <v>Abrir facsímil</v>
      </c>
      <c r="K13923" t="s">
        <v>22</v>
      </c>
    </row>
    <row r="13924" spans="1:11" ht="42" customHeight="1">
      <c r="A13924" t="s">
        <v>26950</v>
      </c>
      <c r="B13924" t="s">
        <v>26950</v>
      </c>
      <c r="C13924" t="s">
        <v>28</v>
      </c>
      <c r="D13924" t="s">
        <v>29</v>
      </c>
      <c r="E13924" s="6">
        <v>-28431</v>
      </c>
      <c r="F13924" t="s">
        <v>1258</v>
      </c>
      <c r="G13924" t="s">
        <v>31</v>
      </c>
      <c r="H13924" t="s">
        <v>20</v>
      </c>
      <c r="I13924" t="s">
        <v>26951</v>
      </c>
      <c r="J13924" t="str">
        <f>HYPERLINK("https://www.boe.es/gazeta/dias/1822/02/26/pdfs/GMD-1822-58.pdf#page=3","Abrir facsímil")</f>
        <v>Abrir facsímil</v>
      </c>
      <c r="K13924" t="s">
        <v>22</v>
      </c>
    </row>
    <row r="13925" spans="1:11" ht="42" customHeight="1">
      <c r="A13925" t="s">
        <v>26952</v>
      </c>
      <c r="B13925" t="s">
        <v>26952</v>
      </c>
      <c r="C13925" t="s">
        <v>42</v>
      </c>
      <c r="D13925" t="s">
        <v>17</v>
      </c>
      <c r="E13925" s="6">
        <v>-28432</v>
      </c>
      <c r="F13925" t="s">
        <v>195</v>
      </c>
      <c r="G13925" t="s">
        <v>31</v>
      </c>
      <c r="H13925" t="s">
        <v>20</v>
      </c>
      <c r="I13925" t="s">
        <v>26953</v>
      </c>
      <c r="J13925" t="str">
        <f>HYPERLINK("https://www.boe.es/gazeta/dias/1822/02/25/pdfs/GMD-1822-57.pdf#page=3","Abrir facsímil")</f>
        <v>Abrir facsímil</v>
      </c>
      <c r="K13925" t="s">
        <v>22</v>
      </c>
    </row>
    <row r="13926" spans="1:11" ht="42" customHeight="1">
      <c r="A13926" t="s">
        <v>26952</v>
      </c>
      <c r="B13926" t="s">
        <v>26952</v>
      </c>
      <c r="C13926" t="s">
        <v>50</v>
      </c>
      <c r="D13926" t="s">
        <v>51</v>
      </c>
      <c r="E13926" s="6">
        <v>-28431</v>
      </c>
      <c r="F13926" t="s">
        <v>1258</v>
      </c>
      <c r="G13926" t="s">
        <v>31</v>
      </c>
      <c r="H13926" t="s">
        <v>20</v>
      </c>
      <c r="I13926" t="s">
        <v>26954</v>
      </c>
      <c r="J13926" t="str">
        <f>HYPERLINK("https://www.boe.es/gazeta/dias/1822/02/26/pdfs/GMD-1822-58.pdf#page=3","Abrir facsímil")</f>
        <v>Abrir facsímil</v>
      </c>
      <c r="K13926" t="s">
        <v>22</v>
      </c>
    </row>
    <row r="13927" spans="1:11" ht="42" customHeight="1">
      <c r="A13927" t="s">
        <v>26952</v>
      </c>
      <c r="B13927" t="s">
        <v>26952</v>
      </c>
      <c r="C13927" t="s">
        <v>42</v>
      </c>
      <c r="D13927" t="s">
        <v>17</v>
      </c>
      <c r="E13927" s="6">
        <v>-28429</v>
      </c>
      <c r="F13927" t="s">
        <v>2397</v>
      </c>
      <c r="G13927" t="s">
        <v>57</v>
      </c>
      <c r="H13927" t="s">
        <v>20</v>
      </c>
      <c r="I13927" t="s">
        <v>26955</v>
      </c>
      <c r="J13927" t="str">
        <f>HYPERLINK("https://www.boe.es/gazeta/dias/1822/02/28/pdfs/GMD-1822-60.pdf#page=4","Abrir facsímil")</f>
        <v>Abrir facsímil</v>
      </c>
      <c r="K13927" t="s">
        <v>22</v>
      </c>
    </row>
    <row r="13928" spans="1:11" ht="42" customHeight="1">
      <c r="A13928" t="s">
        <v>26952</v>
      </c>
      <c r="B13928" t="s">
        <v>26952</v>
      </c>
      <c r="C13928" t="s">
        <v>50</v>
      </c>
      <c r="D13928" t="s">
        <v>51</v>
      </c>
      <c r="E13928" s="6">
        <v>-28388</v>
      </c>
      <c r="F13928" t="s">
        <v>1268</v>
      </c>
      <c r="G13928" t="s">
        <v>44</v>
      </c>
      <c r="H13928" t="s">
        <v>20</v>
      </c>
      <c r="I13928" t="s">
        <v>26956</v>
      </c>
      <c r="J13928" t="str">
        <f>HYPERLINK("https://www.boe.es/gazeta/dias/1822/04/10/pdfs/GMD-1822-102.pdf#page=1","Abrir facsímil")</f>
        <v>Abrir facsímil</v>
      </c>
      <c r="K13928" t="s">
        <v>22</v>
      </c>
    </row>
    <row r="13929" spans="1:11" ht="42" customHeight="1">
      <c r="A13929" t="s">
        <v>26952</v>
      </c>
      <c r="B13929" t="s">
        <v>26952</v>
      </c>
      <c r="C13929" t="s">
        <v>71</v>
      </c>
      <c r="D13929" t="s">
        <v>17</v>
      </c>
      <c r="E13929" s="6">
        <v>-28346</v>
      </c>
      <c r="F13929" t="s">
        <v>191</v>
      </c>
      <c r="G13929" t="s">
        <v>31</v>
      </c>
      <c r="H13929" t="s">
        <v>20</v>
      </c>
      <c r="I13929" t="s">
        <v>26957</v>
      </c>
      <c r="J13929" t="str">
        <f>HYPERLINK("https://www.boe.es/gazeta/dias/1822/05/22/pdfs/GMD-1822-145.pdf#page=3","Abrir facsímil")</f>
        <v>Abrir facsímil</v>
      </c>
      <c r="K13929" t="s">
        <v>22</v>
      </c>
    </row>
    <row r="13930" spans="1:11" ht="42" customHeight="1">
      <c r="A13930" t="s">
        <v>26952</v>
      </c>
      <c r="B13930" t="s">
        <v>26952</v>
      </c>
      <c r="C13930" t="s">
        <v>16</v>
      </c>
      <c r="D13930" t="s">
        <v>17</v>
      </c>
      <c r="E13930" s="6">
        <v>-28318</v>
      </c>
      <c r="F13930" t="s">
        <v>397</v>
      </c>
      <c r="G13930" t="s">
        <v>44</v>
      </c>
      <c r="H13930" t="s">
        <v>20</v>
      </c>
      <c r="I13930" t="s">
        <v>26958</v>
      </c>
      <c r="J13930" t="str">
        <f>HYPERLINK("https://www.boe.es/gazeta/dias/1822/06/19/pdfs/GMD-1822-176.pdf#page=1","Abrir facsímil")</f>
        <v>Abrir facsímil</v>
      </c>
      <c r="K13930" t="s">
        <v>22</v>
      </c>
    </row>
    <row r="13931" spans="1:11" ht="42" customHeight="1">
      <c r="A13931" t="s">
        <v>26952</v>
      </c>
      <c r="B13931" t="s">
        <v>26952</v>
      </c>
      <c r="C13931" t="s">
        <v>28</v>
      </c>
      <c r="D13931" t="s">
        <v>29</v>
      </c>
      <c r="E13931" s="6">
        <v>-28311</v>
      </c>
      <c r="F13931" t="s">
        <v>736</v>
      </c>
      <c r="G13931" t="s">
        <v>167</v>
      </c>
      <c r="H13931" t="s">
        <v>20</v>
      </c>
      <c r="I13931" t="s">
        <v>26959</v>
      </c>
      <c r="J13931" t="str">
        <f>HYPERLINK("https://www.boe.es/gazeta/dias/1822/06/26/pdfs/GMD-1822-184.pdf#page=7","Abrir facsímil")</f>
        <v>Abrir facsímil</v>
      </c>
      <c r="K13931" t="s">
        <v>22</v>
      </c>
    </row>
    <row r="13932" spans="1:11" ht="42" customHeight="1">
      <c r="A13932" t="s">
        <v>26952</v>
      </c>
      <c r="B13932" t="s">
        <v>26952</v>
      </c>
      <c r="C13932" t="s">
        <v>50</v>
      </c>
      <c r="D13932" t="s">
        <v>51</v>
      </c>
      <c r="E13932" s="6">
        <v>-28308</v>
      </c>
      <c r="F13932" t="s">
        <v>1050</v>
      </c>
      <c r="G13932" t="s">
        <v>167</v>
      </c>
      <c r="H13932" t="s">
        <v>20</v>
      </c>
      <c r="I13932" t="s">
        <v>26960</v>
      </c>
      <c r="J13932" t="str">
        <f>HYPERLINK("https://www.boe.es/gazeta/dias/1822/06/29/pdfs/GMD-1822-187.pdf#page=7","Abrir facsímil")</f>
        <v>Abrir facsímil</v>
      </c>
      <c r="K13932" t="s">
        <v>22</v>
      </c>
    </row>
    <row r="13933" spans="1:11" ht="42" customHeight="1">
      <c r="A13933" t="s">
        <v>26952</v>
      </c>
      <c r="B13933" t="s">
        <v>26952</v>
      </c>
      <c r="C13933" t="s">
        <v>50</v>
      </c>
      <c r="D13933" t="s">
        <v>723</v>
      </c>
      <c r="E13933" s="6">
        <v>-28289</v>
      </c>
      <c r="F13933" t="s">
        <v>26961</v>
      </c>
      <c r="G13933" t="s">
        <v>44</v>
      </c>
      <c r="H13933" t="s">
        <v>20</v>
      </c>
      <c r="I13933" t="s">
        <v>26962</v>
      </c>
      <c r="J13933" t="str">
        <f>HYPERLINK("https://www.boe.es/gazeta/dias/1822/07/18/pdfs/GMD-1822-210E.pdf#page=1","Abrir facsímil")</f>
        <v>Abrir facsímil</v>
      </c>
      <c r="K13933" t="s">
        <v>22</v>
      </c>
    </row>
    <row r="13934" spans="1:11" ht="42" customHeight="1">
      <c r="A13934" t="s">
        <v>26952</v>
      </c>
      <c r="B13934" t="s">
        <v>26952</v>
      </c>
      <c r="C13934" t="s">
        <v>42</v>
      </c>
      <c r="D13934" t="s">
        <v>17</v>
      </c>
      <c r="E13934" s="6">
        <v>-28211</v>
      </c>
      <c r="F13934" t="s">
        <v>273</v>
      </c>
      <c r="G13934" t="s">
        <v>57</v>
      </c>
      <c r="H13934" t="s">
        <v>20</v>
      </c>
      <c r="I13934" t="s">
        <v>26963</v>
      </c>
      <c r="J13934" t="str">
        <f>HYPERLINK("https://www.boe.es/gazeta/dias/1822/10/04/pdfs/GMD-1822-290.pdf#page=4","Abrir facsímil")</f>
        <v>Abrir facsímil</v>
      </c>
      <c r="K13934" t="s">
        <v>22</v>
      </c>
    </row>
    <row r="13935" spans="1:11" ht="42" customHeight="1">
      <c r="A13935" t="s">
        <v>26952</v>
      </c>
      <c r="B13935" t="s">
        <v>26952</v>
      </c>
      <c r="C13935" t="s">
        <v>16</v>
      </c>
      <c r="D13935" t="s">
        <v>17</v>
      </c>
      <c r="E13935" s="6">
        <v>-28175</v>
      </c>
      <c r="F13935" t="s">
        <v>341</v>
      </c>
      <c r="G13935" t="s">
        <v>57</v>
      </c>
      <c r="H13935" t="s">
        <v>20</v>
      </c>
      <c r="I13935" t="s">
        <v>26964</v>
      </c>
      <c r="J13935" t="str">
        <f>HYPERLINK("https://www.boe.es/gazeta/dias/1822/11/09/pdfs/GMD-1822-329.pdf#page=4","Abrir facsímil")</f>
        <v>Abrir facsímil</v>
      </c>
      <c r="K13935" t="s">
        <v>22</v>
      </c>
    </row>
    <row r="13936" spans="1:11" ht="42" customHeight="1">
      <c r="A13936" t="s">
        <v>26965</v>
      </c>
      <c r="B13936" t="s">
        <v>26966</v>
      </c>
      <c r="C13936" t="s">
        <v>16</v>
      </c>
      <c r="D13936" t="s">
        <v>17</v>
      </c>
      <c r="E13936" s="6">
        <v>-28441</v>
      </c>
      <c r="F13936" t="s">
        <v>429</v>
      </c>
      <c r="G13936" t="s">
        <v>35</v>
      </c>
      <c r="H13936" t="s">
        <v>20</v>
      </c>
      <c r="I13936" t="s">
        <v>26967</v>
      </c>
      <c r="J13936" t="str">
        <f>HYPERLINK("https://www.boe.es/gazeta/dias/1822/02/16/pdfs/GMD-1822-48.pdf#page=2","Abrir facsímil")</f>
        <v>Abrir facsímil</v>
      </c>
      <c r="K13936" t="s">
        <v>22</v>
      </c>
    </row>
    <row r="13937" spans="1:11" ht="42" customHeight="1">
      <c r="A13937" t="s">
        <v>26965</v>
      </c>
      <c r="B13937" t="s">
        <v>26966</v>
      </c>
      <c r="C13937" t="s">
        <v>28</v>
      </c>
      <c r="D13937" t="s">
        <v>29</v>
      </c>
      <c r="E13937" s="6">
        <v>-28366</v>
      </c>
      <c r="F13937" t="s">
        <v>120</v>
      </c>
      <c r="G13937" t="s">
        <v>35</v>
      </c>
      <c r="H13937" t="s">
        <v>20</v>
      </c>
      <c r="I13937" t="s">
        <v>26968</v>
      </c>
      <c r="J13937" t="str">
        <f>HYPERLINK("https://www.boe.es/gazeta/dias/1822/05/02/pdfs/GMD-1822-124.pdf#page=2","Abrir facsímil")</f>
        <v>Abrir facsímil</v>
      </c>
      <c r="K13937" t="s">
        <v>22</v>
      </c>
    </row>
    <row r="13938" spans="1:11" ht="42" customHeight="1">
      <c r="A13938" t="s">
        <v>26965</v>
      </c>
      <c r="B13938" t="s">
        <v>26966</v>
      </c>
      <c r="C13938" t="s">
        <v>50</v>
      </c>
      <c r="D13938" t="s">
        <v>51</v>
      </c>
      <c r="E13938" s="6">
        <v>-28301</v>
      </c>
      <c r="F13938" t="s">
        <v>2348</v>
      </c>
      <c r="G13938" t="s">
        <v>35</v>
      </c>
      <c r="H13938" t="s">
        <v>20</v>
      </c>
      <c r="I13938" t="s">
        <v>26969</v>
      </c>
      <c r="J13938" t="str">
        <f>HYPERLINK("https://www.boe.es/gazeta/dias/1822/07/06/pdfs/GMD-1822-195.pdf#page=2","Abrir facsímil")</f>
        <v>Abrir facsímil</v>
      </c>
      <c r="K13938" t="s">
        <v>22</v>
      </c>
    </row>
    <row r="13939" spans="1:11" ht="42" customHeight="1">
      <c r="A13939" t="s">
        <v>26965</v>
      </c>
      <c r="B13939" t="s">
        <v>26966</v>
      </c>
      <c r="C13939" t="s">
        <v>50</v>
      </c>
      <c r="D13939" t="s">
        <v>51</v>
      </c>
      <c r="E13939" s="6">
        <v>-28261</v>
      </c>
      <c r="F13939" t="s">
        <v>5685</v>
      </c>
      <c r="G13939" t="s">
        <v>35</v>
      </c>
      <c r="H13939" t="s">
        <v>20</v>
      </c>
      <c r="I13939" t="s">
        <v>26970</v>
      </c>
      <c r="J13939" t="str">
        <f>HYPERLINK("https://www.boe.es/gazeta/dias/1822/08/15/pdfs/GMD-1822-239.pdf#page=2","Abrir facsímil")</f>
        <v>Abrir facsímil</v>
      </c>
      <c r="K13939" t="s">
        <v>22</v>
      </c>
    </row>
    <row r="13940" spans="1:11" ht="42" customHeight="1">
      <c r="A13940" t="s">
        <v>26971</v>
      </c>
      <c r="B13940" t="s">
        <v>26971</v>
      </c>
      <c r="C13940" t="s">
        <v>16</v>
      </c>
      <c r="D13940" t="s">
        <v>17</v>
      </c>
      <c r="E13940" s="6">
        <v>-28428</v>
      </c>
      <c r="F13940" t="s">
        <v>1924</v>
      </c>
      <c r="G13940" t="s">
        <v>57</v>
      </c>
      <c r="H13940" t="s">
        <v>20</v>
      </c>
      <c r="I13940" t="s">
        <v>26972</v>
      </c>
      <c r="J13940" t="str">
        <f>HYPERLINK("https://www.boe.es/gazeta/dias/1822/03/01/pdfs/GMD-1822-61.pdf#page=4","Abrir facsímil")</f>
        <v>Abrir facsímil</v>
      </c>
      <c r="K13940" t="s">
        <v>22</v>
      </c>
    </row>
    <row r="13941" spans="1:11" ht="42" customHeight="1">
      <c r="A13941" t="s">
        <v>26973</v>
      </c>
      <c r="B13941" t="s">
        <v>26973</v>
      </c>
      <c r="C13941" t="s">
        <v>16</v>
      </c>
      <c r="D13941" t="s">
        <v>17</v>
      </c>
      <c r="E13941" s="6">
        <v>-28427</v>
      </c>
      <c r="F13941" t="s">
        <v>755</v>
      </c>
      <c r="G13941" t="s">
        <v>31</v>
      </c>
      <c r="H13941" t="s">
        <v>20</v>
      </c>
      <c r="I13941" t="s">
        <v>26974</v>
      </c>
      <c r="J13941" t="str">
        <f>HYPERLINK("https://www.boe.es/gazeta/dias/1822/03/02/pdfs/GMD-1822-63.pdf#page=3","Abrir facsímil")</f>
        <v>Abrir facsímil</v>
      </c>
      <c r="K13941" t="s">
        <v>22</v>
      </c>
    </row>
    <row r="13942" spans="1:11" ht="42" customHeight="1">
      <c r="A13942" t="s">
        <v>26975</v>
      </c>
      <c r="B13942" t="s">
        <v>26976</v>
      </c>
      <c r="C13942" t="s">
        <v>50</v>
      </c>
      <c r="D13942" t="s">
        <v>51</v>
      </c>
      <c r="E13942" s="6">
        <v>-28158</v>
      </c>
      <c r="F13942" t="s">
        <v>590</v>
      </c>
      <c r="G13942" t="s">
        <v>63</v>
      </c>
      <c r="H13942" t="s">
        <v>20</v>
      </c>
      <c r="I13942" t="s">
        <v>26977</v>
      </c>
      <c r="J13942" t="str">
        <f>HYPERLINK("https://www.boe.es/gazeta/dias/1822/11/26/pdfs/GMD-1822-346.pdf#page=6","Abrir facsímil")</f>
        <v>Abrir facsímil</v>
      </c>
      <c r="K13942" t="s">
        <v>22</v>
      </c>
    </row>
    <row r="13943" spans="1:11" ht="42" customHeight="1">
      <c r="A13943" t="s">
        <v>26978</v>
      </c>
      <c r="B13943" t="s">
        <v>26979</v>
      </c>
      <c r="C13943" t="s">
        <v>50</v>
      </c>
      <c r="D13943" t="s">
        <v>51</v>
      </c>
      <c r="E13943" s="6">
        <v>-28279</v>
      </c>
      <c r="F13943" t="s">
        <v>662</v>
      </c>
      <c r="G13943" t="s">
        <v>44</v>
      </c>
      <c r="H13943" t="s">
        <v>45</v>
      </c>
      <c r="I13943" t="s">
        <v>26980</v>
      </c>
      <c r="J13943" t="str">
        <f>HYPERLINK("https://www.boe.es/gazeta/dias/1822/07/28/pdfs/GMD-1822-221.pdf#page=1","Abrir facsímil")</f>
        <v>Abrir facsímil</v>
      </c>
      <c r="K13943" t="s">
        <v>47</v>
      </c>
    </row>
    <row r="13944" spans="1:11" ht="42" customHeight="1">
      <c r="A13944" t="s">
        <v>26981</v>
      </c>
      <c r="B13944" t="s">
        <v>26981</v>
      </c>
      <c r="C13944" t="s">
        <v>50</v>
      </c>
      <c r="D13944" t="s">
        <v>51</v>
      </c>
      <c r="E13944" s="6">
        <v>-28208</v>
      </c>
      <c r="F13944" t="s">
        <v>230</v>
      </c>
      <c r="G13944" t="s">
        <v>57</v>
      </c>
      <c r="H13944" t="s">
        <v>20</v>
      </c>
      <c r="I13944" t="s">
        <v>26982</v>
      </c>
      <c r="J13944" t="str">
        <f>HYPERLINK("https://www.boe.es/gazeta/dias/1822/10/07/pdfs/GMD-1822-293.pdf#page=4","Abrir facsímil")</f>
        <v>Abrir facsímil</v>
      </c>
      <c r="K13944" t="s">
        <v>22</v>
      </c>
    </row>
    <row r="13945" spans="1:11" ht="42" customHeight="1">
      <c r="A13945" t="s">
        <v>26983</v>
      </c>
      <c r="B13945" t="s">
        <v>26983</v>
      </c>
      <c r="C13945" t="s">
        <v>42</v>
      </c>
      <c r="D13945" t="s">
        <v>17</v>
      </c>
      <c r="E13945" s="6">
        <v>-28193</v>
      </c>
      <c r="F13945" t="s">
        <v>574</v>
      </c>
      <c r="G13945" t="s">
        <v>57</v>
      </c>
      <c r="H13945" t="s">
        <v>20</v>
      </c>
      <c r="I13945" t="s">
        <v>26984</v>
      </c>
      <c r="J13945" t="str">
        <f>HYPERLINK("https://www.boe.es/gazeta/dias/1822/10/22/pdfs/GMD-1822-309.pdf#page=4","Abrir facsímil")</f>
        <v>Abrir facsímil</v>
      </c>
      <c r="K13945" t="s">
        <v>22</v>
      </c>
    </row>
    <row r="13946" spans="1:11" ht="42" customHeight="1">
      <c r="A13946" t="s">
        <v>26985</v>
      </c>
      <c r="B13946" t="s">
        <v>26985</v>
      </c>
      <c r="C13946" t="s">
        <v>42</v>
      </c>
      <c r="D13946" t="s">
        <v>17</v>
      </c>
      <c r="E13946" s="6">
        <v>-28423</v>
      </c>
      <c r="F13946" t="s">
        <v>441</v>
      </c>
      <c r="G13946" t="s">
        <v>35</v>
      </c>
      <c r="H13946" t="s">
        <v>20</v>
      </c>
      <c r="I13946" t="s">
        <v>26986</v>
      </c>
      <c r="J13946" t="str">
        <f>HYPERLINK("https://www.boe.es/gazeta/dias/1822/03/06/pdfs/GMD-1822-67.pdf#page=2","Abrir facsímil")</f>
        <v>Abrir facsímil</v>
      </c>
      <c r="K13946" t="s">
        <v>22</v>
      </c>
    </row>
    <row r="13947" spans="1:11" ht="42" customHeight="1">
      <c r="A13947" t="s">
        <v>26985</v>
      </c>
      <c r="B13947" t="s">
        <v>26985</v>
      </c>
      <c r="C13947" t="s">
        <v>24</v>
      </c>
      <c r="D13947" t="s">
        <v>17</v>
      </c>
      <c r="E13947" s="6">
        <v>-28274</v>
      </c>
      <c r="F13947" t="s">
        <v>3371</v>
      </c>
      <c r="G13947" t="s">
        <v>44</v>
      </c>
      <c r="H13947" t="s">
        <v>20</v>
      </c>
      <c r="I13947" t="s">
        <v>26987</v>
      </c>
      <c r="J13947" t="str">
        <f>HYPERLINK("https://www.boe.es/gazeta/dias/1822/08/02/pdfs/GMD-1822-226.pdf#page=1","Abrir facsímil")</f>
        <v>Abrir facsímil</v>
      </c>
      <c r="K13947" t="s">
        <v>22</v>
      </c>
    </row>
    <row r="13948" spans="1:11" ht="42" customHeight="1">
      <c r="A13948" t="s">
        <v>26985</v>
      </c>
      <c r="B13948" t="s">
        <v>26985</v>
      </c>
      <c r="C13948" t="s">
        <v>42</v>
      </c>
      <c r="D13948" t="s">
        <v>17</v>
      </c>
      <c r="E13948" s="6">
        <v>-28207</v>
      </c>
      <c r="F13948" t="s">
        <v>1325</v>
      </c>
      <c r="G13948" t="s">
        <v>31</v>
      </c>
      <c r="H13948" t="s">
        <v>20</v>
      </c>
      <c r="I13948" t="s">
        <v>26988</v>
      </c>
      <c r="J13948" t="str">
        <f>HYPERLINK("https://www.boe.es/gazeta/dias/1822/10/08/pdfs/GMD-1822-295.pdf#page=3","Abrir facsímil")</f>
        <v>Abrir facsímil</v>
      </c>
      <c r="K13948" t="s">
        <v>22</v>
      </c>
    </row>
    <row r="13949" spans="1:11" ht="42" customHeight="1">
      <c r="A13949" t="s">
        <v>26985</v>
      </c>
      <c r="B13949" t="s">
        <v>26985</v>
      </c>
      <c r="C13949" t="s">
        <v>28</v>
      </c>
      <c r="D13949" t="s">
        <v>29</v>
      </c>
      <c r="E13949" s="6">
        <v>-28167</v>
      </c>
      <c r="F13949" t="s">
        <v>904</v>
      </c>
      <c r="G13949" t="s">
        <v>31</v>
      </c>
      <c r="H13949" t="s">
        <v>20</v>
      </c>
      <c r="I13949" t="s">
        <v>26989</v>
      </c>
      <c r="J13949" t="str">
        <f>HYPERLINK("https://www.boe.es/gazeta/dias/1822/11/17/pdfs/GMD-1822-337.pdf#page=3","Abrir facsímil")</f>
        <v>Abrir facsímil</v>
      </c>
      <c r="K13949" t="s">
        <v>22</v>
      </c>
    </row>
    <row r="13950" spans="1:11" ht="42" customHeight="1">
      <c r="A13950" t="s">
        <v>26990</v>
      </c>
      <c r="B13950" t="s">
        <v>26990</v>
      </c>
      <c r="C13950" t="s">
        <v>71</v>
      </c>
      <c r="D13950" t="s">
        <v>17</v>
      </c>
      <c r="E13950" s="6">
        <v>-28180</v>
      </c>
      <c r="F13950" t="s">
        <v>839</v>
      </c>
      <c r="G13950" t="s">
        <v>57</v>
      </c>
      <c r="H13950" t="s">
        <v>20</v>
      </c>
      <c r="I13950" t="s">
        <v>26991</v>
      </c>
      <c r="J13950" t="str">
        <f>HYPERLINK("https://www.boe.es/gazeta/dias/1822/11/04/pdfs/GMD-1822-323.pdf#page=4","Abrir facsímil")</f>
        <v>Abrir facsímil</v>
      </c>
      <c r="K13950" t="s">
        <v>22</v>
      </c>
    </row>
    <row r="13951" spans="1:11" ht="42" customHeight="1">
      <c r="A13951" t="s">
        <v>26992</v>
      </c>
      <c r="B13951" t="s">
        <v>26993</v>
      </c>
      <c r="C13951" t="s">
        <v>61</v>
      </c>
      <c r="D13951" t="s">
        <v>17</v>
      </c>
      <c r="E13951" s="6">
        <v>-28148</v>
      </c>
      <c r="F13951" t="s">
        <v>1909</v>
      </c>
      <c r="G13951" t="s">
        <v>63</v>
      </c>
      <c r="H13951" t="s">
        <v>20</v>
      </c>
      <c r="I13951" t="s">
        <v>26994</v>
      </c>
      <c r="J13951" t="str">
        <f>HYPERLINK("https://www.boe.es/gazeta/dias/1822/12/06/pdfs/GMD-1822-356.pdf#page=6","Abrir facsímil")</f>
        <v>Abrir facsímil</v>
      </c>
      <c r="K13951" t="s">
        <v>22</v>
      </c>
    </row>
    <row r="13952" spans="1:11" ht="42" customHeight="1">
      <c r="A13952" t="s">
        <v>26995</v>
      </c>
      <c r="B13952" t="s">
        <v>26995</v>
      </c>
      <c r="C13952" t="s">
        <v>50</v>
      </c>
      <c r="D13952" t="s">
        <v>51</v>
      </c>
      <c r="E13952" s="6">
        <v>-28177</v>
      </c>
      <c r="F13952" t="s">
        <v>587</v>
      </c>
      <c r="G13952" t="s">
        <v>19</v>
      </c>
      <c r="H13952" t="s">
        <v>20</v>
      </c>
      <c r="I13952" t="s">
        <v>26996</v>
      </c>
      <c r="J13952" t="str">
        <f>HYPERLINK("https://www.boe.es/gazeta/dias/1822/11/07/pdfs/GMD-1822-327.pdf#page=5","Abrir facsímil")</f>
        <v>Abrir facsímil</v>
      </c>
      <c r="K13952" t="s">
        <v>22</v>
      </c>
    </row>
    <row r="13953" spans="1:11" ht="42" customHeight="1">
      <c r="A13953" t="s">
        <v>26995</v>
      </c>
      <c r="B13953" t="s">
        <v>26995</v>
      </c>
      <c r="C13953" t="s">
        <v>16</v>
      </c>
      <c r="D13953" t="s">
        <v>17</v>
      </c>
      <c r="E13953" s="6">
        <v>-28176</v>
      </c>
      <c r="F13953" t="s">
        <v>780</v>
      </c>
      <c r="G13953" t="s">
        <v>44</v>
      </c>
      <c r="H13953" t="s">
        <v>20</v>
      </c>
      <c r="I13953" t="s">
        <v>26997</v>
      </c>
      <c r="J13953" t="str">
        <f>HYPERLINK("https://www.boe.es/gazeta/dias/1822/11/08/pdfs/GMD-1822-328.pdf#page=1","Abrir facsímil")</f>
        <v>Abrir facsímil</v>
      </c>
      <c r="K13953" t="s">
        <v>22</v>
      </c>
    </row>
    <row r="13954" spans="1:11" ht="42" customHeight="1">
      <c r="A13954" t="s">
        <v>26998</v>
      </c>
      <c r="B13954" t="s">
        <v>26998</v>
      </c>
      <c r="C13954" t="s">
        <v>24</v>
      </c>
      <c r="D13954" t="s">
        <v>17</v>
      </c>
      <c r="E13954" s="6">
        <v>-28478</v>
      </c>
      <c r="F13954" t="s">
        <v>1093</v>
      </c>
      <c r="G13954" t="s">
        <v>31</v>
      </c>
      <c r="H13954" t="s">
        <v>20</v>
      </c>
      <c r="I13954" t="s">
        <v>26999</v>
      </c>
      <c r="J13954" t="str">
        <f>HYPERLINK("https://www.boe.es/gazeta/dias/1822/01/10/pdfs/GMD-1822-10.pdf#page=3","Abrir facsímil")</f>
        <v>Abrir facsímil</v>
      </c>
      <c r="K13954" t="s">
        <v>22</v>
      </c>
    </row>
    <row r="13955" spans="1:11" ht="42" customHeight="1">
      <c r="A13955" t="s">
        <v>26998</v>
      </c>
      <c r="B13955" t="s">
        <v>26998</v>
      </c>
      <c r="C13955" t="s">
        <v>16</v>
      </c>
      <c r="D13955" t="s">
        <v>17</v>
      </c>
      <c r="E13955" s="6">
        <v>-28468</v>
      </c>
      <c r="F13955" t="s">
        <v>1012</v>
      </c>
      <c r="G13955" t="s">
        <v>57</v>
      </c>
      <c r="H13955" t="s">
        <v>20</v>
      </c>
      <c r="I13955" t="s">
        <v>27000</v>
      </c>
      <c r="J13955" t="str">
        <f>HYPERLINK("https://www.boe.es/gazeta/dias/1822/01/20/pdfs/GMD-1822-20.pdf#page=4","Abrir facsímil")</f>
        <v>Abrir facsímil</v>
      </c>
      <c r="K13955" t="s">
        <v>22</v>
      </c>
    </row>
    <row r="13956" spans="1:11" ht="42" customHeight="1">
      <c r="A13956" t="s">
        <v>26998</v>
      </c>
      <c r="B13956" t="s">
        <v>26998</v>
      </c>
      <c r="C13956" t="s">
        <v>50</v>
      </c>
      <c r="D13956" t="s">
        <v>51</v>
      </c>
      <c r="E13956" s="6">
        <v>-28451</v>
      </c>
      <c r="F13956" t="s">
        <v>1674</v>
      </c>
      <c r="G13956" t="s">
        <v>57</v>
      </c>
      <c r="H13956" t="s">
        <v>20</v>
      </c>
      <c r="I13956" t="s">
        <v>27001</v>
      </c>
      <c r="J13956" t="str">
        <f>HYPERLINK("https://www.boe.es/gazeta/dias/1822/02/06/pdfs/GMD-1822-37.pdf#page=4","Abrir facsímil")</f>
        <v>Abrir facsímil</v>
      </c>
      <c r="K13956" t="s">
        <v>22</v>
      </c>
    </row>
    <row r="13957" spans="1:11" ht="42" customHeight="1">
      <c r="A13957" t="s">
        <v>27002</v>
      </c>
      <c r="B13957" t="s">
        <v>27003</v>
      </c>
      <c r="C13957" t="s">
        <v>16</v>
      </c>
      <c r="D13957" t="s">
        <v>17</v>
      </c>
      <c r="E13957" s="6">
        <v>-28478</v>
      </c>
      <c r="F13957" t="s">
        <v>1093</v>
      </c>
      <c r="G13957" t="s">
        <v>31</v>
      </c>
      <c r="H13957" t="s">
        <v>20</v>
      </c>
      <c r="I13957" t="s">
        <v>27004</v>
      </c>
      <c r="J13957" t="str">
        <f>HYPERLINK("https://www.boe.es/gazeta/dias/1822/01/10/pdfs/GMD-1822-10.pdf#page=3","Abrir facsímil")</f>
        <v>Abrir facsímil</v>
      </c>
      <c r="K13957" t="s">
        <v>22</v>
      </c>
    </row>
    <row r="13958" spans="1:11" ht="42" customHeight="1">
      <c r="A13958" t="s">
        <v>27005</v>
      </c>
      <c r="B13958" t="s">
        <v>27005</v>
      </c>
      <c r="C13958" t="s">
        <v>50</v>
      </c>
      <c r="D13958" t="s">
        <v>51</v>
      </c>
      <c r="E13958" s="6">
        <v>-28426</v>
      </c>
      <c r="F13958" t="s">
        <v>1178</v>
      </c>
      <c r="G13958" t="s">
        <v>35</v>
      </c>
      <c r="H13958" t="s">
        <v>20</v>
      </c>
      <c r="I13958" t="s">
        <v>27006</v>
      </c>
      <c r="J13958" t="str">
        <f>HYPERLINK("https://www.boe.es/gazeta/dias/1822/03/03/pdfs/GMD-1822-64.pdf#page=2","Abrir facsímil")</f>
        <v>Abrir facsímil</v>
      </c>
      <c r="K13958" t="s">
        <v>22</v>
      </c>
    </row>
    <row r="13959" spans="1:11" ht="42" customHeight="1">
      <c r="A13959" t="s">
        <v>27005</v>
      </c>
      <c r="B13959" t="s">
        <v>27005</v>
      </c>
      <c r="C13959" t="s">
        <v>28</v>
      </c>
      <c r="D13959" t="s">
        <v>29</v>
      </c>
      <c r="E13959" s="6">
        <v>-28426</v>
      </c>
      <c r="F13959" t="s">
        <v>1178</v>
      </c>
      <c r="G13959" t="s">
        <v>31</v>
      </c>
      <c r="H13959" t="s">
        <v>20</v>
      </c>
      <c r="I13959" t="s">
        <v>27007</v>
      </c>
      <c r="J13959" t="str">
        <f>HYPERLINK("https://www.boe.es/gazeta/dias/1822/03/03/pdfs/GMD-1822-64.pdf#page=3","Abrir facsímil")</f>
        <v>Abrir facsímil</v>
      </c>
      <c r="K13959" t="s">
        <v>22</v>
      </c>
    </row>
    <row r="13960" spans="1:11" ht="42" customHeight="1">
      <c r="A13960" t="s">
        <v>27005</v>
      </c>
      <c r="B13960" t="s">
        <v>27005</v>
      </c>
      <c r="C13960" t="s">
        <v>24</v>
      </c>
      <c r="D13960" t="s">
        <v>17</v>
      </c>
      <c r="E13960" s="6">
        <v>-28364</v>
      </c>
      <c r="F13960" t="s">
        <v>509</v>
      </c>
      <c r="G13960" t="s">
        <v>63</v>
      </c>
      <c r="H13960" t="s">
        <v>20</v>
      </c>
      <c r="I13960" t="s">
        <v>27008</v>
      </c>
      <c r="J13960" t="str">
        <f>HYPERLINK("https://www.boe.es/gazeta/dias/1822/05/04/pdfs/GMD-1822-126.pdf#page=6","Abrir facsímil")</f>
        <v>Abrir facsímil</v>
      </c>
      <c r="K13960" t="s">
        <v>22</v>
      </c>
    </row>
    <row r="13961" spans="1:11" ht="42" customHeight="1">
      <c r="A13961" t="s">
        <v>27005</v>
      </c>
      <c r="B13961" t="s">
        <v>27005</v>
      </c>
      <c r="C13961" t="s">
        <v>16</v>
      </c>
      <c r="D13961" t="s">
        <v>17</v>
      </c>
      <c r="E13961" s="6">
        <v>-28358</v>
      </c>
      <c r="F13961" t="s">
        <v>211</v>
      </c>
      <c r="G13961" t="s">
        <v>57</v>
      </c>
      <c r="H13961" t="s">
        <v>20</v>
      </c>
      <c r="I13961" t="s">
        <v>27009</v>
      </c>
      <c r="J13961" t="str">
        <f>HYPERLINK("https://www.boe.es/gazeta/dias/1822/05/10/pdfs/GMD-1822-132.pdf#page=4","Abrir facsímil")</f>
        <v>Abrir facsímil</v>
      </c>
      <c r="K13961" t="s">
        <v>22</v>
      </c>
    </row>
    <row r="13962" spans="1:11" ht="42" customHeight="1">
      <c r="A13962" t="s">
        <v>27005</v>
      </c>
      <c r="B13962" t="s">
        <v>27005</v>
      </c>
      <c r="C13962" t="s">
        <v>42</v>
      </c>
      <c r="D13962" t="s">
        <v>17</v>
      </c>
      <c r="E13962" s="6">
        <v>-28354</v>
      </c>
      <c r="F13962" t="s">
        <v>226</v>
      </c>
      <c r="G13962" t="s">
        <v>57</v>
      </c>
      <c r="H13962" t="s">
        <v>20</v>
      </c>
      <c r="I13962" t="s">
        <v>27010</v>
      </c>
      <c r="J13962" t="str">
        <f>HYPERLINK("https://www.boe.es/gazeta/dias/1822/05/14/pdfs/GMD-1822-136.pdf#page=4","Abrir facsímil")</f>
        <v>Abrir facsímil</v>
      </c>
      <c r="K13962" t="s">
        <v>22</v>
      </c>
    </row>
    <row r="13963" spans="1:11" ht="42" customHeight="1">
      <c r="A13963" t="s">
        <v>27005</v>
      </c>
      <c r="B13963" t="s">
        <v>27005</v>
      </c>
      <c r="C13963" t="s">
        <v>28</v>
      </c>
      <c r="D13963" t="s">
        <v>29</v>
      </c>
      <c r="E13963" s="6">
        <v>-28347</v>
      </c>
      <c r="F13963" t="s">
        <v>520</v>
      </c>
      <c r="G13963" t="s">
        <v>35</v>
      </c>
      <c r="H13963" t="s">
        <v>20</v>
      </c>
      <c r="I13963" t="s">
        <v>27011</v>
      </c>
      <c r="J13963" t="str">
        <f>HYPERLINK("https://www.boe.es/gazeta/dias/1822/05/21/pdfs/GMD-1822-144.pdf#page=2","Abrir facsímil")</f>
        <v>Abrir facsímil</v>
      </c>
      <c r="K13963" t="s">
        <v>22</v>
      </c>
    </row>
    <row r="13964" spans="1:11" ht="42" customHeight="1">
      <c r="A13964" t="s">
        <v>27005</v>
      </c>
      <c r="B13964" t="s">
        <v>27005</v>
      </c>
      <c r="C13964" t="s">
        <v>28</v>
      </c>
      <c r="D13964" t="s">
        <v>29</v>
      </c>
      <c r="E13964" s="6">
        <v>-28331</v>
      </c>
      <c r="F13964" t="s">
        <v>537</v>
      </c>
      <c r="G13964" t="s">
        <v>31</v>
      </c>
      <c r="H13964" t="s">
        <v>20</v>
      </c>
      <c r="I13964" t="s">
        <v>27012</v>
      </c>
      <c r="J13964" t="str">
        <f>HYPERLINK("https://www.boe.es/gazeta/dias/1822/06/06/pdfs/GMD-1822-163.pdf#page=3","Abrir facsímil")</f>
        <v>Abrir facsímil</v>
      </c>
      <c r="K13964" t="s">
        <v>22</v>
      </c>
    </row>
    <row r="13965" spans="1:11" ht="42" customHeight="1">
      <c r="A13965" t="s">
        <v>27005</v>
      </c>
      <c r="B13965" t="s">
        <v>27005</v>
      </c>
      <c r="C13965" t="s">
        <v>42</v>
      </c>
      <c r="D13965" t="s">
        <v>17</v>
      </c>
      <c r="E13965" s="6">
        <v>-28315</v>
      </c>
      <c r="F13965" t="s">
        <v>1220</v>
      </c>
      <c r="G13965" t="s">
        <v>19</v>
      </c>
      <c r="H13965" t="s">
        <v>20</v>
      </c>
      <c r="I13965" t="s">
        <v>27013</v>
      </c>
      <c r="J13965" t="str">
        <f>HYPERLINK("https://www.boe.es/gazeta/dias/1822/06/22/pdfs/GMD-1822-180.pdf#page=5","Abrir facsímil")</f>
        <v>Abrir facsímil</v>
      </c>
      <c r="K13965" t="s">
        <v>22</v>
      </c>
    </row>
    <row r="13966" spans="1:11" ht="42" customHeight="1">
      <c r="A13966" t="s">
        <v>27005</v>
      </c>
      <c r="B13966" t="s">
        <v>27005</v>
      </c>
      <c r="C13966" t="s">
        <v>50</v>
      </c>
      <c r="D13966" t="s">
        <v>51</v>
      </c>
      <c r="E13966" s="6">
        <v>-28314</v>
      </c>
      <c r="F13966" t="s">
        <v>309</v>
      </c>
      <c r="G13966" t="s">
        <v>35</v>
      </c>
      <c r="H13966" t="s">
        <v>20</v>
      </c>
      <c r="I13966" t="s">
        <v>27014</v>
      </c>
      <c r="J13966" t="str">
        <f>HYPERLINK("https://www.boe.es/gazeta/dias/1822/06/23/pdfs/GMD-1822-181.pdf#page=2","Abrir facsímil")</f>
        <v>Abrir facsímil</v>
      </c>
      <c r="K13966" t="s">
        <v>22</v>
      </c>
    </row>
    <row r="13967" spans="1:11" ht="42" customHeight="1">
      <c r="A13967" t="s">
        <v>27005</v>
      </c>
      <c r="B13967" t="s">
        <v>27005</v>
      </c>
      <c r="C13967" t="s">
        <v>42</v>
      </c>
      <c r="D13967" t="s">
        <v>17</v>
      </c>
      <c r="E13967" s="6">
        <v>-28211</v>
      </c>
      <c r="F13967" t="s">
        <v>273</v>
      </c>
      <c r="G13967" t="s">
        <v>57</v>
      </c>
      <c r="H13967" t="s">
        <v>20</v>
      </c>
      <c r="I13967" t="s">
        <v>27015</v>
      </c>
      <c r="J13967" t="str">
        <f>HYPERLINK("https://www.boe.es/gazeta/dias/1822/10/04/pdfs/GMD-1822-290.pdf#page=4","Abrir facsímil")</f>
        <v>Abrir facsímil</v>
      </c>
      <c r="K13967" t="s">
        <v>22</v>
      </c>
    </row>
    <row r="13968" spans="1:11" ht="42" customHeight="1">
      <c r="A13968" t="s">
        <v>27005</v>
      </c>
      <c r="B13968" t="s">
        <v>27005</v>
      </c>
      <c r="C13968" t="s">
        <v>71</v>
      </c>
      <c r="D13968" t="s">
        <v>17</v>
      </c>
      <c r="E13968" s="6">
        <v>-28206</v>
      </c>
      <c r="F13968" t="s">
        <v>562</v>
      </c>
      <c r="G13968" t="s">
        <v>35</v>
      </c>
      <c r="H13968" t="s">
        <v>20</v>
      </c>
      <c r="I13968" t="s">
        <v>27016</v>
      </c>
      <c r="J13968" t="str">
        <f>HYPERLINK("https://www.boe.es/gazeta/dias/1822/10/09/pdfs/GMD-1822-296.pdf#page=2","Abrir facsímil")</f>
        <v>Abrir facsímil</v>
      </c>
      <c r="K13968" t="s">
        <v>22</v>
      </c>
    </row>
    <row r="13969" spans="1:11" ht="42" customHeight="1">
      <c r="A13969" t="s">
        <v>27005</v>
      </c>
      <c r="B13969" t="s">
        <v>27005</v>
      </c>
      <c r="C13969" t="s">
        <v>28</v>
      </c>
      <c r="D13969" t="s">
        <v>29</v>
      </c>
      <c r="E13969" s="6">
        <v>-28191</v>
      </c>
      <c r="F13969" t="s">
        <v>710</v>
      </c>
      <c r="G13969" t="s">
        <v>63</v>
      </c>
      <c r="H13969" t="s">
        <v>20</v>
      </c>
      <c r="I13969" t="s">
        <v>27017</v>
      </c>
      <c r="J13969" t="str">
        <f>HYPERLINK("https://www.boe.es/gazeta/dias/1822/10/24/pdfs/GMD-1822-311.pdf#page=6","Abrir facsímil")</f>
        <v>Abrir facsímil</v>
      </c>
      <c r="K13969" t="s">
        <v>22</v>
      </c>
    </row>
    <row r="13970" spans="1:11" ht="42" customHeight="1">
      <c r="A13970" t="s">
        <v>27005</v>
      </c>
      <c r="B13970" t="s">
        <v>27005</v>
      </c>
      <c r="C13970" t="s">
        <v>42</v>
      </c>
      <c r="D13970" t="s">
        <v>17</v>
      </c>
      <c r="E13970" s="6">
        <v>-28176</v>
      </c>
      <c r="F13970" t="s">
        <v>780</v>
      </c>
      <c r="G13970" t="s">
        <v>31</v>
      </c>
      <c r="H13970" t="s">
        <v>20</v>
      </c>
      <c r="I13970" t="s">
        <v>27018</v>
      </c>
      <c r="J13970" t="str">
        <f>HYPERLINK("https://www.boe.es/gazeta/dias/1822/11/08/pdfs/GMD-1822-328.pdf#page=3","Abrir facsímil")</f>
        <v>Abrir facsímil</v>
      </c>
      <c r="K13970" t="s">
        <v>22</v>
      </c>
    </row>
    <row r="13971" spans="1:11" ht="42" customHeight="1">
      <c r="A13971" t="s">
        <v>27005</v>
      </c>
      <c r="B13971" t="s">
        <v>27005</v>
      </c>
      <c r="C13971" t="s">
        <v>71</v>
      </c>
      <c r="D13971" t="s">
        <v>17</v>
      </c>
      <c r="E13971" s="6">
        <v>-28174</v>
      </c>
      <c r="F13971" t="s">
        <v>881</v>
      </c>
      <c r="G13971" t="s">
        <v>63</v>
      </c>
      <c r="H13971" t="s">
        <v>20</v>
      </c>
      <c r="I13971" t="s">
        <v>27019</v>
      </c>
      <c r="J13971" t="str">
        <f>HYPERLINK("https://www.boe.es/gazeta/dias/1822/11/10/pdfs/GMD-1822-330.pdf#page=6","Abrir facsímil")</f>
        <v>Abrir facsímil</v>
      </c>
      <c r="K13971" t="s">
        <v>22</v>
      </c>
    </row>
    <row r="13972" spans="1:11" ht="42" customHeight="1">
      <c r="A13972" t="s">
        <v>27020</v>
      </c>
      <c r="B13972" t="s">
        <v>27020</v>
      </c>
      <c r="C13972" t="s">
        <v>71</v>
      </c>
      <c r="D13972" t="s">
        <v>17</v>
      </c>
      <c r="E13972" s="6">
        <v>-28422</v>
      </c>
      <c r="F13972" t="s">
        <v>416</v>
      </c>
      <c r="G13972" t="s">
        <v>35</v>
      </c>
      <c r="H13972" t="s">
        <v>20</v>
      </c>
      <c r="I13972" t="s">
        <v>27021</v>
      </c>
      <c r="J13972" t="str">
        <f>HYPERLINK("https://www.boe.es/gazeta/dias/1822/03/07/pdfs/GMD-1822-68.pdf#page=2","Abrir facsímil")</f>
        <v>Abrir facsímil</v>
      </c>
      <c r="K13972" t="s">
        <v>22</v>
      </c>
    </row>
    <row r="13973" spans="1:11" ht="42" customHeight="1">
      <c r="A13973" t="s">
        <v>27022</v>
      </c>
      <c r="B13973" t="s">
        <v>27022</v>
      </c>
      <c r="C13973" t="s">
        <v>50</v>
      </c>
      <c r="D13973" t="s">
        <v>51</v>
      </c>
      <c r="E13973" s="6">
        <v>-28162</v>
      </c>
      <c r="F13973" t="s">
        <v>3949</v>
      </c>
      <c r="G13973" t="s">
        <v>31</v>
      </c>
      <c r="H13973" t="s">
        <v>20</v>
      </c>
      <c r="I13973" t="s">
        <v>27023</v>
      </c>
      <c r="J13973" t="str">
        <f>HYPERLINK("https://www.boe.es/gazeta/dias/1822/11/22/pdfs/GMD-1822-342.pdf#page=3","Abrir facsímil")</f>
        <v>Abrir facsímil</v>
      </c>
      <c r="K13973" t="s">
        <v>22</v>
      </c>
    </row>
    <row r="13974" spans="1:11" ht="42" customHeight="1">
      <c r="A13974" t="s">
        <v>27024</v>
      </c>
      <c r="B13974" t="s">
        <v>27024</v>
      </c>
      <c r="C13974" t="s">
        <v>61</v>
      </c>
      <c r="D13974" t="s">
        <v>17</v>
      </c>
      <c r="E13974" s="6">
        <v>-28370</v>
      </c>
      <c r="F13974" t="s">
        <v>207</v>
      </c>
      <c r="G13974" t="s">
        <v>63</v>
      </c>
      <c r="H13974" t="s">
        <v>20</v>
      </c>
      <c r="I13974" t="s">
        <v>27025</v>
      </c>
      <c r="J13974" t="str">
        <f>HYPERLINK("https://www.boe.es/gazeta/dias/1822/04/28/pdfs/GMD-1822-120.pdf#page=6","Abrir facsímil")</f>
        <v>Abrir facsímil</v>
      </c>
      <c r="K13974" t="s">
        <v>22</v>
      </c>
    </row>
    <row r="13975" spans="1:11" ht="42" customHeight="1">
      <c r="A13975" t="s">
        <v>27026</v>
      </c>
      <c r="B13975" t="s">
        <v>27026</v>
      </c>
      <c r="C13975" t="s">
        <v>50</v>
      </c>
      <c r="D13975" t="s">
        <v>51</v>
      </c>
      <c r="E13975" s="6">
        <v>-28415</v>
      </c>
      <c r="F13975" t="s">
        <v>77</v>
      </c>
      <c r="G13975" t="s">
        <v>57</v>
      </c>
      <c r="H13975" t="s">
        <v>20</v>
      </c>
      <c r="I13975" t="s">
        <v>27027</v>
      </c>
      <c r="J13975" t="str">
        <f>HYPERLINK("https://www.boe.es/gazeta/dias/1822/03/14/pdfs/GMD-1822-75.pdf#page=4","Abrir facsímil")</f>
        <v>Abrir facsímil</v>
      </c>
      <c r="K13975" t="s">
        <v>22</v>
      </c>
    </row>
    <row r="13976" spans="1:11" ht="42" customHeight="1">
      <c r="A13976" t="s">
        <v>27028</v>
      </c>
      <c r="B13976" t="s">
        <v>27028</v>
      </c>
      <c r="C13976" t="s">
        <v>50</v>
      </c>
      <c r="D13976" t="s">
        <v>51</v>
      </c>
      <c r="E13976" s="6">
        <v>-28158</v>
      </c>
      <c r="F13976" t="s">
        <v>590</v>
      </c>
      <c r="G13976" t="s">
        <v>19</v>
      </c>
      <c r="H13976" t="s">
        <v>20</v>
      </c>
      <c r="I13976" t="s">
        <v>27029</v>
      </c>
      <c r="J13976" t="str">
        <f>HYPERLINK("https://www.boe.es/gazeta/dias/1822/11/26/pdfs/GMD-1822-346.pdf#page=5","Abrir facsímil")</f>
        <v>Abrir facsímil</v>
      </c>
      <c r="K13976" t="s">
        <v>22</v>
      </c>
    </row>
    <row r="13977" spans="1:11" ht="42" customHeight="1">
      <c r="A13977" t="s">
        <v>27030</v>
      </c>
      <c r="B13977" t="s">
        <v>27031</v>
      </c>
      <c r="C13977" t="s">
        <v>50</v>
      </c>
      <c r="D13977" t="s">
        <v>51</v>
      </c>
      <c r="E13977" s="6">
        <v>-28283</v>
      </c>
      <c r="F13977" t="s">
        <v>1477</v>
      </c>
      <c r="G13977" t="s">
        <v>31</v>
      </c>
      <c r="H13977" t="s">
        <v>20</v>
      </c>
      <c r="I13977" t="s">
        <v>27032</v>
      </c>
      <c r="J13977" t="str">
        <f>HYPERLINK("https://www.boe.es/gazeta/dias/1822/07/24/pdfs/GMD-1822-217.pdf#page=3","Abrir facsímil")</f>
        <v>Abrir facsímil</v>
      </c>
      <c r="K13977" t="s">
        <v>22</v>
      </c>
    </row>
    <row r="13978" spans="1:11" ht="42" customHeight="1">
      <c r="A13978" t="s">
        <v>27033</v>
      </c>
      <c r="B13978" t="s">
        <v>27034</v>
      </c>
      <c r="C13978" t="s">
        <v>362</v>
      </c>
      <c r="D13978" t="s">
        <v>17</v>
      </c>
      <c r="E13978" s="6">
        <v>-28432</v>
      </c>
      <c r="F13978" t="s">
        <v>195</v>
      </c>
      <c r="G13978" t="s">
        <v>57</v>
      </c>
      <c r="H13978" t="s">
        <v>20</v>
      </c>
      <c r="I13978" t="s">
        <v>27035</v>
      </c>
      <c r="J13978" t="str">
        <f>HYPERLINK("https://www.boe.es/gazeta/dias/1822/02/25/pdfs/GMD-1822-57.pdf#page=4","Abrir facsímil")</f>
        <v>Abrir facsímil</v>
      </c>
      <c r="K13978" t="s">
        <v>22</v>
      </c>
    </row>
    <row r="13979" spans="1:11" ht="42" customHeight="1">
      <c r="A13979" t="s">
        <v>27036</v>
      </c>
      <c r="B13979" t="s">
        <v>27037</v>
      </c>
      <c r="C13979" t="s">
        <v>50</v>
      </c>
      <c r="D13979" t="s">
        <v>51</v>
      </c>
      <c r="E13979" s="6">
        <v>-28398</v>
      </c>
      <c r="F13979" t="s">
        <v>1961</v>
      </c>
      <c r="G13979" t="s">
        <v>35</v>
      </c>
      <c r="H13979" t="s">
        <v>20</v>
      </c>
      <c r="I13979" t="s">
        <v>27038</v>
      </c>
      <c r="J13979" t="str">
        <f>HYPERLINK("https://www.boe.es/gazeta/dias/1822/03/31/pdfs/GMD-1822-92.pdf#page=2","Abrir facsímil")</f>
        <v>Abrir facsímil</v>
      </c>
      <c r="K13979" t="s">
        <v>22</v>
      </c>
    </row>
    <row r="13980" spans="1:11" ht="42" customHeight="1">
      <c r="A13980" t="s">
        <v>27039</v>
      </c>
      <c r="B13980" t="s">
        <v>27040</v>
      </c>
      <c r="C13980" t="s">
        <v>50</v>
      </c>
      <c r="D13980" t="s">
        <v>51</v>
      </c>
      <c r="E13980" s="6">
        <v>-28349</v>
      </c>
      <c r="F13980" t="s">
        <v>518</v>
      </c>
      <c r="G13980" t="s">
        <v>57</v>
      </c>
      <c r="H13980" t="s">
        <v>20</v>
      </c>
      <c r="I13980" t="s">
        <v>27041</v>
      </c>
      <c r="J13980" t="str">
        <f>HYPERLINK("https://www.boe.es/gazeta/dias/1822/05/19/pdfs/GMD-1822-141.pdf#page=4","Abrir facsímil")</f>
        <v>Abrir facsímil</v>
      </c>
      <c r="K13980" t="s">
        <v>22</v>
      </c>
    </row>
    <row r="13981" spans="1:11" ht="42" customHeight="1">
      <c r="A13981" t="s">
        <v>27042</v>
      </c>
      <c r="B13981" t="s">
        <v>27043</v>
      </c>
      <c r="C13981" t="s">
        <v>16</v>
      </c>
      <c r="D13981" t="s">
        <v>17</v>
      </c>
      <c r="E13981" s="6">
        <v>-28382</v>
      </c>
      <c r="F13981" t="s">
        <v>973</v>
      </c>
      <c r="G13981" t="s">
        <v>63</v>
      </c>
      <c r="H13981" t="s">
        <v>20</v>
      </c>
      <c r="I13981" t="s">
        <v>27044</v>
      </c>
      <c r="J13981" t="str">
        <f>HYPERLINK("https://www.boe.es/gazeta/dias/1822/04/16/pdfs/GMD-1822-108.pdf#page=6","Abrir facsímil")</f>
        <v>Abrir facsímil</v>
      </c>
      <c r="K13981" t="s">
        <v>22</v>
      </c>
    </row>
    <row r="13982" spans="1:11" ht="42" customHeight="1">
      <c r="A13982" t="s">
        <v>27045</v>
      </c>
      <c r="B13982" t="s">
        <v>27046</v>
      </c>
      <c r="C13982" t="s">
        <v>61</v>
      </c>
      <c r="D13982" t="s">
        <v>17</v>
      </c>
      <c r="E13982" s="6">
        <v>-28258</v>
      </c>
      <c r="F13982" t="s">
        <v>88</v>
      </c>
      <c r="G13982" t="s">
        <v>31</v>
      </c>
      <c r="H13982" t="s">
        <v>20</v>
      </c>
      <c r="I13982" t="s">
        <v>27047</v>
      </c>
      <c r="J13982" t="str">
        <f>HYPERLINK("https://www.boe.es/gazeta/dias/1822/08/18/pdfs/GMD-1822-242.pdf#page=3","Abrir facsímil")</f>
        <v>Abrir facsímil</v>
      </c>
      <c r="K13982" t="s">
        <v>22</v>
      </c>
    </row>
    <row r="13983" spans="1:11" ht="42" customHeight="1">
      <c r="A13983" t="s">
        <v>27048</v>
      </c>
      <c r="B13983" t="s">
        <v>27049</v>
      </c>
      <c r="C13983" t="s">
        <v>50</v>
      </c>
      <c r="D13983" t="s">
        <v>51</v>
      </c>
      <c r="E13983" s="6">
        <v>-28227</v>
      </c>
      <c r="F13983" t="s">
        <v>2148</v>
      </c>
      <c r="G13983" t="s">
        <v>31</v>
      </c>
      <c r="H13983" t="s">
        <v>20</v>
      </c>
      <c r="I13983" t="s">
        <v>27050</v>
      </c>
      <c r="J13983" t="str">
        <f>HYPERLINK("https://www.boe.es/gazeta/dias/1822/09/18/pdfs/GMD-1822-274.pdf#page=3","Abrir facsímil")</f>
        <v>Abrir facsímil</v>
      </c>
      <c r="K13983" t="s">
        <v>22</v>
      </c>
    </row>
    <row r="13984" spans="1:11" ht="42" customHeight="1">
      <c r="A13984" t="s">
        <v>27051</v>
      </c>
      <c r="B13984" t="s">
        <v>27052</v>
      </c>
      <c r="C13984" t="s">
        <v>42</v>
      </c>
      <c r="D13984" t="s">
        <v>17</v>
      </c>
      <c r="E13984" s="6">
        <v>-28375</v>
      </c>
      <c r="F13984" t="s">
        <v>2035</v>
      </c>
      <c r="G13984" t="s">
        <v>35</v>
      </c>
      <c r="H13984" t="s">
        <v>20</v>
      </c>
      <c r="I13984" t="s">
        <v>27053</v>
      </c>
      <c r="J13984" t="str">
        <f>HYPERLINK("https://www.boe.es/gazeta/dias/1822/04/23/pdfs/GMD-1822-115.pdf#page=2","Abrir facsímil")</f>
        <v>Abrir facsímil</v>
      </c>
      <c r="K13984" t="s">
        <v>22</v>
      </c>
    </row>
    <row r="13985" spans="1:11" ht="42" customHeight="1">
      <c r="A13985" t="s">
        <v>27054</v>
      </c>
      <c r="B13985" t="s">
        <v>27055</v>
      </c>
      <c r="C13985" t="s">
        <v>50</v>
      </c>
      <c r="D13985" t="s">
        <v>51</v>
      </c>
      <c r="E13985" s="6">
        <v>-28259</v>
      </c>
      <c r="F13985" t="s">
        <v>1912</v>
      </c>
      <c r="G13985" t="s">
        <v>44</v>
      </c>
      <c r="H13985" t="s">
        <v>20</v>
      </c>
      <c r="I13985" t="s">
        <v>27056</v>
      </c>
      <c r="J13985" t="str">
        <f>HYPERLINK("https://www.boe.es/gazeta/dias/1822/08/17/pdfs/GMD-1822-241.pdf#page=1","Abrir facsímil")</f>
        <v>Abrir facsímil</v>
      </c>
      <c r="K13985" t="s">
        <v>22</v>
      </c>
    </row>
    <row r="13986" spans="1:11" ht="42" customHeight="1">
      <c r="A13986" t="s">
        <v>27057</v>
      </c>
      <c r="B13986" t="s">
        <v>27058</v>
      </c>
      <c r="C13986" t="s">
        <v>50</v>
      </c>
      <c r="D13986" t="s">
        <v>51</v>
      </c>
      <c r="E13986" s="6">
        <v>-28150</v>
      </c>
      <c r="F13986" t="s">
        <v>62</v>
      </c>
      <c r="G13986" t="s">
        <v>63</v>
      </c>
      <c r="H13986" t="s">
        <v>20</v>
      </c>
      <c r="I13986" t="s">
        <v>27059</v>
      </c>
      <c r="J13986" t="str">
        <f>HYPERLINK("https://www.boe.es/gazeta/dias/1822/12/04/pdfs/GMD-1822-354.pdf#page=6","Abrir facsímil")</f>
        <v>Abrir facsímil</v>
      </c>
      <c r="K13986" t="s">
        <v>22</v>
      </c>
    </row>
    <row r="13987" spans="1:11" ht="42" customHeight="1">
      <c r="A13987" t="s">
        <v>27060</v>
      </c>
      <c r="B13987" t="s">
        <v>27060</v>
      </c>
      <c r="C13987" t="s">
        <v>24</v>
      </c>
      <c r="D13987" t="s">
        <v>17</v>
      </c>
      <c r="E13987" s="6">
        <v>-28447</v>
      </c>
      <c r="F13987" t="s">
        <v>997</v>
      </c>
      <c r="G13987" t="s">
        <v>57</v>
      </c>
      <c r="H13987" t="s">
        <v>20</v>
      </c>
      <c r="I13987" t="s">
        <v>27061</v>
      </c>
      <c r="J13987" t="str">
        <f>HYPERLINK("https://www.boe.es/gazeta/dias/1822/02/10/pdfs/GMD-1822-41.pdf#page=4","Abrir facsímil")</f>
        <v>Abrir facsímil</v>
      </c>
      <c r="K13987" t="s">
        <v>22</v>
      </c>
    </row>
    <row r="13988" spans="1:11" ht="42" customHeight="1">
      <c r="A13988" t="s">
        <v>27062</v>
      </c>
      <c r="B13988" t="s">
        <v>27062</v>
      </c>
      <c r="C13988" t="s">
        <v>71</v>
      </c>
      <c r="D13988" t="s">
        <v>17</v>
      </c>
      <c r="E13988" s="6">
        <v>-28415</v>
      </c>
      <c r="F13988" t="s">
        <v>77</v>
      </c>
      <c r="G13988" t="s">
        <v>19</v>
      </c>
      <c r="H13988" t="s">
        <v>20</v>
      </c>
      <c r="I13988" t="s">
        <v>27063</v>
      </c>
      <c r="J13988" t="str">
        <f>HYPERLINK("https://www.boe.es/gazeta/dias/1822/03/14/pdfs/GMD-1822-75.pdf#page=5","Abrir facsímil")</f>
        <v>Abrir facsímil</v>
      </c>
      <c r="K13988" t="s">
        <v>22</v>
      </c>
    </row>
    <row r="13989" spans="1:11" ht="42" customHeight="1">
      <c r="A13989" t="s">
        <v>27062</v>
      </c>
      <c r="B13989" t="s">
        <v>27062</v>
      </c>
      <c r="C13989" t="s">
        <v>50</v>
      </c>
      <c r="D13989" t="s">
        <v>51</v>
      </c>
      <c r="E13989" s="6">
        <v>-28365</v>
      </c>
      <c r="F13989" t="s">
        <v>506</v>
      </c>
      <c r="G13989" t="s">
        <v>35</v>
      </c>
      <c r="H13989" t="s">
        <v>20</v>
      </c>
      <c r="I13989" t="s">
        <v>27064</v>
      </c>
      <c r="J13989" t="str">
        <f>HYPERLINK("https://www.boe.es/gazeta/dias/1822/05/03/pdfs/GMD-1822-125.pdf#page=2","Abrir facsímil")</f>
        <v>Abrir facsímil</v>
      </c>
      <c r="K13989" t="s">
        <v>22</v>
      </c>
    </row>
    <row r="13990" spans="1:11" ht="42" customHeight="1">
      <c r="A13990" t="s">
        <v>27062</v>
      </c>
      <c r="B13990" t="s">
        <v>27062</v>
      </c>
      <c r="C13990" t="s">
        <v>28</v>
      </c>
      <c r="D13990" t="s">
        <v>29</v>
      </c>
      <c r="E13990" s="6">
        <v>-28184</v>
      </c>
      <c r="F13990" t="s">
        <v>1423</v>
      </c>
      <c r="G13990" t="s">
        <v>35</v>
      </c>
      <c r="H13990" t="s">
        <v>20</v>
      </c>
      <c r="I13990" t="s">
        <v>27065</v>
      </c>
      <c r="J13990" t="str">
        <f>HYPERLINK("https://www.boe.es/gazeta/dias/1822/10/31/pdfs/GMD-1822-318.pdf#page=2","Abrir facsímil")</f>
        <v>Abrir facsímil</v>
      </c>
      <c r="K13990" t="s">
        <v>22</v>
      </c>
    </row>
    <row r="13991" spans="1:11" ht="42" customHeight="1">
      <c r="A13991" t="s">
        <v>27066</v>
      </c>
      <c r="B13991" t="s">
        <v>27067</v>
      </c>
      <c r="C13991" t="s">
        <v>61</v>
      </c>
      <c r="D13991" t="s">
        <v>17</v>
      </c>
      <c r="E13991" s="6">
        <v>-28398</v>
      </c>
      <c r="F13991" t="s">
        <v>1961</v>
      </c>
      <c r="G13991" t="s">
        <v>35</v>
      </c>
      <c r="H13991" t="s">
        <v>45</v>
      </c>
      <c r="I13991" t="s">
        <v>27068</v>
      </c>
      <c r="J13991" t="str">
        <f>HYPERLINK("https://www.boe.es/gazeta/dias/1822/03/31/pdfs/GMD-1822-92.pdf#page=2","Abrir facsímil")</f>
        <v>Abrir facsímil</v>
      </c>
      <c r="K13991" t="s">
        <v>47</v>
      </c>
    </row>
    <row r="13992" spans="1:11" ht="42" customHeight="1">
      <c r="A13992" t="s">
        <v>27069</v>
      </c>
      <c r="B13992" t="s">
        <v>27070</v>
      </c>
      <c r="C13992" t="s">
        <v>50</v>
      </c>
      <c r="D13992" t="s">
        <v>51</v>
      </c>
      <c r="E13992" s="6">
        <v>-28366</v>
      </c>
      <c r="F13992" t="s">
        <v>120</v>
      </c>
      <c r="G13992" t="s">
        <v>63</v>
      </c>
      <c r="H13992" t="s">
        <v>20</v>
      </c>
      <c r="I13992" t="s">
        <v>27071</v>
      </c>
      <c r="J13992" t="str">
        <f>HYPERLINK("https://www.boe.es/gazeta/dias/1822/05/02/pdfs/GMD-1822-124.pdf#page=6","Abrir facsímil")</f>
        <v>Abrir facsímil</v>
      </c>
      <c r="K13992" t="s">
        <v>22</v>
      </c>
    </row>
    <row r="13993" spans="1:11" ht="42" customHeight="1">
      <c r="A13993" t="s">
        <v>27072</v>
      </c>
      <c r="B13993" t="s">
        <v>27073</v>
      </c>
      <c r="C13993" t="s">
        <v>50</v>
      </c>
      <c r="D13993" t="s">
        <v>51</v>
      </c>
      <c r="E13993" s="6">
        <v>-28396</v>
      </c>
      <c r="F13993" t="s">
        <v>1138</v>
      </c>
      <c r="G13993" t="s">
        <v>167</v>
      </c>
      <c r="H13993" t="s">
        <v>20</v>
      </c>
      <c r="I13993" t="s">
        <v>27074</v>
      </c>
      <c r="J13993" t="str">
        <f>HYPERLINK("https://www.boe.es/gazeta/dias/1822/04/02/pdfs/GMD-1822-94.pdf#page=7","Abrir facsímil")</f>
        <v>Abrir facsímil</v>
      </c>
      <c r="K13993" t="s">
        <v>22</v>
      </c>
    </row>
    <row r="13994" spans="1:11" ht="42" customHeight="1">
      <c r="A13994" t="s">
        <v>27075</v>
      </c>
      <c r="B13994" t="s">
        <v>27076</v>
      </c>
      <c r="C13994" t="s">
        <v>24</v>
      </c>
      <c r="D13994" t="s">
        <v>17</v>
      </c>
      <c r="E13994" s="6">
        <v>-28450</v>
      </c>
      <c r="F13994" t="s">
        <v>1450</v>
      </c>
      <c r="G13994" t="s">
        <v>2247</v>
      </c>
      <c r="H13994" t="s">
        <v>20</v>
      </c>
      <c r="I13994" t="s">
        <v>27077</v>
      </c>
      <c r="J13994" t="str">
        <f>HYPERLINK("https://www.boe.es/gazeta/dias/1822/02/07/pdfs/GMD-1822-38.pdf#page=6","Abrir facsímil")</f>
        <v>Abrir facsímil</v>
      </c>
      <c r="K13994" t="s">
        <v>22</v>
      </c>
    </row>
    <row r="13995" spans="1:11" ht="42" customHeight="1">
      <c r="A13995" t="s">
        <v>27078</v>
      </c>
      <c r="B13995" t="s">
        <v>27079</v>
      </c>
      <c r="C13995" t="s">
        <v>28</v>
      </c>
      <c r="D13995" t="s">
        <v>29</v>
      </c>
      <c r="E13995" s="6">
        <v>-28316</v>
      </c>
      <c r="F13995" t="s">
        <v>1144</v>
      </c>
      <c r="G13995" t="s">
        <v>63</v>
      </c>
      <c r="H13995" t="s">
        <v>20</v>
      </c>
      <c r="I13995" t="s">
        <v>27080</v>
      </c>
      <c r="J13995" t="str">
        <f>HYPERLINK("https://www.boe.es/gazeta/dias/1822/06/21/pdfs/GMD-1822-179.pdf#page=6","Abrir facsímil")</f>
        <v>Abrir facsímil</v>
      </c>
      <c r="K13995" t="s">
        <v>22</v>
      </c>
    </row>
    <row r="13996" spans="1:11" ht="42" customHeight="1">
      <c r="A13996" t="s">
        <v>27081</v>
      </c>
      <c r="B13996" t="s">
        <v>27082</v>
      </c>
      <c r="C13996" t="s">
        <v>16</v>
      </c>
      <c r="D13996" t="s">
        <v>17</v>
      </c>
      <c r="E13996" s="6">
        <v>-28367</v>
      </c>
      <c r="F13996" t="s">
        <v>280</v>
      </c>
      <c r="G13996" t="s">
        <v>63</v>
      </c>
      <c r="H13996" t="s">
        <v>20</v>
      </c>
      <c r="I13996" t="s">
        <v>27083</v>
      </c>
      <c r="J13996" t="str">
        <f>HYPERLINK("https://www.boe.es/gazeta/dias/1822/05/01/pdfs/GMD-1822-123.pdf#page=6","Abrir facsímil")</f>
        <v>Abrir facsímil</v>
      </c>
      <c r="K13996" t="s">
        <v>22</v>
      </c>
    </row>
    <row r="13997" spans="1:11" ht="42" customHeight="1">
      <c r="A13997" t="s">
        <v>27084</v>
      </c>
      <c r="B13997" t="s">
        <v>27085</v>
      </c>
      <c r="C13997" t="s">
        <v>28</v>
      </c>
      <c r="D13997" t="s">
        <v>29</v>
      </c>
      <c r="E13997" s="6">
        <v>-28368</v>
      </c>
      <c r="F13997" t="s">
        <v>126</v>
      </c>
      <c r="G13997" t="s">
        <v>44</v>
      </c>
      <c r="H13997" t="s">
        <v>45</v>
      </c>
      <c r="I13997" t="s">
        <v>27086</v>
      </c>
      <c r="J13997" t="str">
        <f>HYPERLINK("https://www.boe.es/gazeta/dias/1822/04/30/pdfs/GMD-1822-122.pdf#page=1","Abrir facsímil")</f>
        <v>Abrir facsímil</v>
      </c>
      <c r="K13997" t="s">
        <v>47</v>
      </c>
    </row>
    <row r="13998" spans="1:11" ht="42" customHeight="1">
      <c r="A13998" t="s">
        <v>27087</v>
      </c>
      <c r="B13998" t="s">
        <v>27088</v>
      </c>
      <c r="C13998" t="s">
        <v>16</v>
      </c>
      <c r="D13998" t="s">
        <v>17</v>
      </c>
      <c r="E13998" s="6">
        <v>-28444</v>
      </c>
      <c r="F13998" t="s">
        <v>681</v>
      </c>
      <c r="G13998" t="s">
        <v>57</v>
      </c>
      <c r="H13998" t="s">
        <v>20</v>
      </c>
      <c r="I13998" t="s">
        <v>27089</v>
      </c>
      <c r="J13998" t="str">
        <f>HYPERLINK("https://www.boe.es/gazeta/dias/1822/02/13/pdfs/GMD-1822-44.pdf#page=4","Abrir facsímil")</f>
        <v>Abrir facsímil</v>
      </c>
      <c r="K13998" t="s">
        <v>22</v>
      </c>
    </row>
    <row r="13999" spans="1:11" ht="42" customHeight="1">
      <c r="A13999" t="s">
        <v>27090</v>
      </c>
      <c r="B13999" t="s">
        <v>27091</v>
      </c>
      <c r="C13999" t="s">
        <v>28</v>
      </c>
      <c r="D13999" t="s">
        <v>29</v>
      </c>
      <c r="E13999" s="6">
        <v>-28443</v>
      </c>
      <c r="F13999" t="s">
        <v>668</v>
      </c>
      <c r="G13999" t="s">
        <v>35</v>
      </c>
      <c r="H13999" t="s">
        <v>20</v>
      </c>
      <c r="I13999" t="s">
        <v>27092</v>
      </c>
      <c r="J13999" t="str">
        <f>HYPERLINK("https://www.boe.es/gazeta/dias/1822/02/14/pdfs/GMD-1822-45.pdf#page=2","Abrir facsímil")</f>
        <v>Abrir facsímil</v>
      </c>
      <c r="K13999" t="s">
        <v>22</v>
      </c>
    </row>
    <row r="14000" spans="1:11" ht="42" customHeight="1">
      <c r="A14000" t="s">
        <v>27093</v>
      </c>
      <c r="B14000" t="s">
        <v>27094</v>
      </c>
      <c r="C14000" t="s">
        <v>71</v>
      </c>
      <c r="D14000" t="s">
        <v>17</v>
      </c>
      <c r="E14000" s="6">
        <v>-28476</v>
      </c>
      <c r="F14000" t="s">
        <v>160</v>
      </c>
      <c r="G14000" t="s">
        <v>31</v>
      </c>
      <c r="H14000" t="s">
        <v>20</v>
      </c>
      <c r="I14000" t="s">
        <v>27095</v>
      </c>
      <c r="J14000" t="str">
        <f>HYPERLINK("https://www.boe.es/gazeta/dias/1822/01/12/pdfs/GMD-1822-12.pdf#page=3","Abrir facsímil")</f>
        <v>Abrir facsímil</v>
      </c>
      <c r="K14000" t="s">
        <v>22</v>
      </c>
    </row>
    <row r="14001" spans="1:11" ht="42" customHeight="1">
      <c r="A14001" t="s">
        <v>27096</v>
      </c>
      <c r="B14001" t="s">
        <v>27096</v>
      </c>
      <c r="C14001" t="s">
        <v>71</v>
      </c>
      <c r="D14001" t="s">
        <v>17</v>
      </c>
      <c r="E14001" s="6">
        <v>-28477</v>
      </c>
      <c r="F14001" t="s">
        <v>1668</v>
      </c>
      <c r="G14001" t="s">
        <v>31</v>
      </c>
      <c r="H14001" t="s">
        <v>20</v>
      </c>
      <c r="I14001" t="s">
        <v>27097</v>
      </c>
      <c r="J14001" t="str">
        <f>HYPERLINK("https://www.boe.es/gazeta/dias/1822/01/11/pdfs/GMD-1822-11.pdf#page=3","Abrir facsímil")</f>
        <v>Abrir facsímil</v>
      </c>
      <c r="K14001" t="s">
        <v>22</v>
      </c>
    </row>
    <row r="14002" spans="1:11" ht="42" customHeight="1">
      <c r="A14002" t="s">
        <v>27096</v>
      </c>
      <c r="B14002" t="s">
        <v>27096</v>
      </c>
      <c r="C14002" t="s">
        <v>42</v>
      </c>
      <c r="D14002" t="s">
        <v>17</v>
      </c>
      <c r="E14002" s="6">
        <v>-28477</v>
      </c>
      <c r="F14002" t="s">
        <v>1668</v>
      </c>
      <c r="G14002" t="s">
        <v>57</v>
      </c>
      <c r="H14002" t="s">
        <v>20</v>
      </c>
      <c r="I14002" t="s">
        <v>27098</v>
      </c>
      <c r="J14002" t="str">
        <f>HYPERLINK("https://www.boe.es/gazeta/dias/1822/01/11/pdfs/GMD-1822-11.pdf#page=4","Abrir facsímil")</f>
        <v>Abrir facsímil</v>
      </c>
      <c r="K14002" t="s">
        <v>22</v>
      </c>
    </row>
    <row r="14003" spans="1:11" ht="42" customHeight="1">
      <c r="A14003" t="s">
        <v>27096</v>
      </c>
      <c r="B14003" t="s">
        <v>27096</v>
      </c>
      <c r="C14003" t="s">
        <v>28</v>
      </c>
      <c r="D14003" t="s">
        <v>29</v>
      </c>
      <c r="E14003" s="6">
        <v>-28470</v>
      </c>
      <c r="F14003" t="s">
        <v>1444</v>
      </c>
      <c r="G14003" t="s">
        <v>35</v>
      </c>
      <c r="H14003" t="s">
        <v>20</v>
      </c>
      <c r="I14003" t="s">
        <v>27099</v>
      </c>
      <c r="J14003" t="str">
        <f>HYPERLINK("https://www.boe.es/gazeta/dias/1822/01/18/pdfs/GMD-1822-18.pdf#page=2","Abrir facsímil")</f>
        <v>Abrir facsímil</v>
      </c>
      <c r="K14003" t="s">
        <v>22</v>
      </c>
    </row>
    <row r="14004" spans="1:11" ht="42" customHeight="1">
      <c r="A14004" t="s">
        <v>27096</v>
      </c>
      <c r="B14004" t="s">
        <v>27096</v>
      </c>
      <c r="C14004" t="s">
        <v>50</v>
      </c>
      <c r="D14004" t="s">
        <v>51</v>
      </c>
      <c r="E14004" s="6">
        <v>-28415</v>
      </c>
      <c r="F14004" t="s">
        <v>77</v>
      </c>
      <c r="G14004" t="s">
        <v>57</v>
      </c>
      <c r="H14004" t="s">
        <v>20</v>
      </c>
      <c r="I14004" t="s">
        <v>27100</v>
      </c>
      <c r="J14004" t="str">
        <f>HYPERLINK("https://www.boe.es/gazeta/dias/1822/03/14/pdfs/GMD-1822-75.pdf#page=4","Abrir facsímil")</f>
        <v>Abrir facsímil</v>
      </c>
      <c r="K14004" t="s">
        <v>22</v>
      </c>
    </row>
    <row r="14005" spans="1:11" ht="42" customHeight="1">
      <c r="A14005" t="s">
        <v>27096</v>
      </c>
      <c r="B14005" t="s">
        <v>27096</v>
      </c>
      <c r="C14005" t="s">
        <v>71</v>
      </c>
      <c r="D14005" t="s">
        <v>17</v>
      </c>
      <c r="E14005" s="6">
        <v>-28354</v>
      </c>
      <c r="F14005" t="s">
        <v>226</v>
      </c>
      <c r="G14005" t="s">
        <v>57</v>
      </c>
      <c r="H14005" t="s">
        <v>20</v>
      </c>
      <c r="I14005" t="s">
        <v>27101</v>
      </c>
      <c r="J14005" t="str">
        <f>HYPERLINK("https://www.boe.es/gazeta/dias/1822/05/14/pdfs/GMD-1822-136.pdf#page=4","Abrir facsímil")</f>
        <v>Abrir facsímil</v>
      </c>
      <c r="K14005" t="s">
        <v>22</v>
      </c>
    </row>
    <row r="14006" spans="1:11" ht="42" customHeight="1">
      <c r="A14006" t="s">
        <v>27096</v>
      </c>
      <c r="B14006" t="s">
        <v>27096</v>
      </c>
      <c r="C14006" t="s">
        <v>42</v>
      </c>
      <c r="D14006" t="s">
        <v>17</v>
      </c>
      <c r="E14006" s="6">
        <v>-28314</v>
      </c>
      <c r="F14006" t="s">
        <v>309</v>
      </c>
      <c r="G14006" t="s">
        <v>19</v>
      </c>
      <c r="H14006" t="s">
        <v>20</v>
      </c>
      <c r="I14006" t="s">
        <v>27102</v>
      </c>
      <c r="J14006" t="str">
        <f>HYPERLINK("https://www.boe.es/gazeta/dias/1822/06/23/pdfs/GMD-1822-181.pdf#page=5","Abrir facsímil")</f>
        <v>Abrir facsímil</v>
      </c>
      <c r="K14006" t="s">
        <v>22</v>
      </c>
    </row>
    <row r="14007" spans="1:11" ht="42" customHeight="1">
      <c r="A14007" t="s">
        <v>27096</v>
      </c>
      <c r="B14007" t="s">
        <v>27096</v>
      </c>
      <c r="C14007" t="s">
        <v>50</v>
      </c>
      <c r="D14007" t="s">
        <v>51</v>
      </c>
      <c r="E14007" s="6">
        <v>-28219</v>
      </c>
      <c r="F14007" t="s">
        <v>1082</v>
      </c>
      <c r="G14007" t="s">
        <v>31</v>
      </c>
      <c r="H14007" t="s">
        <v>20</v>
      </c>
      <c r="I14007" t="s">
        <v>27103</v>
      </c>
      <c r="J14007" t="str">
        <f>HYPERLINK("https://www.boe.es/gazeta/dias/1822/09/26/pdfs/GMD-1822-282.pdf#page=3","Abrir facsímil")</f>
        <v>Abrir facsímil</v>
      </c>
      <c r="K14007" t="s">
        <v>22</v>
      </c>
    </row>
    <row r="14008" spans="1:11" ht="42" customHeight="1">
      <c r="A14008" t="s">
        <v>27096</v>
      </c>
      <c r="B14008" t="s">
        <v>27096</v>
      </c>
      <c r="C14008" t="s">
        <v>42</v>
      </c>
      <c r="D14008" t="s">
        <v>17</v>
      </c>
      <c r="E14008" s="6">
        <v>-28143</v>
      </c>
      <c r="F14008" t="s">
        <v>2967</v>
      </c>
      <c r="G14008" t="s">
        <v>57</v>
      </c>
      <c r="H14008" t="s">
        <v>20</v>
      </c>
      <c r="I14008" t="s">
        <v>27104</v>
      </c>
      <c r="J14008" t="str">
        <f>HYPERLINK("https://www.boe.es/gazeta/dias/1822/12/11/pdfs/GMD-1822-361.pdf#page=4","Abrir facsímil")</f>
        <v>Abrir facsímil</v>
      </c>
      <c r="K14008" t="s">
        <v>22</v>
      </c>
    </row>
    <row r="14009" spans="1:11" ht="42" customHeight="1">
      <c r="A14009" t="s">
        <v>27096</v>
      </c>
      <c r="B14009" t="s">
        <v>27096</v>
      </c>
      <c r="C14009" t="s">
        <v>61</v>
      </c>
      <c r="D14009" t="s">
        <v>17</v>
      </c>
      <c r="E14009" s="6">
        <v>-28140</v>
      </c>
      <c r="F14009" t="s">
        <v>84</v>
      </c>
      <c r="G14009" t="s">
        <v>44</v>
      </c>
      <c r="H14009" t="s">
        <v>20</v>
      </c>
      <c r="I14009" t="s">
        <v>27105</v>
      </c>
      <c r="J14009" t="str">
        <f>HYPERLINK("https://www.boe.es/gazeta/dias/1822/12/14/pdfs/GMD-1822-364.pdf#page=1","Abrir facsímil")</f>
        <v>Abrir facsímil</v>
      </c>
      <c r="K14009" t="s">
        <v>22</v>
      </c>
    </row>
    <row r="14010" spans="1:11" ht="42" customHeight="1">
      <c r="A14010" t="s">
        <v>27106</v>
      </c>
      <c r="B14010" t="s">
        <v>27107</v>
      </c>
      <c r="C14010" t="s">
        <v>50</v>
      </c>
      <c r="D14010" t="s">
        <v>51</v>
      </c>
      <c r="E14010" s="6">
        <v>-28211</v>
      </c>
      <c r="F14010" t="s">
        <v>273</v>
      </c>
      <c r="G14010" t="s">
        <v>35</v>
      </c>
      <c r="H14010" t="s">
        <v>20</v>
      </c>
      <c r="I14010" t="s">
        <v>27108</v>
      </c>
      <c r="J14010" t="str">
        <f>HYPERLINK("https://www.boe.es/gazeta/dias/1822/10/04/pdfs/GMD-1822-290.pdf#page=2","Abrir facsímil")</f>
        <v>Abrir facsímil</v>
      </c>
      <c r="K14010" t="s">
        <v>22</v>
      </c>
    </row>
    <row r="14011" spans="1:11" ht="42" customHeight="1">
      <c r="A14011" t="s">
        <v>27109</v>
      </c>
      <c r="B14011" t="s">
        <v>27110</v>
      </c>
      <c r="C14011" t="s">
        <v>50</v>
      </c>
      <c r="D14011" t="s">
        <v>51</v>
      </c>
      <c r="E14011" s="6">
        <v>-28153</v>
      </c>
      <c r="F14011" t="s">
        <v>946</v>
      </c>
      <c r="G14011" t="s">
        <v>63</v>
      </c>
      <c r="H14011" t="s">
        <v>20</v>
      </c>
      <c r="I14011" t="s">
        <v>27111</v>
      </c>
      <c r="J14011" t="str">
        <f>HYPERLINK("https://www.boe.es/gazeta/dias/1822/12/01/pdfs/GMD-1822-351.pdf#page=6","Abrir facsímil")</f>
        <v>Abrir facsímil</v>
      </c>
      <c r="K14011" t="s">
        <v>22</v>
      </c>
    </row>
    <row r="14012" spans="1:11" ht="42" customHeight="1">
      <c r="A14012" t="s">
        <v>27112</v>
      </c>
      <c r="B14012" t="s">
        <v>27113</v>
      </c>
      <c r="C14012" t="s">
        <v>50</v>
      </c>
      <c r="D14012" t="s">
        <v>51</v>
      </c>
      <c r="E14012" s="6">
        <v>-28345</v>
      </c>
      <c r="F14012" t="s">
        <v>294</v>
      </c>
      <c r="G14012" t="s">
        <v>19</v>
      </c>
      <c r="H14012" t="s">
        <v>45</v>
      </c>
      <c r="I14012" t="s">
        <v>27114</v>
      </c>
      <c r="J14012" t="str">
        <f>HYPERLINK("https://www.boe.es/gazeta/dias/1822/05/23/pdfs/GMD-1822-147.pdf#page=5","Abrir facsímil")</f>
        <v>Abrir facsímil</v>
      </c>
      <c r="K14012" t="s">
        <v>47</v>
      </c>
    </row>
    <row r="14013" spans="1:11" ht="42" customHeight="1">
      <c r="A14013" t="s">
        <v>27115</v>
      </c>
      <c r="B14013" t="s">
        <v>27116</v>
      </c>
      <c r="C14013" t="s">
        <v>50</v>
      </c>
      <c r="D14013" t="s">
        <v>51</v>
      </c>
      <c r="E14013" s="6">
        <v>-28415</v>
      </c>
      <c r="F14013" t="s">
        <v>77</v>
      </c>
      <c r="G14013" t="s">
        <v>57</v>
      </c>
      <c r="H14013" t="s">
        <v>20</v>
      </c>
      <c r="I14013" t="s">
        <v>27117</v>
      </c>
      <c r="J14013" t="str">
        <f>HYPERLINK("https://www.boe.es/gazeta/dias/1822/03/14/pdfs/GMD-1822-75.pdf#page=4","Abrir facsímil")</f>
        <v>Abrir facsímil</v>
      </c>
      <c r="K14013" t="s">
        <v>22</v>
      </c>
    </row>
    <row r="14014" spans="1:11" ht="42" customHeight="1">
      <c r="A14014" t="s">
        <v>27115</v>
      </c>
      <c r="B14014" t="s">
        <v>27116</v>
      </c>
      <c r="C14014" t="s">
        <v>16</v>
      </c>
      <c r="D14014" t="s">
        <v>17</v>
      </c>
      <c r="E14014" s="6">
        <v>-28396</v>
      </c>
      <c r="F14014" t="s">
        <v>1138</v>
      </c>
      <c r="G14014" t="s">
        <v>157</v>
      </c>
      <c r="H14014" t="s">
        <v>20</v>
      </c>
      <c r="I14014" t="s">
        <v>27118</v>
      </c>
      <c r="J14014" t="str">
        <f>HYPERLINK("https://www.boe.es/gazeta/dias/1822/04/02/pdfs/GMD-1822-94.pdf#page=8","Abrir facsímil")</f>
        <v>Abrir facsímil</v>
      </c>
      <c r="K14014" t="s">
        <v>22</v>
      </c>
    </row>
    <row r="14015" spans="1:11" ht="42" customHeight="1">
      <c r="A14015" t="s">
        <v>27115</v>
      </c>
      <c r="B14015" t="s">
        <v>27116</v>
      </c>
      <c r="C14015" t="s">
        <v>50</v>
      </c>
      <c r="D14015" t="s">
        <v>51</v>
      </c>
      <c r="E14015" s="6">
        <v>-28367</v>
      </c>
      <c r="F14015" t="s">
        <v>280</v>
      </c>
      <c r="G14015" t="s">
        <v>63</v>
      </c>
      <c r="H14015" t="s">
        <v>20</v>
      </c>
      <c r="I14015" t="s">
        <v>27119</v>
      </c>
      <c r="J14015" t="str">
        <f>HYPERLINK("https://www.boe.es/gazeta/dias/1822/05/01/pdfs/GMD-1822-123.pdf#page=6","Abrir facsímil")</f>
        <v>Abrir facsímil</v>
      </c>
      <c r="K14015" t="s">
        <v>22</v>
      </c>
    </row>
    <row r="14016" spans="1:11" ht="42" customHeight="1">
      <c r="A14016" t="s">
        <v>27115</v>
      </c>
      <c r="B14016" t="s">
        <v>27116</v>
      </c>
      <c r="C14016" t="s">
        <v>50</v>
      </c>
      <c r="D14016" t="s">
        <v>51</v>
      </c>
      <c r="E14016" s="6">
        <v>-28325</v>
      </c>
      <c r="F14016" t="s">
        <v>104</v>
      </c>
      <c r="G14016" t="s">
        <v>31</v>
      </c>
      <c r="H14016" t="s">
        <v>20</v>
      </c>
      <c r="I14016" t="s">
        <v>27120</v>
      </c>
      <c r="J14016" t="str">
        <f>HYPERLINK("https://www.boe.es/gazeta/dias/1822/06/12/pdfs/GMD-1822-169.pdf#page=3","Abrir facsímil")</f>
        <v>Abrir facsímil</v>
      </c>
      <c r="K14016" t="s">
        <v>22</v>
      </c>
    </row>
    <row r="14017" spans="1:11" ht="42" customHeight="1">
      <c r="A14017" t="s">
        <v>27115</v>
      </c>
      <c r="B14017" t="s">
        <v>27116</v>
      </c>
      <c r="C14017" t="s">
        <v>50</v>
      </c>
      <c r="D14017" t="s">
        <v>51</v>
      </c>
      <c r="E14017" s="6">
        <v>-28227</v>
      </c>
      <c r="F14017" t="s">
        <v>2148</v>
      </c>
      <c r="G14017" t="s">
        <v>31</v>
      </c>
      <c r="H14017" t="s">
        <v>20</v>
      </c>
      <c r="I14017" t="s">
        <v>27121</v>
      </c>
      <c r="J14017" t="str">
        <f>HYPERLINK("https://www.boe.es/gazeta/dias/1822/09/18/pdfs/GMD-1822-274.pdf#page=3","Abrir facsímil")</f>
        <v>Abrir facsímil</v>
      </c>
      <c r="K14017" t="s">
        <v>22</v>
      </c>
    </row>
    <row r="14018" spans="1:11" ht="42" customHeight="1">
      <c r="A14018" t="s">
        <v>27122</v>
      </c>
      <c r="B14018" t="s">
        <v>27123</v>
      </c>
      <c r="C14018" t="s">
        <v>71</v>
      </c>
      <c r="D14018" t="s">
        <v>17</v>
      </c>
      <c r="E14018" s="6">
        <v>-28417</v>
      </c>
      <c r="F14018" t="s">
        <v>1394</v>
      </c>
      <c r="G14018" t="s">
        <v>35</v>
      </c>
      <c r="H14018" t="s">
        <v>20</v>
      </c>
      <c r="I14018" t="s">
        <v>27124</v>
      </c>
      <c r="J14018" t="str">
        <f>HYPERLINK("https://www.boe.es/gazeta/dias/1822/03/12/pdfs/GMD-1822-73.pdf#page=2","Abrir facsímil")</f>
        <v>Abrir facsímil</v>
      </c>
      <c r="K14018" t="s">
        <v>22</v>
      </c>
    </row>
    <row r="14019" spans="1:11" ht="42" customHeight="1">
      <c r="A14019" t="s">
        <v>27122</v>
      </c>
      <c r="B14019" t="s">
        <v>27123</v>
      </c>
      <c r="C14019" t="s">
        <v>50</v>
      </c>
      <c r="D14019" t="s">
        <v>51</v>
      </c>
      <c r="E14019" s="6">
        <v>-28178</v>
      </c>
      <c r="F14019" t="s">
        <v>318</v>
      </c>
      <c r="G14019" t="s">
        <v>44</v>
      </c>
      <c r="H14019" t="s">
        <v>20</v>
      </c>
      <c r="I14019" t="s">
        <v>27125</v>
      </c>
      <c r="J14019" t="str">
        <f>HYPERLINK("https://www.boe.es/gazeta/dias/1822/11/06/pdfs/GMD-1822-326.pdf#page=1","Abrir facsímil")</f>
        <v>Abrir facsímil</v>
      </c>
      <c r="K14019" t="s">
        <v>22</v>
      </c>
    </row>
    <row r="14020" spans="1:11" ht="42" customHeight="1">
      <c r="A14020" t="s">
        <v>27122</v>
      </c>
      <c r="B14020" t="s">
        <v>27123</v>
      </c>
      <c r="C14020" t="s">
        <v>50</v>
      </c>
      <c r="D14020" t="s">
        <v>51</v>
      </c>
      <c r="E14020" s="6">
        <v>-28139</v>
      </c>
      <c r="F14020" t="s">
        <v>143</v>
      </c>
      <c r="G14020" t="s">
        <v>44</v>
      </c>
      <c r="H14020" t="s">
        <v>20</v>
      </c>
      <c r="I14020" t="s">
        <v>27126</v>
      </c>
      <c r="J14020" t="str">
        <f>HYPERLINK("https://www.boe.es/gazeta/dias/1822/12/15/pdfs/GMD-1822-365.pdf#page=1","Abrir facsímil")</f>
        <v>Abrir facsímil</v>
      </c>
      <c r="K14020" t="s">
        <v>22</v>
      </c>
    </row>
    <row r="14021" spans="1:11" ht="42" customHeight="1">
      <c r="A14021" t="s">
        <v>27122</v>
      </c>
      <c r="B14021" t="s">
        <v>27123</v>
      </c>
      <c r="C14021" t="s">
        <v>50</v>
      </c>
      <c r="D14021" t="s">
        <v>51</v>
      </c>
      <c r="E14021" s="6">
        <v>-28123</v>
      </c>
      <c r="F14021" t="s">
        <v>603</v>
      </c>
      <c r="G14021" t="s">
        <v>35</v>
      </c>
      <c r="H14021" t="s">
        <v>20</v>
      </c>
      <c r="I14021" t="s">
        <v>27127</v>
      </c>
      <c r="J14021" t="str">
        <f>HYPERLINK("https://www.boe.es/gazeta/dias/1822/12/31/pdfs/GMD-1822-381.pdf#page=2","Abrir facsímil")</f>
        <v>Abrir facsímil</v>
      </c>
      <c r="K14021" t="s">
        <v>22</v>
      </c>
    </row>
    <row r="14022" spans="1:11" ht="42" customHeight="1">
      <c r="A14022" t="s">
        <v>27128</v>
      </c>
      <c r="B14022" t="s">
        <v>27129</v>
      </c>
      <c r="C14022" t="s">
        <v>362</v>
      </c>
      <c r="D14022" t="s">
        <v>17</v>
      </c>
      <c r="E14022" s="6">
        <v>-28305</v>
      </c>
      <c r="F14022" t="s">
        <v>1337</v>
      </c>
      <c r="G14022" t="s">
        <v>57</v>
      </c>
      <c r="H14022" t="s">
        <v>20</v>
      </c>
      <c r="I14022" t="s">
        <v>27130</v>
      </c>
      <c r="J14022" t="str">
        <f>HYPERLINK("https://www.boe.es/gazeta/dias/1822/07/02/pdfs/GMD-1822-191.pdf#page=4","Abrir facsímil")</f>
        <v>Abrir facsímil</v>
      </c>
      <c r="K14022" t="s">
        <v>22</v>
      </c>
    </row>
    <row r="14023" spans="1:11" ht="42" customHeight="1">
      <c r="A14023" t="s">
        <v>27128</v>
      </c>
      <c r="B14023" t="s">
        <v>27129</v>
      </c>
      <c r="C14023" t="s">
        <v>16</v>
      </c>
      <c r="D14023" t="s">
        <v>17</v>
      </c>
      <c r="E14023" s="6">
        <v>-28142</v>
      </c>
      <c r="F14023" t="s">
        <v>290</v>
      </c>
      <c r="G14023" t="s">
        <v>57</v>
      </c>
      <c r="H14023" t="s">
        <v>20</v>
      </c>
      <c r="I14023" t="s">
        <v>27131</v>
      </c>
      <c r="J14023" t="str">
        <f>HYPERLINK("https://www.boe.es/gazeta/dias/1822/12/12/pdfs/GMD-1822-362.pdf#page=4","Abrir facsímil")</f>
        <v>Abrir facsímil</v>
      </c>
      <c r="K14023" t="s">
        <v>22</v>
      </c>
    </row>
    <row r="14024" spans="1:11" ht="42" customHeight="1">
      <c r="A14024" t="s">
        <v>27132</v>
      </c>
      <c r="B14024" t="s">
        <v>27133</v>
      </c>
      <c r="C14024" t="s">
        <v>50</v>
      </c>
      <c r="D14024" t="s">
        <v>51</v>
      </c>
      <c r="E14024" s="6">
        <v>-28210</v>
      </c>
      <c r="F14024" t="s">
        <v>218</v>
      </c>
      <c r="G14024" t="s">
        <v>19</v>
      </c>
      <c r="H14024" t="s">
        <v>20</v>
      </c>
      <c r="I14024" t="s">
        <v>27134</v>
      </c>
      <c r="J14024" t="str">
        <f>HYPERLINK("https://www.boe.es/gazeta/dias/1822/10/05/pdfs/GMD-1822-291.pdf#page=5","Abrir facsímil")</f>
        <v>Abrir facsímil</v>
      </c>
      <c r="K14024" t="s">
        <v>22</v>
      </c>
    </row>
    <row r="14025" spans="1:11" ht="42" customHeight="1">
      <c r="A14025" t="s">
        <v>27135</v>
      </c>
      <c r="B14025" t="s">
        <v>27136</v>
      </c>
      <c r="C14025" t="s">
        <v>42</v>
      </c>
      <c r="D14025" t="s">
        <v>17</v>
      </c>
      <c r="E14025" s="6">
        <v>-28159</v>
      </c>
      <c r="F14025" t="s">
        <v>67</v>
      </c>
      <c r="G14025" t="s">
        <v>57</v>
      </c>
      <c r="H14025" t="s">
        <v>20</v>
      </c>
      <c r="I14025" t="s">
        <v>27137</v>
      </c>
      <c r="J14025" t="str">
        <f>HYPERLINK("https://www.boe.es/gazeta/dias/1822/11/25/pdfs/GMD-1822-345.pdf#page=4","Abrir facsímil")</f>
        <v>Abrir facsímil</v>
      </c>
      <c r="K14025" t="s">
        <v>22</v>
      </c>
    </row>
    <row r="14026" spans="1:11" ht="42" customHeight="1">
      <c r="A14026" t="s">
        <v>27138</v>
      </c>
      <c r="B14026" t="s">
        <v>27139</v>
      </c>
      <c r="C14026" t="s">
        <v>42</v>
      </c>
      <c r="D14026" t="s">
        <v>17</v>
      </c>
      <c r="E14026" s="6">
        <v>-28440</v>
      </c>
      <c r="F14026" t="s">
        <v>1307</v>
      </c>
      <c r="G14026" t="s">
        <v>35</v>
      </c>
      <c r="H14026" t="s">
        <v>45</v>
      </c>
      <c r="I14026" t="s">
        <v>27140</v>
      </c>
      <c r="J14026" t="str">
        <f>HYPERLINK("https://www.boe.es/gazeta/dias/1822/02/17/pdfs/GMD-1822-49.pdf#page=2","Abrir facsímil")</f>
        <v>Abrir facsímil</v>
      </c>
      <c r="K14026" t="s">
        <v>47</v>
      </c>
    </row>
    <row r="14027" spans="1:11" ht="42" customHeight="1">
      <c r="A14027" t="s">
        <v>27141</v>
      </c>
      <c r="B14027" t="s">
        <v>27142</v>
      </c>
      <c r="C14027" t="s">
        <v>71</v>
      </c>
      <c r="D14027" t="s">
        <v>17</v>
      </c>
      <c r="E14027" s="6">
        <v>-28396</v>
      </c>
      <c r="F14027" t="s">
        <v>1138</v>
      </c>
      <c r="G14027" t="s">
        <v>157</v>
      </c>
      <c r="H14027" t="s">
        <v>20</v>
      </c>
      <c r="I14027" t="s">
        <v>27143</v>
      </c>
      <c r="J14027" t="str">
        <f>HYPERLINK("https://www.boe.es/gazeta/dias/1822/04/02/pdfs/GMD-1822-94.pdf#page=8","Abrir facsímil")</f>
        <v>Abrir facsímil</v>
      </c>
      <c r="K14027" t="s">
        <v>22</v>
      </c>
    </row>
    <row r="14028" spans="1:11" ht="42" customHeight="1">
      <c r="A14028" t="s">
        <v>27141</v>
      </c>
      <c r="B14028" t="s">
        <v>27142</v>
      </c>
      <c r="C14028" t="s">
        <v>71</v>
      </c>
      <c r="D14028" t="s">
        <v>17</v>
      </c>
      <c r="E14028" s="6">
        <v>-28390</v>
      </c>
      <c r="F14028" t="s">
        <v>665</v>
      </c>
      <c r="G14028" t="s">
        <v>57</v>
      </c>
      <c r="H14028" t="s">
        <v>20</v>
      </c>
      <c r="I14028" t="s">
        <v>27144</v>
      </c>
      <c r="J14028" t="str">
        <f>HYPERLINK("https://www.boe.es/gazeta/dias/1822/04/08/pdfs/GMD-1822-100.pdf#page=4","Abrir facsímil")</f>
        <v>Abrir facsímil</v>
      </c>
      <c r="K14028" t="s">
        <v>22</v>
      </c>
    </row>
    <row r="14029" spans="1:11" ht="42" customHeight="1">
      <c r="A14029" t="s">
        <v>27145</v>
      </c>
      <c r="B14029" t="s">
        <v>27146</v>
      </c>
      <c r="C14029" t="s">
        <v>50</v>
      </c>
      <c r="D14029" t="s">
        <v>51</v>
      </c>
      <c r="E14029" s="6">
        <v>-28222</v>
      </c>
      <c r="F14029" t="s">
        <v>2027</v>
      </c>
      <c r="G14029" t="s">
        <v>57</v>
      </c>
      <c r="H14029" t="s">
        <v>20</v>
      </c>
      <c r="I14029" t="s">
        <v>27147</v>
      </c>
      <c r="J14029" t="str">
        <f>HYPERLINK("https://www.boe.es/gazeta/dias/1822/09/23/pdfs/GMD-1822-279.pdf#page=4","Abrir facsímil")</f>
        <v>Abrir facsímil</v>
      </c>
      <c r="K14029" t="s">
        <v>22</v>
      </c>
    </row>
    <row r="14030" spans="1:11" ht="42" customHeight="1">
      <c r="A14030" t="s">
        <v>27148</v>
      </c>
      <c r="B14030" t="s">
        <v>27149</v>
      </c>
      <c r="C14030" t="s">
        <v>16</v>
      </c>
      <c r="D14030" t="s">
        <v>17</v>
      </c>
      <c r="E14030" s="6">
        <v>-28228</v>
      </c>
      <c r="F14030" t="s">
        <v>718</v>
      </c>
      <c r="G14030" t="s">
        <v>719</v>
      </c>
      <c r="H14030" t="s">
        <v>20</v>
      </c>
      <c r="I14030" t="s">
        <v>27150</v>
      </c>
      <c r="J14030" t="str">
        <f>HYPERLINK("https://www.boe.es/gazeta/dias/1822/09/17/pdfs/GMD-1822-273.pdf#page=3","Abrir facsímil")</f>
        <v>Abrir facsímil</v>
      </c>
      <c r="K14030" t="s">
        <v>22</v>
      </c>
    </row>
    <row r="14031" spans="1:11" ht="42" customHeight="1">
      <c r="A14031" t="s">
        <v>27151</v>
      </c>
      <c r="B14031" t="s">
        <v>27151</v>
      </c>
      <c r="C14031" t="s">
        <v>42</v>
      </c>
      <c r="D14031" t="s">
        <v>17</v>
      </c>
      <c r="E14031" s="6">
        <v>-28303</v>
      </c>
      <c r="F14031" t="s">
        <v>201</v>
      </c>
      <c r="G14031" t="s">
        <v>35</v>
      </c>
      <c r="H14031" t="s">
        <v>20</v>
      </c>
      <c r="I14031" t="s">
        <v>27152</v>
      </c>
      <c r="J14031" t="str">
        <f>HYPERLINK("https://www.boe.es/gazeta/dias/1822/07/04/pdfs/GMD-1822-193.pdf#page=2","Abrir facsímil")</f>
        <v>Abrir facsímil</v>
      </c>
      <c r="K14031" t="s">
        <v>22</v>
      </c>
    </row>
    <row r="14032" spans="1:11" ht="42" customHeight="1">
      <c r="A14032" t="s">
        <v>27151</v>
      </c>
      <c r="B14032" t="s">
        <v>27151</v>
      </c>
      <c r="C14032" t="s">
        <v>50</v>
      </c>
      <c r="D14032" t="s">
        <v>51</v>
      </c>
      <c r="E14032" s="6">
        <v>-28295</v>
      </c>
      <c r="F14032" t="s">
        <v>81</v>
      </c>
      <c r="G14032" t="s">
        <v>57</v>
      </c>
      <c r="H14032" t="s">
        <v>20</v>
      </c>
      <c r="I14032" t="s">
        <v>27153</v>
      </c>
      <c r="J14032" t="str">
        <f>HYPERLINK("https://www.boe.es/gazeta/dias/1822/07/12/pdfs/GMD-1822-202.pdf#page=4","Abrir facsímil")</f>
        <v>Abrir facsímil</v>
      </c>
      <c r="K14032" t="s">
        <v>22</v>
      </c>
    </row>
    <row r="14033" spans="1:11" ht="42" customHeight="1">
      <c r="A14033" t="s">
        <v>27151</v>
      </c>
      <c r="B14033" t="s">
        <v>27151</v>
      </c>
      <c r="C14033" t="s">
        <v>50</v>
      </c>
      <c r="D14033" t="s">
        <v>51</v>
      </c>
      <c r="E14033" s="6">
        <v>-28175</v>
      </c>
      <c r="F14033" t="s">
        <v>341</v>
      </c>
      <c r="G14033" t="s">
        <v>35</v>
      </c>
      <c r="H14033" t="s">
        <v>20</v>
      </c>
      <c r="I14033" t="s">
        <v>27154</v>
      </c>
      <c r="J14033" t="str">
        <f>HYPERLINK("https://www.boe.es/gazeta/dias/1822/11/09/pdfs/GMD-1822-329.pdf#page=2","Abrir facsímil")</f>
        <v>Abrir facsímil</v>
      </c>
      <c r="K14033" t="s">
        <v>22</v>
      </c>
    </row>
    <row r="14034" spans="1:11" ht="42" customHeight="1">
      <c r="A14034" t="s">
        <v>27155</v>
      </c>
      <c r="B14034" t="s">
        <v>27156</v>
      </c>
      <c r="C14034" t="s">
        <v>50</v>
      </c>
      <c r="D14034" t="s">
        <v>51</v>
      </c>
      <c r="E14034" s="6">
        <v>-28290</v>
      </c>
      <c r="F14034" t="s">
        <v>706</v>
      </c>
      <c r="G14034" t="s">
        <v>31</v>
      </c>
      <c r="H14034" t="s">
        <v>20</v>
      </c>
      <c r="I14034" t="s">
        <v>27157</v>
      </c>
      <c r="J14034" t="str">
        <f>HYPERLINK("https://www.boe.es/gazeta/dias/1822/07/17/pdfs/GMD-1822-207.pdf#page=3","Abrir facsímil")</f>
        <v>Abrir facsímil</v>
      </c>
      <c r="K14034" t="s">
        <v>22</v>
      </c>
    </row>
    <row r="14035" spans="1:11" ht="42" customHeight="1">
      <c r="A14035" t="s">
        <v>27158</v>
      </c>
      <c r="B14035" t="s">
        <v>27158</v>
      </c>
      <c r="C14035" t="s">
        <v>50</v>
      </c>
      <c r="D14035" t="s">
        <v>51</v>
      </c>
      <c r="E14035" s="6">
        <v>-28334</v>
      </c>
      <c r="F14035" t="s">
        <v>532</v>
      </c>
      <c r="G14035" t="s">
        <v>157</v>
      </c>
      <c r="H14035" t="s">
        <v>20</v>
      </c>
      <c r="I14035" t="s">
        <v>27159</v>
      </c>
      <c r="J14035" t="str">
        <f>HYPERLINK("https://www.boe.es/gazeta/dias/1822/06/03/pdfs/GMD-1822-159.pdf#page=8","Abrir facsímil")</f>
        <v>Abrir facsímil</v>
      </c>
      <c r="K14035" t="s">
        <v>22</v>
      </c>
    </row>
    <row r="14036" spans="1:11" ht="42" customHeight="1">
      <c r="A14036" t="s">
        <v>27158</v>
      </c>
      <c r="B14036" t="s">
        <v>27158</v>
      </c>
      <c r="C14036" t="s">
        <v>50</v>
      </c>
      <c r="D14036" t="s">
        <v>51</v>
      </c>
      <c r="E14036" s="6">
        <v>-28145</v>
      </c>
      <c r="F14036" t="s">
        <v>1350</v>
      </c>
      <c r="G14036" t="s">
        <v>44</v>
      </c>
      <c r="H14036" t="s">
        <v>20</v>
      </c>
      <c r="I14036" t="s">
        <v>27160</v>
      </c>
      <c r="J14036" t="str">
        <f>HYPERLINK("https://www.boe.es/gazeta/dias/1822/12/09/pdfs/GMD-1822-359.pdf#page=1","Abrir facsímil")</f>
        <v>Abrir facsímil</v>
      </c>
      <c r="K14036" t="s">
        <v>22</v>
      </c>
    </row>
    <row r="14037" spans="1:11" ht="42" customHeight="1">
      <c r="A14037" t="s">
        <v>27161</v>
      </c>
      <c r="B14037" t="s">
        <v>27161</v>
      </c>
      <c r="C14037" t="s">
        <v>50</v>
      </c>
      <c r="D14037" t="s">
        <v>51</v>
      </c>
      <c r="E14037" s="6">
        <v>-28142</v>
      </c>
      <c r="F14037" t="s">
        <v>290</v>
      </c>
      <c r="G14037" t="s">
        <v>57</v>
      </c>
      <c r="H14037" t="s">
        <v>20</v>
      </c>
      <c r="I14037" t="s">
        <v>27162</v>
      </c>
      <c r="J14037" t="str">
        <f>HYPERLINK("https://www.boe.es/gazeta/dias/1822/12/12/pdfs/GMD-1822-362.pdf#page=4","Abrir facsímil")</f>
        <v>Abrir facsímil</v>
      </c>
      <c r="K14037" t="s">
        <v>22</v>
      </c>
    </row>
    <row r="14038" spans="1:11" ht="42" customHeight="1">
      <c r="A14038" t="s">
        <v>27163</v>
      </c>
      <c r="B14038" t="s">
        <v>27163</v>
      </c>
      <c r="C14038" t="s">
        <v>71</v>
      </c>
      <c r="D14038" t="s">
        <v>17</v>
      </c>
      <c r="E14038" s="6">
        <v>-28331</v>
      </c>
      <c r="F14038" t="s">
        <v>537</v>
      </c>
      <c r="G14038" t="s">
        <v>35</v>
      </c>
      <c r="H14038" t="s">
        <v>20</v>
      </c>
      <c r="I14038" t="s">
        <v>27164</v>
      </c>
      <c r="J14038" t="str">
        <f>HYPERLINK("https://www.boe.es/gazeta/dias/1822/06/06/pdfs/GMD-1822-163.pdf#page=2","Abrir facsímil")</f>
        <v>Abrir facsímil</v>
      </c>
      <c r="K14038" t="s">
        <v>22</v>
      </c>
    </row>
    <row r="14039" spans="1:11" ht="42" customHeight="1">
      <c r="A14039" t="s">
        <v>27163</v>
      </c>
      <c r="B14039" t="s">
        <v>27163</v>
      </c>
      <c r="C14039" t="s">
        <v>16</v>
      </c>
      <c r="D14039" t="s">
        <v>17</v>
      </c>
      <c r="E14039" s="6">
        <v>-28324</v>
      </c>
      <c r="F14039" t="s">
        <v>305</v>
      </c>
      <c r="G14039" t="s">
        <v>19</v>
      </c>
      <c r="H14039" t="s">
        <v>20</v>
      </c>
      <c r="I14039" t="s">
        <v>27165</v>
      </c>
      <c r="J14039" t="str">
        <f>HYPERLINK("https://www.boe.es/gazeta/dias/1822/06/13/pdfs/GMD-1822-170.pdf#page=5","Abrir facsímil")</f>
        <v>Abrir facsímil</v>
      </c>
      <c r="K14039" t="s">
        <v>22</v>
      </c>
    </row>
    <row r="14040" spans="1:11" ht="42" customHeight="1">
      <c r="A14040" t="s">
        <v>27163</v>
      </c>
      <c r="B14040" t="s">
        <v>27163</v>
      </c>
      <c r="C14040" t="s">
        <v>50</v>
      </c>
      <c r="D14040" t="s">
        <v>51</v>
      </c>
      <c r="E14040" s="6">
        <v>-28313</v>
      </c>
      <c r="F14040" t="s">
        <v>315</v>
      </c>
      <c r="G14040" t="s">
        <v>44</v>
      </c>
      <c r="H14040" t="s">
        <v>20</v>
      </c>
      <c r="I14040" t="s">
        <v>27166</v>
      </c>
      <c r="J14040" t="str">
        <f>HYPERLINK("https://www.boe.es/gazeta/dias/1822/06/24/pdfs/GMD-1822-182.pdf#page=1","Abrir facsímil")</f>
        <v>Abrir facsímil</v>
      </c>
      <c r="K14040" t="s">
        <v>22</v>
      </c>
    </row>
    <row r="14041" spans="1:11" ht="42" customHeight="1">
      <c r="A14041" t="s">
        <v>27163</v>
      </c>
      <c r="B14041" t="s">
        <v>27163</v>
      </c>
      <c r="C14041" t="s">
        <v>42</v>
      </c>
      <c r="D14041" t="s">
        <v>17</v>
      </c>
      <c r="E14041" s="6">
        <v>-28308</v>
      </c>
      <c r="F14041" t="s">
        <v>1050</v>
      </c>
      <c r="G14041" t="s">
        <v>44</v>
      </c>
      <c r="H14041" t="s">
        <v>20</v>
      </c>
      <c r="I14041" t="s">
        <v>27167</v>
      </c>
      <c r="J14041" t="str">
        <f>HYPERLINK("https://www.boe.es/gazeta/dias/1822/06/29/pdfs/GMD-1822-187.pdf#page=1","Abrir facsímil")</f>
        <v>Abrir facsímil</v>
      </c>
      <c r="K14041" t="s">
        <v>22</v>
      </c>
    </row>
    <row r="14042" spans="1:11" ht="42" customHeight="1">
      <c r="A14042" t="s">
        <v>27163</v>
      </c>
      <c r="B14042" t="s">
        <v>27163</v>
      </c>
      <c r="C14042" t="s">
        <v>50</v>
      </c>
      <c r="D14042" t="s">
        <v>51</v>
      </c>
      <c r="E14042" s="6">
        <v>-28304</v>
      </c>
      <c r="F14042" t="s">
        <v>4502</v>
      </c>
      <c r="G14042" t="s">
        <v>31</v>
      </c>
      <c r="H14042" t="s">
        <v>20</v>
      </c>
      <c r="I14042" t="s">
        <v>27168</v>
      </c>
      <c r="J14042" t="str">
        <f>HYPERLINK("https://www.boe.es/gazeta/dias/1822/07/03/pdfs/GMD-1822-192.pdf#page=3","Abrir facsímil")</f>
        <v>Abrir facsímil</v>
      </c>
      <c r="K14042" t="s">
        <v>22</v>
      </c>
    </row>
    <row r="14043" spans="1:11" ht="42" customHeight="1">
      <c r="A14043" t="s">
        <v>27163</v>
      </c>
      <c r="B14043" t="s">
        <v>27163</v>
      </c>
      <c r="C14043" t="s">
        <v>42</v>
      </c>
      <c r="D14043" t="s">
        <v>17</v>
      </c>
      <c r="E14043" s="6">
        <v>-28278</v>
      </c>
      <c r="F14043" t="s">
        <v>368</v>
      </c>
      <c r="G14043" t="s">
        <v>31</v>
      </c>
      <c r="H14043" t="s">
        <v>20</v>
      </c>
      <c r="I14043" t="s">
        <v>27169</v>
      </c>
      <c r="J14043" t="str">
        <f>HYPERLINK("https://www.boe.es/gazeta/dias/1822/07/29/pdfs/GMD-1822-222.pdf#page=3","Abrir facsímil")</f>
        <v>Abrir facsímil</v>
      </c>
      <c r="K14043" t="s">
        <v>22</v>
      </c>
    </row>
    <row r="14044" spans="1:11" ht="42" customHeight="1">
      <c r="A14044" t="s">
        <v>27163</v>
      </c>
      <c r="B14044" t="s">
        <v>27163</v>
      </c>
      <c r="C14044" t="s">
        <v>50</v>
      </c>
      <c r="D14044" t="s">
        <v>51</v>
      </c>
      <c r="E14044" s="6">
        <v>-28252</v>
      </c>
      <c r="F14044" t="s">
        <v>4333</v>
      </c>
      <c r="G14044" t="s">
        <v>57</v>
      </c>
      <c r="H14044" t="s">
        <v>20</v>
      </c>
      <c r="I14044" t="s">
        <v>27170</v>
      </c>
      <c r="J14044" t="str">
        <f>HYPERLINK("https://www.boe.es/gazeta/dias/1822/08/24/pdfs/GMD-1822-248.pdf#page=4","Abrir facsímil")</f>
        <v>Abrir facsímil</v>
      </c>
      <c r="K14044" t="s">
        <v>22</v>
      </c>
    </row>
    <row r="14045" spans="1:11" ht="42" customHeight="1">
      <c r="A14045" t="s">
        <v>27163</v>
      </c>
      <c r="B14045" t="s">
        <v>27163</v>
      </c>
      <c r="C14045" t="s">
        <v>50</v>
      </c>
      <c r="D14045" t="s">
        <v>51</v>
      </c>
      <c r="E14045" s="6">
        <v>-28237</v>
      </c>
      <c r="F14045" t="s">
        <v>878</v>
      </c>
      <c r="G14045" t="s">
        <v>35</v>
      </c>
      <c r="H14045" t="s">
        <v>20</v>
      </c>
      <c r="I14045" t="s">
        <v>27171</v>
      </c>
      <c r="J14045" t="str">
        <f>HYPERLINK("https://www.boe.es/gazeta/dias/1822/09/08/pdfs/GMD-1822-264.pdf#page=2","Abrir facsímil")</f>
        <v>Abrir facsímil</v>
      </c>
      <c r="K14045" t="s">
        <v>22</v>
      </c>
    </row>
    <row r="14046" spans="1:11" ht="42" customHeight="1">
      <c r="A14046" t="s">
        <v>27163</v>
      </c>
      <c r="B14046" t="s">
        <v>27163</v>
      </c>
      <c r="C14046" t="s">
        <v>50</v>
      </c>
      <c r="D14046" t="s">
        <v>51</v>
      </c>
      <c r="E14046" s="6">
        <v>-28214</v>
      </c>
      <c r="F14046" t="s">
        <v>814</v>
      </c>
      <c r="G14046" t="s">
        <v>44</v>
      </c>
      <c r="H14046" t="s">
        <v>20</v>
      </c>
      <c r="I14046" t="s">
        <v>27172</v>
      </c>
      <c r="J14046" t="str">
        <f>HYPERLINK("https://www.boe.es/gazeta/dias/1822/10/01/pdfs/GMD-1822-287.pdf#page=1","Abrir facsímil")</f>
        <v>Abrir facsímil</v>
      </c>
      <c r="K14046" t="s">
        <v>22</v>
      </c>
    </row>
    <row r="14047" spans="1:11" ht="42" customHeight="1">
      <c r="A14047" t="s">
        <v>27163</v>
      </c>
      <c r="B14047" t="s">
        <v>27163</v>
      </c>
      <c r="C14047" t="s">
        <v>50</v>
      </c>
      <c r="D14047" t="s">
        <v>51</v>
      </c>
      <c r="E14047" s="6">
        <v>-28210</v>
      </c>
      <c r="F14047" t="s">
        <v>218</v>
      </c>
      <c r="G14047" t="s">
        <v>31</v>
      </c>
      <c r="H14047" t="s">
        <v>20</v>
      </c>
      <c r="I14047" t="s">
        <v>27173</v>
      </c>
      <c r="J14047" t="str">
        <f>HYPERLINK("https://www.boe.es/gazeta/dias/1822/10/05/pdfs/GMD-1822-291.pdf#page=3","Abrir facsímil")</f>
        <v>Abrir facsímil</v>
      </c>
      <c r="K14047" t="s">
        <v>22</v>
      </c>
    </row>
    <row r="14048" spans="1:11" ht="42" customHeight="1">
      <c r="A14048" t="s">
        <v>27163</v>
      </c>
      <c r="B14048" t="s">
        <v>27163</v>
      </c>
      <c r="C14048" t="s">
        <v>50</v>
      </c>
      <c r="D14048" t="s">
        <v>51</v>
      </c>
      <c r="E14048" s="6">
        <v>-28210</v>
      </c>
      <c r="F14048" t="s">
        <v>218</v>
      </c>
      <c r="G14048" t="s">
        <v>57</v>
      </c>
      <c r="H14048" t="s">
        <v>20</v>
      </c>
      <c r="I14048" t="s">
        <v>27174</v>
      </c>
      <c r="J14048" t="str">
        <f>HYPERLINK("https://www.boe.es/gazeta/dias/1822/10/05/pdfs/GMD-1822-291.pdf#page=4","Abrir facsímil")</f>
        <v>Abrir facsímil</v>
      </c>
      <c r="K14048" t="s">
        <v>22</v>
      </c>
    </row>
    <row r="14049" spans="1:11" ht="42" customHeight="1">
      <c r="A14049" t="s">
        <v>27163</v>
      </c>
      <c r="B14049" t="s">
        <v>27163</v>
      </c>
      <c r="C14049" t="s">
        <v>50</v>
      </c>
      <c r="D14049" t="s">
        <v>51</v>
      </c>
      <c r="E14049" s="6">
        <v>-28170</v>
      </c>
      <c r="F14049" t="s">
        <v>1457</v>
      </c>
      <c r="G14049" t="s">
        <v>44</v>
      </c>
      <c r="H14049" t="s">
        <v>20</v>
      </c>
      <c r="I14049" t="s">
        <v>27175</v>
      </c>
      <c r="J14049" t="str">
        <f>HYPERLINK("https://www.boe.es/gazeta/dias/1822/11/14/pdfs/GMD-1822-334.pdf#page=1","Abrir facsímil")</f>
        <v>Abrir facsímil</v>
      </c>
      <c r="K14049" t="s">
        <v>22</v>
      </c>
    </row>
    <row r="14050" spans="1:11" ht="42" customHeight="1">
      <c r="A14050" t="s">
        <v>27163</v>
      </c>
      <c r="B14050" t="s">
        <v>27163</v>
      </c>
      <c r="C14050" t="s">
        <v>50</v>
      </c>
      <c r="D14050" t="s">
        <v>51</v>
      </c>
      <c r="E14050" s="6">
        <v>-28160</v>
      </c>
      <c r="F14050" t="s">
        <v>148</v>
      </c>
      <c r="G14050" t="s">
        <v>44</v>
      </c>
      <c r="H14050" t="s">
        <v>20</v>
      </c>
      <c r="I14050" t="s">
        <v>27176</v>
      </c>
      <c r="J14050" t="str">
        <f>HYPERLINK("https://www.boe.es/gazeta/dias/1822/11/24/pdfs/GMD-1822-344.pdf#page=1","Abrir facsímil")</f>
        <v>Abrir facsímil</v>
      </c>
      <c r="K14050" t="s">
        <v>22</v>
      </c>
    </row>
    <row r="14051" spans="1:11" ht="42" customHeight="1">
      <c r="A14051" t="s">
        <v>27163</v>
      </c>
      <c r="B14051" t="s">
        <v>27163</v>
      </c>
      <c r="C14051" t="s">
        <v>50</v>
      </c>
      <c r="D14051" t="s">
        <v>51</v>
      </c>
      <c r="E14051" s="6">
        <v>-28133</v>
      </c>
      <c r="F14051" t="s">
        <v>595</v>
      </c>
      <c r="G14051" t="s">
        <v>596</v>
      </c>
      <c r="H14051" t="s">
        <v>20</v>
      </c>
      <c r="I14051" t="s">
        <v>27177</v>
      </c>
      <c r="J14051" t="str">
        <f>HYPERLINK("https://www.boe.es/gazeta/dias/1822/12/21/pdfs/GMD-1822-371.pdf#page=2","Abrir facsímil")</f>
        <v>Abrir facsímil</v>
      </c>
      <c r="K14051" t="s">
        <v>22</v>
      </c>
    </row>
    <row r="14052" spans="1:11" ht="42" customHeight="1">
      <c r="A14052" t="s">
        <v>27178</v>
      </c>
      <c r="B14052" t="s">
        <v>27179</v>
      </c>
      <c r="C14052" t="s">
        <v>42</v>
      </c>
      <c r="D14052" t="s">
        <v>17</v>
      </c>
      <c r="E14052" s="6">
        <v>-28332</v>
      </c>
      <c r="F14052" t="s">
        <v>535</v>
      </c>
      <c r="G14052" t="s">
        <v>44</v>
      </c>
      <c r="H14052" t="s">
        <v>20</v>
      </c>
      <c r="I14052" t="s">
        <v>27180</v>
      </c>
      <c r="J14052" t="str">
        <f>HYPERLINK("https://www.boe.es/gazeta/dias/1822/06/05/pdfs/GMD-1822-162.pdf#page=1","Abrir facsímil")</f>
        <v>Abrir facsímil</v>
      </c>
      <c r="K14052" t="s">
        <v>22</v>
      </c>
    </row>
    <row r="14053" spans="1:11" ht="42" customHeight="1">
      <c r="A14053" t="s">
        <v>27181</v>
      </c>
      <c r="B14053" t="s">
        <v>27181</v>
      </c>
      <c r="C14053" t="s">
        <v>50</v>
      </c>
      <c r="D14053" t="s">
        <v>51</v>
      </c>
      <c r="E14053" s="6">
        <v>-28127</v>
      </c>
      <c r="F14053" t="s">
        <v>409</v>
      </c>
      <c r="G14053" t="s">
        <v>35</v>
      </c>
      <c r="H14053" t="s">
        <v>20</v>
      </c>
      <c r="I14053" t="s">
        <v>27182</v>
      </c>
      <c r="J14053" t="str">
        <f>HYPERLINK("https://www.boe.es/gazeta/dias/1822/12/27/pdfs/GMD-1822-377.pdf#page=2","Abrir facsímil")</f>
        <v>Abrir facsímil</v>
      </c>
      <c r="K14053" t="s">
        <v>22</v>
      </c>
    </row>
    <row r="14054" spans="1:11" ht="42" customHeight="1">
      <c r="A14054" t="s">
        <v>27183</v>
      </c>
      <c r="B14054" t="s">
        <v>27183</v>
      </c>
      <c r="C14054" t="s">
        <v>42</v>
      </c>
      <c r="D14054" t="s">
        <v>17</v>
      </c>
      <c r="E14054" s="6">
        <v>-28283</v>
      </c>
      <c r="F14054" t="s">
        <v>1477</v>
      </c>
      <c r="G14054" t="s">
        <v>31</v>
      </c>
      <c r="H14054" t="s">
        <v>20</v>
      </c>
      <c r="I14054" t="s">
        <v>27184</v>
      </c>
      <c r="J14054" t="str">
        <f>HYPERLINK("https://www.boe.es/gazeta/dias/1822/07/24/pdfs/GMD-1822-217.pdf#page=3","Abrir facsímil")</f>
        <v>Abrir facsímil</v>
      </c>
      <c r="K14054" t="s">
        <v>22</v>
      </c>
    </row>
    <row r="14055" spans="1:11" ht="42" customHeight="1">
      <c r="A14055" t="s">
        <v>27185</v>
      </c>
      <c r="B14055" t="s">
        <v>27186</v>
      </c>
      <c r="C14055" t="s">
        <v>42</v>
      </c>
      <c r="D14055" t="s">
        <v>17</v>
      </c>
      <c r="E14055" s="6">
        <v>-28148</v>
      </c>
      <c r="F14055" t="s">
        <v>1909</v>
      </c>
      <c r="G14055" t="s">
        <v>63</v>
      </c>
      <c r="H14055" t="s">
        <v>20</v>
      </c>
      <c r="I14055" t="s">
        <v>27187</v>
      </c>
      <c r="J14055" t="str">
        <f>HYPERLINK("https://www.boe.es/gazeta/dias/1822/12/06/pdfs/GMD-1822-356.pdf#page=6","Abrir facsímil")</f>
        <v>Abrir facsímil</v>
      </c>
      <c r="K14055" t="s">
        <v>22</v>
      </c>
    </row>
    <row r="14056" spans="1:11" ht="42" customHeight="1">
      <c r="A14056" t="s">
        <v>27188</v>
      </c>
      <c r="B14056" t="s">
        <v>27189</v>
      </c>
      <c r="C14056" t="s">
        <v>50</v>
      </c>
      <c r="D14056" t="s">
        <v>51</v>
      </c>
      <c r="E14056" s="6">
        <v>-28353</v>
      </c>
      <c r="F14056" t="s">
        <v>843</v>
      </c>
      <c r="G14056" t="s">
        <v>35</v>
      </c>
      <c r="H14056" t="s">
        <v>20</v>
      </c>
      <c r="I14056" t="s">
        <v>27190</v>
      </c>
      <c r="J14056" t="str">
        <f>HYPERLINK("https://www.boe.es/gazeta/dias/1822/05/15/pdfs/GMD-1822-137.pdf#page=2","Abrir facsímil")</f>
        <v>Abrir facsímil</v>
      </c>
      <c r="K14056" t="s">
        <v>22</v>
      </c>
    </row>
    <row r="14057" spans="1:11" ht="42" customHeight="1">
      <c r="A14057" t="s">
        <v>27191</v>
      </c>
      <c r="B14057" t="s">
        <v>27191</v>
      </c>
      <c r="C14057" t="s">
        <v>61</v>
      </c>
      <c r="D14057" t="s">
        <v>17</v>
      </c>
      <c r="E14057" s="6">
        <v>-28385</v>
      </c>
      <c r="F14057" t="s">
        <v>484</v>
      </c>
      <c r="G14057" t="s">
        <v>57</v>
      </c>
      <c r="H14057" t="s">
        <v>20</v>
      </c>
      <c r="I14057" t="s">
        <v>27192</v>
      </c>
      <c r="J14057" t="str">
        <f>HYPERLINK("https://www.boe.es/gazeta/dias/1822/04/13/pdfs/GMD-1822-105.pdf#page=4","Abrir facsímil")</f>
        <v>Abrir facsímil</v>
      </c>
      <c r="K14057" t="s">
        <v>22</v>
      </c>
    </row>
    <row r="14058" spans="1:11" ht="42" customHeight="1">
      <c r="A14058" t="s">
        <v>27193</v>
      </c>
      <c r="B14058" t="s">
        <v>27194</v>
      </c>
      <c r="C14058" t="s">
        <v>50</v>
      </c>
      <c r="D14058" t="s">
        <v>51</v>
      </c>
      <c r="E14058" s="6">
        <v>-28337</v>
      </c>
      <c r="F14058" t="s">
        <v>1836</v>
      </c>
      <c r="G14058" t="s">
        <v>4337</v>
      </c>
      <c r="H14058" t="s">
        <v>20</v>
      </c>
      <c r="I14058" t="s">
        <v>27195</v>
      </c>
      <c r="J14058" t="str">
        <f>HYPERLINK("https://www.boe.es/gazeta/dias/1822/05/31/pdfs/GMD-1822-156.pdf#page=6","Abrir facsímil")</f>
        <v>Abrir facsímil</v>
      </c>
      <c r="K14058" t="s">
        <v>22</v>
      </c>
    </row>
    <row r="14059" spans="1:11" ht="42" customHeight="1">
      <c r="A14059" t="s">
        <v>27196</v>
      </c>
      <c r="B14059" t="s">
        <v>27197</v>
      </c>
      <c r="C14059" t="s">
        <v>50</v>
      </c>
      <c r="D14059" t="s">
        <v>51</v>
      </c>
      <c r="E14059" s="6">
        <v>-28157</v>
      </c>
      <c r="F14059" t="s">
        <v>1492</v>
      </c>
      <c r="G14059" t="s">
        <v>63</v>
      </c>
      <c r="H14059" t="s">
        <v>20</v>
      </c>
      <c r="I14059" t="s">
        <v>27198</v>
      </c>
      <c r="J14059" t="str">
        <f>HYPERLINK("https://www.boe.es/gazeta/dias/1822/11/27/pdfs/GMD-1822-347.pdf#page=6","Abrir facsímil")</f>
        <v>Abrir facsímil</v>
      </c>
      <c r="K14059" t="s">
        <v>22</v>
      </c>
    </row>
    <row r="14060" spans="1:11" ht="42" customHeight="1">
      <c r="A14060" t="s">
        <v>27199</v>
      </c>
      <c r="B14060" t="s">
        <v>27200</v>
      </c>
      <c r="C14060" t="s">
        <v>42</v>
      </c>
      <c r="D14060" t="s">
        <v>17</v>
      </c>
      <c r="E14060" s="6">
        <v>-28311</v>
      </c>
      <c r="F14060" t="s">
        <v>736</v>
      </c>
      <c r="G14060" t="s">
        <v>157</v>
      </c>
      <c r="H14060" t="s">
        <v>20</v>
      </c>
      <c r="I14060" t="s">
        <v>27201</v>
      </c>
      <c r="J14060" t="str">
        <f>HYPERLINK("https://www.boe.es/gazeta/dias/1822/06/26/pdfs/GMD-1822-184.pdf#page=8","Abrir facsímil")</f>
        <v>Abrir facsímil</v>
      </c>
      <c r="K14060" t="s">
        <v>22</v>
      </c>
    </row>
    <row r="14061" spans="1:11" ht="42" customHeight="1">
      <c r="A14061" t="s">
        <v>27202</v>
      </c>
      <c r="B14061" t="s">
        <v>27203</v>
      </c>
      <c r="C14061" t="s">
        <v>42</v>
      </c>
      <c r="D14061" t="s">
        <v>17</v>
      </c>
      <c r="E14061" s="6">
        <v>-28317</v>
      </c>
      <c r="F14061" t="s">
        <v>546</v>
      </c>
      <c r="G14061" t="s">
        <v>157</v>
      </c>
      <c r="H14061" t="s">
        <v>20</v>
      </c>
      <c r="I14061" t="s">
        <v>27204</v>
      </c>
      <c r="J14061" t="str">
        <f>HYPERLINK("https://www.boe.es/gazeta/dias/1822/06/20/pdfs/GMD-1822-177.pdf#page=8","Abrir facsímil")</f>
        <v>Abrir facsímil</v>
      </c>
      <c r="K14061" t="s">
        <v>22</v>
      </c>
    </row>
    <row r="14062" spans="1:11" ht="42" customHeight="1">
      <c r="A14062" t="s">
        <v>27205</v>
      </c>
      <c r="B14062" t="s">
        <v>27206</v>
      </c>
      <c r="C14062" t="s">
        <v>50</v>
      </c>
      <c r="D14062" t="s">
        <v>51</v>
      </c>
      <c r="E14062" s="6">
        <v>-28253</v>
      </c>
      <c r="F14062" t="s">
        <v>413</v>
      </c>
      <c r="G14062" t="s">
        <v>57</v>
      </c>
      <c r="H14062" t="s">
        <v>20</v>
      </c>
      <c r="I14062" t="s">
        <v>27207</v>
      </c>
      <c r="J14062" t="str">
        <f>HYPERLINK("https://www.boe.es/gazeta/dias/1822/08/23/pdfs/GMD-1822-247.pdf#page=4","Abrir facsímil")</f>
        <v>Abrir facsímil</v>
      </c>
      <c r="K14062" t="s">
        <v>22</v>
      </c>
    </row>
    <row r="14063" spans="1:11" ht="42" customHeight="1">
      <c r="A14063" t="s">
        <v>27208</v>
      </c>
      <c r="B14063" t="s">
        <v>27208</v>
      </c>
      <c r="C14063" t="s">
        <v>50</v>
      </c>
      <c r="D14063" t="s">
        <v>723</v>
      </c>
      <c r="E14063" s="6">
        <v>-28181</v>
      </c>
      <c r="F14063" t="s">
        <v>724</v>
      </c>
      <c r="G14063" t="s">
        <v>44</v>
      </c>
      <c r="H14063" t="s">
        <v>20</v>
      </c>
      <c r="I14063" t="s">
        <v>27209</v>
      </c>
      <c r="J14063" t="str">
        <f>HYPERLINK("https://www.boe.es/gazeta/dias/1822/11/03/pdfs/GMD-1822-322E.pdf#page=1","Abrir facsímil")</f>
        <v>Abrir facsímil</v>
      </c>
      <c r="K14063" t="s">
        <v>22</v>
      </c>
    </row>
    <row r="14064" spans="1:11" ht="42" customHeight="1">
      <c r="A14064" t="s">
        <v>27210</v>
      </c>
      <c r="B14064" t="s">
        <v>27210</v>
      </c>
      <c r="C14064" t="s">
        <v>50</v>
      </c>
      <c r="D14064" t="s">
        <v>51</v>
      </c>
      <c r="E14064" s="6">
        <v>-28365</v>
      </c>
      <c r="F14064" t="s">
        <v>506</v>
      </c>
      <c r="G14064" t="s">
        <v>44</v>
      </c>
      <c r="H14064" t="s">
        <v>20</v>
      </c>
      <c r="I14064" t="s">
        <v>27211</v>
      </c>
      <c r="J14064" t="str">
        <f>HYPERLINK("https://www.boe.es/gazeta/dias/1822/05/03/pdfs/GMD-1822-125.pdf#page=1","Abrir facsímil")</f>
        <v>Abrir facsímil</v>
      </c>
      <c r="K14064" t="s">
        <v>22</v>
      </c>
    </row>
    <row r="14065" spans="1:11" ht="42" customHeight="1">
      <c r="A14065" t="s">
        <v>27212</v>
      </c>
      <c r="B14065" t="s">
        <v>27213</v>
      </c>
      <c r="C14065" t="s">
        <v>42</v>
      </c>
      <c r="D14065" t="s">
        <v>17</v>
      </c>
      <c r="E14065" s="6">
        <v>-28364</v>
      </c>
      <c r="F14065" t="s">
        <v>509</v>
      </c>
      <c r="G14065" t="s">
        <v>63</v>
      </c>
      <c r="H14065" t="s">
        <v>20</v>
      </c>
      <c r="I14065" t="s">
        <v>27214</v>
      </c>
      <c r="J14065" t="str">
        <f>HYPERLINK("https://www.boe.es/gazeta/dias/1822/05/04/pdfs/GMD-1822-126.pdf#page=6","Abrir facsímil")</f>
        <v>Abrir facsímil</v>
      </c>
      <c r="K14065" t="s">
        <v>22</v>
      </c>
    </row>
    <row r="14066" spans="1:11" ht="42" customHeight="1">
      <c r="A14066" t="s">
        <v>27215</v>
      </c>
      <c r="B14066" t="s">
        <v>27216</v>
      </c>
      <c r="C14066" t="s">
        <v>42</v>
      </c>
      <c r="D14066" t="s">
        <v>17</v>
      </c>
      <c r="E14066" s="6">
        <v>-28345</v>
      </c>
      <c r="F14066" t="s">
        <v>294</v>
      </c>
      <c r="G14066" t="s">
        <v>63</v>
      </c>
      <c r="H14066" t="s">
        <v>20</v>
      </c>
      <c r="I14066" t="s">
        <v>27217</v>
      </c>
      <c r="J14066" t="str">
        <f>HYPERLINK("https://www.boe.es/gazeta/dias/1822/05/23/pdfs/GMD-1822-147.pdf#page=6","Abrir facsímil")</f>
        <v>Abrir facsímil</v>
      </c>
      <c r="K14066" t="s">
        <v>22</v>
      </c>
    </row>
    <row r="14067" spans="1:11" ht="42" customHeight="1">
      <c r="A14067" t="s">
        <v>27218</v>
      </c>
      <c r="B14067" t="s">
        <v>27219</v>
      </c>
      <c r="C14067" t="s">
        <v>50</v>
      </c>
      <c r="D14067" t="s">
        <v>51</v>
      </c>
      <c r="E14067" s="6">
        <v>-28280</v>
      </c>
      <c r="F14067" t="s">
        <v>56</v>
      </c>
      <c r="G14067" t="s">
        <v>35</v>
      </c>
      <c r="H14067" t="s">
        <v>45</v>
      </c>
      <c r="I14067" t="s">
        <v>27220</v>
      </c>
      <c r="J14067" t="str">
        <f>HYPERLINK("https://www.boe.es/gazeta/dias/1822/07/27/pdfs/GMD-1822-220.pdf#page=2","Abrir facsímil")</f>
        <v>Abrir facsímil</v>
      </c>
      <c r="K14067" t="s">
        <v>47</v>
      </c>
    </row>
    <row r="14068" spans="1:11" ht="42" customHeight="1">
      <c r="A14068" t="s">
        <v>27221</v>
      </c>
      <c r="B14068" t="s">
        <v>27222</v>
      </c>
      <c r="C14068" t="s">
        <v>24</v>
      </c>
      <c r="D14068" t="s">
        <v>17</v>
      </c>
      <c r="E14068" s="6">
        <v>-28149</v>
      </c>
      <c r="F14068" t="s">
        <v>1322</v>
      </c>
      <c r="G14068" t="s">
        <v>57</v>
      </c>
      <c r="H14068" t="s">
        <v>20</v>
      </c>
      <c r="I14068" t="s">
        <v>27223</v>
      </c>
      <c r="J14068" t="str">
        <f>HYPERLINK("https://www.boe.es/gazeta/dias/1822/12/05/pdfs/GMD-1822-355.pdf#page=4","Abrir facsímil")</f>
        <v>Abrir facsímil</v>
      </c>
      <c r="K14068" t="s">
        <v>22</v>
      </c>
    </row>
    <row r="14069" spans="1:11" ht="42" customHeight="1">
      <c r="A14069" t="s">
        <v>27224</v>
      </c>
      <c r="B14069" t="s">
        <v>27224</v>
      </c>
      <c r="C14069" t="s">
        <v>50</v>
      </c>
      <c r="D14069" t="s">
        <v>51</v>
      </c>
      <c r="E14069" s="6">
        <v>-28447</v>
      </c>
      <c r="F14069" t="s">
        <v>997</v>
      </c>
      <c r="G14069" t="s">
        <v>35</v>
      </c>
      <c r="H14069" t="s">
        <v>20</v>
      </c>
      <c r="I14069" t="s">
        <v>27225</v>
      </c>
      <c r="J14069" t="str">
        <f>HYPERLINK("https://www.boe.es/gazeta/dias/1822/02/10/pdfs/GMD-1822-41.pdf#page=2","Abrir facsímil")</f>
        <v>Abrir facsímil</v>
      </c>
      <c r="K14069" t="s">
        <v>22</v>
      </c>
    </row>
    <row r="14070" spans="1:11" ht="42" customHeight="1">
      <c r="A14070" t="s">
        <v>27224</v>
      </c>
      <c r="B14070" t="s">
        <v>27224</v>
      </c>
      <c r="C14070" t="s">
        <v>42</v>
      </c>
      <c r="D14070" t="s">
        <v>17</v>
      </c>
      <c r="E14070" s="6">
        <v>-28446</v>
      </c>
      <c r="F14070" t="s">
        <v>773</v>
      </c>
      <c r="G14070" t="s">
        <v>57</v>
      </c>
      <c r="H14070" t="s">
        <v>20</v>
      </c>
      <c r="I14070" t="s">
        <v>27226</v>
      </c>
      <c r="J14070" t="str">
        <f>HYPERLINK("https://www.boe.es/gazeta/dias/1822/02/11/pdfs/GMD-1822-42.pdf#page=4","Abrir facsímil")</f>
        <v>Abrir facsímil</v>
      </c>
      <c r="K14070" t="s">
        <v>22</v>
      </c>
    </row>
    <row r="14071" spans="1:11" ht="42" customHeight="1">
      <c r="A14071" t="s">
        <v>27227</v>
      </c>
      <c r="B14071" t="s">
        <v>27228</v>
      </c>
      <c r="C14071" t="s">
        <v>42</v>
      </c>
      <c r="D14071" t="s">
        <v>17</v>
      </c>
      <c r="E14071" s="6">
        <v>-28324</v>
      </c>
      <c r="F14071" t="s">
        <v>305</v>
      </c>
      <c r="G14071" t="s">
        <v>19</v>
      </c>
      <c r="H14071" t="s">
        <v>20</v>
      </c>
      <c r="I14071" t="s">
        <v>27229</v>
      </c>
      <c r="J14071" t="str">
        <f>HYPERLINK("https://www.boe.es/gazeta/dias/1822/06/13/pdfs/GMD-1822-170.pdf#page=5","Abrir facsímil")</f>
        <v>Abrir facsímil</v>
      </c>
      <c r="K14071" t="s">
        <v>22</v>
      </c>
    </row>
    <row r="14072" spans="1:11" ht="42" customHeight="1">
      <c r="A14072" t="s">
        <v>27230</v>
      </c>
      <c r="B14072" t="s">
        <v>27231</v>
      </c>
      <c r="C14072" t="s">
        <v>28</v>
      </c>
      <c r="D14072" t="s">
        <v>29</v>
      </c>
      <c r="E14072" s="6">
        <v>-28326</v>
      </c>
      <c r="F14072" t="s">
        <v>543</v>
      </c>
      <c r="G14072" t="s">
        <v>63</v>
      </c>
      <c r="H14072" t="s">
        <v>20</v>
      </c>
      <c r="I14072" t="s">
        <v>27232</v>
      </c>
      <c r="J14072" t="str">
        <f>HYPERLINK("https://www.boe.es/gazeta/dias/1822/06/11/pdfs/GMD-1822-168.pdf#page=6","Abrir facsímil")</f>
        <v>Abrir facsímil</v>
      </c>
      <c r="K14072" t="s">
        <v>22</v>
      </c>
    </row>
    <row r="14073" spans="1:11" ht="42" customHeight="1">
      <c r="A14073" t="s">
        <v>27230</v>
      </c>
      <c r="B14073" t="s">
        <v>27231</v>
      </c>
      <c r="C14073" t="s">
        <v>42</v>
      </c>
      <c r="D14073" t="s">
        <v>17</v>
      </c>
      <c r="E14073" s="6">
        <v>-28266</v>
      </c>
      <c r="F14073" t="s">
        <v>1169</v>
      </c>
      <c r="G14073" t="s">
        <v>57</v>
      </c>
      <c r="H14073" t="s">
        <v>20</v>
      </c>
      <c r="I14073" t="s">
        <v>27233</v>
      </c>
      <c r="J14073" t="str">
        <f>HYPERLINK("https://www.boe.es/gazeta/dias/1822/08/10/pdfs/GMD-1822-234.pdf#page=4","Abrir facsímil")</f>
        <v>Abrir facsímil</v>
      </c>
      <c r="K14073" t="s">
        <v>22</v>
      </c>
    </row>
    <row r="14074" spans="1:11" ht="42" customHeight="1">
      <c r="A14074" t="s">
        <v>27234</v>
      </c>
      <c r="B14074" t="s">
        <v>27235</v>
      </c>
      <c r="C14074" t="s">
        <v>71</v>
      </c>
      <c r="D14074" t="s">
        <v>17</v>
      </c>
      <c r="E14074" s="6">
        <v>-28395</v>
      </c>
      <c r="F14074" t="s">
        <v>237</v>
      </c>
      <c r="G14074" t="s">
        <v>57</v>
      </c>
      <c r="H14074" t="s">
        <v>20</v>
      </c>
      <c r="I14074" t="s">
        <v>27236</v>
      </c>
      <c r="J14074" t="str">
        <f>HYPERLINK("https://www.boe.es/gazeta/dias/1822/04/03/pdfs/GMD-1822-95.pdf#page=4","Abrir facsímil")</f>
        <v>Abrir facsímil</v>
      </c>
      <c r="K14074" t="s">
        <v>22</v>
      </c>
    </row>
    <row r="14075" spans="1:11" ht="42" customHeight="1">
      <c r="A14075" t="s">
        <v>27234</v>
      </c>
      <c r="B14075" t="s">
        <v>27235</v>
      </c>
      <c r="C14075" t="s">
        <v>16</v>
      </c>
      <c r="D14075" t="s">
        <v>17</v>
      </c>
      <c r="E14075" s="6">
        <v>-28380</v>
      </c>
      <c r="F14075" t="s">
        <v>492</v>
      </c>
      <c r="G14075" t="s">
        <v>63</v>
      </c>
      <c r="H14075" t="s">
        <v>20</v>
      </c>
      <c r="I14075" t="s">
        <v>27237</v>
      </c>
      <c r="J14075" t="str">
        <f>HYPERLINK("https://www.boe.es/gazeta/dias/1822/04/18/pdfs/GMD-1822-110.pdf#page=6","Abrir facsímil")</f>
        <v>Abrir facsímil</v>
      </c>
      <c r="K14075" t="s">
        <v>22</v>
      </c>
    </row>
    <row r="14076" spans="1:11" ht="42" customHeight="1">
      <c r="A14076" t="s">
        <v>27234</v>
      </c>
      <c r="B14076" t="s">
        <v>27235</v>
      </c>
      <c r="C14076" t="s">
        <v>71</v>
      </c>
      <c r="D14076" t="s">
        <v>17</v>
      </c>
      <c r="E14076" s="6">
        <v>-28214</v>
      </c>
      <c r="F14076" t="s">
        <v>814</v>
      </c>
      <c r="G14076" t="s">
        <v>57</v>
      </c>
      <c r="H14076" t="s">
        <v>20</v>
      </c>
      <c r="I14076" t="s">
        <v>27238</v>
      </c>
      <c r="J14076" t="str">
        <f>HYPERLINK("https://www.boe.es/gazeta/dias/1822/10/01/pdfs/GMD-1822-287.pdf#page=4","Abrir facsímil")</f>
        <v>Abrir facsímil</v>
      </c>
      <c r="K14076" t="s">
        <v>22</v>
      </c>
    </row>
    <row r="14077" spans="1:11" ht="42" customHeight="1">
      <c r="A14077" t="s">
        <v>27239</v>
      </c>
      <c r="B14077" t="s">
        <v>27240</v>
      </c>
      <c r="C14077" t="s">
        <v>16</v>
      </c>
      <c r="D14077" t="s">
        <v>17</v>
      </c>
      <c r="E14077" s="6">
        <v>-28378</v>
      </c>
      <c r="F14077" t="s">
        <v>496</v>
      </c>
      <c r="G14077" t="s">
        <v>57</v>
      </c>
      <c r="H14077" t="s">
        <v>20</v>
      </c>
      <c r="I14077" t="s">
        <v>27241</v>
      </c>
      <c r="J14077" t="str">
        <f>HYPERLINK("https://www.boe.es/gazeta/dias/1822/04/20/pdfs/GMD-1822-112.pdf#page=4","Abrir facsímil")</f>
        <v>Abrir facsímil</v>
      </c>
      <c r="K14077" t="s">
        <v>22</v>
      </c>
    </row>
    <row r="14078" spans="1:11" ht="42" customHeight="1">
      <c r="A14078" t="s">
        <v>27242</v>
      </c>
      <c r="B14078" t="s">
        <v>27243</v>
      </c>
      <c r="C14078" t="s">
        <v>28</v>
      </c>
      <c r="D14078" t="s">
        <v>29</v>
      </c>
      <c r="E14078" s="6">
        <v>-28341</v>
      </c>
      <c r="F14078" t="s">
        <v>284</v>
      </c>
      <c r="G14078" t="s">
        <v>63</v>
      </c>
      <c r="H14078" t="s">
        <v>20</v>
      </c>
      <c r="I14078" t="s">
        <v>27244</v>
      </c>
      <c r="J14078" t="str">
        <f>HYPERLINK("https://www.boe.es/gazeta/dias/1822/05/27/pdfs/GMD-1822-152.pdf#page=6","Abrir facsímil")</f>
        <v>Abrir facsímil</v>
      </c>
      <c r="K14078" t="s">
        <v>22</v>
      </c>
    </row>
    <row r="14079" spans="1:11" ht="42" customHeight="1">
      <c r="A14079" t="s">
        <v>27245</v>
      </c>
      <c r="B14079" t="s">
        <v>27246</v>
      </c>
      <c r="C14079" t="s">
        <v>50</v>
      </c>
      <c r="D14079" t="s">
        <v>51</v>
      </c>
      <c r="E14079" s="6">
        <v>-28208</v>
      </c>
      <c r="F14079" t="s">
        <v>230</v>
      </c>
      <c r="G14079" t="s">
        <v>57</v>
      </c>
      <c r="H14079" t="s">
        <v>20</v>
      </c>
      <c r="I14079" t="s">
        <v>27247</v>
      </c>
      <c r="J14079" t="str">
        <f>HYPERLINK("https://www.boe.es/gazeta/dias/1822/10/07/pdfs/GMD-1822-293.pdf#page=4","Abrir facsímil")</f>
        <v>Abrir facsímil</v>
      </c>
      <c r="K14079" t="s">
        <v>22</v>
      </c>
    </row>
    <row r="14080" spans="1:11" ht="42" customHeight="1">
      <c r="A14080" t="s">
        <v>27248</v>
      </c>
      <c r="B14080" t="s">
        <v>27249</v>
      </c>
      <c r="C14080" t="s">
        <v>42</v>
      </c>
      <c r="D14080" t="s">
        <v>17</v>
      </c>
      <c r="E14080" s="6">
        <v>-28338</v>
      </c>
      <c r="F14080" t="s">
        <v>527</v>
      </c>
      <c r="G14080" t="s">
        <v>44</v>
      </c>
      <c r="H14080" t="s">
        <v>20</v>
      </c>
      <c r="I14080" t="s">
        <v>27250</v>
      </c>
      <c r="J14080" t="str">
        <f>HYPERLINK("https://www.boe.es/gazeta/dias/1822/05/30/pdfs/GMD-1822-155.pdf#page=1","Abrir facsímil")</f>
        <v>Abrir facsímil</v>
      </c>
      <c r="K14080" t="s">
        <v>22</v>
      </c>
    </row>
    <row r="14081" spans="1:11" ht="42" customHeight="1">
      <c r="A14081" t="s">
        <v>27251</v>
      </c>
      <c r="B14081" t="s">
        <v>27252</v>
      </c>
      <c r="C14081" t="s">
        <v>50</v>
      </c>
      <c r="D14081" t="s">
        <v>51</v>
      </c>
      <c r="E14081" s="6">
        <v>-28437</v>
      </c>
      <c r="F14081" t="s">
        <v>2192</v>
      </c>
      <c r="G14081" t="s">
        <v>35</v>
      </c>
      <c r="H14081" t="s">
        <v>20</v>
      </c>
      <c r="I14081" t="s">
        <v>27253</v>
      </c>
      <c r="J14081" t="str">
        <f>HYPERLINK("https://www.boe.es/gazeta/dias/1822/02/20/pdfs/GMD-1822-52.pdf#page=2","Abrir facsímil")</f>
        <v>Abrir facsímil</v>
      </c>
      <c r="K14081" t="s">
        <v>22</v>
      </c>
    </row>
    <row r="14082" spans="1:11" ht="42" customHeight="1">
      <c r="A14082" t="s">
        <v>27254</v>
      </c>
      <c r="B14082" t="s">
        <v>27254</v>
      </c>
      <c r="C14082" t="s">
        <v>50</v>
      </c>
      <c r="D14082" t="s">
        <v>51</v>
      </c>
      <c r="E14082" s="6">
        <v>-28246</v>
      </c>
      <c r="F14082" t="s">
        <v>3246</v>
      </c>
      <c r="G14082" t="s">
        <v>63</v>
      </c>
      <c r="H14082" t="s">
        <v>20</v>
      </c>
      <c r="I14082" t="s">
        <v>27255</v>
      </c>
      <c r="J14082" t="str">
        <f>HYPERLINK("https://www.boe.es/gazeta/dias/1822/08/30/pdfs/GMD-1822-254.pdf#page=6","Abrir facsímil")</f>
        <v>Abrir facsímil</v>
      </c>
      <c r="K14082" t="s">
        <v>22</v>
      </c>
    </row>
    <row r="14083" spans="1:11" ht="42" customHeight="1">
      <c r="A14083" t="s">
        <v>27256</v>
      </c>
      <c r="B14083" t="s">
        <v>27257</v>
      </c>
      <c r="C14083" t="s">
        <v>50</v>
      </c>
      <c r="D14083" t="s">
        <v>51</v>
      </c>
      <c r="E14083" s="6">
        <v>-28303</v>
      </c>
      <c r="F14083" t="s">
        <v>201</v>
      </c>
      <c r="G14083" t="s">
        <v>31</v>
      </c>
      <c r="H14083" t="s">
        <v>20</v>
      </c>
      <c r="I14083" t="s">
        <v>27258</v>
      </c>
      <c r="J14083" t="str">
        <f>HYPERLINK("https://www.boe.es/gazeta/dias/1822/07/04/pdfs/GMD-1822-193.pdf#page=3","Abrir facsímil")</f>
        <v>Abrir facsímil</v>
      </c>
      <c r="K14083" t="s">
        <v>22</v>
      </c>
    </row>
    <row r="14084" spans="1:11" ht="42" customHeight="1">
      <c r="A14084" t="s">
        <v>27259</v>
      </c>
      <c r="B14084" t="s">
        <v>27260</v>
      </c>
      <c r="C14084" t="s">
        <v>42</v>
      </c>
      <c r="D14084" t="s">
        <v>17</v>
      </c>
      <c r="E14084" s="6">
        <v>-28139</v>
      </c>
      <c r="F14084" t="s">
        <v>143</v>
      </c>
      <c r="G14084" t="s">
        <v>144</v>
      </c>
      <c r="H14084" t="s">
        <v>20</v>
      </c>
      <c r="I14084" t="s">
        <v>27261</v>
      </c>
      <c r="J14084" t="str">
        <f>HYPERLINK("https://www.boe.es/gazeta/dias/1822/12/15/pdfs/GMD-1822-365.pdf#page=4","Abrir facsímil")</f>
        <v>Abrir facsímil</v>
      </c>
      <c r="K14084" t="s">
        <v>22</v>
      </c>
    </row>
    <row r="14085" spans="1:11" ht="42" customHeight="1">
      <c r="A14085" t="s">
        <v>27262</v>
      </c>
      <c r="B14085" t="s">
        <v>27262</v>
      </c>
      <c r="C14085" t="s">
        <v>42</v>
      </c>
      <c r="D14085" t="s">
        <v>17</v>
      </c>
      <c r="E14085" s="6">
        <v>-28398</v>
      </c>
      <c r="F14085" t="s">
        <v>1961</v>
      </c>
      <c r="G14085" t="s">
        <v>44</v>
      </c>
      <c r="H14085" t="s">
        <v>20</v>
      </c>
      <c r="I14085" t="s">
        <v>27263</v>
      </c>
      <c r="J14085" t="str">
        <f>HYPERLINK("https://www.boe.es/gazeta/dias/1822/03/31/pdfs/GMD-1822-92.pdf#page=1","Abrir facsímil")</f>
        <v>Abrir facsímil</v>
      </c>
      <c r="K14085" t="s">
        <v>22</v>
      </c>
    </row>
    <row r="14086" spans="1:11" ht="42" customHeight="1">
      <c r="A14086" t="s">
        <v>27264</v>
      </c>
      <c r="B14086" t="s">
        <v>27264</v>
      </c>
      <c r="C14086" t="s">
        <v>71</v>
      </c>
      <c r="D14086" t="s">
        <v>17</v>
      </c>
      <c r="E14086" s="6">
        <v>-28431</v>
      </c>
      <c r="F14086" t="s">
        <v>1258</v>
      </c>
      <c r="G14086" t="s">
        <v>31</v>
      </c>
      <c r="H14086" t="s">
        <v>20</v>
      </c>
      <c r="I14086" t="s">
        <v>27265</v>
      </c>
      <c r="J14086" t="str">
        <f>HYPERLINK("https://www.boe.es/gazeta/dias/1822/02/26/pdfs/GMD-1822-58.pdf#page=3","Abrir facsímil")</f>
        <v>Abrir facsímil</v>
      </c>
      <c r="K14086" t="s">
        <v>22</v>
      </c>
    </row>
    <row r="14087" spans="1:11" ht="42" customHeight="1">
      <c r="A14087" t="s">
        <v>27266</v>
      </c>
      <c r="B14087" t="s">
        <v>27266</v>
      </c>
      <c r="C14087" t="s">
        <v>71</v>
      </c>
      <c r="D14087" t="s">
        <v>17</v>
      </c>
      <c r="E14087" s="6">
        <v>-28430</v>
      </c>
      <c r="F14087" t="s">
        <v>3437</v>
      </c>
      <c r="G14087" t="s">
        <v>57</v>
      </c>
      <c r="H14087" t="s">
        <v>20</v>
      </c>
      <c r="I14087" t="s">
        <v>27267</v>
      </c>
      <c r="J14087" t="str">
        <f>HYPERLINK("https://www.boe.es/gazeta/dias/1822/02/27/pdfs/GMD-1822-59.pdf#page=4","Abrir facsímil")</f>
        <v>Abrir facsímil</v>
      </c>
      <c r="K14087" t="s">
        <v>22</v>
      </c>
    </row>
    <row r="14088" spans="1:11" ht="42" customHeight="1">
      <c r="A14088" t="s">
        <v>27266</v>
      </c>
      <c r="B14088" t="s">
        <v>27266</v>
      </c>
      <c r="C14088" t="s">
        <v>71</v>
      </c>
      <c r="D14088" t="s">
        <v>17</v>
      </c>
      <c r="E14088" s="6">
        <v>-28413</v>
      </c>
      <c r="F14088" t="s">
        <v>458</v>
      </c>
      <c r="G14088" t="s">
        <v>22780</v>
      </c>
      <c r="H14088" t="s">
        <v>20</v>
      </c>
      <c r="I14088" t="s">
        <v>27268</v>
      </c>
      <c r="J14088" t="str">
        <f>HYPERLINK("https://www.boe.es/gazeta/dias/1822/03/16/pdfs/GMD-1822-77.pdf#page=2","Abrir facsímil")</f>
        <v>Abrir facsímil</v>
      </c>
      <c r="K14088" t="s">
        <v>22</v>
      </c>
    </row>
    <row r="14089" spans="1:11" ht="42" customHeight="1">
      <c r="A14089" t="s">
        <v>27266</v>
      </c>
      <c r="B14089" t="s">
        <v>27266</v>
      </c>
      <c r="C14089" t="s">
        <v>42</v>
      </c>
      <c r="D14089" t="s">
        <v>17</v>
      </c>
      <c r="E14089" s="6">
        <v>-28327</v>
      </c>
      <c r="F14089" t="s">
        <v>38</v>
      </c>
      <c r="G14089" t="s">
        <v>44</v>
      </c>
      <c r="H14089" t="s">
        <v>20</v>
      </c>
      <c r="I14089" t="s">
        <v>27269</v>
      </c>
      <c r="J14089" t="str">
        <f>HYPERLINK("https://www.boe.es/gazeta/dias/1822/06/10/pdfs/GMD-1822-167.pdf#page=1","Abrir facsímil")</f>
        <v>Abrir facsímil</v>
      </c>
      <c r="K14089" t="s">
        <v>22</v>
      </c>
    </row>
    <row r="14090" spans="1:11" ht="42" customHeight="1">
      <c r="A14090" t="s">
        <v>27270</v>
      </c>
      <c r="B14090" t="s">
        <v>27271</v>
      </c>
      <c r="C14090" t="s">
        <v>28</v>
      </c>
      <c r="D14090" t="s">
        <v>29</v>
      </c>
      <c r="E14090" s="6">
        <v>-28452</v>
      </c>
      <c r="F14090" t="s">
        <v>7772</v>
      </c>
      <c r="G14090" t="s">
        <v>57</v>
      </c>
      <c r="H14090" t="s">
        <v>20</v>
      </c>
      <c r="I14090" t="s">
        <v>27272</v>
      </c>
      <c r="J14090" t="str">
        <f>HYPERLINK("https://www.boe.es/gazeta/dias/1822/02/05/pdfs/GMD-1822-36.pdf#page=4","Abrir facsímil")</f>
        <v>Abrir facsímil</v>
      </c>
      <c r="K14090" t="s">
        <v>22</v>
      </c>
    </row>
    <row r="14091" spans="1:11" ht="42" customHeight="1">
      <c r="A14091" t="s">
        <v>27273</v>
      </c>
      <c r="B14091" t="s">
        <v>27273</v>
      </c>
      <c r="C14091" t="s">
        <v>50</v>
      </c>
      <c r="D14091" t="s">
        <v>51</v>
      </c>
      <c r="E14091" s="6">
        <v>-28196</v>
      </c>
      <c r="F14091" t="s">
        <v>570</v>
      </c>
      <c r="G14091" t="s">
        <v>31</v>
      </c>
      <c r="H14091" t="s">
        <v>20</v>
      </c>
      <c r="I14091" t="s">
        <v>27274</v>
      </c>
      <c r="J14091" t="str">
        <f>HYPERLINK("https://www.boe.es/gazeta/dias/1822/10/19/pdfs/GMD-1822-306.pdf#page=3","Abrir facsímil")</f>
        <v>Abrir facsímil</v>
      </c>
      <c r="K14091" t="s">
        <v>22</v>
      </c>
    </row>
    <row r="14092" spans="1:11" ht="42" customHeight="1">
      <c r="A14092" t="s">
        <v>27275</v>
      </c>
      <c r="B14092" t="s">
        <v>27275</v>
      </c>
      <c r="C14092" t="s">
        <v>50</v>
      </c>
      <c r="D14092" t="s">
        <v>51</v>
      </c>
      <c r="E14092" s="6">
        <v>-28196</v>
      </c>
      <c r="F14092" t="s">
        <v>570</v>
      </c>
      <c r="G14092" t="s">
        <v>31</v>
      </c>
      <c r="H14092" t="s">
        <v>20</v>
      </c>
      <c r="I14092" t="s">
        <v>27276</v>
      </c>
      <c r="J14092" t="str">
        <f>HYPERLINK("https://www.boe.es/gazeta/dias/1822/10/19/pdfs/GMD-1822-306.pdf#page=3","Abrir facsímil")</f>
        <v>Abrir facsímil</v>
      </c>
      <c r="K14092" t="s">
        <v>22</v>
      </c>
    </row>
    <row r="14093" spans="1:11" ht="42" customHeight="1">
      <c r="A14093" t="s">
        <v>27277</v>
      </c>
      <c r="B14093" t="s">
        <v>27277</v>
      </c>
      <c r="C14093" t="s">
        <v>50</v>
      </c>
      <c r="D14093" t="s">
        <v>51</v>
      </c>
      <c r="E14093" s="6">
        <v>-28204</v>
      </c>
      <c r="F14093" t="s">
        <v>3190</v>
      </c>
      <c r="G14093" t="s">
        <v>167</v>
      </c>
      <c r="H14093" t="s">
        <v>20</v>
      </c>
      <c r="I14093" t="s">
        <v>27278</v>
      </c>
      <c r="J14093" t="str">
        <f>HYPERLINK("https://www.boe.es/gazeta/dias/1822/10/11/pdfs/GMD-1822-298.pdf#page=7","Abrir facsímil")</f>
        <v>Abrir facsímil</v>
      </c>
      <c r="K14093" t="s">
        <v>22</v>
      </c>
    </row>
    <row r="14094" spans="1:11" ht="42" customHeight="1">
      <c r="A14094" t="s">
        <v>27279</v>
      </c>
      <c r="B14094" t="s">
        <v>27279</v>
      </c>
      <c r="C14094" t="s">
        <v>71</v>
      </c>
      <c r="D14094" t="s">
        <v>17</v>
      </c>
      <c r="E14094" s="6">
        <v>-28456</v>
      </c>
      <c r="F14094" t="s">
        <v>1104</v>
      </c>
      <c r="G14094" t="s">
        <v>31</v>
      </c>
      <c r="H14094" t="s">
        <v>20</v>
      </c>
      <c r="I14094" t="s">
        <v>27280</v>
      </c>
      <c r="J14094" t="str">
        <f>HYPERLINK("https://www.boe.es/gazeta/dias/1822/02/01/pdfs/GMD-1822-32.pdf#page=3","Abrir facsímil")</f>
        <v>Abrir facsímil</v>
      </c>
      <c r="K14094" t="s">
        <v>22</v>
      </c>
    </row>
    <row r="14095" spans="1:11" ht="42" customHeight="1">
      <c r="A14095" t="s">
        <v>27281</v>
      </c>
      <c r="B14095" t="s">
        <v>27281</v>
      </c>
      <c r="C14095" t="s">
        <v>50</v>
      </c>
      <c r="D14095" t="s">
        <v>51</v>
      </c>
      <c r="E14095" s="6">
        <v>-28211</v>
      </c>
      <c r="F14095" t="s">
        <v>273</v>
      </c>
      <c r="G14095" t="s">
        <v>57</v>
      </c>
      <c r="H14095" t="s">
        <v>20</v>
      </c>
      <c r="I14095" t="s">
        <v>27282</v>
      </c>
      <c r="J14095" t="str">
        <f>HYPERLINK("https://www.boe.es/gazeta/dias/1822/10/04/pdfs/GMD-1822-290.pdf#page=4","Abrir facsímil")</f>
        <v>Abrir facsímil</v>
      </c>
      <c r="K14095" t="s">
        <v>22</v>
      </c>
    </row>
    <row r="14096" spans="1:11" ht="42" customHeight="1">
      <c r="A14096" t="s">
        <v>27283</v>
      </c>
      <c r="B14096" t="s">
        <v>27283</v>
      </c>
      <c r="C14096" t="s">
        <v>42</v>
      </c>
      <c r="D14096" t="s">
        <v>17</v>
      </c>
      <c r="E14096" s="6">
        <v>-28342</v>
      </c>
      <c r="F14096" t="s">
        <v>2281</v>
      </c>
      <c r="G14096" t="s">
        <v>57</v>
      </c>
      <c r="H14096" t="s">
        <v>20</v>
      </c>
      <c r="I14096" t="s">
        <v>27284</v>
      </c>
      <c r="J14096" t="str">
        <f>HYPERLINK("https://www.boe.es/gazeta/dias/1822/05/26/pdfs/GMD-1822-151.pdf#page=4","Abrir facsímil")</f>
        <v>Abrir facsímil</v>
      </c>
      <c r="K14096" t="s">
        <v>22</v>
      </c>
    </row>
    <row r="14097" spans="1:11" ht="42" customHeight="1">
      <c r="A14097" t="s">
        <v>27285</v>
      </c>
      <c r="B14097" t="s">
        <v>27286</v>
      </c>
      <c r="C14097" t="s">
        <v>42</v>
      </c>
      <c r="D14097" t="s">
        <v>17</v>
      </c>
      <c r="E14097" s="6">
        <v>-28235</v>
      </c>
      <c r="F14097" t="s">
        <v>1470</v>
      </c>
      <c r="G14097" t="s">
        <v>35</v>
      </c>
      <c r="H14097" t="s">
        <v>45</v>
      </c>
      <c r="I14097" t="s">
        <v>27287</v>
      </c>
      <c r="J14097" t="str">
        <f>HYPERLINK("https://www.boe.es/gazeta/dias/1822/09/10/pdfs/GMD-1822-266.pdf#page=2","Abrir facsímil")</f>
        <v>Abrir facsímil</v>
      </c>
      <c r="K14097" t="s">
        <v>47</v>
      </c>
    </row>
    <row r="14098" spans="1:11" ht="42" customHeight="1">
      <c r="A14098" t="s">
        <v>27288</v>
      </c>
      <c r="B14098" t="s">
        <v>27289</v>
      </c>
      <c r="C14098" t="s">
        <v>50</v>
      </c>
      <c r="D14098" t="s">
        <v>51</v>
      </c>
      <c r="E14098" s="6">
        <v>-28406</v>
      </c>
      <c r="F14098" t="s">
        <v>462</v>
      </c>
      <c r="G14098" t="s">
        <v>31</v>
      </c>
      <c r="H14098" t="s">
        <v>20</v>
      </c>
      <c r="I14098" t="s">
        <v>27290</v>
      </c>
      <c r="J14098" t="str">
        <f>HYPERLINK("https://www.boe.es/gazeta/dias/1822/03/23/pdfs/GMD-1822-84.pdf#page=3","Abrir facsímil")</f>
        <v>Abrir facsímil</v>
      </c>
      <c r="K14098" t="s">
        <v>22</v>
      </c>
    </row>
    <row r="14099" spans="1:11" ht="42" customHeight="1">
      <c r="A14099" t="s">
        <v>27291</v>
      </c>
      <c r="B14099" t="s">
        <v>27292</v>
      </c>
      <c r="C14099" t="s">
        <v>50</v>
      </c>
      <c r="D14099" t="s">
        <v>51</v>
      </c>
      <c r="E14099" s="6">
        <v>-28142</v>
      </c>
      <c r="F14099" t="s">
        <v>290</v>
      </c>
      <c r="G14099" t="s">
        <v>57</v>
      </c>
      <c r="H14099" t="s">
        <v>20</v>
      </c>
      <c r="I14099" t="s">
        <v>27293</v>
      </c>
      <c r="J14099" t="str">
        <f>HYPERLINK("https://www.boe.es/gazeta/dias/1822/12/12/pdfs/GMD-1822-362.pdf#page=4","Abrir facsímil")</f>
        <v>Abrir facsímil</v>
      </c>
      <c r="K14099" t="s">
        <v>22</v>
      </c>
    </row>
    <row r="14100" spans="1:11" ht="42" customHeight="1">
      <c r="A14100" t="s">
        <v>27294</v>
      </c>
      <c r="B14100" t="s">
        <v>27294</v>
      </c>
      <c r="C14100" t="s">
        <v>16</v>
      </c>
      <c r="D14100" t="s">
        <v>17</v>
      </c>
      <c r="E14100" s="6">
        <v>-28480</v>
      </c>
      <c r="F14100" t="s">
        <v>995</v>
      </c>
      <c r="G14100" t="s">
        <v>35</v>
      </c>
      <c r="H14100" t="s">
        <v>20</v>
      </c>
      <c r="I14100" t="s">
        <v>27295</v>
      </c>
      <c r="J14100" t="str">
        <f>HYPERLINK("https://www.boe.es/gazeta/dias/1822/01/08/pdfs/GMD-1822-8.pdf#page=2","Abrir facsímil")</f>
        <v>Abrir facsímil</v>
      </c>
      <c r="K14100" t="s">
        <v>22</v>
      </c>
    </row>
    <row r="14101" spans="1:11" ht="42" customHeight="1">
      <c r="A14101" t="s">
        <v>27296</v>
      </c>
      <c r="B14101" t="s">
        <v>27296</v>
      </c>
      <c r="C14101" t="s">
        <v>16</v>
      </c>
      <c r="D14101" t="s">
        <v>17</v>
      </c>
      <c r="E14101" s="6">
        <v>-28368</v>
      </c>
      <c r="F14101" t="s">
        <v>126</v>
      </c>
      <c r="G14101" t="s">
        <v>44</v>
      </c>
      <c r="H14101" t="s">
        <v>20</v>
      </c>
      <c r="I14101" t="s">
        <v>27297</v>
      </c>
      <c r="J14101" t="str">
        <f>HYPERLINK("https://www.boe.es/gazeta/dias/1822/04/30/pdfs/GMD-1822-122.pdf#page=1","Abrir facsímil")</f>
        <v>Abrir facsímil</v>
      </c>
      <c r="K14101" t="s">
        <v>22</v>
      </c>
    </row>
    <row r="14102" spans="1:11" ht="42" customHeight="1">
      <c r="A14102" t="s">
        <v>27298</v>
      </c>
      <c r="B14102" t="s">
        <v>27298</v>
      </c>
      <c r="C14102" t="s">
        <v>42</v>
      </c>
      <c r="D14102" t="s">
        <v>17</v>
      </c>
      <c r="E14102" s="6">
        <v>-28407</v>
      </c>
      <c r="F14102" t="s">
        <v>460</v>
      </c>
      <c r="G14102" t="s">
        <v>31</v>
      </c>
      <c r="H14102" t="s">
        <v>20</v>
      </c>
      <c r="I14102" t="s">
        <v>27299</v>
      </c>
      <c r="J14102" t="str">
        <f>HYPERLINK("https://www.boe.es/gazeta/dias/1822/03/22/pdfs/GMD-1822-83.pdf#page=3","Abrir facsímil")</f>
        <v>Abrir facsímil</v>
      </c>
      <c r="K14102" t="s">
        <v>22</v>
      </c>
    </row>
    <row r="14103" spans="1:11" ht="42" customHeight="1">
      <c r="A14103" t="s">
        <v>27298</v>
      </c>
      <c r="B14103" t="s">
        <v>27298</v>
      </c>
      <c r="C14103" t="s">
        <v>42</v>
      </c>
      <c r="D14103" t="s">
        <v>17</v>
      </c>
      <c r="E14103" s="6">
        <v>-28407</v>
      </c>
      <c r="F14103" t="s">
        <v>460</v>
      </c>
      <c r="G14103" t="s">
        <v>57</v>
      </c>
      <c r="H14103" t="s">
        <v>20</v>
      </c>
      <c r="I14103" t="s">
        <v>27300</v>
      </c>
      <c r="J14103" t="str">
        <f>HYPERLINK("https://www.boe.es/gazeta/dias/1822/03/22/pdfs/GMD-1822-83.pdf#page=4","Abrir facsímil")</f>
        <v>Abrir facsímil</v>
      </c>
      <c r="K14103" t="s">
        <v>22</v>
      </c>
    </row>
    <row r="14104" spans="1:11" ht="42" customHeight="1">
      <c r="A14104" t="s">
        <v>27301</v>
      </c>
      <c r="B14104" t="s">
        <v>27301</v>
      </c>
      <c r="C14104" t="s">
        <v>61</v>
      </c>
      <c r="D14104" t="s">
        <v>17</v>
      </c>
      <c r="E14104" s="6">
        <v>-28359</v>
      </c>
      <c r="F14104" t="s">
        <v>209</v>
      </c>
      <c r="G14104" t="s">
        <v>31</v>
      </c>
      <c r="H14104" t="s">
        <v>20</v>
      </c>
      <c r="I14104" t="s">
        <v>27302</v>
      </c>
      <c r="J14104" t="str">
        <f>HYPERLINK("https://www.boe.es/gazeta/dias/1822/05/09/pdfs/GMD-1822-131.pdf#page=3","Abrir facsímil")</f>
        <v>Abrir facsímil</v>
      </c>
      <c r="K14104" t="s">
        <v>22</v>
      </c>
    </row>
    <row r="14105" spans="1:11" ht="42" customHeight="1">
      <c r="A14105" t="s">
        <v>27298</v>
      </c>
      <c r="B14105" t="s">
        <v>27298</v>
      </c>
      <c r="C14105" t="s">
        <v>42</v>
      </c>
      <c r="D14105" t="s">
        <v>17</v>
      </c>
      <c r="E14105" s="6">
        <v>-28357</v>
      </c>
      <c r="F14105" t="s">
        <v>690</v>
      </c>
      <c r="G14105" t="s">
        <v>35</v>
      </c>
      <c r="H14105" t="s">
        <v>20</v>
      </c>
      <c r="I14105" t="s">
        <v>27303</v>
      </c>
      <c r="J14105" t="str">
        <f>HYPERLINK("https://www.boe.es/gazeta/dias/1822/05/11/pdfs/GMD-1822-133.pdf#page=2","Abrir facsímil")</f>
        <v>Abrir facsímil</v>
      </c>
      <c r="K14105" t="s">
        <v>22</v>
      </c>
    </row>
    <row r="14106" spans="1:11" ht="42" customHeight="1">
      <c r="A14106" t="s">
        <v>27298</v>
      </c>
      <c r="B14106" t="s">
        <v>27298</v>
      </c>
      <c r="C14106" t="s">
        <v>42</v>
      </c>
      <c r="D14106" t="s">
        <v>17</v>
      </c>
      <c r="E14106" s="6">
        <v>-28355</v>
      </c>
      <c r="F14106" t="s">
        <v>692</v>
      </c>
      <c r="G14106" t="s">
        <v>44</v>
      </c>
      <c r="H14106" t="s">
        <v>20</v>
      </c>
      <c r="I14106" t="s">
        <v>27304</v>
      </c>
      <c r="J14106" t="str">
        <f>HYPERLINK("https://www.boe.es/gazeta/dias/1822/05/13/pdfs/GMD-1822-135.pdf#page=1","Abrir facsímil")</f>
        <v>Abrir facsímil</v>
      </c>
      <c r="K14106" t="s">
        <v>22</v>
      </c>
    </row>
    <row r="14107" spans="1:11" ht="42" customHeight="1">
      <c r="A14107" t="s">
        <v>27298</v>
      </c>
      <c r="B14107" t="s">
        <v>27298</v>
      </c>
      <c r="C14107" t="s">
        <v>16</v>
      </c>
      <c r="D14107" t="s">
        <v>17</v>
      </c>
      <c r="E14107" s="6">
        <v>-28338</v>
      </c>
      <c r="F14107" t="s">
        <v>527</v>
      </c>
      <c r="G14107" t="s">
        <v>35</v>
      </c>
      <c r="H14107" t="s">
        <v>20</v>
      </c>
      <c r="I14107" t="s">
        <v>27305</v>
      </c>
      <c r="J14107" t="str">
        <f>HYPERLINK("https://www.boe.es/gazeta/dias/1822/05/30/pdfs/GMD-1822-155.pdf#page=2","Abrir facsímil")</f>
        <v>Abrir facsímil</v>
      </c>
      <c r="K14107" t="s">
        <v>22</v>
      </c>
    </row>
    <row r="14108" spans="1:11" ht="42" customHeight="1">
      <c r="A14108" t="s">
        <v>27298</v>
      </c>
      <c r="B14108" t="s">
        <v>27298</v>
      </c>
      <c r="C14108" t="s">
        <v>71</v>
      </c>
      <c r="D14108" t="s">
        <v>17</v>
      </c>
      <c r="E14108" s="6">
        <v>-28195</v>
      </c>
      <c r="F14108" t="s">
        <v>770</v>
      </c>
      <c r="G14108" t="s">
        <v>57</v>
      </c>
      <c r="H14108" t="s">
        <v>20</v>
      </c>
      <c r="I14108" t="s">
        <v>27306</v>
      </c>
      <c r="J14108" t="str">
        <f>HYPERLINK("https://www.boe.es/gazeta/dias/1822/10/20/pdfs/GMD-1822-307.pdf#page=4","Abrir facsímil")</f>
        <v>Abrir facsímil</v>
      </c>
      <c r="K14108" t="s">
        <v>22</v>
      </c>
    </row>
    <row r="14109" spans="1:11" ht="42" customHeight="1">
      <c r="A14109" t="s">
        <v>27307</v>
      </c>
      <c r="B14109" t="s">
        <v>27308</v>
      </c>
      <c r="C14109" t="s">
        <v>1141</v>
      </c>
      <c r="D14109" t="s">
        <v>29</v>
      </c>
      <c r="E14109" s="6">
        <v>-28436</v>
      </c>
      <c r="F14109" t="s">
        <v>431</v>
      </c>
      <c r="G14109" t="s">
        <v>1428</v>
      </c>
      <c r="H14109" t="s">
        <v>20</v>
      </c>
      <c r="I14109" t="s">
        <v>27309</v>
      </c>
      <c r="J14109" t="str">
        <f>HYPERLINK("https://www.boe.es/gazeta/dias/1822/02/21/pdfs/GMD-1822-53.pdf#page=3","Abrir facsímil")</f>
        <v>Abrir facsímil</v>
      </c>
      <c r="K14109" t="s">
        <v>22</v>
      </c>
    </row>
    <row r="14110" spans="1:11" ht="42" customHeight="1">
      <c r="A14110" t="s">
        <v>27310</v>
      </c>
      <c r="B14110" t="s">
        <v>27310</v>
      </c>
      <c r="C14110" t="s">
        <v>50</v>
      </c>
      <c r="D14110" t="s">
        <v>51</v>
      </c>
      <c r="E14110" s="6">
        <v>-28402</v>
      </c>
      <c r="F14110" t="s">
        <v>473</v>
      </c>
      <c r="G14110" t="s">
        <v>35</v>
      </c>
      <c r="H14110" t="s">
        <v>20</v>
      </c>
      <c r="I14110" t="s">
        <v>27311</v>
      </c>
      <c r="J14110" t="str">
        <f>HYPERLINK("https://www.boe.es/gazeta/dias/1822/03/27/pdfs/GMD-1822-88.pdf#page=2","Abrir facsímil")</f>
        <v>Abrir facsímil</v>
      </c>
      <c r="K14110" t="s">
        <v>22</v>
      </c>
    </row>
    <row r="14111" spans="1:11" ht="42" customHeight="1">
      <c r="A14111" t="s">
        <v>27312</v>
      </c>
      <c r="B14111" t="s">
        <v>27312</v>
      </c>
      <c r="C14111" t="s">
        <v>71</v>
      </c>
      <c r="D14111" t="s">
        <v>17</v>
      </c>
      <c r="E14111" s="6">
        <v>-28407</v>
      </c>
      <c r="F14111" t="s">
        <v>460</v>
      </c>
      <c r="G14111" t="s">
        <v>31</v>
      </c>
      <c r="H14111" t="s">
        <v>20</v>
      </c>
      <c r="I14111" t="s">
        <v>27313</v>
      </c>
      <c r="J14111" t="str">
        <f>HYPERLINK("https://www.boe.es/gazeta/dias/1822/03/22/pdfs/GMD-1822-83.pdf#page=3","Abrir facsímil")</f>
        <v>Abrir facsímil</v>
      </c>
      <c r="K14111" t="s">
        <v>22</v>
      </c>
    </row>
    <row r="14112" spans="1:11" ht="42" customHeight="1">
      <c r="A14112" t="s">
        <v>27312</v>
      </c>
      <c r="B14112" t="s">
        <v>27312</v>
      </c>
      <c r="C14112" t="s">
        <v>42</v>
      </c>
      <c r="D14112" t="s">
        <v>17</v>
      </c>
      <c r="E14112" s="6">
        <v>-28317</v>
      </c>
      <c r="F14112" t="s">
        <v>546</v>
      </c>
      <c r="G14112" t="s">
        <v>63</v>
      </c>
      <c r="H14112" t="s">
        <v>20</v>
      </c>
      <c r="I14112" t="s">
        <v>27314</v>
      </c>
      <c r="J14112" t="str">
        <f>HYPERLINK("https://www.boe.es/gazeta/dias/1822/06/20/pdfs/GMD-1822-177.pdf#page=6","Abrir facsímil")</f>
        <v>Abrir facsímil</v>
      </c>
      <c r="K14112" t="s">
        <v>22</v>
      </c>
    </row>
    <row r="14113" spans="1:11" ht="42" customHeight="1">
      <c r="A14113" t="s">
        <v>27312</v>
      </c>
      <c r="B14113" t="s">
        <v>27312</v>
      </c>
      <c r="C14113" t="s">
        <v>50</v>
      </c>
      <c r="D14113" t="s">
        <v>51</v>
      </c>
      <c r="E14113" s="6">
        <v>-28141</v>
      </c>
      <c r="F14113" t="s">
        <v>265</v>
      </c>
      <c r="G14113" t="s">
        <v>57</v>
      </c>
      <c r="H14113" t="s">
        <v>20</v>
      </c>
      <c r="I14113" t="s">
        <v>27315</v>
      </c>
      <c r="J14113" t="str">
        <f>HYPERLINK("https://www.boe.es/gazeta/dias/1822/12/13/pdfs/GMD-1822-363.pdf#page=4","Abrir facsímil")</f>
        <v>Abrir facsímil</v>
      </c>
      <c r="K14113" t="s">
        <v>22</v>
      </c>
    </row>
    <row r="14114" spans="1:11" ht="42" customHeight="1">
      <c r="A14114" t="s">
        <v>27316</v>
      </c>
      <c r="B14114" t="s">
        <v>27316</v>
      </c>
      <c r="C14114" t="s">
        <v>24</v>
      </c>
      <c r="D14114" t="s">
        <v>17</v>
      </c>
      <c r="E14114" s="6">
        <v>-28309</v>
      </c>
      <c r="F14114" t="s">
        <v>553</v>
      </c>
      <c r="G14114" t="s">
        <v>19</v>
      </c>
      <c r="H14114" t="s">
        <v>20</v>
      </c>
      <c r="I14114" t="s">
        <v>27317</v>
      </c>
      <c r="J14114" t="str">
        <f>HYPERLINK("https://www.boe.es/gazeta/dias/1822/06/28/pdfs/GMD-1822-186.pdf#page=5","Abrir facsímil")</f>
        <v>Abrir facsímil</v>
      </c>
      <c r="K14114" t="s">
        <v>22</v>
      </c>
    </row>
    <row r="14115" spans="1:11" ht="42" customHeight="1">
      <c r="A14115" t="s">
        <v>27318</v>
      </c>
      <c r="B14115" t="s">
        <v>27318</v>
      </c>
      <c r="C14115" t="s">
        <v>42</v>
      </c>
      <c r="D14115" t="s">
        <v>17</v>
      </c>
      <c r="E14115" s="6">
        <v>-28387</v>
      </c>
      <c r="F14115" t="s">
        <v>2874</v>
      </c>
      <c r="G14115" t="s">
        <v>26661</v>
      </c>
      <c r="H14115" t="s">
        <v>20</v>
      </c>
      <c r="I14115" t="s">
        <v>27319</v>
      </c>
      <c r="J14115" t="str">
        <f>HYPERLINK("https://www.boe.es/gazeta/dias/1822/04/11/pdfs/GMD-1822-103.pdf#page=2","Abrir facsímil")</f>
        <v>Abrir facsímil</v>
      </c>
      <c r="K14115" t="s">
        <v>22</v>
      </c>
    </row>
    <row r="14116" spans="1:11" ht="42" customHeight="1">
      <c r="A14116" t="s">
        <v>27320</v>
      </c>
      <c r="B14116" t="s">
        <v>27321</v>
      </c>
      <c r="C14116" t="s">
        <v>1141</v>
      </c>
      <c r="D14116" t="s">
        <v>29</v>
      </c>
      <c r="E14116" s="6">
        <v>-28474</v>
      </c>
      <c r="F14116" t="s">
        <v>30</v>
      </c>
      <c r="G14116" t="s">
        <v>35</v>
      </c>
      <c r="H14116" t="s">
        <v>20</v>
      </c>
      <c r="I14116" t="s">
        <v>27322</v>
      </c>
      <c r="J14116" t="str">
        <f>HYPERLINK("https://www.boe.es/gazeta/dias/1822/01/14/pdfs/GMD-1822-14.pdf#page=2","Abrir facsímil")</f>
        <v>Abrir facsímil</v>
      </c>
      <c r="K14116" t="s">
        <v>22</v>
      </c>
    </row>
    <row r="14117" spans="1:11" ht="42" customHeight="1">
      <c r="A14117" t="s">
        <v>27323</v>
      </c>
      <c r="B14117" t="s">
        <v>27324</v>
      </c>
      <c r="C14117" t="s">
        <v>50</v>
      </c>
      <c r="D14117" t="s">
        <v>51</v>
      </c>
      <c r="E14117" s="6">
        <v>-28303</v>
      </c>
      <c r="F14117" t="s">
        <v>201</v>
      </c>
      <c r="G14117" t="s">
        <v>57</v>
      </c>
      <c r="H14117" t="s">
        <v>45</v>
      </c>
      <c r="I14117" t="s">
        <v>27325</v>
      </c>
      <c r="J14117" t="str">
        <f>HYPERLINK("https://www.boe.es/gazeta/dias/1822/07/04/pdfs/GMD-1822-193.pdf#page=4","Abrir facsímil")</f>
        <v>Abrir facsímil</v>
      </c>
      <c r="K14117" t="s">
        <v>47</v>
      </c>
    </row>
    <row r="14118" spans="1:11" ht="42" customHeight="1">
      <c r="A14118" t="s">
        <v>27326</v>
      </c>
      <c r="B14118" t="s">
        <v>27326</v>
      </c>
      <c r="C14118" t="s">
        <v>42</v>
      </c>
      <c r="D14118" t="s">
        <v>17</v>
      </c>
      <c r="E14118" s="6">
        <v>-28369</v>
      </c>
      <c r="F14118" t="s">
        <v>1590</v>
      </c>
      <c r="G14118" t="s">
        <v>63</v>
      </c>
      <c r="H14118" t="s">
        <v>20</v>
      </c>
      <c r="I14118" t="s">
        <v>27327</v>
      </c>
      <c r="J14118" t="str">
        <f>HYPERLINK("https://www.boe.es/gazeta/dias/1822/04/29/pdfs/GMD-1822-121.pdf#page=6","Abrir facsímil")</f>
        <v>Abrir facsímil</v>
      </c>
      <c r="K14118" t="s">
        <v>22</v>
      </c>
    </row>
    <row r="14119" spans="1:11" ht="42" customHeight="1">
      <c r="A14119" t="s">
        <v>27328</v>
      </c>
      <c r="B14119" t="s">
        <v>27328</v>
      </c>
      <c r="C14119" t="s">
        <v>16</v>
      </c>
      <c r="D14119" t="s">
        <v>17</v>
      </c>
      <c r="E14119" s="6">
        <v>-28322</v>
      </c>
      <c r="F14119" t="s">
        <v>2205</v>
      </c>
      <c r="G14119" t="s">
        <v>57</v>
      </c>
      <c r="H14119" t="s">
        <v>20</v>
      </c>
      <c r="I14119" t="s">
        <v>27329</v>
      </c>
      <c r="J14119" t="str">
        <f>HYPERLINK("https://www.boe.es/gazeta/dias/1822/06/15/pdfs/GMD-1822-172.pdf#page=4","Abrir facsímil")</f>
        <v>Abrir facsímil</v>
      </c>
      <c r="K14119" t="s">
        <v>22</v>
      </c>
    </row>
    <row r="14120" spans="1:11" ht="42" customHeight="1">
      <c r="A14120" t="s">
        <v>27330</v>
      </c>
      <c r="B14120" t="s">
        <v>27331</v>
      </c>
      <c r="C14120" t="s">
        <v>42</v>
      </c>
      <c r="D14120" t="s">
        <v>17</v>
      </c>
      <c r="E14120" s="6">
        <v>-28185</v>
      </c>
      <c r="F14120" t="s">
        <v>933</v>
      </c>
      <c r="G14120" t="s">
        <v>44</v>
      </c>
      <c r="H14120" t="s">
        <v>20</v>
      </c>
      <c r="I14120" t="s">
        <v>27332</v>
      </c>
      <c r="J14120" t="str">
        <f>HYPERLINK("https://www.boe.es/gazeta/dias/1822/10/30/pdfs/GMD-1822-317.pdf#page=1","Abrir facsímil")</f>
        <v>Abrir facsímil</v>
      </c>
      <c r="K14120" t="s">
        <v>22</v>
      </c>
    </row>
    <row r="14121" spans="1:11" ht="42" customHeight="1">
      <c r="A14121" t="s">
        <v>27333</v>
      </c>
      <c r="B14121" t="s">
        <v>27334</v>
      </c>
      <c r="C14121" t="s">
        <v>42</v>
      </c>
      <c r="D14121" t="s">
        <v>17</v>
      </c>
      <c r="E14121" s="6">
        <v>-28328</v>
      </c>
      <c r="F14121" t="s">
        <v>540</v>
      </c>
      <c r="G14121" t="s">
        <v>31</v>
      </c>
      <c r="H14121" t="s">
        <v>20</v>
      </c>
      <c r="I14121" t="s">
        <v>27335</v>
      </c>
      <c r="J14121" t="str">
        <f>HYPERLINK("https://www.boe.es/gazeta/dias/1822/06/09/pdfs/GMD-1822-166.pdf#page=3","Abrir facsímil")</f>
        <v>Abrir facsímil</v>
      </c>
      <c r="K14121" t="s">
        <v>22</v>
      </c>
    </row>
    <row r="14122" spans="1:11" ht="42" customHeight="1">
      <c r="A14122" t="s">
        <v>27336</v>
      </c>
      <c r="B14122" t="s">
        <v>27337</v>
      </c>
      <c r="C14122" t="s">
        <v>42</v>
      </c>
      <c r="D14122" t="s">
        <v>17</v>
      </c>
      <c r="E14122" s="6">
        <v>-28172</v>
      </c>
      <c r="F14122" t="s">
        <v>674</v>
      </c>
      <c r="G14122" t="s">
        <v>57</v>
      </c>
      <c r="H14122" t="s">
        <v>20</v>
      </c>
      <c r="I14122" t="s">
        <v>27338</v>
      </c>
      <c r="J14122" t="str">
        <f>HYPERLINK("https://www.boe.es/gazeta/dias/1822/11/12/pdfs/GMD-1822-332.pdf#page=4","Abrir facsímil")</f>
        <v>Abrir facsímil</v>
      </c>
      <c r="K14122" t="s">
        <v>22</v>
      </c>
    </row>
    <row r="14123" spans="1:11" ht="42" customHeight="1">
      <c r="A14123" t="s">
        <v>27339</v>
      </c>
      <c r="B14123" t="s">
        <v>27340</v>
      </c>
      <c r="C14123" t="s">
        <v>42</v>
      </c>
      <c r="D14123" t="s">
        <v>17</v>
      </c>
      <c r="E14123" s="6">
        <v>-28208</v>
      </c>
      <c r="F14123" t="s">
        <v>230</v>
      </c>
      <c r="G14123" t="s">
        <v>57</v>
      </c>
      <c r="H14123" t="s">
        <v>20</v>
      </c>
      <c r="I14123" t="s">
        <v>27341</v>
      </c>
      <c r="J14123" t="str">
        <f>HYPERLINK("https://www.boe.es/gazeta/dias/1822/10/07/pdfs/GMD-1822-293.pdf#page=4","Abrir facsímil")</f>
        <v>Abrir facsímil</v>
      </c>
      <c r="K14123" t="s">
        <v>22</v>
      </c>
    </row>
    <row r="14124" spans="1:11" ht="42" customHeight="1">
      <c r="A14124" t="s">
        <v>27342</v>
      </c>
      <c r="B14124" t="s">
        <v>27343</v>
      </c>
      <c r="C14124" t="s">
        <v>50</v>
      </c>
      <c r="D14124" t="s">
        <v>51</v>
      </c>
      <c r="E14124" s="6">
        <v>-28132</v>
      </c>
      <c r="F14124" t="s">
        <v>820</v>
      </c>
      <c r="G14124" t="s">
        <v>821</v>
      </c>
      <c r="H14124" t="s">
        <v>20</v>
      </c>
      <c r="I14124" t="s">
        <v>27344</v>
      </c>
      <c r="J14124" t="str">
        <f>HYPERLINK("https://www.boe.es/gazeta/dias/1822/12/22/pdfs/GMD-1822-372.pdf#page=4","Abrir facsímil")</f>
        <v>Abrir facsímil</v>
      </c>
      <c r="K14124" t="s">
        <v>22</v>
      </c>
    </row>
    <row r="14125" spans="1:11" ht="42" customHeight="1">
      <c r="A14125" t="s">
        <v>27345</v>
      </c>
      <c r="B14125" t="s">
        <v>27346</v>
      </c>
      <c r="C14125" t="s">
        <v>42</v>
      </c>
      <c r="D14125" t="s">
        <v>17</v>
      </c>
      <c r="E14125" s="6">
        <v>-28282</v>
      </c>
      <c r="F14125" t="s">
        <v>6600</v>
      </c>
      <c r="G14125" t="s">
        <v>6601</v>
      </c>
      <c r="H14125" t="s">
        <v>20</v>
      </c>
      <c r="I14125" t="s">
        <v>27347</v>
      </c>
      <c r="J14125" t="str">
        <f>HYPERLINK("https://www.boe.es/gazeta/dias/1822/07/25/pdfs/GMD-1822-218.pdf#page=4","Abrir facsímil")</f>
        <v>Abrir facsímil</v>
      </c>
      <c r="K14125" t="s">
        <v>22</v>
      </c>
    </row>
    <row r="14126" spans="1:11" ht="42" customHeight="1">
      <c r="A14126" t="s">
        <v>27348</v>
      </c>
      <c r="B14126" t="s">
        <v>27348</v>
      </c>
      <c r="C14126" t="s">
        <v>16</v>
      </c>
      <c r="D14126" t="s">
        <v>17</v>
      </c>
      <c r="E14126" s="6">
        <v>-28127</v>
      </c>
      <c r="F14126" t="s">
        <v>409</v>
      </c>
      <c r="G14126" t="s">
        <v>19</v>
      </c>
      <c r="H14126" t="s">
        <v>20</v>
      </c>
      <c r="I14126" t="s">
        <v>27349</v>
      </c>
      <c r="J14126" t="str">
        <f>HYPERLINK("https://www.boe.es/gazeta/dias/1822/12/27/pdfs/GMD-1822-377.pdf#page=5","Abrir facsímil")</f>
        <v>Abrir facsímil</v>
      </c>
      <c r="K14126" t="s">
        <v>22</v>
      </c>
    </row>
    <row r="14127" spans="1:11" ht="42" customHeight="1">
      <c r="A14127" t="s">
        <v>27350</v>
      </c>
      <c r="B14127" t="s">
        <v>27351</v>
      </c>
      <c r="C14127" t="s">
        <v>50</v>
      </c>
      <c r="D14127" t="s">
        <v>51</v>
      </c>
      <c r="E14127" s="6">
        <v>-28157</v>
      </c>
      <c r="F14127" t="s">
        <v>1492</v>
      </c>
      <c r="G14127" t="s">
        <v>63</v>
      </c>
      <c r="H14127" t="s">
        <v>20</v>
      </c>
      <c r="I14127" t="s">
        <v>27352</v>
      </c>
      <c r="J14127" t="str">
        <f>HYPERLINK("https://www.boe.es/gazeta/dias/1822/11/27/pdfs/GMD-1822-347.pdf#page=6","Abrir facsímil")</f>
        <v>Abrir facsímil</v>
      </c>
      <c r="K14127" t="s">
        <v>22</v>
      </c>
    </row>
    <row r="14128" spans="1:11" ht="42" customHeight="1">
      <c r="A14128" t="s">
        <v>27353</v>
      </c>
      <c r="B14128" t="s">
        <v>27354</v>
      </c>
      <c r="C14128" t="s">
        <v>16</v>
      </c>
      <c r="D14128" t="s">
        <v>17</v>
      </c>
      <c r="E14128" s="6">
        <v>-28271</v>
      </c>
      <c r="F14128" t="s">
        <v>4942</v>
      </c>
      <c r="G14128" t="s">
        <v>57</v>
      </c>
      <c r="H14128" t="s">
        <v>20</v>
      </c>
      <c r="I14128" t="s">
        <v>27355</v>
      </c>
      <c r="J14128" t="str">
        <f>HYPERLINK("https://www.boe.es/gazeta/dias/1822/08/05/pdfs/GMD-1822-229.pdf#page=4","Abrir facsímil")</f>
        <v>Abrir facsímil</v>
      </c>
      <c r="K14128" t="s">
        <v>22</v>
      </c>
    </row>
    <row r="14129" spans="1:11" ht="42" customHeight="1">
      <c r="A14129" t="s">
        <v>27356</v>
      </c>
      <c r="B14129" t="s">
        <v>27357</v>
      </c>
      <c r="C14129" t="s">
        <v>42</v>
      </c>
      <c r="D14129" t="s">
        <v>17</v>
      </c>
      <c r="E14129" s="6">
        <v>-28307</v>
      </c>
      <c r="F14129" t="s">
        <v>555</v>
      </c>
      <c r="G14129" t="s">
        <v>157</v>
      </c>
      <c r="H14129" t="s">
        <v>45</v>
      </c>
      <c r="I14129" t="s">
        <v>27358</v>
      </c>
      <c r="J14129" t="str">
        <f>HYPERLINK("https://www.boe.es/gazeta/dias/1822/06/30/pdfs/GMD-1822-188.pdf#page=8","Abrir facsímil")</f>
        <v>Abrir facsímil</v>
      </c>
      <c r="K14129" t="s">
        <v>47</v>
      </c>
    </row>
    <row r="14130" spans="1:11" ht="42" customHeight="1">
      <c r="A14130" t="s">
        <v>27359</v>
      </c>
      <c r="B14130" t="s">
        <v>27360</v>
      </c>
      <c r="C14130" t="s">
        <v>42</v>
      </c>
      <c r="D14130" t="s">
        <v>17</v>
      </c>
      <c r="E14130" s="6">
        <v>-28293</v>
      </c>
      <c r="F14130" t="s">
        <v>152</v>
      </c>
      <c r="G14130" t="s">
        <v>31</v>
      </c>
      <c r="H14130" t="s">
        <v>45</v>
      </c>
      <c r="I14130" t="s">
        <v>27361</v>
      </c>
      <c r="J14130" t="str">
        <f>HYPERLINK("https://www.boe.es/gazeta/dias/1822/07/14/pdfs/GMD-1822-204.pdf#page=3","Abrir facsímil")</f>
        <v>Abrir facsímil</v>
      </c>
      <c r="K14130" t="s">
        <v>47</v>
      </c>
    </row>
    <row r="14131" spans="1:11" ht="42" customHeight="1">
      <c r="A14131" t="s">
        <v>27362</v>
      </c>
      <c r="B14131" t="s">
        <v>27362</v>
      </c>
      <c r="C14131" t="s">
        <v>28</v>
      </c>
      <c r="D14131" t="s">
        <v>29</v>
      </c>
      <c r="E14131" s="6">
        <v>-28137</v>
      </c>
      <c r="F14131" t="s">
        <v>312</v>
      </c>
      <c r="G14131" t="s">
        <v>31</v>
      </c>
      <c r="H14131" t="s">
        <v>20</v>
      </c>
      <c r="I14131" t="s">
        <v>27363</v>
      </c>
      <c r="J14131" t="str">
        <f>HYPERLINK("https://www.boe.es/gazeta/dias/1822/12/17/pdfs/GMD-1822-367.pdf#page=3","Abrir facsímil")</f>
        <v>Abrir facsímil</v>
      </c>
      <c r="K14131" t="s">
        <v>22</v>
      </c>
    </row>
    <row r="14132" spans="1:11" ht="42" customHeight="1">
      <c r="A14132" t="s">
        <v>27364</v>
      </c>
      <c r="B14132" t="s">
        <v>27364</v>
      </c>
      <c r="C14132" t="s">
        <v>71</v>
      </c>
      <c r="D14132" t="s">
        <v>17</v>
      </c>
      <c r="E14132" s="6">
        <v>-28384</v>
      </c>
      <c r="F14132" t="s">
        <v>258</v>
      </c>
      <c r="G14132" t="s">
        <v>19</v>
      </c>
      <c r="H14132" t="s">
        <v>20</v>
      </c>
      <c r="I14132" t="s">
        <v>27365</v>
      </c>
      <c r="J14132" t="str">
        <f>HYPERLINK("https://www.boe.es/gazeta/dias/1822/04/14/pdfs/GMD-1822-106.pdf#page=5","Abrir facsímil")</f>
        <v>Abrir facsímil</v>
      </c>
      <c r="K14132" t="s">
        <v>22</v>
      </c>
    </row>
    <row r="14133" spans="1:11" ht="42" customHeight="1">
      <c r="A14133" t="s">
        <v>27366</v>
      </c>
      <c r="B14133" t="s">
        <v>27367</v>
      </c>
      <c r="C14133" t="s">
        <v>42</v>
      </c>
      <c r="D14133" t="s">
        <v>17</v>
      </c>
      <c r="E14133" s="6">
        <v>-28320</v>
      </c>
      <c r="F14133" t="s">
        <v>700</v>
      </c>
      <c r="G14133" t="s">
        <v>19</v>
      </c>
      <c r="H14133" t="s">
        <v>20</v>
      </c>
      <c r="I14133" t="s">
        <v>27368</v>
      </c>
      <c r="J14133" t="str">
        <f>HYPERLINK("https://www.boe.es/gazeta/dias/1822/06/17/pdfs/GMD-1822-174.pdf#page=5","Abrir facsímil")</f>
        <v>Abrir facsímil</v>
      </c>
      <c r="K14133" t="s">
        <v>22</v>
      </c>
    </row>
    <row r="14134" spans="1:11" ht="42" customHeight="1">
      <c r="A14134" t="s">
        <v>27369</v>
      </c>
      <c r="B14134" t="s">
        <v>27370</v>
      </c>
      <c r="C14134" t="s">
        <v>24</v>
      </c>
      <c r="D14134" t="s">
        <v>17</v>
      </c>
      <c r="E14134" s="6">
        <v>-28147</v>
      </c>
      <c r="F14134" t="s">
        <v>1611</v>
      </c>
      <c r="G14134" t="s">
        <v>63</v>
      </c>
      <c r="H14134" t="s">
        <v>20</v>
      </c>
      <c r="I14134" t="s">
        <v>27371</v>
      </c>
      <c r="J14134" t="str">
        <f>HYPERLINK("https://www.boe.es/gazeta/dias/1822/12/07/pdfs/GMD-1822-357.pdf#page=6","Abrir facsímil")</f>
        <v>Abrir facsímil</v>
      </c>
      <c r="K14134" t="s">
        <v>22</v>
      </c>
    </row>
    <row r="14135" spans="1:11" ht="42" customHeight="1">
      <c r="A14135" t="s">
        <v>27372</v>
      </c>
      <c r="B14135" t="s">
        <v>27373</v>
      </c>
      <c r="C14135" t="s">
        <v>28</v>
      </c>
      <c r="D14135" t="s">
        <v>29</v>
      </c>
      <c r="E14135" s="6">
        <v>-28378</v>
      </c>
      <c r="F14135" t="s">
        <v>496</v>
      </c>
      <c r="G14135" t="s">
        <v>57</v>
      </c>
      <c r="H14135" t="s">
        <v>20</v>
      </c>
      <c r="I14135" t="s">
        <v>27374</v>
      </c>
      <c r="J14135" t="str">
        <f>HYPERLINK("https://www.boe.es/gazeta/dias/1822/04/20/pdfs/GMD-1822-112.pdf#page=4","Abrir facsímil")</f>
        <v>Abrir facsímil</v>
      </c>
      <c r="K14135" t="s">
        <v>22</v>
      </c>
    </row>
    <row r="14136" spans="1:11" ht="42" customHeight="1">
      <c r="A14136" t="s">
        <v>27375</v>
      </c>
      <c r="B14136" t="s">
        <v>27376</v>
      </c>
      <c r="C14136" t="s">
        <v>24</v>
      </c>
      <c r="D14136" t="s">
        <v>17</v>
      </c>
      <c r="E14136" s="6">
        <v>-28292</v>
      </c>
      <c r="F14136" t="s">
        <v>222</v>
      </c>
      <c r="G14136" t="s">
        <v>31</v>
      </c>
      <c r="H14136" t="s">
        <v>20</v>
      </c>
      <c r="I14136" t="s">
        <v>27377</v>
      </c>
      <c r="J14136" t="str">
        <f>HYPERLINK("https://www.boe.es/gazeta/dias/1822/07/15/pdfs/GMD-1822-205.pdf#page=3","Abrir facsímil")</f>
        <v>Abrir facsímil</v>
      </c>
      <c r="K14136" t="s">
        <v>22</v>
      </c>
    </row>
    <row r="14137" spans="1:11" ht="42" customHeight="1">
      <c r="A14137" t="s">
        <v>27378</v>
      </c>
      <c r="B14137" t="s">
        <v>27378</v>
      </c>
      <c r="C14137" t="s">
        <v>50</v>
      </c>
      <c r="D14137" t="s">
        <v>51</v>
      </c>
      <c r="E14137" s="6">
        <v>-28224</v>
      </c>
      <c r="F14137" t="s">
        <v>1902</v>
      </c>
      <c r="G14137" t="s">
        <v>57</v>
      </c>
      <c r="H14137" t="s">
        <v>20</v>
      </c>
      <c r="I14137" t="s">
        <v>27379</v>
      </c>
      <c r="J14137" t="str">
        <f>HYPERLINK("https://www.boe.es/gazeta/dias/1822/09/21/pdfs/GMD-1822-277.pdf#page=4","Abrir facsímil")</f>
        <v>Abrir facsímil</v>
      </c>
      <c r="K14137" t="s">
        <v>22</v>
      </c>
    </row>
    <row r="14138" spans="1:11" ht="42" customHeight="1">
      <c r="A14138" t="s">
        <v>27380</v>
      </c>
      <c r="B14138" t="s">
        <v>27381</v>
      </c>
      <c r="C14138" t="s">
        <v>61</v>
      </c>
      <c r="D14138" t="s">
        <v>17</v>
      </c>
      <c r="E14138" s="6">
        <v>-28385</v>
      </c>
      <c r="F14138" t="s">
        <v>484</v>
      </c>
      <c r="G14138" t="s">
        <v>63</v>
      </c>
      <c r="H14138" t="s">
        <v>20</v>
      </c>
      <c r="I14138" t="s">
        <v>27382</v>
      </c>
      <c r="J14138" t="str">
        <f>HYPERLINK("https://www.boe.es/gazeta/dias/1822/04/13/pdfs/GMD-1822-105.pdf#page=6","Abrir facsímil")</f>
        <v>Abrir facsímil</v>
      </c>
      <c r="K14138" t="s">
        <v>22</v>
      </c>
    </row>
    <row r="14139" spans="1:11" ht="42" customHeight="1">
      <c r="A14139" t="s">
        <v>27383</v>
      </c>
      <c r="B14139" t="s">
        <v>27384</v>
      </c>
      <c r="C14139" t="s">
        <v>42</v>
      </c>
      <c r="D14139" t="s">
        <v>17</v>
      </c>
      <c r="E14139" s="6">
        <v>-28281</v>
      </c>
      <c r="F14139" t="s">
        <v>3310</v>
      </c>
      <c r="G14139" t="s">
        <v>44</v>
      </c>
      <c r="H14139" t="s">
        <v>20</v>
      </c>
      <c r="I14139" t="s">
        <v>27385</v>
      </c>
      <c r="J14139" t="str">
        <f>HYPERLINK("https://www.boe.es/gazeta/dias/1822/07/26/pdfs/GMD-1822-219.pdf#page=1","Abrir facsímil")</f>
        <v>Abrir facsímil</v>
      </c>
      <c r="K14139" t="s">
        <v>22</v>
      </c>
    </row>
    <row r="14140" spans="1:11" ht="42" customHeight="1">
      <c r="A14140" t="s">
        <v>27386</v>
      </c>
      <c r="B14140" t="s">
        <v>27387</v>
      </c>
      <c r="C14140" t="s">
        <v>362</v>
      </c>
      <c r="D14140" t="s">
        <v>17</v>
      </c>
      <c r="E14140" s="6">
        <v>-28226</v>
      </c>
      <c r="F14140" t="s">
        <v>812</v>
      </c>
      <c r="G14140" t="s">
        <v>57</v>
      </c>
      <c r="H14140" t="s">
        <v>20</v>
      </c>
      <c r="I14140" t="s">
        <v>27388</v>
      </c>
      <c r="J14140" t="str">
        <f>HYPERLINK("https://www.boe.es/gazeta/dias/1822/09/19/pdfs/GMD-1822-275.pdf#page=4","Abrir facsímil")</f>
        <v>Abrir facsímil</v>
      </c>
      <c r="K14140" t="s">
        <v>22</v>
      </c>
    </row>
    <row r="14141" spans="1:11" ht="42" customHeight="1">
      <c r="A14141" t="s">
        <v>27389</v>
      </c>
      <c r="B14141" t="s">
        <v>27390</v>
      </c>
      <c r="C14141" t="s">
        <v>50</v>
      </c>
      <c r="D14141" t="s">
        <v>51</v>
      </c>
      <c r="E14141" s="6">
        <v>-28263</v>
      </c>
      <c r="F14141" t="s">
        <v>7233</v>
      </c>
      <c r="G14141" t="s">
        <v>35</v>
      </c>
      <c r="H14141" t="s">
        <v>20</v>
      </c>
      <c r="I14141" t="s">
        <v>27391</v>
      </c>
      <c r="J14141" t="str">
        <f>HYPERLINK("https://www.boe.es/gazeta/dias/1822/08/13/pdfs/GMD-1822-237.pdf#page=2","Abrir facsímil")</f>
        <v>Abrir facsímil</v>
      </c>
      <c r="K14141" t="s">
        <v>22</v>
      </c>
    </row>
    <row r="14142" spans="1:11" ht="42" customHeight="1">
      <c r="A14142" t="s">
        <v>27392</v>
      </c>
      <c r="B14142" t="s">
        <v>27392</v>
      </c>
      <c r="C14142" t="s">
        <v>28</v>
      </c>
      <c r="D14142" t="s">
        <v>29</v>
      </c>
      <c r="E14142" s="6">
        <v>-28141</v>
      </c>
      <c r="F14142" t="s">
        <v>265</v>
      </c>
      <c r="G14142" t="s">
        <v>31</v>
      </c>
      <c r="H14142" t="s">
        <v>20</v>
      </c>
      <c r="I14142" t="s">
        <v>27393</v>
      </c>
      <c r="J14142" t="str">
        <f>HYPERLINK("https://www.boe.es/gazeta/dias/1822/12/13/pdfs/GMD-1822-363.pdf#page=3","Abrir facsímil")</f>
        <v>Abrir facsímil</v>
      </c>
      <c r="K14142" t="s">
        <v>22</v>
      </c>
    </row>
    <row r="14143" spans="1:11" ht="42" customHeight="1">
      <c r="A14143" t="s">
        <v>27394</v>
      </c>
      <c r="B14143" t="s">
        <v>27395</v>
      </c>
      <c r="C14143" t="s">
        <v>42</v>
      </c>
      <c r="D14143" t="s">
        <v>17</v>
      </c>
      <c r="E14143" s="6">
        <v>-28131</v>
      </c>
      <c r="F14143" t="s">
        <v>893</v>
      </c>
      <c r="G14143" t="s">
        <v>991</v>
      </c>
      <c r="H14143" t="s">
        <v>20</v>
      </c>
      <c r="I14143" t="s">
        <v>27396</v>
      </c>
      <c r="J14143" t="str">
        <f>HYPERLINK("https://www.boe.es/gazeta/dias/1822/12/23/pdfs/GMD-1822-373.pdf#page=6","Abrir facsímil")</f>
        <v>Abrir facsímil</v>
      </c>
      <c r="K14143" t="s">
        <v>22</v>
      </c>
    </row>
    <row r="14144" spans="1:11" ht="42" customHeight="1">
      <c r="A14144" t="s">
        <v>27397</v>
      </c>
      <c r="B14144" t="s">
        <v>27397</v>
      </c>
      <c r="C14144" t="s">
        <v>28</v>
      </c>
      <c r="D14144" t="s">
        <v>29</v>
      </c>
      <c r="E14144" s="6">
        <v>-28453</v>
      </c>
      <c r="F14144" t="s">
        <v>2039</v>
      </c>
      <c r="G14144" t="s">
        <v>35</v>
      </c>
      <c r="H14144" t="s">
        <v>20</v>
      </c>
      <c r="I14144" t="s">
        <v>27398</v>
      </c>
      <c r="J14144" t="str">
        <f>HYPERLINK("https://www.boe.es/gazeta/dias/1822/02/04/pdfs/GMD-1822-35.pdf#page=2","Abrir facsímil")</f>
        <v>Abrir facsímil</v>
      </c>
      <c r="K14144" t="s">
        <v>22</v>
      </c>
    </row>
    <row r="14145" spans="1:11" ht="42" customHeight="1">
      <c r="A14145" t="s">
        <v>27399</v>
      </c>
      <c r="B14145" t="s">
        <v>27399</v>
      </c>
      <c r="C14145" t="s">
        <v>71</v>
      </c>
      <c r="D14145" t="s">
        <v>17</v>
      </c>
      <c r="E14145" s="6">
        <v>-28189</v>
      </c>
      <c r="F14145" t="s">
        <v>645</v>
      </c>
      <c r="G14145" t="s">
        <v>35</v>
      </c>
      <c r="H14145" t="s">
        <v>20</v>
      </c>
      <c r="I14145" t="s">
        <v>27400</v>
      </c>
      <c r="J14145" t="str">
        <f>HYPERLINK("https://www.boe.es/gazeta/dias/1822/10/26/pdfs/GMD-1822-313.pdf#page=2","Abrir facsímil")</f>
        <v>Abrir facsímil</v>
      </c>
      <c r="K14145" t="s">
        <v>22</v>
      </c>
    </row>
    <row r="14146" spans="1:11" ht="42" customHeight="1">
      <c r="A14146" t="s">
        <v>27401</v>
      </c>
      <c r="B14146" t="s">
        <v>27401</v>
      </c>
      <c r="C14146" t="s">
        <v>28</v>
      </c>
      <c r="D14146" t="s">
        <v>29</v>
      </c>
      <c r="E14146" s="6">
        <v>-28396</v>
      </c>
      <c r="F14146" t="s">
        <v>1138</v>
      </c>
      <c r="G14146" t="s">
        <v>57</v>
      </c>
      <c r="H14146" t="s">
        <v>20</v>
      </c>
      <c r="I14146" t="s">
        <v>27402</v>
      </c>
      <c r="J14146" t="str">
        <f>HYPERLINK("https://www.boe.es/gazeta/dias/1822/04/02/pdfs/GMD-1822-94.pdf#page=4","Abrir facsímil")</f>
        <v>Abrir facsímil</v>
      </c>
      <c r="K14146" t="s">
        <v>22</v>
      </c>
    </row>
    <row r="14147" spans="1:11" ht="42" customHeight="1">
      <c r="A14147" t="s">
        <v>27403</v>
      </c>
      <c r="B14147" t="s">
        <v>27404</v>
      </c>
      <c r="C14147" t="s">
        <v>28</v>
      </c>
      <c r="D14147" t="s">
        <v>29</v>
      </c>
      <c r="E14147" s="6">
        <v>-28426</v>
      </c>
      <c r="F14147" t="s">
        <v>1178</v>
      </c>
      <c r="G14147" t="s">
        <v>35</v>
      </c>
      <c r="H14147" t="s">
        <v>20</v>
      </c>
      <c r="I14147" t="s">
        <v>27405</v>
      </c>
      <c r="J14147" t="str">
        <f>HYPERLINK("https://www.boe.es/gazeta/dias/1822/03/03/pdfs/GMD-1822-64.pdf#page=2","Abrir facsímil")</f>
        <v>Abrir facsímil</v>
      </c>
      <c r="K14147" t="s">
        <v>22</v>
      </c>
    </row>
    <row r="14148" spans="1:11" ht="42" customHeight="1">
      <c r="A14148" t="s">
        <v>27406</v>
      </c>
      <c r="B14148" t="s">
        <v>27407</v>
      </c>
      <c r="C14148" t="s">
        <v>42</v>
      </c>
      <c r="D14148" t="s">
        <v>17</v>
      </c>
      <c r="E14148" s="6">
        <v>-28131</v>
      </c>
      <c r="F14148" t="s">
        <v>893</v>
      </c>
      <c r="G14148" t="s">
        <v>991</v>
      </c>
      <c r="H14148" t="s">
        <v>20</v>
      </c>
      <c r="I14148" t="s">
        <v>27408</v>
      </c>
      <c r="J14148" t="str">
        <f>HYPERLINK("https://www.boe.es/gazeta/dias/1822/12/23/pdfs/GMD-1822-373.pdf#page=6","Abrir facsímil")</f>
        <v>Abrir facsímil</v>
      </c>
      <c r="K14148" t="s">
        <v>22</v>
      </c>
    </row>
    <row r="14149" spans="1:11" ht="42" customHeight="1">
      <c r="A14149" t="s">
        <v>27409</v>
      </c>
      <c r="B14149" t="s">
        <v>27410</v>
      </c>
      <c r="C14149" t="s">
        <v>50</v>
      </c>
      <c r="D14149" t="s">
        <v>51</v>
      </c>
      <c r="E14149" s="6">
        <v>-28284</v>
      </c>
      <c r="F14149" t="s">
        <v>6484</v>
      </c>
      <c r="G14149" t="s">
        <v>57</v>
      </c>
      <c r="H14149" t="s">
        <v>20</v>
      </c>
      <c r="I14149" t="s">
        <v>27411</v>
      </c>
      <c r="J14149" t="str">
        <f>HYPERLINK("https://www.boe.es/gazeta/dias/1822/07/23/pdfs/GMD-1822-216.pdf#page=4","Abrir facsímil")</f>
        <v>Abrir facsímil</v>
      </c>
      <c r="K14149" t="s">
        <v>22</v>
      </c>
    </row>
    <row r="14150" spans="1:11" ht="42" customHeight="1">
      <c r="A14150" t="s">
        <v>27412</v>
      </c>
      <c r="B14150" t="s">
        <v>27413</v>
      </c>
      <c r="C14150" t="s">
        <v>50</v>
      </c>
      <c r="D14150" t="s">
        <v>51</v>
      </c>
      <c r="E14150" s="6">
        <v>-28339</v>
      </c>
      <c r="F14150" t="s">
        <v>197</v>
      </c>
      <c r="G14150" t="s">
        <v>63</v>
      </c>
      <c r="H14150" t="s">
        <v>20</v>
      </c>
      <c r="I14150" t="s">
        <v>27414</v>
      </c>
      <c r="J14150" t="str">
        <f>HYPERLINK("https://www.boe.es/gazeta/dias/1822/05/29/pdfs/GMD-1822-154.pdf#page=6","Abrir facsímil")</f>
        <v>Abrir facsímil</v>
      </c>
      <c r="K14150" t="s">
        <v>22</v>
      </c>
    </row>
    <row r="14151" spans="1:11" ht="42" customHeight="1">
      <c r="A14151" t="s">
        <v>27415</v>
      </c>
      <c r="B14151" t="s">
        <v>27415</v>
      </c>
      <c r="C14151" t="s">
        <v>28</v>
      </c>
      <c r="D14151" t="s">
        <v>29</v>
      </c>
      <c r="E14151" s="6">
        <v>-28446</v>
      </c>
      <c r="F14151" t="s">
        <v>773</v>
      </c>
      <c r="G14151" t="s">
        <v>31</v>
      </c>
      <c r="H14151" t="s">
        <v>20</v>
      </c>
      <c r="I14151" t="s">
        <v>27416</v>
      </c>
      <c r="J14151" t="str">
        <f>HYPERLINK("https://www.boe.es/gazeta/dias/1822/02/11/pdfs/GMD-1822-42.pdf#page=3","Abrir facsímil")</f>
        <v>Abrir facsímil</v>
      </c>
      <c r="K14151" t="s">
        <v>22</v>
      </c>
    </row>
    <row r="14152" spans="1:11" ht="42" customHeight="1">
      <c r="A14152" t="s">
        <v>27417</v>
      </c>
      <c r="B14152" t="s">
        <v>27418</v>
      </c>
      <c r="C14152" t="s">
        <v>42</v>
      </c>
      <c r="D14152" t="s">
        <v>17</v>
      </c>
      <c r="E14152" s="6">
        <v>-28354</v>
      </c>
      <c r="F14152" t="s">
        <v>226</v>
      </c>
      <c r="G14152" t="s">
        <v>44</v>
      </c>
      <c r="H14152" t="s">
        <v>20</v>
      </c>
      <c r="I14152" t="s">
        <v>27419</v>
      </c>
      <c r="J14152" t="str">
        <f>HYPERLINK("https://www.boe.es/gazeta/dias/1822/05/14/pdfs/GMD-1822-136.pdf#page=1","Abrir facsímil")</f>
        <v>Abrir facsímil</v>
      </c>
      <c r="K14152" t="s">
        <v>22</v>
      </c>
    </row>
    <row r="14153" spans="1:11" ht="42" customHeight="1">
      <c r="A14153" t="s">
        <v>27420</v>
      </c>
      <c r="B14153" t="s">
        <v>27421</v>
      </c>
      <c r="C14153" t="s">
        <v>50</v>
      </c>
      <c r="D14153" t="s">
        <v>51</v>
      </c>
      <c r="E14153" s="6">
        <v>-28367</v>
      </c>
      <c r="F14153" t="s">
        <v>280</v>
      </c>
      <c r="G14153" t="s">
        <v>44</v>
      </c>
      <c r="H14153" t="s">
        <v>20</v>
      </c>
      <c r="I14153" t="s">
        <v>27422</v>
      </c>
      <c r="J14153" t="str">
        <f>HYPERLINK("https://www.boe.es/gazeta/dias/1822/05/01/pdfs/GMD-1822-123.pdf#page=1","Abrir facsímil")</f>
        <v>Abrir facsímil</v>
      </c>
      <c r="K14153" t="s">
        <v>22</v>
      </c>
    </row>
    <row r="14154" spans="1:11" ht="42" customHeight="1">
      <c r="A14154" t="s">
        <v>27423</v>
      </c>
      <c r="B14154" t="s">
        <v>27424</v>
      </c>
      <c r="C14154" t="s">
        <v>50</v>
      </c>
      <c r="D14154" t="s">
        <v>51</v>
      </c>
      <c r="E14154" s="6">
        <v>-28303</v>
      </c>
      <c r="F14154" t="s">
        <v>201</v>
      </c>
      <c r="G14154" t="s">
        <v>31</v>
      </c>
      <c r="H14154" t="s">
        <v>20</v>
      </c>
      <c r="I14154" t="s">
        <v>27425</v>
      </c>
      <c r="J14154" t="str">
        <f>HYPERLINK("https://www.boe.es/gazeta/dias/1822/07/04/pdfs/GMD-1822-193.pdf#page=3","Abrir facsímil")</f>
        <v>Abrir facsímil</v>
      </c>
      <c r="K14154" t="s">
        <v>22</v>
      </c>
    </row>
    <row r="14155" spans="1:11" ht="42" customHeight="1">
      <c r="A14155" t="s">
        <v>27426</v>
      </c>
      <c r="B14155" t="s">
        <v>27426</v>
      </c>
      <c r="C14155" t="s">
        <v>50</v>
      </c>
      <c r="D14155" t="s">
        <v>51</v>
      </c>
      <c r="E14155" s="6">
        <v>-28253</v>
      </c>
      <c r="F14155" t="s">
        <v>413</v>
      </c>
      <c r="G14155" t="s">
        <v>35</v>
      </c>
      <c r="H14155" t="s">
        <v>20</v>
      </c>
      <c r="I14155" t="s">
        <v>27427</v>
      </c>
      <c r="J14155" t="str">
        <f>HYPERLINK("https://www.boe.es/gazeta/dias/1822/08/23/pdfs/GMD-1822-247.pdf#page=2","Abrir facsímil")</f>
        <v>Abrir facsímil</v>
      </c>
      <c r="K14155" t="s">
        <v>22</v>
      </c>
    </row>
    <row r="14156" spans="1:11" ht="42" customHeight="1">
      <c r="A14156" t="s">
        <v>27428</v>
      </c>
      <c r="B14156" t="s">
        <v>27428</v>
      </c>
      <c r="C14156" t="s">
        <v>16</v>
      </c>
      <c r="D14156" t="s">
        <v>17</v>
      </c>
      <c r="E14156" s="6">
        <v>-28474</v>
      </c>
      <c r="F14156" t="s">
        <v>30</v>
      </c>
      <c r="G14156" t="s">
        <v>57</v>
      </c>
      <c r="H14156" t="s">
        <v>20</v>
      </c>
      <c r="I14156" t="s">
        <v>27429</v>
      </c>
      <c r="J14156" t="str">
        <f>HYPERLINK("https://www.boe.es/gazeta/dias/1822/01/14/pdfs/GMD-1822-14.pdf#page=4","Abrir facsímil")</f>
        <v>Abrir facsímil</v>
      </c>
      <c r="K14156" t="s">
        <v>22</v>
      </c>
    </row>
    <row r="14157" spans="1:11" ht="42" customHeight="1">
      <c r="A14157" t="s">
        <v>27430</v>
      </c>
      <c r="B14157" t="s">
        <v>27430</v>
      </c>
      <c r="C14157" t="s">
        <v>28</v>
      </c>
      <c r="D14157" t="s">
        <v>29</v>
      </c>
      <c r="E14157" s="6">
        <v>-28482</v>
      </c>
      <c r="F14157" t="s">
        <v>850</v>
      </c>
      <c r="G14157" t="s">
        <v>35</v>
      </c>
      <c r="H14157" t="s">
        <v>20</v>
      </c>
      <c r="I14157" t="s">
        <v>27431</v>
      </c>
      <c r="J14157" t="str">
        <f>HYPERLINK("https://www.boe.es/gazeta/dias/1822/01/06/pdfs/GMD-1822-6.pdf#page=2","Abrir facsímil")</f>
        <v>Abrir facsímil</v>
      </c>
      <c r="K14157" t="s">
        <v>22</v>
      </c>
    </row>
    <row r="14158" spans="1:11" ht="42" customHeight="1">
      <c r="A14158" t="s">
        <v>27430</v>
      </c>
      <c r="B14158" t="s">
        <v>27430</v>
      </c>
      <c r="C14158" t="s">
        <v>42</v>
      </c>
      <c r="D14158" t="s">
        <v>17</v>
      </c>
      <c r="E14158" s="6">
        <v>-28479</v>
      </c>
      <c r="F14158" t="s">
        <v>1091</v>
      </c>
      <c r="G14158" t="s">
        <v>57</v>
      </c>
      <c r="H14158" t="s">
        <v>20</v>
      </c>
      <c r="I14158" t="s">
        <v>27432</v>
      </c>
      <c r="J14158" t="str">
        <f>HYPERLINK("https://www.boe.es/gazeta/dias/1822/01/09/pdfs/GMD-1822-9.pdf#page=4","Abrir facsímil")</f>
        <v>Abrir facsímil</v>
      </c>
      <c r="K14158" t="s">
        <v>22</v>
      </c>
    </row>
    <row r="14159" spans="1:11" ht="42" customHeight="1">
      <c r="A14159" t="s">
        <v>27433</v>
      </c>
      <c r="B14159" t="s">
        <v>27433</v>
      </c>
      <c r="C14159" t="s">
        <v>50</v>
      </c>
      <c r="D14159" t="s">
        <v>51</v>
      </c>
      <c r="E14159" s="6">
        <v>-28178</v>
      </c>
      <c r="F14159" t="s">
        <v>318</v>
      </c>
      <c r="G14159" t="s">
        <v>63</v>
      </c>
      <c r="H14159" t="s">
        <v>20</v>
      </c>
      <c r="I14159" t="s">
        <v>27434</v>
      </c>
      <c r="J14159" t="str">
        <f>HYPERLINK("https://www.boe.es/gazeta/dias/1822/11/06/pdfs/GMD-1822-326.pdf#page=6","Abrir facsímil")</f>
        <v>Abrir facsímil</v>
      </c>
      <c r="K14159" t="s">
        <v>22</v>
      </c>
    </row>
    <row r="14160" spans="1:11" ht="42" customHeight="1">
      <c r="A14160" t="s">
        <v>27435</v>
      </c>
      <c r="B14160" t="s">
        <v>27435</v>
      </c>
      <c r="C14160" t="s">
        <v>50</v>
      </c>
      <c r="D14160" t="s">
        <v>51</v>
      </c>
      <c r="E14160" s="6">
        <v>-28281</v>
      </c>
      <c r="F14160" t="s">
        <v>3310</v>
      </c>
      <c r="G14160" t="s">
        <v>44</v>
      </c>
      <c r="H14160" t="s">
        <v>20</v>
      </c>
      <c r="I14160" t="s">
        <v>27436</v>
      </c>
      <c r="J14160" t="str">
        <f>HYPERLINK("https://www.boe.es/gazeta/dias/1822/07/26/pdfs/GMD-1822-219.pdf#page=1","Abrir facsímil")</f>
        <v>Abrir facsímil</v>
      </c>
      <c r="K14160" t="s">
        <v>22</v>
      </c>
    </row>
    <row r="14161" spans="1:11" ht="42" customHeight="1">
      <c r="A14161" t="s">
        <v>27437</v>
      </c>
      <c r="B14161" t="s">
        <v>27438</v>
      </c>
      <c r="C14161" t="s">
        <v>50</v>
      </c>
      <c r="D14161" t="s">
        <v>51</v>
      </c>
      <c r="E14161" s="6">
        <v>-28249</v>
      </c>
      <c r="F14161" t="s">
        <v>3986</v>
      </c>
      <c r="G14161" t="s">
        <v>35</v>
      </c>
      <c r="H14161" t="s">
        <v>20</v>
      </c>
      <c r="I14161" t="s">
        <v>27439</v>
      </c>
      <c r="J14161" t="str">
        <f>HYPERLINK("https://www.boe.es/gazeta/dias/1822/08/27/pdfs/GMD-1822-251.pdf#page=2","Abrir facsímil")</f>
        <v>Abrir facsímil</v>
      </c>
      <c r="K14161" t="s">
        <v>22</v>
      </c>
    </row>
    <row r="14162" spans="1:11" ht="42" customHeight="1">
      <c r="A14162" t="s">
        <v>27440</v>
      </c>
      <c r="B14162" t="s">
        <v>27441</v>
      </c>
      <c r="C14162" t="s">
        <v>16</v>
      </c>
      <c r="D14162" t="s">
        <v>17</v>
      </c>
      <c r="E14162" s="6">
        <v>-28326</v>
      </c>
      <c r="F14162" t="s">
        <v>543</v>
      </c>
      <c r="G14162" t="s">
        <v>63</v>
      </c>
      <c r="H14162" t="s">
        <v>20</v>
      </c>
      <c r="I14162" t="s">
        <v>27442</v>
      </c>
      <c r="J14162" t="str">
        <f>HYPERLINK("https://www.boe.es/gazeta/dias/1822/06/11/pdfs/GMD-1822-168.pdf#page=6","Abrir facsímil")</f>
        <v>Abrir facsímil</v>
      </c>
      <c r="K14162" t="s">
        <v>22</v>
      </c>
    </row>
    <row r="14163" spans="1:11" ht="42" customHeight="1">
      <c r="A14163" t="s">
        <v>27443</v>
      </c>
      <c r="B14163" t="s">
        <v>27444</v>
      </c>
      <c r="C14163" t="s">
        <v>42</v>
      </c>
      <c r="D14163" t="s">
        <v>17</v>
      </c>
      <c r="E14163" s="6">
        <v>-28138</v>
      </c>
      <c r="F14163" t="s">
        <v>3542</v>
      </c>
      <c r="G14163" t="s">
        <v>57</v>
      </c>
      <c r="H14163" t="s">
        <v>20</v>
      </c>
      <c r="I14163" t="s">
        <v>27445</v>
      </c>
      <c r="J14163" t="str">
        <f>HYPERLINK("https://www.boe.es/gazeta/dias/1822/12/16/pdfs/GMD-1822-366.pdf#page=4","Abrir facsímil")</f>
        <v>Abrir facsímil</v>
      </c>
      <c r="K14163" t="s">
        <v>22</v>
      </c>
    </row>
    <row r="14164" spans="1:11" ht="42" customHeight="1">
      <c r="A14164" t="s">
        <v>27446</v>
      </c>
      <c r="B14164" t="s">
        <v>27447</v>
      </c>
      <c r="C14164" t="s">
        <v>50</v>
      </c>
      <c r="D14164" t="s">
        <v>51</v>
      </c>
      <c r="E14164" s="6">
        <v>-28218</v>
      </c>
      <c r="F14164" t="s">
        <v>405</v>
      </c>
      <c r="G14164" t="s">
        <v>35</v>
      </c>
      <c r="H14164" t="s">
        <v>20</v>
      </c>
      <c r="I14164" t="s">
        <v>27448</v>
      </c>
      <c r="J14164" t="str">
        <f>HYPERLINK("https://www.boe.es/gazeta/dias/1822/09/27/pdfs/GMD-1822-283.pdf#page=2","Abrir facsímil")</f>
        <v>Abrir facsímil</v>
      </c>
      <c r="K14164" t="s">
        <v>22</v>
      </c>
    </row>
    <row r="14165" spans="1:11" ht="42" customHeight="1">
      <c r="A14165" t="s">
        <v>27449</v>
      </c>
      <c r="B14165" t="s">
        <v>27450</v>
      </c>
      <c r="C14165" t="s">
        <v>42</v>
      </c>
      <c r="D14165" t="s">
        <v>17</v>
      </c>
      <c r="E14165" s="6">
        <v>-28131</v>
      </c>
      <c r="F14165" t="s">
        <v>893</v>
      </c>
      <c r="G14165" t="s">
        <v>991</v>
      </c>
      <c r="H14165" t="s">
        <v>20</v>
      </c>
      <c r="I14165" t="s">
        <v>27451</v>
      </c>
      <c r="J14165" t="str">
        <f>HYPERLINK("https://www.boe.es/gazeta/dias/1822/12/23/pdfs/GMD-1822-373.pdf#page=6","Abrir facsímil")</f>
        <v>Abrir facsímil</v>
      </c>
      <c r="K14165" t="s">
        <v>22</v>
      </c>
    </row>
    <row r="14166" spans="1:11" ht="42" customHeight="1">
      <c r="A14166" t="s">
        <v>27452</v>
      </c>
      <c r="B14166" t="s">
        <v>27453</v>
      </c>
      <c r="C14166" t="s">
        <v>50</v>
      </c>
      <c r="D14166" t="s">
        <v>51</v>
      </c>
      <c r="E14166" s="6">
        <v>-28261</v>
      </c>
      <c r="F14166" t="s">
        <v>5685</v>
      </c>
      <c r="G14166" t="s">
        <v>57</v>
      </c>
      <c r="H14166" t="s">
        <v>20</v>
      </c>
      <c r="I14166" t="s">
        <v>27454</v>
      </c>
      <c r="J14166" t="str">
        <f>HYPERLINK("https://www.boe.es/gazeta/dias/1822/08/15/pdfs/GMD-1822-239.pdf#page=4","Abrir facsímil")</f>
        <v>Abrir facsímil</v>
      </c>
      <c r="K14166" t="s">
        <v>22</v>
      </c>
    </row>
    <row r="14167" spans="1:11" ht="42" customHeight="1">
      <c r="A14167" t="s">
        <v>27455</v>
      </c>
      <c r="B14167" t="s">
        <v>27456</v>
      </c>
      <c r="C14167" t="s">
        <v>42</v>
      </c>
      <c r="D14167" t="s">
        <v>17</v>
      </c>
      <c r="E14167" s="6">
        <v>-28131</v>
      </c>
      <c r="F14167" t="s">
        <v>893</v>
      </c>
      <c r="G14167" t="s">
        <v>991</v>
      </c>
      <c r="H14167" t="s">
        <v>20</v>
      </c>
      <c r="I14167" t="s">
        <v>27457</v>
      </c>
      <c r="J14167" t="str">
        <f>HYPERLINK("https://www.boe.es/gazeta/dias/1822/12/23/pdfs/GMD-1822-373.pdf#page=6","Abrir facsímil")</f>
        <v>Abrir facsímil</v>
      </c>
      <c r="K14167" t="s">
        <v>22</v>
      </c>
    </row>
    <row r="14168" spans="1:11" ht="42" customHeight="1">
      <c r="A14168" t="s">
        <v>27458</v>
      </c>
      <c r="B14168" t="s">
        <v>27459</v>
      </c>
      <c r="C14168" t="s">
        <v>61</v>
      </c>
      <c r="D14168" t="s">
        <v>17</v>
      </c>
      <c r="E14168" s="6">
        <v>-28389</v>
      </c>
      <c r="F14168" t="s">
        <v>481</v>
      </c>
      <c r="G14168" t="s">
        <v>57</v>
      </c>
      <c r="H14168" t="s">
        <v>20</v>
      </c>
      <c r="I14168" t="s">
        <v>27460</v>
      </c>
      <c r="J14168" t="str">
        <f>HYPERLINK("https://www.boe.es/gazeta/dias/1822/04/09/pdfs/GMD-1822-101.pdf#page=4","Abrir facsímil")</f>
        <v>Abrir facsímil</v>
      </c>
      <c r="K14168" t="s">
        <v>22</v>
      </c>
    </row>
    <row r="14169" spans="1:11" ht="42" customHeight="1">
      <c r="A14169" t="s">
        <v>27461</v>
      </c>
      <c r="B14169" t="s">
        <v>27461</v>
      </c>
      <c r="C14169" t="s">
        <v>50</v>
      </c>
      <c r="D14169" t="s">
        <v>51</v>
      </c>
      <c r="E14169" s="6">
        <v>-28256</v>
      </c>
      <c r="F14169" t="s">
        <v>1949</v>
      </c>
      <c r="G14169" t="s">
        <v>35</v>
      </c>
      <c r="H14169" t="s">
        <v>20</v>
      </c>
      <c r="I14169" t="s">
        <v>27462</v>
      </c>
      <c r="J14169" t="str">
        <f>HYPERLINK("https://www.boe.es/gazeta/dias/1822/08/20/pdfs/GMD-1822-244.pdf#page=2","Abrir facsímil")</f>
        <v>Abrir facsímil</v>
      </c>
      <c r="K14169" t="s">
        <v>22</v>
      </c>
    </row>
    <row r="14170" spans="1:11" ht="42" customHeight="1">
      <c r="A14170" t="s">
        <v>27463</v>
      </c>
      <c r="B14170" t="s">
        <v>27464</v>
      </c>
      <c r="C14170" t="s">
        <v>50</v>
      </c>
      <c r="D14170" t="s">
        <v>51</v>
      </c>
      <c r="E14170" s="6">
        <v>-28249</v>
      </c>
      <c r="F14170" t="s">
        <v>3986</v>
      </c>
      <c r="G14170" t="s">
        <v>35</v>
      </c>
      <c r="H14170" t="s">
        <v>20</v>
      </c>
      <c r="I14170" t="s">
        <v>27465</v>
      </c>
      <c r="J14170" t="str">
        <f>HYPERLINK("https://www.boe.es/gazeta/dias/1822/08/27/pdfs/GMD-1822-251.pdf#page=2","Abrir facsímil")</f>
        <v>Abrir facsímil</v>
      </c>
      <c r="K14170" t="s">
        <v>22</v>
      </c>
    </row>
    <row r="14171" spans="1:11" ht="42" customHeight="1">
      <c r="A14171" t="s">
        <v>27466</v>
      </c>
      <c r="B14171" t="s">
        <v>27466</v>
      </c>
      <c r="C14171" t="s">
        <v>50</v>
      </c>
      <c r="D14171" t="s">
        <v>51</v>
      </c>
      <c r="E14171" s="6">
        <v>-28256</v>
      </c>
      <c r="F14171" t="s">
        <v>1949</v>
      </c>
      <c r="G14171" t="s">
        <v>35</v>
      </c>
      <c r="H14171" t="s">
        <v>20</v>
      </c>
      <c r="I14171" t="s">
        <v>27467</v>
      </c>
      <c r="J14171" t="str">
        <f>HYPERLINK("https://www.boe.es/gazeta/dias/1822/08/20/pdfs/GMD-1822-244.pdf#page=2","Abrir facsímil")</f>
        <v>Abrir facsímil</v>
      </c>
      <c r="K14171" t="s">
        <v>22</v>
      </c>
    </row>
    <row r="14172" spans="1:11" ht="42" customHeight="1">
      <c r="A14172" t="s">
        <v>27468</v>
      </c>
      <c r="B14172" t="s">
        <v>27469</v>
      </c>
      <c r="C14172" t="s">
        <v>50</v>
      </c>
      <c r="D14172" t="s">
        <v>51</v>
      </c>
      <c r="E14172" s="6">
        <v>-28260</v>
      </c>
      <c r="F14172" t="s">
        <v>135</v>
      </c>
      <c r="G14172" t="s">
        <v>35</v>
      </c>
      <c r="H14172" t="s">
        <v>20</v>
      </c>
      <c r="I14172" t="s">
        <v>27470</v>
      </c>
      <c r="J14172" t="str">
        <f>HYPERLINK("https://www.boe.es/gazeta/dias/1822/08/16/pdfs/GMD-1822-240.pdf#page=2","Abrir facsímil")</f>
        <v>Abrir facsímil</v>
      </c>
      <c r="K14172" t="s">
        <v>22</v>
      </c>
    </row>
    <row r="14173" spans="1:11" ht="42" customHeight="1">
      <c r="A14173" t="s">
        <v>27468</v>
      </c>
      <c r="B14173" t="s">
        <v>27469</v>
      </c>
      <c r="C14173" t="s">
        <v>50</v>
      </c>
      <c r="D14173" t="s">
        <v>51</v>
      </c>
      <c r="E14173" s="6">
        <v>-28242</v>
      </c>
      <c r="F14173" t="s">
        <v>831</v>
      </c>
      <c r="G14173" t="s">
        <v>35</v>
      </c>
      <c r="H14173" t="s">
        <v>20</v>
      </c>
      <c r="I14173" t="s">
        <v>27471</v>
      </c>
      <c r="J14173" t="str">
        <f>HYPERLINK("https://www.boe.es/gazeta/dias/1822/09/03/pdfs/GMD-1822-258.pdf#page=2","Abrir facsímil")</f>
        <v>Abrir facsímil</v>
      </c>
      <c r="K14173" t="s">
        <v>22</v>
      </c>
    </row>
    <row r="14174" spans="1:11" ht="42" customHeight="1">
      <c r="A14174" t="s">
        <v>27472</v>
      </c>
      <c r="B14174" t="s">
        <v>27473</v>
      </c>
      <c r="C14174" t="s">
        <v>50</v>
      </c>
      <c r="D14174" t="s">
        <v>51</v>
      </c>
      <c r="E14174" s="6">
        <v>-28260</v>
      </c>
      <c r="F14174" t="s">
        <v>135</v>
      </c>
      <c r="G14174" t="s">
        <v>35</v>
      </c>
      <c r="H14174" t="s">
        <v>20</v>
      </c>
      <c r="I14174" t="s">
        <v>27474</v>
      </c>
      <c r="J14174" t="str">
        <f>HYPERLINK("https://www.boe.es/gazeta/dias/1822/08/16/pdfs/GMD-1822-240.pdf#page=2","Abrir facsímil")</f>
        <v>Abrir facsímil</v>
      </c>
      <c r="K14174" t="s">
        <v>22</v>
      </c>
    </row>
    <row r="14175" spans="1:11" ht="42" customHeight="1">
      <c r="A14175" t="s">
        <v>27475</v>
      </c>
      <c r="B14175" t="s">
        <v>27476</v>
      </c>
      <c r="C14175" t="s">
        <v>50</v>
      </c>
      <c r="D14175" t="s">
        <v>51</v>
      </c>
      <c r="E14175" s="6">
        <v>-28349</v>
      </c>
      <c r="F14175" t="s">
        <v>518</v>
      </c>
      <c r="G14175" t="s">
        <v>57</v>
      </c>
      <c r="H14175" t="s">
        <v>20</v>
      </c>
      <c r="I14175" t="s">
        <v>27477</v>
      </c>
      <c r="J14175" t="str">
        <f>HYPERLINK("https://www.boe.es/gazeta/dias/1822/05/19/pdfs/GMD-1822-141.pdf#page=4","Abrir facsímil")</f>
        <v>Abrir facsímil</v>
      </c>
      <c r="K14175" t="s">
        <v>22</v>
      </c>
    </row>
    <row r="14176" spans="1:11" ht="42" customHeight="1">
      <c r="A14176" t="s">
        <v>27478</v>
      </c>
      <c r="B14176" t="s">
        <v>27479</v>
      </c>
      <c r="C14176" t="s">
        <v>24</v>
      </c>
      <c r="D14176" t="s">
        <v>17</v>
      </c>
      <c r="E14176" s="6">
        <v>-28208</v>
      </c>
      <c r="F14176" t="s">
        <v>230</v>
      </c>
      <c r="G14176" t="s">
        <v>57</v>
      </c>
      <c r="H14176" t="s">
        <v>20</v>
      </c>
      <c r="I14176" t="s">
        <v>27480</v>
      </c>
      <c r="J14176" t="str">
        <f>HYPERLINK("https://www.boe.es/gazeta/dias/1822/10/07/pdfs/GMD-1822-293.pdf#page=4","Abrir facsímil")</f>
        <v>Abrir facsímil</v>
      </c>
      <c r="K14176" t="s">
        <v>22</v>
      </c>
    </row>
    <row r="14177" spans="1:11" ht="42" customHeight="1">
      <c r="A14177" t="s">
        <v>27481</v>
      </c>
      <c r="B14177" t="s">
        <v>27481</v>
      </c>
      <c r="C14177" t="s">
        <v>50</v>
      </c>
      <c r="D14177" t="s">
        <v>51</v>
      </c>
      <c r="E14177" s="6">
        <v>-28273</v>
      </c>
      <c r="F14177" t="s">
        <v>1063</v>
      </c>
      <c r="G14177" t="s">
        <v>57</v>
      </c>
      <c r="H14177" t="s">
        <v>20</v>
      </c>
      <c r="I14177" t="s">
        <v>27482</v>
      </c>
      <c r="J14177" t="str">
        <f>HYPERLINK("https://www.boe.es/gazeta/dias/1822/08/03/pdfs/GMD-1822-227.pdf#page=4","Abrir facsímil")</f>
        <v>Abrir facsímil</v>
      </c>
      <c r="K14177" t="s">
        <v>22</v>
      </c>
    </row>
    <row r="14178" spans="1:11" ht="42" customHeight="1">
      <c r="A14178" t="s">
        <v>27483</v>
      </c>
      <c r="B14178" t="s">
        <v>27484</v>
      </c>
      <c r="C14178" t="s">
        <v>71</v>
      </c>
      <c r="D14178" t="s">
        <v>17</v>
      </c>
      <c r="E14178" s="6">
        <v>-28310</v>
      </c>
      <c r="F14178" t="s">
        <v>241</v>
      </c>
      <c r="G14178" t="s">
        <v>31</v>
      </c>
      <c r="H14178" t="s">
        <v>20</v>
      </c>
      <c r="I14178" t="s">
        <v>27485</v>
      </c>
      <c r="J14178" t="str">
        <f>HYPERLINK("https://www.boe.es/gazeta/dias/1822/06/27/pdfs/GMD-1822-185.pdf#page=3","Abrir facsímil")</f>
        <v>Abrir facsímil</v>
      </c>
      <c r="K14178" t="s">
        <v>22</v>
      </c>
    </row>
    <row r="14179" spans="1:11" ht="42" customHeight="1">
      <c r="A14179" t="s">
        <v>27486</v>
      </c>
      <c r="B14179" t="s">
        <v>27487</v>
      </c>
      <c r="C14179" t="s">
        <v>28</v>
      </c>
      <c r="D14179" t="s">
        <v>29</v>
      </c>
      <c r="E14179" s="6">
        <v>-28205</v>
      </c>
      <c r="F14179" t="s">
        <v>806</v>
      </c>
      <c r="G14179" t="s">
        <v>63</v>
      </c>
      <c r="H14179" t="s">
        <v>20</v>
      </c>
      <c r="I14179" t="s">
        <v>27488</v>
      </c>
      <c r="J14179" t="str">
        <f>HYPERLINK("https://www.boe.es/gazeta/dias/1822/10/10/pdfs/GMD-1822-297.pdf#page=6","Abrir facsímil")</f>
        <v>Abrir facsímil</v>
      </c>
      <c r="K14179" t="s">
        <v>22</v>
      </c>
    </row>
    <row r="14180" spans="1:11" ht="42" customHeight="1">
      <c r="A14180" t="s">
        <v>27489</v>
      </c>
      <c r="B14180" t="s">
        <v>27490</v>
      </c>
      <c r="C14180" t="s">
        <v>362</v>
      </c>
      <c r="D14180" t="s">
        <v>17</v>
      </c>
      <c r="E14180" s="6">
        <v>-28398</v>
      </c>
      <c r="F14180" t="s">
        <v>1961</v>
      </c>
      <c r="G14180" t="s">
        <v>2262</v>
      </c>
      <c r="H14180" t="s">
        <v>20</v>
      </c>
      <c r="I14180" t="s">
        <v>27491</v>
      </c>
      <c r="J14180" t="str">
        <f>HYPERLINK("https://www.boe.es/gazeta/dias/1822/03/31/pdfs/GMD-1822-92.pdf#page=4","Abrir facsímil")</f>
        <v>Abrir facsímil</v>
      </c>
      <c r="K14180" t="s">
        <v>22</v>
      </c>
    </row>
    <row r="14181" spans="1:11" ht="42" customHeight="1">
      <c r="A14181" t="s">
        <v>27492</v>
      </c>
      <c r="B14181" t="s">
        <v>27493</v>
      </c>
      <c r="C14181" t="s">
        <v>50</v>
      </c>
      <c r="D14181" t="s">
        <v>51</v>
      </c>
      <c r="E14181" s="6">
        <v>-28461</v>
      </c>
      <c r="F14181" t="s">
        <v>1801</v>
      </c>
      <c r="G14181" t="s">
        <v>35</v>
      </c>
      <c r="H14181" t="s">
        <v>20</v>
      </c>
      <c r="I14181" t="s">
        <v>27494</v>
      </c>
      <c r="J14181" t="str">
        <f>HYPERLINK("https://www.boe.es/gazeta/dias/1822/01/27/pdfs/GMD-1822-27.pdf#page=2","Abrir facsímil")</f>
        <v>Abrir facsímil</v>
      </c>
      <c r="K14181" t="s">
        <v>22</v>
      </c>
    </row>
    <row r="14182" spans="1:11" ht="42" customHeight="1">
      <c r="A14182" t="s">
        <v>27495</v>
      </c>
      <c r="B14182" t="s">
        <v>27496</v>
      </c>
      <c r="C14182" t="s">
        <v>24</v>
      </c>
      <c r="D14182" t="s">
        <v>17</v>
      </c>
      <c r="E14182" s="6">
        <v>-28281</v>
      </c>
      <c r="F14182" t="s">
        <v>3310</v>
      </c>
      <c r="G14182" t="s">
        <v>57</v>
      </c>
      <c r="H14182" t="s">
        <v>20</v>
      </c>
      <c r="I14182" t="s">
        <v>27497</v>
      </c>
      <c r="J14182" t="str">
        <f>HYPERLINK("https://www.boe.es/gazeta/dias/1822/07/26/pdfs/GMD-1822-219.pdf#page=4","Abrir facsímil")</f>
        <v>Abrir facsímil</v>
      </c>
      <c r="K14182" t="s">
        <v>22</v>
      </c>
    </row>
    <row r="14183" spans="1:11" ht="42" customHeight="1">
      <c r="A14183" t="s">
        <v>27498</v>
      </c>
      <c r="B14183" t="s">
        <v>27498</v>
      </c>
      <c r="C14183" t="s">
        <v>28</v>
      </c>
      <c r="D14183" t="s">
        <v>29</v>
      </c>
      <c r="E14183" s="6">
        <v>-28464</v>
      </c>
      <c r="F14183" t="s">
        <v>1447</v>
      </c>
      <c r="G14183" t="s">
        <v>57</v>
      </c>
      <c r="H14183" t="s">
        <v>20</v>
      </c>
      <c r="I14183" t="s">
        <v>27499</v>
      </c>
      <c r="J14183" t="str">
        <f>HYPERLINK("https://www.boe.es/gazeta/dias/1822/01/24/pdfs/GMD-1822-24.pdf#page=4","Abrir facsímil")</f>
        <v>Abrir facsímil</v>
      </c>
      <c r="K14183" t="s">
        <v>22</v>
      </c>
    </row>
    <row r="14184" spans="1:11" ht="42" customHeight="1">
      <c r="A14184" t="s">
        <v>27500</v>
      </c>
      <c r="B14184" t="s">
        <v>27501</v>
      </c>
      <c r="C14184" t="s">
        <v>50</v>
      </c>
      <c r="D14184" t="s">
        <v>51</v>
      </c>
      <c r="E14184" s="6">
        <v>-28391</v>
      </c>
      <c r="F14184" t="s">
        <v>378</v>
      </c>
      <c r="G14184" t="s">
        <v>63</v>
      </c>
      <c r="H14184" t="s">
        <v>20</v>
      </c>
      <c r="I14184" t="s">
        <v>27502</v>
      </c>
      <c r="J14184" t="str">
        <f>HYPERLINK("https://www.boe.es/gazeta/dias/1822/04/07/pdfs/GMD-1822-99.pdf#page=6","Abrir facsímil")</f>
        <v>Abrir facsímil</v>
      </c>
      <c r="K14184" t="s">
        <v>22</v>
      </c>
    </row>
    <row r="14185" spans="1:11" ht="42" customHeight="1">
      <c r="A14185" t="s">
        <v>27503</v>
      </c>
      <c r="B14185" t="s">
        <v>27503</v>
      </c>
      <c r="C14185" t="s">
        <v>61</v>
      </c>
      <c r="D14185" t="s">
        <v>17</v>
      </c>
      <c r="E14185" s="6">
        <v>-28351</v>
      </c>
      <c r="F14185" t="s">
        <v>282</v>
      </c>
      <c r="G14185" t="s">
        <v>31</v>
      </c>
      <c r="H14185" t="s">
        <v>20</v>
      </c>
      <c r="I14185" t="s">
        <v>27504</v>
      </c>
      <c r="J14185" t="str">
        <f>HYPERLINK("https://www.boe.es/gazeta/dias/1822/05/17/pdfs/GMD-1822-139.pdf#page=3","Abrir facsímil")</f>
        <v>Abrir facsímil</v>
      </c>
      <c r="K14185" t="s">
        <v>22</v>
      </c>
    </row>
    <row r="14186" spans="1:11" ht="42" customHeight="1">
      <c r="A14186" t="s">
        <v>27505</v>
      </c>
      <c r="B14186" t="s">
        <v>27505</v>
      </c>
      <c r="C14186" t="s">
        <v>42</v>
      </c>
      <c r="D14186" t="s">
        <v>17</v>
      </c>
      <c r="E14186" s="6">
        <v>-28172</v>
      </c>
      <c r="F14186" t="s">
        <v>674</v>
      </c>
      <c r="G14186" t="s">
        <v>31</v>
      </c>
      <c r="H14186" t="s">
        <v>20</v>
      </c>
      <c r="I14186" t="s">
        <v>27506</v>
      </c>
      <c r="J14186" t="str">
        <f>HYPERLINK("https://www.boe.es/gazeta/dias/1822/11/12/pdfs/GMD-1822-332.pdf#page=3","Abrir facsímil")</f>
        <v>Abrir facsímil</v>
      </c>
      <c r="K14186" t="s">
        <v>22</v>
      </c>
    </row>
    <row r="14187" spans="1:11" ht="42" customHeight="1">
      <c r="A14187" t="s">
        <v>27507</v>
      </c>
      <c r="B14187" t="s">
        <v>27507</v>
      </c>
      <c r="C14187" t="s">
        <v>50</v>
      </c>
      <c r="D14187" t="s">
        <v>51</v>
      </c>
      <c r="E14187" s="6">
        <v>-28427</v>
      </c>
      <c r="F14187" t="s">
        <v>755</v>
      </c>
      <c r="G14187" t="s">
        <v>44</v>
      </c>
      <c r="H14187" t="s">
        <v>20</v>
      </c>
      <c r="I14187" t="s">
        <v>27508</v>
      </c>
      <c r="J14187" t="str">
        <f>HYPERLINK("https://www.boe.es/gazeta/dias/1822/03/02/pdfs/GMD-1822-63.pdf#page=1","Abrir facsímil")</f>
        <v>Abrir facsímil</v>
      </c>
      <c r="K14187" t="s">
        <v>22</v>
      </c>
    </row>
    <row r="14188" spans="1:11" ht="42" customHeight="1">
      <c r="A14188" t="s">
        <v>27509</v>
      </c>
      <c r="B14188" t="s">
        <v>27509</v>
      </c>
      <c r="C14188" t="s">
        <v>42</v>
      </c>
      <c r="D14188" t="s">
        <v>17</v>
      </c>
      <c r="E14188" s="6">
        <v>-28483</v>
      </c>
      <c r="F14188" t="s">
        <v>254</v>
      </c>
      <c r="G14188" t="s">
        <v>31</v>
      </c>
      <c r="H14188" t="s">
        <v>20</v>
      </c>
      <c r="I14188" t="s">
        <v>27510</v>
      </c>
      <c r="J14188" t="str">
        <f>HYPERLINK("https://www.boe.es/gazeta/dias/1822/01/05/pdfs/GMD-1822-5.pdf#page=3","Abrir facsímil")</f>
        <v>Abrir facsímil</v>
      </c>
      <c r="K14188" t="s">
        <v>22</v>
      </c>
    </row>
    <row r="14189" spans="1:11" ht="42" customHeight="1">
      <c r="A14189" t="s">
        <v>27511</v>
      </c>
      <c r="B14189" t="s">
        <v>27512</v>
      </c>
      <c r="C14189" t="s">
        <v>50</v>
      </c>
      <c r="D14189" t="s">
        <v>51</v>
      </c>
      <c r="E14189" s="6">
        <v>-28281</v>
      </c>
      <c r="F14189" t="s">
        <v>3310</v>
      </c>
      <c r="G14189" t="s">
        <v>31</v>
      </c>
      <c r="H14189" t="s">
        <v>45</v>
      </c>
      <c r="I14189" t="s">
        <v>27513</v>
      </c>
      <c r="J14189" t="str">
        <f>HYPERLINK("https://www.boe.es/gazeta/dias/1822/07/26/pdfs/GMD-1822-219.pdf#page=3","Abrir facsímil")</f>
        <v>Abrir facsímil</v>
      </c>
      <c r="K14189" t="s">
        <v>47</v>
      </c>
    </row>
    <row r="14190" spans="1:11" ht="42" customHeight="1">
      <c r="A14190" t="s">
        <v>27514</v>
      </c>
      <c r="B14190" t="s">
        <v>27515</v>
      </c>
      <c r="C14190" t="s">
        <v>50</v>
      </c>
      <c r="D14190" t="s">
        <v>51</v>
      </c>
      <c r="E14190" s="6">
        <v>-28264</v>
      </c>
      <c r="F14190" t="s">
        <v>1329</v>
      </c>
      <c r="G14190" t="s">
        <v>31</v>
      </c>
      <c r="H14190" t="s">
        <v>45</v>
      </c>
      <c r="I14190" t="s">
        <v>27516</v>
      </c>
      <c r="J14190" t="str">
        <f>HYPERLINK("https://www.boe.es/gazeta/dias/1822/08/12/pdfs/GMD-1822-236.pdf#page=3","Abrir facsímil")</f>
        <v>Abrir facsímil</v>
      </c>
      <c r="K14190" t="s">
        <v>47</v>
      </c>
    </row>
    <row r="14191" spans="1:11" ht="42" customHeight="1">
      <c r="A14191" t="s">
        <v>27517</v>
      </c>
      <c r="B14191" t="s">
        <v>27518</v>
      </c>
      <c r="C14191" t="s">
        <v>50</v>
      </c>
      <c r="D14191" t="s">
        <v>51</v>
      </c>
      <c r="E14191" s="6">
        <v>-28211</v>
      </c>
      <c r="F14191" t="s">
        <v>273</v>
      </c>
      <c r="G14191" t="s">
        <v>35</v>
      </c>
      <c r="H14191" t="s">
        <v>45</v>
      </c>
      <c r="I14191" t="s">
        <v>27519</v>
      </c>
      <c r="J14191" t="str">
        <f>HYPERLINK("https://www.boe.es/gazeta/dias/1822/10/04/pdfs/GMD-1822-290.pdf#page=2","Abrir facsímil")</f>
        <v>Abrir facsímil</v>
      </c>
      <c r="K14191" t="s">
        <v>47</v>
      </c>
    </row>
    <row r="14192" spans="1:11" ht="42" customHeight="1">
      <c r="A14192" t="s">
        <v>27520</v>
      </c>
      <c r="B14192" t="s">
        <v>27521</v>
      </c>
      <c r="C14192" t="s">
        <v>28</v>
      </c>
      <c r="D14192" t="s">
        <v>29</v>
      </c>
      <c r="E14192" s="6">
        <v>-28442</v>
      </c>
      <c r="F14192" t="s">
        <v>2250</v>
      </c>
      <c r="G14192" t="s">
        <v>2251</v>
      </c>
      <c r="H14192" t="s">
        <v>45</v>
      </c>
      <c r="I14192" t="s">
        <v>27522</v>
      </c>
      <c r="J14192" t="str">
        <f>HYPERLINK("https://www.boe.es/gazeta/dias/1822/02/15/pdfs/GMD-1822-47.pdf#page=4","Abrir facsímil")</f>
        <v>Abrir facsímil</v>
      </c>
      <c r="K14192" t="s">
        <v>47</v>
      </c>
    </row>
    <row r="14193" spans="1:11" ht="42" customHeight="1">
      <c r="A14193" t="s">
        <v>27523</v>
      </c>
      <c r="B14193" t="s">
        <v>27524</v>
      </c>
      <c r="C14193" t="s">
        <v>362</v>
      </c>
      <c r="D14193" t="s">
        <v>17</v>
      </c>
      <c r="E14193" s="6">
        <v>-28181</v>
      </c>
      <c r="F14193" t="s">
        <v>739</v>
      </c>
      <c r="G14193" t="s">
        <v>63</v>
      </c>
      <c r="H14193" t="s">
        <v>45</v>
      </c>
      <c r="I14193" t="s">
        <v>27525</v>
      </c>
      <c r="J14193" t="str">
        <f>HYPERLINK("https://www.boe.es/gazeta/dias/1822/11/03/pdfs/GMD-1822-321.pdf#page=6","Abrir facsímil")</f>
        <v>Abrir facsímil</v>
      </c>
      <c r="K14193" t="s">
        <v>47</v>
      </c>
    </row>
    <row r="14194" spans="1:11" ht="42" customHeight="1">
      <c r="A14194" t="s">
        <v>27526</v>
      </c>
      <c r="B14194" t="s">
        <v>27527</v>
      </c>
      <c r="C14194" t="s">
        <v>28</v>
      </c>
      <c r="D14194" t="s">
        <v>29</v>
      </c>
      <c r="E14194" s="6">
        <v>-28165</v>
      </c>
      <c r="F14194" t="s">
        <v>846</v>
      </c>
      <c r="G14194" t="s">
        <v>57</v>
      </c>
      <c r="H14194" t="s">
        <v>45</v>
      </c>
      <c r="I14194" t="s">
        <v>27528</v>
      </c>
      <c r="J14194" t="str">
        <f>HYPERLINK("https://www.boe.es/gazeta/dias/1822/11/19/pdfs/GMD-1822-339.pdf#page=4","Abrir facsímil")</f>
        <v>Abrir facsímil</v>
      </c>
      <c r="K14194" t="s">
        <v>47</v>
      </c>
    </row>
    <row r="14195" spans="1:11" ht="42" customHeight="1">
      <c r="A14195" t="s">
        <v>27529</v>
      </c>
      <c r="B14195" t="s">
        <v>27530</v>
      </c>
      <c r="C14195" t="s">
        <v>28</v>
      </c>
      <c r="D14195" t="s">
        <v>29</v>
      </c>
      <c r="E14195" s="6">
        <v>-28212</v>
      </c>
      <c r="F14195" t="s">
        <v>560</v>
      </c>
      <c r="G14195" t="s">
        <v>31</v>
      </c>
      <c r="H14195" t="s">
        <v>45</v>
      </c>
      <c r="I14195" t="s">
        <v>27531</v>
      </c>
      <c r="J14195" t="str">
        <f>HYPERLINK("https://www.boe.es/gazeta/dias/1822/10/03/pdfs/GMD-1822-289.pdf#page=3","Abrir facsímil")</f>
        <v>Abrir facsímil</v>
      </c>
      <c r="K14195" t="s">
        <v>47</v>
      </c>
    </row>
    <row r="14196" spans="1:11" ht="42" customHeight="1">
      <c r="A14196" t="s">
        <v>27532</v>
      </c>
      <c r="B14196" t="s">
        <v>27533</v>
      </c>
      <c r="C14196" t="s">
        <v>50</v>
      </c>
      <c r="D14196" t="s">
        <v>51</v>
      </c>
      <c r="E14196" s="6">
        <v>-28290</v>
      </c>
      <c r="F14196" t="s">
        <v>706</v>
      </c>
      <c r="G14196" t="s">
        <v>57</v>
      </c>
      <c r="H14196" t="s">
        <v>45</v>
      </c>
      <c r="I14196" t="s">
        <v>27534</v>
      </c>
      <c r="J14196" t="str">
        <f>HYPERLINK("https://www.boe.es/gazeta/dias/1822/07/17/pdfs/GMD-1822-207.pdf#page=4","Abrir facsímil")</f>
        <v>Abrir facsímil</v>
      </c>
      <c r="K14196" t="s">
        <v>47</v>
      </c>
    </row>
    <row r="14197" spans="1:11" ht="42" customHeight="1">
      <c r="A14197" t="s">
        <v>27535</v>
      </c>
      <c r="B14197" t="s">
        <v>27536</v>
      </c>
      <c r="C14197" t="s">
        <v>42</v>
      </c>
      <c r="D14197" t="s">
        <v>17</v>
      </c>
      <c r="E14197" s="6">
        <v>-28313</v>
      </c>
      <c r="F14197" t="s">
        <v>315</v>
      </c>
      <c r="G14197" t="s">
        <v>35</v>
      </c>
      <c r="H14197" t="s">
        <v>45</v>
      </c>
      <c r="I14197" t="s">
        <v>27537</v>
      </c>
      <c r="J14197" t="str">
        <f>HYPERLINK("https://www.boe.es/gazeta/dias/1822/06/24/pdfs/GMD-1822-182.pdf#page=2","Abrir facsímil")</f>
        <v>Abrir facsímil</v>
      </c>
      <c r="K14197" t="s">
        <v>47</v>
      </c>
    </row>
    <row r="14198" spans="1:11" ht="42" customHeight="1">
      <c r="A14198" t="s">
        <v>27538</v>
      </c>
      <c r="B14198" t="s">
        <v>27539</v>
      </c>
      <c r="C14198" t="s">
        <v>50</v>
      </c>
      <c r="D14198" t="s">
        <v>51</v>
      </c>
      <c r="E14198" s="6">
        <v>-28171</v>
      </c>
      <c r="F14198" t="s">
        <v>1075</v>
      </c>
      <c r="G14198" t="s">
        <v>57</v>
      </c>
      <c r="H14198" t="s">
        <v>45</v>
      </c>
      <c r="I14198" t="s">
        <v>27540</v>
      </c>
      <c r="J14198" t="str">
        <f>HYPERLINK("https://www.boe.es/gazeta/dias/1822/11/13/pdfs/GMD-1822-333.pdf#page=4","Abrir facsímil")</f>
        <v>Abrir facsímil</v>
      </c>
      <c r="K14198" t="s">
        <v>47</v>
      </c>
    </row>
    <row r="14199" spans="1:11" ht="42" customHeight="1">
      <c r="A14199" t="s">
        <v>27541</v>
      </c>
      <c r="B14199" t="s">
        <v>27541</v>
      </c>
      <c r="C14199" t="s">
        <v>42</v>
      </c>
      <c r="D14199" t="s">
        <v>17</v>
      </c>
      <c r="E14199" s="6">
        <v>-28414</v>
      </c>
      <c r="F14199" t="s">
        <v>187</v>
      </c>
      <c r="G14199" t="s">
        <v>35</v>
      </c>
      <c r="H14199" t="s">
        <v>20</v>
      </c>
      <c r="I14199" t="s">
        <v>27542</v>
      </c>
      <c r="J14199" t="str">
        <f>HYPERLINK("https://www.boe.es/gazeta/dias/1822/03/15/pdfs/GMD-1822-76.pdf#page=2","Abrir facsímil")</f>
        <v>Abrir facsímil</v>
      </c>
      <c r="K14199" t="s">
        <v>22</v>
      </c>
    </row>
    <row r="14200" spans="1:11" ht="42" customHeight="1">
      <c r="A14200" t="s">
        <v>27543</v>
      </c>
      <c r="B14200" t="s">
        <v>27543</v>
      </c>
      <c r="C14200" t="s">
        <v>28</v>
      </c>
      <c r="D14200" t="s">
        <v>29</v>
      </c>
      <c r="E14200" s="6">
        <v>-28431</v>
      </c>
      <c r="F14200" t="s">
        <v>1258</v>
      </c>
      <c r="G14200" t="s">
        <v>31</v>
      </c>
      <c r="H14200" t="s">
        <v>20</v>
      </c>
      <c r="I14200" t="s">
        <v>27544</v>
      </c>
      <c r="J14200" t="str">
        <f>HYPERLINK("https://www.boe.es/gazeta/dias/1822/02/26/pdfs/GMD-1822-58.pdf#page=3","Abrir facsímil")</f>
        <v>Abrir facsímil</v>
      </c>
      <c r="K14200" t="s">
        <v>22</v>
      </c>
    </row>
    <row r="14201" spans="1:11" ht="42" customHeight="1">
      <c r="A14201" t="s">
        <v>27543</v>
      </c>
      <c r="B14201" t="s">
        <v>27543</v>
      </c>
      <c r="C14201" t="s">
        <v>28</v>
      </c>
      <c r="D14201" t="s">
        <v>29</v>
      </c>
      <c r="E14201" s="6">
        <v>-28418</v>
      </c>
      <c r="F14201" t="s">
        <v>205</v>
      </c>
      <c r="G14201" t="s">
        <v>157</v>
      </c>
      <c r="H14201" t="s">
        <v>20</v>
      </c>
      <c r="I14201" t="s">
        <v>27545</v>
      </c>
      <c r="J14201" t="str">
        <f>HYPERLINK("https://www.boe.es/gazeta/dias/1822/03/11/pdfs/GMD-1822-72.pdf#page=8","Abrir facsímil")</f>
        <v>Abrir facsímil</v>
      </c>
      <c r="K14201" t="s">
        <v>22</v>
      </c>
    </row>
    <row r="14202" spans="1:11" ht="42" customHeight="1">
      <c r="A14202" t="s">
        <v>27543</v>
      </c>
      <c r="B14202" t="s">
        <v>27543</v>
      </c>
      <c r="C14202" t="s">
        <v>28</v>
      </c>
      <c r="D14202" t="s">
        <v>29</v>
      </c>
      <c r="E14202" s="6">
        <v>-28336</v>
      </c>
      <c r="F14202" t="s">
        <v>156</v>
      </c>
      <c r="G14202" t="s">
        <v>31</v>
      </c>
      <c r="H14202" t="s">
        <v>20</v>
      </c>
      <c r="I14202" t="s">
        <v>27546</v>
      </c>
      <c r="J14202" t="str">
        <f>HYPERLINK("https://www.boe.es/gazeta/dias/1822/06/01/pdfs/GMD-1822-157.pdf#page=3","Abrir facsímil")</f>
        <v>Abrir facsímil</v>
      </c>
      <c r="K14202" t="s">
        <v>22</v>
      </c>
    </row>
    <row r="14203" spans="1:11" ht="42" customHeight="1">
      <c r="A14203" t="s">
        <v>27543</v>
      </c>
      <c r="B14203" t="s">
        <v>27543</v>
      </c>
      <c r="C14203" t="s">
        <v>28</v>
      </c>
      <c r="D14203" t="s">
        <v>29</v>
      </c>
      <c r="E14203" s="6">
        <v>-28329</v>
      </c>
      <c r="F14203" t="s">
        <v>354</v>
      </c>
      <c r="G14203" t="s">
        <v>35</v>
      </c>
      <c r="H14203" t="s">
        <v>20</v>
      </c>
      <c r="I14203" t="s">
        <v>27547</v>
      </c>
      <c r="J14203" t="str">
        <f>HYPERLINK("https://www.boe.es/gazeta/dias/1822/06/08/pdfs/GMD-1822-165.pdf#page=2","Abrir facsímil")</f>
        <v>Abrir facsímil</v>
      </c>
      <c r="K14203" t="s">
        <v>22</v>
      </c>
    </row>
    <row r="14204" spans="1:11" ht="42" customHeight="1">
      <c r="A14204" t="s">
        <v>27543</v>
      </c>
      <c r="B14204" t="s">
        <v>27543</v>
      </c>
      <c r="C14204" t="s">
        <v>28</v>
      </c>
      <c r="D14204" t="s">
        <v>29</v>
      </c>
      <c r="E14204" s="6">
        <v>-28329</v>
      </c>
      <c r="F14204" t="s">
        <v>354</v>
      </c>
      <c r="G14204" t="s">
        <v>31</v>
      </c>
      <c r="H14204" t="s">
        <v>20</v>
      </c>
      <c r="I14204" t="s">
        <v>27548</v>
      </c>
      <c r="J14204" t="str">
        <f>HYPERLINK("https://www.boe.es/gazeta/dias/1822/06/08/pdfs/GMD-1822-165.pdf#page=3","Abrir facsímil")</f>
        <v>Abrir facsímil</v>
      </c>
      <c r="K14204" t="s">
        <v>22</v>
      </c>
    </row>
    <row r="14205" spans="1:11" ht="42" customHeight="1">
      <c r="A14205" t="s">
        <v>27543</v>
      </c>
      <c r="B14205" t="s">
        <v>27543</v>
      </c>
      <c r="C14205" t="s">
        <v>28</v>
      </c>
      <c r="D14205" t="s">
        <v>29</v>
      </c>
      <c r="E14205" s="6">
        <v>-28313</v>
      </c>
      <c r="F14205" t="s">
        <v>315</v>
      </c>
      <c r="G14205" t="s">
        <v>35</v>
      </c>
      <c r="H14205" t="s">
        <v>20</v>
      </c>
      <c r="I14205" t="s">
        <v>27549</v>
      </c>
      <c r="J14205" t="str">
        <f>HYPERLINK("https://www.boe.es/gazeta/dias/1822/06/24/pdfs/GMD-1822-182.pdf#page=2","Abrir facsímil")</f>
        <v>Abrir facsímil</v>
      </c>
      <c r="K14205" t="s">
        <v>22</v>
      </c>
    </row>
    <row r="14206" spans="1:11" ht="42" customHeight="1">
      <c r="A14206" t="s">
        <v>27543</v>
      </c>
      <c r="B14206" t="s">
        <v>27543</v>
      </c>
      <c r="C14206" t="s">
        <v>28</v>
      </c>
      <c r="D14206" t="s">
        <v>29</v>
      </c>
      <c r="E14206" s="6">
        <v>-28229</v>
      </c>
      <c r="F14206" t="s">
        <v>2310</v>
      </c>
      <c r="G14206" t="s">
        <v>57</v>
      </c>
      <c r="H14206" t="s">
        <v>20</v>
      </c>
      <c r="I14206" t="s">
        <v>27550</v>
      </c>
      <c r="J14206" t="str">
        <f>HYPERLINK("https://www.boe.es/gazeta/dias/1822/09/16/pdfs/GMD-1822-272.pdf#page=4","Abrir facsímil")</f>
        <v>Abrir facsímil</v>
      </c>
      <c r="K14206" t="s">
        <v>22</v>
      </c>
    </row>
    <row r="14207" spans="1:11" ht="42" customHeight="1">
      <c r="A14207" t="s">
        <v>27543</v>
      </c>
      <c r="B14207" t="s">
        <v>27543</v>
      </c>
      <c r="C14207" t="s">
        <v>50</v>
      </c>
      <c r="D14207" t="s">
        <v>51</v>
      </c>
      <c r="E14207" s="6">
        <v>-28203</v>
      </c>
      <c r="F14207" t="s">
        <v>564</v>
      </c>
      <c r="G14207" t="s">
        <v>4185</v>
      </c>
      <c r="H14207" t="s">
        <v>20</v>
      </c>
      <c r="I14207" t="s">
        <v>27551</v>
      </c>
      <c r="J14207" t="str">
        <f>HYPERLINK("https://www.boe.es/gazeta/dias/1822/10/12/pdfs/GMD-1822-299.pdf#page=2","Abrir facsímil")</f>
        <v>Abrir facsímil</v>
      </c>
      <c r="K14207" t="s">
        <v>22</v>
      </c>
    </row>
    <row r="14208" spans="1:11" ht="42" customHeight="1">
      <c r="A14208" t="s">
        <v>27543</v>
      </c>
      <c r="B14208" t="s">
        <v>27543</v>
      </c>
      <c r="C14208" t="s">
        <v>50</v>
      </c>
      <c r="D14208" t="s">
        <v>51</v>
      </c>
      <c r="E14208" s="6">
        <v>-28203</v>
      </c>
      <c r="F14208" t="s">
        <v>564</v>
      </c>
      <c r="G14208" t="s">
        <v>44</v>
      </c>
      <c r="H14208" t="s">
        <v>20</v>
      </c>
      <c r="I14208" t="s">
        <v>27552</v>
      </c>
      <c r="J14208" t="str">
        <f>HYPERLINK("https://www.boe.es/gazeta/dias/1822/10/12/pdfs/GMD-1822-299.pdf#page=1","Abrir facsímil")</f>
        <v>Abrir facsímil</v>
      </c>
      <c r="K14208" t="s">
        <v>22</v>
      </c>
    </row>
    <row r="14209" spans="1:11" ht="42" customHeight="1">
      <c r="A14209" t="s">
        <v>27543</v>
      </c>
      <c r="B14209" t="s">
        <v>27543</v>
      </c>
      <c r="C14209" t="s">
        <v>42</v>
      </c>
      <c r="D14209" t="s">
        <v>17</v>
      </c>
      <c r="E14209" s="6">
        <v>-28197</v>
      </c>
      <c r="F14209" t="s">
        <v>568</v>
      </c>
      <c r="G14209" t="s">
        <v>57</v>
      </c>
      <c r="H14209" t="s">
        <v>20</v>
      </c>
      <c r="I14209" t="s">
        <v>27553</v>
      </c>
      <c r="J14209" t="str">
        <f>HYPERLINK("https://www.boe.es/gazeta/dias/1822/10/18/pdfs/GMD-1822-305.pdf#page=4","Abrir facsímil")</f>
        <v>Abrir facsímil</v>
      </c>
      <c r="K14209" t="s">
        <v>22</v>
      </c>
    </row>
    <row r="14210" spans="1:11" ht="42" customHeight="1">
      <c r="A14210" t="s">
        <v>27543</v>
      </c>
      <c r="B14210" t="s">
        <v>27543</v>
      </c>
      <c r="C14210" t="s">
        <v>42</v>
      </c>
      <c r="D14210" t="s">
        <v>17</v>
      </c>
      <c r="E14210" s="6">
        <v>-28188</v>
      </c>
      <c r="F14210" t="s">
        <v>578</v>
      </c>
      <c r="G14210" t="s">
        <v>31</v>
      </c>
      <c r="H14210" t="s">
        <v>20</v>
      </c>
      <c r="I14210" t="s">
        <v>27554</v>
      </c>
      <c r="J14210" t="str">
        <f>HYPERLINK("https://www.boe.es/gazeta/dias/1822/10/27/pdfs/GMD-1822-314.pdf#page=3","Abrir facsímil")</f>
        <v>Abrir facsímil</v>
      </c>
      <c r="K14210" t="s">
        <v>22</v>
      </c>
    </row>
    <row r="14211" spans="1:11" ht="42" customHeight="1">
      <c r="A14211" t="s">
        <v>27543</v>
      </c>
      <c r="B14211" t="s">
        <v>27543</v>
      </c>
      <c r="C14211" t="s">
        <v>71</v>
      </c>
      <c r="D14211" t="s">
        <v>17</v>
      </c>
      <c r="E14211" s="6">
        <v>-28187</v>
      </c>
      <c r="F14211" t="s">
        <v>929</v>
      </c>
      <c r="G14211" t="s">
        <v>31</v>
      </c>
      <c r="H14211" t="s">
        <v>20</v>
      </c>
      <c r="I14211" t="s">
        <v>27555</v>
      </c>
      <c r="J14211" t="str">
        <f>HYPERLINK("https://www.boe.es/gazeta/dias/1822/10/28/pdfs/GMD-1822-315.pdf#page=3","Abrir facsímil")</f>
        <v>Abrir facsímil</v>
      </c>
      <c r="K14211" t="s">
        <v>22</v>
      </c>
    </row>
    <row r="14212" spans="1:11" ht="42" customHeight="1">
      <c r="A14212" t="s">
        <v>27543</v>
      </c>
      <c r="B14212" t="s">
        <v>27543</v>
      </c>
      <c r="C14212" t="s">
        <v>42</v>
      </c>
      <c r="D14212" t="s">
        <v>17</v>
      </c>
      <c r="E14212" s="6">
        <v>-28160</v>
      </c>
      <c r="F14212" t="s">
        <v>148</v>
      </c>
      <c r="G14212" t="s">
        <v>19</v>
      </c>
      <c r="H14212" t="s">
        <v>20</v>
      </c>
      <c r="I14212" t="s">
        <v>27556</v>
      </c>
      <c r="J14212" t="str">
        <f>HYPERLINK("https://www.boe.es/gazeta/dias/1822/11/24/pdfs/GMD-1822-344.pdf#page=5","Abrir facsímil")</f>
        <v>Abrir facsímil</v>
      </c>
      <c r="K14212" t="s">
        <v>22</v>
      </c>
    </row>
    <row r="14213" spans="1:11" ht="42" customHeight="1">
      <c r="A14213" t="s">
        <v>27557</v>
      </c>
      <c r="B14213" t="s">
        <v>27557</v>
      </c>
      <c r="C14213" t="s">
        <v>24</v>
      </c>
      <c r="D14213" t="s">
        <v>17</v>
      </c>
      <c r="E14213" s="6">
        <v>-28402</v>
      </c>
      <c r="F14213" t="s">
        <v>473</v>
      </c>
      <c r="G14213" t="s">
        <v>63</v>
      </c>
      <c r="H14213" t="s">
        <v>20</v>
      </c>
      <c r="I14213" t="s">
        <v>27558</v>
      </c>
      <c r="J14213" t="str">
        <f>HYPERLINK("https://www.boe.es/gazeta/dias/1822/03/27/pdfs/GMD-1822-88.pdf#page=6","Abrir facsímil")</f>
        <v>Abrir facsímil</v>
      </c>
      <c r="K14213" t="s">
        <v>22</v>
      </c>
    </row>
    <row r="14214" spans="1:11" ht="42" customHeight="1">
      <c r="A14214" t="s">
        <v>27557</v>
      </c>
      <c r="B14214" t="s">
        <v>27557</v>
      </c>
      <c r="C14214" t="s">
        <v>50</v>
      </c>
      <c r="D14214" t="s">
        <v>51</v>
      </c>
      <c r="E14214" s="6">
        <v>-28194</v>
      </c>
      <c r="F14214" t="s">
        <v>18</v>
      </c>
      <c r="G14214" t="s">
        <v>19</v>
      </c>
      <c r="H14214" t="s">
        <v>20</v>
      </c>
      <c r="I14214" t="s">
        <v>27559</v>
      </c>
      <c r="J14214" t="str">
        <f>HYPERLINK("https://www.boe.es/gazeta/dias/1822/10/21/pdfs/GMD-1822-308.pdf#page=5","Abrir facsímil")</f>
        <v>Abrir facsímil</v>
      </c>
      <c r="K14214" t="s">
        <v>22</v>
      </c>
    </row>
    <row r="14215" spans="1:11" ht="42" customHeight="1">
      <c r="A14215" t="s">
        <v>27557</v>
      </c>
      <c r="B14215" t="s">
        <v>27557</v>
      </c>
      <c r="C14215" t="s">
        <v>50</v>
      </c>
      <c r="D14215" t="s">
        <v>51</v>
      </c>
      <c r="E14215" s="6">
        <v>-28172</v>
      </c>
      <c r="F14215" t="s">
        <v>674</v>
      </c>
      <c r="G14215" t="s">
        <v>31</v>
      </c>
      <c r="H14215" t="s">
        <v>20</v>
      </c>
      <c r="I14215" t="s">
        <v>27560</v>
      </c>
      <c r="J14215" t="str">
        <f>HYPERLINK("https://www.boe.es/gazeta/dias/1822/11/12/pdfs/GMD-1822-332.pdf#page=3","Abrir facsímil")</f>
        <v>Abrir facsímil</v>
      </c>
      <c r="K14215" t="s">
        <v>22</v>
      </c>
    </row>
    <row r="14216" spans="1:11" ht="42" customHeight="1">
      <c r="A14216" t="s">
        <v>27561</v>
      </c>
      <c r="B14216" t="s">
        <v>27561</v>
      </c>
      <c r="C14216" t="s">
        <v>24</v>
      </c>
      <c r="D14216" t="s">
        <v>17</v>
      </c>
      <c r="E14216" s="6">
        <v>-28340</v>
      </c>
      <c r="F14216" t="s">
        <v>139</v>
      </c>
      <c r="G14216" t="s">
        <v>57</v>
      </c>
      <c r="H14216" t="s">
        <v>20</v>
      </c>
      <c r="I14216" t="s">
        <v>27562</v>
      </c>
      <c r="J14216" t="str">
        <f>HYPERLINK("https://www.boe.es/gazeta/dias/1822/05/28/pdfs/GMD-1822-153.pdf#page=4","Abrir facsímil")</f>
        <v>Abrir facsímil</v>
      </c>
      <c r="K14216" t="s">
        <v>22</v>
      </c>
    </row>
    <row r="14217" spans="1:11" ht="42" customHeight="1">
      <c r="A14217" t="s">
        <v>27561</v>
      </c>
      <c r="B14217" t="s">
        <v>27561</v>
      </c>
      <c r="C14217" t="s">
        <v>50</v>
      </c>
      <c r="D14217" t="s">
        <v>51</v>
      </c>
      <c r="E14217" s="6">
        <v>-28200</v>
      </c>
      <c r="F14217" t="s">
        <v>1037</v>
      </c>
      <c r="G14217" t="s">
        <v>31</v>
      </c>
      <c r="H14217" t="s">
        <v>20</v>
      </c>
      <c r="I14217" t="s">
        <v>27563</v>
      </c>
      <c r="J14217" t="str">
        <f>HYPERLINK("https://www.boe.es/gazeta/dias/1822/10/15/pdfs/GMD-1822-302.pdf#page=3","Abrir facsímil")</f>
        <v>Abrir facsímil</v>
      </c>
      <c r="K14217" t="s">
        <v>22</v>
      </c>
    </row>
    <row r="14218" spans="1:11" ht="42" customHeight="1">
      <c r="A14218" t="s">
        <v>27564</v>
      </c>
      <c r="B14218" t="s">
        <v>27565</v>
      </c>
      <c r="C14218" t="s">
        <v>50</v>
      </c>
      <c r="D14218" t="s">
        <v>51</v>
      </c>
      <c r="E14218" s="6">
        <v>-28210</v>
      </c>
      <c r="F14218" t="s">
        <v>218</v>
      </c>
      <c r="G14218" t="s">
        <v>19</v>
      </c>
      <c r="H14218" t="s">
        <v>20</v>
      </c>
      <c r="I14218" t="s">
        <v>27566</v>
      </c>
      <c r="J14218" t="str">
        <f>HYPERLINK("https://www.boe.es/gazeta/dias/1822/10/05/pdfs/GMD-1822-291.pdf#page=5","Abrir facsímil")</f>
        <v>Abrir facsímil</v>
      </c>
      <c r="K14218" t="s">
        <v>22</v>
      </c>
    </row>
    <row r="14219" spans="1:11" ht="42" customHeight="1">
      <c r="A14219" t="s">
        <v>27567</v>
      </c>
      <c r="B14219" t="s">
        <v>27567</v>
      </c>
      <c r="C14219" t="s">
        <v>71</v>
      </c>
      <c r="D14219" t="s">
        <v>17</v>
      </c>
      <c r="E14219" s="6">
        <v>-28178</v>
      </c>
      <c r="F14219" t="s">
        <v>318</v>
      </c>
      <c r="G14219" t="s">
        <v>31</v>
      </c>
      <c r="H14219" t="s">
        <v>20</v>
      </c>
      <c r="I14219" t="s">
        <v>27568</v>
      </c>
      <c r="J14219" t="str">
        <f>HYPERLINK("https://www.boe.es/gazeta/dias/1822/11/06/pdfs/GMD-1822-326.pdf#page=3","Abrir facsímil")</f>
        <v>Abrir facsímil</v>
      </c>
      <c r="K14219" t="s">
        <v>22</v>
      </c>
    </row>
    <row r="14220" spans="1:11" ht="42" customHeight="1">
      <c r="A14220" t="s">
        <v>27569</v>
      </c>
      <c r="B14220" t="s">
        <v>27570</v>
      </c>
      <c r="C14220" t="s">
        <v>71</v>
      </c>
      <c r="D14220" t="s">
        <v>17</v>
      </c>
      <c r="E14220" s="6">
        <v>-28336</v>
      </c>
      <c r="F14220" t="s">
        <v>156</v>
      </c>
      <c r="G14220" t="s">
        <v>529</v>
      </c>
      <c r="H14220" t="s">
        <v>20</v>
      </c>
      <c r="I14220" t="s">
        <v>27571</v>
      </c>
      <c r="J14220" t="str">
        <f>HYPERLINK("https://www.boe.es/gazeta/dias/1822/06/01/pdfs/GMD-1822-157.pdf#page=4","Abrir facsímil")</f>
        <v>Abrir facsímil</v>
      </c>
      <c r="K14220" t="s">
        <v>22</v>
      </c>
    </row>
    <row r="14221" spans="1:11" ht="42" customHeight="1">
      <c r="A14221" t="s">
        <v>27572</v>
      </c>
      <c r="B14221" t="s">
        <v>27573</v>
      </c>
      <c r="C14221" t="s">
        <v>71</v>
      </c>
      <c r="D14221" t="s">
        <v>17</v>
      </c>
      <c r="E14221" s="6">
        <v>-28322</v>
      </c>
      <c r="F14221" t="s">
        <v>2205</v>
      </c>
      <c r="G14221" t="s">
        <v>3031</v>
      </c>
      <c r="H14221" t="s">
        <v>20</v>
      </c>
      <c r="I14221" t="s">
        <v>27574</v>
      </c>
      <c r="J14221" t="str">
        <f>HYPERLINK("https://www.boe.es/gazeta/dias/1822/06/15/pdfs/GMD-1822-172.pdf#page=2","Abrir facsímil")</f>
        <v>Abrir facsímil</v>
      </c>
      <c r="K14221" t="s">
        <v>22</v>
      </c>
    </row>
    <row r="14222" spans="1:11" ht="42" customHeight="1">
      <c r="A14222" t="s">
        <v>27575</v>
      </c>
      <c r="B14222" t="s">
        <v>27575</v>
      </c>
      <c r="C14222" t="s">
        <v>28</v>
      </c>
      <c r="D14222" t="s">
        <v>29</v>
      </c>
      <c r="E14222" s="6">
        <v>-28335</v>
      </c>
      <c r="F14222" t="s">
        <v>3346</v>
      </c>
      <c r="G14222" t="s">
        <v>57</v>
      </c>
      <c r="H14222" t="s">
        <v>20</v>
      </c>
      <c r="I14222" t="s">
        <v>27576</v>
      </c>
      <c r="J14222" t="str">
        <f>HYPERLINK("https://www.boe.es/gazeta/dias/1822/06/02/pdfs/GMD-1822-158.pdf#page=4","Abrir facsímil")</f>
        <v>Abrir facsímil</v>
      </c>
      <c r="K14222" t="s">
        <v>22</v>
      </c>
    </row>
    <row r="14223" spans="1:11" ht="42" customHeight="1">
      <c r="A14223" t="s">
        <v>27577</v>
      </c>
      <c r="B14223" t="s">
        <v>27577</v>
      </c>
      <c r="C14223" t="s">
        <v>28</v>
      </c>
      <c r="D14223" t="s">
        <v>29</v>
      </c>
      <c r="E14223" s="6">
        <v>-28414</v>
      </c>
      <c r="F14223" t="s">
        <v>187</v>
      </c>
      <c r="G14223" t="s">
        <v>57</v>
      </c>
      <c r="H14223" t="s">
        <v>20</v>
      </c>
      <c r="I14223" t="s">
        <v>27578</v>
      </c>
      <c r="J14223" t="str">
        <f>HYPERLINK("https://www.boe.es/gazeta/dias/1822/03/15/pdfs/GMD-1822-76.pdf#page=4","Abrir facsímil")</f>
        <v>Abrir facsímil</v>
      </c>
      <c r="K14223" t="s">
        <v>22</v>
      </c>
    </row>
    <row r="14224" spans="1:11" ht="42" customHeight="1">
      <c r="A14224" t="s">
        <v>27579</v>
      </c>
      <c r="B14224" t="s">
        <v>27579</v>
      </c>
      <c r="C14224" t="s">
        <v>28</v>
      </c>
      <c r="D14224" t="s">
        <v>29</v>
      </c>
      <c r="E14224" s="6">
        <v>-28397</v>
      </c>
      <c r="F14224" t="s">
        <v>1401</v>
      </c>
      <c r="G14224" t="s">
        <v>26075</v>
      </c>
      <c r="H14224" t="s">
        <v>20</v>
      </c>
      <c r="I14224" t="s">
        <v>27580</v>
      </c>
      <c r="J14224" t="str">
        <f>HYPERLINK("https://www.boe.es/gazeta/dias/1822/04/01/pdfs/GMD-1822-93.pdf#page=5","Abrir facsímil")</f>
        <v>Abrir facsímil</v>
      </c>
      <c r="K14224" t="s">
        <v>22</v>
      </c>
    </row>
    <row r="14225" spans="1:11" ht="42" customHeight="1">
      <c r="A14225" t="s">
        <v>27581</v>
      </c>
      <c r="B14225" t="s">
        <v>27582</v>
      </c>
      <c r="C14225" t="s">
        <v>28</v>
      </c>
      <c r="D14225" t="s">
        <v>29</v>
      </c>
      <c r="E14225" s="6">
        <v>-28210</v>
      </c>
      <c r="F14225" t="s">
        <v>218</v>
      </c>
      <c r="G14225" t="s">
        <v>19</v>
      </c>
      <c r="H14225" t="s">
        <v>20</v>
      </c>
      <c r="I14225" t="s">
        <v>27583</v>
      </c>
      <c r="J14225" t="str">
        <f>HYPERLINK("https://www.boe.es/gazeta/dias/1822/10/05/pdfs/GMD-1822-291.pdf#page=5","Abrir facsímil")</f>
        <v>Abrir facsímil</v>
      </c>
      <c r="K14225" t="s">
        <v>22</v>
      </c>
    </row>
    <row r="14226" spans="1:11" ht="42" customHeight="1">
      <c r="A14226" t="s">
        <v>27584</v>
      </c>
      <c r="B14226" t="s">
        <v>27585</v>
      </c>
      <c r="C14226" t="s">
        <v>28</v>
      </c>
      <c r="D14226" t="s">
        <v>29</v>
      </c>
      <c r="E14226" s="6">
        <v>-28417</v>
      </c>
      <c r="F14226" t="s">
        <v>1394</v>
      </c>
      <c r="G14226" t="s">
        <v>35</v>
      </c>
      <c r="H14226" t="s">
        <v>20</v>
      </c>
      <c r="I14226" t="s">
        <v>27586</v>
      </c>
      <c r="J14226" t="str">
        <f>HYPERLINK("https://www.boe.es/gazeta/dias/1822/03/12/pdfs/GMD-1822-73.pdf#page=2","Abrir facsímil")</f>
        <v>Abrir facsímil</v>
      </c>
      <c r="K14226" t="s">
        <v>22</v>
      </c>
    </row>
    <row r="14227" spans="1:11" ht="42" customHeight="1">
      <c r="A14227" t="s">
        <v>27584</v>
      </c>
      <c r="B14227" t="s">
        <v>27585</v>
      </c>
      <c r="C14227" t="s">
        <v>28</v>
      </c>
      <c r="D14227" t="s">
        <v>29</v>
      </c>
      <c r="E14227" s="6">
        <v>-28380</v>
      </c>
      <c r="F14227" t="s">
        <v>492</v>
      </c>
      <c r="G14227" t="s">
        <v>35</v>
      </c>
      <c r="H14227" t="s">
        <v>20</v>
      </c>
      <c r="I14227" t="s">
        <v>27587</v>
      </c>
      <c r="J14227" t="str">
        <f>HYPERLINK("https://www.boe.es/gazeta/dias/1822/04/18/pdfs/GMD-1822-110.pdf#page=2","Abrir facsímil")</f>
        <v>Abrir facsímil</v>
      </c>
      <c r="K14227" t="s">
        <v>22</v>
      </c>
    </row>
    <row r="14228" spans="1:11" ht="42" customHeight="1">
      <c r="A14228" t="s">
        <v>27584</v>
      </c>
      <c r="B14228" t="s">
        <v>27585</v>
      </c>
      <c r="C14228" t="s">
        <v>50</v>
      </c>
      <c r="D14228" t="s">
        <v>51</v>
      </c>
      <c r="E14228" s="6">
        <v>-28349</v>
      </c>
      <c r="F14228" t="s">
        <v>518</v>
      </c>
      <c r="G14228" t="s">
        <v>44</v>
      </c>
      <c r="H14228" t="s">
        <v>20</v>
      </c>
      <c r="I14228" t="s">
        <v>27588</v>
      </c>
      <c r="J14228" t="str">
        <f>HYPERLINK("https://www.boe.es/gazeta/dias/1822/05/19/pdfs/GMD-1822-141.pdf#page=1","Abrir facsímil")</f>
        <v>Abrir facsímil</v>
      </c>
      <c r="K14228" t="s">
        <v>22</v>
      </c>
    </row>
    <row r="14229" spans="1:11" ht="42" customHeight="1">
      <c r="A14229" t="s">
        <v>27584</v>
      </c>
      <c r="B14229" t="s">
        <v>27585</v>
      </c>
      <c r="C14229" t="s">
        <v>50</v>
      </c>
      <c r="D14229" t="s">
        <v>51</v>
      </c>
      <c r="E14229" s="6">
        <v>-28329</v>
      </c>
      <c r="F14229" t="s">
        <v>354</v>
      </c>
      <c r="G14229" t="s">
        <v>19</v>
      </c>
      <c r="H14229" t="s">
        <v>20</v>
      </c>
      <c r="I14229" t="s">
        <v>27589</v>
      </c>
      <c r="J14229" t="str">
        <f>HYPERLINK("https://www.boe.es/gazeta/dias/1822/06/08/pdfs/GMD-1822-165.pdf#page=5","Abrir facsímil")</f>
        <v>Abrir facsímil</v>
      </c>
      <c r="K14229" t="s">
        <v>22</v>
      </c>
    </row>
    <row r="14230" spans="1:11" ht="42" customHeight="1">
      <c r="A14230" t="s">
        <v>27590</v>
      </c>
      <c r="B14230" t="s">
        <v>27591</v>
      </c>
      <c r="C14230" t="s">
        <v>24</v>
      </c>
      <c r="D14230" t="s">
        <v>17</v>
      </c>
      <c r="E14230" s="6">
        <v>-28260</v>
      </c>
      <c r="F14230" t="s">
        <v>135</v>
      </c>
      <c r="G14230" t="s">
        <v>31</v>
      </c>
      <c r="H14230" t="s">
        <v>20</v>
      </c>
      <c r="I14230" t="s">
        <v>27592</v>
      </c>
      <c r="J14230" t="str">
        <f>HYPERLINK("https://www.boe.es/gazeta/dias/1822/08/16/pdfs/GMD-1822-240.pdf#page=3","Abrir facsímil")</f>
        <v>Abrir facsímil</v>
      </c>
      <c r="K14230" t="s">
        <v>22</v>
      </c>
    </row>
    <row r="14231" spans="1:11" ht="42" customHeight="1">
      <c r="A14231" t="s">
        <v>27593</v>
      </c>
      <c r="B14231" t="s">
        <v>27593</v>
      </c>
      <c r="C14231" t="s">
        <v>28</v>
      </c>
      <c r="D14231" t="s">
        <v>29</v>
      </c>
      <c r="E14231" s="6">
        <v>-28448</v>
      </c>
      <c r="F14231" t="s">
        <v>1670</v>
      </c>
      <c r="G14231" t="s">
        <v>31</v>
      </c>
      <c r="H14231" t="s">
        <v>20</v>
      </c>
      <c r="I14231" t="s">
        <v>27594</v>
      </c>
      <c r="J14231" t="str">
        <f>HYPERLINK("https://www.boe.es/gazeta/dias/1822/02/09/pdfs/GMD-1822-40.pdf#page=3","Abrir facsímil")</f>
        <v>Abrir facsímil</v>
      </c>
      <c r="K14231" t="s">
        <v>22</v>
      </c>
    </row>
    <row r="14232" spans="1:11" ht="42" customHeight="1">
      <c r="A14232" t="s">
        <v>27595</v>
      </c>
      <c r="B14232" t="s">
        <v>27596</v>
      </c>
      <c r="C14232" t="s">
        <v>50</v>
      </c>
      <c r="D14232" t="s">
        <v>51</v>
      </c>
      <c r="E14232" s="6">
        <v>-28415</v>
      </c>
      <c r="F14232" t="s">
        <v>77</v>
      </c>
      <c r="G14232" t="s">
        <v>19</v>
      </c>
      <c r="H14232" t="s">
        <v>20</v>
      </c>
      <c r="I14232" t="s">
        <v>27597</v>
      </c>
      <c r="J14232" t="str">
        <f>HYPERLINK("https://www.boe.es/gazeta/dias/1822/03/14/pdfs/GMD-1822-75.pdf#page=5","Abrir facsímil")</f>
        <v>Abrir facsímil</v>
      </c>
      <c r="K14232" t="s">
        <v>22</v>
      </c>
    </row>
    <row r="14233" spans="1:11" ht="42" customHeight="1">
      <c r="A14233" t="s">
        <v>27598</v>
      </c>
      <c r="B14233" t="s">
        <v>27598</v>
      </c>
      <c r="C14233" t="s">
        <v>42</v>
      </c>
      <c r="D14233" t="s">
        <v>17</v>
      </c>
      <c r="E14233" s="6">
        <v>-28487</v>
      </c>
      <c r="F14233" t="s">
        <v>426</v>
      </c>
      <c r="G14233" t="s">
        <v>19</v>
      </c>
      <c r="H14233" t="s">
        <v>20</v>
      </c>
      <c r="I14233" t="s">
        <v>27599</v>
      </c>
      <c r="J14233" t="str">
        <f>HYPERLINK("https://www.boe.es/gazeta/dias/1822/01/01/pdfs/GMD-1822-1.pdf#page=5","Abrir facsímil")</f>
        <v>Abrir facsímil</v>
      </c>
      <c r="K14233" t="s">
        <v>22</v>
      </c>
    </row>
    <row r="14234" spans="1:11" ht="42" customHeight="1">
      <c r="A14234" t="s">
        <v>27598</v>
      </c>
      <c r="B14234" t="s">
        <v>27598</v>
      </c>
      <c r="C14234" t="s">
        <v>71</v>
      </c>
      <c r="D14234" t="s">
        <v>17</v>
      </c>
      <c r="E14234" s="6">
        <v>-28485</v>
      </c>
      <c r="F14234" t="s">
        <v>1117</v>
      </c>
      <c r="G14234" t="s">
        <v>57</v>
      </c>
      <c r="H14234" t="s">
        <v>20</v>
      </c>
      <c r="I14234" t="s">
        <v>27600</v>
      </c>
      <c r="J14234" t="str">
        <f>HYPERLINK("https://www.boe.es/gazeta/dias/1822/01/03/pdfs/GMD-1822-3.pdf#page=4","Abrir facsímil")</f>
        <v>Abrir facsímil</v>
      </c>
      <c r="K14234" t="s">
        <v>22</v>
      </c>
    </row>
    <row r="14235" spans="1:11" ht="42" customHeight="1">
      <c r="A14235" t="s">
        <v>27598</v>
      </c>
      <c r="B14235" t="s">
        <v>27598</v>
      </c>
      <c r="C14235" t="s">
        <v>28</v>
      </c>
      <c r="D14235" t="s">
        <v>29</v>
      </c>
      <c r="E14235" s="6">
        <v>-28483</v>
      </c>
      <c r="F14235" t="s">
        <v>254</v>
      </c>
      <c r="G14235" t="s">
        <v>35</v>
      </c>
      <c r="H14235" t="s">
        <v>20</v>
      </c>
      <c r="I14235" t="s">
        <v>27601</v>
      </c>
      <c r="J14235" t="str">
        <f>HYPERLINK("https://www.boe.es/gazeta/dias/1822/01/05/pdfs/GMD-1822-5.pdf#page=2","Abrir facsímil")</f>
        <v>Abrir facsímil</v>
      </c>
      <c r="K14235" t="s">
        <v>22</v>
      </c>
    </row>
    <row r="14236" spans="1:11" ht="42" customHeight="1">
      <c r="A14236" t="s">
        <v>27598</v>
      </c>
      <c r="B14236" t="s">
        <v>27598</v>
      </c>
      <c r="C14236" t="s">
        <v>71</v>
      </c>
      <c r="D14236" t="s">
        <v>17</v>
      </c>
      <c r="E14236" s="6">
        <v>-28483</v>
      </c>
      <c r="F14236" t="s">
        <v>254</v>
      </c>
      <c r="G14236" t="s">
        <v>57</v>
      </c>
      <c r="H14236" t="s">
        <v>20</v>
      </c>
      <c r="I14236" t="s">
        <v>27602</v>
      </c>
      <c r="J14236" t="str">
        <f>HYPERLINK("https://www.boe.es/gazeta/dias/1822/01/05/pdfs/GMD-1822-5.pdf#page=4","Abrir facsímil")</f>
        <v>Abrir facsímil</v>
      </c>
      <c r="K14236" t="s">
        <v>22</v>
      </c>
    </row>
    <row r="14237" spans="1:11" ht="42" customHeight="1">
      <c r="A14237" t="s">
        <v>27598</v>
      </c>
      <c r="B14237" t="s">
        <v>27598</v>
      </c>
      <c r="C14237" t="s">
        <v>28</v>
      </c>
      <c r="D14237" t="s">
        <v>29</v>
      </c>
      <c r="E14237" s="6">
        <v>-28472</v>
      </c>
      <c r="F14237" t="s">
        <v>5485</v>
      </c>
      <c r="G14237" t="s">
        <v>35</v>
      </c>
      <c r="H14237" t="s">
        <v>20</v>
      </c>
      <c r="I14237" t="s">
        <v>27603</v>
      </c>
      <c r="J14237" t="str">
        <f>HYPERLINK("https://www.boe.es/gazeta/dias/1822/01/16/pdfs/GMD-1822-16.pdf#page=2","Abrir facsímil")</f>
        <v>Abrir facsímil</v>
      </c>
      <c r="K14237" t="s">
        <v>22</v>
      </c>
    </row>
    <row r="14238" spans="1:11" ht="42" customHeight="1">
      <c r="A14238" t="s">
        <v>27598</v>
      </c>
      <c r="B14238" t="s">
        <v>27598</v>
      </c>
      <c r="C14238" t="s">
        <v>24</v>
      </c>
      <c r="D14238" t="s">
        <v>17</v>
      </c>
      <c r="E14238" s="6">
        <v>-28463</v>
      </c>
      <c r="F14238" t="s">
        <v>25</v>
      </c>
      <c r="G14238" t="s">
        <v>19</v>
      </c>
      <c r="H14238" t="s">
        <v>20</v>
      </c>
      <c r="I14238" t="s">
        <v>27604</v>
      </c>
      <c r="J14238" t="str">
        <f>HYPERLINK("https://www.boe.es/gazeta/dias/1822/01/25/pdfs/GMD-1822-25.pdf#page=5","Abrir facsímil")</f>
        <v>Abrir facsímil</v>
      </c>
      <c r="K14238" t="s">
        <v>22</v>
      </c>
    </row>
    <row r="14239" spans="1:11" ht="42" customHeight="1">
      <c r="A14239" t="s">
        <v>27598</v>
      </c>
      <c r="B14239" t="s">
        <v>27598</v>
      </c>
      <c r="C14239" t="s">
        <v>71</v>
      </c>
      <c r="D14239" t="s">
        <v>17</v>
      </c>
      <c r="E14239" s="6">
        <v>-28463</v>
      </c>
      <c r="F14239" t="s">
        <v>25</v>
      </c>
      <c r="G14239" t="s">
        <v>63</v>
      </c>
      <c r="H14239" t="s">
        <v>20</v>
      </c>
      <c r="I14239" t="s">
        <v>27605</v>
      </c>
      <c r="J14239" t="str">
        <f>HYPERLINK("https://www.boe.es/gazeta/dias/1822/01/25/pdfs/GMD-1822-25.pdf#page=6","Abrir facsímil")</f>
        <v>Abrir facsímil</v>
      </c>
      <c r="K14239" t="s">
        <v>22</v>
      </c>
    </row>
    <row r="14240" spans="1:11" ht="42" customHeight="1">
      <c r="A14240" t="s">
        <v>27598</v>
      </c>
      <c r="B14240" t="s">
        <v>27598</v>
      </c>
      <c r="C14240" t="s">
        <v>28</v>
      </c>
      <c r="D14240" t="s">
        <v>29</v>
      </c>
      <c r="E14240" s="6">
        <v>-28446</v>
      </c>
      <c r="F14240" t="s">
        <v>773</v>
      </c>
      <c r="G14240" t="s">
        <v>57</v>
      </c>
      <c r="H14240" t="s">
        <v>20</v>
      </c>
      <c r="I14240" t="s">
        <v>27606</v>
      </c>
      <c r="J14240" t="str">
        <f>HYPERLINK("https://www.boe.es/gazeta/dias/1822/02/11/pdfs/GMD-1822-42.pdf#page=4","Abrir facsímil")</f>
        <v>Abrir facsímil</v>
      </c>
      <c r="K14240" t="s">
        <v>22</v>
      </c>
    </row>
    <row r="14241" spans="1:11" ht="42" customHeight="1">
      <c r="A14241" t="s">
        <v>27598</v>
      </c>
      <c r="B14241" t="s">
        <v>27598</v>
      </c>
      <c r="C14241" t="s">
        <v>28</v>
      </c>
      <c r="D14241" t="s">
        <v>29</v>
      </c>
      <c r="E14241" s="6">
        <v>-28446</v>
      </c>
      <c r="F14241" t="s">
        <v>773</v>
      </c>
      <c r="G14241" t="s">
        <v>19</v>
      </c>
      <c r="H14241" t="s">
        <v>20</v>
      </c>
      <c r="I14241" t="s">
        <v>27607</v>
      </c>
      <c r="J14241" t="str">
        <f>HYPERLINK("https://www.boe.es/gazeta/dias/1822/02/11/pdfs/GMD-1822-42.pdf#page=5","Abrir facsímil")</f>
        <v>Abrir facsímil</v>
      </c>
      <c r="K14241" t="s">
        <v>22</v>
      </c>
    </row>
    <row r="14242" spans="1:11" ht="42" customHeight="1">
      <c r="A14242" t="s">
        <v>27598</v>
      </c>
      <c r="B14242" t="s">
        <v>27598</v>
      </c>
      <c r="C14242" t="s">
        <v>71</v>
      </c>
      <c r="D14242" t="s">
        <v>17</v>
      </c>
      <c r="E14242" s="6">
        <v>-28445</v>
      </c>
      <c r="F14242" t="s">
        <v>1622</v>
      </c>
      <c r="G14242" t="s">
        <v>35</v>
      </c>
      <c r="H14242" t="s">
        <v>20</v>
      </c>
      <c r="I14242" t="s">
        <v>27608</v>
      </c>
      <c r="J14242" t="str">
        <f>HYPERLINK("https://www.boe.es/gazeta/dias/1822/02/12/pdfs/GMD-1822-43.pdf#page=2","Abrir facsímil")</f>
        <v>Abrir facsímil</v>
      </c>
      <c r="K14242" t="s">
        <v>22</v>
      </c>
    </row>
    <row r="14243" spans="1:11" ht="42" customHeight="1">
      <c r="A14243" t="s">
        <v>27598</v>
      </c>
      <c r="B14243" t="s">
        <v>27598</v>
      </c>
      <c r="C14243" t="s">
        <v>24</v>
      </c>
      <c r="D14243" t="s">
        <v>17</v>
      </c>
      <c r="E14243" s="6">
        <v>-28445</v>
      </c>
      <c r="F14243" t="s">
        <v>1622</v>
      </c>
      <c r="G14243" t="s">
        <v>31</v>
      </c>
      <c r="H14243" t="s">
        <v>20</v>
      </c>
      <c r="I14243" t="s">
        <v>27609</v>
      </c>
      <c r="J14243" t="str">
        <f>HYPERLINK("https://www.boe.es/gazeta/dias/1822/02/12/pdfs/GMD-1822-43.pdf#page=3","Abrir facsímil")</f>
        <v>Abrir facsímil</v>
      </c>
      <c r="K14243" t="s">
        <v>22</v>
      </c>
    </row>
    <row r="14244" spans="1:11" ht="42" customHeight="1">
      <c r="A14244" t="s">
        <v>27598</v>
      </c>
      <c r="B14244" t="s">
        <v>27598</v>
      </c>
      <c r="C14244" t="s">
        <v>24</v>
      </c>
      <c r="D14244" t="s">
        <v>17</v>
      </c>
      <c r="E14244" s="6">
        <v>-28445</v>
      </c>
      <c r="F14244" t="s">
        <v>1622</v>
      </c>
      <c r="G14244" t="s">
        <v>57</v>
      </c>
      <c r="H14244" t="s">
        <v>20</v>
      </c>
      <c r="I14244" t="s">
        <v>27610</v>
      </c>
      <c r="J14244" t="str">
        <f>HYPERLINK("https://www.boe.es/gazeta/dias/1822/02/12/pdfs/GMD-1822-43.pdf#page=4","Abrir facsímil")</f>
        <v>Abrir facsímil</v>
      </c>
      <c r="K14244" t="s">
        <v>22</v>
      </c>
    </row>
    <row r="14245" spans="1:11" ht="42" customHeight="1">
      <c r="A14245" t="s">
        <v>27598</v>
      </c>
      <c r="B14245" t="s">
        <v>27598</v>
      </c>
      <c r="C14245" t="s">
        <v>50</v>
      </c>
      <c r="D14245" t="s">
        <v>51</v>
      </c>
      <c r="E14245" s="6">
        <v>-28444</v>
      </c>
      <c r="F14245" t="s">
        <v>681</v>
      </c>
      <c r="G14245" t="s">
        <v>35</v>
      </c>
      <c r="H14245" t="s">
        <v>20</v>
      </c>
      <c r="I14245" t="s">
        <v>27611</v>
      </c>
      <c r="J14245" t="str">
        <f>HYPERLINK("https://www.boe.es/gazeta/dias/1822/02/13/pdfs/GMD-1822-44.pdf#page=2","Abrir facsímil")</f>
        <v>Abrir facsímil</v>
      </c>
      <c r="K14245" t="s">
        <v>22</v>
      </c>
    </row>
    <row r="14246" spans="1:11" ht="42" customHeight="1">
      <c r="A14246" t="s">
        <v>27598</v>
      </c>
      <c r="B14246" t="s">
        <v>27598</v>
      </c>
      <c r="C14246" t="s">
        <v>71</v>
      </c>
      <c r="D14246" t="s">
        <v>17</v>
      </c>
      <c r="E14246" s="6">
        <v>-28443</v>
      </c>
      <c r="F14246" t="s">
        <v>668</v>
      </c>
      <c r="G14246" t="s">
        <v>57</v>
      </c>
      <c r="H14246" t="s">
        <v>20</v>
      </c>
      <c r="I14246" t="s">
        <v>27612</v>
      </c>
      <c r="J14246" t="str">
        <f>HYPERLINK("https://www.boe.es/gazeta/dias/1822/02/14/pdfs/GMD-1822-45.pdf#page=4","Abrir facsímil")</f>
        <v>Abrir facsímil</v>
      </c>
      <c r="K14246" t="s">
        <v>22</v>
      </c>
    </row>
    <row r="14247" spans="1:11" ht="42" customHeight="1">
      <c r="A14247" t="s">
        <v>27598</v>
      </c>
      <c r="B14247" t="s">
        <v>27598</v>
      </c>
      <c r="C14247" t="s">
        <v>42</v>
      </c>
      <c r="D14247" t="s">
        <v>17</v>
      </c>
      <c r="E14247" s="6">
        <v>-28244</v>
      </c>
      <c r="F14247" t="s">
        <v>6163</v>
      </c>
      <c r="G14247" t="s">
        <v>57</v>
      </c>
      <c r="H14247" t="s">
        <v>20</v>
      </c>
      <c r="I14247" t="s">
        <v>27613</v>
      </c>
      <c r="J14247" t="str">
        <f>HYPERLINK("https://www.boe.es/gazeta/dias/1822/09/01/pdfs/GMD-1822-256.pdf#page=4","Abrir facsímil")</f>
        <v>Abrir facsímil</v>
      </c>
      <c r="K14247" t="s">
        <v>22</v>
      </c>
    </row>
    <row r="14248" spans="1:11" ht="42" customHeight="1">
      <c r="A14248" t="s">
        <v>27614</v>
      </c>
      <c r="B14248" t="s">
        <v>27615</v>
      </c>
      <c r="C14248" t="s">
        <v>28</v>
      </c>
      <c r="D14248" t="s">
        <v>29</v>
      </c>
      <c r="E14248" s="6">
        <v>-28244</v>
      </c>
      <c r="F14248" t="s">
        <v>6163</v>
      </c>
      <c r="G14248" t="s">
        <v>57</v>
      </c>
      <c r="H14248" t="s">
        <v>20</v>
      </c>
      <c r="I14248" t="s">
        <v>27616</v>
      </c>
      <c r="J14248" t="str">
        <f>HYPERLINK("https://www.boe.es/gazeta/dias/1822/09/01/pdfs/GMD-1822-256.pdf#page=4","Abrir facsímil")</f>
        <v>Abrir facsímil</v>
      </c>
      <c r="K14248" t="s">
        <v>22</v>
      </c>
    </row>
    <row r="14249" spans="1:11" ht="42" customHeight="1">
      <c r="A14249" t="s">
        <v>27614</v>
      </c>
      <c r="B14249" t="s">
        <v>27615</v>
      </c>
      <c r="C14249" t="s">
        <v>28</v>
      </c>
      <c r="D14249" t="s">
        <v>29</v>
      </c>
      <c r="E14249" s="6">
        <v>-28239</v>
      </c>
      <c r="F14249" t="s">
        <v>3154</v>
      </c>
      <c r="G14249" t="s">
        <v>57</v>
      </c>
      <c r="H14249" t="s">
        <v>20</v>
      </c>
      <c r="I14249" t="s">
        <v>27617</v>
      </c>
      <c r="J14249" t="str">
        <f>HYPERLINK("https://www.boe.es/gazeta/dias/1822/09/06/pdfs/GMD-1822-261.pdf#page=4","Abrir facsímil")</f>
        <v>Abrir facsímil</v>
      </c>
      <c r="K14249" t="s">
        <v>22</v>
      </c>
    </row>
    <row r="14250" spans="1:11" ht="42" customHeight="1">
      <c r="A14250" t="s">
        <v>27618</v>
      </c>
      <c r="B14250" t="s">
        <v>27619</v>
      </c>
      <c r="C14250" t="s">
        <v>28</v>
      </c>
      <c r="D14250" t="s">
        <v>29</v>
      </c>
      <c r="E14250" s="6">
        <v>-28214</v>
      </c>
      <c r="F14250" t="s">
        <v>814</v>
      </c>
      <c r="G14250" t="s">
        <v>57</v>
      </c>
      <c r="H14250" t="s">
        <v>20</v>
      </c>
      <c r="I14250" t="s">
        <v>27620</v>
      </c>
      <c r="J14250" t="str">
        <f>HYPERLINK("https://www.boe.es/gazeta/dias/1822/10/01/pdfs/GMD-1822-287.pdf#page=4","Abrir facsímil")</f>
        <v>Abrir facsímil</v>
      </c>
      <c r="K14250" t="s">
        <v>22</v>
      </c>
    </row>
    <row r="14251" spans="1:11" ht="42" customHeight="1">
      <c r="A14251" t="s">
        <v>27621</v>
      </c>
      <c r="B14251" t="s">
        <v>27622</v>
      </c>
      <c r="C14251" t="s">
        <v>16</v>
      </c>
      <c r="D14251" t="s">
        <v>17</v>
      </c>
      <c r="E14251" s="6">
        <v>-28338</v>
      </c>
      <c r="F14251" t="s">
        <v>527</v>
      </c>
      <c r="G14251" t="s">
        <v>57</v>
      </c>
      <c r="H14251" t="s">
        <v>20</v>
      </c>
      <c r="I14251" t="s">
        <v>27623</v>
      </c>
      <c r="J14251" t="str">
        <f>HYPERLINK("https://www.boe.es/gazeta/dias/1822/05/30/pdfs/GMD-1822-155.pdf#page=4","Abrir facsímil")</f>
        <v>Abrir facsímil</v>
      </c>
      <c r="K14251" t="s">
        <v>22</v>
      </c>
    </row>
    <row r="14252" spans="1:11" ht="42" customHeight="1">
      <c r="A14252" t="s">
        <v>27624</v>
      </c>
      <c r="B14252" t="s">
        <v>27624</v>
      </c>
      <c r="C14252" t="s">
        <v>61</v>
      </c>
      <c r="D14252" t="s">
        <v>17</v>
      </c>
      <c r="E14252" s="6">
        <v>-28475</v>
      </c>
      <c r="F14252" t="s">
        <v>1205</v>
      </c>
      <c r="G14252" t="s">
        <v>1685</v>
      </c>
      <c r="H14252" t="s">
        <v>20</v>
      </c>
      <c r="I14252" t="s">
        <v>27625</v>
      </c>
      <c r="J14252" t="str">
        <f>HYPERLINK("https://www.boe.es/gazeta/dias/1822/01/13/pdfs/GMD-1822-13.pdf#page=4","Abrir facsímil")</f>
        <v>Abrir facsímil</v>
      </c>
      <c r="K14252" t="s">
        <v>22</v>
      </c>
    </row>
    <row r="14253" spans="1:11" ht="42" customHeight="1">
      <c r="A14253" t="s">
        <v>27626</v>
      </c>
      <c r="B14253" t="s">
        <v>27627</v>
      </c>
      <c r="C14253" t="s">
        <v>50</v>
      </c>
      <c r="D14253" t="s">
        <v>51</v>
      </c>
      <c r="E14253" s="6">
        <v>-28269</v>
      </c>
      <c r="F14253" t="s">
        <v>5517</v>
      </c>
      <c r="G14253" t="s">
        <v>57</v>
      </c>
      <c r="H14253" t="s">
        <v>20</v>
      </c>
      <c r="I14253" t="s">
        <v>27628</v>
      </c>
      <c r="J14253" t="str">
        <f>HYPERLINK("https://www.boe.es/gazeta/dias/1822/08/07/pdfs/GMD-1822-231.pdf#page=4","Abrir facsímil")</f>
        <v>Abrir facsímil</v>
      </c>
      <c r="K14253" t="s">
        <v>22</v>
      </c>
    </row>
    <row r="14254" spans="1:11" ht="42" customHeight="1">
      <c r="A14254" t="s">
        <v>27629</v>
      </c>
      <c r="B14254" t="s">
        <v>27630</v>
      </c>
      <c r="C14254" t="s">
        <v>42</v>
      </c>
      <c r="D14254" t="s">
        <v>17</v>
      </c>
      <c r="E14254" s="6">
        <v>-28293</v>
      </c>
      <c r="F14254" t="s">
        <v>152</v>
      </c>
      <c r="G14254" t="s">
        <v>35</v>
      </c>
      <c r="H14254" t="s">
        <v>20</v>
      </c>
      <c r="I14254" t="s">
        <v>27631</v>
      </c>
      <c r="J14254" t="str">
        <f>HYPERLINK("https://www.boe.es/gazeta/dias/1822/07/14/pdfs/GMD-1822-204.pdf#page=2","Abrir facsímil")</f>
        <v>Abrir facsímil</v>
      </c>
      <c r="K14254" t="s">
        <v>22</v>
      </c>
    </row>
    <row r="14255" spans="1:11" ht="42" customHeight="1">
      <c r="A14255" t="s">
        <v>27632</v>
      </c>
      <c r="B14255" t="s">
        <v>27632</v>
      </c>
      <c r="C14255" t="s">
        <v>42</v>
      </c>
      <c r="D14255" t="s">
        <v>17</v>
      </c>
      <c r="E14255" s="6">
        <v>-28149</v>
      </c>
      <c r="F14255" t="s">
        <v>1322</v>
      </c>
      <c r="G14255" t="s">
        <v>31</v>
      </c>
      <c r="H14255" t="s">
        <v>20</v>
      </c>
      <c r="I14255" t="s">
        <v>27633</v>
      </c>
      <c r="J14255" t="str">
        <f>HYPERLINK("https://www.boe.es/gazeta/dias/1822/12/05/pdfs/GMD-1822-355.pdf#page=3","Abrir facsímil")</f>
        <v>Abrir facsímil</v>
      </c>
      <c r="K14255" t="s">
        <v>22</v>
      </c>
    </row>
    <row r="14256" spans="1:11" ht="42" customHeight="1">
      <c r="A14256" t="s">
        <v>27634</v>
      </c>
      <c r="B14256" t="s">
        <v>27635</v>
      </c>
      <c r="C14256" t="s">
        <v>50</v>
      </c>
      <c r="D14256" t="s">
        <v>51</v>
      </c>
      <c r="E14256" s="6">
        <v>-28416</v>
      </c>
      <c r="F14256" t="s">
        <v>97</v>
      </c>
      <c r="G14256" t="s">
        <v>63</v>
      </c>
      <c r="H14256" t="s">
        <v>20</v>
      </c>
      <c r="I14256" t="s">
        <v>27636</v>
      </c>
      <c r="J14256" t="str">
        <f>HYPERLINK("https://www.boe.es/gazeta/dias/1822/03/13/pdfs/GMD-1822-74.pdf#page=6","Abrir facsímil")</f>
        <v>Abrir facsímil</v>
      </c>
      <c r="K14256" t="s">
        <v>22</v>
      </c>
    </row>
    <row r="14257" spans="1:11" ht="42" customHeight="1">
      <c r="A14257" t="s">
        <v>27637</v>
      </c>
      <c r="B14257" t="s">
        <v>27637</v>
      </c>
      <c r="C14257" t="s">
        <v>42</v>
      </c>
      <c r="D14257" t="s">
        <v>17</v>
      </c>
      <c r="E14257" s="6">
        <v>-28131</v>
      </c>
      <c r="F14257" t="s">
        <v>893</v>
      </c>
      <c r="G14257" t="s">
        <v>19</v>
      </c>
      <c r="H14257" t="s">
        <v>20</v>
      </c>
      <c r="I14257" t="s">
        <v>27638</v>
      </c>
      <c r="J14257" t="str">
        <f>HYPERLINK("https://www.boe.es/gazeta/dias/1822/12/23/pdfs/GMD-1822-373.pdf#page=5","Abrir facsímil")</f>
        <v>Abrir facsímil</v>
      </c>
      <c r="K14257" t="s">
        <v>22</v>
      </c>
    </row>
    <row r="14258" spans="1:11" ht="42" customHeight="1">
      <c r="A14258" t="s">
        <v>27639</v>
      </c>
      <c r="B14258" t="s">
        <v>27639</v>
      </c>
      <c r="C14258" t="s">
        <v>50</v>
      </c>
      <c r="D14258" t="s">
        <v>51</v>
      </c>
      <c r="E14258" s="6">
        <v>-28414</v>
      </c>
      <c r="F14258" t="s">
        <v>187</v>
      </c>
      <c r="G14258" t="s">
        <v>19</v>
      </c>
      <c r="H14258" t="s">
        <v>20</v>
      </c>
      <c r="I14258" t="s">
        <v>27640</v>
      </c>
      <c r="J14258" t="str">
        <f>HYPERLINK("https://www.boe.es/gazeta/dias/1822/03/15/pdfs/GMD-1822-76.pdf#page=5","Abrir facsímil")</f>
        <v>Abrir facsímil</v>
      </c>
      <c r="K14258" t="s">
        <v>22</v>
      </c>
    </row>
    <row r="14259" spans="1:11" ht="42" customHeight="1">
      <c r="A14259" t="s">
        <v>27641</v>
      </c>
      <c r="B14259" t="s">
        <v>27641</v>
      </c>
      <c r="C14259" t="s">
        <v>50</v>
      </c>
      <c r="D14259" t="s">
        <v>51</v>
      </c>
      <c r="E14259" s="6">
        <v>-28131</v>
      </c>
      <c r="F14259" t="s">
        <v>893</v>
      </c>
      <c r="G14259" t="s">
        <v>31</v>
      </c>
      <c r="H14259" t="s">
        <v>20</v>
      </c>
      <c r="I14259" t="s">
        <v>27642</v>
      </c>
      <c r="J14259" t="str">
        <f>HYPERLINK("https://www.boe.es/gazeta/dias/1822/12/23/pdfs/GMD-1822-373.pdf#page=3","Abrir facsímil")</f>
        <v>Abrir facsímil</v>
      </c>
      <c r="K14259" t="s">
        <v>22</v>
      </c>
    </row>
    <row r="14260" spans="1:11" ht="42" customHeight="1">
      <c r="A14260" t="s">
        <v>27643</v>
      </c>
      <c r="B14260" t="s">
        <v>27643</v>
      </c>
      <c r="C14260" t="s">
        <v>50</v>
      </c>
      <c r="D14260" t="s">
        <v>51</v>
      </c>
      <c r="E14260" s="6">
        <v>-28203</v>
      </c>
      <c r="F14260" t="s">
        <v>564</v>
      </c>
      <c r="G14260" t="s">
        <v>4185</v>
      </c>
      <c r="H14260" t="s">
        <v>20</v>
      </c>
      <c r="I14260" t="s">
        <v>27644</v>
      </c>
      <c r="J14260" t="str">
        <f>HYPERLINK("https://www.boe.es/gazeta/dias/1822/10/12/pdfs/GMD-1822-299.pdf#page=2","Abrir facsímil")</f>
        <v>Abrir facsímil</v>
      </c>
      <c r="K14260" t="s">
        <v>22</v>
      </c>
    </row>
    <row r="14261" spans="1:11" ht="42" customHeight="1">
      <c r="A14261" t="s">
        <v>27645</v>
      </c>
      <c r="B14261" t="s">
        <v>27646</v>
      </c>
      <c r="C14261" t="s">
        <v>50</v>
      </c>
      <c r="D14261" t="s">
        <v>51</v>
      </c>
      <c r="E14261" s="6">
        <v>-28264</v>
      </c>
      <c r="F14261" t="s">
        <v>1329</v>
      </c>
      <c r="G14261" t="s">
        <v>57</v>
      </c>
      <c r="H14261" t="s">
        <v>20</v>
      </c>
      <c r="I14261" t="s">
        <v>27647</v>
      </c>
      <c r="J14261" t="str">
        <f>HYPERLINK("https://www.boe.es/gazeta/dias/1822/08/12/pdfs/GMD-1822-236.pdf#page=4","Abrir facsímil")</f>
        <v>Abrir facsímil</v>
      </c>
      <c r="K14261" t="s">
        <v>22</v>
      </c>
    </row>
    <row r="14262" spans="1:11" ht="42" customHeight="1">
      <c r="A14262" t="s">
        <v>27648</v>
      </c>
      <c r="B14262" t="s">
        <v>27648</v>
      </c>
      <c r="C14262" t="s">
        <v>50</v>
      </c>
      <c r="D14262" t="s">
        <v>51</v>
      </c>
      <c r="E14262" s="6">
        <v>-28431</v>
      </c>
      <c r="F14262" t="s">
        <v>1258</v>
      </c>
      <c r="G14262" t="s">
        <v>31</v>
      </c>
      <c r="H14262" t="s">
        <v>20</v>
      </c>
      <c r="I14262" t="s">
        <v>27649</v>
      </c>
      <c r="J14262" t="str">
        <f>HYPERLINK("https://www.boe.es/gazeta/dias/1822/02/26/pdfs/GMD-1822-58.pdf#page=3","Abrir facsímil")</f>
        <v>Abrir facsímil</v>
      </c>
      <c r="K14262" t="s">
        <v>22</v>
      </c>
    </row>
    <row r="14263" spans="1:11" ht="42" customHeight="1">
      <c r="A14263" t="s">
        <v>27650</v>
      </c>
      <c r="B14263" t="s">
        <v>27650</v>
      </c>
      <c r="C14263" t="s">
        <v>50</v>
      </c>
      <c r="D14263" t="s">
        <v>51</v>
      </c>
      <c r="E14263" s="6">
        <v>-28419</v>
      </c>
      <c r="F14263" t="s">
        <v>1392</v>
      </c>
      <c r="G14263" t="s">
        <v>57</v>
      </c>
      <c r="H14263" t="s">
        <v>20</v>
      </c>
      <c r="I14263" t="s">
        <v>27651</v>
      </c>
      <c r="J14263" t="str">
        <f>HYPERLINK("https://www.boe.es/gazeta/dias/1822/03/10/pdfs/GMD-1822-71.pdf#page=4","Abrir facsímil")</f>
        <v>Abrir facsímil</v>
      </c>
      <c r="K14263" t="s">
        <v>22</v>
      </c>
    </row>
    <row r="14264" spans="1:11" ht="42" customHeight="1">
      <c r="A14264" t="s">
        <v>27648</v>
      </c>
      <c r="B14264" t="s">
        <v>27648</v>
      </c>
      <c r="C14264" t="s">
        <v>24</v>
      </c>
      <c r="D14264" t="s">
        <v>17</v>
      </c>
      <c r="E14264" s="6">
        <v>-28381</v>
      </c>
      <c r="F14264" t="s">
        <v>358</v>
      </c>
      <c r="G14264" t="s">
        <v>19</v>
      </c>
      <c r="H14264" t="s">
        <v>20</v>
      </c>
      <c r="I14264" t="s">
        <v>27652</v>
      </c>
      <c r="J14264" t="str">
        <f>HYPERLINK("https://www.boe.es/gazeta/dias/1822/04/17/pdfs/GMD-1822-109.pdf#page=5","Abrir facsímil")</f>
        <v>Abrir facsímil</v>
      </c>
      <c r="K14264" t="s">
        <v>22</v>
      </c>
    </row>
    <row r="14265" spans="1:11" ht="42" customHeight="1">
      <c r="A14265" t="s">
        <v>27648</v>
      </c>
      <c r="B14265" t="s">
        <v>27648</v>
      </c>
      <c r="C14265" t="s">
        <v>28</v>
      </c>
      <c r="D14265" t="s">
        <v>29</v>
      </c>
      <c r="E14265" s="6">
        <v>-28345</v>
      </c>
      <c r="F14265" t="s">
        <v>294</v>
      </c>
      <c r="G14265" t="s">
        <v>31</v>
      </c>
      <c r="H14265" t="s">
        <v>20</v>
      </c>
      <c r="I14265" t="s">
        <v>27653</v>
      </c>
      <c r="J14265" t="str">
        <f>HYPERLINK("https://www.boe.es/gazeta/dias/1822/05/23/pdfs/GMD-1822-147.pdf#page=3","Abrir facsímil")</f>
        <v>Abrir facsímil</v>
      </c>
      <c r="K14265" t="s">
        <v>22</v>
      </c>
    </row>
    <row r="14266" spans="1:11" ht="42" customHeight="1">
      <c r="A14266" t="s">
        <v>27648</v>
      </c>
      <c r="B14266" t="s">
        <v>27648</v>
      </c>
      <c r="C14266" t="s">
        <v>50</v>
      </c>
      <c r="D14266" t="s">
        <v>51</v>
      </c>
      <c r="E14266" s="6">
        <v>-28320</v>
      </c>
      <c r="F14266" t="s">
        <v>700</v>
      </c>
      <c r="G14266" t="s">
        <v>57</v>
      </c>
      <c r="H14266" t="s">
        <v>20</v>
      </c>
      <c r="I14266" t="s">
        <v>27654</v>
      </c>
      <c r="J14266" t="str">
        <f>HYPERLINK("https://www.boe.es/gazeta/dias/1822/06/17/pdfs/GMD-1822-174.pdf#page=4","Abrir facsímil")</f>
        <v>Abrir facsímil</v>
      </c>
      <c r="K14266" t="s">
        <v>22</v>
      </c>
    </row>
    <row r="14267" spans="1:11" ht="42" customHeight="1">
      <c r="A14267" t="s">
        <v>27650</v>
      </c>
      <c r="B14267" t="s">
        <v>27650</v>
      </c>
      <c r="C14267" t="s">
        <v>42</v>
      </c>
      <c r="D14267" t="s">
        <v>17</v>
      </c>
      <c r="E14267" s="6">
        <v>-28171</v>
      </c>
      <c r="F14267" t="s">
        <v>1075</v>
      </c>
      <c r="G14267" t="s">
        <v>31</v>
      </c>
      <c r="H14267" t="s">
        <v>20</v>
      </c>
      <c r="I14267" t="s">
        <v>27655</v>
      </c>
      <c r="J14267" t="str">
        <f>HYPERLINK("https://www.boe.es/gazeta/dias/1822/11/13/pdfs/GMD-1822-333.pdf#page=3","Abrir facsímil")</f>
        <v>Abrir facsímil</v>
      </c>
      <c r="K14267" t="s">
        <v>22</v>
      </c>
    </row>
    <row r="14268" spans="1:11" ht="42" customHeight="1">
      <c r="A14268" t="s">
        <v>27648</v>
      </c>
      <c r="B14268" t="s">
        <v>27648</v>
      </c>
      <c r="C14268" t="s">
        <v>50</v>
      </c>
      <c r="D14268" t="s">
        <v>51</v>
      </c>
      <c r="E14268" s="6">
        <v>-28164</v>
      </c>
      <c r="F14268" t="s">
        <v>2172</v>
      </c>
      <c r="G14268" t="s">
        <v>57</v>
      </c>
      <c r="H14268" t="s">
        <v>20</v>
      </c>
      <c r="I14268" t="s">
        <v>27656</v>
      </c>
      <c r="J14268" t="str">
        <f>HYPERLINK("https://www.boe.es/gazeta/dias/1822/11/20/pdfs/GMD-1822-340.pdf#page=4","Abrir facsímil")</f>
        <v>Abrir facsímil</v>
      </c>
      <c r="K14268" t="s">
        <v>22</v>
      </c>
    </row>
    <row r="14269" spans="1:11" ht="42" customHeight="1">
      <c r="A14269" t="s">
        <v>27648</v>
      </c>
      <c r="B14269" t="s">
        <v>27648</v>
      </c>
      <c r="C14269" t="s">
        <v>50</v>
      </c>
      <c r="D14269" t="s">
        <v>51</v>
      </c>
      <c r="E14269" s="6">
        <v>-28151</v>
      </c>
      <c r="F14269" t="s">
        <v>985</v>
      </c>
      <c r="G14269" t="s">
        <v>7108</v>
      </c>
      <c r="H14269" t="s">
        <v>20</v>
      </c>
      <c r="I14269" t="s">
        <v>27657</v>
      </c>
      <c r="J14269" t="str">
        <f>HYPERLINK("https://www.boe.es/gazeta/dias/1822/12/03/pdfs/GMD-1822-353.pdf#page=2","Abrir facsímil")</f>
        <v>Abrir facsímil</v>
      </c>
      <c r="K14269" t="s">
        <v>22</v>
      </c>
    </row>
    <row r="14270" spans="1:11" ht="42" customHeight="1">
      <c r="A14270" t="s">
        <v>27648</v>
      </c>
      <c r="B14270" t="s">
        <v>27648</v>
      </c>
      <c r="C14270" t="s">
        <v>71</v>
      </c>
      <c r="D14270" t="s">
        <v>17</v>
      </c>
      <c r="E14270" s="6">
        <v>-28137</v>
      </c>
      <c r="F14270" t="s">
        <v>312</v>
      </c>
      <c r="G14270" t="s">
        <v>31</v>
      </c>
      <c r="H14270" t="s">
        <v>20</v>
      </c>
      <c r="I14270" t="s">
        <v>27658</v>
      </c>
      <c r="J14270" t="str">
        <f>HYPERLINK("https://www.boe.es/gazeta/dias/1822/12/17/pdfs/GMD-1822-367.pdf#page=3","Abrir facsímil")</f>
        <v>Abrir facsímil</v>
      </c>
      <c r="K14270" t="s">
        <v>22</v>
      </c>
    </row>
    <row r="14271" spans="1:11" ht="42" customHeight="1">
      <c r="A14271" t="s">
        <v>27659</v>
      </c>
      <c r="B14271" t="s">
        <v>27659</v>
      </c>
      <c r="C14271" t="s">
        <v>362</v>
      </c>
      <c r="D14271" t="s">
        <v>17</v>
      </c>
      <c r="E14271" s="6">
        <v>-28123</v>
      </c>
      <c r="F14271" t="s">
        <v>603</v>
      </c>
      <c r="G14271" t="s">
        <v>2642</v>
      </c>
      <c r="H14271" t="s">
        <v>20</v>
      </c>
      <c r="I14271" t="s">
        <v>27660</v>
      </c>
      <c r="J14271" t="str">
        <f>HYPERLINK("https://www.boe.es/gazeta/dias/1822/12/31/pdfs/GMD-1822-381.pdf#page=6","Abrir facsímil")</f>
        <v>Abrir facsímil</v>
      </c>
      <c r="K14271" t="s">
        <v>22</v>
      </c>
    </row>
    <row r="14272" spans="1:11" ht="42" customHeight="1">
      <c r="A14272" t="s">
        <v>27661</v>
      </c>
      <c r="B14272" t="s">
        <v>27661</v>
      </c>
      <c r="C14272" t="s">
        <v>50</v>
      </c>
      <c r="D14272" t="s">
        <v>51</v>
      </c>
      <c r="E14272" s="6">
        <v>-28415</v>
      </c>
      <c r="F14272" t="s">
        <v>77</v>
      </c>
      <c r="G14272" t="s">
        <v>19</v>
      </c>
      <c r="H14272" t="s">
        <v>20</v>
      </c>
      <c r="I14272" t="s">
        <v>27662</v>
      </c>
      <c r="J14272" t="str">
        <f>HYPERLINK("https://www.boe.es/gazeta/dias/1822/03/14/pdfs/GMD-1822-75.pdf#page=5","Abrir facsímil")</f>
        <v>Abrir facsímil</v>
      </c>
      <c r="K14272" t="s">
        <v>22</v>
      </c>
    </row>
    <row r="14273" spans="1:11" ht="42" customHeight="1">
      <c r="A14273" t="s">
        <v>27663</v>
      </c>
      <c r="B14273" t="s">
        <v>27663</v>
      </c>
      <c r="C14273" t="s">
        <v>71</v>
      </c>
      <c r="D14273" t="s">
        <v>17</v>
      </c>
      <c r="E14273" s="6">
        <v>-28329</v>
      </c>
      <c r="F14273" t="s">
        <v>354</v>
      </c>
      <c r="G14273" t="s">
        <v>31</v>
      </c>
      <c r="H14273" t="s">
        <v>20</v>
      </c>
      <c r="I14273" t="s">
        <v>27664</v>
      </c>
      <c r="J14273" t="str">
        <f>HYPERLINK("https://www.boe.es/gazeta/dias/1822/06/08/pdfs/GMD-1822-165.pdf#page=3","Abrir facsímil")</f>
        <v>Abrir facsímil</v>
      </c>
      <c r="K14273" t="s">
        <v>22</v>
      </c>
    </row>
    <row r="14274" spans="1:11" ht="42" customHeight="1">
      <c r="A14274" t="s">
        <v>27665</v>
      </c>
      <c r="B14274" t="s">
        <v>27666</v>
      </c>
      <c r="C14274" t="s">
        <v>24</v>
      </c>
      <c r="D14274" t="s">
        <v>17</v>
      </c>
      <c r="E14274" s="6">
        <v>-28249</v>
      </c>
      <c r="F14274" t="s">
        <v>3986</v>
      </c>
      <c r="G14274" t="s">
        <v>57</v>
      </c>
      <c r="H14274" t="s">
        <v>20</v>
      </c>
      <c r="I14274" t="s">
        <v>27667</v>
      </c>
      <c r="J14274" t="str">
        <f>HYPERLINK("https://www.boe.es/gazeta/dias/1822/08/27/pdfs/GMD-1822-251.pdf#page=4","Abrir facsímil")</f>
        <v>Abrir facsímil</v>
      </c>
      <c r="K14274" t="s">
        <v>22</v>
      </c>
    </row>
    <row r="14275" spans="1:11" ht="42" customHeight="1">
      <c r="A14275" t="s">
        <v>27668</v>
      </c>
      <c r="B14275" t="s">
        <v>27668</v>
      </c>
      <c r="C14275" t="s">
        <v>50</v>
      </c>
      <c r="D14275" t="s">
        <v>51</v>
      </c>
      <c r="E14275" s="6">
        <v>-28364</v>
      </c>
      <c r="F14275" t="s">
        <v>509</v>
      </c>
      <c r="G14275" t="s">
        <v>31</v>
      </c>
      <c r="H14275" t="s">
        <v>20</v>
      </c>
      <c r="I14275" t="s">
        <v>27669</v>
      </c>
      <c r="J14275" t="str">
        <f>HYPERLINK("https://www.boe.es/gazeta/dias/1822/05/04/pdfs/GMD-1822-126.pdf#page=3","Abrir facsímil")</f>
        <v>Abrir facsímil</v>
      </c>
      <c r="K14275" t="s">
        <v>22</v>
      </c>
    </row>
    <row r="14276" spans="1:11" ht="42" customHeight="1">
      <c r="A14276" t="s">
        <v>27670</v>
      </c>
      <c r="B14276" t="s">
        <v>27670</v>
      </c>
      <c r="C14276" t="s">
        <v>28</v>
      </c>
      <c r="D14276" t="s">
        <v>29</v>
      </c>
      <c r="E14276" s="6">
        <v>-28468</v>
      </c>
      <c r="F14276" t="s">
        <v>1012</v>
      </c>
      <c r="G14276" t="s">
        <v>44</v>
      </c>
      <c r="H14276" t="s">
        <v>20</v>
      </c>
      <c r="I14276" t="s">
        <v>27671</v>
      </c>
      <c r="J14276" t="str">
        <f>HYPERLINK("https://www.boe.es/gazeta/dias/1822/01/20/pdfs/GMD-1822-20.pdf#page=1","Abrir facsímil")</f>
        <v>Abrir facsímil</v>
      </c>
      <c r="K14276" t="s">
        <v>22</v>
      </c>
    </row>
    <row r="14277" spans="1:11" ht="42" customHeight="1">
      <c r="A14277" t="s">
        <v>27672</v>
      </c>
      <c r="B14277" t="s">
        <v>27673</v>
      </c>
      <c r="C14277" t="s">
        <v>50</v>
      </c>
      <c r="D14277" t="s">
        <v>51</v>
      </c>
      <c r="E14277" s="6">
        <v>-28349</v>
      </c>
      <c r="F14277" t="s">
        <v>518</v>
      </c>
      <c r="G14277" t="s">
        <v>57</v>
      </c>
      <c r="H14277" t="s">
        <v>20</v>
      </c>
      <c r="I14277" t="s">
        <v>27674</v>
      </c>
      <c r="J14277" t="str">
        <f>HYPERLINK("https://www.boe.es/gazeta/dias/1822/05/19/pdfs/GMD-1822-141.pdf#page=4","Abrir facsímil")</f>
        <v>Abrir facsímil</v>
      </c>
      <c r="K14277" t="s">
        <v>22</v>
      </c>
    </row>
    <row r="14278" spans="1:11" ht="42" customHeight="1">
      <c r="A14278" t="s">
        <v>27675</v>
      </c>
      <c r="B14278" t="s">
        <v>27675</v>
      </c>
      <c r="C14278" t="s">
        <v>71</v>
      </c>
      <c r="D14278" t="s">
        <v>17</v>
      </c>
      <c r="E14278" s="6">
        <v>-28397</v>
      </c>
      <c r="F14278" t="s">
        <v>1401</v>
      </c>
      <c r="G14278" t="s">
        <v>63</v>
      </c>
      <c r="H14278" t="s">
        <v>20</v>
      </c>
      <c r="I14278" t="s">
        <v>27676</v>
      </c>
      <c r="J14278" t="str">
        <f>HYPERLINK("https://www.boe.es/gazeta/dias/1822/04/01/pdfs/GMD-1822-93.pdf#page=6","Abrir facsímil")</f>
        <v>Abrir facsímil</v>
      </c>
      <c r="K14278" t="s">
        <v>22</v>
      </c>
    </row>
    <row r="14279" spans="1:11" ht="42" customHeight="1">
      <c r="A14279" t="s">
        <v>27675</v>
      </c>
      <c r="B14279" t="s">
        <v>27675</v>
      </c>
      <c r="C14279" t="s">
        <v>42</v>
      </c>
      <c r="D14279" t="s">
        <v>17</v>
      </c>
      <c r="E14279" s="6">
        <v>-28342</v>
      </c>
      <c r="F14279" t="s">
        <v>2281</v>
      </c>
      <c r="G14279" t="s">
        <v>35</v>
      </c>
      <c r="H14279" t="s">
        <v>20</v>
      </c>
      <c r="I14279" t="s">
        <v>27677</v>
      </c>
      <c r="J14279" t="str">
        <f>HYPERLINK("https://www.boe.es/gazeta/dias/1822/05/26/pdfs/GMD-1822-151.pdf#page=2","Abrir facsímil")</f>
        <v>Abrir facsímil</v>
      </c>
      <c r="K14279" t="s">
        <v>22</v>
      </c>
    </row>
    <row r="14280" spans="1:11" ht="42" customHeight="1">
      <c r="A14280" t="s">
        <v>27675</v>
      </c>
      <c r="B14280" t="s">
        <v>27675</v>
      </c>
      <c r="C14280" t="s">
        <v>42</v>
      </c>
      <c r="D14280" t="s">
        <v>17</v>
      </c>
      <c r="E14280" s="6">
        <v>-28337</v>
      </c>
      <c r="F14280" t="s">
        <v>1836</v>
      </c>
      <c r="G14280" t="s">
        <v>31</v>
      </c>
      <c r="H14280" t="s">
        <v>20</v>
      </c>
      <c r="I14280" t="s">
        <v>27678</v>
      </c>
      <c r="J14280" t="str">
        <f>HYPERLINK("https://www.boe.es/gazeta/dias/1822/05/31/pdfs/GMD-1822-156.pdf#page=3","Abrir facsímil")</f>
        <v>Abrir facsímil</v>
      </c>
      <c r="K14280" t="s">
        <v>22</v>
      </c>
    </row>
    <row r="14281" spans="1:11" ht="42" customHeight="1">
      <c r="A14281" t="s">
        <v>27679</v>
      </c>
      <c r="B14281" t="s">
        <v>27680</v>
      </c>
      <c r="C14281" t="s">
        <v>28</v>
      </c>
      <c r="D14281" t="s">
        <v>29</v>
      </c>
      <c r="E14281" s="6">
        <v>-28349</v>
      </c>
      <c r="F14281" t="s">
        <v>518</v>
      </c>
      <c r="G14281" t="s">
        <v>35</v>
      </c>
      <c r="H14281" t="s">
        <v>20</v>
      </c>
      <c r="I14281" t="s">
        <v>27681</v>
      </c>
      <c r="J14281" t="str">
        <f>HYPERLINK("https://www.boe.es/gazeta/dias/1822/05/19/pdfs/GMD-1822-141.pdf#page=2","Abrir facsímil")</f>
        <v>Abrir facsímil</v>
      </c>
      <c r="K14281" t="s">
        <v>22</v>
      </c>
    </row>
    <row r="14282" spans="1:11" ht="42" customHeight="1">
      <c r="A14282" t="s">
        <v>27679</v>
      </c>
      <c r="B14282" t="s">
        <v>27680</v>
      </c>
      <c r="C14282" t="s">
        <v>71</v>
      </c>
      <c r="D14282" t="s">
        <v>17</v>
      </c>
      <c r="E14282" s="6">
        <v>-28336</v>
      </c>
      <c r="F14282" t="s">
        <v>156</v>
      </c>
      <c r="G14282" t="s">
        <v>35</v>
      </c>
      <c r="H14282" t="s">
        <v>20</v>
      </c>
      <c r="I14282" t="s">
        <v>27682</v>
      </c>
      <c r="J14282" t="str">
        <f>HYPERLINK("https://www.boe.es/gazeta/dias/1822/06/01/pdfs/GMD-1822-157.pdf#page=2","Abrir facsímil")</f>
        <v>Abrir facsímil</v>
      </c>
      <c r="K14282" t="s">
        <v>22</v>
      </c>
    </row>
    <row r="14283" spans="1:11" ht="42" customHeight="1">
      <c r="A14283" t="s">
        <v>27679</v>
      </c>
      <c r="B14283" t="s">
        <v>27680</v>
      </c>
      <c r="C14283" t="s">
        <v>71</v>
      </c>
      <c r="D14283" t="s">
        <v>17</v>
      </c>
      <c r="E14283" s="6">
        <v>-28272</v>
      </c>
      <c r="F14283" t="s">
        <v>52</v>
      </c>
      <c r="G14283" t="s">
        <v>57</v>
      </c>
      <c r="H14283" t="s">
        <v>20</v>
      </c>
      <c r="I14283" t="s">
        <v>27683</v>
      </c>
      <c r="J14283" t="str">
        <f>HYPERLINK("https://www.boe.es/gazeta/dias/1822/08/04/pdfs/GMD-1822-228.pdf#page=4","Abrir facsímil")</f>
        <v>Abrir facsímil</v>
      </c>
      <c r="K14283" t="s">
        <v>22</v>
      </c>
    </row>
    <row r="14284" spans="1:11" ht="42" customHeight="1">
      <c r="A14284" t="s">
        <v>27684</v>
      </c>
      <c r="B14284" t="s">
        <v>27685</v>
      </c>
      <c r="C14284" t="s">
        <v>28</v>
      </c>
      <c r="D14284" t="s">
        <v>29</v>
      </c>
      <c r="E14284" s="6">
        <v>-28396</v>
      </c>
      <c r="F14284" t="s">
        <v>1138</v>
      </c>
      <c r="G14284" t="s">
        <v>157</v>
      </c>
      <c r="H14284" t="s">
        <v>20</v>
      </c>
      <c r="I14284" t="s">
        <v>27686</v>
      </c>
      <c r="J14284" t="str">
        <f>HYPERLINK("https://www.boe.es/gazeta/dias/1822/04/02/pdfs/GMD-1822-94.pdf#page=8","Abrir facsímil")</f>
        <v>Abrir facsímil</v>
      </c>
      <c r="K14284" t="s">
        <v>22</v>
      </c>
    </row>
    <row r="14285" spans="1:11" ht="42" customHeight="1">
      <c r="A14285" t="s">
        <v>27684</v>
      </c>
      <c r="B14285" t="s">
        <v>27685</v>
      </c>
      <c r="C14285" t="s">
        <v>28</v>
      </c>
      <c r="D14285" t="s">
        <v>29</v>
      </c>
      <c r="E14285" s="6">
        <v>-28304</v>
      </c>
      <c r="F14285" t="s">
        <v>4502</v>
      </c>
      <c r="G14285" t="s">
        <v>31</v>
      </c>
      <c r="H14285" t="s">
        <v>20</v>
      </c>
      <c r="I14285" t="s">
        <v>27687</v>
      </c>
      <c r="J14285" t="str">
        <f>HYPERLINK("https://www.boe.es/gazeta/dias/1822/07/03/pdfs/GMD-1822-192.pdf#page=3","Abrir facsímil")</f>
        <v>Abrir facsímil</v>
      </c>
      <c r="K14285" t="s">
        <v>22</v>
      </c>
    </row>
    <row r="14286" spans="1:11" ht="42" customHeight="1">
      <c r="A14286" t="s">
        <v>27688</v>
      </c>
      <c r="B14286" t="s">
        <v>27689</v>
      </c>
      <c r="C14286" t="s">
        <v>16</v>
      </c>
      <c r="D14286" t="s">
        <v>17</v>
      </c>
      <c r="E14286" s="6">
        <v>-28296</v>
      </c>
      <c r="F14286" t="s">
        <v>4121</v>
      </c>
      <c r="G14286" t="s">
        <v>57</v>
      </c>
      <c r="H14286" t="s">
        <v>20</v>
      </c>
      <c r="I14286" t="s">
        <v>27690</v>
      </c>
      <c r="J14286" t="str">
        <f>HYPERLINK("https://www.boe.es/gazeta/dias/1822/07/11/pdfs/GMD-1822-201.pdf#page=4","Abrir facsímil")</f>
        <v>Abrir facsímil</v>
      </c>
      <c r="K14286" t="s">
        <v>22</v>
      </c>
    </row>
    <row r="14287" spans="1:11" ht="42" customHeight="1">
      <c r="A14287" t="s">
        <v>27691</v>
      </c>
      <c r="B14287" t="s">
        <v>27692</v>
      </c>
      <c r="C14287" t="s">
        <v>42</v>
      </c>
      <c r="D14287" t="s">
        <v>17</v>
      </c>
      <c r="E14287" s="6">
        <v>-28271</v>
      </c>
      <c r="F14287" t="s">
        <v>4942</v>
      </c>
      <c r="G14287" t="s">
        <v>57</v>
      </c>
      <c r="H14287" t="s">
        <v>20</v>
      </c>
      <c r="I14287" t="s">
        <v>27693</v>
      </c>
      <c r="J14287" t="str">
        <f>HYPERLINK("https://www.boe.es/gazeta/dias/1822/08/05/pdfs/GMD-1822-229.pdf#page=4","Abrir facsímil")</f>
        <v>Abrir facsímil</v>
      </c>
      <c r="K14287" t="s">
        <v>22</v>
      </c>
    </row>
    <row r="14288" spans="1:11" ht="42" customHeight="1">
      <c r="A14288" t="s">
        <v>27694</v>
      </c>
      <c r="B14288" t="s">
        <v>27695</v>
      </c>
      <c r="C14288" t="s">
        <v>50</v>
      </c>
      <c r="D14288" t="s">
        <v>51</v>
      </c>
      <c r="E14288" s="6">
        <v>-28126</v>
      </c>
      <c r="F14288" t="s">
        <v>952</v>
      </c>
      <c r="G14288" t="s">
        <v>57</v>
      </c>
      <c r="H14288" t="s">
        <v>20</v>
      </c>
      <c r="I14288" t="s">
        <v>27696</v>
      </c>
      <c r="J14288" t="str">
        <f>HYPERLINK("https://www.boe.es/gazeta/dias/1822/12/28/pdfs/GMD-1822-378.pdf#page=4","Abrir facsímil")</f>
        <v>Abrir facsímil</v>
      </c>
      <c r="K14288" t="s">
        <v>22</v>
      </c>
    </row>
    <row r="14289" spans="1:11" ht="42" customHeight="1">
      <c r="A14289" t="s">
        <v>27697</v>
      </c>
      <c r="B14289" t="s">
        <v>27698</v>
      </c>
      <c r="C14289" t="s">
        <v>50</v>
      </c>
      <c r="D14289" t="s">
        <v>51</v>
      </c>
      <c r="E14289" s="6">
        <v>-28368</v>
      </c>
      <c r="F14289" t="s">
        <v>126</v>
      </c>
      <c r="G14289" t="s">
        <v>44</v>
      </c>
      <c r="H14289" t="s">
        <v>20</v>
      </c>
      <c r="I14289" t="s">
        <v>27699</v>
      </c>
      <c r="J14289" t="str">
        <f>HYPERLINK("https://www.boe.es/gazeta/dias/1822/04/30/pdfs/GMD-1822-122.pdf#page=1","Abrir facsímil")</f>
        <v>Abrir facsímil</v>
      </c>
      <c r="K14289" t="s">
        <v>22</v>
      </c>
    </row>
    <row r="14290" spans="1:11" ht="42" customHeight="1">
      <c r="A14290" t="s">
        <v>27700</v>
      </c>
      <c r="B14290" t="s">
        <v>27701</v>
      </c>
      <c r="C14290" t="s">
        <v>28</v>
      </c>
      <c r="D14290" t="s">
        <v>29</v>
      </c>
      <c r="E14290" s="6">
        <v>-28339</v>
      </c>
      <c r="F14290" t="s">
        <v>197</v>
      </c>
      <c r="G14290" t="s">
        <v>35</v>
      </c>
      <c r="H14290" t="s">
        <v>20</v>
      </c>
      <c r="I14290" t="s">
        <v>27702</v>
      </c>
      <c r="J14290" t="str">
        <f>HYPERLINK("https://www.boe.es/gazeta/dias/1822/05/29/pdfs/GMD-1822-154.pdf#page=2","Abrir facsímil")</f>
        <v>Abrir facsímil</v>
      </c>
      <c r="K14290" t="s">
        <v>22</v>
      </c>
    </row>
    <row r="14291" spans="1:11" ht="42" customHeight="1">
      <c r="A14291" t="s">
        <v>27700</v>
      </c>
      <c r="B14291" t="s">
        <v>27701</v>
      </c>
      <c r="C14291" t="s">
        <v>50</v>
      </c>
      <c r="D14291" t="s">
        <v>51</v>
      </c>
      <c r="E14291" s="6">
        <v>-28303</v>
      </c>
      <c r="F14291" t="s">
        <v>201</v>
      </c>
      <c r="G14291" t="s">
        <v>57</v>
      </c>
      <c r="H14291" t="s">
        <v>20</v>
      </c>
      <c r="I14291" t="s">
        <v>27703</v>
      </c>
      <c r="J14291" t="str">
        <f>HYPERLINK("https://www.boe.es/gazeta/dias/1822/07/04/pdfs/GMD-1822-193.pdf#page=4","Abrir facsímil")</f>
        <v>Abrir facsímil</v>
      </c>
      <c r="K14291" t="s">
        <v>22</v>
      </c>
    </row>
    <row r="14292" spans="1:11" ht="42" customHeight="1">
      <c r="A14292" t="s">
        <v>27704</v>
      </c>
      <c r="B14292" t="s">
        <v>27705</v>
      </c>
      <c r="C14292" t="s">
        <v>16</v>
      </c>
      <c r="D14292" t="s">
        <v>17</v>
      </c>
      <c r="E14292" s="6">
        <v>-28414</v>
      </c>
      <c r="F14292" t="s">
        <v>187</v>
      </c>
      <c r="G14292" t="s">
        <v>57</v>
      </c>
      <c r="H14292" t="s">
        <v>20</v>
      </c>
      <c r="I14292" t="s">
        <v>27706</v>
      </c>
      <c r="J14292" t="str">
        <f>HYPERLINK("https://www.boe.es/gazeta/dias/1822/03/15/pdfs/GMD-1822-76.pdf#page=4","Abrir facsímil")</f>
        <v>Abrir facsímil</v>
      </c>
      <c r="K14292" t="s">
        <v>22</v>
      </c>
    </row>
    <row r="14293" spans="1:11" ht="42" customHeight="1">
      <c r="A14293" t="s">
        <v>27707</v>
      </c>
      <c r="B14293" t="s">
        <v>27708</v>
      </c>
      <c r="C14293" t="s">
        <v>71</v>
      </c>
      <c r="D14293" t="s">
        <v>17</v>
      </c>
      <c r="E14293" s="6">
        <v>-28353</v>
      </c>
      <c r="F14293" t="s">
        <v>843</v>
      </c>
      <c r="G14293" t="s">
        <v>63</v>
      </c>
      <c r="H14293" t="s">
        <v>20</v>
      </c>
      <c r="I14293" t="s">
        <v>27709</v>
      </c>
      <c r="J14293" t="str">
        <f>HYPERLINK("https://www.boe.es/gazeta/dias/1822/05/15/pdfs/GMD-1822-137.pdf#page=6","Abrir facsímil")</f>
        <v>Abrir facsímil</v>
      </c>
      <c r="K14293" t="s">
        <v>22</v>
      </c>
    </row>
    <row r="14294" spans="1:11" ht="42" customHeight="1">
      <c r="A14294" t="s">
        <v>27710</v>
      </c>
      <c r="B14294" t="s">
        <v>27710</v>
      </c>
      <c r="C14294" t="s">
        <v>42</v>
      </c>
      <c r="D14294" t="s">
        <v>17</v>
      </c>
      <c r="E14294" s="6">
        <v>-28163</v>
      </c>
      <c r="F14294" t="s">
        <v>891</v>
      </c>
      <c r="G14294" t="s">
        <v>57</v>
      </c>
      <c r="H14294" t="s">
        <v>20</v>
      </c>
      <c r="I14294" t="s">
        <v>27711</v>
      </c>
      <c r="J14294" t="str">
        <f>HYPERLINK("https://www.boe.es/gazeta/dias/1822/11/21/pdfs/GMD-1822-341.pdf#page=4","Abrir facsímil")</f>
        <v>Abrir facsímil</v>
      </c>
      <c r="K14294" t="s">
        <v>22</v>
      </c>
    </row>
    <row r="14295" spans="1:11" ht="42" customHeight="1">
      <c r="A14295" t="s">
        <v>27712</v>
      </c>
      <c r="B14295" t="s">
        <v>27712</v>
      </c>
      <c r="C14295" t="s">
        <v>50</v>
      </c>
      <c r="D14295" t="s">
        <v>51</v>
      </c>
      <c r="E14295" s="6">
        <v>-28402</v>
      </c>
      <c r="F14295" t="s">
        <v>473</v>
      </c>
      <c r="G14295" t="s">
        <v>19</v>
      </c>
      <c r="H14295" t="s">
        <v>20</v>
      </c>
      <c r="I14295" t="s">
        <v>27713</v>
      </c>
      <c r="J14295" t="str">
        <f>HYPERLINK("https://www.boe.es/gazeta/dias/1822/03/27/pdfs/GMD-1822-88.pdf#page=5","Abrir facsímil")</f>
        <v>Abrir facsímil</v>
      </c>
      <c r="K14295" t="s">
        <v>22</v>
      </c>
    </row>
    <row r="14296" spans="1:11" ht="42" customHeight="1">
      <c r="A14296" t="s">
        <v>27712</v>
      </c>
      <c r="B14296" t="s">
        <v>27712</v>
      </c>
      <c r="C14296" t="s">
        <v>42</v>
      </c>
      <c r="D14296" t="s">
        <v>17</v>
      </c>
      <c r="E14296" s="6">
        <v>-28188</v>
      </c>
      <c r="F14296" t="s">
        <v>578</v>
      </c>
      <c r="G14296" t="s">
        <v>44</v>
      </c>
      <c r="H14296" t="s">
        <v>20</v>
      </c>
      <c r="I14296" t="s">
        <v>27714</v>
      </c>
      <c r="J14296" t="str">
        <f>HYPERLINK("https://www.boe.es/gazeta/dias/1822/10/27/pdfs/GMD-1822-314.pdf#page=1","Abrir facsímil")</f>
        <v>Abrir facsímil</v>
      </c>
      <c r="K14296" t="s">
        <v>22</v>
      </c>
    </row>
    <row r="14297" spans="1:11" ht="42" customHeight="1">
      <c r="A14297" t="s">
        <v>27712</v>
      </c>
      <c r="B14297" t="s">
        <v>27712</v>
      </c>
      <c r="C14297" t="s">
        <v>71</v>
      </c>
      <c r="D14297" t="s">
        <v>17</v>
      </c>
      <c r="E14297" s="6">
        <v>-28179</v>
      </c>
      <c r="F14297" t="s">
        <v>935</v>
      </c>
      <c r="G14297" t="s">
        <v>44</v>
      </c>
      <c r="H14297" t="s">
        <v>20</v>
      </c>
      <c r="I14297" t="s">
        <v>27715</v>
      </c>
      <c r="J14297" t="str">
        <f>HYPERLINK("https://www.boe.es/gazeta/dias/1822/11/05/pdfs/GMD-1822-325.pdf#page=1","Abrir facsímil")</f>
        <v>Abrir facsímil</v>
      </c>
      <c r="K14297" t="s">
        <v>22</v>
      </c>
    </row>
    <row r="14298" spans="1:11" ht="42" customHeight="1">
      <c r="A14298" t="s">
        <v>27712</v>
      </c>
      <c r="B14298" t="s">
        <v>27712</v>
      </c>
      <c r="C14298" t="s">
        <v>42</v>
      </c>
      <c r="D14298" t="s">
        <v>17</v>
      </c>
      <c r="E14298" s="6">
        <v>-28179</v>
      </c>
      <c r="F14298" t="s">
        <v>935</v>
      </c>
      <c r="G14298" t="s">
        <v>31</v>
      </c>
      <c r="H14298" t="s">
        <v>20</v>
      </c>
      <c r="I14298" t="s">
        <v>27716</v>
      </c>
      <c r="J14298" t="str">
        <f>HYPERLINK("https://www.boe.es/gazeta/dias/1822/11/05/pdfs/GMD-1822-325.pdf#page=3","Abrir facsímil")</f>
        <v>Abrir facsímil</v>
      </c>
      <c r="K14298" t="s">
        <v>22</v>
      </c>
    </row>
    <row r="14299" spans="1:11" ht="42" customHeight="1">
      <c r="A14299" t="s">
        <v>27717</v>
      </c>
      <c r="B14299" t="s">
        <v>27717</v>
      </c>
      <c r="C14299" t="s">
        <v>42</v>
      </c>
      <c r="D14299" t="s">
        <v>17</v>
      </c>
      <c r="E14299" s="6">
        <v>-28172</v>
      </c>
      <c r="F14299" t="s">
        <v>674</v>
      </c>
      <c r="G14299" t="s">
        <v>35</v>
      </c>
      <c r="H14299" t="s">
        <v>20</v>
      </c>
      <c r="I14299" t="s">
        <v>27718</v>
      </c>
      <c r="J14299" t="str">
        <f>HYPERLINK("https://www.boe.es/gazeta/dias/1822/11/12/pdfs/GMD-1822-332.pdf#page=2","Abrir facsímil")</f>
        <v>Abrir facsímil</v>
      </c>
      <c r="K14299" t="s">
        <v>22</v>
      </c>
    </row>
    <row r="14300" spans="1:11" ht="42" customHeight="1">
      <c r="A14300" t="s">
        <v>27712</v>
      </c>
      <c r="B14300" t="s">
        <v>27712</v>
      </c>
      <c r="C14300" t="s">
        <v>42</v>
      </c>
      <c r="D14300" t="s">
        <v>17</v>
      </c>
      <c r="E14300" s="6">
        <v>-28147</v>
      </c>
      <c r="F14300" t="s">
        <v>1611</v>
      </c>
      <c r="G14300" t="s">
        <v>31</v>
      </c>
      <c r="H14300" t="s">
        <v>20</v>
      </c>
      <c r="I14300" t="s">
        <v>27719</v>
      </c>
      <c r="J14300" t="str">
        <f>HYPERLINK("https://www.boe.es/gazeta/dias/1822/12/07/pdfs/GMD-1822-357.pdf#page=3","Abrir facsímil")</f>
        <v>Abrir facsímil</v>
      </c>
      <c r="K14300" t="s">
        <v>22</v>
      </c>
    </row>
    <row r="14301" spans="1:11" ht="42" customHeight="1">
      <c r="A14301" t="s">
        <v>27712</v>
      </c>
      <c r="B14301" t="s">
        <v>27712</v>
      </c>
      <c r="C14301" t="s">
        <v>71</v>
      </c>
      <c r="D14301" t="s">
        <v>17</v>
      </c>
      <c r="E14301" s="6">
        <v>-28138</v>
      </c>
      <c r="F14301" t="s">
        <v>3542</v>
      </c>
      <c r="G14301" t="s">
        <v>35</v>
      </c>
      <c r="H14301" t="s">
        <v>20</v>
      </c>
      <c r="I14301" t="s">
        <v>27720</v>
      </c>
      <c r="J14301" t="str">
        <f>HYPERLINK("https://www.boe.es/gazeta/dias/1822/12/16/pdfs/GMD-1822-366.pdf#page=2","Abrir facsímil")</f>
        <v>Abrir facsímil</v>
      </c>
      <c r="K14301" t="s">
        <v>22</v>
      </c>
    </row>
    <row r="14302" spans="1:11" ht="42" customHeight="1">
      <c r="A14302" t="s">
        <v>27721</v>
      </c>
      <c r="B14302" t="s">
        <v>27721</v>
      </c>
      <c r="C14302" t="s">
        <v>28</v>
      </c>
      <c r="D14302" t="s">
        <v>29</v>
      </c>
      <c r="E14302" s="6">
        <v>-28417</v>
      </c>
      <c r="F14302" t="s">
        <v>1394</v>
      </c>
      <c r="G14302" t="s">
        <v>57</v>
      </c>
      <c r="H14302" t="s">
        <v>20</v>
      </c>
      <c r="I14302" t="s">
        <v>27722</v>
      </c>
      <c r="J14302" t="str">
        <f>HYPERLINK("https://www.boe.es/gazeta/dias/1822/03/12/pdfs/GMD-1822-73.pdf#page=4","Abrir facsímil")</f>
        <v>Abrir facsímil</v>
      </c>
      <c r="K14302" t="s">
        <v>22</v>
      </c>
    </row>
    <row r="14303" spans="1:11" ht="42" customHeight="1">
      <c r="A14303" t="s">
        <v>27721</v>
      </c>
      <c r="B14303" t="s">
        <v>27721</v>
      </c>
      <c r="C14303" t="s">
        <v>28</v>
      </c>
      <c r="D14303" t="s">
        <v>29</v>
      </c>
      <c r="E14303" s="6">
        <v>-28173</v>
      </c>
      <c r="F14303" t="s">
        <v>2959</v>
      </c>
      <c r="G14303" t="s">
        <v>57</v>
      </c>
      <c r="H14303" t="s">
        <v>20</v>
      </c>
      <c r="I14303" t="s">
        <v>27723</v>
      </c>
      <c r="J14303" t="str">
        <f>HYPERLINK("https://www.boe.es/gazeta/dias/1822/11/11/pdfs/GMD-1822-331.pdf#page=4","Abrir facsímil")</f>
        <v>Abrir facsímil</v>
      </c>
      <c r="K14303" t="s">
        <v>22</v>
      </c>
    </row>
    <row r="14304" spans="1:11" ht="42" customHeight="1">
      <c r="A14304" t="s">
        <v>27721</v>
      </c>
      <c r="B14304" t="s">
        <v>27721</v>
      </c>
      <c r="C14304" t="s">
        <v>61</v>
      </c>
      <c r="D14304" t="s">
        <v>17</v>
      </c>
      <c r="E14304" s="6">
        <v>-28150</v>
      </c>
      <c r="F14304" t="s">
        <v>62</v>
      </c>
      <c r="G14304" t="s">
        <v>57</v>
      </c>
      <c r="H14304" t="s">
        <v>20</v>
      </c>
      <c r="I14304" t="s">
        <v>27724</v>
      </c>
      <c r="J14304" t="str">
        <f>HYPERLINK("https://www.boe.es/gazeta/dias/1822/12/04/pdfs/GMD-1822-354.pdf#page=4","Abrir facsímil")</f>
        <v>Abrir facsímil</v>
      </c>
      <c r="K14304" t="s">
        <v>22</v>
      </c>
    </row>
    <row r="14305" spans="1:11" ht="42" customHeight="1">
      <c r="A14305" t="s">
        <v>27725</v>
      </c>
      <c r="B14305" t="s">
        <v>27726</v>
      </c>
      <c r="C14305" t="s">
        <v>50</v>
      </c>
      <c r="D14305" t="s">
        <v>51</v>
      </c>
      <c r="E14305" s="6">
        <v>-28406</v>
      </c>
      <c r="F14305" t="s">
        <v>462</v>
      </c>
      <c r="G14305" t="s">
        <v>31</v>
      </c>
      <c r="H14305" t="s">
        <v>20</v>
      </c>
      <c r="I14305" t="s">
        <v>27727</v>
      </c>
      <c r="J14305" t="str">
        <f>HYPERLINK("https://www.boe.es/gazeta/dias/1822/03/23/pdfs/GMD-1822-84.pdf#page=3","Abrir facsímil")</f>
        <v>Abrir facsímil</v>
      </c>
      <c r="K14305" t="s">
        <v>22</v>
      </c>
    </row>
    <row r="14306" spans="1:11" ht="42" customHeight="1">
      <c r="A14306" t="s">
        <v>27728</v>
      </c>
      <c r="B14306" t="s">
        <v>27728</v>
      </c>
      <c r="C14306" t="s">
        <v>24</v>
      </c>
      <c r="D14306" t="s">
        <v>17</v>
      </c>
      <c r="E14306" s="6">
        <v>-28139</v>
      </c>
      <c r="F14306" t="s">
        <v>143</v>
      </c>
      <c r="G14306" t="s">
        <v>31</v>
      </c>
      <c r="H14306" t="s">
        <v>20</v>
      </c>
      <c r="I14306" t="s">
        <v>27729</v>
      </c>
      <c r="J14306" t="str">
        <f>HYPERLINK("https://www.boe.es/gazeta/dias/1822/12/15/pdfs/GMD-1822-365.pdf#page=3","Abrir facsímil")</f>
        <v>Abrir facsímil</v>
      </c>
      <c r="K14306" t="s">
        <v>22</v>
      </c>
    </row>
    <row r="14307" spans="1:11" ht="42" customHeight="1">
      <c r="A14307" t="s">
        <v>27728</v>
      </c>
      <c r="B14307" t="s">
        <v>27728</v>
      </c>
      <c r="C14307" t="s">
        <v>61</v>
      </c>
      <c r="D14307" t="s">
        <v>17</v>
      </c>
      <c r="E14307" s="6">
        <v>-28126</v>
      </c>
      <c r="F14307" t="s">
        <v>952</v>
      </c>
      <c r="G14307" t="s">
        <v>35</v>
      </c>
      <c r="H14307" t="s">
        <v>20</v>
      </c>
      <c r="I14307" t="s">
        <v>27730</v>
      </c>
      <c r="J14307" t="str">
        <f>HYPERLINK("https://www.boe.es/gazeta/dias/1822/12/28/pdfs/GMD-1822-378.pdf#page=2","Abrir facsímil")</f>
        <v>Abrir facsímil</v>
      </c>
      <c r="K14307" t="s">
        <v>22</v>
      </c>
    </row>
    <row r="14308" spans="1:11" ht="42" customHeight="1">
      <c r="A14308" t="s">
        <v>27731</v>
      </c>
      <c r="B14308" t="s">
        <v>27732</v>
      </c>
      <c r="C14308" t="s">
        <v>42</v>
      </c>
      <c r="D14308" t="s">
        <v>17</v>
      </c>
      <c r="E14308" s="6">
        <v>-28366</v>
      </c>
      <c r="F14308" t="s">
        <v>120</v>
      </c>
      <c r="G14308" t="s">
        <v>63</v>
      </c>
      <c r="H14308" t="s">
        <v>20</v>
      </c>
      <c r="I14308" t="s">
        <v>27733</v>
      </c>
      <c r="J14308" t="str">
        <f>HYPERLINK("https://www.boe.es/gazeta/dias/1822/05/02/pdfs/GMD-1822-124.pdf#page=6","Abrir facsímil")</f>
        <v>Abrir facsímil</v>
      </c>
      <c r="K14308" t="s">
        <v>22</v>
      </c>
    </row>
    <row r="14309" spans="1:11" ht="42" customHeight="1">
      <c r="A14309" t="s">
        <v>27734</v>
      </c>
      <c r="B14309" t="s">
        <v>27735</v>
      </c>
      <c r="C14309" t="s">
        <v>50</v>
      </c>
      <c r="D14309" t="s">
        <v>51</v>
      </c>
      <c r="E14309" s="6">
        <v>-28391</v>
      </c>
      <c r="F14309" t="s">
        <v>378</v>
      </c>
      <c r="G14309" t="s">
        <v>63</v>
      </c>
      <c r="H14309" t="s">
        <v>20</v>
      </c>
      <c r="I14309" t="s">
        <v>27736</v>
      </c>
      <c r="J14309" t="str">
        <f>HYPERLINK("https://www.boe.es/gazeta/dias/1822/04/07/pdfs/GMD-1822-99.pdf#page=6","Abrir facsímil")</f>
        <v>Abrir facsímil</v>
      </c>
      <c r="K14309" t="s">
        <v>22</v>
      </c>
    </row>
    <row r="14310" spans="1:11" ht="42" customHeight="1">
      <c r="A14310" t="s">
        <v>27734</v>
      </c>
      <c r="B14310" t="s">
        <v>27735</v>
      </c>
      <c r="C14310" t="s">
        <v>28</v>
      </c>
      <c r="D14310" t="s">
        <v>29</v>
      </c>
      <c r="E14310" s="6">
        <v>-28284</v>
      </c>
      <c r="F14310" t="s">
        <v>6484</v>
      </c>
      <c r="G14310" t="s">
        <v>57</v>
      </c>
      <c r="H14310" t="s">
        <v>20</v>
      </c>
      <c r="I14310" t="s">
        <v>27737</v>
      </c>
      <c r="J14310" t="str">
        <f>HYPERLINK("https://www.boe.es/gazeta/dias/1822/07/23/pdfs/GMD-1822-216.pdf#page=4","Abrir facsímil")</f>
        <v>Abrir facsímil</v>
      </c>
      <c r="K14310" t="s">
        <v>22</v>
      </c>
    </row>
    <row r="14311" spans="1:11" ht="42" customHeight="1">
      <c r="A14311" t="s">
        <v>27738</v>
      </c>
      <c r="B14311" t="s">
        <v>27739</v>
      </c>
      <c r="C14311" t="s">
        <v>42</v>
      </c>
      <c r="D14311" t="s">
        <v>17</v>
      </c>
      <c r="E14311" s="6">
        <v>-28378</v>
      </c>
      <c r="F14311" t="s">
        <v>496</v>
      </c>
      <c r="G14311" t="s">
        <v>57</v>
      </c>
      <c r="H14311" t="s">
        <v>20</v>
      </c>
      <c r="I14311" t="s">
        <v>27740</v>
      </c>
      <c r="J14311" t="str">
        <f>HYPERLINK("https://www.boe.es/gazeta/dias/1822/04/20/pdfs/GMD-1822-112.pdf#page=4","Abrir facsímil")</f>
        <v>Abrir facsímil</v>
      </c>
      <c r="K14311" t="s">
        <v>22</v>
      </c>
    </row>
    <row r="14312" spans="1:11" ht="42" customHeight="1">
      <c r="A14312" t="s">
        <v>27741</v>
      </c>
      <c r="B14312" t="s">
        <v>27742</v>
      </c>
      <c r="C14312" t="s">
        <v>50</v>
      </c>
      <c r="D14312" t="s">
        <v>51</v>
      </c>
      <c r="E14312" s="6">
        <v>-28382</v>
      </c>
      <c r="F14312" t="s">
        <v>973</v>
      </c>
      <c r="G14312" t="s">
        <v>31</v>
      </c>
      <c r="H14312" t="s">
        <v>20</v>
      </c>
      <c r="I14312" t="s">
        <v>27743</v>
      </c>
      <c r="J14312" t="str">
        <f>HYPERLINK("https://www.boe.es/gazeta/dias/1822/04/16/pdfs/GMD-1822-108.pdf#page=3","Abrir facsímil")</f>
        <v>Abrir facsímil</v>
      </c>
      <c r="K14312" t="s">
        <v>22</v>
      </c>
    </row>
    <row r="14313" spans="1:11" ht="42" customHeight="1">
      <c r="A14313" t="s">
        <v>27744</v>
      </c>
      <c r="B14313" t="s">
        <v>27745</v>
      </c>
      <c r="C14313" t="s">
        <v>362</v>
      </c>
      <c r="D14313" t="s">
        <v>17</v>
      </c>
      <c r="E14313" s="6">
        <v>-28225</v>
      </c>
      <c r="F14313" t="s">
        <v>177</v>
      </c>
      <c r="G14313" t="s">
        <v>3273</v>
      </c>
      <c r="H14313" t="s">
        <v>20</v>
      </c>
      <c r="I14313" t="s">
        <v>27746</v>
      </c>
      <c r="J14313" t="str">
        <f>HYPERLINK("https://www.boe.es/gazeta/dias/1822/09/20/pdfs/GMD-1822-276.pdf#page=4","Abrir facsímil")</f>
        <v>Abrir facsímil</v>
      </c>
      <c r="K14313" t="s">
        <v>22</v>
      </c>
    </row>
    <row r="14314" spans="1:11" ht="42" customHeight="1">
      <c r="A14314" t="s">
        <v>27747</v>
      </c>
      <c r="B14314" t="s">
        <v>27748</v>
      </c>
      <c r="C14314" t="s">
        <v>50</v>
      </c>
      <c r="D14314" t="s">
        <v>51</v>
      </c>
      <c r="E14314" s="6">
        <v>-28154</v>
      </c>
      <c r="F14314" t="s">
        <v>2321</v>
      </c>
      <c r="G14314" t="s">
        <v>3913</v>
      </c>
      <c r="H14314" t="s">
        <v>20</v>
      </c>
      <c r="I14314" t="s">
        <v>27749</v>
      </c>
      <c r="J14314" t="str">
        <f>HYPERLINK("https://www.boe.es/gazeta/dias/1822/11/30/pdfs/GMD-1822-350.pdf#page=4","Abrir facsímil")</f>
        <v>Abrir facsímil</v>
      </c>
      <c r="K14314" t="s">
        <v>22</v>
      </c>
    </row>
    <row r="14315" spans="1:11" ht="42" customHeight="1">
      <c r="A14315" t="s">
        <v>27750</v>
      </c>
      <c r="B14315" t="s">
        <v>27750</v>
      </c>
      <c r="C14315" t="s">
        <v>42</v>
      </c>
      <c r="D14315" t="s">
        <v>17</v>
      </c>
      <c r="E14315" s="6">
        <v>-28441</v>
      </c>
      <c r="F14315" t="s">
        <v>429</v>
      </c>
      <c r="G14315" t="s">
        <v>31</v>
      </c>
      <c r="H14315" t="s">
        <v>20</v>
      </c>
      <c r="I14315" t="s">
        <v>27751</v>
      </c>
      <c r="J14315" t="str">
        <f>HYPERLINK("https://www.boe.es/gazeta/dias/1822/02/16/pdfs/GMD-1822-48.pdf#page=3","Abrir facsímil")</f>
        <v>Abrir facsímil</v>
      </c>
      <c r="K14315" t="s">
        <v>22</v>
      </c>
    </row>
    <row r="14316" spans="1:11" ht="42" customHeight="1">
      <c r="A14316" t="s">
        <v>27750</v>
      </c>
      <c r="B14316" t="s">
        <v>27750</v>
      </c>
      <c r="C14316" t="s">
        <v>28</v>
      </c>
      <c r="D14316" t="s">
        <v>29</v>
      </c>
      <c r="E14316" s="6">
        <v>-28436</v>
      </c>
      <c r="F14316" t="s">
        <v>431</v>
      </c>
      <c r="G14316" t="s">
        <v>57</v>
      </c>
      <c r="H14316" t="s">
        <v>20</v>
      </c>
      <c r="I14316" t="s">
        <v>27752</v>
      </c>
      <c r="J14316" t="str">
        <f>HYPERLINK("https://www.boe.es/gazeta/dias/1822/02/21/pdfs/GMD-1822-53.pdf#page=4","Abrir facsímil")</f>
        <v>Abrir facsímil</v>
      </c>
      <c r="K14316" t="s">
        <v>22</v>
      </c>
    </row>
    <row r="14317" spans="1:11" ht="42" customHeight="1">
      <c r="A14317" t="s">
        <v>27750</v>
      </c>
      <c r="B14317" t="s">
        <v>27750</v>
      </c>
      <c r="C14317" t="s">
        <v>42</v>
      </c>
      <c r="D14317" t="s">
        <v>17</v>
      </c>
      <c r="E14317" s="6">
        <v>-28421</v>
      </c>
      <c r="F14317" t="s">
        <v>446</v>
      </c>
      <c r="G14317" t="s">
        <v>31</v>
      </c>
      <c r="H14317" t="s">
        <v>20</v>
      </c>
      <c r="I14317" t="s">
        <v>27753</v>
      </c>
      <c r="J14317" t="str">
        <f>HYPERLINK("https://www.boe.es/gazeta/dias/1822/03/08/pdfs/GMD-1822-69.pdf#page=3","Abrir facsímil")</f>
        <v>Abrir facsímil</v>
      </c>
      <c r="K14317" t="s">
        <v>22</v>
      </c>
    </row>
    <row r="14318" spans="1:11" ht="42" customHeight="1">
      <c r="A14318" t="s">
        <v>27750</v>
      </c>
      <c r="B14318" t="s">
        <v>27750</v>
      </c>
      <c r="C14318" t="s">
        <v>16</v>
      </c>
      <c r="D14318" t="s">
        <v>17</v>
      </c>
      <c r="E14318" s="6">
        <v>-28419</v>
      </c>
      <c r="F14318" t="s">
        <v>1392</v>
      </c>
      <c r="G14318" t="s">
        <v>57</v>
      </c>
      <c r="H14318" t="s">
        <v>20</v>
      </c>
      <c r="I14318" t="s">
        <v>27754</v>
      </c>
      <c r="J14318" t="str">
        <f>HYPERLINK("https://www.boe.es/gazeta/dias/1822/03/10/pdfs/GMD-1822-71.pdf#page=4","Abrir facsímil")</f>
        <v>Abrir facsímil</v>
      </c>
      <c r="K14318" t="s">
        <v>22</v>
      </c>
    </row>
    <row r="14319" spans="1:11" ht="42" customHeight="1">
      <c r="A14319" t="s">
        <v>27750</v>
      </c>
      <c r="B14319" t="s">
        <v>27750</v>
      </c>
      <c r="C14319" t="s">
        <v>28</v>
      </c>
      <c r="D14319" t="s">
        <v>29</v>
      </c>
      <c r="E14319" s="6">
        <v>-28416</v>
      </c>
      <c r="F14319" t="s">
        <v>97</v>
      </c>
      <c r="G14319" t="s">
        <v>31</v>
      </c>
      <c r="H14319" t="s">
        <v>20</v>
      </c>
      <c r="I14319" t="s">
        <v>27755</v>
      </c>
      <c r="J14319" t="str">
        <f>HYPERLINK("https://www.boe.es/gazeta/dias/1822/03/13/pdfs/GMD-1822-74.pdf#page=3","Abrir facsímil")</f>
        <v>Abrir facsímil</v>
      </c>
      <c r="K14319" t="s">
        <v>22</v>
      </c>
    </row>
    <row r="14320" spans="1:11" ht="42" customHeight="1">
      <c r="A14320" t="s">
        <v>27750</v>
      </c>
      <c r="B14320" t="s">
        <v>27750</v>
      </c>
      <c r="C14320" t="s">
        <v>28</v>
      </c>
      <c r="D14320" t="s">
        <v>29</v>
      </c>
      <c r="E14320" s="6">
        <v>-28416</v>
      </c>
      <c r="F14320" t="s">
        <v>97</v>
      </c>
      <c r="G14320" t="s">
        <v>19</v>
      </c>
      <c r="H14320" t="s">
        <v>20</v>
      </c>
      <c r="I14320" t="s">
        <v>27756</v>
      </c>
      <c r="J14320" t="str">
        <f>HYPERLINK("https://www.boe.es/gazeta/dias/1822/03/13/pdfs/GMD-1822-74.pdf#page=5","Abrir facsímil")</f>
        <v>Abrir facsímil</v>
      </c>
      <c r="K14320" t="s">
        <v>22</v>
      </c>
    </row>
    <row r="14321" spans="1:11" ht="42" customHeight="1">
      <c r="A14321" t="s">
        <v>27757</v>
      </c>
      <c r="B14321" t="s">
        <v>27757</v>
      </c>
      <c r="C14321" t="s">
        <v>42</v>
      </c>
      <c r="D14321" t="s">
        <v>17</v>
      </c>
      <c r="E14321" s="6">
        <v>-28412</v>
      </c>
      <c r="F14321" t="s">
        <v>825</v>
      </c>
      <c r="G14321" t="s">
        <v>35</v>
      </c>
      <c r="H14321" t="s">
        <v>20</v>
      </c>
      <c r="I14321" t="s">
        <v>27758</v>
      </c>
      <c r="J14321" t="str">
        <f>HYPERLINK("https://www.boe.es/gazeta/dias/1822/03/17/pdfs/GMD-1822-78.pdf#page=2","Abrir facsímil")</f>
        <v>Abrir facsímil</v>
      </c>
      <c r="K14321" t="s">
        <v>22</v>
      </c>
    </row>
    <row r="14322" spans="1:11" ht="42" customHeight="1">
      <c r="A14322" t="s">
        <v>27750</v>
      </c>
      <c r="B14322" t="s">
        <v>27750</v>
      </c>
      <c r="C14322" t="s">
        <v>28</v>
      </c>
      <c r="D14322" t="s">
        <v>29</v>
      </c>
      <c r="E14322" s="6">
        <v>-28412</v>
      </c>
      <c r="F14322" t="s">
        <v>825</v>
      </c>
      <c r="G14322" t="s">
        <v>57</v>
      </c>
      <c r="H14322" t="s">
        <v>20</v>
      </c>
      <c r="I14322" t="s">
        <v>27759</v>
      </c>
      <c r="J14322" t="str">
        <f>HYPERLINK("https://www.boe.es/gazeta/dias/1822/03/17/pdfs/GMD-1822-78.pdf#page=4","Abrir facsímil")</f>
        <v>Abrir facsímil</v>
      </c>
      <c r="K14322" t="s">
        <v>22</v>
      </c>
    </row>
    <row r="14323" spans="1:11" ht="42" customHeight="1">
      <c r="A14323" t="s">
        <v>27750</v>
      </c>
      <c r="B14323" t="s">
        <v>27750</v>
      </c>
      <c r="C14323" t="s">
        <v>50</v>
      </c>
      <c r="D14323" t="s">
        <v>51</v>
      </c>
      <c r="E14323" s="6">
        <v>-28411</v>
      </c>
      <c r="F14323" t="s">
        <v>1509</v>
      </c>
      <c r="G14323" t="s">
        <v>35</v>
      </c>
      <c r="H14323" t="s">
        <v>20</v>
      </c>
      <c r="I14323" t="s">
        <v>27760</v>
      </c>
      <c r="J14323" t="str">
        <f>HYPERLINK("https://www.boe.es/gazeta/dias/1822/03/18/pdfs/GMD-1822-79.pdf#page=2","Abrir facsímil")</f>
        <v>Abrir facsímil</v>
      </c>
      <c r="K14323" t="s">
        <v>22</v>
      </c>
    </row>
    <row r="14324" spans="1:11" ht="42" customHeight="1">
      <c r="A14324" t="s">
        <v>27750</v>
      </c>
      <c r="B14324" t="s">
        <v>27750</v>
      </c>
      <c r="C14324" t="s">
        <v>50</v>
      </c>
      <c r="D14324" t="s">
        <v>51</v>
      </c>
      <c r="E14324" s="6">
        <v>-28408</v>
      </c>
      <c r="F14324" t="s">
        <v>2561</v>
      </c>
      <c r="G14324" t="s">
        <v>63</v>
      </c>
      <c r="H14324" t="s">
        <v>20</v>
      </c>
      <c r="I14324" t="s">
        <v>27761</v>
      </c>
      <c r="J14324" t="str">
        <f>HYPERLINK("https://www.boe.es/gazeta/dias/1822/03/21/pdfs/GMD-1822-82.pdf#page=6","Abrir facsímil")</f>
        <v>Abrir facsímil</v>
      </c>
      <c r="K14324" t="s">
        <v>22</v>
      </c>
    </row>
    <row r="14325" spans="1:11" ht="42" customHeight="1">
      <c r="A14325" t="s">
        <v>27750</v>
      </c>
      <c r="B14325" t="s">
        <v>27750</v>
      </c>
      <c r="C14325" t="s">
        <v>16</v>
      </c>
      <c r="D14325" t="s">
        <v>17</v>
      </c>
      <c r="E14325" s="6">
        <v>-28399</v>
      </c>
      <c r="F14325" t="s">
        <v>476</v>
      </c>
      <c r="G14325" t="s">
        <v>35</v>
      </c>
      <c r="H14325" t="s">
        <v>20</v>
      </c>
      <c r="I14325" t="s">
        <v>27762</v>
      </c>
      <c r="J14325" t="str">
        <f>HYPERLINK("https://www.boe.es/gazeta/dias/1822/03/30/pdfs/GMD-1822-91.pdf#page=2","Abrir facsímil")</f>
        <v>Abrir facsímil</v>
      </c>
      <c r="K14325" t="s">
        <v>22</v>
      </c>
    </row>
    <row r="14326" spans="1:11" ht="42" customHeight="1">
      <c r="A14326" t="s">
        <v>27750</v>
      </c>
      <c r="B14326" t="s">
        <v>27750</v>
      </c>
      <c r="C14326" t="s">
        <v>24</v>
      </c>
      <c r="D14326" t="s">
        <v>17</v>
      </c>
      <c r="E14326" s="6">
        <v>-28399</v>
      </c>
      <c r="F14326" t="s">
        <v>476</v>
      </c>
      <c r="G14326" t="s">
        <v>31</v>
      </c>
      <c r="H14326" t="s">
        <v>20</v>
      </c>
      <c r="I14326" t="s">
        <v>27763</v>
      </c>
      <c r="J14326" t="str">
        <f>HYPERLINK("https://www.boe.es/gazeta/dias/1822/03/30/pdfs/GMD-1822-91.pdf#page=3","Abrir facsímil")</f>
        <v>Abrir facsímil</v>
      </c>
      <c r="K14326" t="s">
        <v>22</v>
      </c>
    </row>
    <row r="14327" spans="1:11" ht="42" customHeight="1">
      <c r="A14327" t="s">
        <v>27750</v>
      </c>
      <c r="B14327" t="s">
        <v>27750</v>
      </c>
      <c r="C14327" t="s">
        <v>16</v>
      </c>
      <c r="D14327" t="s">
        <v>17</v>
      </c>
      <c r="E14327" s="6">
        <v>-28397</v>
      </c>
      <c r="F14327" t="s">
        <v>1401</v>
      </c>
      <c r="G14327" t="s">
        <v>26075</v>
      </c>
      <c r="H14327" t="s">
        <v>20</v>
      </c>
      <c r="I14327" t="s">
        <v>27764</v>
      </c>
      <c r="J14327" t="str">
        <f>HYPERLINK("https://www.boe.es/gazeta/dias/1822/04/01/pdfs/GMD-1822-93.pdf#page=5","Abrir facsímil")</f>
        <v>Abrir facsímil</v>
      </c>
      <c r="K14327" t="s">
        <v>22</v>
      </c>
    </row>
    <row r="14328" spans="1:11" ht="42" customHeight="1">
      <c r="A14328" t="s">
        <v>27750</v>
      </c>
      <c r="B14328" t="s">
        <v>27750</v>
      </c>
      <c r="C14328" t="s">
        <v>71</v>
      </c>
      <c r="D14328" t="s">
        <v>17</v>
      </c>
      <c r="E14328" s="6">
        <v>-28397</v>
      </c>
      <c r="F14328" t="s">
        <v>1401</v>
      </c>
      <c r="G14328" t="s">
        <v>57</v>
      </c>
      <c r="H14328" t="s">
        <v>20</v>
      </c>
      <c r="I14328" t="s">
        <v>27765</v>
      </c>
      <c r="J14328" t="str">
        <f>HYPERLINK("https://www.boe.es/gazeta/dias/1822/04/01/pdfs/GMD-1822-93.pdf#page=4","Abrir facsímil")</f>
        <v>Abrir facsímil</v>
      </c>
      <c r="K14328" t="s">
        <v>22</v>
      </c>
    </row>
    <row r="14329" spans="1:11" ht="42" customHeight="1">
      <c r="A14329" t="s">
        <v>27750</v>
      </c>
      <c r="B14329" t="s">
        <v>27750</v>
      </c>
      <c r="C14329" t="s">
        <v>50</v>
      </c>
      <c r="D14329" t="s">
        <v>51</v>
      </c>
      <c r="E14329" s="6">
        <v>-28396</v>
      </c>
      <c r="F14329" t="s">
        <v>1138</v>
      </c>
      <c r="G14329" t="s">
        <v>19</v>
      </c>
      <c r="H14329" t="s">
        <v>20</v>
      </c>
      <c r="I14329" t="s">
        <v>27766</v>
      </c>
      <c r="J14329" t="str">
        <f>HYPERLINK("https://www.boe.es/gazeta/dias/1822/04/02/pdfs/GMD-1822-94.pdf#page=5","Abrir facsímil")</f>
        <v>Abrir facsímil</v>
      </c>
      <c r="K14329" t="s">
        <v>22</v>
      </c>
    </row>
    <row r="14330" spans="1:11" ht="42" customHeight="1">
      <c r="A14330" t="s">
        <v>27750</v>
      </c>
      <c r="B14330" t="s">
        <v>27750</v>
      </c>
      <c r="C14330" t="s">
        <v>50</v>
      </c>
      <c r="D14330" t="s">
        <v>51</v>
      </c>
      <c r="E14330" s="6">
        <v>-28396</v>
      </c>
      <c r="F14330" t="s">
        <v>1138</v>
      </c>
      <c r="G14330" t="s">
        <v>63</v>
      </c>
      <c r="H14330" t="s">
        <v>20</v>
      </c>
      <c r="I14330" t="s">
        <v>27767</v>
      </c>
      <c r="J14330" t="str">
        <f>HYPERLINK("https://www.boe.es/gazeta/dias/1822/04/02/pdfs/GMD-1822-94.pdf#page=6","Abrir facsímil")</f>
        <v>Abrir facsímil</v>
      </c>
      <c r="K14330" t="s">
        <v>22</v>
      </c>
    </row>
    <row r="14331" spans="1:11" ht="42" customHeight="1">
      <c r="A14331" t="s">
        <v>27750</v>
      </c>
      <c r="B14331" t="s">
        <v>27750</v>
      </c>
      <c r="C14331" t="s">
        <v>50</v>
      </c>
      <c r="D14331" t="s">
        <v>51</v>
      </c>
      <c r="E14331" s="6">
        <v>-28396</v>
      </c>
      <c r="F14331" t="s">
        <v>1138</v>
      </c>
      <c r="G14331" t="s">
        <v>167</v>
      </c>
      <c r="H14331" t="s">
        <v>20</v>
      </c>
      <c r="I14331" t="s">
        <v>27768</v>
      </c>
      <c r="J14331" t="str">
        <f>HYPERLINK("https://www.boe.es/gazeta/dias/1822/04/02/pdfs/GMD-1822-94.pdf#page=7","Abrir facsímil")</f>
        <v>Abrir facsímil</v>
      </c>
      <c r="K14331" t="s">
        <v>22</v>
      </c>
    </row>
    <row r="14332" spans="1:11" ht="42" customHeight="1">
      <c r="A14332" t="s">
        <v>27757</v>
      </c>
      <c r="B14332" t="s">
        <v>27757</v>
      </c>
      <c r="C14332" t="s">
        <v>42</v>
      </c>
      <c r="D14332" t="s">
        <v>17</v>
      </c>
      <c r="E14332" s="6">
        <v>-28390</v>
      </c>
      <c r="F14332" t="s">
        <v>665</v>
      </c>
      <c r="G14332" t="s">
        <v>31</v>
      </c>
      <c r="H14332" t="s">
        <v>20</v>
      </c>
      <c r="I14332" t="s">
        <v>27769</v>
      </c>
      <c r="J14332" t="str">
        <f>HYPERLINK("https://www.boe.es/gazeta/dias/1822/04/08/pdfs/GMD-1822-100.pdf#page=3","Abrir facsímil")</f>
        <v>Abrir facsímil</v>
      </c>
      <c r="K14332" t="s">
        <v>22</v>
      </c>
    </row>
    <row r="14333" spans="1:11" ht="42" customHeight="1">
      <c r="A14333" t="s">
        <v>27750</v>
      </c>
      <c r="B14333" t="s">
        <v>27750</v>
      </c>
      <c r="C14333" t="s">
        <v>50</v>
      </c>
      <c r="D14333" t="s">
        <v>51</v>
      </c>
      <c r="E14333" s="6">
        <v>-28388</v>
      </c>
      <c r="F14333" t="s">
        <v>1268</v>
      </c>
      <c r="G14333" t="s">
        <v>57</v>
      </c>
      <c r="H14333" t="s">
        <v>20</v>
      </c>
      <c r="I14333" t="s">
        <v>27770</v>
      </c>
      <c r="J14333" t="str">
        <f>HYPERLINK("https://www.boe.es/gazeta/dias/1822/04/10/pdfs/GMD-1822-102.pdf#page=4","Abrir facsímil")</f>
        <v>Abrir facsímil</v>
      </c>
      <c r="K14333" t="s">
        <v>22</v>
      </c>
    </row>
    <row r="14334" spans="1:11" ht="42" customHeight="1">
      <c r="A14334" t="s">
        <v>27750</v>
      </c>
      <c r="B14334" t="s">
        <v>27750</v>
      </c>
      <c r="C14334" t="s">
        <v>42</v>
      </c>
      <c r="D14334" t="s">
        <v>17</v>
      </c>
      <c r="E14334" s="6">
        <v>-28386</v>
      </c>
      <c r="F14334" t="s">
        <v>2993</v>
      </c>
      <c r="G14334" t="s">
        <v>35</v>
      </c>
      <c r="H14334" t="s">
        <v>20</v>
      </c>
      <c r="I14334" t="s">
        <v>27771</v>
      </c>
      <c r="J14334" t="str">
        <f>HYPERLINK("https://www.boe.es/gazeta/dias/1822/04/12/pdfs/GMD-1822-104.pdf#page=2","Abrir facsímil")</f>
        <v>Abrir facsímil</v>
      </c>
      <c r="K14334" t="s">
        <v>22</v>
      </c>
    </row>
    <row r="14335" spans="1:11" ht="42" customHeight="1">
      <c r="A14335" t="s">
        <v>27750</v>
      </c>
      <c r="B14335" t="s">
        <v>27750</v>
      </c>
      <c r="C14335" t="s">
        <v>71</v>
      </c>
      <c r="D14335" t="s">
        <v>17</v>
      </c>
      <c r="E14335" s="6">
        <v>-28381</v>
      </c>
      <c r="F14335" t="s">
        <v>358</v>
      </c>
      <c r="G14335" t="s">
        <v>2269</v>
      </c>
      <c r="H14335" t="s">
        <v>20</v>
      </c>
      <c r="I14335" t="s">
        <v>27772</v>
      </c>
      <c r="J14335" t="str">
        <f>HYPERLINK("https://www.boe.es/gazeta/dias/1822/04/17/pdfs/GMD-1822-109.pdf#page=3","Abrir facsímil")</f>
        <v>Abrir facsímil</v>
      </c>
      <c r="K14335" t="s">
        <v>22</v>
      </c>
    </row>
    <row r="14336" spans="1:11" ht="42" customHeight="1">
      <c r="A14336" t="s">
        <v>27750</v>
      </c>
      <c r="B14336" t="s">
        <v>27750</v>
      </c>
      <c r="C14336" t="s">
        <v>71</v>
      </c>
      <c r="D14336" t="s">
        <v>17</v>
      </c>
      <c r="E14336" s="6">
        <v>-28373</v>
      </c>
      <c r="F14336" t="s">
        <v>614</v>
      </c>
      <c r="G14336" t="s">
        <v>35</v>
      </c>
      <c r="H14336" t="s">
        <v>20</v>
      </c>
      <c r="I14336" t="s">
        <v>27773</v>
      </c>
      <c r="J14336" t="str">
        <f>HYPERLINK("https://www.boe.es/gazeta/dias/1822/04/25/pdfs/GMD-1822-117.pdf#page=2","Abrir facsímil")</f>
        <v>Abrir facsímil</v>
      </c>
      <c r="K14336" t="s">
        <v>22</v>
      </c>
    </row>
    <row r="14337" spans="1:11" ht="42" customHeight="1">
      <c r="A14337" t="s">
        <v>27750</v>
      </c>
      <c r="B14337" t="s">
        <v>27750</v>
      </c>
      <c r="C14337" t="s">
        <v>71</v>
      </c>
      <c r="D14337" t="s">
        <v>17</v>
      </c>
      <c r="E14337" s="6">
        <v>-28364</v>
      </c>
      <c r="F14337" t="s">
        <v>509</v>
      </c>
      <c r="G14337" t="s">
        <v>57</v>
      </c>
      <c r="H14337" t="s">
        <v>20</v>
      </c>
      <c r="I14337" t="s">
        <v>27774</v>
      </c>
      <c r="J14337" t="str">
        <f>HYPERLINK("https://www.boe.es/gazeta/dias/1822/05/04/pdfs/GMD-1822-126.pdf#page=4","Abrir facsímil")</f>
        <v>Abrir facsímil</v>
      </c>
      <c r="K14337" t="s">
        <v>22</v>
      </c>
    </row>
    <row r="14338" spans="1:11" ht="42" customHeight="1">
      <c r="A14338" t="s">
        <v>27750</v>
      </c>
      <c r="B14338" t="s">
        <v>27750</v>
      </c>
      <c r="C14338" t="s">
        <v>71</v>
      </c>
      <c r="D14338" t="s">
        <v>17</v>
      </c>
      <c r="E14338" s="6">
        <v>-28363</v>
      </c>
      <c r="F14338" t="s">
        <v>72</v>
      </c>
      <c r="G14338" t="s">
        <v>19</v>
      </c>
      <c r="H14338" t="s">
        <v>20</v>
      </c>
      <c r="I14338" t="s">
        <v>27775</v>
      </c>
      <c r="J14338" t="str">
        <f>HYPERLINK("https://www.boe.es/gazeta/dias/1822/05/05/pdfs/GMD-1822-127.pdf#page=5","Abrir facsímil")</f>
        <v>Abrir facsímil</v>
      </c>
      <c r="K14338" t="s">
        <v>22</v>
      </c>
    </row>
    <row r="14339" spans="1:11" ht="42" customHeight="1">
      <c r="A14339" t="s">
        <v>27750</v>
      </c>
      <c r="B14339" t="s">
        <v>27750</v>
      </c>
      <c r="C14339" t="s">
        <v>71</v>
      </c>
      <c r="D14339" t="s">
        <v>17</v>
      </c>
      <c r="E14339" s="6">
        <v>-28362</v>
      </c>
      <c r="F14339" t="s">
        <v>511</v>
      </c>
      <c r="G14339" t="s">
        <v>35</v>
      </c>
      <c r="H14339" t="s">
        <v>20</v>
      </c>
      <c r="I14339" t="s">
        <v>27776</v>
      </c>
      <c r="J14339" t="str">
        <f>HYPERLINK("https://www.boe.es/gazeta/dias/1822/05/06/pdfs/GMD-1822-128.pdf#page=2","Abrir facsímil")</f>
        <v>Abrir facsímil</v>
      </c>
      <c r="K14339" t="s">
        <v>22</v>
      </c>
    </row>
    <row r="14340" spans="1:11" ht="42" customHeight="1">
      <c r="A14340" t="s">
        <v>27750</v>
      </c>
      <c r="B14340" t="s">
        <v>27750</v>
      </c>
      <c r="C14340" t="s">
        <v>50</v>
      </c>
      <c r="D14340" t="s">
        <v>51</v>
      </c>
      <c r="E14340" s="6">
        <v>-28362</v>
      </c>
      <c r="F14340" t="s">
        <v>511</v>
      </c>
      <c r="G14340" t="s">
        <v>31</v>
      </c>
      <c r="H14340" t="s">
        <v>20</v>
      </c>
      <c r="I14340" t="s">
        <v>27777</v>
      </c>
      <c r="J14340" t="str">
        <f>HYPERLINK("https://www.boe.es/gazeta/dias/1822/05/06/pdfs/GMD-1822-128.pdf#page=3","Abrir facsímil")</f>
        <v>Abrir facsímil</v>
      </c>
      <c r="K14340" t="s">
        <v>22</v>
      </c>
    </row>
    <row r="14341" spans="1:11" ht="42" customHeight="1">
      <c r="A14341" t="s">
        <v>27750</v>
      </c>
      <c r="B14341" t="s">
        <v>27750</v>
      </c>
      <c r="C14341" t="s">
        <v>61</v>
      </c>
      <c r="D14341" t="s">
        <v>17</v>
      </c>
      <c r="E14341" s="6">
        <v>-28360</v>
      </c>
      <c r="F14341" t="s">
        <v>514</v>
      </c>
      <c r="G14341" t="s">
        <v>57</v>
      </c>
      <c r="H14341" t="s">
        <v>20</v>
      </c>
      <c r="I14341" t="s">
        <v>27778</v>
      </c>
      <c r="J14341" t="str">
        <f>HYPERLINK("https://www.boe.es/gazeta/dias/1822/05/08/pdfs/GMD-1822-130.pdf#page=4","Abrir facsímil")</f>
        <v>Abrir facsímil</v>
      </c>
      <c r="K14341" t="s">
        <v>22</v>
      </c>
    </row>
    <row r="14342" spans="1:11" ht="42" customHeight="1">
      <c r="A14342" t="s">
        <v>27750</v>
      </c>
      <c r="B14342" t="s">
        <v>27750</v>
      </c>
      <c r="C14342" t="s">
        <v>42</v>
      </c>
      <c r="D14342" t="s">
        <v>17</v>
      </c>
      <c r="E14342" s="6">
        <v>-28359</v>
      </c>
      <c r="F14342" t="s">
        <v>209</v>
      </c>
      <c r="G14342" t="s">
        <v>57</v>
      </c>
      <c r="H14342" t="s">
        <v>20</v>
      </c>
      <c r="I14342" t="s">
        <v>27779</v>
      </c>
      <c r="J14342" t="str">
        <f>HYPERLINK("https://www.boe.es/gazeta/dias/1822/05/09/pdfs/GMD-1822-131.pdf#page=4","Abrir facsímil")</f>
        <v>Abrir facsímil</v>
      </c>
      <c r="K14342" t="s">
        <v>22</v>
      </c>
    </row>
    <row r="14343" spans="1:11" ht="42" customHeight="1">
      <c r="A14343" t="s">
        <v>27750</v>
      </c>
      <c r="B14343" t="s">
        <v>27750</v>
      </c>
      <c r="C14343" t="s">
        <v>28</v>
      </c>
      <c r="D14343" t="s">
        <v>29</v>
      </c>
      <c r="E14343" s="6">
        <v>-28358</v>
      </c>
      <c r="F14343" t="s">
        <v>211</v>
      </c>
      <c r="G14343" t="s">
        <v>57</v>
      </c>
      <c r="H14343" t="s">
        <v>20</v>
      </c>
      <c r="I14343" t="s">
        <v>27780</v>
      </c>
      <c r="J14343" t="str">
        <f>HYPERLINK("https://www.boe.es/gazeta/dias/1822/05/10/pdfs/GMD-1822-132.pdf#page=4","Abrir facsímil")</f>
        <v>Abrir facsímil</v>
      </c>
      <c r="K14343" t="s">
        <v>22</v>
      </c>
    </row>
    <row r="14344" spans="1:11" ht="42" customHeight="1">
      <c r="A14344" t="s">
        <v>27750</v>
      </c>
      <c r="B14344" t="s">
        <v>27750</v>
      </c>
      <c r="C14344" t="s">
        <v>16</v>
      </c>
      <c r="D14344" t="s">
        <v>17</v>
      </c>
      <c r="E14344" s="6">
        <v>-28357</v>
      </c>
      <c r="F14344" t="s">
        <v>690</v>
      </c>
      <c r="G14344" t="s">
        <v>31</v>
      </c>
      <c r="H14344" t="s">
        <v>20</v>
      </c>
      <c r="I14344" t="s">
        <v>27781</v>
      </c>
      <c r="J14344" t="str">
        <f>HYPERLINK("https://www.boe.es/gazeta/dias/1822/05/11/pdfs/GMD-1822-133.pdf#page=3","Abrir facsímil")</f>
        <v>Abrir facsímil</v>
      </c>
      <c r="K14344" t="s">
        <v>22</v>
      </c>
    </row>
    <row r="14345" spans="1:11" ht="42" customHeight="1">
      <c r="A14345" t="s">
        <v>27750</v>
      </c>
      <c r="B14345" t="s">
        <v>27750</v>
      </c>
      <c r="C14345" t="s">
        <v>42</v>
      </c>
      <c r="D14345" t="s">
        <v>17</v>
      </c>
      <c r="E14345" s="6">
        <v>-28353</v>
      </c>
      <c r="F14345" t="s">
        <v>843</v>
      </c>
      <c r="G14345" t="s">
        <v>35</v>
      </c>
      <c r="H14345" t="s">
        <v>20</v>
      </c>
      <c r="I14345" t="s">
        <v>27782</v>
      </c>
      <c r="J14345" t="str">
        <f>HYPERLINK("https://www.boe.es/gazeta/dias/1822/05/15/pdfs/GMD-1822-137.pdf#page=2","Abrir facsímil")</f>
        <v>Abrir facsímil</v>
      </c>
      <c r="K14345" t="s">
        <v>22</v>
      </c>
    </row>
    <row r="14346" spans="1:11" ht="42" customHeight="1">
      <c r="A14346" t="s">
        <v>27750</v>
      </c>
      <c r="B14346" t="s">
        <v>27750</v>
      </c>
      <c r="C14346" t="s">
        <v>28</v>
      </c>
      <c r="D14346" t="s">
        <v>29</v>
      </c>
      <c r="E14346" s="6">
        <v>-28353</v>
      </c>
      <c r="F14346" t="s">
        <v>843</v>
      </c>
      <c r="G14346" t="s">
        <v>57</v>
      </c>
      <c r="H14346" t="s">
        <v>20</v>
      </c>
      <c r="I14346" t="s">
        <v>27783</v>
      </c>
      <c r="J14346" t="str">
        <f>HYPERLINK("https://www.boe.es/gazeta/dias/1822/05/15/pdfs/GMD-1822-137.pdf#page=4","Abrir facsímil")</f>
        <v>Abrir facsímil</v>
      </c>
      <c r="K14346" t="s">
        <v>22</v>
      </c>
    </row>
    <row r="14347" spans="1:11" ht="42" customHeight="1">
      <c r="A14347" t="s">
        <v>27750</v>
      </c>
      <c r="B14347" t="s">
        <v>27750</v>
      </c>
      <c r="C14347" t="s">
        <v>50</v>
      </c>
      <c r="D14347" t="s">
        <v>51</v>
      </c>
      <c r="E14347" s="6">
        <v>-28352</v>
      </c>
      <c r="F14347" t="s">
        <v>1575</v>
      </c>
      <c r="G14347" t="s">
        <v>35</v>
      </c>
      <c r="H14347" t="s">
        <v>20</v>
      </c>
      <c r="I14347" t="s">
        <v>27784</v>
      </c>
      <c r="J14347" t="str">
        <f>HYPERLINK("https://www.boe.es/gazeta/dias/1822/05/16/pdfs/GMD-1822-138.pdf#page=2","Abrir facsímil")</f>
        <v>Abrir facsímil</v>
      </c>
      <c r="K14347" t="s">
        <v>22</v>
      </c>
    </row>
    <row r="14348" spans="1:11" ht="42" customHeight="1">
      <c r="A14348" t="s">
        <v>27750</v>
      </c>
      <c r="B14348" t="s">
        <v>27750</v>
      </c>
      <c r="C14348" t="s">
        <v>50</v>
      </c>
      <c r="D14348" t="s">
        <v>51</v>
      </c>
      <c r="E14348" s="6">
        <v>-28350</v>
      </c>
      <c r="F14348" t="s">
        <v>352</v>
      </c>
      <c r="G14348" t="s">
        <v>35</v>
      </c>
      <c r="H14348" t="s">
        <v>20</v>
      </c>
      <c r="I14348" t="s">
        <v>27785</v>
      </c>
      <c r="J14348" t="str">
        <f>HYPERLINK("https://www.boe.es/gazeta/dias/1822/05/18/pdfs/GMD-1822-140.pdf#page=2","Abrir facsímil")</f>
        <v>Abrir facsímil</v>
      </c>
      <c r="K14348" t="s">
        <v>22</v>
      </c>
    </row>
    <row r="14349" spans="1:11" ht="42" customHeight="1">
      <c r="A14349" t="s">
        <v>27750</v>
      </c>
      <c r="B14349" t="s">
        <v>27750</v>
      </c>
      <c r="C14349" t="s">
        <v>50</v>
      </c>
      <c r="D14349" t="s">
        <v>51</v>
      </c>
      <c r="E14349" s="6">
        <v>-28350</v>
      </c>
      <c r="F14349" t="s">
        <v>352</v>
      </c>
      <c r="G14349" t="s">
        <v>57</v>
      </c>
      <c r="H14349" t="s">
        <v>20</v>
      </c>
      <c r="I14349" t="s">
        <v>27786</v>
      </c>
      <c r="J14349" t="str">
        <f>HYPERLINK("https://www.boe.es/gazeta/dias/1822/05/18/pdfs/GMD-1822-140.pdf#page=4","Abrir facsímil")</f>
        <v>Abrir facsímil</v>
      </c>
      <c r="K14349" t="s">
        <v>22</v>
      </c>
    </row>
    <row r="14350" spans="1:11" ht="42" customHeight="1">
      <c r="A14350" t="s">
        <v>27750</v>
      </c>
      <c r="B14350" t="s">
        <v>27750</v>
      </c>
      <c r="C14350" t="s">
        <v>50</v>
      </c>
      <c r="D14350" t="s">
        <v>51</v>
      </c>
      <c r="E14350" s="6">
        <v>-28349</v>
      </c>
      <c r="F14350" t="s">
        <v>518</v>
      </c>
      <c r="G14350" t="s">
        <v>31</v>
      </c>
      <c r="H14350" t="s">
        <v>20</v>
      </c>
      <c r="I14350" t="s">
        <v>27787</v>
      </c>
      <c r="J14350" t="str">
        <f>HYPERLINK("https://www.boe.es/gazeta/dias/1822/05/19/pdfs/GMD-1822-141.pdf#page=3","Abrir facsímil")</f>
        <v>Abrir facsímil</v>
      </c>
      <c r="K14350" t="s">
        <v>22</v>
      </c>
    </row>
    <row r="14351" spans="1:11" ht="42" customHeight="1">
      <c r="A14351" t="s">
        <v>27750</v>
      </c>
      <c r="B14351" t="s">
        <v>27750</v>
      </c>
      <c r="C14351" t="s">
        <v>61</v>
      </c>
      <c r="D14351" t="s">
        <v>17</v>
      </c>
      <c r="E14351" s="6">
        <v>-28348</v>
      </c>
      <c r="F14351" t="s">
        <v>2903</v>
      </c>
      <c r="G14351" t="s">
        <v>35</v>
      </c>
      <c r="H14351" t="s">
        <v>20</v>
      </c>
      <c r="I14351" t="s">
        <v>27788</v>
      </c>
      <c r="J14351" t="str">
        <f>HYPERLINK("https://www.boe.es/gazeta/dias/1822/05/20/pdfs/GMD-1822-143.pdf#page=2","Abrir facsímil")</f>
        <v>Abrir facsímil</v>
      </c>
      <c r="K14351" t="s">
        <v>22</v>
      </c>
    </row>
    <row r="14352" spans="1:11" ht="42" customHeight="1">
      <c r="A14352" t="s">
        <v>27750</v>
      </c>
      <c r="B14352" t="s">
        <v>27750</v>
      </c>
      <c r="C14352" t="s">
        <v>42</v>
      </c>
      <c r="D14352" t="s">
        <v>17</v>
      </c>
      <c r="E14352" s="6">
        <v>-28348</v>
      </c>
      <c r="F14352" t="s">
        <v>2903</v>
      </c>
      <c r="G14352" t="s">
        <v>31</v>
      </c>
      <c r="H14352" t="s">
        <v>20</v>
      </c>
      <c r="I14352" t="s">
        <v>27789</v>
      </c>
      <c r="J14352" t="str">
        <f>HYPERLINK("https://www.boe.es/gazeta/dias/1822/05/20/pdfs/GMD-1822-143.pdf#page=3","Abrir facsímil")</f>
        <v>Abrir facsímil</v>
      </c>
      <c r="K14352" t="s">
        <v>22</v>
      </c>
    </row>
    <row r="14353" spans="1:11" ht="42" customHeight="1">
      <c r="A14353" t="s">
        <v>27750</v>
      </c>
      <c r="B14353" t="s">
        <v>27750</v>
      </c>
      <c r="C14353" t="s">
        <v>50</v>
      </c>
      <c r="D14353" t="s">
        <v>51</v>
      </c>
      <c r="E14353" s="6">
        <v>-28348</v>
      </c>
      <c r="F14353" t="s">
        <v>2903</v>
      </c>
      <c r="G14353" t="s">
        <v>57</v>
      </c>
      <c r="H14353" t="s">
        <v>20</v>
      </c>
      <c r="I14353" t="s">
        <v>27790</v>
      </c>
      <c r="J14353" t="str">
        <f>HYPERLINK("https://www.boe.es/gazeta/dias/1822/05/20/pdfs/GMD-1822-143.pdf#page=4","Abrir facsímil")</f>
        <v>Abrir facsímil</v>
      </c>
      <c r="K14353" t="s">
        <v>22</v>
      </c>
    </row>
    <row r="14354" spans="1:11" ht="42" customHeight="1">
      <c r="A14354" t="s">
        <v>27750</v>
      </c>
      <c r="B14354" t="s">
        <v>27750</v>
      </c>
      <c r="C14354" t="s">
        <v>50</v>
      </c>
      <c r="D14354" t="s">
        <v>51</v>
      </c>
      <c r="E14354" s="6">
        <v>-28348</v>
      </c>
      <c r="F14354" t="s">
        <v>2903</v>
      </c>
      <c r="G14354" t="s">
        <v>19</v>
      </c>
      <c r="H14354" t="s">
        <v>20</v>
      </c>
      <c r="I14354" t="s">
        <v>27791</v>
      </c>
      <c r="J14354" t="str">
        <f>HYPERLINK("https://www.boe.es/gazeta/dias/1822/05/20/pdfs/GMD-1822-143.pdf#page=5","Abrir facsímil")</f>
        <v>Abrir facsímil</v>
      </c>
      <c r="K14354" t="s">
        <v>22</v>
      </c>
    </row>
    <row r="14355" spans="1:11" ht="42" customHeight="1">
      <c r="A14355" t="s">
        <v>27750</v>
      </c>
      <c r="B14355" t="s">
        <v>27750</v>
      </c>
      <c r="C14355" t="s">
        <v>50</v>
      </c>
      <c r="D14355" t="s">
        <v>51</v>
      </c>
      <c r="E14355" s="6">
        <v>-28344</v>
      </c>
      <c r="F14355" t="s">
        <v>524</v>
      </c>
      <c r="G14355" t="s">
        <v>1040</v>
      </c>
      <c r="H14355" t="s">
        <v>20</v>
      </c>
      <c r="I14355" t="s">
        <v>27792</v>
      </c>
      <c r="J14355" t="str">
        <f>HYPERLINK("https://www.boe.es/gazeta/dias/1822/05/24/pdfs/GMD-1822-148.pdf#page=2","Abrir facsímil")</f>
        <v>Abrir facsímil</v>
      </c>
      <c r="K14355" t="s">
        <v>22</v>
      </c>
    </row>
    <row r="14356" spans="1:11" ht="42" customHeight="1">
      <c r="A14356" t="s">
        <v>27750</v>
      </c>
      <c r="B14356" t="s">
        <v>27750</v>
      </c>
      <c r="C14356" t="s">
        <v>28</v>
      </c>
      <c r="D14356" t="s">
        <v>29</v>
      </c>
      <c r="E14356" s="6">
        <v>-28344</v>
      </c>
      <c r="F14356" t="s">
        <v>524</v>
      </c>
      <c r="G14356" t="s">
        <v>31</v>
      </c>
      <c r="H14356" t="s">
        <v>20</v>
      </c>
      <c r="I14356" t="s">
        <v>27793</v>
      </c>
      <c r="J14356" t="str">
        <f>HYPERLINK("https://www.boe.es/gazeta/dias/1822/05/24/pdfs/GMD-1822-148.pdf#page=3","Abrir facsímil")</f>
        <v>Abrir facsímil</v>
      </c>
      <c r="K14356" t="s">
        <v>22</v>
      </c>
    </row>
    <row r="14357" spans="1:11" ht="42" customHeight="1">
      <c r="A14357" t="s">
        <v>27750</v>
      </c>
      <c r="B14357" t="s">
        <v>27750</v>
      </c>
      <c r="C14357" t="s">
        <v>28</v>
      </c>
      <c r="D14357" t="s">
        <v>29</v>
      </c>
      <c r="E14357" s="6">
        <v>-28342</v>
      </c>
      <c r="F14357" t="s">
        <v>2281</v>
      </c>
      <c r="G14357" t="s">
        <v>44</v>
      </c>
      <c r="H14357" t="s">
        <v>20</v>
      </c>
      <c r="I14357" t="s">
        <v>27794</v>
      </c>
      <c r="J14357" t="str">
        <f>HYPERLINK("https://www.boe.es/gazeta/dias/1822/05/26/pdfs/GMD-1822-151.pdf#page=1","Abrir facsímil")</f>
        <v>Abrir facsímil</v>
      </c>
      <c r="K14357" t="s">
        <v>22</v>
      </c>
    </row>
    <row r="14358" spans="1:11" ht="42" customHeight="1">
      <c r="A14358" t="s">
        <v>27750</v>
      </c>
      <c r="B14358" t="s">
        <v>27750</v>
      </c>
      <c r="C14358" t="s">
        <v>50</v>
      </c>
      <c r="D14358" t="s">
        <v>51</v>
      </c>
      <c r="E14358" s="6">
        <v>-28341</v>
      </c>
      <c r="F14358" t="s">
        <v>284</v>
      </c>
      <c r="G14358" t="s">
        <v>35</v>
      </c>
      <c r="H14358" t="s">
        <v>20</v>
      </c>
      <c r="I14358" t="s">
        <v>27795</v>
      </c>
      <c r="J14358" t="str">
        <f>HYPERLINK("https://www.boe.es/gazeta/dias/1822/05/27/pdfs/GMD-1822-152.pdf#page=2","Abrir facsímil")</f>
        <v>Abrir facsímil</v>
      </c>
      <c r="K14358" t="s">
        <v>22</v>
      </c>
    </row>
    <row r="14359" spans="1:11" ht="42" customHeight="1">
      <c r="A14359" t="s">
        <v>27750</v>
      </c>
      <c r="B14359" t="s">
        <v>27750</v>
      </c>
      <c r="C14359" t="s">
        <v>24</v>
      </c>
      <c r="D14359" t="s">
        <v>17</v>
      </c>
      <c r="E14359" s="6">
        <v>-28341</v>
      </c>
      <c r="F14359" t="s">
        <v>284</v>
      </c>
      <c r="G14359" t="s">
        <v>31</v>
      </c>
      <c r="H14359" t="s">
        <v>20</v>
      </c>
      <c r="I14359" t="s">
        <v>27796</v>
      </c>
      <c r="J14359" t="str">
        <f>HYPERLINK("https://www.boe.es/gazeta/dias/1822/05/27/pdfs/GMD-1822-152.pdf#page=3","Abrir facsímil")</f>
        <v>Abrir facsímil</v>
      </c>
      <c r="K14359" t="s">
        <v>22</v>
      </c>
    </row>
    <row r="14360" spans="1:11" ht="42" customHeight="1">
      <c r="A14360" t="s">
        <v>27750</v>
      </c>
      <c r="B14360" t="s">
        <v>27750</v>
      </c>
      <c r="C14360" t="s">
        <v>42</v>
      </c>
      <c r="D14360" t="s">
        <v>17</v>
      </c>
      <c r="E14360" s="6">
        <v>-28341</v>
      </c>
      <c r="F14360" t="s">
        <v>284</v>
      </c>
      <c r="G14360" t="s">
        <v>19</v>
      </c>
      <c r="H14360" t="s">
        <v>20</v>
      </c>
      <c r="I14360" t="s">
        <v>27797</v>
      </c>
      <c r="J14360" t="str">
        <f>HYPERLINK("https://www.boe.es/gazeta/dias/1822/05/27/pdfs/GMD-1822-152.pdf#page=5","Abrir facsímil")</f>
        <v>Abrir facsímil</v>
      </c>
      <c r="K14360" t="s">
        <v>22</v>
      </c>
    </row>
    <row r="14361" spans="1:11" ht="42" customHeight="1">
      <c r="A14361" t="s">
        <v>27750</v>
      </c>
      <c r="B14361" t="s">
        <v>27750</v>
      </c>
      <c r="C14361" t="s">
        <v>28</v>
      </c>
      <c r="D14361" t="s">
        <v>29</v>
      </c>
      <c r="E14361" s="6">
        <v>-28340</v>
      </c>
      <c r="F14361" t="s">
        <v>139</v>
      </c>
      <c r="G14361" t="s">
        <v>57</v>
      </c>
      <c r="H14361" t="s">
        <v>20</v>
      </c>
      <c r="I14361" t="s">
        <v>27798</v>
      </c>
      <c r="J14361" t="str">
        <f>HYPERLINK("https://www.boe.es/gazeta/dias/1822/05/28/pdfs/GMD-1822-153.pdf#page=4","Abrir facsímil")</f>
        <v>Abrir facsímil</v>
      </c>
      <c r="K14361" t="s">
        <v>22</v>
      </c>
    </row>
    <row r="14362" spans="1:11" ht="42" customHeight="1">
      <c r="A14362" t="s">
        <v>27750</v>
      </c>
      <c r="B14362" t="s">
        <v>27750</v>
      </c>
      <c r="C14362" t="s">
        <v>28</v>
      </c>
      <c r="D14362" t="s">
        <v>29</v>
      </c>
      <c r="E14362" s="6">
        <v>-28337</v>
      </c>
      <c r="F14362" t="s">
        <v>1836</v>
      </c>
      <c r="G14362" t="s">
        <v>31</v>
      </c>
      <c r="H14362" t="s">
        <v>20</v>
      </c>
      <c r="I14362" t="s">
        <v>27799</v>
      </c>
      <c r="J14362" t="str">
        <f>HYPERLINK("https://www.boe.es/gazeta/dias/1822/05/31/pdfs/GMD-1822-156.pdf#page=3","Abrir facsímil")</f>
        <v>Abrir facsímil</v>
      </c>
      <c r="K14362" t="s">
        <v>22</v>
      </c>
    </row>
    <row r="14363" spans="1:11" ht="42" customHeight="1">
      <c r="A14363" t="s">
        <v>27750</v>
      </c>
      <c r="B14363" t="s">
        <v>27750</v>
      </c>
      <c r="C14363" t="s">
        <v>50</v>
      </c>
      <c r="D14363" t="s">
        <v>51</v>
      </c>
      <c r="E14363" s="6">
        <v>-28337</v>
      </c>
      <c r="F14363" t="s">
        <v>1836</v>
      </c>
      <c r="G14363" t="s">
        <v>57</v>
      </c>
      <c r="H14363" t="s">
        <v>20</v>
      </c>
      <c r="I14363" t="s">
        <v>27800</v>
      </c>
      <c r="J14363" t="str">
        <f>HYPERLINK("https://www.boe.es/gazeta/dias/1822/05/31/pdfs/GMD-1822-156.pdf#page=4","Abrir facsímil")</f>
        <v>Abrir facsímil</v>
      </c>
      <c r="K14363" t="s">
        <v>22</v>
      </c>
    </row>
    <row r="14364" spans="1:11" ht="42" customHeight="1">
      <c r="A14364" t="s">
        <v>27750</v>
      </c>
      <c r="B14364" t="s">
        <v>27750</v>
      </c>
      <c r="C14364" t="s">
        <v>50</v>
      </c>
      <c r="D14364" t="s">
        <v>51</v>
      </c>
      <c r="E14364" s="6">
        <v>-28328</v>
      </c>
      <c r="F14364" t="s">
        <v>540</v>
      </c>
      <c r="G14364" t="s">
        <v>541</v>
      </c>
      <c r="H14364" t="s">
        <v>20</v>
      </c>
      <c r="I14364" t="s">
        <v>27801</v>
      </c>
      <c r="J14364" t="str">
        <f>HYPERLINK("https://www.boe.es/gazeta/dias/1822/06/09/pdfs/GMD-1822-166.pdf#page=4","Abrir facsímil")</f>
        <v>Abrir facsímil</v>
      </c>
      <c r="K14364" t="s">
        <v>22</v>
      </c>
    </row>
    <row r="14365" spans="1:11" ht="42" customHeight="1">
      <c r="A14365" t="s">
        <v>27750</v>
      </c>
      <c r="B14365" t="s">
        <v>27750</v>
      </c>
      <c r="C14365" t="s">
        <v>71</v>
      </c>
      <c r="D14365" t="s">
        <v>17</v>
      </c>
      <c r="E14365" s="6">
        <v>-28327</v>
      </c>
      <c r="F14365" t="s">
        <v>38</v>
      </c>
      <c r="G14365" t="s">
        <v>35</v>
      </c>
      <c r="H14365" t="s">
        <v>20</v>
      </c>
      <c r="I14365" t="s">
        <v>27802</v>
      </c>
      <c r="J14365" t="str">
        <f>HYPERLINK("https://www.boe.es/gazeta/dias/1822/06/10/pdfs/GMD-1822-167.pdf#page=2","Abrir facsímil")</f>
        <v>Abrir facsímil</v>
      </c>
      <c r="K14365" t="s">
        <v>22</v>
      </c>
    </row>
    <row r="14366" spans="1:11" ht="42" customHeight="1">
      <c r="A14366" t="s">
        <v>27750</v>
      </c>
      <c r="B14366" t="s">
        <v>27750</v>
      </c>
      <c r="C14366" t="s">
        <v>42</v>
      </c>
      <c r="D14366" t="s">
        <v>17</v>
      </c>
      <c r="E14366" s="6">
        <v>-28325</v>
      </c>
      <c r="F14366" t="s">
        <v>104</v>
      </c>
      <c r="G14366" t="s">
        <v>57</v>
      </c>
      <c r="H14366" t="s">
        <v>20</v>
      </c>
      <c r="I14366" t="s">
        <v>27803</v>
      </c>
      <c r="J14366" t="str">
        <f>HYPERLINK("https://www.boe.es/gazeta/dias/1822/06/12/pdfs/GMD-1822-169.pdf#page=4","Abrir facsímil")</f>
        <v>Abrir facsímil</v>
      </c>
      <c r="K14366" t="s">
        <v>22</v>
      </c>
    </row>
    <row r="14367" spans="1:11" ht="42" customHeight="1">
      <c r="A14367" t="s">
        <v>27750</v>
      </c>
      <c r="B14367" t="s">
        <v>27750</v>
      </c>
      <c r="C14367" t="s">
        <v>71</v>
      </c>
      <c r="D14367" t="s">
        <v>17</v>
      </c>
      <c r="E14367" s="6">
        <v>-28324</v>
      </c>
      <c r="F14367" t="s">
        <v>305</v>
      </c>
      <c r="G14367" t="s">
        <v>57</v>
      </c>
      <c r="H14367" t="s">
        <v>20</v>
      </c>
      <c r="I14367" t="s">
        <v>27804</v>
      </c>
      <c r="J14367" t="str">
        <f>HYPERLINK("https://www.boe.es/gazeta/dias/1822/06/13/pdfs/GMD-1822-170.pdf#page=4","Abrir facsímil")</f>
        <v>Abrir facsímil</v>
      </c>
      <c r="K14367" t="s">
        <v>22</v>
      </c>
    </row>
    <row r="14368" spans="1:11" ht="42" customHeight="1">
      <c r="A14368" t="s">
        <v>27750</v>
      </c>
      <c r="B14368" t="s">
        <v>27750</v>
      </c>
      <c r="C14368" t="s">
        <v>50</v>
      </c>
      <c r="D14368" t="s">
        <v>51</v>
      </c>
      <c r="E14368" s="6">
        <v>-28324</v>
      </c>
      <c r="F14368" t="s">
        <v>305</v>
      </c>
      <c r="G14368" t="s">
        <v>19</v>
      </c>
      <c r="H14368" t="s">
        <v>20</v>
      </c>
      <c r="I14368" t="s">
        <v>27805</v>
      </c>
      <c r="J14368" t="str">
        <f>HYPERLINK("https://www.boe.es/gazeta/dias/1822/06/13/pdfs/GMD-1822-170.pdf#page=5","Abrir facsímil")</f>
        <v>Abrir facsímil</v>
      </c>
      <c r="K14368" t="s">
        <v>22</v>
      </c>
    </row>
    <row r="14369" spans="1:11" ht="42" customHeight="1">
      <c r="A14369" t="s">
        <v>27750</v>
      </c>
      <c r="B14369" t="s">
        <v>27750</v>
      </c>
      <c r="C14369" t="s">
        <v>50</v>
      </c>
      <c r="D14369" t="s">
        <v>51</v>
      </c>
      <c r="E14369" s="6">
        <v>-28323</v>
      </c>
      <c r="F14369" t="s">
        <v>116</v>
      </c>
      <c r="G14369" t="s">
        <v>57</v>
      </c>
      <c r="H14369" t="s">
        <v>20</v>
      </c>
      <c r="I14369" t="s">
        <v>27806</v>
      </c>
      <c r="J14369" t="str">
        <f>HYPERLINK("https://www.boe.es/gazeta/dias/1822/06/14/pdfs/GMD-1822-171.pdf#page=4","Abrir facsímil")</f>
        <v>Abrir facsímil</v>
      </c>
      <c r="K14369" t="s">
        <v>22</v>
      </c>
    </row>
    <row r="14370" spans="1:11" ht="42" customHeight="1">
      <c r="A14370" t="s">
        <v>27750</v>
      </c>
      <c r="B14370" t="s">
        <v>27750</v>
      </c>
      <c r="C14370" t="s">
        <v>28</v>
      </c>
      <c r="D14370" t="s">
        <v>29</v>
      </c>
      <c r="E14370" s="6">
        <v>-28321</v>
      </c>
      <c r="F14370" t="s">
        <v>1142</v>
      </c>
      <c r="G14370" t="s">
        <v>35</v>
      </c>
      <c r="H14370" t="s">
        <v>20</v>
      </c>
      <c r="I14370" t="s">
        <v>27807</v>
      </c>
      <c r="J14370" t="str">
        <f>HYPERLINK("https://www.boe.es/gazeta/dias/1822/06/16/pdfs/GMD-1822-173.pdf#page=2","Abrir facsímil")</f>
        <v>Abrir facsímil</v>
      </c>
      <c r="K14370" t="s">
        <v>22</v>
      </c>
    </row>
    <row r="14371" spans="1:11" ht="42" customHeight="1">
      <c r="A14371" t="s">
        <v>27750</v>
      </c>
      <c r="B14371" t="s">
        <v>27750</v>
      </c>
      <c r="C14371" t="s">
        <v>71</v>
      </c>
      <c r="D14371" t="s">
        <v>17</v>
      </c>
      <c r="E14371" s="6">
        <v>-28319</v>
      </c>
      <c r="F14371" t="s">
        <v>271</v>
      </c>
      <c r="G14371" t="s">
        <v>35</v>
      </c>
      <c r="H14371" t="s">
        <v>20</v>
      </c>
      <c r="I14371" t="s">
        <v>27808</v>
      </c>
      <c r="J14371" t="str">
        <f>HYPERLINK("https://www.boe.es/gazeta/dias/1822/06/18/pdfs/GMD-1822-175.pdf#page=2","Abrir facsímil")</f>
        <v>Abrir facsímil</v>
      </c>
      <c r="K14371" t="s">
        <v>22</v>
      </c>
    </row>
    <row r="14372" spans="1:11" ht="42" customHeight="1">
      <c r="A14372" t="s">
        <v>27750</v>
      </c>
      <c r="B14372" t="s">
        <v>27750</v>
      </c>
      <c r="C14372" t="s">
        <v>50</v>
      </c>
      <c r="D14372" t="s">
        <v>51</v>
      </c>
      <c r="E14372" s="6">
        <v>-28319</v>
      </c>
      <c r="F14372" t="s">
        <v>271</v>
      </c>
      <c r="G14372" t="s">
        <v>31</v>
      </c>
      <c r="H14372" t="s">
        <v>20</v>
      </c>
      <c r="I14372" t="s">
        <v>27809</v>
      </c>
      <c r="J14372" t="str">
        <f>HYPERLINK("https://www.boe.es/gazeta/dias/1822/06/18/pdfs/GMD-1822-175.pdf#page=3","Abrir facsímil")</f>
        <v>Abrir facsímil</v>
      </c>
      <c r="K14372" t="s">
        <v>22</v>
      </c>
    </row>
    <row r="14373" spans="1:11" ht="42" customHeight="1">
      <c r="A14373" t="s">
        <v>27750</v>
      </c>
      <c r="B14373" t="s">
        <v>27750</v>
      </c>
      <c r="C14373" t="s">
        <v>42</v>
      </c>
      <c r="D14373" t="s">
        <v>17</v>
      </c>
      <c r="E14373" s="6">
        <v>-28318</v>
      </c>
      <c r="F14373" t="s">
        <v>397</v>
      </c>
      <c r="G14373" t="s">
        <v>31</v>
      </c>
      <c r="H14373" t="s">
        <v>20</v>
      </c>
      <c r="I14373" t="s">
        <v>27810</v>
      </c>
      <c r="J14373" t="str">
        <f>HYPERLINK("https://www.boe.es/gazeta/dias/1822/06/19/pdfs/GMD-1822-176.pdf#page=3","Abrir facsímil")</f>
        <v>Abrir facsímil</v>
      </c>
      <c r="K14373" t="s">
        <v>22</v>
      </c>
    </row>
    <row r="14374" spans="1:11" ht="42" customHeight="1">
      <c r="A14374" t="s">
        <v>27750</v>
      </c>
      <c r="B14374" t="s">
        <v>27750</v>
      </c>
      <c r="C14374" t="s">
        <v>61</v>
      </c>
      <c r="D14374" t="s">
        <v>17</v>
      </c>
      <c r="E14374" s="6">
        <v>-28317</v>
      </c>
      <c r="F14374" t="s">
        <v>546</v>
      </c>
      <c r="G14374" t="s">
        <v>35</v>
      </c>
      <c r="H14374" t="s">
        <v>20</v>
      </c>
      <c r="I14374" t="s">
        <v>27811</v>
      </c>
      <c r="J14374" t="str">
        <f>HYPERLINK("https://www.boe.es/gazeta/dias/1822/06/20/pdfs/GMD-1822-177.pdf#page=2","Abrir facsímil")</f>
        <v>Abrir facsímil</v>
      </c>
      <c r="K14374" t="s">
        <v>22</v>
      </c>
    </row>
    <row r="14375" spans="1:11" ht="42" customHeight="1">
      <c r="A14375" t="s">
        <v>27750</v>
      </c>
      <c r="B14375" t="s">
        <v>27750</v>
      </c>
      <c r="C14375" t="s">
        <v>42</v>
      </c>
      <c r="D14375" t="s">
        <v>17</v>
      </c>
      <c r="E14375" s="6">
        <v>-28316</v>
      </c>
      <c r="F14375" t="s">
        <v>1144</v>
      </c>
      <c r="G14375" t="s">
        <v>57</v>
      </c>
      <c r="H14375" t="s">
        <v>20</v>
      </c>
      <c r="I14375" t="s">
        <v>27812</v>
      </c>
      <c r="J14375" t="str">
        <f>HYPERLINK("https://www.boe.es/gazeta/dias/1822/06/21/pdfs/GMD-1822-179.pdf#page=4","Abrir facsímil")</f>
        <v>Abrir facsímil</v>
      </c>
      <c r="K14375" t="s">
        <v>22</v>
      </c>
    </row>
    <row r="14376" spans="1:11" ht="42" customHeight="1">
      <c r="A14376" t="s">
        <v>27750</v>
      </c>
      <c r="B14376" t="s">
        <v>27750</v>
      </c>
      <c r="C14376" t="s">
        <v>28</v>
      </c>
      <c r="D14376" t="s">
        <v>29</v>
      </c>
      <c r="E14376" s="6">
        <v>-28314</v>
      </c>
      <c r="F14376" t="s">
        <v>309</v>
      </c>
      <c r="G14376" t="s">
        <v>35</v>
      </c>
      <c r="H14376" t="s">
        <v>20</v>
      </c>
      <c r="I14376" t="s">
        <v>27813</v>
      </c>
      <c r="J14376" t="str">
        <f>HYPERLINK("https://www.boe.es/gazeta/dias/1822/06/23/pdfs/GMD-1822-181.pdf#page=2","Abrir facsímil")</f>
        <v>Abrir facsímil</v>
      </c>
      <c r="K14376" t="s">
        <v>22</v>
      </c>
    </row>
    <row r="14377" spans="1:11" ht="42" customHeight="1">
      <c r="A14377" t="s">
        <v>27750</v>
      </c>
      <c r="B14377" t="s">
        <v>27750</v>
      </c>
      <c r="C14377" t="s">
        <v>42</v>
      </c>
      <c r="D14377" t="s">
        <v>17</v>
      </c>
      <c r="E14377" s="6">
        <v>-28308</v>
      </c>
      <c r="F14377" t="s">
        <v>1050</v>
      </c>
      <c r="G14377" t="s">
        <v>35</v>
      </c>
      <c r="H14377" t="s">
        <v>20</v>
      </c>
      <c r="I14377" t="s">
        <v>27814</v>
      </c>
      <c r="J14377" t="str">
        <f>HYPERLINK("https://www.boe.es/gazeta/dias/1822/06/29/pdfs/GMD-1822-187.pdf#page=2","Abrir facsímil")</f>
        <v>Abrir facsímil</v>
      </c>
      <c r="K14377" t="s">
        <v>22</v>
      </c>
    </row>
    <row r="14378" spans="1:11" ht="42" customHeight="1">
      <c r="A14378" t="s">
        <v>27750</v>
      </c>
      <c r="B14378" t="s">
        <v>27750</v>
      </c>
      <c r="C14378" t="s">
        <v>61</v>
      </c>
      <c r="D14378" t="s">
        <v>17</v>
      </c>
      <c r="E14378" s="6">
        <v>-28308</v>
      </c>
      <c r="F14378" t="s">
        <v>1050</v>
      </c>
      <c r="G14378" t="s">
        <v>19</v>
      </c>
      <c r="H14378" t="s">
        <v>20</v>
      </c>
      <c r="I14378" t="s">
        <v>27815</v>
      </c>
      <c r="J14378" t="str">
        <f>HYPERLINK("https://www.boe.es/gazeta/dias/1822/06/29/pdfs/GMD-1822-187.pdf#page=5","Abrir facsímil")</f>
        <v>Abrir facsímil</v>
      </c>
      <c r="K14378" t="s">
        <v>22</v>
      </c>
    </row>
    <row r="14379" spans="1:11" ht="42" customHeight="1">
      <c r="A14379" t="s">
        <v>27750</v>
      </c>
      <c r="B14379" t="s">
        <v>27750</v>
      </c>
      <c r="C14379" t="s">
        <v>50</v>
      </c>
      <c r="D14379" t="s">
        <v>51</v>
      </c>
      <c r="E14379" s="6">
        <v>-28203</v>
      </c>
      <c r="F14379" t="s">
        <v>564</v>
      </c>
      <c r="G14379" t="s">
        <v>4185</v>
      </c>
      <c r="H14379" t="s">
        <v>20</v>
      </c>
      <c r="I14379" t="s">
        <v>27816</v>
      </c>
      <c r="J14379" t="str">
        <f>HYPERLINK("https://www.boe.es/gazeta/dias/1822/10/12/pdfs/GMD-1822-299.pdf#page=2","Abrir facsímil")</f>
        <v>Abrir facsímil</v>
      </c>
      <c r="K14379" t="s">
        <v>22</v>
      </c>
    </row>
    <row r="14380" spans="1:11" ht="42" customHeight="1">
      <c r="A14380" t="s">
        <v>27750</v>
      </c>
      <c r="B14380" t="s">
        <v>27750</v>
      </c>
      <c r="C14380" t="s">
        <v>42</v>
      </c>
      <c r="D14380" t="s">
        <v>17</v>
      </c>
      <c r="E14380" s="6">
        <v>-28200</v>
      </c>
      <c r="F14380" t="s">
        <v>1037</v>
      </c>
      <c r="G14380" t="s">
        <v>35</v>
      </c>
      <c r="H14380" t="s">
        <v>20</v>
      </c>
      <c r="I14380" t="s">
        <v>27817</v>
      </c>
      <c r="J14380" t="str">
        <f>HYPERLINK("https://www.boe.es/gazeta/dias/1822/10/15/pdfs/GMD-1822-302.pdf#page=2","Abrir facsímil")</f>
        <v>Abrir facsímil</v>
      </c>
      <c r="K14380" t="s">
        <v>22</v>
      </c>
    </row>
    <row r="14381" spans="1:11" ht="42" customHeight="1">
      <c r="A14381" t="s">
        <v>27750</v>
      </c>
      <c r="B14381" t="s">
        <v>27750</v>
      </c>
      <c r="C14381" t="s">
        <v>28</v>
      </c>
      <c r="D14381" t="s">
        <v>29</v>
      </c>
      <c r="E14381" s="6">
        <v>-28200</v>
      </c>
      <c r="F14381" t="s">
        <v>1037</v>
      </c>
      <c r="G14381" t="s">
        <v>57</v>
      </c>
      <c r="H14381" t="s">
        <v>20</v>
      </c>
      <c r="I14381" t="s">
        <v>27818</v>
      </c>
      <c r="J14381" t="str">
        <f>HYPERLINK("https://www.boe.es/gazeta/dias/1822/10/15/pdfs/GMD-1822-302.pdf#page=4","Abrir facsímil")</f>
        <v>Abrir facsímil</v>
      </c>
      <c r="K14381" t="s">
        <v>22</v>
      </c>
    </row>
    <row r="14382" spans="1:11" ht="42" customHeight="1">
      <c r="A14382" t="s">
        <v>27750</v>
      </c>
      <c r="B14382" t="s">
        <v>27750</v>
      </c>
      <c r="C14382" t="s">
        <v>28</v>
      </c>
      <c r="D14382" t="s">
        <v>29</v>
      </c>
      <c r="E14382" s="6">
        <v>-28200</v>
      </c>
      <c r="F14382" t="s">
        <v>1037</v>
      </c>
      <c r="G14382" t="s">
        <v>19</v>
      </c>
      <c r="H14382" t="s">
        <v>20</v>
      </c>
      <c r="I14382" t="s">
        <v>27819</v>
      </c>
      <c r="J14382" t="str">
        <f>HYPERLINK("https://www.boe.es/gazeta/dias/1822/10/15/pdfs/GMD-1822-302.pdf#page=5","Abrir facsímil")</f>
        <v>Abrir facsímil</v>
      </c>
      <c r="K14382" t="s">
        <v>22</v>
      </c>
    </row>
    <row r="14383" spans="1:11" ht="42" customHeight="1">
      <c r="A14383" t="s">
        <v>27750</v>
      </c>
      <c r="B14383" t="s">
        <v>27750</v>
      </c>
      <c r="C14383" t="s">
        <v>42</v>
      </c>
      <c r="D14383" t="s">
        <v>17</v>
      </c>
      <c r="E14383" s="6">
        <v>-28199</v>
      </c>
      <c r="F14383" t="s">
        <v>656</v>
      </c>
      <c r="G14383" t="s">
        <v>31</v>
      </c>
      <c r="H14383" t="s">
        <v>20</v>
      </c>
      <c r="I14383" t="s">
        <v>27820</v>
      </c>
      <c r="J14383" t="str">
        <f>HYPERLINK("https://www.boe.es/gazeta/dias/1822/10/16/pdfs/GMD-1822-303.pdf#page=3","Abrir facsímil")</f>
        <v>Abrir facsímil</v>
      </c>
      <c r="K14383" t="s">
        <v>22</v>
      </c>
    </row>
    <row r="14384" spans="1:11" ht="42" customHeight="1">
      <c r="A14384" t="s">
        <v>27750</v>
      </c>
      <c r="B14384" t="s">
        <v>27750</v>
      </c>
      <c r="C14384" t="s">
        <v>71</v>
      </c>
      <c r="D14384" t="s">
        <v>17</v>
      </c>
      <c r="E14384" s="6">
        <v>-28199</v>
      </c>
      <c r="F14384" t="s">
        <v>656</v>
      </c>
      <c r="G14384" t="s">
        <v>57</v>
      </c>
      <c r="H14384" t="s">
        <v>20</v>
      </c>
      <c r="I14384" t="s">
        <v>27821</v>
      </c>
      <c r="J14384" t="str">
        <f>HYPERLINK("https://www.boe.es/gazeta/dias/1822/10/16/pdfs/GMD-1822-303.pdf#page=4","Abrir facsímil")</f>
        <v>Abrir facsímil</v>
      </c>
      <c r="K14384" t="s">
        <v>22</v>
      </c>
    </row>
    <row r="14385" spans="1:11" ht="42" customHeight="1">
      <c r="A14385" t="s">
        <v>27757</v>
      </c>
      <c r="B14385" t="s">
        <v>27757</v>
      </c>
      <c r="C14385" t="s">
        <v>24</v>
      </c>
      <c r="D14385" t="s">
        <v>17</v>
      </c>
      <c r="E14385" s="6">
        <v>-28198</v>
      </c>
      <c r="F14385" t="s">
        <v>981</v>
      </c>
      <c r="G14385" t="s">
        <v>31</v>
      </c>
      <c r="H14385" t="s">
        <v>20</v>
      </c>
      <c r="I14385" t="s">
        <v>27822</v>
      </c>
      <c r="J14385" t="str">
        <f>HYPERLINK("https://www.boe.es/gazeta/dias/1822/10/17/pdfs/GMD-1822-304.pdf#page=3","Abrir facsímil")</f>
        <v>Abrir facsímil</v>
      </c>
      <c r="K14385" t="s">
        <v>22</v>
      </c>
    </row>
    <row r="14386" spans="1:11" ht="42" customHeight="1">
      <c r="A14386" t="s">
        <v>27750</v>
      </c>
      <c r="B14386" t="s">
        <v>27750</v>
      </c>
      <c r="C14386" t="s">
        <v>71</v>
      </c>
      <c r="D14386" t="s">
        <v>17</v>
      </c>
      <c r="E14386" s="6">
        <v>-28195</v>
      </c>
      <c r="F14386" t="s">
        <v>770</v>
      </c>
      <c r="G14386" t="s">
        <v>57</v>
      </c>
      <c r="H14386" t="s">
        <v>20</v>
      </c>
      <c r="I14386" t="s">
        <v>27823</v>
      </c>
      <c r="J14386" t="str">
        <f>HYPERLINK("https://www.boe.es/gazeta/dias/1822/10/20/pdfs/GMD-1822-307.pdf#page=4","Abrir facsímil")</f>
        <v>Abrir facsímil</v>
      </c>
      <c r="K14386" t="s">
        <v>22</v>
      </c>
    </row>
    <row r="14387" spans="1:11" ht="42" customHeight="1">
      <c r="A14387" t="s">
        <v>27750</v>
      </c>
      <c r="B14387" t="s">
        <v>27750</v>
      </c>
      <c r="C14387" t="s">
        <v>42</v>
      </c>
      <c r="D14387" t="s">
        <v>17</v>
      </c>
      <c r="E14387" s="6">
        <v>-28192</v>
      </c>
      <c r="F14387" t="s">
        <v>43</v>
      </c>
      <c r="G14387" t="s">
        <v>63</v>
      </c>
      <c r="H14387" t="s">
        <v>20</v>
      </c>
      <c r="I14387" t="s">
        <v>27824</v>
      </c>
      <c r="J14387" t="str">
        <f>HYPERLINK("https://www.boe.es/gazeta/dias/1822/10/23/pdfs/GMD-1822-310.pdf#page=6","Abrir facsímil")</f>
        <v>Abrir facsímil</v>
      </c>
      <c r="K14387" t="s">
        <v>22</v>
      </c>
    </row>
    <row r="14388" spans="1:11" ht="42" customHeight="1">
      <c r="A14388" t="s">
        <v>27750</v>
      </c>
      <c r="B14388" t="s">
        <v>27750</v>
      </c>
      <c r="C14388" t="s">
        <v>50</v>
      </c>
      <c r="D14388" t="s">
        <v>51</v>
      </c>
      <c r="E14388" s="6">
        <v>-28190</v>
      </c>
      <c r="F14388" t="s">
        <v>576</v>
      </c>
      <c r="G14388" t="s">
        <v>19</v>
      </c>
      <c r="H14388" t="s">
        <v>20</v>
      </c>
      <c r="I14388" t="s">
        <v>27825</v>
      </c>
      <c r="J14388" t="str">
        <f>HYPERLINK("https://www.boe.es/gazeta/dias/1822/10/25/pdfs/GMD-1822-312.pdf#page=5","Abrir facsímil")</f>
        <v>Abrir facsímil</v>
      </c>
      <c r="K14388" t="s">
        <v>22</v>
      </c>
    </row>
    <row r="14389" spans="1:11" ht="42" customHeight="1">
      <c r="A14389" t="s">
        <v>27750</v>
      </c>
      <c r="B14389" t="s">
        <v>27750</v>
      </c>
      <c r="C14389" t="s">
        <v>50</v>
      </c>
      <c r="D14389" t="s">
        <v>51</v>
      </c>
      <c r="E14389" s="6">
        <v>-28189</v>
      </c>
      <c r="F14389" t="s">
        <v>645</v>
      </c>
      <c r="G14389" t="s">
        <v>35</v>
      </c>
      <c r="H14389" t="s">
        <v>20</v>
      </c>
      <c r="I14389" t="s">
        <v>27826</v>
      </c>
      <c r="J14389" t="str">
        <f>HYPERLINK("https://www.boe.es/gazeta/dias/1822/10/26/pdfs/GMD-1822-313.pdf#page=2","Abrir facsímil")</f>
        <v>Abrir facsímil</v>
      </c>
      <c r="K14389" t="s">
        <v>22</v>
      </c>
    </row>
    <row r="14390" spans="1:11" ht="42" customHeight="1">
      <c r="A14390" t="s">
        <v>27750</v>
      </c>
      <c r="B14390" t="s">
        <v>27750</v>
      </c>
      <c r="C14390" t="s">
        <v>42</v>
      </c>
      <c r="D14390" t="s">
        <v>17</v>
      </c>
      <c r="E14390" s="6">
        <v>-28188</v>
      </c>
      <c r="F14390" t="s">
        <v>578</v>
      </c>
      <c r="G14390" t="s">
        <v>31</v>
      </c>
      <c r="H14390" t="s">
        <v>20</v>
      </c>
      <c r="I14390" t="s">
        <v>27827</v>
      </c>
      <c r="J14390" t="str">
        <f>HYPERLINK("https://www.boe.es/gazeta/dias/1822/10/27/pdfs/GMD-1822-314.pdf#page=3","Abrir facsímil")</f>
        <v>Abrir facsímil</v>
      </c>
      <c r="K14390" t="s">
        <v>22</v>
      </c>
    </row>
    <row r="14391" spans="1:11" ht="42" customHeight="1">
      <c r="A14391" t="s">
        <v>27757</v>
      </c>
      <c r="B14391" t="s">
        <v>27757</v>
      </c>
      <c r="C14391" t="s">
        <v>71</v>
      </c>
      <c r="D14391" t="s">
        <v>17</v>
      </c>
      <c r="E14391" s="6">
        <v>-28187</v>
      </c>
      <c r="F14391" t="s">
        <v>929</v>
      </c>
      <c r="G14391" t="s">
        <v>44</v>
      </c>
      <c r="H14391" t="s">
        <v>20</v>
      </c>
      <c r="I14391" t="s">
        <v>27828</v>
      </c>
      <c r="J14391" t="str">
        <f>HYPERLINK("https://www.boe.es/gazeta/dias/1822/10/28/pdfs/GMD-1822-315.pdf#page=1","Abrir facsímil")</f>
        <v>Abrir facsímil</v>
      </c>
      <c r="K14391" t="s">
        <v>22</v>
      </c>
    </row>
    <row r="14392" spans="1:11" ht="42" customHeight="1">
      <c r="A14392" t="s">
        <v>27757</v>
      </c>
      <c r="B14392" t="s">
        <v>27757</v>
      </c>
      <c r="C14392" t="s">
        <v>50</v>
      </c>
      <c r="D14392" t="s">
        <v>51</v>
      </c>
      <c r="E14392" s="6">
        <v>-28187</v>
      </c>
      <c r="F14392" t="s">
        <v>929</v>
      </c>
      <c r="G14392" t="s">
        <v>19</v>
      </c>
      <c r="H14392" t="s">
        <v>20</v>
      </c>
      <c r="I14392" t="s">
        <v>27829</v>
      </c>
      <c r="J14392" t="str">
        <f>HYPERLINK("https://www.boe.es/gazeta/dias/1822/10/28/pdfs/GMD-1822-315.pdf#page=5","Abrir facsímil")</f>
        <v>Abrir facsímil</v>
      </c>
      <c r="K14392" t="s">
        <v>22</v>
      </c>
    </row>
    <row r="14393" spans="1:11" ht="42" customHeight="1">
      <c r="A14393" t="s">
        <v>27750</v>
      </c>
      <c r="B14393" t="s">
        <v>27750</v>
      </c>
      <c r="C14393" t="s">
        <v>42</v>
      </c>
      <c r="D14393" t="s">
        <v>17</v>
      </c>
      <c r="E14393" s="6">
        <v>-28186</v>
      </c>
      <c r="F14393" t="s">
        <v>581</v>
      </c>
      <c r="G14393" t="s">
        <v>31</v>
      </c>
      <c r="H14393" t="s">
        <v>20</v>
      </c>
      <c r="I14393" t="s">
        <v>27830</v>
      </c>
      <c r="J14393" t="str">
        <f>HYPERLINK("https://www.boe.es/gazeta/dias/1822/10/29/pdfs/GMD-1822-316.pdf#page=3","Abrir facsímil")</f>
        <v>Abrir facsímil</v>
      </c>
      <c r="K14393" t="s">
        <v>22</v>
      </c>
    </row>
    <row r="14394" spans="1:11" ht="42" customHeight="1">
      <c r="A14394" t="s">
        <v>27750</v>
      </c>
      <c r="B14394" t="s">
        <v>27750</v>
      </c>
      <c r="C14394" t="s">
        <v>24</v>
      </c>
      <c r="D14394" t="s">
        <v>17</v>
      </c>
      <c r="E14394" s="6">
        <v>-28185</v>
      </c>
      <c r="F14394" t="s">
        <v>933</v>
      </c>
      <c r="G14394" t="s">
        <v>35</v>
      </c>
      <c r="H14394" t="s">
        <v>20</v>
      </c>
      <c r="I14394" t="s">
        <v>27831</v>
      </c>
      <c r="J14394" t="str">
        <f>HYPERLINK("https://www.boe.es/gazeta/dias/1822/10/30/pdfs/GMD-1822-317.pdf#page=2","Abrir facsímil")</f>
        <v>Abrir facsímil</v>
      </c>
      <c r="K14394" t="s">
        <v>22</v>
      </c>
    </row>
    <row r="14395" spans="1:11" ht="42" customHeight="1">
      <c r="A14395" t="s">
        <v>27750</v>
      </c>
      <c r="B14395" t="s">
        <v>27750</v>
      </c>
      <c r="C14395" t="s">
        <v>28</v>
      </c>
      <c r="D14395" t="s">
        <v>29</v>
      </c>
      <c r="E14395" s="6">
        <v>-28179</v>
      </c>
      <c r="F14395" t="s">
        <v>935</v>
      </c>
      <c r="G14395" t="s">
        <v>35</v>
      </c>
      <c r="H14395" t="s">
        <v>20</v>
      </c>
      <c r="I14395" t="s">
        <v>27832</v>
      </c>
      <c r="J14395" t="str">
        <f>HYPERLINK("https://www.boe.es/gazeta/dias/1822/11/05/pdfs/GMD-1822-325.pdf#page=2","Abrir facsímil")</f>
        <v>Abrir facsímil</v>
      </c>
      <c r="K14395" t="s">
        <v>22</v>
      </c>
    </row>
    <row r="14396" spans="1:11" ht="42" customHeight="1">
      <c r="A14396" t="s">
        <v>27750</v>
      </c>
      <c r="B14396" t="s">
        <v>27750</v>
      </c>
      <c r="C14396" t="s">
        <v>50</v>
      </c>
      <c r="D14396" t="s">
        <v>51</v>
      </c>
      <c r="E14396" s="6">
        <v>-28177</v>
      </c>
      <c r="F14396" t="s">
        <v>587</v>
      </c>
      <c r="G14396" t="s">
        <v>19</v>
      </c>
      <c r="H14396" t="s">
        <v>20</v>
      </c>
      <c r="I14396" t="s">
        <v>27833</v>
      </c>
      <c r="J14396" t="str">
        <f>HYPERLINK("https://www.boe.es/gazeta/dias/1822/11/07/pdfs/GMD-1822-327.pdf#page=5","Abrir facsímil")</f>
        <v>Abrir facsímil</v>
      </c>
      <c r="K14396" t="s">
        <v>22</v>
      </c>
    </row>
    <row r="14397" spans="1:11" ht="42" customHeight="1">
      <c r="A14397" t="s">
        <v>27750</v>
      </c>
      <c r="B14397" t="s">
        <v>27750</v>
      </c>
      <c r="C14397" t="s">
        <v>71</v>
      </c>
      <c r="D14397" t="s">
        <v>17</v>
      </c>
      <c r="E14397" s="6">
        <v>-28176</v>
      </c>
      <c r="F14397" t="s">
        <v>780</v>
      </c>
      <c r="G14397" t="s">
        <v>5014</v>
      </c>
      <c r="H14397" t="s">
        <v>20</v>
      </c>
      <c r="I14397" t="s">
        <v>27834</v>
      </c>
      <c r="J14397" t="str">
        <f>HYPERLINK("https://www.boe.es/gazeta/dias/1822/11/08/pdfs/GMD-1822-328.pdf#page=4","Abrir facsímil")</f>
        <v>Abrir facsímil</v>
      </c>
      <c r="K14397" t="s">
        <v>22</v>
      </c>
    </row>
    <row r="14398" spans="1:11" ht="42" customHeight="1">
      <c r="A14398" t="s">
        <v>27750</v>
      </c>
      <c r="B14398" t="s">
        <v>27750</v>
      </c>
      <c r="C14398" t="s">
        <v>50</v>
      </c>
      <c r="D14398" t="s">
        <v>51</v>
      </c>
      <c r="E14398" s="6">
        <v>-28172</v>
      </c>
      <c r="F14398" t="s">
        <v>674</v>
      </c>
      <c r="G14398" t="s">
        <v>31</v>
      </c>
      <c r="H14398" t="s">
        <v>20</v>
      </c>
      <c r="I14398" t="s">
        <v>27835</v>
      </c>
      <c r="J14398" t="str">
        <f>HYPERLINK("https://www.boe.es/gazeta/dias/1822/11/12/pdfs/GMD-1822-332.pdf#page=3","Abrir facsímil")</f>
        <v>Abrir facsímil</v>
      </c>
      <c r="K14398" t="s">
        <v>22</v>
      </c>
    </row>
    <row r="14399" spans="1:11" ht="42" customHeight="1">
      <c r="A14399" t="s">
        <v>27750</v>
      </c>
      <c r="B14399" t="s">
        <v>27750</v>
      </c>
      <c r="C14399" t="s">
        <v>50</v>
      </c>
      <c r="D14399" t="s">
        <v>51</v>
      </c>
      <c r="E14399" s="6">
        <v>-28171</v>
      </c>
      <c r="F14399" t="s">
        <v>1075</v>
      </c>
      <c r="G14399" t="s">
        <v>35</v>
      </c>
      <c r="H14399" t="s">
        <v>20</v>
      </c>
      <c r="I14399" t="s">
        <v>27836</v>
      </c>
      <c r="J14399" t="str">
        <f>HYPERLINK("https://www.boe.es/gazeta/dias/1822/11/13/pdfs/GMD-1822-333.pdf#page=2","Abrir facsímil")</f>
        <v>Abrir facsímil</v>
      </c>
      <c r="K14399" t="s">
        <v>22</v>
      </c>
    </row>
    <row r="14400" spans="1:11" ht="42" customHeight="1">
      <c r="A14400" t="s">
        <v>27750</v>
      </c>
      <c r="B14400" t="s">
        <v>27750</v>
      </c>
      <c r="C14400" t="s">
        <v>16</v>
      </c>
      <c r="D14400" t="s">
        <v>17</v>
      </c>
      <c r="E14400" s="6">
        <v>-28169</v>
      </c>
      <c r="F14400" t="s">
        <v>2571</v>
      </c>
      <c r="G14400" t="s">
        <v>35</v>
      </c>
      <c r="H14400" t="s">
        <v>20</v>
      </c>
      <c r="I14400" t="s">
        <v>27837</v>
      </c>
      <c r="J14400" t="str">
        <f>HYPERLINK("https://www.boe.es/gazeta/dias/1822/11/15/pdfs/GMD-1822-335.pdf#page=2","Abrir facsímil")</f>
        <v>Abrir facsímil</v>
      </c>
      <c r="K14400" t="s">
        <v>22</v>
      </c>
    </row>
    <row r="14401" spans="1:11" ht="42" customHeight="1">
      <c r="A14401" t="s">
        <v>27750</v>
      </c>
      <c r="B14401" t="s">
        <v>27750</v>
      </c>
      <c r="C14401" t="s">
        <v>16</v>
      </c>
      <c r="D14401" t="s">
        <v>17</v>
      </c>
      <c r="E14401" s="6">
        <v>-28169</v>
      </c>
      <c r="F14401" t="s">
        <v>2571</v>
      </c>
      <c r="G14401" t="s">
        <v>19</v>
      </c>
      <c r="H14401" t="s">
        <v>20</v>
      </c>
      <c r="I14401" t="s">
        <v>27838</v>
      </c>
      <c r="J14401" t="str">
        <f>HYPERLINK("https://www.boe.es/gazeta/dias/1822/11/15/pdfs/GMD-1822-335.pdf#page=5","Abrir facsímil")</f>
        <v>Abrir facsímil</v>
      </c>
      <c r="K14401" t="s">
        <v>22</v>
      </c>
    </row>
    <row r="14402" spans="1:11" ht="42" customHeight="1">
      <c r="A14402" t="s">
        <v>27750</v>
      </c>
      <c r="B14402" t="s">
        <v>27750</v>
      </c>
      <c r="C14402" t="s">
        <v>50</v>
      </c>
      <c r="D14402" t="s">
        <v>51</v>
      </c>
      <c r="E14402" s="6">
        <v>-28168</v>
      </c>
      <c r="F14402" t="s">
        <v>3672</v>
      </c>
      <c r="G14402" t="s">
        <v>31</v>
      </c>
      <c r="H14402" t="s">
        <v>20</v>
      </c>
      <c r="I14402" t="s">
        <v>27839</v>
      </c>
      <c r="J14402" t="str">
        <f>HYPERLINK("https://www.boe.es/gazeta/dias/1822/11/16/pdfs/GMD-1822-336.pdf#page=3","Abrir facsímil")</f>
        <v>Abrir facsímil</v>
      </c>
      <c r="K14402" t="s">
        <v>22</v>
      </c>
    </row>
    <row r="14403" spans="1:11" ht="42" customHeight="1">
      <c r="A14403" t="s">
        <v>27750</v>
      </c>
      <c r="B14403" t="s">
        <v>27750</v>
      </c>
      <c r="C14403" t="s">
        <v>42</v>
      </c>
      <c r="D14403" t="s">
        <v>17</v>
      </c>
      <c r="E14403" s="6">
        <v>-28162</v>
      </c>
      <c r="F14403" t="s">
        <v>3949</v>
      </c>
      <c r="G14403" t="s">
        <v>35</v>
      </c>
      <c r="H14403" t="s">
        <v>20</v>
      </c>
      <c r="I14403" t="s">
        <v>27840</v>
      </c>
      <c r="J14403" t="str">
        <f>HYPERLINK("https://www.boe.es/gazeta/dias/1822/11/22/pdfs/GMD-1822-342.pdf#page=2","Abrir facsímil")</f>
        <v>Abrir facsímil</v>
      </c>
      <c r="K14403" t="s">
        <v>22</v>
      </c>
    </row>
    <row r="14404" spans="1:11" ht="42" customHeight="1">
      <c r="A14404" t="s">
        <v>27750</v>
      </c>
      <c r="B14404" t="s">
        <v>27750</v>
      </c>
      <c r="C14404" t="s">
        <v>50</v>
      </c>
      <c r="D14404" t="s">
        <v>51</v>
      </c>
      <c r="E14404" s="6">
        <v>-28162</v>
      </c>
      <c r="F14404" t="s">
        <v>3949</v>
      </c>
      <c r="G14404" t="s">
        <v>31</v>
      </c>
      <c r="H14404" t="s">
        <v>20</v>
      </c>
      <c r="I14404" t="s">
        <v>27841</v>
      </c>
      <c r="J14404" t="str">
        <f>HYPERLINK("https://www.boe.es/gazeta/dias/1822/11/22/pdfs/GMD-1822-342.pdf#page=3","Abrir facsímil")</f>
        <v>Abrir facsímil</v>
      </c>
      <c r="K14404" t="s">
        <v>22</v>
      </c>
    </row>
    <row r="14405" spans="1:11" ht="42" customHeight="1">
      <c r="A14405" t="s">
        <v>27750</v>
      </c>
      <c r="B14405" t="s">
        <v>27750</v>
      </c>
      <c r="C14405" t="s">
        <v>50</v>
      </c>
      <c r="D14405" t="s">
        <v>51</v>
      </c>
      <c r="E14405" s="6">
        <v>-28161</v>
      </c>
      <c r="F14405" t="s">
        <v>166</v>
      </c>
      <c r="G14405" t="s">
        <v>44</v>
      </c>
      <c r="H14405" t="s">
        <v>20</v>
      </c>
      <c r="I14405" t="s">
        <v>27842</v>
      </c>
      <c r="J14405" t="str">
        <f>HYPERLINK("https://www.boe.es/gazeta/dias/1822/11/23/pdfs/GMD-1822-343.pdf#page=1","Abrir facsímil")</f>
        <v>Abrir facsímil</v>
      </c>
      <c r="K14405" t="s">
        <v>22</v>
      </c>
    </row>
    <row r="14406" spans="1:11" ht="42" customHeight="1">
      <c r="A14406" t="s">
        <v>27750</v>
      </c>
      <c r="B14406" t="s">
        <v>27750</v>
      </c>
      <c r="C14406" t="s">
        <v>50</v>
      </c>
      <c r="D14406" t="s">
        <v>51</v>
      </c>
      <c r="E14406" s="6">
        <v>-28161</v>
      </c>
      <c r="F14406" t="s">
        <v>166</v>
      </c>
      <c r="G14406" t="s">
        <v>31</v>
      </c>
      <c r="H14406" t="s">
        <v>20</v>
      </c>
      <c r="I14406" t="s">
        <v>27843</v>
      </c>
      <c r="J14406" t="str">
        <f>HYPERLINK("https://www.boe.es/gazeta/dias/1822/11/23/pdfs/GMD-1822-343.pdf#page=3","Abrir facsímil")</f>
        <v>Abrir facsímil</v>
      </c>
      <c r="K14406" t="s">
        <v>22</v>
      </c>
    </row>
    <row r="14407" spans="1:11" ht="42" customHeight="1">
      <c r="A14407" t="s">
        <v>27750</v>
      </c>
      <c r="B14407" t="s">
        <v>27750</v>
      </c>
      <c r="C14407" t="s">
        <v>362</v>
      </c>
      <c r="D14407" t="s">
        <v>17</v>
      </c>
      <c r="E14407" s="6">
        <v>-28159</v>
      </c>
      <c r="F14407" t="s">
        <v>67</v>
      </c>
      <c r="G14407" t="s">
        <v>35</v>
      </c>
      <c r="H14407" t="s">
        <v>20</v>
      </c>
      <c r="I14407" t="s">
        <v>27844</v>
      </c>
      <c r="J14407" t="str">
        <f>HYPERLINK("https://www.boe.es/gazeta/dias/1822/11/25/pdfs/GMD-1822-345.pdf#page=2","Abrir facsímil")</f>
        <v>Abrir facsímil</v>
      </c>
      <c r="K14407" t="s">
        <v>22</v>
      </c>
    </row>
    <row r="14408" spans="1:11" ht="42" customHeight="1">
      <c r="A14408" t="s">
        <v>27750</v>
      </c>
      <c r="B14408" t="s">
        <v>27750</v>
      </c>
      <c r="C14408" t="s">
        <v>42</v>
      </c>
      <c r="D14408" t="s">
        <v>17</v>
      </c>
      <c r="E14408" s="6">
        <v>-28159</v>
      </c>
      <c r="F14408" t="s">
        <v>67</v>
      </c>
      <c r="G14408" t="s">
        <v>31</v>
      </c>
      <c r="H14408" t="s">
        <v>20</v>
      </c>
      <c r="I14408" t="s">
        <v>27845</v>
      </c>
      <c r="J14408" t="str">
        <f>HYPERLINK("https://www.boe.es/gazeta/dias/1822/11/25/pdfs/GMD-1822-345.pdf#page=3","Abrir facsímil")</f>
        <v>Abrir facsímil</v>
      </c>
      <c r="K14408" t="s">
        <v>22</v>
      </c>
    </row>
    <row r="14409" spans="1:11" ht="42" customHeight="1">
      <c r="A14409" t="s">
        <v>27750</v>
      </c>
      <c r="B14409" t="s">
        <v>27750</v>
      </c>
      <c r="C14409" t="s">
        <v>50</v>
      </c>
      <c r="D14409" t="s">
        <v>51</v>
      </c>
      <c r="E14409" s="6">
        <v>-28156</v>
      </c>
      <c r="F14409" t="s">
        <v>1568</v>
      </c>
      <c r="G14409" t="s">
        <v>19</v>
      </c>
      <c r="H14409" t="s">
        <v>20</v>
      </c>
      <c r="I14409" t="s">
        <v>27846</v>
      </c>
      <c r="J14409" t="str">
        <f>HYPERLINK("https://www.boe.es/gazeta/dias/1822/11/28/pdfs/GMD-1822-348.pdf#page=5","Abrir facsímil")</f>
        <v>Abrir facsímil</v>
      </c>
      <c r="K14409" t="s">
        <v>22</v>
      </c>
    </row>
    <row r="14410" spans="1:11" ht="42" customHeight="1">
      <c r="A14410" t="s">
        <v>27750</v>
      </c>
      <c r="B14410" t="s">
        <v>27750</v>
      </c>
      <c r="C14410" t="s">
        <v>24</v>
      </c>
      <c r="D14410" t="s">
        <v>17</v>
      </c>
      <c r="E14410" s="6">
        <v>-28154</v>
      </c>
      <c r="F14410" t="s">
        <v>2321</v>
      </c>
      <c r="G14410" t="s">
        <v>35</v>
      </c>
      <c r="H14410" t="s">
        <v>20</v>
      </c>
      <c r="I14410" t="s">
        <v>27847</v>
      </c>
      <c r="J14410" t="str">
        <f>HYPERLINK("https://www.boe.es/gazeta/dias/1822/11/30/pdfs/GMD-1822-350.pdf#page=2","Abrir facsímil")</f>
        <v>Abrir facsímil</v>
      </c>
      <c r="K14410" t="s">
        <v>22</v>
      </c>
    </row>
    <row r="14411" spans="1:11" ht="42" customHeight="1">
      <c r="A14411" t="s">
        <v>27750</v>
      </c>
      <c r="B14411" t="s">
        <v>27750</v>
      </c>
      <c r="C14411" t="s">
        <v>28</v>
      </c>
      <c r="D14411" t="s">
        <v>29</v>
      </c>
      <c r="E14411" s="6">
        <v>-28154</v>
      </c>
      <c r="F14411" t="s">
        <v>2321</v>
      </c>
      <c r="G14411" t="s">
        <v>31</v>
      </c>
      <c r="H14411" t="s">
        <v>20</v>
      </c>
      <c r="I14411" t="s">
        <v>27848</v>
      </c>
      <c r="J14411" t="str">
        <f>HYPERLINK("https://www.boe.es/gazeta/dias/1822/11/30/pdfs/GMD-1822-350.pdf#page=3","Abrir facsímil")</f>
        <v>Abrir facsímil</v>
      </c>
      <c r="K14411" t="s">
        <v>22</v>
      </c>
    </row>
    <row r="14412" spans="1:11" ht="42" customHeight="1">
      <c r="A14412" t="s">
        <v>27750</v>
      </c>
      <c r="B14412" t="s">
        <v>27750</v>
      </c>
      <c r="C14412" t="s">
        <v>28</v>
      </c>
      <c r="D14412" t="s">
        <v>29</v>
      </c>
      <c r="E14412" s="6">
        <v>-28153</v>
      </c>
      <c r="F14412" t="s">
        <v>946</v>
      </c>
      <c r="G14412" t="s">
        <v>35</v>
      </c>
      <c r="H14412" t="s">
        <v>20</v>
      </c>
      <c r="I14412" t="s">
        <v>27849</v>
      </c>
      <c r="J14412" t="str">
        <f>HYPERLINK("https://www.boe.es/gazeta/dias/1822/12/01/pdfs/GMD-1822-351.pdf#page=2","Abrir facsímil")</f>
        <v>Abrir facsímil</v>
      </c>
      <c r="K14412" t="s">
        <v>22</v>
      </c>
    </row>
    <row r="14413" spans="1:11" ht="42" customHeight="1">
      <c r="A14413" t="s">
        <v>27750</v>
      </c>
      <c r="B14413" t="s">
        <v>27750</v>
      </c>
      <c r="C14413" t="s">
        <v>42</v>
      </c>
      <c r="D14413" t="s">
        <v>17</v>
      </c>
      <c r="E14413" s="6">
        <v>-28153</v>
      </c>
      <c r="F14413" t="s">
        <v>946</v>
      </c>
      <c r="G14413" t="s">
        <v>31</v>
      </c>
      <c r="H14413" t="s">
        <v>20</v>
      </c>
      <c r="I14413" t="s">
        <v>27850</v>
      </c>
      <c r="J14413" t="str">
        <f>HYPERLINK("https://www.boe.es/gazeta/dias/1822/12/01/pdfs/GMD-1822-351.pdf#page=3","Abrir facsímil")</f>
        <v>Abrir facsímil</v>
      </c>
      <c r="K14413" t="s">
        <v>22</v>
      </c>
    </row>
    <row r="14414" spans="1:11" ht="42" customHeight="1">
      <c r="A14414" t="s">
        <v>27750</v>
      </c>
      <c r="B14414" t="s">
        <v>27750</v>
      </c>
      <c r="C14414" t="s">
        <v>24</v>
      </c>
      <c r="D14414" t="s">
        <v>17</v>
      </c>
      <c r="E14414" s="6">
        <v>-28153</v>
      </c>
      <c r="F14414" t="s">
        <v>946</v>
      </c>
      <c r="G14414" t="s">
        <v>57</v>
      </c>
      <c r="H14414" t="s">
        <v>20</v>
      </c>
      <c r="I14414" t="s">
        <v>27851</v>
      </c>
      <c r="J14414" t="str">
        <f>HYPERLINK("https://www.boe.es/gazeta/dias/1822/12/01/pdfs/GMD-1822-351.pdf#page=4","Abrir facsímil")</f>
        <v>Abrir facsímil</v>
      </c>
      <c r="K14414" t="s">
        <v>22</v>
      </c>
    </row>
    <row r="14415" spans="1:11" ht="42" customHeight="1">
      <c r="A14415" t="s">
        <v>27750</v>
      </c>
      <c r="B14415" t="s">
        <v>27750</v>
      </c>
      <c r="C14415" t="s">
        <v>50</v>
      </c>
      <c r="D14415" t="s">
        <v>51</v>
      </c>
      <c r="E14415" s="6">
        <v>-28148</v>
      </c>
      <c r="F14415" t="s">
        <v>1909</v>
      </c>
      <c r="G14415" t="s">
        <v>31</v>
      </c>
      <c r="H14415" t="s">
        <v>20</v>
      </c>
      <c r="I14415" t="s">
        <v>27852</v>
      </c>
      <c r="J14415" t="str">
        <f>HYPERLINK("https://www.boe.es/gazeta/dias/1822/12/06/pdfs/GMD-1822-356.pdf#page=3","Abrir facsímil")</f>
        <v>Abrir facsímil</v>
      </c>
      <c r="K14415" t="s">
        <v>22</v>
      </c>
    </row>
    <row r="14416" spans="1:11" ht="42" customHeight="1">
      <c r="A14416" t="s">
        <v>27750</v>
      </c>
      <c r="B14416" t="s">
        <v>27750</v>
      </c>
      <c r="C14416" t="s">
        <v>42</v>
      </c>
      <c r="D14416" t="s">
        <v>17</v>
      </c>
      <c r="E14416" s="6">
        <v>-28138</v>
      </c>
      <c r="F14416" t="s">
        <v>3542</v>
      </c>
      <c r="G14416" t="s">
        <v>35</v>
      </c>
      <c r="H14416" t="s">
        <v>20</v>
      </c>
      <c r="I14416" t="s">
        <v>27853</v>
      </c>
      <c r="J14416" t="str">
        <f>HYPERLINK("https://www.boe.es/gazeta/dias/1822/12/16/pdfs/GMD-1822-366.pdf#page=2","Abrir facsímil")</f>
        <v>Abrir facsímil</v>
      </c>
      <c r="K14416" t="s">
        <v>22</v>
      </c>
    </row>
    <row r="14417" spans="1:11" ht="42" customHeight="1">
      <c r="A14417" t="s">
        <v>27750</v>
      </c>
      <c r="B14417" t="s">
        <v>27750</v>
      </c>
      <c r="C14417" t="s">
        <v>50</v>
      </c>
      <c r="D14417" t="s">
        <v>51</v>
      </c>
      <c r="E14417" s="6">
        <v>-28136</v>
      </c>
      <c r="F14417" t="s">
        <v>948</v>
      </c>
      <c r="G14417" t="s">
        <v>57</v>
      </c>
      <c r="H14417" t="s">
        <v>20</v>
      </c>
      <c r="I14417" t="s">
        <v>27854</v>
      </c>
      <c r="J14417" t="str">
        <f>HYPERLINK("https://www.boe.es/gazeta/dias/1822/12/18/pdfs/GMD-1822-368.pdf#page=4","Abrir facsímil")</f>
        <v>Abrir facsímil</v>
      </c>
      <c r="K14417" t="s">
        <v>22</v>
      </c>
    </row>
    <row r="14418" spans="1:11" ht="42" customHeight="1">
      <c r="A14418" t="s">
        <v>27750</v>
      </c>
      <c r="B14418" t="s">
        <v>27750</v>
      </c>
      <c r="C14418" t="s">
        <v>71</v>
      </c>
      <c r="D14418" t="s">
        <v>17</v>
      </c>
      <c r="E14418" s="6">
        <v>-28132</v>
      </c>
      <c r="F14418" t="s">
        <v>820</v>
      </c>
      <c r="G14418" t="s">
        <v>31</v>
      </c>
      <c r="H14418" t="s">
        <v>20</v>
      </c>
      <c r="I14418" t="s">
        <v>27855</v>
      </c>
      <c r="J14418" t="str">
        <f>HYPERLINK("https://www.boe.es/gazeta/dias/1822/12/22/pdfs/GMD-1822-372.pdf#page=3","Abrir facsímil")</f>
        <v>Abrir facsímil</v>
      </c>
      <c r="K14418" t="s">
        <v>22</v>
      </c>
    </row>
    <row r="14419" spans="1:11" ht="42" customHeight="1">
      <c r="A14419" t="s">
        <v>27750</v>
      </c>
      <c r="B14419" t="s">
        <v>27750</v>
      </c>
      <c r="C14419" t="s">
        <v>50</v>
      </c>
      <c r="D14419" t="s">
        <v>51</v>
      </c>
      <c r="E14419" s="6">
        <v>-28131</v>
      </c>
      <c r="F14419" t="s">
        <v>893</v>
      </c>
      <c r="G14419" t="s">
        <v>57</v>
      </c>
      <c r="H14419" t="s">
        <v>20</v>
      </c>
      <c r="I14419" t="s">
        <v>27856</v>
      </c>
      <c r="J14419" t="str">
        <f>HYPERLINK("https://www.boe.es/gazeta/dias/1822/12/23/pdfs/GMD-1822-373.pdf#page=4","Abrir facsímil")</f>
        <v>Abrir facsímil</v>
      </c>
      <c r="K14419" t="s">
        <v>22</v>
      </c>
    </row>
    <row r="14420" spans="1:11" ht="42" customHeight="1">
      <c r="A14420" t="s">
        <v>27750</v>
      </c>
      <c r="B14420" t="s">
        <v>27750</v>
      </c>
      <c r="C14420" t="s">
        <v>24</v>
      </c>
      <c r="D14420" t="s">
        <v>17</v>
      </c>
      <c r="E14420" s="6">
        <v>-28130</v>
      </c>
      <c r="F14420" t="s">
        <v>34</v>
      </c>
      <c r="G14420" t="s">
        <v>35</v>
      </c>
      <c r="H14420" t="s">
        <v>20</v>
      </c>
      <c r="I14420" t="s">
        <v>27857</v>
      </c>
      <c r="J14420" t="str">
        <f>HYPERLINK("https://www.boe.es/gazeta/dias/1822/12/24/pdfs/GMD-1822-374.pdf#page=2","Abrir facsímil")</f>
        <v>Abrir facsímil</v>
      </c>
      <c r="K14420" t="s">
        <v>22</v>
      </c>
    </row>
    <row r="14421" spans="1:11" ht="42" customHeight="1">
      <c r="A14421" t="s">
        <v>27750</v>
      </c>
      <c r="B14421" t="s">
        <v>27750</v>
      </c>
      <c r="C14421" t="s">
        <v>28</v>
      </c>
      <c r="D14421" t="s">
        <v>29</v>
      </c>
      <c r="E14421" s="6">
        <v>-28126</v>
      </c>
      <c r="F14421" t="s">
        <v>952</v>
      </c>
      <c r="G14421" t="s">
        <v>35</v>
      </c>
      <c r="H14421" t="s">
        <v>20</v>
      </c>
      <c r="I14421" t="s">
        <v>27858</v>
      </c>
      <c r="J14421" t="str">
        <f>HYPERLINK("https://www.boe.es/gazeta/dias/1822/12/28/pdfs/GMD-1822-378.pdf#page=2","Abrir facsímil")</f>
        <v>Abrir facsímil</v>
      </c>
      <c r="K14421" t="s">
        <v>22</v>
      </c>
    </row>
    <row r="14422" spans="1:11" ht="42" customHeight="1">
      <c r="A14422" t="s">
        <v>27750</v>
      </c>
      <c r="B14422" t="s">
        <v>27750</v>
      </c>
      <c r="C14422" t="s">
        <v>50</v>
      </c>
      <c r="D14422" t="s">
        <v>51</v>
      </c>
      <c r="E14422" s="6">
        <v>-28124</v>
      </c>
      <c r="F14422" t="s">
        <v>301</v>
      </c>
      <c r="G14422" t="s">
        <v>601</v>
      </c>
      <c r="H14422" t="s">
        <v>20</v>
      </c>
      <c r="I14422" t="s">
        <v>27859</v>
      </c>
      <c r="J14422" t="str">
        <f>HYPERLINK("https://www.boe.es/gazeta/dias/1822/12/30/pdfs/GMD-1822-380.pdf#page=4","Abrir facsímil")</f>
        <v>Abrir facsímil</v>
      </c>
      <c r="K14422" t="s">
        <v>22</v>
      </c>
    </row>
    <row r="14423" spans="1:11" ht="42" customHeight="1">
      <c r="A14423" t="s">
        <v>27750</v>
      </c>
      <c r="B14423" t="s">
        <v>27750</v>
      </c>
      <c r="C14423" t="s">
        <v>71</v>
      </c>
      <c r="D14423" t="s">
        <v>17</v>
      </c>
      <c r="E14423" s="6">
        <v>-28124</v>
      </c>
      <c r="F14423" t="s">
        <v>301</v>
      </c>
      <c r="G14423" t="s">
        <v>19</v>
      </c>
      <c r="H14423" t="s">
        <v>20</v>
      </c>
      <c r="I14423" t="s">
        <v>27860</v>
      </c>
      <c r="J14423" t="str">
        <f>HYPERLINK("https://www.boe.es/gazeta/dias/1822/12/30/pdfs/GMD-1822-380.pdf#page=5","Abrir facsímil")</f>
        <v>Abrir facsímil</v>
      </c>
      <c r="K14423" t="s">
        <v>22</v>
      </c>
    </row>
    <row r="14424" spans="1:11" ht="42" customHeight="1">
      <c r="A14424" t="s">
        <v>27861</v>
      </c>
      <c r="B14424" t="s">
        <v>27862</v>
      </c>
      <c r="C14424" t="s">
        <v>50</v>
      </c>
      <c r="D14424" t="s">
        <v>51</v>
      </c>
      <c r="E14424" s="6">
        <v>-28208</v>
      </c>
      <c r="F14424" t="s">
        <v>230</v>
      </c>
      <c r="G14424" t="s">
        <v>57</v>
      </c>
      <c r="H14424" t="s">
        <v>20</v>
      </c>
      <c r="I14424" t="s">
        <v>27863</v>
      </c>
      <c r="J14424" t="str">
        <f>HYPERLINK("https://www.boe.es/gazeta/dias/1822/10/07/pdfs/GMD-1822-293.pdf#page=4","Abrir facsímil")</f>
        <v>Abrir facsímil</v>
      </c>
      <c r="K14424" t="s">
        <v>22</v>
      </c>
    </row>
    <row r="14425" spans="1:11" ht="42" customHeight="1">
      <c r="A14425" t="s">
        <v>27864</v>
      </c>
      <c r="B14425" t="s">
        <v>27865</v>
      </c>
      <c r="C14425" t="s">
        <v>50</v>
      </c>
      <c r="D14425" t="s">
        <v>51</v>
      </c>
      <c r="E14425" s="6">
        <v>-28411</v>
      </c>
      <c r="F14425" t="s">
        <v>1509</v>
      </c>
      <c r="G14425" t="s">
        <v>44</v>
      </c>
      <c r="H14425" t="s">
        <v>20</v>
      </c>
      <c r="I14425" t="s">
        <v>27866</v>
      </c>
      <c r="J14425" t="str">
        <f>HYPERLINK("https://www.boe.es/gazeta/dias/1822/03/18/pdfs/GMD-1822-79.pdf#page=1","Abrir facsímil")</f>
        <v>Abrir facsímil</v>
      </c>
      <c r="K14425" t="s">
        <v>22</v>
      </c>
    </row>
    <row r="14426" spans="1:11" ht="42" customHeight="1">
      <c r="A14426" t="s">
        <v>27867</v>
      </c>
      <c r="B14426" t="s">
        <v>27868</v>
      </c>
      <c r="C14426" t="s">
        <v>42</v>
      </c>
      <c r="D14426" t="s">
        <v>17</v>
      </c>
      <c r="E14426" s="6">
        <v>-28436</v>
      </c>
      <c r="F14426" t="s">
        <v>431</v>
      </c>
      <c r="G14426" t="s">
        <v>1428</v>
      </c>
      <c r="H14426" t="s">
        <v>20</v>
      </c>
      <c r="I14426" t="s">
        <v>27869</v>
      </c>
      <c r="J14426" t="str">
        <f>HYPERLINK("https://www.boe.es/gazeta/dias/1822/02/21/pdfs/GMD-1822-53.pdf#page=3","Abrir facsímil")</f>
        <v>Abrir facsímil</v>
      </c>
      <c r="K14426" t="s">
        <v>22</v>
      </c>
    </row>
    <row r="14427" spans="1:11" ht="42" customHeight="1">
      <c r="A14427" t="s">
        <v>27867</v>
      </c>
      <c r="B14427" t="s">
        <v>27868</v>
      </c>
      <c r="C14427" t="s">
        <v>28</v>
      </c>
      <c r="D14427" t="s">
        <v>29</v>
      </c>
      <c r="E14427" s="6">
        <v>-28312</v>
      </c>
      <c r="F14427" t="s">
        <v>92</v>
      </c>
      <c r="G14427" t="s">
        <v>93</v>
      </c>
      <c r="H14427" t="s">
        <v>20</v>
      </c>
      <c r="I14427" t="s">
        <v>27870</v>
      </c>
      <c r="J14427" t="str">
        <f>HYPERLINK("https://www.boe.es/gazeta/dias/1822/06/25/pdfs/GMD-1822-183.pdf#page=4","Abrir facsímil")</f>
        <v>Abrir facsímil</v>
      </c>
      <c r="K14427" t="s">
        <v>22</v>
      </c>
    </row>
    <row r="14428" spans="1:11" ht="42" customHeight="1">
      <c r="A14428" t="s">
        <v>27867</v>
      </c>
      <c r="B14428" t="s">
        <v>27868</v>
      </c>
      <c r="C14428" t="s">
        <v>28</v>
      </c>
      <c r="D14428" t="s">
        <v>29</v>
      </c>
      <c r="E14428" s="6">
        <v>-28213</v>
      </c>
      <c r="F14428" t="s">
        <v>558</v>
      </c>
      <c r="G14428" t="s">
        <v>31</v>
      </c>
      <c r="H14428" t="s">
        <v>20</v>
      </c>
      <c r="I14428" t="s">
        <v>27871</v>
      </c>
      <c r="J14428" t="str">
        <f>HYPERLINK("https://www.boe.es/gazeta/dias/1822/10/02/pdfs/GMD-1822-288.pdf#page=3","Abrir facsímil")</f>
        <v>Abrir facsímil</v>
      </c>
      <c r="K14428" t="s">
        <v>22</v>
      </c>
    </row>
    <row r="14429" spans="1:11" ht="42" customHeight="1">
      <c r="A14429" t="s">
        <v>27872</v>
      </c>
      <c r="B14429" t="s">
        <v>27873</v>
      </c>
      <c r="C14429" t="s">
        <v>42</v>
      </c>
      <c r="D14429" t="s">
        <v>17</v>
      </c>
      <c r="E14429" s="6">
        <v>-28436</v>
      </c>
      <c r="F14429" t="s">
        <v>431</v>
      </c>
      <c r="G14429" t="s">
        <v>1428</v>
      </c>
      <c r="H14429" t="s">
        <v>20</v>
      </c>
      <c r="I14429" t="s">
        <v>27874</v>
      </c>
      <c r="J14429" t="str">
        <f>HYPERLINK("https://www.boe.es/gazeta/dias/1822/02/21/pdfs/GMD-1822-53.pdf#page=3","Abrir facsímil")</f>
        <v>Abrir facsímil</v>
      </c>
      <c r="K14429" t="s">
        <v>22</v>
      </c>
    </row>
    <row r="14430" spans="1:11" ht="42" customHeight="1">
      <c r="A14430" t="s">
        <v>27872</v>
      </c>
      <c r="B14430" t="s">
        <v>27873</v>
      </c>
      <c r="C14430" t="s">
        <v>24</v>
      </c>
      <c r="D14430" t="s">
        <v>17</v>
      </c>
      <c r="E14430" s="6">
        <v>-28364</v>
      </c>
      <c r="F14430" t="s">
        <v>509</v>
      </c>
      <c r="G14430" t="s">
        <v>63</v>
      </c>
      <c r="H14430" t="s">
        <v>20</v>
      </c>
      <c r="I14430" t="s">
        <v>27875</v>
      </c>
      <c r="J14430" t="str">
        <f>HYPERLINK("https://www.boe.es/gazeta/dias/1822/05/04/pdfs/GMD-1822-126.pdf#page=6","Abrir facsímil")</f>
        <v>Abrir facsímil</v>
      </c>
      <c r="K14430" t="s">
        <v>22</v>
      </c>
    </row>
    <row r="14431" spans="1:11" ht="42" customHeight="1">
      <c r="A14431" t="s">
        <v>27872</v>
      </c>
      <c r="B14431" t="s">
        <v>27873</v>
      </c>
      <c r="C14431" t="s">
        <v>50</v>
      </c>
      <c r="D14431" t="s">
        <v>51</v>
      </c>
      <c r="E14431" s="6">
        <v>-28146</v>
      </c>
      <c r="F14431" t="s">
        <v>180</v>
      </c>
      <c r="G14431" t="s">
        <v>57</v>
      </c>
      <c r="H14431" t="s">
        <v>20</v>
      </c>
      <c r="I14431" t="s">
        <v>27876</v>
      </c>
      <c r="J14431" t="str">
        <f>HYPERLINK("https://www.boe.es/gazeta/dias/1822/12/08/pdfs/GMD-1822-358.pdf#page=4","Abrir facsímil")</f>
        <v>Abrir facsímil</v>
      </c>
      <c r="K14431" t="s">
        <v>22</v>
      </c>
    </row>
    <row r="14432" spans="1:11" ht="42" customHeight="1">
      <c r="A14432" t="s">
        <v>27877</v>
      </c>
      <c r="B14432" t="s">
        <v>27878</v>
      </c>
      <c r="C14432" t="s">
        <v>71</v>
      </c>
      <c r="D14432" t="s">
        <v>17</v>
      </c>
      <c r="E14432" s="6">
        <v>-28360</v>
      </c>
      <c r="F14432" t="s">
        <v>514</v>
      </c>
      <c r="G14432" t="s">
        <v>57</v>
      </c>
      <c r="H14432" t="s">
        <v>20</v>
      </c>
      <c r="I14432" t="s">
        <v>27879</v>
      </c>
      <c r="J14432" t="str">
        <f>HYPERLINK("https://www.boe.es/gazeta/dias/1822/05/08/pdfs/GMD-1822-130.pdf#page=4","Abrir facsímil")</f>
        <v>Abrir facsímil</v>
      </c>
      <c r="K14432" t="s">
        <v>22</v>
      </c>
    </row>
    <row r="14433" spans="1:11" ht="42" customHeight="1">
      <c r="A14433" t="s">
        <v>27877</v>
      </c>
      <c r="B14433" t="s">
        <v>27878</v>
      </c>
      <c r="C14433" t="s">
        <v>28</v>
      </c>
      <c r="D14433" t="s">
        <v>29</v>
      </c>
      <c r="E14433" s="6">
        <v>-28346</v>
      </c>
      <c r="F14433" t="s">
        <v>191</v>
      </c>
      <c r="G14433" t="s">
        <v>63</v>
      </c>
      <c r="H14433" t="s">
        <v>20</v>
      </c>
      <c r="I14433" t="s">
        <v>27880</v>
      </c>
      <c r="J14433" t="str">
        <f>HYPERLINK("https://www.boe.es/gazeta/dias/1822/05/22/pdfs/GMD-1822-145.pdf#page=6","Abrir facsímil")</f>
        <v>Abrir facsímil</v>
      </c>
      <c r="K14433" t="s">
        <v>22</v>
      </c>
    </row>
    <row r="14434" spans="1:11" ht="42" customHeight="1">
      <c r="A14434" t="s">
        <v>27881</v>
      </c>
      <c r="B14434" t="s">
        <v>27882</v>
      </c>
      <c r="C14434" t="s">
        <v>50</v>
      </c>
      <c r="D14434" t="s">
        <v>51</v>
      </c>
      <c r="E14434" s="6">
        <v>-28314</v>
      </c>
      <c r="F14434" t="s">
        <v>309</v>
      </c>
      <c r="G14434" t="s">
        <v>63</v>
      </c>
      <c r="H14434" t="s">
        <v>20</v>
      </c>
      <c r="I14434" t="s">
        <v>27883</v>
      </c>
      <c r="J14434" t="str">
        <f>HYPERLINK("https://www.boe.es/gazeta/dias/1822/06/23/pdfs/GMD-1822-181.pdf#page=6","Abrir facsímil")</f>
        <v>Abrir facsímil</v>
      </c>
      <c r="K14434" t="s">
        <v>22</v>
      </c>
    </row>
    <row r="14435" spans="1:11" ht="42" customHeight="1">
      <c r="A14435" t="s">
        <v>27884</v>
      </c>
      <c r="B14435" t="s">
        <v>27884</v>
      </c>
      <c r="C14435" t="s">
        <v>42</v>
      </c>
      <c r="D14435" t="s">
        <v>17</v>
      </c>
      <c r="E14435" s="6">
        <v>-28404</v>
      </c>
      <c r="F14435" t="s">
        <v>421</v>
      </c>
      <c r="G14435" t="s">
        <v>44</v>
      </c>
      <c r="H14435" t="s">
        <v>20</v>
      </c>
      <c r="I14435" t="s">
        <v>27885</v>
      </c>
      <c r="J14435" t="str">
        <f>HYPERLINK("https://www.boe.es/gazeta/dias/1822/03/25/pdfs/GMD-1822-86.pdf#page=1","Abrir facsímil")</f>
        <v>Abrir facsímil</v>
      </c>
      <c r="K14435" t="s">
        <v>22</v>
      </c>
    </row>
    <row r="14436" spans="1:11" ht="42" customHeight="1">
      <c r="A14436" t="s">
        <v>27884</v>
      </c>
      <c r="B14436" t="s">
        <v>27884</v>
      </c>
      <c r="C14436" t="s">
        <v>50</v>
      </c>
      <c r="D14436" t="s">
        <v>51</v>
      </c>
      <c r="E14436" s="6">
        <v>-28390</v>
      </c>
      <c r="F14436" t="s">
        <v>665</v>
      </c>
      <c r="G14436" t="s">
        <v>35</v>
      </c>
      <c r="H14436" t="s">
        <v>20</v>
      </c>
      <c r="I14436" t="s">
        <v>27886</v>
      </c>
      <c r="J14436" t="str">
        <f>HYPERLINK("https://www.boe.es/gazeta/dias/1822/04/08/pdfs/GMD-1822-100.pdf#page=2","Abrir facsímil")</f>
        <v>Abrir facsímil</v>
      </c>
      <c r="K14436" t="s">
        <v>22</v>
      </c>
    </row>
    <row r="14437" spans="1:11" ht="42" customHeight="1">
      <c r="A14437" t="s">
        <v>27884</v>
      </c>
      <c r="B14437" t="s">
        <v>27884</v>
      </c>
      <c r="C14437" t="s">
        <v>42</v>
      </c>
      <c r="D14437" t="s">
        <v>17</v>
      </c>
      <c r="E14437" s="6">
        <v>-28350</v>
      </c>
      <c r="F14437" t="s">
        <v>352</v>
      </c>
      <c r="G14437" t="s">
        <v>31</v>
      </c>
      <c r="H14437" t="s">
        <v>20</v>
      </c>
      <c r="I14437" t="s">
        <v>27887</v>
      </c>
      <c r="J14437" t="str">
        <f>HYPERLINK("https://www.boe.es/gazeta/dias/1822/05/18/pdfs/GMD-1822-140.pdf#page=3","Abrir facsímil")</f>
        <v>Abrir facsímil</v>
      </c>
      <c r="K14437" t="s">
        <v>22</v>
      </c>
    </row>
    <row r="14438" spans="1:11" ht="42" customHeight="1">
      <c r="A14438" t="s">
        <v>27884</v>
      </c>
      <c r="B14438" t="s">
        <v>27884</v>
      </c>
      <c r="C14438" t="s">
        <v>42</v>
      </c>
      <c r="D14438" t="s">
        <v>17</v>
      </c>
      <c r="E14438" s="6">
        <v>-28344</v>
      </c>
      <c r="F14438" t="s">
        <v>524</v>
      </c>
      <c r="G14438" t="s">
        <v>1040</v>
      </c>
      <c r="H14438" t="s">
        <v>20</v>
      </c>
      <c r="I14438" t="s">
        <v>27888</v>
      </c>
      <c r="J14438" t="str">
        <f>HYPERLINK("https://www.boe.es/gazeta/dias/1822/05/24/pdfs/GMD-1822-148.pdf#page=2","Abrir facsímil")</f>
        <v>Abrir facsímil</v>
      </c>
      <c r="K14438" t="s">
        <v>22</v>
      </c>
    </row>
    <row r="14439" spans="1:11" ht="42" customHeight="1">
      <c r="A14439" t="s">
        <v>27884</v>
      </c>
      <c r="B14439" t="s">
        <v>27884</v>
      </c>
      <c r="C14439" t="s">
        <v>362</v>
      </c>
      <c r="D14439" t="s">
        <v>17</v>
      </c>
      <c r="E14439" s="6">
        <v>-28325</v>
      </c>
      <c r="F14439" t="s">
        <v>104</v>
      </c>
      <c r="G14439" t="s">
        <v>57</v>
      </c>
      <c r="H14439" t="s">
        <v>20</v>
      </c>
      <c r="I14439" t="s">
        <v>27889</v>
      </c>
      <c r="J14439" t="str">
        <f>HYPERLINK("https://www.boe.es/gazeta/dias/1822/06/12/pdfs/GMD-1822-169.pdf#page=4","Abrir facsímil")</f>
        <v>Abrir facsímil</v>
      </c>
      <c r="K14439" t="s">
        <v>22</v>
      </c>
    </row>
    <row r="14440" spans="1:11" ht="42" customHeight="1">
      <c r="A14440" t="s">
        <v>27884</v>
      </c>
      <c r="B14440" t="s">
        <v>27884</v>
      </c>
      <c r="C14440" t="s">
        <v>28</v>
      </c>
      <c r="D14440" t="s">
        <v>29</v>
      </c>
      <c r="E14440" s="6">
        <v>-28311</v>
      </c>
      <c r="F14440" t="s">
        <v>736</v>
      </c>
      <c r="G14440" t="s">
        <v>19</v>
      </c>
      <c r="H14440" t="s">
        <v>20</v>
      </c>
      <c r="I14440" t="s">
        <v>27890</v>
      </c>
      <c r="J14440" t="str">
        <f>HYPERLINK("https://www.boe.es/gazeta/dias/1822/06/26/pdfs/GMD-1822-184.pdf#page=5","Abrir facsímil")</f>
        <v>Abrir facsímil</v>
      </c>
      <c r="K14440" t="s">
        <v>22</v>
      </c>
    </row>
    <row r="14441" spans="1:11" ht="42" customHeight="1">
      <c r="A14441" t="s">
        <v>27884</v>
      </c>
      <c r="B14441" t="s">
        <v>27884</v>
      </c>
      <c r="C14441" t="s">
        <v>42</v>
      </c>
      <c r="D14441" t="s">
        <v>17</v>
      </c>
      <c r="E14441" s="6">
        <v>-28184</v>
      </c>
      <c r="F14441" t="s">
        <v>1423</v>
      </c>
      <c r="G14441" t="s">
        <v>35</v>
      </c>
      <c r="H14441" t="s">
        <v>20</v>
      </c>
      <c r="I14441" t="s">
        <v>27891</v>
      </c>
      <c r="J14441" t="str">
        <f>HYPERLINK("https://www.boe.es/gazeta/dias/1822/10/31/pdfs/GMD-1822-318.pdf#page=2","Abrir facsímil")</f>
        <v>Abrir facsímil</v>
      </c>
      <c r="K14441" t="s">
        <v>22</v>
      </c>
    </row>
    <row r="14442" spans="1:11" ht="42" customHeight="1">
      <c r="A14442" t="s">
        <v>27892</v>
      </c>
      <c r="B14442" t="s">
        <v>27892</v>
      </c>
      <c r="C14442" t="s">
        <v>16</v>
      </c>
      <c r="D14442" t="s">
        <v>17</v>
      </c>
      <c r="E14442" s="6">
        <v>-28176</v>
      </c>
      <c r="F14442" t="s">
        <v>780</v>
      </c>
      <c r="G14442" t="s">
        <v>31</v>
      </c>
      <c r="H14442" t="s">
        <v>20</v>
      </c>
      <c r="I14442" t="s">
        <v>27893</v>
      </c>
      <c r="J14442" t="str">
        <f>HYPERLINK("https://www.boe.es/gazeta/dias/1822/11/08/pdfs/GMD-1822-328.pdf#page=3","Abrir facsímil")</f>
        <v>Abrir facsímil</v>
      </c>
      <c r="K14442" t="s">
        <v>22</v>
      </c>
    </row>
    <row r="14443" spans="1:11" ht="42" customHeight="1">
      <c r="A14443" t="s">
        <v>27884</v>
      </c>
      <c r="B14443" t="s">
        <v>27884</v>
      </c>
      <c r="C14443" t="s">
        <v>71</v>
      </c>
      <c r="D14443" t="s">
        <v>17</v>
      </c>
      <c r="E14443" s="6">
        <v>-28154</v>
      </c>
      <c r="F14443" t="s">
        <v>2321</v>
      </c>
      <c r="G14443" t="s">
        <v>35</v>
      </c>
      <c r="H14443" t="s">
        <v>20</v>
      </c>
      <c r="I14443" t="s">
        <v>27894</v>
      </c>
      <c r="J14443" t="str">
        <f>HYPERLINK("https://www.boe.es/gazeta/dias/1822/11/30/pdfs/GMD-1822-350.pdf#page=2","Abrir facsímil")</f>
        <v>Abrir facsímil</v>
      </c>
      <c r="K14443" t="s">
        <v>22</v>
      </c>
    </row>
    <row r="14444" spans="1:11" ht="42" customHeight="1">
      <c r="A14444" t="s">
        <v>27884</v>
      </c>
      <c r="B14444" t="s">
        <v>27884</v>
      </c>
      <c r="C14444" t="s">
        <v>50</v>
      </c>
      <c r="D14444" t="s">
        <v>51</v>
      </c>
      <c r="E14444" s="6">
        <v>-28125</v>
      </c>
      <c r="F14444" t="s">
        <v>322</v>
      </c>
      <c r="G14444" t="s">
        <v>57</v>
      </c>
      <c r="H14444" t="s">
        <v>20</v>
      </c>
      <c r="I14444" t="s">
        <v>27895</v>
      </c>
      <c r="J14444" t="str">
        <f>HYPERLINK("https://www.boe.es/gazeta/dias/1822/12/29/pdfs/GMD-1822-379.pdf#page=4","Abrir facsímil")</f>
        <v>Abrir facsímil</v>
      </c>
      <c r="K14444" t="s">
        <v>22</v>
      </c>
    </row>
    <row r="14445" spans="1:11" ht="42" customHeight="1">
      <c r="A14445" t="s">
        <v>27896</v>
      </c>
      <c r="B14445" t="s">
        <v>27897</v>
      </c>
      <c r="C14445" t="s">
        <v>50</v>
      </c>
      <c r="D14445" t="s">
        <v>51</v>
      </c>
      <c r="E14445" s="6">
        <v>-28339</v>
      </c>
      <c r="F14445" t="s">
        <v>197</v>
      </c>
      <c r="G14445" t="s">
        <v>35</v>
      </c>
      <c r="H14445" t="s">
        <v>20</v>
      </c>
      <c r="I14445" t="s">
        <v>27898</v>
      </c>
      <c r="J14445" t="str">
        <f>HYPERLINK("https://www.boe.es/gazeta/dias/1822/05/29/pdfs/GMD-1822-154.pdf#page=2","Abrir facsímil")</f>
        <v>Abrir facsímil</v>
      </c>
      <c r="K14445" t="s">
        <v>22</v>
      </c>
    </row>
    <row r="14446" spans="1:11" ht="42" customHeight="1">
      <c r="A14446" t="s">
        <v>27899</v>
      </c>
      <c r="B14446" t="s">
        <v>27899</v>
      </c>
      <c r="C14446" t="s">
        <v>71</v>
      </c>
      <c r="D14446" t="s">
        <v>17</v>
      </c>
      <c r="E14446" s="6">
        <v>-28390</v>
      </c>
      <c r="F14446" t="s">
        <v>665</v>
      </c>
      <c r="G14446" t="s">
        <v>31</v>
      </c>
      <c r="H14446" t="s">
        <v>20</v>
      </c>
      <c r="I14446" t="s">
        <v>27900</v>
      </c>
      <c r="J14446" t="str">
        <f>HYPERLINK("https://www.boe.es/gazeta/dias/1822/04/08/pdfs/GMD-1822-100.pdf#page=3","Abrir facsímil")</f>
        <v>Abrir facsímil</v>
      </c>
      <c r="K14446" t="s">
        <v>22</v>
      </c>
    </row>
    <row r="14447" spans="1:11" ht="42" customHeight="1">
      <c r="A14447" t="s">
        <v>27901</v>
      </c>
      <c r="B14447" t="s">
        <v>27902</v>
      </c>
      <c r="C14447" t="s">
        <v>50</v>
      </c>
      <c r="D14447" t="s">
        <v>51</v>
      </c>
      <c r="E14447" s="6">
        <v>-28279</v>
      </c>
      <c r="F14447" t="s">
        <v>662</v>
      </c>
      <c r="G14447" t="s">
        <v>57</v>
      </c>
      <c r="H14447" t="s">
        <v>20</v>
      </c>
      <c r="I14447" t="s">
        <v>27903</v>
      </c>
      <c r="J14447" t="str">
        <f>HYPERLINK("https://www.boe.es/gazeta/dias/1822/07/28/pdfs/GMD-1822-221.pdf#page=4","Abrir facsímil")</f>
        <v>Abrir facsímil</v>
      </c>
      <c r="K14447" t="s">
        <v>22</v>
      </c>
    </row>
    <row r="14448" spans="1:11" ht="42" customHeight="1">
      <c r="A14448" t="s">
        <v>27904</v>
      </c>
      <c r="B14448" t="s">
        <v>27905</v>
      </c>
      <c r="C14448" t="s">
        <v>362</v>
      </c>
      <c r="D14448" t="s">
        <v>17</v>
      </c>
      <c r="E14448" s="6">
        <v>-28378</v>
      </c>
      <c r="F14448" t="s">
        <v>496</v>
      </c>
      <c r="G14448" t="s">
        <v>57</v>
      </c>
      <c r="H14448" t="s">
        <v>20</v>
      </c>
      <c r="I14448" t="s">
        <v>27906</v>
      </c>
      <c r="J14448" t="str">
        <f>HYPERLINK("https://www.boe.es/gazeta/dias/1822/04/20/pdfs/GMD-1822-112.pdf#page=4","Abrir facsímil")</f>
        <v>Abrir facsímil</v>
      </c>
      <c r="K14448" t="s">
        <v>22</v>
      </c>
    </row>
    <row r="14449" spans="1:11" ht="42" customHeight="1">
      <c r="A14449" t="s">
        <v>27907</v>
      </c>
      <c r="B14449" t="s">
        <v>27908</v>
      </c>
      <c r="C14449" t="s">
        <v>362</v>
      </c>
      <c r="D14449" t="s">
        <v>17</v>
      </c>
      <c r="E14449" s="6">
        <v>-28378</v>
      </c>
      <c r="F14449" t="s">
        <v>496</v>
      </c>
      <c r="G14449" t="s">
        <v>57</v>
      </c>
      <c r="H14449" t="s">
        <v>20</v>
      </c>
      <c r="I14449" t="s">
        <v>27909</v>
      </c>
      <c r="J14449" t="str">
        <f>HYPERLINK("https://www.boe.es/gazeta/dias/1822/04/20/pdfs/GMD-1822-112.pdf#page=4","Abrir facsímil")</f>
        <v>Abrir facsímil</v>
      </c>
      <c r="K14449" t="s">
        <v>22</v>
      </c>
    </row>
    <row r="14450" spans="1:11" ht="42" customHeight="1">
      <c r="A14450" t="s">
        <v>27910</v>
      </c>
      <c r="B14450" t="s">
        <v>27910</v>
      </c>
      <c r="C14450" t="s">
        <v>16</v>
      </c>
      <c r="D14450" t="s">
        <v>17</v>
      </c>
      <c r="E14450" s="6">
        <v>-28173</v>
      </c>
      <c r="F14450" t="s">
        <v>2959</v>
      </c>
      <c r="G14450" t="s">
        <v>57</v>
      </c>
      <c r="H14450" t="s">
        <v>20</v>
      </c>
      <c r="I14450" t="s">
        <v>27911</v>
      </c>
      <c r="J14450" t="str">
        <f>HYPERLINK("https://www.boe.es/gazeta/dias/1822/11/11/pdfs/GMD-1822-331.pdf#page=4","Abrir facsímil")</f>
        <v>Abrir facsímil</v>
      </c>
      <c r="K14450" t="s">
        <v>22</v>
      </c>
    </row>
    <row r="14451" spans="1:11" ht="42" customHeight="1">
      <c r="A14451" t="s">
        <v>27912</v>
      </c>
      <c r="B14451" t="s">
        <v>27912</v>
      </c>
      <c r="C14451" t="s">
        <v>28</v>
      </c>
      <c r="D14451" t="s">
        <v>29</v>
      </c>
      <c r="E14451" s="6">
        <v>-28337</v>
      </c>
      <c r="F14451" t="s">
        <v>1836</v>
      </c>
      <c r="G14451" t="s">
        <v>4337</v>
      </c>
      <c r="H14451" t="s">
        <v>20</v>
      </c>
      <c r="I14451" t="s">
        <v>27913</v>
      </c>
      <c r="J14451" t="str">
        <f>HYPERLINK("https://www.boe.es/gazeta/dias/1822/05/31/pdfs/GMD-1822-156.pdf#page=6","Abrir facsímil")</f>
        <v>Abrir facsímil</v>
      </c>
      <c r="K14451" t="s">
        <v>22</v>
      </c>
    </row>
    <row r="14452" spans="1:11" ht="42" customHeight="1">
      <c r="A14452" t="s">
        <v>27914</v>
      </c>
      <c r="B14452" t="s">
        <v>27914</v>
      </c>
      <c r="C14452" t="s">
        <v>28</v>
      </c>
      <c r="D14452" t="s">
        <v>29</v>
      </c>
      <c r="E14452" s="6">
        <v>-28392</v>
      </c>
      <c r="F14452" t="s">
        <v>2003</v>
      </c>
      <c r="G14452" t="s">
        <v>57</v>
      </c>
      <c r="H14452" t="s">
        <v>20</v>
      </c>
      <c r="I14452" t="s">
        <v>27915</v>
      </c>
      <c r="J14452" t="str">
        <f>HYPERLINK("https://www.boe.es/gazeta/dias/1822/04/06/pdfs/GMD-1822-98.pdf#page=4","Abrir facsímil")</f>
        <v>Abrir facsímil</v>
      </c>
      <c r="K14452" t="s">
        <v>22</v>
      </c>
    </row>
    <row r="14453" spans="1:11" ht="42" customHeight="1">
      <c r="A14453" t="s">
        <v>27916</v>
      </c>
      <c r="B14453" t="s">
        <v>27916</v>
      </c>
      <c r="C14453" t="s">
        <v>28</v>
      </c>
      <c r="D14453" t="s">
        <v>29</v>
      </c>
      <c r="E14453" s="6">
        <v>-28342</v>
      </c>
      <c r="F14453" t="s">
        <v>2281</v>
      </c>
      <c r="G14453" t="s">
        <v>44</v>
      </c>
      <c r="H14453" t="s">
        <v>20</v>
      </c>
      <c r="I14453" t="s">
        <v>27917</v>
      </c>
      <c r="J14453" t="str">
        <f>HYPERLINK("https://www.boe.es/gazeta/dias/1822/05/26/pdfs/GMD-1822-151.pdf#page=1","Abrir facsímil")</f>
        <v>Abrir facsímil</v>
      </c>
      <c r="K14453" t="s">
        <v>22</v>
      </c>
    </row>
    <row r="14454" spans="1:11" ht="42" customHeight="1">
      <c r="A14454" t="s">
        <v>27918</v>
      </c>
      <c r="B14454" t="s">
        <v>27918</v>
      </c>
      <c r="C14454" t="s">
        <v>16</v>
      </c>
      <c r="D14454" t="s">
        <v>17</v>
      </c>
      <c r="E14454" s="6">
        <v>-28178</v>
      </c>
      <c r="F14454" t="s">
        <v>318</v>
      </c>
      <c r="G14454" t="s">
        <v>31</v>
      </c>
      <c r="H14454" t="s">
        <v>20</v>
      </c>
      <c r="I14454" t="s">
        <v>27919</v>
      </c>
      <c r="J14454" t="str">
        <f>HYPERLINK("https://www.boe.es/gazeta/dias/1822/11/06/pdfs/GMD-1822-326.pdf#page=3","Abrir facsímil")</f>
        <v>Abrir facsímil</v>
      </c>
      <c r="K14454" t="s">
        <v>22</v>
      </c>
    </row>
    <row r="14455" spans="1:11" ht="42" customHeight="1">
      <c r="A14455" t="s">
        <v>27920</v>
      </c>
      <c r="B14455" t="s">
        <v>27920</v>
      </c>
      <c r="C14455" t="s">
        <v>50</v>
      </c>
      <c r="D14455" t="s">
        <v>51</v>
      </c>
      <c r="E14455" s="6">
        <v>-28184</v>
      </c>
      <c r="F14455" t="s">
        <v>1423</v>
      </c>
      <c r="G14455" t="s">
        <v>35</v>
      </c>
      <c r="H14455" t="s">
        <v>20</v>
      </c>
      <c r="I14455" t="s">
        <v>27921</v>
      </c>
      <c r="J14455" t="str">
        <f>HYPERLINK("https://www.boe.es/gazeta/dias/1822/10/31/pdfs/GMD-1822-318.pdf#page=2","Abrir facsímil")</f>
        <v>Abrir facsímil</v>
      </c>
      <c r="K14455" t="s">
        <v>22</v>
      </c>
    </row>
    <row r="14456" spans="1:11" ht="42" customHeight="1">
      <c r="A14456" t="s">
        <v>27922</v>
      </c>
      <c r="B14456" t="s">
        <v>27922</v>
      </c>
      <c r="C14456" t="s">
        <v>71</v>
      </c>
      <c r="D14456" t="s">
        <v>17</v>
      </c>
      <c r="E14456" s="6">
        <v>-28394</v>
      </c>
      <c r="F14456" t="s">
        <v>268</v>
      </c>
      <c r="G14456" t="s">
        <v>57</v>
      </c>
      <c r="H14456" t="s">
        <v>20</v>
      </c>
      <c r="I14456" t="s">
        <v>27923</v>
      </c>
      <c r="J14456" t="str">
        <f>HYPERLINK("https://www.boe.es/gazeta/dias/1822/04/04/pdfs/GMD-1822-96.pdf#page=4","Abrir facsímil")</f>
        <v>Abrir facsímil</v>
      </c>
      <c r="K14456" t="s">
        <v>22</v>
      </c>
    </row>
    <row r="14457" spans="1:11" ht="42" customHeight="1">
      <c r="A14457" t="s">
        <v>27924</v>
      </c>
      <c r="B14457" t="s">
        <v>27925</v>
      </c>
      <c r="C14457" t="s">
        <v>50</v>
      </c>
      <c r="D14457" t="s">
        <v>51</v>
      </c>
      <c r="E14457" s="6">
        <v>-28415</v>
      </c>
      <c r="F14457" t="s">
        <v>77</v>
      </c>
      <c r="G14457" t="s">
        <v>35</v>
      </c>
      <c r="H14457" t="s">
        <v>20</v>
      </c>
      <c r="I14457" t="s">
        <v>27926</v>
      </c>
      <c r="J14457" t="str">
        <f>HYPERLINK("https://www.boe.es/gazeta/dias/1822/03/14/pdfs/GMD-1822-75.pdf#page=2","Abrir facsímil")</f>
        <v>Abrir facsímil</v>
      </c>
      <c r="K14457" t="s">
        <v>22</v>
      </c>
    </row>
    <row r="14458" spans="1:11" ht="42" customHeight="1">
      <c r="A14458" t="s">
        <v>27927</v>
      </c>
      <c r="B14458" t="s">
        <v>27927</v>
      </c>
      <c r="C14458" t="s">
        <v>28</v>
      </c>
      <c r="D14458" t="s">
        <v>29</v>
      </c>
      <c r="E14458" s="6">
        <v>-28477</v>
      </c>
      <c r="F14458" t="s">
        <v>1668</v>
      </c>
      <c r="G14458" t="s">
        <v>63</v>
      </c>
      <c r="H14458" t="s">
        <v>20</v>
      </c>
      <c r="I14458" t="s">
        <v>27928</v>
      </c>
      <c r="J14458" t="str">
        <f>HYPERLINK("https://www.boe.es/gazeta/dias/1822/01/11/pdfs/GMD-1822-11.pdf#page=6","Abrir facsímil")</f>
        <v>Abrir facsímil</v>
      </c>
      <c r="K14458" t="s">
        <v>22</v>
      </c>
    </row>
    <row r="14459" spans="1:11" ht="42" customHeight="1">
      <c r="A14459" t="s">
        <v>27929</v>
      </c>
      <c r="B14459" t="s">
        <v>27930</v>
      </c>
      <c r="C14459" t="s">
        <v>42</v>
      </c>
      <c r="D14459" t="s">
        <v>17</v>
      </c>
      <c r="E14459" s="6">
        <v>-28145</v>
      </c>
      <c r="F14459" t="s">
        <v>1350</v>
      </c>
      <c r="G14459" t="s">
        <v>63</v>
      </c>
      <c r="H14459" t="s">
        <v>20</v>
      </c>
      <c r="I14459" t="s">
        <v>27931</v>
      </c>
      <c r="J14459" t="str">
        <f>HYPERLINK("https://www.boe.es/gazeta/dias/1822/12/09/pdfs/GMD-1822-359.pdf#page=6","Abrir facsímil")</f>
        <v>Abrir facsímil</v>
      </c>
      <c r="K14459" t="s">
        <v>22</v>
      </c>
    </row>
    <row r="14460" spans="1:11" ht="42" customHeight="1">
      <c r="A14460" t="s">
        <v>27932</v>
      </c>
      <c r="B14460" t="s">
        <v>27933</v>
      </c>
      <c r="C14460" t="s">
        <v>28</v>
      </c>
      <c r="D14460" t="s">
        <v>29</v>
      </c>
      <c r="E14460" s="6">
        <v>-28145</v>
      </c>
      <c r="F14460" t="s">
        <v>1350</v>
      </c>
      <c r="G14460" t="s">
        <v>63</v>
      </c>
      <c r="H14460" t="s">
        <v>20</v>
      </c>
      <c r="I14460" t="s">
        <v>27934</v>
      </c>
      <c r="J14460" t="str">
        <f>HYPERLINK("https://www.boe.es/gazeta/dias/1822/12/09/pdfs/GMD-1822-359.pdf#page=6","Abrir facsímil")</f>
        <v>Abrir facsímil</v>
      </c>
      <c r="K14460" t="s">
        <v>22</v>
      </c>
    </row>
    <row r="14461" spans="1:11" ht="42" customHeight="1">
      <c r="A14461" t="s">
        <v>27935</v>
      </c>
      <c r="B14461" t="s">
        <v>27935</v>
      </c>
      <c r="C14461" t="s">
        <v>28</v>
      </c>
      <c r="D14461" t="s">
        <v>29</v>
      </c>
      <c r="E14461" s="6">
        <v>-28274</v>
      </c>
      <c r="F14461" t="s">
        <v>3371</v>
      </c>
      <c r="G14461" t="s">
        <v>44</v>
      </c>
      <c r="H14461" t="s">
        <v>20</v>
      </c>
      <c r="I14461" t="s">
        <v>27936</v>
      </c>
      <c r="J14461" t="str">
        <f>HYPERLINK("https://www.boe.es/gazeta/dias/1822/08/02/pdfs/GMD-1822-226.pdf#page=1","Abrir facsímil")</f>
        <v>Abrir facsímil</v>
      </c>
      <c r="K14461" t="s">
        <v>22</v>
      </c>
    </row>
    <row r="14462" spans="1:11" ht="42" customHeight="1">
      <c r="A14462" t="s">
        <v>27937</v>
      </c>
      <c r="B14462" t="s">
        <v>27937</v>
      </c>
      <c r="C14462" t="s">
        <v>50</v>
      </c>
      <c r="D14462" t="s">
        <v>51</v>
      </c>
      <c r="E14462" s="6">
        <v>-28427</v>
      </c>
      <c r="F14462" t="s">
        <v>755</v>
      </c>
      <c r="G14462" t="s">
        <v>57</v>
      </c>
      <c r="H14462" t="s">
        <v>20</v>
      </c>
      <c r="I14462" t="s">
        <v>27938</v>
      </c>
      <c r="J14462" t="str">
        <f>HYPERLINK("https://www.boe.es/gazeta/dias/1822/03/02/pdfs/GMD-1822-63.pdf#page=4","Abrir facsímil")</f>
        <v>Abrir facsímil</v>
      </c>
      <c r="K14462" t="s">
        <v>22</v>
      </c>
    </row>
    <row r="14463" spans="1:11" ht="42" customHeight="1">
      <c r="A14463" t="s">
        <v>27937</v>
      </c>
      <c r="B14463" t="s">
        <v>27937</v>
      </c>
      <c r="C14463" t="s">
        <v>50</v>
      </c>
      <c r="D14463" t="s">
        <v>51</v>
      </c>
      <c r="E14463" s="6">
        <v>-28391</v>
      </c>
      <c r="F14463" t="s">
        <v>378</v>
      </c>
      <c r="G14463" t="s">
        <v>63</v>
      </c>
      <c r="H14463" t="s">
        <v>20</v>
      </c>
      <c r="I14463" t="s">
        <v>27939</v>
      </c>
      <c r="J14463" t="str">
        <f>HYPERLINK("https://www.boe.es/gazeta/dias/1822/04/07/pdfs/GMD-1822-99.pdf#page=6","Abrir facsímil")</f>
        <v>Abrir facsímil</v>
      </c>
      <c r="K14463" t="s">
        <v>22</v>
      </c>
    </row>
    <row r="14464" spans="1:11" ht="42" customHeight="1">
      <c r="A14464" t="s">
        <v>27937</v>
      </c>
      <c r="B14464" t="s">
        <v>27937</v>
      </c>
      <c r="C14464" t="s">
        <v>28</v>
      </c>
      <c r="D14464" t="s">
        <v>29</v>
      </c>
      <c r="E14464" s="6">
        <v>-28148</v>
      </c>
      <c r="F14464" t="s">
        <v>1909</v>
      </c>
      <c r="G14464" t="s">
        <v>63</v>
      </c>
      <c r="H14464" t="s">
        <v>20</v>
      </c>
      <c r="I14464" t="s">
        <v>27940</v>
      </c>
      <c r="J14464" t="str">
        <f>HYPERLINK("https://www.boe.es/gazeta/dias/1822/12/06/pdfs/GMD-1822-356.pdf#page=6","Abrir facsímil")</f>
        <v>Abrir facsímil</v>
      </c>
      <c r="K14464" t="s">
        <v>22</v>
      </c>
    </row>
    <row r="14465" spans="1:11" ht="42" customHeight="1">
      <c r="A14465" t="s">
        <v>27941</v>
      </c>
      <c r="B14465" t="s">
        <v>27941</v>
      </c>
      <c r="C14465" t="s">
        <v>42</v>
      </c>
      <c r="D14465" t="s">
        <v>17</v>
      </c>
      <c r="E14465" s="6">
        <v>-28292</v>
      </c>
      <c r="F14465" t="s">
        <v>222</v>
      </c>
      <c r="G14465" t="s">
        <v>31</v>
      </c>
      <c r="H14465" t="s">
        <v>20</v>
      </c>
      <c r="I14465" t="s">
        <v>27942</v>
      </c>
      <c r="J14465" t="str">
        <f>HYPERLINK("https://www.boe.es/gazeta/dias/1822/07/15/pdfs/GMD-1822-205.pdf#page=3","Abrir facsímil")</f>
        <v>Abrir facsímil</v>
      </c>
      <c r="K14465" t="s">
        <v>22</v>
      </c>
    </row>
    <row r="14466" spans="1:11" ht="42" customHeight="1">
      <c r="A14466" t="s">
        <v>27943</v>
      </c>
      <c r="B14466" t="s">
        <v>27944</v>
      </c>
      <c r="C14466" t="s">
        <v>28</v>
      </c>
      <c r="D14466" t="s">
        <v>29</v>
      </c>
      <c r="E14466" s="6">
        <v>-28208</v>
      </c>
      <c r="F14466" t="s">
        <v>230</v>
      </c>
      <c r="G14466" t="s">
        <v>57</v>
      </c>
      <c r="H14466" t="s">
        <v>20</v>
      </c>
      <c r="I14466" t="s">
        <v>27945</v>
      </c>
      <c r="J14466" t="str">
        <f>HYPERLINK("https://www.boe.es/gazeta/dias/1822/10/07/pdfs/GMD-1822-293.pdf#page=4","Abrir facsímil")</f>
        <v>Abrir facsímil</v>
      </c>
      <c r="K14466" t="s">
        <v>22</v>
      </c>
    </row>
    <row r="14467" spans="1:11" ht="42" customHeight="1">
      <c r="A14467" t="s">
        <v>27946</v>
      </c>
      <c r="B14467" t="s">
        <v>27947</v>
      </c>
      <c r="C14467" t="s">
        <v>24</v>
      </c>
      <c r="D14467" t="s">
        <v>17</v>
      </c>
      <c r="E14467" s="6">
        <v>-28414</v>
      </c>
      <c r="F14467" t="s">
        <v>187</v>
      </c>
      <c r="G14467" t="s">
        <v>35</v>
      </c>
      <c r="H14467" t="s">
        <v>20</v>
      </c>
      <c r="I14467" t="s">
        <v>27948</v>
      </c>
      <c r="J14467" t="str">
        <f>HYPERLINK("https://www.boe.es/gazeta/dias/1822/03/15/pdfs/GMD-1822-76.pdf#page=2","Abrir facsímil")</f>
        <v>Abrir facsímil</v>
      </c>
      <c r="K14467" t="s">
        <v>22</v>
      </c>
    </row>
    <row r="14468" spans="1:11" ht="42" customHeight="1">
      <c r="A14468" t="s">
        <v>27949</v>
      </c>
      <c r="B14468" t="s">
        <v>27950</v>
      </c>
      <c r="C14468" t="s">
        <v>16</v>
      </c>
      <c r="D14468" t="s">
        <v>17</v>
      </c>
      <c r="E14468" s="6">
        <v>-28225</v>
      </c>
      <c r="F14468" t="s">
        <v>177</v>
      </c>
      <c r="G14468" t="s">
        <v>178</v>
      </c>
      <c r="H14468" t="s">
        <v>20</v>
      </c>
      <c r="I14468" t="s">
        <v>27951</v>
      </c>
      <c r="J14468" t="str">
        <f>HYPERLINK("https://www.boe.es/gazeta/dias/1822/09/20/pdfs/GMD-1822-276.pdf#page=3","Abrir facsímil")</f>
        <v>Abrir facsímil</v>
      </c>
      <c r="K14468" t="s">
        <v>22</v>
      </c>
    </row>
    <row r="14469" spans="1:11" ht="42" customHeight="1">
      <c r="A14469" t="s">
        <v>27952</v>
      </c>
      <c r="B14469" t="s">
        <v>27953</v>
      </c>
      <c r="C14469" t="s">
        <v>50</v>
      </c>
      <c r="D14469" t="s">
        <v>51</v>
      </c>
      <c r="E14469" s="6">
        <v>-28405</v>
      </c>
      <c r="F14469" t="s">
        <v>466</v>
      </c>
      <c r="G14469" t="s">
        <v>35</v>
      </c>
      <c r="H14469" t="s">
        <v>20</v>
      </c>
      <c r="I14469" t="s">
        <v>27954</v>
      </c>
      <c r="J14469" t="str">
        <f>HYPERLINK("https://www.boe.es/gazeta/dias/1822/03/24/pdfs/GMD-1822-85.pdf#page=2","Abrir facsímil")</f>
        <v>Abrir facsímil</v>
      </c>
      <c r="K14469" t="s">
        <v>22</v>
      </c>
    </row>
    <row r="14470" spans="1:11" ht="42" customHeight="1">
      <c r="A14470" t="s">
        <v>27955</v>
      </c>
      <c r="B14470" t="s">
        <v>27956</v>
      </c>
      <c r="C14470" t="s">
        <v>28</v>
      </c>
      <c r="D14470" t="s">
        <v>29</v>
      </c>
      <c r="E14470" s="6">
        <v>-28485</v>
      </c>
      <c r="F14470" t="s">
        <v>1117</v>
      </c>
      <c r="G14470" t="s">
        <v>57</v>
      </c>
      <c r="H14470" t="s">
        <v>20</v>
      </c>
      <c r="I14470" t="s">
        <v>27957</v>
      </c>
      <c r="J14470" t="str">
        <f>HYPERLINK("https://www.boe.es/gazeta/dias/1822/01/03/pdfs/GMD-1822-3.pdf#page=4","Abrir facsímil")</f>
        <v>Abrir facsímil</v>
      </c>
      <c r="K14470" t="s">
        <v>22</v>
      </c>
    </row>
    <row r="14471" spans="1:11" ht="42" customHeight="1">
      <c r="A14471" t="s">
        <v>27958</v>
      </c>
      <c r="B14471" t="s">
        <v>27958</v>
      </c>
      <c r="C14471" t="s">
        <v>50</v>
      </c>
      <c r="D14471" t="s">
        <v>51</v>
      </c>
      <c r="E14471" s="6">
        <v>-28329</v>
      </c>
      <c r="F14471" t="s">
        <v>354</v>
      </c>
      <c r="G14471" t="s">
        <v>31</v>
      </c>
      <c r="H14471" t="s">
        <v>20</v>
      </c>
      <c r="I14471" t="s">
        <v>27959</v>
      </c>
      <c r="J14471" t="str">
        <f>HYPERLINK("https://www.boe.es/gazeta/dias/1822/06/08/pdfs/GMD-1822-165.pdf#page=3","Abrir facsímil")</f>
        <v>Abrir facsímil</v>
      </c>
      <c r="K14471" t="s">
        <v>22</v>
      </c>
    </row>
    <row r="14472" spans="1:11" ht="42" customHeight="1">
      <c r="A14472" t="s">
        <v>27960</v>
      </c>
      <c r="B14472" t="s">
        <v>27961</v>
      </c>
      <c r="C14472" t="s">
        <v>28</v>
      </c>
      <c r="D14472" t="s">
        <v>29</v>
      </c>
      <c r="E14472" s="6">
        <v>-28329</v>
      </c>
      <c r="F14472" t="s">
        <v>354</v>
      </c>
      <c r="G14472" t="s">
        <v>31</v>
      </c>
      <c r="H14472" t="s">
        <v>20</v>
      </c>
      <c r="I14472" t="s">
        <v>27962</v>
      </c>
      <c r="J14472" t="str">
        <f>HYPERLINK("https://www.boe.es/gazeta/dias/1822/06/08/pdfs/GMD-1822-165.pdf#page=3","Abrir facsímil")</f>
        <v>Abrir facsímil</v>
      </c>
      <c r="K14472" t="s">
        <v>22</v>
      </c>
    </row>
    <row r="14473" spans="1:11" ht="42" customHeight="1">
      <c r="A14473" t="s">
        <v>27963</v>
      </c>
      <c r="B14473" t="s">
        <v>27963</v>
      </c>
      <c r="C14473" t="s">
        <v>16</v>
      </c>
      <c r="D14473" t="s">
        <v>17</v>
      </c>
      <c r="E14473" s="6">
        <v>-28405</v>
      </c>
      <c r="F14473" t="s">
        <v>466</v>
      </c>
      <c r="G14473" t="s">
        <v>19</v>
      </c>
      <c r="H14473" t="s">
        <v>20</v>
      </c>
      <c r="I14473" t="s">
        <v>27964</v>
      </c>
      <c r="J14473" t="str">
        <f>HYPERLINK("https://www.boe.es/gazeta/dias/1822/03/24/pdfs/GMD-1822-85.pdf#page=5","Abrir facsímil")</f>
        <v>Abrir facsímil</v>
      </c>
      <c r="K14473" t="s">
        <v>22</v>
      </c>
    </row>
    <row r="14474" spans="1:11" ht="42" customHeight="1">
      <c r="A14474" t="s">
        <v>27965</v>
      </c>
      <c r="B14474" t="s">
        <v>27965</v>
      </c>
      <c r="C14474" t="s">
        <v>28</v>
      </c>
      <c r="D14474" t="s">
        <v>29</v>
      </c>
      <c r="E14474" s="6">
        <v>-28331</v>
      </c>
      <c r="F14474" t="s">
        <v>537</v>
      </c>
      <c r="G14474" t="s">
        <v>35</v>
      </c>
      <c r="H14474" t="s">
        <v>20</v>
      </c>
      <c r="I14474" t="s">
        <v>27966</v>
      </c>
      <c r="J14474" t="str">
        <f>HYPERLINK("https://www.boe.es/gazeta/dias/1822/06/06/pdfs/GMD-1822-163.pdf#page=2","Abrir facsímil")</f>
        <v>Abrir facsímil</v>
      </c>
      <c r="K14474" t="s">
        <v>22</v>
      </c>
    </row>
    <row r="14475" spans="1:11" ht="42" customHeight="1">
      <c r="A14475" t="s">
        <v>27967</v>
      </c>
      <c r="B14475" t="s">
        <v>27967</v>
      </c>
      <c r="C14475" t="s">
        <v>50</v>
      </c>
      <c r="D14475" t="s">
        <v>51</v>
      </c>
      <c r="E14475" s="6">
        <v>-28135</v>
      </c>
      <c r="F14475" t="s">
        <v>1030</v>
      </c>
      <c r="G14475" t="s">
        <v>44</v>
      </c>
      <c r="H14475" t="s">
        <v>20</v>
      </c>
      <c r="I14475" t="s">
        <v>27968</v>
      </c>
      <c r="J14475" t="str">
        <f>HYPERLINK("https://www.boe.es/gazeta/dias/1822/12/19/pdfs/GMD-1822-369.pdf#page=1","Abrir facsímil")</f>
        <v>Abrir facsímil</v>
      </c>
      <c r="K14475" t="s">
        <v>22</v>
      </c>
    </row>
    <row r="14476" spans="1:11" ht="42" customHeight="1">
      <c r="A14476" t="s">
        <v>27969</v>
      </c>
      <c r="B14476" t="s">
        <v>27969</v>
      </c>
      <c r="C14476" t="s">
        <v>50</v>
      </c>
      <c r="D14476" t="s">
        <v>51</v>
      </c>
      <c r="E14476" s="6">
        <v>-28163</v>
      </c>
      <c r="F14476" t="s">
        <v>891</v>
      </c>
      <c r="G14476" t="s">
        <v>19</v>
      </c>
      <c r="H14476" t="s">
        <v>20</v>
      </c>
      <c r="I14476" t="s">
        <v>27970</v>
      </c>
      <c r="J14476" t="str">
        <f>HYPERLINK("https://www.boe.es/gazeta/dias/1822/11/21/pdfs/GMD-1822-341.pdf#page=5","Abrir facsímil")</f>
        <v>Abrir facsímil</v>
      </c>
      <c r="K14476" t="s">
        <v>22</v>
      </c>
    </row>
    <row r="14477" spans="1:11" ht="42" customHeight="1">
      <c r="A14477" t="s">
        <v>27971</v>
      </c>
      <c r="B14477" t="s">
        <v>27971</v>
      </c>
      <c r="C14477" t="s">
        <v>28</v>
      </c>
      <c r="D14477" t="s">
        <v>29</v>
      </c>
      <c r="E14477" s="6">
        <v>-28150</v>
      </c>
      <c r="F14477" t="s">
        <v>62</v>
      </c>
      <c r="G14477" t="s">
        <v>13795</v>
      </c>
      <c r="H14477" t="s">
        <v>20</v>
      </c>
      <c r="I14477" t="s">
        <v>27972</v>
      </c>
      <c r="J14477" t="str">
        <f>HYPERLINK("https://www.boe.es/gazeta/dias/1822/12/04/pdfs/GMD-1822-354.pdf#page=2","Abrir facsímil")</f>
        <v>Abrir facsímil</v>
      </c>
      <c r="K14477" t="s">
        <v>22</v>
      </c>
    </row>
    <row r="14478" spans="1:11" ht="42" customHeight="1">
      <c r="A14478" t="s">
        <v>27973</v>
      </c>
      <c r="B14478" t="s">
        <v>27974</v>
      </c>
      <c r="C14478" t="s">
        <v>42</v>
      </c>
      <c r="D14478" t="s">
        <v>17</v>
      </c>
      <c r="E14478" s="6">
        <v>-28317</v>
      </c>
      <c r="F14478" t="s">
        <v>546</v>
      </c>
      <c r="G14478" t="s">
        <v>157</v>
      </c>
      <c r="H14478" t="s">
        <v>20</v>
      </c>
      <c r="I14478" t="s">
        <v>27975</v>
      </c>
      <c r="J14478" t="str">
        <f>HYPERLINK("https://www.boe.es/gazeta/dias/1822/06/20/pdfs/GMD-1822-177.pdf#page=8","Abrir facsímil")</f>
        <v>Abrir facsímil</v>
      </c>
      <c r="K14478" t="s">
        <v>22</v>
      </c>
    </row>
    <row r="14479" spans="1:11" ht="42" customHeight="1">
      <c r="A14479" t="s">
        <v>27976</v>
      </c>
      <c r="B14479" t="s">
        <v>27977</v>
      </c>
      <c r="C14479" t="s">
        <v>42</v>
      </c>
      <c r="D14479" t="s">
        <v>17</v>
      </c>
      <c r="E14479" s="6">
        <v>-28314</v>
      </c>
      <c r="F14479" t="s">
        <v>309</v>
      </c>
      <c r="G14479" t="s">
        <v>63</v>
      </c>
      <c r="H14479" t="s">
        <v>20</v>
      </c>
      <c r="I14479" t="s">
        <v>27978</v>
      </c>
      <c r="J14479" t="str">
        <f>HYPERLINK("https://www.boe.es/gazeta/dias/1822/06/23/pdfs/GMD-1822-181.pdf#page=6","Abrir facsímil")</f>
        <v>Abrir facsímil</v>
      </c>
      <c r="K14479" t="s">
        <v>22</v>
      </c>
    </row>
    <row r="14480" spans="1:11" ht="42" customHeight="1">
      <c r="A14480" t="s">
        <v>27979</v>
      </c>
      <c r="B14480" t="s">
        <v>27979</v>
      </c>
      <c r="C14480" t="s">
        <v>50</v>
      </c>
      <c r="D14480" t="s">
        <v>51</v>
      </c>
      <c r="E14480" s="6">
        <v>-28349</v>
      </c>
      <c r="F14480" t="s">
        <v>518</v>
      </c>
      <c r="G14480" t="s">
        <v>57</v>
      </c>
      <c r="H14480" t="s">
        <v>20</v>
      </c>
      <c r="I14480" t="s">
        <v>27980</v>
      </c>
      <c r="J14480" t="str">
        <f>HYPERLINK("https://www.boe.es/gazeta/dias/1822/05/19/pdfs/GMD-1822-141.pdf#page=4","Abrir facsímil")</f>
        <v>Abrir facsímil</v>
      </c>
      <c r="K14480" t="s">
        <v>22</v>
      </c>
    </row>
    <row r="14481" spans="1:11" ht="42" customHeight="1">
      <c r="A14481" t="s">
        <v>27981</v>
      </c>
      <c r="B14481" t="s">
        <v>27981</v>
      </c>
      <c r="C14481" t="s">
        <v>28</v>
      </c>
      <c r="D14481" t="s">
        <v>29</v>
      </c>
      <c r="E14481" s="6">
        <v>-28389</v>
      </c>
      <c r="F14481" t="s">
        <v>481</v>
      </c>
      <c r="G14481" t="s">
        <v>35</v>
      </c>
      <c r="H14481" t="s">
        <v>20</v>
      </c>
      <c r="I14481" t="s">
        <v>27982</v>
      </c>
      <c r="J14481" t="str">
        <f>HYPERLINK("https://www.boe.es/gazeta/dias/1822/04/09/pdfs/GMD-1822-101.pdf#page=2","Abrir facsímil")</f>
        <v>Abrir facsímil</v>
      </c>
      <c r="K14481" t="s">
        <v>22</v>
      </c>
    </row>
    <row r="14482" spans="1:11" ht="42" customHeight="1">
      <c r="A14482" t="s">
        <v>27983</v>
      </c>
      <c r="B14482" t="s">
        <v>27984</v>
      </c>
      <c r="C14482" t="s">
        <v>50</v>
      </c>
      <c r="D14482" t="s">
        <v>51</v>
      </c>
      <c r="E14482" s="6">
        <v>-28458</v>
      </c>
      <c r="F14482" t="s">
        <v>1151</v>
      </c>
      <c r="G14482" t="s">
        <v>57</v>
      </c>
      <c r="H14482" t="s">
        <v>20</v>
      </c>
      <c r="I14482" t="s">
        <v>27985</v>
      </c>
      <c r="J14482" t="str">
        <f>HYPERLINK("https://www.boe.es/gazeta/dias/1822/01/30/pdfs/GMD-1822-30.pdf#page=4","Abrir facsímil")</f>
        <v>Abrir facsímil</v>
      </c>
      <c r="K14482" t="s">
        <v>22</v>
      </c>
    </row>
    <row r="14483" spans="1:11" ht="42" customHeight="1">
      <c r="A14483" t="s">
        <v>27986</v>
      </c>
      <c r="B14483" t="s">
        <v>27987</v>
      </c>
      <c r="C14483" t="s">
        <v>42</v>
      </c>
      <c r="D14483" t="s">
        <v>17</v>
      </c>
      <c r="E14483" s="6">
        <v>-28250</v>
      </c>
      <c r="F14483" t="s">
        <v>1174</v>
      </c>
      <c r="G14483" t="s">
        <v>35</v>
      </c>
      <c r="H14483" t="s">
        <v>45</v>
      </c>
      <c r="I14483" t="s">
        <v>27988</v>
      </c>
      <c r="J14483" t="str">
        <f>HYPERLINK("https://www.boe.es/gazeta/dias/1822/08/26/pdfs/GMD-1822-250.pdf#page=2","Abrir facsímil")</f>
        <v>Abrir facsímil</v>
      </c>
      <c r="K14483" t="s">
        <v>47</v>
      </c>
    </row>
    <row r="14484" spans="1:11" ht="42" customHeight="1">
      <c r="A14484" t="s">
        <v>27989</v>
      </c>
      <c r="B14484" t="s">
        <v>27990</v>
      </c>
      <c r="C14484" t="s">
        <v>50</v>
      </c>
      <c r="D14484" t="s">
        <v>51</v>
      </c>
      <c r="E14484" s="6">
        <v>-28142</v>
      </c>
      <c r="F14484" t="s">
        <v>290</v>
      </c>
      <c r="G14484" t="s">
        <v>57</v>
      </c>
      <c r="H14484" t="s">
        <v>20</v>
      </c>
      <c r="I14484" t="s">
        <v>27991</v>
      </c>
      <c r="J14484" t="str">
        <f>HYPERLINK("https://www.boe.es/gazeta/dias/1822/12/12/pdfs/GMD-1822-362.pdf#page=4","Abrir facsímil")</f>
        <v>Abrir facsímil</v>
      </c>
      <c r="K14484" t="s">
        <v>22</v>
      </c>
    </row>
    <row r="14485" spans="1:11" ht="42" customHeight="1">
      <c r="A14485" t="s">
        <v>27992</v>
      </c>
      <c r="B14485" t="s">
        <v>27993</v>
      </c>
      <c r="C14485" t="s">
        <v>28</v>
      </c>
      <c r="D14485" t="s">
        <v>29</v>
      </c>
      <c r="E14485" s="6">
        <v>-28225</v>
      </c>
      <c r="F14485" t="s">
        <v>177</v>
      </c>
      <c r="G14485" t="s">
        <v>178</v>
      </c>
      <c r="H14485" t="s">
        <v>20</v>
      </c>
      <c r="I14485" t="s">
        <v>27994</v>
      </c>
      <c r="J14485" t="str">
        <f>HYPERLINK("https://www.boe.es/gazeta/dias/1822/09/20/pdfs/GMD-1822-276.pdf#page=3","Abrir facsímil")</f>
        <v>Abrir facsímil</v>
      </c>
      <c r="K14485" t="s">
        <v>22</v>
      </c>
    </row>
    <row r="14486" spans="1:11" ht="42" customHeight="1">
      <c r="A14486" t="s">
        <v>27995</v>
      </c>
      <c r="B14486" t="s">
        <v>27996</v>
      </c>
      <c r="C14486" t="s">
        <v>42</v>
      </c>
      <c r="D14486" t="s">
        <v>17</v>
      </c>
      <c r="E14486" s="6">
        <v>-28415</v>
      </c>
      <c r="F14486" t="s">
        <v>77</v>
      </c>
      <c r="G14486" t="s">
        <v>19</v>
      </c>
      <c r="H14486" t="s">
        <v>20</v>
      </c>
      <c r="I14486" t="s">
        <v>27997</v>
      </c>
      <c r="J14486" t="str">
        <f>HYPERLINK("https://www.boe.es/gazeta/dias/1822/03/14/pdfs/GMD-1822-75.pdf#page=5","Abrir facsímil")</f>
        <v>Abrir facsímil</v>
      </c>
      <c r="K14486" t="s">
        <v>22</v>
      </c>
    </row>
    <row r="14487" spans="1:11" ht="42" customHeight="1">
      <c r="A14487" t="s">
        <v>27998</v>
      </c>
      <c r="B14487" t="s">
        <v>27999</v>
      </c>
      <c r="C14487" t="s">
        <v>28</v>
      </c>
      <c r="D14487" t="s">
        <v>29</v>
      </c>
      <c r="E14487" s="6">
        <v>-28457</v>
      </c>
      <c r="F14487" t="s">
        <v>1655</v>
      </c>
      <c r="G14487" t="s">
        <v>44</v>
      </c>
      <c r="H14487" t="s">
        <v>20</v>
      </c>
      <c r="I14487" t="s">
        <v>28000</v>
      </c>
      <c r="J14487" t="str">
        <f>HYPERLINK("https://www.boe.es/gazeta/dias/1822/01/31/pdfs/GMD-1822-31.pdf#page=1","Abrir facsímil")</f>
        <v>Abrir facsímil</v>
      </c>
      <c r="K14487" t="s">
        <v>22</v>
      </c>
    </row>
    <row r="14488" spans="1:11" ht="42" customHeight="1">
      <c r="A14488" t="s">
        <v>28001</v>
      </c>
      <c r="B14488" t="s">
        <v>28002</v>
      </c>
      <c r="C14488" t="s">
        <v>42</v>
      </c>
      <c r="D14488" t="s">
        <v>17</v>
      </c>
      <c r="E14488" s="6">
        <v>-28282</v>
      </c>
      <c r="F14488" t="s">
        <v>6600</v>
      </c>
      <c r="G14488" t="s">
        <v>6601</v>
      </c>
      <c r="H14488" t="s">
        <v>20</v>
      </c>
      <c r="I14488" t="s">
        <v>28003</v>
      </c>
      <c r="J14488" t="str">
        <f>HYPERLINK("https://www.boe.es/gazeta/dias/1822/07/25/pdfs/GMD-1822-218.pdf#page=4","Abrir facsímil")</f>
        <v>Abrir facsímil</v>
      </c>
      <c r="K14488" t="s">
        <v>22</v>
      </c>
    </row>
    <row r="14489" spans="1:11" ht="42" customHeight="1">
      <c r="A14489" t="s">
        <v>28004</v>
      </c>
      <c r="B14489" t="s">
        <v>28005</v>
      </c>
      <c r="C14489" t="s">
        <v>71</v>
      </c>
      <c r="D14489" t="s">
        <v>17</v>
      </c>
      <c r="E14489" s="6">
        <v>-28378</v>
      </c>
      <c r="F14489" t="s">
        <v>496</v>
      </c>
      <c r="G14489" t="s">
        <v>35</v>
      </c>
      <c r="H14489" t="s">
        <v>20</v>
      </c>
      <c r="I14489" t="s">
        <v>28006</v>
      </c>
      <c r="J14489" t="str">
        <f>HYPERLINK("https://www.boe.es/gazeta/dias/1822/04/20/pdfs/GMD-1822-112.pdf#page=2","Abrir facsímil")</f>
        <v>Abrir facsímil</v>
      </c>
      <c r="K14489" t="s">
        <v>22</v>
      </c>
    </row>
    <row r="14490" spans="1:11" ht="42" customHeight="1">
      <c r="A14490" t="s">
        <v>28007</v>
      </c>
      <c r="B14490" t="s">
        <v>28008</v>
      </c>
      <c r="C14490" t="s">
        <v>71</v>
      </c>
      <c r="D14490" t="s">
        <v>17</v>
      </c>
      <c r="E14490" s="6">
        <v>-28198</v>
      </c>
      <c r="F14490" t="s">
        <v>981</v>
      </c>
      <c r="G14490" t="s">
        <v>63</v>
      </c>
      <c r="H14490" t="s">
        <v>45</v>
      </c>
      <c r="I14490" t="s">
        <v>28009</v>
      </c>
      <c r="J14490" t="str">
        <f>HYPERLINK("https://www.boe.es/gazeta/dias/1822/10/17/pdfs/GMD-1822-304.pdf#page=6","Abrir facsímil")</f>
        <v>Abrir facsímil</v>
      </c>
      <c r="K14490" t="s">
        <v>47</v>
      </c>
    </row>
    <row r="14491" spans="1:11" ht="42" customHeight="1">
      <c r="A14491" t="s">
        <v>28010</v>
      </c>
      <c r="B14491" t="s">
        <v>28011</v>
      </c>
      <c r="C14491" t="s">
        <v>28</v>
      </c>
      <c r="D14491" t="s">
        <v>29</v>
      </c>
      <c r="E14491" s="6">
        <v>-28486</v>
      </c>
      <c r="F14491" t="s">
        <v>1046</v>
      </c>
      <c r="G14491" t="s">
        <v>57</v>
      </c>
      <c r="H14491" t="s">
        <v>20</v>
      </c>
      <c r="I14491" t="s">
        <v>28012</v>
      </c>
      <c r="J14491" t="str">
        <f>HYPERLINK("https://www.boe.es/gazeta/dias/1822/01/02/pdfs/GMD-1822-2.pdf#page=4","Abrir facsímil")</f>
        <v>Abrir facsímil</v>
      </c>
      <c r="K14491" t="s">
        <v>22</v>
      </c>
    </row>
    <row r="14492" spans="1:11" ht="42" customHeight="1">
      <c r="A14492" t="s">
        <v>28013</v>
      </c>
      <c r="B14492" t="s">
        <v>28014</v>
      </c>
      <c r="C14492" t="s">
        <v>28</v>
      </c>
      <c r="D14492" t="s">
        <v>29</v>
      </c>
      <c r="E14492" s="6">
        <v>-28377</v>
      </c>
      <c r="F14492" t="s">
        <v>498</v>
      </c>
      <c r="G14492" t="s">
        <v>57</v>
      </c>
      <c r="H14492" t="s">
        <v>20</v>
      </c>
      <c r="I14492" t="s">
        <v>28015</v>
      </c>
      <c r="J14492" t="str">
        <f>HYPERLINK("https://www.boe.es/gazeta/dias/1822/04/21/pdfs/GMD-1822-113.pdf#page=4","Abrir facsímil")</f>
        <v>Abrir facsímil</v>
      </c>
      <c r="K14492" t="s">
        <v>22</v>
      </c>
    </row>
    <row r="14493" spans="1:11" ht="42" customHeight="1">
      <c r="A14493" t="s">
        <v>28016</v>
      </c>
      <c r="B14493" t="s">
        <v>28017</v>
      </c>
      <c r="C14493" t="s">
        <v>24</v>
      </c>
      <c r="D14493" t="s">
        <v>17</v>
      </c>
      <c r="E14493" s="6">
        <v>-28250</v>
      </c>
      <c r="F14493" t="s">
        <v>1174</v>
      </c>
      <c r="G14493" t="s">
        <v>35</v>
      </c>
      <c r="H14493" t="s">
        <v>20</v>
      </c>
      <c r="I14493" t="s">
        <v>28018</v>
      </c>
      <c r="J14493" t="str">
        <f>HYPERLINK("https://www.boe.es/gazeta/dias/1822/08/26/pdfs/GMD-1822-250.pdf#page=2","Abrir facsímil")</f>
        <v>Abrir facsímil</v>
      </c>
      <c r="K14493" t="s">
        <v>22</v>
      </c>
    </row>
    <row r="14494" spans="1:11" ht="42" customHeight="1">
      <c r="A14494" t="s">
        <v>28019</v>
      </c>
      <c r="B14494" t="s">
        <v>28020</v>
      </c>
      <c r="C14494" t="s">
        <v>50</v>
      </c>
      <c r="D14494" t="s">
        <v>51</v>
      </c>
      <c r="E14494" s="6">
        <v>-28216</v>
      </c>
      <c r="F14494" t="s">
        <v>4661</v>
      </c>
      <c r="G14494" t="s">
        <v>31</v>
      </c>
      <c r="H14494" t="s">
        <v>20</v>
      </c>
      <c r="I14494" t="s">
        <v>28021</v>
      </c>
      <c r="J14494" t="str">
        <f>HYPERLINK("https://www.boe.es/gazeta/dias/1822/09/29/pdfs/GMD-1822-285.pdf#page=3","Abrir facsímil")</f>
        <v>Abrir facsímil</v>
      </c>
      <c r="K14494" t="s">
        <v>22</v>
      </c>
    </row>
    <row r="14495" spans="1:11" ht="42" customHeight="1">
      <c r="A14495" t="s">
        <v>28022</v>
      </c>
      <c r="B14495" t="s">
        <v>28022</v>
      </c>
      <c r="C14495" t="s">
        <v>42</v>
      </c>
      <c r="D14495" t="s">
        <v>17</v>
      </c>
      <c r="E14495" s="6">
        <v>-28464</v>
      </c>
      <c r="F14495" t="s">
        <v>1447</v>
      </c>
      <c r="G14495" t="s">
        <v>35</v>
      </c>
      <c r="H14495" t="s">
        <v>20</v>
      </c>
      <c r="I14495" t="s">
        <v>28023</v>
      </c>
      <c r="J14495" t="str">
        <f>HYPERLINK("https://www.boe.es/gazeta/dias/1822/01/24/pdfs/GMD-1822-24.pdf#page=2","Abrir facsímil")</f>
        <v>Abrir facsímil</v>
      </c>
      <c r="K14495" t="s">
        <v>22</v>
      </c>
    </row>
    <row r="14496" spans="1:11" ht="42" customHeight="1">
      <c r="A14496" t="s">
        <v>28022</v>
      </c>
      <c r="B14496" t="s">
        <v>28022</v>
      </c>
      <c r="C14496" t="s">
        <v>28</v>
      </c>
      <c r="D14496" t="s">
        <v>29</v>
      </c>
      <c r="E14496" s="6">
        <v>-28336</v>
      </c>
      <c r="F14496" t="s">
        <v>156</v>
      </c>
      <c r="G14496" t="s">
        <v>529</v>
      </c>
      <c r="H14496" t="s">
        <v>20</v>
      </c>
      <c r="I14496" t="s">
        <v>28024</v>
      </c>
      <c r="J14496" t="str">
        <f>HYPERLINK("https://www.boe.es/gazeta/dias/1822/06/01/pdfs/GMD-1822-157.pdf#page=4","Abrir facsímil")</f>
        <v>Abrir facsímil</v>
      </c>
      <c r="K14496" t="s">
        <v>22</v>
      </c>
    </row>
    <row r="14497" spans="1:11" ht="42" customHeight="1">
      <c r="A14497" t="s">
        <v>28022</v>
      </c>
      <c r="B14497" t="s">
        <v>28022</v>
      </c>
      <c r="C14497" t="s">
        <v>28</v>
      </c>
      <c r="D14497" t="s">
        <v>29</v>
      </c>
      <c r="E14497" s="6">
        <v>-28336</v>
      </c>
      <c r="F14497" t="s">
        <v>156</v>
      </c>
      <c r="G14497" t="s">
        <v>35</v>
      </c>
      <c r="H14497" t="s">
        <v>20</v>
      </c>
      <c r="I14497" t="s">
        <v>28025</v>
      </c>
      <c r="J14497" t="str">
        <f>HYPERLINK("https://www.boe.es/gazeta/dias/1822/06/01/pdfs/GMD-1822-157.pdf#page=2","Abrir facsímil")</f>
        <v>Abrir facsímil</v>
      </c>
      <c r="K14497" t="s">
        <v>22</v>
      </c>
    </row>
    <row r="14498" spans="1:11" ht="42" customHeight="1">
      <c r="A14498" t="s">
        <v>28022</v>
      </c>
      <c r="B14498" t="s">
        <v>28022</v>
      </c>
      <c r="C14498" t="s">
        <v>28</v>
      </c>
      <c r="D14498" t="s">
        <v>29</v>
      </c>
      <c r="E14498" s="6">
        <v>-28336</v>
      </c>
      <c r="F14498" t="s">
        <v>156</v>
      </c>
      <c r="G14498" t="s">
        <v>31</v>
      </c>
      <c r="H14498" t="s">
        <v>20</v>
      </c>
      <c r="I14498" t="s">
        <v>28026</v>
      </c>
      <c r="J14498" t="str">
        <f>HYPERLINK("https://www.boe.es/gazeta/dias/1822/06/01/pdfs/GMD-1822-157.pdf#page=3","Abrir facsímil")</f>
        <v>Abrir facsímil</v>
      </c>
      <c r="K14498" t="s">
        <v>22</v>
      </c>
    </row>
    <row r="14499" spans="1:11" ht="42" customHeight="1">
      <c r="A14499" t="s">
        <v>28022</v>
      </c>
      <c r="B14499" t="s">
        <v>28022</v>
      </c>
      <c r="C14499" t="s">
        <v>28</v>
      </c>
      <c r="D14499" t="s">
        <v>29</v>
      </c>
      <c r="E14499" s="6">
        <v>-28335</v>
      </c>
      <c r="F14499" t="s">
        <v>3346</v>
      </c>
      <c r="G14499" t="s">
        <v>19</v>
      </c>
      <c r="H14499" t="s">
        <v>20</v>
      </c>
      <c r="I14499" t="s">
        <v>28027</v>
      </c>
      <c r="J14499" t="str">
        <f>HYPERLINK("https://www.boe.es/gazeta/dias/1822/06/02/pdfs/GMD-1822-158.pdf#page=5","Abrir facsímil")</f>
        <v>Abrir facsímil</v>
      </c>
      <c r="K14499" t="s">
        <v>22</v>
      </c>
    </row>
    <row r="14500" spans="1:11" ht="42" customHeight="1">
      <c r="A14500" t="s">
        <v>28022</v>
      </c>
      <c r="B14500" t="s">
        <v>28022</v>
      </c>
      <c r="C14500" t="s">
        <v>71</v>
      </c>
      <c r="D14500" t="s">
        <v>17</v>
      </c>
      <c r="E14500" s="6">
        <v>-28334</v>
      </c>
      <c r="F14500" t="s">
        <v>532</v>
      </c>
      <c r="G14500" t="s">
        <v>57</v>
      </c>
      <c r="H14500" t="s">
        <v>20</v>
      </c>
      <c r="I14500" t="s">
        <v>28028</v>
      </c>
      <c r="J14500" t="str">
        <f>HYPERLINK("https://www.boe.es/gazeta/dias/1822/06/03/pdfs/GMD-1822-159.pdf#page=4","Abrir facsímil")</f>
        <v>Abrir facsímil</v>
      </c>
      <c r="K14500" t="s">
        <v>22</v>
      </c>
    </row>
    <row r="14501" spans="1:11" ht="42" customHeight="1">
      <c r="A14501" t="s">
        <v>28022</v>
      </c>
      <c r="B14501" t="s">
        <v>28022</v>
      </c>
      <c r="C14501" t="s">
        <v>28</v>
      </c>
      <c r="D14501" t="s">
        <v>29</v>
      </c>
      <c r="E14501" s="6">
        <v>-28334</v>
      </c>
      <c r="F14501" t="s">
        <v>532</v>
      </c>
      <c r="G14501" t="s">
        <v>19</v>
      </c>
      <c r="H14501" t="s">
        <v>20</v>
      </c>
      <c r="I14501" t="s">
        <v>28029</v>
      </c>
      <c r="J14501" t="str">
        <f>HYPERLINK("https://www.boe.es/gazeta/dias/1822/06/03/pdfs/GMD-1822-159.pdf#page=5","Abrir facsímil")</f>
        <v>Abrir facsímil</v>
      </c>
      <c r="K14501" t="s">
        <v>22</v>
      </c>
    </row>
    <row r="14502" spans="1:11" ht="42" customHeight="1">
      <c r="A14502" t="s">
        <v>28022</v>
      </c>
      <c r="B14502" t="s">
        <v>28022</v>
      </c>
      <c r="C14502" t="s">
        <v>61</v>
      </c>
      <c r="D14502" t="s">
        <v>17</v>
      </c>
      <c r="E14502" s="6">
        <v>-28334</v>
      </c>
      <c r="F14502" t="s">
        <v>532</v>
      </c>
      <c r="G14502" t="s">
        <v>63</v>
      </c>
      <c r="H14502" t="s">
        <v>20</v>
      </c>
      <c r="I14502" t="s">
        <v>28030</v>
      </c>
      <c r="J14502" t="str">
        <f>HYPERLINK("https://www.boe.es/gazeta/dias/1822/06/03/pdfs/GMD-1822-159.pdf#page=6","Abrir facsímil")</f>
        <v>Abrir facsímil</v>
      </c>
      <c r="K14502" t="s">
        <v>22</v>
      </c>
    </row>
    <row r="14503" spans="1:11" ht="42" customHeight="1">
      <c r="A14503" t="s">
        <v>28022</v>
      </c>
      <c r="B14503" t="s">
        <v>28022</v>
      </c>
      <c r="C14503" t="s">
        <v>42</v>
      </c>
      <c r="D14503" t="s">
        <v>17</v>
      </c>
      <c r="E14503" s="6">
        <v>-28329</v>
      </c>
      <c r="F14503" t="s">
        <v>354</v>
      </c>
      <c r="G14503" t="s">
        <v>35</v>
      </c>
      <c r="H14503" t="s">
        <v>20</v>
      </c>
      <c r="I14503" t="s">
        <v>28031</v>
      </c>
      <c r="J14503" t="str">
        <f>HYPERLINK("https://www.boe.es/gazeta/dias/1822/06/08/pdfs/GMD-1822-165.pdf#page=2","Abrir facsímil")</f>
        <v>Abrir facsímil</v>
      </c>
      <c r="K14503" t="s">
        <v>22</v>
      </c>
    </row>
    <row r="14504" spans="1:11" ht="42" customHeight="1">
      <c r="A14504" t="s">
        <v>28022</v>
      </c>
      <c r="B14504" t="s">
        <v>28022</v>
      </c>
      <c r="C14504" t="s">
        <v>28</v>
      </c>
      <c r="D14504" t="s">
        <v>29</v>
      </c>
      <c r="E14504" s="6">
        <v>-28329</v>
      </c>
      <c r="F14504" t="s">
        <v>354</v>
      </c>
      <c r="G14504" t="s">
        <v>31</v>
      </c>
      <c r="H14504" t="s">
        <v>20</v>
      </c>
      <c r="I14504" t="s">
        <v>28032</v>
      </c>
      <c r="J14504" t="str">
        <f>HYPERLINK("https://www.boe.es/gazeta/dias/1822/06/08/pdfs/GMD-1822-165.pdf#page=3","Abrir facsímil")</f>
        <v>Abrir facsímil</v>
      </c>
      <c r="K14504" t="s">
        <v>22</v>
      </c>
    </row>
    <row r="14505" spans="1:11" ht="42" customHeight="1">
      <c r="A14505" t="s">
        <v>28033</v>
      </c>
      <c r="B14505" t="s">
        <v>28034</v>
      </c>
      <c r="C14505" t="s">
        <v>28</v>
      </c>
      <c r="D14505" t="s">
        <v>29</v>
      </c>
      <c r="E14505" s="6">
        <v>-28336</v>
      </c>
      <c r="F14505" t="s">
        <v>156</v>
      </c>
      <c r="G14505" t="s">
        <v>31</v>
      </c>
      <c r="H14505" t="s">
        <v>20</v>
      </c>
      <c r="I14505" t="s">
        <v>28035</v>
      </c>
      <c r="J14505" t="str">
        <f>HYPERLINK("https://www.boe.es/gazeta/dias/1822/06/01/pdfs/GMD-1822-157.pdf#page=3","Abrir facsímil")</f>
        <v>Abrir facsímil</v>
      </c>
      <c r="K14505" t="s">
        <v>22</v>
      </c>
    </row>
    <row r="14506" spans="1:11" ht="42" customHeight="1">
      <c r="A14506" t="s">
        <v>28036</v>
      </c>
      <c r="B14506" t="s">
        <v>28037</v>
      </c>
      <c r="C14506" t="s">
        <v>50</v>
      </c>
      <c r="D14506" t="s">
        <v>51</v>
      </c>
      <c r="E14506" s="6">
        <v>-28486</v>
      </c>
      <c r="F14506" t="s">
        <v>1046</v>
      </c>
      <c r="G14506" t="s">
        <v>57</v>
      </c>
      <c r="H14506" t="s">
        <v>20</v>
      </c>
      <c r="I14506" t="s">
        <v>28038</v>
      </c>
      <c r="J14506" t="str">
        <f>HYPERLINK("https://www.boe.es/gazeta/dias/1822/01/02/pdfs/GMD-1822-2.pdf#page=4","Abrir facsímil")</f>
        <v>Abrir facsímil</v>
      </c>
      <c r="K14506" t="s">
        <v>22</v>
      </c>
    </row>
    <row r="14507" spans="1:11" ht="42" customHeight="1">
      <c r="A14507" t="s">
        <v>28036</v>
      </c>
      <c r="B14507" t="s">
        <v>28037</v>
      </c>
      <c r="C14507" t="s">
        <v>28</v>
      </c>
      <c r="D14507" t="s">
        <v>29</v>
      </c>
      <c r="E14507" s="6">
        <v>-28483</v>
      </c>
      <c r="F14507" t="s">
        <v>254</v>
      </c>
      <c r="G14507" t="s">
        <v>57</v>
      </c>
      <c r="H14507" t="s">
        <v>20</v>
      </c>
      <c r="I14507" t="s">
        <v>28039</v>
      </c>
      <c r="J14507" t="str">
        <f>HYPERLINK("https://www.boe.es/gazeta/dias/1822/01/05/pdfs/GMD-1822-5.pdf#page=4","Abrir facsímil")</f>
        <v>Abrir facsímil</v>
      </c>
      <c r="K14507" t="s">
        <v>22</v>
      </c>
    </row>
    <row r="14508" spans="1:11" ht="42" customHeight="1">
      <c r="A14508" t="s">
        <v>28036</v>
      </c>
      <c r="B14508" t="s">
        <v>28037</v>
      </c>
      <c r="C14508" t="s">
        <v>50</v>
      </c>
      <c r="D14508" t="s">
        <v>51</v>
      </c>
      <c r="E14508" s="6">
        <v>-28481</v>
      </c>
      <c r="F14508" t="s">
        <v>1089</v>
      </c>
      <c r="G14508" t="s">
        <v>57</v>
      </c>
      <c r="H14508" t="s">
        <v>20</v>
      </c>
      <c r="I14508" t="s">
        <v>28040</v>
      </c>
      <c r="J14508" t="str">
        <f>HYPERLINK("https://www.boe.es/gazeta/dias/1822/01/07/pdfs/GMD-1822-7.pdf#page=4","Abrir facsímil")</f>
        <v>Abrir facsímil</v>
      </c>
      <c r="K14508" t="s">
        <v>22</v>
      </c>
    </row>
    <row r="14509" spans="1:11" ht="42" customHeight="1">
      <c r="A14509" t="s">
        <v>28036</v>
      </c>
      <c r="B14509" t="s">
        <v>28037</v>
      </c>
      <c r="C14509" t="s">
        <v>28</v>
      </c>
      <c r="D14509" t="s">
        <v>29</v>
      </c>
      <c r="E14509" s="6">
        <v>-28479</v>
      </c>
      <c r="F14509" t="s">
        <v>1091</v>
      </c>
      <c r="G14509" t="s">
        <v>19</v>
      </c>
      <c r="H14509" t="s">
        <v>20</v>
      </c>
      <c r="I14509" t="s">
        <v>28041</v>
      </c>
      <c r="J14509" t="str">
        <f>HYPERLINK("https://www.boe.es/gazeta/dias/1822/01/09/pdfs/GMD-1822-9.pdf#page=5","Abrir facsímil")</f>
        <v>Abrir facsímil</v>
      </c>
      <c r="K14509" t="s">
        <v>22</v>
      </c>
    </row>
    <row r="14510" spans="1:11" ht="42" customHeight="1">
      <c r="A14510" t="s">
        <v>28036</v>
      </c>
      <c r="B14510" t="s">
        <v>28037</v>
      </c>
      <c r="C14510" t="s">
        <v>71</v>
      </c>
      <c r="D14510" t="s">
        <v>17</v>
      </c>
      <c r="E14510" s="6">
        <v>-28462</v>
      </c>
      <c r="F14510" t="s">
        <v>1099</v>
      </c>
      <c r="G14510" t="s">
        <v>57</v>
      </c>
      <c r="H14510" t="s">
        <v>20</v>
      </c>
      <c r="I14510" t="s">
        <v>28042</v>
      </c>
      <c r="J14510" t="str">
        <f>HYPERLINK("https://www.boe.es/gazeta/dias/1822/01/26/pdfs/GMD-1822-26.pdf#page=4","Abrir facsímil")</f>
        <v>Abrir facsímil</v>
      </c>
      <c r="K14510" t="s">
        <v>22</v>
      </c>
    </row>
    <row r="14511" spans="1:11" ht="42" customHeight="1">
      <c r="A14511" t="s">
        <v>28036</v>
      </c>
      <c r="B14511" t="s">
        <v>28037</v>
      </c>
      <c r="C14511" t="s">
        <v>50</v>
      </c>
      <c r="D14511" t="s">
        <v>51</v>
      </c>
      <c r="E14511" s="6">
        <v>-28336</v>
      </c>
      <c r="F14511" t="s">
        <v>156</v>
      </c>
      <c r="G14511" t="s">
        <v>35</v>
      </c>
      <c r="H14511" t="s">
        <v>20</v>
      </c>
      <c r="I14511" t="s">
        <v>28043</v>
      </c>
      <c r="J14511" t="str">
        <f>HYPERLINK("https://www.boe.es/gazeta/dias/1822/06/01/pdfs/GMD-1822-157.pdf#page=2","Abrir facsímil")</f>
        <v>Abrir facsímil</v>
      </c>
      <c r="K14511" t="s">
        <v>22</v>
      </c>
    </row>
    <row r="14512" spans="1:11" ht="42" customHeight="1">
      <c r="A14512" t="s">
        <v>28036</v>
      </c>
      <c r="B14512" t="s">
        <v>28037</v>
      </c>
      <c r="C14512" t="s">
        <v>28</v>
      </c>
      <c r="D14512" t="s">
        <v>29</v>
      </c>
      <c r="E14512" s="6">
        <v>-28336</v>
      </c>
      <c r="F14512" t="s">
        <v>156</v>
      </c>
      <c r="G14512" t="s">
        <v>31</v>
      </c>
      <c r="H14512" t="s">
        <v>20</v>
      </c>
      <c r="I14512" t="s">
        <v>28044</v>
      </c>
      <c r="J14512" t="str">
        <f>HYPERLINK("https://www.boe.es/gazeta/dias/1822/06/01/pdfs/GMD-1822-157.pdf#page=3","Abrir facsímil")</f>
        <v>Abrir facsímil</v>
      </c>
      <c r="K14512" t="s">
        <v>22</v>
      </c>
    </row>
    <row r="14513" spans="1:11" ht="42" customHeight="1">
      <c r="A14513" t="s">
        <v>28036</v>
      </c>
      <c r="B14513" t="s">
        <v>28037</v>
      </c>
      <c r="C14513" t="s">
        <v>28</v>
      </c>
      <c r="D14513" t="s">
        <v>29</v>
      </c>
      <c r="E14513" s="6">
        <v>-28335</v>
      </c>
      <c r="F14513" t="s">
        <v>3346</v>
      </c>
      <c r="G14513" t="s">
        <v>19</v>
      </c>
      <c r="H14513" t="s">
        <v>20</v>
      </c>
      <c r="I14513" t="s">
        <v>28045</v>
      </c>
      <c r="J14513" t="str">
        <f>HYPERLINK("https://www.boe.es/gazeta/dias/1822/06/02/pdfs/GMD-1822-158.pdf#page=5","Abrir facsímil")</f>
        <v>Abrir facsímil</v>
      </c>
      <c r="K14513" t="s">
        <v>22</v>
      </c>
    </row>
    <row r="14514" spans="1:11" ht="42" customHeight="1">
      <c r="A14514" t="s">
        <v>28046</v>
      </c>
      <c r="B14514" t="s">
        <v>28047</v>
      </c>
      <c r="C14514" t="s">
        <v>28</v>
      </c>
      <c r="D14514" t="s">
        <v>29</v>
      </c>
      <c r="E14514" s="6">
        <v>-28246</v>
      </c>
      <c r="F14514" t="s">
        <v>3246</v>
      </c>
      <c r="G14514" t="s">
        <v>57</v>
      </c>
      <c r="H14514" t="s">
        <v>20</v>
      </c>
      <c r="I14514" t="s">
        <v>28048</v>
      </c>
      <c r="J14514" t="str">
        <f>HYPERLINK("https://www.boe.es/gazeta/dias/1822/08/30/pdfs/GMD-1822-254.pdf#page=4","Abrir facsímil")</f>
        <v>Abrir facsímil</v>
      </c>
      <c r="K14514" t="s">
        <v>22</v>
      </c>
    </row>
    <row r="14515" spans="1:11" ht="42" customHeight="1">
      <c r="A14515" t="s">
        <v>28049</v>
      </c>
      <c r="B14515" t="s">
        <v>28049</v>
      </c>
      <c r="C14515" t="s">
        <v>42</v>
      </c>
      <c r="D14515" t="s">
        <v>17</v>
      </c>
      <c r="E14515" s="6">
        <v>-28358</v>
      </c>
      <c r="F14515" t="s">
        <v>211</v>
      </c>
      <c r="G14515" t="s">
        <v>44</v>
      </c>
      <c r="H14515" t="s">
        <v>20</v>
      </c>
      <c r="I14515" t="s">
        <v>28050</v>
      </c>
      <c r="J14515" t="str">
        <f>HYPERLINK("https://www.boe.es/gazeta/dias/1822/05/10/pdfs/GMD-1822-132.pdf#page=1","Abrir facsímil")</f>
        <v>Abrir facsímil</v>
      </c>
      <c r="K14515" t="s">
        <v>22</v>
      </c>
    </row>
    <row r="14516" spans="1:11" ht="42" customHeight="1">
      <c r="A14516" t="s">
        <v>28051</v>
      </c>
      <c r="B14516" t="s">
        <v>28051</v>
      </c>
      <c r="C14516" t="s">
        <v>50</v>
      </c>
      <c r="D14516" t="s">
        <v>51</v>
      </c>
      <c r="E14516" s="6">
        <v>-28190</v>
      </c>
      <c r="F14516" t="s">
        <v>576</v>
      </c>
      <c r="G14516" t="s">
        <v>19</v>
      </c>
      <c r="H14516" t="s">
        <v>20</v>
      </c>
      <c r="I14516" t="s">
        <v>28052</v>
      </c>
      <c r="J14516" t="str">
        <f>HYPERLINK("https://www.boe.es/gazeta/dias/1822/10/25/pdfs/GMD-1822-312.pdf#page=5","Abrir facsímil")</f>
        <v>Abrir facsímil</v>
      </c>
      <c r="K14516" t="s">
        <v>22</v>
      </c>
    </row>
    <row r="14517" spans="1:11" ht="42" customHeight="1">
      <c r="A14517" t="s">
        <v>28053</v>
      </c>
      <c r="B14517" t="s">
        <v>28054</v>
      </c>
      <c r="C14517" t="s">
        <v>24</v>
      </c>
      <c r="D14517" t="s">
        <v>17</v>
      </c>
      <c r="E14517" s="6">
        <v>-28288</v>
      </c>
      <c r="F14517" t="s">
        <v>970</v>
      </c>
      <c r="G14517" t="s">
        <v>35</v>
      </c>
      <c r="H14517" t="s">
        <v>20</v>
      </c>
      <c r="I14517" t="s">
        <v>28055</v>
      </c>
      <c r="J14517" t="str">
        <f>HYPERLINK("https://www.boe.es/gazeta/dias/1822/07/19/pdfs/GMD-1822-211.pdf#page=2","Abrir facsímil")</f>
        <v>Abrir facsímil</v>
      </c>
      <c r="K14517" t="s">
        <v>22</v>
      </c>
    </row>
    <row r="14518" spans="1:11" ht="42" customHeight="1">
      <c r="A14518" t="s">
        <v>28056</v>
      </c>
      <c r="B14518" t="s">
        <v>28056</v>
      </c>
      <c r="C14518" t="s">
        <v>50</v>
      </c>
      <c r="D14518" t="s">
        <v>51</v>
      </c>
      <c r="E14518" s="6">
        <v>-28200</v>
      </c>
      <c r="F14518" t="s">
        <v>1037</v>
      </c>
      <c r="G14518" t="s">
        <v>35</v>
      </c>
      <c r="H14518" t="s">
        <v>20</v>
      </c>
      <c r="I14518" t="s">
        <v>28057</v>
      </c>
      <c r="J14518" t="str">
        <f>HYPERLINK("https://www.boe.es/gazeta/dias/1822/10/15/pdfs/GMD-1822-302.pdf#page=2","Abrir facsímil")</f>
        <v>Abrir facsímil</v>
      </c>
      <c r="K14518" t="s">
        <v>22</v>
      </c>
    </row>
    <row r="14519" spans="1:11" ht="42" customHeight="1">
      <c r="A14519" t="s">
        <v>28058</v>
      </c>
      <c r="B14519" t="s">
        <v>28058</v>
      </c>
      <c r="C14519" t="s">
        <v>50</v>
      </c>
      <c r="D14519" t="s">
        <v>51</v>
      </c>
      <c r="E14519" s="6">
        <v>-28131</v>
      </c>
      <c r="F14519" t="s">
        <v>893</v>
      </c>
      <c r="G14519" t="s">
        <v>35</v>
      </c>
      <c r="H14519" t="s">
        <v>20</v>
      </c>
      <c r="I14519" t="s">
        <v>28059</v>
      </c>
      <c r="J14519" t="str">
        <f>HYPERLINK("https://www.boe.es/gazeta/dias/1822/12/23/pdfs/GMD-1822-373.pdf#page=2","Abrir facsímil")</f>
        <v>Abrir facsímil</v>
      </c>
      <c r="K14519" t="s">
        <v>22</v>
      </c>
    </row>
    <row r="14520" spans="1:11" ht="42" customHeight="1">
      <c r="A14520" t="s">
        <v>28060</v>
      </c>
      <c r="B14520" t="s">
        <v>28060</v>
      </c>
      <c r="C14520" t="s">
        <v>42</v>
      </c>
      <c r="D14520" t="s">
        <v>17</v>
      </c>
      <c r="E14520" s="6">
        <v>-28431</v>
      </c>
      <c r="F14520" t="s">
        <v>1258</v>
      </c>
      <c r="G14520" t="s">
        <v>57</v>
      </c>
      <c r="H14520" t="s">
        <v>20</v>
      </c>
      <c r="I14520" t="s">
        <v>28061</v>
      </c>
      <c r="J14520" t="str">
        <f>HYPERLINK("https://www.boe.es/gazeta/dias/1822/02/26/pdfs/GMD-1822-58.pdf#page=4","Abrir facsímil")</f>
        <v>Abrir facsímil</v>
      </c>
      <c r="K14520" t="s">
        <v>22</v>
      </c>
    </row>
    <row r="14521" spans="1:11" ht="42" customHeight="1">
      <c r="A14521" t="s">
        <v>28062</v>
      </c>
      <c r="B14521" t="s">
        <v>28063</v>
      </c>
      <c r="C14521" t="s">
        <v>28</v>
      </c>
      <c r="D14521" t="s">
        <v>29</v>
      </c>
      <c r="E14521" s="6">
        <v>-28225</v>
      </c>
      <c r="F14521" t="s">
        <v>177</v>
      </c>
      <c r="G14521" t="s">
        <v>178</v>
      </c>
      <c r="H14521" t="s">
        <v>20</v>
      </c>
      <c r="I14521" t="s">
        <v>28064</v>
      </c>
      <c r="J14521" t="str">
        <f>HYPERLINK("https://www.boe.es/gazeta/dias/1822/09/20/pdfs/GMD-1822-276.pdf#page=3","Abrir facsímil")</f>
        <v>Abrir facsímil</v>
      </c>
      <c r="K14521" t="s">
        <v>22</v>
      </c>
    </row>
    <row r="14522" spans="1:11" ht="42" customHeight="1">
      <c r="A14522" t="s">
        <v>28065</v>
      </c>
      <c r="B14522" t="s">
        <v>28065</v>
      </c>
      <c r="C14522" t="s">
        <v>50</v>
      </c>
      <c r="D14522" t="s">
        <v>51</v>
      </c>
      <c r="E14522" s="6">
        <v>-28190</v>
      </c>
      <c r="F14522" t="s">
        <v>576</v>
      </c>
      <c r="G14522" t="s">
        <v>57</v>
      </c>
      <c r="H14522" t="s">
        <v>20</v>
      </c>
      <c r="I14522" t="s">
        <v>28066</v>
      </c>
      <c r="J14522" t="str">
        <f>HYPERLINK("https://www.boe.es/gazeta/dias/1822/10/25/pdfs/GMD-1822-312.pdf#page=4","Abrir facsímil")</f>
        <v>Abrir facsímil</v>
      </c>
      <c r="K14522" t="s">
        <v>22</v>
      </c>
    </row>
    <row r="14523" spans="1:11" ht="42" customHeight="1">
      <c r="A14523" t="s">
        <v>28067</v>
      </c>
      <c r="B14523" t="s">
        <v>28067</v>
      </c>
      <c r="C14523" t="s">
        <v>71</v>
      </c>
      <c r="D14523" t="s">
        <v>17</v>
      </c>
      <c r="E14523" s="6">
        <v>-28198</v>
      </c>
      <c r="F14523" t="s">
        <v>981</v>
      </c>
      <c r="G14523" t="s">
        <v>31</v>
      </c>
      <c r="H14523" t="s">
        <v>20</v>
      </c>
      <c r="I14523" t="s">
        <v>28068</v>
      </c>
      <c r="J14523" t="str">
        <f>HYPERLINK("https://www.boe.es/gazeta/dias/1822/10/17/pdfs/GMD-1822-304.pdf#page=3","Abrir facsímil")</f>
        <v>Abrir facsímil</v>
      </c>
      <c r="K14523" t="s">
        <v>22</v>
      </c>
    </row>
    <row r="14524" spans="1:11" ht="42" customHeight="1">
      <c r="A14524" t="s">
        <v>28069</v>
      </c>
      <c r="B14524" t="s">
        <v>28070</v>
      </c>
      <c r="C14524" t="s">
        <v>42</v>
      </c>
      <c r="D14524" t="s">
        <v>17</v>
      </c>
      <c r="E14524" s="6">
        <v>-28286</v>
      </c>
      <c r="F14524" t="s">
        <v>1853</v>
      </c>
      <c r="G14524" t="s">
        <v>35</v>
      </c>
      <c r="H14524" t="s">
        <v>20</v>
      </c>
      <c r="I14524" t="s">
        <v>28071</v>
      </c>
      <c r="J14524" t="str">
        <f>HYPERLINK("https://www.boe.es/gazeta/dias/1822/07/21/pdfs/GMD-1822-213.pdf#page=2","Abrir facsímil")</f>
        <v>Abrir facsímil</v>
      </c>
      <c r="K14524" t="s">
        <v>22</v>
      </c>
    </row>
    <row r="14525" spans="1:11" ht="42" customHeight="1">
      <c r="A14525" t="s">
        <v>28072</v>
      </c>
      <c r="B14525" t="s">
        <v>28073</v>
      </c>
      <c r="C14525" t="s">
        <v>50</v>
      </c>
      <c r="D14525" t="s">
        <v>51</v>
      </c>
      <c r="E14525" s="6">
        <v>-28175</v>
      </c>
      <c r="F14525" t="s">
        <v>341</v>
      </c>
      <c r="G14525" t="s">
        <v>35</v>
      </c>
      <c r="H14525" t="s">
        <v>20</v>
      </c>
      <c r="I14525" t="s">
        <v>28074</v>
      </c>
      <c r="J14525" t="str">
        <f>HYPERLINK("https://www.boe.es/gazeta/dias/1822/11/09/pdfs/GMD-1822-329.pdf#page=2","Abrir facsímil")</f>
        <v>Abrir facsímil</v>
      </c>
      <c r="K14525" t="s">
        <v>22</v>
      </c>
    </row>
    <row r="14526" spans="1:11" ht="42" customHeight="1">
      <c r="A14526" t="s">
        <v>28075</v>
      </c>
      <c r="B14526" t="s">
        <v>28075</v>
      </c>
      <c r="C14526" t="s">
        <v>50</v>
      </c>
      <c r="D14526" t="s">
        <v>51</v>
      </c>
      <c r="E14526" s="6">
        <v>-28178</v>
      </c>
      <c r="F14526" t="s">
        <v>318</v>
      </c>
      <c r="G14526" t="s">
        <v>44</v>
      </c>
      <c r="H14526" t="s">
        <v>20</v>
      </c>
      <c r="I14526" t="s">
        <v>28076</v>
      </c>
      <c r="J14526" t="str">
        <f>HYPERLINK("https://www.boe.es/gazeta/dias/1822/11/06/pdfs/GMD-1822-326.pdf#page=1","Abrir facsímil")</f>
        <v>Abrir facsímil</v>
      </c>
      <c r="K14526" t="s">
        <v>22</v>
      </c>
    </row>
    <row r="14527" spans="1:11" ht="42" customHeight="1">
      <c r="A14527" t="s">
        <v>28077</v>
      </c>
      <c r="B14527" t="s">
        <v>28077</v>
      </c>
      <c r="C14527" t="s">
        <v>50</v>
      </c>
      <c r="D14527" t="s">
        <v>51</v>
      </c>
      <c r="E14527" s="6">
        <v>-28178</v>
      </c>
      <c r="F14527" t="s">
        <v>318</v>
      </c>
      <c r="G14527" t="s">
        <v>44</v>
      </c>
      <c r="H14527" t="s">
        <v>20</v>
      </c>
      <c r="I14527" t="s">
        <v>28078</v>
      </c>
      <c r="J14527" t="str">
        <f>HYPERLINK("https://www.boe.es/gazeta/dias/1822/11/06/pdfs/GMD-1822-326.pdf#page=1","Abrir facsímil")</f>
        <v>Abrir facsímil</v>
      </c>
      <c r="K14527" t="s">
        <v>22</v>
      </c>
    </row>
    <row r="14528" spans="1:11" ht="42" customHeight="1">
      <c r="A14528" t="s">
        <v>28079</v>
      </c>
      <c r="B14528" t="s">
        <v>28080</v>
      </c>
      <c r="C14528" t="s">
        <v>42</v>
      </c>
      <c r="D14528" t="s">
        <v>17</v>
      </c>
      <c r="E14528" s="6">
        <v>-28391</v>
      </c>
      <c r="F14528" t="s">
        <v>378</v>
      </c>
      <c r="G14528" t="s">
        <v>63</v>
      </c>
      <c r="H14528" t="s">
        <v>20</v>
      </c>
      <c r="I14528" t="s">
        <v>28081</v>
      </c>
      <c r="J14528" t="str">
        <f>HYPERLINK("https://www.boe.es/gazeta/dias/1822/04/07/pdfs/GMD-1822-99.pdf#page=6","Abrir facsímil")</f>
        <v>Abrir facsímil</v>
      </c>
      <c r="K14528" t="s">
        <v>22</v>
      </c>
    </row>
    <row r="14529" spans="1:11" ht="42" customHeight="1">
      <c r="A14529" t="s">
        <v>28082</v>
      </c>
      <c r="B14529" t="s">
        <v>28082</v>
      </c>
      <c r="C14529" t="s">
        <v>71</v>
      </c>
      <c r="D14529" t="s">
        <v>17</v>
      </c>
      <c r="E14529" s="6">
        <v>-28189</v>
      </c>
      <c r="F14529" t="s">
        <v>645</v>
      </c>
      <c r="G14529" t="s">
        <v>35</v>
      </c>
      <c r="H14529" t="s">
        <v>20</v>
      </c>
      <c r="I14529" t="s">
        <v>28083</v>
      </c>
      <c r="J14529" t="str">
        <f>HYPERLINK("https://www.boe.es/gazeta/dias/1822/10/26/pdfs/GMD-1822-313.pdf#page=2","Abrir facsímil")</f>
        <v>Abrir facsímil</v>
      </c>
      <c r="K14529" t="s">
        <v>22</v>
      </c>
    </row>
    <row r="14530" spans="1:11" ht="42" customHeight="1">
      <c r="A14530" t="s">
        <v>28084</v>
      </c>
      <c r="B14530" t="s">
        <v>28084</v>
      </c>
      <c r="C14530" t="s">
        <v>28</v>
      </c>
      <c r="D14530" t="s">
        <v>29</v>
      </c>
      <c r="E14530" s="6">
        <v>-28138</v>
      </c>
      <c r="F14530" t="s">
        <v>3542</v>
      </c>
      <c r="G14530" t="s">
        <v>44</v>
      </c>
      <c r="H14530" t="s">
        <v>20</v>
      </c>
      <c r="I14530" t="s">
        <v>28085</v>
      </c>
      <c r="J14530" t="str">
        <f>HYPERLINK("https://www.boe.es/gazeta/dias/1822/12/16/pdfs/GMD-1822-366.pdf#page=1","Abrir facsímil")</f>
        <v>Abrir facsímil</v>
      </c>
      <c r="K14530" t="s">
        <v>22</v>
      </c>
    </row>
    <row r="14531" spans="1:11" ht="42" customHeight="1">
      <c r="A14531" t="s">
        <v>28086</v>
      </c>
      <c r="B14531" t="s">
        <v>28086</v>
      </c>
      <c r="C14531" t="s">
        <v>50</v>
      </c>
      <c r="D14531" t="s">
        <v>51</v>
      </c>
      <c r="E14531" s="6">
        <v>-28184</v>
      </c>
      <c r="F14531" t="s">
        <v>1423</v>
      </c>
      <c r="G14531" t="s">
        <v>35</v>
      </c>
      <c r="H14531" t="s">
        <v>20</v>
      </c>
      <c r="I14531" t="s">
        <v>28087</v>
      </c>
      <c r="J14531" t="str">
        <f>HYPERLINK("https://www.boe.es/gazeta/dias/1822/10/31/pdfs/GMD-1822-318.pdf#page=2","Abrir facsímil")</f>
        <v>Abrir facsímil</v>
      </c>
      <c r="K14531" t="s">
        <v>22</v>
      </c>
    </row>
    <row r="14532" spans="1:11" ht="42" customHeight="1">
      <c r="A14532" t="s">
        <v>28088</v>
      </c>
      <c r="B14532" t="s">
        <v>28088</v>
      </c>
      <c r="C14532" t="s">
        <v>50</v>
      </c>
      <c r="D14532" t="s">
        <v>51</v>
      </c>
      <c r="E14532" s="6">
        <v>-28202</v>
      </c>
      <c r="F14532" t="s">
        <v>922</v>
      </c>
      <c r="G14532" t="s">
        <v>44</v>
      </c>
      <c r="H14532" t="s">
        <v>20</v>
      </c>
      <c r="I14532" t="s">
        <v>28089</v>
      </c>
      <c r="J14532" t="str">
        <f>HYPERLINK("https://www.boe.es/gazeta/dias/1822/10/13/pdfs/GMD-1822-300.pdf#page=1","Abrir facsímil")</f>
        <v>Abrir facsímil</v>
      </c>
      <c r="K14532" t="s">
        <v>22</v>
      </c>
    </row>
    <row r="14533" spans="1:11" ht="42" customHeight="1">
      <c r="A14533" t="s">
        <v>28088</v>
      </c>
      <c r="B14533" t="s">
        <v>28088</v>
      </c>
      <c r="C14533" t="s">
        <v>50</v>
      </c>
      <c r="D14533" t="s">
        <v>51</v>
      </c>
      <c r="E14533" s="6">
        <v>-28192</v>
      </c>
      <c r="F14533" t="s">
        <v>43</v>
      </c>
      <c r="G14533" t="s">
        <v>31</v>
      </c>
      <c r="H14533" t="s">
        <v>20</v>
      </c>
      <c r="I14533" t="s">
        <v>28090</v>
      </c>
      <c r="J14533" t="str">
        <f>HYPERLINK("https://www.boe.es/gazeta/dias/1822/10/23/pdfs/GMD-1822-310.pdf#page=3","Abrir facsímil")</f>
        <v>Abrir facsímil</v>
      </c>
      <c r="K14533" t="s">
        <v>22</v>
      </c>
    </row>
    <row r="14534" spans="1:11" ht="42" customHeight="1">
      <c r="A14534" t="s">
        <v>28088</v>
      </c>
      <c r="B14534" t="s">
        <v>28088</v>
      </c>
      <c r="C14534" t="s">
        <v>71</v>
      </c>
      <c r="D14534" t="s">
        <v>17</v>
      </c>
      <c r="E14534" s="6">
        <v>-28189</v>
      </c>
      <c r="F14534" t="s">
        <v>645</v>
      </c>
      <c r="G14534" t="s">
        <v>35</v>
      </c>
      <c r="H14534" t="s">
        <v>20</v>
      </c>
      <c r="I14534" t="s">
        <v>28091</v>
      </c>
      <c r="J14534" t="str">
        <f>HYPERLINK("https://www.boe.es/gazeta/dias/1822/10/26/pdfs/GMD-1822-313.pdf#page=2","Abrir facsímil")</f>
        <v>Abrir facsímil</v>
      </c>
      <c r="K14534" t="s">
        <v>22</v>
      </c>
    </row>
    <row r="14535" spans="1:11" ht="42" customHeight="1">
      <c r="A14535" t="s">
        <v>28092</v>
      </c>
      <c r="B14535" t="s">
        <v>28092</v>
      </c>
      <c r="C14535" t="s">
        <v>71</v>
      </c>
      <c r="D14535" t="s">
        <v>17</v>
      </c>
      <c r="E14535" s="6">
        <v>-28188</v>
      </c>
      <c r="F14535" t="s">
        <v>578</v>
      </c>
      <c r="G14535" t="s">
        <v>63</v>
      </c>
      <c r="H14535" t="s">
        <v>20</v>
      </c>
      <c r="I14535" t="s">
        <v>28093</v>
      </c>
      <c r="J14535" t="str">
        <f>HYPERLINK("https://www.boe.es/gazeta/dias/1822/10/27/pdfs/GMD-1822-314.pdf#page=6","Abrir facsímil")</f>
        <v>Abrir facsímil</v>
      </c>
      <c r="K14535" t="s">
        <v>22</v>
      </c>
    </row>
    <row r="14536" spans="1:11" ht="42" customHeight="1">
      <c r="A14536" t="s">
        <v>28088</v>
      </c>
      <c r="B14536" t="s">
        <v>28088</v>
      </c>
      <c r="C14536" t="s">
        <v>71</v>
      </c>
      <c r="D14536" t="s">
        <v>17</v>
      </c>
      <c r="E14536" s="6">
        <v>-28167</v>
      </c>
      <c r="F14536" t="s">
        <v>904</v>
      </c>
      <c r="G14536" t="s">
        <v>31</v>
      </c>
      <c r="H14536" t="s">
        <v>20</v>
      </c>
      <c r="I14536" t="s">
        <v>28094</v>
      </c>
      <c r="J14536" t="str">
        <f>HYPERLINK("https://www.boe.es/gazeta/dias/1822/11/17/pdfs/GMD-1822-337.pdf#page=3","Abrir facsímil")</f>
        <v>Abrir facsímil</v>
      </c>
      <c r="K14536" t="s">
        <v>22</v>
      </c>
    </row>
    <row r="14537" spans="1:11" ht="42" customHeight="1">
      <c r="A14537" t="s">
        <v>28088</v>
      </c>
      <c r="B14537" t="s">
        <v>28088</v>
      </c>
      <c r="C14537" t="s">
        <v>50</v>
      </c>
      <c r="D14537" t="s">
        <v>51</v>
      </c>
      <c r="E14537" s="6">
        <v>-28145</v>
      </c>
      <c r="F14537" t="s">
        <v>1350</v>
      </c>
      <c r="G14537" t="s">
        <v>31</v>
      </c>
      <c r="H14537" t="s">
        <v>20</v>
      </c>
      <c r="I14537" t="s">
        <v>28095</v>
      </c>
      <c r="J14537" t="str">
        <f>HYPERLINK("https://www.boe.es/gazeta/dias/1822/12/09/pdfs/GMD-1822-359.pdf#page=3","Abrir facsímil")</f>
        <v>Abrir facsímil</v>
      </c>
      <c r="K14537" t="s">
        <v>22</v>
      </c>
    </row>
    <row r="14538" spans="1:11" ht="42" customHeight="1">
      <c r="A14538" t="s">
        <v>28092</v>
      </c>
      <c r="B14538" t="s">
        <v>28092</v>
      </c>
      <c r="C14538" t="s">
        <v>28</v>
      </c>
      <c r="D14538" t="s">
        <v>29</v>
      </c>
      <c r="E14538" s="6">
        <v>-28143</v>
      </c>
      <c r="F14538" t="s">
        <v>2967</v>
      </c>
      <c r="G14538" t="s">
        <v>6049</v>
      </c>
      <c r="H14538" t="s">
        <v>20</v>
      </c>
      <c r="I14538" t="s">
        <v>28096</v>
      </c>
      <c r="J14538" t="str">
        <f>HYPERLINK("https://www.boe.es/gazeta/dias/1822/12/11/pdfs/GMD-1822-361.pdf#page=3","Abrir facsímil")</f>
        <v>Abrir facsímil</v>
      </c>
      <c r="K14538" t="s">
        <v>22</v>
      </c>
    </row>
    <row r="14539" spans="1:11" ht="42" customHeight="1">
      <c r="A14539" t="s">
        <v>28097</v>
      </c>
      <c r="B14539" t="s">
        <v>28098</v>
      </c>
      <c r="C14539" t="s">
        <v>28</v>
      </c>
      <c r="D14539" t="s">
        <v>29</v>
      </c>
      <c r="E14539" s="6">
        <v>-28386</v>
      </c>
      <c r="F14539" t="s">
        <v>2993</v>
      </c>
      <c r="G14539" t="s">
        <v>57</v>
      </c>
      <c r="H14539" t="s">
        <v>20</v>
      </c>
      <c r="I14539" t="s">
        <v>28099</v>
      </c>
      <c r="J14539" t="str">
        <f>HYPERLINK("https://www.boe.es/gazeta/dias/1822/04/12/pdfs/GMD-1822-104.pdf#page=4","Abrir facsímil")</f>
        <v>Abrir facsímil</v>
      </c>
      <c r="K14539" t="s">
        <v>22</v>
      </c>
    </row>
    <row r="14540" spans="1:11" ht="42" customHeight="1">
      <c r="A14540" t="s">
        <v>28097</v>
      </c>
      <c r="B14540" t="s">
        <v>28098</v>
      </c>
      <c r="C14540" t="s">
        <v>28</v>
      </c>
      <c r="D14540" t="s">
        <v>29</v>
      </c>
      <c r="E14540" s="6">
        <v>-28213</v>
      </c>
      <c r="F14540" t="s">
        <v>558</v>
      </c>
      <c r="G14540" t="s">
        <v>31</v>
      </c>
      <c r="H14540" t="s">
        <v>20</v>
      </c>
      <c r="I14540" t="s">
        <v>28100</v>
      </c>
      <c r="J14540" t="str">
        <f>HYPERLINK("https://www.boe.es/gazeta/dias/1822/10/02/pdfs/GMD-1822-288.pdf#page=3","Abrir facsímil")</f>
        <v>Abrir facsímil</v>
      </c>
      <c r="K14540" t="s">
        <v>22</v>
      </c>
    </row>
    <row r="14541" spans="1:11" ht="42" customHeight="1">
      <c r="A14541" t="s">
        <v>28101</v>
      </c>
      <c r="B14541" t="s">
        <v>28101</v>
      </c>
      <c r="C14541" t="s">
        <v>50</v>
      </c>
      <c r="D14541" t="s">
        <v>51</v>
      </c>
      <c r="E14541" s="6">
        <v>-28192</v>
      </c>
      <c r="F14541" t="s">
        <v>43</v>
      </c>
      <c r="G14541" t="s">
        <v>35</v>
      </c>
      <c r="H14541" t="s">
        <v>20</v>
      </c>
      <c r="I14541" t="s">
        <v>28102</v>
      </c>
      <c r="J14541" t="str">
        <f>HYPERLINK("https://www.boe.es/gazeta/dias/1822/10/23/pdfs/GMD-1822-310.pdf#page=2","Abrir facsímil")</f>
        <v>Abrir facsímil</v>
      </c>
      <c r="K14541" t="s">
        <v>22</v>
      </c>
    </row>
    <row r="14542" spans="1:11" ht="42" customHeight="1">
      <c r="A14542" t="s">
        <v>28103</v>
      </c>
      <c r="B14542" t="s">
        <v>28104</v>
      </c>
      <c r="C14542" t="s">
        <v>50</v>
      </c>
      <c r="D14542" t="s">
        <v>51</v>
      </c>
      <c r="E14542" s="6">
        <v>-28427</v>
      </c>
      <c r="F14542" t="s">
        <v>755</v>
      </c>
      <c r="G14542" t="s">
        <v>57</v>
      </c>
      <c r="H14542" t="s">
        <v>20</v>
      </c>
      <c r="I14542" t="s">
        <v>28105</v>
      </c>
      <c r="J14542" t="str">
        <f>HYPERLINK("https://www.boe.es/gazeta/dias/1822/03/02/pdfs/GMD-1822-63.pdf#page=4","Abrir facsímil")</f>
        <v>Abrir facsímil</v>
      </c>
      <c r="K14542" t="s">
        <v>22</v>
      </c>
    </row>
    <row r="14543" spans="1:11" ht="42" customHeight="1">
      <c r="A14543" t="s">
        <v>28106</v>
      </c>
      <c r="B14543" t="s">
        <v>28106</v>
      </c>
      <c r="C14543" t="s">
        <v>71</v>
      </c>
      <c r="D14543" t="s">
        <v>17</v>
      </c>
      <c r="E14543" s="6">
        <v>-28194</v>
      </c>
      <c r="F14543" t="s">
        <v>18</v>
      </c>
      <c r="G14543" t="s">
        <v>57</v>
      </c>
      <c r="H14543" t="s">
        <v>20</v>
      </c>
      <c r="I14543" t="s">
        <v>28107</v>
      </c>
      <c r="J14543" t="str">
        <f>HYPERLINK("https://www.boe.es/gazeta/dias/1822/10/21/pdfs/GMD-1822-308.pdf#page=4","Abrir facsímil")</f>
        <v>Abrir facsímil</v>
      </c>
      <c r="K14543" t="s">
        <v>22</v>
      </c>
    </row>
    <row r="14544" spans="1:11" ht="42" customHeight="1">
      <c r="A14544" t="s">
        <v>28106</v>
      </c>
      <c r="B14544" t="s">
        <v>28106</v>
      </c>
      <c r="C14544" t="s">
        <v>42</v>
      </c>
      <c r="D14544" t="s">
        <v>17</v>
      </c>
      <c r="E14544" s="6">
        <v>-28188</v>
      </c>
      <c r="F14544" t="s">
        <v>578</v>
      </c>
      <c r="G14544" t="s">
        <v>31</v>
      </c>
      <c r="H14544" t="s">
        <v>20</v>
      </c>
      <c r="I14544" t="s">
        <v>28108</v>
      </c>
      <c r="J14544" t="str">
        <f>HYPERLINK("https://www.boe.es/gazeta/dias/1822/10/27/pdfs/GMD-1822-314.pdf#page=3","Abrir facsímil")</f>
        <v>Abrir facsímil</v>
      </c>
      <c r="K14544" t="s">
        <v>22</v>
      </c>
    </row>
    <row r="14545" spans="1:11" ht="42" customHeight="1">
      <c r="A14545" t="s">
        <v>28106</v>
      </c>
      <c r="B14545" t="s">
        <v>28106</v>
      </c>
      <c r="C14545" t="s">
        <v>42</v>
      </c>
      <c r="D14545" t="s">
        <v>17</v>
      </c>
      <c r="E14545" s="6">
        <v>-28184</v>
      </c>
      <c r="F14545" t="s">
        <v>1423</v>
      </c>
      <c r="G14545" t="s">
        <v>35</v>
      </c>
      <c r="H14545" t="s">
        <v>20</v>
      </c>
      <c r="I14545" t="s">
        <v>28109</v>
      </c>
      <c r="J14545" t="str">
        <f>HYPERLINK("https://www.boe.es/gazeta/dias/1822/10/31/pdfs/GMD-1822-318.pdf#page=2","Abrir facsímil")</f>
        <v>Abrir facsímil</v>
      </c>
      <c r="K14545" t="s">
        <v>22</v>
      </c>
    </row>
    <row r="14546" spans="1:11" ht="42" customHeight="1">
      <c r="A14546" t="s">
        <v>28106</v>
      </c>
      <c r="B14546" t="s">
        <v>28106</v>
      </c>
      <c r="C14546" t="s">
        <v>42</v>
      </c>
      <c r="D14546" t="s">
        <v>17</v>
      </c>
      <c r="E14546" s="6">
        <v>-28179</v>
      </c>
      <c r="F14546" t="s">
        <v>935</v>
      </c>
      <c r="G14546" t="s">
        <v>35</v>
      </c>
      <c r="H14546" t="s">
        <v>20</v>
      </c>
      <c r="I14546" t="s">
        <v>28110</v>
      </c>
      <c r="J14546" t="str">
        <f>HYPERLINK("https://www.boe.es/gazeta/dias/1822/11/05/pdfs/GMD-1822-325.pdf#page=2","Abrir facsímil")</f>
        <v>Abrir facsímil</v>
      </c>
      <c r="K14546" t="s">
        <v>22</v>
      </c>
    </row>
    <row r="14547" spans="1:11" ht="42" customHeight="1">
      <c r="A14547" t="s">
        <v>28106</v>
      </c>
      <c r="B14547" t="s">
        <v>28106</v>
      </c>
      <c r="C14547" t="s">
        <v>42</v>
      </c>
      <c r="D14547" t="s">
        <v>17</v>
      </c>
      <c r="E14547" s="6">
        <v>-28164</v>
      </c>
      <c r="F14547" t="s">
        <v>2172</v>
      </c>
      <c r="G14547" t="s">
        <v>57</v>
      </c>
      <c r="H14547" t="s">
        <v>20</v>
      </c>
      <c r="I14547" t="s">
        <v>28111</v>
      </c>
      <c r="J14547" t="str">
        <f>HYPERLINK("https://www.boe.es/gazeta/dias/1822/11/20/pdfs/GMD-1822-340.pdf#page=4","Abrir facsímil")</f>
        <v>Abrir facsímil</v>
      </c>
      <c r="K14547" t="s">
        <v>22</v>
      </c>
    </row>
    <row r="14548" spans="1:11" ht="42" customHeight="1">
      <c r="A14548" t="s">
        <v>28112</v>
      </c>
      <c r="B14548" t="s">
        <v>28113</v>
      </c>
      <c r="C14548" t="s">
        <v>61</v>
      </c>
      <c r="D14548" t="s">
        <v>17</v>
      </c>
      <c r="E14548" s="6">
        <v>-28424</v>
      </c>
      <c r="F14548" t="s">
        <v>439</v>
      </c>
      <c r="G14548" t="s">
        <v>57</v>
      </c>
      <c r="H14548" t="s">
        <v>20</v>
      </c>
      <c r="I14548" t="s">
        <v>28114</v>
      </c>
      <c r="J14548" t="str">
        <f>HYPERLINK("https://www.boe.es/gazeta/dias/1822/03/05/pdfs/GMD-1822-66.pdf#page=4","Abrir facsímil")</f>
        <v>Abrir facsímil</v>
      </c>
      <c r="K14548" t="s">
        <v>22</v>
      </c>
    </row>
    <row r="14549" spans="1:11" ht="42" customHeight="1">
      <c r="A14549" t="s">
        <v>28115</v>
      </c>
      <c r="B14549" t="s">
        <v>28115</v>
      </c>
      <c r="C14549" t="s">
        <v>50</v>
      </c>
      <c r="D14549" t="s">
        <v>51</v>
      </c>
      <c r="E14549" s="6">
        <v>-28359</v>
      </c>
      <c r="F14549" t="s">
        <v>209</v>
      </c>
      <c r="G14549" t="s">
        <v>31</v>
      </c>
      <c r="H14549" t="s">
        <v>20</v>
      </c>
      <c r="I14549" t="s">
        <v>28116</v>
      </c>
      <c r="J14549" t="str">
        <f>HYPERLINK("https://www.boe.es/gazeta/dias/1822/05/09/pdfs/GMD-1822-131.pdf#page=3","Abrir facsímil")</f>
        <v>Abrir facsímil</v>
      </c>
      <c r="K14549" t="s">
        <v>22</v>
      </c>
    </row>
    <row r="14550" spans="1:11" ht="42" customHeight="1">
      <c r="A14550" t="s">
        <v>28117</v>
      </c>
      <c r="B14550" t="s">
        <v>28118</v>
      </c>
      <c r="C14550" t="s">
        <v>42</v>
      </c>
      <c r="D14550" t="s">
        <v>17</v>
      </c>
      <c r="E14550" s="6">
        <v>-28450</v>
      </c>
      <c r="F14550" t="s">
        <v>1450</v>
      </c>
      <c r="G14550" t="s">
        <v>6340</v>
      </c>
      <c r="H14550" t="s">
        <v>45</v>
      </c>
      <c r="I14550" t="s">
        <v>28119</v>
      </c>
      <c r="J14550" t="str">
        <f>HYPERLINK("https://www.boe.es/gazeta/dias/1822/02/07/pdfs/GMD-1822-38.pdf#page=5","Abrir facsímil")</f>
        <v>Abrir facsímil</v>
      </c>
      <c r="K14550" t="s">
        <v>47</v>
      </c>
    </row>
    <row r="14551" spans="1:11" ht="42" customHeight="1">
      <c r="A14551" t="s">
        <v>28120</v>
      </c>
      <c r="B14551" t="s">
        <v>28121</v>
      </c>
      <c r="C14551" t="s">
        <v>50</v>
      </c>
      <c r="D14551" t="s">
        <v>51</v>
      </c>
      <c r="E14551" s="6">
        <v>-28210</v>
      </c>
      <c r="F14551" t="s">
        <v>218</v>
      </c>
      <c r="G14551" t="s">
        <v>19</v>
      </c>
      <c r="H14551" t="s">
        <v>20</v>
      </c>
      <c r="I14551" t="s">
        <v>28122</v>
      </c>
      <c r="J14551" t="str">
        <f>HYPERLINK("https://www.boe.es/gazeta/dias/1822/10/05/pdfs/GMD-1822-291.pdf#page=5","Abrir facsímil")</f>
        <v>Abrir facsímil</v>
      </c>
      <c r="K14551" t="s">
        <v>22</v>
      </c>
    </row>
    <row r="14552" spans="1:11" ht="42" customHeight="1">
      <c r="A14552" t="s">
        <v>28123</v>
      </c>
      <c r="B14552" t="s">
        <v>28124</v>
      </c>
      <c r="C14552" t="s">
        <v>50</v>
      </c>
      <c r="D14552" t="s">
        <v>51</v>
      </c>
      <c r="E14552" s="6">
        <v>-28221</v>
      </c>
      <c r="F14552" t="s">
        <v>2591</v>
      </c>
      <c r="G14552" t="s">
        <v>35</v>
      </c>
      <c r="H14552" t="s">
        <v>20</v>
      </c>
      <c r="I14552" t="s">
        <v>28125</v>
      </c>
      <c r="J14552" t="str">
        <f>HYPERLINK("https://www.boe.es/gazeta/dias/1822/09/24/pdfs/GMD-1822-280.pdf#page=2","Abrir facsímil")</f>
        <v>Abrir facsímil</v>
      </c>
      <c r="K14552" t="s">
        <v>22</v>
      </c>
    </row>
    <row r="14553" spans="1:11" ht="42" customHeight="1">
      <c r="A14553" t="s">
        <v>28126</v>
      </c>
      <c r="B14553" t="s">
        <v>28126</v>
      </c>
      <c r="C14553" t="s">
        <v>42</v>
      </c>
      <c r="D14553" t="s">
        <v>17</v>
      </c>
      <c r="E14553" s="6">
        <v>-28433</v>
      </c>
      <c r="F14553" t="s">
        <v>3663</v>
      </c>
      <c r="G14553" t="s">
        <v>31</v>
      </c>
      <c r="H14553" t="s">
        <v>20</v>
      </c>
      <c r="I14553" t="s">
        <v>28127</v>
      </c>
      <c r="J14553" t="str">
        <f>HYPERLINK("https://www.boe.es/gazeta/dias/1822/02/24/pdfs/GMD-1822-56.pdf#page=3","Abrir facsímil")</f>
        <v>Abrir facsímil</v>
      </c>
      <c r="K14553" t="s">
        <v>22</v>
      </c>
    </row>
    <row r="14554" spans="1:11" ht="42" customHeight="1">
      <c r="A14554" t="s">
        <v>28128</v>
      </c>
      <c r="B14554" t="s">
        <v>28128</v>
      </c>
      <c r="C14554" t="s">
        <v>50</v>
      </c>
      <c r="D14554" t="s">
        <v>51</v>
      </c>
      <c r="E14554" s="6">
        <v>-28409</v>
      </c>
      <c r="F14554" t="s">
        <v>394</v>
      </c>
      <c r="G14554" t="s">
        <v>44</v>
      </c>
      <c r="H14554" t="s">
        <v>20</v>
      </c>
      <c r="I14554" t="s">
        <v>28129</v>
      </c>
      <c r="J14554" t="str">
        <f>HYPERLINK("https://www.boe.es/gazeta/dias/1822/03/20/pdfs/GMD-1822-81.pdf#page=1","Abrir facsímil")</f>
        <v>Abrir facsímil</v>
      </c>
      <c r="K14554" t="s">
        <v>22</v>
      </c>
    </row>
    <row r="14555" spans="1:11" ht="42" customHeight="1">
      <c r="A14555" t="s">
        <v>28130</v>
      </c>
      <c r="B14555" t="s">
        <v>28131</v>
      </c>
      <c r="C14555" t="s">
        <v>28</v>
      </c>
      <c r="D14555" t="s">
        <v>29</v>
      </c>
      <c r="E14555" s="6">
        <v>-28163</v>
      </c>
      <c r="F14555" t="s">
        <v>891</v>
      </c>
      <c r="G14555" t="s">
        <v>63</v>
      </c>
      <c r="H14555" t="s">
        <v>20</v>
      </c>
      <c r="I14555" t="s">
        <v>28132</v>
      </c>
      <c r="J14555" t="str">
        <f>HYPERLINK("https://www.boe.es/gazeta/dias/1822/11/21/pdfs/GMD-1822-341.pdf#page=6","Abrir facsímil")</f>
        <v>Abrir facsímil</v>
      </c>
      <c r="K14555" t="s">
        <v>22</v>
      </c>
    </row>
    <row r="14556" spans="1:11" ht="42" customHeight="1">
      <c r="A14556" t="s">
        <v>28133</v>
      </c>
      <c r="B14556" t="s">
        <v>28133</v>
      </c>
      <c r="C14556" t="s">
        <v>50</v>
      </c>
      <c r="D14556" t="s">
        <v>51</v>
      </c>
      <c r="E14556" s="6">
        <v>-28172</v>
      </c>
      <c r="F14556" t="s">
        <v>674</v>
      </c>
      <c r="G14556" t="s">
        <v>31</v>
      </c>
      <c r="H14556" t="s">
        <v>20</v>
      </c>
      <c r="I14556" t="s">
        <v>28134</v>
      </c>
      <c r="J14556" t="str">
        <f>HYPERLINK("https://www.boe.es/gazeta/dias/1822/11/12/pdfs/GMD-1822-332.pdf#page=3","Abrir facsímil")</f>
        <v>Abrir facsímil</v>
      </c>
      <c r="K14556" t="s">
        <v>22</v>
      </c>
    </row>
    <row r="14557" spans="1:11" ht="42" customHeight="1">
      <c r="A14557" t="s">
        <v>28135</v>
      </c>
      <c r="B14557" t="s">
        <v>28135</v>
      </c>
      <c r="C14557" t="s">
        <v>50</v>
      </c>
      <c r="D14557" t="s">
        <v>51</v>
      </c>
      <c r="E14557" s="6">
        <v>-28369</v>
      </c>
      <c r="F14557" t="s">
        <v>1590</v>
      </c>
      <c r="G14557" t="s">
        <v>35</v>
      </c>
      <c r="H14557" t="s">
        <v>20</v>
      </c>
      <c r="I14557" t="s">
        <v>28136</v>
      </c>
      <c r="J14557" t="str">
        <f>HYPERLINK("https://www.boe.es/gazeta/dias/1822/04/29/pdfs/GMD-1822-121.pdf#page=2","Abrir facsímil")</f>
        <v>Abrir facsímil</v>
      </c>
      <c r="K14557" t="s">
        <v>22</v>
      </c>
    </row>
    <row r="14558" spans="1:11" ht="42" customHeight="1">
      <c r="A14558" t="s">
        <v>28137</v>
      </c>
      <c r="B14558" t="s">
        <v>28138</v>
      </c>
      <c r="C14558" t="s">
        <v>50</v>
      </c>
      <c r="D14558" t="s">
        <v>51</v>
      </c>
      <c r="E14558" s="6">
        <v>-28265</v>
      </c>
      <c r="F14558" t="s">
        <v>1263</v>
      </c>
      <c r="G14558" t="s">
        <v>57</v>
      </c>
      <c r="H14558" t="s">
        <v>20</v>
      </c>
      <c r="I14558" t="s">
        <v>28139</v>
      </c>
      <c r="J14558" t="str">
        <f>HYPERLINK("https://www.boe.es/gazeta/dias/1822/08/11/pdfs/GMD-1822-235.pdf#page=4","Abrir facsímil")</f>
        <v>Abrir facsímil</v>
      </c>
      <c r="K14558" t="s">
        <v>22</v>
      </c>
    </row>
    <row r="14559" spans="1:11" ht="42" customHeight="1">
      <c r="A14559" t="s">
        <v>28140</v>
      </c>
      <c r="B14559" t="s">
        <v>28140</v>
      </c>
      <c r="C14559" t="s">
        <v>50</v>
      </c>
      <c r="D14559" t="s">
        <v>51</v>
      </c>
      <c r="E14559" s="6">
        <v>-28175</v>
      </c>
      <c r="F14559" t="s">
        <v>341</v>
      </c>
      <c r="G14559" t="s">
        <v>63</v>
      </c>
      <c r="H14559" t="s">
        <v>20</v>
      </c>
      <c r="I14559" t="s">
        <v>28141</v>
      </c>
      <c r="J14559" t="str">
        <f>HYPERLINK("https://www.boe.es/gazeta/dias/1822/11/09/pdfs/GMD-1822-329.pdf#page=6","Abrir facsímil")</f>
        <v>Abrir facsímil</v>
      </c>
      <c r="K14559" t="s">
        <v>22</v>
      </c>
    </row>
    <row r="14560" spans="1:11" ht="42" customHeight="1">
      <c r="A14560" t="s">
        <v>28140</v>
      </c>
      <c r="B14560" t="s">
        <v>28140</v>
      </c>
      <c r="C14560" t="s">
        <v>50</v>
      </c>
      <c r="D14560" t="s">
        <v>51</v>
      </c>
      <c r="E14560" s="6">
        <v>-28151</v>
      </c>
      <c r="F14560" t="s">
        <v>985</v>
      </c>
      <c r="G14560" t="s">
        <v>7108</v>
      </c>
      <c r="H14560" t="s">
        <v>20</v>
      </c>
      <c r="I14560" t="s">
        <v>28142</v>
      </c>
      <c r="J14560" t="str">
        <f>HYPERLINK("https://www.boe.es/gazeta/dias/1822/12/03/pdfs/GMD-1822-353.pdf#page=2","Abrir facsímil")</f>
        <v>Abrir facsímil</v>
      </c>
      <c r="K14560" t="s">
        <v>22</v>
      </c>
    </row>
    <row r="14561" spans="1:11" ht="42" customHeight="1">
      <c r="A14561" t="s">
        <v>28143</v>
      </c>
      <c r="B14561" t="s">
        <v>28144</v>
      </c>
      <c r="C14561" t="s">
        <v>16</v>
      </c>
      <c r="D14561" t="s">
        <v>17</v>
      </c>
      <c r="E14561" s="6">
        <v>-28405</v>
      </c>
      <c r="F14561" t="s">
        <v>466</v>
      </c>
      <c r="G14561" t="s">
        <v>35</v>
      </c>
      <c r="H14561" t="s">
        <v>20</v>
      </c>
      <c r="I14561" t="s">
        <v>28145</v>
      </c>
      <c r="J14561" t="str">
        <f>HYPERLINK("https://www.boe.es/gazeta/dias/1822/03/24/pdfs/GMD-1822-85.pdf#page=2","Abrir facsímil")</f>
        <v>Abrir facsímil</v>
      </c>
      <c r="K14561" t="s">
        <v>22</v>
      </c>
    </row>
    <row r="14562" spans="1:11" ht="42" customHeight="1">
      <c r="A14562" t="s">
        <v>28146</v>
      </c>
      <c r="B14562" t="s">
        <v>28147</v>
      </c>
      <c r="C14562" t="s">
        <v>28</v>
      </c>
      <c r="D14562" t="s">
        <v>29</v>
      </c>
      <c r="E14562" s="6">
        <v>-28391</v>
      </c>
      <c r="F14562" t="s">
        <v>378</v>
      </c>
      <c r="G14562" t="s">
        <v>35</v>
      </c>
      <c r="H14562" t="s">
        <v>20</v>
      </c>
      <c r="I14562" t="s">
        <v>28148</v>
      </c>
      <c r="J14562" t="str">
        <f>HYPERLINK("https://www.boe.es/gazeta/dias/1822/04/07/pdfs/GMD-1822-99.pdf#page=2","Abrir facsímil")</f>
        <v>Abrir facsímil</v>
      </c>
      <c r="K14562" t="s">
        <v>22</v>
      </c>
    </row>
    <row r="14563" spans="1:11" ht="42" customHeight="1">
      <c r="A14563" t="s">
        <v>28149</v>
      </c>
      <c r="B14563" t="s">
        <v>28149</v>
      </c>
      <c r="C14563" t="s">
        <v>28</v>
      </c>
      <c r="D14563" t="s">
        <v>29</v>
      </c>
      <c r="E14563" s="6">
        <v>-28336</v>
      </c>
      <c r="F14563" t="s">
        <v>156</v>
      </c>
      <c r="G14563" t="s">
        <v>31</v>
      </c>
      <c r="H14563" t="s">
        <v>20</v>
      </c>
      <c r="I14563" t="s">
        <v>28150</v>
      </c>
      <c r="J14563" t="str">
        <f>HYPERLINK("https://www.boe.es/gazeta/dias/1822/06/01/pdfs/GMD-1822-157.pdf#page=3","Abrir facsímil")</f>
        <v>Abrir facsímil</v>
      </c>
      <c r="K14563" t="s">
        <v>22</v>
      </c>
    </row>
    <row r="14564" spans="1:11" ht="42" customHeight="1">
      <c r="A14564" t="s">
        <v>28151</v>
      </c>
      <c r="B14564" t="s">
        <v>28151</v>
      </c>
      <c r="C14564" t="s">
        <v>71</v>
      </c>
      <c r="D14564" t="s">
        <v>17</v>
      </c>
      <c r="E14564" s="6">
        <v>-28320</v>
      </c>
      <c r="F14564" t="s">
        <v>700</v>
      </c>
      <c r="G14564" t="s">
        <v>63</v>
      </c>
      <c r="H14564" t="s">
        <v>20</v>
      </c>
      <c r="I14564" t="s">
        <v>28152</v>
      </c>
      <c r="J14564" t="str">
        <f>HYPERLINK("https://www.boe.es/gazeta/dias/1822/06/17/pdfs/GMD-1822-174.pdf#page=6","Abrir facsímil")</f>
        <v>Abrir facsímil</v>
      </c>
      <c r="K14564" t="s">
        <v>22</v>
      </c>
    </row>
    <row r="14565" spans="1:11" ht="42" customHeight="1">
      <c r="A14565" t="s">
        <v>28153</v>
      </c>
      <c r="B14565" t="s">
        <v>28153</v>
      </c>
      <c r="C14565" t="s">
        <v>50</v>
      </c>
      <c r="D14565" t="s">
        <v>51</v>
      </c>
      <c r="E14565" s="6">
        <v>-28200</v>
      </c>
      <c r="F14565" t="s">
        <v>1037</v>
      </c>
      <c r="G14565" t="s">
        <v>35</v>
      </c>
      <c r="H14565" t="s">
        <v>20</v>
      </c>
      <c r="I14565" t="s">
        <v>28154</v>
      </c>
      <c r="J14565" t="str">
        <f>HYPERLINK("https://www.boe.es/gazeta/dias/1822/10/15/pdfs/GMD-1822-302.pdf#page=2","Abrir facsímil")</f>
        <v>Abrir facsímil</v>
      </c>
      <c r="K14565" t="s">
        <v>22</v>
      </c>
    </row>
    <row r="14566" spans="1:11" ht="42" customHeight="1">
      <c r="A14566" t="s">
        <v>28155</v>
      </c>
      <c r="B14566" t="s">
        <v>28155</v>
      </c>
      <c r="C14566" t="s">
        <v>42</v>
      </c>
      <c r="D14566" t="s">
        <v>17</v>
      </c>
      <c r="E14566" s="6">
        <v>-28309</v>
      </c>
      <c r="F14566" t="s">
        <v>553</v>
      </c>
      <c r="G14566" t="s">
        <v>44</v>
      </c>
      <c r="H14566" t="s">
        <v>20</v>
      </c>
      <c r="I14566" t="s">
        <v>28156</v>
      </c>
      <c r="J14566" t="str">
        <f>HYPERLINK("https://www.boe.es/gazeta/dias/1822/06/28/pdfs/GMD-1822-186.pdf#page=1","Abrir facsímil")</f>
        <v>Abrir facsímil</v>
      </c>
      <c r="K14566" t="s">
        <v>22</v>
      </c>
    </row>
    <row r="14567" spans="1:11" ht="42" customHeight="1">
      <c r="A14567" t="s">
        <v>28157</v>
      </c>
      <c r="B14567" t="s">
        <v>28158</v>
      </c>
      <c r="C14567" t="s">
        <v>61</v>
      </c>
      <c r="D14567" t="s">
        <v>17</v>
      </c>
      <c r="E14567" s="6">
        <v>-28237</v>
      </c>
      <c r="F14567" t="s">
        <v>878</v>
      </c>
      <c r="G14567" t="s">
        <v>57</v>
      </c>
      <c r="H14567" t="s">
        <v>20</v>
      </c>
      <c r="I14567" t="s">
        <v>28159</v>
      </c>
      <c r="J14567" t="str">
        <f>HYPERLINK("https://www.boe.es/gazeta/dias/1822/09/08/pdfs/GMD-1822-264.pdf#page=4","Abrir facsímil")</f>
        <v>Abrir facsímil</v>
      </c>
      <c r="K14567" t="s">
        <v>22</v>
      </c>
    </row>
    <row r="14568" spans="1:11" ht="42" customHeight="1">
      <c r="A14568" t="s">
        <v>28160</v>
      </c>
      <c r="B14568" t="s">
        <v>28161</v>
      </c>
      <c r="C14568" t="s">
        <v>50</v>
      </c>
      <c r="D14568" t="s">
        <v>51</v>
      </c>
      <c r="E14568" s="6">
        <v>-28349</v>
      </c>
      <c r="F14568" t="s">
        <v>518</v>
      </c>
      <c r="G14568" t="s">
        <v>44</v>
      </c>
      <c r="H14568" t="s">
        <v>20</v>
      </c>
      <c r="I14568" t="s">
        <v>28162</v>
      </c>
      <c r="J14568" t="str">
        <f>HYPERLINK("https://www.boe.es/gazeta/dias/1822/05/19/pdfs/GMD-1822-141.pdf#page=1","Abrir facsímil")</f>
        <v>Abrir facsímil</v>
      </c>
      <c r="K14568" t="s">
        <v>22</v>
      </c>
    </row>
    <row r="14569" spans="1:11" ht="42" customHeight="1">
      <c r="A14569" t="s">
        <v>28163</v>
      </c>
      <c r="B14569" t="s">
        <v>28164</v>
      </c>
      <c r="C14569" t="s">
        <v>42</v>
      </c>
      <c r="D14569" t="s">
        <v>17</v>
      </c>
      <c r="E14569" s="6">
        <v>-28251</v>
      </c>
      <c r="F14569" t="s">
        <v>1485</v>
      </c>
      <c r="G14569" t="s">
        <v>31</v>
      </c>
      <c r="H14569" t="s">
        <v>20</v>
      </c>
      <c r="I14569" t="s">
        <v>28165</v>
      </c>
      <c r="J14569" t="str">
        <f>HYPERLINK("https://www.boe.es/gazeta/dias/1822/08/25/pdfs/GMD-1822-249.pdf#page=3","Abrir facsímil")</f>
        <v>Abrir facsímil</v>
      </c>
      <c r="K14569" t="s">
        <v>22</v>
      </c>
    </row>
    <row r="14570" spans="1:11" ht="42" customHeight="1">
      <c r="A14570" t="s">
        <v>28166</v>
      </c>
      <c r="B14570" t="s">
        <v>28167</v>
      </c>
      <c r="C14570" t="s">
        <v>71</v>
      </c>
      <c r="D14570" t="s">
        <v>17</v>
      </c>
      <c r="E14570" s="6">
        <v>-28176</v>
      </c>
      <c r="F14570" t="s">
        <v>780</v>
      </c>
      <c r="G14570" t="s">
        <v>63</v>
      </c>
      <c r="H14570" t="s">
        <v>20</v>
      </c>
      <c r="I14570" t="s">
        <v>28168</v>
      </c>
      <c r="J14570" t="str">
        <f>HYPERLINK("https://www.boe.es/gazeta/dias/1822/11/08/pdfs/GMD-1822-328.pdf#page=6","Abrir facsímil")</f>
        <v>Abrir facsímil</v>
      </c>
      <c r="K14570" t="s">
        <v>22</v>
      </c>
    </row>
    <row r="14571" spans="1:11" ht="42" customHeight="1">
      <c r="A14571" t="s">
        <v>28169</v>
      </c>
      <c r="B14571" t="s">
        <v>28170</v>
      </c>
      <c r="C14571" t="s">
        <v>362</v>
      </c>
      <c r="D14571" t="s">
        <v>17</v>
      </c>
      <c r="E14571" s="6">
        <v>-28380</v>
      </c>
      <c r="F14571" t="s">
        <v>492</v>
      </c>
      <c r="G14571" t="s">
        <v>63</v>
      </c>
      <c r="H14571" t="s">
        <v>20</v>
      </c>
      <c r="I14571" t="s">
        <v>28171</v>
      </c>
      <c r="J14571" t="str">
        <f>HYPERLINK("https://www.boe.es/gazeta/dias/1822/04/18/pdfs/GMD-1822-110.pdf#page=6","Abrir facsímil")</f>
        <v>Abrir facsímil</v>
      </c>
      <c r="K14571" t="s">
        <v>22</v>
      </c>
    </row>
    <row r="14572" spans="1:11" ht="42" customHeight="1">
      <c r="A14572" t="s">
        <v>28172</v>
      </c>
      <c r="B14572" t="s">
        <v>28173</v>
      </c>
      <c r="C14572" t="s">
        <v>28</v>
      </c>
      <c r="D14572" t="s">
        <v>29</v>
      </c>
      <c r="E14572" s="6">
        <v>-28237</v>
      </c>
      <c r="F14572" t="s">
        <v>878</v>
      </c>
      <c r="G14572" t="s">
        <v>57</v>
      </c>
      <c r="H14572" t="s">
        <v>20</v>
      </c>
      <c r="I14572" t="s">
        <v>28174</v>
      </c>
      <c r="J14572" t="str">
        <f>HYPERLINK("https://www.boe.es/gazeta/dias/1822/09/08/pdfs/GMD-1822-264.pdf#page=4","Abrir facsímil")</f>
        <v>Abrir facsímil</v>
      </c>
      <c r="K14572" t="s">
        <v>22</v>
      </c>
    </row>
    <row r="14573" spans="1:11" ht="42" customHeight="1">
      <c r="A14573" t="s">
        <v>28175</v>
      </c>
      <c r="B14573" t="s">
        <v>28176</v>
      </c>
      <c r="C14573" t="s">
        <v>28</v>
      </c>
      <c r="D14573" t="s">
        <v>29</v>
      </c>
      <c r="E14573" s="6">
        <v>-28436</v>
      </c>
      <c r="F14573" t="s">
        <v>431</v>
      </c>
      <c r="G14573" t="s">
        <v>57</v>
      </c>
      <c r="H14573" t="s">
        <v>45</v>
      </c>
      <c r="I14573" t="s">
        <v>28177</v>
      </c>
      <c r="J14573" t="str">
        <f>HYPERLINK("https://www.boe.es/gazeta/dias/1822/02/21/pdfs/GMD-1822-53.pdf#page=4","Abrir facsímil")</f>
        <v>Abrir facsímil</v>
      </c>
      <c r="K14573" t="s">
        <v>47</v>
      </c>
    </row>
    <row r="14574" spans="1:11" ht="42" customHeight="1">
      <c r="A14574" t="s">
        <v>28178</v>
      </c>
      <c r="B14574" t="s">
        <v>28179</v>
      </c>
      <c r="C14574" t="s">
        <v>28</v>
      </c>
      <c r="D14574" t="s">
        <v>29</v>
      </c>
      <c r="E14574" s="6">
        <v>-28481</v>
      </c>
      <c r="F14574" t="s">
        <v>1089</v>
      </c>
      <c r="G14574" t="s">
        <v>57</v>
      </c>
      <c r="H14574" t="s">
        <v>45</v>
      </c>
      <c r="I14574" t="s">
        <v>28180</v>
      </c>
      <c r="J14574" t="str">
        <f>HYPERLINK("https://www.boe.es/gazeta/dias/1822/01/07/pdfs/GMD-1822-7.pdf#page=4","Abrir facsímil")</f>
        <v>Abrir facsímil</v>
      </c>
      <c r="K14574" t="s">
        <v>47</v>
      </c>
    </row>
    <row r="14575" spans="1:11" ht="42" customHeight="1">
      <c r="A14575" t="s">
        <v>28181</v>
      </c>
      <c r="B14575" t="s">
        <v>28182</v>
      </c>
      <c r="C14575" t="s">
        <v>50</v>
      </c>
      <c r="D14575" t="s">
        <v>51</v>
      </c>
      <c r="E14575" s="6">
        <v>-28264</v>
      </c>
      <c r="F14575" t="s">
        <v>1329</v>
      </c>
      <c r="G14575" t="s">
        <v>57</v>
      </c>
      <c r="H14575" t="s">
        <v>20</v>
      </c>
      <c r="I14575" t="s">
        <v>28183</v>
      </c>
      <c r="J14575" t="str">
        <f>HYPERLINK("https://www.boe.es/gazeta/dias/1822/08/12/pdfs/GMD-1822-236.pdf#page=4","Abrir facsímil")</f>
        <v>Abrir facsímil</v>
      </c>
      <c r="K14575" t="s">
        <v>22</v>
      </c>
    </row>
    <row r="14576" spans="1:11" ht="42" customHeight="1">
      <c r="A14576" t="s">
        <v>28184</v>
      </c>
      <c r="B14576" t="s">
        <v>28184</v>
      </c>
      <c r="C14576" t="s">
        <v>16</v>
      </c>
      <c r="D14576" t="s">
        <v>17</v>
      </c>
      <c r="E14576" s="6">
        <v>-28397</v>
      </c>
      <c r="F14576" t="s">
        <v>1401</v>
      </c>
      <c r="G14576" t="s">
        <v>26075</v>
      </c>
      <c r="H14576" t="s">
        <v>20</v>
      </c>
      <c r="I14576" t="s">
        <v>28185</v>
      </c>
      <c r="J14576" t="str">
        <f>HYPERLINK("https://www.boe.es/gazeta/dias/1822/04/01/pdfs/GMD-1822-93.pdf#page=5","Abrir facsímil")</f>
        <v>Abrir facsímil</v>
      </c>
      <c r="K14576" t="s">
        <v>22</v>
      </c>
    </row>
    <row r="14577" spans="1:11" ht="42" customHeight="1">
      <c r="A14577" t="s">
        <v>28186</v>
      </c>
      <c r="B14577" t="s">
        <v>28186</v>
      </c>
      <c r="C14577" t="s">
        <v>42</v>
      </c>
      <c r="D14577" t="s">
        <v>17</v>
      </c>
      <c r="E14577" s="6">
        <v>-28348</v>
      </c>
      <c r="F14577" t="s">
        <v>2903</v>
      </c>
      <c r="G14577" t="s">
        <v>31</v>
      </c>
      <c r="H14577" t="s">
        <v>20</v>
      </c>
      <c r="I14577" t="s">
        <v>28187</v>
      </c>
      <c r="J14577" t="str">
        <f>HYPERLINK("https://www.boe.es/gazeta/dias/1822/05/20/pdfs/GMD-1822-143.pdf#page=3","Abrir facsímil")</f>
        <v>Abrir facsímil</v>
      </c>
      <c r="K14577" t="s">
        <v>22</v>
      </c>
    </row>
    <row r="14578" spans="1:11" ht="42" customHeight="1">
      <c r="A14578" t="s">
        <v>28188</v>
      </c>
      <c r="B14578" t="s">
        <v>28188</v>
      </c>
      <c r="C14578" t="s">
        <v>16</v>
      </c>
      <c r="D14578" t="s">
        <v>17</v>
      </c>
      <c r="E14578" s="6">
        <v>-28399</v>
      </c>
      <c r="F14578" t="s">
        <v>476</v>
      </c>
      <c r="G14578" t="s">
        <v>35</v>
      </c>
      <c r="H14578" t="s">
        <v>20</v>
      </c>
      <c r="I14578" t="s">
        <v>28189</v>
      </c>
      <c r="J14578" t="str">
        <f>HYPERLINK("https://www.boe.es/gazeta/dias/1822/03/30/pdfs/GMD-1822-91.pdf#page=2","Abrir facsímil")</f>
        <v>Abrir facsímil</v>
      </c>
      <c r="K14578" t="s">
        <v>22</v>
      </c>
    </row>
    <row r="14579" spans="1:11" ht="42" customHeight="1">
      <c r="A14579" t="s">
        <v>28190</v>
      </c>
      <c r="B14579" t="s">
        <v>28191</v>
      </c>
      <c r="C14579" t="s">
        <v>50</v>
      </c>
      <c r="D14579" t="s">
        <v>51</v>
      </c>
      <c r="E14579" s="6">
        <v>-28401</v>
      </c>
      <c r="F14579" t="s">
        <v>108</v>
      </c>
      <c r="G14579" t="s">
        <v>31</v>
      </c>
      <c r="H14579" t="s">
        <v>45</v>
      </c>
      <c r="I14579" t="s">
        <v>28192</v>
      </c>
      <c r="J14579" t="str">
        <f>HYPERLINK("https://www.boe.es/gazeta/dias/1822/03/28/pdfs/GMD-1822-89.pdf#page=3","Abrir facsímil")</f>
        <v>Abrir facsímil</v>
      </c>
      <c r="K14579" t="s">
        <v>47</v>
      </c>
    </row>
    <row r="14580" spans="1:11" ht="42" customHeight="1">
      <c r="A14580" t="s">
        <v>28193</v>
      </c>
      <c r="B14580" t="s">
        <v>28193</v>
      </c>
      <c r="C14580" t="s">
        <v>28</v>
      </c>
      <c r="D14580" t="s">
        <v>29</v>
      </c>
      <c r="E14580" s="6">
        <v>-28141</v>
      </c>
      <c r="F14580" t="s">
        <v>265</v>
      </c>
      <c r="G14580" t="s">
        <v>31</v>
      </c>
      <c r="H14580" t="s">
        <v>20</v>
      </c>
      <c r="I14580" t="s">
        <v>28194</v>
      </c>
      <c r="J14580" t="str">
        <f>HYPERLINK("https://www.boe.es/gazeta/dias/1822/12/13/pdfs/GMD-1822-363.pdf#page=3","Abrir facsímil")</f>
        <v>Abrir facsímil</v>
      </c>
      <c r="K14580" t="s">
        <v>22</v>
      </c>
    </row>
    <row r="14581" spans="1:11" ht="42" customHeight="1">
      <c r="A14581" t="s">
        <v>28195</v>
      </c>
      <c r="B14581" t="s">
        <v>28196</v>
      </c>
      <c r="C14581" t="s">
        <v>61</v>
      </c>
      <c r="D14581" t="s">
        <v>17</v>
      </c>
      <c r="E14581" s="6">
        <v>-28145</v>
      </c>
      <c r="F14581" t="s">
        <v>1350</v>
      </c>
      <c r="G14581" t="s">
        <v>63</v>
      </c>
      <c r="H14581" t="s">
        <v>20</v>
      </c>
      <c r="I14581" t="s">
        <v>28197</v>
      </c>
      <c r="J14581" t="str">
        <f>HYPERLINK("https://www.boe.es/gazeta/dias/1822/12/09/pdfs/GMD-1822-359.pdf#page=6","Abrir facsímil")</f>
        <v>Abrir facsímil</v>
      </c>
      <c r="K14581" t="s">
        <v>22</v>
      </c>
    </row>
    <row r="14582" spans="1:11" ht="42" customHeight="1">
      <c r="A14582" t="s">
        <v>28198</v>
      </c>
      <c r="B14582" t="s">
        <v>28198</v>
      </c>
      <c r="C14582" t="s">
        <v>28</v>
      </c>
      <c r="D14582" t="s">
        <v>29</v>
      </c>
      <c r="E14582" s="6">
        <v>-28387</v>
      </c>
      <c r="F14582" t="s">
        <v>2874</v>
      </c>
      <c r="G14582" t="s">
        <v>19</v>
      </c>
      <c r="H14582" t="s">
        <v>20</v>
      </c>
      <c r="I14582" t="s">
        <v>28199</v>
      </c>
      <c r="J14582" t="str">
        <f>HYPERLINK("https://www.boe.es/gazeta/dias/1822/04/11/pdfs/GMD-1822-103.pdf#page=5","Abrir facsímil")</f>
        <v>Abrir facsímil</v>
      </c>
      <c r="K14582" t="s">
        <v>22</v>
      </c>
    </row>
    <row r="14583" spans="1:11" ht="42" customHeight="1">
      <c r="A14583" t="s">
        <v>28200</v>
      </c>
      <c r="B14583" t="s">
        <v>28200</v>
      </c>
      <c r="C14583" t="s">
        <v>16</v>
      </c>
      <c r="D14583" t="s">
        <v>17</v>
      </c>
      <c r="E14583" s="6">
        <v>-28404</v>
      </c>
      <c r="F14583" t="s">
        <v>421</v>
      </c>
      <c r="G14583" t="s">
        <v>35</v>
      </c>
      <c r="H14583" t="s">
        <v>20</v>
      </c>
      <c r="I14583" t="s">
        <v>28201</v>
      </c>
      <c r="J14583" t="str">
        <f>HYPERLINK("https://www.boe.es/gazeta/dias/1822/03/25/pdfs/GMD-1822-86.pdf#page=2","Abrir facsímil")</f>
        <v>Abrir facsímil</v>
      </c>
      <c r="K14583" t="s">
        <v>22</v>
      </c>
    </row>
    <row r="14584" spans="1:11" ht="42" customHeight="1">
      <c r="A14584" t="s">
        <v>28200</v>
      </c>
      <c r="B14584" t="s">
        <v>28200</v>
      </c>
      <c r="C14584" t="s">
        <v>28</v>
      </c>
      <c r="D14584" t="s">
        <v>29</v>
      </c>
      <c r="E14584" s="6">
        <v>-28353</v>
      </c>
      <c r="F14584" t="s">
        <v>843</v>
      </c>
      <c r="G14584" t="s">
        <v>57</v>
      </c>
      <c r="H14584" t="s">
        <v>20</v>
      </c>
      <c r="I14584" t="s">
        <v>28202</v>
      </c>
      <c r="J14584" t="str">
        <f>HYPERLINK("https://www.boe.es/gazeta/dias/1822/05/15/pdfs/GMD-1822-137.pdf#page=4","Abrir facsímil")</f>
        <v>Abrir facsímil</v>
      </c>
      <c r="K14584" t="s">
        <v>22</v>
      </c>
    </row>
    <row r="14585" spans="1:11" ht="42" customHeight="1">
      <c r="A14585" t="s">
        <v>28200</v>
      </c>
      <c r="B14585" t="s">
        <v>28200</v>
      </c>
      <c r="C14585" t="s">
        <v>50</v>
      </c>
      <c r="D14585" t="s">
        <v>51</v>
      </c>
      <c r="E14585" s="6">
        <v>-28313</v>
      </c>
      <c r="F14585" t="s">
        <v>315</v>
      </c>
      <c r="G14585" t="s">
        <v>57</v>
      </c>
      <c r="H14585" t="s">
        <v>20</v>
      </c>
      <c r="I14585" t="s">
        <v>28203</v>
      </c>
      <c r="J14585" t="str">
        <f>HYPERLINK("https://www.boe.es/gazeta/dias/1822/06/24/pdfs/GMD-1822-182.pdf#page=4","Abrir facsímil")</f>
        <v>Abrir facsímil</v>
      </c>
      <c r="K14585" t="s">
        <v>22</v>
      </c>
    </row>
    <row r="14586" spans="1:11" ht="42" customHeight="1">
      <c r="A14586" t="s">
        <v>28204</v>
      </c>
      <c r="B14586" t="s">
        <v>28204</v>
      </c>
      <c r="C14586" t="s">
        <v>42</v>
      </c>
      <c r="D14586" t="s">
        <v>17</v>
      </c>
      <c r="E14586" s="6">
        <v>-28386</v>
      </c>
      <c r="F14586" t="s">
        <v>2993</v>
      </c>
      <c r="G14586" t="s">
        <v>31</v>
      </c>
      <c r="H14586" t="s">
        <v>20</v>
      </c>
      <c r="I14586" t="s">
        <v>28205</v>
      </c>
      <c r="J14586" t="str">
        <f>HYPERLINK("https://www.boe.es/gazeta/dias/1822/04/12/pdfs/GMD-1822-104.pdf#page=3","Abrir facsímil")</f>
        <v>Abrir facsímil</v>
      </c>
      <c r="K14586" t="s">
        <v>22</v>
      </c>
    </row>
    <row r="14587" spans="1:11" ht="42" customHeight="1">
      <c r="A14587" t="s">
        <v>28206</v>
      </c>
      <c r="B14587" t="s">
        <v>28207</v>
      </c>
      <c r="C14587" t="s">
        <v>16</v>
      </c>
      <c r="D14587" t="s">
        <v>17</v>
      </c>
      <c r="E14587" s="6">
        <v>-28366</v>
      </c>
      <c r="F14587" t="s">
        <v>120</v>
      </c>
      <c r="G14587" t="s">
        <v>63</v>
      </c>
      <c r="H14587" t="s">
        <v>20</v>
      </c>
      <c r="I14587" t="s">
        <v>28208</v>
      </c>
      <c r="J14587" t="str">
        <f>HYPERLINK("https://www.boe.es/gazeta/dias/1822/05/02/pdfs/GMD-1822-124.pdf#page=6","Abrir facsímil")</f>
        <v>Abrir facsímil</v>
      </c>
      <c r="K14587" t="s">
        <v>22</v>
      </c>
    </row>
    <row r="14588" spans="1:11" ht="42" customHeight="1">
      <c r="A14588" t="s">
        <v>28209</v>
      </c>
      <c r="B14588" t="s">
        <v>28210</v>
      </c>
      <c r="C14588" t="s">
        <v>50</v>
      </c>
      <c r="D14588" t="s">
        <v>51</v>
      </c>
      <c r="E14588" s="6">
        <v>-28228</v>
      </c>
      <c r="F14588" t="s">
        <v>718</v>
      </c>
      <c r="G14588" t="s">
        <v>719</v>
      </c>
      <c r="H14588" t="s">
        <v>20</v>
      </c>
      <c r="I14588" t="s">
        <v>28211</v>
      </c>
      <c r="J14588" t="str">
        <f>HYPERLINK("https://www.boe.es/gazeta/dias/1822/09/17/pdfs/GMD-1822-273.pdf#page=3","Abrir facsímil")</f>
        <v>Abrir facsímil</v>
      </c>
      <c r="K14588" t="s">
        <v>22</v>
      </c>
    </row>
    <row r="14589" spans="1:11" ht="42" customHeight="1">
      <c r="A14589" t="s">
        <v>28212</v>
      </c>
      <c r="B14589" t="s">
        <v>28212</v>
      </c>
      <c r="C14589" t="s">
        <v>50</v>
      </c>
      <c r="D14589" t="s">
        <v>51</v>
      </c>
      <c r="E14589" s="6">
        <v>-28389</v>
      </c>
      <c r="F14589" t="s">
        <v>481</v>
      </c>
      <c r="G14589" t="s">
        <v>57</v>
      </c>
      <c r="H14589" t="s">
        <v>20</v>
      </c>
      <c r="I14589" t="s">
        <v>28213</v>
      </c>
      <c r="J14589" t="str">
        <f>HYPERLINK("https://www.boe.es/gazeta/dias/1822/04/09/pdfs/GMD-1822-101.pdf#page=4","Abrir facsímil")</f>
        <v>Abrir facsímil</v>
      </c>
      <c r="K14589" t="s">
        <v>22</v>
      </c>
    </row>
    <row r="14590" spans="1:11" ht="42" customHeight="1">
      <c r="A14590" t="s">
        <v>28212</v>
      </c>
      <c r="B14590" t="s">
        <v>28212</v>
      </c>
      <c r="C14590" t="s">
        <v>42</v>
      </c>
      <c r="D14590" t="s">
        <v>17</v>
      </c>
      <c r="E14590" s="6">
        <v>-28324</v>
      </c>
      <c r="F14590" t="s">
        <v>305</v>
      </c>
      <c r="G14590" t="s">
        <v>31</v>
      </c>
      <c r="H14590" t="s">
        <v>20</v>
      </c>
      <c r="I14590" t="s">
        <v>28214</v>
      </c>
      <c r="J14590" t="str">
        <f>HYPERLINK("https://www.boe.es/gazeta/dias/1822/06/13/pdfs/GMD-1822-170.pdf#page=3","Abrir facsímil")</f>
        <v>Abrir facsímil</v>
      </c>
      <c r="K14590" t="s">
        <v>22</v>
      </c>
    </row>
    <row r="14591" spans="1:11" ht="42" customHeight="1">
      <c r="A14591" t="s">
        <v>28212</v>
      </c>
      <c r="B14591" t="s">
        <v>28212</v>
      </c>
      <c r="C14591" t="s">
        <v>42</v>
      </c>
      <c r="D14591" t="s">
        <v>17</v>
      </c>
      <c r="E14591" s="6">
        <v>-28249</v>
      </c>
      <c r="F14591" t="s">
        <v>3986</v>
      </c>
      <c r="G14591" t="s">
        <v>57</v>
      </c>
      <c r="H14591" t="s">
        <v>20</v>
      </c>
      <c r="I14591" t="s">
        <v>28215</v>
      </c>
      <c r="J14591" t="str">
        <f>HYPERLINK("https://www.boe.es/gazeta/dias/1822/08/27/pdfs/GMD-1822-251.pdf#page=4","Abrir facsímil")</f>
        <v>Abrir facsímil</v>
      </c>
      <c r="K14591" t="s">
        <v>22</v>
      </c>
    </row>
    <row r="14592" spans="1:11" ht="42" customHeight="1">
      <c r="A14592" t="s">
        <v>28212</v>
      </c>
      <c r="B14592" t="s">
        <v>28212</v>
      </c>
      <c r="C14592" t="s">
        <v>28</v>
      </c>
      <c r="D14592" t="s">
        <v>29</v>
      </c>
      <c r="E14592" s="6">
        <v>-28141</v>
      </c>
      <c r="F14592" t="s">
        <v>265</v>
      </c>
      <c r="G14592" t="s">
        <v>31</v>
      </c>
      <c r="H14592" t="s">
        <v>20</v>
      </c>
      <c r="I14592" t="s">
        <v>28216</v>
      </c>
      <c r="J14592" t="str">
        <f>HYPERLINK("https://www.boe.es/gazeta/dias/1822/12/13/pdfs/GMD-1822-363.pdf#page=3","Abrir facsímil")</f>
        <v>Abrir facsímil</v>
      </c>
      <c r="K14592" t="s">
        <v>22</v>
      </c>
    </row>
    <row r="14593" spans="1:11" ht="42" customHeight="1">
      <c r="A14593" t="s">
        <v>28217</v>
      </c>
      <c r="B14593" t="s">
        <v>28218</v>
      </c>
      <c r="C14593" t="s">
        <v>71</v>
      </c>
      <c r="D14593" t="s">
        <v>17</v>
      </c>
      <c r="E14593" s="6">
        <v>-28407</v>
      </c>
      <c r="F14593" t="s">
        <v>460</v>
      </c>
      <c r="G14593" t="s">
        <v>63</v>
      </c>
      <c r="H14593" t="s">
        <v>20</v>
      </c>
      <c r="I14593" t="s">
        <v>28219</v>
      </c>
      <c r="J14593" t="str">
        <f>HYPERLINK("https://www.boe.es/gazeta/dias/1822/03/22/pdfs/GMD-1822-83.pdf#page=6","Abrir facsímil")</f>
        <v>Abrir facsímil</v>
      </c>
      <c r="K14593" t="s">
        <v>22</v>
      </c>
    </row>
    <row r="14594" spans="1:11" ht="42" customHeight="1">
      <c r="A14594" t="s">
        <v>28220</v>
      </c>
      <c r="B14594" t="s">
        <v>28221</v>
      </c>
      <c r="C14594" t="s">
        <v>28</v>
      </c>
      <c r="D14594" t="s">
        <v>29</v>
      </c>
      <c r="E14594" s="6">
        <v>-28436</v>
      </c>
      <c r="F14594" t="s">
        <v>431</v>
      </c>
      <c r="G14594" t="s">
        <v>1428</v>
      </c>
      <c r="H14594" t="s">
        <v>20</v>
      </c>
      <c r="I14594" t="s">
        <v>28222</v>
      </c>
      <c r="J14594" t="str">
        <f>HYPERLINK("https://www.boe.es/gazeta/dias/1822/02/21/pdfs/GMD-1822-53.pdf#page=3","Abrir facsímil")</f>
        <v>Abrir facsímil</v>
      </c>
      <c r="K14594" t="s">
        <v>22</v>
      </c>
    </row>
    <row r="14595" spans="1:11" ht="42" customHeight="1">
      <c r="A14595" t="s">
        <v>28223</v>
      </c>
      <c r="B14595" t="s">
        <v>28223</v>
      </c>
      <c r="C14595" t="s">
        <v>28</v>
      </c>
      <c r="D14595" t="s">
        <v>29</v>
      </c>
      <c r="E14595" s="6">
        <v>-28446</v>
      </c>
      <c r="F14595" t="s">
        <v>773</v>
      </c>
      <c r="G14595" t="s">
        <v>19</v>
      </c>
      <c r="H14595" t="s">
        <v>20</v>
      </c>
      <c r="I14595" t="s">
        <v>28224</v>
      </c>
      <c r="J14595" t="str">
        <f>HYPERLINK("https://www.boe.es/gazeta/dias/1822/02/11/pdfs/GMD-1822-42.pdf#page=5","Abrir facsímil")</f>
        <v>Abrir facsímil</v>
      </c>
      <c r="K14595" t="s">
        <v>22</v>
      </c>
    </row>
    <row r="14596" spans="1:11" ht="42" customHeight="1">
      <c r="A14596" t="s">
        <v>28225</v>
      </c>
      <c r="B14596" t="s">
        <v>28226</v>
      </c>
      <c r="C14596" t="s">
        <v>42</v>
      </c>
      <c r="D14596" t="s">
        <v>17</v>
      </c>
      <c r="E14596" s="6">
        <v>-28366</v>
      </c>
      <c r="F14596" t="s">
        <v>120</v>
      </c>
      <c r="G14596" t="s">
        <v>63</v>
      </c>
      <c r="H14596" t="s">
        <v>20</v>
      </c>
      <c r="I14596" t="s">
        <v>28227</v>
      </c>
      <c r="J14596" t="str">
        <f>HYPERLINK("https://www.boe.es/gazeta/dias/1822/05/02/pdfs/GMD-1822-124.pdf#page=6","Abrir facsímil")</f>
        <v>Abrir facsímil</v>
      </c>
      <c r="K14596" t="s">
        <v>22</v>
      </c>
    </row>
    <row r="14597" spans="1:11" ht="42" customHeight="1">
      <c r="A14597" t="s">
        <v>28228</v>
      </c>
      <c r="B14597" t="s">
        <v>28229</v>
      </c>
      <c r="C14597" t="s">
        <v>28</v>
      </c>
      <c r="D14597" t="s">
        <v>29</v>
      </c>
      <c r="E14597" s="6">
        <v>-28379</v>
      </c>
      <c r="F14597" t="s">
        <v>494</v>
      </c>
      <c r="G14597" t="s">
        <v>63</v>
      </c>
      <c r="H14597" t="s">
        <v>20</v>
      </c>
      <c r="I14597" t="s">
        <v>28230</v>
      </c>
      <c r="J14597" t="str">
        <f>HYPERLINK("https://www.boe.es/gazeta/dias/1822/04/19/pdfs/GMD-1822-111.pdf#page=6","Abrir facsímil")</f>
        <v>Abrir facsímil</v>
      </c>
      <c r="K14597" t="s">
        <v>22</v>
      </c>
    </row>
    <row r="14598" spans="1:11" ht="42" customHeight="1">
      <c r="A14598" t="s">
        <v>28228</v>
      </c>
      <c r="B14598" t="s">
        <v>28229</v>
      </c>
      <c r="C14598" t="s">
        <v>61</v>
      </c>
      <c r="D14598" t="s">
        <v>17</v>
      </c>
      <c r="E14598" s="6">
        <v>-28367</v>
      </c>
      <c r="F14598" t="s">
        <v>280</v>
      </c>
      <c r="G14598" t="s">
        <v>63</v>
      </c>
      <c r="H14598" t="s">
        <v>20</v>
      </c>
      <c r="I14598" t="s">
        <v>28231</v>
      </c>
      <c r="J14598" t="str">
        <f>HYPERLINK("https://www.boe.es/gazeta/dias/1822/05/01/pdfs/GMD-1822-123.pdf#page=6","Abrir facsímil")</f>
        <v>Abrir facsímil</v>
      </c>
      <c r="K14598" t="s">
        <v>22</v>
      </c>
    </row>
    <row r="14599" spans="1:11" ht="42" customHeight="1">
      <c r="A14599" t="s">
        <v>28228</v>
      </c>
      <c r="B14599" t="s">
        <v>28229</v>
      </c>
      <c r="C14599" t="s">
        <v>28</v>
      </c>
      <c r="D14599" t="s">
        <v>29</v>
      </c>
      <c r="E14599" s="6">
        <v>-28280</v>
      </c>
      <c r="F14599" t="s">
        <v>56</v>
      </c>
      <c r="G14599" t="s">
        <v>57</v>
      </c>
      <c r="H14599" t="s">
        <v>20</v>
      </c>
      <c r="I14599" t="s">
        <v>28232</v>
      </c>
      <c r="J14599" t="str">
        <f>HYPERLINK("https://www.boe.es/gazeta/dias/1822/07/27/pdfs/GMD-1822-220.pdf#page=4","Abrir facsímil")</f>
        <v>Abrir facsímil</v>
      </c>
      <c r="K14599" t="s">
        <v>22</v>
      </c>
    </row>
    <row r="14600" spans="1:11" ht="42" customHeight="1">
      <c r="A14600" t="s">
        <v>28233</v>
      </c>
      <c r="B14600" t="s">
        <v>28233</v>
      </c>
      <c r="C14600" t="s">
        <v>28</v>
      </c>
      <c r="D14600" t="s">
        <v>29</v>
      </c>
      <c r="E14600" s="6">
        <v>-28422</v>
      </c>
      <c r="F14600" t="s">
        <v>416</v>
      </c>
      <c r="G14600" t="s">
        <v>31</v>
      </c>
      <c r="H14600" t="s">
        <v>20</v>
      </c>
      <c r="I14600" t="s">
        <v>28234</v>
      </c>
      <c r="J14600" t="str">
        <f>HYPERLINK("https://www.boe.es/gazeta/dias/1822/03/07/pdfs/GMD-1822-68.pdf#page=3","Abrir facsímil")</f>
        <v>Abrir facsímil</v>
      </c>
      <c r="K14600" t="s">
        <v>22</v>
      </c>
    </row>
    <row r="14601" spans="1:11" ht="42" customHeight="1">
      <c r="A14601" t="s">
        <v>28233</v>
      </c>
      <c r="B14601" t="s">
        <v>28233</v>
      </c>
      <c r="C14601" t="s">
        <v>28</v>
      </c>
      <c r="D14601" t="s">
        <v>29</v>
      </c>
      <c r="E14601" s="6">
        <v>-28414</v>
      </c>
      <c r="F14601" t="s">
        <v>187</v>
      </c>
      <c r="G14601" t="s">
        <v>57</v>
      </c>
      <c r="H14601" t="s">
        <v>20</v>
      </c>
      <c r="I14601" t="s">
        <v>28235</v>
      </c>
      <c r="J14601" t="str">
        <f>HYPERLINK("https://www.boe.es/gazeta/dias/1822/03/15/pdfs/GMD-1822-76.pdf#page=4","Abrir facsímil")</f>
        <v>Abrir facsímil</v>
      </c>
      <c r="K14601" t="s">
        <v>22</v>
      </c>
    </row>
    <row r="14602" spans="1:11" ht="42" customHeight="1">
      <c r="A14602" t="s">
        <v>28233</v>
      </c>
      <c r="B14602" t="s">
        <v>28233</v>
      </c>
      <c r="C14602" t="s">
        <v>50</v>
      </c>
      <c r="D14602" t="s">
        <v>51</v>
      </c>
      <c r="E14602" s="6">
        <v>-28363</v>
      </c>
      <c r="F14602" t="s">
        <v>72</v>
      </c>
      <c r="G14602" t="s">
        <v>57</v>
      </c>
      <c r="H14602" t="s">
        <v>20</v>
      </c>
      <c r="I14602" t="s">
        <v>28236</v>
      </c>
      <c r="J14602" t="str">
        <f>HYPERLINK("https://www.boe.es/gazeta/dias/1822/05/05/pdfs/GMD-1822-127.pdf#page=4","Abrir facsímil")</f>
        <v>Abrir facsímil</v>
      </c>
      <c r="K14602" t="s">
        <v>22</v>
      </c>
    </row>
    <row r="14603" spans="1:11" ht="42" customHeight="1">
      <c r="A14603" t="s">
        <v>28233</v>
      </c>
      <c r="B14603" t="s">
        <v>28233</v>
      </c>
      <c r="C14603" t="s">
        <v>50</v>
      </c>
      <c r="D14603" t="s">
        <v>51</v>
      </c>
      <c r="E14603" s="6">
        <v>-28348</v>
      </c>
      <c r="F14603" t="s">
        <v>2903</v>
      </c>
      <c r="G14603" t="s">
        <v>35</v>
      </c>
      <c r="H14603" t="s">
        <v>20</v>
      </c>
      <c r="I14603" t="s">
        <v>28237</v>
      </c>
      <c r="J14603" t="str">
        <f>HYPERLINK("https://www.boe.es/gazeta/dias/1822/05/20/pdfs/GMD-1822-143.pdf#page=2","Abrir facsímil")</f>
        <v>Abrir facsímil</v>
      </c>
      <c r="K14603" t="s">
        <v>22</v>
      </c>
    </row>
    <row r="14604" spans="1:11" ht="42" customHeight="1">
      <c r="A14604" t="s">
        <v>28233</v>
      </c>
      <c r="B14604" t="s">
        <v>28233</v>
      </c>
      <c r="C14604" t="s">
        <v>16</v>
      </c>
      <c r="D14604" t="s">
        <v>17</v>
      </c>
      <c r="E14604" s="6">
        <v>-28348</v>
      </c>
      <c r="F14604" t="s">
        <v>2903</v>
      </c>
      <c r="G14604" t="s">
        <v>31</v>
      </c>
      <c r="H14604" t="s">
        <v>20</v>
      </c>
      <c r="I14604" t="s">
        <v>28238</v>
      </c>
      <c r="J14604" t="str">
        <f>HYPERLINK("https://www.boe.es/gazeta/dias/1822/05/20/pdfs/GMD-1822-143.pdf#page=3","Abrir facsímil")</f>
        <v>Abrir facsímil</v>
      </c>
      <c r="K14604" t="s">
        <v>22</v>
      </c>
    </row>
    <row r="14605" spans="1:11" ht="42" customHeight="1">
      <c r="A14605" t="s">
        <v>28233</v>
      </c>
      <c r="B14605" t="s">
        <v>28233</v>
      </c>
      <c r="C14605" t="s">
        <v>24</v>
      </c>
      <c r="D14605" t="s">
        <v>17</v>
      </c>
      <c r="E14605" s="6">
        <v>-28348</v>
      </c>
      <c r="F14605" t="s">
        <v>2903</v>
      </c>
      <c r="G14605" t="s">
        <v>57</v>
      </c>
      <c r="H14605" t="s">
        <v>20</v>
      </c>
      <c r="I14605" t="s">
        <v>28239</v>
      </c>
      <c r="J14605" t="str">
        <f>HYPERLINK("https://www.boe.es/gazeta/dias/1822/05/20/pdfs/GMD-1822-143.pdf#page=4","Abrir facsímil")</f>
        <v>Abrir facsímil</v>
      </c>
      <c r="K14605" t="s">
        <v>22</v>
      </c>
    </row>
    <row r="14606" spans="1:11" ht="42" customHeight="1">
      <c r="A14606" t="s">
        <v>28233</v>
      </c>
      <c r="B14606" t="s">
        <v>28233</v>
      </c>
      <c r="C14606" t="s">
        <v>50</v>
      </c>
      <c r="D14606" t="s">
        <v>51</v>
      </c>
      <c r="E14606" s="6">
        <v>-28249</v>
      </c>
      <c r="F14606" t="s">
        <v>3986</v>
      </c>
      <c r="G14606" t="s">
        <v>57</v>
      </c>
      <c r="H14606" t="s">
        <v>20</v>
      </c>
      <c r="I14606" t="s">
        <v>28240</v>
      </c>
      <c r="J14606" t="str">
        <f>HYPERLINK("https://www.boe.es/gazeta/dias/1822/08/27/pdfs/GMD-1822-251.pdf#page=4","Abrir facsímil")</f>
        <v>Abrir facsímil</v>
      </c>
      <c r="K14606" t="s">
        <v>22</v>
      </c>
    </row>
    <row r="14607" spans="1:11" ht="42" customHeight="1">
      <c r="A14607" t="s">
        <v>28233</v>
      </c>
      <c r="B14607" t="s">
        <v>28233</v>
      </c>
      <c r="C14607" t="s">
        <v>50</v>
      </c>
      <c r="D14607" t="s">
        <v>51</v>
      </c>
      <c r="E14607" s="6">
        <v>-28162</v>
      </c>
      <c r="F14607" t="s">
        <v>3949</v>
      </c>
      <c r="G14607" t="s">
        <v>31</v>
      </c>
      <c r="H14607" t="s">
        <v>20</v>
      </c>
      <c r="I14607" t="s">
        <v>28241</v>
      </c>
      <c r="J14607" t="str">
        <f>HYPERLINK("https://www.boe.es/gazeta/dias/1822/11/22/pdfs/GMD-1822-342.pdf#page=3","Abrir facsímil")</f>
        <v>Abrir facsímil</v>
      </c>
      <c r="K14607" t="s">
        <v>22</v>
      </c>
    </row>
    <row r="14608" spans="1:11" ht="42" customHeight="1">
      <c r="A14608" t="s">
        <v>28242</v>
      </c>
      <c r="B14608" t="s">
        <v>28243</v>
      </c>
      <c r="C14608" t="s">
        <v>50</v>
      </c>
      <c r="D14608" t="s">
        <v>51</v>
      </c>
      <c r="E14608" s="6">
        <v>-28265</v>
      </c>
      <c r="F14608" t="s">
        <v>1263</v>
      </c>
      <c r="G14608" t="s">
        <v>57</v>
      </c>
      <c r="H14608" t="s">
        <v>20</v>
      </c>
      <c r="I14608" t="s">
        <v>28244</v>
      </c>
      <c r="J14608" t="str">
        <f>HYPERLINK("https://www.boe.es/gazeta/dias/1822/08/11/pdfs/GMD-1822-235.pdf#page=4","Abrir facsímil")</f>
        <v>Abrir facsímil</v>
      </c>
      <c r="K14608" t="s">
        <v>22</v>
      </c>
    </row>
    <row r="14609" spans="1:11" ht="42" customHeight="1">
      <c r="A14609" t="s">
        <v>28245</v>
      </c>
      <c r="B14609" t="s">
        <v>28246</v>
      </c>
      <c r="C14609" t="s">
        <v>42</v>
      </c>
      <c r="D14609" t="s">
        <v>17</v>
      </c>
      <c r="E14609" s="6">
        <v>-28234</v>
      </c>
      <c r="F14609" t="s">
        <v>1331</v>
      </c>
      <c r="G14609" t="s">
        <v>35</v>
      </c>
      <c r="H14609" t="s">
        <v>20</v>
      </c>
      <c r="I14609" t="s">
        <v>28247</v>
      </c>
      <c r="J14609" t="str">
        <f>HYPERLINK("https://www.boe.es/gazeta/dias/1822/09/11/pdfs/GMD-1822-267.pdf#page=2","Abrir facsímil")</f>
        <v>Abrir facsímil</v>
      </c>
      <c r="K14609" t="s">
        <v>22</v>
      </c>
    </row>
    <row r="14610" spans="1:11" ht="42" customHeight="1">
      <c r="A14610" t="s">
        <v>28248</v>
      </c>
      <c r="B14610" t="s">
        <v>28249</v>
      </c>
      <c r="C14610" t="s">
        <v>28</v>
      </c>
      <c r="D14610" t="s">
        <v>29</v>
      </c>
      <c r="E14610" s="6">
        <v>-28163</v>
      </c>
      <c r="F14610" t="s">
        <v>891</v>
      </c>
      <c r="G14610" t="s">
        <v>35</v>
      </c>
      <c r="H14610" t="s">
        <v>20</v>
      </c>
      <c r="I14610" t="s">
        <v>28250</v>
      </c>
      <c r="J14610" t="str">
        <f>HYPERLINK("https://www.boe.es/gazeta/dias/1822/11/21/pdfs/GMD-1822-341.pdf#page=2","Abrir facsímil")</f>
        <v>Abrir facsímil</v>
      </c>
      <c r="K14610" t="s">
        <v>22</v>
      </c>
    </row>
    <row r="14611" spans="1:11" ht="42" customHeight="1">
      <c r="A14611" t="s">
        <v>28251</v>
      </c>
      <c r="B14611" t="s">
        <v>28252</v>
      </c>
      <c r="C14611" t="s">
        <v>71</v>
      </c>
      <c r="D14611" t="s">
        <v>17</v>
      </c>
      <c r="E14611" s="6">
        <v>-28147</v>
      </c>
      <c r="F14611" t="s">
        <v>1611</v>
      </c>
      <c r="G14611" t="s">
        <v>31</v>
      </c>
      <c r="H14611" t="s">
        <v>20</v>
      </c>
      <c r="I14611" t="s">
        <v>28253</v>
      </c>
      <c r="J14611" t="str">
        <f>HYPERLINK("https://www.boe.es/gazeta/dias/1822/12/07/pdfs/GMD-1822-357.pdf#page=3","Abrir facsímil")</f>
        <v>Abrir facsímil</v>
      </c>
      <c r="K14611" t="s">
        <v>22</v>
      </c>
    </row>
    <row r="14612" spans="1:11" ht="42" customHeight="1">
      <c r="A14612" t="s">
        <v>28254</v>
      </c>
      <c r="B14612" t="s">
        <v>28255</v>
      </c>
      <c r="C14612" t="s">
        <v>28</v>
      </c>
      <c r="D14612" t="s">
        <v>29</v>
      </c>
      <c r="E14612" s="6">
        <v>-28365</v>
      </c>
      <c r="F14612" t="s">
        <v>506</v>
      </c>
      <c r="G14612" t="s">
        <v>31</v>
      </c>
      <c r="H14612" t="s">
        <v>45</v>
      </c>
      <c r="I14612" t="s">
        <v>28256</v>
      </c>
      <c r="J14612" t="str">
        <f>HYPERLINK("https://www.boe.es/gazeta/dias/1822/05/03/pdfs/GMD-1822-125.pdf#page=3","Abrir facsímil")</f>
        <v>Abrir facsímil</v>
      </c>
      <c r="K14612" t="s">
        <v>47</v>
      </c>
    </row>
    <row r="14613" spans="1:11" ht="42" customHeight="1">
      <c r="A14613" t="s">
        <v>28257</v>
      </c>
      <c r="B14613" t="s">
        <v>28258</v>
      </c>
      <c r="C14613" t="s">
        <v>42</v>
      </c>
      <c r="D14613" t="s">
        <v>17</v>
      </c>
      <c r="E14613" s="6">
        <v>-28179</v>
      </c>
      <c r="F14613" t="s">
        <v>935</v>
      </c>
      <c r="G14613" t="s">
        <v>44</v>
      </c>
      <c r="H14613" t="s">
        <v>45</v>
      </c>
      <c r="I14613" t="s">
        <v>28259</v>
      </c>
      <c r="J14613" t="str">
        <f>HYPERLINK("https://www.boe.es/gazeta/dias/1822/11/05/pdfs/GMD-1822-325.pdf#page=1","Abrir facsímil")</f>
        <v>Abrir facsímil</v>
      </c>
      <c r="K14613" t="s">
        <v>47</v>
      </c>
    </row>
    <row r="14614" spans="1:11" ht="42" customHeight="1">
      <c r="A14614" t="s">
        <v>28260</v>
      </c>
      <c r="B14614" t="s">
        <v>28261</v>
      </c>
      <c r="C14614" t="s">
        <v>42</v>
      </c>
      <c r="D14614" t="s">
        <v>17</v>
      </c>
      <c r="E14614" s="6">
        <v>-28382</v>
      </c>
      <c r="F14614" t="s">
        <v>973</v>
      </c>
      <c r="G14614" t="s">
        <v>57</v>
      </c>
      <c r="H14614" t="s">
        <v>20</v>
      </c>
      <c r="I14614" t="s">
        <v>28262</v>
      </c>
      <c r="J14614" t="str">
        <f>HYPERLINK("https://www.boe.es/gazeta/dias/1822/04/16/pdfs/GMD-1822-108.pdf#page=4","Abrir facsímil")</f>
        <v>Abrir facsímil</v>
      </c>
      <c r="K14614" t="s">
        <v>22</v>
      </c>
    </row>
    <row r="14615" spans="1:11" ht="42" customHeight="1">
      <c r="A14615" t="s">
        <v>28263</v>
      </c>
      <c r="B14615" t="s">
        <v>28264</v>
      </c>
      <c r="C14615" t="s">
        <v>42</v>
      </c>
      <c r="D14615" t="s">
        <v>17</v>
      </c>
      <c r="E14615" s="6">
        <v>-28202</v>
      </c>
      <c r="F14615" t="s">
        <v>922</v>
      </c>
      <c r="G14615" t="s">
        <v>44</v>
      </c>
      <c r="H14615" t="s">
        <v>45</v>
      </c>
      <c r="I14615" t="s">
        <v>28265</v>
      </c>
      <c r="J14615" t="str">
        <f>HYPERLINK("https://www.boe.es/gazeta/dias/1822/10/13/pdfs/GMD-1822-300.pdf#page=1","Abrir facsímil")</f>
        <v>Abrir facsímil</v>
      </c>
      <c r="K14615" t="s">
        <v>47</v>
      </c>
    </row>
    <row r="14616" spans="1:11" ht="42" customHeight="1">
      <c r="A14616" t="s">
        <v>28266</v>
      </c>
      <c r="B14616" t="s">
        <v>28267</v>
      </c>
      <c r="C14616" t="s">
        <v>28</v>
      </c>
      <c r="D14616" t="s">
        <v>29</v>
      </c>
      <c r="E14616" s="6">
        <v>-28390</v>
      </c>
      <c r="F14616" t="s">
        <v>665</v>
      </c>
      <c r="G14616" t="s">
        <v>57</v>
      </c>
      <c r="H14616" t="s">
        <v>20</v>
      </c>
      <c r="I14616" t="s">
        <v>28268</v>
      </c>
      <c r="J14616" t="str">
        <f>HYPERLINK("https://www.boe.es/gazeta/dias/1822/04/08/pdfs/GMD-1822-100.pdf#page=4","Abrir facsímil")</f>
        <v>Abrir facsímil</v>
      </c>
      <c r="K14616" t="s">
        <v>22</v>
      </c>
    </row>
    <row r="14617" spans="1:11" ht="42" customHeight="1">
      <c r="A14617" t="s">
        <v>28269</v>
      </c>
      <c r="B14617" t="s">
        <v>28269</v>
      </c>
      <c r="C14617" t="s">
        <v>50</v>
      </c>
      <c r="D14617" t="s">
        <v>51</v>
      </c>
      <c r="E14617" s="6">
        <v>-28291</v>
      </c>
      <c r="F14617" t="s">
        <v>363</v>
      </c>
      <c r="G14617" t="s">
        <v>31</v>
      </c>
      <c r="H14617" t="s">
        <v>20</v>
      </c>
      <c r="I14617" t="s">
        <v>28270</v>
      </c>
      <c r="J14617" t="str">
        <f>HYPERLINK("https://www.boe.es/gazeta/dias/1822/07/16/pdfs/GMD-1822-206.pdf#page=3","Abrir facsímil")</f>
        <v>Abrir facsímil</v>
      </c>
      <c r="K14617" t="s">
        <v>22</v>
      </c>
    </row>
    <row r="14618" spans="1:11" ht="42" customHeight="1">
      <c r="A14618" t="s">
        <v>28271</v>
      </c>
      <c r="B14618" t="s">
        <v>28272</v>
      </c>
      <c r="C14618" t="s">
        <v>50</v>
      </c>
      <c r="D14618" t="s">
        <v>51</v>
      </c>
      <c r="E14618" s="6">
        <v>-28438</v>
      </c>
      <c r="F14618" t="s">
        <v>963</v>
      </c>
      <c r="G14618" t="s">
        <v>57</v>
      </c>
      <c r="H14618" t="s">
        <v>20</v>
      </c>
      <c r="I14618" t="s">
        <v>28273</v>
      </c>
      <c r="J14618" t="str">
        <f>HYPERLINK("https://www.boe.es/gazeta/dias/1822/02/19/pdfs/GMD-1822-51.pdf#page=4","Abrir facsímil")</f>
        <v>Abrir facsímil</v>
      </c>
      <c r="K14618" t="s">
        <v>22</v>
      </c>
    </row>
    <row r="14619" spans="1:11" ht="42" customHeight="1">
      <c r="A14619" t="s">
        <v>28274</v>
      </c>
      <c r="B14619" t="s">
        <v>28274</v>
      </c>
      <c r="C14619" t="s">
        <v>28</v>
      </c>
      <c r="D14619" t="s">
        <v>29</v>
      </c>
      <c r="E14619" s="6">
        <v>-28404</v>
      </c>
      <c r="F14619" t="s">
        <v>421</v>
      </c>
      <c r="G14619" t="s">
        <v>31</v>
      </c>
      <c r="H14619" t="s">
        <v>20</v>
      </c>
      <c r="I14619" t="s">
        <v>28275</v>
      </c>
      <c r="J14619" t="str">
        <f>HYPERLINK("https://www.boe.es/gazeta/dias/1822/03/25/pdfs/GMD-1822-86.pdf#page=3","Abrir facsímil")</f>
        <v>Abrir facsímil</v>
      </c>
      <c r="K14619" t="s">
        <v>22</v>
      </c>
    </row>
    <row r="14620" spans="1:11" ht="42" customHeight="1">
      <c r="A14620" t="s">
        <v>28274</v>
      </c>
      <c r="B14620" t="s">
        <v>28274</v>
      </c>
      <c r="C14620" t="s">
        <v>24</v>
      </c>
      <c r="D14620" t="s">
        <v>17</v>
      </c>
      <c r="E14620" s="6">
        <v>-28388</v>
      </c>
      <c r="F14620" t="s">
        <v>1268</v>
      </c>
      <c r="G14620" t="s">
        <v>31</v>
      </c>
      <c r="H14620" t="s">
        <v>20</v>
      </c>
      <c r="I14620" t="s">
        <v>28276</v>
      </c>
      <c r="J14620" t="str">
        <f>HYPERLINK("https://www.boe.es/gazeta/dias/1822/04/10/pdfs/GMD-1822-102.pdf#page=3","Abrir facsímil")</f>
        <v>Abrir facsímil</v>
      </c>
      <c r="K14620" t="s">
        <v>22</v>
      </c>
    </row>
    <row r="14621" spans="1:11" ht="42" customHeight="1">
      <c r="A14621" t="s">
        <v>28274</v>
      </c>
      <c r="B14621" t="s">
        <v>28274</v>
      </c>
      <c r="C14621" t="s">
        <v>16</v>
      </c>
      <c r="D14621" t="s">
        <v>17</v>
      </c>
      <c r="E14621" s="6">
        <v>-28349</v>
      </c>
      <c r="F14621" t="s">
        <v>518</v>
      </c>
      <c r="G14621" t="s">
        <v>31</v>
      </c>
      <c r="H14621" t="s">
        <v>20</v>
      </c>
      <c r="I14621" t="s">
        <v>28277</v>
      </c>
      <c r="J14621" t="str">
        <f>HYPERLINK("https://www.boe.es/gazeta/dias/1822/05/19/pdfs/GMD-1822-141.pdf#page=3","Abrir facsímil")</f>
        <v>Abrir facsímil</v>
      </c>
      <c r="K14621" t="s">
        <v>22</v>
      </c>
    </row>
    <row r="14622" spans="1:11" ht="42" customHeight="1">
      <c r="A14622" t="s">
        <v>28274</v>
      </c>
      <c r="B14622" t="s">
        <v>28274</v>
      </c>
      <c r="C14622" t="s">
        <v>50</v>
      </c>
      <c r="D14622" t="s">
        <v>51</v>
      </c>
      <c r="E14622" s="6">
        <v>-28245</v>
      </c>
      <c r="F14622" t="s">
        <v>2307</v>
      </c>
      <c r="G14622" t="s">
        <v>35</v>
      </c>
      <c r="H14622" t="s">
        <v>20</v>
      </c>
      <c r="I14622" t="s">
        <v>28278</v>
      </c>
      <c r="J14622" t="str">
        <f>HYPERLINK("https://www.boe.es/gazeta/dias/1822/08/31/pdfs/GMD-1822-255.pdf#page=2","Abrir facsímil")</f>
        <v>Abrir facsímil</v>
      </c>
      <c r="K14622" t="s">
        <v>22</v>
      </c>
    </row>
    <row r="14623" spans="1:11" ht="42" customHeight="1">
      <c r="A14623" t="s">
        <v>28274</v>
      </c>
      <c r="B14623" t="s">
        <v>28274</v>
      </c>
      <c r="C14623" t="s">
        <v>16</v>
      </c>
      <c r="D14623" t="s">
        <v>17</v>
      </c>
      <c r="E14623" s="6">
        <v>-28192</v>
      </c>
      <c r="F14623" t="s">
        <v>43</v>
      </c>
      <c r="G14623" t="s">
        <v>57</v>
      </c>
      <c r="H14623" t="s">
        <v>20</v>
      </c>
      <c r="I14623" t="s">
        <v>28279</v>
      </c>
      <c r="J14623" t="str">
        <f>HYPERLINK("https://www.boe.es/gazeta/dias/1822/10/23/pdfs/GMD-1822-310.pdf#page=4","Abrir facsímil")</f>
        <v>Abrir facsímil</v>
      </c>
      <c r="K14623" t="s">
        <v>22</v>
      </c>
    </row>
    <row r="14624" spans="1:11" ht="42" customHeight="1">
      <c r="A14624" t="s">
        <v>28274</v>
      </c>
      <c r="B14624" t="s">
        <v>28274</v>
      </c>
      <c r="C14624" t="s">
        <v>50</v>
      </c>
      <c r="D14624" t="s">
        <v>51</v>
      </c>
      <c r="E14624" s="6">
        <v>-28190</v>
      </c>
      <c r="F14624" t="s">
        <v>576</v>
      </c>
      <c r="G14624" t="s">
        <v>31</v>
      </c>
      <c r="H14624" t="s">
        <v>20</v>
      </c>
      <c r="I14624" t="s">
        <v>28280</v>
      </c>
      <c r="J14624" t="str">
        <f>HYPERLINK("https://www.boe.es/gazeta/dias/1822/10/25/pdfs/GMD-1822-312.pdf#page=3","Abrir facsímil")</f>
        <v>Abrir facsímil</v>
      </c>
      <c r="K14624" t="s">
        <v>22</v>
      </c>
    </row>
    <row r="14625" spans="1:11" ht="42" customHeight="1">
      <c r="A14625" t="s">
        <v>28274</v>
      </c>
      <c r="B14625" t="s">
        <v>28274</v>
      </c>
      <c r="C14625" t="s">
        <v>50</v>
      </c>
      <c r="D14625" t="s">
        <v>51</v>
      </c>
      <c r="E14625" s="6">
        <v>-28151</v>
      </c>
      <c r="F14625" t="s">
        <v>985</v>
      </c>
      <c r="G14625" t="s">
        <v>7108</v>
      </c>
      <c r="H14625" t="s">
        <v>20</v>
      </c>
      <c r="I14625" t="s">
        <v>28281</v>
      </c>
      <c r="J14625" t="str">
        <f>HYPERLINK("https://www.boe.es/gazeta/dias/1822/12/03/pdfs/GMD-1822-353.pdf#page=2","Abrir facsímil")</f>
        <v>Abrir facsímil</v>
      </c>
      <c r="K14625" t="s">
        <v>22</v>
      </c>
    </row>
    <row r="14626" spans="1:11" ht="42" customHeight="1">
      <c r="A14626" t="s">
        <v>28282</v>
      </c>
      <c r="B14626" t="s">
        <v>28283</v>
      </c>
      <c r="C14626" t="s">
        <v>50</v>
      </c>
      <c r="D14626" t="s">
        <v>51</v>
      </c>
      <c r="E14626" s="6">
        <v>-28206</v>
      </c>
      <c r="F14626" t="s">
        <v>562</v>
      </c>
      <c r="G14626" t="s">
        <v>35</v>
      </c>
      <c r="H14626" t="s">
        <v>20</v>
      </c>
      <c r="I14626" t="s">
        <v>28284</v>
      </c>
      <c r="J14626" t="str">
        <f>HYPERLINK("https://www.boe.es/gazeta/dias/1822/10/09/pdfs/GMD-1822-296.pdf#page=2","Abrir facsímil")</f>
        <v>Abrir facsímil</v>
      </c>
      <c r="K14626" t="s">
        <v>22</v>
      </c>
    </row>
    <row r="14627" spans="1:11" ht="42" customHeight="1">
      <c r="A14627" t="s">
        <v>28285</v>
      </c>
      <c r="B14627" t="s">
        <v>28286</v>
      </c>
      <c r="C14627" t="s">
        <v>50</v>
      </c>
      <c r="D14627" t="s">
        <v>51</v>
      </c>
      <c r="E14627" s="6">
        <v>-28418</v>
      </c>
      <c r="F14627" t="s">
        <v>205</v>
      </c>
      <c r="G14627" t="s">
        <v>167</v>
      </c>
      <c r="H14627" t="s">
        <v>20</v>
      </c>
      <c r="I14627" t="s">
        <v>28287</v>
      </c>
      <c r="J14627" t="str">
        <f>HYPERLINK("https://www.boe.es/gazeta/dias/1822/03/11/pdfs/GMD-1822-72.pdf#page=7","Abrir facsímil")</f>
        <v>Abrir facsímil</v>
      </c>
      <c r="K14627" t="s">
        <v>22</v>
      </c>
    </row>
    <row r="14628" spans="1:11" ht="42" customHeight="1">
      <c r="A14628" t="s">
        <v>28288</v>
      </c>
      <c r="B14628" t="s">
        <v>28289</v>
      </c>
      <c r="C14628" t="s">
        <v>24</v>
      </c>
      <c r="D14628" t="s">
        <v>17</v>
      </c>
      <c r="E14628" s="6">
        <v>-28297</v>
      </c>
      <c r="F14628" t="s">
        <v>1972</v>
      </c>
      <c r="G14628" t="s">
        <v>57</v>
      </c>
      <c r="H14628" t="s">
        <v>20</v>
      </c>
      <c r="I14628" t="s">
        <v>28290</v>
      </c>
      <c r="J14628" t="str">
        <f>HYPERLINK("https://www.boe.es/gazeta/dias/1822/07/10/pdfs/GMD-1822-200.pdf#page=4","Abrir facsímil")</f>
        <v>Abrir facsímil</v>
      </c>
      <c r="K14628" t="s">
        <v>22</v>
      </c>
    </row>
    <row r="14629" spans="1:11" ht="42" customHeight="1">
      <c r="A14629" t="s">
        <v>28291</v>
      </c>
      <c r="B14629" t="s">
        <v>28292</v>
      </c>
      <c r="C14629" t="s">
        <v>42</v>
      </c>
      <c r="D14629" t="s">
        <v>17</v>
      </c>
      <c r="E14629" s="6">
        <v>-28139</v>
      </c>
      <c r="F14629" t="s">
        <v>143</v>
      </c>
      <c r="G14629" t="s">
        <v>144</v>
      </c>
      <c r="H14629" t="s">
        <v>20</v>
      </c>
      <c r="I14629" t="s">
        <v>28293</v>
      </c>
      <c r="J14629" t="str">
        <f>HYPERLINK("https://www.boe.es/gazeta/dias/1822/12/15/pdfs/GMD-1822-365.pdf#page=4","Abrir facsímil")</f>
        <v>Abrir facsímil</v>
      </c>
      <c r="K14629" t="s">
        <v>22</v>
      </c>
    </row>
    <row r="14630" spans="1:11" ht="42" customHeight="1">
      <c r="A14630" t="s">
        <v>28294</v>
      </c>
      <c r="B14630" t="s">
        <v>28295</v>
      </c>
      <c r="C14630" t="s">
        <v>42</v>
      </c>
      <c r="D14630" t="s">
        <v>17</v>
      </c>
      <c r="E14630" s="6">
        <v>-28422</v>
      </c>
      <c r="F14630" t="s">
        <v>416</v>
      </c>
      <c r="G14630" t="s">
        <v>57</v>
      </c>
      <c r="H14630" t="s">
        <v>20</v>
      </c>
      <c r="I14630" t="s">
        <v>28296</v>
      </c>
      <c r="J14630" t="str">
        <f>HYPERLINK("https://www.boe.es/gazeta/dias/1822/03/07/pdfs/GMD-1822-68.pdf#page=4","Abrir facsímil")</f>
        <v>Abrir facsímil</v>
      </c>
      <c r="K14630" t="s">
        <v>22</v>
      </c>
    </row>
    <row r="14631" spans="1:11" ht="42" customHeight="1">
      <c r="A14631" t="s">
        <v>28297</v>
      </c>
      <c r="B14631" t="s">
        <v>28297</v>
      </c>
      <c r="C14631" t="s">
        <v>28</v>
      </c>
      <c r="D14631" t="s">
        <v>29</v>
      </c>
      <c r="E14631" s="6">
        <v>-28364</v>
      </c>
      <c r="F14631" t="s">
        <v>509</v>
      </c>
      <c r="G14631" t="s">
        <v>35</v>
      </c>
      <c r="H14631" t="s">
        <v>20</v>
      </c>
      <c r="I14631" t="s">
        <v>28298</v>
      </c>
      <c r="J14631" t="str">
        <f>HYPERLINK("https://www.boe.es/gazeta/dias/1822/05/04/pdfs/GMD-1822-126.pdf#page=2","Abrir facsímil")</f>
        <v>Abrir facsímil</v>
      </c>
      <c r="K14631" t="s">
        <v>22</v>
      </c>
    </row>
    <row r="14632" spans="1:11" ht="42" customHeight="1">
      <c r="A14632" t="s">
        <v>28299</v>
      </c>
      <c r="B14632" t="s">
        <v>28300</v>
      </c>
      <c r="C14632" t="s">
        <v>50</v>
      </c>
      <c r="D14632" t="s">
        <v>51</v>
      </c>
      <c r="E14632" s="6">
        <v>-28415</v>
      </c>
      <c r="F14632" t="s">
        <v>77</v>
      </c>
      <c r="G14632" t="s">
        <v>35</v>
      </c>
      <c r="H14632" t="s">
        <v>20</v>
      </c>
      <c r="I14632" t="s">
        <v>28301</v>
      </c>
      <c r="J14632" t="str">
        <f>HYPERLINK("https://www.boe.es/gazeta/dias/1822/03/14/pdfs/GMD-1822-75.pdf#page=2","Abrir facsímil")</f>
        <v>Abrir facsímil</v>
      </c>
      <c r="K14632" t="s">
        <v>22</v>
      </c>
    </row>
    <row r="14633" spans="1:11" ht="42" customHeight="1">
      <c r="A14633" t="s">
        <v>28302</v>
      </c>
      <c r="B14633" t="s">
        <v>28303</v>
      </c>
      <c r="C14633" t="s">
        <v>50</v>
      </c>
      <c r="D14633" t="s">
        <v>51</v>
      </c>
      <c r="E14633" s="6">
        <v>-28415</v>
      </c>
      <c r="F14633" t="s">
        <v>77</v>
      </c>
      <c r="G14633" t="s">
        <v>35</v>
      </c>
      <c r="H14633" t="s">
        <v>20</v>
      </c>
      <c r="I14633" t="s">
        <v>28304</v>
      </c>
      <c r="J14633" t="str">
        <f>HYPERLINK("https://www.boe.es/gazeta/dias/1822/03/14/pdfs/GMD-1822-75.pdf#page=2","Abrir facsímil")</f>
        <v>Abrir facsímil</v>
      </c>
      <c r="K14633" t="s">
        <v>22</v>
      </c>
    </row>
    <row r="14634" spans="1:11" ht="42" customHeight="1">
      <c r="A14634" t="s">
        <v>28305</v>
      </c>
      <c r="B14634" t="s">
        <v>28306</v>
      </c>
      <c r="C14634" t="s">
        <v>50</v>
      </c>
      <c r="D14634" t="s">
        <v>51</v>
      </c>
      <c r="E14634" s="6">
        <v>-28250</v>
      </c>
      <c r="F14634" t="s">
        <v>1174</v>
      </c>
      <c r="G14634" t="s">
        <v>35</v>
      </c>
      <c r="H14634" t="s">
        <v>20</v>
      </c>
      <c r="I14634" t="s">
        <v>28307</v>
      </c>
      <c r="J14634" t="str">
        <f>HYPERLINK("https://www.boe.es/gazeta/dias/1822/08/26/pdfs/GMD-1822-250.pdf#page=2","Abrir facsímil")</f>
        <v>Abrir facsímil</v>
      </c>
      <c r="K14634" t="s">
        <v>22</v>
      </c>
    </row>
    <row r="14635" spans="1:11" ht="42" customHeight="1">
      <c r="A14635" t="s">
        <v>28308</v>
      </c>
      <c r="B14635" t="s">
        <v>28308</v>
      </c>
      <c r="C14635" t="s">
        <v>42</v>
      </c>
      <c r="D14635" t="s">
        <v>17</v>
      </c>
      <c r="E14635" s="6">
        <v>-28405</v>
      </c>
      <c r="F14635" t="s">
        <v>466</v>
      </c>
      <c r="G14635" t="s">
        <v>31</v>
      </c>
      <c r="H14635" t="s">
        <v>20</v>
      </c>
      <c r="I14635" t="s">
        <v>28309</v>
      </c>
      <c r="J14635" t="str">
        <f>HYPERLINK("https://www.boe.es/gazeta/dias/1822/03/24/pdfs/GMD-1822-85.pdf#page=3","Abrir facsímil")</f>
        <v>Abrir facsímil</v>
      </c>
      <c r="K14635" t="s">
        <v>22</v>
      </c>
    </row>
    <row r="14636" spans="1:11" ht="42" customHeight="1">
      <c r="A14636" t="s">
        <v>28310</v>
      </c>
      <c r="B14636" t="s">
        <v>28310</v>
      </c>
      <c r="C14636" t="s">
        <v>28</v>
      </c>
      <c r="D14636" t="s">
        <v>29</v>
      </c>
      <c r="E14636" s="6">
        <v>-28417</v>
      </c>
      <c r="F14636" t="s">
        <v>1394</v>
      </c>
      <c r="G14636" t="s">
        <v>57</v>
      </c>
      <c r="H14636" t="s">
        <v>20</v>
      </c>
      <c r="I14636" t="s">
        <v>28311</v>
      </c>
      <c r="J14636" t="str">
        <f>HYPERLINK("https://www.boe.es/gazeta/dias/1822/03/12/pdfs/GMD-1822-73.pdf#page=4","Abrir facsímil")</f>
        <v>Abrir facsímil</v>
      </c>
      <c r="K14636" t="s">
        <v>22</v>
      </c>
    </row>
    <row r="14637" spans="1:11" ht="42" customHeight="1">
      <c r="A14637" t="s">
        <v>28310</v>
      </c>
      <c r="B14637" t="s">
        <v>28310</v>
      </c>
      <c r="C14637" t="s">
        <v>50</v>
      </c>
      <c r="D14637" t="s">
        <v>51</v>
      </c>
      <c r="E14637" s="6">
        <v>-28416</v>
      </c>
      <c r="F14637" t="s">
        <v>97</v>
      </c>
      <c r="G14637" t="s">
        <v>35</v>
      </c>
      <c r="H14637" t="s">
        <v>20</v>
      </c>
      <c r="I14637" t="s">
        <v>28312</v>
      </c>
      <c r="J14637" t="str">
        <f>HYPERLINK("https://www.boe.es/gazeta/dias/1822/03/13/pdfs/GMD-1822-74.pdf#page=2","Abrir facsímil")</f>
        <v>Abrir facsímil</v>
      </c>
      <c r="K14637" t="s">
        <v>22</v>
      </c>
    </row>
    <row r="14638" spans="1:11" ht="42" customHeight="1">
      <c r="A14638" t="s">
        <v>28310</v>
      </c>
      <c r="B14638" t="s">
        <v>28310</v>
      </c>
      <c r="C14638" t="s">
        <v>28</v>
      </c>
      <c r="D14638" t="s">
        <v>29</v>
      </c>
      <c r="E14638" s="6">
        <v>-28416</v>
      </c>
      <c r="F14638" t="s">
        <v>97</v>
      </c>
      <c r="G14638" t="s">
        <v>19</v>
      </c>
      <c r="H14638" t="s">
        <v>20</v>
      </c>
      <c r="I14638" t="s">
        <v>28313</v>
      </c>
      <c r="J14638" t="str">
        <f>HYPERLINK("https://www.boe.es/gazeta/dias/1822/03/13/pdfs/GMD-1822-74.pdf#page=5","Abrir facsímil")</f>
        <v>Abrir facsímil</v>
      </c>
      <c r="K14638" t="s">
        <v>22</v>
      </c>
    </row>
    <row r="14639" spans="1:11" ht="42" customHeight="1">
      <c r="A14639" t="s">
        <v>28310</v>
      </c>
      <c r="B14639" t="s">
        <v>28310</v>
      </c>
      <c r="C14639" t="s">
        <v>16</v>
      </c>
      <c r="D14639" t="s">
        <v>17</v>
      </c>
      <c r="E14639" s="6">
        <v>-28412</v>
      </c>
      <c r="F14639" t="s">
        <v>825</v>
      </c>
      <c r="G14639" t="s">
        <v>31</v>
      </c>
      <c r="H14639" t="s">
        <v>20</v>
      </c>
      <c r="I14639" t="s">
        <v>28314</v>
      </c>
      <c r="J14639" t="str">
        <f>HYPERLINK("https://www.boe.es/gazeta/dias/1822/03/17/pdfs/GMD-1822-78.pdf#page=3","Abrir facsímil")</f>
        <v>Abrir facsímil</v>
      </c>
      <c r="K14639" t="s">
        <v>22</v>
      </c>
    </row>
    <row r="14640" spans="1:11" ht="42" customHeight="1">
      <c r="A14640" t="s">
        <v>28310</v>
      </c>
      <c r="B14640" t="s">
        <v>28310</v>
      </c>
      <c r="C14640" t="s">
        <v>50</v>
      </c>
      <c r="D14640" t="s">
        <v>51</v>
      </c>
      <c r="E14640" s="6">
        <v>-28405</v>
      </c>
      <c r="F14640" t="s">
        <v>466</v>
      </c>
      <c r="G14640" t="s">
        <v>31</v>
      </c>
      <c r="H14640" t="s">
        <v>20</v>
      </c>
      <c r="I14640" t="s">
        <v>28315</v>
      </c>
      <c r="J14640" t="str">
        <f>HYPERLINK("https://www.boe.es/gazeta/dias/1822/03/24/pdfs/GMD-1822-85.pdf#page=3","Abrir facsímil")</f>
        <v>Abrir facsímil</v>
      </c>
      <c r="K14640" t="s">
        <v>22</v>
      </c>
    </row>
    <row r="14641" spans="1:11" ht="42" customHeight="1">
      <c r="A14641" t="s">
        <v>28310</v>
      </c>
      <c r="B14641" t="s">
        <v>28310</v>
      </c>
      <c r="C14641" t="s">
        <v>28</v>
      </c>
      <c r="D14641" t="s">
        <v>29</v>
      </c>
      <c r="E14641" s="6">
        <v>-28403</v>
      </c>
      <c r="F14641" t="s">
        <v>471</v>
      </c>
      <c r="G14641" t="s">
        <v>35</v>
      </c>
      <c r="H14641" t="s">
        <v>20</v>
      </c>
      <c r="I14641" t="s">
        <v>28316</v>
      </c>
      <c r="J14641" t="str">
        <f>HYPERLINK("https://www.boe.es/gazeta/dias/1822/03/26/pdfs/GMD-1822-87.pdf#page=2","Abrir facsímil")</f>
        <v>Abrir facsímil</v>
      </c>
      <c r="K14641" t="s">
        <v>22</v>
      </c>
    </row>
    <row r="14642" spans="1:11" ht="42" customHeight="1">
      <c r="A14642" t="s">
        <v>28310</v>
      </c>
      <c r="B14642" t="s">
        <v>28310</v>
      </c>
      <c r="C14642" t="s">
        <v>42</v>
      </c>
      <c r="D14642" t="s">
        <v>17</v>
      </c>
      <c r="E14642" s="6">
        <v>-28402</v>
      </c>
      <c r="F14642" t="s">
        <v>473</v>
      </c>
      <c r="G14642" t="s">
        <v>31</v>
      </c>
      <c r="H14642" t="s">
        <v>20</v>
      </c>
      <c r="I14642" t="s">
        <v>28317</v>
      </c>
      <c r="J14642" t="str">
        <f>HYPERLINK("https://www.boe.es/gazeta/dias/1822/03/27/pdfs/GMD-1822-88.pdf#page=3","Abrir facsímil")</f>
        <v>Abrir facsímil</v>
      </c>
      <c r="K14642" t="s">
        <v>22</v>
      </c>
    </row>
    <row r="14643" spans="1:11" ht="42" customHeight="1">
      <c r="A14643" t="s">
        <v>28310</v>
      </c>
      <c r="B14643" t="s">
        <v>28310</v>
      </c>
      <c r="C14643" t="s">
        <v>50</v>
      </c>
      <c r="D14643" t="s">
        <v>51</v>
      </c>
      <c r="E14643" s="6">
        <v>-28396</v>
      </c>
      <c r="F14643" t="s">
        <v>1138</v>
      </c>
      <c r="G14643" t="s">
        <v>167</v>
      </c>
      <c r="H14643" t="s">
        <v>20</v>
      </c>
      <c r="I14643" t="s">
        <v>28318</v>
      </c>
      <c r="J14643" t="str">
        <f>HYPERLINK("https://www.boe.es/gazeta/dias/1822/04/02/pdfs/GMD-1822-94.pdf#page=7","Abrir facsímil")</f>
        <v>Abrir facsímil</v>
      </c>
      <c r="K14643" t="s">
        <v>22</v>
      </c>
    </row>
    <row r="14644" spans="1:11" ht="42" customHeight="1">
      <c r="A14644" t="s">
        <v>28310</v>
      </c>
      <c r="B14644" t="s">
        <v>28310</v>
      </c>
      <c r="C14644" t="s">
        <v>42</v>
      </c>
      <c r="D14644" t="s">
        <v>17</v>
      </c>
      <c r="E14644" s="6">
        <v>-28382</v>
      </c>
      <c r="F14644" t="s">
        <v>973</v>
      </c>
      <c r="G14644" t="s">
        <v>19</v>
      </c>
      <c r="H14644" t="s">
        <v>20</v>
      </c>
      <c r="I14644" t="s">
        <v>28319</v>
      </c>
      <c r="J14644" t="str">
        <f>HYPERLINK("https://www.boe.es/gazeta/dias/1822/04/16/pdfs/GMD-1822-108.pdf#page=5","Abrir facsímil")</f>
        <v>Abrir facsímil</v>
      </c>
      <c r="K14644" t="s">
        <v>22</v>
      </c>
    </row>
    <row r="14645" spans="1:11" ht="42" customHeight="1">
      <c r="A14645" t="s">
        <v>28310</v>
      </c>
      <c r="B14645" t="s">
        <v>28310</v>
      </c>
      <c r="C14645" t="s">
        <v>42</v>
      </c>
      <c r="D14645" t="s">
        <v>17</v>
      </c>
      <c r="E14645" s="6">
        <v>-28381</v>
      </c>
      <c r="F14645" t="s">
        <v>358</v>
      </c>
      <c r="G14645" t="s">
        <v>57</v>
      </c>
      <c r="H14645" t="s">
        <v>20</v>
      </c>
      <c r="I14645" t="s">
        <v>28320</v>
      </c>
      <c r="J14645" t="str">
        <f>HYPERLINK("https://www.boe.es/gazeta/dias/1822/04/17/pdfs/GMD-1822-109.pdf#page=4","Abrir facsímil")</f>
        <v>Abrir facsímil</v>
      </c>
      <c r="K14645" t="s">
        <v>22</v>
      </c>
    </row>
    <row r="14646" spans="1:11" ht="42" customHeight="1">
      <c r="A14646" t="s">
        <v>28310</v>
      </c>
      <c r="B14646" t="s">
        <v>28310</v>
      </c>
      <c r="C14646" t="s">
        <v>42</v>
      </c>
      <c r="D14646" t="s">
        <v>17</v>
      </c>
      <c r="E14646" s="6">
        <v>-28371</v>
      </c>
      <c r="F14646" t="s">
        <v>401</v>
      </c>
      <c r="G14646" t="s">
        <v>35</v>
      </c>
      <c r="H14646" t="s">
        <v>20</v>
      </c>
      <c r="I14646" t="s">
        <v>28321</v>
      </c>
      <c r="J14646" t="str">
        <f>HYPERLINK("https://www.boe.es/gazeta/dias/1822/04/27/pdfs/GMD-1822-119.pdf#page=2","Abrir facsímil")</f>
        <v>Abrir facsímil</v>
      </c>
      <c r="K14646" t="s">
        <v>22</v>
      </c>
    </row>
    <row r="14647" spans="1:11" ht="42" customHeight="1">
      <c r="A14647" t="s">
        <v>28310</v>
      </c>
      <c r="B14647" t="s">
        <v>28310</v>
      </c>
      <c r="C14647" t="s">
        <v>50</v>
      </c>
      <c r="D14647" t="s">
        <v>51</v>
      </c>
      <c r="E14647" s="6">
        <v>-28363</v>
      </c>
      <c r="F14647" t="s">
        <v>72</v>
      </c>
      <c r="G14647" t="s">
        <v>44</v>
      </c>
      <c r="H14647" t="s">
        <v>20</v>
      </c>
      <c r="I14647" t="s">
        <v>28322</v>
      </c>
      <c r="J14647" t="str">
        <f>HYPERLINK("https://www.boe.es/gazeta/dias/1822/05/05/pdfs/GMD-1822-127.pdf#page=1","Abrir facsímil")</f>
        <v>Abrir facsímil</v>
      </c>
      <c r="K14647" t="s">
        <v>22</v>
      </c>
    </row>
    <row r="14648" spans="1:11" ht="42" customHeight="1">
      <c r="A14648" t="s">
        <v>28310</v>
      </c>
      <c r="B14648" t="s">
        <v>28310</v>
      </c>
      <c r="C14648" t="s">
        <v>42</v>
      </c>
      <c r="D14648" t="s">
        <v>17</v>
      </c>
      <c r="E14648" s="6">
        <v>-28355</v>
      </c>
      <c r="F14648" t="s">
        <v>692</v>
      </c>
      <c r="G14648" t="s">
        <v>44</v>
      </c>
      <c r="H14648" t="s">
        <v>20</v>
      </c>
      <c r="I14648" t="s">
        <v>28323</v>
      </c>
      <c r="J14648" t="str">
        <f>HYPERLINK("https://www.boe.es/gazeta/dias/1822/05/13/pdfs/GMD-1822-135.pdf#page=1","Abrir facsímil")</f>
        <v>Abrir facsímil</v>
      </c>
      <c r="K14648" t="s">
        <v>22</v>
      </c>
    </row>
    <row r="14649" spans="1:11" ht="42" customHeight="1">
      <c r="A14649" t="s">
        <v>28310</v>
      </c>
      <c r="B14649" t="s">
        <v>28310</v>
      </c>
      <c r="C14649" t="s">
        <v>71</v>
      </c>
      <c r="D14649" t="s">
        <v>17</v>
      </c>
      <c r="E14649" s="6">
        <v>-28353</v>
      </c>
      <c r="F14649" t="s">
        <v>843</v>
      </c>
      <c r="G14649" t="s">
        <v>57</v>
      </c>
      <c r="H14649" t="s">
        <v>20</v>
      </c>
      <c r="I14649" t="s">
        <v>28324</v>
      </c>
      <c r="J14649" t="str">
        <f>HYPERLINK("https://www.boe.es/gazeta/dias/1822/05/15/pdfs/GMD-1822-137.pdf#page=4","Abrir facsímil")</f>
        <v>Abrir facsímil</v>
      </c>
      <c r="K14649" t="s">
        <v>22</v>
      </c>
    </row>
    <row r="14650" spans="1:11" ht="42" customHeight="1">
      <c r="A14650" t="s">
        <v>28310</v>
      </c>
      <c r="B14650" t="s">
        <v>28310</v>
      </c>
      <c r="C14650" t="s">
        <v>42</v>
      </c>
      <c r="D14650" t="s">
        <v>17</v>
      </c>
      <c r="E14650" s="6">
        <v>-28351</v>
      </c>
      <c r="F14650" t="s">
        <v>282</v>
      </c>
      <c r="G14650" t="s">
        <v>35</v>
      </c>
      <c r="H14650" t="s">
        <v>20</v>
      </c>
      <c r="I14650" t="s">
        <v>28325</v>
      </c>
      <c r="J14650" t="str">
        <f>HYPERLINK("https://www.boe.es/gazeta/dias/1822/05/17/pdfs/GMD-1822-139.pdf#page=2","Abrir facsímil")</f>
        <v>Abrir facsímil</v>
      </c>
      <c r="K14650" t="s">
        <v>22</v>
      </c>
    </row>
    <row r="14651" spans="1:11" ht="42" customHeight="1">
      <c r="A14651" t="s">
        <v>28310</v>
      </c>
      <c r="B14651" t="s">
        <v>28310</v>
      </c>
      <c r="C14651" t="s">
        <v>42</v>
      </c>
      <c r="D14651" t="s">
        <v>17</v>
      </c>
      <c r="E14651" s="6">
        <v>-28345</v>
      </c>
      <c r="F14651" t="s">
        <v>294</v>
      </c>
      <c r="G14651" t="s">
        <v>31</v>
      </c>
      <c r="H14651" t="s">
        <v>20</v>
      </c>
      <c r="I14651" t="s">
        <v>28326</v>
      </c>
      <c r="J14651" t="str">
        <f>HYPERLINK("https://www.boe.es/gazeta/dias/1822/05/23/pdfs/GMD-1822-147.pdf#page=3","Abrir facsímil")</f>
        <v>Abrir facsímil</v>
      </c>
      <c r="K14651" t="s">
        <v>22</v>
      </c>
    </row>
    <row r="14652" spans="1:11" ht="42" customHeight="1">
      <c r="A14652" t="s">
        <v>28310</v>
      </c>
      <c r="B14652" t="s">
        <v>28310</v>
      </c>
      <c r="C14652" t="s">
        <v>28</v>
      </c>
      <c r="D14652" t="s">
        <v>29</v>
      </c>
      <c r="E14652" s="6">
        <v>-28344</v>
      </c>
      <c r="F14652" t="s">
        <v>524</v>
      </c>
      <c r="G14652" t="s">
        <v>19</v>
      </c>
      <c r="H14652" t="s">
        <v>20</v>
      </c>
      <c r="I14652" t="s">
        <v>28327</v>
      </c>
      <c r="J14652" t="str">
        <f>HYPERLINK("https://www.boe.es/gazeta/dias/1822/05/24/pdfs/GMD-1822-148.pdf#page=5","Abrir facsímil")</f>
        <v>Abrir facsímil</v>
      </c>
      <c r="K14652" t="s">
        <v>22</v>
      </c>
    </row>
    <row r="14653" spans="1:11" ht="42" customHeight="1">
      <c r="A14653" t="s">
        <v>28310</v>
      </c>
      <c r="B14653" t="s">
        <v>28310</v>
      </c>
      <c r="C14653" t="s">
        <v>28</v>
      </c>
      <c r="D14653" t="s">
        <v>29</v>
      </c>
      <c r="E14653" s="6">
        <v>-28341</v>
      </c>
      <c r="F14653" t="s">
        <v>284</v>
      </c>
      <c r="G14653" t="s">
        <v>19</v>
      </c>
      <c r="H14653" t="s">
        <v>20</v>
      </c>
      <c r="I14653" t="s">
        <v>28328</v>
      </c>
      <c r="J14653" t="str">
        <f>HYPERLINK("https://www.boe.es/gazeta/dias/1822/05/27/pdfs/GMD-1822-152.pdf#page=5","Abrir facsímil")</f>
        <v>Abrir facsímil</v>
      </c>
      <c r="K14653" t="s">
        <v>22</v>
      </c>
    </row>
    <row r="14654" spans="1:11" ht="42" customHeight="1">
      <c r="A14654" t="s">
        <v>28310</v>
      </c>
      <c r="B14654" t="s">
        <v>28310</v>
      </c>
      <c r="C14654" t="s">
        <v>61</v>
      </c>
      <c r="D14654" t="s">
        <v>17</v>
      </c>
      <c r="E14654" s="6">
        <v>-28323</v>
      </c>
      <c r="F14654" t="s">
        <v>116</v>
      </c>
      <c r="G14654" t="s">
        <v>19</v>
      </c>
      <c r="H14654" t="s">
        <v>20</v>
      </c>
      <c r="I14654" t="s">
        <v>28329</v>
      </c>
      <c r="J14654" t="str">
        <f>HYPERLINK("https://www.boe.es/gazeta/dias/1822/06/14/pdfs/GMD-1822-171.pdf#page=5","Abrir facsímil")</f>
        <v>Abrir facsímil</v>
      </c>
      <c r="K14654" t="s">
        <v>22</v>
      </c>
    </row>
    <row r="14655" spans="1:11" ht="42" customHeight="1">
      <c r="A14655" t="s">
        <v>28310</v>
      </c>
      <c r="B14655" t="s">
        <v>28310</v>
      </c>
      <c r="C14655" t="s">
        <v>71</v>
      </c>
      <c r="D14655" t="s">
        <v>17</v>
      </c>
      <c r="E14655" s="6">
        <v>-28319</v>
      </c>
      <c r="F14655" t="s">
        <v>271</v>
      </c>
      <c r="G14655" t="s">
        <v>31</v>
      </c>
      <c r="H14655" t="s">
        <v>20</v>
      </c>
      <c r="I14655" t="s">
        <v>28330</v>
      </c>
      <c r="J14655" t="str">
        <f>HYPERLINK("https://www.boe.es/gazeta/dias/1822/06/18/pdfs/GMD-1822-175.pdf#page=3","Abrir facsímil")</f>
        <v>Abrir facsímil</v>
      </c>
      <c r="K14655" t="s">
        <v>22</v>
      </c>
    </row>
    <row r="14656" spans="1:11" ht="42" customHeight="1">
      <c r="A14656" t="s">
        <v>28310</v>
      </c>
      <c r="B14656" t="s">
        <v>28310</v>
      </c>
      <c r="C14656" t="s">
        <v>50</v>
      </c>
      <c r="D14656" t="s">
        <v>51</v>
      </c>
      <c r="E14656" s="6">
        <v>-28318</v>
      </c>
      <c r="F14656" t="s">
        <v>397</v>
      </c>
      <c r="G14656" t="s">
        <v>57</v>
      </c>
      <c r="H14656" t="s">
        <v>20</v>
      </c>
      <c r="I14656" t="s">
        <v>28331</v>
      </c>
      <c r="J14656" t="str">
        <f>HYPERLINK("https://www.boe.es/gazeta/dias/1822/06/19/pdfs/GMD-1822-176.pdf#page=4","Abrir facsímil")</f>
        <v>Abrir facsímil</v>
      </c>
      <c r="K14656" t="s">
        <v>22</v>
      </c>
    </row>
    <row r="14657" spans="1:11" ht="42" customHeight="1">
      <c r="A14657" t="s">
        <v>28310</v>
      </c>
      <c r="B14657" t="s">
        <v>28310</v>
      </c>
      <c r="C14657" t="s">
        <v>50</v>
      </c>
      <c r="D14657" t="s">
        <v>51</v>
      </c>
      <c r="E14657" s="6">
        <v>-28312</v>
      </c>
      <c r="F14657" t="s">
        <v>92</v>
      </c>
      <c r="G14657" t="s">
        <v>31</v>
      </c>
      <c r="H14657" t="s">
        <v>20</v>
      </c>
      <c r="I14657" t="s">
        <v>28332</v>
      </c>
      <c r="J14657" t="str">
        <f>HYPERLINK("https://www.boe.es/gazeta/dias/1822/06/25/pdfs/GMD-1822-183.pdf#page=3","Abrir facsímil")</f>
        <v>Abrir facsímil</v>
      </c>
      <c r="K14657" t="s">
        <v>22</v>
      </c>
    </row>
    <row r="14658" spans="1:11" ht="42" customHeight="1">
      <c r="A14658" t="s">
        <v>28310</v>
      </c>
      <c r="B14658" t="s">
        <v>28310</v>
      </c>
      <c r="C14658" t="s">
        <v>28</v>
      </c>
      <c r="D14658" t="s">
        <v>29</v>
      </c>
      <c r="E14658" s="6">
        <v>-28307</v>
      </c>
      <c r="F14658" t="s">
        <v>555</v>
      </c>
      <c r="G14658" t="s">
        <v>31</v>
      </c>
      <c r="H14658" t="s">
        <v>20</v>
      </c>
      <c r="I14658" t="s">
        <v>28333</v>
      </c>
      <c r="J14658" t="str">
        <f>HYPERLINK("https://www.boe.es/gazeta/dias/1822/06/30/pdfs/GMD-1822-188.pdf#page=3","Abrir facsímil")</f>
        <v>Abrir facsímil</v>
      </c>
      <c r="K14658" t="s">
        <v>22</v>
      </c>
    </row>
    <row r="14659" spans="1:11" ht="42" customHeight="1">
      <c r="A14659" t="s">
        <v>28310</v>
      </c>
      <c r="B14659" t="s">
        <v>28310</v>
      </c>
      <c r="C14659" t="s">
        <v>28</v>
      </c>
      <c r="D14659" t="s">
        <v>29</v>
      </c>
      <c r="E14659" s="6">
        <v>-28199</v>
      </c>
      <c r="F14659" t="s">
        <v>656</v>
      </c>
      <c r="G14659" t="s">
        <v>31</v>
      </c>
      <c r="H14659" t="s">
        <v>20</v>
      </c>
      <c r="I14659" t="s">
        <v>28334</v>
      </c>
      <c r="J14659" t="str">
        <f>HYPERLINK("https://www.boe.es/gazeta/dias/1822/10/16/pdfs/GMD-1822-303.pdf#page=3","Abrir facsímil")</f>
        <v>Abrir facsímil</v>
      </c>
      <c r="K14659" t="s">
        <v>22</v>
      </c>
    </row>
    <row r="14660" spans="1:11" ht="42" customHeight="1">
      <c r="A14660" t="s">
        <v>28310</v>
      </c>
      <c r="B14660" t="s">
        <v>28310</v>
      </c>
      <c r="C14660" t="s">
        <v>42</v>
      </c>
      <c r="D14660" t="s">
        <v>17</v>
      </c>
      <c r="E14660" s="6">
        <v>-28199</v>
      </c>
      <c r="F14660" t="s">
        <v>656</v>
      </c>
      <c r="G14660" t="s">
        <v>57</v>
      </c>
      <c r="H14660" t="s">
        <v>20</v>
      </c>
      <c r="I14660" t="s">
        <v>28335</v>
      </c>
      <c r="J14660" t="str">
        <f>HYPERLINK("https://www.boe.es/gazeta/dias/1822/10/16/pdfs/GMD-1822-303.pdf#page=4","Abrir facsímil")</f>
        <v>Abrir facsímil</v>
      </c>
      <c r="K14660" t="s">
        <v>22</v>
      </c>
    </row>
    <row r="14661" spans="1:11" ht="42" customHeight="1">
      <c r="A14661" t="s">
        <v>28310</v>
      </c>
      <c r="B14661" t="s">
        <v>28310</v>
      </c>
      <c r="C14661" t="s">
        <v>71</v>
      </c>
      <c r="D14661" t="s">
        <v>17</v>
      </c>
      <c r="E14661" s="6">
        <v>-28188</v>
      </c>
      <c r="F14661" t="s">
        <v>578</v>
      </c>
      <c r="G14661" t="s">
        <v>63</v>
      </c>
      <c r="H14661" t="s">
        <v>20</v>
      </c>
      <c r="I14661" t="s">
        <v>28336</v>
      </c>
      <c r="J14661" t="str">
        <f>HYPERLINK("https://www.boe.es/gazeta/dias/1822/10/27/pdfs/GMD-1822-314.pdf#page=6","Abrir facsímil")</f>
        <v>Abrir facsímil</v>
      </c>
      <c r="K14661" t="s">
        <v>22</v>
      </c>
    </row>
    <row r="14662" spans="1:11" ht="42" customHeight="1">
      <c r="A14662" t="s">
        <v>28310</v>
      </c>
      <c r="B14662" t="s">
        <v>28310</v>
      </c>
      <c r="C14662" t="s">
        <v>50</v>
      </c>
      <c r="D14662" t="s">
        <v>51</v>
      </c>
      <c r="E14662" s="6">
        <v>-28184</v>
      </c>
      <c r="F14662" t="s">
        <v>1423</v>
      </c>
      <c r="G14662" t="s">
        <v>35</v>
      </c>
      <c r="H14662" t="s">
        <v>20</v>
      </c>
      <c r="I14662" t="s">
        <v>28337</v>
      </c>
      <c r="J14662" t="str">
        <f>HYPERLINK("https://www.boe.es/gazeta/dias/1822/10/31/pdfs/GMD-1822-318.pdf#page=2","Abrir facsímil")</f>
        <v>Abrir facsímil</v>
      </c>
      <c r="K14662" t="s">
        <v>22</v>
      </c>
    </row>
    <row r="14663" spans="1:11" ht="42" customHeight="1">
      <c r="A14663" t="s">
        <v>28310</v>
      </c>
      <c r="B14663" t="s">
        <v>28310</v>
      </c>
      <c r="C14663" t="s">
        <v>50</v>
      </c>
      <c r="D14663" t="s">
        <v>51</v>
      </c>
      <c r="E14663" s="6">
        <v>-28182</v>
      </c>
      <c r="F14663" t="s">
        <v>585</v>
      </c>
      <c r="G14663" t="s">
        <v>44</v>
      </c>
      <c r="H14663" t="s">
        <v>20</v>
      </c>
      <c r="I14663" t="s">
        <v>28338</v>
      </c>
      <c r="J14663" t="str">
        <f>HYPERLINK("https://www.boe.es/gazeta/dias/1822/11/02/pdfs/GMD-1822-320.pdf#page=1","Abrir facsímil")</f>
        <v>Abrir facsímil</v>
      </c>
      <c r="K14663" t="s">
        <v>22</v>
      </c>
    </row>
    <row r="14664" spans="1:11" ht="42" customHeight="1">
      <c r="A14664" t="s">
        <v>28310</v>
      </c>
      <c r="B14664" t="s">
        <v>28310</v>
      </c>
      <c r="C14664" t="s">
        <v>42</v>
      </c>
      <c r="D14664" t="s">
        <v>17</v>
      </c>
      <c r="E14664" s="6">
        <v>-28176</v>
      </c>
      <c r="F14664" t="s">
        <v>780</v>
      </c>
      <c r="G14664" t="s">
        <v>44</v>
      </c>
      <c r="H14664" t="s">
        <v>20</v>
      </c>
      <c r="I14664" t="s">
        <v>28339</v>
      </c>
      <c r="J14664" t="str">
        <f>HYPERLINK("https://www.boe.es/gazeta/dias/1822/11/08/pdfs/GMD-1822-328.pdf#page=1","Abrir facsímil")</f>
        <v>Abrir facsímil</v>
      </c>
      <c r="K14664" t="s">
        <v>22</v>
      </c>
    </row>
    <row r="14665" spans="1:11" ht="42" customHeight="1">
      <c r="A14665" t="s">
        <v>28310</v>
      </c>
      <c r="B14665" t="s">
        <v>28310</v>
      </c>
      <c r="C14665" t="s">
        <v>16</v>
      </c>
      <c r="D14665" t="s">
        <v>17</v>
      </c>
      <c r="E14665" s="6">
        <v>-28158</v>
      </c>
      <c r="F14665" t="s">
        <v>590</v>
      </c>
      <c r="G14665" t="s">
        <v>35</v>
      </c>
      <c r="H14665" t="s">
        <v>20</v>
      </c>
      <c r="I14665" t="s">
        <v>28340</v>
      </c>
      <c r="J14665" t="str">
        <f>HYPERLINK("https://www.boe.es/gazeta/dias/1822/11/26/pdfs/GMD-1822-346.pdf#page=2","Abrir facsímil")</f>
        <v>Abrir facsímil</v>
      </c>
      <c r="K14665" t="s">
        <v>22</v>
      </c>
    </row>
    <row r="14666" spans="1:11" ht="42" customHeight="1">
      <c r="A14666" t="s">
        <v>28310</v>
      </c>
      <c r="B14666" t="s">
        <v>28310</v>
      </c>
      <c r="C14666" t="s">
        <v>50</v>
      </c>
      <c r="D14666" t="s">
        <v>51</v>
      </c>
      <c r="E14666" s="6">
        <v>-28158</v>
      </c>
      <c r="F14666" t="s">
        <v>590</v>
      </c>
      <c r="G14666" t="s">
        <v>19</v>
      </c>
      <c r="H14666" t="s">
        <v>20</v>
      </c>
      <c r="I14666" t="s">
        <v>28341</v>
      </c>
      <c r="J14666" t="str">
        <f>HYPERLINK("https://www.boe.es/gazeta/dias/1822/11/26/pdfs/GMD-1822-346.pdf#page=5","Abrir facsímil")</f>
        <v>Abrir facsímil</v>
      </c>
      <c r="K14666" t="s">
        <v>22</v>
      </c>
    </row>
    <row r="14667" spans="1:11" ht="42" customHeight="1">
      <c r="A14667" t="s">
        <v>28310</v>
      </c>
      <c r="B14667" t="s">
        <v>28310</v>
      </c>
      <c r="C14667" t="s">
        <v>16</v>
      </c>
      <c r="D14667" t="s">
        <v>17</v>
      </c>
      <c r="E14667" s="6">
        <v>-28142</v>
      </c>
      <c r="F14667" t="s">
        <v>290</v>
      </c>
      <c r="G14667" t="s">
        <v>35</v>
      </c>
      <c r="H14667" t="s">
        <v>20</v>
      </c>
      <c r="I14667" t="s">
        <v>28342</v>
      </c>
      <c r="J14667" t="str">
        <f>HYPERLINK("https://www.boe.es/gazeta/dias/1822/12/12/pdfs/GMD-1822-362.pdf#page=2","Abrir facsímil")</f>
        <v>Abrir facsímil</v>
      </c>
      <c r="K14667" t="s">
        <v>22</v>
      </c>
    </row>
    <row r="14668" spans="1:11" ht="42" customHeight="1">
      <c r="A14668" t="s">
        <v>28310</v>
      </c>
      <c r="B14668" t="s">
        <v>28310</v>
      </c>
      <c r="C14668" t="s">
        <v>28</v>
      </c>
      <c r="D14668" t="s">
        <v>29</v>
      </c>
      <c r="E14668" s="6">
        <v>-28139</v>
      </c>
      <c r="F14668" t="s">
        <v>143</v>
      </c>
      <c r="G14668" t="s">
        <v>31</v>
      </c>
      <c r="H14668" t="s">
        <v>20</v>
      </c>
      <c r="I14668" t="s">
        <v>28343</v>
      </c>
      <c r="J14668" t="str">
        <f>HYPERLINK("https://www.boe.es/gazeta/dias/1822/12/15/pdfs/GMD-1822-365.pdf#page=3","Abrir facsímil")</f>
        <v>Abrir facsímil</v>
      </c>
      <c r="K14668" t="s">
        <v>22</v>
      </c>
    </row>
    <row r="14669" spans="1:11" ht="42" customHeight="1">
      <c r="A14669" t="s">
        <v>28310</v>
      </c>
      <c r="B14669" t="s">
        <v>28310</v>
      </c>
      <c r="C14669" t="s">
        <v>71</v>
      </c>
      <c r="D14669" t="s">
        <v>17</v>
      </c>
      <c r="E14669" s="6">
        <v>-28133</v>
      </c>
      <c r="F14669" t="s">
        <v>595</v>
      </c>
      <c r="G14669" t="s">
        <v>31</v>
      </c>
      <c r="H14669" t="s">
        <v>20</v>
      </c>
      <c r="I14669" t="s">
        <v>28344</v>
      </c>
      <c r="J14669" t="str">
        <f>HYPERLINK("https://www.boe.es/gazeta/dias/1822/12/21/pdfs/GMD-1822-371.pdf#page=3","Abrir facsímil")</f>
        <v>Abrir facsímil</v>
      </c>
      <c r="K14669" t="s">
        <v>22</v>
      </c>
    </row>
    <row r="14670" spans="1:11" ht="42" customHeight="1">
      <c r="A14670" t="s">
        <v>28310</v>
      </c>
      <c r="B14670" t="s">
        <v>28310</v>
      </c>
      <c r="C14670" t="s">
        <v>28</v>
      </c>
      <c r="D14670" t="s">
        <v>29</v>
      </c>
      <c r="E14670" s="6">
        <v>-28126</v>
      </c>
      <c r="F14670" t="s">
        <v>952</v>
      </c>
      <c r="G14670" t="s">
        <v>35</v>
      </c>
      <c r="H14670" t="s">
        <v>20</v>
      </c>
      <c r="I14670" t="s">
        <v>28345</v>
      </c>
      <c r="J14670" t="str">
        <f>HYPERLINK("https://www.boe.es/gazeta/dias/1822/12/28/pdfs/GMD-1822-378.pdf#page=2","Abrir facsímil")</f>
        <v>Abrir facsímil</v>
      </c>
      <c r="K14670" t="s">
        <v>22</v>
      </c>
    </row>
    <row r="14671" spans="1:11" ht="42" customHeight="1">
      <c r="A14671" t="s">
        <v>28310</v>
      </c>
      <c r="B14671" t="s">
        <v>28310</v>
      </c>
      <c r="C14671" t="s">
        <v>16</v>
      </c>
      <c r="D14671" t="s">
        <v>17</v>
      </c>
      <c r="E14671" s="6">
        <v>-28124</v>
      </c>
      <c r="F14671" t="s">
        <v>301</v>
      </c>
      <c r="G14671" t="s">
        <v>19</v>
      </c>
      <c r="H14671" t="s">
        <v>20</v>
      </c>
      <c r="I14671" t="s">
        <v>28346</v>
      </c>
      <c r="J14671" t="str">
        <f>HYPERLINK("https://www.boe.es/gazeta/dias/1822/12/30/pdfs/GMD-1822-380.pdf#page=5","Abrir facsímil")</f>
        <v>Abrir facsímil</v>
      </c>
      <c r="K14671" t="s">
        <v>22</v>
      </c>
    </row>
    <row r="14672" spans="1:11" ht="42" customHeight="1">
      <c r="A14672" t="s">
        <v>28347</v>
      </c>
      <c r="B14672" t="s">
        <v>28348</v>
      </c>
      <c r="C14672" t="s">
        <v>61</v>
      </c>
      <c r="D14672" t="s">
        <v>17</v>
      </c>
      <c r="E14672" s="6">
        <v>-28145</v>
      </c>
      <c r="F14672" t="s">
        <v>1350</v>
      </c>
      <c r="G14672" t="s">
        <v>63</v>
      </c>
      <c r="H14672" t="s">
        <v>20</v>
      </c>
      <c r="I14672" t="s">
        <v>28349</v>
      </c>
      <c r="J14672" t="str">
        <f>HYPERLINK("https://www.boe.es/gazeta/dias/1822/12/09/pdfs/GMD-1822-359.pdf#page=6","Abrir facsímil")</f>
        <v>Abrir facsímil</v>
      </c>
      <c r="K14672" t="s">
        <v>22</v>
      </c>
    </row>
    <row r="14673" spans="1:11" ht="42" customHeight="1">
      <c r="A14673" t="s">
        <v>28350</v>
      </c>
      <c r="B14673" t="s">
        <v>28351</v>
      </c>
      <c r="C14673" t="s">
        <v>42</v>
      </c>
      <c r="D14673" t="s">
        <v>17</v>
      </c>
      <c r="E14673" s="6">
        <v>-28364</v>
      </c>
      <c r="F14673" t="s">
        <v>509</v>
      </c>
      <c r="G14673" t="s">
        <v>63</v>
      </c>
      <c r="H14673" t="s">
        <v>20</v>
      </c>
      <c r="I14673" t="s">
        <v>28352</v>
      </c>
      <c r="J14673" t="str">
        <f>HYPERLINK("https://www.boe.es/gazeta/dias/1822/05/04/pdfs/GMD-1822-126.pdf#page=6","Abrir facsímil")</f>
        <v>Abrir facsímil</v>
      </c>
      <c r="K14673" t="s">
        <v>22</v>
      </c>
    </row>
    <row r="14674" spans="1:11" ht="42" customHeight="1">
      <c r="A14674" t="s">
        <v>28353</v>
      </c>
      <c r="B14674" t="s">
        <v>28354</v>
      </c>
      <c r="C14674" t="s">
        <v>16</v>
      </c>
      <c r="D14674" t="s">
        <v>17</v>
      </c>
      <c r="E14674" s="6">
        <v>-28420</v>
      </c>
      <c r="F14674" t="s">
        <v>449</v>
      </c>
      <c r="G14674" t="s">
        <v>57</v>
      </c>
      <c r="H14674" t="s">
        <v>20</v>
      </c>
      <c r="I14674" t="s">
        <v>28355</v>
      </c>
      <c r="J14674" t="str">
        <f>HYPERLINK("https://www.boe.es/gazeta/dias/1822/03/09/pdfs/GMD-1822-70.pdf#page=4","Abrir facsímil")</f>
        <v>Abrir facsímil</v>
      </c>
      <c r="K14674" t="s">
        <v>22</v>
      </c>
    </row>
    <row r="14675" spans="1:11" ht="42" customHeight="1">
      <c r="A14675" t="s">
        <v>28356</v>
      </c>
      <c r="B14675" t="s">
        <v>28357</v>
      </c>
      <c r="C14675" t="s">
        <v>16</v>
      </c>
      <c r="D14675" t="s">
        <v>17</v>
      </c>
      <c r="E14675" s="6">
        <v>-28127</v>
      </c>
      <c r="F14675" t="s">
        <v>409</v>
      </c>
      <c r="G14675" t="s">
        <v>19</v>
      </c>
      <c r="H14675" t="s">
        <v>20</v>
      </c>
      <c r="I14675" t="s">
        <v>28358</v>
      </c>
      <c r="J14675" t="str">
        <f>HYPERLINK("https://www.boe.es/gazeta/dias/1822/12/27/pdfs/GMD-1822-377.pdf#page=5","Abrir facsímil")</f>
        <v>Abrir facsímil</v>
      </c>
      <c r="K14675" t="s">
        <v>22</v>
      </c>
    </row>
    <row r="14676" spans="1:11" ht="42" customHeight="1">
      <c r="A14676" t="s">
        <v>28359</v>
      </c>
      <c r="B14676" t="s">
        <v>28360</v>
      </c>
      <c r="C14676" t="s">
        <v>50</v>
      </c>
      <c r="D14676" t="s">
        <v>51</v>
      </c>
      <c r="E14676" s="6">
        <v>-28292</v>
      </c>
      <c r="F14676" t="s">
        <v>222</v>
      </c>
      <c r="G14676" t="s">
        <v>31</v>
      </c>
      <c r="H14676" t="s">
        <v>20</v>
      </c>
      <c r="I14676" t="s">
        <v>28361</v>
      </c>
      <c r="J14676" t="str">
        <f>HYPERLINK("https://www.boe.es/gazeta/dias/1822/07/15/pdfs/GMD-1822-205.pdf#page=3","Abrir facsímil")</f>
        <v>Abrir facsímil</v>
      </c>
      <c r="K14676" t="s">
        <v>22</v>
      </c>
    </row>
    <row r="14677" spans="1:11" ht="42" customHeight="1">
      <c r="A14677" t="s">
        <v>28362</v>
      </c>
      <c r="B14677" t="s">
        <v>28363</v>
      </c>
      <c r="C14677" t="s">
        <v>16</v>
      </c>
      <c r="D14677" t="s">
        <v>17</v>
      </c>
      <c r="E14677" s="6">
        <v>-28191</v>
      </c>
      <c r="F14677" t="s">
        <v>710</v>
      </c>
      <c r="G14677" t="s">
        <v>5038</v>
      </c>
      <c r="H14677" t="s">
        <v>20</v>
      </c>
      <c r="I14677" t="s">
        <v>28364</v>
      </c>
      <c r="J14677" t="str">
        <f>HYPERLINK("https://www.boe.es/gazeta/dias/1822/10/24/pdfs/GMD-1822-311.pdf#page=8","Abrir facsímil")</f>
        <v>Abrir facsímil</v>
      </c>
      <c r="K14677" t="s">
        <v>22</v>
      </c>
    </row>
    <row r="14678" spans="1:11" ht="42" customHeight="1">
      <c r="A14678" t="s">
        <v>28365</v>
      </c>
      <c r="B14678" t="s">
        <v>28366</v>
      </c>
      <c r="C14678" t="s">
        <v>42</v>
      </c>
      <c r="D14678" t="s">
        <v>17</v>
      </c>
      <c r="E14678" s="6">
        <v>-28125</v>
      </c>
      <c r="F14678" t="s">
        <v>322</v>
      </c>
      <c r="G14678" t="s">
        <v>19</v>
      </c>
      <c r="H14678" t="s">
        <v>20</v>
      </c>
      <c r="I14678" t="s">
        <v>28367</v>
      </c>
      <c r="J14678" t="str">
        <f>HYPERLINK("https://www.boe.es/gazeta/dias/1822/12/29/pdfs/GMD-1822-379.pdf#page=5","Abrir facsímil")</f>
        <v>Abrir facsímil</v>
      </c>
      <c r="K14678" t="s">
        <v>22</v>
      </c>
    </row>
    <row r="14679" spans="1:11" ht="42" customHeight="1">
      <c r="A14679" t="s">
        <v>28368</v>
      </c>
      <c r="B14679" t="s">
        <v>28369</v>
      </c>
      <c r="C14679" t="s">
        <v>50</v>
      </c>
      <c r="D14679" t="s">
        <v>51</v>
      </c>
      <c r="E14679" s="6">
        <v>-28217</v>
      </c>
      <c r="F14679" t="s">
        <v>1892</v>
      </c>
      <c r="G14679" t="s">
        <v>31</v>
      </c>
      <c r="H14679" t="s">
        <v>20</v>
      </c>
      <c r="I14679" t="s">
        <v>28370</v>
      </c>
      <c r="J14679" t="str">
        <f>HYPERLINK("https://www.boe.es/gazeta/dias/1822/09/28/pdfs/GMD-1822-284.pdf#page=3","Abrir facsímil")</f>
        <v>Abrir facsímil</v>
      </c>
      <c r="K14679" t="s">
        <v>22</v>
      </c>
    </row>
    <row r="14680" spans="1:11" ht="42" customHeight="1">
      <c r="A14680" t="s">
        <v>28371</v>
      </c>
      <c r="B14680" t="s">
        <v>28372</v>
      </c>
      <c r="C14680" t="s">
        <v>50</v>
      </c>
      <c r="D14680" t="s">
        <v>51</v>
      </c>
      <c r="E14680" s="6">
        <v>-28308</v>
      </c>
      <c r="F14680" t="s">
        <v>1050</v>
      </c>
      <c r="G14680" t="s">
        <v>35</v>
      </c>
      <c r="H14680" t="s">
        <v>20</v>
      </c>
      <c r="I14680" t="s">
        <v>28373</v>
      </c>
      <c r="J14680" t="str">
        <f>HYPERLINK("https://www.boe.es/gazeta/dias/1822/06/29/pdfs/GMD-1822-187.pdf#page=2","Abrir facsímil")</f>
        <v>Abrir facsímil</v>
      </c>
      <c r="K14680" t="s">
        <v>22</v>
      </c>
    </row>
    <row r="14681" spans="1:11" ht="42" customHeight="1">
      <c r="A14681" t="s">
        <v>28374</v>
      </c>
      <c r="B14681" t="s">
        <v>28375</v>
      </c>
      <c r="C14681" t="s">
        <v>42</v>
      </c>
      <c r="D14681" t="s">
        <v>17</v>
      </c>
      <c r="E14681" s="6">
        <v>-28442</v>
      </c>
      <c r="F14681" t="s">
        <v>2250</v>
      </c>
      <c r="G14681" t="s">
        <v>2251</v>
      </c>
      <c r="H14681" t="s">
        <v>20</v>
      </c>
      <c r="I14681" t="s">
        <v>28376</v>
      </c>
      <c r="J14681" t="str">
        <f>HYPERLINK("https://www.boe.es/gazeta/dias/1822/02/15/pdfs/GMD-1822-47.pdf#page=4","Abrir facsímil")</f>
        <v>Abrir facsímil</v>
      </c>
      <c r="K14681" t="s">
        <v>22</v>
      </c>
    </row>
    <row r="14682" spans="1:11" ht="42" customHeight="1">
      <c r="A14682" t="s">
        <v>28377</v>
      </c>
      <c r="B14682" t="s">
        <v>28378</v>
      </c>
      <c r="C14682" t="s">
        <v>42</v>
      </c>
      <c r="D14682" t="s">
        <v>17</v>
      </c>
      <c r="E14682" s="6">
        <v>-28434</v>
      </c>
      <c r="F14682" t="s">
        <v>433</v>
      </c>
      <c r="G14682" t="s">
        <v>31</v>
      </c>
      <c r="H14682" t="s">
        <v>20</v>
      </c>
      <c r="I14682" t="s">
        <v>28379</v>
      </c>
      <c r="J14682" t="str">
        <f>HYPERLINK("https://www.boe.es/gazeta/dias/1822/02/23/pdfs/GMD-1822-55.pdf#page=3","Abrir facsímil")</f>
        <v>Abrir facsímil</v>
      </c>
      <c r="K14682" t="s">
        <v>22</v>
      </c>
    </row>
    <row r="14683" spans="1:11" ht="42" customHeight="1">
      <c r="A14683" t="s">
        <v>28380</v>
      </c>
      <c r="B14683" t="s">
        <v>28381</v>
      </c>
      <c r="C14683" t="s">
        <v>50</v>
      </c>
      <c r="D14683" t="s">
        <v>51</v>
      </c>
      <c r="E14683" s="6">
        <v>-28384</v>
      </c>
      <c r="F14683" t="s">
        <v>258</v>
      </c>
      <c r="G14683" t="s">
        <v>63</v>
      </c>
      <c r="H14683" t="s">
        <v>20</v>
      </c>
      <c r="I14683" t="s">
        <v>28382</v>
      </c>
      <c r="J14683" t="str">
        <f>HYPERLINK("https://www.boe.es/gazeta/dias/1822/04/14/pdfs/GMD-1822-106.pdf#page=6","Abrir facsímil")</f>
        <v>Abrir facsímil</v>
      </c>
      <c r="K14683" t="s">
        <v>22</v>
      </c>
    </row>
    <row r="14684" spans="1:11" ht="42" customHeight="1">
      <c r="A14684" t="s">
        <v>28383</v>
      </c>
      <c r="B14684" t="s">
        <v>28384</v>
      </c>
      <c r="C14684" t="s">
        <v>50</v>
      </c>
      <c r="D14684" t="s">
        <v>51</v>
      </c>
      <c r="E14684" s="6">
        <v>-28292</v>
      </c>
      <c r="F14684" t="s">
        <v>222</v>
      </c>
      <c r="G14684" t="s">
        <v>31</v>
      </c>
      <c r="H14684" t="s">
        <v>20</v>
      </c>
      <c r="I14684" t="s">
        <v>28385</v>
      </c>
      <c r="J14684" t="str">
        <f>HYPERLINK("https://www.boe.es/gazeta/dias/1822/07/15/pdfs/GMD-1822-205.pdf#page=3","Abrir facsímil")</f>
        <v>Abrir facsímil</v>
      </c>
      <c r="K14684" t="s">
        <v>22</v>
      </c>
    </row>
    <row r="14685" spans="1:11" ht="42" customHeight="1">
      <c r="A14685" t="s">
        <v>28386</v>
      </c>
      <c r="B14685" t="s">
        <v>28387</v>
      </c>
      <c r="C14685" t="s">
        <v>28</v>
      </c>
      <c r="D14685" t="s">
        <v>29</v>
      </c>
      <c r="E14685" s="6">
        <v>-28409</v>
      </c>
      <c r="F14685" t="s">
        <v>394</v>
      </c>
      <c r="G14685" t="s">
        <v>57</v>
      </c>
      <c r="H14685" t="s">
        <v>20</v>
      </c>
      <c r="I14685" t="s">
        <v>28388</v>
      </c>
      <c r="J14685" t="str">
        <f>HYPERLINK("https://www.boe.es/gazeta/dias/1822/03/20/pdfs/GMD-1822-81.pdf#page=4","Abrir facsímil")</f>
        <v>Abrir facsímil</v>
      </c>
      <c r="K14685" t="s">
        <v>22</v>
      </c>
    </row>
    <row r="14686" spans="1:11" ht="42" customHeight="1">
      <c r="A14686" t="s">
        <v>28389</v>
      </c>
      <c r="B14686" t="s">
        <v>28390</v>
      </c>
      <c r="C14686" t="s">
        <v>50</v>
      </c>
      <c r="D14686" t="s">
        <v>51</v>
      </c>
      <c r="E14686" s="6">
        <v>-28392</v>
      </c>
      <c r="F14686" t="s">
        <v>2003</v>
      </c>
      <c r="G14686" t="s">
        <v>57</v>
      </c>
      <c r="H14686" t="s">
        <v>20</v>
      </c>
      <c r="I14686" t="s">
        <v>28391</v>
      </c>
      <c r="J14686" t="str">
        <f>HYPERLINK("https://www.boe.es/gazeta/dias/1822/04/06/pdfs/GMD-1822-98.pdf#page=4","Abrir facsímil")</f>
        <v>Abrir facsímil</v>
      </c>
      <c r="K14686" t="s">
        <v>22</v>
      </c>
    </row>
    <row r="14687" spans="1:11" ht="42" customHeight="1">
      <c r="A14687" t="s">
        <v>28389</v>
      </c>
      <c r="B14687" t="s">
        <v>28390</v>
      </c>
      <c r="C14687" t="s">
        <v>42</v>
      </c>
      <c r="D14687" t="s">
        <v>17</v>
      </c>
      <c r="E14687" s="6">
        <v>-28380</v>
      </c>
      <c r="F14687" t="s">
        <v>492</v>
      </c>
      <c r="G14687" t="s">
        <v>63</v>
      </c>
      <c r="H14687" t="s">
        <v>20</v>
      </c>
      <c r="I14687" t="s">
        <v>28392</v>
      </c>
      <c r="J14687" t="str">
        <f>HYPERLINK("https://www.boe.es/gazeta/dias/1822/04/18/pdfs/GMD-1822-110.pdf#page=6","Abrir facsímil")</f>
        <v>Abrir facsímil</v>
      </c>
      <c r="K14687" t="s">
        <v>22</v>
      </c>
    </row>
    <row r="14688" spans="1:11" ht="42" customHeight="1">
      <c r="A14688" t="s">
        <v>28389</v>
      </c>
      <c r="B14688" t="s">
        <v>28390</v>
      </c>
      <c r="C14688" t="s">
        <v>362</v>
      </c>
      <c r="D14688" t="s">
        <v>17</v>
      </c>
      <c r="E14688" s="6">
        <v>-28123</v>
      </c>
      <c r="F14688" t="s">
        <v>603</v>
      </c>
      <c r="G14688" t="s">
        <v>2642</v>
      </c>
      <c r="H14688" t="s">
        <v>20</v>
      </c>
      <c r="I14688" t="s">
        <v>28393</v>
      </c>
      <c r="J14688" t="str">
        <f>HYPERLINK("https://www.boe.es/gazeta/dias/1822/12/31/pdfs/GMD-1822-381.pdf#page=6","Abrir facsímil")</f>
        <v>Abrir facsímil</v>
      </c>
      <c r="K14688" t="s">
        <v>22</v>
      </c>
    </row>
    <row r="14689" spans="1:11" ht="42" customHeight="1">
      <c r="A14689" t="s">
        <v>28394</v>
      </c>
      <c r="B14689" t="s">
        <v>28394</v>
      </c>
      <c r="C14689" t="s">
        <v>50</v>
      </c>
      <c r="D14689" t="s">
        <v>51</v>
      </c>
      <c r="E14689" s="6">
        <v>-28153</v>
      </c>
      <c r="F14689" t="s">
        <v>946</v>
      </c>
      <c r="G14689" t="s">
        <v>63</v>
      </c>
      <c r="H14689" t="s">
        <v>20</v>
      </c>
      <c r="I14689" t="s">
        <v>28395</v>
      </c>
      <c r="J14689" t="str">
        <f>HYPERLINK("https://www.boe.es/gazeta/dias/1822/12/01/pdfs/GMD-1822-351.pdf#page=6","Abrir facsímil")</f>
        <v>Abrir facsímil</v>
      </c>
      <c r="K14689" t="s">
        <v>22</v>
      </c>
    </row>
    <row r="14690" spans="1:11" ht="42" customHeight="1">
      <c r="A14690" t="s">
        <v>28396</v>
      </c>
      <c r="B14690" t="s">
        <v>28396</v>
      </c>
      <c r="C14690" t="s">
        <v>28</v>
      </c>
      <c r="D14690" t="s">
        <v>29</v>
      </c>
      <c r="E14690" s="6">
        <v>-28385</v>
      </c>
      <c r="F14690" t="s">
        <v>484</v>
      </c>
      <c r="G14690" t="s">
        <v>19</v>
      </c>
      <c r="H14690" t="s">
        <v>20</v>
      </c>
      <c r="I14690" t="s">
        <v>28397</v>
      </c>
      <c r="J14690" t="str">
        <f>HYPERLINK("https://www.boe.es/gazeta/dias/1822/04/13/pdfs/GMD-1822-105.pdf#page=5","Abrir facsímil")</f>
        <v>Abrir facsímil</v>
      </c>
      <c r="K14690" t="s">
        <v>22</v>
      </c>
    </row>
    <row r="14691" spans="1:11" ht="42" customHeight="1">
      <c r="A14691" t="s">
        <v>28396</v>
      </c>
      <c r="B14691" t="s">
        <v>28396</v>
      </c>
      <c r="C14691" t="s">
        <v>71</v>
      </c>
      <c r="D14691" t="s">
        <v>17</v>
      </c>
      <c r="E14691" s="6">
        <v>-28344</v>
      </c>
      <c r="F14691" t="s">
        <v>524</v>
      </c>
      <c r="G14691" t="s">
        <v>19</v>
      </c>
      <c r="H14691" t="s">
        <v>20</v>
      </c>
      <c r="I14691" t="s">
        <v>28398</v>
      </c>
      <c r="J14691" t="str">
        <f>HYPERLINK("https://www.boe.es/gazeta/dias/1822/05/24/pdfs/GMD-1822-148.pdf#page=5","Abrir facsímil")</f>
        <v>Abrir facsímil</v>
      </c>
      <c r="K14691" t="s">
        <v>22</v>
      </c>
    </row>
    <row r="14692" spans="1:11" ht="42" customHeight="1">
      <c r="A14692" t="s">
        <v>28396</v>
      </c>
      <c r="B14692" t="s">
        <v>28396</v>
      </c>
      <c r="C14692" t="s">
        <v>42</v>
      </c>
      <c r="D14692" t="s">
        <v>17</v>
      </c>
      <c r="E14692" s="6">
        <v>-28203</v>
      </c>
      <c r="F14692" t="s">
        <v>564</v>
      </c>
      <c r="G14692" t="s">
        <v>44</v>
      </c>
      <c r="H14692" t="s">
        <v>20</v>
      </c>
      <c r="I14692" t="s">
        <v>28399</v>
      </c>
      <c r="J14692" t="str">
        <f>HYPERLINK("https://www.boe.es/gazeta/dias/1822/10/12/pdfs/GMD-1822-299.pdf#page=1","Abrir facsímil")</f>
        <v>Abrir facsímil</v>
      </c>
      <c r="K14692" t="s">
        <v>22</v>
      </c>
    </row>
    <row r="14693" spans="1:11" ht="42" customHeight="1">
      <c r="A14693" t="s">
        <v>28396</v>
      </c>
      <c r="B14693" t="s">
        <v>28396</v>
      </c>
      <c r="C14693" t="s">
        <v>42</v>
      </c>
      <c r="D14693" t="s">
        <v>17</v>
      </c>
      <c r="E14693" s="6">
        <v>-28194</v>
      </c>
      <c r="F14693" t="s">
        <v>18</v>
      </c>
      <c r="G14693" t="s">
        <v>44</v>
      </c>
      <c r="H14693" t="s">
        <v>20</v>
      </c>
      <c r="I14693" t="s">
        <v>28400</v>
      </c>
      <c r="J14693" t="str">
        <f>HYPERLINK("https://www.boe.es/gazeta/dias/1822/10/21/pdfs/GMD-1822-308.pdf#page=1","Abrir facsímil")</f>
        <v>Abrir facsímil</v>
      </c>
      <c r="K14693" t="s">
        <v>22</v>
      </c>
    </row>
    <row r="14694" spans="1:11" ht="42" customHeight="1">
      <c r="A14694" t="s">
        <v>28396</v>
      </c>
      <c r="B14694" t="s">
        <v>28396</v>
      </c>
      <c r="C14694" t="s">
        <v>42</v>
      </c>
      <c r="D14694" t="s">
        <v>17</v>
      </c>
      <c r="E14694" s="6">
        <v>-28178</v>
      </c>
      <c r="F14694" t="s">
        <v>318</v>
      </c>
      <c r="G14694" t="s">
        <v>57</v>
      </c>
      <c r="H14694" t="s">
        <v>20</v>
      </c>
      <c r="I14694" t="s">
        <v>28401</v>
      </c>
      <c r="J14694" t="str">
        <f>HYPERLINK("https://www.boe.es/gazeta/dias/1822/11/06/pdfs/GMD-1822-326.pdf#page=4","Abrir facsímil")</f>
        <v>Abrir facsímil</v>
      </c>
      <c r="K14694" t="s">
        <v>22</v>
      </c>
    </row>
    <row r="14695" spans="1:11" ht="42" customHeight="1">
      <c r="A14695" t="s">
        <v>28402</v>
      </c>
      <c r="B14695" t="s">
        <v>28403</v>
      </c>
      <c r="C14695" t="s">
        <v>61</v>
      </c>
      <c r="D14695" t="s">
        <v>17</v>
      </c>
      <c r="E14695" s="6">
        <v>-28145</v>
      </c>
      <c r="F14695" t="s">
        <v>1350</v>
      </c>
      <c r="G14695" t="s">
        <v>63</v>
      </c>
      <c r="H14695" t="s">
        <v>20</v>
      </c>
      <c r="I14695" t="s">
        <v>28404</v>
      </c>
      <c r="J14695" t="str">
        <f>HYPERLINK("https://www.boe.es/gazeta/dias/1822/12/09/pdfs/GMD-1822-359.pdf#page=6","Abrir facsímil")</f>
        <v>Abrir facsímil</v>
      </c>
      <c r="K14695" t="s">
        <v>22</v>
      </c>
    </row>
    <row r="14696" spans="1:11" ht="42" customHeight="1">
      <c r="A14696" t="s">
        <v>28405</v>
      </c>
      <c r="B14696" t="s">
        <v>28406</v>
      </c>
      <c r="C14696" t="s">
        <v>28</v>
      </c>
      <c r="D14696" t="s">
        <v>29</v>
      </c>
      <c r="E14696" s="6">
        <v>-28378</v>
      </c>
      <c r="F14696" t="s">
        <v>496</v>
      </c>
      <c r="G14696" t="s">
        <v>57</v>
      </c>
      <c r="H14696" t="s">
        <v>20</v>
      </c>
      <c r="I14696" t="s">
        <v>28407</v>
      </c>
      <c r="J14696" t="str">
        <f>HYPERLINK("https://www.boe.es/gazeta/dias/1822/04/20/pdfs/GMD-1822-112.pdf#page=4","Abrir facsímil")</f>
        <v>Abrir facsímil</v>
      </c>
      <c r="K14696" t="s">
        <v>22</v>
      </c>
    </row>
    <row r="14697" spans="1:11" ht="42" customHeight="1">
      <c r="A14697" t="s">
        <v>28408</v>
      </c>
      <c r="B14697" t="s">
        <v>28408</v>
      </c>
      <c r="C14697" t="s">
        <v>42</v>
      </c>
      <c r="D14697" t="s">
        <v>17</v>
      </c>
      <c r="E14697" s="6">
        <v>-28199</v>
      </c>
      <c r="F14697" t="s">
        <v>656</v>
      </c>
      <c r="G14697" t="s">
        <v>57</v>
      </c>
      <c r="H14697" t="s">
        <v>20</v>
      </c>
      <c r="I14697" t="s">
        <v>28409</v>
      </c>
      <c r="J14697" t="str">
        <f>HYPERLINK("https://www.boe.es/gazeta/dias/1822/10/16/pdfs/GMD-1822-303.pdf#page=4","Abrir facsímil")</f>
        <v>Abrir facsímil</v>
      </c>
      <c r="K14697" t="s">
        <v>22</v>
      </c>
    </row>
    <row r="14698" spans="1:11" ht="42" customHeight="1">
      <c r="A14698" t="s">
        <v>28410</v>
      </c>
      <c r="B14698" t="s">
        <v>28410</v>
      </c>
      <c r="C14698" t="s">
        <v>42</v>
      </c>
      <c r="D14698" t="s">
        <v>17</v>
      </c>
      <c r="E14698" s="6">
        <v>-28374</v>
      </c>
      <c r="F14698" t="s">
        <v>171</v>
      </c>
      <c r="G14698" t="s">
        <v>31</v>
      </c>
      <c r="H14698" t="s">
        <v>20</v>
      </c>
      <c r="I14698" t="s">
        <v>28411</v>
      </c>
      <c r="J14698" t="str">
        <f>HYPERLINK("https://www.boe.es/gazeta/dias/1822/04/24/pdfs/GMD-1822-116.pdf#page=3","Abrir facsímil")</f>
        <v>Abrir facsímil</v>
      </c>
      <c r="K14698" t="s">
        <v>22</v>
      </c>
    </row>
    <row r="14699" spans="1:11" ht="42" customHeight="1">
      <c r="A14699" t="s">
        <v>28410</v>
      </c>
      <c r="B14699" t="s">
        <v>28410</v>
      </c>
      <c r="C14699" t="s">
        <v>42</v>
      </c>
      <c r="D14699" t="s">
        <v>17</v>
      </c>
      <c r="E14699" s="6">
        <v>-28341</v>
      </c>
      <c r="F14699" t="s">
        <v>284</v>
      </c>
      <c r="G14699" t="s">
        <v>57</v>
      </c>
      <c r="H14699" t="s">
        <v>20</v>
      </c>
      <c r="I14699" t="s">
        <v>28412</v>
      </c>
      <c r="J14699" t="str">
        <f>HYPERLINK("https://www.boe.es/gazeta/dias/1822/05/27/pdfs/GMD-1822-152.pdf#page=4","Abrir facsímil")</f>
        <v>Abrir facsímil</v>
      </c>
      <c r="K14699" t="s">
        <v>22</v>
      </c>
    </row>
    <row r="14700" spans="1:11" ht="42" customHeight="1">
      <c r="A14700" t="s">
        <v>28410</v>
      </c>
      <c r="B14700" t="s">
        <v>28410</v>
      </c>
      <c r="C14700" t="s">
        <v>42</v>
      </c>
      <c r="D14700" t="s">
        <v>17</v>
      </c>
      <c r="E14700" s="6">
        <v>-28323</v>
      </c>
      <c r="F14700" t="s">
        <v>116</v>
      </c>
      <c r="G14700" t="s">
        <v>35</v>
      </c>
      <c r="H14700" t="s">
        <v>20</v>
      </c>
      <c r="I14700" t="s">
        <v>28413</v>
      </c>
      <c r="J14700" t="str">
        <f>HYPERLINK("https://www.boe.es/gazeta/dias/1822/06/14/pdfs/GMD-1822-171.pdf#page=2","Abrir facsímil")</f>
        <v>Abrir facsímil</v>
      </c>
      <c r="K14700" t="s">
        <v>22</v>
      </c>
    </row>
    <row r="14701" spans="1:11" ht="42" customHeight="1">
      <c r="A14701" t="s">
        <v>28414</v>
      </c>
      <c r="B14701" t="s">
        <v>28415</v>
      </c>
      <c r="C14701" t="s">
        <v>28</v>
      </c>
      <c r="D14701" t="s">
        <v>29</v>
      </c>
      <c r="E14701" s="6">
        <v>-28468</v>
      </c>
      <c r="F14701" t="s">
        <v>1012</v>
      </c>
      <c r="G14701" t="s">
        <v>44</v>
      </c>
      <c r="H14701" t="s">
        <v>20</v>
      </c>
      <c r="I14701" t="s">
        <v>28416</v>
      </c>
      <c r="J14701" t="str">
        <f>HYPERLINK("https://www.boe.es/gazeta/dias/1822/01/20/pdfs/GMD-1822-20.pdf#page=1","Abrir facsímil")</f>
        <v>Abrir facsímil</v>
      </c>
      <c r="K14701" t="s">
        <v>22</v>
      </c>
    </row>
    <row r="14702" spans="1:11" ht="42" customHeight="1">
      <c r="A14702" t="s">
        <v>28417</v>
      </c>
      <c r="B14702" t="s">
        <v>28418</v>
      </c>
      <c r="C14702" t="s">
        <v>362</v>
      </c>
      <c r="D14702" t="s">
        <v>17</v>
      </c>
      <c r="E14702" s="6">
        <v>-28215</v>
      </c>
      <c r="F14702" t="s">
        <v>17483</v>
      </c>
      <c r="G14702" t="s">
        <v>57</v>
      </c>
      <c r="H14702" t="s">
        <v>20</v>
      </c>
      <c r="I14702" t="s">
        <v>28419</v>
      </c>
      <c r="J14702" t="str">
        <f>HYPERLINK("https://www.boe.es/gazeta/dias/1822/09/30/pdfs/GMD-1822-286.pdf#page=4","Abrir facsímil")</f>
        <v>Abrir facsímil</v>
      </c>
      <c r="K14702" t="s">
        <v>22</v>
      </c>
    </row>
    <row r="14703" spans="1:11" ht="42" customHeight="1">
      <c r="A14703" t="s">
        <v>28420</v>
      </c>
      <c r="B14703" t="s">
        <v>28420</v>
      </c>
      <c r="C14703" t="s">
        <v>16</v>
      </c>
      <c r="D14703" t="s">
        <v>17</v>
      </c>
      <c r="E14703" s="6">
        <v>-28374</v>
      </c>
      <c r="F14703" t="s">
        <v>171</v>
      </c>
      <c r="G14703" t="s">
        <v>35</v>
      </c>
      <c r="H14703" t="s">
        <v>20</v>
      </c>
      <c r="I14703" t="s">
        <v>28421</v>
      </c>
      <c r="J14703" t="str">
        <f>HYPERLINK("https://www.boe.es/gazeta/dias/1822/04/24/pdfs/GMD-1822-116.pdf#page=2","Abrir facsímil")</f>
        <v>Abrir facsímil</v>
      </c>
      <c r="K14703" t="s">
        <v>22</v>
      </c>
    </row>
    <row r="14704" spans="1:11" ht="42" customHeight="1">
      <c r="A14704" t="s">
        <v>28422</v>
      </c>
      <c r="B14704" t="s">
        <v>28422</v>
      </c>
      <c r="C14704" t="s">
        <v>28</v>
      </c>
      <c r="D14704" t="s">
        <v>29</v>
      </c>
      <c r="E14704" s="6">
        <v>-28342</v>
      </c>
      <c r="F14704" t="s">
        <v>2281</v>
      </c>
      <c r="G14704" t="s">
        <v>44</v>
      </c>
      <c r="H14704" t="s">
        <v>20</v>
      </c>
      <c r="I14704" t="s">
        <v>28423</v>
      </c>
      <c r="J14704" t="str">
        <f>HYPERLINK("https://www.boe.es/gazeta/dias/1822/05/26/pdfs/GMD-1822-151.pdf#page=1","Abrir facsímil")</f>
        <v>Abrir facsímil</v>
      </c>
      <c r="K14704" t="s">
        <v>22</v>
      </c>
    </row>
    <row r="14705" spans="1:11" ht="42" customHeight="1">
      <c r="A14705" t="s">
        <v>28424</v>
      </c>
      <c r="B14705" t="s">
        <v>28425</v>
      </c>
      <c r="C14705" t="s">
        <v>50</v>
      </c>
      <c r="D14705" t="s">
        <v>51</v>
      </c>
      <c r="E14705" s="6">
        <v>-28415</v>
      </c>
      <c r="F14705" t="s">
        <v>77</v>
      </c>
      <c r="G14705" t="s">
        <v>63</v>
      </c>
      <c r="H14705" t="s">
        <v>20</v>
      </c>
      <c r="I14705" t="s">
        <v>28426</v>
      </c>
      <c r="J14705" t="str">
        <f>HYPERLINK("https://www.boe.es/gazeta/dias/1822/03/14/pdfs/GMD-1822-75.pdf#page=6","Abrir facsímil")</f>
        <v>Abrir facsímil</v>
      </c>
      <c r="K14705" t="s">
        <v>22</v>
      </c>
    </row>
    <row r="14706" spans="1:11" ht="42" customHeight="1">
      <c r="A14706" t="s">
        <v>28424</v>
      </c>
      <c r="B14706" t="s">
        <v>28425</v>
      </c>
      <c r="C14706" t="s">
        <v>50</v>
      </c>
      <c r="D14706" t="s">
        <v>723</v>
      </c>
      <c r="E14706" s="6">
        <v>-28344</v>
      </c>
      <c r="F14706" t="s">
        <v>19103</v>
      </c>
      <c r="G14706" t="s">
        <v>44</v>
      </c>
      <c r="H14706" t="s">
        <v>20</v>
      </c>
      <c r="I14706" t="s">
        <v>28427</v>
      </c>
      <c r="J14706" t="str">
        <f>HYPERLINK("https://www.boe.es/gazeta/dias/1822/05/24/pdfs/GMD-1822-149E.pdf#page=1","Abrir facsímil")</f>
        <v>Abrir facsímil</v>
      </c>
      <c r="K14706" t="s">
        <v>22</v>
      </c>
    </row>
    <row r="14707" spans="1:11" ht="42" customHeight="1">
      <c r="A14707" t="s">
        <v>28424</v>
      </c>
      <c r="B14707" t="s">
        <v>28425</v>
      </c>
      <c r="C14707" t="s">
        <v>50</v>
      </c>
      <c r="D14707" t="s">
        <v>51</v>
      </c>
      <c r="E14707" s="6">
        <v>-28343</v>
      </c>
      <c r="F14707" t="s">
        <v>1019</v>
      </c>
      <c r="G14707" t="s">
        <v>44</v>
      </c>
      <c r="H14707" t="s">
        <v>20</v>
      </c>
      <c r="I14707" t="s">
        <v>28428</v>
      </c>
      <c r="J14707" t="str">
        <f>HYPERLINK("https://www.boe.es/gazeta/dias/1822/05/25/pdfs/GMD-1822-150.pdf#page=1","Abrir facsímil")</f>
        <v>Abrir facsímil</v>
      </c>
      <c r="K14707" t="s">
        <v>22</v>
      </c>
    </row>
    <row r="14708" spans="1:11" ht="42" customHeight="1">
      <c r="A14708" t="s">
        <v>28429</v>
      </c>
      <c r="B14708" t="s">
        <v>28430</v>
      </c>
      <c r="C14708" t="s">
        <v>71</v>
      </c>
      <c r="D14708" t="s">
        <v>17</v>
      </c>
      <c r="E14708" s="6">
        <v>-28323</v>
      </c>
      <c r="F14708" t="s">
        <v>116</v>
      </c>
      <c r="G14708" t="s">
        <v>35</v>
      </c>
      <c r="H14708" t="s">
        <v>20</v>
      </c>
      <c r="I14708" t="s">
        <v>28431</v>
      </c>
      <c r="J14708" t="str">
        <f>HYPERLINK("https://www.boe.es/gazeta/dias/1822/06/14/pdfs/GMD-1822-171.pdf#page=2","Abrir facsímil")</f>
        <v>Abrir facsímil</v>
      </c>
      <c r="K14708" t="s">
        <v>22</v>
      </c>
    </row>
    <row r="14709" spans="1:11" ht="42" customHeight="1">
      <c r="A14709" t="s">
        <v>28432</v>
      </c>
      <c r="B14709" t="s">
        <v>28433</v>
      </c>
      <c r="C14709" t="s">
        <v>50</v>
      </c>
      <c r="D14709" t="s">
        <v>51</v>
      </c>
      <c r="E14709" s="6">
        <v>-28366</v>
      </c>
      <c r="F14709" t="s">
        <v>120</v>
      </c>
      <c r="G14709" t="s">
        <v>63</v>
      </c>
      <c r="H14709" t="s">
        <v>20</v>
      </c>
      <c r="I14709" t="s">
        <v>28434</v>
      </c>
      <c r="J14709" t="str">
        <f>HYPERLINK("https://www.boe.es/gazeta/dias/1822/05/02/pdfs/GMD-1822-124.pdf#page=6","Abrir facsímil")</f>
        <v>Abrir facsímil</v>
      </c>
      <c r="K14709" t="s">
        <v>22</v>
      </c>
    </row>
    <row r="14710" spans="1:11" ht="42" customHeight="1">
      <c r="A14710" t="s">
        <v>28435</v>
      </c>
      <c r="B14710" t="s">
        <v>28436</v>
      </c>
      <c r="C14710" t="s">
        <v>42</v>
      </c>
      <c r="D14710" t="s">
        <v>17</v>
      </c>
      <c r="E14710" s="6">
        <v>-28172</v>
      </c>
      <c r="F14710" t="s">
        <v>674</v>
      </c>
      <c r="G14710" t="s">
        <v>57</v>
      </c>
      <c r="H14710" t="s">
        <v>20</v>
      </c>
      <c r="I14710" t="s">
        <v>28437</v>
      </c>
      <c r="J14710" t="str">
        <f>HYPERLINK("https://www.boe.es/gazeta/dias/1822/11/12/pdfs/GMD-1822-332.pdf#page=4","Abrir facsímil")</f>
        <v>Abrir facsímil</v>
      </c>
      <c r="K14710" t="s">
        <v>22</v>
      </c>
    </row>
    <row r="14711" spans="1:11" ht="42" customHeight="1">
      <c r="A14711" t="s">
        <v>28438</v>
      </c>
      <c r="B14711" t="s">
        <v>28439</v>
      </c>
      <c r="C14711" t="s">
        <v>50</v>
      </c>
      <c r="D14711" t="s">
        <v>723</v>
      </c>
      <c r="E14711" s="6">
        <v>-28238</v>
      </c>
      <c r="F14711" t="s">
        <v>3584</v>
      </c>
      <c r="G14711" t="s">
        <v>44</v>
      </c>
      <c r="H14711" t="s">
        <v>20</v>
      </c>
      <c r="I14711" t="s">
        <v>28440</v>
      </c>
      <c r="J14711" t="str">
        <f>HYPERLINK("https://www.boe.es/gazeta/dias/1822/09/07/pdfs/GMD-1822-263E.pdf#page=1","Abrir facsímil")</f>
        <v>Abrir facsímil</v>
      </c>
      <c r="K14711" t="s">
        <v>22</v>
      </c>
    </row>
    <row r="14712" spans="1:11" ht="42" customHeight="1">
      <c r="A14712" t="s">
        <v>28441</v>
      </c>
      <c r="B14712" t="s">
        <v>28442</v>
      </c>
      <c r="C14712" t="s">
        <v>42</v>
      </c>
      <c r="D14712" t="s">
        <v>17</v>
      </c>
      <c r="E14712" s="6">
        <v>-28258</v>
      </c>
      <c r="F14712" t="s">
        <v>88</v>
      </c>
      <c r="G14712" t="s">
        <v>31</v>
      </c>
      <c r="H14712" t="s">
        <v>20</v>
      </c>
      <c r="I14712" t="s">
        <v>28443</v>
      </c>
      <c r="J14712" t="str">
        <f>HYPERLINK("https://www.boe.es/gazeta/dias/1822/08/18/pdfs/GMD-1822-242.pdf#page=3","Abrir facsímil")</f>
        <v>Abrir facsímil</v>
      </c>
      <c r="K14712" t="s">
        <v>22</v>
      </c>
    </row>
    <row r="14713" spans="1:11" ht="42" customHeight="1">
      <c r="A14713" t="s">
        <v>28444</v>
      </c>
      <c r="B14713" t="s">
        <v>28445</v>
      </c>
      <c r="C14713" t="s">
        <v>61</v>
      </c>
      <c r="D14713" t="s">
        <v>17</v>
      </c>
      <c r="E14713" s="6">
        <v>-28413</v>
      </c>
      <c r="F14713" t="s">
        <v>458</v>
      </c>
      <c r="G14713" t="s">
        <v>19</v>
      </c>
      <c r="H14713" t="s">
        <v>20</v>
      </c>
      <c r="I14713" t="s">
        <v>28446</v>
      </c>
      <c r="J14713" t="str">
        <f>HYPERLINK("https://www.boe.es/gazeta/dias/1822/03/16/pdfs/GMD-1822-77.pdf#page=5","Abrir facsímil")</f>
        <v>Abrir facsímil</v>
      </c>
      <c r="K14713" t="s">
        <v>22</v>
      </c>
    </row>
    <row r="14714" spans="1:11" ht="42" customHeight="1">
      <c r="A14714" t="s">
        <v>28447</v>
      </c>
      <c r="B14714" t="s">
        <v>28447</v>
      </c>
      <c r="C14714" t="s">
        <v>50</v>
      </c>
      <c r="D14714" t="s">
        <v>51</v>
      </c>
      <c r="E14714" s="6">
        <v>-28292</v>
      </c>
      <c r="F14714" t="s">
        <v>222</v>
      </c>
      <c r="G14714" t="s">
        <v>31</v>
      </c>
      <c r="H14714" t="s">
        <v>20</v>
      </c>
      <c r="I14714" t="s">
        <v>28448</v>
      </c>
      <c r="J14714" t="str">
        <f>HYPERLINK("https://www.boe.es/gazeta/dias/1822/07/15/pdfs/GMD-1822-205.pdf#page=3","Abrir facsímil")</f>
        <v>Abrir facsímil</v>
      </c>
      <c r="K14714" t="s">
        <v>22</v>
      </c>
    </row>
    <row r="14715" spans="1:11" ht="42" customHeight="1">
      <c r="A14715" t="s">
        <v>28449</v>
      </c>
      <c r="B14715" t="s">
        <v>28449</v>
      </c>
      <c r="C14715" t="s">
        <v>42</v>
      </c>
      <c r="D14715" t="s">
        <v>17</v>
      </c>
      <c r="E14715" s="6">
        <v>-28330</v>
      </c>
      <c r="F14715" t="s">
        <v>896</v>
      </c>
      <c r="G14715" t="s">
        <v>35</v>
      </c>
      <c r="H14715" t="s">
        <v>20</v>
      </c>
      <c r="I14715" t="s">
        <v>28450</v>
      </c>
      <c r="J14715" t="str">
        <f>HYPERLINK("https://www.boe.es/gazeta/dias/1822/06/07/pdfs/GMD-1822-164.pdf#page=2","Abrir facsímil")</f>
        <v>Abrir facsímil</v>
      </c>
      <c r="K14715" t="s">
        <v>22</v>
      </c>
    </row>
    <row r="14716" spans="1:11" ht="42" customHeight="1">
      <c r="A14716" t="s">
        <v>28449</v>
      </c>
      <c r="B14716" t="s">
        <v>28449</v>
      </c>
      <c r="C14716" t="s">
        <v>42</v>
      </c>
      <c r="D14716" t="s">
        <v>17</v>
      </c>
      <c r="E14716" s="6">
        <v>-28287</v>
      </c>
      <c r="F14716" t="s">
        <v>1295</v>
      </c>
      <c r="G14716" t="s">
        <v>63</v>
      </c>
      <c r="H14716" t="s">
        <v>20</v>
      </c>
      <c r="I14716" t="s">
        <v>28451</v>
      </c>
      <c r="J14716" t="str">
        <f>HYPERLINK("https://www.boe.es/gazeta/dias/1822/07/20/pdfs/GMD-1822-212.pdf#page=6","Abrir facsímil")</f>
        <v>Abrir facsímil</v>
      </c>
      <c r="K14716" t="s">
        <v>22</v>
      </c>
    </row>
    <row r="14717" spans="1:11" ht="42" customHeight="1">
      <c r="A14717" t="s">
        <v>28449</v>
      </c>
      <c r="B14717" t="s">
        <v>28449</v>
      </c>
      <c r="C14717" t="s">
        <v>61</v>
      </c>
      <c r="D14717" t="s">
        <v>17</v>
      </c>
      <c r="E14717" s="6">
        <v>-28261</v>
      </c>
      <c r="F14717" t="s">
        <v>5685</v>
      </c>
      <c r="G14717" t="s">
        <v>57</v>
      </c>
      <c r="H14717" t="s">
        <v>20</v>
      </c>
      <c r="I14717" t="s">
        <v>28452</v>
      </c>
      <c r="J14717" t="str">
        <f>HYPERLINK("https://www.boe.es/gazeta/dias/1822/08/15/pdfs/GMD-1822-239.pdf#page=4","Abrir facsímil")</f>
        <v>Abrir facsímil</v>
      </c>
      <c r="K14717" t="s">
        <v>22</v>
      </c>
    </row>
    <row r="14718" spans="1:11" ht="42" customHeight="1">
      <c r="A14718" t="s">
        <v>28453</v>
      </c>
      <c r="B14718" t="s">
        <v>28454</v>
      </c>
      <c r="C14718" t="s">
        <v>50</v>
      </c>
      <c r="D14718" t="s">
        <v>51</v>
      </c>
      <c r="E14718" s="6">
        <v>-28328</v>
      </c>
      <c r="F14718" t="s">
        <v>540</v>
      </c>
      <c r="G14718" t="s">
        <v>35</v>
      </c>
      <c r="H14718" t="s">
        <v>20</v>
      </c>
      <c r="I14718" t="s">
        <v>28455</v>
      </c>
      <c r="J14718" t="str">
        <f>HYPERLINK("https://www.boe.es/gazeta/dias/1822/06/09/pdfs/GMD-1822-166.pdf#page=2","Abrir facsímil")</f>
        <v>Abrir facsímil</v>
      </c>
      <c r="K14718" t="s">
        <v>22</v>
      </c>
    </row>
    <row r="14719" spans="1:11" ht="42" customHeight="1">
      <c r="A14719" t="s">
        <v>28456</v>
      </c>
      <c r="B14719" t="s">
        <v>28457</v>
      </c>
      <c r="C14719" t="s">
        <v>50</v>
      </c>
      <c r="D14719" t="s">
        <v>51</v>
      </c>
      <c r="E14719" s="6">
        <v>-28303</v>
      </c>
      <c r="F14719" t="s">
        <v>201</v>
      </c>
      <c r="G14719" t="s">
        <v>31</v>
      </c>
      <c r="H14719" t="s">
        <v>20</v>
      </c>
      <c r="I14719" t="s">
        <v>28458</v>
      </c>
      <c r="J14719" t="str">
        <f>HYPERLINK("https://www.boe.es/gazeta/dias/1822/07/04/pdfs/GMD-1822-193.pdf#page=3","Abrir facsímil")</f>
        <v>Abrir facsímil</v>
      </c>
      <c r="K14719" t="s">
        <v>22</v>
      </c>
    </row>
    <row r="14720" spans="1:11" ht="42" customHeight="1">
      <c r="A14720" t="s">
        <v>28459</v>
      </c>
      <c r="B14720" t="s">
        <v>28460</v>
      </c>
      <c r="C14720" t="s">
        <v>50</v>
      </c>
      <c r="D14720" t="s">
        <v>51</v>
      </c>
      <c r="E14720" s="6">
        <v>-28349</v>
      </c>
      <c r="F14720" t="s">
        <v>518</v>
      </c>
      <c r="G14720" t="s">
        <v>57</v>
      </c>
      <c r="H14720" t="s">
        <v>20</v>
      </c>
      <c r="I14720" t="s">
        <v>28461</v>
      </c>
      <c r="J14720" t="str">
        <f>HYPERLINK("https://www.boe.es/gazeta/dias/1822/05/19/pdfs/GMD-1822-141.pdf#page=4","Abrir facsímil")</f>
        <v>Abrir facsímil</v>
      </c>
      <c r="K14720" t="s">
        <v>22</v>
      </c>
    </row>
    <row r="14721" spans="1:11" ht="42" customHeight="1">
      <c r="A14721" t="s">
        <v>28462</v>
      </c>
      <c r="B14721" t="s">
        <v>28463</v>
      </c>
      <c r="C14721" t="s">
        <v>24</v>
      </c>
      <c r="D14721" t="s">
        <v>17</v>
      </c>
      <c r="E14721" s="6">
        <v>-28254</v>
      </c>
      <c r="F14721" t="s">
        <v>3557</v>
      </c>
      <c r="G14721" t="s">
        <v>57</v>
      </c>
      <c r="H14721" t="s">
        <v>20</v>
      </c>
      <c r="I14721" t="s">
        <v>28464</v>
      </c>
      <c r="J14721" t="str">
        <f>HYPERLINK("https://www.boe.es/gazeta/dias/1822/08/22/pdfs/GMD-1822-246.pdf#page=4","Abrir facsímil")</f>
        <v>Abrir facsímil</v>
      </c>
      <c r="K14721" t="s">
        <v>22</v>
      </c>
    </row>
    <row r="14722" spans="1:11" ht="42" customHeight="1">
      <c r="A14722" t="s">
        <v>28465</v>
      </c>
      <c r="B14722" t="s">
        <v>28465</v>
      </c>
      <c r="C14722" t="s">
        <v>42</v>
      </c>
      <c r="D14722" t="s">
        <v>17</v>
      </c>
      <c r="E14722" s="6">
        <v>-28139</v>
      </c>
      <c r="F14722" t="s">
        <v>143</v>
      </c>
      <c r="G14722" t="s">
        <v>31</v>
      </c>
      <c r="H14722" t="s">
        <v>20</v>
      </c>
      <c r="I14722" t="s">
        <v>28466</v>
      </c>
      <c r="J14722" t="str">
        <f>HYPERLINK("https://www.boe.es/gazeta/dias/1822/12/15/pdfs/GMD-1822-365.pdf#page=3","Abrir facsímil")</f>
        <v>Abrir facsímil</v>
      </c>
      <c r="K14722" t="s">
        <v>22</v>
      </c>
    </row>
    <row r="14723" spans="1:11" ht="42" customHeight="1">
      <c r="A14723" t="s">
        <v>28467</v>
      </c>
      <c r="B14723" t="s">
        <v>28468</v>
      </c>
      <c r="C14723" t="s">
        <v>50</v>
      </c>
      <c r="D14723" t="s">
        <v>51</v>
      </c>
      <c r="E14723" s="6">
        <v>-28209</v>
      </c>
      <c r="F14723" t="s">
        <v>748</v>
      </c>
      <c r="G14723" t="s">
        <v>57</v>
      </c>
      <c r="H14723" t="s">
        <v>20</v>
      </c>
      <c r="I14723" t="s">
        <v>28469</v>
      </c>
      <c r="J14723" t="str">
        <f>HYPERLINK("https://www.boe.es/gazeta/dias/1822/10/06/pdfs/GMD-1822-292.pdf#page=4","Abrir facsímil")</f>
        <v>Abrir facsímil</v>
      </c>
      <c r="K14723" t="s">
        <v>22</v>
      </c>
    </row>
    <row r="14724" spans="1:11" ht="42" customHeight="1">
      <c r="A14724" t="s">
        <v>28470</v>
      </c>
      <c r="B14724" t="s">
        <v>28470</v>
      </c>
      <c r="C14724" t="s">
        <v>71</v>
      </c>
      <c r="D14724" t="s">
        <v>17</v>
      </c>
      <c r="E14724" s="6">
        <v>-28400</v>
      </c>
      <c r="F14724" t="s">
        <v>1937</v>
      </c>
      <c r="G14724" t="s">
        <v>31</v>
      </c>
      <c r="H14724" t="s">
        <v>20</v>
      </c>
      <c r="I14724" t="s">
        <v>28471</v>
      </c>
      <c r="J14724" t="str">
        <f>HYPERLINK("https://www.boe.es/gazeta/dias/1822/03/29/pdfs/GMD-1822-90.pdf#page=3","Abrir facsímil")</f>
        <v>Abrir facsímil</v>
      </c>
      <c r="K14724" t="s">
        <v>22</v>
      </c>
    </row>
    <row r="14725" spans="1:11" ht="42" customHeight="1">
      <c r="A14725" t="s">
        <v>28472</v>
      </c>
      <c r="B14725" t="s">
        <v>28473</v>
      </c>
      <c r="C14725" t="s">
        <v>50</v>
      </c>
      <c r="D14725" t="s">
        <v>51</v>
      </c>
      <c r="E14725" s="6">
        <v>-28124</v>
      </c>
      <c r="F14725" t="s">
        <v>301</v>
      </c>
      <c r="G14725" t="s">
        <v>63</v>
      </c>
      <c r="H14725" t="s">
        <v>20</v>
      </c>
      <c r="I14725" t="s">
        <v>28474</v>
      </c>
      <c r="J14725" t="str">
        <f>HYPERLINK("https://www.boe.es/gazeta/dias/1822/12/30/pdfs/GMD-1822-380.pdf#page=6","Abrir facsímil")</f>
        <v>Abrir facsímil</v>
      </c>
      <c r="K14725" t="s">
        <v>22</v>
      </c>
    </row>
    <row r="14726" spans="1:11" ht="42" customHeight="1">
      <c r="A14726" t="s">
        <v>28475</v>
      </c>
      <c r="B14726" t="s">
        <v>28476</v>
      </c>
      <c r="C14726" t="s">
        <v>28</v>
      </c>
      <c r="D14726" t="s">
        <v>29</v>
      </c>
      <c r="E14726" s="6">
        <v>-28353</v>
      </c>
      <c r="F14726" t="s">
        <v>843</v>
      </c>
      <c r="G14726" t="s">
        <v>57</v>
      </c>
      <c r="H14726" t="s">
        <v>20</v>
      </c>
      <c r="I14726" t="s">
        <v>28477</v>
      </c>
      <c r="J14726" t="str">
        <f>HYPERLINK("https://www.boe.es/gazeta/dias/1822/05/15/pdfs/GMD-1822-137.pdf#page=4","Abrir facsímil")</f>
        <v>Abrir facsímil</v>
      </c>
      <c r="K14726" t="s">
        <v>22</v>
      </c>
    </row>
    <row r="14727" spans="1:11" ht="42" customHeight="1">
      <c r="A14727" t="s">
        <v>28478</v>
      </c>
      <c r="B14727" t="s">
        <v>28479</v>
      </c>
      <c r="C14727" t="s">
        <v>28</v>
      </c>
      <c r="D14727" t="s">
        <v>29</v>
      </c>
      <c r="E14727" s="6">
        <v>-28353</v>
      </c>
      <c r="F14727" t="s">
        <v>843</v>
      </c>
      <c r="G14727" t="s">
        <v>19</v>
      </c>
      <c r="H14727" t="s">
        <v>20</v>
      </c>
      <c r="I14727" t="s">
        <v>28480</v>
      </c>
      <c r="J14727" t="str">
        <f>HYPERLINK("https://www.boe.es/gazeta/dias/1822/05/15/pdfs/GMD-1822-137.pdf#page=5","Abrir facsímil")</f>
        <v>Abrir facsímil</v>
      </c>
      <c r="K14727" t="s">
        <v>22</v>
      </c>
    </row>
    <row r="14728" spans="1:11" ht="42" customHeight="1">
      <c r="A14728" t="s">
        <v>28481</v>
      </c>
      <c r="B14728" t="s">
        <v>28482</v>
      </c>
      <c r="C14728" t="s">
        <v>42</v>
      </c>
      <c r="D14728" t="s">
        <v>17</v>
      </c>
      <c r="E14728" s="6">
        <v>-28429</v>
      </c>
      <c r="F14728" t="s">
        <v>2397</v>
      </c>
      <c r="G14728" t="s">
        <v>57</v>
      </c>
      <c r="H14728" t="s">
        <v>20</v>
      </c>
      <c r="I14728" t="s">
        <v>28483</v>
      </c>
      <c r="J14728" t="str">
        <f>HYPERLINK("https://www.boe.es/gazeta/dias/1822/02/28/pdfs/GMD-1822-60.pdf#page=4","Abrir facsímil")</f>
        <v>Abrir facsímil</v>
      </c>
      <c r="K14728" t="s">
        <v>22</v>
      </c>
    </row>
    <row r="14729" spans="1:11" ht="42" customHeight="1">
      <c r="A14729" t="s">
        <v>28484</v>
      </c>
      <c r="B14729" t="s">
        <v>28485</v>
      </c>
      <c r="C14729" t="s">
        <v>28</v>
      </c>
      <c r="D14729" t="s">
        <v>29</v>
      </c>
      <c r="E14729" s="6">
        <v>-28479</v>
      </c>
      <c r="F14729" t="s">
        <v>1091</v>
      </c>
      <c r="G14729" t="s">
        <v>63</v>
      </c>
      <c r="H14729" t="s">
        <v>45</v>
      </c>
      <c r="I14729" t="s">
        <v>28486</v>
      </c>
      <c r="J14729" t="str">
        <f>HYPERLINK("https://www.boe.es/gazeta/dias/1822/01/09/pdfs/GMD-1822-9.pdf#page=6","Abrir facsímil")</f>
        <v>Abrir facsímil</v>
      </c>
      <c r="K14729" t="s">
        <v>47</v>
      </c>
    </row>
    <row r="14730" spans="1:11" ht="42" customHeight="1">
      <c r="A14730" t="s">
        <v>28487</v>
      </c>
      <c r="B14730" t="s">
        <v>28487</v>
      </c>
      <c r="C14730" t="s">
        <v>71</v>
      </c>
      <c r="D14730" t="s">
        <v>17</v>
      </c>
      <c r="E14730" s="6">
        <v>-28269</v>
      </c>
      <c r="F14730" t="s">
        <v>5517</v>
      </c>
      <c r="G14730" t="s">
        <v>35</v>
      </c>
      <c r="H14730" t="s">
        <v>20</v>
      </c>
      <c r="I14730" t="s">
        <v>28488</v>
      </c>
      <c r="J14730" t="str">
        <f>HYPERLINK("https://www.boe.es/gazeta/dias/1822/08/07/pdfs/GMD-1822-231.pdf#page=2","Abrir facsímil")</f>
        <v>Abrir facsímil</v>
      </c>
      <c r="K14730" t="s">
        <v>22</v>
      </c>
    </row>
    <row r="14731" spans="1:11" ht="42" customHeight="1">
      <c r="A14731" t="s">
        <v>28489</v>
      </c>
      <c r="B14731" t="s">
        <v>28490</v>
      </c>
      <c r="C14731" t="s">
        <v>24</v>
      </c>
      <c r="D14731" t="s">
        <v>17</v>
      </c>
      <c r="E14731" s="6">
        <v>-28438</v>
      </c>
      <c r="F14731" t="s">
        <v>963</v>
      </c>
      <c r="G14731" t="s">
        <v>57</v>
      </c>
      <c r="H14731" t="s">
        <v>20</v>
      </c>
      <c r="I14731" t="s">
        <v>28491</v>
      </c>
      <c r="J14731" t="str">
        <f>HYPERLINK("https://www.boe.es/gazeta/dias/1822/02/19/pdfs/GMD-1822-51.pdf#page=4","Abrir facsímil")</f>
        <v>Abrir facsímil</v>
      </c>
      <c r="K14731" t="s">
        <v>22</v>
      </c>
    </row>
    <row r="14732" spans="1:11" ht="42" customHeight="1">
      <c r="A14732" t="s">
        <v>28492</v>
      </c>
      <c r="B14732" t="s">
        <v>28492</v>
      </c>
      <c r="C14732" t="s">
        <v>50</v>
      </c>
      <c r="D14732" t="s">
        <v>51</v>
      </c>
      <c r="E14732" s="6">
        <v>-28402</v>
      </c>
      <c r="F14732" t="s">
        <v>473</v>
      </c>
      <c r="G14732" t="s">
        <v>31</v>
      </c>
      <c r="H14732" t="s">
        <v>20</v>
      </c>
      <c r="I14732" t="s">
        <v>28493</v>
      </c>
      <c r="J14732" t="str">
        <f>HYPERLINK("https://www.boe.es/gazeta/dias/1822/03/27/pdfs/GMD-1822-88.pdf#page=3","Abrir facsímil")</f>
        <v>Abrir facsímil</v>
      </c>
      <c r="K14732" t="s">
        <v>22</v>
      </c>
    </row>
    <row r="14733" spans="1:11" ht="42" customHeight="1">
      <c r="A14733" t="s">
        <v>28492</v>
      </c>
      <c r="B14733" t="s">
        <v>28492</v>
      </c>
      <c r="C14733" t="s">
        <v>50</v>
      </c>
      <c r="D14733" t="s">
        <v>51</v>
      </c>
      <c r="E14733" s="6">
        <v>-28389</v>
      </c>
      <c r="F14733" t="s">
        <v>481</v>
      </c>
      <c r="G14733" t="s">
        <v>31</v>
      </c>
      <c r="H14733" t="s">
        <v>20</v>
      </c>
      <c r="I14733" t="s">
        <v>28494</v>
      </c>
      <c r="J14733" t="str">
        <f>HYPERLINK("https://www.boe.es/gazeta/dias/1822/04/09/pdfs/GMD-1822-101.pdf#page=3","Abrir facsímil")</f>
        <v>Abrir facsímil</v>
      </c>
      <c r="K14733" t="s">
        <v>22</v>
      </c>
    </row>
    <row r="14734" spans="1:11" ht="42" customHeight="1">
      <c r="A14734" t="s">
        <v>28495</v>
      </c>
      <c r="B14734" t="s">
        <v>28496</v>
      </c>
      <c r="C14734" t="s">
        <v>50</v>
      </c>
      <c r="D14734" t="s">
        <v>51</v>
      </c>
      <c r="E14734" s="6">
        <v>-28394</v>
      </c>
      <c r="F14734" t="s">
        <v>268</v>
      </c>
      <c r="G14734" t="s">
        <v>57</v>
      </c>
      <c r="H14734" t="s">
        <v>20</v>
      </c>
      <c r="I14734" t="s">
        <v>28497</v>
      </c>
      <c r="J14734" t="str">
        <f>HYPERLINK("https://www.boe.es/gazeta/dias/1822/04/04/pdfs/GMD-1822-96.pdf#page=4","Abrir facsímil")</f>
        <v>Abrir facsímil</v>
      </c>
      <c r="K14734" t="s">
        <v>22</v>
      </c>
    </row>
    <row r="14735" spans="1:11" ht="42" customHeight="1">
      <c r="A14735" t="s">
        <v>28498</v>
      </c>
      <c r="B14735" t="s">
        <v>28498</v>
      </c>
      <c r="C14735" t="s">
        <v>71</v>
      </c>
      <c r="D14735" t="s">
        <v>17</v>
      </c>
      <c r="E14735" s="6">
        <v>-28175</v>
      </c>
      <c r="F14735" t="s">
        <v>341</v>
      </c>
      <c r="G14735" t="s">
        <v>19</v>
      </c>
      <c r="H14735" t="s">
        <v>20</v>
      </c>
      <c r="I14735" t="s">
        <v>28499</v>
      </c>
      <c r="J14735" t="str">
        <f>HYPERLINK("https://www.boe.es/gazeta/dias/1822/11/09/pdfs/GMD-1822-329.pdf#page=5","Abrir facsímil")</f>
        <v>Abrir facsímil</v>
      </c>
      <c r="K14735" t="s">
        <v>22</v>
      </c>
    </row>
    <row r="14736" spans="1:11" ht="42" customHeight="1">
      <c r="A14736" t="s">
        <v>28500</v>
      </c>
      <c r="B14736" t="s">
        <v>28500</v>
      </c>
      <c r="C14736" t="s">
        <v>50</v>
      </c>
      <c r="D14736" t="s">
        <v>51</v>
      </c>
      <c r="E14736" s="6">
        <v>-28246</v>
      </c>
      <c r="F14736" t="s">
        <v>3246</v>
      </c>
      <c r="G14736" t="s">
        <v>3393</v>
      </c>
      <c r="H14736" t="s">
        <v>20</v>
      </c>
      <c r="I14736" t="s">
        <v>28501</v>
      </c>
      <c r="J14736" t="str">
        <f>HYPERLINK("https://www.boe.es/gazeta/dias/1822/08/30/pdfs/GMD-1822-254.pdf#page=3","Abrir facsímil")</f>
        <v>Abrir facsímil</v>
      </c>
      <c r="K14736" t="s">
        <v>22</v>
      </c>
    </row>
    <row r="14737" spans="1:11" ht="42" customHeight="1">
      <c r="A14737" t="s">
        <v>28502</v>
      </c>
      <c r="B14737" t="s">
        <v>28502</v>
      </c>
      <c r="C14737" t="s">
        <v>42</v>
      </c>
      <c r="D14737" t="s">
        <v>17</v>
      </c>
      <c r="E14737" s="6">
        <v>-28380</v>
      </c>
      <c r="F14737" t="s">
        <v>492</v>
      </c>
      <c r="G14737" t="s">
        <v>57</v>
      </c>
      <c r="H14737" t="s">
        <v>20</v>
      </c>
      <c r="I14737" t="s">
        <v>28503</v>
      </c>
      <c r="J14737" t="str">
        <f>HYPERLINK("https://www.boe.es/gazeta/dias/1822/04/18/pdfs/GMD-1822-110.pdf#page=4","Abrir facsímil")</f>
        <v>Abrir facsímil</v>
      </c>
      <c r="K14737" t="s">
        <v>22</v>
      </c>
    </row>
    <row r="14738" spans="1:11" ht="42" customHeight="1">
      <c r="A14738" t="s">
        <v>28502</v>
      </c>
      <c r="B14738" t="s">
        <v>28502</v>
      </c>
      <c r="C14738" t="s">
        <v>71</v>
      </c>
      <c r="D14738" t="s">
        <v>17</v>
      </c>
      <c r="E14738" s="6">
        <v>-28374</v>
      </c>
      <c r="F14738" t="s">
        <v>171</v>
      </c>
      <c r="G14738" t="s">
        <v>35</v>
      </c>
      <c r="H14738" t="s">
        <v>20</v>
      </c>
      <c r="I14738" t="s">
        <v>28504</v>
      </c>
      <c r="J14738" t="str">
        <f>HYPERLINK("https://www.boe.es/gazeta/dias/1822/04/24/pdfs/GMD-1822-116.pdf#page=2","Abrir facsímil")</f>
        <v>Abrir facsímil</v>
      </c>
      <c r="K14738" t="s">
        <v>22</v>
      </c>
    </row>
    <row r="14739" spans="1:11" ht="42" customHeight="1">
      <c r="A14739" t="s">
        <v>28502</v>
      </c>
      <c r="B14739" t="s">
        <v>28502</v>
      </c>
      <c r="C14739" t="s">
        <v>50</v>
      </c>
      <c r="D14739" t="s">
        <v>51</v>
      </c>
      <c r="E14739" s="6">
        <v>-28290</v>
      </c>
      <c r="F14739" t="s">
        <v>706</v>
      </c>
      <c r="G14739" t="s">
        <v>31</v>
      </c>
      <c r="H14739" t="s">
        <v>20</v>
      </c>
      <c r="I14739" t="s">
        <v>28505</v>
      </c>
      <c r="J14739" t="str">
        <f>HYPERLINK("https://www.boe.es/gazeta/dias/1822/07/17/pdfs/GMD-1822-207.pdf#page=3","Abrir facsímil")</f>
        <v>Abrir facsímil</v>
      </c>
      <c r="K14739" t="s">
        <v>22</v>
      </c>
    </row>
    <row r="14740" spans="1:11" ht="42" customHeight="1">
      <c r="A14740" t="s">
        <v>28502</v>
      </c>
      <c r="B14740" t="s">
        <v>28502</v>
      </c>
      <c r="C14740" t="s">
        <v>42</v>
      </c>
      <c r="D14740" t="s">
        <v>17</v>
      </c>
      <c r="E14740" s="6">
        <v>-28238</v>
      </c>
      <c r="F14740" t="s">
        <v>2077</v>
      </c>
      <c r="G14740" t="s">
        <v>57</v>
      </c>
      <c r="H14740" t="s">
        <v>20</v>
      </c>
      <c r="I14740" t="s">
        <v>28506</v>
      </c>
      <c r="J14740" t="str">
        <f>HYPERLINK("https://www.boe.es/gazeta/dias/1822/09/07/pdfs/GMD-1822-262.pdf#page=4","Abrir facsímil")</f>
        <v>Abrir facsímil</v>
      </c>
      <c r="K14740" t="s">
        <v>22</v>
      </c>
    </row>
    <row r="14741" spans="1:11" ht="42" customHeight="1">
      <c r="A14741" t="s">
        <v>28502</v>
      </c>
      <c r="B14741" t="s">
        <v>28502</v>
      </c>
      <c r="C14741" t="s">
        <v>50</v>
      </c>
      <c r="D14741" t="s">
        <v>51</v>
      </c>
      <c r="E14741" s="6">
        <v>-28221</v>
      </c>
      <c r="F14741" t="s">
        <v>2591</v>
      </c>
      <c r="G14741" t="s">
        <v>35</v>
      </c>
      <c r="H14741" t="s">
        <v>20</v>
      </c>
      <c r="I14741" t="s">
        <v>28507</v>
      </c>
      <c r="J14741" t="str">
        <f>HYPERLINK("https://www.boe.es/gazeta/dias/1822/09/24/pdfs/GMD-1822-280.pdf#page=2","Abrir facsímil")</f>
        <v>Abrir facsímil</v>
      </c>
      <c r="K14741" t="s">
        <v>22</v>
      </c>
    </row>
    <row r="14742" spans="1:11" ht="42" customHeight="1">
      <c r="A14742" t="s">
        <v>28502</v>
      </c>
      <c r="B14742" t="s">
        <v>28502</v>
      </c>
      <c r="C14742" t="s">
        <v>24</v>
      </c>
      <c r="D14742" t="s">
        <v>17</v>
      </c>
      <c r="E14742" s="6">
        <v>-28213</v>
      </c>
      <c r="F14742" t="s">
        <v>558</v>
      </c>
      <c r="G14742" t="s">
        <v>57</v>
      </c>
      <c r="H14742" t="s">
        <v>20</v>
      </c>
      <c r="I14742" t="s">
        <v>28508</v>
      </c>
      <c r="J14742" t="str">
        <f>HYPERLINK("https://www.boe.es/gazeta/dias/1822/10/02/pdfs/GMD-1822-288.pdf#page=4","Abrir facsímil")</f>
        <v>Abrir facsímil</v>
      </c>
      <c r="K14742" t="s">
        <v>22</v>
      </c>
    </row>
    <row r="14743" spans="1:11" ht="42" customHeight="1">
      <c r="A14743" t="s">
        <v>28509</v>
      </c>
      <c r="B14743" t="s">
        <v>28510</v>
      </c>
      <c r="C14743" t="s">
        <v>50</v>
      </c>
      <c r="D14743" t="s">
        <v>51</v>
      </c>
      <c r="E14743" s="6">
        <v>-28124</v>
      </c>
      <c r="F14743" t="s">
        <v>301</v>
      </c>
      <c r="G14743" t="s">
        <v>35</v>
      </c>
      <c r="H14743" t="s">
        <v>20</v>
      </c>
      <c r="I14743" t="s">
        <v>28511</v>
      </c>
      <c r="J14743" t="str">
        <f>HYPERLINK("https://www.boe.es/gazeta/dias/1822/12/30/pdfs/GMD-1822-380.pdf#page=2","Abrir facsímil")</f>
        <v>Abrir facsímil</v>
      </c>
      <c r="K14743" t="s">
        <v>22</v>
      </c>
    </row>
    <row r="14744" spans="1:11" ht="42" customHeight="1">
      <c r="A14744" t="s">
        <v>28512</v>
      </c>
      <c r="B14744" t="s">
        <v>28512</v>
      </c>
      <c r="C14744" t="s">
        <v>50</v>
      </c>
      <c r="D14744" t="s">
        <v>51</v>
      </c>
      <c r="E14744" s="6">
        <v>-28140</v>
      </c>
      <c r="F14744" t="s">
        <v>84</v>
      </c>
      <c r="G14744" t="s">
        <v>44</v>
      </c>
      <c r="H14744" t="s">
        <v>20</v>
      </c>
      <c r="I14744" t="s">
        <v>28513</v>
      </c>
      <c r="J14744" t="str">
        <f>HYPERLINK("https://www.boe.es/gazeta/dias/1822/12/14/pdfs/GMD-1822-364.pdf#page=1","Abrir facsímil")</f>
        <v>Abrir facsímil</v>
      </c>
      <c r="K14744" t="s">
        <v>22</v>
      </c>
    </row>
    <row r="14745" spans="1:11" ht="42" customHeight="1">
      <c r="A14745" t="s">
        <v>28514</v>
      </c>
      <c r="B14745" t="s">
        <v>28514</v>
      </c>
      <c r="C14745" t="s">
        <v>50</v>
      </c>
      <c r="D14745" t="s">
        <v>51</v>
      </c>
      <c r="E14745" s="6">
        <v>-28287</v>
      </c>
      <c r="F14745" t="s">
        <v>1295</v>
      </c>
      <c r="G14745" t="s">
        <v>31</v>
      </c>
      <c r="H14745" t="s">
        <v>20</v>
      </c>
      <c r="I14745" t="s">
        <v>28515</v>
      </c>
      <c r="J14745" t="str">
        <f>HYPERLINK("https://www.boe.es/gazeta/dias/1822/07/20/pdfs/GMD-1822-212.pdf#page=3","Abrir facsímil")</f>
        <v>Abrir facsímil</v>
      </c>
      <c r="K14745" t="s">
        <v>22</v>
      </c>
    </row>
    <row r="14746" spans="1:11" ht="42" customHeight="1">
      <c r="A14746" t="s">
        <v>28516</v>
      </c>
      <c r="B14746" t="s">
        <v>28517</v>
      </c>
      <c r="C14746" t="s">
        <v>50</v>
      </c>
      <c r="D14746" t="s">
        <v>51</v>
      </c>
      <c r="E14746" s="6">
        <v>-28177</v>
      </c>
      <c r="F14746" t="s">
        <v>587</v>
      </c>
      <c r="G14746" t="s">
        <v>44</v>
      </c>
      <c r="H14746" t="s">
        <v>20</v>
      </c>
      <c r="I14746" t="s">
        <v>28518</v>
      </c>
      <c r="J14746" t="str">
        <f>HYPERLINK("https://www.boe.es/gazeta/dias/1822/11/07/pdfs/GMD-1822-327.pdf#page=1","Abrir facsímil")</f>
        <v>Abrir facsímil</v>
      </c>
      <c r="K14746" t="s">
        <v>22</v>
      </c>
    </row>
    <row r="14747" spans="1:11" ht="42" customHeight="1">
      <c r="A14747" t="s">
        <v>28519</v>
      </c>
      <c r="B14747" t="s">
        <v>28520</v>
      </c>
      <c r="C14747" t="s">
        <v>24</v>
      </c>
      <c r="D14747" t="s">
        <v>17</v>
      </c>
      <c r="E14747" s="6">
        <v>-28383</v>
      </c>
      <c r="F14747" t="s">
        <v>488</v>
      </c>
      <c r="G14747" t="s">
        <v>31</v>
      </c>
      <c r="H14747" t="s">
        <v>20</v>
      </c>
      <c r="I14747" t="s">
        <v>28521</v>
      </c>
      <c r="J14747" t="str">
        <f>HYPERLINK("https://www.boe.es/gazeta/dias/1822/04/15/pdfs/GMD-1822-107.pdf#page=3","Abrir facsímil")</f>
        <v>Abrir facsímil</v>
      </c>
      <c r="K14747" t="s">
        <v>22</v>
      </c>
    </row>
    <row r="14748" spans="1:11" ht="42" customHeight="1">
      <c r="A14748" t="s">
        <v>28522</v>
      </c>
      <c r="B14748" t="s">
        <v>28522</v>
      </c>
      <c r="C14748" t="s">
        <v>50</v>
      </c>
      <c r="D14748" t="s">
        <v>51</v>
      </c>
      <c r="E14748" s="6">
        <v>-28216</v>
      </c>
      <c r="F14748" t="s">
        <v>4661</v>
      </c>
      <c r="G14748" t="s">
        <v>57</v>
      </c>
      <c r="H14748" t="s">
        <v>20</v>
      </c>
      <c r="I14748" t="s">
        <v>28523</v>
      </c>
      <c r="J14748" t="str">
        <f>HYPERLINK("https://www.boe.es/gazeta/dias/1822/09/29/pdfs/GMD-1822-285.pdf#page=4","Abrir facsímil")</f>
        <v>Abrir facsímil</v>
      </c>
      <c r="K14748" t="s">
        <v>22</v>
      </c>
    </row>
    <row r="14749" spans="1:11" ht="42" customHeight="1">
      <c r="A14749" t="s">
        <v>28524</v>
      </c>
      <c r="B14749" t="s">
        <v>28525</v>
      </c>
      <c r="C14749" t="s">
        <v>50</v>
      </c>
      <c r="D14749" t="s">
        <v>51</v>
      </c>
      <c r="E14749" s="6">
        <v>-28210</v>
      </c>
      <c r="F14749" t="s">
        <v>218</v>
      </c>
      <c r="G14749" t="s">
        <v>19</v>
      </c>
      <c r="H14749" t="s">
        <v>20</v>
      </c>
      <c r="I14749" t="s">
        <v>28526</v>
      </c>
      <c r="J14749" t="str">
        <f>HYPERLINK("https://www.boe.es/gazeta/dias/1822/10/05/pdfs/GMD-1822-291.pdf#page=5","Abrir facsímil")</f>
        <v>Abrir facsímil</v>
      </c>
      <c r="K14749" t="s">
        <v>22</v>
      </c>
    </row>
    <row r="14750" spans="1:11" ht="42" customHeight="1">
      <c r="A14750" t="s">
        <v>28527</v>
      </c>
      <c r="B14750" t="s">
        <v>28527</v>
      </c>
      <c r="C14750" t="s">
        <v>50</v>
      </c>
      <c r="D14750" t="s">
        <v>51</v>
      </c>
      <c r="E14750" s="6">
        <v>-28290</v>
      </c>
      <c r="F14750" t="s">
        <v>706</v>
      </c>
      <c r="G14750" t="s">
        <v>31</v>
      </c>
      <c r="H14750" t="s">
        <v>20</v>
      </c>
      <c r="I14750" t="s">
        <v>28528</v>
      </c>
      <c r="J14750" t="str">
        <f>HYPERLINK("https://www.boe.es/gazeta/dias/1822/07/17/pdfs/GMD-1822-207.pdf#page=3","Abrir facsímil")</f>
        <v>Abrir facsímil</v>
      </c>
      <c r="K14750" t="s">
        <v>22</v>
      </c>
    </row>
    <row r="14751" spans="1:11" ht="42" customHeight="1">
      <c r="A14751" t="s">
        <v>28527</v>
      </c>
      <c r="B14751" t="s">
        <v>28527</v>
      </c>
      <c r="C14751" t="s">
        <v>50</v>
      </c>
      <c r="D14751" t="s">
        <v>51</v>
      </c>
      <c r="E14751" s="6">
        <v>-28290</v>
      </c>
      <c r="F14751" t="s">
        <v>706</v>
      </c>
      <c r="G14751" t="s">
        <v>57</v>
      </c>
      <c r="H14751" t="s">
        <v>20</v>
      </c>
      <c r="I14751" t="s">
        <v>28529</v>
      </c>
      <c r="J14751" t="str">
        <f>HYPERLINK("https://www.boe.es/gazeta/dias/1822/07/17/pdfs/GMD-1822-207.pdf#page=4","Abrir facsímil")</f>
        <v>Abrir facsímil</v>
      </c>
      <c r="K14751" t="s">
        <v>22</v>
      </c>
    </row>
    <row r="14752" spans="1:11" ht="42" customHeight="1">
      <c r="A14752" t="s">
        <v>28530</v>
      </c>
      <c r="B14752" t="s">
        <v>28531</v>
      </c>
      <c r="C14752" t="s">
        <v>50</v>
      </c>
      <c r="D14752" t="s">
        <v>51</v>
      </c>
      <c r="E14752" s="6">
        <v>-28199</v>
      </c>
      <c r="F14752" t="s">
        <v>656</v>
      </c>
      <c r="G14752" t="s">
        <v>19</v>
      </c>
      <c r="H14752" t="s">
        <v>20</v>
      </c>
      <c r="I14752" t="s">
        <v>28532</v>
      </c>
      <c r="J14752" t="str">
        <f>HYPERLINK("https://www.boe.es/gazeta/dias/1822/10/16/pdfs/GMD-1822-303.pdf#page=5","Abrir facsímil")</f>
        <v>Abrir facsímil</v>
      </c>
      <c r="K14752" t="s">
        <v>22</v>
      </c>
    </row>
    <row r="14753" spans="1:11" ht="42" customHeight="1">
      <c r="A14753" t="s">
        <v>28533</v>
      </c>
      <c r="B14753" t="s">
        <v>28533</v>
      </c>
      <c r="C14753" t="s">
        <v>42</v>
      </c>
      <c r="D14753" t="s">
        <v>17</v>
      </c>
      <c r="E14753" s="6">
        <v>-28378</v>
      </c>
      <c r="F14753" t="s">
        <v>496</v>
      </c>
      <c r="G14753" t="s">
        <v>57</v>
      </c>
      <c r="H14753" t="s">
        <v>20</v>
      </c>
      <c r="I14753" t="s">
        <v>28534</v>
      </c>
      <c r="J14753" t="str">
        <f>HYPERLINK("https://www.boe.es/gazeta/dias/1822/04/20/pdfs/GMD-1822-112.pdf#page=4","Abrir facsímil")</f>
        <v>Abrir facsímil</v>
      </c>
      <c r="K14753" t="s">
        <v>22</v>
      </c>
    </row>
    <row r="14754" spans="1:11" ht="42" customHeight="1">
      <c r="A14754" t="s">
        <v>28533</v>
      </c>
      <c r="B14754" t="s">
        <v>28533</v>
      </c>
      <c r="C14754" t="s">
        <v>28</v>
      </c>
      <c r="D14754" t="s">
        <v>29</v>
      </c>
      <c r="E14754" s="6">
        <v>-28213</v>
      </c>
      <c r="F14754" t="s">
        <v>558</v>
      </c>
      <c r="G14754" t="s">
        <v>31</v>
      </c>
      <c r="H14754" t="s">
        <v>20</v>
      </c>
      <c r="I14754" t="s">
        <v>28535</v>
      </c>
      <c r="J14754" t="str">
        <f>HYPERLINK("https://www.boe.es/gazeta/dias/1822/10/02/pdfs/GMD-1822-288.pdf#page=3","Abrir facsímil")</f>
        <v>Abrir facsímil</v>
      </c>
      <c r="K14754" t="s">
        <v>22</v>
      </c>
    </row>
    <row r="14755" spans="1:11" ht="42" customHeight="1">
      <c r="A14755" t="s">
        <v>28536</v>
      </c>
      <c r="B14755" t="s">
        <v>28536</v>
      </c>
      <c r="C14755" t="s">
        <v>50</v>
      </c>
      <c r="D14755" t="s">
        <v>51</v>
      </c>
      <c r="E14755" s="6">
        <v>-28454</v>
      </c>
      <c r="F14755" t="s">
        <v>2033</v>
      </c>
      <c r="G14755" t="s">
        <v>57</v>
      </c>
      <c r="H14755" t="s">
        <v>20</v>
      </c>
      <c r="I14755" t="s">
        <v>28537</v>
      </c>
      <c r="J14755" t="str">
        <f>HYPERLINK("https://www.boe.es/gazeta/dias/1822/02/03/pdfs/GMD-1822-34.pdf#page=4","Abrir facsímil")</f>
        <v>Abrir facsímil</v>
      </c>
      <c r="K14755" t="s">
        <v>22</v>
      </c>
    </row>
    <row r="14756" spans="1:11" ht="42" customHeight="1">
      <c r="A14756" t="s">
        <v>28536</v>
      </c>
      <c r="B14756" t="s">
        <v>28536</v>
      </c>
      <c r="C14756" t="s">
        <v>42</v>
      </c>
      <c r="D14756" t="s">
        <v>17</v>
      </c>
      <c r="E14756" s="6">
        <v>-28451</v>
      </c>
      <c r="F14756" t="s">
        <v>1674</v>
      </c>
      <c r="G14756" t="s">
        <v>63</v>
      </c>
      <c r="H14756" t="s">
        <v>20</v>
      </c>
      <c r="I14756" t="s">
        <v>28538</v>
      </c>
      <c r="J14756" t="str">
        <f>HYPERLINK("https://www.boe.es/gazeta/dias/1822/02/06/pdfs/GMD-1822-37.pdf#page=6","Abrir facsímil")</f>
        <v>Abrir facsímil</v>
      </c>
      <c r="K14756" t="s">
        <v>22</v>
      </c>
    </row>
    <row r="14757" spans="1:11" ht="42" customHeight="1">
      <c r="A14757" t="s">
        <v>28536</v>
      </c>
      <c r="B14757" t="s">
        <v>28536</v>
      </c>
      <c r="C14757" t="s">
        <v>50</v>
      </c>
      <c r="D14757" t="s">
        <v>51</v>
      </c>
      <c r="E14757" s="6">
        <v>-28447</v>
      </c>
      <c r="F14757" t="s">
        <v>997</v>
      </c>
      <c r="G14757" t="s">
        <v>35</v>
      </c>
      <c r="H14757" t="s">
        <v>20</v>
      </c>
      <c r="I14757" t="s">
        <v>28539</v>
      </c>
      <c r="J14757" t="str">
        <f>HYPERLINK("https://www.boe.es/gazeta/dias/1822/02/10/pdfs/GMD-1822-41.pdf#page=2","Abrir facsímil")</f>
        <v>Abrir facsímil</v>
      </c>
      <c r="K14757" t="s">
        <v>22</v>
      </c>
    </row>
    <row r="14758" spans="1:11" ht="42" customHeight="1">
      <c r="A14758" t="s">
        <v>28536</v>
      </c>
      <c r="B14758" t="s">
        <v>28536</v>
      </c>
      <c r="C14758" t="s">
        <v>42</v>
      </c>
      <c r="D14758" t="s">
        <v>17</v>
      </c>
      <c r="E14758" s="6">
        <v>-28443</v>
      </c>
      <c r="F14758" t="s">
        <v>668</v>
      </c>
      <c r="G14758" t="s">
        <v>35</v>
      </c>
      <c r="H14758" t="s">
        <v>20</v>
      </c>
      <c r="I14758" t="s">
        <v>28540</v>
      </c>
      <c r="J14758" t="str">
        <f>HYPERLINK("https://www.boe.es/gazeta/dias/1822/02/14/pdfs/GMD-1822-45.pdf#page=2","Abrir facsímil")</f>
        <v>Abrir facsímil</v>
      </c>
      <c r="K14758" t="s">
        <v>22</v>
      </c>
    </row>
    <row r="14759" spans="1:11" ht="42" customHeight="1">
      <c r="A14759" t="s">
        <v>28536</v>
      </c>
      <c r="B14759" t="s">
        <v>28536</v>
      </c>
      <c r="C14759" t="s">
        <v>16</v>
      </c>
      <c r="D14759" t="s">
        <v>17</v>
      </c>
      <c r="E14759" s="6">
        <v>-28407</v>
      </c>
      <c r="F14759" t="s">
        <v>460</v>
      </c>
      <c r="G14759" t="s">
        <v>35</v>
      </c>
      <c r="H14759" t="s">
        <v>20</v>
      </c>
      <c r="I14759" t="s">
        <v>28541</v>
      </c>
      <c r="J14759" t="str">
        <f>HYPERLINK("https://www.boe.es/gazeta/dias/1822/03/22/pdfs/GMD-1822-83.pdf#page=2","Abrir facsímil")</f>
        <v>Abrir facsímil</v>
      </c>
      <c r="K14759" t="s">
        <v>22</v>
      </c>
    </row>
    <row r="14760" spans="1:11" ht="42" customHeight="1">
      <c r="A14760" t="s">
        <v>28536</v>
      </c>
      <c r="B14760" t="s">
        <v>28536</v>
      </c>
      <c r="C14760" t="s">
        <v>71</v>
      </c>
      <c r="D14760" t="s">
        <v>17</v>
      </c>
      <c r="E14760" s="6">
        <v>-28395</v>
      </c>
      <c r="F14760" t="s">
        <v>237</v>
      </c>
      <c r="G14760" t="s">
        <v>57</v>
      </c>
      <c r="H14760" t="s">
        <v>20</v>
      </c>
      <c r="I14760" t="s">
        <v>28542</v>
      </c>
      <c r="J14760" t="str">
        <f>HYPERLINK("https://www.boe.es/gazeta/dias/1822/04/03/pdfs/GMD-1822-95.pdf#page=4","Abrir facsímil")</f>
        <v>Abrir facsímil</v>
      </c>
      <c r="K14760" t="s">
        <v>22</v>
      </c>
    </row>
    <row r="14761" spans="1:11" ht="42" customHeight="1">
      <c r="A14761" t="s">
        <v>28536</v>
      </c>
      <c r="B14761" t="s">
        <v>28536</v>
      </c>
      <c r="C14761" t="s">
        <v>16</v>
      </c>
      <c r="D14761" t="s">
        <v>17</v>
      </c>
      <c r="E14761" s="6">
        <v>-28393</v>
      </c>
      <c r="F14761" t="s">
        <v>326</v>
      </c>
      <c r="G14761" t="s">
        <v>57</v>
      </c>
      <c r="H14761" t="s">
        <v>20</v>
      </c>
      <c r="I14761" t="s">
        <v>28543</v>
      </c>
      <c r="J14761" t="str">
        <f>HYPERLINK("https://www.boe.es/gazeta/dias/1822/04/05/pdfs/GMD-1822-97.pdf#page=4","Abrir facsímil")</f>
        <v>Abrir facsímil</v>
      </c>
      <c r="K14761" t="s">
        <v>22</v>
      </c>
    </row>
    <row r="14762" spans="1:11" ht="42" customHeight="1">
      <c r="A14762" t="s">
        <v>28536</v>
      </c>
      <c r="B14762" t="s">
        <v>28536</v>
      </c>
      <c r="C14762" t="s">
        <v>28</v>
      </c>
      <c r="D14762" t="s">
        <v>29</v>
      </c>
      <c r="E14762" s="6">
        <v>-28325</v>
      </c>
      <c r="F14762" t="s">
        <v>104</v>
      </c>
      <c r="G14762" t="s">
        <v>31</v>
      </c>
      <c r="H14762" t="s">
        <v>20</v>
      </c>
      <c r="I14762" t="s">
        <v>28544</v>
      </c>
      <c r="J14762" t="str">
        <f>HYPERLINK("https://www.boe.es/gazeta/dias/1822/06/12/pdfs/GMD-1822-169.pdf#page=3","Abrir facsímil")</f>
        <v>Abrir facsímil</v>
      </c>
      <c r="K14762" t="s">
        <v>22</v>
      </c>
    </row>
    <row r="14763" spans="1:11" ht="42" customHeight="1">
      <c r="A14763" t="s">
        <v>28536</v>
      </c>
      <c r="B14763" t="s">
        <v>28536</v>
      </c>
      <c r="C14763" t="s">
        <v>24</v>
      </c>
      <c r="D14763" t="s">
        <v>17</v>
      </c>
      <c r="E14763" s="6">
        <v>-28325</v>
      </c>
      <c r="F14763" t="s">
        <v>104</v>
      </c>
      <c r="G14763" t="s">
        <v>57</v>
      </c>
      <c r="H14763" t="s">
        <v>20</v>
      </c>
      <c r="I14763" t="s">
        <v>28545</v>
      </c>
      <c r="J14763" t="str">
        <f>HYPERLINK("https://www.boe.es/gazeta/dias/1822/06/12/pdfs/GMD-1822-169.pdf#page=4","Abrir facsímil")</f>
        <v>Abrir facsímil</v>
      </c>
      <c r="K14763" t="s">
        <v>22</v>
      </c>
    </row>
    <row r="14764" spans="1:11" ht="42" customHeight="1">
      <c r="A14764" t="s">
        <v>28536</v>
      </c>
      <c r="B14764" t="s">
        <v>28536</v>
      </c>
      <c r="C14764" t="s">
        <v>50</v>
      </c>
      <c r="D14764" t="s">
        <v>51</v>
      </c>
      <c r="E14764" s="6">
        <v>-28311</v>
      </c>
      <c r="F14764" t="s">
        <v>736</v>
      </c>
      <c r="G14764" t="s">
        <v>157</v>
      </c>
      <c r="H14764" t="s">
        <v>20</v>
      </c>
      <c r="I14764" t="s">
        <v>28546</v>
      </c>
      <c r="J14764" t="str">
        <f>HYPERLINK("https://www.boe.es/gazeta/dias/1822/06/26/pdfs/GMD-1822-184.pdf#page=8","Abrir facsímil")</f>
        <v>Abrir facsímil</v>
      </c>
      <c r="K14764" t="s">
        <v>22</v>
      </c>
    </row>
    <row r="14765" spans="1:11" ht="42" customHeight="1">
      <c r="A14765" t="s">
        <v>28536</v>
      </c>
      <c r="B14765" t="s">
        <v>28536</v>
      </c>
      <c r="C14765" t="s">
        <v>42</v>
      </c>
      <c r="D14765" t="s">
        <v>17</v>
      </c>
      <c r="E14765" s="6">
        <v>-28290</v>
      </c>
      <c r="F14765" t="s">
        <v>706</v>
      </c>
      <c r="G14765" t="s">
        <v>57</v>
      </c>
      <c r="H14765" t="s">
        <v>20</v>
      </c>
      <c r="I14765" t="s">
        <v>28547</v>
      </c>
      <c r="J14765" t="str">
        <f>HYPERLINK("https://www.boe.es/gazeta/dias/1822/07/17/pdfs/GMD-1822-207.pdf#page=4","Abrir facsímil")</f>
        <v>Abrir facsímil</v>
      </c>
      <c r="K14765" t="s">
        <v>22</v>
      </c>
    </row>
    <row r="14766" spans="1:11" ht="42" customHeight="1">
      <c r="A14766" t="s">
        <v>28536</v>
      </c>
      <c r="B14766" t="s">
        <v>28536</v>
      </c>
      <c r="C14766" t="s">
        <v>50</v>
      </c>
      <c r="D14766" t="s">
        <v>51</v>
      </c>
      <c r="E14766" s="6">
        <v>-28289</v>
      </c>
      <c r="F14766" t="s">
        <v>390</v>
      </c>
      <c r="G14766" t="s">
        <v>57</v>
      </c>
      <c r="H14766" t="s">
        <v>20</v>
      </c>
      <c r="I14766" t="s">
        <v>28548</v>
      </c>
      <c r="J14766" t="str">
        <f>HYPERLINK("https://www.boe.es/gazeta/dias/1822/07/18/pdfs/GMD-1822-209.pdf#page=4","Abrir facsímil")</f>
        <v>Abrir facsímil</v>
      </c>
      <c r="K14766" t="s">
        <v>22</v>
      </c>
    </row>
    <row r="14767" spans="1:11" ht="42" customHeight="1">
      <c r="A14767" t="s">
        <v>28536</v>
      </c>
      <c r="B14767" t="s">
        <v>28536</v>
      </c>
      <c r="C14767" t="s">
        <v>50</v>
      </c>
      <c r="D14767" t="s">
        <v>51</v>
      </c>
      <c r="E14767" s="6">
        <v>-28229</v>
      </c>
      <c r="F14767" t="s">
        <v>2310</v>
      </c>
      <c r="G14767" t="s">
        <v>35</v>
      </c>
      <c r="H14767" t="s">
        <v>20</v>
      </c>
      <c r="I14767" t="s">
        <v>28549</v>
      </c>
      <c r="J14767" t="str">
        <f>HYPERLINK("https://www.boe.es/gazeta/dias/1822/09/16/pdfs/GMD-1822-272.pdf#page=2","Abrir facsímil")</f>
        <v>Abrir facsímil</v>
      </c>
      <c r="K14767" t="s">
        <v>22</v>
      </c>
    </row>
    <row r="14768" spans="1:11" ht="42" customHeight="1">
      <c r="A14768" t="s">
        <v>28536</v>
      </c>
      <c r="B14768" t="s">
        <v>28536</v>
      </c>
      <c r="C14768" t="s">
        <v>42</v>
      </c>
      <c r="D14768" t="s">
        <v>17</v>
      </c>
      <c r="E14768" s="6">
        <v>-28159</v>
      </c>
      <c r="F14768" t="s">
        <v>67</v>
      </c>
      <c r="G14768" t="s">
        <v>31</v>
      </c>
      <c r="H14768" t="s">
        <v>20</v>
      </c>
      <c r="I14768" t="s">
        <v>28550</v>
      </c>
      <c r="J14768" t="str">
        <f>HYPERLINK("https://www.boe.es/gazeta/dias/1822/11/25/pdfs/GMD-1822-345.pdf#page=3","Abrir facsímil")</f>
        <v>Abrir facsímil</v>
      </c>
      <c r="K14768" t="s">
        <v>22</v>
      </c>
    </row>
    <row r="14769" spans="1:11" ht="42" customHeight="1">
      <c r="A14769" t="s">
        <v>28536</v>
      </c>
      <c r="B14769" t="s">
        <v>28536</v>
      </c>
      <c r="C14769" t="s">
        <v>24</v>
      </c>
      <c r="D14769" t="s">
        <v>17</v>
      </c>
      <c r="E14769" s="6">
        <v>-28148</v>
      </c>
      <c r="F14769" t="s">
        <v>1909</v>
      </c>
      <c r="G14769" t="s">
        <v>63</v>
      </c>
      <c r="H14769" t="s">
        <v>20</v>
      </c>
      <c r="I14769" t="s">
        <v>28551</v>
      </c>
      <c r="J14769" t="str">
        <f>HYPERLINK("https://www.boe.es/gazeta/dias/1822/12/06/pdfs/GMD-1822-356.pdf#page=6","Abrir facsímil")</f>
        <v>Abrir facsímil</v>
      </c>
      <c r="K14769" t="s">
        <v>22</v>
      </c>
    </row>
    <row r="14770" spans="1:11" ht="42" customHeight="1">
      <c r="A14770" t="s">
        <v>28552</v>
      </c>
      <c r="B14770" t="s">
        <v>28553</v>
      </c>
      <c r="C14770" t="s">
        <v>42</v>
      </c>
      <c r="D14770" t="s">
        <v>17</v>
      </c>
      <c r="E14770" s="6">
        <v>-28229</v>
      </c>
      <c r="F14770" t="s">
        <v>2310</v>
      </c>
      <c r="G14770" t="s">
        <v>57</v>
      </c>
      <c r="H14770" t="s">
        <v>20</v>
      </c>
      <c r="I14770" t="s">
        <v>28554</v>
      </c>
      <c r="J14770" t="str">
        <f>HYPERLINK("https://www.boe.es/gazeta/dias/1822/09/16/pdfs/GMD-1822-272.pdf#page=4","Abrir facsímil")</f>
        <v>Abrir facsímil</v>
      </c>
      <c r="K14770" t="s">
        <v>22</v>
      </c>
    </row>
    <row r="14771" spans="1:11" ht="42" customHeight="1">
      <c r="A14771" t="s">
        <v>28555</v>
      </c>
      <c r="B14771" t="s">
        <v>28556</v>
      </c>
      <c r="C14771" t="s">
        <v>50</v>
      </c>
      <c r="D14771" t="s">
        <v>51</v>
      </c>
      <c r="E14771" s="6">
        <v>-28220</v>
      </c>
      <c r="F14771" t="s">
        <v>1914</v>
      </c>
      <c r="G14771" t="s">
        <v>1915</v>
      </c>
      <c r="H14771" t="s">
        <v>20</v>
      </c>
      <c r="I14771" t="s">
        <v>28557</v>
      </c>
      <c r="J14771" t="str">
        <f>HYPERLINK("https://www.boe.es/gazeta/dias/1822/09/25/pdfs/GMD-1822-281.pdf#page=3","Abrir facsímil")</f>
        <v>Abrir facsímil</v>
      </c>
      <c r="K14771" t="s">
        <v>22</v>
      </c>
    </row>
    <row r="14772" spans="1:11" ht="42" customHeight="1">
      <c r="A14772" t="s">
        <v>28558</v>
      </c>
      <c r="B14772" t="s">
        <v>28559</v>
      </c>
      <c r="C14772" t="s">
        <v>42</v>
      </c>
      <c r="D14772" t="s">
        <v>17</v>
      </c>
      <c r="E14772" s="6">
        <v>-28391</v>
      </c>
      <c r="F14772" t="s">
        <v>378</v>
      </c>
      <c r="G14772" t="s">
        <v>63</v>
      </c>
      <c r="H14772" t="s">
        <v>20</v>
      </c>
      <c r="I14772" t="s">
        <v>28560</v>
      </c>
      <c r="J14772" t="str">
        <f>HYPERLINK("https://www.boe.es/gazeta/dias/1822/04/07/pdfs/GMD-1822-99.pdf#page=6","Abrir facsímil")</f>
        <v>Abrir facsímil</v>
      </c>
      <c r="K14772" t="s">
        <v>22</v>
      </c>
    </row>
    <row r="14773" spans="1:11" ht="42" customHeight="1">
      <c r="A14773" t="s">
        <v>28561</v>
      </c>
      <c r="B14773" t="s">
        <v>28561</v>
      </c>
      <c r="C14773" t="s">
        <v>50</v>
      </c>
      <c r="D14773" t="s">
        <v>51</v>
      </c>
      <c r="E14773" s="6">
        <v>-28197</v>
      </c>
      <c r="F14773" t="s">
        <v>568</v>
      </c>
      <c r="G14773" t="s">
        <v>57</v>
      </c>
      <c r="H14773" t="s">
        <v>20</v>
      </c>
      <c r="I14773" t="s">
        <v>28562</v>
      </c>
      <c r="J14773" t="str">
        <f>HYPERLINK("https://www.boe.es/gazeta/dias/1822/10/18/pdfs/GMD-1822-305.pdf#page=4","Abrir facsímil")</f>
        <v>Abrir facsímil</v>
      </c>
      <c r="K14773" t="s">
        <v>22</v>
      </c>
    </row>
    <row r="14774" spans="1:11" ht="42" customHeight="1">
      <c r="A14774" t="s">
        <v>28563</v>
      </c>
      <c r="B14774" t="s">
        <v>28563</v>
      </c>
      <c r="C14774" t="s">
        <v>24</v>
      </c>
      <c r="D14774" t="s">
        <v>17</v>
      </c>
      <c r="E14774" s="6">
        <v>-28313</v>
      </c>
      <c r="F14774" t="s">
        <v>315</v>
      </c>
      <c r="G14774" t="s">
        <v>57</v>
      </c>
      <c r="H14774" t="s">
        <v>20</v>
      </c>
      <c r="I14774" t="s">
        <v>28564</v>
      </c>
      <c r="J14774" t="str">
        <f>HYPERLINK("https://www.boe.es/gazeta/dias/1822/06/24/pdfs/GMD-1822-182.pdf#page=4","Abrir facsímil")</f>
        <v>Abrir facsímil</v>
      </c>
      <c r="K14774" t="s">
        <v>22</v>
      </c>
    </row>
    <row r="14775" spans="1:11" ht="42" customHeight="1">
      <c r="A14775" t="s">
        <v>28565</v>
      </c>
      <c r="B14775" t="s">
        <v>28565</v>
      </c>
      <c r="C14775" t="s">
        <v>28</v>
      </c>
      <c r="D14775" t="s">
        <v>29</v>
      </c>
      <c r="E14775" s="6">
        <v>-28166</v>
      </c>
      <c r="F14775" t="s">
        <v>942</v>
      </c>
      <c r="G14775" t="s">
        <v>1277</v>
      </c>
      <c r="H14775" t="s">
        <v>20</v>
      </c>
      <c r="I14775" t="s">
        <v>28566</v>
      </c>
      <c r="J14775" t="str">
        <f>HYPERLINK("https://www.boe.es/gazeta/dias/1822/11/18/pdfs/GMD-1822-338.pdf#page=6","Abrir facsímil")</f>
        <v>Abrir facsímil</v>
      </c>
      <c r="K14775" t="s">
        <v>22</v>
      </c>
    </row>
    <row r="14776" spans="1:11" ht="42" customHeight="1">
      <c r="A14776" t="s">
        <v>28567</v>
      </c>
      <c r="B14776" t="s">
        <v>28568</v>
      </c>
      <c r="C14776" t="s">
        <v>50</v>
      </c>
      <c r="D14776" t="s">
        <v>51</v>
      </c>
      <c r="E14776" s="6">
        <v>-28184</v>
      </c>
      <c r="F14776" t="s">
        <v>1423</v>
      </c>
      <c r="G14776" t="s">
        <v>44</v>
      </c>
      <c r="H14776" t="s">
        <v>20</v>
      </c>
      <c r="I14776" t="s">
        <v>28569</v>
      </c>
      <c r="J14776" t="str">
        <f>HYPERLINK("https://www.boe.es/gazeta/dias/1822/10/31/pdfs/GMD-1822-318.pdf#page=1","Abrir facsímil")</f>
        <v>Abrir facsímil</v>
      </c>
      <c r="K14776" t="s">
        <v>22</v>
      </c>
    </row>
    <row r="14777" spans="1:11" ht="42" customHeight="1">
      <c r="A14777" t="s">
        <v>28570</v>
      </c>
      <c r="B14777" t="s">
        <v>28571</v>
      </c>
      <c r="C14777" t="s">
        <v>28</v>
      </c>
      <c r="D14777" t="s">
        <v>29</v>
      </c>
      <c r="E14777" s="6">
        <v>-28283</v>
      </c>
      <c r="F14777" t="s">
        <v>1477</v>
      </c>
      <c r="G14777" t="s">
        <v>57</v>
      </c>
      <c r="H14777" t="s">
        <v>20</v>
      </c>
      <c r="I14777" t="s">
        <v>28572</v>
      </c>
      <c r="J14777" t="str">
        <f>HYPERLINK("https://www.boe.es/gazeta/dias/1822/07/24/pdfs/GMD-1822-217.pdf#page=4","Abrir facsímil")</f>
        <v>Abrir facsímil</v>
      </c>
      <c r="K14777" t="s">
        <v>22</v>
      </c>
    </row>
    <row r="14778" spans="1:11" ht="42" customHeight="1">
      <c r="A14778" t="s">
        <v>28573</v>
      </c>
      <c r="B14778" t="s">
        <v>28574</v>
      </c>
      <c r="C14778" t="s">
        <v>42</v>
      </c>
      <c r="D14778" t="s">
        <v>17</v>
      </c>
      <c r="E14778" s="6">
        <v>-28453</v>
      </c>
      <c r="F14778" t="s">
        <v>2039</v>
      </c>
      <c r="G14778" t="s">
        <v>57</v>
      </c>
      <c r="H14778" t="s">
        <v>20</v>
      </c>
      <c r="I14778" t="s">
        <v>28575</v>
      </c>
      <c r="J14778" t="str">
        <f>HYPERLINK("https://www.boe.es/gazeta/dias/1822/02/04/pdfs/GMD-1822-35.pdf#page=4","Abrir facsímil")</f>
        <v>Abrir facsímil</v>
      </c>
      <c r="K14778" t="s">
        <v>22</v>
      </c>
    </row>
    <row r="14779" spans="1:11" ht="42" customHeight="1">
      <c r="A14779" t="s">
        <v>28573</v>
      </c>
      <c r="B14779" t="s">
        <v>28574</v>
      </c>
      <c r="C14779" t="s">
        <v>28</v>
      </c>
      <c r="D14779" t="s">
        <v>29</v>
      </c>
      <c r="E14779" s="6">
        <v>-28383</v>
      </c>
      <c r="F14779" t="s">
        <v>488</v>
      </c>
      <c r="G14779" t="s">
        <v>63</v>
      </c>
      <c r="H14779" t="s">
        <v>20</v>
      </c>
      <c r="I14779" t="s">
        <v>28576</v>
      </c>
      <c r="J14779" t="str">
        <f>HYPERLINK("https://www.boe.es/gazeta/dias/1822/04/15/pdfs/GMD-1822-107.pdf#page=6","Abrir facsímil")</f>
        <v>Abrir facsímil</v>
      </c>
      <c r="K14779" t="s">
        <v>22</v>
      </c>
    </row>
    <row r="14780" spans="1:11" ht="42" customHeight="1">
      <c r="A14780" t="s">
        <v>28573</v>
      </c>
      <c r="B14780" t="s">
        <v>28574</v>
      </c>
      <c r="C14780" t="s">
        <v>71</v>
      </c>
      <c r="D14780" t="s">
        <v>17</v>
      </c>
      <c r="E14780" s="6">
        <v>-28378</v>
      </c>
      <c r="F14780" t="s">
        <v>496</v>
      </c>
      <c r="G14780" t="s">
        <v>57</v>
      </c>
      <c r="H14780" t="s">
        <v>20</v>
      </c>
      <c r="I14780" t="s">
        <v>28577</v>
      </c>
      <c r="J14780" t="str">
        <f>HYPERLINK("https://www.boe.es/gazeta/dias/1822/04/20/pdfs/GMD-1822-112.pdf#page=4","Abrir facsímil")</f>
        <v>Abrir facsímil</v>
      </c>
      <c r="K14780" t="s">
        <v>22</v>
      </c>
    </row>
    <row r="14781" spans="1:11" ht="42" customHeight="1">
      <c r="A14781" t="s">
        <v>28573</v>
      </c>
      <c r="B14781" t="s">
        <v>28574</v>
      </c>
      <c r="C14781" t="s">
        <v>28</v>
      </c>
      <c r="D14781" t="s">
        <v>29</v>
      </c>
      <c r="E14781" s="6">
        <v>-28261</v>
      </c>
      <c r="F14781" t="s">
        <v>5685</v>
      </c>
      <c r="G14781" t="s">
        <v>57</v>
      </c>
      <c r="H14781" t="s">
        <v>20</v>
      </c>
      <c r="I14781" t="s">
        <v>28578</v>
      </c>
      <c r="J14781" t="str">
        <f>HYPERLINK("https://www.boe.es/gazeta/dias/1822/08/15/pdfs/GMD-1822-239.pdf#page=4","Abrir facsímil")</f>
        <v>Abrir facsímil</v>
      </c>
      <c r="K14781" t="s">
        <v>22</v>
      </c>
    </row>
    <row r="14782" spans="1:11" ht="42" customHeight="1">
      <c r="A14782" t="s">
        <v>28573</v>
      </c>
      <c r="B14782" t="s">
        <v>28574</v>
      </c>
      <c r="C14782" t="s">
        <v>28</v>
      </c>
      <c r="D14782" t="s">
        <v>29</v>
      </c>
      <c r="E14782" s="6">
        <v>-28209</v>
      </c>
      <c r="F14782" t="s">
        <v>748</v>
      </c>
      <c r="G14782" t="s">
        <v>57</v>
      </c>
      <c r="H14782" t="s">
        <v>20</v>
      </c>
      <c r="I14782" t="s">
        <v>28579</v>
      </c>
      <c r="J14782" t="str">
        <f>HYPERLINK("https://www.boe.es/gazeta/dias/1822/10/06/pdfs/GMD-1822-292.pdf#page=4","Abrir facsímil")</f>
        <v>Abrir facsímil</v>
      </c>
      <c r="K14782" t="s">
        <v>22</v>
      </c>
    </row>
    <row r="14783" spans="1:11" ht="42" customHeight="1">
      <c r="A14783" t="s">
        <v>28573</v>
      </c>
      <c r="B14783" t="s">
        <v>28574</v>
      </c>
      <c r="C14783" t="s">
        <v>42</v>
      </c>
      <c r="D14783" t="s">
        <v>17</v>
      </c>
      <c r="E14783" s="6">
        <v>-28139</v>
      </c>
      <c r="F14783" t="s">
        <v>143</v>
      </c>
      <c r="G14783" t="s">
        <v>144</v>
      </c>
      <c r="H14783" t="s">
        <v>20</v>
      </c>
      <c r="I14783" t="s">
        <v>28580</v>
      </c>
      <c r="J14783" t="str">
        <f>HYPERLINK("https://www.boe.es/gazeta/dias/1822/12/15/pdfs/GMD-1822-365.pdf#page=4","Abrir facsímil")</f>
        <v>Abrir facsímil</v>
      </c>
      <c r="K14783" t="s">
        <v>22</v>
      </c>
    </row>
    <row r="14784" spans="1:11" ht="42" customHeight="1">
      <c r="A14784" t="s">
        <v>28581</v>
      </c>
      <c r="B14784" t="s">
        <v>28582</v>
      </c>
      <c r="C14784" t="s">
        <v>50</v>
      </c>
      <c r="D14784" t="s">
        <v>51</v>
      </c>
      <c r="E14784" s="6">
        <v>-28182</v>
      </c>
      <c r="F14784" t="s">
        <v>585</v>
      </c>
      <c r="G14784" t="s">
        <v>63</v>
      </c>
      <c r="H14784" t="s">
        <v>20</v>
      </c>
      <c r="I14784" t="s">
        <v>28583</v>
      </c>
      <c r="J14784" t="str">
        <f>HYPERLINK("https://www.boe.es/gazeta/dias/1822/11/02/pdfs/GMD-1822-320.pdf#page=6","Abrir facsímil")</f>
        <v>Abrir facsímil</v>
      </c>
      <c r="K14784" t="s">
        <v>22</v>
      </c>
    </row>
    <row r="14785" spans="1:11" ht="42" customHeight="1">
      <c r="A14785" t="s">
        <v>28584</v>
      </c>
      <c r="B14785" t="s">
        <v>28584</v>
      </c>
      <c r="C14785" t="s">
        <v>50</v>
      </c>
      <c r="D14785" t="s">
        <v>51</v>
      </c>
      <c r="E14785" s="6">
        <v>-28223</v>
      </c>
      <c r="F14785" t="s">
        <v>2374</v>
      </c>
      <c r="G14785" t="s">
        <v>35</v>
      </c>
      <c r="H14785" t="s">
        <v>20</v>
      </c>
      <c r="I14785" t="s">
        <v>28585</v>
      </c>
      <c r="J14785" t="str">
        <f>HYPERLINK("https://www.boe.es/gazeta/dias/1822/09/22/pdfs/GMD-1822-278.pdf#page=2","Abrir facsímil")</f>
        <v>Abrir facsímil</v>
      </c>
      <c r="K14785" t="s">
        <v>22</v>
      </c>
    </row>
    <row r="14786" spans="1:11" ht="42" customHeight="1">
      <c r="A14786" t="s">
        <v>28584</v>
      </c>
      <c r="B14786" t="s">
        <v>28584</v>
      </c>
      <c r="C14786" t="s">
        <v>50</v>
      </c>
      <c r="D14786" t="s">
        <v>51</v>
      </c>
      <c r="E14786" s="6">
        <v>-28215</v>
      </c>
      <c r="F14786" t="s">
        <v>17483</v>
      </c>
      <c r="G14786" t="s">
        <v>35</v>
      </c>
      <c r="H14786" t="s">
        <v>20</v>
      </c>
      <c r="I14786" t="s">
        <v>28586</v>
      </c>
      <c r="J14786" t="str">
        <f>HYPERLINK("https://www.boe.es/gazeta/dias/1822/09/30/pdfs/GMD-1822-286.pdf#page=2","Abrir facsímil")</f>
        <v>Abrir facsímil</v>
      </c>
      <c r="K14786" t="s">
        <v>22</v>
      </c>
    </row>
    <row r="14787" spans="1:11" ht="42" customHeight="1">
      <c r="A14787" t="s">
        <v>28587</v>
      </c>
      <c r="B14787" t="s">
        <v>28588</v>
      </c>
      <c r="C14787" t="s">
        <v>50</v>
      </c>
      <c r="D14787" t="s">
        <v>51</v>
      </c>
      <c r="E14787" s="6">
        <v>-28469</v>
      </c>
      <c r="F14787" t="s">
        <v>1164</v>
      </c>
      <c r="G14787" t="s">
        <v>31</v>
      </c>
      <c r="H14787" t="s">
        <v>20</v>
      </c>
      <c r="I14787" t="s">
        <v>28589</v>
      </c>
      <c r="J14787" t="str">
        <f>HYPERLINK("https://www.boe.es/gazeta/dias/1822/01/19/pdfs/GMD-1822-19.pdf#page=3","Abrir facsímil")</f>
        <v>Abrir facsímil</v>
      </c>
      <c r="K14787" t="s">
        <v>22</v>
      </c>
    </row>
    <row r="14788" spans="1:11" ht="42" customHeight="1">
      <c r="A14788" t="s">
        <v>28590</v>
      </c>
      <c r="B14788" t="s">
        <v>28591</v>
      </c>
      <c r="C14788" t="s">
        <v>50</v>
      </c>
      <c r="D14788" t="s">
        <v>51</v>
      </c>
      <c r="E14788" s="6">
        <v>-28272</v>
      </c>
      <c r="F14788" t="s">
        <v>52</v>
      </c>
      <c r="G14788" t="s">
        <v>35</v>
      </c>
      <c r="H14788" t="s">
        <v>20</v>
      </c>
      <c r="I14788" t="s">
        <v>28592</v>
      </c>
      <c r="J14788" t="str">
        <f>HYPERLINK("https://www.boe.es/gazeta/dias/1822/08/04/pdfs/GMD-1822-228.pdf#page=2","Abrir facsímil")</f>
        <v>Abrir facsímil</v>
      </c>
      <c r="K14788" t="s">
        <v>22</v>
      </c>
    </row>
    <row r="14789" spans="1:11" ht="42" customHeight="1">
      <c r="A14789" t="s">
        <v>28593</v>
      </c>
      <c r="B14789" t="s">
        <v>28594</v>
      </c>
      <c r="C14789" t="s">
        <v>50</v>
      </c>
      <c r="D14789" t="s">
        <v>51</v>
      </c>
      <c r="E14789" s="6">
        <v>-28419</v>
      </c>
      <c r="F14789" t="s">
        <v>1392</v>
      </c>
      <c r="G14789" t="s">
        <v>57</v>
      </c>
      <c r="H14789" t="s">
        <v>20</v>
      </c>
      <c r="I14789" t="s">
        <v>28595</v>
      </c>
      <c r="J14789" t="str">
        <f>HYPERLINK("https://www.boe.es/gazeta/dias/1822/03/10/pdfs/GMD-1822-71.pdf#page=4","Abrir facsímil")</f>
        <v>Abrir facsímil</v>
      </c>
      <c r="K14789" t="s">
        <v>22</v>
      </c>
    </row>
    <row r="14790" spans="1:11" ht="42" customHeight="1">
      <c r="A14790" t="s">
        <v>28596</v>
      </c>
      <c r="B14790" t="s">
        <v>28597</v>
      </c>
      <c r="C14790" t="s">
        <v>50</v>
      </c>
      <c r="D14790" t="s">
        <v>51</v>
      </c>
      <c r="E14790" s="6">
        <v>-28213</v>
      </c>
      <c r="F14790" t="s">
        <v>558</v>
      </c>
      <c r="G14790" t="s">
        <v>35</v>
      </c>
      <c r="H14790" t="s">
        <v>20</v>
      </c>
      <c r="I14790" t="s">
        <v>28598</v>
      </c>
      <c r="J14790" t="str">
        <f>HYPERLINK("https://www.boe.es/gazeta/dias/1822/10/02/pdfs/GMD-1822-288.pdf#page=2","Abrir facsímil")</f>
        <v>Abrir facsímil</v>
      </c>
      <c r="K14790" t="s">
        <v>22</v>
      </c>
    </row>
    <row r="14791" spans="1:11" ht="42" customHeight="1">
      <c r="A14791" t="s">
        <v>28599</v>
      </c>
      <c r="B14791" t="s">
        <v>28600</v>
      </c>
      <c r="C14791" t="s">
        <v>42</v>
      </c>
      <c r="D14791" t="s">
        <v>17</v>
      </c>
      <c r="E14791" s="6">
        <v>-28213</v>
      </c>
      <c r="F14791" t="s">
        <v>558</v>
      </c>
      <c r="G14791" t="s">
        <v>57</v>
      </c>
      <c r="H14791" t="s">
        <v>20</v>
      </c>
      <c r="I14791" t="s">
        <v>28601</v>
      </c>
      <c r="J14791" t="str">
        <f>HYPERLINK("https://www.boe.es/gazeta/dias/1822/10/02/pdfs/GMD-1822-288.pdf#page=4","Abrir facsímil")</f>
        <v>Abrir facsímil</v>
      </c>
      <c r="K14791" t="s">
        <v>22</v>
      </c>
    </row>
    <row r="14792" spans="1:11" ht="42" customHeight="1">
      <c r="A14792" t="s">
        <v>28602</v>
      </c>
      <c r="B14792" t="s">
        <v>28603</v>
      </c>
      <c r="C14792" t="s">
        <v>50</v>
      </c>
      <c r="D14792" t="s">
        <v>51</v>
      </c>
      <c r="E14792" s="6">
        <v>-28235</v>
      </c>
      <c r="F14792" t="s">
        <v>1470</v>
      </c>
      <c r="G14792" t="s">
        <v>31</v>
      </c>
      <c r="H14792" t="s">
        <v>20</v>
      </c>
      <c r="I14792" t="s">
        <v>28604</v>
      </c>
      <c r="J14792" t="str">
        <f>HYPERLINK("https://www.boe.es/gazeta/dias/1822/09/10/pdfs/GMD-1822-266.pdf#page=3","Abrir facsímil")</f>
        <v>Abrir facsímil</v>
      </c>
      <c r="K14792" t="s">
        <v>22</v>
      </c>
    </row>
    <row r="14793" spans="1:11" ht="42" customHeight="1">
      <c r="A14793" t="s">
        <v>28605</v>
      </c>
      <c r="B14793" t="s">
        <v>28605</v>
      </c>
      <c r="C14793" t="s">
        <v>50</v>
      </c>
      <c r="D14793" t="s">
        <v>51</v>
      </c>
      <c r="E14793" s="6">
        <v>-28210</v>
      </c>
      <c r="F14793" t="s">
        <v>218</v>
      </c>
      <c r="G14793" t="s">
        <v>35</v>
      </c>
      <c r="H14793" t="s">
        <v>20</v>
      </c>
      <c r="I14793" t="s">
        <v>28606</v>
      </c>
      <c r="J14793" t="str">
        <f>HYPERLINK("https://www.boe.es/gazeta/dias/1822/10/05/pdfs/GMD-1822-291.pdf#page=2","Abrir facsímil")</f>
        <v>Abrir facsímil</v>
      </c>
      <c r="K14793" t="s">
        <v>22</v>
      </c>
    </row>
    <row r="14794" spans="1:11" ht="42" customHeight="1">
      <c r="A14794" t="s">
        <v>28607</v>
      </c>
      <c r="B14794" t="s">
        <v>28607</v>
      </c>
      <c r="C14794" t="s">
        <v>50</v>
      </c>
      <c r="D14794" t="s">
        <v>51</v>
      </c>
      <c r="E14794" s="6">
        <v>-28215</v>
      </c>
      <c r="F14794" t="s">
        <v>17483</v>
      </c>
      <c r="G14794" t="s">
        <v>35</v>
      </c>
      <c r="H14794" t="s">
        <v>20</v>
      </c>
      <c r="I14794" t="s">
        <v>28608</v>
      </c>
      <c r="J14794" t="str">
        <f>HYPERLINK("https://www.boe.es/gazeta/dias/1822/09/30/pdfs/GMD-1822-286.pdf#page=2","Abrir facsímil")</f>
        <v>Abrir facsímil</v>
      </c>
      <c r="K14794" t="s">
        <v>22</v>
      </c>
    </row>
    <row r="14795" spans="1:11" ht="42" customHeight="1">
      <c r="A14795" t="s">
        <v>28609</v>
      </c>
      <c r="B14795" t="s">
        <v>28610</v>
      </c>
      <c r="C14795" t="s">
        <v>50</v>
      </c>
      <c r="D14795" t="s">
        <v>51</v>
      </c>
      <c r="E14795" s="6">
        <v>-28190</v>
      </c>
      <c r="F14795" t="s">
        <v>576</v>
      </c>
      <c r="G14795" t="s">
        <v>63</v>
      </c>
      <c r="H14795" t="s">
        <v>20</v>
      </c>
      <c r="I14795" t="s">
        <v>28611</v>
      </c>
      <c r="J14795" t="str">
        <f>HYPERLINK("https://www.boe.es/gazeta/dias/1822/10/25/pdfs/GMD-1822-312.pdf#page=6","Abrir facsímil")</f>
        <v>Abrir facsímil</v>
      </c>
      <c r="K14795" t="s">
        <v>22</v>
      </c>
    </row>
    <row r="14796" spans="1:11" ht="42" customHeight="1">
      <c r="A14796" t="s">
        <v>28612</v>
      </c>
      <c r="B14796" t="s">
        <v>28613</v>
      </c>
      <c r="C14796" t="s">
        <v>50</v>
      </c>
      <c r="D14796" t="s">
        <v>51</v>
      </c>
      <c r="E14796" s="6">
        <v>-28127</v>
      </c>
      <c r="F14796" t="s">
        <v>409</v>
      </c>
      <c r="G14796" t="s">
        <v>5790</v>
      </c>
      <c r="H14796" t="s">
        <v>20</v>
      </c>
      <c r="I14796" t="s">
        <v>28614</v>
      </c>
      <c r="J14796" t="str">
        <f>HYPERLINK("https://www.boe.es/gazeta/dias/1822/12/27/pdfs/GMD-1822-377.pdf#page=6","Abrir facsímil")</f>
        <v>Abrir facsímil</v>
      </c>
      <c r="K14796" t="s">
        <v>22</v>
      </c>
    </row>
    <row r="14797" spans="1:11" ht="42" customHeight="1">
      <c r="A14797" t="s">
        <v>28615</v>
      </c>
      <c r="B14797" t="s">
        <v>28615</v>
      </c>
      <c r="C14797" t="s">
        <v>28</v>
      </c>
      <c r="D14797" t="s">
        <v>29</v>
      </c>
      <c r="E14797" s="6">
        <v>-28296</v>
      </c>
      <c r="F14797" t="s">
        <v>4121</v>
      </c>
      <c r="G14797" t="s">
        <v>57</v>
      </c>
      <c r="H14797" t="s">
        <v>20</v>
      </c>
      <c r="I14797" t="s">
        <v>28616</v>
      </c>
      <c r="J14797" t="str">
        <f>HYPERLINK("https://www.boe.es/gazeta/dias/1822/07/11/pdfs/GMD-1822-201.pdf#page=4","Abrir facsímil")</f>
        <v>Abrir facsímil</v>
      </c>
      <c r="K14797" t="s">
        <v>22</v>
      </c>
    </row>
    <row r="14798" spans="1:11" ht="42" customHeight="1">
      <c r="A14798" t="s">
        <v>28617</v>
      </c>
      <c r="B14798" t="s">
        <v>28618</v>
      </c>
      <c r="C14798" t="s">
        <v>50</v>
      </c>
      <c r="D14798" t="s">
        <v>51</v>
      </c>
      <c r="E14798" s="6">
        <v>-28220</v>
      </c>
      <c r="F14798" t="s">
        <v>1914</v>
      </c>
      <c r="G14798" t="s">
        <v>35</v>
      </c>
      <c r="H14798" t="s">
        <v>20</v>
      </c>
      <c r="I14798" t="s">
        <v>28619</v>
      </c>
      <c r="J14798" t="str">
        <f>HYPERLINK("https://www.boe.es/gazeta/dias/1822/09/25/pdfs/GMD-1822-281.pdf#page=2","Abrir facsímil")</f>
        <v>Abrir facsímil</v>
      </c>
      <c r="K14798" t="s">
        <v>22</v>
      </c>
    </row>
    <row r="14799" spans="1:11" ht="42" customHeight="1">
      <c r="A14799" t="s">
        <v>28620</v>
      </c>
      <c r="B14799" t="s">
        <v>28621</v>
      </c>
      <c r="C14799" t="s">
        <v>50</v>
      </c>
      <c r="D14799" t="s">
        <v>51</v>
      </c>
      <c r="E14799" s="6">
        <v>-28178</v>
      </c>
      <c r="F14799" t="s">
        <v>318</v>
      </c>
      <c r="G14799" t="s">
        <v>44</v>
      </c>
      <c r="H14799" t="s">
        <v>20</v>
      </c>
      <c r="I14799" t="s">
        <v>28622</v>
      </c>
      <c r="J14799" t="str">
        <f>HYPERLINK("https://www.boe.es/gazeta/dias/1822/11/06/pdfs/GMD-1822-326.pdf#page=1","Abrir facsímil")</f>
        <v>Abrir facsímil</v>
      </c>
      <c r="K14799" t="s">
        <v>22</v>
      </c>
    </row>
    <row r="14800" spans="1:11" ht="42" customHeight="1">
      <c r="A14800" t="s">
        <v>28623</v>
      </c>
      <c r="B14800" t="s">
        <v>28623</v>
      </c>
      <c r="C14800" t="s">
        <v>61</v>
      </c>
      <c r="D14800" t="s">
        <v>17</v>
      </c>
      <c r="E14800" s="6">
        <v>-28421</v>
      </c>
      <c r="F14800" t="s">
        <v>446</v>
      </c>
      <c r="G14800" t="s">
        <v>44</v>
      </c>
      <c r="H14800" t="s">
        <v>20</v>
      </c>
      <c r="I14800" t="s">
        <v>28624</v>
      </c>
      <c r="J14800" t="str">
        <f>HYPERLINK("https://www.boe.es/gazeta/dias/1822/03/08/pdfs/GMD-1822-69.pdf#page=1","Abrir facsímil")</f>
        <v>Abrir facsímil</v>
      </c>
      <c r="K14800" t="s">
        <v>22</v>
      </c>
    </row>
    <row r="14801" spans="1:11" ht="42" customHeight="1">
      <c r="A14801" t="s">
        <v>28625</v>
      </c>
      <c r="B14801" t="s">
        <v>28626</v>
      </c>
      <c r="C14801" t="s">
        <v>50</v>
      </c>
      <c r="D14801" t="s">
        <v>51</v>
      </c>
      <c r="E14801" s="6">
        <v>-28230</v>
      </c>
      <c r="F14801" t="s">
        <v>1735</v>
      </c>
      <c r="G14801" t="s">
        <v>31</v>
      </c>
      <c r="H14801" t="s">
        <v>20</v>
      </c>
      <c r="I14801" t="s">
        <v>28627</v>
      </c>
      <c r="J14801" t="str">
        <f>HYPERLINK("https://www.boe.es/gazeta/dias/1822/09/15/pdfs/GMD-1822-271.pdf#page=3","Abrir facsímil")</f>
        <v>Abrir facsímil</v>
      </c>
      <c r="K14801" t="s">
        <v>22</v>
      </c>
    </row>
    <row r="14802" spans="1:11" ht="42" customHeight="1">
      <c r="A14802" t="s">
        <v>28625</v>
      </c>
      <c r="B14802" t="s">
        <v>28626</v>
      </c>
      <c r="C14802" t="s">
        <v>24</v>
      </c>
      <c r="D14802" t="s">
        <v>17</v>
      </c>
      <c r="E14802" s="6">
        <v>-28200</v>
      </c>
      <c r="F14802" t="s">
        <v>1037</v>
      </c>
      <c r="G14802" t="s">
        <v>63</v>
      </c>
      <c r="H14802" t="s">
        <v>20</v>
      </c>
      <c r="I14802" t="s">
        <v>28628</v>
      </c>
      <c r="J14802" t="str">
        <f>HYPERLINK("https://www.boe.es/gazeta/dias/1822/10/15/pdfs/GMD-1822-302.pdf#page=6","Abrir facsímil")</f>
        <v>Abrir facsímil</v>
      </c>
      <c r="K14802" t="s">
        <v>22</v>
      </c>
    </row>
    <row r="14803" spans="1:11" ht="42" customHeight="1">
      <c r="A14803" t="s">
        <v>28629</v>
      </c>
      <c r="B14803" t="s">
        <v>28630</v>
      </c>
      <c r="C14803" t="s">
        <v>50</v>
      </c>
      <c r="D14803" t="s">
        <v>51</v>
      </c>
      <c r="E14803" s="6">
        <v>-28321</v>
      </c>
      <c r="F14803" t="s">
        <v>1142</v>
      </c>
      <c r="G14803" t="s">
        <v>63</v>
      </c>
      <c r="H14803" t="s">
        <v>20</v>
      </c>
      <c r="I14803" t="s">
        <v>28631</v>
      </c>
      <c r="J14803" t="str">
        <f>HYPERLINK("https://www.boe.es/gazeta/dias/1822/06/16/pdfs/GMD-1822-173.pdf#page=6","Abrir facsímil")</f>
        <v>Abrir facsímil</v>
      </c>
      <c r="K14803" t="s">
        <v>22</v>
      </c>
    </row>
    <row r="14804" spans="1:11" ht="42" customHeight="1">
      <c r="A14804" t="s">
        <v>28632</v>
      </c>
      <c r="B14804" t="s">
        <v>28633</v>
      </c>
      <c r="C14804" t="s">
        <v>50</v>
      </c>
      <c r="D14804" t="s">
        <v>51</v>
      </c>
      <c r="E14804" s="6">
        <v>-28318</v>
      </c>
      <c r="F14804" t="s">
        <v>397</v>
      </c>
      <c r="G14804" t="s">
        <v>157</v>
      </c>
      <c r="H14804" t="s">
        <v>20</v>
      </c>
      <c r="I14804" t="s">
        <v>28634</v>
      </c>
      <c r="J14804" t="str">
        <f>HYPERLINK("https://www.boe.es/gazeta/dias/1822/06/19/pdfs/GMD-1822-176.pdf#page=8","Abrir facsímil")</f>
        <v>Abrir facsímil</v>
      </c>
      <c r="K14804" t="s">
        <v>22</v>
      </c>
    </row>
    <row r="14805" spans="1:11" ht="42" customHeight="1">
      <c r="A14805" t="s">
        <v>28635</v>
      </c>
      <c r="B14805" t="s">
        <v>28636</v>
      </c>
      <c r="C14805" t="s">
        <v>50</v>
      </c>
      <c r="D14805" t="s">
        <v>51</v>
      </c>
      <c r="E14805" s="6">
        <v>-28154</v>
      </c>
      <c r="F14805" t="s">
        <v>2321</v>
      </c>
      <c r="G14805" t="s">
        <v>3913</v>
      </c>
      <c r="H14805" t="s">
        <v>20</v>
      </c>
      <c r="I14805" t="s">
        <v>28637</v>
      </c>
      <c r="J14805" t="str">
        <f>HYPERLINK("https://www.boe.es/gazeta/dias/1822/11/30/pdfs/GMD-1822-350.pdf#page=4","Abrir facsímil")</f>
        <v>Abrir facsímil</v>
      </c>
      <c r="K14805" t="s">
        <v>22</v>
      </c>
    </row>
    <row r="14806" spans="1:11" ht="42" customHeight="1">
      <c r="A14806" t="s">
        <v>28638</v>
      </c>
      <c r="B14806" t="s">
        <v>28638</v>
      </c>
      <c r="C14806" t="s">
        <v>50</v>
      </c>
      <c r="D14806" t="s">
        <v>51</v>
      </c>
      <c r="E14806" s="6">
        <v>-28386</v>
      </c>
      <c r="F14806" t="s">
        <v>2993</v>
      </c>
      <c r="G14806" t="s">
        <v>44</v>
      </c>
      <c r="H14806" t="s">
        <v>20</v>
      </c>
      <c r="I14806" t="s">
        <v>28639</v>
      </c>
      <c r="J14806" t="str">
        <f>HYPERLINK("https://www.boe.es/gazeta/dias/1822/04/12/pdfs/GMD-1822-104.pdf#page=1","Abrir facsímil")</f>
        <v>Abrir facsímil</v>
      </c>
      <c r="K14806" t="s">
        <v>22</v>
      </c>
    </row>
    <row r="14807" spans="1:11" ht="42" customHeight="1">
      <c r="A14807" t="s">
        <v>28640</v>
      </c>
      <c r="B14807" t="s">
        <v>28641</v>
      </c>
      <c r="C14807" t="s">
        <v>50</v>
      </c>
      <c r="D14807" t="s">
        <v>51</v>
      </c>
      <c r="E14807" s="6">
        <v>-28395</v>
      </c>
      <c r="F14807" t="s">
        <v>237</v>
      </c>
      <c r="G14807" t="s">
        <v>35</v>
      </c>
      <c r="H14807" t="s">
        <v>20</v>
      </c>
      <c r="I14807" t="s">
        <v>28642</v>
      </c>
      <c r="J14807" t="str">
        <f>HYPERLINK("https://www.boe.es/gazeta/dias/1822/04/03/pdfs/GMD-1822-95.pdf#page=2","Abrir facsímil")</f>
        <v>Abrir facsímil</v>
      </c>
      <c r="K14807" t="s">
        <v>22</v>
      </c>
    </row>
    <row r="14808" spans="1:11" ht="42" customHeight="1">
      <c r="A14808" t="s">
        <v>28643</v>
      </c>
      <c r="B14808" t="s">
        <v>28644</v>
      </c>
      <c r="C14808" t="s">
        <v>50</v>
      </c>
      <c r="D14808" t="s">
        <v>51</v>
      </c>
      <c r="E14808" s="6">
        <v>-28214</v>
      </c>
      <c r="F14808" t="s">
        <v>814</v>
      </c>
      <c r="G14808" t="s">
        <v>44</v>
      </c>
      <c r="H14808" t="s">
        <v>20</v>
      </c>
      <c r="I14808" t="s">
        <v>28645</v>
      </c>
      <c r="J14808" t="str">
        <f>HYPERLINK("https://www.boe.es/gazeta/dias/1822/10/01/pdfs/GMD-1822-287.pdf#page=1","Abrir facsímil")</f>
        <v>Abrir facsímil</v>
      </c>
      <c r="K14808" t="s">
        <v>22</v>
      </c>
    </row>
    <row r="14809" spans="1:11" ht="42" customHeight="1">
      <c r="A14809" t="s">
        <v>28646</v>
      </c>
      <c r="B14809" t="s">
        <v>28647</v>
      </c>
      <c r="C14809" t="s">
        <v>50</v>
      </c>
      <c r="D14809" t="s">
        <v>51</v>
      </c>
      <c r="E14809" s="6">
        <v>-28308</v>
      </c>
      <c r="F14809" t="s">
        <v>1050</v>
      </c>
      <c r="G14809" t="s">
        <v>35</v>
      </c>
      <c r="H14809" t="s">
        <v>20</v>
      </c>
      <c r="I14809" t="s">
        <v>28648</v>
      </c>
      <c r="J14809" t="str">
        <f>HYPERLINK("https://www.boe.es/gazeta/dias/1822/06/29/pdfs/GMD-1822-187.pdf#page=2","Abrir facsímil")</f>
        <v>Abrir facsímil</v>
      </c>
      <c r="K14809" t="s">
        <v>22</v>
      </c>
    </row>
    <row r="14810" spans="1:11" ht="42" customHeight="1">
      <c r="A14810" t="s">
        <v>28649</v>
      </c>
      <c r="B14810" t="s">
        <v>28650</v>
      </c>
      <c r="C14810" t="s">
        <v>50</v>
      </c>
      <c r="D14810" t="s">
        <v>51</v>
      </c>
      <c r="E14810" s="6">
        <v>-28150</v>
      </c>
      <c r="F14810" t="s">
        <v>62</v>
      </c>
      <c r="G14810" t="s">
        <v>63</v>
      </c>
      <c r="H14810" t="s">
        <v>20</v>
      </c>
      <c r="I14810" t="s">
        <v>28651</v>
      </c>
      <c r="J14810" t="str">
        <f>HYPERLINK("https://www.boe.es/gazeta/dias/1822/12/04/pdfs/GMD-1822-354.pdf#page=6","Abrir facsímil")</f>
        <v>Abrir facsímil</v>
      </c>
      <c r="K14810" t="s">
        <v>22</v>
      </c>
    </row>
    <row r="14811" spans="1:11" ht="42" customHeight="1">
      <c r="A14811" t="s">
        <v>28652</v>
      </c>
      <c r="B14811" t="s">
        <v>28653</v>
      </c>
      <c r="C14811" t="s">
        <v>50</v>
      </c>
      <c r="D14811" t="s">
        <v>51</v>
      </c>
      <c r="E14811" s="6">
        <v>-28349</v>
      </c>
      <c r="F14811" t="s">
        <v>518</v>
      </c>
      <c r="G14811" t="s">
        <v>57</v>
      </c>
      <c r="H14811" t="s">
        <v>20</v>
      </c>
      <c r="I14811" t="s">
        <v>28654</v>
      </c>
      <c r="J14811" t="str">
        <f>HYPERLINK("https://www.boe.es/gazeta/dias/1822/05/19/pdfs/GMD-1822-141.pdf#page=4","Abrir facsímil")</f>
        <v>Abrir facsímil</v>
      </c>
      <c r="K14811" t="s">
        <v>22</v>
      </c>
    </row>
    <row r="14812" spans="1:11" ht="42" customHeight="1">
      <c r="A14812" t="s">
        <v>28655</v>
      </c>
      <c r="B14812" t="s">
        <v>28656</v>
      </c>
      <c r="C14812" t="s">
        <v>50</v>
      </c>
      <c r="D14812" t="s">
        <v>723</v>
      </c>
      <c r="E14812" s="6">
        <v>-28181</v>
      </c>
      <c r="F14812" t="s">
        <v>724</v>
      </c>
      <c r="G14812" t="s">
        <v>44</v>
      </c>
      <c r="H14812" t="s">
        <v>20</v>
      </c>
      <c r="I14812" t="s">
        <v>28657</v>
      </c>
      <c r="J14812" t="str">
        <f>HYPERLINK("https://www.boe.es/gazeta/dias/1822/11/03/pdfs/GMD-1822-322E.pdf#page=1","Abrir facsímil")</f>
        <v>Abrir facsímil</v>
      </c>
      <c r="K14812" t="s">
        <v>22</v>
      </c>
    </row>
    <row r="14813" spans="1:11" ht="42" customHeight="1">
      <c r="A14813" t="s">
        <v>28658</v>
      </c>
      <c r="B14813" t="s">
        <v>28658</v>
      </c>
      <c r="C14813" t="s">
        <v>24</v>
      </c>
      <c r="D14813" t="s">
        <v>17</v>
      </c>
      <c r="E14813" s="6">
        <v>-28341</v>
      </c>
      <c r="F14813" t="s">
        <v>284</v>
      </c>
      <c r="G14813" t="s">
        <v>19</v>
      </c>
      <c r="H14813" t="s">
        <v>20</v>
      </c>
      <c r="I14813" t="s">
        <v>28659</v>
      </c>
      <c r="J14813" t="str">
        <f>HYPERLINK("https://www.boe.es/gazeta/dias/1822/05/27/pdfs/GMD-1822-152.pdf#page=5","Abrir facsímil")</f>
        <v>Abrir facsímil</v>
      </c>
      <c r="K14813" t="s">
        <v>22</v>
      </c>
    </row>
    <row r="14814" spans="1:11" ht="42" customHeight="1">
      <c r="A14814" t="s">
        <v>28660</v>
      </c>
      <c r="B14814" t="s">
        <v>28661</v>
      </c>
      <c r="C14814" t="s">
        <v>42</v>
      </c>
      <c r="D14814" t="s">
        <v>17</v>
      </c>
      <c r="E14814" s="6">
        <v>-28199</v>
      </c>
      <c r="F14814" t="s">
        <v>656</v>
      </c>
      <c r="G14814" t="s">
        <v>19</v>
      </c>
      <c r="H14814" t="s">
        <v>20</v>
      </c>
      <c r="I14814" t="s">
        <v>28662</v>
      </c>
      <c r="J14814" t="str">
        <f>HYPERLINK("https://www.boe.es/gazeta/dias/1822/10/16/pdfs/GMD-1822-303.pdf#page=5","Abrir facsímil")</f>
        <v>Abrir facsímil</v>
      </c>
      <c r="K14814" t="s">
        <v>22</v>
      </c>
    </row>
    <row r="14815" spans="1:11" ht="42" customHeight="1">
      <c r="A14815" t="s">
        <v>28663</v>
      </c>
      <c r="B14815" t="s">
        <v>28663</v>
      </c>
      <c r="C14815" t="s">
        <v>28</v>
      </c>
      <c r="D14815" t="s">
        <v>29</v>
      </c>
      <c r="E14815" s="6">
        <v>-28422</v>
      </c>
      <c r="F14815" t="s">
        <v>416</v>
      </c>
      <c r="G14815" t="s">
        <v>35</v>
      </c>
      <c r="H14815" t="s">
        <v>20</v>
      </c>
      <c r="I14815" t="s">
        <v>28664</v>
      </c>
      <c r="J14815" t="str">
        <f>HYPERLINK("https://www.boe.es/gazeta/dias/1822/03/07/pdfs/GMD-1822-68.pdf#page=2","Abrir facsímil")</f>
        <v>Abrir facsímil</v>
      </c>
      <c r="K14815" t="s">
        <v>22</v>
      </c>
    </row>
    <row r="14816" spans="1:11" ht="42" customHeight="1">
      <c r="A14816" t="s">
        <v>28665</v>
      </c>
      <c r="B14816" t="s">
        <v>28666</v>
      </c>
      <c r="C14816" t="s">
        <v>50</v>
      </c>
      <c r="D14816" t="s">
        <v>51</v>
      </c>
      <c r="E14816" s="6">
        <v>-28415</v>
      </c>
      <c r="F14816" t="s">
        <v>77</v>
      </c>
      <c r="G14816" t="s">
        <v>19</v>
      </c>
      <c r="H14816" t="s">
        <v>20</v>
      </c>
      <c r="I14816" t="s">
        <v>28667</v>
      </c>
      <c r="J14816" t="str">
        <f>HYPERLINK("https://www.boe.es/gazeta/dias/1822/03/14/pdfs/GMD-1822-75.pdf#page=5","Abrir facsímil")</f>
        <v>Abrir facsímil</v>
      </c>
      <c r="K14816" t="s">
        <v>22</v>
      </c>
    </row>
    <row r="14817" spans="1:11" ht="42" customHeight="1">
      <c r="A14817" t="s">
        <v>28668</v>
      </c>
      <c r="B14817" t="s">
        <v>28668</v>
      </c>
      <c r="C14817" t="s">
        <v>28</v>
      </c>
      <c r="D14817" t="s">
        <v>29</v>
      </c>
      <c r="E14817" s="6">
        <v>-28402</v>
      </c>
      <c r="F14817" t="s">
        <v>473</v>
      </c>
      <c r="G14817" t="s">
        <v>57</v>
      </c>
      <c r="H14817" t="s">
        <v>20</v>
      </c>
      <c r="I14817" t="s">
        <v>28669</v>
      </c>
      <c r="J14817" t="str">
        <f>HYPERLINK("https://www.boe.es/gazeta/dias/1822/03/27/pdfs/GMD-1822-88.pdf#page=4","Abrir facsímil")</f>
        <v>Abrir facsímil</v>
      </c>
      <c r="K14817" t="s">
        <v>22</v>
      </c>
    </row>
    <row r="14818" spans="1:11" ht="42" customHeight="1">
      <c r="A14818" t="s">
        <v>28670</v>
      </c>
      <c r="B14818" t="s">
        <v>28670</v>
      </c>
      <c r="C14818" t="s">
        <v>50</v>
      </c>
      <c r="D14818" t="s">
        <v>51</v>
      </c>
      <c r="E14818" s="6">
        <v>-28190</v>
      </c>
      <c r="F14818" t="s">
        <v>576</v>
      </c>
      <c r="G14818" t="s">
        <v>31</v>
      </c>
      <c r="H14818" t="s">
        <v>20</v>
      </c>
      <c r="I14818" t="s">
        <v>28671</v>
      </c>
      <c r="J14818" t="str">
        <f>HYPERLINK("https://www.boe.es/gazeta/dias/1822/10/25/pdfs/GMD-1822-312.pdf#page=3","Abrir facsímil")</f>
        <v>Abrir facsímil</v>
      </c>
      <c r="K14818" t="s">
        <v>22</v>
      </c>
    </row>
    <row r="14819" spans="1:11" ht="42" customHeight="1">
      <c r="A14819" t="s">
        <v>28672</v>
      </c>
      <c r="B14819" t="s">
        <v>28673</v>
      </c>
      <c r="C14819" t="s">
        <v>28</v>
      </c>
      <c r="D14819" t="s">
        <v>29</v>
      </c>
      <c r="E14819" s="6">
        <v>-28314</v>
      </c>
      <c r="F14819" t="s">
        <v>309</v>
      </c>
      <c r="G14819" t="s">
        <v>63</v>
      </c>
      <c r="H14819" t="s">
        <v>20</v>
      </c>
      <c r="I14819" t="s">
        <v>28674</v>
      </c>
      <c r="J14819" t="str">
        <f>HYPERLINK("https://www.boe.es/gazeta/dias/1822/06/23/pdfs/GMD-1822-181.pdf#page=6","Abrir facsímil")</f>
        <v>Abrir facsímil</v>
      </c>
      <c r="K14819" t="s">
        <v>22</v>
      </c>
    </row>
    <row r="14820" spans="1:11" ht="42" customHeight="1">
      <c r="A14820" t="s">
        <v>28675</v>
      </c>
      <c r="B14820" t="s">
        <v>28676</v>
      </c>
      <c r="C14820" t="s">
        <v>71</v>
      </c>
      <c r="D14820" t="s">
        <v>17</v>
      </c>
      <c r="E14820" s="6">
        <v>-28270</v>
      </c>
      <c r="F14820" t="s">
        <v>130</v>
      </c>
      <c r="G14820" t="s">
        <v>131</v>
      </c>
      <c r="H14820" t="s">
        <v>20</v>
      </c>
      <c r="I14820" t="s">
        <v>28677</v>
      </c>
      <c r="J14820" t="str">
        <f>HYPERLINK("https://www.boe.es/gazeta/dias/1822/08/06/pdfs/GMD-1822-230.pdf#page=6","Abrir facsímil")</f>
        <v>Abrir facsímil</v>
      </c>
      <c r="K14820" t="s">
        <v>22</v>
      </c>
    </row>
    <row r="14821" spans="1:11" ht="42" customHeight="1">
      <c r="A14821" t="s">
        <v>28678</v>
      </c>
      <c r="B14821" t="s">
        <v>28679</v>
      </c>
      <c r="C14821" t="s">
        <v>61</v>
      </c>
      <c r="D14821" t="s">
        <v>17</v>
      </c>
      <c r="E14821" s="6">
        <v>-28317</v>
      </c>
      <c r="F14821" t="s">
        <v>546</v>
      </c>
      <c r="G14821" t="s">
        <v>35</v>
      </c>
      <c r="H14821" t="s">
        <v>20</v>
      </c>
      <c r="I14821" t="s">
        <v>28680</v>
      </c>
      <c r="J14821" t="str">
        <f>HYPERLINK("https://www.boe.es/gazeta/dias/1822/06/20/pdfs/GMD-1822-177.pdf#page=2","Abrir facsímil")</f>
        <v>Abrir facsímil</v>
      </c>
      <c r="K14821" t="s">
        <v>22</v>
      </c>
    </row>
    <row r="14822" spans="1:11" ht="42" customHeight="1">
      <c r="A14822" t="s">
        <v>28681</v>
      </c>
      <c r="B14822" t="s">
        <v>28682</v>
      </c>
      <c r="C14822" t="s">
        <v>42</v>
      </c>
      <c r="D14822" t="s">
        <v>17</v>
      </c>
      <c r="E14822" s="6">
        <v>-28463</v>
      </c>
      <c r="F14822" t="s">
        <v>25</v>
      </c>
      <c r="G14822" t="s">
        <v>63</v>
      </c>
      <c r="H14822" t="s">
        <v>20</v>
      </c>
      <c r="I14822" t="s">
        <v>28683</v>
      </c>
      <c r="J14822" t="str">
        <f>HYPERLINK("https://www.boe.es/gazeta/dias/1822/01/25/pdfs/GMD-1822-25.pdf#page=6","Abrir facsímil")</f>
        <v>Abrir facsímil</v>
      </c>
      <c r="K14822" t="s">
        <v>22</v>
      </c>
    </row>
    <row r="14823" spans="1:11" ht="42" customHeight="1">
      <c r="A14823" t="s">
        <v>28684</v>
      </c>
      <c r="B14823" t="s">
        <v>28685</v>
      </c>
      <c r="C14823" t="s">
        <v>61</v>
      </c>
      <c r="D14823" t="s">
        <v>17</v>
      </c>
      <c r="E14823" s="6">
        <v>-28310</v>
      </c>
      <c r="F14823" t="s">
        <v>241</v>
      </c>
      <c r="G14823" t="s">
        <v>31</v>
      </c>
      <c r="H14823" t="s">
        <v>20</v>
      </c>
      <c r="I14823" t="s">
        <v>28686</v>
      </c>
      <c r="J14823" t="str">
        <f>HYPERLINK("https://www.boe.es/gazeta/dias/1822/06/27/pdfs/GMD-1822-185.pdf#page=3","Abrir facsímil")</f>
        <v>Abrir facsímil</v>
      </c>
      <c r="K14823" t="s">
        <v>22</v>
      </c>
    </row>
    <row r="14824" spans="1:11" ht="42" customHeight="1">
      <c r="A14824" t="s">
        <v>28687</v>
      </c>
      <c r="B14824" t="s">
        <v>28688</v>
      </c>
      <c r="C14824" t="s">
        <v>28</v>
      </c>
      <c r="D14824" t="s">
        <v>29</v>
      </c>
      <c r="E14824" s="6">
        <v>-28259</v>
      </c>
      <c r="F14824" t="s">
        <v>1912</v>
      </c>
      <c r="G14824" t="s">
        <v>57</v>
      </c>
      <c r="H14824" t="s">
        <v>20</v>
      </c>
      <c r="I14824" t="s">
        <v>28689</v>
      </c>
      <c r="J14824" t="str">
        <f>HYPERLINK("https://www.boe.es/gazeta/dias/1822/08/17/pdfs/GMD-1822-241.pdf#page=4","Abrir facsímil")</f>
        <v>Abrir facsímil</v>
      </c>
      <c r="K14824" t="s">
        <v>22</v>
      </c>
    </row>
    <row r="14825" spans="1:11" ht="42" customHeight="1">
      <c r="A14825" t="s">
        <v>28690</v>
      </c>
      <c r="B14825" t="s">
        <v>28691</v>
      </c>
      <c r="C14825" t="s">
        <v>28</v>
      </c>
      <c r="D14825" t="s">
        <v>29</v>
      </c>
      <c r="E14825" s="6">
        <v>-28477</v>
      </c>
      <c r="F14825" t="s">
        <v>1668</v>
      </c>
      <c r="G14825" t="s">
        <v>63</v>
      </c>
      <c r="H14825" t="s">
        <v>20</v>
      </c>
      <c r="I14825" t="s">
        <v>28692</v>
      </c>
      <c r="J14825" t="str">
        <f>HYPERLINK("https://www.boe.es/gazeta/dias/1822/01/11/pdfs/GMD-1822-11.pdf#page=6","Abrir facsímil")</f>
        <v>Abrir facsímil</v>
      </c>
      <c r="K14825" t="s">
        <v>22</v>
      </c>
    </row>
    <row r="14826" spans="1:11" ht="42" customHeight="1">
      <c r="A14826" t="s">
        <v>28693</v>
      </c>
      <c r="B14826" t="s">
        <v>28694</v>
      </c>
      <c r="C14826" t="s">
        <v>50</v>
      </c>
      <c r="D14826" t="s">
        <v>51</v>
      </c>
      <c r="E14826" s="6">
        <v>-28363</v>
      </c>
      <c r="F14826" t="s">
        <v>72</v>
      </c>
      <c r="G14826" t="s">
        <v>31</v>
      </c>
      <c r="H14826" t="s">
        <v>20</v>
      </c>
      <c r="I14826" t="s">
        <v>28695</v>
      </c>
      <c r="J14826" t="str">
        <f>HYPERLINK("https://www.boe.es/gazeta/dias/1822/05/05/pdfs/GMD-1822-127.pdf#page=3","Abrir facsímil")</f>
        <v>Abrir facsímil</v>
      </c>
      <c r="K14826" t="s">
        <v>22</v>
      </c>
    </row>
    <row r="14827" spans="1:11" ht="42" customHeight="1">
      <c r="A14827" t="s">
        <v>28696</v>
      </c>
      <c r="B14827" t="s">
        <v>28696</v>
      </c>
      <c r="C14827" t="s">
        <v>42</v>
      </c>
      <c r="D14827" t="s">
        <v>17</v>
      </c>
      <c r="E14827" s="6">
        <v>-28191</v>
      </c>
      <c r="F14827" t="s">
        <v>710</v>
      </c>
      <c r="G14827" t="s">
        <v>57</v>
      </c>
      <c r="H14827" t="s">
        <v>20</v>
      </c>
      <c r="I14827" t="s">
        <v>28697</v>
      </c>
      <c r="J14827" t="str">
        <f>HYPERLINK("https://www.boe.es/gazeta/dias/1822/10/24/pdfs/GMD-1822-311.pdf#page=4","Abrir facsímil")</f>
        <v>Abrir facsímil</v>
      </c>
      <c r="K14827" t="s">
        <v>22</v>
      </c>
    </row>
    <row r="14828" spans="1:11" ht="42" customHeight="1">
      <c r="A14828" t="s">
        <v>28698</v>
      </c>
      <c r="B14828" t="s">
        <v>28699</v>
      </c>
      <c r="C14828" t="s">
        <v>42</v>
      </c>
      <c r="D14828" t="s">
        <v>17</v>
      </c>
      <c r="E14828" s="6">
        <v>-28342</v>
      </c>
      <c r="F14828" t="s">
        <v>2281</v>
      </c>
      <c r="G14828" t="s">
        <v>35</v>
      </c>
      <c r="H14828" t="s">
        <v>20</v>
      </c>
      <c r="I14828" t="s">
        <v>28700</v>
      </c>
      <c r="J14828" t="str">
        <f>HYPERLINK("https://www.boe.es/gazeta/dias/1822/05/26/pdfs/GMD-1822-151.pdf#page=2","Abrir facsímil")</f>
        <v>Abrir facsímil</v>
      </c>
      <c r="K14828" t="s">
        <v>22</v>
      </c>
    </row>
    <row r="14829" spans="1:11" ht="42" customHeight="1">
      <c r="A14829" t="s">
        <v>28701</v>
      </c>
      <c r="B14829" t="s">
        <v>28701</v>
      </c>
      <c r="C14829" t="s">
        <v>50</v>
      </c>
      <c r="D14829" t="s">
        <v>51</v>
      </c>
      <c r="E14829" s="6">
        <v>-28422</v>
      </c>
      <c r="F14829" t="s">
        <v>416</v>
      </c>
      <c r="G14829" t="s">
        <v>35</v>
      </c>
      <c r="H14829" t="s">
        <v>20</v>
      </c>
      <c r="I14829" t="s">
        <v>28702</v>
      </c>
      <c r="J14829" t="str">
        <f>HYPERLINK("https://www.boe.es/gazeta/dias/1822/03/07/pdfs/GMD-1822-68.pdf#page=2","Abrir facsímil")</f>
        <v>Abrir facsímil</v>
      </c>
      <c r="K14829" t="s">
        <v>22</v>
      </c>
    </row>
    <row r="14830" spans="1:11" ht="42" customHeight="1">
      <c r="A14830" t="s">
        <v>28701</v>
      </c>
      <c r="B14830" t="s">
        <v>28701</v>
      </c>
      <c r="C14830" t="s">
        <v>16</v>
      </c>
      <c r="D14830" t="s">
        <v>17</v>
      </c>
      <c r="E14830" s="6">
        <v>-28399</v>
      </c>
      <c r="F14830" t="s">
        <v>476</v>
      </c>
      <c r="G14830" t="s">
        <v>31</v>
      </c>
      <c r="H14830" t="s">
        <v>20</v>
      </c>
      <c r="I14830" t="s">
        <v>28703</v>
      </c>
      <c r="J14830" t="str">
        <f>HYPERLINK("https://www.boe.es/gazeta/dias/1822/03/30/pdfs/GMD-1822-91.pdf#page=3","Abrir facsímil")</f>
        <v>Abrir facsímil</v>
      </c>
      <c r="K14830" t="s">
        <v>22</v>
      </c>
    </row>
    <row r="14831" spans="1:11" ht="42" customHeight="1">
      <c r="A14831" t="s">
        <v>28704</v>
      </c>
      <c r="B14831" t="s">
        <v>28705</v>
      </c>
      <c r="C14831" t="s">
        <v>50</v>
      </c>
      <c r="D14831" t="s">
        <v>51</v>
      </c>
      <c r="E14831" s="6">
        <v>-28367</v>
      </c>
      <c r="F14831" t="s">
        <v>280</v>
      </c>
      <c r="G14831" t="s">
        <v>44</v>
      </c>
      <c r="H14831" t="s">
        <v>20</v>
      </c>
      <c r="I14831" t="s">
        <v>28706</v>
      </c>
      <c r="J14831" t="str">
        <f>HYPERLINK("https://www.boe.es/gazeta/dias/1822/05/01/pdfs/GMD-1822-123.pdf#page=1","Abrir facsímil")</f>
        <v>Abrir facsímil</v>
      </c>
      <c r="K14831" t="s">
        <v>22</v>
      </c>
    </row>
    <row r="14832" spans="1:11" ht="42" customHeight="1">
      <c r="A14832" t="s">
        <v>28707</v>
      </c>
      <c r="B14832" t="s">
        <v>28707</v>
      </c>
      <c r="C14832" t="s">
        <v>42</v>
      </c>
      <c r="D14832" t="s">
        <v>17</v>
      </c>
      <c r="E14832" s="6">
        <v>-28395</v>
      </c>
      <c r="F14832" t="s">
        <v>237</v>
      </c>
      <c r="G14832" t="s">
        <v>35</v>
      </c>
      <c r="H14832" t="s">
        <v>20</v>
      </c>
      <c r="I14832" t="s">
        <v>28708</v>
      </c>
      <c r="J14832" t="str">
        <f>HYPERLINK("https://www.boe.es/gazeta/dias/1822/04/03/pdfs/GMD-1822-95.pdf#page=2","Abrir facsímil")</f>
        <v>Abrir facsímil</v>
      </c>
      <c r="K14832" t="s">
        <v>22</v>
      </c>
    </row>
    <row r="14833" spans="1:11" ht="42" customHeight="1">
      <c r="A14833" t="s">
        <v>28709</v>
      </c>
      <c r="B14833" t="s">
        <v>28710</v>
      </c>
      <c r="C14833" t="s">
        <v>50</v>
      </c>
      <c r="D14833" t="s">
        <v>51</v>
      </c>
      <c r="E14833" s="6">
        <v>-28146</v>
      </c>
      <c r="F14833" t="s">
        <v>180</v>
      </c>
      <c r="G14833" t="s">
        <v>57</v>
      </c>
      <c r="H14833" t="s">
        <v>20</v>
      </c>
      <c r="I14833" t="s">
        <v>28711</v>
      </c>
      <c r="J14833" t="str">
        <f>HYPERLINK("https://www.boe.es/gazeta/dias/1822/12/08/pdfs/GMD-1822-358.pdf#page=4","Abrir facsímil")</f>
        <v>Abrir facsímil</v>
      </c>
      <c r="K14833" t="s">
        <v>22</v>
      </c>
    </row>
    <row r="14834" spans="1:11" ht="42" customHeight="1">
      <c r="A14834" t="s">
        <v>28712</v>
      </c>
      <c r="B14834" t="s">
        <v>28712</v>
      </c>
      <c r="C14834" t="s">
        <v>71</v>
      </c>
      <c r="D14834" t="s">
        <v>17</v>
      </c>
      <c r="E14834" s="6">
        <v>-28481</v>
      </c>
      <c r="F14834" t="s">
        <v>1089</v>
      </c>
      <c r="G14834" t="s">
        <v>35</v>
      </c>
      <c r="H14834" t="s">
        <v>20</v>
      </c>
      <c r="I14834" t="s">
        <v>28713</v>
      </c>
      <c r="J14834" t="str">
        <f>HYPERLINK("https://www.boe.es/gazeta/dias/1822/01/07/pdfs/GMD-1822-7.pdf#page=2","Abrir facsímil")</f>
        <v>Abrir facsímil</v>
      </c>
      <c r="K14834" t="s">
        <v>22</v>
      </c>
    </row>
    <row r="14835" spans="1:11" ht="42" customHeight="1">
      <c r="A14835" t="s">
        <v>28712</v>
      </c>
      <c r="B14835" t="s">
        <v>28712</v>
      </c>
      <c r="C14835" t="s">
        <v>50</v>
      </c>
      <c r="D14835" t="s">
        <v>51</v>
      </c>
      <c r="E14835" s="6">
        <v>-28322</v>
      </c>
      <c r="F14835" t="s">
        <v>2205</v>
      </c>
      <c r="G14835" t="s">
        <v>57</v>
      </c>
      <c r="H14835" t="s">
        <v>20</v>
      </c>
      <c r="I14835" t="s">
        <v>28714</v>
      </c>
      <c r="J14835" t="str">
        <f>HYPERLINK("https://www.boe.es/gazeta/dias/1822/06/15/pdfs/GMD-1822-172.pdf#page=4","Abrir facsímil")</f>
        <v>Abrir facsímil</v>
      </c>
      <c r="K14835" t="s">
        <v>22</v>
      </c>
    </row>
    <row r="14836" spans="1:11" ht="42" customHeight="1">
      <c r="A14836" t="s">
        <v>28712</v>
      </c>
      <c r="B14836" t="s">
        <v>28712</v>
      </c>
      <c r="C14836" t="s">
        <v>50</v>
      </c>
      <c r="D14836" t="s">
        <v>51</v>
      </c>
      <c r="E14836" s="6">
        <v>-28256</v>
      </c>
      <c r="F14836" t="s">
        <v>1949</v>
      </c>
      <c r="G14836" t="s">
        <v>44</v>
      </c>
      <c r="H14836" t="s">
        <v>20</v>
      </c>
      <c r="I14836" t="s">
        <v>28715</v>
      </c>
      <c r="J14836" t="str">
        <f>HYPERLINK("https://www.boe.es/gazeta/dias/1822/08/20/pdfs/GMD-1822-244.pdf#page=1","Abrir facsímil")</f>
        <v>Abrir facsímil</v>
      </c>
      <c r="K14836" t="s">
        <v>22</v>
      </c>
    </row>
    <row r="14837" spans="1:11" ht="42" customHeight="1">
      <c r="A14837" t="s">
        <v>28716</v>
      </c>
      <c r="B14837" t="s">
        <v>28717</v>
      </c>
      <c r="C14837" t="s">
        <v>42</v>
      </c>
      <c r="D14837" t="s">
        <v>17</v>
      </c>
      <c r="E14837" s="6">
        <v>-28258</v>
      </c>
      <c r="F14837" t="s">
        <v>88</v>
      </c>
      <c r="G14837" t="s">
        <v>31</v>
      </c>
      <c r="H14837" t="s">
        <v>20</v>
      </c>
      <c r="I14837" t="s">
        <v>28718</v>
      </c>
      <c r="J14837" t="str">
        <f>HYPERLINK("https://www.boe.es/gazeta/dias/1822/08/18/pdfs/GMD-1822-242.pdf#page=3","Abrir facsímil")</f>
        <v>Abrir facsímil</v>
      </c>
      <c r="K14837" t="s">
        <v>22</v>
      </c>
    </row>
    <row r="14838" spans="1:11" ht="42" customHeight="1">
      <c r="A14838" t="s">
        <v>28719</v>
      </c>
      <c r="B14838" t="s">
        <v>28720</v>
      </c>
      <c r="C14838" t="s">
        <v>42</v>
      </c>
      <c r="D14838" t="s">
        <v>17</v>
      </c>
      <c r="E14838" s="6">
        <v>-28158</v>
      </c>
      <c r="F14838" t="s">
        <v>590</v>
      </c>
      <c r="G14838" t="s">
        <v>63</v>
      </c>
      <c r="H14838" t="s">
        <v>20</v>
      </c>
      <c r="I14838" t="s">
        <v>28721</v>
      </c>
      <c r="J14838" t="str">
        <f>HYPERLINK("https://www.boe.es/gazeta/dias/1822/11/26/pdfs/GMD-1822-346.pdf#page=6","Abrir facsímil")</f>
        <v>Abrir facsímil</v>
      </c>
      <c r="K14838" t="s">
        <v>22</v>
      </c>
    </row>
    <row r="14839" spans="1:11" ht="42" customHeight="1">
      <c r="A14839" t="s">
        <v>28722</v>
      </c>
      <c r="B14839" t="s">
        <v>28723</v>
      </c>
      <c r="C14839" t="s">
        <v>71</v>
      </c>
      <c r="D14839" t="s">
        <v>17</v>
      </c>
      <c r="E14839" s="6">
        <v>-28391</v>
      </c>
      <c r="F14839" t="s">
        <v>378</v>
      </c>
      <c r="G14839" t="s">
        <v>19</v>
      </c>
      <c r="H14839" t="s">
        <v>20</v>
      </c>
      <c r="I14839" t="s">
        <v>28724</v>
      </c>
      <c r="J14839" t="str">
        <f>HYPERLINK("https://www.boe.es/gazeta/dias/1822/04/07/pdfs/GMD-1822-99.pdf#page=5","Abrir facsímil")</f>
        <v>Abrir facsímil</v>
      </c>
      <c r="K14839" t="s">
        <v>22</v>
      </c>
    </row>
    <row r="14840" spans="1:11" ht="42" customHeight="1">
      <c r="A14840" t="s">
        <v>28725</v>
      </c>
      <c r="B14840" t="s">
        <v>28726</v>
      </c>
      <c r="C14840" t="s">
        <v>61</v>
      </c>
      <c r="D14840" t="s">
        <v>17</v>
      </c>
      <c r="E14840" s="6">
        <v>-28232</v>
      </c>
      <c r="F14840" t="s">
        <v>3875</v>
      </c>
      <c r="G14840" t="s">
        <v>35</v>
      </c>
      <c r="H14840" t="s">
        <v>20</v>
      </c>
      <c r="I14840" t="s">
        <v>28727</v>
      </c>
      <c r="J14840" t="str">
        <f>HYPERLINK("https://www.boe.es/gazeta/dias/1822/09/13/pdfs/GMD-1822-269.pdf#page=2","Abrir facsímil")</f>
        <v>Abrir facsímil</v>
      </c>
      <c r="K14840" t="s">
        <v>22</v>
      </c>
    </row>
    <row r="14841" spans="1:11" ht="42" customHeight="1">
      <c r="A14841" t="s">
        <v>28728</v>
      </c>
      <c r="B14841" t="s">
        <v>28728</v>
      </c>
      <c r="C14841" t="s">
        <v>42</v>
      </c>
      <c r="D14841" t="s">
        <v>17</v>
      </c>
      <c r="E14841" s="6">
        <v>-28155</v>
      </c>
      <c r="F14841" t="s">
        <v>833</v>
      </c>
      <c r="G14841" t="s">
        <v>31</v>
      </c>
      <c r="H14841" t="s">
        <v>20</v>
      </c>
      <c r="I14841" t="s">
        <v>28729</v>
      </c>
      <c r="J14841" t="str">
        <f>HYPERLINK("https://www.boe.es/gazeta/dias/1822/11/29/pdfs/GMD-1822-349.pdf#page=3","Abrir facsímil")</f>
        <v>Abrir facsímil</v>
      </c>
      <c r="K14841" t="s">
        <v>22</v>
      </c>
    </row>
    <row r="14842" spans="1:11" ht="42" customHeight="1">
      <c r="A14842" t="s">
        <v>28730</v>
      </c>
      <c r="B14842" t="s">
        <v>28731</v>
      </c>
      <c r="C14842" t="s">
        <v>24</v>
      </c>
      <c r="D14842" t="s">
        <v>17</v>
      </c>
      <c r="E14842" s="6">
        <v>-28313</v>
      </c>
      <c r="F14842" t="s">
        <v>315</v>
      </c>
      <c r="G14842" t="s">
        <v>157</v>
      </c>
      <c r="H14842" t="s">
        <v>20</v>
      </c>
      <c r="I14842" t="s">
        <v>28732</v>
      </c>
      <c r="J14842" t="str">
        <f>HYPERLINK("https://www.boe.es/gazeta/dias/1822/06/24/pdfs/GMD-1822-182.pdf#page=8","Abrir facsímil")</f>
        <v>Abrir facsímil</v>
      </c>
      <c r="K14842" t="s">
        <v>22</v>
      </c>
    </row>
    <row r="14843" spans="1:11" ht="42" customHeight="1">
      <c r="A14843" t="s">
        <v>28733</v>
      </c>
      <c r="B14843" t="s">
        <v>28734</v>
      </c>
      <c r="C14843" t="s">
        <v>28</v>
      </c>
      <c r="D14843" t="s">
        <v>29</v>
      </c>
      <c r="E14843" s="6">
        <v>-28436</v>
      </c>
      <c r="F14843" t="s">
        <v>431</v>
      </c>
      <c r="G14843" t="s">
        <v>57</v>
      </c>
      <c r="H14843" t="s">
        <v>20</v>
      </c>
      <c r="I14843" t="s">
        <v>28735</v>
      </c>
      <c r="J14843" t="str">
        <f>HYPERLINK("https://www.boe.es/gazeta/dias/1822/02/21/pdfs/GMD-1822-53.pdf#page=4","Abrir facsímil")</f>
        <v>Abrir facsímil</v>
      </c>
      <c r="K14843" t="s">
        <v>22</v>
      </c>
    </row>
    <row r="14844" spans="1:11" ht="42" customHeight="1">
      <c r="A14844" t="s">
        <v>28736</v>
      </c>
      <c r="B14844" t="s">
        <v>28736</v>
      </c>
      <c r="C14844" t="s">
        <v>42</v>
      </c>
      <c r="D14844" t="s">
        <v>17</v>
      </c>
      <c r="E14844" s="6">
        <v>-28421</v>
      </c>
      <c r="F14844" t="s">
        <v>446</v>
      </c>
      <c r="G14844" t="s">
        <v>31</v>
      </c>
      <c r="H14844" t="s">
        <v>20</v>
      </c>
      <c r="I14844" t="s">
        <v>28737</v>
      </c>
      <c r="J14844" t="str">
        <f>HYPERLINK("https://www.boe.es/gazeta/dias/1822/03/08/pdfs/GMD-1822-69.pdf#page=3","Abrir facsímil")</f>
        <v>Abrir facsímil</v>
      </c>
      <c r="K14844" t="s">
        <v>22</v>
      </c>
    </row>
    <row r="14845" spans="1:11" ht="42" customHeight="1">
      <c r="A14845" t="s">
        <v>28736</v>
      </c>
      <c r="B14845" t="s">
        <v>28736</v>
      </c>
      <c r="C14845" t="s">
        <v>16</v>
      </c>
      <c r="D14845" t="s">
        <v>17</v>
      </c>
      <c r="E14845" s="6">
        <v>-28380</v>
      </c>
      <c r="F14845" t="s">
        <v>492</v>
      </c>
      <c r="G14845" t="s">
        <v>19</v>
      </c>
      <c r="H14845" t="s">
        <v>20</v>
      </c>
      <c r="I14845" t="s">
        <v>28738</v>
      </c>
      <c r="J14845" t="str">
        <f>HYPERLINK("https://www.boe.es/gazeta/dias/1822/04/18/pdfs/GMD-1822-110.pdf#page=5","Abrir facsímil")</f>
        <v>Abrir facsímil</v>
      </c>
      <c r="K14845" t="s">
        <v>22</v>
      </c>
    </row>
    <row r="14846" spans="1:11" ht="42" customHeight="1">
      <c r="A14846" t="s">
        <v>28736</v>
      </c>
      <c r="B14846" t="s">
        <v>28736</v>
      </c>
      <c r="C14846" t="s">
        <v>50</v>
      </c>
      <c r="D14846" t="s">
        <v>51</v>
      </c>
      <c r="E14846" s="6">
        <v>-28379</v>
      </c>
      <c r="F14846" t="s">
        <v>494</v>
      </c>
      <c r="G14846" t="s">
        <v>57</v>
      </c>
      <c r="H14846" t="s">
        <v>20</v>
      </c>
      <c r="I14846" t="s">
        <v>28739</v>
      </c>
      <c r="J14846" t="str">
        <f>HYPERLINK("https://www.boe.es/gazeta/dias/1822/04/19/pdfs/GMD-1822-111.pdf#page=4","Abrir facsímil")</f>
        <v>Abrir facsímil</v>
      </c>
      <c r="K14846" t="s">
        <v>22</v>
      </c>
    </row>
    <row r="14847" spans="1:11" ht="42" customHeight="1">
      <c r="A14847" t="s">
        <v>28740</v>
      </c>
      <c r="B14847" t="s">
        <v>28740</v>
      </c>
      <c r="C14847" t="s">
        <v>71</v>
      </c>
      <c r="D14847" t="s">
        <v>17</v>
      </c>
      <c r="E14847" s="6">
        <v>-28362</v>
      </c>
      <c r="F14847" t="s">
        <v>511</v>
      </c>
      <c r="G14847" t="s">
        <v>19</v>
      </c>
      <c r="H14847" t="s">
        <v>20</v>
      </c>
      <c r="I14847" t="s">
        <v>28741</v>
      </c>
      <c r="J14847" t="str">
        <f>HYPERLINK("https://www.boe.es/gazeta/dias/1822/05/06/pdfs/GMD-1822-128.pdf#page=5","Abrir facsímil")</f>
        <v>Abrir facsímil</v>
      </c>
      <c r="K14847" t="s">
        <v>22</v>
      </c>
    </row>
    <row r="14848" spans="1:11" ht="42" customHeight="1">
      <c r="A14848" t="s">
        <v>28736</v>
      </c>
      <c r="B14848" t="s">
        <v>28736</v>
      </c>
      <c r="C14848" t="s">
        <v>28</v>
      </c>
      <c r="D14848" t="s">
        <v>29</v>
      </c>
      <c r="E14848" s="6">
        <v>-28190</v>
      </c>
      <c r="F14848" t="s">
        <v>576</v>
      </c>
      <c r="G14848" t="s">
        <v>44</v>
      </c>
      <c r="H14848" t="s">
        <v>20</v>
      </c>
      <c r="I14848" t="s">
        <v>28742</v>
      </c>
      <c r="J14848" t="str">
        <f>HYPERLINK("https://www.boe.es/gazeta/dias/1822/10/25/pdfs/GMD-1822-312.pdf#page=1","Abrir facsímil")</f>
        <v>Abrir facsímil</v>
      </c>
      <c r="K14848" t="s">
        <v>22</v>
      </c>
    </row>
    <row r="14849" spans="1:11" ht="42" customHeight="1">
      <c r="A14849" t="s">
        <v>28736</v>
      </c>
      <c r="B14849" t="s">
        <v>28736</v>
      </c>
      <c r="C14849" t="s">
        <v>71</v>
      </c>
      <c r="D14849" t="s">
        <v>17</v>
      </c>
      <c r="E14849" s="6">
        <v>-28190</v>
      </c>
      <c r="F14849" t="s">
        <v>576</v>
      </c>
      <c r="G14849" t="s">
        <v>31</v>
      </c>
      <c r="H14849" t="s">
        <v>20</v>
      </c>
      <c r="I14849" t="s">
        <v>28743</v>
      </c>
      <c r="J14849" t="str">
        <f>HYPERLINK("https://www.boe.es/gazeta/dias/1822/10/25/pdfs/GMD-1822-312.pdf#page=3","Abrir facsímil")</f>
        <v>Abrir facsímil</v>
      </c>
      <c r="K14849" t="s">
        <v>22</v>
      </c>
    </row>
    <row r="14850" spans="1:11" ht="42" customHeight="1">
      <c r="A14850" t="s">
        <v>28736</v>
      </c>
      <c r="B14850" t="s">
        <v>28736</v>
      </c>
      <c r="C14850" t="s">
        <v>61</v>
      </c>
      <c r="D14850" t="s">
        <v>17</v>
      </c>
      <c r="E14850" s="6">
        <v>-28176</v>
      </c>
      <c r="F14850" t="s">
        <v>780</v>
      </c>
      <c r="G14850" t="s">
        <v>44</v>
      </c>
      <c r="H14850" t="s">
        <v>20</v>
      </c>
      <c r="I14850" t="s">
        <v>28744</v>
      </c>
      <c r="J14850" t="str">
        <f>HYPERLINK("https://www.boe.es/gazeta/dias/1822/11/08/pdfs/GMD-1822-328.pdf#page=1","Abrir facsímil")</f>
        <v>Abrir facsímil</v>
      </c>
      <c r="K14850" t="s">
        <v>22</v>
      </c>
    </row>
    <row r="14851" spans="1:11" ht="42" customHeight="1">
      <c r="A14851" t="s">
        <v>28736</v>
      </c>
      <c r="B14851" t="s">
        <v>28736</v>
      </c>
      <c r="C14851" t="s">
        <v>28</v>
      </c>
      <c r="D14851" t="s">
        <v>29</v>
      </c>
      <c r="E14851" s="6">
        <v>-28176</v>
      </c>
      <c r="F14851" t="s">
        <v>780</v>
      </c>
      <c r="G14851" t="s">
        <v>35</v>
      </c>
      <c r="H14851" t="s">
        <v>20</v>
      </c>
      <c r="I14851" t="s">
        <v>28745</v>
      </c>
      <c r="J14851" t="str">
        <f>HYPERLINK("https://www.boe.es/gazeta/dias/1822/11/08/pdfs/GMD-1822-328.pdf#page=2","Abrir facsímil")</f>
        <v>Abrir facsímil</v>
      </c>
      <c r="K14851" t="s">
        <v>22</v>
      </c>
    </row>
    <row r="14852" spans="1:11" ht="42" customHeight="1">
      <c r="A14852" t="s">
        <v>28736</v>
      </c>
      <c r="B14852" t="s">
        <v>28736</v>
      </c>
      <c r="C14852" t="s">
        <v>50</v>
      </c>
      <c r="D14852" t="s">
        <v>51</v>
      </c>
      <c r="E14852" s="6">
        <v>-28155</v>
      </c>
      <c r="F14852" t="s">
        <v>833</v>
      </c>
      <c r="G14852" t="s">
        <v>31</v>
      </c>
      <c r="H14852" t="s">
        <v>20</v>
      </c>
      <c r="I14852" t="s">
        <v>28746</v>
      </c>
      <c r="J14852" t="str">
        <f>HYPERLINK("https://www.boe.es/gazeta/dias/1822/11/29/pdfs/GMD-1822-349.pdf#page=3","Abrir facsímil")</f>
        <v>Abrir facsímil</v>
      </c>
      <c r="K14852" t="s">
        <v>22</v>
      </c>
    </row>
    <row r="14853" spans="1:11" ht="42" customHeight="1">
      <c r="A14853" t="s">
        <v>28747</v>
      </c>
      <c r="B14853" t="s">
        <v>28748</v>
      </c>
      <c r="C14853" t="s">
        <v>28</v>
      </c>
      <c r="D14853" t="s">
        <v>29</v>
      </c>
      <c r="E14853" s="6">
        <v>-28241</v>
      </c>
      <c r="F14853" t="s">
        <v>3068</v>
      </c>
      <c r="G14853" t="s">
        <v>57</v>
      </c>
      <c r="H14853" t="s">
        <v>20</v>
      </c>
      <c r="I14853" t="s">
        <v>28749</v>
      </c>
      <c r="J14853" t="str">
        <f>HYPERLINK("https://www.boe.es/gazeta/dias/1822/09/04/pdfs/GMD-1822-259.pdf#page=4","Abrir facsímil")</f>
        <v>Abrir facsímil</v>
      </c>
      <c r="K14853" t="s">
        <v>22</v>
      </c>
    </row>
    <row r="14854" spans="1:11" ht="42" customHeight="1">
      <c r="A14854" t="s">
        <v>28750</v>
      </c>
      <c r="B14854" t="s">
        <v>28751</v>
      </c>
      <c r="C14854" t="s">
        <v>42</v>
      </c>
      <c r="D14854" t="s">
        <v>17</v>
      </c>
      <c r="E14854" s="6">
        <v>-28158</v>
      </c>
      <c r="F14854" t="s">
        <v>590</v>
      </c>
      <c r="G14854" t="s">
        <v>63</v>
      </c>
      <c r="H14854" t="s">
        <v>20</v>
      </c>
      <c r="I14854" t="s">
        <v>28752</v>
      </c>
      <c r="J14854" t="str">
        <f>HYPERLINK("https://www.boe.es/gazeta/dias/1822/11/26/pdfs/GMD-1822-346.pdf#page=6","Abrir facsímil")</f>
        <v>Abrir facsímil</v>
      </c>
      <c r="K14854" t="s">
        <v>22</v>
      </c>
    </row>
    <row r="14855" spans="1:11" ht="42" customHeight="1">
      <c r="A14855" t="s">
        <v>28753</v>
      </c>
      <c r="B14855" t="s">
        <v>28754</v>
      </c>
      <c r="C14855" t="s">
        <v>50</v>
      </c>
      <c r="D14855" t="s">
        <v>51</v>
      </c>
      <c r="E14855" s="6">
        <v>-28137</v>
      </c>
      <c r="F14855" t="s">
        <v>312</v>
      </c>
      <c r="G14855" t="s">
        <v>35</v>
      </c>
      <c r="H14855" t="s">
        <v>20</v>
      </c>
      <c r="I14855" t="s">
        <v>28755</v>
      </c>
      <c r="J14855" t="str">
        <f>HYPERLINK("https://www.boe.es/gazeta/dias/1822/12/17/pdfs/GMD-1822-367.pdf#page=2","Abrir facsímil")</f>
        <v>Abrir facsímil</v>
      </c>
      <c r="K14855" t="s">
        <v>22</v>
      </c>
    </row>
    <row r="14856" spans="1:11" ht="42" customHeight="1">
      <c r="A14856" t="s">
        <v>28756</v>
      </c>
      <c r="B14856" t="s">
        <v>28757</v>
      </c>
      <c r="C14856" t="s">
        <v>42</v>
      </c>
      <c r="D14856" t="s">
        <v>17</v>
      </c>
      <c r="E14856" s="6">
        <v>-28230</v>
      </c>
      <c r="F14856" t="s">
        <v>1735</v>
      </c>
      <c r="G14856" t="s">
        <v>57</v>
      </c>
      <c r="H14856" t="s">
        <v>20</v>
      </c>
      <c r="I14856" t="s">
        <v>28758</v>
      </c>
      <c r="J14856" t="str">
        <f>HYPERLINK("https://www.boe.es/gazeta/dias/1822/09/15/pdfs/GMD-1822-271.pdf#page=4","Abrir facsímil")</f>
        <v>Abrir facsímil</v>
      </c>
      <c r="K14856" t="s">
        <v>22</v>
      </c>
    </row>
    <row r="14857" spans="1:11" ht="42" customHeight="1">
      <c r="A14857" t="s">
        <v>28759</v>
      </c>
      <c r="B14857" t="s">
        <v>28760</v>
      </c>
      <c r="C14857" t="s">
        <v>50</v>
      </c>
      <c r="D14857" t="s">
        <v>51</v>
      </c>
      <c r="E14857" s="6">
        <v>-28400</v>
      </c>
      <c r="F14857" t="s">
        <v>1937</v>
      </c>
      <c r="G14857" t="s">
        <v>35</v>
      </c>
      <c r="H14857" t="s">
        <v>20</v>
      </c>
      <c r="I14857" t="s">
        <v>28761</v>
      </c>
      <c r="J14857" t="str">
        <f>HYPERLINK("https://www.boe.es/gazeta/dias/1822/03/29/pdfs/GMD-1822-90.pdf#page=2","Abrir facsímil")</f>
        <v>Abrir facsímil</v>
      </c>
      <c r="K14857" t="s">
        <v>22</v>
      </c>
    </row>
    <row r="14858" spans="1:11" ht="42" customHeight="1">
      <c r="A14858" t="s">
        <v>28762</v>
      </c>
      <c r="B14858" t="s">
        <v>28763</v>
      </c>
      <c r="C14858" t="s">
        <v>50</v>
      </c>
      <c r="D14858" t="s">
        <v>51</v>
      </c>
      <c r="E14858" s="6">
        <v>-28427</v>
      </c>
      <c r="F14858" t="s">
        <v>755</v>
      </c>
      <c r="G14858" t="s">
        <v>57</v>
      </c>
      <c r="H14858" t="s">
        <v>20</v>
      </c>
      <c r="I14858" t="s">
        <v>28764</v>
      </c>
      <c r="J14858" t="str">
        <f>HYPERLINK("https://www.boe.es/gazeta/dias/1822/03/02/pdfs/GMD-1822-63.pdf#page=4","Abrir facsímil")</f>
        <v>Abrir facsímil</v>
      </c>
      <c r="K14858" t="s">
        <v>22</v>
      </c>
    </row>
    <row r="14859" spans="1:11" ht="42" customHeight="1">
      <c r="A14859" t="s">
        <v>28765</v>
      </c>
      <c r="B14859" t="s">
        <v>28766</v>
      </c>
      <c r="C14859" t="s">
        <v>42</v>
      </c>
      <c r="D14859" t="s">
        <v>17</v>
      </c>
      <c r="E14859" s="6">
        <v>-28240</v>
      </c>
      <c r="F14859" t="s">
        <v>678</v>
      </c>
      <c r="G14859" t="s">
        <v>57</v>
      </c>
      <c r="H14859" t="s">
        <v>20</v>
      </c>
      <c r="I14859" t="s">
        <v>28767</v>
      </c>
      <c r="J14859" t="str">
        <f>HYPERLINK("https://www.boe.es/gazeta/dias/1822/09/05/pdfs/GMD-1822-260.pdf#page=4","Abrir facsímil")</f>
        <v>Abrir facsímil</v>
      </c>
      <c r="K14859" t="s">
        <v>22</v>
      </c>
    </row>
    <row r="14860" spans="1:11" ht="42" customHeight="1">
      <c r="A14860" t="s">
        <v>28768</v>
      </c>
      <c r="B14860" t="s">
        <v>28769</v>
      </c>
      <c r="C14860" t="s">
        <v>50</v>
      </c>
      <c r="D14860" t="s">
        <v>51</v>
      </c>
      <c r="E14860" s="6">
        <v>-28265</v>
      </c>
      <c r="F14860" t="s">
        <v>1263</v>
      </c>
      <c r="G14860" t="s">
        <v>57</v>
      </c>
      <c r="H14860" t="s">
        <v>20</v>
      </c>
      <c r="I14860" t="s">
        <v>28770</v>
      </c>
      <c r="J14860" t="str">
        <f>HYPERLINK("https://www.boe.es/gazeta/dias/1822/08/11/pdfs/GMD-1822-235.pdf#page=4","Abrir facsímil")</f>
        <v>Abrir facsímil</v>
      </c>
      <c r="K14860" t="s">
        <v>22</v>
      </c>
    </row>
    <row r="14861" spans="1:11" ht="42" customHeight="1">
      <c r="A14861" t="s">
        <v>28771</v>
      </c>
      <c r="B14861" t="s">
        <v>28772</v>
      </c>
      <c r="C14861" t="s">
        <v>28</v>
      </c>
      <c r="D14861" t="s">
        <v>29</v>
      </c>
      <c r="E14861" s="6">
        <v>-28308</v>
      </c>
      <c r="F14861" t="s">
        <v>1050</v>
      </c>
      <c r="G14861" t="s">
        <v>157</v>
      </c>
      <c r="H14861" t="s">
        <v>20</v>
      </c>
      <c r="I14861" t="s">
        <v>28773</v>
      </c>
      <c r="J14861" t="str">
        <f>HYPERLINK("https://www.boe.es/gazeta/dias/1822/06/29/pdfs/GMD-1822-187.pdf#page=8","Abrir facsímil")</f>
        <v>Abrir facsímil</v>
      </c>
      <c r="K14861" t="s">
        <v>22</v>
      </c>
    </row>
    <row r="14862" spans="1:11" ht="42" customHeight="1">
      <c r="A14862" t="s">
        <v>28774</v>
      </c>
      <c r="B14862" t="s">
        <v>28774</v>
      </c>
      <c r="C14862" t="s">
        <v>71</v>
      </c>
      <c r="D14862" t="s">
        <v>17</v>
      </c>
      <c r="E14862" s="6">
        <v>-28354</v>
      </c>
      <c r="F14862" t="s">
        <v>226</v>
      </c>
      <c r="G14862" t="s">
        <v>57</v>
      </c>
      <c r="H14862" t="s">
        <v>20</v>
      </c>
      <c r="I14862" t="s">
        <v>28775</v>
      </c>
      <c r="J14862" t="str">
        <f>HYPERLINK("https://www.boe.es/gazeta/dias/1822/05/14/pdfs/GMD-1822-136.pdf#page=4","Abrir facsímil")</f>
        <v>Abrir facsímil</v>
      </c>
      <c r="K14862" t="s">
        <v>22</v>
      </c>
    </row>
    <row r="14863" spans="1:11" ht="42" customHeight="1">
      <c r="A14863" t="s">
        <v>28776</v>
      </c>
      <c r="B14863" t="s">
        <v>28776</v>
      </c>
      <c r="C14863" t="s">
        <v>71</v>
      </c>
      <c r="D14863" t="s">
        <v>17</v>
      </c>
      <c r="E14863" s="6">
        <v>-28455</v>
      </c>
      <c r="F14863" t="s">
        <v>1107</v>
      </c>
      <c r="G14863" t="s">
        <v>35</v>
      </c>
      <c r="H14863" t="s">
        <v>20</v>
      </c>
      <c r="I14863" t="s">
        <v>28777</v>
      </c>
      <c r="J14863" t="str">
        <f>HYPERLINK("https://www.boe.es/gazeta/dias/1822/02/02/pdfs/GMD-1822-33.pdf#page=2","Abrir facsímil")</f>
        <v>Abrir facsímil</v>
      </c>
      <c r="K14863" t="s">
        <v>22</v>
      </c>
    </row>
    <row r="14864" spans="1:11" ht="42" customHeight="1">
      <c r="A14864" t="s">
        <v>28778</v>
      </c>
      <c r="B14864" t="s">
        <v>28778</v>
      </c>
      <c r="C14864" t="s">
        <v>16</v>
      </c>
      <c r="D14864" t="s">
        <v>17</v>
      </c>
      <c r="E14864" s="6">
        <v>-28363</v>
      </c>
      <c r="F14864" t="s">
        <v>72</v>
      </c>
      <c r="G14864" t="s">
        <v>19</v>
      </c>
      <c r="H14864" t="s">
        <v>20</v>
      </c>
      <c r="I14864" t="s">
        <v>28779</v>
      </c>
      <c r="J14864" t="str">
        <f>HYPERLINK("https://www.boe.es/gazeta/dias/1822/05/05/pdfs/GMD-1822-127.pdf#page=5","Abrir facsímil")</f>
        <v>Abrir facsímil</v>
      </c>
      <c r="K14864" t="s">
        <v>22</v>
      </c>
    </row>
    <row r="14865" spans="1:11" ht="42" customHeight="1">
      <c r="A14865" t="s">
        <v>28780</v>
      </c>
      <c r="B14865" t="s">
        <v>28780</v>
      </c>
      <c r="C14865" t="s">
        <v>50</v>
      </c>
      <c r="D14865" t="s">
        <v>51</v>
      </c>
      <c r="E14865" s="6">
        <v>-28476</v>
      </c>
      <c r="F14865" t="s">
        <v>160</v>
      </c>
      <c r="G14865" t="s">
        <v>31</v>
      </c>
      <c r="H14865" t="s">
        <v>20</v>
      </c>
      <c r="I14865" t="s">
        <v>28781</v>
      </c>
      <c r="J14865" t="str">
        <f>HYPERLINK("https://www.boe.es/gazeta/dias/1822/01/12/pdfs/GMD-1822-12.pdf#page=3","Abrir facsímil")</f>
        <v>Abrir facsímil</v>
      </c>
      <c r="K14865" t="s">
        <v>22</v>
      </c>
    </row>
    <row r="14866" spans="1:11" ht="42" customHeight="1">
      <c r="A14866" t="s">
        <v>28780</v>
      </c>
      <c r="B14866" t="s">
        <v>28780</v>
      </c>
      <c r="C14866" t="s">
        <v>42</v>
      </c>
      <c r="D14866" t="s">
        <v>17</v>
      </c>
      <c r="E14866" s="6">
        <v>-28475</v>
      </c>
      <c r="F14866" t="s">
        <v>1205</v>
      </c>
      <c r="G14866" t="s">
        <v>1685</v>
      </c>
      <c r="H14866" t="s">
        <v>20</v>
      </c>
      <c r="I14866" t="s">
        <v>28782</v>
      </c>
      <c r="J14866" t="str">
        <f>HYPERLINK("https://www.boe.es/gazeta/dias/1822/01/13/pdfs/GMD-1822-13.pdf#page=4","Abrir facsímil")</f>
        <v>Abrir facsímil</v>
      </c>
      <c r="K14866" t="s">
        <v>22</v>
      </c>
    </row>
    <row r="14867" spans="1:11" ht="42" customHeight="1">
      <c r="A14867" t="s">
        <v>28780</v>
      </c>
      <c r="B14867" t="s">
        <v>28780</v>
      </c>
      <c r="C14867" t="s">
        <v>28</v>
      </c>
      <c r="D14867" t="s">
        <v>29</v>
      </c>
      <c r="E14867" s="6">
        <v>-28475</v>
      </c>
      <c r="F14867" t="s">
        <v>1205</v>
      </c>
      <c r="G14867" t="s">
        <v>63</v>
      </c>
      <c r="H14867" t="s">
        <v>20</v>
      </c>
      <c r="I14867" t="s">
        <v>28783</v>
      </c>
      <c r="J14867" t="str">
        <f>HYPERLINK("https://www.boe.es/gazeta/dias/1822/01/13/pdfs/GMD-1822-13.pdf#page=6","Abrir facsímil")</f>
        <v>Abrir facsímil</v>
      </c>
      <c r="K14867" t="s">
        <v>22</v>
      </c>
    </row>
    <row r="14868" spans="1:11" ht="42" customHeight="1">
      <c r="A14868" t="s">
        <v>28780</v>
      </c>
      <c r="B14868" t="s">
        <v>28780</v>
      </c>
      <c r="C14868" t="s">
        <v>28</v>
      </c>
      <c r="D14868" t="s">
        <v>29</v>
      </c>
      <c r="E14868" s="6">
        <v>-28441</v>
      </c>
      <c r="F14868" t="s">
        <v>429</v>
      </c>
      <c r="G14868" t="s">
        <v>31</v>
      </c>
      <c r="H14868" t="s">
        <v>20</v>
      </c>
      <c r="I14868" t="s">
        <v>28784</v>
      </c>
      <c r="J14868" t="str">
        <f>HYPERLINK("https://www.boe.es/gazeta/dias/1822/02/16/pdfs/GMD-1822-48.pdf#page=3","Abrir facsímil")</f>
        <v>Abrir facsímil</v>
      </c>
      <c r="K14868" t="s">
        <v>22</v>
      </c>
    </row>
    <row r="14869" spans="1:11" ht="42" customHeight="1">
      <c r="A14869" t="s">
        <v>28780</v>
      </c>
      <c r="B14869" t="s">
        <v>28780</v>
      </c>
      <c r="C14869" t="s">
        <v>28</v>
      </c>
      <c r="D14869" t="s">
        <v>29</v>
      </c>
      <c r="E14869" s="6">
        <v>-28436</v>
      </c>
      <c r="F14869" t="s">
        <v>431</v>
      </c>
      <c r="G14869" t="s">
        <v>1428</v>
      </c>
      <c r="H14869" t="s">
        <v>20</v>
      </c>
      <c r="I14869" t="s">
        <v>28785</v>
      </c>
      <c r="J14869" t="str">
        <f>HYPERLINK("https://www.boe.es/gazeta/dias/1822/02/21/pdfs/GMD-1822-53.pdf#page=3","Abrir facsímil")</f>
        <v>Abrir facsímil</v>
      </c>
      <c r="K14869" t="s">
        <v>22</v>
      </c>
    </row>
    <row r="14870" spans="1:11" ht="42" customHeight="1">
      <c r="A14870" t="s">
        <v>28780</v>
      </c>
      <c r="B14870" t="s">
        <v>28780</v>
      </c>
      <c r="C14870" t="s">
        <v>16</v>
      </c>
      <c r="D14870" t="s">
        <v>17</v>
      </c>
      <c r="E14870" s="6">
        <v>-28434</v>
      </c>
      <c r="F14870" t="s">
        <v>433</v>
      </c>
      <c r="G14870" t="s">
        <v>35</v>
      </c>
      <c r="H14870" t="s">
        <v>20</v>
      </c>
      <c r="I14870" t="s">
        <v>28786</v>
      </c>
      <c r="J14870" t="str">
        <f>HYPERLINK("https://www.boe.es/gazeta/dias/1822/02/23/pdfs/GMD-1822-55.pdf#page=2","Abrir facsímil")</f>
        <v>Abrir facsímil</v>
      </c>
      <c r="K14870" t="s">
        <v>22</v>
      </c>
    </row>
    <row r="14871" spans="1:11" ht="42" customHeight="1">
      <c r="A14871" t="s">
        <v>28780</v>
      </c>
      <c r="B14871" t="s">
        <v>28780</v>
      </c>
      <c r="C14871" t="s">
        <v>71</v>
      </c>
      <c r="D14871" t="s">
        <v>17</v>
      </c>
      <c r="E14871" s="6">
        <v>-28426</v>
      </c>
      <c r="F14871" t="s">
        <v>1178</v>
      </c>
      <c r="G14871" t="s">
        <v>31</v>
      </c>
      <c r="H14871" t="s">
        <v>20</v>
      </c>
      <c r="I14871" t="s">
        <v>28787</v>
      </c>
      <c r="J14871" t="str">
        <f>HYPERLINK("https://www.boe.es/gazeta/dias/1822/03/03/pdfs/GMD-1822-64.pdf#page=3","Abrir facsímil")</f>
        <v>Abrir facsímil</v>
      </c>
      <c r="K14871" t="s">
        <v>22</v>
      </c>
    </row>
    <row r="14872" spans="1:11" ht="42" customHeight="1">
      <c r="A14872" t="s">
        <v>28780</v>
      </c>
      <c r="B14872" t="s">
        <v>28780</v>
      </c>
      <c r="C14872" t="s">
        <v>71</v>
      </c>
      <c r="D14872" t="s">
        <v>17</v>
      </c>
      <c r="E14872" s="6">
        <v>-28422</v>
      </c>
      <c r="F14872" t="s">
        <v>416</v>
      </c>
      <c r="G14872" t="s">
        <v>35</v>
      </c>
      <c r="H14872" t="s">
        <v>20</v>
      </c>
      <c r="I14872" t="s">
        <v>28788</v>
      </c>
      <c r="J14872" t="str">
        <f>HYPERLINK("https://www.boe.es/gazeta/dias/1822/03/07/pdfs/GMD-1822-68.pdf#page=2","Abrir facsímil")</f>
        <v>Abrir facsímil</v>
      </c>
      <c r="K14872" t="s">
        <v>22</v>
      </c>
    </row>
    <row r="14873" spans="1:11" ht="42" customHeight="1">
      <c r="A14873" t="s">
        <v>28780</v>
      </c>
      <c r="B14873" t="s">
        <v>28780</v>
      </c>
      <c r="C14873" t="s">
        <v>28</v>
      </c>
      <c r="D14873" t="s">
        <v>29</v>
      </c>
      <c r="E14873" s="6">
        <v>-28422</v>
      </c>
      <c r="F14873" t="s">
        <v>416</v>
      </c>
      <c r="G14873" t="s">
        <v>31</v>
      </c>
      <c r="H14873" t="s">
        <v>20</v>
      </c>
      <c r="I14873" t="s">
        <v>28789</v>
      </c>
      <c r="J14873" t="str">
        <f>HYPERLINK("https://www.boe.es/gazeta/dias/1822/03/07/pdfs/GMD-1822-68.pdf#page=3","Abrir facsímil")</f>
        <v>Abrir facsímil</v>
      </c>
      <c r="K14873" t="s">
        <v>22</v>
      </c>
    </row>
    <row r="14874" spans="1:11" ht="42" customHeight="1">
      <c r="A14874" t="s">
        <v>28780</v>
      </c>
      <c r="B14874" t="s">
        <v>28780</v>
      </c>
      <c r="C14874" t="s">
        <v>71</v>
      </c>
      <c r="D14874" t="s">
        <v>17</v>
      </c>
      <c r="E14874" s="6">
        <v>-28419</v>
      </c>
      <c r="F14874" t="s">
        <v>1392</v>
      </c>
      <c r="G14874" t="s">
        <v>31</v>
      </c>
      <c r="H14874" t="s">
        <v>20</v>
      </c>
      <c r="I14874" t="s">
        <v>28790</v>
      </c>
      <c r="J14874" t="str">
        <f>HYPERLINK("https://www.boe.es/gazeta/dias/1822/03/10/pdfs/GMD-1822-71.pdf#page=3","Abrir facsímil")</f>
        <v>Abrir facsímil</v>
      </c>
      <c r="K14874" t="s">
        <v>22</v>
      </c>
    </row>
    <row r="14875" spans="1:11" ht="42" customHeight="1">
      <c r="A14875" t="s">
        <v>28780</v>
      </c>
      <c r="B14875" t="s">
        <v>28780</v>
      </c>
      <c r="C14875" t="s">
        <v>50</v>
      </c>
      <c r="D14875" t="s">
        <v>51</v>
      </c>
      <c r="E14875" s="6">
        <v>-28419</v>
      </c>
      <c r="F14875" t="s">
        <v>1392</v>
      </c>
      <c r="G14875" t="s">
        <v>63</v>
      </c>
      <c r="H14875" t="s">
        <v>20</v>
      </c>
      <c r="I14875" t="s">
        <v>28791</v>
      </c>
      <c r="J14875" t="str">
        <f>HYPERLINK("https://www.boe.es/gazeta/dias/1822/03/10/pdfs/GMD-1822-71.pdf#page=6","Abrir facsímil")</f>
        <v>Abrir facsímil</v>
      </c>
      <c r="K14875" t="s">
        <v>22</v>
      </c>
    </row>
    <row r="14876" spans="1:11" ht="42" customHeight="1">
      <c r="A14876" t="s">
        <v>28780</v>
      </c>
      <c r="B14876" t="s">
        <v>28780</v>
      </c>
      <c r="C14876" t="s">
        <v>28</v>
      </c>
      <c r="D14876" t="s">
        <v>29</v>
      </c>
      <c r="E14876" s="6">
        <v>-28404</v>
      </c>
      <c r="F14876" t="s">
        <v>421</v>
      </c>
      <c r="G14876" t="s">
        <v>31</v>
      </c>
      <c r="H14876" t="s">
        <v>20</v>
      </c>
      <c r="I14876" t="s">
        <v>28792</v>
      </c>
      <c r="J14876" t="str">
        <f>HYPERLINK("https://www.boe.es/gazeta/dias/1822/03/25/pdfs/GMD-1822-86.pdf#page=3","Abrir facsímil")</f>
        <v>Abrir facsímil</v>
      </c>
      <c r="K14876" t="s">
        <v>22</v>
      </c>
    </row>
    <row r="14877" spans="1:11" ht="42" customHeight="1">
      <c r="A14877" t="s">
        <v>28780</v>
      </c>
      <c r="B14877" t="s">
        <v>28780</v>
      </c>
      <c r="C14877" t="s">
        <v>71</v>
      </c>
      <c r="D14877" t="s">
        <v>17</v>
      </c>
      <c r="E14877" s="6">
        <v>-28399</v>
      </c>
      <c r="F14877" t="s">
        <v>476</v>
      </c>
      <c r="G14877" t="s">
        <v>57</v>
      </c>
      <c r="H14877" t="s">
        <v>20</v>
      </c>
      <c r="I14877" t="s">
        <v>28793</v>
      </c>
      <c r="J14877" t="str">
        <f>HYPERLINK("https://www.boe.es/gazeta/dias/1822/03/30/pdfs/GMD-1822-91.pdf#page=4","Abrir facsímil")</f>
        <v>Abrir facsímil</v>
      </c>
      <c r="K14877" t="s">
        <v>22</v>
      </c>
    </row>
    <row r="14878" spans="1:11" ht="42" customHeight="1">
      <c r="A14878" t="s">
        <v>28780</v>
      </c>
      <c r="B14878" t="s">
        <v>28780</v>
      </c>
      <c r="C14878" t="s">
        <v>71</v>
      </c>
      <c r="D14878" t="s">
        <v>17</v>
      </c>
      <c r="E14878" s="6">
        <v>-28357</v>
      </c>
      <c r="F14878" t="s">
        <v>690</v>
      </c>
      <c r="G14878" t="s">
        <v>57</v>
      </c>
      <c r="H14878" t="s">
        <v>20</v>
      </c>
      <c r="I14878" t="s">
        <v>28794</v>
      </c>
      <c r="J14878" t="str">
        <f>HYPERLINK("https://www.boe.es/gazeta/dias/1822/05/11/pdfs/GMD-1822-133.pdf#page=4","Abrir facsímil")</f>
        <v>Abrir facsímil</v>
      </c>
      <c r="K14878" t="s">
        <v>22</v>
      </c>
    </row>
    <row r="14879" spans="1:11" ht="42" customHeight="1">
      <c r="A14879" t="s">
        <v>28780</v>
      </c>
      <c r="B14879" t="s">
        <v>28780</v>
      </c>
      <c r="C14879" t="s">
        <v>42</v>
      </c>
      <c r="D14879" t="s">
        <v>17</v>
      </c>
      <c r="E14879" s="6">
        <v>-28323</v>
      </c>
      <c r="F14879" t="s">
        <v>116</v>
      </c>
      <c r="G14879" t="s">
        <v>57</v>
      </c>
      <c r="H14879" t="s">
        <v>20</v>
      </c>
      <c r="I14879" t="s">
        <v>28795</v>
      </c>
      <c r="J14879" t="str">
        <f>HYPERLINK("https://www.boe.es/gazeta/dias/1822/06/14/pdfs/GMD-1822-171.pdf#page=4","Abrir facsímil")</f>
        <v>Abrir facsímil</v>
      </c>
      <c r="K14879" t="s">
        <v>22</v>
      </c>
    </row>
    <row r="14880" spans="1:11" ht="42" customHeight="1">
      <c r="A14880" t="s">
        <v>28780</v>
      </c>
      <c r="B14880" t="s">
        <v>28780</v>
      </c>
      <c r="C14880" t="s">
        <v>28</v>
      </c>
      <c r="D14880" t="s">
        <v>29</v>
      </c>
      <c r="E14880" s="6">
        <v>-28321</v>
      </c>
      <c r="F14880" t="s">
        <v>1142</v>
      </c>
      <c r="G14880" t="s">
        <v>31</v>
      </c>
      <c r="H14880" t="s">
        <v>20</v>
      </c>
      <c r="I14880" t="s">
        <v>28796</v>
      </c>
      <c r="J14880" t="str">
        <f>HYPERLINK("https://www.boe.es/gazeta/dias/1822/06/16/pdfs/GMD-1822-173.pdf#page=3","Abrir facsímil")</f>
        <v>Abrir facsímil</v>
      </c>
      <c r="K14880" t="s">
        <v>22</v>
      </c>
    </row>
    <row r="14881" spans="1:11" ht="42" customHeight="1">
      <c r="A14881" t="s">
        <v>28797</v>
      </c>
      <c r="B14881" t="s">
        <v>28798</v>
      </c>
      <c r="C14881" t="s">
        <v>28</v>
      </c>
      <c r="D14881" t="s">
        <v>29</v>
      </c>
      <c r="E14881" s="6">
        <v>-28419</v>
      </c>
      <c r="F14881" t="s">
        <v>1392</v>
      </c>
      <c r="G14881" t="s">
        <v>63</v>
      </c>
      <c r="H14881" t="s">
        <v>20</v>
      </c>
      <c r="I14881" t="s">
        <v>28799</v>
      </c>
      <c r="J14881" t="str">
        <f>HYPERLINK("https://www.boe.es/gazeta/dias/1822/03/10/pdfs/GMD-1822-71.pdf#page=6","Abrir facsímil")</f>
        <v>Abrir facsímil</v>
      </c>
      <c r="K14881" t="s">
        <v>22</v>
      </c>
    </row>
    <row r="14882" spans="1:11" ht="42" customHeight="1">
      <c r="A14882" t="s">
        <v>28800</v>
      </c>
      <c r="B14882" t="s">
        <v>28801</v>
      </c>
      <c r="C14882" t="s">
        <v>42</v>
      </c>
      <c r="D14882" t="s">
        <v>17</v>
      </c>
      <c r="E14882" s="6">
        <v>-28201</v>
      </c>
      <c r="F14882" t="s">
        <v>163</v>
      </c>
      <c r="G14882" t="s">
        <v>63</v>
      </c>
      <c r="H14882" t="s">
        <v>20</v>
      </c>
      <c r="I14882" t="s">
        <v>28802</v>
      </c>
      <c r="J14882" t="str">
        <f>HYPERLINK("https://www.boe.es/gazeta/dias/1822/10/14/pdfs/GMD-1822-301.pdf#page=6","Abrir facsímil")</f>
        <v>Abrir facsímil</v>
      </c>
      <c r="K14882" t="s">
        <v>22</v>
      </c>
    </row>
    <row r="14883" spans="1:11" ht="42" customHeight="1">
      <c r="A14883" t="s">
        <v>28803</v>
      </c>
      <c r="B14883" t="s">
        <v>28804</v>
      </c>
      <c r="C14883" t="s">
        <v>50</v>
      </c>
      <c r="D14883" t="s">
        <v>51</v>
      </c>
      <c r="E14883" s="6">
        <v>-28461</v>
      </c>
      <c r="F14883" t="s">
        <v>1801</v>
      </c>
      <c r="G14883" t="s">
        <v>57</v>
      </c>
      <c r="H14883" t="s">
        <v>20</v>
      </c>
      <c r="I14883" t="s">
        <v>28805</v>
      </c>
      <c r="J14883" t="str">
        <f>HYPERLINK("https://www.boe.es/gazeta/dias/1822/01/27/pdfs/GMD-1822-27.pdf#page=4","Abrir facsímil")</f>
        <v>Abrir facsímil</v>
      </c>
      <c r="K14883" t="s">
        <v>22</v>
      </c>
    </row>
    <row r="14884" spans="1:11" ht="42" customHeight="1">
      <c r="A14884" t="s">
        <v>28806</v>
      </c>
      <c r="B14884" t="s">
        <v>28807</v>
      </c>
      <c r="C14884" t="s">
        <v>28</v>
      </c>
      <c r="D14884" t="s">
        <v>29</v>
      </c>
      <c r="E14884" s="6">
        <v>-28410</v>
      </c>
      <c r="F14884" t="s">
        <v>966</v>
      </c>
      <c r="G14884" t="s">
        <v>57</v>
      </c>
      <c r="H14884" t="s">
        <v>20</v>
      </c>
      <c r="I14884" t="s">
        <v>28808</v>
      </c>
      <c r="J14884" t="str">
        <f>HYPERLINK("https://www.boe.es/gazeta/dias/1822/03/19/pdfs/GMD-1822-80.pdf#page=4","Abrir facsímil")</f>
        <v>Abrir facsímil</v>
      </c>
      <c r="K14884" t="s">
        <v>22</v>
      </c>
    </row>
    <row r="14885" spans="1:11" ht="42" customHeight="1">
      <c r="A14885" t="s">
        <v>28806</v>
      </c>
      <c r="B14885" t="s">
        <v>28807</v>
      </c>
      <c r="C14885" t="s">
        <v>42</v>
      </c>
      <c r="D14885" t="s">
        <v>17</v>
      </c>
      <c r="E14885" s="6">
        <v>-28364</v>
      </c>
      <c r="F14885" t="s">
        <v>509</v>
      </c>
      <c r="G14885" t="s">
        <v>63</v>
      </c>
      <c r="H14885" t="s">
        <v>20</v>
      </c>
      <c r="I14885" t="s">
        <v>28809</v>
      </c>
      <c r="J14885" t="str">
        <f>HYPERLINK("https://www.boe.es/gazeta/dias/1822/05/04/pdfs/GMD-1822-126.pdf#page=6","Abrir facsímil")</f>
        <v>Abrir facsímil</v>
      </c>
      <c r="K14885" t="s">
        <v>22</v>
      </c>
    </row>
    <row r="14886" spans="1:11" ht="42" customHeight="1">
      <c r="A14886" t="s">
        <v>28810</v>
      </c>
      <c r="B14886" t="s">
        <v>28811</v>
      </c>
      <c r="C14886" t="s">
        <v>24</v>
      </c>
      <c r="D14886" t="s">
        <v>17</v>
      </c>
      <c r="E14886" s="6">
        <v>-28139</v>
      </c>
      <c r="F14886" t="s">
        <v>143</v>
      </c>
      <c r="G14886" t="s">
        <v>144</v>
      </c>
      <c r="H14886" t="s">
        <v>20</v>
      </c>
      <c r="I14886" t="s">
        <v>28812</v>
      </c>
      <c r="J14886" t="str">
        <f>HYPERLINK("https://www.boe.es/gazeta/dias/1822/12/15/pdfs/GMD-1822-365.pdf#page=4","Abrir facsímil")</f>
        <v>Abrir facsímil</v>
      </c>
      <c r="K14886" t="s">
        <v>22</v>
      </c>
    </row>
    <row r="14887" spans="1:11" ht="42" customHeight="1">
      <c r="A14887" t="s">
        <v>28813</v>
      </c>
      <c r="B14887" t="s">
        <v>28814</v>
      </c>
      <c r="C14887" t="s">
        <v>50</v>
      </c>
      <c r="D14887" t="s">
        <v>51</v>
      </c>
      <c r="E14887" s="6">
        <v>-28294</v>
      </c>
      <c r="F14887" t="s">
        <v>2298</v>
      </c>
      <c r="G14887" t="s">
        <v>35</v>
      </c>
      <c r="H14887" t="s">
        <v>20</v>
      </c>
      <c r="I14887" t="s">
        <v>28815</v>
      </c>
      <c r="J14887" t="str">
        <f>HYPERLINK("https://www.boe.es/gazeta/dias/1822/07/13/pdfs/GMD-1822-203.pdf#page=2","Abrir facsímil")</f>
        <v>Abrir facsímil</v>
      </c>
      <c r="K14887" t="s">
        <v>22</v>
      </c>
    </row>
    <row r="14888" spans="1:11" ht="42" customHeight="1">
      <c r="A14888" t="s">
        <v>28816</v>
      </c>
      <c r="B14888" t="s">
        <v>28817</v>
      </c>
      <c r="C14888" t="s">
        <v>24</v>
      </c>
      <c r="D14888" t="s">
        <v>17</v>
      </c>
      <c r="E14888" s="6">
        <v>-28387</v>
      </c>
      <c r="F14888" t="s">
        <v>2874</v>
      </c>
      <c r="G14888" t="s">
        <v>63</v>
      </c>
      <c r="H14888" t="s">
        <v>20</v>
      </c>
      <c r="I14888" t="s">
        <v>28818</v>
      </c>
      <c r="J14888" t="str">
        <f>HYPERLINK("https://www.boe.es/gazeta/dias/1822/04/11/pdfs/GMD-1822-103.pdf#page=6","Abrir facsímil")</f>
        <v>Abrir facsímil</v>
      </c>
      <c r="K14888" t="s">
        <v>22</v>
      </c>
    </row>
    <row r="14889" spans="1:11" ht="42" customHeight="1">
      <c r="A14889" t="s">
        <v>28819</v>
      </c>
      <c r="B14889" t="s">
        <v>28820</v>
      </c>
      <c r="C14889" t="s">
        <v>50</v>
      </c>
      <c r="D14889" t="s">
        <v>51</v>
      </c>
      <c r="E14889" s="6">
        <v>-28284</v>
      </c>
      <c r="F14889" t="s">
        <v>6484</v>
      </c>
      <c r="G14889" t="s">
        <v>35</v>
      </c>
      <c r="H14889" t="s">
        <v>20</v>
      </c>
      <c r="I14889" t="s">
        <v>28821</v>
      </c>
      <c r="J14889" t="str">
        <f>HYPERLINK("https://www.boe.es/gazeta/dias/1822/07/23/pdfs/GMD-1822-216.pdf#page=2","Abrir facsímil")</f>
        <v>Abrir facsímil</v>
      </c>
      <c r="K14889" t="s">
        <v>22</v>
      </c>
    </row>
    <row r="14890" spans="1:11" ht="42" customHeight="1">
      <c r="A14890" t="s">
        <v>28822</v>
      </c>
      <c r="B14890" t="s">
        <v>28823</v>
      </c>
      <c r="C14890" t="s">
        <v>28</v>
      </c>
      <c r="D14890" t="s">
        <v>29</v>
      </c>
      <c r="E14890" s="6">
        <v>-28308</v>
      </c>
      <c r="F14890" t="s">
        <v>1050</v>
      </c>
      <c r="G14890" t="s">
        <v>35</v>
      </c>
      <c r="H14890" t="s">
        <v>20</v>
      </c>
      <c r="I14890" t="s">
        <v>28824</v>
      </c>
      <c r="J14890" t="str">
        <f>HYPERLINK("https://www.boe.es/gazeta/dias/1822/06/29/pdfs/GMD-1822-187.pdf#page=2","Abrir facsímil")</f>
        <v>Abrir facsímil</v>
      </c>
      <c r="K14890" t="s">
        <v>22</v>
      </c>
    </row>
    <row r="14891" spans="1:11" ht="42" customHeight="1">
      <c r="A14891" t="s">
        <v>28825</v>
      </c>
      <c r="B14891" t="s">
        <v>28826</v>
      </c>
      <c r="C14891" t="s">
        <v>71</v>
      </c>
      <c r="D14891" t="s">
        <v>17</v>
      </c>
      <c r="E14891" s="6">
        <v>-28199</v>
      </c>
      <c r="F14891" t="s">
        <v>656</v>
      </c>
      <c r="G14891" t="s">
        <v>57</v>
      </c>
      <c r="H14891" t="s">
        <v>20</v>
      </c>
      <c r="I14891" t="s">
        <v>28827</v>
      </c>
      <c r="J14891" t="str">
        <f>HYPERLINK("https://www.boe.es/gazeta/dias/1822/10/16/pdfs/GMD-1822-303.pdf#page=4","Abrir facsímil")</f>
        <v>Abrir facsímil</v>
      </c>
      <c r="K14891" t="s">
        <v>22</v>
      </c>
    </row>
    <row r="14892" spans="1:11" ht="42" customHeight="1">
      <c r="A14892" t="s">
        <v>28828</v>
      </c>
      <c r="B14892" t="s">
        <v>28829</v>
      </c>
      <c r="C14892" t="s">
        <v>50</v>
      </c>
      <c r="D14892" t="s">
        <v>723</v>
      </c>
      <c r="E14892" s="6">
        <v>-28181</v>
      </c>
      <c r="F14892" t="s">
        <v>724</v>
      </c>
      <c r="G14892" t="s">
        <v>35</v>
      </c>
      <c r="H14892" t="s">
        <v>20</v>
      </c>
      <c r="I14892" t="s">
        <v>28830</v>
      </c>
      <c r="J14892" t="str">
        <f>HYPERLINK("https://www.boe.es/gazeta/dias/1822/11/03/pdfs/GMD-1822-322E.pdf#page=2","Abrir facsímil")</f>
        <v>Abrir facsímil</v>
      </c>
      <c r="K14892" t="s">
        <v>22</v>
      </c>
    </row>
    <row r="14893" spans="1:11" ht="42" customHeight="1">
      <c r="A14893" t="s">
        <v>28831</v>
      </c>
      <c r="B14893" t="s">
        <v>28832</v>
      </c>
      <c r="C14893" t="s">
        <v>28</v>
      </c>
      <c r="D14893" t="s">
        <v>29</v>
      </c>
      <c r="E14893" s="6">
        <v>-28355</v>
      </c>
      <c r="F14893" t="s">
        <v>692</v>
      </c>
      <c r="G14893" t="s">
        <v>63</v>
      </c>
      <c r="H14893" t="s">
        <v>20</v>
      </c>
      <c r="I14893" t="s">
        <v>28833</v>
      </c>
      <c r="J14893" t="str">
        <f>HYPERLINK("https://www.boe.es/gazeta/dias/1822/05/13/pdfs/GMD-1822-135.pdf#page=6","Abrir facsímil")</f>
        <v>Abrir facsímil</v>
      </c>
      <c r="K14893" t="s">
        <v>22</v>
      </c>
    </row>
    <row r="14894" spans="1:11" ht="42" customHeight="1">
      <c r="A14894" t="s">
        <v>28834</v>
      </c>
      <c r="B14894" t="s">
        <v>28835</v>
      </c>
      <c r="C14894" t="s">
        <v>42</v>
      </c>
      <c r="D14894" t="s">
        <v>17</v>
      </c>
      <c r="E14894" s="6">
        <v>-28391</v>
      </c>
      <c r="F14894" t="s">
        <v>378</v>
      </c>
      <c r="G14894" t="s">
        <v>63</v>
      </c>
      <c r="H14894" t="s">
        <v>20</v>
      </c>
      <c r="I14894" t="s">
        <v>28836</v>
      </c>
      <c r="J14894" t="str">
        <f>HYPERLINK("https://www.boe.es/gazeta/dias/1822/04/07/pdfs/GMD-1822-99.pdf#page=6","Abrir facsímil")</f>
        <v>Abrir facsímil</v>
      </c>
      <c r="K14894" t="s">
        <v>22</v>
      </c>
    </row>
    <row r="14895" spans="1:11" ht="42" customHeight="1">
      <c r="A14895" t="s">
        <v>28837</v>
      </c>
      <c r="B14895" t="s">
        <v>28838</v>
      </c>
      <c r="C14895" t="s">
        <v>42</v>
      </c>
      <c r="D14895" t="s">
        <v>17</v>
      </c>
      <c r="E14895" s="6">
        <v>-28208</v>
      </c>
      <c r="F14895" t="s">
        <v>230</v>
      </c>
      <c r="G14895" t="s">
        <v>57</v>
      </c>
      <c r="H14895" t="s">
        <v>20</v>
      </c>
      <c r="I14895" t="s">
        <v>28839</v>
      </c>
      <c r="J14895" t="str">
        <f>HYPERLINK("https://www.boe.es/gazeta/dias/1822/10/07/pdfs/GMD-1822-293.pdf#page=4","Abrir facsímil")</f>
        <v>Abrir facsímil</v>
      </c>
      <c r="K14895" t="s">
        <v>22</v>
      </c>
    </row>
    <row r="14896" spans="1:11" ht="42" customHeight="1">
      <c r="A14896" t="s">
        <v>28840</v>
      </c>
      <c r="B14896" t="s">
        <v>28841</v>
      </c>
      <c r="C14896" t="s">
        <v>28</v>
      </c>
      <c r="D14896" t="s">
        <v>29</v>
      </c>
      <c r="E14896" s="6">
        <v>-28481</v>
      </c>
      <c r="F14896" t="s">
        <v>1089</v>
      </c>
      <c r="G14896" t="s">
        <v>57</v>
      </c>
      <c r="H14896" t="s">
        <v>20</v>
      </c>
      <c r="I14896" t="s">
        <v>28842</v>
      </c>
      <c r="J14896" t="str">
        <f>HYPERLINK("https://www.boe.es/gazeta/dias/1822/01/07/pdfs/GMD-1822-7.pdf#page=4","Abrir facsímil")</f>
        <v>Abrir facsímil</v>
      </c>
      <c r="K14896" t="s">
        <v>22</v>
      </c>
    </row>
    <row r="14897" spans="1:11" ht="42" customHeight="1">
      <c r="A14897" t="s">
        <v>28843</v>
      </c>
      <c r="B14897" t="s">
        <v>28844</v>
      </c>
      <c r="C14897" t="s">
        <v>50</v>
      </c>
      <c r="D14897" t="s">
        <v>51</v>
      </c>
      <c r="E14897" s="6">
        <v>-28158</v>
      </c>
      <c r="F14897" t="s">
        <v>590</v>
      </c>
      <c r="G14897" t="s">
        <v>63</v>
      </c>
      <c r="H14897" t="s">
        <v>20</v>
      </c>
      <c r="I14897" t="s">
        <v>28845</v>
      </c>
      <c r="J14897" t="str">
        <f>HYPERLINK("https://www.boe.es/gazeta/dias/1822/11/26/pdfs/GMD-1822-346.pdf#page=6","Abrir facsímil")</f>
        <v>Abrir facsímil</v>
      </c>
      <c r="K14897" t="s">
        <v>22</v>
      </c>
    </row>
    <row r="14898" spans="1:11" ht="42" customHeight="1">
      <c r="A14898" t="s">
        <v>28846</v>
      </c>
      <c r="B14898" t="s">
        <v>28847</v>
      </c>
      <c r="C14898" t="s">
        <v>50</v>
      </c>
      <c r="D14898" t="s">
        <v>51</v>
      </c>
      <c r="E14898" s="6">
        <v>-28289</v>
      </c>
      <c r="F14898" t="s">
        <v>390</v>
      </c>
      <c r="G14898" t="s">
        <v>31</v>
      </c>
      <c r="H14898" t="s">
        <v>20</v>
      </c>
      <c r="I14898" t="s">
        <v>28848</v>
      </c>
      <c r="J14898" t="str">
        <f>HYPERLINK("https://www.boe.es/gazeta/dias/1822/07/18/pdfs/GMD-1822-209.pdf#page=3","Abrir facsímil")</f>
        <v>Abrir facsímil</v>
      </c>
      <c r="K14898" t="s">
        <v>22</v>
      </c>
    </row>
    <row r="14899" spans="1:11" ht="42" customHeight="1">
      <c r="A14899" t="s">
        <v>28849</v>
      </c>
      <c r="B14899" t="s">
        <v>28850</v>
      </c>
      <c r="C14899" t="s">
        <v>42</v>
      </c>
      <c r="D14899" t="s">
        <v>17</v>
      </c>
      <c r="E14899" s="6">
        <v>-28210</v>
      </c>
      <c r="F14899" t="s">
        <v>218</v>
      </c>
      <c r="G14899" t="s">
        <v>19</v>
      </c>
      <c r="H14899" t="s">
        <v>20</v>
      </c>
      <c r="I14899" t="s">
        <v>28851</v>
      </c>
      <c r="J14899" t="str">
        <f>HYPERLINK("https://www.boe.es/gazeta/dias/1822/10/05/pdfs/GMD-1822-291.pdf#page=5","Abrir facsímil")</f>
        <v>Abrir facsímil</v>
      </c>
      <c r="K14899" t="s">
        <v>22</v>
      </c>
    </row>
    <row r="14900" spans="1:11" ht="42" customHeight="1">
      <c r="A14900" t="s">
        <v>28852</v>
      </c>
      <c r="B14900" t="s">
        <v>28853</v>
      </c>
      <c r="C14900" t="s">
        <v>50</v>
      </c>
      <c r="D14900" t="s">
        <v>51</v>
      </c>
      <c r="E14900" s="6">
        <v>-28311</v>
      </c>
      <c r="F14900" t="s">
        <v>736</v>
      </c>
      <c r="G14900" t="s">
        <v>157</v>
      </c>
      <c r="H14900" t="s">
        <v>20</v>
      </c>
      <c r="I14900" t="s">
        <v>28854</v>
      </c>
      <c r="J14900" t="str">
        <f>HYPERLINK("https://www.boe.es/gazeta/dias/1822/06/26/pdfs/GMD-1822-184.pdf#page=8","Abrir facsímil")</f>
        <v>Abrir facsímil</v>
      </c>
      <c r="K14900" t="s">
        <v>22</v>
      </c>
    </row>
    <row r="14901" spans="1:11" ht="42" customHeight="1">
      <c r="A14901" t="s">
        <v>28855</v>
      </c>
      <c r="B14901" t="s">
        <v>28855</v>
      </c>
      <c r="C14901" t="s">
        <v>28</v>
      </c>
      <c r="D14901" t="s">
        <v>29</v>
      </c>
      <c r="E14901" s="6">
        <v>-28341</v>
      </c>
      <c r="F14901" t="s">
        <v>284</v>
      </c>
      <c r="G14901" t="s">
        <v>57</v>
      </c>
      <c r="H14901" t="s">
        <v>20</v>
      </c>
      <c r="I14901" t="s">
        <v>28856</v>
      </c>
      <c r="J14901" t="str">
        <f>HYPERLINK("https://www.boe.es/gazeta/dias/1822/05/27/pdfs/GMD-1822-152.pdf#page=4","Abrir facsímil")</f>
        <v>Abrir facsímil</v>
      </c>
      <c r="K14901" t="s">
        <v>22</v>
      </c>
    </row>
    <row r="14902" spans="1:11" ht="42" customHeight="1">
      <c r="A14902" t="s">
        <v>28857</v>
      </c>
      <c r="B14902" t="s">
        <v>28857</v>
      </c>
      <c r="C14902" t="s">
        <v>28</v>
      </c>
      <c r="D14902" t="s">
        <v>29</v>
      </c>
      <c r="E14902" s="6">
        <v>-28360</v>
      </c>
      <c r="F14902" t="s">
        <v>514</v>
      </c>
      <c r="G14902" t="s">
        <v>57</v>
      </c>
      <c r="H14902" t="s">
        <v>20</v>
      </c>
      <c r="I14902" t="s">
        <v>28858</v>
      </c>
      <c r="J14902" t="str">
        <f>HYPERLINK("https://www.boe.es/gazeta/dias/1822/05/08/pdfs/GMD-1822-130.pdf#page=4","Abrir facsímil")</f>
        <v>Abrir facsímil</v>
      </c>
      <c r="K14902" t="s">
        <v>22</v>
      </c>
    </row>
    <row r="14903" spans="1:11" ht="42" customHeight="1">
      <c r="A14903" t="s">
        <v>28859</v>
      </c>
      <c r="B14903" t="s">
        <v>28860</v>
      </c>
      <c r="C14903" t="s">
        <v>24</v>
      </c>
      <c r="D14903" t="s">
        <v>17</v>
      </c>
      <c r="E14903" s="6">
        <v>-28450</v>
      </c>
      <c r="F14903" t="s">
        <v>1450</v>
      </c>
      <c r="G14903" t="s">
        <v>2247</v>
      </c>
      <c r="H14903" t="s">
        <v>20</v>
      </c>
      <c r="I14903" t="s">
        <v>28861</v>
      </c>
      <c r="J14903" t="str">
        <f>HYPERLINK("https://www.boe.es/gazeta/dias/1822/02/07/pdfs/GMD-1822-38.pdf#page=6","Abrir facsímil")</f>
        <v>Abrir facsímil</v>
      </c>
      <c r="K14903" t="s">
        <v>22</v>
      </c>
    </row>
    <row r="14904" spans="1:11" ht="42" customHeight="1">
      <c r="A14904" t="s">
        <v>28862</v>
      </c>
      <c r="B14904" t="s">
        <v>28863</v>
      </c>
      <c r="C14904" t="s">
        <v>50</v>
      </c>
      <c r="D14904" t="s">
        <v>51</v>
      </c>
      <c r="E14904" s="6">
        <v>-28312</v>
      </c>
      <c r="F14904" t="s">
        <v>92</v>
      </c>
      <c r="G14904" t="s">
        <v>93</v>
      </c>
      <c r="H14904" t="s">
        <v>20</v>
      </c>
      <c r="I14904" t="s">
        <v>28864</v>
      </c>
      <c r="J14904" t="str">
        <f>HYPERLINK("https://www.boe.es/gazeta/dias/1822/06/25/pdfs/GMD-1822-183.pdf#page=4","Abrir facsímil")</f>
        <v>Abrir facsímil</v>
      </c>
      <c r="K14904" t="s">
        <v>22</v>
      </c>
    </row>
    <row r="14905" spans="1:11" ht="42" customHeight="1">
      <c r="A14905" t="s">
        <v>28865</v>
      </c>
      <c r="B14905" t="s">
        <v>28866</v>
      </c>
      <c r="C14905" t="s">
        <v>50</v>
      </c>
      <c r="D14905" t="s">
        <v>51</v>
      </c>
      <c r="E14905" s="6">
        <v>-28292</v>
      </c>
      <c r="F14905" t="s">
        <v>222</v>
      </c>
      <c r="G14905" t="s">
        <v>31</v>
      </c>
      <c r="H14905" t="s">
        <v>20</v>
      </c>
      <c r="I14905" t="s">
        <v>28867</v>
      </c>
      <c r="J14905" t="str">
        <f>HYPERLINK("https://www.boe.es/gazeta/dias/1822/07/15/pdfs/GMD-1822-205.pdf#page=3","Abrir facsímil")</f>
        <v>Abrir facsímil</v>
      </c>
      <c r="K14905" t="s">
        <v>22</v>
      </c>
    </row>
    <row r="14906" spans="1:11" ht="42" customHeight="1">
      <c r="A14906" t="s">
        <v>28868</v>
      </c>
      <c r="B14906" t="s">
        <v>28869</v>
      </c>
      <c r="C14906" t="s">
        <v>71</v>
      </c>
      <c r="D14906" t="s">
        <v>17</v>
      </c>
      <c r="E14906" s="6">
        <v>-28327</v>
      </c>
      <c r="F14906" t="s">
        <v>38</v>
      </c>
      <c r="G14906" t="s">
        <v>63</v>
      </c>
      <c r="H14906" t="s">
        <v>20</v>
      </c>
      <c r="I14906" t="s">
        <v>28870</v>
      </c>
      <c r="J14906" t="str">
        <f>HYPERLINK("https://www.boe.es/gazeta/dias/1822/06/10/pdfs/GMD-1822-167.pdf#page=6","Abrir facsímil")</f>
        <v>Abrir facsímil</v>
      </c>
      <c r="K14906" t="s">
        <v>22</v>
      </c>
    </row>
    <row r="14907" spans="1:11" ht="42" customHeight="1">
      <c r="A14907" t="s">
        <v>28871</v>
      </c>
      <c r="B14907" t="s">
        <v>28872</v>
      </c>
      <c r="C14907" t="s">
        <v>16</v>
      </c>
      <c r="D14907" t="s">
        <v>17</v>
      </c>
      <c r="E14907" s="6">
        <v>-28451</v>
      </c>
      <c r="F14907" t="s">
        <v>1674</v>
      </c>
      <c r="G14907" t="s">
        <v>63</v>
      </c>
      <c r="H14907" t="s">
        <v>20</v>
      </c>
      <c r="I14907" t="s">
        <v>28873</v>
      </c>
      <c r="J14907" t="str">
        <f>HYPERLINK("https://www.boe.es/gazeta/dias/1822/02/06/pdfs/GMD-1822-37.pdf#page=6","Abrir facsímil")</f>
        <v>Abrir facsímil</v>
      </c>
      <c r="K14907" t="s">
        <v>22</v>
      </c>
    </row>
    <row r="14908" spans="1:11" ht="42" customHeight="1">
      <c r="A14908" t="s">
        <v>28874</v>
      </c>
      <c r="B14908" t="s">
        <v>28874</v>
      </c>
      <c r="C14908" t="s">
        <v>28</v>
      </c>
      <c r="D14908" t="s">
        <v>29</v>
      </c>
      <c r="E14908" s="6">
        <v>-28285</v>
      </c>
      <c r="F14908" t="s">
        <v>4539</v>
      </c>
      <c r="G14908" t="s">
        <v>35</v>
      </c>
      <c r="H14908" t="s">
        <v>20</v>
      </c>
      <c r="I14908" t="s">
        <v>28875</v>
      </c>
      <c r="J14908" t="str">
        <f>HYPERLINK("https://www.boe.es/gazeta/dias/1822/07/22/pdfs/GMD-1822-215.pdf#page=2","Abrir facsímil")</f>
        <v>Abrir facsímil</v>
      </c>
      <c r="K14908" t="s">
        <v>22</v>
      </c>
    </row>
    <row r="14909" spans="1:11" ht="42" customHeight="1">
      <c r="A14909" t="s">
        <v>28876</v>
      </c>
      <c r="B14909" t="s">
        <v>28877</v>
      </c>
      <c r="C14909" t="s">
        <v>28</v>
      </c>
      <c r="D14909" t="s">
        <v>29</v>
      </c>
      <c r="E14909" s="6">
        <v>-28230</v>
      </c>
      <c r="F14909" t="s">
        <v>1735</v>
      </c>
      <c r="G14909" t="s">
        <v>57</v>
      </c>
      <c r="H14909" t="s">
        <v>20</v>
      </c>
      <c r="I14909" t="s">
        <v>28878</v>
      </c>
      <c r="J14909" t="str">
        <f>HYPERLINK("https://www.boe.es/gazeta/dias/1822/09/15/pdfs/GMD-1822-271.pdf#page=4","Abrir facsímil")</f>
        <v>Abrir facsímil</v>
      </c>
      <c r="K14909" t="s">
        <v>22</v>
      </c>
    </row>
    <row r="14910" spans="1:11" ht="42" customHeight="1">
      <c r="A14910" t="s">
        <v>28879</v>
      </c>
      <c r="B14910" t="s">
        <v>28880</v>
      </c>
      <c r="C14910" t="s">
        <v>42</v>
      </c>
      <c r="D14910" t="s">
        <v>17</v>
      </c>
      <c r="E14910" s="6">
        <v>-28436</v>
      </c>
      <c r="F14910" t="s">
        <v>431</v>
      </c>
      <c r="G14910" t="s">
        <v>1428</v>
      </c>
      <c r="H14910" t="s">
        <v>20</v>
      </c>
      <c r="I14910" t="s">
        <v>28881</v>
      </c>
      <c r="J14910" t="str">
        <f>HYPERLINK("https://www.boe.es/gazeta/dias/1822/02/21/pdfs/GMD-1822-53.pdf#page=3","Abrir facsímil")</f>
        <v>Abrir facsímil</v>
      </c>
      <c r="K14910" t="s">
        <v>22</v>
      </c>
    </row>
    <row r="14911" spans="1:11" ht="42" customHeight="1">
      <c r="A14911" t="s">
        <v>28882</v>
      </c>
      <c r="B14911" t="s">
        <v>28883</v>
      </c>
      <c r="C14911" t="s">
        <v>50</v>
      </c>
      <c r="D14911" t="s">
        <v>51</v>
      </c>
      <c r="E14911" s="6">
        <v>-28357</v>
      </c>
      <c r="F14911" t="s">
        <v>690</v>
      </c>
      <c r="G14911" t="s">
        <v>31</v>
      </c>
      <c r="H14911" t="s">
        <v>20</v>
      </c>
      <c r="I14911" t="s">
        <v>28884</v>
      </c>
      <c r="J14911" t="str">
        <f>HYPERLINK("https://www.boe.es/gazeta/dias/1822/05/11/pdfs/GMD-1822-133.pdf#page=3","Abrir facsímil")</f>
        <v>Abrir facsímil</v>
      </c>
      <c r="K14911" t="s">
        <v>22</v>
      </c>
    </row>
    <row r="14912" spans="1:11" ht="42" customHeight="1">
      <c r="A14912" t="s">
        <v>28885</v>
      </c>
      <c r="B14912" t="s">
        <v>28885</v>
      </c>
      <c r="C14912" t="s">
        <v>50</v>
      </c>
      <c r="D14912" t="s">
        <v>51</v>
      </c>
      <c r="E14912" s="6">
        <v>-28198</v>
      </c>
      <c r="F14912" t="s">
        <v>981</v>
      </c>
      <c r="G14912" t="s">
        <v>57</v>
      </c>
      <c r="H14912" t="s">
        <v>20</v>
      </c>
      <c r="I14912" t="s">
        <v>28886</v>
      </c>
      <c r="J14912" t="str">
        <f>HYPERLINK("https://www.boe.es/gazeta/dias/1822/10/17/pdfs/GMD-1822-304.pdf#page=4","Abrir facsímil")</f>
        <v>Abrir facsímil</v>
      </c>
      <c r="K14912" t="s">
        <v>22</v>
      </c>
    </row>
    <row r="14913" spans="1:11" ht="42" customHeight="1">
      <c r="A14913" t="s">
        <v>28887</v>
      </c>
      <c r="B14913" t="s">
        <v>28887</v>
      </c>
      <c r="C14913" t="s">
        <v>28</v>
      </c>
      <c r="D14913" t="s">
        <v>29</v>
      </c>
      <c r="E14913" s="6">
        <v>-28425</v>
      </c>
      <c r="F14913" t="s">
        <v>419</v>
      </c>
      <c r="G14913" t="s">
        <v>31</v>
      </c>
      <c r="H14913" t="s">
        <v>20</v>
      </c>
      <c r="I14913" t="s">
        <v>28888</v>
      </c>
      <c r="J14913" t="str">
        <f>HYPERLINK("https://www.boe.es/gazeta/dias/1822/03/04/pdfs/GMD-1822-65.pdf#page=3","Abrir facsímil")</f>
        <v>Abrir facsímil</v>
      </c>
      <c r="K14913" t="s">
        <v>22</v>
      </c>
    </row>
    <row r="14914" spans="1:11" ht="42" customHeight="1">
      <c r="A14914" t="s">
        <v>28889</v>
      </c>
      <c r="B14914" t="s">
        <v>28890</v>
      </c>
      <c r="C14914" t="s">
        <v>42</v>
      </c>
      <c r="D14914" t="s">
        <v>17</v>
      </c>
      <c r="E14914" s="6">
        <v>-28145</v>
      </c>
      <c r="F14914" t="s">
        <v>1350</v>
      </c>
      <c r="G14914" t="s">
        <v>63</v>
      </c>
      <c r="H14914" t="s">
        <v>20</v>
      </c>
      <c r="I14914" t="s">
        <v>28891</v>
      </c>
      <c r="J14914" t="str">
        <f>HYPERLINK("https://www.boe.es/gazeta/dias/1822/12/09/pdfs/GMD-1822-359.pdf#page=6","Abrir facsímil")</f>
        <v>Abrir facsímil</v>
      </c>
      <c r="K14914" t="s">
        <v>22</v>
      </c>
    </row>
    <row r="14915" spans="1:11" ht="42" customHeight="1">
      <c r="A14915" t="s">
        <v>28892</v>
      </c>
      <c r="B14915" t="s">
        <v>28893</v>
      </c>
      <c r="C14915" t="s">
        <v>50</v>
      </c>
      <c r="D14915" t="s">
        <v>51</v>
      </c>
      <c r="E14915" s="6">
        <v>-28287</v>
      </c>
      <c r="F14915" t="s">
        <v>1295</v>
      </c>
      <c r="G14915" t="s">
        <v>31</v>
      </c>
      <c r="H14915" t="s">
        <v>20</v>
      </c>
      <c r="I14915" t="s">
        <v>28894</v>
      </c>
      <c r="J14915" t="str">
        <f>HYPERLINK("https://www.boe.es/gazeta/dias/1822/07/20/pdfs/GMD-1822-212.pdf#page=3","Abrir facsímil")</f>
        <v>Abrir facsímil</v>
      </c>
      <c r="K14915" t="s">
        <v>22</v>
      </c>
    </row>
    <row r="14916" spans="1:11" ht="42" customHeight="1">
      <c r="A14916" t="s">
        <v>28895</v>
      </c>
      <c r="B14916" t="s">
        <v>28896</v>
      </c>
      <c r="C14916" t="s">
        <v>50</v>
      </c>
      <c r="D14916" t="s">
        <v>51</v>
      </c>
      <c r="E14916" s="6">
        <v>-28358</v>
      </c>
      <c r="F14916" t="s">
        <v>211</v>
      </c>
      <c r="G14916" t="s">
        <v>157</v>
      </c>
      <c r="H14916" t="s">
        <v>20</v>
      </c>
      <c r="I14916" t="s">
        <v>28897</v>
      </c>
      <c r="J14916" t="str">
        <f>HYPERLINK("https://www.boe.es/gazeta/dias/1822/05/10/pdfs/GMD-1822-132.pdf#page=8","Abrir facsímil")</f>
        <v>Abrir facsímil</v>
      </c>
      <c r="K14916" t="s">
        <v>22</v>
      </c>
    </row>
    <row r="14917" spans="1:11" ht="42" customHeight="1">
      <c r="A14917" t="s">
        <v>28898</v>
      </c>
      <c r="B14917" t="s">
        <v>28899</v>
      </c>
      <c r="C14917" t="s">
        <v>42</v>
      </c>
      <c r="D14917" t="s">
        <v>17</v>
      </c>
      <c r="E14917" s="6">
        <v>-28307</v>
      </c>
      <c r="F14917" t="s">
        <v>555</v>
      </c>
      <c r="G14917" t="s">
        <v>157</v>
      </c>
      <c r="H14917" t="s">
        <v>20</v>
      </c>
      <c r="I14917" t="s">
        <v>28900</v>
      </c>
      <c r="J14917" t="str">
        <f>HYPERLINK("https://www.boe.es/gazeta/dias/1822/06/30/pdfs/GMD-1822-188.pdf#page=8","Abrir facsímil")</f>
        <v>Abrir facsímil</v>
      </c>
      <c r="K14917" t="s">
        <v>22</v>
      </c>
    </row>
    <row r="14918" spans="1:11" ht="42" customHeight="1">
      <c r="A14918" t="s">
        <v>28901</v>
      </c>
      <c r="B14918" t="s">
        <v>28901</v>
      </c>
      <c r="C14918" t="s">
        <v>71</v>
      </c>
      <c r="D14918" t="s">
        <v>17</v>
      </c>
      <c r="E14918" s="6">
        <v>-28442</v>
      </c>
      <c r="F14918" t="s">
        <v>2250</v>
      </c>
      <c r="G14918" t="s">
        <v>2251</v>
      </c>
      <c r="H14918" t="s">
        <v>20</v>
      </c>
      <c r="I14918" t="s">
        <v>28902</v>
      </c>
      <c r="J14918" t="str">
        <f>HYPERLINK("https://www.boe.es/gazeta/dias/1822/02/15/pdfs/GMD-1822-47.pdf#page=4","Abrir facsímil")</f>
        <v>Abrir facsímil</v>
      </c>
      <c r="K14918" t="s">
        <v>22</v>
      </c>
    </row>
    <row r="14919" spans="1:11" ht="42" customHeight="1">
      <c r="A14919" t="s">
        <v>28903</v>
      </c>
      <c r="B14919" t="s">
        <v>28904</v>
      </c>
      <c r="C14919" t="s">
        <v>50</v>
      </c>
      <c r="D14919" t="s">
        <v>723</v>
      </c>
      <c r="E14919" s="6">
        <v>-28181</v>
      </c>
      <c r="F14919" t="s">
        <v>724</v>
      </c>
      <c r="G14919" t="s">
        <v>44</v>
      </c>
      <c r="H14919" t="s">
        <v>20</v>
      </c>
      <c r="I14919" t="s">
        <v>28905</v>
      </c>
      <c r="J14919" t="str">
        <f>HYPERLINK("https://www.boe.es/gazeta/dias/1822/11/03/pdfs/GMD-1822-322E.pdf#page=1","Abrir facsímil")</f>
        <v>Abrir facsímil</v>
      </c>
      <c r="K14919" t="s">
        <v>22</v>
      </c>
    </row>
    <row r="14920" spans="1:11" ht="42" customHeight="1">
      <c r="A14920" t="s">
        <v>28903</v>
      </c>
      <c r="B14920" t="s">
        <v>28904</v>
      </c>
      <c r="C14920" t="s">
        <v>28</v>
      </c>
      <c r="D14920" t="s">
        <v>723</v>
      </c>
      <c r="E14920" s="6">
        <v>-28181</v>
      </c>
      <c r="F14920" t="s">
        <v>724</v>
      </c>
      <c r="G14920" t="s">
        <v>35</v>
      </c>
      <c r="H14920" t="s">
        <v>20</v>
      </c>
      <c r="I14920" t="s">
        <v>28906</v>
      </c>
      <c r="J14920" t="str">
        <f>HYPERLINK("https://www.boe.es/gazeta/dias/1822/11/03/pdfs/GMD-1822-322E.pdf#page=2","Abrir facsímil")</f>
        <v>Abrir facsímil</v>
      </c>
      <c r="K14920" t="s">
        <v>22</v>
      </c>
    </row>
    <row r="14921" spans="1:11" ht="42" customHeight="1">
      <c r="A14921" t="s">
        <v>28907</v>
      </c>
      <c r="B14921" t="s">
        <v>28908</v>
      </c>
      <c r="C14921" t="s">
        <v>71</v>
      </c>
      <c r="D14921" t="s">
        <v>17</v>
      </c>
      <c r="E14921" s="6">
        <v>-28374</v>
      </c>
      <c r="F14921" t="s">
        <v>171</v>
      </c>
      <c r="G14921" t="s">
        <v>35</v>
      </c>
      <c r="H14921" t="s">
        <v>20</v>
      </c>
      <c r="I14921" t="s">
        <v>28909</v>
      </c>
      <c r="J14921" t="str">
        <f>HYPERLINK("https://www.boe.es/gazeta/dias/1822/04/24/pdfs/GMD-1822-116.pdf#page=2","Abrir facsímil")</f>
        <v>Abrir facsímil</v>
      </c>
      <c r="K14921" t="s">
        <v>22</v>
      </c>
    </row>
    <row r="14922" spans="1:11" ht="42" customHeight="1">
      <c r="A14922" t="s">
        <v>28910</v>
      </c>
      <c r="B14922" t="s">
        <v>28910</v>
      </c>
      <c r="C14922" t="s">
        <v>16</v>
      </c>
      <c r="D14922" t="s">
        <v>17</v>
      </c>
      <c r="E14922" s="6">
        <v>-28357</v>
      </c>
      <c r="F14922" t="s">
        <v>690</v>
      </c>
      <c r="G14922" t="s">
        <v>19</v>
      </c>
      <c r="H14922" t="s">
        <v>20</v>
      </c>
      <c r="I14922" t="s">
        <v>28911</v>
      </c>
      <c r="J14922" t="str">
        <f>HYPERLINK("https://www.boe.es/gazeta/dias/1822/05/11/pdfs/GMD-1822-133.pdf#page=5","Abrir facsímil")</f>
        <v>Abrir facsímil</v>
      </c>
      <c r="K14922" t="s">
        <v>22</v>
      </c>
    </row>
    <row r="14923" spans="1:11" ht="42" customHeight="1">
      <c r="A14923" t="s">
        <v>28912</v>
      </c>
      <c r="B14923" t="s">
        <v>28912</v>
      </c>
      <c r="C14923" t="s">
        <v>50</v>
      </c>
      <c r="D14923" t="s">
        <v>51</v>
      </c>
      <c r="E14923" s="6">
        <v>-28222</v>
      </c>
      <c r="F14923" t="s">
        <v>2027</v>
      </c>
      <c r="G14923" t="s">
        <v>31</v>
      </c>
      <c r="H14923" t="s">
        <v>20</v>
      </c>
      <c r="I14923" t="s">
        <v>28913</v>
      </c>
      <c r="J14923" t="str">
        <f>HYPERLINK("https://www.boe.es/gazeta/dias/1822/09/23/pdfs/GMD-1822-279.pdf#page=3","Abrir facsímil")</f>
        <v>Abrir facsímil</v>
      </c>
      <c r="K14923" t="s">
        <v>22</v>
      </c>
    </row>
    <row r="14924" spans="1:11" ht="42" customHeight="1">
      <c r="A14924" t="s">
        <v>28914</v>
      </c>
      <c r="B14924" t="s">
        <v>28915</v>
      </c>
      <c r="C14924" t="s">
        <v>50</v>
      </c>
      <c r="D14924" t="s">
        <v>51</v>
      </c>
      <c r="E14924" s="6">
        <v>-28303</v>
      </c>
      <c r="F14924" t="s">
        <v>201</v>
      </c>
      <c r="G14924" t="s">
        <v>57</v>
      </c>
      <c r="H14924" t="s">
        <v>45</v>
      </c>
      <c r="I14924" t="s">
        <v>28916</v>
      </c>
      <c r="J14924" t="str">
        <f>HYPERLINK("https://www.boe.es/gazeta/dias/1822/07/04/pdfs/GMD-1822-193.pdf#page=4","Abrir facsímil")</f>
        <v>Abrir facsímil</v>
      </c>
      <c r="K14924" t="s">
        <v>47</v>
      </c>
    </row>
    <row r="14925" spans="1:11" ht="42" customHeight="1">
      <c r="A14925" t="s">
        <v>28917</v>
      </c>
      <c r="B14925" t="s">
        <v>28918</v>
      </c>
      <c r="C14925" t="s">
        <v>16</v>
      </c>
      <c r="D14925" t="s">
        <v>17</v>
      </c>
      <c r="E14925" s="6">
        <v>-28133</v>
      </c>
      <c r="F14925" t="s">
        <v>595</v>
      </c>
      <c r="G14925" t="s">
        <v>57</v>
      </c>
      <c r="H14925" t="s">
        <v>20</v>
      </c>
      <c r="I14925" t="s">
        <v>28919</v>
      </c>
      <c r="J14925" t="str">
        <f>HYPERLINK("https://www.boe.es/gazeta/dias/1822/12/21/pdfs/GMD-1822-371.pdf#page=4","Abrir facsímil")</f>
        <v>Abrir facsímil</v>
      </c>
      <c r="K14925" t="s">
        <v>22</v>
      </c>
    </row>
    <row r="14926" spans="1:11" ht="42" customHeight="1">
      <c r="A14926" t="s">
        <v>28920</v>
      </c>
      <c r="B14926" t="s">
        <v>28920</v>
      </c>
      <c r="C14926" t="s">
        <v>50</v>
      </c>
      <c r="D14926" t="s">
        <v>51</v>
      </c>
      <c r="E14926" s="6">
        <v>-28478</v>
      </c>
      <c r="F14926" t="s">
        <v>1093</v>
      </c>
      <c r="G14926" t="s">
        <v>44</v>
      </c>
      <c r="H14926" t="s">
        <v>20</v>
      </c>
      <c r="I14926" t="s">
        <v>28921</v>
      </c>
      <c r="J14926" t="str">
        <f>HYPERLINK("https://www.boe.es/gazeta/dias/1822/01/10/pdfs/GMD-1822-10.pdf#page=1","Abrir facsímil")</f>
        <v>Abrir facsímil</v>
      </c>
      <c r="K14926" t="s">
        <v>22</v>
      </c>
    </row>
    <row r="14927" spans="1:11" ht="42" customHeight="1">
      <c r="A14927" t="s">
        <v>28922</v>
      </c>
      <c r="B14927" t="s">
        <v>28922</v>
      </c>
      <c r="C14927" t="s">
        <v>50</v>
      </c>
      <c r="D14927" t="s">
        <v>51</v>
      </c>
      <c r="E14927" s="6">
        <v>-28478</v>
      </c>
      <c r="F14927" t="s">
        <v>1093</v>
      </c>
      <c r="G14927" t="s">
        <v>35</v>
      </c>
      <c r="H14927" t="s">
        <v>20</v>
      </c>
      <c r="I14927" t="s">
        <v>28923</v>
      </c>
      <c r="J14927" t="str">
        <f>HYPERLINK("https://www.boe.es/gazeta/dias/1822/01/10/pdfs/GMD-1822-10.pdf#page=2","Abrir facsímil")</f>
        <v>Abrir facsímil</v>
      </c>
      <c r="K14927" t="s">
        <v>22</v>
      </c>
    </row>
    <row r="14928" spans="1:11" ht="42" customHeight="1">
      <c r="A14928" t="s">
        <v>28924</v>
      </c>
      <c r="B14928" t="s">
        <v>28924</v>
      </c>
      <c r="C14928" t="s">
        <v>28</v>
      </c>
      <c r="D14928" t="s">
        <v>29</v>
      </c>
      <c r="E14928" s="6">
        <v>-28346</v>
      </c>
      <c r="F14928" t="s">
        <v>191</v>
      </c>
      <c r="G14928" t="s">
        <v>31</v>
      </c>
      <c r="H14928" t="s">
        <v>20</v>
      </c>
      <c r="I14928" t="s">
        <v>28925</v>
      </c>
      <c r="J14928" t="str">
        <f>HYPERLINK("https://www.boe.es/gazeta/dias/1822/05/22/pdfs/GMD-1822-145.pdf#page=3","Abrir facsímil")</f>
        <v>Abrir facsímil</v>
      </c>
      <c r="K14928" t="s">
        <v>22</v>
      </c>
    </row>
    <row r="14929" spans="1:11" ht="42" customHeight="1">
      <c r="A14929" t="s">
        <v>28926</v>
      </c>
      <c r="B14929" t="s">
        <v>28927</v>
      </c>
      <c r="C14929" t="s">
        <v>50</v>
      </c>
      <c r="D14929" t="s">
        <v>51</v>
      </c>
      <c r="E14929" s="6">
        <v>-28415</v>
      </c>
      <c r="F14929" t="s">
        <v>77</v>
      </c>
      <c r="G14929" t="s">
        <v>63</v>
      </c>
      <c r="H14929" t="s">
        <v>20</v>
      </c>
      <c r="I14929" t="s">
        <v>28928</v>
      </c>
      <c r="J14929" t="str">
        <f>HYPERLINK("https://www.boe.es/gazeta/dias/1822/03/14/pdfs/GMD-1822-75.pdf#page=6","Abrir facsímil")</f>
        <v>Abrir facsímil</v>
      </c>
      <c r="K14929" t="s">
        <v>22</v>
      </c>
    </row>
    <row r="14930" spans="1:11" ht="42" customHeight="1">
      <c r="A14930" t="s">
        <v>28929</v>
      </c>
      <c r="B14930" t="s">
        <v>28930</v>
      </c>
      <c r="C14930" t="s">
        <v>50</v>
      </c>
      <c r="D14930" t="s">
        <v>51</v>
      </c>
      <c r="E14930" s="6">
        <v>-28358</v>
      </c>
      <c r="F14930" t="s">
        <v>211</v>
      </c>
      <c r="G14930" t="s">
        <v>157</v>
      </c>
      <c r="H14930" t="s">
        <v>20</v>
      </c>
      <c r="I14930" t="s">
        <v>28931</v>
      </c>
      <c r="J14930" t="str">
        <f>HYPERLINK("https://www.boe.es/gazeta/dias/1822/05/10/pdfs/GMD-1822-132.pdf#page=8","Abrir facsímil")</f>
        <v>Abrir facsímil</v>
      </c>
      <c r="K14930" t="s">
        <v>22</v>
      </c>
    </row>
    <row r="14931" spans="1:11" ht="42" customHeight="1">
      <c r="A14931" t="s">
        <v>28932</v>
      </c>
      <c r="B14931" t="s">
        <v>28933</v>
      </c>
      <c r="C14931" t="s">
        <v>71</v>
      </c>
      <c r="D14931" t="s">
        <v>17</v>
      </c>
      <c r="E14931" s="6">
        <v>-28320</v>
      </c>
      <c r="F14931" t="s">
        <v>700</v>
      </c>
      <c r="G14931" t="s">
        <v>31</v>
      </c>
      <c r="H14931" t="s">
        <v>20</v>
      </c>
      <c r="I14931" t="s">
        <v>28934</v>
      </c>
      <c r="J14931" t="str">
        <f>HYPERLINK("https://www.boe.es/gazeta/dias/1822/06/17/pdfs/GMD-1822-174.pdf#page=3","Abrir facsímil")</f>
        <v>Abrir facsímil</v>
      </c>
      <c r="K14931" t="s">
        <v>22</v>
      </c>
    </row>
    <row r="14932" spans="1:11" ht="42" customHeight="1">
      <c r="A14932" t="s">
        <v>28932</v>
      </c>
      <c r="B14932" t="s">
        <v>28933</v>
      </c>
      <c r="C14932" t="s">
        <v>28</v>
      </c>
      <c r="D14932" t="s">
        <v>29</v>
      </c>
      <c r="E14932" s="6">
        <v>-28312</v>
      </c>
      <c r="F14932" t="s">
        <v>92</v>
      </c>
      <c r="G14932" t="s">
        <v>35</v>
      </c>
      <c r="H14932" t="s">
        <v>20</v>
      </c>
      <c r="I14932" t="s">
        <v>28935</v>
      </c>
      <c r="J14932" t="str">
        <f>HYPERLINK("https://www.boe.es/gazeta/dias/1822/06/25/pdfs/GMD-1822-183.pdf#page=2","Abrir facsímil")</f>
        <v>Abrir facsímil</v>
      </c>
      <c r="K14932" t="s">
        <v>22</v>
      </c>
    </row>
    <row r="14933" spans="1:11" ht="42" customHeight="1">
      <c r="A14933" t="s">
        <v>28936</v>
      </c>
      <c r="B14933" t="s">
        <v>28937</v>
      </c>
      <c r="C14933" t="s">
        <v>50</v>
      </c>
      <c r="D14933" t="s">
        <v>51</v>
      </c>
      <c r="E14933" s="6">
        <v>-28303</v>
      </c>
      <c r="F14933" t="s">
        <v>201</v>
      </c>
      <c r="G14933" t="s">
        <v>31</v>
      </c>
      <c r="H14933" t="s">
        <v>20</v>
      </c>
      <c r="I14933" t="s">
        <v>28938</v>
      </c>
      <c r="J14933" t="str">
        <f>HYPERLINK("https://www.boe.es/gazeta/dias/1822/07/04/pdfs/GMD-1822-193.pdf#page=3","Abrir facsímil")</f>
        <v>Abrir facsímil</v>
      </c>
      <c r="K14933" t="s">
        <v>22</v>
      </c>
    </row>
    <row r="14934" spans="1:11" ht="42" customHeight="1">
      <c r="A14934" t="s">
        <v>28939</v>
      </c>
      <c r="B14934" t="s">
        <v>28939</v>
      </c>
      <c r="C14934" t="s">
        <v>42</v>
      </c>
      <c r="D14934" t="s">
        <v>17</v>
      </c>
      <c r="E14934" s="6">
        <v>-28214</v>
      </c>
      <c r="F14934" t="s">
        <v>814</v>
      </c>
      <c r="G14934" t="s">
        <v>35</v>
      </c>
      <c r="H14934" t="s">
        <v>20</v>
      </c>
      <c r="I14934" t="s">
        <v>28940</v>
      </c>
      <c r="J14934" t="str">
        <f>HYPERLINK("https://www.boe.es/gazeta/dias/1822/10/01/pdfs/GMD-1822-287.pdf#page=2","Abrir facsímil")</f>
        <v>Abrir facsímil</v>
      </c>
      <c r="K14934" t="s">
        <v>22</v>
      </c>
    </row>
    <row r="14935" spans="1:11" ht="42" customHeight="1">
      <c r="A14935" t="s">
        <v>28941</v>
      </c>
      <c r="B14935" t="s">
        <v>28942</v>
      </c>
      <c r="C14935" t="s">
        <v>50</v>
      </c>
      <c r="D14935" t="s">
        <v>51</v>
      </c>
      <c r="E14935" s="6">
        <v>-28214</v>
      </c>
      <c r="F14935" t="s">
        <v>814</v>
      </c>
      <c r="G14935" t="s">
        <v>35</v>
      </c>
      <c r="H14935" t="s">
        <v>20</v>
      </c>
      <c r="I14935" t="s">
        <v>28943</v>
      </c>
      <c r="J14935" t="str">
        <f>HYPERLINK("https://www.boe.es/gazeta/dias/1822/10/01/pdfs/GMD-1822-287.pdf#page=2","Abrir facsímil")</f>
        <v>Abrir facsímil</v>
      </c>
      <c r="K14935" t="s">
        <v>22</v>
      </c>
    </row>
    <row r="14936" spans="1:11" ht="42" customHeight="1">
      <c r="A14936" t="s">
        <v>28941</v>
      </c>
      <c r="B14936" t="s">
        <v>28942</v>
      </c>
      <c r="C14936" t="s">
        <v>42</v>
      </c>
      <c r="D14936" t="s">
        <v>17</v>
      </c>
      <c r="E14936" s="6">
        <v>-28161</v>
      </c>
      <c r="F14936" t="s">
        <v>166</v>
      </c>
      <c r="G14936" t="s">
        <v>157</v>
      </c>
      <c r="H14936" t="s">
        <v>20</v>
      </c>
      <c r="I14936" t="s">
        <v>28944</v>
      </c>
      <c r="J14936" t="str">
        <f>HYPERLINK("https://www.boe.es/gazeta/dias/1822/11/23/pdfs/GMD-1822-343.pdf#page=8","Abrir facsímil")</f>
        <v>Abrir facsímil</v>
      </c>
      <c r="K14936" t="s">
        <v>22</v>
      </c>
    </row>
    <row r="14937" spans="1:11" ht="42" customHeight="1">
      <c r="A14937" t="s">
        <v>28945</v>
      </c>
      <c r="B14937" t="s">
        <v>28946</v>
      </c>
      <c r="C14937" t="s">
        <v>50</v>
      </c>
      <c r="D14937" t="s">
        <v>51</v>
      </c>
      <c r="E14937" s="6">
        <v>-28232</v>
      </c>
      <c r="F14937" t="s">
        <v>3875</v>
      </c>
      <c r="G14937" t="s">
        <v>35</v>
      </c>
      <c r="H14937" t="s">
        <v>20</v>
      </c>
      <c r="I14937" t="s">
        <v>28947</v>
      </c>
      <c r="J14937" t="str">
        <f>HYPERLINK("https://www.boe.es/gazeta/dias/1822/09/13/pdfs/GMD-1822-269.pdf#page=2","Abrir facsímil")</f>
        <v>Abrir facsímil</v>
      </c>
      <c r="K14937" t="s">
        <v>22</v>
      </c>
    </row>
    <row r="14938" spans="1:11" ht="42" customHeight="1">
      <c r="A14938" t="s">
        <v>28948</v>
      </c>
      <c r="B14938" t="s">
        <v>28949</v>
      </c>
      <c r="C14938" t="s">
        <v>61</v>
      </c>
      <c r="D14938" t="s">
        <v>17</v>
      </c>
      <c r="E14938" s="6">
        <v>-28455</v>
      </c>
      <c r="F14938" t="s">
        <v>1107</v>
      </c>
      <c r="G14938" t="s">
        <v>63</v>
      </c>
      <c r="H14938" t="s">
        <v>20</v>
      </c>
      <c r="I14938" t="s">
        <v>28950</v>
      </c>
      <c r="J14938" t="str">
        <f>HYPERLINK("https://www.boe.es/gazeta/dias/1822/02/02/pdfs/GMD-1822-33.pdf#page=6","Abrir facsímil")</f>
        <v>Abrir facsímil</v>
      </c>
      <c r="K14938" t="s">
        <v>22</v>
      </c>
    </row>
    <row r="14939" spans="1:11" ht="42" customHeight="1">
      <c r="A14939" t="s">
        <v>28951</v>
      </c>
      <c r="B14939" t="s">
        <v>28952</v>
      </c>
      <c r="C14939" t="s">
        <v>50</v>
      </c>
      <c r="D14939" t="s">
        <v>51</v>
      </c>
      <c r="E14939" s="6">
        <v>-28324</v>
      </c>
      <c r="F14939" t="s">
        <v>305</v>
      </c>
      <c r="G14939" t="s">
        <v>19</v>
      </c>
      <c r="H14939" t="s">
        <v>20</v>
      </c>
      <c r="I14939" t="s">
        <v>28953</v>
      </c>
      <c r="J14939" t="str">
        <f>HYPERLINK("https://www.boe.es/gazeta/dias/1822/06/13/pdfs/GMD-1822-170.pdf#page=5","Abrir facsímil")</f>
        <v>Abrir facsímil</v>
      </c>
      <c r="K14939" t="s">
        <v>22</v>
      </c>
    </row>
    <row r="14940" spans="1:11" ht="42" customHeight="1">
      <c r="A14940" t="s">
        <v>28954</v>
      </c>
      <c r="B14940" t="s">
        <v>28955</v>
      </c>
      <c r="C14940" t="s">
        <v>24</v>
      </c>
      <c r="D14940" t="s">
        <v>17</v>
      </c>
      <c r="E14940" s="6">
        <v>-28313</v>
      </c>
      <c r="F14940" t="s">
        <v>315</v>
      </c>
      <c r="G14940" t="s">
        <v>157</v>
      </c>
      <c r="H14940" t="s">
        <v>20</v>
      </c>
      <c r="I14940" t="s">
        <v>28956</v>
      </c>
      <c r="J14940" t="str">
        <f>HYPERLINK("https://www.boe.es/gazeta/dias/1822/06/24/pdfs/GMD-1822-182.pdf#page=8","Abrir facsímil")</f>
        <v>Abrir facsímil</v>
      </c>
      <c r="K14940" t="s">
        <v>22</v>
      </c>
    </row>
    <row r="14941" spans="1:11" ht="42" customHeight="1">
      <c r="A14941" t="s">
        <v>28957</v>
      </c>
      <c r="B14941" t="s">
        <v>28958</v>
      </c>
      <c r="C14941" t="s">
        <v>50</v>
      </c>
      <c r="D14941" t="s">
        <v>51</v>
      </c>
      <c r="E14941" s="6">
        <v>-28291</v>
      </c>
      <c r="F14941" t="s">
        <v>363</v>
      </c>
      <c r="G14941" t="s">
        <v>31</v>
      </c>
      <c r="H14941" t="s">
        <v>20</v>
      </c>
      <c r="I14941" t="s">
        <v>28959</v>
      </c>
      <c r="J14941" t="str">
        <f>HYPERLINK("https://www.boe.es/gazeta/dias/1822/07/16/pdfs/GMD-1822-206.pdf#page=3","Abrir facsímil")</f>
        <v>Abrir facsímil</v>
      </c>
      <c r="K14941" t="s">
        <v>22</v>
      </c>
    </row>
    <row r="14942" spans="1:11" ht="42" customHeight="1">
      <c r="A14942" t="s">
        <v>28960</v>
      </c>
      <c r="B14942" t="s">
        <v>28960</v>
      </c>
      <c r="C14942" t="s">
        <v>28</v>
      </c>
      <c r="D14942" t="s">
        <v>29</v>
      </c>
      <c r="E14942" s="6">
        <v>-28141</v>
      </c>
      <c r="F14942" t="s">
        <v>265</v>
      </c>
      <c r="G14942" t="s">
        <v>31</v>
      </c>
      <c r="H14942" t="s">
        <v>20</v>
      </c>
      <c r="I14942" t="s">
        <v>28961</v>
      </c>
      <c r="J14942" t="str">
        <f>HYPERLINK("https://www.boe.es/gazeta/dias/1822/12/13/pdfs/GMD-1822-363.pdf#page=3","Abrir facsímil")</f>
        <v>Abrir facsímil</v>
      </c>
      <c r="K14942" t="s">
        <v>22</v>
      </c>
    </row>
    <row r="14943" spans="1:11" ht="42" customHeight="1">
      <c r="A14943" t="s">
        <v>28962</v>
      </c>
      <c r="B14943" t="s">
        <v>28962</v>
      </c>
      <c r="C14943" t="s">
        <v>16</v>
      </c>
      <c r="D14943" t="s">
        <v>17</v>
      </c>
      <c r="E14943" s="6">
        <v>-28333</v>
      </c>
      <c r="F14943" t="s">
        <v>1928</v>
      </c>
      <c r="G14943" t="s">
        <v>57</v>
      </c>
      <c r="H14943" t="s">
        <v>20</v>
      </c>
      <c r="I14943" t="s">
        <v>28963</v>
      </c>
      <c r="J14943" t="str">
        <f>HYPERLINK("https://www.boe.es/gazeta/dias/1822/06/04/pdfs/GMD-1822-161.pdf#page=4","Abrir facsímil")</f>
        <v>Abrir facsímil</v>
      </c>
      <c r="K14943" t="s">
        <v>22</v>
      </c>
    </row>
    <row r="14944" spans="1:11" ht="42" customHeight="1">
      <c r="A14944" t="s">
        <v>28964</v>
      </c>
      <c r="B14944" t="s">
        <v>28964</v>
      </c>
      <c r="C14944" t="s">
        <v>71</v>
      </c>
      <c r="D14944" t="s">
        <v>17</v>
      </c>
      <c r="E14944" s="6">
        <v>-28194</v>
      </c>
      <c r="F14944" t="s">
        <v>18</v>
      </c>
      <c r="G14944" t="s">
        <v>19</v>
      </c>
      <c r="H14944" t="s">
        <v>20</v>
      </c>
      <c r="I14944" t="s">
        <v>28965</v>
      </c>
      <c r="J14944" t="str">
        <f>HYPERLINK("https://www.boe.es/gazeta/dias/1822/10/21/pdfs/GMD-1822-308.pdf#page=5","Abrir facsímil")</f>
        <v>Abrir facsímil</v>
      </c>
      <c r="K14944" t="s">
        <v>22</v>
      </c>
    </row>
    <row r="14945" spans="1:11" ht="42" customHeight="1">
      <c r="A14945" t="s">
        <v>28966</v>
      </c>
      <c r="B14945" t="s">
        <v>28967</v>
      </c>
      <c r="C14945" t="s">
        <v>71</v>
      </c>
      <c r="D14945" t="s">
        <v>17</v>
      </c>
      <c r="E14945" s="6">
        <v>-28166</v>
      </c>
      <c r="F14945" t="s">
        <v>942</v>
      </c>
      <c r="G14945" t="s">
        <v>35</v>
      </c>
      <c r="H14945" t="s">
        <v>20</v>
      </c>
      <c r="I14945" t="s">
        <v>28968</v>
      </c>
      <c r="J14945" t="str">
        <f>HYPERLINK("https://www.boe.es/gazeta/dias/1822/11/18/pdfs/GMD-1822-338.pdf#page=2","Abrir facsímil")</f>
        <v>Abrir facsímil</v>
      </c>
      <c r="K14945" t="s">
        <v>22</v>
      </c>
    </row>
    <row r="14946" spans="1:11" ht="42" customHeight="1">
      <c r="A14946" t="s">
        <v>28969</v>
      </c>
      <c r="B14946" t="s">
        <v>28970</v>
      </c>
      <c r="C14946" t="s">
        <v>50</v>
      </c>
      <c r="D14946" t="s">
        <v>723</v>
      </c>
      <c r="E14946" s="6">
        <v>-28181</v>
      </c>
      <c r="F14946" t="s">
        <v>724</v>
      </c>
      <c r="G14946" t="s">
        <v>35</v>
      </c>
      <c r="H14946" t="s">
        <v>20</v>
      </c>
      <c r="I14946" t="s">
        <v>28971</v>
      </c>
      <c r="J14946" t="str">
        <f>HYPERLINK("https://www.boe.es/gazeta/dias/1822/11/03/pdfs/GMD-1822-322E.pdf#page=2","Abrir facsímil")</f>
        <v>Abrir facsímil</v>
      </c>
      <c r="K14946" t="s">
        <v>22</v>
      </c>
    </row>
    <row r="14947" spans="1:11" ht="42" customHeight="1">
      <c r="A14947" t="s">
        <v>28972</v>
      </c>
      <c r="B14947" t="s">
        <v>28972</v>
      </c>
      <c r="C14947" t="s">
        <v>50</v>
      </c>
      <c r="D14947" t="s">
        <v>51</v>
      </c>
      <c r="E14947" s="6">
        <v>-28366</v>
      </c>
      <c r="F14947" t="s">
        <v>120</v>
      </c>
      <c r="G14947" t="s">
        <v>35</v>
      </c>
      <c r="H14947" t="s">
        <v>20</v>
      </c>
      <c r="I14947" t="s">
        <v>28973</v>
      </c>
      <c r="J14947" t="str">
        <f>HYPERLINK("https://www.boe.es/gazeta/dias/1822/05/02/pdfs/GMD-1822-124.pdf#page=2","Abrir facsímil")</f>
        <v>Abrir facsímil</v>
      </c>
      <c r="K14947" t="s">
        <v>22</v>
      </c>
    </row>
    <row r="14948" spans="1:11" ht="42" customHeight="1">
      <c r="A14948" t="s">
        <v>28974</v>
      </c>
      <c r="B14948" t="s">
        <v>28974</v>
      </c>
      <c r="C14948" t="s">
        <v>50</v>
      </c>
      <c r="D14948" t="s">
        <v>51</v>
      </c>
      <c r="E14948" s="6">
        <v>-28314</v>
      </c>
      <c r="F14948" t="s">
        <v>309</v>
      </c>
      <c r="G14948" t="s">
        <v>31</v>
      </c>
      <c r="H14948" t="s">
        <v>20</v>
      </c>
      <c r="I14948" t="s">
        <v>28975</v>
      </c>
      <c r="J14948" t="str">
        <f>HYPERLINK("https://www.boe.es/gazeta/dias/1822/06/23/pdfs/GMD-1822-181.pdf#page=3","Abrir facsímil")</f>
        <v>Abrir facsímil</v>
      </c>
      <c r="K14948" t="s">
        <v>22</v>
      </c>
    </row>
    <row r="14949" spans="1:11" ht="42" customHeight="1">
      <c r="A14949" t="s">
        <v>28976</v>
      </c>
      <c r="B14949" t="s">
        <v>28976</v>
      </c>
      <c r="C14949" t="s">
        <v>24</v>
      </c>
      <c r="D14949" t="s">
        <v>17</v>
      </c>
      <c r="E14949" s="6">
        <v>-28467</v>
      </c>
      <c r="F14949" t="s">
        <v>1096</v>
      </c>
      <c r="G14949" t="s">
        <v>44</v>
      </c>
      <c r="H14949" t="s">
        <v>20</v>
      </c>
      <c r="I14949" t="s">
        <v>28977</v>
      </c>
      <c r="J14949" t="str">
        <f>HYPERLINK("https://www.boe.es/gazeta/dias/1822/01/21/pdfs/GMD-1822-21.pdf#page=1","Abrir facsímil")</f>
        <v>Abrir facsímil</v>
      </c>
      <c r="K14949" t="s">
        <v>22</v>
      </c>
    </row>
    <row r="14950" spans="1:11" ht="42" customHeight="1">
      <c r="A14950" t="s">
        <v>28978</v>
      </c>
      <c r="B14950" t="s">
        <v>28978</v>
      </c>
      <c r="C14950" t="s">
        <v>50</v>
      </c>
      <c r="D14950" t="s">
        <v>51</v>
      </c>
      <c r="E14950" s="6">
        <v>-28354</v>
      </c>
      <c r="F14950" t="s">
        <v>226</v>
      </c>
      <c r="G14950" t="s">
        <v>57</v>
      </c>
      <c r="H14950" t="s">
        <v>20</v>
      </c>
      <c r="I14950" t="s">
        <v>28979</v>
      </c>
      <c r="J14950" t="str">
        <f>HYPERLINK("https://www.boe.es/gazeta/dias/1822/05/14/pdfs/GMD-1822-136.pdf#page=4","Abrir facsímil")</f>
        <v>Abrir facsímil</v>
      </c>
      <c r="K14950" t="s">
        <v>22</v>
      </c>
    </row>
    <row r="14951" spans="1:11" ht="42" customHeight="1">
      <c r="A14951" t="s">
        <v>28980</v>
      </c>
      <c r="B14951" t="s">
        <v>28980</v>
      </c>
      <c r="C14951" t="s">
        <v>42</v>
      </c>
      <c r="D14951" t="s">
        <v>17</v>
      </c>
      <c r="E14951" s="6">
        <v>-28180</v>
      </c>
      <c r="F14951" t="s">
        <v>839</v>
      </c>
      <c r="G14951" t="s">
        <v>31</v>
      </c>
      <c r="H14951" t="s">
        <v>20</v>
      </c>
      <c r="I14951" t="s">
        <v>28981</v>
      </c>
      <c r="J14951" t="str">
        <f>HYPERLINK("https://www.boe.es/gazeta/dias/1822/11/04/pdfs/GMD-1822-323.pdf#page=3","Abrir facsímil")</f>
        <v>Abrir facsímil</v>
      </c>
      <c r="K14951" t="s">
        <v>22</v>
      </c>
    </row>
    <row r="14952" spans="1:11" ht="42" customHeight="1">
      <c r="A14952" t="s">
        <v>28982</v>
      </c>
      <c r="B14952" t="s">
        <v>28982</v>
      </c>
      <c r="C14952" t="s">
        <v>50</v>
      </c>
      <c r="D14952" t="s">
        <v>51</v>
      </c>
      <c r="E14952" s="6">
        <v>-28364</v>
      </c>
      <c r="F14952" t="s">
        <v>509</v>
      </c>
      <c r="G14952" t="s">
        <v>31</v>
      </c>
      <c r="H14952" t="s">
        <v>20</v>
      </c>
      <c r="I14952" t="s">
        <v>28983</v>
      </c>
      <c r="J14952" t="str">
        <f>HYPERLINK("https://www.boe.es/gazeta/dias/1822/05/04/pdfs/GMD-1822-126.pdf#page=3","Abrir facsímil")</f>
        <v>Abrir facsímil</v>
      </c>
      <c r="K14952" t="s">
        <v>22</v>
      </c>
    </row>
    <row r="14953" spans="1:11" ht="42" customHeight="1">
      <c r="A14953" t="s">
        <v>28982</v>
      </c>
      <c r="B14953" t="s">
        <v>28982</v>
      </c>
      <c r="C14953" t="s">
        <v>42</v>
      </c>
      <c r="D14953" t="s">
        <v>17</v>
      </c>
      <c r="E14953" s="6">
        <v>-28177</v>
      </c>
      <c r="F14953" t="s">
        <v>587</v>
      </c>
      <c r="G14953" t="s">
        <v>888</v>
      </c>
      <c r="H14953" t="s">
        <v>20</v>
      </c>
      <c r="I14953" t="s">
        <v>28984</v>
      </c>
      <c r="J14953" t="str">
        <f>HYPERLINK("https://www.boe.es/gazeta/dias/1822/11/07/pdfs/GMD-1822-327.pdf#page=4","Abrir facsímil")</f>
        <v>Abrir facsímil</v>
      </c>
      <c r="K14953" t="s">
        <v>22</v>
      </c>
    </row>
    <row r="14954" spans="1:11" ht="42" customHeight="1">
      <c r="A14954" t="s">
        <v>28985</v>
      </c>
      <c r="B14954" t="s">
        <v>28985</v>
      </c>
      <c r="C14954" t="s">
        <v>50</v>
      </c>
      <c r="D14954" t="s">
        <v>51</v>
      </c>
      <c r="E14954" s="6">
        <v>-28352</v>
      </c>
      <c r="F14954" t="s">
        <v>1575</v>
      </c>
      <c r="G14954" t="s">
        <v>35</v>
      </c>
      <c r="H14954" t="s">
        <v>20</v>
      </c>
      <c r="I14954" t="s">
        <v>28986</v>
      </c>
      <c r="J14954" t="str">
        <f>HYPERLINK("https://www.boe.es/gazeta/dias/1822/05/16/pdfs/GMD-1822-138.pdf#page=2","Abrir facsímil")</f>
        <v>Abrir facsímil</v>
      </c>
      <c r="K14954" t="s">
        <v>22</v>
      </c>
    </row>
    <row r="14955" spans="1:11" ht="42" customHeight="1">
      <c r="A14955" t="s">
        <v>28985</v>
      </c>
      <c r="B14955" t="s">
        <v>28985</v>
      </c>
      <c r="C14955" t="s">
        <v>50</v>
      </c>
      <c r="D14955" t="s">
        <v>51</v>
      </c>
      <c r="E14955" s="6">
        <v>-28179</v>
      </c>
      <c r="F14955" t="s">
        <v>935</v>
      </c>
      <c r="G14955" t="s">
        <v>44</v>
      </c>
      <c r="H14955" t="s">
        <v>20</v>
      </c>
      <c r="I14955" t="s">
        <v>28987</v>
      </c>
      <c r="J14955" t="str">
        <f>HYPERLINK("https://www.boe.es/gazeta/dias/1822/11/05/pdfs/GMD-1822-325.pdf#page=1","Abrir facsímil")</f>
        <v>Abrir facsímil</v>
      </c>
      <c r="K14955" t="s">
        <v>22</v>
      </c>
    </row>
    <row r="14956" spans="1:11" ht="42" customHeight="1">
      <c r="A14956" t="s">
        <v>28988</v>
      </c>
      <c r="B14956" t="s">
        <v>28988</v>
      </c>
      <c r="C14956" t="s">
        <v>50</v>
      </c>
      <c r="D14956" t="s">
        <v>51</v>
      </c>
      <c r="E14956" s="6">
        <v>-28344</v>
      </c>
      <c r="F14956" t="s">
        <v>524</v>
      </c>
      <c r="G14956" t="s">
        <v>1040</v>
      </c>
      <c r="H14956" t="s">
        <v>20</v>
      </c>
      <c r="I14956" t="s">
        <v>28989</v>
      </c>
      <c r="J14956" t="str">
        <f>HYPERLINK("https://www.boe.es/gazeta/dias/1822/05/24/pdfs/GMD-1822-148.pdf#page=2","Abrir facsímil")</f>
        <v>Abrir facsímil</v>
      </c>
      <c r="K14956" t="s">
        <v>22</v>
      </c>
    </row>
    <row r="14957" spans="1:11" ht="42" customHeight="1">
      <c r="A14957" t="s">
        <v>28990</v>
      </c>
      <c r="B14957" t="s">
        <v>28990</v>
      </c>
      <c r="C14957" t="s">
        <v>28</v>
      </c>
      <c r="D14957" t="s">
        <v>29</v>
      </c>
      <c r="E14957" s="6">
        <v>-28422</v>
      </c>
      <c r="F14957" t="s">
        <v>416</v>
      </c>
      <c r="G14957" t="s">
        <v>31</v>
      </c>
      <c r="H14957" t="s">
        <v>20</v>
      </c>
      <c r="I14957" t="s">
        <v>28991</v>
      </c>
      <c r="J14957" t="str">
        <f>HYPERLINK("https://www.boe.es/gazeta/dias/1822/03/07/pdfs/GMD-1822-68.pdf#page=3","Abrir facsímil")</f>
        <v>Abrir facsímil</v>
      </c>
      <c r="K14957" t="s">
        <v>22</v>
      </c>
    </row>
    <row r="14958" spans="1:11" ht="42" customHeight="1">
      <c r="A14958" t="s">
        <v>28992</v>
      </c>
      <c r="B14958" t="s">
        <v>28992</v>
      </c>
      <c r="C14958" t="s">
        <v>42</v>
      </c>
      <c r="D14958" t="s">
        <v>17</v>
      </c>
      <c r="E14958" s="6">
        <v>-28421</v>
      </c>
      <c r="F14958" t="s">
        <v>446</v>
      </c>
      <c r="G14958" t="s">
        <v>31</v>
      </c>
      <c r="H14958" t="s">
        <v>20</v>
      </c>
      <c r="I14958" t="s">
        <v>28993</v>
      </c>
      <c r="J14958" t="str">
        <f>HYPERLINK("https://www.boe.es/gazeta/dias/1822/03/08/pdfs/GMD-1822-69.pdf#page=3","Abrir facsímil")</f>
        <v>Abrir facsímil</v>
      </c>
      <c r="K14958" t="s">
        <v>22</v>
      </c>
    </row>
    <row r="14959" spans="1:11" ht="42" customHeight="1">
      <c r="A14959" t="s">
        <v>28994</v>
      </c>
      <c r="B14959" t="s">
        <v>28994</v>
      </c>
      <c r="C14959" t="s">
        <v>50</v>
      </c>
      <c r="D14959" t="s">
        <v>51</v>
      </c>
      <c r="E14959" s="6">
        <v>-28190</v>
      </c>
      <c r="F14959" t="s">
        <v>576</v>
      </c>
      <c r="G14959" t="s">
        <v>57</v>
      </c>
      <c r="H14959" t="s">
        <v>20</v>
      </c>
      <c r="I14959" t="s">
        <v>28995</v>
      </c>
      <c r="J14959" t="str">
        <f>HYPERLINK("https://www.boe.es/gazeta/dias/1822/10/25/pdfs/GMD-1822-312.pdf#page=4","Abrir facsímil")</f>
        <v>Abrir facsímil</v>
      </c>
      <c r="K14959" t="s">
        <v>22</v>
      </c>
    </row>
    <row r="14960" spans="1:11" ht="42" customHeight="1">
      <c r="A14960" t="s">
        <v>28996</v>
      </c>
      <c r="B14960" t="s">
        <v>28997</v>
      </c>
      <c r="C14960" t="s">
        <v>50</v>
      </c>
      <c r="D14960" t="s">
        <v>51</v>
      </c>
      <c r="E14960" s="6">
        <v>-28262</v>
      </c>
      <c r="F14960" t="s">
        <v>1771</v>
      </c>
      <c r="G14960" t="s">
        <v>57</v>
      </c>
      <c r="H14960" t="s">
        <v>20</v>
      </c>
      <c r="I14960" t="s">
        <v>28998</v>
      </c>
      <c r="J14960" t="str">
        <f>HYPERLINK("https://www.boe.es/gazeta/dias/1822/08/14/pdfs/GMD-1822-238.pdf#page=4","Abrir facsímil")</f>
        <v>Abrir facsímil</v>
      </c>
      <c r="K14960" t="s">
        <v>22</v>
      </c>
    </row>
    <row r="14961" spans="1:11" ht="42" customHeight="1">
      <c r="A14961" t="s">
        <v>28999</v>
      </c>
      <c r="B14961" t="s">
        <v>28999</v>
      </c>
      <c r="C14961" t="s">
        <v>28</v>
      </c>
      <c r="D14961" t="s">
        <v>29</v>
      </c>
      <c r="E14961" s="6">
        <v>-28209</v>
      </c>
      <c r="F14961" t="s">
        <v>748</v>
      </c>
      <c r="G14961" t="s">
        <v>35</v>
      </c>
      <c r="H14961" t="s">
        <v>20</v>
      </c>
      <c r="I14961" t="s">
        <v>29000</v>
      </c>
      <c r="J14961" t="str">
        <f>HYPERLINK("https://www.boe.es/gazeta/dias/1822/10/06/pdfs/GMD-1822-292.pdf#page=2","Abrir facsímil")</f>
        <v>Abrir facsímil</v>
      </c>
      <c r="K14961" t="s">
        <v>22</v>
      </c>
    </row>
    <row r="14962" spans="1:11" ht="42" customHeight="1">
      <c r="A14962" t="s">
        <v>29001</v>
      </c>
      <c r="B14962" t="s">
        <v>29001</v>
      </c>
      <c r="C14962" t="s">
        <v>71</v>
      </c>
      <c r="D14962" t="s">
        <v>17</v>
      </c>
      <c r="E14962" s="6">
        <v>-28292</v>
      </c>
      <c r="F14962" t="s">
        <v>222</v>
      </c>
      <c r="G14962" t="s">
        <v>57</v>
      </c>
      <c r="H14962" t="s">
        <v>20</v>
      </c>
      <c r="I14962" t="s">
        <v>29002</v>
      </c>
      <c r="J14962" t="str">
        <f>HYPERLINK("https://www.boe.es/gazeta/dias/1822/07/15/pdfs/GMD-1822-205.pdf#page=4","Abrir facsímil")</f>
        <v>Abrir facsímil</v>
      </c>
      <c r="K14962" t="s">
        <v>22</v>
      </c>
    </row>
    <row r="14963" spans="1:11" ht="42" customHeight="1">
      <c r="A14963" t="s">
        <v>29003</v>
      </c>
      <c r="B14963" t="s">
        <v>29003</v>
      </c>
      <c r="C14963" t="s">
        <v>28</v>
      </c>
      <c r="D14963" t="s">
        <v>29</v>
      </c>
      <c r="E14963" s="6">
        <v>-28206</v>
      </c>
      <c r="F14963" t="s">
        <v>562</v>
      </c>
      <c r="G14963" t="s">
        <v>31</v>
      </c>
      <c r="H14963" t="s">
        <v>20</v>
      </c>
      <c r="I14963" t="s">
        <v>29004</v>
      </c>
      <c r="J14963" t="str">
        <f>HYPERLINK("https://www.boe.es/gazeta/dias/1822/10/09/pdfs/GMD-1822-296.pdf#page=3","Abrir facsímil")</f>
        <v>Abrir facsímil</v>
      </c>
      <c r="K14963" t="s">
        <v>22</v>
      </c>
    </row>
    <row r="14964" spans="1:11" ht="42" customHeight="1">
      <c r="A14964" t="s">
        <v>29005</v>
      </c>
      <c r="B14964" t="s">
        <v>29005</v>
      </c>
      <c r="C14964" t="s">
        <v>28</v>
      </c>
      <c r="D14964" t="s">
        <v>29</v>
      </c>
      <c r="E14964" s="6">
        <v>-28350</v>
      </c>
      <c r="F14964" t="s">
        <v>352</v>
      </c>
      <c r="G14964" t="s">
        <v>31</v>
      </c>
      <c r="H14964" t="s">
        <v>20</v>
      </c>
      <c r="I14964" t="s">
        <v>29006</v>
      </c>
      <c r="J14964" t="str">
        <f>HYPERLINK("https://www.boe.es/gazeta/dias/1822/05/18/pdfs/GMD-1822-140.pdf#page=3","Abrir facsímil")</f>
        <v>Abrir facsímil</v>
      </c>
      <c r="K14964" t="s">
        <v>22</v>
      </c>
    </row>
    <row r="14965" spans="1:11" ht="42" customHeight="1">
      <c r="A14965" t="s">
        <v>29007</v>
      </c>
      <c r="B14965" t="s">
        <v>29008</v>
      </c>
      <c r="C14965" t="s">
        <v>24</v>
      </c>
      <c r="D14965" t="s">
        <v>17</v>
      </c>
      <c r="E14965" s="6">
        <v>-28322</v>
      </c>
      <c r="F14965" t="s">
        <v>2205</v>
      </c>
      <c r="G14965" t="s">
        <v>57</v>
      </c>
      <c r="H14965" t="s">
        <v>45</v>
      </c>
      <c r="I14965" t="s">
        <v>29009</v>
      </c>
      <c r="J14965" t="str">
        <f>HYPERLINK("https://www.boe.es/gazeta/dias/1822/06/15/pdfs/GMD-1822-172.pdf#page=4","Abrir facsímil")</f>
        <v>Abrir facsímil</v>
      </c>
      <c r="K14965" t="s">
        <v>47</v>
      </c>
    </row>
    <row r="14966" spans="1:11" ht="42" customHeight="1">
      <c r="A14966" t="s">
        <v>29010</v>
      </c>
      <c r="B14966" t="s">
        <v>29010</v>
      </c>
      <c r="C14966" t="s">
        <v>24</v>
      </c>
      <c r="D14966" t="s">
        <v>17</v>
      </c>
      <c r="E14966" s="6">
        <v>-28281</v>
      </c>
      <c r="F14966" t="s">
        <v>3310</v>
      </c>
      <c r="G14966" t="s">
        <v>31</v>
      </c>
      <c r="H14966" t="s">
        <v>20</v>
      </c>
      <c r="I14966" t="s">
        <v>29011</v>
      </c>
      <c r="J14966" t="str">
        <f>HYPERLINK("https://www.boe.es/gazeta/dias/1822/07/26/pdfs/GMD-1822-219.pdf#page=3","Abrir facsímil")</f>
        <v>Abrir facsímil</v>
      </c>
      <c r="K14966" t="s">
        <v>22</v>
      </c>
    </row>
    <row r="14967" spans="1:11" ht="42" customHeight="1">
      <c r="A14967" t="s">
        <v>29012</v>
      </c>
      <c r="B14967" t="s">
        <v>29013</v>
      </c>
      <c r="C14967" t="s">
        <v>50</v>
      </c>
      <c r="D14967" t="s">
        <v>51</v>
      </c>
      <c r="E14967" s="6">
        <v>-28286</v>
      </c>
      <c r="F14967" t="s">
        <v>1853</v>
      </c>
      <c r="G14967" t="s">
        <v>31</v>
      </c>
      <c r="H14967" t="s">
        <v>20</v>
      </c>
      <c r="I14967" t="s">
        <v>29014</v>
      </c>
      <c r="J14967" t="str">
        <f>HYPERLINK("https://www.boe.es/gazeta/dias/1822/07/21/pdfs/GMD-1822-213.pdf#page=3","Abrir facsímil")</f>
        <v>Abrir facsímil</v>
      </c>
      <c r="K14967" t="s">
        <v>22</v>
      </c>
    </row>
    <row r="14968" spans="1:11" ht="42" customHeight="1">
      <c r="A14968" t="s">
        <v>29015</v>
      </c>
      <c r="B14968" t="s">
        <v>29015</v>
      </c>
      <c r="C14968" t="s">
        <v>50</v>
      </c>
      <c r="D14968" t="s">
        <v>51</v>
      </c>
      <c r="E14968" s="6">
        <v>-28395</v>
      </c>
      <c r="F14968" t="s">
        <v>237</v>
      </c>
      <c r="G14968" t="s">
        <v>44</v>
      </c>
      <c r="H14968" t="s">
        <v>20</v>
      </c>
      <c r="I14968" t="s">
        <v>29016</v>
      </c>
      <c r="J14968" t="str">
        <f>HYPERLINK("https://www.boe.es/gazeta/dias/1822/04/03/pdfs/GMD-1822-95.pdf#page=1","Abrir facsímil")</f>
        <v>Abrir facsímil</v>
      </c>
      <c r="K14968" t="s">
        <v>22</v>
      </c>
    </row>
    <row r="14969" spans="1:11" ht="42" customHeight="1">
      <c r="A14969" t="s">
        <v>29017</v>
      </c>
      <c r="B14969" t="s">
        <v>29017</v>
      </c>
      <c r="C14969" t="s">
        <v>42</v>
      </c>
      <c r="D14969" t="s">
        <v>17</v>
      </c>
      <c r="E14969" s="6">
        <v>-28250</v>
      </c>
      <c r="F14969" t="s">
        <v>1174</v>
      </c>
      <c r="G14969" t="s">
        <v>31</v>
      </c>
      <c r="H14969" t="s">
        <v>20</v>
      </c>
      <c r="I14969" t="s">
        <v>29018</v>
      </c>
      <c r="J14969" t="str">
        <f>HYPERLINK("https://www.boe.es/gazeta/dias/1822/08/26/pdfs/GMD-1822-250.pdf#page=3","Abrir facsímil")</f>
        <v>Abrir facsímil</v>
      </c>
      <c r="K14969" t="s">
        <v>22</v>
      </c>
    </row>
    <row r="14970" spans="1:11" ht="42" customHeight="1">
      <c r="A14970" t="s">
        <v>29019</v>
      </c>
      <c r="B14970" t="s">
        <v>29020</v>
      </c>
      <c r="C14970" t="s">
        <v>362</v>
      </c>
      <c r="D14970" t="s">
        <v>17</v>
      </c>
      <c r="E14970" s="6">
        <v>-28314</v>
      </c>
      <c r="F14970" t="s">
        <v>309</v>
      </c>
      <c r="G14970" t="s">
        <v>63</v>
      </c>
      <c r="H14970" t="s">
        <v>20</v>
      </c>
      <c r="I14970" t="s">
        <v>29021</v>
      </c>
      <c r="J14970" t="str">
        <f>HYPERLINK("https://www.boe.es/gazeta/dias/1822/06/23/pdfs/GMD-1822-181.pdf#page=6","Abrir facsímil")</f>
        <v>Abrir facsímil</v>
      </c>
      <c r="K14970" t="s">
        <v>22</v>
      </c>
    </row>
    <row r="14971" spans="1:11" ht="42" customHeight="1">
      <c r="A14971" t="s">
        <v>29022</v>
      </c>
      <c r="B14971" t="s">
        <v>29022</v>
      </c>
      <c r="C14971" t="s">
        <v>28</v>
      </c>
      <c r="D14971" t="s">
        <v>29</v>
      </c>
      <c r="E14971" s="6">
        <v>-28208</v>
      </c>
      <c r="F14971" t="s">
        <v>230</v>
      </c>
      <c r="G14971" t="s">
        <v>44</v>
      </c>
      <c r="H14971" t="s">
        <v>20</v>
      </c>
      <c r="I14971" t="s">
        <v>29023</v>
      </c>
      <c r="J14971" t="str">
        <f>HYPERLINK("https://www.boe.es/gazeta/dias/1822/10/07/pdfs/GMD-1822-293.pdf#page=1","Abrir facsímil")</f>
        <v>Abrir facsímil</v>
      </c>
      <c r="K14971" t="s">
        <v>22</v>
      </c>
    </row>
    <row r="14972" spans="1:11" ht="42" customHeight="1">
      <c r="A14972" t="s">
        <v>29024</v>
      </c>
      <c r="B14972" t="s">
        <v>29024</v>
      </c>
      <c r="C14972" t="s">
        <v>42</v>
      </c>
      <c r="D14972" t="s">
        <v>17</v>
      </c>
      <c r="E14972" s="6">
        <v>-28486</v>
      </c>
      <c r="F14972" t="s">
        <v>1046</v>
      </c>
      <c r="G14972" t="s">
        <v>35</v>
      </c>
      <c r="H14972" t="s">
        <v>20</v>
      </c>
      <c r="I14972" t="s">
        <v>29025</v>
      </c>
      <c r="J14972" t="str">
        <f>HYPERLINK("https://www.boe.es/gazeta/dias/1822/01/02/pdfs/GMD-1822-2.pdf#page=2","Abrir facsímil")</f>
        <v>Abrir facsímil</v>
      </c>
      <c r="K14972" t="s">
        <v>22</v>
      </c>
    </row>
    <row r="14973" spans="1:11" ht="42" customHeight="1">
      <c r="A14973" t="s">
        <v>29026</v>
      </c>
      <c r="B14973" t="s">
        <v>29026</v>
      </c>
      <c r="C14973" t="s">
        <v>28</v>
      </c>
      <c r="D14973" t="s">
        <v>29</v>
      </c>
      <c r="E14973" s="6">
        <v>-28203</v>
      </c>
      <c r="F14973" t="s">
        <v>564</v>
      </c>
      <c r="G14973" t="s">
        <v>57</v>
      </c>
      <c r="H14973" t="s">
        <v>20</v>
      </c>
      <c r="I14973" t="s">
        <v>29027</v>
      </c>
      <c r="J14973" t="str">
        <f>HYPERLINK("https://www.boe.es/gazeta/dias/1822/10/12/pdfs/GMD-1822-299.pdf#page=4","Abrir facsímil")</f>
        <v>Abrir facsímil</v>
      </c>
      <c r="K14973" t="s">
        <v>22</v>
      </c>
    </row>
    <row r="14974" spans="1:11" ht="42" customHeight="1">
      <c r="A14974" t="s">
        <v>29028</v>
      </c>
      <c r="B14974" t="s">
        <v>29028</v>
      </c>
      <c r="C14974" t="s">
        <v>50</v>
      </c>
      <c r="D14974" t="s">
        <v>51</v>
      </c>
      <c r="E14974" s="6">
        <v>-28164</v>
      </c>
      <c r="F14974" t="s">
        <v>2172</v>
      </c>
      <c r="G14974" t="s">
        <v>31</v>
      </c>
      <c r="H14974" t="s">
        <v>20</v>
      </c>
      <c r="I14974" t="s">
        <v>29029</v>
      </c>
      <c r="J14974" t="str">
        <f>HYPERLINK("https://www.boe.es/gazeta/dias/1822/11/20/pdfs/GMD-1822-340.pdf#page=3","Abrir facsímil")</f>
        <v>Abrir facsímil</v>
      </c>
      <c r="K14974" t="s">
        <v>22</v>
      </c>
    </row>
    <row r="14975" spans="1:11" ht="42" customHeight="1">
      <c r="A14975" t="s">
        <v>29030</v>
      </c>
      <c r="B14975" t="s">
        <v>29030</v>
      </c>
      <c r="C14975" t="s">
        <v>24</v>
      </c>
      <c r="D14975" t="s">
        <v>17</v>
      </c>
      <c r="E14975" s="6">
        <v>-28209</v>
      </c>
      <c r="F14975" t="s">
        <v>748</v>
      </c>
      <c r="G14975" t="s">
        <v>35</v>
      </c>
      <c r="H14975" t="s">
        <v>20</v>
      </c>
      <c r="I14975" t="s">
        <v>29031</v>
      </c>
      <c r="J14975" t="str">
        <f>HYPERLINK("https://www.boe.es/gazeta/dias/1822/10/06/pdfs/GMD-1822-292.pdf#page=2","Abrir facsímil")</f>
        <v>Abrir facsímil</v>
      </c>
      <c r="K14975" t="s">
        <v>22</v>
      </c>
    </row>
    <row r="14976" spans="1:11" ht="42" customHeight="1">
      <c r="A14976" t="s">
        <v>29032</v>
      </c>
      <c r="B14976" t="s">
        <v>29032</v>
      </c>
      <c r="C14976" t="s">
        <v>71</v>
      </c>
      <c r="D14976" t="s">
        <v>17</v>
      </c>
      <c r="E14976" s="6">
        <v>-28189</v>
      </c>
      <c r="F14976" t="s">
        <v>645</v>
      </c>
      <c r="G14976" t="s">
        <v>19</v>
      </c>
      <c r="H14976" t="s">
        <v>20</v>
      </c>
      <c r="I14976" t="s">
        <v>29033</v>
      </c>
      <c r="J14976" t="str">
        <f>HYPERLINK("https://www.boe.es/gazeta/dias/1822/10/26/pdfs/GMD-1822-313.pdf#page=5","Abrir facsímil")</f>
        <v>Abrir facsímil</v>
      </c>
      <c r="K14976" t="s">
        <v>22</v>
      </c>
    </row>
    <row r="14977" spans="1:11" ht="42" customHeight="1">
      <c r="A14977" t="s">
        <v>29034</v>
      </c>
      <c r="B14977" t="s">
        <v>29034</v>
      </c>
      <c r="C14977" t="s">
        <v>50</v>
      </c>
      <c r="D14977" t="s">
        <v>51</v>
      </c>
      <c r="E14977" s="6">
        <v>-28470</v>
      </c>
      <c r="F14977" t="s">
        <v>1444</v>
      </c>
      <c r="G14977" t="s">
        <v>44</v>
      </c>
      <c r="H14977" t="s">
        <v>20</v>
      </c>
      <c r="I14977" t="s">
        <v>29035</v>
      </c>
      <c r="J14977" t="str">
        <f>HYPERLINK("https://www.boe.es/gazeta/dias/1822/01/18/pdfs/GMD-1822-18.pdf#page=1","Abrir facsímil")</f>
        <v>Abrir facsímil</v>
      </c>
      <c r="K14977" t="s">
        <v>22</v>
      </c>
    </row>
    <row r="14978" spans="1:11" ht="42" customHeight="1">
      <c r="A14978" t="s">
        <v>29036</v>
      </c>
      <c r="B14978" t="s">
        <v>29036</v>
      </c>
      <c r="C14978" t="s">
        <v>50</v>
      </c>
      <c r="D14978" t="s">
        <v>51</v>
      </c>
      <c r="E14978" s="6">
        <v>-28210</v>
      </c>
      <c r="F14978" t="s">
        <v>218</v>
      </c>
      <c r="G14978" t="s">
        <v>19</v>
      </c>
      <c r="H14978" t="s">
        <v>20</v>
      </c>
      <c r="I14978" t="s">
        <v>29037</v>
      </c>
      <c r="J14978" t="str">
        <f>HYPERLINK("https://www.boe.es/gazeta/dias/1822/10/05/pdfs/GMD-1822-291.pdf#page=5","Abrir facsímil")</f>
        <v>Abrir facsímil</v>
      </c>
      <c r="K14978" t="s">
        <v>22</v>
      </c>
    </row>
    <row r="14979" spans="1:11" ht="42" customHeight="1">
      <c r="A14979" t="s">
        <v>29038</v>
      </c>
      <c r="B14979" t="s">
        <v>29038</v>
      </c>
      <c r="C14979" t="s">
        <v>42</v>
      </c>
      <c r="D14979" t="s">
        <v>17</v>
      </c>
      <c r="E14979" s="6">
        <v>-28191</v>
      </c>
      <c r="F14979" t="s">
        <v>710</v>
      </c>
      <c r="G14979" t="s">
        <v>167</v>
      </c>
      <c r="H14979" t="s">
        <v>20</v>
      </c>
      <c r="I14979" t="s">
        <v>29039</v>
      </c>
      <c r="J14979" t="str">
        <f>HYPERLINK("https://www.boe.es/gazeta/dias/1822/10/24/pdfs/GMD-1822-311.pdf#page=7","Abrir facsímil")</f>
        <v>Abrir facsímil</v>
      </c>
      <c r="K14979" t="s">
        <v>22</v>
      </c>
    </row>
    <row r="14980" spans="1:11" ht="42" customHeight="1">
      <c r="A14980" t="s">
        <v>29040</v>
      </c>
      <c r="B14980" t="s">
        <v>29040</v>
      </c>
      <c r="C14980" t="s">
        <v>50</v>
      </c>
      <c r="D14980" t="s">
        <v>51</v>
      </c>
      <c r="E14980" s="6">
        <v>-28224</v>
      </c>
      <c r="F14980" t="s">
        <v>1902</v>
      </c>
      <c r="G14980" t="s">
        <v>57</v>
      </c>
      <c r="H14980" t="s">
        <v>20</v>
      </c>
      <c r="I14980" t="s">
        <v>29041</v>
      </c>
      <c r="J14980" t="str">
        <f>HYPERLINK("https://www.boe.es/gazeta/dias/1822/09/21/pdfs/GMD-1822-277.pdf#page=4","Abrir facsímil")</f>
        <v>Abrir facsímil</v>
      </c>
      <c r="K14980" t="s">
        <v>22</v>
      </c>
    </row>
    <row r="14981" spans="1:11" ht="42" customHeight="1">
      <c r="A14981" t="s">
        <v>29040</v>
      </c>
      <c r="B14981" t="s">
        <v>29040</v>
      </c>
      <c r="C14981" t="s">
        <v>28</v>
      </c>
      <c r="D14981" t="s">
        <v>29</v>
      </c>
      <c r="E14981" s="6">
        <v>-28206</v>
      </c>
      <c r="F14981" t="s">
        <v>562</v>
      </c>
      <c r="G14981" t="s">
        <v>44</v>
      </c>
      <c r="H14981" t="s">
        <v>20</v>
      </c>
      <c r="I14981" t="s">
        <v>29042</v>
      </c>
      <c r="J14981" t="str">
        <f>HYPERLINK("https://www.boe.es/gazeta/dias/1822/10/09/pdfs/GMD-1822-296.pdf#page=1","Abrir facsímil")</f>
        <v>Abrir facsímil</v>
      </c>
      <c r="K14981" t="s">
        <v>22</v>
      </c>
    </row>
    <row r="14982" spans="1:11" ht="42" customHeight="1">
      <c r="A14982" t="s">
        <v>29040</v>
      </c>
      <c r="B14982" t="s">
        <v>29040</v>
      </c>
      <c r="C14982" t="s">
        <v>61</v>
      </c>
      <c r="D14982" t="s">
        <v>17</v>
      </c>
      <c r="E14982" s="6">
        <v>-28202</v>
      </c>
      <c r="F14982" t="s">
        <v>922</v>
      </c>
      <c r="G14982" t="s">
        <v>19</v>
      </c>
      <c r="H14982" t="s">
        <v>20</v>
      </c>
      <c r="I14982" t="s">
        <v>29043</v>
      </c>
      <c r="J14982" t="str">
        <f>HYPERLINK("https://www.boe.es/gazeta/dias/1822/10/13/pdfs/GMD-1822-300.pdf#page=5","Abrir facsímil")</f>
        <v>Abrir facsímil</v>
      </c>
      <c r="K14982" t="s">
        <v>22</v>
      </c>
    </row>
    <row r="14983" spans="1:11" ht="42" customHeight="1">
      <c r="A14983" t="s">
        <v>29040</v>
      </c>
      <c r="B14983" t="s">
        <v>29040</v>
      </c>
      <c r="C14983" t="s">
        <v>50</v>
      </c>
      <c r="D14983" t="s">
        <v>51</v>
      </c>
      <c r="E14983" s="6">
        <v>-28196</v>
      </c>
      <c r="F14983" t="s">
        <v>570</v>
      </c>
      <c r="G14983" t="s">
        <v>57</v>
      </c>
      <c r="H14983" t="s">
        <v>20</v>
      </c>
      <c r="I14983" t="s">
        <v>29044</v>
      </c>
      <c r="J14983" t="str">
        <f>HYPERLINK("https://www.boe.es/gazeta/dias/1822/10/19/pdfs/GMD-1822-306.pdf#page=4","Abrir facsímil")</f>
        <v>Abrir facsímil</v>
      </c>
      <c r="K14983" t="s">
        <v>22</v>
      </c>
    </row>
    <row r="14984" spans="1:11" ht="42" customHeight="1">
      <c r="A14984" t="s">
        <v>29040</v>
      </c>
      <c r="B14984" t="s">
        <v>29040</v>
      </c>
      <c r="C14984" t="s">
        <v>28</v>
      </c>
      <c r="D14984" t="s">
        <v>29</v>
      </c>
      <c r="E14984" s="6">
        <v>-28185</v>
      </c>
      <c r="F14984" t="s">
        <v>933</v>
      </c>
      <c r="G14984" t="s">
        <v>57</v>
      </c>
      <c r="H14984" t="s">
        <v>20</v>
      </c>
      <c r="I14984" t="s">
        <v>29045</v>
      </c>
      <c r="J14984" t="str">
        <f>HYPERLINK("https://www.boe.es/gazeta/dias/1822/10/30/pdfs/GMD-1822-317.pdf#page=4","Abrir facsímil")</f>
        <v>Abrir facsímil</v>
      </c>
      <c r="K14984" t="s">
        <v>22</v>
      </c>
    </row>
    <row r="14985" spans="1:11" ht="42" customHeight="1">
      <c r="A14985" t="s">
        <v>29040</v>
      </c>
      <c r="B14985" t="s">
        <v>29040</v>
      </c>
      <c r="C14985" t="s">
        <v>50</v>
      </c>
      <c r="D14985" t="s">
        <v>51</v>
      </c>
      <c r="E14985" s="6">
        <v>-28184</v>
      </c>
      <c r="F14985" t="s">
        <v>1423</v>
      </c>
      <c r="G14985" t="s">
        <v>44</v>
      </c>
      <c r="H14985" t="s">
        <v>20</v>
      </c>
      <c r="I14985" t="s">
        <v>29046</v>
      </c>
      <c r="J14985" t="str">
        <f>HYPERLINK("https://www.boe.es/gazeta/dias/1822/10/31/pdfs/GMD-1822-318.pdf#page=1","Abrir facsímil")</f>
        <v>Abrir facsímil</v>
      </c>
      <c r="K14985" t="s">
        <v>22</v>
      </c>
    </row>
    <row r="14986" spans="1:11" ht="42" customHeight="1">
      <c r="A14986" t="s">
        <v>29047</v>
      </c>
      <c r="B14986" t="s">
        <v>29047</v>
      </c>
      <c r="C14986" t="s">
        <v>50</v>
      </c>
      <c r="D14986" t="s">
        <v>51</v>
      </c>
      <c r="E14986" s="6">
        <v>-28481</v>
      </c>
      <c r="F14986" t="s">
        <v>1089</v>
      </c>
      <c r="G14986" t="s">
        <v>44</v>
      </c>
      <c r="H14986" t="s">
        <v>20</v>
      </c>
      <c r="I14986" t="s">
        <v>29048</v>
      </c>
      <c r="J14986" t="str">
        <f>HYPERLINK("https://www.boe.es/gazeta/dias/1822/01/07/pdfs/GMD-1822-7.pdf#page=1","Abrir facsímil")</f>
        <v>Abrir facsímil</v>
      </c>
      <c r="K14986" t="s">
        <v>22</v>
      </c>
    </row>
    <row r="14987" spans="1:11" ht="42" customHeight="1">
      <c r="A14987" t="s">
        <v>29049</v>
      </c>
      <c r="B14987" t="s">
        <v>29049</v>
      </c>
      <c r="C14987" t="s">
        <v>50</v>
      </c>
      <c r="D14987" t="s">
        <v>51</v>
      </c>
      <c r="E14987" s="6">
        <v>-28428</v>
      </c>
      <c r="F14987" t="s">
        <v>1924</v>
      </c>
      <c r="G14987" t="s">
        <v>31</v>
      </c>
      <c r="H14987" t="s">
        <v>20</v>
      </c>
      <c r="I14987" t="s">
        <v>29050</v>
      </c>
      <c r="J14987" t="str">
        <f>HYPERLINK("https://www.boe.es/gazeta/dias/1822/03/01/pdfs/GMD-1822-61.pdf#page=3","Abrir facsímil")</f>
        <v>Abrir facsímil</v>
      </c>
      <c r="K14987" t="s">
        <v>22</v>
      </c>
    </row>
    <row r="14988" spans="1:11" ht="42" customHeight="1">
      <c r="A14988" t="s">
        <v>29051</v>
      </c>
      <c r="B14988" t="s">
        <v>29051</v>
      </c>
      <c r="C14988" t="s">
        <v>42</v>
      </c>
      <c r="D14988" t="s">
        <v>17</v>
      </c>
      <c r="E14988" s="6">
        <v>-28251</v>
      </c>
      <c r="F14988" t="s">
        <v>1485</v>
      </c>
      <c r="G14988" t="s">
        <v>35</v>
      </c>
      <c r="H14988" t="s">
        <v>20</v>
      </c>
      <c r="I14988" t="s">
        <v>29052</v>
      </c>
      <c r="J14988" t="str">
        <f>HYPERLINK("https://www.boe.es/gazeta/dias/1822/08/25/pdfs/GMD-1822-249.pdf#page=2","Abrir facsímil")</f>
        <v>Abrir facsímil</v>
      </c>
      <c r="K14988" t="s">
        <v>22</v>
      </c>
    </row>
    <row r="14989" spans="1:11" ht="42" customHeight="1">
      <c r="A14989" t="s">
        <v>29053</v>
      </c>
      <c r="B14989" t="s">
        <v>29053</v>
      </c>
      <c r="C14989" t="s">
        <v>50</v>
      </c>
      <c r="D14989" t="s">
        <v>51</v>
      </c>
      <c r="E14989" s="6">
        <v>-28252</v>
      </c>
      <c r="F14989" t="s">
        <v>4333</v>
      </c>
      <c r="G14989" t="s">
        <v>44</v>
      </c>
      <c r="H14989" t="s">
        <v>20</v>
      </c>
      <c r="I14989" t="s">
        <v>29054</v>
      </c>
      <c r="J14989" t="str">
        <f>HYPERLINK("https://www.boe.es/gazeta/dias/1822/08/24/pdfs/GMD-1822-248.pdf#page=1","Abrir facsímil")</f>
        <v>Abrir facsímil</v>
      </c>
      <c r="K14989" t="s">
        <v>22</v>
      </c>
    </row>
    <row r="14990" spans="1:11" ht="42" customHeight="1">
      <c r="A14990" t="s">
        <v>29055</v>
      </c>
      <c r="B14990" t="s">
        <v>29055</v>
      </c>
      <c r="C14990" t="s">
        <v>71</v>
      </c>
      <c r="D14990" t="s">
        <v>17</v>
      </c>
      <c r="E14990" s="6">
        <v>-28370</v>
      </c>
      <c r="F14990" t="s">
        <v>207</v>
      </c>
      <c r="G14990" t="s">
        <v>63</v>
      </c>
      <c r="H14990" t="s">
        <v>20</v>
      </c>
      <c r="I14990" t="s">
        <v>29056</v>
      </c>
      <c r="J14990" t="str">
        <f>HYPERLINK("https://www.boe.es/gazeta/dias/1822/04/28/pdfs/GMD-1822-120.pdf#page=6","Abrir facsímil")</f>
        <v>Abrir facsímil</v>
      </c>
      <c r="K14990" t="s">
        <v>22</v>
      </c>
    </row>
    <row r="14991" spans="1:11" ht="42" customHeight="1">
      <c r="A14991" t="s">
        <v>29057</v>
      </c>
      <c r="B14991" t="s">
        <v>29058</v>
      </c>
      <c r="C14991" t="s">
        <v>42</v>
      </c>
      <c r="D14991" t="s">
        <v>17</v>
      </c>
      <c r="E14991" s="6">
        <v>-28407</v>
      </c>
      <c r="F14991" t="s">
        <v>460</v>
      </c>
      <c r="G14991" t="s">
        <v>35</v>
      </c>
      <c r="H14991" t="s">
        <v>20</v>
      </c>
      <c r="I14991" t="s">
        <v>29059</v>
      </c>
      <c r="J14991" t="str">
        <f>HYPERLINK("https://www.boe.es/gazeta/dias/1822/03/22/pdfs/GMD-1822-83.pdf#page=2","Abrir facsímil")</f>
        <v>Abrir facsímil</v>
      </c>
      <c r="K14991" t="s">
        <v>22</v>
      </c>
    </row>
    <row r="14992" spans="1:11" ht="42" customHeight="1">
      <c r="A14992" t="s">
        <v>29060</v>
      </c>
      <c r="B14992" t="s">
        <v>29060</v>
      </c>
      <c r="C14992" t="s">
        <v>50</v>
      </c>
      <c r="D14992" t="s">
        <v>51</v>
      </c>
      <c r="E14992" s="6">
        <v>-28340</v>
      </c>
      <c r="F14992" t="s">
        <v>139</v>
      </c>
      <c r="G14992" t="s">
        <v>57</v>
      </c>
      <c r="H14992" t="s">
        <v>20</v>
      </c>
      <c r="I14992" t="s">
        <v>29061</v>
      </c>
      <c r="J14992" t="str">
        <f>HYPERLINK("https://www.boe.es/gazeta/dias/1822/05/28/pdfs/GMD-1822-153.pdf#page=4","Abrir facsímil")</f>
        <v>Abrir facsímil</v>
      </c>
      <c r="K14992" t="s">
        <v>22</v>
      </c>
    </row>
    <row r="14993" spans="1:11" ht="42" customHeight="1">
      <c r="A14993" t="s">
        <v>29062</v>
      </c>
      <c r="B14993" t="s">
        <v>29062</v>
      </c>
      <c r="C14993" t="s">
        <v>50</v>
      </c>
      <c r="D14993" t="s">
        <v>51</v>
      </c>
      <c r="E14993" s="6">
        <v>-28352</v>
      </c>
      <c r="F14993" t="s">
        <v>1575</v>
      </c>
      <c r="G14993" t="s">
        <v>44</v>
      </c>
      <c r="H14993" t="s">
        <v>20</v>
      </c>
      <c r="I14993" t="s">
        <v>29063</v>
      </c>
      <c r="J14993" t="str">
        <f>HYPERLINK("https://www.boe.es/gazeta/dias/1822/05/16/pdfs/GMD-1822-138.pdf#page=1","Abrir facsímil")</f>
        <v>Abrir facsímil</v>
      </c>
      <c r="K14993" t="s">
        <v>22</v>
      </c>
    </row>
    <row r="14994" spans="1:11" ht="42" customHeight="1">
      <c r="A14994" t="s">
        <v>29064</v>
      </c>
      <c r="B14994" t="s">
        <v>29064</v>
      </c>
      <c r="C14994" t="s">
        <v>50</v>
      </c>
      <c r="D14994" t="s">
        <v>51</v>
      </c>
      <c r="E14994" s="6">
        <v>-28456</v>
      </c>
      <c r="F14994" t="s">
        <v>1104</v>
      </c>
      <c r="G14994" t="s">
        <v>35</v>
      </c>
      <c r="H14994" t="s">
        <v>20</v>
      </c>
      <c r="I14994" t="s">
        <v>29065</v>
      </c>
      <c r="J14994" t="str">
        <f>HYPERLINK("https://www.boe.es/gazeta/dias/1822/02/01/pdfs/GMD-1822-32.pdf#page=2","Abrir facsímil")</f>
        <v>Abrir facsímil</v>
      </c>
      <c r="K14994" t="s">
        <v>22</v>
      </c>
    </row>
    <row r="14995" spans="1:11" ht="42" customHeight="1">
      <c r="A14995" t="s">
        <v>29064</v>
      </c>
      <c r="B14995" t="s">
        <v>29064</v>
      </c>
      <c r="C14995" t="s">
        <v>50</v>
      </c>
      <c r="D14995" t="s">
        <v>51</v>
      </c>
      <c r="E14995" s="6">
        <v>-28421</v>
      </c>
      <c r="F14995" t="s">
        <v>446</v>
      </c>
      <c r="G14995" t="s">
        <v>35</v>
      </c>
      <c r="H14995" t="s">
        <v>20</v>
      </c>
      <c r="I14995" t="s">
        <v>29066</v>
      </c>
      <c r="J14995" t="str">
        <f>HYPERLINK("https://www.boe.es/gazeta/dias/1822/03/08/pdfs/GMD-1822-69.pdf#page=2","Abrir facsímil")</f>
        <v>Abrir facsímil</v>
      </c>
      <c r="K14995" t="s">
        <v>22</v>
      </c>
    </row>
    <row r="14996" spans="1:11" ht="42" customHeight="1">
      <c r="A14996" t="s">
        <v>29067</v>
      </c>
      <c r="B14996" t="s">
        <v>29067</v>
      </c>
      <c r="C14996" t="s">
        <v>61</v>
      </c>
      <c r="D14996" t="s">
        <v>17</v>
      </c>
      <c r="E14996" s="6">
        <v>-28238</v>
      </c>
      <c r="F14996" t="s">
        <v>2077</v>
      </c>
      <c r="G14996" t="s">
        <v>57</v>
      </c>
      <c r="H14996" t="s">
        <v>20</v>
      </c>
      <c r="I14996" t="s">
        <v>29068</v>
      </c>
      <c r="J14996" t="str">
        <f>HYPERLINK("https://www.boe.es/gazeta/dias/1822/09/07/pdfs/GMD-1822-262.pdf#page=4","Abrir facsímil")</f>
        <v>Abrir facsímil</v>
      </c>
      <c r="K14996" t="s">
        <v>22</v>
      </c>
    </row>
    <row r="14997" spans="1:11" ht="42" customHeight="1">
      <c r="A14997" t="s">
        <v>29069</v>
      </c>
      <c r="B14997" t="s">
        <v>29070</v>
      </c>
      <c r="C14997" t="s">
        <v>24</v>
      </c>
      <c r="D14997" t="s">
        <v>17</v>
      </c>
      <c r="E14997" s="6">
        <v>-28466</v>
      </c>
      <c r="F14997" t="s">
        <v>4119</v>
      </c>
      <c r="G14997" t="s">
        <v>35</v>
      </c>
      <c r="H14997" t="s">
        <v>20</v>
      </c>
      <c r="I14997" t="s">
        <v>29071</v>
      </c>
      <c r="J14997" t="str">
        <f>HYPERLINK("https://www.boe.es/gazeta/dias/1822/01/22/pdfs/GMD-1822-22.pdf#page=2","Abrir facsímil")</f>
        <v>Abrir facsímil</v>
      </c>
      <c r="K14997" t="s">
        <v>22</v>
      </c>
    </row>
    <row r="14998" spans="1:11" ht="42" customHeight="1">
      <c r="A14998" t="s">
        <v>29072</v>
      </c>
      <c r="B14998" t="s">
        <v>29073</v>
      </c>
      <c r="C14998" t="s">
        <v>50</v>
      </c>
      <c r="D14998" t="s">
        <v>51</v>
      </c>
      <c r="E14998" s="6">
        <v>-28445</v>
      </c>
      <c r="F14998" t="s">
        <v>1622</v>
      </c>
      <c r="G14998" t="s">
        <v>44</v>
      </c>
      <c r="H14998" t="s">
        <v>20</v>
      </c>
      <c r="I14998" t="s">
        <v>29074</v>
      </c>
      <c r="J14998" t="str">
        <f>HYPERLINK("https://www.boe.es/gazeta/dias/1822/02/12/pdfs/GMD-1822-43.pdf#page=1","Abrir facsímil")</f>
        <v>Abrir facsímil</v>
      </c>
      <c r="K14998" t="s">
        <v>22</v>
      </c>
    </row>
    <row r="14999" spans="1:11" ht="42" customHeight="1">
      <c r="A14999" t="s">
        <v>29075</v>
      </c>
      <c r="B14999" t="s">
        <v>29076</v>
      </c>
      <c r="C14999" t="s">
        <v>61</v>
      </c>
      <c r="D14999" t="s">
        <v>17</v>
      </c>
      <c r="E14999" s="6">
        <v>-28380</v>
      </c>
      <c r="F14999" t="s">
        <v>492</v>
      </c>
      <c r="G14999" t="s">
        <v>63</v>
      </c>
      <c r="H14999" t="s">
        <v>45</v>
      </c>
      <c r="I14999" t="s">
        <v>29077</v>
      </c>
      <c r="J14999" t="str">
        <f>HYPERLINK("https://www.boe.es/gazeta/dias/1822/04/18/pdfs/GMD-1822-110.pdf#page=6","Abrir facsímil")</f>
        <v>Abrir facsímil</v>
      </c>
      <c r="K14999" t="s">
        <v>47</v>
      </c>
    </row>
    <row r="15000" spans="1:11" ht="42" customHeight="1">
      <c r="A15000" t="s">
        <v>29078</v>
      </c>
      <c r="B15000" t="s">
        <v>29078</v>
      </c>
      <c r="C15000" t="s">
        <v>71</v>
      </c>
      <c r="D15000" t="s">
        <v>17</v>
      </c>
      <c r="E15000" s="6">
        <v>-28369</v>
      </c>
      <c r="F15000" t="s">
        <v>1590</v>
      </c>
      <c r="G15000" t="s">
        <v>44</v>
      </c>
      <c r="H15000" t="s">
        <v>20</v>
      </c>
      <c r="I15000" t="s">
        <v>29079</v>
      </c>
      <c r="J15000" t="str">
        <f>HYPERLINK("https://www.boe.es/gazeta/dias/1822/04/29/pdfs/GMD-1822-121.pdf#page=1","Abrir facsímil")</f>
        <v>Abrir facsímil</v>
      </c>
      <c r="K15000" t="s">
        <v>22</v>
      </c>
    </row>
    <row r="15001" spans="1:11" ht="42" customHeight="1">
      <c r="A15001" t="s">
        <v>29080</v>
      </c>
      <c r="B15001" t="s">
        <v>29080</v>
      </c>
      <c r="C15001" t="s">
        <v>50</v>
      </c>
      <c r="D15001" t="s">
        <v>51</v>
      </c>
      <c r="E15001" s="6">
        <v>-28145</v>
      </c>
      <c r="F15001" t="s">
        <v>1350</v>
      </c>
      <c r="G15001" t="s">
        <v>6049</v>
      </c>
      <c r="H15001" t="s">
        <v>20</v>
      </c>
      <c r="I15001" t="s">
        <v>29081</v>
      </c>
      <c r="J15001" t="str">
        <f>HYPERLINK("https://www.boe.es/gazeta/dias/1822/12/09/pdfs/GMD-1822-359.pdf#page=5","Abrir facsímil")</f>
        <v>Abrir facsímil</v>
      </c>
      <c r="K15001" t="s">
        <v>22</v>
      </c>
    </row>
    <row r="15002" spans="1:11" ht="42" customHeight="1">
      <c r="A15002" t="s">
        <v>29082</v>
      </c>
      <c r="B15002" t="s">
        <v>29082</v>
      </c>
      <c r="C15002" t="s">
        <v>42</v>
      </c>
      <c r="D15002" t="s">
        <v>17</v>
      </c>
      <c r="E15002" s="6">
        <v>-28197</v>
      </c>
      <c r="F15002" t="s">
        <v>568</v>
      </c>
      <c r="G15002" t="s">
        <v>31</v>
      </c>
      <c r="H15002" t="s">
        <v>20</v>
      </c>
      <c r="I15002" t="s">
        <v>29083</v>
      </c>
      <c r="J15002" t="str">
        <f>HYPERLINK("https://www.boe.es/gazeta/dias/1822/10/18/pdfs/GMD-1822-305.pdf#page=3","Abrir facsímil")</f>
        <v>Abrir facsímil</v>
      </c>
      <c r="K15002" t="s">
        <v>22</v>
      </c>
    </row>
    <row r="15003" spans="1:11" ht="42" customHeight="1">
      <c r="A15003" t="s">
        <v>29084</v>
      </c>
      <c r="B15003" t="s">
        <v>29085</v>
      </c>
      <c r="C15003" t="s">
        <v>50</v>
      </c>
      <c r="D15003" t="s">
        <v>51</v>
      </c>
      <c r="E15003" s="6">
        <v>-28410</v>
      </c>
      <c r="F15003" t="s">
        <v>966</v>
      </c>
      <c r="G15003" t="s">
        <v>31</v>
      </c>
      <c r="H15003" t="s">
        <v>20</v>
      </c>
      <c r="I15003" t="s">
        <v>29086</v>
      </c>
      <c r="J15003" t="str">
        <f>HYPERLINK("https://www.boe.es/gazeta/dias/1822/03/19/pdfs/GMD-1822-80.pdf#page=3","Abrir facsímil")</f>
        <v>Abrir facsímil</v>
      </c>
      <c r="K15003" t="s">
        <v>22</v>
      </c>
    </row>
    <row r="15004" spans="1:11" ht="42" customHeight="1">
      <c r="A15004" t="s">
        <v>29087</v>
      </c>
      <c r="B15004" t="s">
        <v>29087</v>
      </c>
      <c r="C15004" t="s">
        <v>16</v>
      </c>
      <c r="D15004" t="s">
        <v>17</v>
      </c>
      <c r="E15004" s="6">
        <v>-28176</v>
      </c>
      <c r="F15004" t="s">
        <v>780</v>
      </c>
      <c r="G15004" t="s">
        <v>44</v>
      </c>
      <c r="H15004" t="s">
        <v>20</v>
      </c>
      <c r="I15004" t="s">
        <v>29088</v>
      </c>
      <c r="J15004" t="str">
        <f>HYPERLINK("https://www.boe.es/gazeta/dias/1822/11/08/pdfs/GMD-1822-328.pdf#page=1","Abrir facsímil")</f>
        <v>Abrir facsímil</v>
      </c>
      <c r="K15004" t="s">
        <v>22</v>
      </c>
    </row>
    <row r="15005" spans="1:11" ht="42" customHeight="1">
      <c r="A15005" t="s">
        <v>29089</v>
      </c>
      <c r="B15005" t="s">
        <v>29090</v>
      </c>
      <c r="C15005" t="s">
        <v>16</v>
      </c>
      <c r="D15005" t="s">
        <v>17</v>
      </c>
      <c r="E15005" s="6">
        <v>-28318</v>
      </c>
      <c r="F15005" t="s">
        <v>397</v>
      </c>
      <c r="G15005" t="s">
        <v>157</v>
      </c>
      <c r="H15005" t="s">
        <v>20</v>
      </c>
      <c r="I15005" t="s">
        <v>29091</v>
      </c>
      <c r="J15005" t="str">
        <f>HYPERLINK("https://www.boe.es/gazeta/dias/1822/06/19/pdfs/GMD-1822-176.pdf#page=8","Abrir facsímil")</f>
        <v>Abrir facsímil</v>
      </c>
      <c r="K15005" t="s">
        <v>22</v>
      </c>
    </row>
    <row r="15006" spans="1:11" ht="42" customHeight="1">
      <c r="A15006" t="s">
        <v>29092</v>
      </c>
      <c r="B15006" t="s">
        <v>29093</v>
      </c>
      <c r="C15006" t="s">
        <v>71</v>
      </c>
      <c r="D15006" t="s">
        <v>17</v>
      </c>
      <c r="E15006" s="6">
        <v>-28323</v>
      </c>
      <c r="F15006" t="s">
        <v>116</v>
      </c>
      <c r="G15006" t="s">
        <v>31</v>
      </c>
      <c r="H15006" t="s">
        <v>20</v>
      </c>
      <c r="I15006" t="s">
        <v>29094</v>
      </c>
      <c r="J15006" t="str">
        <f>HYPERLINK("https://www.boe.es/gazeta/dias/1822/06/14/pdfs/GMD-1822-171.pdf#page=3","Abrir facsímil")</f>
        <v>Abrir facsímil</v>
      </c>
      <c r="K15006" t="s">
        <v>22</v>
      </c>
    </row>
    <row r="15007" spans="1:11" ht="42" customHeight="1">
      <c r="A15007" t="s">
        <v>29095</v>
      </c>
      <c r="B15007" t="s">
        <v>29095</v>
      </c>
      <c r="C15007" t="s">
        <v>42</v>
      </c>
      <c r="D15007" t="s">
        <v>17</v>
      </c>
      <c r="E15007" s="6">
        <v>-28309</v>
      </c>
      <c r="F15007" t="s">
        <v>553</v>
      </c>
      <c r="G15007" t="s">
        <v>19</v>
      </c>
      <c r="H15007" t="s">
        <v>20</v>
      </c>
      <c r="I15007" t="s">
        <v>29096</v>
      </c>
      <c r="J15007" t="str">
        <f>HYPERLINK("https://www.boe.es/gazeta/dias/1822/06/28/pdfs/GMD-1822-186.pdf#page=5","Abrir facsímil")</f>
        <v>Abrir facsímil</v>
      </c>
      <c r="K15007" t="s">
        <v>22</v>
      </c>
    </row>
    <row r="15008" spans="1:11" ht="42" customHeight="1">
      <c r="A15008" t="s">
        <v>29097</v>
      </c>
      <c r="B15008" t="s">
        <v>29097</v>
      </c>
      <c r="C15008" t="s">
        <v>71</v>
      </c>
      <c r="D15008" t="s">
        <v>17</v>
      </c>
      <c r="E15008" s="6">
        <v>-28198</v>
      </c>
      <c r="F15008" t="s">
        <v>981</v>
      </c>
      <c r="G15008" t="s">
        <v>31</v>
      </c>
      <c r="H15008" t="s">
        <v>20</v>
      </c>
      <c r="I15008" t="s">
        <v>29098</v>
      </c>
      <c r="J15008" t="str">
        <f>HYPERLINK("https://www.boe.es/gazeta/dias/1822/10/17/pdfs/GMD-1822-304.pdf#page=3","Abrir facsímil")</f>
        <v>Abrir facsímil</v>
      </c>
      <c r="K15008" t="s">
        <v>22</v>
      </c>
    </row>
    <row r="15009" spans="1:11" ht="42" customHeight="1">
      <c r="A15009" t="s">
        <v>29099</v>
      </c>
      <c r="B15009" t="s">
        <v>29100</v>
      </c>
      <c r="C15009" t="s">
        <v>50</v>
      </c>
      <c r="D15009" t="s">
        <v>51</v>
      </c>
      <c r="E15009" s="6">
        <v>-28328</v>
      </c>
      <c r="F15009" t="s">
        <v>540</v>
      </c>
      <c r="G15009" t="s">
        <v>63</v>
      </c>
      <c r="H15009" t="s">
        <v>20</v>
      </c>
      <c r="I15009" t="s">
        <v>29101</v>
      </c>
      <c r="J15009" t="str">
        <f>HYPERLINK("https://www.boe.es/gazeta/dias/1822/06/09/pdfs/GMD-1822-166.pdf#page=6","Abrir facsímil")</f>
        <v>Abrir facsímil</v>
      </c>
      <c r="K15009" t="s">
        <v>22</v>
      </c>
    </row>
    <row r="15010" spans="1:11" ht="42" customHeight="1">
      <c r="A15010" t="s">
        <v>29102</v>
      </c>
      <c r="B15010" t="s">
        <v>29102</v>
      </c>
      <c r="C15010" t="s">
        <v>42</v>
      </c>
      <c r="D15010" t="s">
        <v>17</v>
      </c>
      <c r="E15010" s="6">
        <v>-28482</v>
      </c>
      <c r="F15010" t="s">
        <v>850</v>
      </c>
      <c r="G15010" t="s">
        <v>31</v>
      </c>
      <c r="H15010" t="s">
        <v>20</v>
      </c>
      <c r="I15010" t="s">
        <v>29103</v>
      </c>
      <c r="J15010" t="str">
        <f>HYPERLINK("https://www.boe.es/gazeta/dias/1822/01/06/pdfs/GMD-1822-6.pdf#page=3","Abrir facsímil")</f>
        <v>Abrir facsímil</v>
      </c>
      <c r="K15010" t="s">
        <v>22</v>
      </c>
    </row>
    <row r="15011" spans="1:11" ht="42" customHeight="1">
      <c r="A15011" t="s">
        <v>29104</v>
      </c>
      <c r="B15011" t="s">
        <v>29104</v>
      </c>
      <c r="C15011" t="s">
        <v>42</v>
      </c>
      <c r="D15011" t="s">
        <v>17</v>
      </c>
      <c r="E15011" s="6">
        <v>-28428</v>
      </c>
      <c r="F15011" t="s">
        <v>1924</v>
      </c>
      <c r="G15011" t="s">
        <v>57</v>
      </c>
      <c r="H15011" t="s">
        <v>20</v>
      </c>
      <c r="I15011" t="s">
        <v>29105</v>
      </c>
      <c r="J15011" t="str">
        <f>HYPERLINK("https://www.boe.es/gazeta/dias/1822/03/01/pdfs/GMD-1822-61.pdf#page=4","Abrir facsímil")</f>
        <v>Abrir facsímil</v>
      </c>
      <c r="K15011" t="s">
        <v>22</v>
      </c>
    </row>
    <row r="15012" spans="1:11" ht="42" customHeight="1">
      <c r="A15012" t="s">
        <v>29106</v>
      </c>
      <c r="B15012" t="s">
        <v>29106</v>
      </c>
      <c r="C15012" t="s">
        <v>42</v>
      </c>
      <c r="D15012" t="s">
        <v>17</v>
      </c>
      <c r="E15012" s="6">
        <v>-28487</v>
      </c>
      <c r="F15012" t="s">
        <v>426</v>
      </c>
      <c r="G15012" t="s">
        <v>31</v>
      </c>
      <c r="H15012" t="s">
        <v>20</v>
      </c>
      <c r="I15012" t="s">
        <v>29107</v>
      </c>
      <c r="J15012" t="str">
        <f>HYPERLINK("https://www.boe.es/gazeta/dias/1822/01/01/pdfs/GMD-1822-1.pdf#page=3","Abrir facsímil")</f>
        <v>Abrir facsímil</v>
      </c>
      <c r="K15012" t="s">
        <v>22</v>
      </c>
    </row>
    <row r="15013" spans="1:11" ht="42" customHeight="1">
      <c r="A15013" t="s">
        <v>29106</v>
      </c>
      <c r="B15013" t="s">
        <v>29106</v>
      </c>
      <c r="C15013" t="s">
        <v>16</v>
      </c>
      <c r="D15013" t="s">
        <v>17</v>
      </c>
      <c r="E15013" s="6">
        <v>-28482</v>
      </c>
      <c r="F15013" t="s">
        <v>850</v>
      </c>
      <c r="G15013" t="s">
        <v>57</v>
      </c>
      <c r="H15013" t="s">
        <v>20</v>
      </c>
      <c r="I15013" t="s">
        <v>29108</v>
      </c>
      <c r="J15013" t="str">
        <f>HYPERLINK("https://www.boe.es/gazeta/dias/1822/01/06/pdfs/GMD-1822-6.pdf#page=4","Abrir facsímil")</f>
        <v>Abrir facsímil</v>
      </c>
      <c r="K15013" t="s">
        <v>22</v>
      </c>
    </row>
    <row r="15014" spans="1:11" ht="42" customHeight="1">
      <c r="A15014" t="s">
        <v>29109</v>
      </c>
      <c r="B15014" t="s">
        <v>29109</v>
      </c>
      <c r="C15014" t="s">
        <v>71</v>
      </c>
      <c r="D15014" t="s">
        <v>17</v>
      </c>
      <c r="E15014" s="6">
        <v>-28481</v>
      </c>
      <c r="F15014" t="s">
        <v>1089</v>
      </c>
      <c r="G15014" t="s">
        <v>35</v>
      </c>
      <c r="H15014" t="s">
        <v>20</v>
      </c>
      <c r="I15014" t="s">
        <v>29110</v>
      </c>
      <c r="J15014" t="str">
        <f>HYPERLINK("https://www.boe.es/gazeta/dias/1822/01/07/pdfs/GMD-1822-7.pdf#page=2","Abrir facsímil")</f>
        <v>Abrir facsímil</v>
      </c>
      <c r="K15014" t="s">
        <v>22</v>
      </c>
    </row>
    <row r="15015" spans="1:11" ht="42" customHeight="1">
      <c r="A15015" t="s">
        <v>29106</v>
      </c>
      <c r="B15015" t="s">
        <v>29106</v>
      </c>
      <c r="C15015" t="s">
        <v>71</v>
      </c>
      <c r="D15015" t="s">
        <v>17</v>
      </c>
      <c r="E15015" s="6">
        <v>-28478</v>
      </c>
      <c r="F15015" t="s">
        <v>1093</v>
      </c>
      <c r="G15015" t="s">
        <v>44</v>
      </c>
      <c r="H15015" t="s">
        <v>20</v>
      </c>
      <c r="I15015" t="s">
        <v>29111</v>
      </c>
      <c r="J15015" t="str">
        <f>HYPERLINK("https://www.boe.es/gazeta/dias/1822/01/10/pdfs/GMD-1822-10.pdf#page=1","Abrir facsímil")</f>
        <v>Abrir facsímil</v>
      </c>
      <c r="K15015" t="s">
        <v>22</v>
      </c>
    </row>
    <row r="15016" spans="1:11" ht="42" customHeight="1">
      <c r="A15016" t="s">
        <v>29106</v>
      </c>
      <c r="B15016" t="s">
        <v>29106</v>
      </c>
      <c r="C15016" t="s">
        <v>50</v>
      </c>
      <c r="D15016" t="s">
        <v>51</v>
      </c>
      <c r="E15016" s="6">
        <v>-28474</v>
      </c>
      <c r="F15016" t="s">
        <v>30</v>
      </c>
      <c r="G15016" t="s">
        <v>35</v>
      </c>
      <c r="H15016" t="s">
        <v>20</v>
      </c>
      <c r="I15016" t="s">
        <v>29112</v>
      </c>
      <c r="J15016" t="str">
        <f>HYPERLINK("https://www.boe.es/gazeta/dias/1822/01/14/pdfs/GMD-1822-14.pdf#page=2","Abrir facsímil")</f>
        <v>Abrir facsímil</v>
      </c>
      <c r="K15016" t="s">
        <v>22</v>
      </c>
    </row>
    <row r="15017" spans="1:11" ht="42" customHeight="1">
      <c r="A15017" t="s">
        <v>29106</v>
      </c>
      <c r="B15017" t="s">
        <v>29106</v>
      </c>
      <c r="C15017" t="s">
        <v>42</v>
      </c>
      <c r="D15017" t="s">
        <v>17</v>
      </c>
      <c r="E15017" s="6">
        <v>-28453</v>
      </c>
      <c r="F15017" t="s">
        <v>2039</v>
      </c>
      <c r="G15017" t="s">
        <v>35</v>
      </c>
      <c r="H15017" t="s">
        <v>20</v>
      </c>
      <c r="I15017" t="s">
        <v>29113</v>
      </c>
      <c r="J15017" t="str">
        <f>HYPERLINK("https://www.boe.es/gazeta/dias/1822/02/04/pdfs/GMD-1822-35.pdf#page=2","Abrir facsímil")</f>
        <v>Abrir facsímil</v>
      </c>
      <c r="K15017" t="s">
        <v>22</v>
      </c>
    </row>
    <row r="15018" spans="1:11" ht="42" customHeight="1">
      <c r="A15018" t="s">
        <v>29106</v>
      </c>
      <c r="B15018" t="s">
        <v>29106</v>
      </c>
      <c r="C15018" t="s">
        <v>28</v>
      </c>
      <c r="D15018" t="s">
        <v>29</v>
      </c>
      <c r="E15018" s="6">
        <v>-28444</v>
      </c>
      <c r="F15018" t="s">
        <v>681</v>
      </c>
      <c r="G15018" t="s">
        <v>35</v>
      </c>
      <c r="H15018" t="s">
        <v>20</v>
      </c>
      <c r="I15018" t="s">
        <v>29114</v>
      </c>
      <c r="J15018" t="str">
        <f>HYPERLINK("https://www.boe.es/gazeta/dias/1822/02/13/pdfs/GMD-1822-44.pdf#page=2","Abrir facsímil")</f>
        <v>Abrir facsímil</v>
      </c>
      <c r="K15018" t="s">
        <v>22</v>
      </c>
    </row>
    <row r="15019" spans="1:11" ht="42" customHeight="1">
      <c r="A15019" t="s">
        <v>29106</v>
      </c>
      <c r="B15019" t="s">
        <v>29106</v>
      </c>
      <c r="C15019" t="s">
        <v>42</v>
      </c>
      <c r="D15019" t="s">
        <v>17</v>
      </c>
      <c r="E15019" s="6">
        <v>-28443</v>
      </c>
      <c r="F15019" t="s">
        <v>668</v>
      </c>
      <c r="G15019" t="s">
        <v>31</v>
      </c>
      <c r="H15019" t="s">
        <v>20</v>
      </c>
      <c r="I15019" t="s">
        <v>29115</v>
      </c>
      <c r="J15019" t="str">
        <f>HYPERLINK("https://www.boe.es/gazeta/dias/1822/02/14/pdfs/GMD-1822-45.pdf#page=3","Abrir facsímil")</f>
        <v>Abrir facsímil</v>
      </c>
      <c r="K15019" t="s">
        <v>22</v>
      </c>
    </row>
    <row r="15020" spans="1:11" ht="42" customHeight="1">
      <c r="A15020" t="s">
        <v>29116</v>
      </c>
      <c r="B15020" t="s">
        <v>29117</v>
      </c>
      <c r="C15020" t="s">
        <v>28</v>
      </c>
      <c r="D15020" t="s">
        <v>29</v>
      </c>
      <c r="E15020" s="6">
        <v>-28432</v>
      </c>
      <c r="F15020" t="s">
        <v>195</v>
      </c>
      <c r="G15020" t="s">
        <v>57</v>
      </c>
      <c r="H15020" t="s">
        <v>20</v>
      </c>
      <c r="I15020" t="s">
        <v>29118</v>
      </c>
      <c r="J15020" t="str">
        <f>HYPERLINK("https://www.boe.es/gazeta/dias/1822/02/25/pdfs/GMD-1822-57.pdf#page=4","Abrir facsímil")</f>
        <v>Abrir facsímil</v>
      </c>
      <c r="K15020" t="s">
        <v>22</v>
      </c>
    </row>
    <row r="15021" spans="1:11" ht="42" customHeight="1">
      <c r="A15021" t="s">
        <v>29116</v>
      </c>
      <c r="B15021" t="s">
        <v>29117</v>
      </c>
      <c r="C15021" t="s">
        <v>50</v>
      </c>
      <c r="D15021" t="s">
        <v>51</v>
      </c>
      <c r="E15021" s="6">
        <v>-28275</v>
      </c>
      <c r="F15021" t="s">
        <v>1297</v>
      </c>
      <c r="G15021" t="s">
        <v>57</v>
      </c>
      <c r="H15021" t="s">
        <v>20</v>
      </c>
      <c r="I15021" t="s">
        <v>29119</v>
      </c>
      <c r="J15021" t="str">
        <f>HYPERLINK("https://www.boe.es/gazeta/dias/1822/08/01/pdfs/GMD-1822-225.pdf#page=4","Abrir facsímil")</f>
        <v>Abrir facsímil</v>
      </c>
      <c r="K15021" t="s">
        <v>22</v>
      </c>
    </row>
    <row r="15022" spans="1:11" ht="42" customHeight="1">
      <c r="A15022" t="s">
        <v>29116</v>
      </c>
      <c r="B15022" t="s">
        <v>29117</v>
      </c>
      <c r="C15022" t="s">
        <v>50</v>
      </c>
      <c r="D15022" t="s">
        <v>51</v>
      </c>
      <c r="E15022" s="6">
        <v>-28206</v>
      </c>
      <c r="F15022" t="s">
        <v>562</v>
      </c>
      <c r="G15022" t="s">
        <v>57</v>
      </c>
      <c r="H15022" t="s">
        <v>20</v>
      </c>
      <c r="I15022" t="s">
        <v>29120</v>
      </c>
      <c r="J15022" t="str">
        <f>HYPERLINK("https://www.boe.es/gazeta/dias/1822/10/09/pdfs/GMD-1822-296.pdf#page=4","Abrir facsímil")</f>
        <v>Abrir facsímil</v>
      </c>
      <c r="K15022" t="s">
        <v>22</v>
      </c>
    </row>
    <row r="15023" spans="1:11" ht="42" customHeight="1">
      <c r="A15023" t="s">
        <v>29121</v>
      </c>
      <c r="B15023" t="s">
        <v>29122</v>
      </c>
      <c r="C15023" t="s">
        <v>50</v>
      </c>
      <c r="D15023" t="s">
        <v>51</v>
      </c>
      <c r="E15023" s="6">
        <v>-28266</v>
      </c>
      <c r="F15023" t="s">
        <v>1169</v>
      </c>
      <c r="G15023" t="s">
        <v>57</v>
      </c>
      <c r="H15023" t="s">
        <v>20</v>
      </c>
      <c r="I15023" t="s">
        <v>29123</v>
      </c>
      <c r="J15023" t="str">
        <f>HYPERLINK("https://www.boe.es/gazeta/dias/1822/08/10/pdfs/GMD-1822-234.pdf#page=4","Abrir facsímil")</f>
        <v>Abrir facsímil</v>
      </c>
      <c r="K15023" t="s">
        <v>22</v>
      </c>
    </row>
    <row r="15024" spans="1:11" ht="42" customHeight="1">
      <c r="A15024" t="s">
        <v>29124</v>
      </c>
      <c r="B15024" t="s">
        <v>29125</v>
      </c>
      <c r="C15024" t="s">
        <v>50</v>
      </c>
      <c r="D15024" t="s">
        <v>51</v>
      </c>
      <c r="E15024" s="6">
        <v>-28319</v>
      </c>
      <c r="F15024" t="s">
        <v>271</v>
      </c>
      <c r="G15024" t="s">
        <v>57</v>
      </c>
      <c r="H15024" t="s">
        <v>20</v>
      </c>
      <c r="I15024" t="s">
        <v>29126</v>
      </c>
      <c r="J15024" t="str">
        <f>HYPERLINK("https://www.boe.es/gazeta/dias/1822/06/18/pdfs/GMD-1822-175.pdf#page=4","Abrir facsímil")</f>
        <v>Abrir facsímil</v>
      </c>
      <c r="K15024" t="s">
        <v>22</v>
      </c>
    </row>
    <row r="15025" spans="1:11" ht="42" customHeight="1">
      <c r="A15025" t="s">
        <v>29127</v>
      </c>
      <c r="B15025" t="s">
        <v>29128</v>
      </c>
      <c r="C15025" t="s">
        <v>28</v>
      </c>
      <c r="D15025" t="s">
        <v>29</v>
      </c>
      <c r="E15025" s="6">
        <v>-28392</v>
      </c>
      <c r="F15025" t="s">
        <v>2003</v>
      </c>
      <c r="G15025" t="s">
        <v>35</v>
      </c>
      <c r="H15025" t="s">
        <v>20</v>
      </c>
      <c r="I15025" t="s">
        <v>29129</v>
      </c>
      <c r="J15025" t="str">
        <f>HYPERLINK("https://www.boe.es/gazeta/dias/1822/04/06/pdfs/GMD-1822-98.pdf#page=2","Abrir facsímil")</f>
        <v>Abrir facsímil</v>
      </c>
      <c r="K15025" t="s">
        <v>22</v>
      </c>
    </row>
    <row r="15026" spans="1:11" ht="42" customHeight="1">
      <c r="A15026" t="s">
        <v>29130</v>
      </c>
      <c r="B15026" t="s">
        <v>29131</v>
      </c>
      <c r="C15026" t="s">
        <v>50</v>
      </c>
      <c r="D15026" t="s">
        <v>51</v>
      </c>
      <c r="E15026" s="6">
        <v>-28218</v>
      </c>
      <c r="F15026" t="s">
        <v>405</v>
      </c>
      <c r="G15026" t="s">
        <v>35</v>
      </c>
      <c r="H15026" t="s">
        <v>20</v>
      </c>
      <c r="I15026" t="s">
        <v>29132</v>
      </c>
      <c r="J15026" t="str">
        <f>HYPERLINK("https://www.boe.es/gazeta/dias/1822/09/27/pdfs/GMD-1822-283.pdf#page=2","Abrir facsímil")</f>
        <v>Abrir facsímil</v>
      </c>
      <c r="K15026" t="s">
        <v>22</v>
      </c>
    </row>
    <row r="15027" spans="1:11" ht="42" customHeight="1">
      <c r="A15027" t="s">
        <v>29133</v>
      </c>
      <c r="B15027" t="s">
        <v>29134</v>
      </c>
      <c r="C15027" t="s">
        <v>61</v>
      </c>
      <c r="D15027" t="s">
        <v>17</v>
      </c>
      <c r="E15027" s="6">
        <v>-28216</v>
      </c>
      <c r="F15027" t="s">
        <v>4661</v>
      </c>
      <c r="G15027" t="s">
        <v>57</v>
      </c>
      <c r="H15027" t="s">
        <v>20</v>
      </c>
      <c r="I15027" t="s">
        <v>29135</v>
      </c>
      <c r="J15027" t="str">
        <f>HYPERLINK("https://www.boe.es/gazeta/dias/1822/09/29/pdfs/GMD-1822-285.pdf#page=4","Abrir facsímil")</f>
        <v>Abrir facsímil</v>
      </c>
      <c r="K15027" t="s">
        <v>22</v>
      </c>
    </row>
    <row r="15028" spans="1:11" ht="42" customHeight="1">
      <c r="A15028" t="s">
        <v>29136</v>
      </c>
      <c r="B15028" t="s">
        <v>29137</v>
      </c>
      <c r="C15028" t="s">
        <v>42</v>
      </c>
      <c r="D15028" t="s">
        <v>17</v>
      </c>
      <c r="E15028" s="6">
        <v>-28358</v>
      </c>
      <c r="F15028" t="s">
        <v>211</v>
      </c>
      <c r="G15028" t="s">
        <v>157</v>
      </c>
      <c r="H15028" t="s">
        <v>20</v>
      </c>
      <c r="I15028" t="s">
        <v>29138</v>
      </c>
      <c r="J15028" t="str">
        <f>HYPERLINK("https://www.boe.es/gazeta/dias/1822/05/10/pdfs/GMD-1822-132.pdf#page=8","Abrir facsímil")</f>
        <v>Abrir facsímil</v>
      </c>
      <c r="K15028" t="s">
        <v>22</v>
      </c>
    </row>
    <row r="15029" spans="1:11" ht="42" customHeight="1">
      <c r="A15029" t="s">
        <v>29139</v>
      </c>
      <c r="B15029" t="s">
        <v>29139</v>
      </c>
      <c r="C15029" t="s">
        <v>50</v>
      </c>
      <c r="D15029" t="s">
        <v>51</v>
      </c>
      <c r="E15029" s="6">
        <v>-28485</v>
      </c>
      <c r="F15029" t="s">
        <v>1117</v>
      </c>
      <c r="G15029" t="s">
        <v>44</v>
      </c>
      <c r="H15029" t="s">
        <v>20</v>
      </c>
      <c r="I15029" t="s">
        <v>29140</v>
      </c>
      <c r="J15029" t="str">
        <f>HYPERLINK("https://www.boe.es/gazeta/dias/1822/01/03/pdfs/GMD-1822-3.pdf#page=1","Abrir facsímil")</f>
        <v>Abrir facsímil</v>
      </c>
      <c r="K15029" t="s">
        <v>22</v>
      </c>
    </row>
    <row r="15030" spans="1:11" ht="42" customHeight="1">
      <c r="A15030" t="s">
        <v>29139</v>
      </c>
      <c r="B15030" t="s">
        <v>29139</v>
      </c>
      <c r="C15030" t="s">
        <v>50</v>
      </c>
      <c r="D15030" t="s">
        <v>51</v>
      </c>
      <c r="E15030" s="6">
        <v>-28477</v>
      </c>
      <c r="F15030" t="s">
        <v>1668</v>
      </c>
      <c r="G15030" t="s">
        <v>44</v>
      </c>
      <c r="H15030" t="s">
        <v>20</v>
      </c>
      <c r="I15030" t="s">
        <v>29141</v>
      </c>
      <c r="J15030" t="str">
        <f>HYPERLINK("https://www.boe.es/gazeta/dias/1822/01/11/pdfs/GMD-1822-11.pdf#page=1","Abrir facsímil")</f>
        <v>Abrir facsímil</v>
      </c>
      <c r="K15030" t="s">
        <v>22</v>
      </c>
    </row>
    <row r="15031" spans="1:11" ht="42" customHeight="1">
      <c r="A15031" t="s">
        <v>29142</v>
      </c>
      <c r="B15031" t="s">
        <v>29143</v>
      </c>
      <c r="C15031" t="s">
        <v>24</v>
      </c>
      <c r="D15031" t="s">
        <v>17</v>
      </c>
      <c r="E15031" s="6">
        <v>-28199</v>
      </c>
      <c r="F15031" t="s">
        <v>656</v>
      </c>
      <c r="G15031" t="s">
        <v>19</v>
      </c>
      <c r="H15031" t="s">
        <v>20</v>
      </c>
      <c r="I15031" t="s">
        <v>29144</v>
      </c>
      <c r="J15031" t="str">
        <f>HYPERLINK("https://www.boe.es/gazeta/dias/1822/10/16/pdfs/GMD-1822-303.pdf#page=5","Abrir facsímil")</f>
        <v>Abrir facsímil</v>
      </c>
      <c r="K15031" t="s">
        <v>22</v>
      </c>
    </row>
    <row r="15032" spans="1:11" ht="42" customHeight="1">
      <c r="A15032" t="s">
        <v>29145</v>
      </c>
      <c r="B15032" t="s">
        <v>29146</v>
      </c>
      <c r="C15032" t="s">
        <v>50</v>
      </c>
      <c r="D15032" t="s">
        <v>51</v>
      </c>
      <c r="E15032" s="6">
        <v>-28418</v>
      </c>
      <c r="F15032" t="s">
        <v>205</v>
      </c>
      <c r="G15032" t="s">
        <v>63</v>
      </c>
      <c r="H15032" t="s">
        <v>20</v>
      </c>
      <c r="I15032" t="s">
        <v>29147</v>
      </c>
      <c r="J15032" t="str">
        <f>HYPERLINK("https://www.boe.es/gazeta/dias/1822/03/11/pdfs/GMD-1822-72.pdf#page=6","Abrir facsímil")</f>
        <v>Abrir facsímil</v>
      </c>
      <c r="K15032" t="s">
        <v>22</v>
      </c>
    </row>
    <row r="15033" spans="1:11" ht="42" customHeight="1">
      <c r="A15033" t="s">
        <v>29148</v>
      </c>
      <c r="B15033" t="s">
        <v>29149</v>
      </c>
      <c r="C15033" t="s">
        <v>28</v>
      </c>
      <c r="D15033" t="s">
        <v>29</v>
      </c>
      <c r="E15033" s="6">
        <v>-28293</v>
      </c>
      <c r="F15033" t="s">
        <v>152</v>
      </c>
      <c r="G15033" t="s">
        <v>57</v>
      </c>
      <c r="H15033" t="s">
        <v>20</v>
      </c>
      <c r="I15033" t="s">
        <v>29150</v>
      </c>
      <c r="J15033" t="str">
        <f>HYPERLINK("https://www.boe.es/gazeta/dias/1822/07/14/pdfs/GMD-1822-204.pdf#page=4","Abrir facsímil")</f>
        <v>Abrir facsímil</v>
      </c>
      <c r="K15033" t="s">
        <v>22</v>
      </c>
    </row>
    <row r="15034" spans="1:11" ht="42" customHeight="1">
      <c r="A15034" t="s">
        <v>29151</v>
      </c>
      <c r="B15034" t="s">
        <v>29152</v>
      </c>
      <c r="C15034" t="s">
        <v>50</v>
      </c>
      <c r="D15034" t="s">
        <v>51</v>
      </c>
      <c r="E15034" s="6">
        <v>-28221</v>
      </c>
      <c r="F15034" t="s">
        <v>2591</v>
      </c>
      <c r="G15034" t="s">
        <v>57</v>
      </c>
      <c r="H15034" t="s">
        <v>20</v>
      </c>
      <c r="I15034" t="s">
        <v>29153</v>
      </c>
      <c r="J15034" t="str">
        <f>HYPERLINK("https://www.boe.es/gazeta/dias/1822/09/24/pdfs/GMD-1822-280.pdf#page=4","Abrir facsímil")</f>
        <v>Abrir facsímil</v>
      </c>
      <c r="K15034" t="s">
        <v>22</v>
      </c>
    </row>
    <row r="15035" spans="1:11" ht="42" customHeight="1">
      <c r="A15035" t="s">
        <v>29154</v>
      </c>
      <c r="B15035" t="s">
        <v>29154</v>
      </c>
      <c r="C15035" t="s">
        <v>28</v>
      </c>
      <c r="D15035" t="s">
        <v>29</v>
      </c>
      <c r="E15035" s="6">
        <v>-28457</v>
      </c>
      <c r="F15035" t="s">
        <v>1655</v>
      </c>
      <c r="G15035" t="s">
        <v>44</v>
      </c>
      <c r="H15035" t="s">
        <v>20</v>
      </c>
      <c r="I15035" t="s">
        <v>29155</v>
      </c>
      <c r="J15035" t="str">
        <f>HYPERLINK("https://www.boe.es/gazeta/dias/1822/01/31/pdfs/GMD-1822-31.pdf#page=1","Abrir facsímil")</f>
        <v>Abrir facsímil</v>
      </c>
      <c r="K15035" t="s">
        <v>22</v>
      </c>
    </row>
    <row r="15036" spans="1:11" ht="42" customHeight="1">
      <c r="A15036" t="s">
        <v>29156</v>
      </c>
      <c r="B15036" t="s">
        <v>29156</v>
      </c>
      <c r="C15036" t="s">
        <v>16</v>
      </c>
      <c r="D15036" t="s">
        <v>17</v>
      </c>
      <c r="E15036" s="6">
        <v>-28462</v>
      </c>
      <c r="F15036" t="s">
        <v>1099</v>
      </c>
      <c r="G15036" t="s">
        <v>31</v>
      </c>
      <c r="H15036" t="s">
        <v>20</v>
      </c>
      <c r="I15036" t="s">
        <v>29157</v>
      </c>
      <c r="J15036" t="str">
        <f>HYPERLINK("https://www.boe.es/gazeta/dias/1822/01/26/pdfs/GMD-1822-26.pdf#page=3","Abrir facsímil")</f>
        <v>Abrir facsímil</v>
      </c>
      <c r="K15036" t="s">
        <v>22</v>
      </c>
    </row>
    <row r="15037" spans="1:11" ht="42" customHeight="1">
      <c r="A15037" t="s">
        <v>29158</v>
      </c>
      <c r="B15037" t="s">
        <v>29159</v>
      </c>
      <c r="C15037" t="s">
        <v>24</v>
      </c>
      <c r="D15037" t="s">
        <v>17</v>
      </c>
      <c r="E15037" s="6">
        <v>-28391</v>
      </c>
      <c r="F15037" t="s">
        <v>378</v>
      </c>
      <c r="G15037" t="s">
        <v>63</v>
      </c>
      <c r="H15037" t="s">
        <v>20</v>
      </c>
      <c r="I15037" t="s">
        <v>29160</v>
      </c>
      <c r="J15037" t="str">
        <f>HYPERLINK("https://www.boe.es/gazeta/dias/1822/04/07/pdfs/GMD-1822-99.pdf#page=6","Abrir facsímil")</f>
        <v>Abrir facsímil</v>
      </c>
      <c r="K15037" t="s">
        <v>22</v>
      </c>
    </row>
    <row r="15038" spans="1:11" ht="42" customHeight="1">
      <c r="A15038" t="s">
        <v>29161</v>
      </c>
      <c r="B15038" t="s">
        <v>29162</v>
      </c>
      <c r="C15038" t="s">
        <v>42</v>
      </c>
      <c r="D15038" t="s">
        <v>17</v>
      </c>
      <c r="E15038" s="6">
        <v>-28131</v>
      </c>
      <c r="F15038" t="s">
        <v>893</v>
      </c>
      <c r="G15038" t="s">
        <v>991</v>
      </c>
      <c r="H15038" t="s">
        <v>20</v>
      </c>
      <c r="I15038" t="s">
        <v>29163</v>
      </c>
      <c r="J15038" t="str">
        <f>HYPERLINK("https://www.boe.es/gazeta/dias/1822/12/23/pdfs/GMD-1822-373.pdf#page=6","Abrir facsímil")</f>
        <v>Abrir facsímil</v>
      </c>
      <c r="K15038" t="s">
        <v>22</v>
      </c>
    </row>
    <row r="15039" spans="1:11" ht="42" customHeight="1">
      <c r="A15039" t="s">
        <v>29164</v>
      </c>
      <c r="B15039" t="s">
        <v>29164</v>
      </c>
      <c r="C15039" t="s">
        <v>71</v>
      </c>
      <c r="D15039" t="s">
        <v>17</v>
      </c>
      <c r="E15039" s="6">
        <v>-28201</v>
      </c>
      <c r="F15039" t="s">
        <v>163</v>
      </c>
      <c r="G15039" t="s">
        <v>19</v>
      </c>
      <c r="H15039" t="s">
        <v>20</v>
      </c>
      <c r="I15039" t="s">
        <v>29165</v>
      </c>
      <c r="J15039" t="str">
        <f>HYPERLINK("https://www.boe.es/gazeta/dias/1822/10/14/pdfs/GMD-1822-301.pdf#page=5","Abrir facsímil")</f>
        <v>Abrir facsímil</v>
      </c>
      <c r="K15039" t="s">
        <v>22</v>
      </c>
    </row>
    <row r="15040" spans="1:11" ht="42" customHeight="1">
      <c r="A15040" t="s">
        <v>29166</v>
      </c>
      <c r="B15040" t="s">
        <v>29167</v>
      </c>
      <c r="C15040" t="s">
        <v>42</v>
      </c>
      <c r="D15040" t="s">
        <v>17</v>
      </c>
      <c r="E15040" s="6">
        <v>-28413</v>
      </c>
      <c r="F15040" t="s">
        <v>458</v>
      </c>
      <c r="G15040" t="s">
        <v>19</v>
      </c>
      <c r="H15040" t="s">
        <v>45</v>
      </c>
      <c r="I15040" t="s">
        <v>29168</v>
      </c>
      <c r="J15040" t="str">
        <f>HYPERLINK("https://www.boe.es/gazeta/dias/1822/03/16/pdfs/GMD-1822-77.pdf#page=5","Abrir facsímil")</f>
        <v>Abrir facsímil</v>
      </c>
      <c r="K15040" t="s">
        <v>47</v>
      </c>
    </row>
    <row r="15041" spans="1:11" ht="42" customHeight="1">
      <c r="A15041" t="s">
        <v>29169</v>
      </c>
      <c r="B15041" t="s">
        <v>29170</v>
      </c>
      <c r="C15041" t="s">
        <v>28</v>
      </c>
      <c r="D15041" t="s">
        <v>29</v>
      </c>
      <c r="E15041" s="6">
        <v>-28415</v>
      </c>
      <c r="F15041" t="s">
        <v>77</v>
      </c>
      <c r="G15041" t="s">
        <v>19</v>
      </c>
      <c r="H15041" t="s">
        <v>45</v>
      </c>
      <c r="I15041" t="s">
        <v>29171</v>
      </c>
      <c r="J15041" t="str">
        <f>HYPERLINK("https://www.boe.es/gazeta/dias/1822/03/14/pdfs/GMD-1822-75.pdf#page=5","Abrir facsímil")</f>
        <v>Abrir facsímil</v>
      </c>
      <c r="K15041" t="s">
        <v>47</v>
      </c>
    </row>
    <row r="15042" spans="1:11" ht="42" customHeight="1">
      <c r="A15042" t="s">
        <v>29172</v>
      </c>
      <c r="B15042" t="s">
        <v>29173</v>
      </c>
      <c r="C15042" t="s">
        <v>61</v>
      </c>
      <c r="D15042" t="s">
        <v>17</v>
      </c>
      <c r="E15042" s="6">
        <v>-28148</v>
      </c>
      <c r="F15042" t="s">
        <v>1909</v>
      </c>
      <c r="G15042" t="s">
        <v>63</v>
      </c>
      <c r="H15042" t="s">
        <v>45</v>
      </c>
      <c r="I15042" t="s">
        <v>29174</v>
      </c>
      <c r="J15042" t="str">
        <f>HYPERLINK("https://www.boe.es/gazeta/dias/1822/12/06/pdfs/GMD-1822-356.pdf#page=6","Abrir facsímil")</f>
        <v>Abrir facsímil</v>
      </c>
      <c r="K15042" t="s">
        <v>47</v>
      </c>
    </row>
    <row r="15043" spans="1:11" ht="42" customHeight="1">
      <c r="A15043" t="s">
        <v>29175</v>
      </c>
      <c r="B15043" t="s">
        <v>29176</v>
      </c>
      <c r="C15043" t="s">
        <v>24</v>
      </c>
      <c r="D15043" t="s">
        <v>17</v>
      </c>
      <c r="E15043" s="6">
        <v>-28379</v>
      </c>
      <c r="F15043" t="s">
        <v>494</v>
      </c>
      <c r="G15043" t="s">
        <v>63</v>
      </c>
      <c r="H15043" t="s">
        <v>45</v>
      </c>
      <c r="I15043" t="s">
        <v>29177</v>
      </c>
      <c r="J15043" t="str">
        <f>HYPERLINK("https://www.boe.es/gazeta/dias/1822/04/19/pdfs/GMD-1822-111.pdf#page=6","Abrir facsímil")</f>
        <v>Abrir facsímil</v>
      </c>
      <c r="K15043" t="s">
        <v>47</v>
      </c>
    </row>
    <row r="15044" spans="1:11" ht="42" customHeight="1">
      <c r="A15044" t="s">
        <v>29178</v>
      </c>
      <c r="B15044" t="s">
        <v>29179</v>
      </c>
      <c r="C15044" t="s">
        <v>50</v>
      </c>
      <c r="D15044" t="s">
        <v>51</v>
      </c>
      <c r="E15044" s="6">
        <v>-28208</v>
      </c>
      <c r="F15044" t="s">
        <v>230</v>
      </c>
      <c r="G15044" t="s">
        <v>57</v>
      </c>
      <c r="H15044" t="s">
        <v>20</v>
      </c>
      <c r="I15044" t="s">
        <v>29180</v>
      </c>
      <c r="J15044" t="str">
        <f>HYPERLINK("https://www.boe.es/gazeta/dias/1822/10/07/pdfs/GMD-1822-293.pdf#page=4","Abrir facsímil")</f>
        <v>Abrir facsímil</v>
      </c>
      <c r="K15044" t="s">
        <v>22</v>
      </c>
    </row>
    <row r="15045" spans="1:11" ht="42" customHeight="1">
      <c r="A15045" t="s">
        <v>29181</v>
      </c>
      <c r="B15045" t="s">
        <v>29181</v>
      </c>
      <c r="C15045" t="s">
        <v>42</v>
      </c>
      <c r="D15045" t="s">
        <v>17</v>
      </c>
      <c r="E15045" s="6">
        <v>-28485</v>
      </c>
      <c r="F15045" t="s">
        <v>1117</v>
      </c>
      <c r="G15045" t="s">
        <v>57</v>
      </c>
      <c r="H15045" t="s">
        <v>20</v>
      </c>
      <c r="I15045" t="s">
        <v>29182</v>
      </c>
      <c r="J15045" t="str">
        <f>HYPERLINK("https://www.boe.es/gazeta/dias/1822/01/03/pdfs/GMD-1822-3.pdf#page=4","Abrir facsímil")</f>
        <v>Abrir facsímil</v>
      </c>
      <c r="K15045" t="s">
        <v>22</v>
      </c>
    </row>
    <row r="15046" spans="1:11" ht="42" customHeight="1">
      <c r="A15046" t="s">
        <v>29183</v>
      </c>
      <c r="B15046" t="s">
        <v>29183</v>
      </c>
      <c r="C15046" t="s">
        <v>362</v>
      </c>
      <c r="D15046" t="s">
        <v>17</v>
      </c>
      <c r="E15046" s="6">
        <v>-28254</v>
      </c>
      <c r="F15046" t="s">
        <v>3557</v>
      </c>
      <c r="G15046" t="s">
        <v>57</v>
      </c>
      <c r="H15046" t="s">
        <v>20</v>
      </c>
      <c r="I15046" t="s">
        <v>29184</v>
      </c>
      <c r="J15046" t="str">
        <f>HYPERLINK("https://www.boe.es/gazeta/dias/1822/08/22/pdfs/GMD-1822-246.pdf#page=4","Abrir facsímil")</f>
        <v>Abrir facsímil</v>
      </c>
      <c r="K15046" t="s">
        <v>22</v>
      </c>
    </row>
    <row r="15047" spans="1:11" ht="42" customHeight="1">
      <c r="A15047" t="s">
        <v>29185</v>
      </c>
      <c r="B15047" t="s">
        <v>29186</v>
      </c>
      <c r="C15047" t="s">
        <v>50</v>
      </c>
      <c r="D15047" t="s">
        <v>51</v>
      </c>
      <c r="E15047" s="6">
        <v>-28292</v>
      </c>
      <c r="F15047" t="s">
        <v>222</v>
      </c>
      <c r="G15047" t="s">
        <v>31</v>
      </c>
      <c r="H15047" t="s">
        <v>20</v>
      </c>
      <c r="I15047" t="s">
        <v>29187</v>
      </c>
      <c r="J15047" t="str">
        <f>HYPERLINK("https://www.boe.es/gazeta/dias/1822/07/15/pdfs/GMD-1822-205.pdf#page=3","Abrir facsímil")</f>
        <v>Abrir facsímil</v>
      </c>
      <c r="K15047" t="s">
        <v>22</v>
      </c>
    </row>
    <row r="15048" spans="1:11" ht="42" customHeight="1">
      <c r="A15048" t="s">
        <v>29188</v>
      </c>
      <c r="B15048" t="s">
        <v>29189</v>
      </c>
      <c r="C15048" t="s">
        <v>61</v>
      </c>
      <c r="D15048" t="s">
        <v>17</v>
      </c>
      <c r="E15048" s="6">
        <v>-28258</v>
      </c>
      <c r="F15048" t="s">
        <v>88</v>
      </c>
      <c r="G15048" t="s">
        <v>31</v>
      </c>
      <c r="H15048" t="s">
        <v>20</v>
      </c>
      <c r="I15048" t="s">
        <v>29190</v>
      </c>
      <c r="J15048" t="str">
        <f>HYPERLINK("https://www.boe.es/gazeta/dias/1822/08/18/pdfs/GMD-1822-242.pdf#page=3","Abrir facsímil")</f>
        <v>Abrir facsímil</v>
      </c>
      <c r="K15048" t="s">
        <v>22</v>
      </c>
    </row>
    <row r="15049" spans="1:11" ht="42" customHeight="1">
      <c r="A15049" t="s">
        <v>29191</v>
      </c>
      <c r="B15049" t="s">
        <v>29192</v>
      </c>
      <c r="C15049" t="s">
        <v>50</v>
      </c>
      <c r="D15049" t="s">
        <v>51</v>
      </c>
      <c r="E15049" s="6">
        <v>-28264</v>
      </c>
      <c r="F15049" t="s">
        <v>1329</v>
      </c>
      <c r="G15049" t="s">
        <v>57</v>
      </c>
      <c r="H15049" t="s">
        <v>20</v>
      </c>
      <c r="I15049" t="s">
        <v>29193</v>
      </c>
      <c r="J15049" t="str">
        <f>HYPERLINK("https://www.boe.es/gazeta/dias/1822/08/12/pdfs/GMD-1822-236.pdf#page=4","Abrir facsímil")</f>
        <v>Abrir facsímil</v>
      </c>
      <c r="K15049" t="s">
        <v>22</v>
      </c>
    </row>
    <row r="15050" spans="1:11" ht="42" customHeight="1">
      <c r="A15050" t="s">
        <v>29194</v>
      </c>
      <c r="B15050" t="s">
        <v>29195</v>
      </c>
      <c r="C15050" t="s">
        <v>42</v>
      </c>
      <c r="D15050" t="s">
        <v>17</v>
      </c>
      <c r="E15050" s="6">
        <v>-28477</v>
      </c>
      <c r="F15050" t="s">
        <v>1668</v>
      </c>
      <c r="G15050" t="s">
        <v>19</v>
      </c>
      <c r="H15050" t="s">
        <v>20</v>
      </c>
      <c r="I15050" t="s">
        <v>29196</v>
      </c>
      <c r="J15050" t="str">
        <f>HYPERLINK("https://www.boe.es/gazeta/dias/1822/01/11/pdfs/GMD-1822-11.pdf#page=5","Abrir facsímil")</f>
        <v>Abrir facsímil</v>
      </c>
      <c r="K15050" t="s">
        <v>22</v>
      </c>
    </row>
    <row r="15051" spans="1:11" ht="42" customHeight="1">
      <c r="A15051" t="s">
        <v>29197</v>
      </c>
      <c r="B15051" t="s">
        <v>29198</v>
      </c>
      <c r="C15051" t="s">
        <v>50</v>
      </c>
      <c r="D15051" t="s">
        <v>51</v>
      </c>
      <c r="E15051" s="6">
        <v>-28257</v>
      </c>
      <c r="F15051" t="s">
        <v>1171</v>
      </c>
      <c r="G15051" t="s">
        <v>1172</v>
      </c>
      <c r="H15051" t="s">
        <v>20</v>
      </c>
      <c r="I15051" t="s">
        <v>29199</v>
      </c>
      <c r="J15051" t="str">
        <f>HYPERLINK("https://www.boe.es/gazeta/dias/1822/08/19/pdfs/GMD-1822-243.pdf#page=4","Abrir facsímil")</f>
        <v>Abrir facsímil</v>
      </c>
      <c r="K15051" t="s">
        <v>22</v>
      </c>
    </row>
    <row r="15052" spans="1:11" ht="42" customHeight="1">
      <c r="A15052" t="s">
        <v>29200</v>
      </c>
      <c r="B15052" t="s">
        <v>29201</v>
      </c>
      <c r="C15052" t="s">
        <v>61</v>
      </c>
      <c r="D15052" t="s">
        <v>17</v>
      </c>
      <c r="E15052" s="6">
        <v>-28415</v>
      </c>
      <c r="F15052" t="s">
        <v>77</v>
      </c>
      <c r="G15052" t="s">
        <v>35</v>
      </c>
      <c r="H15052" t="s">
        <v>45</v>
      </c>
      <c r="I15052" t="s">
        <v>29202</v>
      </c>
      <c r="J15052" t="str">
        <f>HYPERLINK("https://www.boe.es/gazeta/dias/1822/03/14/pdfs/GMD-1822-75.pdf#page=2","Abrir facsímil")</f>
        <v>Abrir facsímil</v>
      </c>
      <c r="K15052" t="s">
        <v>47</v>
      </c>
    </row>
    <row r="15053" spans="1:11" ht="42" customHeight="1">
      <c r="A15053" t="s">
        <v>29203</v>
      </c>
      <c r="B15053" t="s">
        <v>29204</v>
      </c>
      <c r="C15053" t="s">
        <v>42</v>
      </c>
      <c r="D15053" t="s">
        <v>17</v>
      </c>
      <c r="E15053" s="6">
        <v>-28411</v>
      </c>
      <c r="F15053" t="s">
        <v>1509</v>
      </c>
      <c r="G15053" t="s">
        <v>35</v>
      </c>
      <c r="H15053" t="s">
        <v>20</v>
      </c>
      <c r="I15053" t="s">
        <v>29205</v>
      </c>
      <c r="J15053" t="str">
        <f>HYPERLINK("https://www.boe.es/gazeta/dias/1822/03/18/pdfs/GMD-1822-79.pdf#page=2","Abrir facsímil")</f>
        <v>Abrir facsímil</v>
      </c>
      <c r="K15053" t="s">
        <v>22</v>
      </c>
    </row>
    <row r="15054" spans="1:11" ht="42" customHeight="1">
      <c r="A15054" t="s">
        <v>29206</v>
      </c>
      <c r="B15054" t="s">
        <v>29207</v>
      </c>
      <c r="C15054" t="s">
        <v>50</v>
      </c>
      <c r="D15054" t="s">
        <v>51</v>
      </c>
      <c r="E15054" s="6">
        <v>-28264</v>
      </c>
      <c r="F15054" t="s">
        <v>1329</v>
      </c>
      <c r="G15054" t="s">
        <v>57</v>
      </c>
      <c r="H15054" t="s">
        <v>20</v>
      </c>
      <c r="I15054" t="s">
        <v>29208</v>
      </c>
      <c r="J15054" t="str">
        <f>HYPERLINK("https://www.boe.es/gazeta/dias/1822/08/12/pdfs/GMD-1822-236.pdf#page=4","Abrir facsímil")</f>
        <v>Abrir facsímil</v>
      </c>
      <c r="K15054" t="s">
        <v>22</v>
      </c>
    </row>
    <row r="15055" spans="1:11" ht="42" customHeight="1">
      <c r="A15055" t="s">
        <v>29209</v>
      </c>
      <c r="B15055" t="s">
        <v>29210</v>
      </c>
      <c r="C15055" t="s">
        <v>28</v>
      </c>
      <c r="D15055" t="s">
        <v>29</v>
      </c>
      <c r="E15055" s="6">
        <v>-28308</v>
      </c>
      <c r="F15055" t="s">
        <v>1050</v>
      </c>
      <c r="G15055" t="s">
        <v>157</v>
      </c>
      <c r="H15055" t="s">
        <v>20</v>
      </c>
      <c r="I15055" t="s">
        <v>29211</v>
      </c>
      <c r="J15055" t="str">
        <f>HYPERLINK("https://www.boe.es/gazeta/dias/1822/06/29/pdfs/GMD-1822-187.pdf#page=8","Abrir facsímil")</f>
        <v>Abrir facsímil</v>
      </c>
      <c r="K15055" t="s">
        <v>22</v>
      </c>
    </row>
    <row r="15056" spans="1:11" ht="42" customHeight="1">
      <c r="A15056" t="s">
        <v>29212</v>
      </c>
      <c r="B15056" t="s">
        <v>29213</v>
      </c>
      <c r="C15056" t="s">
        <v>16</v>
      </c>
      <c r="D15056" t="s">
        <v>17</v>
      </c>
      <c r="E15056" s="6">
        <v>-28358</v>
      </c>
      <c r="F15056" t="s">
        <v>211</v>
      </c>
      <c r="G15056" t="s">
        <v>157</v>
      </c>
      <c r="H15056" t="s">
        <v>20</v>
      </c>
      <c r="I15056" t="s">
        <v>29214</v>
      </c>
      <c r="J15056" t="str">
        <f>HYPERLINK("https://www.boe.es/gazeta/dias/1822/05/10/pdfs/GMD-1822-132.pdf#page=8","Abrir facsímil")</f>
        <v>Abrir facsímil</v>
      </c>
      <c r="K15056" t="s">
        <v>22</v>
      </c>
    </row>
    <row r="15057" spans="1:11" ht="42" customHeight="1">
      <c r="A15057" t="s">
        <v>29215</v>
      </c>
      <c r="B15057" t="s">
        <v>29216</v>
      </c>
      <c r="C15057" t="s">
        <v>16</v>
      </c>
      <c r="D15057" t="s">
        <v>17</v>
      </c>
      <c r="E15057" s="6">
        <v>-28382</v>
      </c>
      <c r="F15057" t="s">
        <v>973</v>
      </c>
      <c r="G15057" t="s">
        <v>63</v>
      </c>
      <c r="H15057" t="s">
        <v>20</v>
      </c>
      <c r="I15057" t="s">
        <v>29217</v>
      </c>
      <c r="J15057" t="str">
        <f>HYPERLINK("https://www.boe.es/gazeta/dias/1822/04/16/pdfs/GMD-1822-108.pdf#page=6","Abrir facsímil")</f>
        <v>Abrir facsímil</v>
      </c>
      <c r="K15057" t="s">
        <v>22</v>
      </c>
    </row>
    <row r="15058" spans="1:11" ht="42" customHeight="1">
      <c r="A15058" t="s">
        <v>29218</v>
      </c>
      <c r="B15058" t="s">
        <v>29219</v>
      </c>
      <c r="C15058" t="s">
        <v>16</v>
      </c>
      <c r="D15058" t="s">
        <v>17</v>
      </c>
      <c r="E15058" s="6">
        <v>-28152</v>
      </c>
      <c r="F15058" t="s">
        <v>122</v>
      </c>
      <c r="G15058" t="s">
        <v>19</v>
      </c>
      <c r="H15058" t="s">
        <v>20</v>
      </c>
      <c r="I15058" t="s">
        <v>29220</v>
      </c>
      <c r="J15058" t="str">
        <f>HYPERLINK("https://www.boe.es/gazeta/dias/1822/12/02/pdfs/GMD-1822-352.pdf#page=5","Abrir facsímil")</f>
        <v>Abrir facsímil</v>
      </c>
      <c r="K15058" t="s">
        <v>22</v>
      </c>
    </row>
    <row r="15059" spans="1:11" ht="42" customHeight="1">
      <c r="A15059" t="s">
        <v>29221</v>
      </c>
      <c r="B15059" t="s">
        <v>29222</v>
      </c>
      <c r="C15059" t="s">
        <v>50</v>
      </c>
      <c r="D15059" t="s">
        <v>51</v>
      </c>
      <c r="E15059" s="6">
        <v>-28303</v>
      </c>
      <c r="F15059" t="s">
        <v>201</v>
      </c>
      <c r="G15059" t="s">
        <v>31</v>
      </c>
      <c r="H15059" t="s">
        <v>20</v>
      </c>
      <c r="I15059" t="s">
        <v>29223</v>
      </c>
      <c r="J15059" t="str">
        <f>HYPERLINK("https://www.boe.es/gazeta/dias/1822/07/04/pdfs/GMD-1822-193.pdf#page=3","Abrir facsímil")</f>
        <v>Abrir facsímil</v>
      </c>
      <c r="K15059" t="s">
        <v>22</v>
      </c>
    </row>
    <row r="15060" spans="1:11" ht="42" customHeight="1">
      <c r="A15060" t="s">
        <v>29224</v>
      </c>
      <c r="B15060" t="s">
        <v>29224</v>
      </c>
      <c r="C15060" t="s">
        <v>28</v>
      </c>
      <c r="D15060" t="s">
        <v>29</v>
      </c>
      <c r="E15060" s="6">
        <v>-28485</v>
      </c>
      <c r="F15060" t="s">
        <v>1117</v>
      </c>
      <c r="G15060" t="s">
        <v>57</v>
      </c>
      <c r="H15060" t="s">
        <v>20</v>
      </c>
      <c r="I15060" t="s">
        <v>29225</v>
      </c>
      <c r="J15060" t="str">
        <f>HYPERLINK("https://www.boe.es/gazeta/dias/1822/01/03/pdfs/GMD-1822-3.pdf#page=4","Abrir facsímil")</f>
        <v>Abrir facsímil</v>
      </c>
      <c r="K15060" t="s">
        <v>22</v>
      </c>
    </row>
    <row r="15061" spans="1:11" ht="42" customHeight="1">
      <c r="A15061" t="s">
        <v>29224</v>
      </c>
      <c r="B15061" t="s">
        <v>29224</v>
      </c>
      <c r="C15061" t="s">
        <v>362</v>
      </c>
      <c r="D15061" t="s">
        <v>17</v>
      </c>
      <c r="E15061" s="6">
        <v>-28483</v>
      </c>
      <c r="F15061" t="s">
        <v>254</v>
      </c>
      <c r="G15061" t="s">
        <v>57</v>
      </c>
      <c r="H15061" t="s">
        <v>20</v>
      </c>
      <c r="I15061" t="s">
        <v>29226</v>
      </c>
      <c r="J15061" t="str">
        <f>HYPERLINK("https://www.boe.es/gazeta/dias/1822/01/05/pdfs/GMD-1822-5.pdf#page=4","Abrir facsímil")</f>
        <v>Abrir facsímil</v>
      </c>
      <c r="K15061" t="s">
        <v>22</v>
      </c>
    </row>
    <row r="15062" spans="1:11" ht="42" customHeight="1">
      <c r="A15062" t="s">
        <v>29224</v>
      </c>
      <c r="B15062" t="s">
        <v>29224</v>
      </c>
      <c r="C15062" t="s">
        <v>42</v>
      </c>
      <c r="D15062" t="s">
        <v>17</v>
      </c>
      <c r="E15062" s="6">
        <v>-28479</v>
      </c>
      <c r="F15062" t="s">
        <v>1091</v>
      </c>
      <c r="G15062" t="s">
        <v>57</v>
      </c>
      <c r="H15062" t="s">
        <v>20</v>
      </c>
      <c r="I15062" t="s">
        <v>29227</v>
      </c>
      <c r="J15062" t="str">
        <f>HYPERLINK("https://www.boe.es/gazeta/dias/1822/01/09/pdfs/GMD-1822-9.pdf#page=4","Abrir facsímil")</f>
        <v>Abrir facsímil</v>
      </c>
      <c r="K15062" t="s">
        <v>22</v>
      </c>
    </row>
    <row r="15063" spans="1:11" ht="42" customHeight="1">
      <c r="A15063" t="s">
        <v>29224</v>
      </c>
      <c r="B15063" t="s">
        <v>29224</v>
      </c>
      <c r="C15063" t="s">
        <v>42</v>
      </c>
      <c r="D15063" t="s">
        <v>17</v>
      </c>
      <c r="E15063" s="6">
        <v>-28474</v>
      </c>
      <c r="F15063" t="s">
        <v>30</v>
      </c>
      <c r="G15063" t="s">
        <v>31</v>
      </c>
      <c r="H15063" t="s">
        <v>20</v>
      </c>
      <c r="I15063" t="s">
        <v>29228</v>
      </c>
      <c r="J15063" t="str">
        <f>HYPERLINK("https://www.boe.es/gazeta/dias/1822/01/14/pdfs/GMD-1822-14.pdf#page=3","Abrir facsímil")</f>
        <v>Abrir facsímil</v>
      </c>
      <c r="K15063" t="s">
        <v>22</v>
      </c>
    </row>
    <row r="15064" spans="1:11" ht="42" customHeight="1">
      <c r="A15064" t="s">
        <v>29224</v>
      </c>
      <c r="B15064" t="s">
        <v>29224</v>
      </c>
      <c r="C15064" t="s">
        <v>28</v>
      </c>
      <c r="D15064" t="s">
        <v>29</v>
      </c>
      <c r="E15064" s="6">
        <v>-28457</v>
      </c>
      <c r="F15064" t="s">
        <v>1655</v>
      </c>
      <c r="G15064" t="s">
        <v>35</v>
      </c>
      <c r="H15064" t="s">
        <v>20</v>
      </c>
      <c r="I15064" t="s">
        <v>29229</v>
      </c>
      <c r="J15064" t="str">
        <f>HYPERLINK("https://www.boe.es/gazeta/dias/1822/01/31/pdfs/GMD-1822-31.pdf#page=2","Abrir facsímil")</f>
        <v>Abrir facsímil</v>
      </c>
      <c r="K15064" t="s">
        <v>22</v>
      </c>
    </row>
    <row r="15065" spans="1:11" ht="42" customHeight="1">
      <c r="A15065" t="s">
        <v>29224</v>
      </c>
      <c r="B15065" t="s">
        <v>29224</v>
      </c>
      <c r="C15065" t="s">
        <v>71</v>
      </c>
      <c r="D15065" t="s">
        <v>17</v>
      </c>
      <c r="E15065" s="6">
        <v>-28449</v>
      </c>
      <c r="F15065" t="s">
        <v>1342</v>
      </c>
      <c r="G15065" t="s">
        <v>31</v>
      </c>
      <c r="H15065" t="s">
        <v>20</v>
      </c>
      <c r="I15065" t="s">
        <v>29230</v>
      </c>
      <c r="J15065" t="str">
        <f>HYPERLINK("https://www.boe.es/gazeta/dias/1822/02/08/pdfs/GMD-1822-39.pdf#page=3","Abrir facsímil")</f>
        <v>Abrir facsímil</v>
      </c>
      <c r="K15065" t="s">
        <v>22</v>
      </c>
    </row>
    <row r="15066" spans="1:11" ht="42" customHeight="1">
      <c r="A15066" t="s">
        <v>29224</v>
      </c>
      <c r="B15066" t="s">
        <v>29224</v>
      </c>
      <c r="C15066" t="s">
        <v>50</v>
      </c>
      <c r="D15066" t="s">
        <v>51</v>
      </c>
      <c r="E15066" s="6">
        <v>-28446</v>
      </c>
      <c r="F15066" t="s">
        <v>773</v>
      </c>
      <c r="G15066" t="s">
        <v>57</v>
      </c>
      <c r="H15066" t="s">
        <v>20</v>
      </c>
      <c r="I15066" t="s">
        <v>29231</v>
      </c>
      <c r="J15066" t="str">
        <f>HYPERLINK("https://www.boe.es/gazeta/dias/1822/02/11/pdfs/GMD-1822-42.pdf#page=4","Abrir facsímil")</f>
        <v>Abrir facsímil</v>
      </c>
      <c r="K15066" t="s">
        <v>22</v>
      </c>
    </row>
    <row r="15067" spans="1:11" ht="42" customHeight="1">
      <c r="A15067" t="s">
        <v>29224</v>
      </c>
      <c r="B15067" t="s">
        <v>29224</v>
      </c>
      <c r="C15067" t="s">
        <v>28</v>
      </c>
      <c r="D15067" t="s">
        <v>29</v>
      </c>
      <c r="E15067" s="6">
        <v>-28445</v>
      </c>
      <c r="F15067" t="s">
        <v>1622</v>
      </c>
      <c r="G15067" t="s">
        <v>31</v>
      </c>
      <c r="H15067" t="s">
        <v>20</v>
      </c>
      <c r="I15067" t="s">
        <v>29232</v>
      </c>
      <c r="J15067" t="str">
        <f>HYPERLINK("https://www.boe.es/gazeta/dias/1822/02/12/pdfs/GMD-1822-43.pdf#page=3","Abrir facsímil")</f>
        <v>Abrir facsímil</v>
      </c>
      <c r="K15067" t="s">
        <v>22</v>
      </c>
    </row>
    <row r="15068" spans="1:11" ht="42" customHeight="1">
      <c r="A15068" t="s">
        <v>29233</v>
      </c>
      <c r="B15068" t="s">
        <v>29234</v>
      </c>
      <c r="C15068" t="s">
        <v>50</v>
      </c>
      <c r="D15068" t="s">
        <v>51</v>
      </c>
      <c r="E15068" s="6">
        <v>-28265</v>
      </c>
      <c r="F15068" t="s">
        <v>1263</v>
      </c>
      <c r="G15068" t="s">
        <v>57</v>
      </c>
      <c r="H15068" t="s">
        <v>20</v>
      </c>
      <c r="I15068" t="s">
        <v>29235</v>
      </c>
      <c r="J15068" t="str">
        <f>HYPERLINK("https://www.boe.es/gazeta/dias/1822/08/11/pdfs/GMD-1822-235.pdf#page=4","Abrir facsímil")</f>
        <v>Abrir facsímil</v>
      </c>
      <c r="K15068" t="s">
        <v>22</v>
      </c>
    </row>
    <row r="15069" spans="1:11" ht="42" customHeight="1">
      <c r="A15069" t="s">
        <v>29236</v>
      </c>
      <c r="B15069" t="s">
        <v>29237</v>
      </c>
      <c r="C15069" t="s">
        <v>28</v>
      </c>
      <c r="D15069" t="s">
        <v>29</v>
      </c>
      <c r="E15069" s="6">
        <v>-28361</v>
      </c>
      <c r="F15069" t="s">
        <v>374</v>
      </c>
      <c r="G15069" t="s">
        <v>63</v>
      </c>
      <c r="H15069" t="s">
        <v>20</v>
      </c>
      <c r="I15069" t="s">
        <v>29238</v>
      </c>
      <c r="J15069" t="str">
        <f>HYPERLINK("https://www.boe.es/gazeta/dias/1822/05/07/pdfs/GMD-1822-129.pdf#page=6","Abrir facsímil")</f>
        <v>Abrir facsímil</v>
      </c>
      <c r="K15069" t="s">
        <v>22</v>
      </c>
    </row>
    <row r="15070" spans="1:11" ht="42" customHeight="1">
      <c r="A15070" t="s">
        <v>29239</v>
      </c>
      <c r="B15070" t="s">
        <v>29240</v>
      </c>
      <c r="C15070" t="s">
        <v>71</v>
      </c>
      <c r="D15070" t="s">
        <v>17</v>
      </c>
      <c r="E15070" s="6">
        <v>-28447</v>
      </c>
      <c r="F15070" t="s">
        <v>997</v>
      </c>
      <c r="G15070" t="s">
        <v>35</v>
      </c>
      <c r="H15070" t="s">
        <v>20</v>
      </c>
      <c r="I15070" t="s">
        <v>29241</v>
      </c>
      <c r="J15070" t="str">
        <f>HYPERLINK("https://www.boe.es/gazeta/dias/1822/02/10/pdfs/GMD-1822-41.pdf#page=2","Abrir facsímil")</f>
        <v>Abrir facsímil</v>
      </c>
      <c r="K15070" t="s">
        <v>22</v>
      </c>
    </row>
    <row r="15071" spans="1:11" ht="42" customHeight="1">
      <c r="A15071" t="s">
        <v>29242</v>
      </c>
      <c r="B15071" t="s">
        <v>29243</v>
      </c>
      <c r="C15071" t="s">
        <v>28</v>
      </c>
      <c r="D15071" t="s">
        <v>29</v>
      </c>
      <c r="E15071" s="6">
        <v>-28258</v>
      </c>
      <c r="F15071" t="s">
        <v>88</v>
      </c>
      <c r="G15071" t="s">
        <v>57</v>
      </c>
      <c r="H15071" t="s">
        <v>20</v>
      </c>
      <c r="I15071" t="s">
        <v>29244</v>
      </c>
      <c r="J15071" t="str">
        <f>HYPERLINK("https://www.boe.es/gazeta/dias/1822/08/18/pdfs/GMD-1822-242.pdf#page=4","Abrir facsímil")</f>
        <v>Abrir facsímil</v>
      </c>
      <c r="K15071" t="s">
        <v>22</v>
      </c>
    </row>
    <row r="15072" spans="1:11" ht="42" customHeight="1">
      <c r="A15072" t="s">
        <v>29245</v>
      </c>
      <c r="B15072" t="s">
        <v>29246</v>
      </c>
      <c r="C15072" t="s">
        <v>28</v>
      </c>
      <c r="D15072" t="s">
        <v>29</v>
      </c>
      <c r="E15072" s="6">
        <v>-28375</v>
      </c>
      <c r="F15072" t="s">
        <v>2035</v>
      </c>
      <c r="G15072" t="s">
        <v>31</v>
      </c>
      <c r="H15072" t="s">
        <v>20</v>
      </c>
      <c r="I15072" t="s">
        <v>29247</v>
      </c>
      <c r="J15072" t="str">
        <f>HYPERLINK("https://www.boe.es/gazeta/dias/1822/04/23/pdfs/GMD-1822-115.pdf#page=3","Abrir facsímil")</f>
        <v>Abrir facsímil</v>
      </c>
      <c r="K15072" t="s">
        <v>22</v>
      </c>
    </row>
    <row r="15073" spans="1:11" ht="42" customHeight="1">
      <c r="A15073" t="s">
        <v>29248</v>
      </c>
      <c r="B15073" t="s">
        <v>29249</v>
      </c>
      <c r="C15073" t="s">
        <v>50</v>
      </c>
      <c r="D15073" t="s">
        <v>51</v>
      </c>
      <c r="E15073" s="6">
        <v>-28125</v>
      </c>
      <c r="F15073" t="s">
        <v>322</v>
      </c>
      <c r="G15073" t="s">
        <v>19</v>
      </c>
      <c r="H15073" t="s">
        <v>20</v>
      </c>
      <c r="I15073" t="s">
        <v>29250</v>
      </c>
      <c r="J15073" t="str">
        <f>HYPERLINK("https://www.boe.es/gazeta/dias/1822/12/29/pdfs/GMD-1822-379.pdf#page=5","Abrir facsímil")</f>
        <v>Abrir facsímil</v>
      </c>
      <c r="K15073" t="s">
        <v>22</v>
      </c>
    </row>
    <row r="15074" spans="1:11" ht="42" customHeight="1">
      <c r="A15074" t="s">
        <v>29251</v>
      </c>
      <c r="B15074" t="s">
        <v>29252</v>
      </c>
      <c r="C15074" t="s">
        <v>28</v>
      </c>
      <c r="D15074" t="s">
        <v>29</v>
      </c>
      <c r="E15074" s="6">
        <v>-28280</v>
      </c>
      <c r="F15074" t="s">
        <v>56</v>
      </c>
      <c r="G15074" t="s">
        <v>57</v>
      </c>
      <c r="H15074" t="s">
        <v>20</v>
      </c>
      <c r="I15074" t="s">
        <v>29253</v>
      </c>
      <c r="J15074" t="str">
        <f>HYPERLINK("https://www.boe.es/gazeta/dias/1822/07/27/pdfs/GMD-1822-220.pdf#page=4","Abrir facsímil")</f>
        <v>Abrir facsímil</v>
      </c>
      <c r="K15074" t="s">
        <v>22</v>
      </c>
    </row>
    <row r="15075" spans="1:11" ht="42" customHeight="1">
      <c r="A15075" t="s">
        <v>29254</v>
      </c>
      <c r="B15075" t="s">
        <v>29255</v>
      </c>
      <c r="C15075" t="s">
        <v>42</v>
      </c>
      <c r="D15075" t="s">
        <v>17</v>
      </c>
      <c r="E15075" s="6">
        <v>-28346</v>
      </c>
      <c r="F15075" t="s">
        <v>191</v>
      </c>
      <c r="G15075" t="s">
        <v>63</v>
      </c>
      <c r="H15075" t="s">
        <v>20</v>
      </c>
      <c r="I15075" t="s">
        <v>29256</v>
      </c>
      <c r="J15075" t="str">
        <f>HYPERLINK("https://www.boe.es/gazeta/dias/1822/05/22/pdfs/GMD-1822-145.pdf#page=6","Abrir facsímil")</f>
        <v>Abrir facsímil</v>
      </c>
      <c r="K15075" t="s">
        <v>22</v>
      </c>
    </row>
    <row r="15076" spans="1:11" ht="42" customHeight="1">
      <c r="A15076" t="s">
        <v>29257</v>
      </c>
      <c r="B15076" t="s">
        <v>29258</v>
      </c>
      <c r="C15076" t="s">
        <v>42</v>
      </c>
      <c r="D15076" t="s">
        <v>17</v>
      </c>
      <c r="E15076" s="6">
        <v>-28148</v>
      </c>
      <c r="F15076" t="s">
        <v>1909</v>
      </c>
      <c r="G15076" t="s">
        <v>63</v>
      </c>
      <c r="H15076" t="s">
        <v>20</v>
      </c>
      <c r="I15076" t="s">
        <v>29259</v>
      </c>
      <c r="J15076" t="str">
        <f>HYPERLINK("https://www.boe.es/gazeta/dias/1822/12/06/pdfs/GMD-1822-356.pdf#page=6","Abrir facsímil")</f>
        <v>Abrir facsímil</v>
      </c>
      <c r="K15076" t="s">
        <v>22</v>
      </c>
    </row>
    <row r="15077" spans="1:11" ht="42" customHeight="1">
      <c r="A15077" t="s">
        <v>29260</v>
      </c>
      <c r="B15077" t="s">
        <v>29261</v>
      </c>
      <c r="C15077" t="s">
        <v>16</v>
      </c>
      <c r="D15077" t="s">
        <v>17</v>
      </c>
      <c r="E15077" s="6">
        <v>-28378</v>
      </c>
      <c r="F15077" t="s">
        <v>496</v>
      </c>
      <c r="G15077" t="s">
        <v>57</v>
      </c>
      <c r="H15077" t="s">
        <v>20</v>
      </c>
      <c r="I15077" t="s">
        <v>29262</v>
      </c>
      <c r="J15077" t="str">
        <f>HYPERLINK("https://www.boe.es/gazeta/dias/1822/04/20/pdfs/GMD-1822-112.pdf#page=4","Abrir facsímil")</f>
        <v>Abrir facsímil</v>
      </c>
      <c r="K15077" t="s">
        <v>22</v>
      </c>
    </row>
    <row r="15078" spans="1:11" ht="42" customHeight="1">
      <c r="A15078" t="s">
        <v>29260</v>
      </c>
      <c r="B15078" t="s">
        <v>29261</v>
      </c>
      <c r="C15078" t="s">
        <v>16</v>
      </c>
      <c r="D15078" t="s">
        <v>17</v>
      </c>
      <c r="E15078" s="6">
        <v>-28270</v>
      </c>
      <c r="F15078" t="s">
        <v>130</v>
      </c>
      <c r="G15078" t="s">
        <v>131</v>
      </c>
      <c r="H15078" t="s">
        <v>20</v>
      </c>
      <c r="I15078" t="s">
        <v>29263</v>
      </c>
      <c r="J15078" t="str">
        <f>HYPERLINK("https://www.boe.es/gazeta/dias/1822/08/06/pdfs/GMD-1822-230.pdf#page=6","Abrir facsímil")</f>
        <v>Abrir facsímil</v>
      </c>
      <c r="K15078" t="s">
        <v>22</v>
      </c>
    </row>
    <row r="15079" spans="1:11" ht="42" customHeight="1">
      <c r="A15079" t="s">
        <v>29260</v>
      </c>
      <c r="B15079" t="s">
        <v>29261</v>
      </c>
      <c r="C15079" t="s">
        <v>50</v>
      </c>
      <c r="D15079" t="s">
        <v>51</v>
      </c>
      <c r="E15079" s="6">
        <v>-28189</v>
      </c>
      <c r="F15079" t="s">
        <v>645</v>
      </c>
      <c r="G15079" t="s">
        <v>63</v>
      </c>
      <c r="H15079" t="s">
        <v>20</v>
      </c>
      <c r="I15079" t="s">
        <v>29264</v>
      </c>
      <c r="J15079" t="str">
        <f>HYPERLINK("https://www.boe.es/gazeta/dias/1822/10/26/pdfs/GMD-1822-313.pdf#page=6","Abrir facsímil")</f>
        <v>Abrir facsímil</v>
      </c>
      <c r="K15079" t="s">
        <v>22</v>
      </c>
    </row>
    <row r="15080" spans="1:11" ht="42" customHeight="1">
      <c r="A15080" t="s">
        <v>29265</v>
      </c>
      <c r="B15080" t="s">
        <v>29266</v>
      </c>
      <c r="C15080" t="s">
        <v>71</v>
      </c>
      <c r="D15080" t="s">
        <v>17</v>
      </c>
      <c r="E15080" s="6">
        <v>-28389</v>
      </c>
      <c r="F15080" t="s">
        <v>481</v>
      </c>
      <c r="G15080" t="s">
        <v>35</v>
      </c>
      <c r="H15080" t="s">
        <v>20</v>
      </c>
      <c r="I15080" t="s">
        <v>29267</v>
      </c>
      <c r="J15080" t="str">
        <f>HYPERLINK("https://www.boe.es/gazeta/dias/1822/04/09/pdfs/GMD-1822-101.pdf#page=2","Abrir facsímil")</f>
        <v>Abrir facsímil</v>
      </c>
      <c r="K15080" t="s">
        <v>22</v>
      </c>
    </row>
    <row r="15081" spans="1:11" ht="42" customHeight="1">
      <c r="A15081" t="s">
        <v>29268</v>
      </c>
      <c r="B15081" t="s">
        <v>29268</v>
      </c>
      <c r="C15081" t="s">
        <v>50</v>
      </c>
      <c r="D15081" t="s">
        <v>51</v>
      </c>
      <c r="E15081" s="6">
        <v>-28213</v>
      </c>
      <c r="F15081" t="s">
        <v>558</v>
      </c>
      <c r="G15081" t="s">
        <v>57</v>
      </c>
      <c r="H15081" t="s">
        <v>20</v>
      </c>
      <c r="I15081" t="s">
        <v>29269</v>
      </c>
      <c r="J15081" t="str">
        <f>HYPERLINK("https://www.boe.es/gazeta/dias/1822/10/02/pdfs/GMD-1822-288.pdf#page=4","Abrir facsímil")</f>
        <v>Abrir facsímil</v>
      </c>
      <c r="K15081" t="s">
        <v>22</v>
      </c>
    </row>
    <row r="15082" spans="1:11" ht="42" customHeight="1">
      <c r="A15082" t="s">
        <v>29270</v>
      </c>
      <c r="B15082" t="s">
        <v>29270</v>
      </c>
      <c r="C15082" t="s">
        <v>42</v>
      </c>
      <c r="D15082" t="s">
        <v>17</v>
      </c>
      <c r="E15082" s="6">
        <v>-28207</v>
      </c>
      <c r="F15082" t="s">
        <v>1325</v>
      </c>
      <c r="G15082" t="s">
        <v>35</v>
      </c>
      <c r="H15082" t="s">
        <v>20</v>
      </c>
      <c r="I15082" t="s">
        <v>29271</v>
      </c>
      <c r="J15082" t="str">
        <f>HYPERLINK("https://www.boe.es/gazeta/dias/1822/10/08/pdfs/GMD-1822-295.pdf#page=2","Abrir facsímil")</f>
        <v>Abrir facsímil</v>
      </c>
      <c r="K15082" t="s">
        <v>22</v>
      </c>
    </row>
    <row r="15083" spans="1:11" ht="42" customHeight="1">
      <c r="A15083" t="s">
        <v>29272</v>
      </c>
      <c r="B15083" t="s">
        <v>29273</v>
      </c>
      <c r="C15083" t="s">
        <v>42</v>
      </c>
      <c r="D15083" t="s">
        <v>17</v>
      </c>
      <c r="E15083" s="6">
        <v>-28390</v>
      </c>
      <c r="F15083" t="s">
        <v>665</v>
      </c>
      <c r="G15083" t="s">
        <v>57</v>
      </c>
      <c r="H15083" t="s">
        <v>20</v>
      </c>
      <c r="I15083" t="s">
        <v>29274</v>
      </c>
      <c r="J15083" t="str">
        <f>HYPERLINK("https://www.boe.es/gazeta/dias/1822/04/08/pdfs/GMD-1822-100.pdf#page=4","Abrir facsímil")</f>
        <v>Abrir facsímil</v>
      </c>
      <c r="K15083" t="s">
        <v>22</v>
      </c>
    </row>
    <row r="15084" spans="1:11" ht="42" customHeight="1">
      <c r="A15084" t="s">
        <v>29275</v>
      </c>
      <c r="B15084" t="s">
        <v>29276</v>
      </c>
      <c r="C15084" t="s">
        <v>50</v>
      </c>
      <c r="D15084" t="s">
        <v>51</v>
      </c>
      <c r="E15084" s="6">
        <v>-28461</v>
      </c>
      <c r="F15084" t="s">
        <v>1801</v>
      </c>
      <c r="G15084" t="s">
        <v>35</v>
      </c>
      <c r="H15084" t="s">
        <v>20</v>
      </c>
      <c r="I15084" t="s">
        <v>29277</v>
      </c>
      <c r="J15084" t="str">
        <f>HYPERLINK("https://www.boe.es/gazeta/dias/1822/01/27/pdfs/GMD-1822-27.pdf#page=2","Abrir facsímil")</f>
        <v>Abrir facsímil</v>
      </c>
      <c r="K15084" t="s">
        <v>22</v>
      </c>
    </row>
    <row r="15085" spans="1:11" ht="42" customHeight="1">
      <c r="A15085" t="s">
        <v>29278</v>
      </c>
      <c r="B15085" t="s">
        <v>29278</v>
      </c>
      <c r="C15085" t="s">
        <v>28</v>
      </c>
      <c r="D15085" t="s">
        <v>29</v>
      </c>
      <c r="E15085" s="6">
        <v>-28459</v>
      </c>
      <c r="F15085" t="s">
        <v>1102</v>
      </c>
      <c r="G15085" t="s">
        <v>44</v>
      </c>
      <c r="H15085" t="s">
        <v>20</v>
      </c>
      <c r="I15085" t="s">
        <v>29279</v>
      </c>
      <c r="J15085" t="str">
        <f>HYPERLINK("https://www.boe.es/gazeta/dias/1822/01/29/pdfs/GMD-1822-29.pdf#page=1","Abrir facsímil")</f>
        <v>Abrir facsímil</v>
      </c>
      <c r="K15085" t="s">
        <v>22</v>
      </c>
    </row>
    <row r="15086" spans="1:11" ht="42" customHeight="1">
      <c r="A15086" t="s">
        <v>29280</v>
      </c>
      <c r="B15086" t="s">
        <v>29281</v>
      </c>
      <c r="C15086" t="s">
        <v>50</v>
      </c>
      <c r="D15086" t="s">
        <v>51</v>
      </c>
      <c r="E15086" s="6">
        <v>-28415</v>
      </c>
      <c r="F15086" t="s">
        <v>77</v>
      </c>
      <c r="G15086" t="s">
        <v>63</v>
      </c>
      <c r="H15086" t="s">
        <v>20</v>
      </c>
      <c r="I15086" t="s">
        <v>29282</v>
      </c>
      <c r="J15086" t="str">
        <f>HYPERLINK("https://www.boe.es/gazeta/dias/1822/03/14/pdfs/GMD-1822-75.pdf#page=6","Abrir facsímil")</f>
        <v>Abrir facsímil</v>
      </c>
      <c r="K15086" t="s">
        <v>22</v>
      </c>
    </row>
    <row r="15087" spans="1:11" ht="42" customHeight="1">
      <c r="A15087" t="s">
        <v>29283</v>
      </c>
      <c r="B15087" t="s">
        <v>29284</v>
      </c>
      <c r="C15087" t="s">
        <v>50</v>
      </c>
      <c r="D15087" t="s">
        <v>51</v>
      </c>
      <c r="E15087" s="6">
        <v>-28264</v>
      </c>
      <c r="F15087" t="s">
        <v>1329</v>
      </c>
      <c r="G15087" t="s">
        <v>57</v>
      </c>
      <c r="H15087" t="s">
        <v>20</v>
      </c>
      <c r="I15087" t="s">
        <v>29285</v>
      </c>
      <c r="J15087" t="str">
        <f>HYPERLINK("https://www.boe.es/gazeta/dias/1822/08/12/pdfs/GMD-1822-236.pdf#page=4","Abrir facsímil")</f>
        <v>Abrir facsímil</v>
      </c>
      <c r="K15087" t="s">
        <v>22</v>
      </c>
    </row>
    <row r="15088" spans="1:11" ht="42" customHeight="1">
      <c r="A15088" t="s">
        <v>29286</v>
      </c>
      <c r="B15088" t="s">
        <v>29287</v>
      </c>
      <c r="C15088" t="s">
        <v>50</v>
      </c>
      <c r="D15088" t="s">
        <v>51</v>
      </c>
      <c r="E15088" s="6">
        <v>-28286</v>
      </c>
      <c r="F15088" t="s">
        <v>1853</v>
      </c>
      <c r="G15088" t="s">
        <v>44</v>
      </c>
      <c r="H15088" t="s">
        <v>20</v>
      </c>
      <c r="I15088" t="s">
        <v>29288</v>
      </c>
      <c r="J15088" t="str">
        <f>HYPERLINK("https://www.boe.es/gazeta/dias/1822/07/21/pdfs/GMD-1822-213.pdf#page=1","Abrir facsímil")</f>
        <v>Abrir facsímil</v>
      </c>
      <c r="K15088" t="s">
        <v>22</v>
      </c>
    </row>
    <row r="15089" spans="1:11" ht="42" customHeight="1">
      <c r="A15089" t="s">
        <v>29289</v>
      </c>
      <c r="B15089" t="s">
        <v>29289</v>
      </c>
      <c r="C15089" t="s">
        <v>42</v>
      </c>
      <c r="D15089" t="s">
        <v>17</v>
      </c>
      <c r="E15089" s="6">
        <v>-28314</v>
      </c>
      <c r="F15089" t="s">
        <v>309</v>
      </c>
      <c r="G15089" t="s">
        <v>19</v>
      </c>
      <c r="H15089" t="s">
        <v>20</v>
      </c>
      <c r="I15089" t="s">
        <v>29290</v>
      </c>
      <c r="J15089" t="str">
        <f>HYPERLINK("https://www.boe.es/gazeta/dias/1822/06/23/pdfs/GMD-1822-181.pdf#page=5","Abrir facsímil")</f>
        <v>Abrir facsímil</v>
      </c>
      <c r="K15089" t="s">
        <v>22</v>
      </c>
    </row>
    <row r="15090" spans="1:11" ht="42" customHeight="1">
      <c r="A15090" t="s">
        <v>29291</v>
      </c>
      <c r="B15090" t="s">
        <v>29291</v>
      </c>
      <c r="C15090" t="s">
        <v>28</v>
      </c>
      <c r="D15090" t="s">
        <v>29</v>
      </c>
      <c r="E15090" s="6">
        <v>-28174</v>
      </c>
      <c r="F15090" t="s">
        <v>881</v>
      </c>
      <c r="G15090" t="s">
        <v>57</v>
      </c>
      <c r="H15090" t="s">
        <v>20</v>
      </c>
      <c r="I15090" t="s">
        <v>29292</v>
      </c>
      <c r="J15090" t="str">
        <f>HYPERLINK("https://www.boe.es/gazeta/dias/1822/11/10/pdfs/GMD-1822-330.pdf#page=4","Abrir facsímil")</f>
        <v>Abrir facsímil</v>
      </c>
      <c r="K15090" t="s">
        <v>22</v>
      </c>
    </row>
    <row r="15091" spans="1:11" ht="42" customHeight="1">
      <c r="A15091" t="s">
        <v>29293</v>
      </c>
      <c r="B15091" t="s">
        <v>29294</v>
      </c>
      <c r="C15091" t="s">
        <v>42</v>
      </c>
      <c r="D15091" t="s">
        <v>17</v>
      </c>
      <c r="E15091" s="6">
        <v>-28325</v>
      </c>
      <c r="F15091" t="s">
        <v>104</v>
      </c>
      <c r="G15091" t="s">
        <v>44</v>
      </c>
      <c r="H15091" t="s">
        <v>20</v>
      </c>
      <c r="I15091" t="s">
        <v>29295</v>
      </c>
      <c r="J15091" t="str">
        <f>HYPERLINK("https://www.boe.es/gazeta/dias/1822/06/12/pdfs/GMD-1822-169.pdf#page=1","Abrir facsímil")</f>
        <v>Abrir facsímil</v>
      </c>
      <c r="K15091" t="s">
        <v>22</v>
      </c>
    </row>
    <row r="15092" spans="1:11" ht="42" customHeight="1">
      <c r="A15092" t="s">
        <v>29296</v>
      </c>
      <c r="B15092" t="s">
        <v>29297</v>
      </c>
      <c r="C15092" t="s">
        <v>42</v>
      </c>
      <c r="D15092" t="s">
        <v>17</v>
      </c>
      <c r="E15092" s="6">
        <v>-28210</v>
      </c>
      <c r="F15092" t="s">
        <v>218</v>
      </c>
      <c r="G15092" t="s">
        <v>31</v>
      </c>
      <c r="H15092" t="s">
        <v>20</v>
      </c>
      <c r="I15092" t="s">
        <v>29298</v>
      </c>
      <c r="J15092" t="str">
        <f>HYPERLINK("https://www.boe.es/gazeta/dias/1822/10/05/pdfs/GMD-1822-291.pdf#page=3","Abrir facsímil")</f>
        <v>Abrir facsímil</v>
      </c>
      <c r="K15092" t="s">
        <v>22</v>
      </c>
    </row>
    <row r="15093" spans="1:11" ht="42" customHeight="1">
      <c r="A15093" t="s">
        <v>29299</v>
      </c>
      <c r="B15093" t="s">
        <v>29299</v>
      </c>
      <c r="C15093" t="s">
        <v>50</v>
      </c>
      <c r="D15093" t="s">
        <v>51</v>
      </c>
      <c r="E15093" s="6">
        <v>-28211</v>
      </c>
      <c r="F15093" t="s">
        <v>273</v>
      </c>
      <c r="G15093" t="s">
        <v>57</v>
      </c>
      <c r="H15093" t="s">
        <v>20</v>
      </c>
      <c r="I15093" t="s">
        <v>29300</v>
      </c>
      <c r="J15093" t="str">
        <f>HYPERLINK("https://www.boe.es/gazeta/dias/1822/10/04/pdfs/GMD-1822-290.pdf#page=4","Abrir facsímil")</f>
        <v>Abrir facsímil</v>
      </c>
      <c r="K15093" t="s">
        <v>22</v>
      </c>
    </row>
    <row r="15094" spans="1:11" ht="42" customHeight="1">
      <c r="A15094" t="s">
        <v>29301</v>
      </c>
      <c r="B15094" t="s">
        <v>29301</v>
      </c>
      <c r="C15094" t="s">
        <v>42</v>
      </c>
      <c r="D15094" t="s">
        <v>17</v>
      </c>
      <c r="E15094" s="6">
        <v>-28166</v>
      </c>
      <c r="F15094" t="s">
        <v>942</v>
      </c>
      <c r="G15094" t="s">
        <v>19</v>
      </c>
      <c r="H15094" t="s">
        <v>20</v>
      </c>
      <c r="I15094" t="s">
        <v>29302</v>
      </c>
      <c r="J15094" t="str">
        <f>HYPERLINK("https://www.boe.es/gazeta/dias/1822/11/18/pdfs/GMD-1822-338.pdf#page=5","Abrir facsímil")</f>
        <v>Abrir facsímil</v>
      </c>
      <c r="K15094" t="s">
        <v>22</v>
      </c>
    </row>
    <row r="15095" spans="1:11" ht="42" customHeight="1">
      <c r="A15095" t="s">
        <v>29303</v>
      </c>
      <c r="B15095" t="s">
        <v>29303</v>
      </c>
      <c r="C15095" t="s">
        <v>50</v>
      </c>
      <c r="D15095" t="s">
        <v>51</v>
      </c>
      <c r="E15095" s="6">
        <v>-28179</v>
      </c>
      <c r="F15095" t="s">
        <v>935</v>
      </c>
      <c r="G15095" t="s">
        <v>19</v>
      </c>
      <c r="H15095" t="s">
        <v>20</v>
      </c>
      <c r="I15095" t="s">
        <v>29304</v>
      </c>
      <c r="J15095" t="str">
        <f>HYPERLINK("https://www.boe.es/gazeta/dias/1822/11/05/pdfs/GMD-1822-325.pdf#page=5","Abrir facsímil")</f>
        <v>Abrir facsímil</v>
      </c>
      <c r="K15095" t="s">
        <v>22</v>
      </c>
    </row>
    <row r="15096" spans="1:11" ht="42" customHeight="1">
      <c r="A15096" t="s">
        <v>29305</v>
      </c>
      <c r="B15096" t="s">
        <v>29306</v>
      </c>
      <c r="C15096" t="s">
        <v>71</v>
      </c>
      <c r="D15096" t="s">
        <v>17</v>
      </c>
      <c r="E15096" s="6">
        <v>-28330</v>
      </c>
      <c r="F15096" t="s">
        <v>896</v>
      </c>
      <c r="G15096" t="s">
        <v>57</v>
      </c>
      <c r="H15096" t="s">
        <v>20</v>
      </c>
      <c r="I15096" t="s">
        <v>29307</v>
      </c>
      <c r="J15096" t="str">
        <f>HYPERLINK("https://www.boe.es/gazeta/dias/1822/06/07/pdfs/GMD-1822-164.pdf#page=4","Abrir facsímil")</f>
        <v>Abrir facsímil</v>
      </c>
      <c r="K15096" t="s">
        <v>22</v>
      </c>
    </row>
    <row r="15097" spans="1:11" ht="42" customHeight="1">
      <c r="A15097" t="s">
        <v>29308</v>
      </c>
      <c r="B15097" t="s">
        <v>29309</v>
      </c>
      <c r="C15097" t="s">
        <v>28</v>
      </c>
      <c r="D15097" t="s">
        <v>29</v>
      </c>
      <c r="E15097" s="6">
        <v>-28428</v>
      </c>
      <c r="F15097" t="s">
        <v>1924</v>
      </c>
      <c r="G15097" t="s">
        <v>57</v>
      </c>
      <c r="H15097" t="s">
        <v>20</v>
      </c>
      <c r="I15097" t="s">
        <v>29310</v>
      </c>
      <c r="J15097" t="str">
        <f>HYPERLINK("https://www.boe.es/gazeta/dias/1822/03/01/pdfs/GMD-1822-61.pdf#page=4","Abrir facsímil")</f>
        <v>Abrir facsímil</v>
      </c>
      <c r="K15097" t="s">
        <v>22</v>
      </c>
    </row>
    <row r="15098" spans="1:11" ht="42" customHeight="1">
      <c r="A15098" t="s">
        <v>29311</v>
      </c>
      <c r="B15098" t="s">
        <v>29312</v>
      </c>
      <c r="C15098" t="s">
        <v>28</v>
      </c>
      <c r="D15098" t="s">
        <v>29</v>
      </c>
      <c r="E15098" s="6">
        <v>-28459</v>
      </c>
      <c r="F15098" t="s">
        <v>1102</v>
      </c>
      <c r="G15098" t="s">
        <v>31</v>
      </c>
      <c r="H15098" t="s">
        <v>20</v>
      </c>
      <c r="I15098" t="s">
        <v>29313</v>
      </c>
      <c r="J15098" t="str">
        <f>HYPERLINK("https://www.boe.es/gazeta/dias/1822/01/29/pdfs/GMD-1822-29.pdf#page=3","Abrir facsímil")</f>
        <v>Abrir facsímil</v>
      </c>
      <c r="K15098" t="s">
        <v>22</v>
      </c>
    </row>
    <row r="15099" spans="1:11" ht="42" customHeight="1">
      <c r="A15099" t="s">
        <v>29314</v>
      </c>
      <c r="B15099" t="s">
        <v>29315</v>
      </c>
      <c r="C15099" t="s">
        <v>16</v>
      </c>
      <c r="D15099" t="s">
        <v>17</v>
      </c>
      <c r="E15099" s="6">
        <v>-28257</v>
      </c>
      <c r="F15099" t="s">
        <v>1171</v>
      </c>
      <c r="G15099" t="s">
        <v>1172</v>
      </c>
      <c r="H15099" t="s">
        <v>20</v>
      </c>
      <c r="I15099" t="s">
        <v>29316</v>
      </c>
      <c r="J15099" t="str">
        <f>HYPERLINK("https://www.boe.es/gazeta/dias/1822/08/19/pdfs/GMD-1822-243.pdf#page=4","Abrir facsímil")</f>
        <v>Abrir facsímil</v>
      </c>
      <c r="K15099" t="s">
        <v>22</v>
      </c>
    </row>
    <row r="15100" spans="1:11" ht="42" customHeight="1">
      <c r="A15100" t="s">
        <v>29317</v>
      </c>
      <c r="B15100" t="s">
        <v>29317</v>
      </c>
      <c r="C15100" t="s">
        <v>71</v>
      </c>
      <c r="D15100" t="s">
        <v>17</v>
      </c>
      <c r="E15100" s="6">
        <v>-28486</v>
      </c>
      <c r="F15100" t="s">
        <v>1046</v>
      </c>
      <c r="G15100" t="s">
        <v>35</v>
      </c>
      <c r="H15100" t="s">
        <v>20</v>
      </c>
      <c r="I15100" t="s">
        <v>29318</v>
      </c>
      <c r="J15100" t="str">
        <f>HYPERLINK("https://www.boe.es/gazeta/dias/1822/01/02/pdfs/GMD-1822-2.pdf#page=2","Abrir facsímil")</f>
        <v>Abrir facsímil</v>
      </c>
      <c r="K15100" t="s">
        <v>22</v>
      </c>
    </row>
    <row r="15101" spans="1:11" ht="42" customHeight="1">
      <c r="A15101" t="s">
        <v>29319</v>
      </c>
      <c r="B15101" t="s">
        <v>29319</v>
      </c>
      <c r="C15101" t="s">
        <v>50</v>
      </c>
      <c r="D15101" t="s">
        <v>51</v>
      </c>
      <c r="E15101" s="6">
        <v>-28464</v>
      </c>
      <c r="F15101" t="s">
        <v>1447</v>
      </c>
      <c r="G15101" t="s">
        <v>31</v>
      </c>
      <c r="H15101" t="s">
        <v>20</v>
      </c>
      <c r="I15101" t="s">
        <v>29320</v>
      </c>
      <c r="J15101" t="str">
        <f>HYPERLINK("https://www.boe.es/gazeta/dias/1822/01/24/pdfs/GMD-1822-24.pdf#page=3","Abrir facsímil")</f>
        <v>Abrir facsímil</v>
      </c>
      <c r="K15101" t="s">
        <v>22</v>
      </c>
    </row>
    <row r="15102" spans="1:11" ht="42" customHeight="1">
      <c r="A15102" t="s">
        <v>29319</v>
      </c>
      <c r="B15102" t="s">
        <v>29319</v>
      </c>
      <c r="C15102" t="s">
        <v>42</v>
      </c>
      <c r="D15102" t="s">
        <v>17</v>
      </c>
      <c r="E15102" s="6">
        <v>-28446</v>
      </c>
      <c r="F15102" t="s">
        <v>773</v>
      </c>
      <c r="G15102" t="s">
        <v>19</v>
      </c>
      <c r="H15102" t="s">
        <v>20</v>
      </c>
      <c r="I15102" t="s">
        <v>29321</v>
      </c>
      <c r="J15102" t="str">
        <f>HYPERLINK("https://www.boe.es/gazeta/dias/1822/02/11/pdfs/GMD-1822-42.pdf#page=5","Abrir facsímil")</f>
        <v>Abrir facsímil</v>
      </c>
      <c r="K15102" t="s">
        <v>22</v>
      </c>
    </row>
    <row r="15103" spans="1:11" ht="42" customHeight="1">
      <c r="A15103" t="s">
        <v>29319</v>
      </c>
      <c r="B15103" t="s">
        <v>29319</v>
      </c>
      <c r="C15103" t="s">
        <v>50</v>
      </c>
      <c r="D15103" t="s">
        <v>51</v>
      </c>
      <c r="E15103" s="6">
        <v>-28140</v>
      </c>
      <c r="F15103" t="s">
        <v>84</v>
      </c>
      <c r="G15103" t="s">
        <v>57</v>
      </c>
      <c r="H15103" t="s">
        <v>20</v>
      </c>
      <c r="I15103" t="s">
        <v>29322</v>
      </c>
      <c r="J15103" t="str">
        <f>HYPERLINK("https://www.boe.es/gazeta/dias/1822/12/14/pdfs/GMD-1822-364.pdf#page=4","Abrir facsímil")</f>
        <v>Abrir facsímil</v>
      </c>
      <c r="K15103" t="s">
        <v>22</v>
      </c>
    </row>
    <row r="15104" spans="1:11" ht="42" customHeight="1">
      <c r="A15104" t="s">
        <v>29323</v>
      </c>
      <c r="B15104" t="s">
        <v>29324</v>
      </c>
      <c r="C15104" t="s">
        <v>28</v>
      </c>
      <c r="D15104" t="s">
        <v>29</v>
      </c>
      <c r="E15104" s="6">
        <v>-28341</v>
      </c>
      <c r="F15104" t="s">
        <v>284</v>
      </c>
      <c r="G15104" t="s">
        <v>63</v>
      </c>
      <c r="H15104" t="s">
        <v>20</v>
      </c>
      <c r="I15104" t="s">
        <v>29325</v>
      </c>
      <c r="J15104" t="str">
        <f>HYPERLINK("https://www.boe.es/gazeta/dias/1822/05/27/pdfs/GMD-1822-152.pdf#page=6","Abrir facsímil")</f>
        <v>Abrir facsímil</v>
      </c>
      <c r="K15104" t="s">
        <v>22</v>
      </c>
    </row>
    <row r="15105" spans="1:11" ht="42" customHeight="1">
      <c r="A15105" t="s">
        <v>29323</v>
      </c>
      <c r="B15105" t="s">
        <v>29324</v>
      </c>
      <c r="C15105" t="s">
        <v>50</v>
      </c>
      <c r="D15105" t="s">
        <v>51</v>
      </c>
      <c r="E15105" s="6">
        <v>-28286</v>
      </c>
      <c r="F15105" t="s">
        <v>1853</v>
      </c>
      <c r="G15105" t="s">
        <v>57</v>
      </c>
      <c r="H15105" t="s">
        <v>20</v>
      </c>
      <c r="I15105" t="s">
        <v>29326</v>
      </c>
      <c r="J15105" t="str">
        <f>HYPERLINK("https://www.boe.es/gazeta/dias/1822/07/21/pdfs/GMD-1822-213.pdf#page=4","Abrir facsímil")</f>
        <v>Abrir facsímil</v>
      </c>
      <c r="K15105" t="s">
        <v>22</v>
      </c>
    </row>
    <row r="15106" spans="1:11" ht="42" customHeight="1">
      <c r="A15106" t="s">
        <v>29323</v>
      </c>
      <c r="B15106" t="s">
        <v>29324</v>
      </c>
      <c r="C15106" t="s">
        <v>24</v>
      </c>
      <c r="D15106" t="s">
        <v>17</v>
      </c>
      <c r="E15106" s="6">
        <v>-28267</v>
      </c>
      <c r="F15106" t="s">
        <v>1270</v>
      </c>
      <c r="G15106" t="s">
        <v>57</v>
      </c>
      <c r="H15106" t="s">
        <v>20</v>
      </c>
      <c r="I15106" t="s">
        <v>29327</v>
      </c>
      <c r="J15106" t="str">
        <f>HYPERLINK("https://www.boe.es/gazeta/dias/1822/08/09/pdfs/GMD-1822-233.pdf#page=4","Abrir facsímil")</f>
        <v>Abrir facsímil</v>
      </c>
      <c r="K15106" t="s">
        <v>22</v>
      </c>
    </row>
    <row r="15107" spans="1:11" ht="42" customHeight="1">
      <c r="A15107" t="s">
        <v>29323</v>
      </c>
      <c r="B15107" t="s">
        <v>29324</v>
      </c>
      <c r="C15107" t="s">
        <v>362</v>
      </c>
      <c r="D15107" t="s">
        <v>17</v>
      </c>
      <c r="E15107" s="6">
        <v>-28266</v>
      </c>
      <c r="F15107" t="s">
        <v>1169</v>
      </c>
      <c r="G15107" t="s">
        <v>57</v>
      </c>
      <c r="H15107" t="s">
        <v>20</v>
      </c>
      <c r="I15107" t="s">
        <v>29328</v>
      </c>
      <c r="J15107" t="str">
        <f>HYPERLINK("https://www.boe.es/gazeta/dias/1822/08/10/pdfs/GMD-1822-234.pdf#page=4","Abrir facsímil")</f>
        <v>Abrir facsímil</v>
      </c>
      <c r="K15107" t="s">
        <v>22</v>
      </c>
    </row>
    <row r="15108" spans="1:11" ht="42" customHeight="1">
      <c r="A15108" t="s">
        <v>29329</v>
      </c>
      <c r="B15108" t="s">
        <v>29329</v>
      </c>
      <c r="C15108" t="s">
        <v>16</v>
      </c>
      <c r="D15108" t="s">
        <v>17</v>
      </c>
      <c r="E15108" s="6">
        <v>-28464</v>
      </c>
      <c r="F15108" t="s">
        <v>1447</v>
      </c>
      <c r="G15108" t="s">
        <v>35</v>
      </c>
      <c r="H15108" t="s">
        <v>20</v>
      </c>
      <c r="I15108" t="s">
        <v>29330</v>
      </c>
      <c r="J15108" t="str">
        <f>HYPERLINK("https://www.boe.es/gazeta/dias/1822/01/24/pdfs/GMD-1822-24.pdf#page=2","Abrir facsímil")</f>
        <v>Abrir facsímil</v>
      </c>
      <c r="K15108" t="s">
        <v>22</v>
      </c>
    </row>
    <row r="15109" spans="1:11" ht="42" customHeight="1">
      <c r="A15109" t="s">
        <v>29329</v>
      </c>
      <c r="B15109" t="s">
        <v>29329</v>
      </c>
      <c r="C15109" t="s">
        <v>50</v>
      </c>
      <c r="D15109" t="s">
        <v>51</v>
      </c>
      <c r="E15109" s="6">
        <v>-28155</v>
      </c>
      <c r="F15109" t="s">
        <v>833</v>
      </c>
      <c r="G15109" t="s">
        <v>57</v>
      </c>
      <c r="H15109" t="s">
        <v>20</v>
      </c>
      <c r="I15109" t="s">
        <v>29331</v>
      </c>
      <c r="J15109" t="str">
        <f>HYPERLINK("https://www.boe.es/gazeta/dias/1822/11/29/pdfs/GMD-1822-349.pdf#page=4","Abrir facsímil")</f>
        <v>Abrir facsímil</v>
      </c>
      <c r="K15109" t="s">
        <v>22</v>
      </c>
    </row>
    <row r="15110" spans="1:11" ht="42" customHeight="1">
      <c r="A15110" t="s">
        <v>29332</v>
      </c>
      <c r="B15110" t="s">
        <v>29333</v>
      </c>
      <c r="C15110" t="s">
        <v>71</v>
      </c>
      <c r="D15110" t="s">
        <v>17</v>
      </c>
      <c r="E15110" s="6">
        <v>-28323</v>
      </c>
      <c r="F15110" t="s">
        <v>116</v>
      </c>
      <c r="G15110" t="s">
        <v>35</v>
      </c>
      <c r="H15110" t="s">
        <v>20</v>
      </c>
      <c r="I15110" t="s">
        <v>29334</v>
      </c>
      <c r="J15110" t="str">
        <f>HYPERLINK("https://www.boe.es/gazeta/dias/1822/06/14/pdfs/GMD-1822-171.pdf#page=2","Abrir facsímil")</f>
        <v>Abrir facsímil</v>
      </c>
      <c r="K15110" t="s">
        <v>22</v>
      </c>
    </row>
    <row r="15111" spans="1:11" ht="42" customHeight="1">
      <c r="A15111" t="s">
        <v>29335</v>
      </c>
      <c r="B15111" t="s">
        <v>29335</v>
      </c>
      <c r="C15111" t="s">
        <v>42</v>
      </c>
      <c r="D15111" t="s">
        <v>17</v>
      </c>
      <c r="E15111" s="6">
        <v>-28130</v>
      </c>
      <c r="F15111" t="s">
        <v>34</v>
      </c>
      <c r="G15111" t="s">
        <v>19</v>
      </c>
      <c r="H15111" t="s">
        <v>20</v>
      </c>
      <c r="I15111" t="s">
        <v>29336</v>
      </c>
      <c r="J15111" t="str">
        <f>HYPERLINK("https://www.boe.es/gazeta/dias/1822/12/24/pdfs/GMD-1822-374.pdf#page=5","Abrir facsímil")</f>
        <v>Abrir facsímil</v>
      </c>
      <c r="K15111" t="s">
        <v>22</v>
      </c>
    </row>
    <row r="15112" spans="1:11" ht="42" customHeight="1">
      <c r="A15112" t="s">
        <v>29337</v>
      </c>
      <c r="B15112" t="s">
        <v>29337</v>
      </c>
      <c r="C15112" t="s">
        <v>50</v>
      </c>
      <c r="D15112" t="s">
        <v>51</v>
      </c>
      <c r="E15112" s="6">
        <v>-28123</v>
      </c>
      <c r="F15112" t="s">
        <v>603</v>
      </c>
      <c r="G15112" t="s">
        <v>35</v>
      </c>
      <c r="H15112" t="s">
        <v>20</v>
      </c>
      <c r="I15112" t="s">
        <v>29338</v>
      </c>
      <c r="J15112" t="str">
        <f>HYPERLINK("https://www.boe.es/gazeta/dias/1822/12/31/pdfs/GMD-1822-381.pdf#page=2","Abrir facsímil")</f>
        <v>Abrir facsímil</v>
      </c>
      <c r="K15112" t="s">
        <v>22</v>
      </c>
    </row>
    <row r="15113" spans="1:11" ht="42" customHeight="1">
      <c r="A15113" t="s">
        <v>29339</v>
      </c>
      <c r="B15113" t="s">
        <v>29340</v>
      </c>
      <c r="C15113" t="s">
        <v>42</v>
      </c>
      <c r="D15113" t="s">
        <v>17</v>
      </c>
      <c r="E15113" s="6">
        <v>-28131</v>
      </c>
      <c r="F15113" t="s">
        <v>893</v>
      </c>
      <c r="G15113" t="s">
        <v>991</v>
      </c>
      <c r="H15113" t="s">
        <v>20</v>
      </c>
      <c r="I15113" t="s">
        <v>29341</v>
      </c>
      <c r="J15113" t="str">
        <f>HYPERLINK("https://www.boe.es/gazeta/dias/1822/12/23/pdfs/GMD-1822-373.pdf#page=6","Abrir facsímil")</f>
        <v>Abrir facsímil</v>
      </c>
      <c r="K15113" t="s">
        <v>22</v>
      </c>
    </row>
    <row r="15114" spans="1:11" ht="42" customHeight="1">
      <c r="A15114" t="s">
        <v>29342</v>
      </c>
      <c r="B15114" t="s">
        <v>29342</v>
      </c>
      <c r="C15114" t="s">
        <v>42</v>
      </c>
      <c r="D15114" t="s">
        <v>17</v>
      </c>
      <c r="E15114" s="6">
        <v>-28131</v>
      </c>
      <c r="F15114" t="s">
        <v>893</v>
      </c>
      <c r="G15114" t="s">
        <v>57</v>
      </c>
      <c r="H15114" t="s">
        <v>20</v>
      </c>
      <c r="I15114" t="s">
        <v>29343</v>
      </c>
      <c r="J15114" t="str">
        <f>HYPERLINK("https://www.boe.es/gazeta/dias/1822/12/23/pdfs/GMD-1822-373.pdf#page=4","Abrir facsímil")</f>
        <v>Abrir facsímil</v>
      </c>
      <c r="K15114" t="s">
        <v>22</v>
      </c>
    </row>
    <row r="15115" spans="1:11" ht="42" customHeight="1">
      <c r="A15115" t="s">
        <v>29344</v>
      </c>
      <c r="B15115" t="s">
        <v>29345</v>
      </c>
      <c r="C15115" t="s">
        <v>50</v>
      </c>
      <c r="D15115" t="s">
        <v>51</v>
      </c>
      <c r="E15115" s="6">
        <v>-28210</v>
      </c>
      <c r="F15115" t="s">
        <v>218</v>
      </c>
      <c r="G15115" t="s">
        <v>19</v>
      </c>
      <c r="H15115" t="s">
        <v>20</v>
      </c>
      <c r="I15115" t="s">
        <v>29346</v>
      </c>
      <c r="J15115" t="str">
        <f>HYPERLINK("https://www.boe.es/gazeta/dias/1822/10/05/pdfs/GMD-1822-291.pdf#page=5","Abrir facsímil")</f>
        <v>Abrir facsímil</v>
      </c>
      <c r="K15115" t="s">
        <v>22</v>
      </c>
    </row>
    <row r="15116" spans="1:11" ht="42" customHeight="1">
      <c r="A15116" t="s">
        <v>29347</v>
      </c>
      <c r="B15116" t="s">
        <v>29347</v>
      </c>
      <c r="C15116" t="s">
        <v>28</v>
      </c>
      <c r="D15116" t="s">
        <v>29</v>
      </c>
      <c r="E15116" s="6">
        <v>-28339</v>
      </c>
      <c r="F15116" t="s">
        <v>197</v>
      </c>
      <c r="G15116" t="s">
        <v>44</v>
      </c>
      <c r="H15116" t="s">
        <v>20</v>
      </c>
      <c r="I15116" t="s">
        <v>29348</v>
      </c>
      <c r="J15116" t="str">
        <f>HYPERLINK("https://www.boe.es/gazeta/dias/1822/05/29/pdfs/GMD-1822-154.pdf#page=1","Abrir facsímil")</f>
        <v>Abrir facsímil</v>
      </c>
      <c r="K15116" t="s">
        <v>22</v>
      </c>
    </row>
    <row r="15117" spans="1:11" ht="42" customHeight="1">
      <c r="A15117" t="s">
        <v>29347</v>
      </c>
      <c r="B15117" t="s">
        <v>29347</v>
      </c>
      <c r="C15117" t="s">
        <v>61</v>
      </c>
      <c r="D15117" t="s">
        <v>17</v>
      </c>
      <c r="E15117" s="6">
        <v>-28314</v>
      </c>
      <c r="F15117" t="s">
        <v>309</v>
      </c>
      <c r="G15117" t="s">
        <v>57</v>
      </c>
      <c r="H15117" t="s">
        <v>20</v>
      </c>
      <c r="I15117" t="s">
        <v>29349</v>
      </c>
      <c r="J15117" t="str">
        <f>HYPERLINK("https://www.boe.es/gazeta/dias/1822/06/23/pdfs/GMD-1822-181.pdf#page=4","Abrir facsímil")</f>
        <v>Abrir facsímil</v>
      </c>
      <c r="K15117" t="s">
        <v>22</v>
      </c>
    </row>
    <row r="15118" spans="1:11" ht="42" customHeight="1">
      <c r="A15118" t="s">
        <v>29347</v>
      </c>
      <c r="B15118" t="s">
        <v>29347</v>
      </c>
      <c r="C15118" t="s">
        <v>42</v>
      </c>
      <c r="D15118" t="s">
        <v>17</v>
      </c>
      <c r="E15118" s="6">
        <v>-28194</v>
      </c>
      <c r="F15118" t="s">
        <v>18</v>
      </c>
      <c r="G15118" t="s">
        <v>19</v>
      </c>
      <c r="H15118" t="s">
        <v>20</v>
      </c>
      <c r="I15118" t="s">
        <v>29350</v>
      </c>
      <c r="J15118" t="str">
        <f>HYPERLINK("https://www.boe.es/gazeta/dias/1822/10/21/pdfs/GMD-1822-308.pdf#page=5","Abrir facsímil")</f>
        <v>Abrir facsímil</v>
      </c>
      <c r="K15118" t="s">
        <v>22</v>
      </c>
    </row>
    <row r="15119" spans="1:11" ht="42" customHeight="1">
      <c r="A15119" t="s">
        <v>29347</v>
      </c>
      <c r="B15119" t="s">
        <v>29347</v>
      </c>
      <c r="C15119" t="s">
        <v>16</v>
      </c>
      <c r="D15119" t="s">
        <v>17</v>
      </c>
      <c r="E15119" s="6">
        <v>-28143</v>
      </c>
      <c r="F15119" t="s">
        <v>2967</v>
      </c>
      <c r="G15119" t="s">
        <v>6049</v>
      </c>
      <c r="H15119" t="s">
        <v>20</v>
      </c>
      <c r="I15119" t="s">
        <v>29351</v>
      </c>
      <c r="J15119" t="str">
        <f>HYPERLINK("https://www.boe.es/gazeta/dias/1822/12/11/pdfs/GMD-1822-361.pdf#page=3","Abrir facsímil")</f>
        <v>Abrir facsímil</v>
      </c>
      <c r="K15119" t="s">
        <v>22</v>
      </c>
    </row>
    <row r="15120" spans="1:11" ht="42" customHeight="1">
      <c r="A15120" t="s">
        <v>29352</v>
      </c>
      <c r="B15120" t="s">
        <v>29352</v>
      </c>
      <c r="C15120" t="s">
        <v>50</v>
      </c>
      <c r="D15120" t="s">
        <v>51</v>
      </c>
      <c r="E15120" s="6">
        <v>-28317</v>
      </c>
      <c r="F15120" t="s">
        <v>546</v>
      </c>
      <c r="G15120" t="s">
        <v>63</v>
      </c>
      <c r="H15120" t="s">
        <v>20</v>
      </c>
      <c r="I15120" t="s">
        <v>29353</v>
      </c>
      <c r="J15120" t="str">
        <f>HYPERLINK("https://www.boe.es/gazeta/dias/1822/06/20/pdfs/GMD-1822-177.pdf#page=6","Abrir facsímil")</f>
        <v>Abrir facsímil</v>
      </c>
      <c r="K15120" t="s">
        <v>22</v>
      </c>
    </row>
    <row r="15121" spans="1:11" ht="42" customHeight="1">
      <c r="A15121" t="s">
        <v>29354</v>
      </c>
      <c r="B15121" t="s">
        <v>29354</v>
      </c>
      <c r="C15121" t="s">
        <v>71</v>
      </c>
      <c r="D15121" t="s">
        <v>17</v>
      </c>
      <c r="E15121" s="6">
        <v>-28329</v>
      </c>
      <c r="F15121" t="s">
        <v>354</v>
      </c>
      <c r="G15121" t="s">
        <v>57</v>
      </c>
      <c r="H15121" t="s">
        <v>20</v>
      </c>
      <c r="I15121" t="s">
        <v>29355</v>
      </c>
      <c r="J15121" t="str">
        <f>HYPERLINK("https://www.boe.es/gazeta/dias/1822/06/08/pdfs/GMD-1822-165.pdf#page=4","Abrir facsímil")</f>
        <v>Abrir facsímil</v>
      </c>
      <c r="K15121" t="s">
        <v>22</v>
      </c>
    </row>
    <row r="15122" spans="1:11" ht="42" customHeight="1">
      <c r="A15122" t="s">
        <v>29356</v>
      </c>
      <c r="B15122" t="s">
        <v>29356</v>
      </c>
      <c r="C15122" t="s">
        <v>42</v>
      </c>
      <c r="D15122" t="s">
        <v>17</v>
      </c>
      <c r="E15122" s="6">
        <v>-28344</v>
      </c>
      <c r="F15122" t="s">
        <v>524</v>
      </c>
      <c r="G15122" t="s">
        <v>19</v>
      </c>
      <c r="H15122" t="s">
        <v>20</v>
      </c>
      <c r="I15122" t="s">
        <v>29357</v>
      </c>
      <c r="J15122" t="str">
        <f>HYPERLINK("https://www.boe.es/gazeta/dias/1822/05/24/pdfs/GMD-1822-148.pdf#page=5","Abrir facsímil")</f>
        <v>Abrir facsímil</v>
      </c>
      <c r="K15122" t="s">
        <v>22</v>
      </c>
    </row>
    <row r="15123" spans="1:11" ht="42" customHeight="1">
      <c r="A15123" t="s">
        <v>29358</v>
      </c>
      <c r="B15123" t="s">
        <v>29358</v>
      </c>
      <c r="C15123" t="s">
        <v>24</v>
      </c>
      <c r="D15123" t="s">
        <v>17</v>
      </c>
      <c r="E15123" s="6">
        <v>-28398</v>
      </c>
      <c r="F15123" t="s">
        <v>1961</v>
      </c>
      <c r="G15123" t="s">
        <v>31</v>
      </c>
      <c r="H15123" t="s">
        <v>20</v>
      </c>
      <c r="I15123" t="s">
        <v>29359</v>
      </c>
      <c r="J15123" t="str">
        <f>HYPERLINK("https://www.boe.es/gazeta/dias/1822/03/31/pdfs/GMD-1822-92.pdf#page=3","Abrir facsímil")</f>
        <v>Abrir facsímil</v>
      </c>
      <c r="K15123" t="s">
        <v>22</v>
      </c>
    </row>
    <row r="15124" spans="1:11" ht="42" customHeight="1">
      <c r="A15124" t="s">
        <v>29360</v>
      </c>
      <c r="B15124" t="s">
        <v>29361</v>
      </c>
      <c r="C15124" t="s">
        <v>24</v>
      </c>
      <c r="D15124" t="s">
        <v>17</v>
      </c>
      <c r="E15124" s="6">
        <v>-28185</v>
      </c>
      <c r="F15124" t="s">
        <v>933</v>
      </c>
      <c r="G15124" t="s">
        <v>57</v>
      </c>
      <c r="H15124" t="s">
        <v>45</v>
      </c>
      <c r="I15124" t="s">
        <v>29362</v>
      </c>
      <c r="J15124" t="str">
        <f>HYPERLINK("https://www.boe.es/gazeta/dias/1822/10/30/pdfs/GMD-1822-317.pdf#page=4","Abrir facsímil")</f>
        <v>Abrir facsímil</v>
      </c>
      <c r="K15124" t="s">
        <v>47</v>
      </c>
    </row>
    <row r="15125" spans="1:11" ht="42" customHeight="1">
      <c r="A15125" t="s">
        <v>29363</v>
      </c>
      <c r="B15125" t="s">
        <v>29363</v>
      </c>
      <c r="C15125" t="s">
        <v>61</v>
      </c>
      <c r="D15125" t="s">
        <v>17</v>
      </c>
      <c r="E15125" s="6">
        <v>-28187</v>
      </c>
      <c r="F15125" t="s">
        <v>929</v>
      </c>
      <c r="G15125" t="s">
        <v>31</v>
      </c>
      <c r="H15125" t="s">
        <v>20</v>
      </c>
      <c r="I15125" t="s">
        <v>29364</v>
      </c>
      <c r="J15125" t="str">
        <f>HYPERLINK("https://www.boe.es/gazeta/dias/1822/10/28/pdfs/GMD-1822-315.pdf#page=3","Abrir facsímil")</f>
        <v>Abrir facsímil</v>
      </c>
      <c r="K15125" t="s">
        <v>22</v>
      </c>
    </row>
    <row r="15126" spans="1:11" ht="42" customHeight="1">
      <c r="A15126" t="s">
        <v>29363</v>
      </c>
      <c r="B15126" t="s">
        <v>29363</v>
      </c>
      <c r="C15126" t="s">
        <v>16</v>
      </c>
      <c r="D15126" t="s">
        <v>17</v>
      </c>
      <c r="E15126" s="6">
        <v>-28167</v>
      </c>
      <c r="F15126" t="s">
        <v>904</v>
      </c>
      <c r="G15126" t="s">
        <v>31</v>
      </c>
      <c r="H15126" t="s">
        <v>20</v>
      </c>
      <c r="I15126" t="s">
        <v>29365</v>
      </c>
      <c r="J15126" t="str">
        <f>HYPERLINK("https://www.boe.es/gazeta/dias/1822/11/17/pdfs/GMD-1822-337.pdf#page=3","Abrir facsímil")</f>
        <v>Abrir facsímil</v>
      </c>
      <c r="K15126" t="s">
        <v>22</v>
      </c>
    </row>
    <row r="15127" spans="1:11" ht="42" customHeight="1">
      <c r="A15127" t="s">
        <v>29366</v>
      </c>
      <c r="B15127" t="s">
        <v>29367</v>
      </c>
      <c r="C15127" t="s">
        <v>42</v>
      </c>
      <c r="D15127" t="s">
        <v>17</v>
      </c>
      <c r="E15127" s="6">
        <v>-28195</v>
      </c>
      <c r="F15127" t="s">
        <v>770</v>
      </c>
      <c r="G15127" t="s">
        <v>63</v>
      </c>
      <c r="H15127" t="s">
        <v>20</v>
      </c>
      <c r="I15127" t="s">
        <v>29368</v>
      </c>
      <c r="J15127" t="str">
        <f>HYPERLINK("https://www.boe.es/gazeta/dias/1822/10/20/pdfs/GMD-1822-307.pdf#page=6","Abrir facsímil")</f>
        <v>Abrir facsímil</v>
      </c>
      <c r="K15127" t="s">
        <v>22</v>
      </c>
    </row>
    <row r="15128" spans="1:11" ht="42" customHeight="1">
      <c r="A15128" t="s">
        <v>29369</v>
      </c>
      <c r="B15128" t="s">
        <v>29369</v>
      </c>
      <c r="C15128" t="s">
        <v>50</v>
      </c>
      <c r="D15128" t="s">
        <v>51</v>
      </c>
      <c r="E15128" s="6">
        <v>-28486</v>
      </c>
      <c r="F15128" t="s">
        <v>1046</v>
      </c>
      <c r="G15128" t="s">
        <v>1085</v>
      </c>
      <c r="H15128" t="s">
        <v>20</v>
      </c>
      <c r="I15128" t="s">
        <v>29370</v>
      </c>
      <c r="J15128" t="str">
        <f>HYPERLINK("https://www.boe.es/gazeta/dias/1822/01/02/pdfs/GMD-1822-2.pdf#page=3","Abrir facsímil")</f>
        <v>Abrir facsímil</v>
      </c>
      <c r="K15128" t="s">
        <v>22</v>
      </c>
    </row>
    <row r="15129" spans="1:11" ht="42" customHeight="1">
      <c r="A15129" t="s">
        <v>29369</v>
      </c>
      <c r="B15129" t="s">
        <v>29369</v>
      </c>
      <c r="C15129" t="s">
        <v>50</v>
      </c>
      <c r="D15129" t="s">
        <v>51</v>
      </c>
      <c r="E15129" s="6">
        <v>-28486</v>
      </c>
      <c r="F15129" t="s">
        <v>1046</v>
      </c>
      <c r="G15129" t="s">
        <v>35</v>
      </c>
      <c r="H15129" t="s">
        <v>20</v>
      </c>
      <c r="I15129" t="s">
        <v>29371</v>
      </c>
      <c r="J15129" t="str">
        <f>HYPERLINK("https://www.boe.es/gazeta/dias/1822/01/02/pdfs/GMD-1822-2.pdf#page=2","Abrir facsímil")</f>
        <v>Abrir facsímil</v>
      </c>
      <c r="K15129" t="s">
        <v>22</v>
      </c>
    </row>
    <row r="15130" spans="1:11" ht="42" customHeight="1">
      <c r="A15130" t="s">
        <v>29372</v>
      </c>
      <c r="B15130" t="s">
        <v>29372</v>
      </c>
      <c r="C15130" t="s">
        <v>28</v>
      </c>
      <c r="D15130" t="s">
        <v>29</v>
      </c>
      <c r="E15130" s="6">
        <v>-28431</v>
      </c>
      <c r="F15130" t="s">
        <v>1258</v>
      </c>
      <c r="G15130" t="s">
        <v>31</v>
      </c>
      <c r="H15130" t="s">
        <v>20</v>
      </c>
      <c r="I15130" t="s">
        <v>29373</v>
      </c>
      <c r="J15130" t="str">
        <f>HYPERLINK("https://www.boe.es/gazeta/dias/1822/02/26/pdfs/GMD-1822-58.pdf#page=3","Abrir facsímil")</f>
        <v>Abrir facsímil</v>
      </c>
      <c r="K15130" t="s">
        <v>22</v>
      </c>
    </row>
    <row r="15131" spans="1:11" ht="42" customHeight="1">
      <c r="A15131" t="s">
        <v>29374</v>
      </c>
      <c r="B15131" t="s">
        <v>29374</v>
      </c>
      <c r="C15131" t="s">
        <v>24</v>
      </c>
      <c r="D15131" t="s">
        <v>17</v>
      </c>
      <c r="E15131" s="6">
        <v>-28355</v>
      </c>
      <c r="F15131" t="s">
        <v>692</v>
      </c>
      <c r="G15131" t="s">
        <v>57</v>
      </c>
      <c r="H15131" t="s">
        <v>20</v>
      </c>
      <c r="I15131" t="s">
        <v>29375</v>
      </c>
      <c r="J15131" t="str">
        <f>HYPERLINK("https://www.boe.es/gazeta/dias/1822/05/13/pdfs/GMD-1822-135.pdf#page=4","Abrir facsímil")</f>
        <v>Abrir facsímil</v>
      </c>
      <c r="K15131" t="s">
        <v>22</v>
      </c>
    </row>
    <row r="15132" spans="1:11" ht="42" customHeight="1">
      <c r="A15132" t="s">
        <v>29372</v>
      </c>
      <c r="B15132" t="s">
        <v>29372</v>
      </c>
      <c r="C15132" t="s">
        <v>71</v>
      </c>
      <c r="D15132" t="s">
        <v>17</v>
      </c>
      <c r="E15132" s="6">
        <v>-28341</v>
      </c>
      <c r="F15132" t="s">
        <v>284</v>
      </c>
      <c r="G15132" t="s">
        <v>19</v>
      </c>
      <c r="H15132" t="s">
        <v>20</v>
      </c>
      <c r="I15132" t="s">
        <v>29376</v>
      </c>
      <c r="J15132" t="str">
        <f>HYPERLINK("https://www.boe.es/gazeta/dias/1822/05/27/pdfs/GMD-1822-152.pdf#page=5","Abrir facsímil")</f>
        <v>Abrir facsímil</v>
      </c>
      <c r="K15132" t="s">
        <v>22</v>
      </c>
    </row>
    <row r="15133" spans="1:11" ht="42" customHeight="1">
      <c r="A15133" t="s">
        <v>29374</v>
      </c>
      <c r="B15133" t="s">
        <v>29374</v>
      </c>
      <c r="C15133" t="s">
        <v>42</v>
      </c>
      <c r="D15133" t="s">
        <v>17</v>
      </c>
      <c r="E15133" s="6">
        <v>-28316</v>
      </c>
      <c r="F15133" t="s">
        <v>1144</v>
      </c>
      <c r="G15133" t="s">
        <v>57</v>
      </c>
      <c r="H15133" t="s">
        <v>20</v>
      </c>
      <c r="I15133" t="s">
        <v>29377</v>
      </c>
      <c r="J15133" t="str">
        <f>HYPERLINK("https://www.boe.es/gazeta/dias/1822/06/21/pdfs/GMD-1822-179.pdf#page=4","Abrir facsímil")</f>
        <v>Abrir facsímil</v>
      </c>
      <c r="K15133" t="s">
        <v>22</v>
      </c>
    </row>
    <row r="15134" spans="1:11" ht="42" customHeight="1">
      <c r="A15134" t="s">
        <v>29372</v>
      </c>
      <c r="B15134" t="s">
        <v>29372</v>
      </c>
      <c r="C15134" t="s">
        <v>42</v>
      </c>
      <c r="D15134" t="s">
        <v>17</v>
      </c>
      <c r="E15134" s="6">
        <v>-28169</v>
      </c>
      <c r="F15134" t="s">
        <v>2571</v>
      </c>
      <c r="G15134" t="s">
        <v>35</v>
      </c>
      <c r="H15134" t="s">
        <v>20</v>
      </c>
      <c r="I15134" t="s">
        <v>29378</v>
      </c>
      <c r="J15134" t="str">
        <f>HYPERLINK("https://www.boe.es/gazeta/dias/1822/11/15/pdfs/GMD-1822-335.pdf#page=2","Abrir facsímil")</f>
        <v>Abrir facsímil</v>
      </c>
      <c r="K15134" t="s">
        <v>22</v>
      </c>
    </row>
    <row r="15135" spans="1:11" ht="42" customHeight="1">
      <c r="A15135" t="s">
        <v>29379</v>
      </c>
      <c r="B15135" t="s">
        <v>29380</v>
      </c>
      <c r="C15135" t="s">
        <v>42</v>
      </c>
      <c r="D15135" t="s">
        <v>17</v>
      </c>
      <c r="E15135" s="6">
        <v>-28210</v>
      </c>
      <c r="F15135" t="s">
        <v>218</v>
      </c>
      <c r="G15135" t="s">
        <v>19</v>
      </c>
      <c r="H15135" t="s">
        <v>20</v>
      </c>
      <c r="I15135" t="s">
        <v>29381</v>
      </c>
      <c r="J15135" t="str">
        <f>HYPERLINK("https://www.boe.es/gazeta/dias/1822/10/05/pdfs/GMD-1822-291.pdf#page=5","Abrir facsímil")</f>
        <v>Abrir facsímil</v>
      </c>
      <c r="K15135" t="s">
        <v>22</v>
      </c>
    </row>
    <row r="15136" spans="1:11" ht="42" customHeight="1">
      <c r="A15136" t="s">
        <v>29382</v>
      </c>
      <c r="B15136" t="s">
        <v>29382</v>
      </c>
      <c r="C15136" t="s">
        <v>50</v>
      </c>
      <c r="D15136" t="s">
        <v>51</v>
      </c>
      <c r="E15136" s="6">
        <v>-28164</v>
      </c>
      <c r="F15136" t="s">
        <v>2172</v>
      </c>
      <c r="G15136" t="s">
        <v>35</v>
      </c>
      <c r="H15136" t="s">
        <v>20</v>
      </c>
      <c r="I15136" t="s">
        <v>29383</v>
      </c>
      <c r="J15136" t="str">
        <f>HYPERLINK("https://www.boe.es/gazeta/dias/1822/11/20/pdfs/GMD-1822-340.pdf#page=2","Abrir facsímil")</f>
        <v>Abrir facsímil</v>
      </c>
      <c r="K15136" t="s">
        <v>22</v>
      </c>
    </row>
    <row r="15137" spans="1:11" ht="42" customHeight="1">
      <c r="A15137" t="s">
        <v>29384</v>
      </c>
      <c r="B15137" t="s">
        <v>29384</v>
      </c>
      <c r="C15137" t="s">
        <v>42</v>
      </c>
      <c r="D15137" t="s">
        <v>17</v>
      </c>
      <c r="E15137" s="6">
        <v>-28371</v>
      </c>
      <c r="F15137" t="s">
        <v>401</v>
      </c>
      <c r="G15137" t="s">
        <v>35</v>
      </c>
      <c r="H15137" t="s">
        <v>20</v>
      </c>
      <c r="I15137" t="s">
        <v>29385</v>
      </c>
      <c r="J15137" t="str">
        <f>HYPERLINK("https://www.boe.es/gazeta/dias/1822/04/27/pdfs/GMD-1822-119.pdf#page=2","Abrir facsímil")</f>
        <v>Abrir facsímil</v>
      </c>
      <c r="K15137" t="s">
        <v>22</v>
      </c>
    </row>
    <row r="15138" spans="1:11" ht="42" customHeight="1">
      <c r="A15138" t="s">
        <v>29386</v>
      </c>
      <c r="B15138" t="s">
        <v>29386</v>
      </c>
      <c r="C15138" t="s">
        <v>50</v>
      </c>
      <c r="D15138" t="s">
        <v>51</v>
      </c>
      <c r="E15138" s="6">
        <v>-28341</v>
      </c>
      <c r="F15138" t="s">
        <v>284</v>
      </c>
      <c r="G15138" t="s">
        <v>35</v>
      </c>
      <c r="H15138" t="s">
        <v>20</v>
      </c>
      <c r="I15138" t="s">
        <v>29387</v>
      </c>
      <c r="J15138" t="str">
        <f>HYPERLINK("https://www.boe.es/gazeta/dias/1822/05/27/pdfs/GMD-1822-152.pdf#page=2","Abrir facsímil")</f>
        <v>Abrir facsímil</v>
      </c>
      <c r="K15138" t="s">
        <v>22</v>
      </c>
    </row>
    <row r="15139" spans="1:11" ht="42" customHeight="1">
      <c r="A15139" t="s">
        <v>29388</v>
      </c>
      <c r="B15139" t="s">
        <v>29388</v>
      </c>
      <c r="C15139" t="s">
        <v>42</v>
      </c>
      <c r="D15139" t="s">
        <v>17</v>
      </c>
      <c r="E15139" s="6">
        <v>-28321</v>
      </c>
      <c r="F15139" t="s">
        <v>1142</v>
      </c>
      <c r="G15139" t="s">
        <v>57</v>
      </c>
      <c r="H15139" t="s">
        <v>20</v>
      </c>
      <c r="I15139" t="s">
        <v>29389</v>
      </c>
      <c r="J15139" t="str">
        <f>HYPERLINK("https://www.boe.es/gazeta/dias/1822/06/16/pdfs/GMD-1822-173.pdf#page=4","Abrir facsímil")</f>
        <v>Abrir facsímil</v>
      </c>
      <c r="K15139" t="s">
        <v>22</v>
      </c>
    </row>
    <row r="15140" spans="1:11" ht="42" customHeight="1">
      <c r="A15140" t="s">
        <v>29390</v>
      </c>
      <c r="B15140" t="s">
        <v>29390</v>
      </c>
      <c r="C15140" t="s">
        <v>71</v>
      </c>
      <c r="D15140" t="s">
        <v>17</v>
      </c>
      <c r="E15140" s="6">
        <v>-28327</v>
      </c>
      <c r="F15140" t="s">
        <v>38</v>
      </c>
      <c r="G15140" t="s">
        <v>63</v>
      </c>
      <c r="H15140" t="s">
        <v>20</v>
      </c>
      <c r="I15140" t="s">
        <v>29391</v>
      </c>
      <c r="J15140" t="str">
        <f>HYPERLINK("https://www.boe.es/gazeta/dias/1822/06/10/pdfs/GMD-1822-167.pdf#page=6","Abrir facsímil")</f>
        <v>Abrir facsímil</v>
      </c>
      <c r="K15140" t="s">
        <v>22</v>
      </c>
    </row>
    <row r="15141" spans="1:11" ht="42" customHeight="1">
      <c r="A15141" t="s">
        <v>29390</v>
      </c>
      <c r="B15141" t="s">
        <v>29390</v>
      </c>
      <c r="C15141" t="s">
        <v>50</v>
      </c>
      <c r="D15141" t="s">
        <v>51</v>
      </c>
      <c r="E15141" s="6">
        <v>-28311</v>
      </c>
      <c r="F15141" t="s">
        <v>736</v>
      </c>
      <c r="G15141" t="s">
        <v>31</v>
      </c>
      <c r="H15141" t="s">
        <v>20</v>
      </c>
      <c r="I15141" t="s">
        <v>29392</v>
      </c>
      <c r="J15141" t="str">
        <f>HYPERLINK("https://www.boe.es/gazeta/dias/1822/06/26/pdfs/GMD-1822-184.pdf#page=3","Abrir facsímil")</f>
        <v>Abrir facsímil</v>
      </c>
      <c r="K15141" t="s">
        <v>22</v>
      </c>
    </row>
    <row r="15142" spans="1:11" ht="42" customHeight="1">
      <c r="A15142" t="s">
        <v>29393</v>
      </c>
      <c r="B15142" t="s">
        <v>29393</v>
      </c>
      <c r="C15142" t="s">
        <v>16</v>
      </c>
      <c r="D15142" t="s">
        <v>17</v>
      </c>
      <c r="E15142" s="6">
        <v>-28390</v>
      </c>
      <c r="F15142" t="s">
        <v>665</v>
      </c>
      <c r="G15142" t="s">
        <v>35</v>
      </c>
      <c r="H15142" t="s">
        <v>20</v>
      </c>
      <c r="I15142" t="s">
        <v>29394</v>
      </c>
      <c r="J15142" t="str">
        <f>HYPERLINK("https://www.boe.es/gazeta/dias/1822/04/08/pdfs/GMD-1822-100.pdf#page=2","Abrir facsímil")</f>
        <v>Abrir facsímil</v>
      </c>
      <c r="K15142" t="s">
        <v>22</v>
      </c>
    </row>
    <row r="15143" spans="1:11" ht="42" customHeight="1">
      <c r="A15143" t="s">
        <v>29395</v>
      </c>
      <c r="B15143" t="s">
        <v>29395</v>
      </c>
      <c r="C15143" t="s">
        <v>42</v>
      </c>
      <c r="D15143" t="s">
        <v>17</v>
      </c>
      <c r="E15143" s="6">
        <v>-28421</v>
      </c>
      <c r="F15143" t="s">
        <v>446</v>
      </c>
      <c r="G15143" t="s">
        <v>31</v>
      </c>
      <c r="H15143" t="s">
        <v>20</v>
      </c>
      <c r="I15143" t="s">
        <v>29396</v>
      </c>
      <c r="J15143" t="str">
        <f>HYPERLINK("https://www.boe.es/gazeta/dias/1822/03/08/pdfs/GMD-1822-69.pdf#page=3","Abrir facsímil")</f>
        <v>Abrir facsímil</v>
      </c>
      <c r="K15143" t="s">
        <v>22</v>
      </c>
    </row>
    <row r="15144" spans="1:11" ht="42" customHeight="1">
      <c r="A15144" t="s">
        <v>29395</v>
      </c>
      <c r="B15144" t="s">
        <v>29395</v>
      </c>
      <c r="C15144" t="s">
        <v>28</v>
      </c>
      <c r="D15144" t="s">
        <v>29</v>
      </c>
      <c r="E15144" s="6">
        <v>-28391</v>
      </c>
      <c r="F15144" t="s">
        <v>378</v>
      </c>
      <c r="G15144" t="s">
        <v>35</v>
      </c>
      <c r="H15144" t="s">
        <v>20</v>
      </c>
      <c r="I15144" t="s">
        <v>29397</v>
      </c>
      <c r="J15144" t="str">
        <f>HYPERLINK("https://www.boe.es/gazeta/dias/1822/04/07/pdfs/GMD-1822-99.pdf#page=2","Abrir facsímil")</f>
        <v>Abrir facsímil</v>
      </c>
      <c r="K15144" t="s">
        <v>22</v>
      </c>
    </row>
    <row r="15145" spans="1:11" ht="42" customHeight="1">
      <c r="A15145" t="s">
        <v>29395</v>
      </c>
      <c r="B15145" t="s">
        <v>29395</v>
      </c>
      <c r="C15145" t="s">
        <v>42</v>
      </c>
      <c r="D15145" t="s">
        <v>17</v>
      </c>
      <c r="E15145" s="6">
        <v>-28351</v>
      </c>
      <c r="F15145" t="s">
        <v>282</v>
      </c>
      <c r="G15145" t="s">
        <v>31</v>
      </c>
      <c r="H15145" t="s">
        <v>20</v>
      </c>
      <c r="I15145" t="s">
        <v>29398</v>
      </c>
      <c r="J15145" t="str">
        <f>HYPERLINK("https://www.boe.es/gazeta/dias/1822/05/17/pdfs/GMD-1822-139.pdf#page=3","Abrir facsímil")</f>
        <v>Abrir facsímil</v>
      </c>
      <c r="K15145" t="s">
        <v>22</v>
      </c>
    </row>
    <row r="15146" spans="1:11" ht="42" customHeight="1">
      <c r="A15146" t="s">
        <v>29395</v>
      </c>
      <c r="B15146" t="s">
        <v>29395</v>
      </c>
      <c r="C15146" t="s">
        <v>71</v>
      </c>
      <c r="D15146" t="s">
        <v>17</v>
      </c>
      <c r="E15146" s="6">
        <v>-28315</v>
      </c>
      <c r="F15146" t="s">
        <v>1220</v>
      </c>
      <c r="G15146" t="s">
        <v>19</v>
      </c>
      <c r="H15146" t="s">
        <v>20</v>
      </c>
      <c r="I15146" t="s">
        <v>29399</v>
      </c>
      <c r="J15146" t="str">
        <f>HYPERLINK("https://www.boe.es/gazeta/dias/1822/06/22/pdfs/GMD-1822-180.pdf#page=5","Abrir facsímil")</f>
        <v>Abrir facsímil</v>
      </c>
      <c r="K15146" t="s">
        <v>22</v>
      </c>
    </row>
    <row r="15147" spans="1:11" ht="42" customHeight="1">
      <c r="A15147" t="s">
        <v>29395</v>
      </c>
      <c r="B15147" t="s">
        <v>29395</v>
      </c>
      <c r="C15147" t="s">
        <v>42</v>
      </c>
      <c r="D15147" t="s">
        <v>17</v>
      </c>
      <c r="E15147" s="6">
        <v>-28194</v>
      </c>
      <c r="F15147" t="s">
        <v>18</v>
      </c>
      <c r="G15147" t="s">
        <v>19</v>
      </c>
      <c r="H15147" t="s">
        <v>20</v>
      </c>
      <c r="I15147" t="s">
        <v>29400</v>
      </c>
      <c r="J15147" t="str">
        <f>HYPERLINK("https://www.boe.es/gazeta/dias/1822/10/21/pdfs/GMD-1822-308.pdf#page=5","Abrir facsímil")</f>
        <v>Abrir facsímil</v>
      </c>
      <c r="K15147" t="s">
        <v>22</v>
      </c>
    </row>
    <row r="15148" spans="1:11" ht="42" customHeight="1">
      <c r="A15148" t="s">
        <v>29395</v>
      </c>
      <c r="B15148" t="s">
        <v>29395</v>
      </c>
      <c r="C15148" t="s">
        <v>42</v>
      </c>
      <c r="D15148" t="s">
        <v>17</v>
      </c>
      <c r="E15148" s="6">
        <v>-28131</v>
      </c>
      <c r="F15148" t="s">
        <v>893</v>
      </c>
      <c r="G15148" t="s">
        <v>31</v>
      </c>
      <c r="H15148" t="s">
        <v>20</v>
      </c>
      <c r="I15148" t="s">
        <v>29401</v>
      </c>
      <c r="J15148" t="str">
        <f>HYPERLINK("https://www.boe.es/gazeta/dias/1822/12/23/pdfs/GMD-1822-373.pdf#page=3","Abrir facsímil")</f>
        <v>Abrir facsímil</v>
      </c>
      <c r="K15148" t="s">
        <v>22</v>
      </c>
    </row>
    <row r="15149" spans="1:11" ht="42" customHeight="1">
      <c r="A15149" t="s">
        <v>29402</v>
      </c>
      <c r="B15149" t="s">
        <v>29403</v>
      </c>
      <c r="C15149" t="s">
        <v>28</v>
      </c>
      <c r="D15149" t="s">
        <v>29</v>
      </c>
      <c r="E15149" s="6">
        <v>-28436</v>
      </c>
      <c r="F15149" t="s">
        <v>431</v>
      </c>
      <c r="G15149" t="s">
        <v>57</v>
      </c>
      <c r="H15149" t="s">
        <v>20</v>
      </c>
      <c r="I15149" t="s">
        <v>29404</v>
      </c>
      <c r="J15149" t="str">
        <f>HYPERLINK("https://www.boe.es/gazeta/dias/1822/02/21/pdfs/GMD-1822-53.pdf#page=4","Abrir facsímil")</f>
        <v>Abrir facsímil</v>
      </c>
      <c r="K15149" t="s">
        <v>22</v>
      </c>
    </row>
    <row r="15150" spans="1:11" ht="42" customHeight="1">
      <c r="A15150" t="s">
        <v>29405</v>
      </c>
      <c r="B15150" t="s">
        <v>29405</v>
      </c>
      <c r="C15150" t="s">
        <v>16</v>
      </c>
      <c r="D15150" t="s">
        <v>17</v>
      </c>
      <c r="E15150" s="6">
        <v>-28318</v>
      </c>
      <c r="F15150" t="s">
        <v>397</v>
      </c>
      <c r="G15150" t="s">
        <v>35</v>
      </c>
      <c r="H15150" t="s">
        <v>20</v>
      </c>
      <c r="I15150" t="s">
        <v>29406</v>
      </c>
      <c r="J15150" t="str">
        <f>HYPERLINK("https://www.boe.es/gazeta/dias/1822/06/19/pdfs/GMD-1822-176.pdf#page=2","Abrir facsímil")</f>
        <v>Abrir facsímil</v>
      </c>
      <c r="K15150" t="s">
        <v>22</v>
      </c>
    </row>
    <row r="15151" spans="1:11" ht="42" customHeight="1">
      <c r="A15151" t="s">
        <v>29407</v>
      </c>
      <c r="B15151" t="s">
        <v>29407</v>
      </c>
      <c r="C15151" t="s">
        <v>16</v>
      </c>
      <c r="D15151" t="s">
        <v>17</v>
      </c>
      <c r="E15151" s="6">
        <v>-28386</v>
      </c>
      <c r="F15151" t="s">
        <v>2993</v>
      </c>
      <c r="G15151" t="s">
        <v>35</v>
      </c>
      <c r="H15151" t="s">
        <v>20</v>
      </c>
      <c r="I15151" t="s">
        <v>29408</v>
      </c>
      <c r="J15151" t="str">
        <f>HYPERLINK("https://www.boe.es/gazeta/dias/1822/04/12/pdfs/GMD-1822-104.pdf#page=2","Abrir facsímil")</f>
        <v>Abrir facsímil</v>
      </c>
      <c r="K15151" t="s">
        <v>22</v>
      </c>
    </row>
    <row r="15152" spans="1:11" ht="42" customHeight="1">
      <c r="A15152" t="s">
        <v>29407</v>
      </c>
      <c r="B15152" t="s">
        <v>29407</v>
      </c>
      <c r="C15152" t="s">
        <v>42</v>
      </c>
      <c r="D15152" t="s">
        <v>17</v>
      </c>
      <c r="E15152" s="6">
        <v>-28383</v>
      </c>
      <c r="F15152" t="s">
        <v>488</v>
      </c>
      <c r="G15152" t="s">
        <v>19</v>
      </c>
      <c r="H15152" t="s">
        <v>20</v>
      </c>
      <c r="I15152" t="s">
        <v>29409</v>
      </c>
      <c r="J15152" t="str">
        <f>HYPERLINK("https://www.boe.es/gazeta/dias/1822/04/15/pdfs/GMD-1822-107.pdf#page=5","Abrir facsímil")</f>
        <v>Abrir facsímil</v>
      </c>
      <c r="K15152" t="s">
        <v>22</v>
      </c>
    </row>
    <row r="15153" spans="1:11" ht="42" customHeight="1">
      <c r="A15153" t="s">
        <v>29407</v>
      </c>
      <c r="B15153" t="s">
        <v>29407</v>
      </c>
      <c r="C15153" t="s">
        <v>16</v>
      </c>
      <c r="D15153" t="s">
        <v>17</v>
      </c>
      <c r="E15153" s="6">
        <v>-28356</v>
      </c>
      <c r="F15153" t="s">
        <v>4170</v>
      </c>
      <c r="G15153" t="s">
        <v>31</v>
      </c>
      <c r="H15153" t="s">
        <v>20</v>
      </c>
      <c r="I15153" t="s">
        <v>29410</v>
      </c>
      <c r="J15153" t="str">
        <f>HYPERLINK("https://www.boe.es/gazeta/dias/1822/05/12/pdfs/GMD-1822-134.pdf#page=3","Abrir facsímil")</f>
        <v>Abrir facsímil</v>
      </c>
      <c r="K15153" t="s">
        <v>22</v>
      </c>
    </row>
    <row r="15154" spans="1:11" ht="42" customHeight="1">
      <c r="A15154" t="s">
        <v>29407</v>
      </c>
      <c r="B15154" t="s">
        <v>29407</v>
      </c>
      <c r="C15154" t="s">
        <v>28</v>
      </c>
      <c r="D15154" t="s">
        <v>29</v>
      </c>
      <c r="E15154" s="6">
        <v>-28355</v>
      </c>
      <c r="F15154" t="s">
        <v>692</v>
      </c>
      <c r="G15154" t="s">
        <v>57</v>
      </c>
      <c r="H15154" t="s">
        <v>20</v>
      </c>
      <c r="I15154" t="s">
        <v>29411</v>
      </c>
      <c r="J15154" t="str">
        <f>HYPERLINK("https://www.boe.es/gazeta/dias/1822/05/13/pdfs/GMD-1822-135.pdf#page=4","Abrir facsímil")</f>
        <v>Abrir facsímil</v>
      </c>
      <c r="K15154" t="s">
        <v>22</v>
      </c>
    </row>
    <row r="15155" spans="1:11" ht="42" customHeight="1">
      <c r="A15155" t="s">
        <v>29407</v>
      </c>
      <c r="B15155" t="s">
        <v>29407</v>
      </c>
      <c r="C15155" t="s">
        <v>24</v>
      </c>
      <c r="D15155" t="s">
        <v>17</v>
      </c>
      <c r="E15155" s="6">
        <v>-28348</v>
      </c>
      <c r="F15155" t="s">
        <v>2903</v>
      </c>
      <c r="G15155" t="s">
        <v>57</v>
      </c>
      <c r="H15155" t="s">
        <v>20</v>
      </c>
      <c r="I15155" t="s">
        <v>29412</v>
      </c>
      <c r="J15155" t="str">
        <f>HYPERLINK("https://www.boe.es/gazeta/dias/1822/05/20/pdfs/GMD-1822-143.pdf#page=4","Abrir facsímil")</f>
        <v>Abrir facsímil</v>
      </c>
      <c r="K15155" t="s">
        <v>22</v>
      </c>
    </row>
    <row r="15156" spans="1:11" ht="42" customHeight="1">
      <c r="A15156" t="s">
        <v>29407</v>
      </c>
      <c r="B15156" t="s">
        <v>29407</v>
      </c>
      <c r="C15156" t="s">
        <v>16</v>
      </c>
      <c r="D15156" t="s">
        <v>17</v>
      </c>
      <c r="E15156" s="6">
        <v>-28337</v>
      </c>
      <c r="F15156" t="s">
        <v>1836</v>
      </c>
      <c r="G15156" t="s">
        <v>31</v>
      </c>
      <c r="H15156" t="s">
        <v>20</v>
      </c>
      <c r="I15156" t="s">
        <v>29413</v>
      </c>
      <c r="J15156" t="str">
        <f>HYPERLINK("https://www.boe.es/gazeta/dias/1822/05/31/pdfs/GMD-1822-156.pdf#page=3","Abrir facsímil")</f>
        <v>Abrir facsímil</v>
      </c>
      <c r="K15156" t="s">
        <v>22</v>
      </c>
    </row>
    <row r="15157" spans="1:11" ht="42" customHeight="1">
      <c r="A15157" t="s">
        <v>29407</v>
      </c>
      <c r="B15157" t="s">
        <v>29407</v>
      </c>
      <c r="C15157" t="s">
        <v>71</v>
      </c>
      <c r="D15157" t="s">
        <v>17</v>
      </c>
      <c r="E15157" s="6">
        <v>-28332</v>
      </c>
      <c r="F15157" t="s">
        <v>535</v>
      </c>
      <c r="G15157" t="s">
        <v>31</v>
      </c>
      <c r="H15157" t="s">
        <v>20</v>
      </c>
      <c r="I15157" t="s">
        <v>29414</v>
      </c>
      <c r="J15157" t="str">
        <f>HYPERLINK("https://www.boe.es/gazeta/dias/1822/06/05/pdfs/GMD-1822-162.pdf#page=3","Abrir facsímil")</f>
        <v>Abrir facsímil</v>
      </c>
      <c r="K15157" t="s">
        <v>22</v>
      </c>
    </row>
    <row r="15158" spans="1:11" ht="42" customHeight="1">
      <c r="A15158" t="s">
        <v>29407</v>
      </c>
      <c r="B15158" t="s">
        <v>29407</v>
      </c>
      <c r="C15158" t="s">
        <v>50</v>
      </c>
      <c r="D15158" t="s">
        <v>51</v>
      </c>
      <c r="E15158" s="6">
        <v>-28328</v>
      </c>
      <c r="F15158" t="s">
        <v>540</v>
      </c>
      <c r="G15158" t="s">
        <v>63</v>
      </c>
      <c r="H15158" t="s">
        <v>20</v>
      </c>
      <c r="I15158" t="s">
        <v>29415</v>
      </c>
      <c r="J15158" t="str">
        <f>HYPERLINK("https://www.boe.es/gazeta/dias/1822/06/09/pdfs/GMD-1822-166.pdf#page=6","Abrir facsímil")</f>
        <v>Abrir facsímil</v>
      </c>
      <c r="K15158" t="s">
        <v>22</v>
      </c>
    </row>
    <row r="15159" spans="1:11" ht="42" customHeight="1">
      <c r="A15159" t="s">
        <v>29407</v>
      </c>
      <c r="B15159" t="s">
        <v>29407</v>
      </c>
      <c r="C15159" t="s">
        <v>42</v>
      </c>
      <c r="D15159" t="s">
        <v>17</v>
      </c>
      <c r="E15159" s="6">
        <v>-28327</v>
      </c>
      <c r="F15159" t="s">
        <v>38</v>
      </c>
      <c r="G15159" t="s">
        <v>35</v>
      </c>
      <c r="H15159" t="s">
        <v>20</v>
      </c>
      <c r="I15159" t="s">
        <v>29416</v>
      </c>
      <c r="J15159" t="str">
        <f>HYPERLINK("https://www.boe.es/gazeta/dias/1822/06/10/pdfs/GMD-1822-167.pdf#page=2","Abrir facsímil")</f>
        <v>Abrir facsímil</v>
      </c>
      <c r="K15159" t="s">
        <v>22</v>
      </c>
    </row>
    <row r="15160" spans="1:11" ht="42" customHeight="1">
      <c r="A15160" t="s">
        <v>29407</v>
      </c>
      <c r="B15160" t="s">
        <v>29407</v>
      </c>
      <c r="C15160" t="s">
        <v>16</v>
      </c>
      <c r="D15160" t="s">
        <v>17</v>
      </c>
      <c r="E15160" s="6">
        <v>-28323</v>
      </c>
      <c r="F15160" t="s">
        <v>116</v>
      </c>
      <c r="G15160" t="s">
        <v>35</v>
      </c>
      <c r="H15160" t="s">
        <v>20</v>
      </c>
      <c r="I15160" t="s">
        <v>29417</v>
      </c>
      <c r="J15160" t="str">
        <f>HYPERLINK("https://www.boe.es/gazeta/dias/1822/06/14/pdfs/GMD-1822-171.pdf#page=2","Abrir facsímil")</f>
        <v>Abrir facsímil</v>
      </c>
      <c r="K15160" t="s">
        <v>22</v>
      </c>
    </row>
    <row r="15161" spans="1:11" ht="42" customHeight="1">
      <c r="A15161" t="s">
        <v>29407</v>
      </c>
      <c r="B15161" t="s">
        <v>29407</v>
      </c>
      <c r="C15161" t="s">
        <v>50</v>
      </c>
      <c r="D15161" t="s">
        <v>51</v>
      </c>
      <c r="E15161" s="6">
        <v>-28323</v>
      </c>
      <c r="F15161" t="s">
        <v>116</v>
      </c>
      <c r="G15161" t="s">
        <v>19</v>
      </c>
      <c r="H15161" t="s">
        <v>20</v>
      </c>
      <c r="I15161" t="s">
        <v>29418</v>
      </c>
      <c r="J15161" t="str">
        <f>HYPERLINK("https://www.boe.es/gazeta/dias/1822/06/14/pdfs/GMD-1822-171.pdf#page=5","Abrir facsímil")</f>
        <v>Abrir facsímil</v>
      </c>
      <c r="K15161" t="s">
        <v>22</v>
      </c>
    </row>
    <row r="15162" spans="1:11" ht="42" customHeight="1">
      <c r="A15162" t="s">
        <v>29407</v>
      </c>
      <c r="B15162" t="s">
        <v>29407</v>
      </c>
      <c r="C15162" t="s">
        <v>42</v>
      </c>
      <c r="D15162" t="s">
        <v>17</v>
      </c>
      <c r="E15162" s="6">
        <v>-28322</v>
      </c>
      <c r="F15162" t="s">
        <v>2205</v>
      </c>
      <c r="G15162" t="s">
        <v>31</v>
      </c>
      <c r="H15162" t="s">
        <v>20</v>
      </c>
      <c r="I15162" t="s">
        <v>29419</v>
      </c>
      <c r="J15162" t="str">
        <f>HYPERLINK("https://www.boe.es/gazeta/dias/1822/06/15/pdfs/GMD-1822-172.pdf#page=3","Abrir facsímil")</f>
        <v>Abrir facsímil</v>
      </c>
      <c r="K15162" t="s">
        <v>22</v>
      </c>
    </row>
    <row r="15163" spans="1:11" ht="42" customHeight="1">
      <c r="A15163" t="s">
        <v>29407</v>
      </c>
      <c r="B15163" t="s">
        <v>29407</v>
      </c>
      <c r="C15163" t="s">
        <v>24</v>
      </c>
      <c r="D15163" t="s">
        <v>17</v>
      </c>
      <c r="E15163" s="6">
        <v>-28321</v>
      </c>
      <c r="F15163" t="s">
        <v>1142</v>
      </c>
      <c r="G15163" t="s">
        <v>19</v>
      </c>
      <c r="H15163" t="s">
        <v>20</v>
      </c>
      <c r="I15163" t="s">
        <v>29420</v>
      </c>
      <c r="J15163" t="str">
        <f>HYPERLINK("https://www.boe.es/gazeta/dias/1822/06/16/pdfs/GMD-1822-173.pdf#page=5","Abrir facsímil")</f>
        <v>Abrir facsímil</v>
      </c>
      <c r="K15163" t="s">
        <v>22</v>
      </c>
    </row>
    <row r="15164" spans="1:11" ht="42" customHeight="1">
      <c r="A15164" t="s">
        <v>29407</v>
      </c>
      <c r="B15164" t="s">
        <v>29407</v>
      </c>
      <c r="C15164" t="s">
        <v>42</v>
      </c>
      <c r="D15164" t="s">
        <v>17</v>
      </c>
      <c r="E15164" s="6">
        <v>-28320</v>
      </c>
      <c r="F15164" t="s">
        <v>700</v>
      </c>
      <c r="G15164" t="s">
        <v>63</v>
      </c>
      <c r="H15164" t="s">
        <v>20</v>
      </c>
      <c r="I15164" t="s">
        <v>29421</v>
      </c>
      <c r="J15164" t="str">
        <f>HYPERLINK("https://www.boe.es/gazeta/dias/1822/06/17/pdfs/GMD-1822-174.pdf#page=6","Abrir facsímil")</f>
        <v>Abrir facsímil</v>
      </c>
      <c r="K15164" t="s">
        <v>22</v>
      </c>
    </row>
    <row r="15165" spans="1:11" ht="42" customHeight="1">
      <c r="A15165" t="s">
        <v>29407</v>
      </c>
      <c r="B15165" t="s">
        <v>29407</v>
      </c>
      <c r="C15165" t="s">
        <v>28</v>
      </c>
      <c r="D15165" t="s">
        <v>29</v>
      </c>
      <c r="E15165" s="6">
        <v>-28319</v>
      </c>
      <c r="F15165" t="s">
        <v>271</v>
      </c>
      <c r="G15165" t="s">
        <v>35</v>
      </c>
      <c r="H15165" t="s">
        <v>20</v>
      </c>
      <c r="I15165" t="s">
        <v>29422</v>
      </c>
      <c r="J15165" t="str">
        <f>HYPERLINK("https://www.boe.es/gazeta/dias/1822/06/18/pdfs/GMD-1822-175.pdf#page=2","Abrir facsímil")</f>
        <v>Abrir facsímil</v>
      </c>
      <c r="K15165" t="s">
        <v>22</v>
      </c>
    </row>
    <row r="15166" spans="1:11" ht="42" customHeight="1">
      <c r="A15166" t="s">
        <v>29407</v>
      </c>
      <c r="B15166" t="s">
        <v>29407</v>
      </c>
      <c r="C15166" t="s">
        <v>50</v>
      </c>
      <c r="D15166" t="s">
        <v>51</v>
      </c>
      <c r="E15166" s="6">
        <v>-28319</v>
      </c>
      <c r="F15166" t="s">
        <v>271</v>
      </c>
      <c r="G15166" t="s">
        <v>31</v>
      </c>
      <c r="H15166" t="s">
        <v>20</v>
      </c>
      <c r="I15166" t="s">
        <v>29423</v>
      </c>
      <c r="J15166" t="str">
        <f>HYPERLINK("https://www.boe.es/gazeta/dias/1822/06/18/pdfs/GMD-1822-175.pdf#page=3","Abrir facsímil")</f>
        <v>Abrir facsímil</v>
      </c>
      <c r="K15166" t="s">
        <v>22</v>
      </c>
    </row>
    <row r="15167" spans="1:11" ht="42" customHeight="1">
      <c r="A15167" t="s">
        <v>29407</v>
      </c>
      <c r="B15167" t="s">
        <v>29407</v>
      </c>
      <c r="C15167" t="s">
        <v>1141</v>
      </c>
      <c r="D15167" t="s">
        <v>29</v>
      </c>
      <c r="E15167" s="6">
        <v>-28318</v>
      </c>
      <c r="F15167" t="s">
        <v>397</v>
      </c>
      <c r="G15167" t="s">
        <v>63</v>
      </c>
      <c r="H15167" t="s">
        <v>20</v>
      </c>
      <c r="I15167" t="s">
        <v>29424</v>
      </c>
      <c r="J15167" t="str">
        <f>HYPERLINK("https://www.boe.es/gazeta/dias/1822/06/19/pdfs/GMD-1822-176.pdf#page=6","Abrir facsímil")</f>
        <v>Abrir facsímil</v>
      </c>
      <c r="K15167" t="s">
        <v>22</v>
      </c>
    </row>
    <row r="15168" spans="1:11" ht="42" customHeight="1">
      <c r="A15168" t="s">
        <v>29407</v>
      </c>
      <c r="B15168" t="s">
        <v>29407</v>
      </c>
      <c r="C15168" t="s">
        <v>16</v>
      </c>
      <c r="D15168" t="s">
        <v>17</v>
      </c>
      <c r="E15168" s="6">
        <v>-28317</v>
      </c>
      <c r="F15168" t="s">
        <v>546</v>
      </c>
      <c r="G15168" t="s">
        <v>35</v>
      </c>
      <c r="H15168" t="s">
        <v>20</v>
      </c>
      <c r="I15168" t="s">
        <v>29425</v>
      </c>
      <c r="J15168" t="str">
        <f>HYPERLINK("https://www.boe.es/gazeta/dias/1822/06/20/pdfs/GMD-1822-177.pdf#page=2","Abrir facsímil")</f>
        <v>Abrir facsímil</v>
      </c>
      <c r="K15168" t="s">
        <v>22</v>
      </c>
    </row>
    <row r="15169" spans="1:11" ht="42" customHeight="1">
      <c r="A15169" t="s">
        <v>29407</v>
      </c>
      <c r="B15169" t="s">
        <v>29407</v>
      </c>
      <c r="C15169" t="s">
        <v>61</v>
      </c>
      <c r="D15169" t="s">
        <v>17</v>
      </c>
      <c r="E15169" s="6">
        <v>-28316</v>
      </c>
      <c r="F15169" t="s">
        <v>1144</v>
      </c>
      <c r="G15169" t="s">
        <v>63</v>
      </c>
      <c r="H15169" t="s">
        <v>20</v>
      </c>
      <c r="I15169" t="s">
        <v>29426</v>
      </c>
      <c r="J15169" t="str">
        <f>HYPERLINK("https://www.boe.es/gazeta/dias/1822/06/21/pdfs/GMD-1822-179.pdf#page=6","Abrir facsímil")</f>
        <v>Abrir facsímil</v>
      </c>
      <c r="K15169" t="s">
        <v>22</v>
      </c>
    </row>
    <row r="15170" spans="1:11" ht="42" customHeight="1">
      <c r="A15170" t="s">
        <v>29407</v>
      </c>
      <c r="B15170" t="s">
        <v>29407</v>
      </c>
      <c r="C15170" t="s">
        <v>42</v>
      </c>
      <c r="D15170" t="s">
        <v>17</v>
      </c>
      <c r="E15170" s="6">
        <v>-28315</v>
      </c>
      <c r="F15170" t="s">
        <v>1220</v>
      </c>
      <c r="G15170" t="s">
        <v>19</v>
      </c>
      <c r="H15170" t="s">
        <v>20</v>
      </c>
      <c r="I15170" t="s">
        <v>29427</v>
      </c>
      <c r="J15170" t="str">
        <f>HYPERLINK("https://www.boe.es/gazeta/dias/1822/06/22/pdfs/GMD-1822-180.pdf#page=5","Abrir facsímil")</f>
        <v>Abrir facsímil</v>
      </c>
      <c r="K15170" t="s">
        <v>22</v>
      </c>
    </row>
    <row r="15171" spans="1:11" ht="42" customHeight="1">
      <c r="A15171" t="s">
        <v>29407</v>
      </c>
      <c r="B15171" t="s">
        <v>29407</v>
      </c>
      <c r="C15171" t="s">
        <v>61</v>
      </c>
      <c r="D15171" t="s">
        <v>17</v>
      </c>
      <c r="E15171" s="6">
        <v>-28314</v>
      </c>
      <c r="F15171" t="s">
        <v>309</v>
      </c>
      <c r="G15171" t="s">
        <v>19</v>
      </c>
      <c r="H15171" t="s">
        <v>20</v>
      </c>
      <c r="I15171" t="s">
        <v>29428</v>
      </c>
      <c r="J15171" t="str">
        <f>HYPERLINK("https://www.boe.es/gazeta/dias/1822/06/23/pdfs/GMD-1822-181.pdf#page=5","Abrir facsímil")</f>
        <v>Abrir facsímil</v>
      </c>
      <c r="K15171" t="s">
        <v>22</v>
      </c>
    </row>
    <row r="15172" spans="1:11" ht="42" customHeight="1">
      <c r="A15172" t="s">
        <v>29407</v>
      </c>
      <c r="B15172" t="s">
        <v>29407</v>
      </c>
      <c r="C15172" t="s">
        <v>50</v>
      </c>
      <c r="D15172" t="s">
        <v>51</v>
      </c>
      <c r="E15172" s="6">
        <v>-28211</v>
      </c>
      <c r="F15172" t="s">
        <v>273</v>
      </c>
      <c r="G15172" t="s">
        <v>57</v>
      </c>
      <c r="H15172" t="s">
        <v>20</v>
      </c>
      <c r="I15172" t="s">
        <v>29429</v>
      </c>
      <c r="J15172" t="str">
        <f>HYPERLINK("https://www.boe.es/gazeta/dias/1822/10/04/pdfs/GMD-1822-290.pdf#page=4","Abrir facsímil")</f>
        <v>Abrir facsímil</v>
      </c>
      <c r="K15172" t="s">
        <v>22</v>
      </c>
    </row>
    <row r="15173" spans="1:11" ht="42" customHeight="1">
      <c r="A15173" t="s">
        <v>29407</v>
      </c>
      <c r="B15173" t="s">
        <v>29407</v>
      </c>
      <c r="C15173" t="s">
        <v>16</v>
      </c>
      <c r="D15173" t="s">
        <v>17</v>
      </c>
      <c r="E15173" s="6">
        <v>-28188</v>
      </c>
      <c r="F15173" t="s">
        <v>578</v>
      </c>
      <c r="G15173" t="s">
        <v>907</v>
      </c>
      <c r="H15173" t="s">
        <v>20</v>
      </c>
      <c r="I15173" t="s">
        <v>29430</v>
      </c>
      <c r="J15173" t="str">
        <f>HYPERLINK("https://www.boe.es/gazeta/dias/1822/10/27/pdfs/GMD-1822-314.pdf#page=7","Abrir facsímil")</f>
        <v>Abrir facsímil</v>
      </c>
      <c r="K15173" t="s">
        <v>22</v>
      </c>
    </row>
    <row r="15174" spans="1:11" ht="42" customHeight="1">
      <c r="A15174" t="s">
        <v>29407</v>
      </c>
      <c r="B15174" t="s">
        <v>29407</v>
      </c>
      <c r="C15174" t="s">
        <v>50</v>
      </c>
      <c r="D15174" t="s">
        <v>51</v>
      </c>
      <c r="E15174" s="6">
        <v>-28188</v>
      </c>
      <c r="F15174" t="s">
        <v>578</v>
      </c>
      <c r="G15174" t="s">
        <v>63</v>
      </c>
      <c r="H15174" t="s">
        <v>20</v>
      </c>
      <c r="I15174" t="s">
        <v>29431</v>
      </c>
      <c r="J15174" t="str">
        <f>HYPERLINK("https://www.boe.es/gazeta/dias/1822/10/27/pdfs/GMD-1822-314.pdf#page=6","Abrir facsímil")</f>
        <v>Abrir facsímil</v>
      </c>
      <c r="K15174" t="s">
        <v>22</v>
      </c>
    </row>
    <row r="15175" spans="1:11" ht="42" customHeight="1">
      <c r="A15175" t="s">
        <v>29407</v>
      </c>
      <c r="B15175" t="s">
        <v>29407</v>
      </c>
      <c r="C15175" t="s">
        <v>16</v>
      </c>
      <c r="D15175" t="s">
        <v>17</v>
      </c>
      <c r="E15175" s="6">
        <v>-28173</v>
      </c>
      <c r="F15175" t="s">
        <v>2959</v>
      </c>
      <c r="G15175" t="s">
        <v>57</v>
      </c>
      <c r="H15175" t="s">
        <v>20</v>
      </c>
      <c r="I15175" t="s">
        <v>29432</v>
      </c>
      <c r="J15175" t="str">
        <f>HYPERLINK("https://www.boe.es/gazeta/dias/1822/11/11/pdfs/GMD-1822-331.pdf#page=4","Abrir facsímil")</f>
        <v>Abrir facsímil</v>
      </c>
      <c r="K15175" t="s">
        <v>22</v>
      </c>
    </row>
    <row r="15176" spans="1:11" ht="42" customHeight="1">
      <c r="A15176" t="s">
        <v>29407</v>
      </c>
      <c r="B15176" t="s">
        <v>29407</v>
      </c>
      <c r="C15176" t="s">
        <v>50</v>
      </c>
      <c r="D15176" t="s">
        <v>51</v>
      </c>
      <c r="E15176" s="6">
        <v>-28169</v>
      </c>
      <c r="F15176" t="s">
        <v>2571</v>
      </c>
      <c r="G15176" t="s">
        <v>63</v>
      </c>
      <c r="H15176" t="s">
        <v>20</v>
      </c>
      <c r="I15176" t="s">
        <v>29433</v>
      </c>
      <c r="J15176" t="str">
        <f>HYPERLINK("https://www.boe.es/gazeta/dias/1822/11/15/pdfs/GMD-1822-335.pdf#page=6","Abrir facsímil")</f>
        <v>Abrir facsímil</v>
      </c>
      <c r="K15176" t="s">
        <v>22</v>
      </c>
    </row>
    <row r="15177" spans="1:11" ht="42" customHeight="1">
      <c r="A15177" t="s">
        <v>29407</v>
      </c>
      <c r="B15177" t="s">
        <v>29407</v>
      </c>
      <c r="C15177" t="s">
        <v>42</v>
      </c>
      <c r="D15177" t="s">
        <v>17</v>
      </c>
      <c r="E15177" s="6">
        <v>-28167</v>
      </c>
      <c r="F15177" t="s">
        <v>904</v>
      </c>
      <c r="G15177" t="s">
        <v>31</v>
      </c>
      <c r="H15177" t="s">
        <v>20</v>
      </c>
      <c r="I15177" t="s">
        <v>29434</v>
      </c>
      <c r="J15177" t="str">
        <f>HYPERLINK("https://www.boe.es/gazeta/dias/1822/11/17/pdfs/GMD-1822-337.pdf#page=3","Abrir facsímil")</f>
        <v>Abrir facsímil</v>
      </c>
      <c r="K15177" t="s">
        <v>22</v>
      </c>
    </row>
    <row r="15178" spans="1:11" ht="42" customHeight="1">
      <c r="A15178" t="s">
        <v>29407</v>
      </c>
      <c r="B15178" t="s">
        <v>29407</v>
      </c>
      <c r="C15178" t="s">
        <v>16</v>
      </c>
      <c r="D15178" t="s">
        <v>17</v>
      </c>
      <c r="E15178" s="6">
        <v>-28167</v>
      </c>
      <c r="F15178" t="s">
        <v>904</v>
      </c>
      <c r="G15178" t="s">
        <v>57</v>
      </c>
      <c r="H15178" t="s">
        <v>20</v>
      </c>
      <c r="I15178" t="s">
        <v>29435</v>
      </c>
      <c r="J15178" t="str">
        <f>HYPERLINK("https://www.boe.es/gazeta/dias/1822/11/17/pdfs/GMD-1822-337.pdf#page=4","Abrir facsímil")</f>
        <v>Abrir facsímil</v>
      </c>
      <c r="K15178" t="s">
        <v>22</v>
      </c>
    </row>
    <row r="15179" spans="1:11" ht="42" customHeight="1">
      <c r="A15179" t="s">
        <v>29407</v>
      </c>
      <c r="B15179" t="s">
        <v>29407</v>
      </c>
      <c r="C15179" t="s">
        <v>42</v>
      </c>
      <c r="D15179" t="s">
        <v>17</v>
      </c>
      <c r="E15179" s="6">
        <v>-28162</v>
      </c>
      <c r="F15179" t="s">
        <v>3949</v>
      </c>
      <c r="G15179" t="s">
        <v>44</v>
      </c>
      <c r="H15179" t="s">
        <v>20</v>
      </c>
      <c r="I15179" t="s">
        <v>29436</v>
      </c>
      <c r="J15179" t="str">
        <f>HYPERLINK("https://www.boe.es/gazeta/dias/1822/11/22/pdfs/GMD-1822-342.pdf#page=1","Abrir facsímil")</f>
        <v>Abrir facsímil</v>
      </c>
      <c r="K15179" t="s">
        <v>22</v>
      </c>
    </row>
    <row r="15180" spans="1:11" ht="42" customHeight="1">
      <c r="A15180" t="s">
        <v>29407</v>
      </c>
      <c r="B15180" t="s">
        <v>29407</v>
      </c>
      <c r="C15180" t="s">
        <v>24</v>
      </c>
      <c r="D15180" t="s">
        <v>17</v>
      </c>
      <c r="E15180" s="6">
        <v>-28153</v>
      </c>
      <c r="F15180" t="s">
        <v>946</v>
      </c>
      <c r="G15180" t="s">
        <v>31</v>
      </c>
      <c r="H15180" t="s">
        <v>20</v>
      </c>
      <c r="I15180" t="s">
        <v>29437</v>
      </c>
      <c r="J15180" t="str">
        <f>HYPERLINK("https://www.boe.es/gazeta/dias/1822/12/01/pdfs/GMD-1822-351.pdf#page=3","Abrir facsímil")</f>
        <v>Abrir facsímil</v>
      </c>
      <c r="K15180" t="s">
        <v>22</v>
      </c>
    </row>
    <row r="15181" spans="1:11" ht="42" customHeight="1">
      <c r="A15181" t="s">
        <v>29407</v>
      </c>
      <c r="B15181" t="s">
        <v>29407</v>
      </c>
      <c r="C15181" t="s">
        <v>50</v>
      </c>
      <c r="D15181" t="s">
        <v>51</v>
      </c>
      <c r="E15181" s="6">
        <v>-28146</v>
      </c>
      <c r="F15181" t="s">
        <v>180</v>
      </c>
      <c r="G15181" t="s">
        <v>44</v>
      </c>
      <c r="H15181" t="s">
        <v>20</v>
      </c>
      <c r="I15181" t="s">
        <v>29438</v>
      </c>
      <c r="J15181" t="str">
        <f>HYPERLINK("https://www.boe.es/gazeta/dias/1822/12/08/pdfs/GMD-1822-358.pdf#page=1","Abrir facsímil")</f>
        <v>Abrir facsímil</v>
      </c>
      <c r="K15181" t="s">
        <v>22</v>
      </c>
    </row>
    <row r="15182" spans="1:11" ht="42" customHeight="1">
      <c r="A15182" t="s">
        <v>29407</v>
      </c>
      <c r="B15182" t="s">
        <v>29407</v>
      </c>
      <c r="C15182" t="s">
        <v>42</v>
      </c>
      <c r="D15182" t="s">
        <v>17</v>
      </c>
      <c r="E15182" s="6">
        <v>-28144</v>
      </c>
      <c r="F15182" t="s">
        <v>288</v>
      </c>
      <c r="G15182" t="s">
        <v>31</v>
      </c>
      <c r="H15182" t="s">
        <v>20</v>
      </c>
      <c r="I15182" t="s">
        <v>29439</v>
      </c>
      <c r="J15182" t="str">
        <f>HYPERLINK("https://www.boe.es/gazeta/dias/1822/12/10/pdfs/GMD-1822-360.pdf#page=3","Abrir facsímil")</f>
        <v>Abrir facsímil</v>
      </c>
      <c r="K15182" t="s">
        <v>22</v>
      </c>
    </row>
    <row r="15183" spans="1:11" ht="42" customHeight="1">
      <c r="A15183" t="s">
        <v>29407</v>
      </c>
      <c r="B15183" t="s">
        <v>29407</v>
      </c>
      <c r="C15183" t="s">
        <v>71</v>
      </c>
      <c r="D15183" t="s">
        <v>17</v>
      </c>
      <c r="E15183" s="6">
        <v>-28143</v>
      </c>
      <c r="F15183" t="s">
        <v>2967</v>
      </c>
      <c r="G15183" t="s">
        <v>35</v>
      </c>
      <c r="H15183" t="s">
        <v>20</v>
      </c>
      <c r="I15183" t="s">
        <v>29440</v>
      </c>
      <c r="J15183" t="str">
        <f>HYPERLINK("https://www.boe.es/gazeta/dias/1822/12/11/pdfs/GMD-1822-361.pdf#page=2","Abrir facsímil")</f>
        <v>Abrir facsímil</v>
      </c>
      <c r="K15183" t="s">
        <v>22</v>
      </c>
    </row>
    <row r="15184" spans="1:11" ht="42" customHeight="1">
      <c r="A15184" t="s">
        <v>29407</v>
      </c>
      <c r="B15184" t="s">
        <v>29407</v>
      </c>
      <c r="C15184" t="s">
        <v>24</v>
      </c>
      <c r="D15184" t="s">
        <v>17</v>
      </c>
      <c r="E15184" s="6">
        <v>-28142</v>
      </c>
      <c r="F15184" t="s">
        <v>290</v>
      </c>
      <c r="G15184" t="s">
        <v>35</v>
      </c>
      <c r="H15184" t="s">
        <v>20</v>
      </c>
      <c r="I15184" t="s">
        <v>29441</v>
      </c>
      <c r="J15184" t="str">
        <f>HYPERLINK("https://www.boe.es/gazeta/dias/1822/12/12/pdfs/GMD-1822-362.pdf#page=2","Abrir facsímil")</f>
        <v>Abrir facsímil</v>
      </c>
      <c r="K15184" t="s">
        <v>22</v>
      </c>
    </row>
    <row r="15185" spans="1:11" ht="42" customHeight="1">
      <c r="A15185" t="s">
        <v>29407</v>
      </c>
      <c r="B15185" t="s">
        <v>29407</v>
      </c>
      <c r="C15185" t="s">
        <v>28</v>
      </c>
      <c r="D15185" t="s">
        <v>29</v>
      </c>
      <c r="E15185" s="6">
        <v>-28135</v>
      </c>
      <c r="F15185" t="s">
        <v>1030</v>
      </c>
      <c r="G15185" t="s">
        <v>57</v>
      </c>
      <c r="H15185" t="s">
        <v>20</v>
      </c>
      <c r="I15185" t="s">
        <v>29442</v>
      </c>
      <c r="J15185" t="str">
        <f>HYPERLINK("https://www.boe.es/gazeta/dias/1822/12/19/pdfs/GMD-1822-369.pdf#page=4","Abrir facsímil")</f>
        <v>Abrir facsímil</v>
      </c>
      <c r="K15185" t="s">
        <v>22</v>
      </c>
    </row>
    <row r="15186" spans="1:11" ht="42" customHeight="1">
      <c r="A15186" t="s">
        <v>29407</v>
      </c>
      <c r="B15186" t="s">
        <v>29407</v>
      </c>
      <c r="C15186" t="s">
        <v>71</v>
      </c>
      <c r="D15186" t="s">
        <v>17</v>
      </c>
      <c r="E15186" s="6">
        <v>-28132</v>
      </c>
      <c r="F15186" t="s">
        <v>820</v>
      </c>
      <c r="G15186" t="s">
        <v>31</v>
      </c>
      <c r="H15186" t="s">
        <v>20</v>
      </c>
      <c r="I15186" t="s">
        <v>29443</v>
      </c>
      <c r="J15186" t="str">
        <f>HYPERLINK("https://www.boe.es/gazeta/dias/1822/12/22/pdfs/GMD-1822-372.pdf#page=3","Abrir facsímil")</f>
        <v>Abrir facsímil</v>
      </c>
      <c r="K15186" t="s">
        <v>22</v>
      </c>
    </row>
    <row r="15187" spans="1:11" ht="42" customHeight="1">
      <c r="A15187" t="s">
        <v>29444</v>
      </c>
      <c r="B15187" t="s">
        <v>29445</v>
      </c>
      <c r="C15187" t="s">
        <v>24</v>
      </c>
      <c r="D15187" t="s">
        <v>17</v>
      </c>
      <c r="E15187" s="6">
        <v>-28198</v>
      </c>
      <c r="F15187" t="s">
        <v>981</v>
      </c>
      <c r="G15187" t="s">
        <v>63</v>
      </c>
      <c r="H15187" t="s">
        <v>45</v>
      </c>
      <c r="I15187" t="s">
        <v>29446</v>
      </c>
      <c r="J15187" t="str">
        <f>HYPERLINK("https://www.boe.es/gazeta/dias/1822/10/17/pdfs/GMD-1822-304.pdf#page=6","Abrir facsímil")</f>
        <v>Abrir facsímil</v>
      </c>
      <c r="K15187" t="s">
        <v>47</v>
      </c>
    </row>
    <row r="15188" spans="1:11" ht="42" customHeight="1">
      <c r="A15188" t="s">
        <v>29447</v>
      </c>
      <c r="B15188" t="s">
        <v>29448</v>
      </c>
      <c r="C15188" t="s">
        <v>71</v>
      </c>
      <c r="D15188" t="s">
        <v>17</v>
      </c>
      <c r="E15188" s="6">
        <v>-28157</v>
      </c>
      <c r="F15188" t="s">
        <v>1492</v>
      </c>
      <c r="G15188" t="s">
        <v>63</v>
      </c>
      <c r="H15188" t="s">
        <v>45</v>
      </c>
      <c r="I15188" t="s">
        <v>29449</v>
      </c>
      <c r="J15188" t="str">
        <f>HYPERLINK("https://www.boe.es/gazeta/dias/1822/11/27/pdfs/GMD-1822-347.pdf#page=6","Abrir facsímil")</f>
        <v>Abrir facsímil</v>
      </c>
      <c r="K15188" t="s">
        <v>47</v>
      </c>
    </row>
    <row r="15189" spans="1:11" ht="42" customHeight="1">
      <c r="A15189" t="s">
        <v>29450</v>
      </c>
      <c r="B15189" t="s">
        <v>29450</v>
      </c>
      <c r="C15189" t="s">
        <v>42</v>
      </c>
      <c r="D15189" t="s">
        <v>17</v>
      </c>
      <c r="E15189" s="6">
        <v>-28348</v>
      </c>
      <c r="F15189" t="s">
        <v>2903</v>
      </c>
      <c r="G15189" t="s">
        <v>57</v>
      </c>
      <c r="H15189" t="s">
        <v>20</v>
      </c>
      <c r="I15189" t="s">
        <v>29451</v>
      </c>
      <c r="J15189" t="str">
        <f>HYPERLINK("https://www.boe.es/gazeta/dias/1822/05/20/pdfs/GMD-1822-143.pdf#page=4","Abrir facsímil")</f>
        <v>Abrir facsímil</v>
      </c>
      <c r="K15189" t="s">
        <v>22</v>
      </c>
    </row>
    <row r="15190" spans="1:11" ht="42" customHeight="1">
      <c r="A15190" t="s">
        <v>29452</v>
      </c>
      <c r="B15190" t="s">
        <v>29452</v>
      </c>
      <c r="C15190" t="s">
        <v>42</v>
      </c>
      <c r="D15190" t="s">
        <v>17</v>
      </c>
      <c r="E15190" s="6">
        <v>-28327</v>
      </c>
      <c r="F15190" t="s">
        <v>38</v>
      </c>
      <c r="G15190" t="s">
        <v>35</v>
      </c>
      <c r="H15190" t="s">
        <v>20</v>
      </c>
      <c r="I15190" t="s">
        <v>29453</v>
      </c>
      <c r="J15190" t="str">
        <f>HYPERLINK("https://www.boe.es/gazeta/dias/1822/06/10/pdfs/GMD-1822-167.pdf#page=2","Abrir facsímil")</f>
        <v>Abrir facsímil</v>
      </c>
      <c r="K15190" t="s">
        <v>22</v>
      </c>
    </row>
    <row r="15191" spans="1:11" ht="42" customHeight="1">
      <c r="A15191" t="s">
        <v>29454</v>
      </c>
      <c r="B15191" t="s">
        <v>29454</v>
      </c>
      <c r="C15191" t="s">
        <v>28</v>
      </c>
      <c r="D15191" t="s">
        <v>29</v>
      </c>
      <c r="E15191" s="6">
        <v>-28198</v>
      </c>
      <c r="F15191" t="s">
        <v>981</v>
      </c>
      <c r="G15191" t="s">
        <v>31</v>
      </c>
      <c r="H15191" t="s">
        <v>20</v>
      </c>
      <c r="I15191" t="s">
        <v>29455</v>
      </c>
      <c r="J15191" t="str">
        <f>HYPERLINK("https://www.boe.es/gazeta/dias/1822/10/17/pdfs/GMD-1822-304.pdf#page=3","Abrir facsímil")</f>
        <v>Abrir facsímil</v>
      </c>
      <c r="K15191" t="s">
        <v>22</v>
      </c>
    </row>
    <row r="15192" spans="1:11" ht="42" customHeight="1">
      <c r="A15192" t="s">
        <v>29456</v>
      </c>
      <c r="B15192" t="s">
        <v>29456</v>
      </c>
      <c r="C15192" t="s">
        <v>50</v>
      </c>
      <c r="D15192" t="s">
        <v>51</v>
      </c>
      <c r="E15192" s="6">
        <v>-28169</v>
      </c>
      <c r="F15192" t="s">
        <v>2571</v>
      </c>
      <c r="G15192" t="s">
        <v>19</v>
      </c>
      <c r="H15192" t="s">
        <v>20</v>
      </c>
      <c r="I15192" t="s">
        <v>29457</v>
      </c>
      <c r="J15192" t="str">
        <f>HYPERLINK("https://www.boe.es/gazeta/dias/1822/11/15/pdfs/GMD-1822-335.pdf#page=5","Abrir facsímil")</f>
        <v>Abrir facsímil</v>
      </c>
      <c r="K15192" t="s">
        <v>22</v>
      </c>
    </row>
    <row r="15193" spans="1:11" ht="42" customHeight="1">
      <c r="A15193" t="s">
        <v>29458</v>
      </c>
      <c r="B15193" t="s">
        <v>29458</v>
      </c>
      <c r="C15193" t="s">
        <v>42</v>
      </c>
      <c r="D15193" t="s">
        <v>17</v>
      </c>
      <c r="E15193" s="6">
        <v>-28147</v>
      </c>
      <c r="F15193" t="s">
        <v>1611</v>
      </c>
      <c r="G15193" t="s">
        <v>31</v>
      </c>
      <c r="H15193" t="s">
        <v>20</v>
      </c>
      <c r="I15193" t="s">
        <v>29459</v>
      </c>
      <c r="J15193" t="str">
        <f>HYPERLINK("https://www.boe.es/gazeta/dias/1822/12/07/pdfs/GMD-1822-357.pdf#page=3","Abrir facsímil")</f>
        <v>Abrir facsímil</v>
      </c>
      <c r="K15193" t="s">
        <v>22</v>
      </c>
    </row>
    <row r="15194" spans="1:11" ht="42" customHeight="1">
      <c r="A15194" t="s">
        <v>29460</v>
      </c>
      <c r="B15194" t="s">
        <v>29460</v>
      </c>
      <c r="C15194" t="s">
        <v>16</v>
      </c>
      <c r="D15194" t="s">
        <v>17</v>
      </c>
      <c r="E15194" s="6">
        <v>-28312</v>
      </c>
      <c r="F15194" t="s">
        <v>92</v>
      </c>
      <c r="G15194" t="s">
        <v>35</v>
      </c>
      <c r="H15194" t="s">
        <v>20</v>
      </c>
      <c r="I15194" t="s">
        <v>29461</v>
      </c>
      <c r="J15194" t="str">
        <f>HYPERLINK("https://www.boe.es/gazeta/dias/1822/06/25/pdfs/GMD-1822-183.pdf#page=2","Abrir facsímil")</f>
        <v>Abrir facsímil</v>
      </c>
      <c r="K15194" t="s">
        <v>22</v>
      </c>
    </row>
    <row r="15195" spans="1:11" ht="42" customHeight="1">
      <c r="A15195" t="s">
        <v>29462</v>
      </c>
      <c r="B15195" t="s">
        <v>29463</v>
      </c>
      <c r="C15195" t="s">
        <v>50</v>
      </c>
      <c r="D15195" t="s">
        <v>51</v>
      </c>
      <c r="E15195" s="6">
        <v>-28329</v>
      </c>
      <c r="F15195" t="s">
        <v>354</v>
      </c>
      <c r="G15195" t="s">
        <v>19</v>
      </c>
      <c r="H15195" t="s">
        <v>20</v>
      </c>
      <c r="I15195" t="s">
        <v>29464</v>
      </c>
      <c r="J15195" t="str">
        <f>HYPERLINK("https://www.boe.es/gazeta/dias/1822/06/08/pdfs/GMD-1822-165.pdf#page=5","Abrir facsímil")</f>
        <v>Abrir facsímil</v>
      </c>
      <c r="K15195" t="s">
        <v>22</v>
      </c>
    </row>
    <row r="15196" spans="1:11" ht="42" customHeight="1">
      <c r="A15196" t="s">
        <v>29465</v>
      </c>
      <c r="B15196" t="s">
        <v>29466</v>
      </c>
      <c r="C15196" t="s">
        <v>16</v>
      </c>
      <c r="D15196" t="s">
        <v>17</v>
      </c>
      <c r="E15196" s="6">
        <v>-28384</v>
      </c>
      <c r="F15196" t="s">
        <v>258</v>
      </c>
      <c r="G15196" t="s">
        <v>63</v>
      </c>
      <c r="H15196" t="s">
        <v>20</v>
      </c>
      <c r="I15196" t="s">
        <v>29467</v>
      </c>
      <c r="J15196" t="str">
        <f>HYPERLINK("https://www.boe.es/gazeta/dias/1822/04/14/pdfs/GMD-1822-106.pdf#page=6","Abrir facsímil")</f>
        <v>Abrir facsímil</v>
      </c>
      <c r="K15196" t="s">
        <v>22</v>
      </c>
    </row>
    <row r="15197" spans="1:11" ht="42" customHeight="1">
      <c r="A15197" t="s">
        <v>29468</v>
      </c>
      <c r="B15197" t="s">
        <v>29468</v>
      </c>
      <c r="C15197" t="s">
        <v>42</v>
      </c>
      <c r="D15197" t="s">
        <v>17</v>
      </c>
      <c r="E15197" s="6">
        <v>-28359</v>
      </c>
      <c r="F15197" t="s">
        <v>209</v>
      </c>
      <c r="G15197" t="s">
        <v>63</v>
      </c>
      <c r="H15197" t="s">
        <v>20</v>
      </c>
      <c r="I15197" t="s">
        <v>29469</v>
      </c>
      <c r="J15197" t="str">
        <f>HYPERLINK("https://www.boe.es/gazeta/dias/1822/05/09/pdfs/GMD-1822-131.pdf#page=6","Abrir facsímil")</f>
        <v>Abrir facsímil</v>
      </c>
      <c r="K15197" t="s">
        <v>22</v>
      </c>
    </row>
    <row r="15198" spans="1:11" ht="42" customHeight="1">
      <c r="A15198" t="s">
        <v>29470</v>
      </c>
      <c r="B15198" t="s">
        <v>29471</v>
      </c>
      <c r="C15198" t="s">
        <v>28</v>
      </c>
      <c r="D15198" t="s">
        <v>29</v>
      </c>
      <c r="E15198" s="6">
        <v>-28259</v>
      </c>
      <c r="F15198" t="s">
        <v>1912</v>
      </c>
      <c r="G15198" t="s">
        <v>57</v>
      </c>
      <c r="H15198" t="s">
        <v>20</v>
      </c>
      <c r="I15198" t="s">
        <v>29472</v>
      </c>
      <c r="J15198" t="str">
        <f>HYPERLINK("https://www.boe.es/gazeta/dias/1822/08/17/pdfs/GMD-1822-241.pdf#page=4","Abrir facsímil")</f>
        <v>Abrir facsímil</v>
      </c>
      <c r="K15198" t="s">
        <v>22</v>
      </c>
    </row>
    <row r="15199" spans="1:11" ht="42" customHeight="1">
      <c r="A15199" t="s">
        <v>29473</v>
      </c>
      <c r="B15199" t="s">
        <v>29473</v>
      </c>
      <c r="C15199" t="s">
        <v>50</v>
      </c>
      <c r="D15199" t="s">
        <v>51</v>
      </c>
      <c r="E15199" s="6">
        <v>-28348</v>
      </c>
      <c r="F15199" t="s">
        <v>2903</v>
      </c>
      <c r="G15199" t="s">
        <v>57</v>
      </c>
      <c r="H15199" t="s">
        <v>20</v>
      </c>
      <c r="I15199" t="s">
        <v>29474</v>
      </c>
      <c r="J15199" t="str">
        <f>HYPERLINK("https://www.boe.es/gazeta/dias/1822/05/20/pdfs/GMD-1822-143.pdf#page=4","Abrir facsímil")</f>
        <v>Abrir facsímil</v>
      </c>
      <c r="K15199" t="s">
        <v>22</v>
      </c>
    </row>
    <row r="15200" spans="1:11" ht="42" customHeight="1">
      <c r="A15200" t="s">
        <v>29475</v>
      </c>
      <c r="B15200" t="s">
        <v>29476</v>
      </c>
      <c r="C15200" t="s">
        <v>28</v>
      </c>
      <c r="D15200" t="s">
        <v>29</v>
      </c>
      <c r="E15200" s="6">
        <v>-28336</v>
      </c>
      <c r="F15200" t="s">
        <v>156</v>
      </c>
      <c r="G15200" t="s">
        <v>157</v>
      </c>
      <c r="H15200" t="s">
        <v>20</v>
      </c>
      <c r="I15200" t="s">
        <v>29477</v>
      </c>
      <c r="J15200" t="str">
        <f>HYPERLINK("https://www.boe.es/gazeta/dias/1822/06/01/pdfs/GMD-1822-157.pdf#page=8","Abrir facsímil")</f>
        <v>Abrir facsímil</v>
      </c>
      <c r="K15200" t="s">
        <v>22</v>
      </c>
    </row>
    <row r="15201" spans="1:11" ht="42" customHeight="1">
      <c r="A15201" t="s">
        <v>29478</v>
      </c>
      <c r="B15201" t="s">
        <v>29479</v>
      </c>
      <c r="C15201" t="s">
        <v>16</v>
      </c>
      <c r="D15201" t="s">
        <v>17</v>
      </c>
      <c r="E15201" s="6">
        <v>-28393</v>
      </c>
      <c r="F15201" t="s">
        <v>326</v>
      </c>
      <c r="G15201" t="s">
        <v>57</v>
      </c>
      <c r="H15201" t="s">
        <v>20</v>
      </c>
      <c r="I15201" t="s">
        <v>29480</v>
      </c>
      <c r="J15201" t="str">
        <f>HYPERLINK("https://www.boe.es/gazeta/dias/1822/04/05/pdfs/GMD-1822-97.pdf#page=4","Abrir facsímil")</f>
        <v>Abrir facsímil</v>
      </c>
      <c r="K15201" t="s">
        <v>22</v>
      </c>
    </row>
  </sheetData>
  <mergeCells count="4">
    <mergeCell ref="A1:K1"/>
    <mergeCell ref="A2:K2"/>
    <mergeCell ref="A3:K3"/>
    <mergeCell ref="A4:K4"/>
  </mergeCells>
  <conditionalFormatting sqref="K7:K15201">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9" t="s">
        <v>29481</v>
      </c>
      <c r="B1" s="9"/>
      <c r="C1" s="9"/>
      <c r="D1" s="9"/>
      <c r="E1" s="9"/>
      <c r="F1" s="9"/>
    </row>
    <row r="2" spans="1:6" ht="21.95" customHeight="1">
      <c r="A2" s="13" t="s">
        <v>29482</v>
      </c>
      <c r="B2" s="13"/>
      <c r="C2" s="13"/>
      <c r="D2" s="13"/>
      <c r="E2" s="13"/>
      <c r="F2" s="13"/>
    </row>
    <row r="4" spans="1:6" ht="30" customHeight="1">
      <c r="A4" s="1" t="s">
        <v>8</v>
      </c>
      <c r="B4" s="1" t="s">
        <v>9</v>
      </c>
      <c r="C4" s="1" t="s">
        <v>29483</v>
      </c>
      <c r="D4" s="1" t="s">
        <v>29484</v>
      </c>
      <c r="E4" s="1" t="s">
        <v>29485</v>
      </c>
      <c r="F4" s="1" t="s">
        <v>29486</v>
      </c>
    </row>
    <row r="5" spans="1:6" ht="30.95" customHeight="1">
      <c r="A5" s="7">
        <v>-28487</v>
      </c>
      <c r="B5" s="2" t="s">
        <v>426</v>
      </c>
      <c r="C5" s="2" t="s">
        <v>29487</v>
      </c>
      <c r="D5" s="3">
        <v>6</v>
      </c>
      <c r="E5" s="3">
        <v>28</v>
      </c>
      <c r="F5" s="3" t="str">
        <f>HYPERLINK("https://www.boe.es/gazeta/dias/1822/01/01/pdfs/GMD-1822-1.pdf","Abrir PDF")</f>
        <v>Abrir PDF</v>
      </c>
    </row>
    <row r="6" spans="1:6" ht="30.95" customHeight="1">
      <c r="A6" s="7">
        <v>-28486</v>
      </c>
      <c r="B6" s="2" t="s">
        <v>1046</v>
      </c>
      <c r="C6" s="2" t="s">
        <v>29488</v>
      </c>
      <c r="D6" s="3">
        <v>4</v>
      </c>
      <c r="E6" s="3">
        <v>62</v>
      </c>
      <c r="F6" s="3" t="str">
        <f>HYPERLINK("https://www.boe.es/gazeta/dias/1822/01/02/pdfs/GMD-1822-2.pdf","Abrir PDF")</f>
        <v>Abrir PDF</v>
      </c>
    </row>
    <row r="7" spans="1:6" ht="30.95" customHeight="1">
      <c r="A7" s="7">
        <v>-28485</v>
      </c>
      <c r="B7" s="2" t="s">
        <v>1117</v>
      </c>
      <c r="C7" s="2" t="s">
        <v>29489</v>
      </c>
      <c r="D7" s="3">
        <v>4</v>
      </c>
      <c r="E7" s="3">
        <v>21</v>
      </c>
      <c r="F7" s="3" t="str">
        <f>HYPERLINK("https://www.boe.es/gazeta/dias/1822/01/03/pdfs/GMD-1822-3.pdf","Abrir PDF")</f>
        <v>Abrir PDF</v>
      </c>
    </row>
    <row r="8" spans="1:6" ht="30.95" customHeight="1">
      <c r="A8" s="7">
        <v>-28484</v>
      </c>
      <c r="B8" s="2" t="s">
        <v>743</v>
      </c>
      <c r="C8" s="2" t="s">
        <v>29490</v>
      </c>
      <c r="D8" s="3">
        <v>6</v>
      </c>
      <c r="E8" s="3">
        <v>34</v>
      </c>
      <c r="F8" s="3" t="str">
        <f>HYPERLINK("https://www.boe.es/gazeta/dias/1822/01/04/pdfs/GMD-1822-4.pdf","Abrir PDF")</f>
        <v>Abrir PDF</v>
      </c>
    </row>
    <row r="9" spans="1:6" ht="30.95" customHeight="1">
      <c r="A9" s="7">
        <v>-28483</v>
      </c>
      <c r="B9" s="2" t="s">
        <v>254</v>
      </c>
      <c r="C9" s="2" t="s">
        <v>29491</v>
      </c>
      <c r="D9" s="3">
        <v>4</v>
      </c>
      <c r="E9" s="3">
        <v>45</v>
      </c>
      <c r="F9" s="3" t="str">
        <f>HYPERLINK("https://www.boe.es/gazeta/dias/1822/01/05/pdfs/GMD-1822-5.pdf","Abrir PDF")</f>
        <v>Abrir PDF</v>
      </c>
    </row>
    <row r="10" spans="1:6" ht="30.95" customHeight="1">
      <c r="A10" s="7">
        <v>-28482</v>
      </c>
      <c r="B10" s="2" t="s">
        <v>850</v>
      </c>
      <c r="C10" s="2" t="s">
        <v>29492</v>
      </c>
      <c r="D10" s="3">
        <v>4</v>
      </c>
      <c r="E10" s="3">
        <v>19</v>
      </c>
      <c r="F10" s="3" t="str">
        <f>HYPERLINK("https://www.boe.es/gazeta/dias/1822/01/06/pdfs/GMD-1822-6.pdf","Abrir PDF")</f>
        <v>Abrir PDF</v>
      </c>
    </row>
    <row r="11" spans="1:6" ht="30.95" customHeight="1">
      <c r="A11" s="7">
        <v>-28481</v>
      </c>
      <c r="B11" s="2" t="s">
        <v>1089</v>
      </c>
      <c r="C11" s="2" t="s">
        <v>29493</v>
      </c>
      <c r="D11" s="3">
        <v>4</v>
      </c>
      <c r="E11" s="3">
        <v>27</v>
      </c>
      <c r="F11" s="3" t="str">
        <f>HYPERLINK("https://www.boe.es/gazeta/dias/1822/01/07/pdfs/GMD-1822-7.pdf","Abrir PDF")</f>
        <v>Abrir PDF</v>
      </c>
    </row>
    <row r="12" spans="1:6" ht="30.95" customHeight="1">
      <c r="A12" s="7">
        <v>-28480</v>
      </c>
      <c r="B12" s="2" t="s">
        <v>995</v>
      </c>
      <c r="C12" s="2" t="s">
        <v>29494</v>
      </c>
      <c r="D12" s="3">
        <v>6</v>
      </c>
      <c r="E12" s="3">
        <v>34</v>
      </c>
      <c r="F12" s="3" t="str">
        <f>HYPERLINK("https://www.boe.es/gazeta/dias/1822/01/08/pdfs/GMD-1822-8.pdf","Abrir PDF")</f>
        <v>Abrir PDF</v>
      </c>
    </row>
    <row r="13" spans="1:6" ht="30.95" customHeight="1">
      <c r="A13" s="7">
        <v>-28479</v>
      </c>
      <c r="B13" s="2" t="s">
        <v>1091</v>
      </c>
      <c r="C13" s="2" t="s">
        <v>29495</v>
      </c>
      <c r="D13" s="3">
        <v>6</v>
      </c>
      <c r="E13" s="3">
        <v>36</v>
      </c>
      <c r="F13" s="3" t="str">
        <f>HYPERLINK("https://www.boe.es/gazeta/dias/1822/01/09/pdfs/GMD-1822-9.pdf","Abrir PDF")</f>
        <v>Abrir PDF</v>
      </c>
    </row>
    <row r="14" spans="1:6" ht="30.95" customHeight="1">
      <c r="A14" s="7">
        <v>-28478</v>
      </c>
      <c r="B14" s="2" t="s">
        <v>1093</v>
      </c>
      <c r="C14" s="2" t="s">
        <v>29496</v>
      </c>
      <c r="D14" s="3">
        <v>4</v>
      </c>
      <c r="E14" s="3">
        <v>41</v>
      </c>
      <c r="F14" s="3" t="str">
        <f>HYPERLINK("https://www.boe.es/gazeta/dias/1822/01/10/pdfs/GMD-1822-10.pdf","Abrir PDF")</f>
        <v>Abrir PDF</v>
      </c>
    </row>
    <row r="15" spans="1:6" ht="30.95" customHeight="1">
      <c r="A15" s="7">
        <v>-28477</v>
      </c>
      <c r="B15" s="2" t="s">
        <v>1668</v>
      </c>
      <c r="C15" s="2" t="s">
        <v>29497</v>
      </c>
      <c r="D15" s="3">
        <v>6</v>
      </c>
      <c r="E15" s="3">
        <v>46</v>
      </c>
      <c r="F15" s="3" t="str">
        <f>HYPERLINK("https://www.boe.es/gazeta/dias/1822/01/11/pdfs/GMD-1822-11.pdf","Abrir PDF")</f>
        <v>Abrir PDF</v>
      </c>
    </row>
    <row r="16" spans="1:6" ht="30.95" customHeight="1">
      <c r="A16" s="7">
        <v>-28476</v>
      </c>
      <c r="B16" s="2" t="s">
        <v>160</v>
      </c>
      <c r="C16" s="2" t="s">
        <v>29498</v>
      </c>
      <c r="D16" s="3">
        <v>4</v>
      </c>
      <c r="E16" s="3">
        <v>32</v>
      </c>
      <c r="F16" s="3" t="str">
        <f>HYPERLINK("https://www.boe.es/gazeta/dias/1822/01/12/pdfs/GMD-1822-12.pdf","Abrir PDF")</f>
        <v>Abrir PDF</v>
      </c>
    </row>
    <row r="17" spans="1:6" ht="30.95" customHeight="1">
      <c r="A17" s="7">
        <v>-28475</v>
      </c>
      <c r="B17" s="2" t="s">
        <v>1205</v>
      </c>
      <c r="C17" s="2" t="s">
        <v>29499</v>
      </c>
      <c r="D17" s="3">
        <v>6</v>
      </c>
      <c r="E17" s="3">
        <v>55</v>
      </c>
      <c r="F17" s="3" t="str">
        <f>HYPERLINK("https://www.boe.es/gazeta/dias/1822/01/13/pdfs/GMD-1822-13.pdf","Abrir PDF")</f>
        <v>Abrir PDF</v>
      </c>
    </row>
    <row r="18" spans="1:6" ht="30.95" customHeight="1">
      <c r="A18" s="7">
        <v>-28474</v>
      </c>
      <c r="B18" s="2" t="s">
        <v>30</v>
      </c>
      <c r="C18" s="2" t="s">
        <v>29500</v>
      </c>
      <c r="D18" s="3">
        <v>4</v>
      </c>
      <c r="E18" s="3">
        <v>36</v>
      </c>
      <c r="F18" s="3" t="str">
        <f>HYPERLINK("https://www.boe.es/gazeta/dias/1822/01/14/pdfs/GMD-1822-14.pdf","Abrir PDF")</f>
        <v>Abrir PDF</v>
      </c>
    </row>
    <row r="19" spans="1:6" ht="30.95" customHeight="1">
      <c r="A19" s="7">
        <v>-28473</v>
      </c>
      <c r="B19" s="2" t="s">
        <v>2337</v>
      </c>
      <c r="C19" s="2" t="s">
        <v>29501</v>
      </c>
      <c r="D19" s="3">
        <v>8</v>
      </c>
      <c r="E19" s="3">
        <v>41</v>
      </c>
      <c r="F19" s="3" t="str">
        <f>HYPERLINK("https://www.boe.es/gazeta/dias/1822/01/15/pdfs/GMD-1822-15.pdf","Abrir PDF")</f>
        <v>Abrir PDF</v>
      </c>
    </row>
    <row r="20" spans="1:6" ht="30.95" customHeight="1">
      <c r="A20" s="7">
        <v>-28472</v>
      </c>
      <c r="B20" s="2" t="s">
        <v>5485</v>
      </c>
      <c r="C20" s="2" t="s">
        <v>29502</v>
      </c>
      <c r="D20" s="3">
        <v>4</v>
      </c>
      <c r="E20" s="3">
        <v>16</v>
      </c>
      <c r="F20" s="3" t="str">
        <f>HYPERLINK("https://www.boe.es/gazeta/dias/1822/01/16/pdfs/GMD-1822-16.pdf","Abrir PDF")</f>
        <v>Abrir PDF</v>
      </c>
    </row>
    <row r="21" spans="1:6" ht="30.95" customHeight="1">
      <c r="A21" s="7">
        <v>-28471</v>
      </c>
      <c r="B21" s="2" t="s">
        <v>1436</v>
      </c>
      <c r="C21" s="2" t="s">
        <v>29503</v>
      </c>
      <c r="D21" s="3">
        <v>6</v>
      </c>
      <c r="E21" s="3">
        <v>25</v>
      </c>
      <c r="F21" s="3" t="str">
        <f>HYPERLINK("https://www.boe.es/gazeta/dias/1822/01/17/pdfs/GMD-1822-17.pdf","Abrir PDF")</f>
        <v>Abrir PDF</v>
      </c>
    </row>
    <row r="22" spans="1:6" ht="30.95" customHeight="1">
      <c r="A22" s="7">
        <v>-28470</v>
      </c>
      <c r="B22" s="2" t="s">
        <v>1444</v>
      </c>
      <c r="C22" s="2" t="s">
        <v>29504</v>
      </c>
      <c r="D22" s="3">
        <v>4</v>
      </c>
      <c r="E22" s="3">
        <v>17</v>
      </c>
      <c r="F22" s="3" t="str">
        <f>HYPERLINK("https://www.boe.es/gazeta/dias/1822/01/18/pdfs/GMD-1822-18.pdf","Abrir PDF")</f>
        <v>Abrir PDF</v>
      </c>
    </row>
    <row r="23" spans="1:6" ht="30.95" customHeight="1">
      <c r="A23" s="7">
        <v>-28469</v>
      </c>
      <c r="B23" s="2" t="s">
        <v>1164</v>
      </c>
      <c r="C23" s="2" t="s">
        <v>29505</v>
      </c>
      <c r="D23" s="3">
        <v>4</v>
      </c>
      <c r="E23" s="3">
        <v>20</v>
      </c>
      <c r="F23" s="3" t="str">
        <f>HYPERLINK("https://www.boe.es/gazeta/dias/1822/01/19/pdfs/GMD-1822-19.pdf","Abrir PDF")</f>
        <v>Abrir PDF</v>
      </c>
    </row>
    <row r="24" spans="1:6" ht="30.95" customHeight="1">
      <c r="A24" s="7">
        <v>-28468</v>
      </c>
      <c r="B24" s="2" t="s">
        <v>1012</v>
      </c>
      <c r="C24" s="2" t="s">
        <v>29506</v>
      </c>
      <c r="D24" s="3">
        <v>6</v>
      </c>
      <c r="E24" s="3">
        <v>50</v>
      </c>
      <c r="F24" s="3" t="str">
        <f>HYPERLINK("https://www.boe.es/gazeta/dias/1822/01/20/pdfs/GMD-1822-20.pdf","Abrir PDF")</f>
        <v>Abrir PDF</v>
      </c>
    </row>
    <row r="25" spans="1:6" ht="30.95" customHeight="1">
      <c r="A25" s="7">
        <v>-28467</v>
      </c>
      <c r="B25" s="2" t="s">
        <v>1096</v>
      </c>
      <c r="C25" s="2" t="s">
        <v>29507</v>
      </c>
      <c r="D25" s="3">
        <v>4</v>
      </c>
      <c r="E25" s="3">
        <v>15</v>
      </c>
      <c r="F25" s="3" t="str">
        <f>HYPERLINK("https://www.boe.es/gazeta/dias/1822/01/21/pdfs/GMD-1822-21.pdf","Abrir PDF")</f>
        <v>Abrir PDF</v>
      </c>
    </row>
    <row r="26" spans="1:6" ht="30.95" customHeight="1">
      <c r="A26" s="7">
        <v>-28466</v>
      </c>
      <c r="B26" s="2" t="s">
        <v>4119</v>
      </c>
      <c r="C26" s="2" t="s">
        <v>29508</v>
      </c>
      <c r="D26" s="3">
        <v>6</v>
      </c>
      <c r="E26" s="3">
        <v>11</v>
      </c>
      <c r="F26" s="3" t="str">
        <f>HYPERLINK("https://www.boe.es/gazeta/dias/1822/01/22/pdfs/GMD-1822-22.pdf","Abrir PDF")</f>
        <v>Abrir PDF</v>
      </c>
    </row>
    <row r="27" spans="1:6" ht="30.95" customHeight="1">
      <c r="A27" s="7">
        <v>-28465</v>
      </c>
      <c r="B27" s="2" t="s">
        <v>1114</v>
      </c>
      <c r="C27" s="2" t="s">
        <v>29509</v>
      </c>
      <c r="D27" s="3">
        <v>6</v>
      </c>
      <c r="E27" s="3">
        <v>12</v>
      </c>
      <c r="F27" s="3" t="str">
        <f>HYPERLINK("https://www.boe.es/gazeta/dias/1822/01/23/pdfs/GMD-1822-23.pdf","Abrir PDF")</f>
        <v>Abrir PDF</v>
      </c>
    </row>
    <row r="28" spans="1:6" ht="30.95" customHeight="1">
      <c r="A28" s="7">
        <v>-28464</v>
      </c>
      <c r="B28" s="2" t="s">
        <v>1447</v>
      </c>
      <c r="C28" s="2" t="s">
        <v>29510</v>
      </c>
      <c r="D28" s="3">
        <v>4</v>
      </c>
      <c r="E28" s="3">
        <v>37</v>
      </c>
      <c r="F28" s="3" t="str">
        <f>HYPERLINK("https://www.boe.es/gazeta/dias/1822/01/24/pdfs/GMD-1822-24.pdf","Abrir PDF")</f>
        <v>Abrir PDF</v>
      </c>
    </row>
    <row r="29" spans="1:6" ht="30.95" customHeight="1">
      <c r="A29" s="7">
        <v>-28463</v>
      </c>
      <c r="B29" s="2" t="s">
        <v>25</v>
      </c>
      <c r="C29" s="2" t="s">
        <v>29511</v>
      </c>
      <c r="D29" s="3">
        <v>6</v>
      </c>
      <c r="E29" s="3">
        <v>23</v>
      </c>
      <c r="F29" s="3" t="str">
        <f>HYPERLINK("https://www.boe.es/gazeta/dias/1822/01/25/pdfs/GMD-1822-25.pdf","Abrir PDF")</f>
        <v>Abrir PDF</v>
      </c>
    </row>
    <row r="30" spans="1:6" ht="30.95" customHeight="1">
      <c r="A30" s="7">
        <v>-28462</v>
      </c>
      <c r="B30" s="2" t="s">
        <v>1099</v>
      </c>
      <c r="C30" s="2" t="s">
        <v>29512</v>
      </c>
      <c r="D30" s="3">
        <v>4</v>
      </c>
      <c r="E30" s="3">
        <v>33</v>
      </c>
      <c r="F30" s="3" t="str">
        <f>HYPERLINK("https://www.boe.es/gazeta/dias/1822/01/26/pdfs/GMD-1822-26.pdf","Abrir PDF")</f>
        <v>Abrir PDF</v>
      </c>
    </row>
    <row r="31" spans="1:6" ht="30.95" customHeight="1">
      <c r="A31" s="7">
        <v>-28461</v>
      </c>
      <c r="B31" s="2" t="s">
        <v>1801</v>
      </c>
      <c r="C31" s="2" t="s">
        <v>29513</v>
      </c>
      <c r="D31" s="3">
        <v>4</v>
      </c>
      <c r="E31" s="3">
        <v>44</v>
      </c>
      <c r="F31" s="3" t="str">
        <f>HYPERLINK("https://www.boe.es/gazeta/dias/1822/01/27/pdfs/GMD-1822-27.pdf","Abrir PDF")</f>
        <v>Abrir PDF</v>
      </c>
    </row>
    <row r="32" spans="1:6" ht="30.95" customHeight="1">
      <c r="A32" s="7">
        <v>-28460</v>
      </c>
      <c r="B32" s="2" t="s">
        <v>112</v>
      </c>
      <c r="C32" s="2" t="s">
        <v>29514</v>
      </c>
      <c r="D32" s="3">
        <v>6</v>
      </c>
      <c r="E32" s="3">
        <v>23</v>
      </c>
      <c r="F32" s="3" t="str">
        <f>HYPERLINK("https://www.boe.es/gazeta/dias/1822/01/28/pdfs/GMD-1822-28.pdf","Abrir PDF")</f>
        <v>Abrir PDF</v>
      </c>
    </row>
    <row r="33" spans="1:6" ht="30.95" customHeight="1">
      <c r="A33" s="7">
        <v>-28459</v>
      </c>
      <c r="B33" s="2" t="s">
        <v>1102</v>
      </c>
      <c r="C33" s="2" t="s">
        <v>29515</v>
      </c>
      <c r="D33" s="3">
        <v>4</v>
      </c>
      <c r="E33" s="3">
        <v>30</v>
      </c>
      <c r="F33" s="3" t="str">
        <f>HYPERLINK("https://www.boe.es/gazeta/dias/1822/01/29/pdfs/GMD-1822-29.pdf","Abrir PDF")</f>
        <v>Abrir PDF</v>
      </c>
    </row>
    <row r="34" spans="1:6" ht="30.95" customHeight="1">
      <c r="A34" s="7">
        <v>-28458</v>
      </c>
      <c r="B34" s="2" t="s">
        <v>1151</v>
      </c>
      <c r="C34" s="2" t="s">
        <v>29516</v>
      </c>
      <c r="D34" s="3">
        <v>4</v>
      </c>
      <c r="E34" s="3">
        <v>26</v>
      </c>
      <c r="F34" s="3" t="str">
        <f>HYPERLINK("https://www.boe.es/gazeta/dias/1822/01/30/pdfs/GMD-1822-30.pdf","Abrir PDF")</f>
        <v>Abrir PDF</v>
      </c>
    </row>
    <row r="35" spans="1:6" ht="30.95" customHeight="1">
      <c r="A35" s="7">
        <v>-28457</v>
      </c>
      <c r="B35" s="2" t="s">
        <v>1655</v>
      </c>
      <c r="C35" s="2" t="s">
        <v>29517</v>
      </c>
      <c r="D35" s="3">
        <v>4</v>
      </c>
      <c r="E35" s="3">
        <v>14</v>
      </c>
      <c r="F35" s="3" t="str">
        <f>HYPERLINK("https://www.boe.es/gazeta/dias/1822/01/31/pdfs/GMD-1822-31.pdf","Abrir PDF")</f>
        <v>Abrir PDF</v>
      </c>
    </row>
    <row r="36" spans="1:6" ht="30.95" customHeight="1">
      <c r="A36" s="7">
        <v>-28456</v>
      </c>
      <c r="B36" s="2" t="s">
        <v>1104</v>
      </c>
      <c r="C36" s="2" t="s">
        <v>29518</v>
      </c>
      <c r="D36" s="3">
        <v>6</v>
      </c>
      <c r="E36" s="3">
        <v>35</v>
      </c>
      <c r="F36" s="3" t="str">
        <f>HYPERLINK("https://www.boe.es/gazeta/dias/1822/02/01/pdfs/GMD-1822-32.pdf","Abrir PDF")</f>
        <v>Abrir PDF</v>
      </c>
    </row>
    <row r="37" spans="1:6" ht="30.95" customHeight="1">
      <c r="A37" s="7">
        <v>-28455</v>
      </c>
      <c r="B37" s="2" t="s">
        <v>1107</v>
      </c>
      <c r="C37" s="2" t="s">
        <v>29519</v>
      </c>
      <c r="D37" s="3">
        <v>6</v>
      </c>
      <c r="E37" s="3">
        <v>26</v>
      </c>
      <c r="F37" s="3" t="str">
        <f>HYPERLINK("https://www.boe.es/gazeta/dias/1822/02/02/pdfs/GMD-1822-33.pdf","Abrir PDF")</f>
        <v>Abrir PDF</v>
      </c>
    </row>
    <row r="38" spans="1:6" ht="30.95" customHeight="1">
      <c r="A38" s="7">
        <v>-28454</v>
      </c>
      <c r="B38" s="2" t="s">
        <v>2033</v>
      </c>
      <c r="C38" s="2" t="s">
        <v>29520</v>
      </c>
      <c r="D38" s="3">
        <v>8</v>
      </c>
      <c r="E38" s="3">
        <v>40</v>
      </c>
      <c r="F38" s="3" t="str">
        <f>HYPERLINK("https://www.boe.es/gazeta/dias/1822/02/03/pdfs/GMD-1822-34.pdf","Abrir PDF")</f>
        <v>Abrir PDF</v>
      </c>
    </row>
    <row r="39" spans="1:6" ht="30.95" customHeight="1">
      <c r="A39" s="7">
        <v>-28453</v>
      </c>
      <c r="B39" s="2" t="s">
        <v>2039</v>
      </c>
      <c r="C39" s="2" t="s">
        <v>29521</v>
      </c>
      <c r="D39" s="3">
        <v>4</v>
      </c>
      <c r="E39" s="3">
        <v>34</v>
      </c>
      <c r="F39" s="3" t="str">
        <f>HYPERLINK("https://www.boe.es/gazeta/dias/1822/02/04/pdfs/GMD-1822-35.pdf","Abrir PDF")</f>
        <v>Abrir PDF</v>
      </c>
    </row>
    <row r="40" spans="1:6" ht="30.95" customHeight="1">
      <c r="A40" s="7">
        <v>-28452</v>
      </c>
      <c r="B40" s="2" t="s">
        <v>7772</v>
      </c>
      <c r="C40" s="2" t="s">
        <v>29522</v>
      </c>
      <c r="D40" s="3">
        <v>4</v>
      </c>
      <c r="E40" s="3">
        <v>16</v>
      </c>
      <c r="F40" s="3" t="str">
        <f>HYPERLINK("https://www.boe.es/gazeta/dias/1822/02/05/pdfs/GMD-1822-36.pdf","Abrir PDF")</f>
        <v>Abrir PDF</v>
      </c>
    </row>
    <row r="41" spans="1:6" ht="30.95" customHeight="1">
      <c r="A41" s="7">
        <v>-28451</v>
      </c>
      <c r="B41" s="2" t="s">
        <v>1674</v>
      </c>
      <c r="C41" s="2" t="s">
        <v>29523</v>
      </c>
      <c r="D41" s="3">
        <v>6</v>
      </c>
      <c r="E41" s="3">
        <v>40</v>
      </c>
      <c r="F41" s="3" t="str">
        <f>HYPERLINK("https://www.boe.es/gazeta/dias/1822/02/06/pdfs/GMD-1822-37.pdf","Abrir PDF")</f>
        <v>Abrir PDF</v>
      </c>
    </row>
    <row r="42" spans="1:6" ht="30.95" customHeight="1">
      <c r="A42" s="7">
        <v>-28450</v>
      </c>
      <c r="B42" s="2" t="s">
        <v>1450</v>
      </c>
      <c r="C42" s="2" t="s">
        <v>29524</v>
      </c>
      <c r="D42" s="3">
        <v>6</v>
      </c>
      <c r="E42" s="3">
        <v>74</v>
      </c>
      <c r="F42" s="3" t="str">
        <f>HYPERLINK("https://www.boe.es/gazeta/dias/1822/02/07/pdfs/GMD-1822-38.pdf","Abrir PDF")</f>
        <v>Abrir PDF</v>
      </c>
    </row>
    <row r="43" spans="1:6" ht="30.95" customHeight="1">
      <c r="A43" s="7">
        <v>-28449</v>
      </c>
      <c r="B43" s="2" t="s">
        <v>1342</v>
      </c>
      <c r="C43" s="2" t="s">
        <v>29525</v>
      </c>
      <c r="D43" s="3">
        <v>4</v>
      </c>
      <c r="E43" s="3">
        <v>40</v>
      </c>
      <c r="F43" s="3" t="str">
        <f>HYPERLINK("https://www.boe.es/gazeta/dias/1822/02/08/pdfs/GMD-1822-39.pdf","Abrir PDF")</f>
        <v>Abrir PDF</v>
      </c>
    </row>
    <row r="44" spans="1:6" ht="30.95" customHeight="1">
      <c r="A44" s="7">
        <v>-28448</v>
      </c>
      <c r="B44" s="2" t="s">
        <v>1670</v>
      </c>
      <c r="C44" s="2" t="s">
        <v>29526</v>
      </c>
      <c r="D44" s="3">
        <v>4</v>
      </c>
      <c r="E44" s="3">
        <v>30</v>
      </c>
      <c r="F44" s="3" t="str">
        <f>HYPERLINK("https://www.boe.es/gazeta/dias/1822/02/09/pdfs/GMD-1822-40.pdf","Abrir PDF")</f>
        <v>Abrir PDF</v>
      </c>
    </row>
    <row r="45" spans="1:6" ht="30.95" customHeight="1">
      <c r="A45" s="7">
        <v>-28447</v>
      </c>
      <c r="B45" s="2" t="s">
        <v>997</v>
      </c>
      <c r="C45" s="2" t="s">
        <v>29527</v>
      </c>
      <c r="D45" s="3">
        <v>4</v>
      </c>
      <c r="E45" s="3">
        <v>40</v>
      </c>
      <c r="F45" s="3" t="str">
        <f>HYPERLINK("https://www.boe.es/gazeta/dias/1822/02/10/pdfs/GMD-1822-41.pdf","Abrir PDF")</f>
        <v>Abrir PDF</v>
      </c>
    </row>
    <row r="46" spans="1:6" ht="30.95" customHeight="1">
      <c r="A46" s="7">
        <v>-28446</v>
      </c>
      <c r="B46" s="2" t="s">
        <v>773</v>
      </c>
      <c r="C46" s="2" t="s">
        <v>29528</v>
      </c>
      <c r="D46" s="3">
        <v>6</v>
      </c>
      <c r="E46" s="3">
        <v>27</v>
      </c>
      <c r="F46" s="3" t="str">
        <f>HYPERLINK("https://www.boe.es/gazeta/dias/1822/02/11/pdfs/GMD-1822-42.pdf","Abrir PDF")</f>
        <v>Abrir PDF</v>
      </c>
    </row>
    <row r="47" spans="1:6" ht="30.95" customHeight="1">
      <c r="A47" s="7">
        <v>-28445</v>
      </c>
      <c r="B47" s="2" t="s">
        <v>1622</v>
      </c>
      <c r="C47" s="2" t="s">
        <v>29529</v>
      </c>
      <c r="D47" s="3">
        <v>4</v>
      </c>
      <c r="E47" s="3">
        <v>44</v>
      </c>
      <c r="F47" s="3" t="str">
        <f>HYPERLINK("https://www.boe.es/gazeta/dias/1822/02/12/pdfs/GMD-1822-43.pdf","Abrir PDF")</f>
        <v>Abrir PDF</v>
      </c>
    </row>
    <row r="48" spans="1:6" ht="30.95" customHeight="1">
      <c r="A48" s="7">
        <v>-28444</v>
      </c>
      <c r="B48" s="2" t="s">
        <v>681</v>
      </c>
      <c r="C48" s="2" t="s">
        <v>29530</v>
      </c>
      <c r="D48" s="3">
        <v>4</v>
      </c>
      <c r="E48" s="3">
        <v>30</v>
      </c>
      <c r="F48" s="3" t="str">
        <f>HYPERLINK("https://www.boe.es/gazeta/dias/1822/02/13/pdfs/GMD-1822-44.pdf","Abrir PDF")</f>
        <v>Abrir PDF</v>
      </c>
    </row>
    <row r="49" spans="1:6" ht="30.95" customHeight="1">
      <c r="A49" s="7">
        <v>-28443</v>
      </c>
      <c r="B49" s="2" t="s">
        <v>668</v>
      </c>
      <c r="C49" s="2" t="s">
        <v>29531</v>
      </c>
      <c r="D49" s="3">
        <v>4</v>
      </c>
      <c r="E49" s="3">
        <v>32</v>
      </c>
      <c r="F49" s="3" t="str">
        <f>HYPERLINK("https://www.boe.es/gazeta/dias/1822/02/14/pdfs/GMD-1822-45.pdf","Abrir PDF")</f>
        <v>Abrir PDF</v>
      </c>
    </row>
    <row r="50" spans="1:6" ht="30.95" customHeight="1">
      <c r="A50" s="7">
        <v>-28443</v>
      </c>
      <c r="B50" s="2" t="s">
        <v>29532</v>
      </c>
      <c r="C50" s="2" t="s">
        <v>29533</v>
      </c>
      <c r="D50" s="3">
        <v>1</v>
      </c>
      <c r="E50" s="3">
        <v>0</v>
      </c>
      <c r="F50" s="3" t="str">
        <f>HYPERLINK("https://www.boe.es/gazeta/dias/1822/02/14/pdfs/GMD-1822-46E.pdf","Abrir PDF")</f>
        <v>Abrir PDF</v>
      </c>
    </row>
    <row r="51" spans="1:6" ht="30.95" customHeight="1">
      <c r="A51" s="7">
        <v>-28442</v>
      </c>
      <c r="B51" s="2" t="s">
        <v>2250</v>
      </c>
      <c r="C51" s="2" t="s">
        <v>29534</v>
      </c>
      <c r="D51" s="3">
        <v>4</v>
      </c>
      <c r="E51" s="3">
        <v>12</v>
      </c>
      <c r="F51" s="3" t="str">
        <f>HYPERLINK("https://www.boe.es/gazeta/dias/1822/02/15/pdfs/GMD-1822-47.pdf","Abrir PDF")</f>
        <v>Abrir PDF</v>
      </c>
    </row>
    <row r="52" spans="1:6" ht="30.95" customHeight="1">
      <c r="A52" s="7">
        <v>-28441</v>
      </c>
      <c r="B52" s="2" t="s">
        <v>429</v>
      </c>
      <c r="C52" s="2" t="s">
        <v>29535</v>
      </c>
      <c r="D52" s="3">
        <v>4</v>
      </c>
      <c r="E52" s="3">
        <v>19</v>
      </c>
      <c r="F52" s="3" t="str">
        <f>HYPERLINK("https://www.boe.es/gazeta/dias/1822/02/16/pdfs/GMD-1822-48.pdf","Abrir PDF")</f>
        <v>Abrir PDF</v>
      </c>
    </row>
    <row r="53" spans="1:6" ht="30.95" customHeight="1">
      <c r="A53" s="7">
        <v>-28440</v>
      </c>
      <c r="B53" s="2" t="s">
        <v>1307</v>
      </c>
      <c r="C53" s="2" t="s">
        <v>29536</v>
      </c>
      <c r="D53" s="3">
        <v>4</v>
      </c>
      <c r="E53" s="3">
        <v>13</v>
      </c>
      <c r="F53" s="3" t="str">
        <f>HYPERLINK("https://www.boe.es/gazeta/dias/1822/02/17/pdfs/GMD-1822-49.pdf","Abrir PDF")</f>
        <v>Abrir PDF</v>
      </c>
    </row>
    <row r="54" spans="1:6" ht="30.95" customHeight="1">
      <c r="A54" s="7">
        <v>-28439</v>
      </c>
      <c r="B54" s="2" t="s">
        <v>2752</v>
      </c>
      <c r="C54" s="2" t="s">
        <v>29537</v>
      </c>
      <c r="D54" s="3">
        <v>4</v>
      </c>
      <c r="E54" s="3">
        <v>21</v>
      </c>
      <c r="F54" s="3" t="str">
        <f>HYPERLINK("https://www.boe.es/gazeta/dias/1822/02/18/pdfs/GMD-1822-50.pdf","Abrir PDF")</f>
        <v>Abrir PDF</v>
      </c>
    </row>
    <row r="55" spans="1:6" ht="30.95" customHeight="1">
      <c r="A55" s="7">
        <v>-28438</v>
      </c>
      <c r="B55" s="2" t="s">
        <v>963</v>
      </c>
      <c r="C55" s="2" t="s">
        <v>29538</v>
      </c>
      <c r="D55" s="3">
        <v>4</v>
      </c>
      <c r="E55" s="3">
        <v>16</v>
      </c>
      <c r="F55" s="3" t="str">
        <f>HYPERLINK("https://www.boe.es/gazeta/dias/1822/02/19/pdfs/GMD-1822-51.pdf","Abrir PDF")</f>
        <v>Abrir PDF</v>
      </c>
    </row>
    <row r="56" spans="1:6" ht="30.95" customHeight="1">
      <c r="A56" s="7">
        <v>-28437</v>
      </c>
      <c r="B56" s="2" t="s">
        <v>2192</v>
      </c>
      <c r="C56" s="2" t="s">
        <v>29539</v>
      </c>
      <c r="D56" s="3">
        <v>4</v>
      </c>
      <c r="E56" s="3">
        <v>7</v>
      </c>
      <c r="F56" s="3" t="str">
        <f>HYPERLINK("https://www.boe.es/gazeta/dias/1822/02/20/pdfs/GMD-1822-52.pdf","Abrir PDF")</f>
        <v>Abrir PDF</v>
      </c>
    </row>
    <row r="57" spans="1:6" ht="30.95" customHeight="1">
      <c r="A57" s="7">
        <v>-28436</v>
      </c>
      <c r="B57" s="2" t="s">
        <v>431</v>
      </c>
      <c r="C57" s="2" t="s">
        <v>29540</v>
      </c>
      <c r="D57" s="3">
        <v>4</v>
      </c>
      <c r="E57" s="3">
        <v>102</v>
      </c>
      <c r="F57" s="3" t="str">
        <f>HYPERLINK("https://www.boe.es/gazeta/dias/1822/02/21/pdfs/GMD-1822-53.pdf","Abrir PDF")</f>
        <v>Abrir PDF</v>
      </c>
    </row>
    <row r="58" spans="1:6" ht="30.95" customHeight="1">
      <c r="A58" s="7">
        <v>-28435</v>
      </c>
      <c r="B58" s="2" t="s">
        <v>1710</v>
      </c>
      <c r="C58" s="2" t="s">
        <v>29541</v>
      </c>
      <c r="D58" s="3">
        <v>4</v>
      </c>
      <c r="E58" s="3">
        <v>17</v>
      </c>
      <c r="F58" s="3" t="str">
        <f>HYPERLINK("https://www.boe.es/gazeta/dias/1822/02/22/pdfs/GMD-1822-54.pdf","Abrir PDF")</f>
        <v>Abrir PDF</v>
      </c>
    </row>
    <row r="59" spans="1:6" ht="30.95" customHeight="1">
      <c r="A59" s="7">
        <v>-28434</v>
      </c>
      <c r="B59" s="2" t="s">
        <v>433</v>
      </c>
      <c r="C59" s="2" t="s">
        <v>29542</v>
      </c>
      <c r="D59" s="3">
        <v>4</v>
      </c>
      <c r="E59" s="3">
        <v>39</v>
      </c>
      <c r="F59" s="3" t="str">
        <f>HYPERLINK("https://www.boe.es/gazeta/dias/1822/02/23/pdfs/GMD-1822-55.pdf","Abrir PDF")</f>
        <v>Abrir PDF</v>
      </c>
    </row>
    <row r="60" spans="1:6" ht="30.95" customHeight="1">
      <c r="A60" s="7">
        <v>-28433</v>
      </c>
      <c r="B60" s="2" t="s">
        <v>3663</v>
      </c>
      <c r="C60" s="2" t="s">
        <v>29543</v>
      </c>
      <c r="D60" s="3">
        <v>4</v>
      </c>
      <c r="E60" s="3">
        <v>21</v>
      </c>
      <c r="F60" s="3" t="str">
        <f>HYPERLINK("https://www.boe.es/gazeta/dias/1822/02/24/pdfs/GMD-1822-56.pdf","Abrir PDF")</f>
        <v>Abrir PDF</v>
      </c>
    </row>
    <row r="61" spans="1:6" ht="30.95" customHeight="1">
      <c r="A61" s="7">
        <v>-28432</v>
      </c>
      <c r="B61" s="2" t="s">
        <v>195</v>
      </c>
      <c r="C61" s="2" t="s">
        <v>29544</v>
      </c>
      <c r="D61" s="3">
        <v>4</v>
      </c>
      <c r="E61" s="3">
        <v>61</v>
      </c>
      <c r="F61" s="3" t="str">
        <f>HYPERLINK("https://www.boe.es/gazeta/dias/1822/02/25/pdfs/GMD-1822-57.pdf","Abrir PDF")</f>
        <v>Abrir PDF</v>
      </c>
    </row>
    <row r="62" spans="1:6" ht="30.95" customHeight="1">
      <c r="A62" s="7">
        <v>-28431</v>
      </c>
      <c r="B62" s="2" t="s">
        <v>1258</v>
      </c>
      <c r="C62" s="2" t="s">
        <v>29545</v>
      </c>
      <c r="D62" s="3">
        <v>4</v>
      </c>
      <c r="E62" s="3">
        <v>36</v>
      </c>
      <c r="F62" s="3" t="str">
        <f>HYPERLINK("https://www.boe.es/gazeta/dias/1822/02/26/pdfs/GMD-1822-58.pdf","Abrir PDF")</f>
        <v>Abrir PDF</v>
      </c>
    </row>
    <row r="63" spans="1:6" ht="30.95" customHeight="1">
      <c r="A63" s="7">
        <v>-28430</v>
      </c>
      <c r="B63" s="2" t="s">
        <v>3437</v>
      </c>
      <c r="C63" s="2" t="s">
        <v>29546</v>
      </c>
      <c r="D63" s="3">
        <v>4</v>
      </c>
      <c r="E63" s="3">
        <v>13</v>
      </c>
      <c r="F63" s="3" t="str">
        <f>HYPERLINK("https://www.boe.es/gazeta/dias/1822/02/27/pdfs/GMD-1822-59.pdf","Abrir PDF")</f>
        <v>Abrir PDF</v>
      </c>
    </row>
    <row r="64" spans="1:6" ht="30.95" customHeight="1">
      <c r="A64" s="7">
        <v>-28429</v>
      </c>
      <c r="B64" s="2" t="s">
        <v>2397</v>
      </c>
      <c r="C64" s="2" t="s">
        <v>29547</v>
      </c>
      <c r="D64" s="3">
        <v>4</v>
      </c>
      <c r="E64" s="3">
        <v>13</v>
      </c>
      <c r="F64" s="3" t="str">
        <f>HYPERLINK("https://www.boe.es/gazeta/dias/1822/02/28/pdfs/GMD-1822-60.pdf","Abrir PDF")</f>
        <v>Abrir PDF</v>
      </c>
    </row>
    <row r="65" spans="1:6" ht="30.95" customHeight="1">
      <c r="A65" s="7">
        <v>-28428</v>
      </c>
      <c r="B65" s="2" t="s">
        <v>1924</v>
      </c>
      <c r="C65" s="2" t="s">
        <v>29548</v>
      </c>
      <c r="D65" s="3">
        <v>4</v>
      </c>
      <c r="E65" s="3">
        <v>26</v>
      </c>
      <c r="F65" s="3" t="str">
        <f>HYPERLINK("https://www.boe.es/gazeta/dias/1822/03/01/pdfs/GMD-1822-61.pdf","Abrir PDF")</f>
        <v>Abrir PDF</v>
      </c>
    </row>
    <row r="66" spans="1:6" ht="30.95" customHeight="1">
      <c r="A66" s="7">
        <v>-28428</v>
      </c>
      <c r="B66" s="2" t="s">
        <v>29549</v>
      </c>
      <c r="C66" s="2" t="s">
        <v>29550</v>
      </c>
      <c r="D66" s="3">
        <v>1</v>
      </c>
      <c r="E66" s="3">
        <v>0</v>
      </c>
      <c r="F66" s="3" t="str">
        <f>HYPERLINK("https://www.boe.es/gazeta/dias/1822/03/01/pdfs/GMD-1822-62E.pdf","Abrir PDF")</f>
        <v>Abrir PDF</v>
      </c>
    </row>
    <row r="67" spans="1:6" ht="30.95" customHeight="1">
      <c r="A67" s="7">
        <v>-28427</v>
      </c>
      <c r="B67" s="2" t="s">
        <v>755</v>
      </c>
      <c r="C67" s="2" t="s">
        <v>29551</v>
      </c>
      <c r="D67" s="3">
        <v>4</v>
      </c>
      <c r="E67" s="3">
        <v>69</v>
      </c>
      <c r="F67" s="3" t="str">
        <f>HYPERLINK("https://www.boe.es/gazeta/dias/1822/03/02/pdfs/GMD-1822-63.pdf","Abrir PDF")</f>
        <v>Abrir PDF</v>
      </c>
    </row>
    <row r="68" spans="1:6" ht="30.95" customHeight="1">
      <c r="A68" s="7">
        <v>-28426</v>
      </c>
      <c r="B68" s="2" t="s">
        <v>1178</v>
      </c>
      <c r="C68" s="2" t="s">
        <v>29552</v>
      </c>
      <c r="D68" s="3">
        <v>4</v>
      </c>
      <c r="E68" s="3">
        <v>59</v>
      </c>
      <c r="F68" s="3" t="str">
        <f>HYPERLINK("https://www.boe.es/gazeta/dias/1822/03/03/pdfs/GMD-1822-64.pdf","Abrir PDF")</f>
        <v>Abrir PDF</v>
      </c>
    </row>
    <row r="69" spans="1:6" ht="30.95" customHeight="1">
      <c r="A69" s="7">
        <v>-28425</v>
      </c>
      <c r="B69" s="2" t="s">
        <v>419</v>
      </c>
      <c r="C69" s="2" t="s">
        <v>29553</v>
      </c>
      <c r="D69" s="3">
        <v>4</v>
      </c>
      <c r="E69" s="3">
        <v>24</v>
      </c>
      <c r="F69" s="3" t="str">
        <f>HYPERLINK("https://www.boe.es/gazeta/dias/1822/03/04/pdfs/GMD-1822-65.pdf","Abrir PDF")</f>
        <v>Abrir PDF</v>
      </c>
    </row>
    <row r="70" spans="1:6" ht="30.95" customHeight="1">
      <c r="A70" s="7">
        <v>-28424</v>
      </c>
      <c r="B70" s="2" t="s">
        <v>439</v>
      </c>
      <c r="C70" s="2" t="s">
        <v>29554</v>
      </c>
      <c r="D70" s="3">
        <v>4</v>
      </c>
      <c r="E70" s="3">
        <v>33</v>
      </c>
      <c r="F70" s="3" t="str">
        <f>HYPERLINK("https://www.boe.es/gazeta/dias/1822/03/05/pdfs/GMD-1822-66.pdf","Abrir PDF")</f>
        <v>Abrir PDF</v>
      </c>
    </row>
    <row r="71" spans="1:6" ht="30.95" customHeight="1">
      <c r="A71" s="7">
        <v>-28423</v>
      </c>
      <c r="B71" s="2" t="s">
        <v>441</v>
      </c>
      <c r="C71" s="2" t="s">
        <v>29555</v>
      </c>
      <c r="D71" s="3">
        <v>6</v>
      </c>
      <c r="E71" s="3">
        <v>74</v>
      </c>
      <c r="F71" s="3" t="str">
        <f>HYPERLINK("https://www.boe.es/gazeta/dias/1822/03/06/pdfs/GMD-1822-67.pdf","Abrir PDF")</f>
        <v>Abrir PDF</v>
      </c>
    </row>
    <row r="72" spans="1:6" ht="30.95" customHeight="1">
      <c r="A72" s="7">
        <v>-28422</v>
      </c>
      <c r="B72" s="2" t="s">
        <v>416</v>
      </c>
      <c r="C72" s="2" t="s">
        <v>29556</v>
      </c>
      <c r="D72" s="3">
        <v>4</v>
      </c>
      <c r="E72" s="3">
        <v>48</v>
      </c>
      <c r="F72" s="3" t="str">
        <f>HYPERLINK("https://www.boe.es/gazeta/dias/1822/03/07/pdfs/GMD-1822-68.pdf","Abrir PDF")</f>
        <v>Abrir PDF</v>
      </c>
    </row>
    <row r="73" spans="1:6" ht="30.95" customHeight="1">
      <c r="A73" s="7">
        <v>-28421</v>
      </c>
      <c r="B73" s="2" t="s">
        <v>446</v>
      </c>
      <c r="C73" s="2" t="s">
        <v>29557</v>
      </c>
      <c r="D73" s="3">
        <v>6</v>
      </c>
      <c r="E73" s="3">
        <v>87</v>
      </c>
      <c r="F73" s="3" t="str">
        <f>HYPERLINK("https://www.boe.es/gazeta/dias/1822/03/08/pdfs/GMD-1822-69.pdf","Abrir PDF")</f>
        <v>Abrir PDF</v>
      </c>
    </row>
    <row r="74" spans="1:6" ht="30.95" customHeight="1">
      <c r="A74" s="7">
        <v>-28420</v>
      </c>
      <c r="B74" s="2" t="s">
        <v>449</v>
      </c>
      <c r="C74" s="2" t="s">
        <v>29558</v>
      </c>
      <c r="D74" s="3">
        <v>6</v>
      </c>
      <c r="E74" s="3">
        <v>36</v>
      </c>
      <c r="F74" s="3" t="str">
        <f>HYPERLINK("https://www.boe.es/gazeta/dias/1822/03/09/pdfs/GMD-1822-70.pdf","Abrir PDF")</f>
        <v>Abrir PDF</v>
      </c>
    </row>
    <row r="75" spans="1:6" ht="30.95" customHeight="1">
      <c r="A75" s="7">
        <v>-28419</v>
      </c>
      <c r="B75" s="2" t="s">
        <v>1392</v>
      </c>
      <c r="C75" s="2" t="s">
        <v>29559</v>
      </c>
      <c r="D75" s="3">
        <v>6</v>
      </c>
      <c r="E75" s="3">
        <v>56</v>
      </c>
      <c r="F75" s="3" t="str">
        <f>HYPERLINK("https://www.boe.es/gazeta/dias/1822/03/10/pdfs/GMD-1822-71.pdf","Abrir PDF")</f>
        <v>Abrir PDF</v>
      </c>
    </row>
    <row r="76" spans="1:6" ht="30.95" customHeight="1">
      <c r="A76" s="7">
        <v>-28418</v>
      </c>
      <c r="B76" s="2" t="s">
        <v>205</v>
      </c>
      <c r="C76" s="2" t="s">
        <v>29560</v>
      </c>
      <c r="D76" s="3">
        <v>8</v>
      </c>
      <c r="E76" s="3">
        <v>75</v>
      </c>
      <c r="F76" s="3" t="str">
        <f>HYPERLINK("https://www.boe.es/gazeta/dias/1822/03/11/pdfs/GMD-1822-72.pdf","Abrir PDF")</f>
        <v>Abrir PDF</v>
      </c>
    </row>
    <row r="77" spans="1:6" ht="30.95" customHeight="1">
      <c r="A77" s="7">
        <v>-28417</v>
      </c>
      <c r="B77" s="2" t="s">
        <v>1394</v>
      </c>
      <c r="C77" s="2" t="s">
        <v>29561</v>
      </c>
      <c r="D77" s="3">
        <v>4</v>
      </c>
      <c r="E77" s="3">
        <v>86</v>
      </c>
      <c r="F77" s="3" t="str">
        <f>HYPERLINK("https://www.boe.es/gazeta/dias/1822/03/12/pdfs/GMD-1822-73.pdf","Abrir PDF")</f>
        <v>Abrir PDF</v>
      </c>
    </row>
    <row r="78" spans="1:6" ht="30.95" customHeight="1">
      <c r="A78" s="7">
        <v>-28416</v>
      </c>
      <c r="B78" s="2" t="s">
        <v>97</v>
      </c>
      <c r="C78" s="2" t="s">
        <v>29562</v>
      </c>
      <c r="D78" s="3">
        <v>6</v>
      </c>
      <c r="E78" s="3">
        <v>55</v>
      </c>
      <c r="F78" s="3" t="str">
        <f>HYPERLINK("https://www.boe.es/gazeta/dias/1822/03/13/pdfs/GMD-1822-74.pdf","Abrir PDF")</f>
        <v>Abrir PDF</v>
      </c>
    </row>
    <row r="79" spans="1:6" ht="30.95" customHeight="1">
      <c r="A79" s="7">
        <v>-28415</v>
      </c>
      <c r="B79" s="2" t="s">
        <v>77</v>
      </c>
      <c r="C79" s="2" t="s">
        <v>29563</v>
      </c>
      <c r="D79" s="3">
        <v>6</v>
      </c>
      <c r="E79" s="3">
        <v>152</v>
      </c>
      <c r="F79" s="3" t="str">
        <f>HYPERLINK("https://www.boe.es/gazeta/dias/1822/03/14/pdfs/GMD-1822-75.pdf","Abrir PDF")</f>
        <v>Abrir PDF</v>
      </c>
    </row>
    <row r="80" spans="1:6" ht="30.95" customHeight="1">
      <c r="A80" s="7">
        <v>-28414</v>
      </c>
      <c r="B80" s="2" t="s">
        <v>187</v>
      </c>
      <c r="C80" s="2" t="s">
        <v>29564</v>
      </c>
      <c r="D80" s="3">
        <v>6</v>
      </c>
      <c r="E80" s="3">
        <v>67</v>
      </c>
      <c r="F80" s="3" t="str">
        <f>HYPERLINK("https://www.boe.es/gazeta/dias/1822/03/15/pdfs/GMD-1822-76.pdf","Abrir PDF")</f>
        <v>Abrir PDF</v>
      </c>
    </row>
    <row r="81" spans="1:6" ht="30.95" customHeight="1">
      <c r="A81" s="7">
        <v>-28413</v>
      </c>
      <c r="B81" s="2" t="s">
        <v>458</v>
      </c>
      <c r="C81" s="2" t="s">
        <v>29565</v>
      </c>
      <c r="D81" s="3">
        <v>6</v>
      </c>
      <c r="E81" s="3">
        <v>40</v>
      </c>
      <c r="F81" s="3" t="str">
        <f>HYPERLINK("https://www.boe.es/gazeta/dias/1822/03/16/pdfs/GMD-1822-77.pdf","Abrir PDF")</f>
        <v>Abrir PDF</v>
      </c>
    </row>
    <row r="82" spans="1:6" ht="30.95" customHeight="1">
      <c r="A82" s="7">
        <v>-28412</v>
      </c>
      <c r="B82" s="2" t="s">
        <v>825</v>
      </c>
      <c r="C82" s="2" t="s">
        <v>29566</v>
      </c>
      <c r="D82" s="3">
        <v>4</v>
      </c>
      <c r="E82" s="3">
        <v>39</v>
      </c>
      <c r="F82" s="3" t="str">
        <f>HYPERLINK("https://www.boe.es/gazeta/dias/1822/03/17/pdfs/GMD-1822-78.pdf","Abrir PDF")</f>
        <v>Abrir PDF</v>
      </c>
    </row>
    <row r="83" spans="1:6" ht="30.95" customHeight="1">
      <c r="A83" s="7">
        <v>-28411</v>
      </c>
      <c r="B83" s="2" t="s">
        <v>1509</v>
      </c>
      <c r="C83" s="2" t="s">
        <v>29567</v>
      </c>
      <c r="D83" s="3">
        <v>4</v>
      </c>
      <c r="E83" s="3">
        <v>52</v>
      </c>
      <c r="F83" s="3" t="str">
        <f>HYPERLINK("https://www.boe.es/gazeta/dias/1822/03/18/pdfs/GMD-1822-79.pdf","Abrir PDF")</f>
        <v>Abrir PDF</v>
      </c>
    </row>
    <row r="84" spans="1:6" ht="30.95" customHeight="1">
      <c r="A84" s="7">
        <v>-28410</v>
      </c>
      <c r="B84" s="2" t="s">
        <v>966</v>
      </c>
      <c r="C84" s="2" t="s">
        <v>29568</v>
      </c>
      <c r="D84" s="3">
        <v>4</v>
      </c>
      <c r="E84" s="3">
        <v>59</v>
      </c>
      <c r="F84" s="3" t="str">
        <f>HYPERLINK("https://www.boe.es/gazeta/dias/1822/03/19/pdfs/GMD-1822-80.pdf","Abrir PDF")</f>
        <v>Abrir PDF</v>
      </c>
    </row>
    <row r="85" spans="1:6" ht="30.95" customHeight="1">
      <c r="A85" s="7">
        <v>-28409</v>
      </c>
      <c r="B85" s="2" t="s">
        <v>394</v>
      </c>
      <c r="C85" s="2" t="s">
        <v>29569</v>
      </c>
      <c r="D85" s="3">
        <v>6</v>
      </c>
      <c r="E85" s="3">
        <v>37</v>
      </c>
      <c r="F85" s="3" t="str">
        <f>HYPERLINK("https://www.boe.es/gazeta/dias/1822/03/20/pdfs/GMD-1822-81.pdf","Abrir PDF")</f>
        <v>Abrir PDF</v>
      </c>
    </row>
    <row r="86" spans="1:6" ht="30.95" customHeight="1">
      <c r="A86" s="7">
        <v>-28408</v>
      </c>
      <c r="B86" s="2" t="s">
        <v>2561</v>
      </c>
      <c r="C86" s="2" t="s">
        <v>29570</v>
      </c>
      <c r="D86" s="3">
        <v>6</v>
      </c>
      <c r="E86" s="3">
        <v>34</v>
      </c>
      <c r="F86" s="3" t="str">
        <f>HYPERLINK("https://www.boe.es/gazeta/dias/1822/03/21/pdfs/GMD-1822-82.pdf","Abrir PDF")</f>
        <v>Abrir PDF</v>
      </c>
    </row>
    <row r="87" spans="1:6" ht="30.95" customHeight="1">
      <c r="A87" s="7">
        <v>-28407</v>
      </c>
      <c r="B87" s="2" t="s">
        <v>460</v>
      </c>
      <c r="C87" s="2" t="s">
        <v>29571</v>
      </c>
      <c r="D87" s="3">
        <v>6</v>
      </c>
      <c r="E87" s="3">
        <v>35</v>
      </c>
      <c r="F87" s="3" t="str">
        <f>HYPERLINK("https://www.boe.es/gazeta/dias/1822/03/22/pdfs/GMD-1822-83.pdf","Abrir PDF")</f>
        <v>Abrir PDF</v>
      </c>
    </row>
    <row r="88" spans="1:6" ht="30.95" customHeight="1">
      <c r="A88" s="7">
        <v>-28406</v>
      </c>
      <c r="B88" s="2" t="s">
        <v>462</v>
      </c>
      <c r="C88" s="2" t="s">
        <v>29572</v>
      </c>
      <c r="D88" s="3">
        <v>8</v>
      </c>
      <c r="E88" s="3">
        <v>37</v>
      </c>
      <c r="F88" s="3" t="str">
        <f>HYPERLINK("https://www.boe.es/gazeta/dias/1822/03/23/pdfs/GMD-1822-84.pdf","Abrir PDF")</f>
        <v>Abrir PDF</v>
      </c>
    </row>
    <row r="89" spans="1:6" ht="30.95" customHeight="1">
      <c r="A89" s="7">
        <v>-28405</v>
      </c>
      <c r="B89" s="2" t="s">
        <v>466</v>
      </c>
      <c r="C89" s="2" t="s">
        <v>29573</v>
      </c>
      <c r="D89" s="3">
        <v>6</v>
      </c>
      <c r="E89" s="3">
        <v>31</v>
      </c>
      <c r="F89" s="3" t="str">
        <f>HYPERLINK("https://www.boe.es/gazeta/dias/1822/03/24/pdfs/GMD-1822-85.pdf","Abrir PDF")</f>
        <v>Abrir PDF</v>
      </c>
    </row>
    <row r="90" spans="1:6" ht="30.95" customHeight="1">
      <c r="A90" s="7">
        <v>-28404</v>
      </c>
      <c r="B90" s="2" t="s">
        <v>421</v>
      </c>
      <c r="C90" s="2" t="s">
        <v>29574</v>
      </c>
      <c r="D90" s="3">
        <v>4</v>
      </c>
      <c r="E90" s="3">
        <v>46</v>
      </c>
      <c r="F90" s="3" t="str">
        <f>HYPERLINK("https://www.boe.es/gazeta/dias/1822/03/25/pdfs/GMD-1822-86.pdf","Abrir PDF")</f>
        <v>Abrir PDF</v>
      </c>
    </row>
    <row r="91" spans="1:6" ht="30.95" customHeight="1">
      <c r="A91" s="7">
        <v>-28403</v>
      </c>
      <c r="B91" s="2" t="s">
        <v>471</v>
      </c>
      <c r="C91" s="2" t="s">
        <v>29575</v>
      </c>
      <c r="D91" s="3">
        <v>6</v>
      </c>
      <c r="E91" s="3">
        <v>45</v>
      </c>
      <c r="F91" s="3" t="str">
        <f>HYPERLINK("https://www.boe.es/gazeta/dias/1822/03/26/pdfs/GMD-1822-87.pdf","Abrir PDF")</f>
        <v>Abrir PDF</v>
      </c>
    </row>
    <row r="92" spans="1:6" ht="30.95" customHeight="1">
      <c r="A92" s="7">
        <v>-28402</v>
      </c>
      <c r="B92" s="2" t="s">
        <v>473</v>
      </c>
      <c r="C92" s="2" t="s">
        <v>29576</v>
      </c>
      <c r="D92" s="3">
        <v>6</v>
      </c>
      <c r="E92" s="3">
        <v>77</v>
      </c>
      <c r="F92" s="3" t="str">
        <f>HYPERLINK("https://www.boe.es/gazeta/dias/1822/03/27/pdfs/GMD-1822-88.pdf","Abrir PDF")</f>
        <v>Abrir PDF</v>
      </c>
    </row>
    <row r="93" spans="1:6" ht="30.95" customHeight="1">
      <c r="A93" s="7">
        <v>-28401</v>
      </c>
      <c r="B93" s="2" t="s">
        <v>108</v>
      </c>
      <c r="C93" s="2" t="s">
        <v>29577</v>
      </c>
      <c r="D93" s="3">
        <v>6</v>
      </c>
      <c r="E93" s="3">
        <v>52</v>
      </c>
      <c r="F93" s="3" t="str">
        <f>HYPERLINK("https://www.boe.es/gazeta/dias/1822/03/28/pdfs/GMD-1822-89.pdf","Abrir PDF")</f>
        <v>Abrir PDF</v>
      </c>
    </row>
    <row r="94" spans="1:6" ht="30.95" customHeight="1">
      <c r="A94" s="7">
        <v>-28400</v>
      </c>
      <c r="B94" s="2" t="s">
        <v>1937</v>
      </c>
      <c r="C94" s="2" t="s">
        <v>29578</v>
      </c>
      <c r="D94" s="3">
        <v>4</v>
      </c>
      <c r="E94" s="3">
        <v>41</v>
      </c>
      <c r="F94" s="3" t="str">
        <f>HYPERLINK("https://www.boe.es/gazeta/dias/1822/03/29/pdfs/GMD-1822-90.pdf","Abrir PDF")</f>
        <v>Abrir PDF</v>
      </c>
    </row>
    <row r="95" spans="1:6" ht="30.95" customHeight="1">
      <c r="A95" s="7">
        <v>-28399</v>
      </c>
      <c r="B95" s="2" t="s">
        <v>476</v>
      </c>
      <c r="C95" s="2" t="s">
        <v>29579</v>
      </c>
      <c r="D95" s="3">
        <v>4</v>
      </c>
      <c r="E95" s="3">
        <v>33</v>
      </c>
      <c r="F95" s="3" t="str">
        <f>HYPERLINK("https://www.boe.es/gazeta/dias/1822/03/30/pdfs/GMD-1822-91.pdf","Abrir PDF")</f>
        <v>Abrir PDF</v>
      </c>
    </row>
    <row r="96" spans="1:6" ht="30.95" customHeight="1">
      <c r="A96" s="7">
        <v>-28398</v>
      </c>
      <c r="B96" s="2" t="s">
        <v>1961</v>
      </c>
      <c r="C96" s="2" t="s">
        <v>29580</v>
      </c>
      <c r="D96" s="3">
        <v>4</v>
      </c>
      <c r="E96" s="3">
        <v>38</v>
      </c>
      <c r="F96" s="3" t="str">
        <f>HYPERLINK("https://www.boe.es/gazeta/dias/1822/03/31/pdfs/GMD-1822-92.pdf","Abrir PDF")</f>
        <v>Abrir PDF</v>
      </c>
    </row>
    <row r="97" spans="1:6" ht="30.95" customHeight="1">
      <c r="A97" s="7">
        <v>-28397</v>
      </c>
      <c r="B97" s="2" t="s">
        <v>1401</v>
      </c>
      <c r="C97" s="2" t="s">
        <v>29581</v>
      </c>
      <c r="D97" s="3">
        <v>6</v>
      </c>
      <c r="E97" s="3">
        <v>50</v>
      </c>
      <c r="F97" s="3" t="str">
        <f>HYPERLINK("https://www.boe.es/gazeta/dias/1822/04/01/pdfs/GMD-1822-93.pdf","Abrir PDF")</f>
        <v>Abrir PDF</v>
      </c>
    </row>
    <row r="98" spans="1:6" ht="30.95" customHeight="1">
      <c r="A98" s="7">
        <v>-28396</v>
      </c>
      <c r="B98" s="2" t="s">
        <v>1138</v>
      </c>
      <c r="C98" s="2" t="s">
        <v>29582</v>
      </c>
      <c r="D98" s="3">
        <v>8</v>
      </c>
      <c r="E98" s="3">
        <v>86</v>
      </c>
      <c r="F98" s="3" t="str">
        <f>HYPERLINK("https://www.boe.es/gazeta/dias/1822/04/02/pdfs/GMD-1822-94.pdf","Abrir PDF")</f>
        <v>Abrir PDF</v>
      </c>
    </row>
    <row r="99" spans="1:6" ht="30.95" customHeight="1">
      <c r="A99" s="7">
        <v>-28395</v>
      </c>
      <c r="B99" s="2" t="s">
        <v>237</v>
      </c>
      <c r="C99" s="2" t="s">
        <v>29583</v>
      </c>
      <c r="D99" s="3">
        <v>4</v>
      </c>
      <c r="E99" s="3">
        <v>90</v>
      </c>
      <c r="F99" s="3" t="str">
        <f>HYPERLINK("https://www.boe.es/gazeta/dias/1822/04/03/pdfs/GMD-1822-95.pdf","Abrir PDF")</f>
        <v>Abrir PDF</v>
      </c>
    </row>
    <row r="100" spans="1:6" ht="30.95" customHeight="1">
      <c r="A100" s="7">
        <v>-28394</v>
      </c>
      <c r="B100" s="2" t="s">
        <v>268</v>
      </c>
      <c r="C100" s="2" t="s">
        <v>29584</v>
      </c>
      <c r="D100" s="3">
        <v>4</v>
      </c>
      <c r="E100" s="3">
        <v>59</v>
      </c>
      <c r="F100" s="3" t="str">
        <f>HYPERLINK("https://www.boe.es/gazeta/dias/1822/04/04/pdfs/GMD-1822-96.pdf","Abrir PDF")</f>
        <v>Abrir PDF</v>
      </c>
    </row>
    <row r="101" spans="1:6" ht="30.95" customHeight="1">
      <c r="A101" s="7">
        <v>-28393</v>
      </c>
      <c r="B101" s="2" t="s">
        <v>326</v>
      </c>
      <c r="C101" s="2" t="s">
        <v>29585</v>
      </c>
      <c r="D101" s="3">
        <v>4</v>
      </c>
      <c r="E101" s="3">
        <v>33</v>
      </c>
      <c r="F101" s="3" t="str">
        <f>HYPERLINK("https://www.boe.es/gazeta/dias/1822/04/05/pdfs/GMD-1822-97.pdf","Abrir PDF")</f>
        <v>Abrir PDF</v>
      </c>
    </row>
    <row r="102" spans="1:6" ht="30.95" customHeight="1">
      <c r="A102" s="7">
        <v>-28392</v>
      </c>
      <c r="B102" s="2" t="s">
        <v>2003</v>
      </c>
      <c r="C102" s="2" t="s">
        <v>29586</v>
      </c>
      <c r="D102" s="3">
        <v>4</v>
      </c>
      <c r="E102" s="3">
        <v>28</v>
      </c>
      <c r="F102" s="3" t="str">
        <f>HYPERLINK("https://www.boe.es/gazeta/dias/1822/04/06/pdfs/GMD-1822-98.pdf","Abrir PDF")</f>
        <v>Abrir PDF</v>
      </c>
    </row>
    <row r="103" spans="1:6" ht="30.95" customHeight="1">
      <c r="A103" s="7">
        <v>-28391</v>
      </c>
      <c r="B103" s="2" t="s">
        <v>378</v>
      </c>
      <c r="C103" s="2" t="s">
        <v>29587</v>
      </c>
      <c r="D103" s="3">
        <v>6</v>
      </c>
      <c r="E103" s="3">
        <v>88</v>
      </c>
      <c r="F103" s="3" t="str">
        <f>HYPERLINK("https://www.boe.es/gazeta/dias/1822/04/07/pdfs/GMD-1822-99.pdf","Abrir PDF")</f>
        <v>Abrir PDF</v>
      </c>
    </row>
    <row r="104" spans="1:6" ht="30.95" customHeight="1">
      <c r="A104" s="7">
        <v>-28390</v>
      </c>
      <c r="B104" s="2" t="s">
        <v>665</v>
      </c>
      <c r="C104" s="2" t="s">
        <v>29588</v>
      </c>
      <c r="D104" s="3">
        <v>4</v>
      </c>
      <c r="E104" s="3">
        <v>50</v>
      </c>
      <c r="F104" s="3" t="str">
        <f>HYPERLINK("https://www.boe.es/gazeta/dias/1822/04/08/pdfs/GMD-1822-100.pdf","Abrir PDF")</f>
        <v>Abrir PDF</v>
      </c>
    </row>
    <row r="105" spans="1:6" ht="30.95" customHeight="1">
      <c r="A105" s="7">
        <v>-28389</v>
      </c>
      <c r="B105" s="2" t="s">
        <v>481</v>
      </c>
      <c r="C105" s="2" t="s">
        <v>29589</v>
      </c>
      <c r="D105" s="3">
        <v>4</v>
      </c>
      <c r="E105" s="3">
        <v>39</v>
      </c>
      <c r="F105" s="3" t="str">
        <f>HYPERLINK("https://www.boe.es/gazeta/dias/1822/04/09/pdfs/GMD-1822-101.pdf","Abrir PDF")</f>
        <v>Abrir PDF</v>
      </c>
    </row>
    <row r="106" spans="1:6" ht="30.95" customHeight="1">
      <c r="A106" s="7">
        <v>-28388</v>
      </c>
      <c r="B106" s="2" t="s">
        <v>1268</v>
      </c>
      <c r="C106" s="2" t="s">
        <v>29590</v>
      </c>
      <c r="D106" s="3">
        <v>4</v>
      </c>
      <c r="E106" s="3">
        <v>46</v>
      </c>
      <c r="F106" s="3" t="str">
        <f>HYPERLINK("https://www.boe.es/gazeta/dias/1822/04/10/pdfs/GMD-1822-102.pdf","Abrir PDF")</f>
        <v>Abrir PDF</v>
      </c>
    </row>
    <row r="107" spans="1:6" ht="30.95" customHeight="1">
      <c r="A107" s="7">
        <v>-28387</v>
      </c>
      <c r="B107" s="2" t="s">
        <v>2874</v>
      </c>
      <c r="C107" s="2" t="s">
        <v>29591</v>
      </c>
      <c r="D107" s="3">
        <v>6</v>
      </c>
      <c r="E107" s="3">
        <v>33</v>
      </c>
      <c r="F107" s="3" t="str">
        <f>HYPERLINK("https://www.boe.es/gazeta/dias/1822/04/11/pdfs/GMD-1822-103.pdf","Abrir PDF")</f>
        <v>Abrir PDF</v>
      </c>
    </row>
    <row r="108" spans="1:6" ht="30.95" customHeight="1">
      <c r="A108" s="7">
        <v>-28386</v>
      </c>
      <c r="B108" s="2" t="s">
        <v>2993</v>
      </c>
      <c r="C108" s="2" t="s">
        <v>29592</v>
      </c>
      <c r="D108" s="3">
        <v>4</v>
      </c>
      <c r="E108" s="3">
        <v>43</v>
      </c>
      <c r="F108" s="3" t="str">
        <f>HYPERLINK("https://www.boe.es/gazeta/dias/1822/04/12/pdfs/GMD-1822-104.pdf","Abrir PDF")</f>
        <v>Abrir PDF</v>
      </c>
    </row>
    <row r="109" spans="1:6" ht="30.95" customHeight="1">
      <c r="A109" s="7">
        <v>-28385</v>
      </c>
      <c r="B109" s="2" t="s">
        <v>484</v>
      </c>
      <c r="C109" s="2" t="s">
        <v>29593</v>
      </c>
      <c r="D109" s="3">
        <v>6</v>
      </c>
      <c r="E109" s="3">
        <v>42</v>
      </c>
      <c r="F109" s="3" t="str">
        <f>HYPERLINK("https://www.boe.es/gazeta/dias/1822/04/13/pdfs/GMD-1822-105.pdf","Abrir PDF")</f>
        <v>Abrir PDF</v>
      </c>
    </row>
    <row r="110" spans="1:6" ht="30.95" customHeight="1">
      <c r="A110" s="7">
        <v>-28384</v>
      </c>
      <c r="B110" s="2" t="s">
        <v>258</v>
      </c>
      <c r="C110" s="2" t="s">
        <v>29594</v>
      </c>
      <c r="D110" s="3">
        <v>6</v>
      </c>
      <c r="E110" s="3">
        <v>68</v>
      </c>
      <c r="F110" s="3" t="str">
        <f>HYPERLINK("https://www.boe.es/gazeta/dias/1822/04/14/pdfs/GMD-1822-106.pdf","Abrir PDF")</f>
        <v>Abrir PDF</v>
      </c>
    </row>
    <row r="111" spans="1:6" ht="30.95" customHeight="1">
      <c r="A111" s="7">
        <v>-28383</v>
      </c>
      <c r="B111" s="2" t="s">
        <v>488</v>
      </c>
      <c r="C111" s="2" t="s">
        <v>29595</v>
      </c>
      <c r="D111" s="3">
        <v>6</v>
      </c>
      <c r="E111" s="3">
        <v>54</v>
      </c>
      <c r="F111" s="3" t="str">
        <f>HYPERLINK("https://www.boe.es/gazeta/dias/1822/04/15/pdfs/GMD-1822-107.pdf","Abrir PDF")</f>
        <v>Abrir PDF</v>
      </c>
    </row>
    <row r="112" spans="1:6" ht="30.95" customHeight="1">
      <c r="A112" s="7">
        <v>-28382</v>
      </c>
      <c r="B112" s="2" t="s">
        <v>973</v>
      </c>
      <c r="C112" s="2" t="s">
        <v>29596</v>
      </c>
      <c r="D112" s="3">
        <v>6</v>
      </c>
      <c r="E112" s="3">
        <v>68</v>
      </c>
      <c r="F112" s="3" t="str">
        <f>HYPERLINK("https://www.boe.es/gazeta/dias/1822/04/16/pdfs/GMD-1822-108.pdf","Abrir PDF")</f>
        <v>Abrir PDF</v>
      </c>
    </row>
    <row r="113" spans="1:6" ht="30.95" customHeight="1">
      <c r="A113" s="7">
        <v>-28381</v>
      </c>
      <c r="B113" s="2" t="s">
        <v>358</v>
      </c>
      <c r="C113" s="2" t="s">
        <v>29597</v>
      </c>
      <c r="D113" s="3">
        <v>6</v>
      </c>
      <c r="E113" s="3">
        <v>63</v>
      </c>
      <c r="F113" s="3" t="str">
        <f>HYPERLINK("https://www.boe.es/gazeta/dias/1822/04/17/pdfs/GMD-1822-109.pdf","Abrir PDF")</f>
        <v>Abrir PDF</v>
      </c>
    </row>
    <row r="114" spans="1:6" ht="30.95" customHeight="1">
      <c r="A114" s="7">
        <v>-28380</v>
      </c>
      <c r="B114" s="2" t="s">
        <v>492</v>
      </c>
      <c r="C114" s="2" t="s">
        <v>29598</v>
      </c>
      <c r="D114" s="3">
        <v>6</v>
      </c>
      <c r="E114" s="3">
        <v>45</v>
      </c>
      <c r="F114" s="3" t="str">
        <f>HYPERLINK("https://www.boe.es/gazeta/dias/1822/04/18/pdfs/GMD-1822-110.pdf","Abrir PDF")</f>
        <v>Abrir PDF</v>
      </c>
    </row>
    <row r="115" spans="1:6" ht="30.95" customHeight="1">
      <c r="A115" s="7">
        <v>-28379</v>
      </c>
      <c r="B115" s="2" t="s">
        <v>494</v>
      </c>
      <c r="C115" s="2" t="s">
        <v>29599</v>
      </c>
      <c r="D115" s="3">
        <v>6</v>
      </c>
      <c r="E115" s="3">
        <v>73</v>
      </c>
      <c r="F115" s="3" t="str">
        <f>HYPERLINK("https://www.boe.es/gazeta/dias/1822/04/19/pdfs/GMD-1822-111.pdf","Abrir PDF")</f>
        <v>Abrir PDF</v>
      </c>
    </row>
    <row r="116" spans="1:6" ht="30.95" customHeight="1">
      <c r="A116" s="7">
        <v>-28378</v>
      </c>
      <c r="B116" s="2" t="s">
        <v>496</v>
      </c>
      <c r="C116" s="2" t="s">
        <v>29600</v>
      </c>
      <c r="D116" s="3">
        <v>4</v>
      </c>
      <c r="E116" s="3">
        <v>87</v>
      </c>
      <c r="F116" s="3" t="str">
        <f>HYPERLINK("https://www.boe.es/gazeta/dias/1822/04/20/pdfs/GMD-1822-112.pdf","Abrir PDF")</f>
        <v>Abrir PDF</v>
      </c>
    </row>
    <row r="117" spans="1:6" ht="30.95" customHeight="1">
      <c r="A117" s="7">
        <v>-28377</v>
      </c>
      <c r="B117" s="2" t="s">
        <v>498</v>
      </c>
      <c r="C117" s="2" t="s">
        <v>29601</v>
      </c>
      <c r="D117" s="3">
        <v>4</v>
      </c>
      <c r="E117" s="3">
        <v>41</v>
      </c>
      <c r="F117" s="3" t="str">
        <f>HYPERLINK("https://www.boe.es/gazeta/dias/1822/04/21/pdfs/GMD-1822-113.pdf","Abrir PDF")</f>
        <v>Abrir PDF</v>
      </c>
    </row>
    <row r="118" spans="1:6" ht="30.95" customHeight="1">
      <c r="A118" s="7">
        <v>-28376</v>
      </c>
      <c r="B118" s="2" t="s">
        <v>500</v>
      </c>
      <c r="C118" s="2" t="s">
        <v>29602</v>
      </c>
      <c r="D118" s="3">
        <v>4</v>
      </c>
      <c r="E118" s="3">
        <v>31</v>
      </c>
      <c r="F118" s="3" t="str">
        <f>HYPERLINK("https://www.boe.es/gazeta/dias/1822/04/22/pdfs/GMD-1822-114.pdf","Abrir PDF")</f>
        <v>Abrir PDF</v>
      </c>
    </row>
    <row r="119" spans="1:6" ht="30.95" customHeight="1">
      <c r="A119" s="7">
        <v>-28375</v>
      </c>
      <c r="B119" s="2" t="s">
        <v>2035</v>
      </c>
      <c r="C119" s="2" t="s">
        <v>29603</v>
      </c>
      <c r="D119" s="3">
        <v>4</v>
      </c>
      <c r="E119" s="3">
        <v>29</v>
      </c>
      <c r="F119" s="3" t="str">
        <f>HYPERLINK("https://www.boe.es/gazeta/dias/1822/04/23/pdfs/GMD-1822-115.pdf","Abrir PDF")</f>
        <v>Abrir PDF</v>
      </c>
    </row>
    <row r="120" spans="1:6" ht="30.95" customHeight="1">
      <c r="A120" s="7">
        <v>-28374</v>
      </c>
      <c r="B120" s="2" t="s">
        <v>171</v>
      </c>
      <c r="C120" s="2" t="s">
        <v>29604</v>
      </c>
      <c r="D120" s="3">
        <v>4</v>
      </c>
      <c r="E120" s="3">
        <v>38</v>
      </c>
      <c r="F120" s="3" t="str">
        <f>HYPERLINK("https://www.boe.es/gazeta/dias/1822/04/24/pdfs/GMD-1822-116.pdf","Abrir PDF")</f>
        <v>Abrir PDF</v>
      </c>
    </row>
    <row r="121" spans="1:6" ht="30.95" customHeight="1">
      <c r="A121" s="7">
        <v>-28373</v>
      </c>
      <c r="B121" s="2" t="s">
        <v>614</v>
      </c>
      <c r="C121" s="2" t="s">
        <v>29605</v>
      </c>
      <c r="D121" s="3">
        <v>4</v>
      </c>
      <c r="E121" s="3">
        <v>29</v>
      </c>
      <c r="F121" s="3" t="str">
        <f>HYPERLINK("https://www.boe.es/gazeta/dias/1822/04/25/pdfs/GMD-1822-117.pdf","Abrir PDF")</f>
        <v>Abrir PDF</v>
      </c>
    </row>
    <row r="122" spans="1:6" ht="30.95" customHeight="1">
      <c r="A122" s="7">
        <v>-28372</v>
      </c>
      <c r="B122" s="2" t="s">
        <v>503</v>
      </c>
      <c r="C122" s="2" t="s">
        <v>29606</v>
      </c>
      <c r="D122" s="3">
        <v>6</v>
      </c>
      <c r="E122" s="3">
        <v>36</v>
      </c>
      <c r="F122" s="3" t="str">
        <f>HYPERLINK("https://www.boe.es/gazeta/dias/1822/04/26/pdfs/GMD-1822-118.pdf","Abrir PDF")</f>
        <v>Abrir PDF</v>
      </c>
    </row>
    <row r="123" spans="1:6" ht="30.95" customHeight="1">
      <c r="A123" s="7">
        <v>-28371</v>
      </c>
      <c r="B123" s="2" t="s">
        <v>401</v>
      </c>
      <c r="C123" s="2" t="s">
        <v>29607</v>
      </c>
      <c r="D123" s="3">
        <v>6</v>
      </c>
      <c r="E123" s="3">
        <v>54</v>
      </c>
      <c r="F123" s="3" t="str">
        <f>HYPERLINK("https://www.boe.es/gazeta/dias/1822/04/27/pdfs/GMD-1822-119.pdf","Abrir PDF")</f>
        <v>Abrir PDF</v>
      </c>
    </row>
    <row r="124" spans="1:6" ht="30.95" customHeight="1">
      <c r="A124" s="7">
        <v>-28370</v>
      </c>
      <c r="B124" s="2" t="s">
        <v>207</v>
      </c>
      <c r="C124" s="2" t="s">
        <v>29608</v>
      </c>
      <c r="D124" s="3">
        <v>6</v>
      </c>
      <c r="E124" s="3">
        <v>42</v>
      </c>
      <c r="F124" s="3" t="str">
        <f>HYPERLINK("https://www.boe.es/gazeta/dias/1822/04/28/pdfs/GMD-1822-120.pdf","Abrir PDF")</f>
        <v>Abrir PDF</v>
      </c>
    </row>
    <row r="125" spans="1:6" ht="30.95" customHeight="1">
      <c r="A125" s="7">
        <v>-28369</v>
      </c>
      <c r="B125" s="2" t="s">
        <v>1590</v>
      </c>
      <c r="C125" s="2" t="s">
        <v>29609</v>
      </c>
      <c r="D125" s="3">
        <v>6</v>
      </c>
      <c r="E125" s="3">
        <v>28</v>
      </c>
      <c r="F125" s="3" t="str">
        <f>HYPERLINK("https://www.boe.es/gazeta/dias/1822/04/29/pdfs/GMD-1822-121.pdf","Abrir PDF")</f>
        <v>Abrir PDF</v>
      </c>
    </row>
    <row r="126" spans="1:6" ht="30.95" customHeight="1">
      <c r="A126" s="7">
        <v>-28368</v>
      </c>
      <c r="B126" s="2" t="s">
        <v>126</v>
      </c>
      <c r="C126" s="2" t="s">
        <v>29610</v>
      </c>
      <c r="D126" s="3">
        <v>4</v>
      </c>
      <c r="E126" s="3">
        <v>34</v>
      </c>
      <c r="F126" s="3" t="str">
        <f>HYPERLINK("https://www.boe.es/gazeta/dias/1822/04/30/pdfs/GMD-1822-122.pdf","Abrir PDF")</f>
        <v>Abrir PDF</v>
      </c>
    </row>
    <row r="127" spans="1:6" ht="30.95" customHeight="1">
      <c r="A127" s="7">
        <v>-28367</v>
      </c>
      <c r="B127" s="2" t="s">
        <v>280</v>
      </c>
      <c r="C127" s="2" t="s">
        <v>29611</v>
      </c>
      <c r="D127" s="3">
        <v>6</v>
      </c>
      <c r="E127" s="3">
        <v>67</v>
      </c>
      <c r="F127" s="3" t="str">
        <f>HYPERLINK("https://www.boe.es/gazeta/dias/1822/05/01/pdfs/GMD-1822-123.pdf","Abrir PDF")</f>
        <v>Abrir PDF</v>
      </c>
    </row>
    <row r="128" spans="1:6" ht="30.95" customHeight="1">
      <c r="A128" s="7">
        <v>-28366</v>
      </c>
      <c r="B128" s="2" t="s">
        <v>120</v>
      </c>
      <c r="C128" s="2" t="s">
        <v>29612</v>
      </c>
      <c r="D128" s="3">
        <v>6</v>
      </c>
      <c r="E128" s="3">
        <v>76</v>
      </c>
      <c r="F128" s="3" t="str">
        <f>HYPERLINK("https://www.boe.es/gazeta/dias/1822/05/02/pdfs/GMD-1822-124.pdf","Abrir PDF")</f>
        <v>Abrir PDF</v>
      </c>
    </row>
    <row r="129" spans="1:6" ht="30.95" customHeight="1">
      <c r="A129" s="7">
        <v>-28365</v>
      </c>
      <c r="B129" s="2" t="s">
        <v>506</v>
      </c>
      <c r="C129" s="2" t="s">
        <v>29613</v>
      </c>
      <c r="D129" s="3">
        <v>6</v>
      </c>
      <c r="E129" s="3">
        <v>76</v>
      </c>
      <c r="F129" s="3" t="str">
        <f>HYPERLINK("https://www.boe.es/gazeta/dias/1822/05/03/pdfs/GMD-1822-125.pdf","Abrir PDF")</f>
        <v>Abrir PDF</v>
      </c>
    </row>
    <row r="130" spans="1:6" ht="30.95" customHeight="1">
      <c r="A130" s="7">
        <v>-28364</v>
      </c>
      <c r="B130" s="2" t="s">
        <v>509</v>
      </c>
      <c r="C130" s="2" t="s">
        <v>29614</v>
      </c>
      <c r="D130" s="3">
        <v>6</v>
      </c>
      <c r="E130" s="3">
        <v>78</v>
      </c>
      <c r="F130" s="3" t="str">
        <f>HYPERLINK("https://www.boe.es/gazeta/dias/1822/05/04/pdfs/GMD-1822-126.pdf","Abrir PDF")</f>
        <v>Abrir PDF</v>
      </c>
    </row>
    <row r="131" spans="1:6" ht="30.95" customHeight="1">
      <c r="A131" s="7">
        <v>-28363</v>
      </c>
      <c r="B131" s="2" t="s">
        <v>72</v>
      </c>
      <c r="C131" s="2" t="s">
        <v>29615</v>
      </c>
      <c r="D131" s="3">
        <v>6</v>
      </c>
      <c r="E131" s="3">
        <v>61</v>
      </c>
      <c r="F131" s="3" t="str">
        <f>HYPERLINK("https://www.boe.es/gazeta/dias/1822/05/05/pdfs/GMD-1822-127.pdf","Abrir PDF")</f>
        <v>Abrir PDF</v>
      </c>
    </row>
    <row r="132" spans="1:6" ht="30.95" customHeight="1">
      <c r="A132" s="7">
        <v>-28362</v>
      </c>
      <c r="B132" s="2" t="s">
        <v>511</v>
      </c>
      <c r="C132" s="2" t="s">
        <v>29616</v>
      </c>
      <c r="D132" s="3">
        <v>6</v>
      </c>
      <c r="E132" s="3">
        <v>36</v>
      </c>
      <c r="F132" s="3" t="str">
        <f>HYPERLINK("https://www.boe.es/gazeta/dias/1822/05/06/pdfs/GMD-1822-128.pdf","Abrir PDF")</f>
        <v>Abrir PDF</v>
      </c>
    </row>
    <row r="133" spans="1:6" ht="30.95" customHeight="1">
      <c r="A133" s="7">
        <v>-28361</v>
      </c>
      <c r="B133" s="2" t="s">
        <v>374</v>
      </c>
      <c r="C133" s="2" t="s">
        <v>29617</v>
      </c>
      <c r="D133" s="3">
        <v>6</v>
      </c>
      <c r="E133" s="3">
        <v>51</v>
      </c>
      <c r="F133" s="3" t="str">
        <f>HYPERLINK("https://www.boe.es/gazeta/dias/1822/05/07/pdfs/GMD-1822-129.pdf","Abrir PDF")</f>
        <v>Abrir PDF</v>
      </c>
    </row>
    <row r="134" spans="1:6" ht="30.95" customHeight="1">
      <c r="A134" s="7">
        <v>-28360</v>
      </c>
      <c r="B134" s="2" t="s">
        <v>514</v>
      </c>
      <c r="C134" s="2" t="s">
        <v>29618</v>
      </c>
      <c r="D134" s="3">
        <v>4</v>
      </c>
      <c r="E134" s="3">
        <v>48</v>
      </c>
      <c r="F134" s="3" t="str">
        <f>HYPERLINK("https://www.boe.es/gazeta/dias/1822/05/08/pdfs/GMD-1822-130.pdf","Abrir PDF")</f>
        <v>Abrir PDF</v>
      </c>
    </row>
    <row r="135" spans="1:6" ht="30.95" customHeight="1">
      <c r="A135" s="7">
        <v>-28359</v>
      </c>
      <c r="B135" s="2" t="s">
        <v>209</v>
      </c>
      <c r="C135" s="2" t="s">
        <v>29619</v>
      </c>
      <c r="D135" s="3">
        <v>6</v>
      </c>
      <c r="E135" s="3">
        <v>69</v>
      </c>
      <c r="F135" s="3" t="str">
        <f>HYPERLINK("https://www.boe.es/gazeta/dias/1822/05/09/pdfs/GMD-1822-131.pdf","Abrir PDF")</f>
        <v>Abrir PDF</v>
      </c>
    </row>
    <row r="136" spans="1:6" ht="30.95" customHeight="1">
      <c r="A136" s="7">
        <v>-28358</v>
      </c>
      <c r="B136" s="2" t="s">
        <v>211</v>
      </c>
      <c r="C136" s="2" t="s">
        <v>29620</v>
      </c>
      <c r="D136" s="3">
        <v>8</v>
      </c>
      <c r="E136" s="3">
        <v>77</v>
      </c>
      <c r="F136" s="3" t="str">
        <f>HYPERLINK("https://www.boe.es/gazeta/dias/1822/05/10/pdfs/GMD-1822-132.pdf","Abrir PDF")</f>
        <v>Abrir PDF</v>
      </c>
    </row>
    <row r="137" spans="1:6" ht="30.95" customHeight="1">
      <c r="A137" s="7">
        <v>-28357</v>
      </c>
      <c r="B137" s="2" t="s">
        <v>690</v>
      </c>
      <c r="C137" s="2" t="s">
        <v>29621</v>
      </c>
      <c r="D137" s="3">
        <v>6</v>
      </c>
      <c r="E137" s="3">
        <v>62</v>
      </c>
      <c r="F137" s="3" t="str">
        <f>HYPERLINK("https://www.boe.es/gazeta/dias/1822/05/11/pdfs/GMD-1822-133.pdf","Abrir PDF")</f>
        <v>Abrir PDF</v>
      </c>
    </row>
    <row r="138" spans="1:6" ht="30.95" customHeight="1">
      <c r="A138" s="7">
        <v>-28356</v>
      </c>
      <c r="B138" s="2" t="s">
        <v>4170</v>
      </c>
      <c r="C138" s="2" t="s">
        <v>29622</v>
      </c>
      <c r="D138" s="3">
        <v>4</v>
      </c>
      <c r="E138" s="3">
        <v>24</v>
      </c>
      <c r="F138" s="3" t="str">
        <f>HYPERLINK("https://www.boe.es/gazeta/dias/1822/05/12/pdfs/GMD-1822-134.pdf","Abrir PDF")</f>
        <v>Abrir PDF</v>
      </c>
    </row>
    <row r="139" spans="1:6" ht="30.95" customHeight="1">
      <c r="A139" s="7">
        <v>-28355</v>
      </c>
      <c r="B139" s="2" t="s">
        <v>692</v>
      </c>
      <c r="C139" s="2" t="s">
        <v>29623</v>
      </c>
      <c r="D139" s="3">
        <v>6</v>
      </c>
      <c r="E139" s="3">
        <v>40</v>
      </c>
      <c r="F139" s="3" t="str">
        <f>HYPERLINK("https://www.boe.es/gazeta/dias/1822/05/13/pdfs/GMD-1822-135.pdf","Abrir PDF")</f>
        <v>Abrir PDF</v>
      </c>
    </row>
    <row r="140" spans="1:6" ht="30.95" customHeight="1">
      <c r="A140" s="7">
        <v>-28354</v>
      </c>
      <c r="B140" s="2" t="s">
        <v>226</v>
      </c>
      <c r="C140" s="2" t="s">
        <v>29624</v>
      </c>
      <c r="D140" s="3">
        <v>6</v>
      </c>
      <c r="E140" s="3">
        <v>58</v>
      </c>
      <c r="F140" s="3" t="str">
        <f>HYPERLINK("https://www.boe.es/gazeta/dias/1822/05/14/pdfs/GMD-1822-136.pdf","Abrir PDF")</f>
        <v>Abrir PDF</v>
      </c>
    </row>
    <row r="141" spans="1:6" ht="30.95" customHeight="1">
      <c r="A141" s="7">
        <v>-28353</v>
      </c>
      <c r="B141" s="2" t="s">
        <v>843</v>
      </c>
      <c r="C141" s="2" t="s">
        <v>29625</v>
      </c>
      <c r="D141" s="3">
        <v>6</v>
      </c>
      <c r="E141" s="3">
        <v>60</v>
      </c>
      <c r="F141" s="3" t="str">
        <f>HYPERLINK("https://www.boe.es/gazeta/dias/1822/05/15/pdfs/GMD-1822-137.pdf","Abrir PDF")</f>
        <v>Abrir PDF</v>
      </c>
    </row>
    <row r="142" spans="1:6" ht="30.95" customHeight="1">
      <c r="A142" s="7">
        <v>-28352</v>
      </c>
      <c r="B142" s="2" t="s">
        <v>1575</v>
      </c>
      <c r="C142" s="2" t="s">
        <v>29626</v>
      </c>
      <c r="D142" s="3">
        <v>6</v>
      </c>
      <c r="E142" s="3">
        <v>64</v>
      </c>
      <c r="F142" s="3" t="str">
        <f>HYPERLINK("https://www.boe.es/gazeta/dias/1822/05/16/pdfs/GMD-1822-138.pdf","Abrir PDF")</f>
        <v>Abrir PDF</v>
      </c>
    </row>
    <row r="143" spans="1:6" ht="30.95" customHeight="1">
      <c r="A143" s="7">
        <v>-28351</v>
      </c>
      <c r="B143" s="2" t="s">
        <v>282</v>
      </c>
      <c r="C143" s="2" t="s">
        <v>29627</v>
      </c>
      <c r="D143" s="3">
        <v>4</v>
      </c>
      <c r="E143" s="3">
        <v>47</v>
      </c>
      <c r="F143" s="3" t="str">
        <f>HYPERLINK("https://www.boe.es/gazeta/dias/1822/05/17/pdfs/GMD-1822-139.pdf","Abrir PDF")</f>
        <v>Abrir PDF</v>
      </c>
    </row>
    <row r="144" spans="1:6" ht="30.95" customHeight="1">
      <c r="A144" s="7">
        <v>-28350</v>
      </c>
      <c r="B144" s="2" t="s">
        <v>352</v>
      </c>
      <c r="C144" s="2" t="s">
        <v>29628</v>
      </c>
      <c r="D144" s="3">
        <v>6</v>
      </c>
      <c r="E144" s="3">
        <v>47</v>
      </c>
      <c r="F144" s="3" t="str">
        <f>HYPERLINK("https://www.boe.es/gazeta/dias/1822/05/18/pdfs/GMD-1822-140.pdf","Abrir PDF")</f>
        <v>Abrir PDF</v>
      </c>
    </row>
    <row r="145" spans="1:6" ht="30.95" customHeight="1">
      <c r="A145" s="7">
        <v>-28349</v>
      </c>
      <c r="B145" s="2" t="s">
        <v>518</v>
      </c>
      <c r="C145" s="2" t="s">
        <v>29629</v>
      </c>
      <c r="D145" s="3">
        <v>4</v>
      </c>
      <c r="E145" s="3">
        <v>79</v>
      </c>
      <c r="F145" s="3" t="str">
        <f>HYPERLINK("https://www.boe.es/gazeta/dias/1822/05/19/pdfs/GMD-1822-141.pdf","Abrir PDF")</f>
        <v>Abrir PDF</v>
      </c>
    </row>
    <row r="146" spans="1:6" ht="30.95" customHeight="1">
      <c r="A146" s="7">
        <v>-28349</v>
      </c>
      <c r="B146" s="2" t="s">
        <v>795</v>
      </c>
      <c r="C146" s="2" t="s">
        <v>29630</v>
      </c>
      <c r="D146" s="3">
        <v>1</v>
      </c>
      <c r="E146" s="3">
        <v>4</v>
      </c>
      <c r="F146" s="3" t="str">
        <f>HYPERLINK("https://www.boe.es/gazeta/dias/1822/05/19/pdfs/GMD-1822-142E.pdf","Abrir PDF")</f>
        <v>Abrir PDF</v>
      </c>
    </row>
    <row r="147" spans="1:6" ht="30.95" customHeight="1">
      <c r="A147" s="7">
        <v>-28348</v>
      </c>
      <c r="B147" s="2" t="s">
        <v>2903</v>
      </c>
      <c r="C147" s="2" t="s">
        <v>29631</v>
      </c>
      <c r="D147" s="3">
        <v>6</v>
      </c>
      <c r="E147" s="3">
        <v>45</v>
      </c>
      <c r="F147" s="3" t="str">
        <f>HYPERLINK("https://www.boe.es/gazeta/dias/1822/05/20/pdfs/GMD-1822-143.pdf","Abrir PDF")</f>
        <v>Abrir PDF</v>
      </c>
    </row>
    <row r="148" spans="1:6" ht="30.95" customHeight="1">
      <c r="A148" s="7">
        <v>-28347</v>
      </c>
      <c r="B148" s="2" t="s">
        <v>520</v>
      </c>
      <c r="C148" s="2" t="s">
        <v>29632</v>
      </c>
      <c r="D148" s="3">
        <v>6</v>
      </c>
      <c r="E148" s="3">
        <v>43</v>
      </c>
      <c r="F148" s="3" t="str">
        <f>HYPERLINK("https://www.boe.es/gazeta/dias/1822/05/21/pdfs/GMD-1822-144.pdf","Abrir PDF")</f>
        <v>Abrir PDF</v>
      </c>
    </row>
    <row r="149" spans="1:6" ht="30.95" customHeight="1">
      <c r="A149" s="7">
        <v>-28346</v>
      </c>
      <c r="B149" s="2" t="s">
        <v>191</v>
      </c>
      <c r="C149" s="2" t="s">
        <v>29633</v>
      </c>
      <c r="D149" s="3">
        <v>6</v>
      </c>
      <c r="E149" s="3">
        <v>94</v>
      </c>
      <c r="F149" s="3" t="str">
        <f>HYPERLINK("https://www.boe.es/gazeta/dias/1822/05/22/pdfs/GMD-1822-145.pdf","Abrir PDF")</f>
        <v>Abrir PDF</v>
      </c>
    </row>
    <row r="150" spans="1:6" ht="30.95" customHeight="1">
      <c r="A150" s="7">
        <v>-28346</v>
      </c>
      <c r="B150" s="2" t="s">
        <v>19101</v>
      </c>
      <c r="C150" s="2" t="s">
        <v>29634</v>
      </c>
      <c r="D150" s="3">
        <v>1</v>
      </c>
      <c r="E150" s="3">
        <v>1</v>
      </c>
      <c r="F150" s="3" t="str">
        <f>HYPERLINK("https://www.boe.es/gazeta/dias/1822/05/22/pdfs/GMD-1822-146E.pdf","Abrir PDF")</f>
        <v>Abrir PDF</v>
      </c>
    </row>
    <row r="151" spans="1:6" ht="30.95" customHeight="1">
      <c r="A151" s="7">
        <v>-28345</v>
      </c>
      <c r="B151" s="2" t="s">
        <v>294</v>
      </c>
      <c r="C151" s="2" t="s">
        <v>29635</v>
      </c>
      <c r="D151" s="3">
        <v>6</v>
      </c>
      <c r="E151" s="3">
        <v>84</v>
      </c>
      <c r="F151" s="3" t="str">
        <f>HYPERLINK("https://www.boe.es/gazeta/dias/1822/05/23/pdfs/GMD-1822-147.pdf","Abrir PDF")</f>
        <v>Abrir PDF</v>
      </c>
    </row>
    <row r="152" spans="1:6" ht="30.95" customHeight="1">
      <c r="A152" s="7">
        <v>-28344</v>
      </c>
      <c r="B152" s="2" t="s">
        <v>524</v>
      </c>
      <c r="C152" s="2" t="s">
        <v>29636</v>
      </c>
      <c r="D152" s="3">
        <v>6</v>
      </c>
      <c r="E152" s="3">
        <v>80</v>
      </c>
      <c r="F152" s="3" t="str">
        <f>HYPERLINK("https://www.boe.es/gazeta/dias/1822/05/24/pdfs/GMD-1822-148.pdf","Abrir PDF")</f>
        <v>Abrir PDF</v>
      </c>
    </row>
    <row r="153" spans="1:6" ht="30.95" customHeight="1">
      <c r="A153" s="7">
        <v>-28344</v>
      </c>
      <c r="B153" s="2" t="s">
        <v>19103</v>
      </c>
      <c r="C153" s="2" t="s">
        <v>29637</v>
      </c>
      <c r="D153" s="3">
        <v>1</v>
      </c>
      <c r="E153" s="3">
        <v>2</v>
      </c>
      <c r="F153" s="3" t="str">
        <f>HYPERLINK("https://www.boe.es/gazeta/dias/1822/05/24/pdfs/GMD-1822-149E.pdf","Abrir PDF")</f>
        <v>Abrir PDF</v>
      </c>
    </row>
    <row r="154" spans="1:6" ht="30.95" customHeight="1">
      <c r="A154" s="7">
        <v>-28343</v>
      </c>
      <c r="B154" s="2" t="s">
        <v>1019</v>
      </c>
      <c r="C154" s="2" t="s">
        <v>29638</v>
      </c>
      <c r="D154" s="3">
        <v>6</v>
      </c>
      <c r="E154" s="3">
        <v>35</v>
      </c>
      <c r="F154" s="3" t="str">
        <f>HYPERLINK("https://www.boe.es/gazeta/dias/1822/05/25/pdfs/GMD-1822-150.pdf","Abrir PDF")</f>
        <v>Abrir PDF</v>
      </c>
    </row>
    <row r="155" spans="1:6" ht="30.95" customHeight="1">
      <c r="A155" s="7">
        <v>-28342</v>
      </c>
      <c r="B155" s="2" t="s">
        <v>2281</v>
      </c>
      <c r="C155" s="2" t="s">
        <v>29639</v>
      </c>
      <c r="D155" s="3">
        <v>6</v>
      </c>
      <c r="E155" s="3">
        <v>58</v>
      </c>
      <c r="F155" s="3" t="str">
        <f>HYPERLINK("https://www.boe.es/gazeta/dias/1822/05/26/pdfs/GMD-1822-151.pdf","Abrir PDF")</f>
        <v>Abrir PDF</v>
      </c>
    </row>
    <row r="156" spans="1:6" ht="30.95" customHeight="1">
      <c r="A156" s="7">
        <v>-28341</v>
      </c>
      <c r="B156" s="2" t="s">
        <v>284</v>
      </c>
      <c r="C156" s="2" t="s">
        <v>29640</v>
      </c>
      <c r="D156" s="3">
        <v>6</v>
      </c>
      <c r="E156" s="3">
        <v>75</v>
      </c>
      <c r="F156" s="3" t="str">
        <f>HYPERLINK("https://www.boe.es/gazeta/dias/1822/05/27/pdfs/GMD-1822-152.pdf","Abrir PDF")</f>
        <v>Abrir PDF</v>
      </c>
    </row>
    <row r="157" spans="1:6" ht="30.95" customHeight="1">
      <c r="A157" s="7">
        <v>-28340</v>
      </c>
      <c r="B157" s="2" t="s">
        <v>139</v>
      </c>
      <c r="C157" s="2" t="s">
        <v>29641</v>
      </c>
      <c r="D157" s="3">
        <v>6</v>
      </c>
      <c r="E157" s="3">
        <v>61</v>
      </c>
      <c r="F157" s="3" t="str">
        <f>HYPERLINK("https://www.boe.es/gazeta/dias/1822/05/28/pdfs/GMD-1822-153.pdf","Abrir PDF")</f>
        <v>Abrir PDF</v>
      </c>
    </row>
    <row r="158" spans="1:6" ht="30.95" customHeight="1">
      <c r="A158" s="7">
        <v>-28339</v>
      </c>
      <c r="B158" s="2" t="s">
        <v>197</v>
      </c>
      <c r="C158" s="2" t="s">
        <v>29642</v>
      </c>
      <c r="D158" s="3">
        <v>6</v>
      </c>
      <c r="E158" s="3">
        <v>72</v>
      </c>
      <c r="F158" s="3" t="str">
        <f>HYPERLINK("https://www.boe.es/gazeta/dias/1822/05/29/pdfs/GMD-1822-154.pdf","Abrir PDF")</f>
        <v>Abrir PDF</v>
      </c>
    </row>
    <row r="159" spans="1:6" ht="30.95" customHeight="1">
      <c r="A159" s="7">
        <v>-28338</v>
      </c>
      <c r="B159" s="2" t="s">
        <v>527</v>
      </c>
      <c r="C159" s="2" t="s">
        <v>29643</v>
      </c>
      <c r="D159" s="3">
        <v>4</v>
      </c>
      <c r="E159" s="3">
        <v>50</v>
      </c>
      <c r="F159" s="3" t="str">
        <f>HYPERLINK("https://www.boe.es/gazeta/dias/1822/05/30/pdfs/GMD-1822-155.pdf","Abrir PDF")</f>
        <v>Abrir PDF</v>
      </c>
    </row>
    <row r="160" spans="1:6" ht="30.95" customHeight="1">
      <c r="A160" s="7">
        <v>-28337</v>
      </c>
      <c r="B160" s="2" t="s">
        <v>1836</v>
      </c>
      <c r="C160" s="2" t="s">
        <v>29644</v>
      </c>
      <c r="D160" s="3">
        <v>6</v>
      </c>
      <c r="E160" s="3">
        <v>68</v>
      </c>
      <c r="F160" s="3" t="str">
        <f>HYPERLINK("https://www.boe.es/gazeta/dias/1822/05/31/pdfs/GMD-1822-156.pdf","Abrir PDF")</f>
        <v>Abrir PDF</v>
      </c>
    </row>
    <row r="161" spans="1:6" ht="30.95" customHeight="1">
      <c r="A161" s="7">
        <v>-28336</v>
      </c>
      <c r="B161" s="2" t="s">
        <v>156</v>
      </c>
      <c r="C161" s="2" t="s">
        <v>29645</v>
      </c>
      <c r="D161" s="3">
        <v>8</v>
      </c>
      <c r="E161" s="3">
        <v>45</v>
      </c>
      <c r="F161" s="3" t="str">
        <f>HYPERLINK("https://www.boe.es/gazeta/dias/1822/06/01/pdfs/GMD-1822-157.pdf","Abrir PDF")</f>
        <v>Abrir PDF</v>
      </c>
    </row>
    <row r="162" spans="1:6" ht="30.95" customHeight="1">
      <c r="A162" s="7">
        <v>-28335</v>
      </c>
      <c r="B162" s="2" t="s">
        <v>3346</v>
      </c>
      <c r="C162" s="2" t="s">
        <v>29646</v>
      </c>
      <c r="D162" s="3">
        <v>6</v>
      </c>
      <c r="E162" s="3">
        <v>28</v>
      </c>
      <c r="F162" s="3" t="str">
        <f>HYPERLINK("https://www.boe.es/gazeta/dias/1822/06/02/pdfs/GMD-1822-158.pdf","Abrir PDF")</f>
        <v>Abrir PDF</v>
      </c>
    </row>
    <row r="163" spans="1:6" ht="30.95" customHeight="1">
      <c r="A163" s="7">
        <v>-28334</v>
      </c>
      <c r="B163" s="2" t="s">
        <v>532</v>
      </c>
      <c r="C163" s="2" t="s">
        <v>29647</v>
      </c>
      <c r="D163" s="3">
        <v>8</v>
      </c>
      <c r="E163" s="3">
        <v>60</v>
      </c>
      <c r="F163" s="3" t="str">
        <f>HYPERLINK("https://www.boe.es/gazeta/dias/1822/06/03/pdfs/GMD-1822-159.pdf","Abrir PDF")</f>
        <v>Abrir PDF</v>
      </c>
    </row>
    <row r="164" spans="1:6" ht="30.95" customHeight="1">
      <c r="A164" s="7">
        <v>-28334</v>
      </c>
      <c r="B164" s="2" t="s">
        <v>9138</v>
      </c>
      <c r="C164" s="2" t="s">
        <v>29648</v>
      </c>
      <c r="D164" s="3">
        <v>1</v>
      </c>
      <c r="E164" s="3">
        <v>1</v>
      </c>
      <c r="F164" s="3" t="str">
        <f>HYPERLINK("https://www.boe.es/gazeta/dias/1822/06/03/pdfs/GMD-1822-160E.pdf","Abrir PDF")</f>
        <v>Abrir PDF</v>
      </c>
    </row>
    <row r="165" spans="1:6" ht="30.95" customHeight="1">
      <c r="A165" s="7">
        <v>-28333</v>
      </c>
      <c r="B165" s="2" t="s">
        <v>1928</v>
      </c>
      <c r="C165" s="2" t="s">
        <v>29649</v>
      </c>
      <c r="D165" s="3">
        <v>6</v>
      </c>
      <c r="E165" s="3">
        <v>32</v>
      </c>
      <c r="F165" s="3" t="str">
        <f>HYPERLINK("https://www.boe.es/gazeta/dias/1822/06/04/pdfs/GMD-1822-161.pdf","Abrir PDF")</f>
        <v>Abrir PDF</v>
      </c>
    </row>
    <row r="166" spans="1:6" ht="30.95" customHeight="1">
      <c r="A166" s="7">
        <v>-28332</v>
      </c>
      <c r="B166" s="2" t="s">
        <v>535</v>
      </c>
      <c r="C166" s="2" t="s">
        <v>29650</v>
      </c>
      <c r="D166" s="3">
        <v>6</v>
      </c>
      <c r="E166" s="3">
        <v>41</v>
      </c>
      <c r="F166" s="3" t="str">
        <f>HYPERLINK("https://www.boe.es/gazeta/dias/1822/06/05/pdfs/GMD-1822-162.pdf","Abrir PDF")</f>
        <v>Abrir PDF</v>
      </c>
    </row>
    <row r="167" spans="1:6" ht="30.95" customHeight="1">
      <c r="A167" s="7">
        <v>-28331</v>
      </c>
      <c r="B167" s="2" t="s">
        <v>537</v>
      </c>
      <c r="C167" s="2" t="s">
        <v>29651</v>
      </c>
      <c r="D167" s="3">
        <v>4</v>
      </c>
      <c r="E167" s="3">
        <v>29</v>
      </c>
      <c r="F167" s="3" t="str">
        <f>HYPERLINK("https://www.boe.es/gazeta/dias/1822/06/06/pdfs/GMD-1822-163.pdf","Abrir PDF")</f>
        <v>Abrir PDF</v>
      </c>
    </row>
    <row r="168" spans="1:6" ht="30.95" customHeight="1">
      <c r="A168" s="7">
        <v>-28330</v>
      </c>
      <c r="B168" s="2" t="s">
        <v>896</v>
      </c>
      <c r="C168" s="2" t="s">
        <v>29652</v>
      </c>
      <c r="D168" s="3">
        <v>4</v>
      </c>
      <c r="E168" s="3">
        <v>37</v>
      </c>
      <c r="F168" s="3" t="str">
        <f>HYPERLINK("https://www.boe.es/gazeta/dias/1822/06/07/pdfs/GMD-1822-164.pdf","Abrir PDF")</f>
        <v>Abrir PDF</v>
      </c>
    </row>
    <row r="169" spans="1:6" ht="30.95" customHeight="1">
      <c r="A169" s="7">
        <v>-28329</v>
      </c>
      <c r="B169" s="2" t="s">
        <v>354</v>
      </c>
      <c r="C169" s="2" t="s">
        <v>29653</v>
      </c>
      <c r="D169" s="3">
        <v>6</v>
      </c>
      <c r="E169" s="3">
        <v>69</v>
      </c>
      <c r="F169" s="3" t="str">
        <f>HYPERLINK("https://www.boe.es/gazeta/dias/1822/06/08/pdfs/GMD-1822-165.pdf","Abrir PDF")</f>
        <v>Abrir PDF</v>
      </c>
    </row>
    <row r="170" spans="1:6" ht="30.95" customHeight="1">
      <c r="A170" s="7">
        <v>-28328</v>
      </c>
      <c r="B170" s="2" t="s">
        <v>540</v>
      </c>
      <c r="C170" s="2" t="s">
        <v>29654</v>
      </c>
      <c r="D170" s="3">
        <v>6</v>
      </c>
      <c r="E170" s="3">
        <v>72</v>
      </c>
      <c r="F170" s="3" t="str">
        <f>HYPERLINK("https://www.boe.es/gazeta/dias/1822/06/09/pdfs/GMD-1822-166.pdf","Abrir PDF")</f>
        <v>Abrir PDF</v>
      </c>
    </row>
    <row r="171" spans="1:6" ht="30.95" customHeight="1">
      <c r="A171" s="7">
        <v>-28327</v>
      </c>
      <c r="B171" s="2" t="s">
        <v>38</v>
      </c>
      <c r="C171" s="2" t="s">
        <v>29655</v>
      </c>
      <c r="D171" s="3">
        <v>6</v>
      </c>
      <c r="E171" s="3">
        <v>67</v>
      </c>
      <c r="F171" s="3" t="str">
        <f>HYPERLINK("https://www.boe.es/gazeta/dias/1822/06/10/pdfs/GMD-1822-167.pdf","Abrir PDF")</f>
        <v>Abrir PDF</v>
      </c>
    </row>
    <row r="172" spans="1:6" ht="30.95" customHeight="1">
      <c r="A172" s="7">
        <v>-28326</v>
      </c>
      <c r="B172" s="2" t="s">
        <v>543</v>
      </c>
      <c r="C172" s="2" t="s">
        <v>29656</v>
      </c>
      <c r="D172" s="3">
        <v>6</v>
      </c>
      <c r="E172" s="3">
        <v>59</v>
      </c>
      <c r="F172" s="3" t="str">
        <f>HYPERLINK("https://www.boe.es/gazeta/dias/1822/06/11/pdfs/GMD-1822-168.pdf","Abrir PDF")</f>
        <v>Abrir PDF</v>
      </c>
    </row>
    <row r="173" spans="1:6" ht="30.95" customHeight="1">
      <c r="A173" s="7">
        <v>-28325</v>
      </c>
      <c r="B173" s="2" t="s">
        <v>104</v>
      </c>
      <c r="C173" s="2" t="s">
        <v>29657</v>
      </c>
      <c r="D173" s="3">
        <v>4</v>
      </c>
      <c r="E173" s="3">
        <v>55</v>
      </c>
      <c r="F173" s="3" t="str">
        <f>HYPERLINK("https://www.boe.es/gazeta/dias/1822/06/12/pdfs/GMD-1822-169.pdf","Abrir PDF")</f>
        <v>Abrir PDF</v>
      </c>
    </row>
    <row r="174" spans="1:6" ht="30.95" customHeight="1">
      <c r="A174" s="7">
        <v>-28324</v>
      </c>
      <c r="B174" s="2" t="s">
        <v>305</v>
      </c>
      <c r="C174" s="2" t="s">
        <v>29658</v>
      </c>
      <c r="D174" s="3">
        <v>6</v>
      </c>
      <c r="E174" s="3">
        <v>58</v>
      </c>
      <c r="F174" s="3" t="str">
        <f>HYPERLINK("https://www.boe.es/gazeta/dias/1822/06/13/pdfs/GMD-1822-170.pdf","Abrir PDF")</f>
        <v>Abrir PDF</v>
      </c>
    </row>
    <row r="175" spans="1:6" ht="30.95" customHeight="1">
      <c r="A175" s="7">
        <v>-28323</v>
      </c>
      <c r="B175" s="2" t="s">
        <v>116</v>
      </c>
      <c r="C175" s="2" t="s">
        <v>29659</v>
      </c>
      <c r="D175" s="3">
        <v>6</v>
      </c>
      <c r="E175" s="3">
        <v>92</v>
      </c>
      <c r="F175" s="3" t="str">
        <f>HYPERLINK("https://www.boe.es/gazeta/dias/1822/06/14/pdfs/GMD-1822-171.pdf","Abrir PDF")</f>
        <v>Abrir PDF</v>
      </c>
    </row>
    <row r="176" spans="1:6" ht="30.95" customHeight="1">
      <c r="A176" s="7">
        <v>-28322</v>
      </c>
      <c r="B176" s="2" t="s">
        <v>2205</v>
      </c>
      <c r="C176" s="2" t="s">
        <v>29660</v>
      </c>
      <c r="D176" s="3">
        <v>4</v>
      </c>
      <c r="E176" s="3">
        <v>56</v>
      </c>
      <c r="F176" s="3" t="str">
        <f>HYPERLINK("https://www.boe.es/gazeta/dias/1822/06/15/pdfs/GMD-1822-172.pdf","Abrir PDF")</f>
        <v>Abrir PDF</v>
      </c>
    </row>
    <row r="177" spans="1:6" ht="30.95" customHeight="1">
      <c r="A177" s="7">
        <v>-28321</v>
      </c>
      <c r="B177" s="2" t="s">
        <v>1142</v>
      </c>
      <c r="C177" s="2" t="s">
        <v>29661</v>
      </c>
      <c r="D177" s="3">
        <v>6</v>
      </c>
      <c r="E177" s="3">
        <v>72</v>
      </c>
      <c r="F177" s="3" t="str">
        <f>HYPERLINK("https://www.boe.es/gazeta/dias/1822/06/16/pdfs/GMD-1822-173.pdf","Abrir PDF")</f>
        <v>Abrir PDF</v>
      </c>
    </row>
    <row r="178" spans="1:6" ht="30.95" customHeight="1">
      <c r="A178" s="7">
        <v>-28320</v>
      </c>
      <c r="B178" s="2" t="s">
        <v>700</v>
      </c>
      <c r="C178" s="2" t="s">
        <v>29662</v>
      </c>
      <c r="D178" s="3">
        <v>6</v>
      </c>
      <c r="E178" s="3">
        <v>57</v>
      </c>
      <c r="F178" s="3" t="str">
        <f>HYPERLINK("https://www.boe.es/gazeta/dias/1822/06/17/pdfs/GMD-1822-174.pdf","Abrir PDF")</f>
        <v>Abrir PDF</v>
      </c>
    </row>
    <row r="179" spans="1:6" ht="30.95" customHeight="1">
      <c r="A179" s="7">
        <v>-28319</v>
      </c>
      <c r="B179" s="2" t="s">
        <v>271</v>
      </c>
      <c r="C179" s="2" t="s">
        <v>29663</v>
      </c>
      <c r="D179" s="3">
        <v>6</v>
      </c>
      <c r="E179" s="3">
        <v>68</v>
      </c>
      <c r="F179" s="3" t="str">
        <f>HYPERLINK("https://www.boe.es/gazeta/dias/1822/06/18/pdfs/GMD-1822-175.pdf","Abrir PDF")</f>
        <v>Abrir PDF</v>
      </c>
    </row>
    <row r="180" spans="1:6" ht="30.95" customHeight="1">
      <c r="A180" s="7">
        <v>-28318</v>
      </c>
      <c r="B180" s="2" t="s">
        <v>397</v>
      </c>
      <c r="C180" s="2" t="s">
        <v>29664</v>
      </c>
      <c r="D180" s="3">
        <v>8</v>
      </c>
      <c r="E180" s="3">
        <v>76</v>
      </c>
      <c r="F180" s="3" t="str">
        <f>HYPERLINK("https://www.boe.es/gazeta/dias/1822/06/19/pdfs/GMD-1822-176.pdf","Abrir PDF")</f>
        <v>Abrir PDF</v>
      </c>
    </row>
    <row r="181" spans="1:6" ht="30.95" customHeight="1">
      <c r="A181" s="7">
        <v>-28317</v>
      </c>
      <c r="B181" s="2" t="s">
        <v>546</v>
      </c>
      <c r="C181" s="2" t="s">
        <v>29665</v>
      </c>
      <c r="D181" s="3">
        <v>8</v>
      </c>
      <c r="E181" s="3">
        <v>78</v>
      </c>
      <c r="F181" s="3" t="str">
        <f>HYPERLINK("https://www.boe.es/gazeta/dias/1822/06/20/pdfs/GMD-1822-177.pdf","Abrir PDF")</f>
        <v>Abrir PDF</v>
      </c>
    </row>
    <row r="182" spans="1:6" ht="30.95" customHeight="1">
      <c r="A182" s="7">
        <v>-28317</v>
      </c>
      <c r="B182" s="2" t="s">
        <v>29666</v>
      </c>
      <c r="C182" s="2" t="s">
        <v>29667</v>
      </c>
      <c r="D182" s="3">
        <v>1</v>
      </c>
      <c r="E182" s="3">
        <v>0</v>
      </c>
      <c r="F182" s="3" t="str">
        <f>HYPERLINK("https://www.boe.es/gazeta/dias/1822/06/20/pdfs/GMD-1822-178E.pdf","Abrir PDF")</f>
        <v>Abrir PDF</v>
      </c>
    </row>
    <row r="183" spans="1:6" ht="30.95" customHeight="1">
      <c r="A183" s="7">
        <v>-28316</v>
      </c>
      <c r="B183" s="2" t="s">
        <v>1144</v>
      </c>
      <c r="C183" s="2" t="s">
        <v>29668</v>
      </c>
      <c r="D183" s="3">
        <v>6</v>
      </c>
      <c r="E183" s="3">
        <v>41</v>
      </c>
      <c r="F183" s="3" t="str">
        <f>HYPERLINK("https://www.boe.es/gazeta/dias/1822/06/21/pdfs/GMD-1822-179.pdf","Abrir PDF")</f>
        <v>Abrir PDF</v>
      </c>
    </row>
    <row r="184" spans="1:6" ht="30.95" customHeight="1">
      <c r="A184" s="7">
        <v>-28315</v>
      </c>
      <c r="B184" s="2" t="s">
        <v>1220</v>
      </c>
      <c r="C184" s="2" t="s">
        <v>29669</v>
      </c>
      <c r="D184" s="3">
        <v>6</v>
      </c>
      <c r="E184" s="3">
        <v>42</v>
      </c>
      <c r="F184" s="3" t="str">
        <f>HYPERLINK("https://www.boe.es/gazeta/dias/1822/06/22/pdfs/GMD-1822-180.pdf","Abrir PDF")</f>
        <v>Abrir PDF</v>
      </c>
    </row>
    <row r="185" spans="1:6" ht="30.95" customHeight="1">
      <c r="A185" s="7">
        <v>-28314</v>
      </c>
      <c r="B185" s="2" t="s">
        <v>309</v>
      </c>
      <c r="C185" s="2" t="s">
        <v>29670</v>
      </c>
      <c r="D185" s="3">
        <v>6</v>
      </c>
      <c r="E185" s="3">
        <v>90</v>
      </c>
      <c r="F185" s="3" t="str">
        <f>HYPERLINK("https://www.boe.es/gazeta/dias/1822/06/23/pdfs/GMD-1822-181.pdf","Abrir PDF")</f>
        <v>Abrir PDF</v>
      </c>
    </row>
    <row r="186" spans="1:6" ht="30.95" customHeight="1">
      <c r="A186" s="7">
        <v>-28313</v>
      </c>
      <c r="B186" s="2" t="s">
        <v>315</v>
      </c>
      <c r="C186" s="2" t="s">
        <v>29671</v>
      </c>
      <c r="D186" s="3">
        <v>8</v>
      </c>
      <c r="E186" s="3">
        <v>76</v>
      </c>
      <c r="F186" s="3" t="str">
        <f>HYPERLINK("https://www.boe.es/gazeta/dias/1822/06/24/pdfs/GMD-1822-182.pdf","Abrir PDF")</f>
        <v>Abrir PDF</v>
      </c>
    </row>
    <row r="187" spans="1:6" ht="30.95" customHeight="1">
      <c r="A187" s="7">
        <v>-28312</v>
      </c>
      <c r="B187" s="2" t="s">
        <v>92</v>
      </c>
      <c r="C187" s="2" t="s">
        <v>29672</v>
      </c>
      <c r="D187" s="3">
        <v>4</v>
      </c>
      <c r="E187" s="3">
        <v>36</v>
      </c>
      <c r="F187" s="3" t="str">
        <f>HYPERLINK("https://www.boe.es/gazeta/dias/1822/06/25/pdfs/GMD-1822-183.pdf","Abrir PDF")</f>
        <v>Abrir PDF</v>
      </c>
    </row>
    <row r="188" spans="1:6" ht="30.95" customHeight="1">
      <c r="A188" s="7">
        <v>-28311</v>
      </c>
      <c r="B188" s="2" t="s">
        <v>736</v>
      </c>
      <c r="C188" s="2" t="s">
        <v>29673</v>
      </c>
      <c r="D188" s="3">
        <v>8</v>
      </c>
      <c r="E188" s="3">
        <v>100</v>
      </c>
      <c r="F188" s="3" t="str">
        <f>HYPERLINK("https://www.boe.es/gazeta/dias/1822/06/26/pdfs/GMD-1822-184.pdf","Abrir PDF")</f>
        <v>Abrir PDF</v>
      </c>
    </row>
    <row r="189" spans="1:6" ht="30.95" customHeight="1">
      <c r="A189" s="7">
        <v>-28310</v>
      </c>
      <c r="B189" s="2" t="s">
        <v>241</v>
      </c>
      <c r="C189" s="2" t="s">
        <v>29674</v>
      </c>
      <c r="D189" s="3">
        <v>6</v>
      </c>
      <c r="E189" s="3">
        <v>50</v>
      </c>
      <c r="F189" s="3" t="str">
        <f>HYPERLINK("https://www.boe.es/gazeta/dias/1822/06/27/pdfs/GMD-1822-185.pdf","Abrir PDF")</f>
        <v>Abrir PDF</v>
      </c>
    </row>
    <row r="190" spans="1:6" ht="30.95" customHeight="1">
      <c r="A190" s="7">
        <v>-28309</v>
      </c>
      <c r="B190" s="2" t="s">
        <v>553</v>
      </c>
      <c r="C190" s="2" t="s">
        <v>29675</v>
      </c>
      <c r="D190" s="3">
        <v>8</v>
      </c>
      <c r="E190" s="3">
        <v>65</v>
      </c>
      <c r="F190" s="3" t="str">
        <f>HYPERLINK("https://www.boe.es/gazeta/dias/1822/06/28/pdfs/GMD-1822-186.pdf","Abrir PDF")</f>
        <v>Abrir PDF</v>
      </c>
    </row>
    <row r="191" spans="1:6" ht="30.95" customHeight="1">
      <c r="A191" s="7">
        <v>-28308</v>
      </c>
      <c r="B191" s="2" t="s">
        <v>1050</v>
      </c>
      <c r="C191" s="2" t="s">
        <v>29676</v>
      </c>
      <c r="D191" s="3">
        <v>8</v>
      </c>
      <c r="E191" s="3">
        <v>83</v>
      </c>
      <c r="F191" s="3" t="str">
        <f>HYPERLINK("https://www.boe.es/gazeta/dias/1822/06/29/pdfs/GMD-1822-187.pdf","Abrir PDF")</f>
        <v>Abrir PDF</v>
      </c>
    </row>
    <row r="192" spans="1:6" ht="30.95" customHeight="1">
      <c r="A192" s="7">
        <v>-28307</v>
      </c>
      <c r="B192" s="2" t="s">
        <v>555</v>
      </c>
      <c r="C192" s="2" t="s">
        <v>29677</v>
      </c>
      <c r="D192" s="3">
        <v>8</v>
      </c>
      <c r="E192" s="3">
        <v>71</v>
      </c>
      <c r="F192" s="3" t="str">
        <f>HYPERLINK("https://www.boe.es/gazeta/dias/1822/06/30/pdfs/GMD-1822-188.pdf","Abrir PDF")</f>
        <v>Abrir PDF</v>
      </c>
    </row>
    <row r="193" spans="1:6" ht="30.95" customHeight="1">
      <c r="A193" s="7">
        <v>-28307</v>
      </c>
      <c r="B193" s="2" t="s">
        <v>29678</v>
      </c>
      <c r="C193" s="2" t="s">
        <v>29679</v>
      </c>
      <c r="D193" s="3">
        <v>1</v>
      </c>
      <c r="E193" s="3">
        <v>0</v>
      </c>
      <c r="F193" s="3" t="str">
        <f>HYPERLINK("https://www.boe.es/gazeta/dias/1822/06/30/pdfs/GMD-1822-189E.pdf","Abrir PDF")</f>
        <v>Abrir PDF</v>
      </c>
    </row>
    <row r="194" spans="1:6" ht="30.95" customHeight="1">
      <c r="A194" s="7">
        <v>-28306</v>
      </c>
      <c r="B194" s="2" t="s">
        <v>348</v>
      </c>
      <c r="C194" s="2" t="s">
        <v>29680</v>
      </c>
      <c r="D194" s="3">
        <v>4</v>
      </c>
      <c r="E194" s="3">
        <v>34</v>
      </c>
      <c r="F194" s="3" t="str">
        <f>HYPERLINK("https://www.boe.es/gazeta/dias/1822/07/01/pdfs/GMD-1822-190.pdf","Abrir PDF")</f>
        <v>Abrir PDF</v>
      </c>
    </row>
    <row r="195" spans="1:6" ht="30.95" customHeight="1">
      <c r="A195" s="7">
        <v>-28305</v>
      </c>
      <c r="B195" s="2" t="s">
        <v>1337</v>
      </c>
      <c r="C195" s="2" t="s">
        <v>29681</v>
      </c>
      <c r="D195" s="3">
        <v>4</v>
      </c>
      <c r="E195" s="3">
        <v>13</v>
      </c>
      <c r="F195" s="3" t="str">
        <f>HYPERLINK("https://www.boe.es/gazeta/dias/1822/07/02/pdfs/GMD-1822-191.pdf","Abrir PDF")</f>
        <v>Abrir PDF</v>
      </c>
    </row>
    <row r="196" spans="1:6" ht="30.95" customHeight="1">
      <c r="A196" s="7">
        <v>-28304</v>
      </c>
      <c r="B196" s="2" t="s">
        <v>4502</v>
      </c>
      <c r="C196" s="2" t="s">
        <v>29682</v>
      </c>
      <c r="D196" s="3">
        <v>4</v>
      </c>
      <c r="E196" s="3">
        <v>14</v>
      </c>
      <c r="F196" s="3" t="str">
        <f>HYPERLINK("https://www.boe.es/gazeta/dias/1822/07/03/pdfs/GMD-1822-192.pdf","Abrir PDF")</f>
        <v>Abrir PDF</v>
      </c>
    </row>
    <row r="197" spans="1:6" ht="30.95" customHeight="1">
      <c r="A197" s="7">
        <v>-28303</v>
      </c>
      <c r="B197" s="2" t="s">
        <v>201</v>
      </c>
      <c r="C197" s="2" t="s">
        <v>29683</v>
      </c>
      <c r="D197" s="3">
        <v>4</v>
      </c>
      <c r="E197" s="3">
        <v>77</v>
      </c>
      <c r="F197" s="3" t="str">
        <f>HYPERLINK("https://www.boe.es/gazeta/dias/1822/07/04/pdfs/GMD-1822-193.pdf","Abrir PDF")</f>
        <v>Abrir PDF</v>
      </c>
    </row>
    <row r="198" spans="1:6" ht="30.95" customHeight="1">
      <c r="A198" s="7">
        <v>-28302</v>
      </c>
      <c r="B198" s="2" t="s">
        <v>791</v>
      </c>
      <c r="C198" s="2" t="s">
        <v>29684</v>
      </c>
      <c r="D198" s="3">
        <v>4</v>
      </c>
      <c r="E198" s="3">
        <v>14</v>
      </c>
      <c r="F198" s="3" t="str">
        <f>HYPERLINK("https://www.boe.es/gazeta/dias/1822/07/05/pdfs/GMD-1822-194.pdf","Abrir PDF")</f>
        <v>Abrir PDF</v>
      </c>
    </row>
    <row r="199" spans="1:6" ht="30.95" customHeight="1">
      <c r="A199" s="7">
        <v>-28301</v>
      </c>
      <c r="B199" s="2" t="s">
        <v>2348</v>
      </c>
      <c r="C199" s="2" t="s">
        <v>29685</v>
      </c>
      <c r="D199" s="3">
        <v>4</v>
      </c>
      <c r="E199" s="3">
        <v>18</v>
      </c>
      <c r="F199" s="3" t="str">
        <f>HYPERLINK("https://www.boe.es/gazeta/dias/1822/07/06/pdfs/GMD-1822-195.pdf","Abrir PDF")</f>
        <v>Abrir PDF</v>
      </c>
    </row>
    <row r="200" spans="1:6" ht="30.95" customHeight="1">
      <c r="A200" s="7">
        <v>-28300</v>
      </c>
      <c r="B200" s="2" t="s">
        <v>6533</v>
      </c>
      <c r="C200" s="2" t="s">
        <v>29686</v>
      </c>
      <c r="D200" s="3">
        <v>4</v>
      </c>
      <c r="E200" s="3">
        <v>13</v>
      </c>
      <c r="F200" s="3" t="str">
        <f>HYPERLINK("https://www.boe.es/gazeta/dias/1822/07/07/pdfs/GMD-1822-196.pdf","Abrir PDF")</f>
        <v>Abrir PDF</v>
      </c>
    </row>
    <row r="201" spans="1:6" ht="30.95" customHeight="1">
      <c r="A201" s="7">
        <v>-28299</v>
      </c>
      <c r="B201" s="2" t="s">
        <v>423</v>
      </c>
      <c r="C201" s="2" t="s">
        <v>29687</v>
      </c>
      <c r="D201" s="3">
        <v>4</v>
      </c>
      <c r="E201" s="3">
        <v>8</v>
      </c>
      <c r="F201" s="3" t="str">
        <f>HYPERLINK("https://www.boe.es/gazeta/dias/1822/07/08/pdfs/GMD-1822-197.pdf","Abrir PDF")</f>
        <v>Abrir PDF</v>
      </c>
    </row>
    <row r="202" spans="1:6" ht="30.95" customHeight="1">
      <c r="A202" s="7">
        <v>-28299</v>
      </c>
      <c r="B202" s="2" t="s">
        <v>3792</v>
      </c>
      <c r="C202" s="2" t="s">
        <v>29688</v>
      </c>
      <c r="D202" s="3">
        <v>1</v>
      </c>
      <c r="E202" s="3">
        <v>3</v>
      </c>
      <c r="F202" s="3" t="str">
        <f>HYPERLINK("https://www.boe.es/gazeta/dias/1822/07/08/pdfs/GMD-1822-198E.pdf","Abrir PDF")</f>
        <v>Abrir PDF</v>
      </c>
    </row>
    <row r="203" spans="1:6" ht="30.95" customHeight="1">
      <c r="A203" s="7">
        <v>-28298</v>
      </c>
      <c r="B203" s="2" t="s">
        <v>6405</v>
      </c>
      <c r="C203" s="2" t="s">
        <v>29689</v>
      </c>
      <c r="D203" s="3">
        <v>4</v>
      </c>
      <c r="E203" s="3">
        <v>7</v>
      </c>
      <c r="F203" s="3" t="str">
        <f>HYPERLINK("https://www.boe.es/gazeta/dias/1822/07/09/pdfs/GMD-1822-199.pdf","Abrir PDF")</f>
        <v>Abrir PDF</v>
      </c>
    </row>
    <row r="204" spans="1:6" ht="30.95" customHeight="1">
      <c r="A204" s="7">
        <v>-28297</v>
      </c>
      <c r="B204" s="2" t="s">
        <v>1972</v>
      </c>
      <c r="C204" s="2" t="s">
        <v>29690</v>
      </c>
      <c r="D204" s="3">
        <v>4</v>
      </c>
      <c r="E204" s="3">
        <v>32</v>
      </c>
      <c r="F204" s="3" t="str">
        <f>HYPERLINK("https://www.boe.es/gazeta/dias/1822/07/10/pdfs/GMD-1822-200.pdf","Abrir PDF")</f>
        <v>Abrir PDF</v>
      </c>
    </row>
    <row r="205" spans="1:6" ht="30.95" customHeight="1">
      <c r="A205" s="7">
        <v>-28296</v>
      </c>
      <c r="B205" s="2" t="s">
        <v>4121</v>
      </c>
      <c r="C205" s="2" t="s">
        <v>29691</v>
      </c>
      <c r="D205" s="3">
        <v>4</v>
      </c>
      <c r="E205" s="3">
        <v>17</v>
      </c>
      <c r="F205" s="3" t="str">
        <f>HYPERLINK("https://www.boe.es/gazeta/dias/1822/07/11/pdfs/GMD-1822-201.pdf","Abrir PDF")</f>
        <v>Abrir PDF</v>
      </c>
    </row>
    <row r="206" spans="1:6" ht="30.95" customHeight="1">
      <c r="A206" s="7">
        <v>-28295</v>
      </c>
      <c r="B206" s="2" t="s">
        <v>81</v>
      </c>
      <c r="C206" s="2" t="s">
        <v>29692</v>
      </c>
      <c r="D206" s="3">
        <v>4</v>
      </c>
      <c r="E206" s="3">
        <v>32</v>
      </c>
      <c r="F206" s="3" t="str">
        <f>HYPERLINK("https://www.boe.es/gazeta/dias/1822/07/12/pdfs/GMD-1822-202.pdf","Abrir PDF")</f>
        <v>Abrir PDF</v>
      </c>
    </row>
    <row r="207" spans="1:6" ht="30.95" customHeight="1">
      <c r="A207" s="7">
        <v>-28294</v>
      </c>
      <c r="B207" s="2" t="s">
        <v>2298</v>
      </c>
      <c r="C207" s="2" t="s">
        <v>29693</v>
      </c>
      <c r="D207" s="3">
        <v>4</v>
      </c>
      <c r="E207" s="3">
        <v>15</v>
      </c>
      <c r="F207" s="3" t="str">
        <f>HYPERLINK("https://www.boe.es/gazeta/dias/1822/07/13/pdfs/GMD-1822-203.pdf","Abrir PDF")</f>
        <v>Abrir PDF</v>
      </c>
    </row>
    <row r="208" spans="1:6" ht="30.95" customHeight="1">
      <c r="A208" s="7">
        <v>-28293</v>
      </c>
      <c r="B208" s="2" t="s">
        <v>152</v>
      </c>
      <c r="C208" s="2" t="s">
        <v>29694</v>
      </c>
      <c r="D208" s="3">
        <v>4</v>
      </c>
      <c r="E208" s="3">
        <v>32</v>
      </c>
      <c r="F208" s="3" t="str">
        <f>HYPERLINK("https://www.boe.es/gazeta/dias/1822/07/14/pdfs/GMD-1822-204.pdf","Abrir PDF")</f>
        <v>Abrir PDF</v>
      </c>
    </row>
    <row r="209" spans="1:6" ht="30.95" customHeight="1">
      <c r="A209" s="7">
        <v>-28292</v>
      </c>
      <c r="B209" s="2" t="s">
        <v>222</v>
      </c>
      <c r="C209" s="2" t="s">
        <v>29695</v>
      </c>
      <c r="D209" s="3">
        <v>4</v>
      </c>
      <c r="E209" s="3">
        <v>60</v>
      </c>
      <c r="F209" s="3" t="str">
        <f>HYPERLINK("https://www.boe.es/gazeta/dias/1822/07/15/pdfs/GMD-1822-205.pdf","Abrir PDF")</f>
        <v>Abrir PDF</v>
      </c>
    </row>
    <row r="210" spans="1:6" ht="30.95" customHeight="1">
      <c r="A210" s="7">
        <v>-28291</v>
      </c>
      <c r="B210" s="2" t="s">
        <v>363</v>
      </c>
      <c r="C210" s="2" t="s">
        <v>29696</v>
      </c>
      <c r="D210" s="3">
        <v>4</v>
      </c>
      <c r="E210" s="3">
        <v>29</v>
      </c>
      <c r="F210" s="3" t="str">
        <f>HYPERLINK("https://www.boe.es/gazeta/dias/1822/07/16/pdfs/GMD-1822-206.pdf","Abrir PDF")</f>
        <v>Abrir PDF</v>
      </c>
    </row>
    <row r="211" spans="1:6" ht="30.95" customHeight="1">
      <c r="A211" s="7">
        <v>-28290</v>
      </c>
      <c r="B211" s="2" t="s">
        <v>706</v>
      </c>
      <c r="C211" s="2" t="s">
        <v>29697</v>
      </c>
      <c r="D211" s="3">
        <v>4</v>
      </c>
      <c r="E211" s="3">
        <v>51</v>
      </c>
      <c r="F211" s="3" t="str">
        <f>HYPERLINK("https://www.boe.es/gazeta/dias/1822/07/17/pdfs/GMD-1822-207.pdf","Abrir PDF")</f>
        <v>Abrir PDF</v>
      </c>
    </row>
    <row r="212" spans="1:6" ht="30.95" customHeight="1">
      <c r="A212" s="7">
        <v>-28290</v>
      </c>
      <c r="B212" s="2" t="s">
        <v>16355</v>
      </c>
      <c r="C212" s="2" t="s">
        <v>29698</v>
      </c>
      <c r="D212" s="3">
        <v>1</v>
      </c>
      <c r="E212" s="3">
        <v>4</v>
      </c>
      <c r="F212" s="3" t="str">
        <f>HYPERLINK("https://www.boe.es/gazeta/dias/1822/07/17/pdfs/GMD-1822-208E.pdf","Abrir PDF")</f>
        <v>Abrir PDF</v>
      </c>
    </row>
    <row r="213" spans="1:6" ht="30.95" customHeight="1">
      <c r="A213" s="7">
        <v>-28289</v>
      </c>
      <c r="B213" s="2" t="s">
        <v>390</v>
      </c>
      <c r="C213" s="2" t="s">
        <v>29699</v>
      </c>
      <c r="D213" s="3">
        <v>4</v>
      </c>
      <c r="E213" s="3">
        <v>32</v>
      </c>
      <c r="F213" s="3" t="str">
        <f>HYPERLINK("https://www.boe.es/gazeta/dias/1822/07/18/pdfs/GMD-1822-209.pdf","Abrir PDF")</f>
        <v>Abrir PDF</v>
      </c>
    </row>
    <row r="214" spans="1:6" ht="30.95" customHeight="1">
      <c r="A214" s="7">
        <v>-28289</v>
      </c>
      <c r="B214" s="2" t="s">
        <v>26961</v>
      </c>
      <c r="C214" s="2" t="s">
        <v>29700</v>
      </c>
      <c r="D214" s="3">
        <v>1</v>
      </c>
      <c r="E214" s="3">
        <v>1</v>
      </c>
      <c r="F214" s="3" t="str">
        <f>HYPERLINK("https://www.boe.es/gazeta/dias/1822/07/18/pdfs/GMD-1822-210E.pdf","Abrir PDF")</f>
        <v>Abrir PDF</v>
      </c>
    </row>
    <row r="215" spans="1:6" ht="30.95" customHeight="1">
      <c r="A215" s="7">
        <v>-28288</v>
      </c>
      <c r="B215" s="2" t="s">
        <v>970</v>
      </c>
      <c r="C215" s="2" t="s">
        <v>29701</v>
      </c>
      <c r="D215" s="3">
        <v>4</v>
      </c>
      <c r="E215" s="3">
        <v>33</v>
      </c>
      <c r="F215" s="3" t="str">
        <f>HYPERLINK("https://www.boe.es/gazeta/dias/1822/07/19/pdfs/GMD-1822-211.pdf","Abrir PDF")</f>
        <v>Abrir PDF</v>
      </c>
    </row>
    <row r="216" spans="1:6" ht="30.95" customHeight="1">
      <c r="A216" s="7">
        <v>-28287</v>
      </c>
      <c r="B216" s="2" t="s">
        <v>1295</v>
      </c>
      <c r="C216" s="2" t="s">
        <v>29702</v>
      </c>
      <c r="D216" s="3">
        <v>6</v>
      </c>
      <c r="E216" s="3">
        <v>45</v>
      </c>
      <c r="F216" s="3" t="str">
        <f>HYPERLINK("https://www.boe.es/gazeta/dias/1822/07/20/pdfs/GMD-1822-212.pdf","Abrir PDF")</f>
        <v>Abrir PDF</v>
      </c>
    </row>
    <row r="217" spans="1:6" ht="30.95" customHeight="1">
      <c r="A217" s="7">
        <v>-28286</v>
      </c>
      <c r="B217" s="2" t="s">
        <v>1853</v>
      </c>
      <c r="C217" s="2" t="s">
        <v>29703</v>
      </c>
      <c r="D217" s="3">
        <v>4</v>
      </c>
      <c r="E217" s="3">
        <v>29</v>
      </c>
      <c r="F217" s="3" t="str">
        <f>HYPERLINK("https://www.boe.es/gazeta/dias/1822/07/21/pdfs/GMD-1822-213.pdf","Abrir PDF")</f>
        <v>Abrir PDF</v>
      </c>
    </row>
    <row r="218" spans="1:6" ht="30.95" customHeight="1">
      <c r="A218" s="7">
        <v>-28286</v>
      </c>
      <c r="B218" s="2" t="s">
        <v>13060</v>
      </c>
      <c r="C218" s="2" t="s">
        <v>29704</v>
      </c>
      <c r="D218" s="3">
        <v>1</v>
      </c>
      <c r="E218" s="3">
        <v>1</v>
      </c>
      <c r="F218" s="3" t="str">
        <f>HYPERLINK("https://www.boe.es/gazeta/dias/1822/07/21/pdfs/GMD-1822-214E.pdf","Abrir PDF")</f>
        <v>Abrir PDF</v>
      </c>
    </row>
    <row r="219" spans="1:6" ht="30.95" customHeight="1">
      <c r="A219" s="7">
        <v>-28285</v>
      </c>
      <c r="B219" s="2" t="s">
        <v>4539</v>
      </c>
      <c r="C219" s="2" t="s">
        <v>29705</v>
      </c>
      <c r="D219" s="3">
        <v>4</v>
      </c>
      <c r="E219" s="3">
        <v>16</v>
      </c>
      <c r="F219" s="3" t="str">
        <f>HYPERLINK("https://www.boe.es/gazeta/dias/1822/07/22/pdfs/GMD-1822-215.pdf","Abrir PDF")</f>
        <v>Abrir PDF</v>
      </c>
    </row>
    <row r="220" spans="1:6" ht="30.95" customHeight="1">
      <c r="A220" s="7">
        <v>-28284</v>
      </c>
      <c r="B220" s="2" t="s">
        <v>6484</v>
      </c>
      <c r="C220" s="2" t="s">
        <v>29706</v>
      </c>
      <c r="D220" s="3">
        <v>4</v>
      </c>
      <c r="E220" s="3">
        <v>28</v>
      </c>
      <c r="F220" s="3" t="str">
        <f>HYPERLINK("https://www.boe.es/gazeta/dias/1822/07/23/pdfs/GMD-1822-216.pdf","Abrir PDF")</f>
        <v>Abrir PDF</v>
      </c>
    </row>
    <row r="221" spans="1:6" ht="30.95" customHeight="1">
      <c r="A221" s="7">
        <v>-28283</v>
      </c>
      <c r="B221" s="2" t="s">
        <v>1477</v>
      </c>
      <c r="C221" s="2" t="s">
        <v>29707</v>
      </c>
      <c r="D221" s="3">
        <v>4</v>
      </c>
      <c r="E221" s="3">
        <v>16</v>
      </c>
      <c r="F221" s="3" t="str">
        <f>HYPERLINK("https://www.boe.es/gazeta/dias/1822/07/24/pdfs/GMD-1822-217.pdf","Abrir PDF")</f>
        <v>Abrir PDF</v>
      </c>
    </row>
    <row r="222" spans="1:6" ht="30.95" customHeight="1">
      <c r="A222" s="7">
        <v>-28282</v>
      </c>
      <c r="B222" s="2" t="s">
        <v>6600</v>
      </c>
      <c r="C222" s="2" t="s">
        <v>29708</v>
      </c>
      <c r="D222" s="3">
        <v>4</v>
      </c>
      <c r="E222" s="3">
        <v>21</v>
      </c>
      <c r="F222" s="3" t="str">
        <f>HYPERLINK("https://www.boe.es/gazeta/dias/1822/07/25/pdfs/GMD-1822-218.pdf","Abrir PDF")</f>
        <v>Abrir PDF</v>
      </c>
    </row>
    <row r="223" spans="1:6" ht="30.95" customHeight="1">
      <c r="A223" s="7">
        <v>-28281</v>
      </c>
      <c r="B223" s="2" t="s">
        <v>3310</v>
      </c>
      <c r="C223" s="2" t="s">
        <v>29709</v>
      </c>
      <c r="D223" s="3">
        <v>4</v>
      </c>
      <c r="E223" s="3">
        <v>19</v>
      </c>
      <c r="F223" s="3" t="str">
        <f>HYPERLINK("https://www.boe.es/gazeta/dias/1822/07/26/pdfs/GMD-1822-219.pdf","Abrir PDF")</f>
        <v>Abrir PDF</v>
      </c>
    </row>
    <row r="224" spans="1:6" ht="30.95" customHeight="1">
      <c r="A224" s="7">
        <v>-28280</v>
      </c>
      <c r="B224" s="2" t="s">
        <v>56</v>
      </c>
      <c r="C224" s="2" t="s">
        <v>29710</v>
      </c>
      <c r="D224" s="3">
        <v>4</v>
      </c>
      <c r="E224" s="3">
        <v>28</v>
      </c>
      <c r="F224" s="3" t="str">
        <f>HYPERLINK("https://www.boe.es/gazeta/dias/1822/07/27/pdfs/GMD-1822-220.pdf","Abrir PDF")</f>
        <v>Abrir PDF</v>
      </c>
    </row>
    <row r="225" spans="1:6" ht="30.95" customHeight="1">
      <c r="A225" s="7">
        <v>-28279</v>
      </c>
      <c r="B225" s="2" t="s">
        <v>662</v>
      </c>
      <c r="C225" s="2" t="s">
        <v>29711</v>
      </c>
      <c r="D225" s="3">
        <v>4</v>
      </c>
      <c r="E225" s="3">
        <v>34</v>
      </c>
      <c r="F225" s="3" t="str">
        <f>HYPERLINK("https://www.boe.es/gazeta/dias/1822/07/28/pdfs/GMD-1822-221.pdf","Abrir PDF")</f>
        <v>Abrir PDF</v>
      </c>
    </row>
    <row r="226" spans="1:6" ht="30.95" customHeight="1">
      <c r="A226" s="7">
        <v>-28278</v>
      </c>
      <c r="B226" s="2" t="s">
        <v>368</v>
      </c>
      <c r="C226" s="2" t="s">
        <v>29712</v>
      </c>
      <c r="D226" s="3">
        <v>4</v>
      </c>
      <c r="E226" s="3">
        <v>16</v>
      </c>
      <c r="F226" s="3" t="str">
        <f>HYPERLINK("https://www.boe.es/gazeta/dias/1822/07/29/pdfs/GMD-1822-222.pdf","Abrir PDF")</f>
        <v>Abrir PDF</v>
      </c>
    </row>
    <row r="227" spans="1:6" ht="30.95" customHeight="1">
      <c r="A227" s="7">
        <v>-28277</v>
      </c>
      <c r="B227" s="2" t="s">
        <v>296</v>
      </c>
      <c r="C227" s="2" t="s">
        <v>29713</v>
      </c>
      <c r="D227" s="3">
        <v>6</v>
      </c>
      <c r="E227" s="3">
        <v>23</v>
      </c>
      <c r="F227" s="3" t="str">
        <f>HYPERLINK("https://www.boe.es/gazeta/dias/1822/07/30/pdfs/GMD-1822-223.pdf","Abrir PDF")</f>
        <v>Abrir PDF</v>
      </c>
    </row>
    <row r="228" spans="1:6" ht="30.95" customHeight="1">
      <c r="A228" s="7">
        <v>-28276</v>
      </c>
      <c r="B228" s="2" t="s">
        <v>4746</v>
      </c>
      <c r="C228" s="2" t="s">
        <v>29714</v>
      </c>
      <c r="D228" s="3">
        <v>4</v>
      </c>
      <c r="E228" s="3">
        <v>23</v>
      </c>
      <c r="F228" s="3" t="str">
        <f>HYPERLINK("https://www.boe.es/gazeta/dias/1822/07/31/pdfs/GMD-1822-224.pdf","Abrir PDF")</f>
        <v>Abrir PDF</v>
      </c>
    </row>
    <row r="229" spans="1:6" ht="30.95" customHeight="1">
      <c r="A229" s="7">
        <v>-28275</v>
      </c>
      <c r="B229" s="2" t="s">
        <v>1297</v>
      </c>
      <c r="C229" s="2" t="s">
        <v>29715</v>
      </c>
      <c r="D229" s="3">
        <v>4</v>
      </c>
      <c r="E229" s="3">
        <v>37</v>
      </c>
      <c r="F229" s="3" t="str">
        <f>HYPERLINK("https://www.boe.es/gazeta/dias/1822/08/01/pdfs/GMD-1822-225.pdf","Abrir PDF")</f>
        <v>Abrir PDF</v>
      </c>
    </row>
    <row r="230" spans="1:6" ht="30.95" customHeight="1">
      <c r="A230" s="7">
        <v>-28274</v>
      </c>
      <c r="B230" s="2" t="s">
        <v>3371</v>
      </c>
      <c r="C230" s="2" t="s">
        <v>29716</v>
      </c>
      <c r="D230" s="3">
        <v>4</v>
      </c>
      <c r="E230" s="3">
        <v>35</v>
      </c>
      <c r="F230" s="3" t="str">
        <f>HYPERLINK("https://www.boe.es/gazeta/dias/1822/08/02/pdfs/GMD-1822-226.pdf","Abrir PDF")</f>
        <v>Abrir PDF</v>
      </c>
    </row>
    <row r="231" spans="1:6" ht="30.95" customHeight="1">
      <c r="A231" s="7">
        <v>-28273</v>
      </c>
      <c r="B231" s="2" t="s">
        <v>1063</v>
      </c>
      <c r="C231" s="2" t="s">
        <v>29717</v>
      </c>
      <c r="D231" s="3">
        <v>4</v>
      </c>
      <c r="E231" s="3">
        <v>11</v>
      </c>
      <c r="F231" s="3" t="str">
        <f>HYPERLINK("https://www.boe.es/gazeta/dias/1822/08/03/pdfs/GMD-1822-227.pdf","Abrir PDF")</f>
        <v>Abrir PDF</v>
      </c>
    </row>
    <row r="232" spans="1:6" ht="30.95" customHeight="1">
      <c r="A232" s="7">
        <v>-28272</v>
      </c>
      <c r="B232" s="2" t="s">
        <v>52</v>
      </c>
      <c r="C232" s="2" t="s">
        <v>29718</v>
      </c>
      <c r="D232" s="3">
        <v>4</v>
      </c>
      <c r="E232" s="3">
        <v>31</v>
      </c>
      <c r="F232" s="3" t="str">
        <f>HYPERLINK("https://www.boe.es/gazeta/dias/1822/08/04/pdfs/GMD-1822-228.pdf","Abrir PDF")</f>
        <v>Abrir PDF</v>
      </c>
    </row>
    <row r="233" spans="1:6" ht="30.95" customHeight="1">
      <c r="A233" s="7">
        <v>-28271</v>
      </c>
      <c r="B233" s="2" t="s">
        <v>4942</v>
      </c>
      <c r="C233" s="2" t="s">
        <v>29719</v>
      </c>
      <c r="D233" s="3">
        <v>4</v>
      </c>
      <c r="E233" s="3">
        <v>33</v>
      </c>
      <c r="F233" s="3" t="str">
        <f>HYPERLINK("https://www.boe.es/gazeta/dias/1822/08/05/pdfs/GMD-1822-229.pdf","Abrir PDF")</f>
        <v>Abrir PDF</v>
      </c>
    </row>
    <row r="234" spans="1:6" ht="30.95" customHeight="1">
      <c r="A234" s="7">
        <v>-28270</v>
      </c>
      <c r="B234" s="2" t="s">
        <v>130</v>
      </c>
      <c r="C234" s="2" t="s">
        <v>29720</v>
      </c>
      <c r="D234" s="3">
        <v>6</v>
      </c>
      <c r="E234" s="3">
        <v>37</v>
      </c>
      <c r="F234" s="3" t="str">
        <f>HYPERLINK("https://www.boe.es/gazeta/dias/1822/08/06/pdfs/GMD-1822-230.pdf","Abrir PDF")</f>
        <v>Abrir PDF</v>
      </c>
    </row>
    <row r="235" spans="1:6" ht="30.95" customHeight="1">
      <c r="A235" s="7">
        <v>-28269</v>
      </c>
      <c r="B235" s="2" t="s">
        <v>5517</v>
      </c>
      <c r="C235" s="2" t="s">
        <v>29721</v>
      </c>
      <c r="D235" s="3">
        <v>4</v>
      </c>
      <c r="E235" s="3">
        <v>21</v>
      </c>
      <c r="F235" s="3" t="str">
        <f>HYPERLINK("https://www.boe.es/gazeta/dias/1822/08/07/pdfs/GMD-1822-231.pdf","Abrir PDF")</f>
        <v>Abrir PDF</v>
      </c>
    </row>
    <row r="236" spans="1:6" ht="30.95" customHeight="1">
      <c r="A236" s="7">
        <v>-28268</v>
      </c>
      <c r="B236" s="2" t="s">
        <v>7231</v>
      </c>
      <c r="C236" s="2" t="s">
        <v>29722</v>
      </c>
      <c r="D236" s="3">
        <v>4</v>
      </c>
      <c r="E236" s="3">
        <v>17</v>
      </c>
      <c r="F236" s="3" t="str">
        <f>HYPERLINK("https://www.boe.es/gazeta/dias/1822/08/08/pdfs/GMD-1822-232.pdf","Abrir PDF")</f>
        <v>Abrir PDF</v>
      </c>
    </row>
    <row r="237" spans="1:6" ht="30.95" customHeight="1">
      <c r="A237" s="7">
        <v>-28267</v>
      </c>
      <c r="B237" s="2" t="s">
        <v>1270</v>
      </c>
      <c r="C237" s="2" t="s">
        <v>29723</v>
      </c>
      <c r="D237" s="3">
        <v>4</v>
      </c>
      <c r="E237" s="3">
        <v>21</v>
      </c>
      <c r="F237" s="3" t="str">
        <f>HYPERLINK("https://www.boe.es/gazeta/dias/1822/08/09/pdfs/GMD-1822-233.pdf","Abrir PDF")</f>
        <v>Abrir PDF</v>
      </c>
    </row>
    <row r="238" spans="1:6" ht="30.95" customHeight="1">
      <c r="A238" s="7">
        <v>-28266</v>
      </c>
      <c r="B238" s="2" t="s">
        <v>1169</v>
      </c>
      <c r="C238" s="2" t="s">
        <v>29724</v>
      </c>
      <c r="D238" s="3">
        <v>4</v>
      </c>
      <c r="E238" s="3">
        <v>25</v>
      </c>
      <c r="F238" s="3" t="str">
        <f>HYPERLINK("https://www.boe.es/gazeta/dias/1822/08/10/pdfs/GMD-1822-234.pdf","Abrir PDF")</f>
        <v>Abrir PDF</v>
      </c>
    </row>
    <row r="239" spans="1:6" ht="30.95" customHeight="1">
      <c r="A239" s="7">
        <v>-28265</v>
      </c>
      <c r="B239" s="2" t="s">
        <v>1263</v>
      </c>
      <c r="C239" s="2" t="s">
        <v>29725</v>
      </c>
      <c r="D239" s="3">
        <v>4</v>
      </c>
      <c r="E239" s="3">
        <v>68</v>
      </c>
      <c r="F239" s="3" t="str">
        <f>HYPERLINK("https://www.boe.es/gazeta/dias/1822/08/11/pdfs/GMD-1822-235.pdf","Abrir PDF")</f>
        <v>Abrir PDF</v>
      </c>
    </row>
    <row r="240" spans="1:6" ht="30.95" customHeight="1">
      <c r="A240" s="7">
        <v>-28264</v>
      </c>
      <c r="B240" s="2" t="s">
        <v>1329</v>
      </c>
      <c r="C240" s="2" t="s">
        <v>29726</v>
      </c>
      <c r="D240" s="3">
        <v>4</v>
      </c>
      <c r="E240" s="3">
        <v>107</v>
      </c>
      <c r="F240" s="3" t="str">
        <f>HYPERLINK("https://www.boe.es/gazeta/dias/1822/08/12/pdfs/GMD-1822-236.pdf","Abrir PDF")</f>
        <v>Abrir PDF</v>
      </c>
    </row>
    <row r="241" spans="1:6" ht="30.95" customHeight="1">
      <c r="A241" s="7">
        <v>-28263</v>
      </c>
      <c r="B241" s="2" t="s">
        <v>7233</v>
      </c>
      <c r="C241" s="2" t="s">
        <v>29727</v>
      </c>
      <c r="D241" s="3">
        <v>4</v>
      </c>
      <c r="E241" s="3">
        <v>11</v>
      </c>
      <c r="F241" s="3" t="str">
        <f>HYPERLINK("https://www.boe.es/gazeta/dias/1822/08/13/pdfs/GMD-1822-237.pdf","Abrir PDF")</f>
        <v>Abrir PDF</v>
      </c>
    </row>
    <row r="242" spans="1:6" ht="30.95" customHeight="1">
      <c r="A242" s="7">
        <v>-28262</v>
      </c>
      <c r="B242" s="2" t="s">
        <v>1771</v>
      </c>
      <c r="C242" s="2" t="s">
        <v>29728</v>
      </c>
      <c r="D242" s="3">
        <v>4</v>
      </c>
      <c r="E242" s="3">
        <v>25</v>
      </c>
      <c r="F242" s="3" t="str">
        <f>HYPERLINK("https://www.boe.es/gazeta/dias/1822/08/14/pdfs/GMD-1822-238.pdf","Abrir PDF")</f>
        <v>Abrir PDF</v>
      </c>
    </row>
    <row r="243" spans="1:6" ht="30.95" customHeight="1">
      <c r="A243" s="7">
        <v>-28261</v>
      </c>
      <c r="B243" s="2" t="s">
        <v>5685</v>
      </c>
      <c r="C243" s="2" t="s">
        <v>29729</v>
      </c>
      <c r="D243" s="3">
        <v>4</v>
      </c>
      <c r="E243" s="3">
        <v>15</v>
      </c>
      <c r="F243" s="3" t="str">
        <f>HYPERLINK("https://www.boe.es/gazeta/dias/1822/08/15/pdfs/GMD-1822-239.pdf","Abrir PDF")</f>
        <v>Abrir PDF</v>
      </c>
    </row>
    <row r="244" spans="1:6" ht="30.95" customHeight="1">
      <c r="A244" s="7">
        <v>-28260</v>
      </c>
      <c r="B244" s="2" t="s">
        <v>135</v>
      </c>
      <c r="C244" s="2" t="s">
        <v>29730</v>
      </c>
      <c r="D244" s="3">
        <v>6</v>
      </c>
      <c r="E244" s="3">
        <v>52</v>
      </c>
      <c r="F244" s="3" t="str">
        <f>HYPERLINK("https://www.boe.es/gazeta/dias/1822/08/16/pdfs/GMD-1822-240.pdf","Abrir PDF")</f>
        <v>Abrir PDF</v>
      </c>
    </row>
    <row r="245" spans="1:6" ht="30.95" customHeight="1">
      <c r="A245" s="7">
        <v>-28259</v>
      </c>
      <c r="B245" s="2" t="s">
        <v>1912</v>
      </c>
      <c r="C245" s="2" t="s">
        <v>29731</v>
      </c>
      <c r="D245" s="3">
        <v>4</v>
      </c>
      <c r="E245" s="3">
        <v>25</v>
      </c>
      <c r="F245" s="3" t="str">
        <f>HYPERLINK("https://www.boe.es/gazeta/dias/1822/08/17/pdfs/GMD-1822-241.pdf","Abrir PDF")</f>
        <v>Abrir PDF</v>
      </c>
    </row>
    <row r="246" spans="1:6" ht="30.95" customHeight="1">
      <c r="A246" s="7">
        <v>-28258</v>
      </c>
      <c r="B246" s="2" t="s">
        <v>88</v>
      </c>
      <c r="C246" s="2" t="s">
        <v>29732</v>
      </c>
      <c r="D246" s="3">
        <v>4</v>
      </c>
      <c r="E246" s="3">
        <v>123</v>
      </c>
      <c r="F246" s="3" t="str">
        <f>HYPERLINK("https://www.boe.es/gazeta/dias/1822/08/18/pdfs/GMD-1822-242.pdf","Abrir PDF")</f>
        <v>Abrir PDF</v>
      </c>
    </row>
    <row r="247" spans="1:6" ht="30.95" customHeight="1">
      <c r="A247" s="7">
        <v>-28257</v>
      </c>
      <c r="B247" s="2" t="s">
        <v>1171</v>
      </c>
      <c r="C247" s="2" t="s">
        <v>29733</v>
      </c>
      <c r="D247" s="3">
        <v>4</v>
      </c>
      <c r="E247" s="3">
        <v>28</v>
      </c>
      <c r="F247" s="3" t="str">
        <f>HYPERLINK("https://www.boe.es/gazeta/dias/1822/08/19/pdfs/GMD-1822-243.pdf","Abrir PDF")</f>
        <v>Abrir PDF</v>
      </c>
    </row>
    <row r="248" spans="1:6" ht="30.95" customHeight="1">
      <c r="A248" s="7">
        <v>-28256</v>
      </c>
      <c r="B248" s="2" t="s">
        <v>1949</v>
      </c>
      <c r="C248" s="2" t="s">
        <v>29734</v>
      </c>
      <c r="D248" s="3">
        <v>4</v>
      </c>
      <c r="E248" s="3">
        <v>17</v>
      </c>
      <c r="F248" s="3" t="str">
        <f>HYPERLINK("https://www.boe.es/gazeta/dias/1822/08/20/pdfs/GMD-1822-244.pdf","Abrir PDF")</f>
        <v>Abrir PDF</v>
      </c>
    </row>
    <row r="249" spans="1:6" ht="30.95" customHeight="1">
      <c r="A249" s="7">
        <v>-28255</v>
      </c>
      <c r="B249" s="2" t="s">
        <v>4826</v>
      </c>
      <c r="C249" s="2" t="s">
        <v>29735</v>
      </c>
      <c r="D249" s="3">
        <v>4</v>
      </c>
      <c r="E249" s="3">
        <v>10</v>
      </c>
      <c r="F249" s="3" t="str">
        <f>HYPERLINK("https://www.boe.es/gazeta/dias/1822/08/21/pdfs/GMD-1822-245.pdf","Abrir PDF")</f>
        <v>Abrir PDF</v>
      </c>
    </row>
    <row r="250" spans="1:6" ht="30.95" customHeight="1">
      <c r="A250" s="7">
        <v>-28254</v>
      </c>
      <c r="B250" s="2" t="s">
        <v>3557</v>
      </c>
      <c r="C250" s="2" t="s">
        <v>29736</v>
      </c>
      <c r="D250" s="3">
        <v>4</v>
      </c>
      <c r="E250" s="3">
        <v>30</v>
      </c>
      <c r="F250" s="3" t="str">
        <f>HYPERLINK("https://www.boe.es/gazeta/dias/1822/08/22/pdfs/GMD-1822-246.pdf","Abrir PDF")</f>
        <v>Abrir PDF</v>
      </c>
    </row>
    <row r="251" spans="1:6" ht="30.95" customHeight="1">
      <c r="A251" s="7">
        <v>-28253</v>
      </c>
      <c r="B251" s="2" t="s">
        <v>413</v>
      </c>
      <c r="C251" s="2" t="s">
        <v>29737</v>
      </c>
      <c r="D251" s="3">
        <v>4</v>
      </c>
      <c r="E251" s="3">
        <v>16</v>
      </c>
      <c r="F251" s="3" t="str">
        <f>HYPERLINK("https://www.boe.es/gazeta/dias/1822/08/23/pdfs/GMD-1822-247.pdf","Abrir PDF")</f>
        <v>Abrir PDF</v>
      </c>
    </row>
    <row r="252" spans="1:6" ht="30.95" customHeight="1">
      <c r="A252" s="7">
        <v>-28252</v>
      </c>
      <c r="B252" s="2" t="s">
        <v>4333</v>
      </c>
      <c r="C252" s="2" t="s">
        <v>29738</v>
      </c>
      <c r="D252" s="3">
        <v>4</v>
      </c>
      <c r="E252" s="3">
        <v>17</v>
      </c>
      <c r="F252" s="3" t="str">
        <f>HYPERLINK("https://www.boe.es/gazeta/dias/1822/08/24/pdfs/GMD-1822-248.pdf","Abrir PDF")</f>
        <v>Abrir PDF</v>
      </c>
    </row>
    <row r="253" spans="1:6" ht="30.95" customHeight="1">
      <c r="A253" s="7">
        <v>-28251</v>
      </c>
      <c r="B253" s="2" t="s">
        <v>1485</v>
      </c>
      <c r="C253" s="2" t="s">
        <v>29739</v>
      </c>
      <c r="D253" s="3">
        <v>4</v>
      </c>
      <c r="E253" s="3">
        <v>32</v>
      </c>
      <c r="F253" s="3" t="str">
        <f>HYPERLINK("https://www.boe.es/gazeta/dias/1822/08/25/pdfs/GMD-1822-249.pdf","Abrir PDF")</f>
        <v>Abrir PDF</v>
      </c>
    </row>
    <row r="254" spans="1:6" ht="30.95" customHeight="1">
      <c r="A254" s="7">
        <v>-28250</v>
      </c>
      <c r="B254" s="2" t="s">
        <v>1174</v>
      </c>
      <c r="C254" s="2" t="s">
        <v>29740</v>
      </c>
      <c r="D254" s="3">
        <v>4</v>
      </c>
      <c r="E254" s="3">
        <v>23</v>
      </c>
      <c r="F254" s="3" t="str">
        <f>HYPERLINK("https://www.boe.es/gazeta/dias/1822/08/26/pdfs/GMD-1822-250.pdf","Abrir PDF")</f>
        <v>Abrir PDF</v>
      </c>
    </row>
    <row r="255" spans="1:6" ht="30.95" customHeight="1">
      <c r="A255" s="7">
        <v>-28249</v>
      </c>
      <c r="B255" s="2" t="s">
        <v>3986</v>
      </c>
      <c r="C255" s="2" t="s">
        <v>29741</v>
      </c>
      <c r="D255" s="3">
        <v>4</v>
      </c>
      <c r="E255" s="3">
        <v>23</v>
      </c>
      <c r="F255" s="3" t="str">
        <f>HYPERLINK("https://www.boe.es/gazeta/dias/1822/08/27/pdfs/GMD-1822-251.pdf","Abrir PDF")</f>
        <v>Abrir PDF</v>
      </c>
    </row>
    <row r="256" spans="1:6" ht="30.95" customHeight="1">
      <c r="A256" s="7">
        <v>-28248</v>
      </c>
      <c r="B256" s="2" t="s">
        <v>4807</v>
      </c>
      <c r="C256" s="2" t="s">
        <v>29742</v>
      </c>
      <c r="D256" s="3">
        <v>4</v>
      </c>
      <c r="E256" s="3">
        <v>11</v>
      </c>
      <c r="F256" s="3" t="str">
        <f>HYPERLINK("https://www.boe.es/gazeta/dias/1822/08/28/pdfs/GMD-1822-252.pdf","Abrir PDF")</f>
        <v>Abrir PDF</v>
      </c>
    </row>
    <row r="257" spans="1:6" ht="30.95" customHeight="1">
      <c r="A257" s="7">
        <v>-28247</v>
      </c>
      <c r="B257" s="2" t="s">
        <v>2023</v>
      </c>
      <c r="C257" s="2" t="s">
        <v>29743</v>
      </c>
      <c r="D257" s="3">
        <v>4</v>
      </c>
      <c r="E257" s="3">
        <v>12</v>
      </c>
      <c r="F257" s="3" t="str">
        <f>HYPERLINK("https://www.boe.es/gazeta/dias/1822/08/29/pdfs/GMD-1822-253.pdf","Abrir PDF")</f>
        <v>Abrir PDF</v>
      </c>
    </row>
    <row r="258" spans="1:6" ht="30.95" customHeight="1">
      <c r="A258" s="7">
        <v>-28246</v>
      </c>
      <c r="B258" s="2" t="s">
        <v>3246</v>
      </c>
      <c r="C258" s="2" t="s">
        <v>29744</v>
      </c>
      <c r="D258" s="3">
        <v>6</v>
      </c>
      <c r="E258" s="3">
        <v>32</v>
      </c>
      <c r="F258" s="3" t="str">
        <f>HYPERLINK("https://www.boe.es/gazeta/dias/1822/08/30/pdfs/GMD-1822-254.pdf","Abrir PDF")</f>
        <v>Abrir PDF</v>
      </c>
    </row>
    <row r="259" spans="1:6" ht="30.95" customHeight="1">
      <c r="A259" s="7">
        <v>-28245</v>
      </c>
      <c r="B259" s="2" t="s">
        <v>2307</v>
      </c>
      <c r="C259" s="2" t="s">
        <v>29745</v>
      </c>
      <c r="D259" s="3">
        <v>4</v>
      </c>
      <c r="E259" s="3">
        <v>19</v>
      </c>
      <c r="F259" s="3" t="str">
        <f>HYPERLINK("https://www.boe.es/gazeta/dias/1822/08/31/pdfs/GMD-1822-255.pdf","Abrir PDF")</f>
        <v>Abrir PDF</v>
      </c>
    </row>
    <row r="260" spans="1:6" ht="30.95" customHeight="1">
      <c r="A260" s="7">
        <v>-28244</v>
      </c>
      <c r="B260" s="2" t="s">
        <v>6163</v>
      </c>
      <c r="C260" s="2" t="s">
        <v>29746</v>
      </c>
      <c r="D260" s="3">
        <v>4</v>
      </c>
      <c r="E260" s="3">
        <v>19</v>
      </c>
      <c r="F260" s="3" t="str">
        <f>HYPERLINK("https://www.boe.es/gazeta/dias/1822/09/01/pdfs/GMD-1822-256.pdf","Abrir PDF")</f>
        <v>Abrir PDF</v>
      </c>
    </row>
    <row r="261" spans="1:6" ht="30.95" customHeight="1">
      <c r="A261" s="7">
        <v>-28243</v>
      </c>
      <c r="B261" s="2" t="s">
        <v>1829</v>
      </c>
      <c r="C261" s="2" t="s">
        <v>29747</v>
      </c>
      <c r="D261" s="3">
        <v>4</v>
      </c>
      <c r="E261" s="3">
        <v>32</v>
      </c>
      <c r="F261" s="3" t="str">
        <f>HYPERLINK("https://www.boe.es/gazeta/dias/1822/09/02/pdfs/GMD-1822-257.pdf","Abrir PDF")</f>
        <v>Abrir PDF</v>
      </c>
    </row>
    <row r="262" spans="1:6" ht="30.95" customHeight="1">
      <c r="A262" s="7">
        <v>-28242</v>
      </c>
      <c r="B262" s="2" t="s">
        <v>831</v>
      </c>
      <c r="C262" s="2" t="s">
        <v>29748</v>
      </c>
      <c r="D262" s="3">
        <v>4</v>
      </c>
      <c r="E262" s="3">
        <v>10</v>
      </c>
      <c r="F262" s="3" t="str">
        <f>HYPERLINK("https://www.boe.es/gazeta/dias/1822/09/03/pdfs/GMD-1822-258.pdf","Abrir PDF")</f>
        <v>Abrir PDF</v>
      </c>
    </row>
    <row r="263" spans="1:6" ht="30.95" customHeight="1">
      <c r="A263" s="7">
        <v>-28241</v>
      </c>
      <c r="B263" s="2" t="s">
        <v>3068</v>
      </c>
      <c r="C263" s="2" t="s">
        <v>29749</v>
      </c>
      <c r="D263" s="3">
        <v>4</v>
      </c>
      <c r="E263" s="3">
        <v>46</v>
      </c>
      <c r="F263" s="3" t="str">
        <f>HYPERLINK("https://www.boe.es/gazeta/dias/1822/09/04/pdfs/GMD-1822-259.pdf","Abrir PDF")</f>
        <v>Abrir PDF</v>
      </c>
    </row>
    <row r="264" spans="1:6" ht="30.95" customHeight="1">
      <c r="A264" s="7">
        <v>-28240</v>
      </c>
      <c r="B264" s="2" t="s">
        <v>678</v>
      </c>
      <c r="C264" s="2" t="s">
        <v>29750</v>
      </c>
      <c r="D264" s="3">
        <v>4</v>
      </c>
      <c r="E264" s="3">
        <v>42</v>
      </c>
      <c r="F264" s="3" t="str">
        <f>HYPERLINK("https://www.boe.es/gazeta/dias/1822/09/05/pdfs/GMD-1822-260.pdf","Abrir PDF")</f>
        <v>Abrir PDF</v>
      </c>
    </row>
    <row r="265" spans="1:6" ht="30.95" customHeight="1">
      <c r="A265" s="7">
        <v>-28239</v>
      </c>
      <c r="B265" s="2" t="s">
        <v>3154</v>
      </c>
      <c r="C265" s="2" t="s">
        <v>29751</v>
      </c>
      <c r="D265" s="3">
        <v>4</v>
      </c>
      <c r="E265" s="3">
        <v>10</v>
      </c>
      <c r="F265" s="3" t="str">
        <f>HYPERLINK("https://www.boe.es/gazeta/dias/1822/09/06/pdfs/GMD-1822-261.pdf","Abrir PDF")</f>
        <v>Abrir PDF</v>
      </c>
    </row>
    <row r="266" spans="1:6" ht="30.95" customHeight="1">
      <c r="A266" s="7">
        <v>-28238</v>
      </c>
      <c r="B266" s="2" t="s">
        <v>2077</v>
      </c>
      <c r="C266" s="2" t="s">
        <v>29752</v>
      </c>
      <c r="D266" s="3">
        <v>4</v>
      </c>
      <c r="E266" s="3">
        <v>28</v>
      </c>
      <c r="F266" s="3" t="str">
        <f>HYPERLINK("https://www.boe.es/gazeta/dias/1822/09/07/pdfs/GMD-1822-262.pdf","Abrir PDF")</f>
        <v>Abrir PDF</v>
      </c>
    </row>
    <row r="267" spans="1:6" ht="30.95" customHeight="1">
      <c r="A267" s="7">
        <v>-28238</v>
      </c>
      <c r="B267" s="2" t="s">
        <v>3584</v>
      </c>
      <c r="C267" s="2" t="s">
        <v>29753</v>
      </c>
      <c r="D267" s="3">
        <v>1</v>
      </c>
      <c r="E267" s="3">
        <v>11</v>
      </c>
      <c r="F267" s="3" t="str">
        <f>HYPERLINK("https://www.boe.es/gazeta/dias/1822/09/07/pdfs/GMD-1822-263E.pdf","Abrir PDF")</f>
        <v>Abrir PDF</v>
      </c>
    </row>
    <row r="268" spans="1:6" ht="30.95" customHeight="1">
      <c r="A268" s="7">
        <v>-28237</v>
      </c>
      <c r="B268" s="2" t="s">
        <v>878</v>
      </c>
      <c r="C268" s="2" t="s">
        <v>29754</v>
      </c>
      <c r="D268" s="3">
        <v>4</v>
      </c>
      <c r="E268" s="3">
        <v>26</v>
      </c>
      <c r="F268" s="3" t="str">
        <f>HYPERLINK("https://www.boe.es/gazeta/dias/1822/09/08/pdfs/GMD-1822-264.pdf","Abrir PDF")</f>
        <v>Abrir PDF</v>
      </c>
    </row>
    <row r="269" spans="1:6" ht="30.95" customHeight="1">
      <c r="A269" s="7">
        <v>-28236</v>
      </c>
      <c r="B269" s="2" t="s">
        <v>714</v>
      </c>
      <c r="C269" s="2" t="s">
        <v>29755</v>
      </c>
      <c r="D269" s="3">
        <v>4</v>
      </c>
      <c r="E269" s="3">
        <v>14</v>
      </c>
      <c r="F269" s="3" t="str">
        <f>HYPERLINK("https://www.boe.es/gazeta/dias/1822/09/09/pdfs/GMD-1822-265.pdf","Abrir PDF")</f>
        <v>Abrir PDF</v>
      </c>
    </row>
    <row r="270" spans="1:6" ht="30.95" customHeight="1">
      <c r="A270" s="7">
        <v>-28235</v>
      </c>
      <c r="B270" s="2" t="s">
        <v>1470</v>
      </c>
      <c r="C270" s="2" t="s">
        <v>29756</v>
      </c>
      <c r="D270" s="3">
        <v>4</v>
      </c>
      <c r="E270" s="3">
        <v>28</v>
      </c>
      <c r="F270" s="3" t="str">
        <f>HYPERLINK("https://www.boe.es/gazeta/dias/1822/09/10/pdfs/GMD-1822-266.pdf","Abrir PDF")</f>
        <v>Abrir PDF</v>
      </c>
    </row>
    <row r="271" spans="1:6" ht="30.95" customHeight="1">
      <c r="A271" s="7">
        <v>-28234</v>
      </c>
      <c r="B271" s="2" t="s">
        <v>1331</v>
      </c>
      <c r="C271" s="2" t="s">
        <v>29757</v>
      </c>
      <c r="D271" s="3">
        <v>4</v>
      </c>
      <c r="E271" s="3">
        <v>30</v>
      </c>
      <c r="F271" s="3" t="str">
        <f>HYPERLINK("https://www.boe.es/gazeta/dias/1822/09/11/pdfs/GMD-1822-267.pdf","Abrir PDF")</f>
        <v>Abrir PDF</v>
      </c>
    </row>
    <row r="272" spans="1:6" ht="30.95" customHeight="1">
      <c r="A272" s="7">
        <v>-28233</v>
      </c>
      <c r="B272" s="2" t="s">
        <v>810</v>
      </c>
      <c r="C272" s="2" t="s">
        <v>29758</v>
      </c>
      <c r="D272" s="3">
        <v>4</v>
      </c>
      <c r="E272" s="3">
        <v>10</v>
      </c>
      <c r="F272" s="3" t="str">
        <f>HYPERLINK("https://www.boe.es/gazeta/dias/1822/09/12/pdfs/GMD-1822-268.pdf","Abrir PDF")</f>
        <v>Abrir PDF</v>
      </c>
    </row>
    <row r="273" spans="1:6" ht="30.95" customHeight="1">
      <c r="A273" s="7">
        <v>-28232</v>
      </c>
      <c r="B273" s="2" t="s">
        <v>3875</v>
      </c>
      <c r="C273" s="2" t="s">
        <v>29759</v>
      </c>
      <c r="D273" s="3">
        <v>4</v>
      </c>
      <c r="E273" s="3">
        <v>14</v>
      </c>
      <c r="F273" s="3" t="str">
        <f>HYPERLINK("https://www.boe.es/gazeta/dias/1822/09/13/pdfs/GMD-1822-269.pdf","Abrir PDF")</f>
        <v>Abrir PDF</v>
      </c>
    </row>
    <row r="274" spans="1:6" ht="30.95" customHeight="1">
      <c r="A274" s="7">
        <v>-28231</v>
      </c>
      <c r="B274" s="2" t="s">
        <v>2049</v>
      </c>
      <c r="C274" s="2" t="s">
        <v>29760</v>
      </c>
      <c r="D274" s="3">
        <v>4</v>
      </c>
      <c r="E274" s="3">
        <v>25</v>
      </c>
      <c r="F274" s="3" t="str">
        <f>HYPERLINK("https://www.boe.es/gazeta/dias/1822/09/14/pdfs/GMD-1822-270.pdf","Abrir PDF")</f>
        <v>Abrir PDF</v>
      </c>
    </row>
    <row r="275" spans="1:6" ht="30.95" customHeight="1">
      <c r="A275" s="7">
        <v>-28230</v>
      </c>
      <c r="B275" s="2" t="s">
        <v>1735</v>
      </c>
      <c r="C275" s="2" t="s">
        <v>29761</v>
      </c>
      <c r="D275" s="3">
        <v>4</v>
      </c>
      <c r="E275" s="3">
        <v>59</v>
      </c>
      <c r="F275" s="3" t="str">
        <f>HYPERLINK("https://www.boe.es/gazeta/dias/1822/09/15/pdfs/GMD-1822-271.pdf","Abrir PDF")</f>
        <v>Abrir PDF</v>
      </c>
    </row>
    <row r="276" spans="1:6" ht="30.95" customHeight="1">
      <c r="A276" s="7">
        <v>-28229</v>
      </c>
      <c r="B276" s="2" t="s">
        <v>2310</v>
      </c>
      <c r="C276" s="2" t="s">
        <v>29762</v>
      </c>
      <c r="D276" s="3">
        <v>4</v>
      </c>
      <c r="E276" s="3">
        <v>35</v>
      </c>
      <c r="F276" s="3" t="str">
        <f>HYPERLINK("https://www.boe.es/gazeta/dias/1822/09/16/pdfs/GMD-1822-272.pdf","Abrir PDF")</f>
        <v>Abrir PDF</v>
      </c>
    </row>
    <row r="277" spans="1:6" ht="30.95" customHeight="1">
      <c r="A277" s="7">
        <v>-28228</v>
      </c>
      <c r="B277" s="2" t="s">
        <v>718</v>
      </c>
      <c r="C277" s="2" t="s">
        <v>29763</v>
      </c>
      <c r="D277" s="3">
        <v>4</v>
      </c>
      <c r="E277" s="3">
        <v>36</v>
      </c>
      <c r="F277" s="3" t="str">
        <f>HYPERLINK("https://www.boe.es/gazeta/dias/1822/09/17/pdfs/GMD-1822-273.pdf","Abrir PDF")</f>
        <v>Abrir PDF</v>
      </c>
    </row>
    <row r="278" spans="1:6" ht="30.95" customHeight="1">
      <c r="A278" s="7">
        <v>-28227</v>
      </c>
      <c r="B278" s="2" t="s">
        <v>2148</v>
      </c>
      <c r="C278" s="2" t="s">
        <v>29764</v>
      </c>
      <c r="D278" s="3">
        <v>4</v>
      </c>
      <c r="E278" s="3">
        <v>10</v>
      </c>
      <c r="F278" s="3" t="str">
        <f>HYPERLINK("https://www.boe.es/gazeta/dias/1822/09/18/pdfs/GMD-1822-274.pdf","Abrir PDF")</f>
        <v>Abrir PDF</v>
      </c>
    </row>
    <row r="279" spans="1:6" ht="30.95" customHeight="1">
      <c r="A279" s="7">
        <v>-28226</v>
      </c>
      <c r="B279" s="2" t="s">
        <v>812</v>
      </c>
      <c r="C279" s="2" t="s">
        <v>29765</v>
      </c>
      <c r="D279" s="3">
        <v>4</v>
      </c>
      <c r="E279" s="3">
        <v>17</v>
      </c>
      <c r="F279" s="3" t="str">
        <f>HYPERLINK("https://www.boe.es/gazeta/dias/1822/09/19/pdfs/GMD-1822-275.pdf","Abrir PDF")</f>
        <v>Abrir PDF</v>
      </c>
    </row>
    <row r="280" spans="1:6" ht="30.95" customHeight="1">
      <c r="A280" s="7">
        <v>-28225</v>
      </c>
      <c r="B280" s="2" t="s">
        <v>177</v>
      </c>
      <c r="C280" s="2" t="s">
        <v>29766</v>
      </c>
      <c r="D280" s="3">
        <v>4</v>
      </c>
      <c r="E280" s="3">
        <v>47</v>
      </c>
      <c r="F280" s="3" t="str">
        <f>HYPERLINK("https://www.boe.es/gazeta/dias/1822/09/20/pdfs/GMD-1822-276.pdf","Abrir PDF")</f>
        <v>Abrir PDF</v>
      </c>
    </row>
    <row r="281" spans="1:6" ht="30.95" customHeight="1">
      <c r="A281" s="7">
        <v>-28224</v>
      </c>
      <c r="B281" s="2" t="s">
        <v>1902</v>
      </c>
      <c r="C281" s="2" t="s">
        <v>29767</v>
      </c>
      <c r="D281" s="3">
        <v>4</v>
      </c>
      <c r="E281" s="3">
        <v>26</v>
      </c>
      <c r="F281" s="3" t="str">
        <f>HYPERLINK("https://www.boe.es/gazeta/dias/1822/09/21/pdfs/GMD-1822-277.pdf","Abrir PDF")</f>
        <v>Abrir PDF</v>
      </c>
    </row>
    <row r="282" spans="1:6" ht="30.95" customHeight="1">
      <c r="A282" s="7">
        <v>-28223</v>
      </c>
      <c r="B282" s="2" t="s">
        <v>2374</v>
      </c>
      <c r="C282" s="2" t="s">
        <v>29768</v>
      </c>
      <c r="D282" s="3">
        <v>4</v>
      </c>
      <c r="E282" s="3">
        <v>19</v>
      </c>
      <c r="F282" s="3" t="str">
        <f>HYPERLINK("https://www.boe.es/gazeta/dias/1822/09/22/pdfs/GMD-1822-278.pdf","Abrir PDF")</f>
        <v>Abrir PDF</v>
      </c>
    </row>
    <row r="283" spans="1:6" ht="30.95" customHeight="1">
      <c r="A283" s="7">
        <v>-28222</v>
      </c>
      <c r="B283" s="2" t="s">
        <v>2027</v>
      </c>
      <c r="C283" s="2" t="s">
        <v>29769</v>
      </c>
      <c r="D283" s="3">
        <v>4</v>
      </c>
      <c r="E283" s="3">
        <v>27</v>
      </c>
      <c r="F283" s="3" t="str">
        <f>HYPERLINK("https://www.boe.es/gazeta/dias/1822/09/23/pdfs/GMD-1822-279.pdf","Abrir PDF")</f>
        <v>Abrir PDF</v>
      </c>
    </row>
    <row r="284" spans="1:6" ht="30.95" customHeight="1">
      <c r="A284" s="7">
        <v>-28221</v>
      </c>
      <c r="B284" s="2" t="s">
        <v>2591</v>
      </c>
      <c r="C284" s="2" t="s">
        <v>29770</v>
      </c>
      <c r="D284" s="3">
        <v>4</v>
      </c>
      <c r="E284" s="3">
        <v>39</v>
      </c>
      <c r="F284" s="3" t="str">
        <f>HYPERLINK("https://www.boe.es/gazeta/dias/1822/09/24/pdfs/GMD-1822-280.pdf","Abrir PDF")</f>
        <v>Abrir PDF</v>
      </c>
    </row>
    <row r="285" spans="1:6" ht="30.95" customHeight="1">
      <c r="A285" s="7">
        <v>-28220</v>
      </c>
      <c r="B285" s="2" t="s">
        <v>1914</v>
      </c>
      <c r="C285" s="2" t="s">
        <v>29771</v>
      </c>
      <c r="D285" s="3">
        <v>4</v>
      </c>
      <c r="E285" s="3">
        <v>27</v>
      </c>
      <c r="F285" s="3" t="str">
        <f>HYPERLINK("https://www.boe.es/gazeta/dias/1822/09/25/pdfs/GMD-1822-281.pdf","Abrir PDF")</f>
        <v>Abrir PDF</v>
      </c>
    </row>
    <row r="286" spans="1:6" ht="30.95" customHeight="1">
      <c r="A286" s="7">
        <v>-28219</v>
      </c>
      <c r="B286" s="2" t="s">
        <v>1082</v>
      </c>
      <c r="C286" s="2" t="s">
        <v>29772</v>
      </c>
      <c r="D286" s="3">
        <v>4</v>
      </c>
      <c r="E286" s="3">
        <v>19</v>
      </c>
      <c r="F286" s="3" t="str">
        <f>HYPERLINK("https://www.boe.es/gazeta/dias/1822/09/26/pdfs/GMD-1822-282.pdf","Abrir PDF")</f>
        <v>Abrir PDF</v>
      </c>
    </row>
    <row r="287" spans="1:6" ht="30.95" customHeight="1">
      <c r="A287" s="7">
        <v>-28218</v>
      </c>
      <c r="B287" s="2" t="s">
        <v>405</v>
      </c>
      <c r="C287" s="2" t="s">
        <v>29773</v>
      </c>
      <c r="D287" s="3">
        <v>4</v>
      </c>
      <c r="E287" s="3">
        <v>13</v>
      </c>
      <c r="F287" s="3" t="str">
        <f>HYPERLINK("https://www.boe.es/gazeta/dias/1822/09/27/pdfs/GMD-1822-283.pdf","Abrir PDF")</f>
        <v>Abrir PDF</v>
      </c>
    </row>
    <row r="288" spans="1:6" ht="30.95" customHeight="1">
      <c r="A288" s="7">
        <v>-28217</v>
      </c>
      <c r="B288" s="2" t="s">
        <v>1892</v>
      </c>
      <c r="C288" s="2" t="s">
        <v>29774</v>
      </c>
      <c r="D288" s="3">
        <v>4</v>
      </c>
      <c r="E288" s="3">
        <v>30</v>
      </c>
      <c r="F288" s="3" t="str">
        <f>HYPERLINK("https://www.boe.es/gazeta/dias/1822/09/28/pdfs/GMD-1822-284.pdf","Abrir PDF")</f>
        <v>Abrir PDF</v>
      </c>
    </row>
    <row r="289" spans="1:6" ht="30.95" customHeight="1">
      <c r="A289" s="7">
        <v>-28216</v>
      </c>
      <c r="B289" s="2" t="s">
        <v>4661</v>
      </c>
      <c r="C289" s="2" t="s">
        <v>29775</v>
      </c>
      <c r="D289" s="3">
        <v>4</v>
      </c>
      <c r="E289" s="3">
        <v>13</v>
      </c>
      <c r="F289" s="3" t="str">
        <f>HYPERLINK("https://www.boe.es/gazeta/dias/1822/09/29/pdfs/GMD-1822-285.pdf","Abrir PDF")</f>
        <v>Abrir PDF</v>
      </c>
    </row>
    <row r="290" spans="1:6" ht="30.95" customHeight="1">
      <c r="A290" s="7">
        <v>-28215</v>
      </c>
      <c r="B290" s="2" t="s">
        <v>17483</v>
      </c>
      <c r="C290" s="2" t="s">
        <v>29776</v>
      </c>
      <c r="D290" s="3">
        <v>4</v>
      </c>
      <c r="E290" s="3">
        <v>8</v>
      </c>
      <c r="F290" s="3" t="str">
        <f>HYPERLINK("https://www.boe.es/gazeta/dias/1822/09/30/pdfs/GMD-1822-286.pdf","Abrir PDF")</f>
        <v>Abrir PDF</v>
      </c>
    </row>
    <row r="291" spans="1:6" ht="30.95" customHeight="1">
      <c r="A291" s="7">
        <v>-28214</v>
      </c>
      <c r="B291" s="2" t="s">
        <v>814</v>
      </c>
      <c r="C291" s="2" t="s">
        <v>29777</v>
      </c>
      <c r="D291" s="3">
        <v>4</v>
      </c>
      <c r="E291" s="3">
        <v>55</v>
      </c>
      <c r="F291" s="3" t="str">
        <f>HYPERLINK("https://www.boe.es/gazeta/dias/1822/10/01/pdfs/GMD-1822-287.pdf","Abrir PDF")</f>
        <v>Abrir PDF</v>
      </c>
    </row>
    <row r="292" spans="1:6" ht="30.95" customHeight="1">
      <c r="A292" s="7">
        <v>-28213</v>
      </c>
      <c r="B292" s="2" t="s">
        <v>558</v>
      </c>
      <c r="C292" s="2" t="s">
        <v>29778</v>
      </c>
      <c r="D292" s="3">
        <v>4</v>
      </c>
      <c r="E292" s="3">
        <v>58</v>
      </c>
      <c r="F292" s="3" t="str">
        <f>HYPERLINK("https://www.boe.es/gazeta/dias/1822/10/02/pdfs/GMD-1822-288.pdf","Abrir PDF")</f>
        <v>Abrir PDF</v>
      </c>
    </row>
    <row r="293" spans="1:6" ht="30.95" customHeight="1">
      <c r="A293" s="7">
        <v>-28212</v>
      </c>
      <c r="B293" s="2" t="s">
        <v>560</v>
      </c>
      <c r="C293" s="2" t="s">
        <v>29779</v>
      </c>
      <c r="D293" s="3">
        <v>4</v>
      </c>
      <c r="E293" s="3">
        <v>29</v>
      </c>
      <c r="F293" s="3" t="str">
        <f>HYPERLINK("https://www.boe.es/gazeta/dias/1822/10/03/pdfs/GMD-1822-289.pdf","Abrir PDF")</f>
        <v>Abrir PDF</v>
      </c>
    </row>
    <row r="294" spans="1:6" ht="30.95" customHeight="1">
      <c r="A294" s="7">
        <v>-28211</v>
      </c>
      <c r="B294" s="2" t="s">
        <v>273</v>
      </c>
      <c r="C294" s="2" t="s">
        <v>29780</v>
      </c>
      <c r="D294" s="3">
        <v>4</v>
      </c>
      <c r="E294" s="3">
        <v>57</v>
      </c>
      <c r="F294" s="3" t="str">
        <f>HYPERLINK("https://www.boe.es/gazeta/dias/1822/10/04/pdfs/GMD-1822-290.pdf","Abrir PDF")</f>
        <v>Abrir PDF</v>
      </c>
    </row>
    <row r="295" spans="1:6" ht="30.95" customHeight="1">
      <c r="A295" s="7">
        <v>-28210</v>
      </c>
      <c r="B295" s="2" t="s">
        <v>218</v>
      </c>
      <c r="C295" s="2" t="s">
        <v>29781</v>
      </c>
      <c r="D295" s="3">
        <v>6</v>
      </c>
      <c r="E295" s="3">
        <v>97</v>
      </c>
      <c r="F295" s="3" t="str">
        <f>HYPERLINK("https://www.boe.es/gazeta/dias/1822/10/05/pdfs/GMD-1822-291.pdf","Abrir PDF")</f>
        <v>Abrir PDF</v>
      </c>
    </row>
    <row r="296" spans="1:6" ht="30.95" customHeight="1">
      <c r="A296" s="7">
        <v>-28209</v>
      </c>
      <c r="B296" s="2" t="s">
        <v>748</v>
      </c>
      <c r="C296" s="2" t="s">
        <v>29782</v>
      </c>
      <c r="D296" s="3">
        <v>4</v>
      </c>
      <c r="E296" s="3">
        <v>22</v>
      </c>
      <c r="F296" s="3" t="str">
        <f>HYPERLINK("https://www.boe.es/gazeta/dias/1822/10/06/pdfs/GMD-1822-292.pdf","Abrir PDF")</f>
        <v>Abrir PDF</v>
      </c>
    </row>
    <row r="297" spans="1:6" ht="30.95" customHeight="1">
      <c r="A297" s="7">
        <v>-28208</v>
      </c>
      <c r="B297" s="2" t="s">
        <v>230</v>
      </c>
      <c r="C297" s="2" t="s">
        <v>29783</v>
      </c>
      <c r="D297" s="3">
        <v>4</v>
      </c>
      <c r="E297" s="3">
        <v>117</v>
      </c>
      <c r="F297" s="3" t="str">
        <f>HYPERLINK("https://www.boe.es/gazeta/dias/1822/10/07/pdfs/GMD-1822-293.pdf","Abrir PDF")</f>
        <v>Abrir PDF</v>
      </c>
    </row>
    <row r="298" spans="1:6" ht="30.95" customHeight="1">
      <c r="A298" s="7">
        <v>-28208</v>
      </c>
      <c r="B298" s="2" t="s">
        <v>29784</v>
      </c>
      <c r="C298" s="2" t="s">
        <v>29785</v>
      </c>
      <c r="D298" s="3">
        <v>1</v>
      </c>
      <c r="E298" s="3">
        <v>0</v>
      </c>
      <c r="F298" s="3" t="str">
        <f>HYPERLINK("https://www.boe.es/gazeta/dias/1822/10/07/pdfs/GMD-1822-294E.pdf","Abrir PDF")</f>
        <v>Abrir PDF</v>
      </c>
    </row>
    <row r="299" spans="1:6" ht="30.95" customHeight="1">
      <c r="A299" s="7">
        <v>-28207</v>
      </c>
      <c r="B299" s="2" t="s">
        <v>1325</v>
      </c>
      <c r="C299" s="2" t="s">
        <v>29786</v>
      </c>
      <c r="D299" s="3">
        <v>4</v>
      </c>
      <c r="E299" s="3">
        <v>29</v>
      </c>
      <c r="F299" s="3" t="str">
        <f>HYPERLINK("https://www.boe.es/gazeta/dias/1822/10/08/pdfs/GMD-1822-295.pdf","Abrir PDF")</f>
        <v>Abrir PDF</v>
      </c>
    </row>
    <row r="300" spans="1:6" ht="30.95" customHeight="1">
      <c r="A300" s="7">
        <v>-28206</v>
      </c>
      <c r="B300" s="2" t="s">
        <v>562</v>
      </c>
      <c r="C300" s="2" t="s">
        <v>29787</v>
      </c>
      <c r="D300" s="3">
        <v>4</v>
      </c>
      <c r="E300" s="3">
        <v>23</v>
      </c>
      <c r="F300" s="3" t="str">
        <f>HYPERLINK("https://www.boe.es/gazeta/dias/1822/10/09/pdfs/GMD-1822-296.pdf","Abrir PDF")</f>
        <v>Abrir PDF</v>
      </c>
    </row>
    <row r="301" spans="1:6" ht="30.95" customHeight="1">
      <c r="A301" s="7">
        <v>-28205</v>
      </c>
      <c r="B301" s="2" t="s">
        <v>806</v>
      </c>
      <c r="C301" s="2" t="s">
        <v>29788</v>
      </c>
      <c r="D301" s="3">
        <v>6</v>
      </c>
      <c r="E301" s="3">
        <v>35</v>
      </c>
      <c r="F301" s="3" t="str">
        <f>HYPERLINK("https://www.boe.es/gazeta/dias/1822/10/10/pdfs/GMD-1822-297.pdf","Abrir PDF")</f>
        <v>Abrir PDF</v>
      </c>
    </row>
    <row r="302" spans="1:6" ht="30.95" customHeight="1">
      <c r="A302" s="7">
        <v>-28204</v>
      </c>
      <c r="B302" s="2" t="s">
        <v>3190</v>
      </c>
      <c r="C302" s="2" t="s">
        <v>29789</v>
      </c>
      <c r="D302" s="3">
        <v>8</v>
      </c>
      <c r="E302" s="3">
        <v>14</v>
      </c>
      <c r="F302" s="3" t="str">
        <f>HYPERLINK("https://www.boe.es/gazeta/dias/1822/10/11/pdfs/GMD-1822-298.pdf","Abrir PDF")</f>
        <v>Abrir PDF</v>
      </c>
    </row>
    <row r="303" spans="1:6" ht="30.95" customHeight="1">
      <c r="A303" s="7">
        <v>-28203</v>
      </c>
      <c r="B303" s="2" t="s">
        <v>564</v>
      </c>
      <c r="C303" s="2" t="s">
        <v>29790</v>
      </c>
      <c r="D303" s="3">
        <v>6</v>
      </c>
      <c r="E303" s="3">
        <v>51</v>
      </c>
      <c r="F303" s="3" t="str">
        <f>HYPERLINK("https://www.boe.es/gazeta/dias/1822/10/12/pdfs/GMD-1822-299.pdf","Abrir PDF")</f>
        <v>Abrir PDF</v>
      </c>
    </row>
    <row r="304" spans="1:6" ht="30.95" customHeight="1">
      <c r="A304" s="7">
        <v>-28202</v>
      </c>
      <c r="B304" s="2" t="s">
        <v>922</v>
      </c>
      <c r="C304" s="2" t="s">
        <v>29791</v>
      </c>
      <c r="D304" s="3">
        <v>6</v>
      </c>
      <c r="E304" s="3">
        <v>28</v>
      </c>
      <c r="F304" s="3" t="str">
        <f>HYPERLINK("https://www.boe.es/gazeta/dias/1822/10/13/pdfs/GMD-1822-300.pdf","Abrir PDF")</f>
        <v>Abrir PDF</v>
      </c>
    </row>
    <row r="305" spans="1:6" ht="30.95" customHeight="1">
      <c r="A305" s="7">
        <v>-28201</v>
      </c>
      <c r="B305" s="2" t="s">
        <v>163</v>
      </c>
      <c r="C305" s="2" t="s">
        <v>29792</v>
      </c>
      <c r="D305" s="3">
        <v>6</v>
      </c>
      <c r="E305" s="3">
        <v>46</v>
      </c>
      <c r="F305" s="3" t="str">
        <f>HYPERLINK("https://www.boe.es/gazeta/dias/1822/10/14/pdfs/GMD-1822-301.pdf","Abrir PDF")</f>
        <v>Abrir PDF</v>
      </c>
    </row>
    <row r="306" spans="1:6" ht="30.95" customHeight="1">
      <c r="A306" s="7">
        <v>-28200</v>
      </c>
      <c r="B306" s="2" t="s">
        <v>1037</v>
      </c>
      <c r="C306" s="2" t="s">
        <v>29793</v>
      </c>
      <c r="D306" s="3">
        <v>6</v>
      </c>
      <c r="E306" s="3">
        <v>53</v>
      </c>
      <c r="F306" s="3" t="str">
        <f>HYPERLINK("https://www.boe.es/gazeta/dias/1822/10/15/pdfs/GMD-1822-302.pdf","Abrir PDF")</f>
        <v>Abrir PDF</v>
      </c>
    </row>
    <row r="307" spans="1:6" ht="30.95" customHeight="1">
      <c r="A307" s="7">
        <v>-28199</v>
      </c>
      <c r="B307" s="2" t="s">
        <v>656</v>
      </c>
      <c r="C307" s="2" t="s">
        <v>29794</v>
      </c>
      <c r="D307" s="3">
        <v>6</v>
      </c>
      <c r="E307" s="3">
        <v>89</v>
      </c>
      <c r="F307" s="3" t="str">
        <f>HYPERLINK("https://www.boe.es/gazeta/dias/1822/10/16/pdfs/GMD-1822-303.pdf","Abrir PDF")</f>
        <v>Abrir PDF</v>
      </c>
    </row>
    <row r="308" spans="1:6" ht="30.95" customHeight="1">
      <c r="A308" s="7">
        <v>-28198</v>
      </c>
      <c r="B308" s="2" t="s">
        <v>981</v>
      </c>
      <c r="C308" s="2" t="s">
        <v>29795</v>
      </c>
      <c r="D308" s="3">
        <v>6</v>
      </c>
      <c r="E308" s="3">
        <v>45</v>
      </c>
      <c r="F308" s="3" t="str">
        <f>HYPERLINK("https://www.boe.es/gazeta/dias/1822/10/17/pdfs/GMD-1822-304.pdf","Abrir PDF")</f>
        <v>Abrir PDF</v>
      </c>
    </row>
    <row r="309" spans="1:6" ht="30.95" customHeight="1">
      <c r="A309" s="7">
        <v>-28197</v>
      </c>
      <c r="B309" s="2" t="s">
        <v>568</v>
      </c>
      <c r="C309" s="2" t="s">
        <v>29796</v>
      </c>
      <c r="D309" s="3">
        <v>6</v>
      </c>
      <c r="E309" s="3">
        <v>68</v>
      </c>
      <c r="F309" s="3" t="str">
        <f>HYPERLINK("https://www.boe.es/gazeta/dias/1822/10/18/pdfs/GMD-1822-305.pdf","Abrir PDF")</f>
        <v>Abrir PDF</v>
      </c>
    </row>
    <row r="310" spans="1:6" ht="30.95" customHeight="1">
      <c r="A310" s="7">
        <v>-28196</v>
      </c>
      <c r="B310" s="2" t="s">
        <v>570</v>
      </c>
      <c r="C310" s="2" t="s">
        <v>29797</v>
      </c>
      <c r="D310" s="3">
        <v>6</v>
      </c>
      <c r="E310" s="3">
        <v>32</v>
      </c>
      <c r="F310" s="3" t="str">
        <f>HYPERLINK("https://www.boe.es/gazeta/dias/1822/10/19/pdfs/GMD-1822-306.pdf","Abrir PDF")</f>
        <v>Abrir PDF</v>
      </c>
    </row>
    <row r="311" spans="1:6" ht="30.95" customHeight="1">
      <c r="A311" s="7">
        <v>-28195</v>
      </c>
      <c r="B311" s="2" t="s">
        <v>770</v>
      </c>
      <c r="C311" s="2" t="s">
        <v>29798</v>
      </c>
      <c r="D311" s="3">
        <v>6</v>
      </c>
      <c r="E311" s="3">
        <v>29</v>
      </c>
      <c r="F311" s="3" t="str">
        <f>HYPERLINK("https://www.boe.es/gazeta/dias/1822/10/20/pdfs/GMD-1822-307.pdf","Abrir PDF")</f>
        <v>Abrir PDF</v>
      </c>
    </row>
    <row r="312" spans="1:6" ht="30.95" customHeight="1">
      <c r="A312" s="7">
        <v>-28194</v>
      </c>
      <c r="B312" s="2" t="s">
        <v>18</v>
      </c>
      <c r="C312" s="2" t="s">
        <v>29799</v>
      </c>
      <c r="D312" s="3">
        <v>6</v>
      </c>
      <c r="E312" s="3">
        <v>59</v>
      </c>
      <c r="F312" s="3" t="str">
        <f>HYPERLINK("https://www.boe.es/gazeta/dias/1822/10/21/pdfs/GMD-1822-308.pdf","Abrir PDF")</f>
        <v>Abrir PDF</v>
      </c>
    </row>
    <row r="313" spans="1:6" ht="30.95" customHeight="1">
      <c r="A313" s="7">
        <v>-28193</v>
      </c>
      <c r="B313" s="2" t="s">
        <v>574</v>
      </c>
      <c r="C313" s="2" t="s">
        <v>29800</v>
      </c>
      <c r="D313" s="3">
        <v>6</v>
      </c>
      <c r="E313" s="3">
        <v>40</v>
      </c>
      <c r="F313" s="3" t="str">
        <f>HYPERLINK("https://www.boe.es/gazeta/dias/1822/10/22/pdfs/GMD-1822-309.pdf","Abrir PDF")</f>
        <v>Abrir PDF</v>
      </c>
    </row>
    <row r="314" spans="1:6" ht="30.95" customHeight="1">
      <c r="A314" s="7">
        <v>-28192</v>
      </c>
      <c r="B314" s="2" t="s">
        <v>43</v>
      </c>
      <c r="C314" s="2" t="s">
        <v>29801</v>
      </c>
      <c r="D314" s="3">
        <v>8</v>
      </c>
      <c r="E314" s="3">
        <v>68</v>
      </c>
      <c r="F314" s="3" t="str">
        <f>HYPERLINK("https://www.boe.es/gazeta/dias/1822/10/23/pdfs/GMD-1822-310.pdf","Abrir PDF")</f>
        <v>Abrir PDF</v>
      </c>
    </row>
    <row r="315" spans="1:6" ht="30.95" customHeight="1">
      <c r="A315" s="7">
        <v>-28191</v>
      </c>
      <c r="B315" s="2" t="s">
        <v>710</v>
      </c>
      <c r="C315" s="2" t="s">
        <v>29802</v>
      </c>
      <c r="D315" s="3">
        <v>8</v>
      </c>
      <c r="E315" s="3">
        <v>61</v>
      </c>
      <c r="F315" s="3" t="str">
        <f>HYPERLINK("https://www.boe.es/gazeta/dias/1822/10/24/pdfs/GMD-1822-311.pdf","Abrir PDF")</f>
        <v>Abrir PDF</v>
      </c>
    </row>
    <row r="316" spans="1:6" ht="30.95" customHeight="1">
      <c r="A316" s="7">
        <v>-28190</v>
      </c>
      <c r="B316" s="2" t="s">
        <v>576</v>
      </c>
      <c r="C316" s="2" t="s">
        <v>29803</v>
      </c>
      <c r="D316" s="3">
        <v>6</v>
      </c>
      <c r="E316" s="3">
        <v>49</v>
      </c>
      <c r="F316" s="3" t="str">
        <f>HYPERLINK("https://www.boe.es/gazeta/dias/1822/10/25/pdfs/GMD-1822-312.pdf","Abrir PDF")</f>
        <v>Abrir PDF</v>
      </c>
    </row>
    <row r="317" spans="1:6" ht="30.95" customHeight="1">
      <c r="A317" s="7">
        <v>-28189</v>
      </c>
      <c r="B317" s="2" t="s">
        <v>645</v>
      </c>
      <c r="C317" s="2" t="s">
        <v>29804</v>
      </c>
      <c r="D317" s="3">
        <v>6</v>
      </c>
      <c r="E317" s="3">
        <v>72</v>
      </c>
      <c r="F317" s="3" t="str">
        <f>HYPERLINK("https://www.boe.es/gazeta/dias/1822/10/26/pdfs/GMD-1822-313.pdf","Abrir PDF")</f>
        <v>Abrir PDF</v>
      </c>
    </row>
    <row r="318" spans="1:6" ht="30.95" customHeight="1">
      <c r="A318" s="7">
        <v>-28188</v>
      </c>
      <c r="B318" s="2" t="s">
        <v>578</v>
      </c>
      <c r="C318" s="2" t="s">
        <v>29805</v>
      </c>
      <c r="D318" s="3">
        <v>8</v>
      </c>
      <c r="E318" s="3">
        <v>79</v>
      </c>
      <c r="F318" s="3" t="str">
        <f>HYPERLINK("https://www.boe.es/gazeta/dias/1822/10/27/pdfs/GMD-1822-314.pdf","Abrir PDF")</f>
        <v>Abrir PDF</v>
      </c>
    </row>
    <row r="319" spans="1:6" ht="30.95" customHeight="1">
      <c r="A319" s="7">
        <v>-28187</v>
      </c>
      <c r="B319" s="2" t="s">
        <v>929</v>
      </c>
      <c r="C319" s="2" t="s">
        <v>29806</v>
      </c>
      <c r="D319" s="3">
        <v>6</v>
      </c>
      <c r="E319" s="3">
        <v>46</v>
      </c>
      <c r="F319" s="3" t="str">
        <f>HYPERLINK("https://www.boe.es/gazeta/dias/1822/10/28/pdfs/GMD-1822-315.pdf","Abrir PDF")</f>
        <v>Abrir PDF</v>
      </c>
    </row>
    <row r="320" spans="1:6" ht="30.95" customHeight="1">
      <c r="A320" s="7">
        <v>-28186</v>
      </c>
      <c r="B320" s="2" t="s">
        <v>581</v>
      </c>
      <c r="C320" s="2" t="s">
        <v>29807</v>
      </c>
      <c r="D320" s="3">
        <v>4</v>
      </c>
      <c r="E320" s="3">
        <v>50</v>
      </c>
      <c r="F320" s="3" t="str">
        <f>HYPERLINK("https://www.boe.es/gazeta/dias/1822/10/29/pdfs/GMD-1822-316.pdf","Abrir PDF")</f>
        <v>Abrir PDF</v>
      </c>
    </row>
    <row r="321" spans="1:6" ht="30.95" customHeight="1">
      <c r="A321" s="7">
        <v>-28185</v>
      </c>
      <c r="B321" s="2" t="s">
        <v>933</v>
      </c>
      <c r="C321" s="2" t="s">
        <v>29808</v>
      </c>
      <c r="D321" s="3">
        <v>4</v>
      </c>
      <c r="E321" s="3">
        <v>45</v>
      </c>
      <c r="F321" s="3" t="str">
        <f>HYPERLINK("https://www.boe.es/gazeta/dias/1822/10/30/pdfs/GMD-1822-317.pdf","Abrir PDF")</f>
        <v>Abrir PDF</v>
      </c>
    </row>
    <row r="322" spans="1:6" ht="30.95" customHeight="1">
      <c r="A322" s="7">
        <v>-28184</v>
      </c>
      <c r="B322" s="2" t="s">
        <v>1423</v>
      </c>
      <c r="C322" s="2" t="s">
        <v>29809</v>
      </c>
      <c r="D322" s="3">
        <v>4</v>
      </c>
      <c r="E322" s="3">
        <v>42</v>
      </c>
      <c r="F322" s="3" t="str">
        <f>HYPERLINK("https://www.boe.es/gazeta/dias/1822/10/31/pdfs/GMD-1822-318.pdf","Abrir PDF")</f>
        <v>Abrir PDF</v>
      </c>
    </row>
    <row r="323" spans="1:6" ht="30.95" customHeight="1">
      <c r="A323" s="7">
        <v>-28183</v>
      </c>
      <c r="B323" s="2" t="s">
        <v>583</v>
      </c>
      <c r="C323" s="2" t="s">
        <v>29810</v>
      </c>
      <c r="D323" s="3">
        <v>6</v>
      </c>
      <c r="E323" s="3">
        <v>24</v>
      </c>
      <c r="F323" s="3" t="str">
        <f>HYPERLINK("https://www.boe.es/gazeta/dias/1822/11/01/pdfs/GMD-1822-319.pdf","Abrir PDF")</f>
        <v>Abrir PDF</v>
      </c>
    </row>
    <row r="324" spans="1:6" ht="30.95" customHeight="1">
      <c r="A324" s="7">
        <v>-28182</v>
      </c>
      <c r="B324" s="2" t="s">
        <v>585</v>
      </c>
      <c r="C324" s="2" t="s">
        <v>29811</v>
      </c>
      <c r="D324" s="3">
        <v>6</v>
      </c>
      <c r="E324" s="3">
        <v>46</v>
      </c>
      <c r="F324" s="3" t="str">
        <f>HYPERLINK("https://www.boe.es/gazeta/dias/1822/11/02/pdfs/GMD-1822-320.pdf","Abrir PDF")</f>
        <v>Abrir PDF</v>
      </c>
    </row>
    <row r="325" spans="1:6" ht="30.95" customHeight="1">
      <c r="A325" s="7">
        <v>-28181</v>
      </c>
      <c r="B325" s="2" t="s">
        <v>739</v>
      </c>
      <c r="C325" s="2" t="s">
        <v>29812</v>
      </c>
      <c r="D325" s="3">
        <v>6</v>
      </c>
      <c r="E325" s="3">
        <v>40</v>
      </c>
      <c r="F325" s="3" t="str">
        <f>HYPERLINK("https://www.boe.es/gazeta/dias/1822/11/03/pdfs/GMD-1822-321.pdf","Abrir PDF")</f>
        <v>Abrir PDF</v>
      </c>
    </row>
    <row r="326" spans="1:6" ht="30.95" customHeight="1">
      <c r="A326" s="7">
        <v>-28181</v>
      </c>
      <c r="B326" s="2" t="s">
        <v>724</v>
      </c>
      <c r="C326" s="2" t="s">
        <v>29813</v>
      </c>
      <c r="D326" s="3">
        <v>2</v>
      </c>
      <c r="E326" s="3">
        <v>30</v>
      </c>
      <c r="F326" s="3" t="str">
        <f>HYPERLINK("https://www.boe.es/gazeta/dias/1822/11/03/pdfs/GMD-1822-322E.pdf","Abrir PDF")</f>
        <v>Abrir PDF</v>
      </c>
    </row>
    <row r="327" spans="1:6" ht="30.95" customHeight="1">
      <c r="A327" s="7">
        <v>-28180</v>
      </c>
      <c r="B327" s="2" t="s">
        <v>839</v>
      </c>
      <c r="C327" s="2" t="s">
        <v>29814</v>
      </c>
      <c r="D327" s="3">
        <v>4</v>
      </c>
      <c r="E327" s="3">
        <v>25</v>
      </c>
      <c r="F327" s="3" t="str">
        <f>HYPERLINK("https://www.boe.es/gazeta/dias/1822/11/04/pdfs/GMD-1822-323.pdf","Abrir PDF")</f>
        <v>Abrir PDF</v>
      </c>
    </row>
    <row r="328" spans="1:6" ht="30.95" customHeight="1">
      <c r="A328" s="7">
        <v>-28180</v>
      </c>
      <c r="B328" s="2" t="s">
        <v>7521</v>
      </c>
      <c r="C328" s="2" t="s">
        <v>29815</v>
      </c>
      <c r="D328" s="3">
        <v>1</v>
      </c>
      <c r="E328" s="3">
        <v>3</v>
      </c>
      <c r="F328" s="3" t="str">
        <f>HYPERLINK("https://www.boe.es/gazeta/dias/1822/11/04/pdfs/GMD-1822-324E.pdf","Abrir PDF")</f>
        <v>Abrir PDF</v>
      </c>
    </row>
    <row r="329" spans="1:6" ht="30.95" customHeight="1">
      <c r="A329" s="7">
        <v>-28179</v>
      </c>
      <c r="B329" s="2" t="s">
        <v>935</v>
      </c>
      <c r="C329" s="2" t="s">
        <v>29816</v>
      </c>
      <c r="D329" s="3">
        <v>6</v>
      </c>
      <c r="E329" s="3">
        <v>42</v>
      </c>
      <c r="F329" s="3" t="str">
        <f>HYPERLINK("https://www.boe.es/gazeta/dias/1822/11/05/pdfs/GMD-1822-325.pdf","Abrir PDF")</f>
        <v>Abrir PDF</v>
      </c>
    </row>
    <row r="330" spans="1:6" ht="30.95" customHeight="1">
      <c r="A330" s="7">
        <v>-28178</v>
      </c>
      <c r="B330" s="2" t="s">
        <v>318</v>
      </c>
      <c r="C330" s="2" t="s">
        <v>29817</v>
      </c>
      <c r="D330" s="3">
        <v>6</v>
      </c>
      <c r="E330" s="3">
        <v>65</v>
      </c>
      <c r="F330" s="3" t="str">
        <f>HYPERLINK("https://www.boe.es/gazeta/dias/1822/11/06/pdfs/GMD-1822-326.pdf","Abrir PDF")</f>
        <v>Abrir PDF</v>
      </c>
    </row>
    <row r="331" spans="1:6" ht="30.95" customHeight="1">
      <c r="A331" s="7">
        <v>-28177</v>
      </c>
      <c r="B331" s="2" t="s">
        <v>587</v>
      </c>
      <c r="C331" s="2" t="s">
        <v>29818</v>
      </c>
      <c r="D331" s="3">
        <v>6</v>
      </c>
      <c r="E331" s="3">
        <v>39</v>
      </c>
      <c r="F331" s="3" t="str">
        <f>HYPERLINK("https://www.boe.es/gazeta/dias/1822/11/07/pdfs/GMD-1822-327.pdf","Abrir PDF")</f>
        <v>Abrir PDF</v>
      </c>
    </row>
    <row r="332" spans="1:6" ht="30.95" customHeight="1">
      <c r="A332" s="7">
        <v>-28176</v>
      </c>
      <c r="B332" s="2" t="s">
        <v>780</v>
      </c>
      <c r="C332" s="2" t="s">
        <v>29819</v>
      </c>
      <c r="D332" s="3">
        <v>6</v>
      </c>
      <c r="E332" s="3">
        <v>83</v>
      </c>
      <c r="F332" s="3" t="str">
        <f>HYPERLINK("https://www.boe.es/gazeta/dias/1822/11/08/pdfs/GMD-1822-328.pdf","Abrir PDF")</f>
        <v>Abrir PDF</v>
      </c>
    </row>
    <row r="333" spans="1:6" ht="30.95" customHeight="1">
      <c r="A333" s="7">
        <v>-28175</v>
      </c>
      <c r="B333" s="2" t="s">
        <v>341</v>
      </c>
      <c r="C333" s="2" t="s">
        <v>29820</v>
      </c>
      <c r="D333" s="3">
        <v>6</v>
      </c>
      <c r="E333" s="3">
        <v>45</v>
      </c>
      <c r="F333" s="3" t="str">
        <f>HYPERLINK("https://www.boe.es/gazeta/dias/1822/11/09/pdfs/GMD-1822-329.pdf","Abrir PDF")</f>
        <v>Abrir PDF</v>
      </c>
    </row>
    <row r="334" spans="1:6" ht="30.95" customHeight="1">
      <c r="A334" s="7">
        <v>-28174</v>
      </c>
      <c r="B334" s="2" t="s">
        <v>881</v>
      </c>
      <c r="C334" s="2" t="s">
        <v>29821</v>
      </c>
      <c r="D334" s="3">
        <v>6</v>
      </c>
      <c r="E334" s="3">
        <v>43</v>
      </c>
      <c r="F334" s="3" t="str">
        <f>HYPERLINK("https://www.boe.es/gazeta/dias/1822/11/10/pdfs/GMD-1822-330.pdf","Abrir PDF")</f>
        <v>Abrir PDF</v>
      </c>
    </row>
    <row r="335" spans="1:6" ht="30.95" customHeight="1">
      <c r="A335" s="7">
        <v>-28173</v>
      </c>
      <c r="B335" s="2" t="s">
        <v>2959</v>
      </c>
      <c r="C335" s="2" t="s">
        <v>29822</v>
      </c>
      <c r="D335" s="3">
        <v>4</v>
      </c>
      <c r="E335" s="3">
        <v>30</v>
      </c>
      <c r="F335" s="3" t="str">
        <f>HYPERLINK("https://www.boe.es/gazeta/dias/1822/11/11/pdfs/GMD-1822-331.pdf","Abrir PDF")</f>
        <v>Abrir PDF</v>
      </c>
    </row>
    <row r="336" spans="1:6" ht="30.95" customHeight="1">
      <c r="A336" s="7">
        <v>-28172</v>
      </c>
      <c r="B336" s="2" t="s">
        <v>674</v>
      </c>
      <c r="C336" s="2" t="s">
        <v>29823</v>
      </c>
      <c r="D336" s="3">
        <v>4</v>
      </c>
      <c r="E336" s="3">
        <v>50</v>
      </c>
      <c r="F336" s="3" t="str">
        <f>HYPERLINK("https://www.boe.es/gazeta/dias/1822/11/12/pdfs/GMD-1822-332.pdf","Abrir PDF")</f>
        <v>Abrir PDF</v>
      </c>
    </row>
    <row r="337" spans="1:6" ht="30.95" customHeight="1">
      <c r="A337" s="7">
        <v>-28171</v>
      </c>
      <c r="B337" s="2" t="s">
        <v>1075</v>
      </c>
      <c r="C337" s="2" t="s">
        <v>29824</v>
      </c>
      <c r="D337" s="3">
        <v>4</v>
      </c>
      <c r="E337" s="3">
        <v>50</v>
      </c>
      <c r="F337" s="3" t="str">
        <f>HYPERLINK("https://www.boe.es/gazeta/dias/1822/11/13/pdfs/GMD-1822-333.pdf","Abrir PDF")</f>
        <v>Abrir PDF</v>
      </c>
    </row>
    <row r="338" spans="1:6" ht="30.95" customHeight="1">
      <c r="A338" s="7">
        <v>-28170</v>
      </c>
      <c r="B338" s="2" t="s">
        <v>1457</v>
      </c>
      <c r="C338" s="2" t="s">
        <v>29825</v>
      </c>
      <c r="D338" s="3">
        <v>6</v>
      </c>
      <c r="E338" s="3">
        <v>26</v>
      </c>
      <c r="F338" s="3" t="str">
        <f>HYPERLINK("https://www.boe.es/gazeta/dias/1822/11/14/pdfs/GMD-1822-334.pdf","Abrir PDF")</f>
        <v>Abrir PDF</v>
      </c>
    </row>
    <row r="339" spans="1:6" ht="30.95" customHeight="1">
      <c r="A339" s="7">
        <v>-28169</v>
      </c>
      <c r="B339" s="2" t="s">
        <v>2571</v>
      </c>
      <c r="C339" s="2" t="s">
        <v>29826</v>
      </c>
      <c r="D339" s="3">
        <v>6</v>
      </c>
      <c r="E339" s="3">
        <v>45</v>
      </c>
      <c r="F339" s="3" t="str">
        <f>HYPERLINK("https://www.boe.es/gazeta/dias/1822/11/15/pdfs/GMD-1822-335.pdf","Abrir PDF")</f>
        <v>Abrir PDF</v>
      </c>
    </row>
    <row r="340" spans="1:6" ht="30.95" customHeight="1">
      <c r="A340" s="7">
        <v>-28168</v>
      </c>
      <c r="B340" s="2" t="s">
        <v>3672</v>
      </c>
      <c r="C340" s="2" t="s">
        <v>29827</v>
      </c>
      <c r="D340" s="3">
        <v>4</v>
      </c>
      <c r="E340" s="3">
        <v>27</v>
      </c>
      <c r="F340" s="3" t="str">
        <f>HYPERLINK("https://www.boe.es/gazeta/dias/1822/11/16/pdfs/GMD-1822-336.pdf","Abrir PDF")</f>
        <v>Abrir PDF</v>
      </c>
    </row>
    <row r="341" spans="1:6" ht="30.95" customHeight="1">
      <c r="A341" s="7">
        <v>-28167</v>
      </c>
      <c r="B341" s="2" t="s">
        <v>904</v>
      </c>
      <c r="C341" s="2" t="s">
        <v>29828</v>
      </c>
      <c r="D341" s="3">
        <v>4</v>
      </c>
      <c r="E341" s="3">
        <v>49</v>
      </c>
      <c r="F341" s="3" t="str">
        <f>HYPERLINK("https://www.boe.es/gazeta/dias/1822/11/17/pdfs/GMD-1822-337.pdf","Abrir PDF")</f>
        <v>Abrir PDF</v>
      </c>
    </row>
    <row r="342" spans="1:6" ht="30.95" customHeight="1">
      <c r="A342" s="7">
        <v>-28166</v>
      </c>
      <c r="B342" s="2" t="s">
        <v>942</v>
      </c>
      <c r="C342" s="2" t="s">
        <v>29829</v>
      </c>
      <c r="D342" s="3">
        <v>6</v>
      </c>
      <c r="E342" s="3">
        <v>41</v>
      </c>
      <c r="F342" s="3" t="str">
        <f>HYPERLINK("https://www.boe.es/gazeta/dias/1822/11/18/pdfs/GMD-1822-338.pdf","Abrir PDF")</f>
        <v>Abrir PDF</v>
      </c>
    </row>
    <row r="343" spans="1:6" ht="30.95" customHeight="1">
      <c r="A343" s="7">
        <v>-28165</v>
      </c>
      <c r="B343" s="2" t="s">
        <v>846</v>
      </c>
      <c r="C343" s="2" t="s">
        <v>29830</v>
      </c>
      <c r="D343" s="3">
        <v>4</v>
      </c>
      <c r="E343" s="3">
        <v>42</v>
      </c>
      <c r="F343" s="3" t="str">
        <f>HYPERLINK("https://www.boe.es/gazeta/dias/1822/11/19/pdfs/GMD-1822-339.pdf","Abrir PDF")</f>
        <v>Abrir PDF</v>
      </c>
    </row>
    <row r="344" spans="1:6" ht="30.95" customHeight="1">
      <c r="A344" s="7">
        <v>-28164</v>
      </c>
      <c r="B344" s="2" t="s">
        <v>2172</v>
      </c>
      <c r="C344" s="2" t="s">
        <v>29831</v>
      </c>
      <c r="D344" s="3">
        <v>6</v>
      </c>
      <c r="E344" s="3">
        <v>17</v>
      </c>
      <c r="F344" s="3" t="str">
        <f>HYPERLINK("https://www.boe.es/gazeta/dias/1822/11/20/pdfs/GMD-1822-340.pdf","Abrir PDF")</f>
        <v>Abrir PDF</v>
      </c>
    </row>
    <row r="345" spans="1:6" ht="30.95" customHeight="1">
      <c r="A345" s="7">
        <v>-28163</v>
      </c>
      <c r="B345" s="2" t="s">
        <v>891</v>
      </c>
      <c r="C345" s="2" t="s">
        <v>29832</v>
      </c>
      <c r="D345" s="3">
        <v>6</v>
      </c>
      <c r="E345" s="3">
        <v>40</v>
      </c>
      <c r="F345" s="3" t="str">
        <f>HYPERLINK("https://www.boe.es/gazeta/dias/1822/11/21/pdfs/GMD-1822-341.pdf","Abrir PDF")</f>
        <v>Abrir PDF</v>
      </c>
    </row>
    <row r="346" spans="1:6" ht="30.95" customHeight="1">
      <c r="A346" s="7">
        <v>-28162</v>
      </c>
      <c r="B346" s="2" t="s">
        <v>3949</v>
      </c>
      <c r="C346" s="2" t="s">
        <v>29833</v>
      </c>
      <c r="D346" s="3">
        <v>6</v>
      </c>
      <c r="E346" s="3">
        <v>47</v>
      </c>
      <c r="F346" s="3" t="str">
        <f>HYPERLINK("https://www.boe.es/gazeta/dias/1822/11/22/pdfs/GMD-1822-342.pdf","Abrir PDF")</f>
        <v>Abrir PDF</v>
      </c>
    </row>
    <row r="347" spans="1:6" ht="30.95" customHeight="1">
      <c r="A347" s="7">
        <v>-28161</v>
      </c>
      <c r="B347" s="2" t="s">
        <v>166</v>
      </c>
      <c r="C347" s="2" t="s">
        <v>29834</v>
      </c>
      <c r="D347" s="3">
        <v>8</v>
      </c>
      <c r="E347" s="3">
        <v>50</v>
      </c>
      <c r="F347" s="3" t="str">
        <f>HYPERLINK("https://www.boe.es/gazeta/dias/1822/11/23/pdfs/GMD-1822-343.pdf","Abrir PDF")</f>
        <v>Abrir PDF</v>
      </c>
    </row>
    <row r="348" spans="1:6" ht="30.95" customHeight="1">
      <c r="A348" s="7">
        <v>-28160</v>
      </c>
      <c r="B348" s="2" t="s">
        <v>148</v>
      </c>
      <c r="C348" s="2" t="s">
        <v>29835</v>
      </c>
      <c r="D348" s="3">
        <v>6</v>
      </c>
      <c r="E348" s="3">
        <v>41</v>
      </c>
      <c r="F348" s="3" t="str">
        <f>HYPERLINK("https://www.boe.es/gazeta/dias/1822/11/24/pdfs/GMD-1822-344.pdf","Abrir PDF")</f>
        <v>Abrir PDF</v>
      </c>
    </row>
    <row r="349" spans="1:6" ht="30.95" customHeight="1">
      <c r="A349" s="7">
        <v>-28159</v>
      </c>
      <c r="B349" s="2" t="s">
        <v>67</v>
      </c>
      <c r="C349" s="2" t="s">
        <v>29836</v>
      </c>
      <c r="D349" s="3">
        <v>4</v>
      </c>
      <c r="E349" s="3">
        <v>34</v>
      </c>
      <c r="F349" s="3" t="str">
        <f>HYPERLINK("https://www.boe.es/gazeta/dias/1822/11/25/pdfs/GMD-1822-345.pdf","Abrir PDF")</f>
        <v>Abrir PDF</v>
      </c>
    </row>
    <row r="350" spans="1:6" ht="30.95" customHeight="1">
      <c r="A350" s="7">
        <v>-28158</v>
      </c>
      <c r="B350" s="2" t="s">
        <v>590</v>
      </c>
      <c r="C350" s="2" t="s">
        <v>29837</v>
      </c>
      <c r="D350" s="3">
        <v>6</v>
      </c>
      <c r="E350" s="3">
        <v>52</v>
      </c>
      <c r="F350" s="3" t="str">
        <f>HYPERLINK("https://www.boe.es/gazeta/dias/1822/11/26/pdfs/GMD-1822-346.pdf","Abrir PDF")</f>
        <v>Abrir PDF</v>
      </c>
    </row>
    <row r="351" spans="1:6" ht="30.95" customHeight="1">
      <c r="A351" s="7">
        <v>-28157</v>
      </c>
      <c r="B351" s="2" t="s">
        <v>1492</v>
      </c>
      <c r="C351" s="2" t="s">
        <v>29838</v>
      </c>
      <c r="D351" s="3">
        <v>6</v>
      </c>
      <c r="E351" s="3">
        <v>27</v>
      </c>
      <c r="F351" s="3" t="str">
        <f>HYPERLINK("https://www.boe.es/gazeta/dias/1822/11/27/pdfs/GMD-1822-347.pdf","Abrir PDF")</f>
        <v>Abrir PDF</v>
      </c>
    </row>
    <row r="352" spans="1:6" ht="30.95" customHeight="1">
      <c r="A352" s="7">
        <v>-28156</v>
      </c>
      <c r="B352" s="2" t="s">
        <v>1568</v>
      </c>
      <c r="C352" s="2" t="s">
        <v>29839</v>
      </c>
      <c r="D352" s="3">
        <v>6</v>
      </c>
      <c r="E352" s="3">
        <v>30</v>
      </c>
      <c r="F352" s="3" t="str">
        <f>HYPERLINK("https://www.boe.es/gazeta/dias/1822/11/28/pdfs/GMD-1822-348.pdf","Abrir PDF")</f>
        <v>Abrir PDF</v>
      </c>
    </row>
    <row r="353" spans="1:6" ht="30.95" customHeight="1">
      <c r="A353" s="7">
        <v>-28155</v>
      </c>
      <c r="B353" s="2" t="s">
        <v>833</v>
      </c>
      <c r="C353" s="2" t="s">
        <v>29840</v>
      </c>
      <c r="D353" s="3">
        <v>6</v>
      </c>
      <c r="E353" s="3">
        <v>41</v>
      </c>
      <c r="F353" s="3" t="str">
        <f>HYPERLINK("https://www.boe.es/gazeta/dias/1822/11/29/pdfs/GMD-1822-349.pdf","Abrir PDF")</f>
        <v>Abrir PDF</v>
      </c>
    </row>
    <row r="354" spans="1:6" ht="30.95" customHeight="1">
      <c r="A354" s="7">
        <v>-28154</v>
      </c>
      <c r="B354" s="2" t="s">
        <v>2321</v>
      </c>
      <c r="C354" s="2" t="s">
        <v>29841</v>
      </c>
      <c r="D354" s="3">
        <v>4</v>
      </c>
      <c r="E354" s="3">
        <v>33</v>
      </c>
      <c r="F354" s="3" t="str">
        <f>HYPERLINK("https://www.boe.es/gazeta/dias/1822/11/30/pdfs/GMD-1822-350.pdf","Abrir PDF")</f>
        <v>Abrir PDF</v>
      </c>
    </row>
    <row r="355" spans="1:6" ht="30.95" customHeight="1">
      <c r="A355" s="7">
        <v>-28153</v>
      </c>
      <c r="B355" s="2" t="s">
        <v>946</v>
      </c>
      <c r="C355" s="2" t="s">
        <v>29842</v>
      </c>
      <c r="D355" s="3">
        <v>6</v>
      </c>
      <c r="E355" s="3">
        <v>46</v>
      </c>
      <c r="F355" s="3" t="str">
        <f>HYPERLINK("https://www.boe.es/gazeta/dias/1822/12/01/pdfs/GMD-1822-351.pdf","Abrir PDF")</f>
        <v>Abrir PDF</v>
      </c>
    </row>
    <row r="356" spans="1:6" ht="30.95" customHeight="1">
      <c r="A356" s="7">
        <v>-28152</v>
      </c>
      <c r="B356" s="2" t="s">
        <v>122</v>
      </c>
      <c r="C356" s="2" t="s">
        <v>29843</v>
      </c>
      <c r="D356" s="3">
        <v>6</v>
      </c>
      <c r="E356" s="3">
        <v>51</v>
      </c>
      <c r="F356" s="3" t="str">
        <f>HYPERLINK("https://www.boe.es/gazeta/dias/1822/12/02/pdfs/GMD-1822-352.pdf","Abrir PDF")</f>
        <v>Abrir PDF</v>
      </c>
    </row>
    <row r="357" spans="1:6" ht="30.95" customHeight="1">
      <c r="A357" s="7">
        <v>-28151</v>
      </c>
      <c r="B357" s="2" t="s">
        <v>985</v>
      </c>
      <c r="C357" s="2" t="s">
        <v>29844</v>
      </c>
      <c r="D357" s="3">
        <v>4</v>
      </c>
      <c r="E357" s="3">
        <v>14</v>
      </c>
      <c r="F357" s="3" t="str">
        <f>HYPERLINK("https://www.boe.es/gazeta/dias/1822/12/03/pdfs/GMD-1822-353.pdf","Abrir PDF")</f>
        <v>Abrir PDF</v>
      </c>
    </row>
    <row r="358" spans="1:6" ht="30.95" customHeight="1">
      <c r="A358" s="7">
        <v>-28150</v>
      </c>
      <c r="B358" s="2" t="s">
        <v>62</v>
      </c>
      <c r="C358" s="2" t="s">
        <v>29845</v>
      </c>
      <c r="D358" s="3">
        <v>6</v>
      </c>
      <c r="E358" s="3">
        <v>64</v>
      </c>
      <c r="F358" s="3" t="str">
        <f>HYPERLINK("https://www.boe.es/gazeta/dias/1822/12/04/pdfs/GMD-1822-354.pdf","Abrir PDF")</f>
        <v>Abrir PDF</v>
      </c>
    </row>
    <row r="359" spans="1:6" ht="30.95" customHeight="1">
      <c r="A359" s="7">
        <v>-28149</v>
      </c>
      <c r="B359" s="2" t="s">
        <v>1322</v>
      </c>
      <c r="C359" s="2" t="s">
        <v>29846</v>
      </c>
      <c r="D359" s="3">
        <v>4</v>
      </c>
      <c r="E359" s="3">
        <v>26</v>
      </c>
      <c r="F359" s="3" t="str">
        <f>HYPERLINK("https://www.boe.es/gazeta/dias/1822/12/05/pdfs/GMD-1822-355.pdf","Abrir PDF")</f>
        <v>Abrir PDF</v>
      </c>
    </row>
    <row r="360" spans="1:6" ht="30.95" customHeight="1">
      <c r="A360" s="7">
        <v>-28148</v>
      </c>
      <c r="B360" s="2" t="s">
        <v>1909</v>
      </c>
      <c r="C360" s="2" t="s">
        <v>29847</v>
      </c>
      <c r="D360" s="3">
        <v>6</v>
      </c>
      <c r="E360" s="3">
        <v>39</v>
      </c>
      <c r="F360" s="3" t="str">
        <f>HYPERLINK("https://www.boe.es/gazeta/dias/1822/12/06/pdfs/GMD-1822-356.pdf","Abrir PDF")</f>
        <v>Abrir PDF</v>
      </c>
    </row>
    <row r="361" spans="1:6" ht="30.95" customHeight="1">
      <c r="A361" s="7">
        <v>-28147</v>
      </c>
      <c r="B361" s="2" t="s">
        <v>1611</v>
      </c>
      <c r="C361" s="2" t="s">
        <v>29848</v>
      </c>
      <c r="D361" s="3">
        <v>6</v>
      </c>
      <c r="E361" s="3">
        <v>50</v>
      </c>
      <c r="F361" s="3" t="str">
        <f>HYPERLINK("https://www.boe.es/gazeta/dias/1822/12/07/pdfs/GMD-1822-357.pdf","Abrir PDF")</f>
        <v>Abrir PDF</v>
      </c>
    </row>
    <row r="362" spans="1:6" ht="30.95" customHeight="1">
      <c r="A362" s="7">
        <v>-28146</v>
      </c>
      <c r="B362" s="2" t="s">
        <v>180</v>
      </c>
      <c r="C362" s="2" t="s">
        <v>29849</v>
      </c>
      <c r="D362" s="3">
        <v>4</v>
      </c>
      <c r="E362" s="3">
        <v>27</v>
      </c>
      <c r="F362" s="3" t="str">
        <f>HYPERLINK("https://www.boe.es/gazeta/dias/1822/12/08/pdfs/GMD-1822-358.pdf","Abrir PDF")</f>
        <v>Abrir PDF</v>
      </c>
    </row>
    <row r="363" spans="1:6" ht="30.95" customHeight="1">
      <c r="A363" s="7">
        <v>-28145</v>
      </c>
      <c r="B363" s="2" t="s">
        <v>1350</v>
      </c>
      <c r="C363" s="2" t="s">
        <v>29850</v>
      </c>
      <c r="D363" s="3">
        <v>6</v>
      </c>
      <c r="E363" s="3">
        <v>31</v>
      </c>
      <c r="F363" s="3" t="str">
        <f>HYPERLINK("https://www.boe.es/gazeta/dias/1822/12/09/pdfs/GMD-1822-359.pdf","Abrir PDF")</f>
        <v>Abrir PDF</v>
      </c>
    </row>
    <row r="364" spans="1:6" ht="30.95" customHeight="1">
      <c r="A364" s="7">
        <v>-28144</v>
      </c>
      <c r="B364" s="2" t="s">
        <v>288</v>
      </c>
      <c r="C364" s="2" t="s">
        <v>29851</v>
      </c>
      <c r="D364" s="3">
        <v>6</v>
      </c>
      <c r="E364" s="3">
        <v>20</v>
      </c>
      <c r="F364" s="3" t="str">
        <f>HYPERLINK("https://www.boe.es/gazeta/dias/1822/12/10/pdfs/GMD-1822-360.pdf","Abrir PDF")</f>
        <v>Abrir PDF</v>
      </c>
    </row>
    <row r="365" spans="1:6" ht="30.95" customHeight="1">
      <c r="A365" s="7">
        <v>-28143</v>
      </c>
      <c r="B365" s="2" t="s">
        <v>2967</v>
      </c>
      <c r="C365" s="2" t="s">
        <v>29852</v>
      </c>
      <c r="D365" s="3">
        <v>4</v>
      </c>
      <c r="E365" s="3">
        <v>29</v>
      </c>
      <c r="F365" s="3" t="str">
        <f>HYPERLINK("https://www.boe.es/gazeta/dias/1822/12/11/pdfs/GMD-1822-361.pdf","Abrir PDF")</f>
        <v>Abrir PDF</v>
      </c>
    </row>
    <row r="366" spans="1:6" ht="30.95" customHeight="1">
      <c r="A366" s="7">
        <v>-28142</v>
      </c>
      <c r="B366" s="2" t="s">
        <v>290</v>
      </c>
      <c r="C366" s="2" t="s">
        <v>29853</v>
      </c>
      <c r="D366" s="3">
        <v>4</v>
      </c>
      <c r="E366" s="3">
        <v>49</v>
      </c>
      <c r="F366" s="3" t="str">
        <f>HYPERLINK("https://www.boe.es/gazeta/dias/1822/12/12/pdfs/GMD-1822-362.pdf","Abrir PDF")</f>
        <v>Abrir PDF</v>
      </c>
    </row>
    <row r="367" spans="1:6" ht="30.95" customHeight="1">
      <c r="A367" s="7">
        <v>-28141</v>
      </c>
      <c r="B367" s="2" t="s">
        <v>265</v>
      </c>
      <c r="C367" s="2" t="s">
        <v>29854</v>
      </c>
      <c r="D367" s="3">
        <v>4</v>
      </c>
      <c r="E367" s="3">
        <v>31</v>
      </c>
      <c r="F367" s="3" t="str">
        <f>HYPERLINK("https://www.boe.es/gazeta/dias/1822/12/13/pdfs/GMD-1822-363.pdf","Abrir PDF")</f>
        <v>Abrir PDF</v>
      </c>
    </row>
    <row r="368" spans="1:6" ht="30.95" customHeight="1">
      <c r="A368" s="7">
        <v>-28140</v>
      </c>
      <c r="B368" s="2" t="s">
        <v>84</v>
      </c>
      <c r="C368" s="2" t="s">
        <v>29855</v>
      </c>
      <c r="D368" s="3">
        <v>4</v>
      </c>
      <c r="E368" s="3">
        <v>26</v>
      </c>
      <c r="F368" s="3" t="str">
        <f>HYPERLINK("https://www.boe.es/gazeta/dias/1822/12/14/pdfs/GMD-1822-364.pdf","Abrir PDF")</f>
        <v>Abrir PDF</v>
      </c>
    </row>
    <row r="369" spans="1:6" ht="30.95" customHeight="1">
      <c r="A369" s="7">
        <v>-28139</v>
      </c>
      <c r="B369" s="2" t="s">
        <v>143</v>
      </c>
      <c r="C369" s="2" t="s">
        <v>29856</v>
      </c>
      <c r="D369" s="3">
        <v>4</v>
      </c>
      <c r="E369" s="3">
        <v>52</v>
      </c>
      <c r="F369" s="3" t="str">
        <f>HYPERLINK("https://www.boe.es/gazeta/dias/1822/12/15/pdfs/GMD-1822-365.pdf","Abrir PDF")</f>
        <v>Abrir PDF</v>
      </c>
    </row>
    <row r="370" spans="1:6" ht="30.95" customHeight="1">
      <c r="A370" s="7">
        <v>-28138</v>
      </c>
      <c r="B370" s="2" t="s">
        <v>3542</v>
      </c>
      <c r="C370" s="2" t="s">
        <v>29857</v>
      </c>
      <c r="D370" s="3">
        <v>4</v>
      </c>
      <c r="E370" s="3">
        <v>28</v>
      </c>
      <c r="F370" s="3" t="str">
        <f>HYPERLINK("https://www.boe.es/gazeta/dias/1822/12/16/pdfs/GMD-1822-366.pdf","Abrir PDF")</f>
        <v>Abrir PDF</v>
      </c>
    </row>
    <row r="371" spans="1:6" ht="30.95" customHeight="1">
      <c r="A371" s="7">
        <v>-28137</v>
      </c>
      <c r="B371" s="2" t="s">
        <v>312</v>
      </c>
      <c r="C371" s="2" t="s">
        <v>29858</v>
      </c>
      <c r="D371" s="3">
        <v>6</v>
      </c>
      <c r="E371" s="3">
        <v>50</v>
      </c>
      <c r="F371" s="3" t="str">
        <f>HYPERLINK("https://www.boe.es/gazeta/dias/1822/12/17/pdfs/GMD-1822-367.pdf","Abrir PDF")</f>
        <v>Abrir PDF</v>
      </c>
    </row>
    <row r="372" spans="1:6" ht="30.95" customHeight="1">
      <c r="A372" s="7">
        <v>-28136</v>
      </c>
      <c r="B372" s="2" t="s">
        <v>948</v>
      </c>
      <c r="C372" s="2" t="s">
        <v>29859</v>
      </c>
      <c r="D372" s="3">
        <v>6</v>
      </c>
      <c r="E372" s="3">
        <v>20</v>
      </c>
      <c r="F372" s="3" t="str">
        <f>HYPERLINK("https://www.boe.es/gazeta/dias/1822/12/18/pdfs/GMD-1822-368.pdf","Abrir PDF")</f>
        <v>Abrir PDF</v>
      </c>
    </row>
    <row r="373" spans="1:6" ht="30.95" customHeight="1">
      <c r="A373" s="7">
        <v>-28135</v>
      </c>
      <c r="B373" s="2" t="s">
        <v>1030</v>
      </c>
      <c r="C373" s="2" t="s">
        <v>29860</v>
      </c>
      <c r="D373" s="3">
        <v>4</v>
      </c>
      <c r="E373" s="3">
        <v>8</v>
      </c>
      <c r="F373" s="3" t="str">
        <f>HYPERLINK("https://www.boe.es/gazeta/dias/1822/12/19/pdfs/GMD-1822-369.pdf","Abrir PDF")</f>
        <v>Abrir PDF</v>
      </c>
    </row>
    <row r="374" spans="1:6" ht="30.95" customHeight="1">
      <c r="A374" s="7">
        <v>-28134</v>
      </c>
      <c r="B374" s="2" t="s">
        <v>620</v>
      </c>
      <c r="C374" s="2" t="s">
        <v>29861</v>
      </c>
      <c r="D374" s="3">
        <v>4</v>
      </c>
      <c r="E374" s="3">
        <v>12</v>
      </c>
      <c r="F374" s="3" t="str">
        <f>HYPERLINK("https://www.boe.es/gazeta/dias/1822/12/20/pdfs/GMD-1822-370.pdf","Abrir PDF")</f>
        <v>Abrir PDF</v>
      </c>
    </row>
    <row r="375" spans="1:6" ht="30.95" customHeight="1">
      <c r="A375" s="7">
        <v>-28133</v>
      </c>
      <c r="B375" s="2" t="s">
        <v>595</v>
      </c>
      <c r="C375" s="2" t="s">
        <v>29862</v>
      </c>
      <c r="D375" s="3">
        <v>4</v>
      </c>
      <c r="E375" s="3">
        <v>23</v>
      </c>
      <c r="F375" s="3" t="str">
        <f>HYPERLINK("https://www.boe.es/gazeta/dias/1822/12/21/pdfs/GMD-1822-371.pdf","Abrir PDF")</f>
        <v>Abrir PDF</v>
      </c>
    </row>
    <row r="376" spans="1:6" ht="30.95" customHeight="1">
      <c r="A376" s="7">
        <v>-28132</v>
      </c>
      <c r="B376" s="2" t="s">
        <v>820</v>
      </c>
      <c r="C376" s="2" t="s">
        <v>29863</v>
      </c>
      <c r="D376" s="3">
        <v>4</v>
      </c>
      <c r="E376" s="3">
        <v>42</v>
      </c>
      <c r="F376" s="3" t="str">
        <f>HYPERLINK("https://www.boe.es/gazeta/dias/1822/12/22/pdfs/GMD-1822-372.pdf","Abrir PDF")</f>
        <v>Abrir PDF</v>
      </c>
    </row>
    <row r="377" spans="1:6" ht="30.95" customHeight="1">
      <c r="A377" s="7">
        <v>-28131</v>
      </c>
      <c r="B377" s="2" t="s">
        <v>893</v>
      </c>
      <c r="C377" s="2" t="s">
        <v>29864</v>
      </c>
      <c r="D377" s="3">
        <v>6</v>
      </c>
      <c r="E377" s="3">
        <v>61</v>
      </c>
      <c r="F377" s="3" t="str">
        <f>HYPERLINK("https://www.boe.es/gazeta/dias/1822/12/23/pdfs/GMD-1822-373.pdf","Abrir PDF")</f>
        <v>Abrir PDF</v>
      </c>
    </row>
    <row r="378" spans="1:6" ht="30.95" customHeight="1">
      <c r="A378" s="7">
        <v>-28130</v>
      </c>
      <c r="B378" s="2" t="s">
        <v>34</v>
      </c>
      <c r="C378" s="2" t="s">
        <v>29865</v>
      </c>
      <c r="D378" s="3">
        <v>6</v>
      </c>
      <c r="E378" s="3">
        <v>52</v>
      </c>
      <c r="F378" s="3" t="str">
        <f>HYPERLINK("https://www.boe.es/gazeta/dias/1822/12/24/pdfs/GMD-1822-374.pdf","Abrir PDF")</f>
        <v>Abrir PDF</v>
      </c>
    </row>
    <row r="379" spans="1:6" ht="30.95" customHeight="1">
      <c r="A379" s="7">
        <v>-28129</v>
      </c>
      <c r="B379" s="2" t="s">
        <v>599</v>
      </c>
      <c r="C379" s="2" t="s">
        <v>29866</v>
      </c>
      <c r="D379" s="3">
        <v>4</v>
      </c>
      <c r="E379" s="3">
        <v>32</v>
      </c>
      <c r="F379" s="3" t="str">
        <f>HYPERLINK("https://www.boe.es/gazeta/dias/1822/12/25/pdfs/GMD-1822-375.pdf","Abrir PDF")</f>
        <v>Abrir PDF</v>
      </c>
    </row>
    <row r="380" spans="1:6" ht="30.95" customHeight="1">
      <c r="A380" s="7">
        <v>-28128</v>
      </c>
      <c r="B380" s="2" t="s">
        <v>4731</v>
      </c>
      <c r="C380" s="2" t="s">
        <v>29867</v>
      </c>
      <c r="D380" s="3">
        <v>4</v>
      </c>
      <c r="E380" s="3">
        <v>2</v>
      </c>
      <c r="F380" s="3" t="str">
        <f>HYPERLINK("https://www.boe.es/gazeta/dias/1822/12/26/pdfs/GMD-1822-376.pdf","Abrir PDF")</f>
        <v>Abrir PDF</v>
      </c>
    </row>
    <row r="381" spans="1:6" ht="30.95" customHeight="1">
      <c r="A381" s="7">
        <v>-28127</v>
      </c>
      <c r="B381" s="2" t="s">
        <v>409</v>
      </c>
      <c r="C381" s="2" t="s">
        <v>29868</v>
      </c>
      <c r="D381" s="3">
        <v>6</v>
      </c>
      <c r="E381" s="3">
        <v>39</v>
      </c>
      <c r="F381" s="3" t="str">
        <f>HYPERLINK("https://www.boe.es/gazeta/dias/1822/12/27/pdfs/GMD-1822-377.pdf","Abrir PDF")</f>
        <v>Abrir PDF</v>
      </c>
    </row>
    <row r="382" spans="1:6" ht="30.95" customHeight="1">
      <c r="A382" s="7">
        <v>-28126</v>
      </c>
      <c r="B382" s="2" t="s">
        <v>952</v>
      </c>
      <c r="C382" s="2" t="s">
        <v>29869</v>
      </c>
      <c r="D382" s="3">
        <v>4</v>
      </c>
      <c r="E382" s="3">
        <v>27</v>
      </c>
      <c r="F382" s="3" t="str">
        <f>HYPERLINK("https://www.boe.es/gazeta/dias/1822/12/28/pdfs/GMD-1822-378.pdf","Abrir PDF")</f>
        <v>Abrir PDF</v>
      </c>
    </row>
    <row r="383" spans="1:6" ht="30.95" customHeight="1">
      <c r="A383" s="7">
        <v>-28125</v>
      </c>
      <c r="B383" s="2" t="s">
        <v>322</v>
      </c>
      <c r="C383" s="2" t="s">
        <v>29870</v>
      </c>
      <c r="D383" s="3">
        <v>6</v>
      </c>
      <c r="E383" s="3">
        <v>58</v>
      </c>
      <c r="F383" s="3" t="str">
        <f>HYPERLINK("https://www.boe.es/gazeta/dias/1822/12/29/pdfs/GMD-1822-379.pdf","Abrir PDF")</f>
        <v>Abrir PDF</v>
      </c>
    </row>
    <row r="384" spans="1:6" ht="30.95" customHeight="1">
      <c r="A384" s="7">
        <v>-28124</v>
      </c>
      <c r="B384" s="2" t="s">
        <v>301</v>
      </c>
      <c r="C384" s="2" t="s">
        <v>29871</v>
      </c>
      <c r="D384" s="3">
        <v>6</v>
      </c>
      <c r="E384" s="3">
        <v>35</v>
      </c>
      <c r="F384" s="3" t="str">
        <f>HYPERLINK("https://www.boe.es/gazeta/dias/1822/12/30/pdfs/GMD-1822-380.pdf","Abrir PDF")</f>
        <v>Abrir PDF</v>
      </c>
    </row>
    <row r="385" spans="1:6" ht="30.95" customHeight="1">
      <c r="A385" s="7">
        <v>-28123</v>
      </c>
      <c r="B385" s="2" t="s">
        <v>603</v>
      </c>
      <c r="C385" s="2" t="s">
        <v>29872</v>
      </c>
      <c r="D385" s="3">
        <v>6</v>
      </c>
      <c r="E385" s="3">
        <v>35</v>
      </c>
      <c r="F385" s="3" t="str">
        <f>HYPERLINK("https://www.boe.es/gazeta/dias/1822/12/31/pdfs/GMD-1822-381.pdf","Abrir PDF")</f>
        <v>Abrir PDF</v>
      </c>
    </row>
    <row r="386" spans="1:6" ht="30.95" customHeight="1">
      <c r="A386" s="4"/>
      <c r="B386" s="2"/>
      <c r="C386" s="2"/>
      <c r="D386" s="3"/>
      <c r="E386" s="3"/>
      <c r="F386" s="3"/>
    </row>
    <row r="387" spans="1:6" ht="30.95" customHeight="1">
      <c r="A387" s="4"/>
      <c r="B387" s="2"/>
      <c r="C387" s="2"/>
      <c r="D387" s="3"/>
      <c r="E387" s="3"/>
      <c r="F387" s="3"/>
    </row>
    <row r="388" spans="1:6" ht="24" customHeight="1">
      <c r="A388" s="14" t="s">
        <v>29873</v>
      </c>
      <c r="B388" s="15"/>
      <c r="C388" s="15"/>
      <c r="D388" s="16"/>
      <c r="E388" s="16"/>
      <c r="F388" s="17"/>
    </row>
    <row r="389" spans="1:6" ht="42" customHeight="1">
      <c r="A389" s="8" t="s">
        <v>29874</v>
      </c>
      <c r="B389" s="18" t="s">
        <v>29875</v>
      </c>
      <c r="C389" s="18"/>
      <c r="D389" s="19"/>
      <c r="E389" s="19"/>
      <c r="F389" s="19"/>
    </row>
    <row r="390" spans="1:6" ht="42" customHeight="1">
      <c r="A390" s="8" t="s">
        <v>29876</v>
      </c>
      <c r="B390" s="18" t="s">
        <v>29877</v>
      </c>
      <c r="C390" s="18"/>
      <c r="D390" s="19"/>
      <c r="E390" s="19"/>
      <c r="F390" s="19"/>
    </row>
    <row r="391" spans="1:6" ht="42" customHeight="1">
      <c r="A391" s="8" t="s">
        <v>29878</v>
      </c>
      <c r="B391" s="18" t="s">
        <v>29879</v>
      </c>
      <c r="C391" s="18"/>
      <c r="D391" s="19"/>
      <c r="E391" s="19"/>
      <c r="F391" s="19"/>
    </row>
    <row r="392" spans="1:6" ht="42" customHeight="1">
      <c r="A392" s="8" t="s">
        <v>29880</v>
      </c>
      <c r="B392" s="18" t="s">
        <v>29881</v>
      </c>
      <c r="C392" s="18"/>
      <c r="D392" s="19"/>
      <c r="E392" s="19"/>
      <c r="F392" s="19"/>
    </row>
    <row r="393" spans="1:6" ht="42" customHeight="1">
      <c r="A393" s="8" t="s">
        <v>29882</v>
      </c>
      <c r="B393" s="18" t="s">
        <v>29883</v>
      </c>
      <c r="C393" s="18"/>
      <c r="D393" s="19"/>
      <c r="E393" s="19"/>
      <c r="F393" s="19"/>
    </row>
    <row r="394" spans="1:6" ht="42" customHeight="1">
      <c r="A394" s="8" t="s">
        <v>10</v>
      </c>
      <c r="B394" s="18" t="s">
        <v>29884</v>
      </c>
      <c r="C394" s="18"/>
      <c r="D394" s="19"/>
      <c r="E394" s="19"/>
      <c r="F394" s="19"/>
    </row>
    <row r="395" spans="1:6" ht="42" customHeight="1">
      <c r="A395" s="8" t="s">
        <v>29885</v>
      </c>
      <c r="B395" s="18" t="s">
        <v>29886</v>
      </c>
      <c r="C395" s="18"/>
      <c r="D395" s="19"/>
      <c r="E395" s="19"/>
      <c r="F395" s="19"/>
    </row>
    <row r="396" spans="1:6" ht="42" customHeight="1">
      <c r="A396" s="8" t="s">
        <v>29887</v>
      </c>
      <c r="B396" s="18" t="s">
        <v>29888</v>
      </c>
      <c r="C396" s="18"/>
      <c r="D396" s="19"/>
      <c r="E396" s="19"/>
      <c r="F396" s="19"/>
    </row>
    <row r="397" spans="1:6" ht="42" customHeight="1">
      <c r="A397" s="8" t="s">
        <v>29889</v>
      </c>
      <c r="B397" s="18" t="s">
        <v>29890</v>
      </c>
      <c r="C397" s="18"/>
      <c r="D397" s="19"/>
      <c r="E397" s="19"/>
      <c r="F397" s="19"/>
    </row>
    <row r="398" spans="1:6" ht="30.95" customHeight="1"/>
    <row r="399" spans="1:6" ht="30.95" customHeight="1"/>
    <row r="400" spans="1:6"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396:F396"/>
    <mergeCell ref="B397:F397"/>
    <mergeCell ref="B391:F391"/>
    <mergeCell ref="B392:F392"/>
    <mergeCell ref="B393:F393"/>
    <mergeCell ref="B394:F394"/>
    <mergeCell ref="B395:F395"/>
    <mergeCell ref="A1:F1"/>
    <mergeCell ref="A2:F2"/>
    <mergeCell ref="A388:F388"/>
    <mergeCell ref="B389:F389"/>
    <mergeCell ref="B390:F39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2026-09-29T14:58:55Z</dcterms:created>
  <dcterms:modified xsi:type="dcterms:W3CDTF">2026-09-29T14:58:55Z</dcterms:modified>
</cp:coreProperties>
</file>